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drawings/drawing3.xml" ContentType="application/vnd.openxmlformats-officedocument.drawing+xml"/>
  <Override PartName="/xl/ctrlProps/ctrlProp5.xml" ContentType="application/vnd.ms-excel.controlproperties+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showInkAnnotation="0" codeName="ThisWorkbook" defaultThemeVersion="124226"/>
  <mc:AlternateContent xmlns:mc="http://schemas.openxmlformats.org/markup-compatibility/2006">
    <mc:Choice Requires="x15">
      <x15ac:absPath xmlns:x15ac="http://schemas.microsoft.com/office/spreadsheetml/2010/11/ac" url="C:\Users\Zondot\Desktop\DURBAN SESSION\"/>
    </mc:Choice>
  </mc:AlternateContent>
  <xr:revisionPtr revIDLastSave="0" documentId="13_ncr:1_{4ECC8AE4-E6BA-4D5B-AE10-5396C57F9E06}" xr6:coauthVersionLast="47" xr6:coauthVersionMax="47" xr10:uidLastSave="{00000000-0000-0000-0000-000000000000}"/>
  <workbookProtection workbookAlgorithmName="SHA-512" workbookHashValue="luKkz5gdG0S63DaxJx3LIe8k9JBJXM/7H42rdcUra3APlklCJtruFY/FqMHHSv1VjZ8kQRSCSiaon3fzZJwjsg==" workbookSaltValue="EatsHnJ6jSa/Jg8rFpzlHw==" workbookSpinCount="100000" lockStructure="1"/>
  <bookViews>
    <workbookView xWindow="-120" yWindow="-120" windowWidth="29040" windowHeight="15840" tabRatio="889" firstSheet="2" activeTab="3" xr2:uid="{00000000-000D-0000-FFFF-FFFF00000000}"/>
  </bookViews>
  <sheets>
    <sheet name="Sheet1" sheetId="370" state="veryHidden" r:id="rId1"/>
    <sheet name="PARAM" sheetId="371" state="veryHidden" r:id="rId2"/>
    <sheet name="START" sheetId="352" r:id="rId3"/>
    <sheet name="Instructions" sheetId="354" r:id="rId4"/>
    <sheet name="Template names" sheetId="100" state="veryHidden" r:id="rId5"/>
    <sheet name="Lookup and lists" sheetId="344" state="veryHidden" r:id="rId6"/>
    <sheet name="Org structure" sheetId="347" r:id="rId7"/>
    <sheet name="Contacts" sheetId="355" r:id="rId8"/>
    <sheet name="A1-Sum" sheetId="86" r:id="rId9"/>
    <sheet name="A2-FinPerf SC" sheetId="133" r:id="rId10"/>
    <sheet name="A2A" sheetId="351" r:id="rId11"/>
    <sheet name="A3-FinPerf V" sheetId="233" r:id="rId12"/>
    <sheet name="A3A" sheetId="342" r:id="rId13"/>
    <sheet name="A4-FinPerf RE" sheetId="127" r:id="rId14"/>
    <sheet name="A5-Capex" sheetId="126" r:id="rId15"/>
    <sheet name="A5A" sheetId="343" r:id="rId16"/>
    <sheet name="A6-FinPos" sheetId="129" r:id="rId17"/>
    <sheet name="A7-CFlow" sheetId="131" r:id="rId18"/>
    <sheet name="A8-ResRecon" sheetId="237" r:id="rId19"/>
    <sheet name="A9-Asset" sheetId="248" r:id="rId20"/>
    <sheet name="A10-SerDel" sheetId="253" r:id="rId21"/>
    <sheet name="SA1" sheetId="255" r:id="rId22"/>
    <sheet name="SA2" sheetId="246" r:id="rId23"/>
    <sheet name="SA3" sheetId="128" r:id="rId24"/>
    <sheet name="SA4" sheetId="141" r:id="rId25"/>
    <sheet name="SA5" sheetId="315" r:id="rId26"/>
    <sheet name="SA6" sheetId="314" r:id="rId27"/>
    <sheet name="SA7" sheetId="147" r:id="rId28"/>
    <sheet name="SA8" sheetId="88" r:id="rId29"/>
    <sheet name="SA9" sheetId="363" r:id="rId30"/>
    <sheet name="SA10" sheetId="123" r:id="rId31"/>
    <sheet name="SA11" sheetId="336" r:id="rId32"/>
    <sheet name="SA12a" sheetId="335" r:id="rId33"/>
    <sheet name="SA12b" sheetId="360" r:id="rId34"/>
    <sheet name="SA13a" sheetId="361" r:id="rId35"/>
    <sheet name="SA13b" sheetId="362" r:id="rId36"/>
    <sheet name="SA14" sheetId="337" r:id="rId37"/>
    <sheet name="SA15" sheetId="142" r:id="rId38"/>
    <sheet name="SA16" sheetId="143" r:id="rId39"/>
    <sheet name="SA17" sheetId="144" r:id="rId40"/>
    <sheet name="SA18" sheetId="136" r:id="rId41"/>
    <sheet name="SA19" sheetId="249" r:id="rId42"/>
    <sheet name="SA20" sheetId="316" r:id="rId43"/>
    <sheet name="SA21" sheetId="305" r:id="rId44"/>
    <sheet name="SA22" sheetId="146" r:id="rId45"/>
    <sheet name="SA23" sheetId="145" r:id="rId46"/>
    <sheet name="SA24" sheetId="148" r:id="rId47"/>
    <sheet name="SA25" sheetId="137" r:id="rId48"/>
    <sheet name="SA26" sheetId="299" r:id="rId49"/>
    <sheet name="SA27" sheetId="298" r:id="rId50"/>
    <sheet name="SA28" sheetId="140" r:id="rId51"/>
    <sheet name="SA29" sheetId="300" r:id="rId52"/>
    <sheet name="SA30" sheetId="95" r:id="rId53"/>
    <sheet name="SA31" sheetId="301" r:id="rId54"/>
    <sheet name="SA32" sheetId="250" r:id="rId55"/>
    <sheet name="SA33" sheetId="139" r:id="rId56"/>
    <sheet name="SA34a" sheetId="134" r:id="rId57"/>
    <sheet name="SA34b" sheetId="350" r:id="rId58"/>
    <sheet name="SA34c" sheetId="349" r:id="rId59"/>
    <sheet name="SA34d" sheetId="358" r:id="rId60"/>
    <sheet name="SA34e" sheetId="367" r:id="rId61"/>
    <sheet name="SA35" sheetId="294" r:id="rId62"/>
    <sheet name="SA36" sheetId="256" r:id="rId63"/>
    <sheet name="SA37" sheetId="296" r:id="rId64"/>
    <sheet name="SA38" sheetId="368" r:id="rId65"/>
    <sheet name="LGDB_EXPORT" sheetId="364" r:id="rId66"/>
  </sheets>
  <externalReferences>
    <externalReference r:id="rId67"/>
    <externalReference r:id="rId68"/>
    <externalReference r:id="rId69"/>
    <externalReference r:id="rId70"/>
  </externalReferences>
  <definedNames>
    <definedName name="_ADJ1" localSheetId="33">'Template names'!#REF!</definedName>
    <definedName name="_ADJ1" localSheetId="34">'Template names'!#REF!</definedName>
    <definedName name="_ADJ1" localSheetId="35">'Template names'!#REF!</definedName>
    <definedName name="_ADJ1" localSheetId="59">'Template names'!#REF!</definedName>
    <definedName name="_ADJ1" localSheetId="60">'Template names'!#REF!</definedName>
    <definedName name="_ADJ1" localSheetId="64">'Template names'!#REF!</definedName>
    <definedName name="_ADJ1" localSheetId="29">'Template names'!#REF!</definedName>
    <definedName name="_ADJ1">'Template names'!#REF!</definedName>
    <definedName name="_ADJ10" localSheetId="33">'Template names'!#REF!</definedName>
    <definedName name="_ADJ10" localSheetId="34">'Template names'!#REF!</definedName>
    <definedName name="_ADJ10" localSheetId="35">'Template names'!#REF!</definedName>
    <definedName name="_ADJ10" localSheetId="59">'Template names'!#REF!</definedName>
    <definedName name="_ADJ10" localSheetId="60">'Template names'!#REF!</definedName>
    <definedName name="_ADJ10" localSheetId="64">'Template names'!#REF!</definedName>
    <definedName name="_ADJ10" localSheetId="29">'Template names'!#REF!</definedName>
    <definedName name="_ADJ10">'Template names'!#REF!</definedName>
    <definedName name="_ADJ11" localSheetId="33">'Template names'!#REF!</definedName>
    <definedName name="_ADJ11" localSheetId="34">'Template names'!#REF!</definedName>
    <definedName name="_ADJ11" localSheetId="35">'Template names'!#REF!</definedName>
    <definedName name="_ADJ11" localSheetId="59">'Template names'!#REF!</definedName>
    <definedName name="_ADJ11" localSheetId="60">'Template names'!#REF!</definedName>
    <definedName name="_ADJ11" localSheetId="64">'Template names'!#REF!</definedName>
    <definedName name="_ADJ11" localSheetId="29">'Template names'!#REF!</definedName>
    <definedName name="_ADJ11">'Template names'!#REF!</definedName>
    <definedName name="_ADJ12" localSheetId="33">'Template names'!#REF!</definedName>
    <definedName name="_ADJ12" localSheetId="34">'Template names'!#REF!</definedName>
    <definedName name="_ADJ12" localSheetId="35">'Template names'!#REF!</definedName>
    <definedName name="_ADJ12" localSheetId="59">'Template names'!#REF!</definedName>
    <definedName name="_ADJ12" localSheetId="60">'Template names'!#REF!</definedName>
    <definedName name="_ADJ12" localSheetId="64">'Template names'!#REF!</definedName>
    <definedName name="_ADJ12" localSheetId="29">'Template names'!#REF!</definedName>
    <definedName name="_ADJ12">'Template names'!#REF!</definedName>
    <definedName name="_ADJ13" localSheetId="33">'Template names'!#REF!</definedName>
    <definedName name="_ADJ13" localSheetId="34">'Template names'!#REF!</definedName>
    <definedName name="_ADJ13" localSheetId="35">'Template names'!#REF!</definedName>
    <definedName name="_ADJ13" localSheetId="59">'Template names'!#REF!</definedName>
    <definedName name="_ADJ13" localSheetId="60">'Template names'!#REF!</definedName>
    <definedName name="_ADJ13" localSheetId="64">'Template names'!#REF!</definedName>
    <definedName name="_ADJ13" localSheetId="29">'Template names'!#REF!</definedName>
    <definedName name="_ADJ13">'Template names'!#REF!</definedName>
    <definedName name="_ADJ14" localSheetId="33">'Template names'!#REF!</definedName>
    <definedName name="_ADJ14" localSheetId="34">'Template names'!#REF!</definedName>
    <definedName name="_ADJ14" localSheetId="35">'Template names'!#REF!</definedName>
    <definedName name="_ADJ14" localSheetId="59">'Template names'!#REF!</definedName>
    <definedName name="_ADJ14" localSheetId="60">'Template names'!#REF!</definedName>
    <definedName name="_ADJ14" localSheetId="64">'Template names'!#REF!</definedName>
    <definedName name="_ADJ14" localSheetId="29">'Template names'!#REF!</definedName>
    <definedName name="_ADJ14">'Template names'!#REF!</definedName>
    <definedName name="_ADJ16" localSheetId="33">'Template names'!#REF!</definedName>
    <definedName name="_ADJ16" localSheetId="34">'Template names'!#REF!</definedName>
    <definedName name="_ADJ16" localSheetId="35">'Template names'!#REF!</definedName>
    <definedName name="_ADJ16" localSheetId="59">'Template names'!#REF!</definedName>
    <definedName name="_ADJ16" localSheetId="60">'Template names'!#REF!</definedName>
    <definedName name="_ADJ16" localSheetId="64">'Template names'!#REF!</definedName>
    <definedName name="_ADJ16" localSheetId="29">'Template names'!#REF!</definedName>
    <definedName name="_ADJ16">'Template names'!#REF!</definedName>
    <definedName name="_ADJ17" localSheetId="33">'Template names'!#REF!</definedName>
    <definedName name="_ADJ17" localSheetId="34">'Template names'!#REF!</definedName>
    <definedName name="_ADJ17" localSheetId="35">'Template names'!#REF!</definedName>
    <definedName name="_ADJ17" localSheetId="59">'Template names'!#REF!</definedName>
    <definedName name="_ADJ17" localSheetId="60">'Template names'!#REF!</definedName>
    <definedName name="_ADJ17" localSheetId="64">'Template names'!#REF!</definedName>
    <definedName name="_ADJ17" localSheetId="29">'Template names'!#REF!</definedName>
    <definedName name="_ADJ17">'Template names'!#REF!</definedName>
    <definedName name="_ADJ18" localSheetId="33">'Template names'!#REF!</definedName>
    <definedName name="_ADJ18" localSheetId="34">'Template names'!#REF!</definedName>
    <definedName name="_ADJ18" localSheetId="35">'Template names'!#REF!</definedName>
    <definedName name="_ADJ18" localSheetId="59">'Template names'!#REF!</definedName>
    <definedName name="_ADJ18" localSheetId="60">'Template names'!#REF!</definedName>
    <definedName name="_ADJ18" localSheetId="64">'Template names'!#REF!</definedName>
    <definedName name="_ADJ18" localSheetId="29">'Template names'!#REF!</definedName>
    <definedName name="_ADJ18">'Template names'!#REF!</definedName>
    <definedName name="_ADJ19" localSheetId="33">'Template names'!#REF!</definedName>
    <definedName name="_ADJ19" localSheetId="34">'Template names'!#REF!</definedName>
    <definedName name="_ADJ19" localSheetId="35">'Template names'!#REF!</definedName>
    <definedName name="_ADJ19" localSheetId="59">'Template names'!#REF!</definedName>
    <definedName name="_ADJ19" localSheetId="60">'Template names'!#REF!</definedName>
    <definedName name="_ADJ19" localSheetId="64">'Template names'!#REF!</definedName>
    <definedName name="_ADJ19" localSheetId="29">'Template names'!#REF!</definedName>
    <definedName name="_ADJ19">'Template names'!#REF!</definedName>
    <definedName name="_ADJ2" localSheetId="33">'Template names'!#REF!</definedName>
    <definedName name="_ADJ2" localSheetId="34">'Template names'!#REF!</definedName>
    <definedName name="_ADJ2" localSheetId="35">'Template names'!#REF!</definedName>
    <definedName name="_ADJ2" localSheetId="59">'Template names'!#REF!</definedName>
    <definedName name="_ADJ2" localSheetId="60">'Template names'!#REF!</definedName>
    <definedName name="_ADJ2" localSheetId="64">'Template names'!#REF!</definedName>
    <definedName name="_ADJ2" localSheetId="29">'Template names'!#REF!</definedName>
    <definedName name="_ADJ2">'Template names'!#REF!</definedName>
    <definedName name="_ADJ3" localSheetId="33">'Template names'!#REF!</definedName>
    <definedName name="_ADJ3" localSheetId="34">'Template names'!#REF!</definedName>
    <definedName name="_ADJ3" localSheetId="35">'Template names'!#REF!</definedName>
    <definedName name="_ADJ3" localSheetId="59">'Template names'!#REF!</definedName>
    <definedName name="_ADJ3" localSheetId="60">'Template names'!#REF!</definedName>
    <definedName name="_ADJ3" localSheetId="64">'Template names'!#REF!</definedName>
    <definedName name="_ADJ3" localSheetId="29">'Template names'!#REF!</definedName>
    <definedName name="_ADJ3">'Template names'!#REF!</definedName>
    <definedName name="_ADJ4" localSheetId="33">'Template names'!#REF!</definedName>
    <definedName name="_ADJ4" localSheetId="34">'Template names'!#REF!</definedName>
    <definedName name="_ADJ4" localSheetId="35">'Template names'!#REF!</definedName>
    <definedName name="_ADJ4" localSheetId="59">'Template names'!#REF!</definedName>
    <definedName name="_ADJ4" localSheetId="60">'Template names'!#REF!</definedName>
    <definedName name="_ADJ4" localSheetId="64">'Template names'!#REF!</definedName>
    <definedName name="_ADJ4" localSheetId="29">'Template names'!#REF!</definedName>
    <definedName name="_ADJ4">'Template names'!#REF!</definedName>
    <definedName name="_ADJ5" localSheetId="33">'Template names'!#REF!</definedName>
    <definedName name="_ADJ5" localSheetId="34">'Template names'!#REF!</definedName>
    <definedName name="_ADJ5" localSheetId="35">'Template names'!#REF!</definedName>
    <definedName name="_ADJ5" localSheetId="59">'Template names'!#REF!</definedName>
    <definedName name="_ADJ5" localSheetId="60">'Template names'!#REF!</definedName>
    <definedName name="_ADJ5" localSheetId="64">'Template names'!#REF!</definedName>
    <definedName name="_ADJ5" localSheetId="29">'Template names'!#REF!</definedName>
    <definedName name="_ADJ5">'Template names'!#REF!</definedName>
    <definedName name="_ADJ6" localSheetId="33">'Template names'!#REF!</definedName>
    <definedName name="_ADJ6" localSheetId="34">'Template names'!#REF!</definedName>
    <definedName name="_ADJ6" localSheetId="35">'Template names'!#REF!</definedName>
    <definedName name="_ADJ6" localSheetId="59">'Template names'!#REF!</definedName>
    <definedName name="_ADJ6" localSheetId="60">'Template names'!#REF!</definedName>
    <definedName name="_ADJ6" localSheetId="64">'Template names'!#REF!</definedName>
    <definedName name="_ADJ6" localSheetId="29">'Template names'!#REF!</definedName>
    <definedName name="_ADJ6">'Template names'!#REF!</definedName>
    <definedName name="_ADJ7" localSheetId="33">'Template names'!#REF!</definedName>
    <definedName name="_ADJ7" localSheetId="34">'Template names'!#REF!</definedName>
    <definedName name="_ADJ7" localSheetId="35">'Template names'!#REF!</definedName>
    <definedName name="_ADJ7" localSheetId="59">'Template names'!#REF!</definedName>
    <definedName name="_ADJ7" localSheetId="60">'Template names'!#REF!</definedName>
    <definedName name="_ADJ7" localSheetId="64">'Template names'!#REF!</definedName>
    <definedName name="_ADJ7" localSheetId="29">'Template names'!#REF!</definedName>
    <definedName name="_ADJ7">'Template names'!#REF!</definedName>
    <definedName name="_ADJ8" localSheetId="33">'Template names'!#REF!</definedName>
    <definedName name="_ADJ8" localSheetId="34">'Template names'!#REF!</definedName>
    <definedName name="_ADJ8" localSheetId="35">'Template names'!#REF!</definedName>
    <definedName name="_ADJ8" localSheetId="59">'Template names'!#REF!</definedName>
    <definedName name="_ADJ8" localSheetId="60">'Template names'!#REF!</definedName>
    <definedName name="_ADJ8" localSheetId="64">'Template names'!#REF!</definedName>
    <definedName name="_ADJ8" localSheetId="29">'Template names'!#REF!</definedName>
    <definedName name="_ADJ8">'Template names'!#REF!</definedName>
    <definedName name="_ADJ9" localSheetId="33">'Template names'!#REF!</definedName>
    <definedName name="_ADJ9" localSheetId="34">'Template names'!#REF!</definedName>
    <definedName name="_ADJ9" localSheetId="35">'Template names'!#REF!</definedName>
    <definedName name="_ADJ9" localSheetId="59">'Template names'!#REF!</definedName>
    <definedName name="_ADJ9" localSheetId="60">'Template names'!#REF!</definedName>
    <definedName name="_ADJ9" localSheetId="64">'Template names'!#REF!</definedName>
    <definedName name="_ADJ9" localSheetId="29">'Template names'!#REF!</definedName>
    <definedName name="_ADJ9">'Template names'!#REF!</definedName>
    <definedName name="_ccf04" localSheetId="33">#REF!</definedName>
    <definedName name="_ccf04" localSheetId="34">#REF!</definedName>
    <definedName name="_ccf04" localSheetId="35">#REF!</definedName>
    <definedName name="_ccf04" localSheetId="59">#REF!</definedName>
    <definedName name="_ccf04" localSheetId="60">#REF!</definedName>
    <definedName name="_ccf04" localSheetId="64">#REF!</definedName>
    <definedName name="_ccf04" localSheetId="29">#REF!</definedName>
    <definedName name="_ccf04">#REF!</definedName>
    <definedName name="_ccf05" localSheetId="33">#REF!</definedName>
    <definedName name="_ccf05" localSheetId="34">#REF!</definedName>
    <definedName name="_ccf05" localSheetId="35">#REF!</definedName>
    <definedName name="_ccf05" localSheetId="59">#REF!</definedName>
    <definedName name="_ccf05" localSheetId="60">#REF!</definedName>
    <definedName name="_ccf05" localSheetId="64">#REF!</definedName>
    <definedName name="_ccf05" localSheetId="29">#REF!</definedName>
    <definedName name="_ccf05">#REF!</definedName>
    <definedName name="_ccf06">#REF!</definedName>
    <definedName name="_ccf07">#REF!</definedName>
    <definedName name="_ccf08">#REF!</definedName>
    <definedName name="_ccf09">#REF!</definedName>
    <definedName name="_ccf10">#REF!</definedName>
    <definedName name="_ccf11">#REF!</definedName>
    <definedName name="_ccf12">#REF!</definedName>
    <definedName name="_ccf13">#REF!</definedName>
    <definedName name="_DEP1">'Template names'!$B$71</definedName>
    <definedName name="_DEP10">'Template names'!$B$80</definedName>
    <definedName name="_DEP11">'Template names'!$B$81</definedName>
    <definedName name="_DEP12">'Template names'!$B$82</definedName>
    <definedName name="_DEP13">'Template names'!$B$83</definedName>
    <definedName name="_DEP14">'Template names'!$B$84</definedName>
    <definedName name="_DEP2">'Template names'!$B$72</definedName>
    <definedName name="_DEP3">'Template names'!$B$73</definedName>
    <definedName name="_DEP4">'Template names'!$B$74</definedName>
    <definedName name="_DEP5">'Template names'!$B$75</definedName>
    <definedName name="_DEP6">'Template names'!$B$76</definedName>
    <definedName name="_DEP7">'Template names'!$B$77</definedName>
    <definedName name="_DEP8">'Template names'!$B$78</definedName>
    <definedName name="_DEP9">'Template names'!$B$79</definedName>
    <definedName name="_ecf04" localSheetId="33">#REF!</definedName>
    <definedName name="_ecf04" localSheetId="34">#REF!</definedName>
    <definedName name="_ecf04" localSheetId="35">#REF!</definedName>
    <definedName name="_ecf04" localSheetId="59">#REF!</definedName>
    <definedName name="_ecf04" localSheetId="60">#REF!</definedName>
    <definedName name="_ecf04" localSheetId="64">#REF!</definedName>
    <definedName name="_ecf04" localSheetId="29">#REF!</definedName>
    <definedName name="_ecf04">#REF!</definedName>
    <definedName name="_ecf05" localSheetId="33">#REF!</definedName>
    <definedName name="_ecf05" localSheetId="34">#REF!</definedName>
    <definedName name="_ecf05" localSheetId="35">#REF!</definedName>
    <definedName name="_ecf05" localSheetId="59">#REF!</definedName>
    <definedName name="_ecf05" localSheetId="60">#REF!</definedName>
    <definedName name="_ecf05" localSheetId="64">#REF!</definedName>
    <definedName name="_ecf05" localSheetId="29">#REF!</definedName>
    <definedName name="_ecf05">#REF!</definedName>
    <definedName name="_ecf06">#REF!</definedName>
    <definedName name="_ecf07">#REF!</definedName>
    <definedName name="_ecf08">#REF!</definedName>
    <definedName name="_ecf09">#REF!</definedName>
    <definedName name="_ecf10">#REF!</definedName>
    <definedName name="_ecf11">#REF!</definedName>
    <definedName name="_ecf12">#REF!</definedName>
    <definedName name="_ecf13">#REF!</definedName>
    <definedName name="_emp04" localSheetId="33">#REF!</definedName>
    <definedName name="_emp04" localSheetId="34">#REF!</definedName>
    <definedName name="_emp04" localSheetId="35">#REF!</definedName>
    <definedName name="_emp04" localSheetId="59">#REF!</definedName>
    <definedName name="_emp04" localSheetId="60">#REF!</definedName>
    <definedName name="_emp04" localSheetId="64">#REF!</definedName>
    <definedName name="_emp04" localSheetId="29">#REF!</definedName>
    <definedName name="_emp04">#REF!</definedName>
    <definedName name="_emp05" localSheetId="33">#REF!</definedName>
    <definedName name="_emp05" localSheetId="34">#REF!</definedName>
    <definedName name="_emp05" localSheetId="35">#REF!</definedName>
    <definedName name="_emp05" localSheetId="59">#REF!</definedName>
    <definedName name="_emp05" localSheetId="60">#REF!</definedName>
    <definedName name="_emp05" localSheetId="64">#REF!</definedName>
    <definedName name="_emp05" localSheetId="29">#REF!</definedName>
    <definedName name="_emp05">#REF!</definedName>
    <definedName name="_emp06">#REF!</definedName>
    <definedName name="_emp07">#REF!</definedName>
    <definedName name="_emp08">#REF!</definedName>
    <definedName name="_emp09">#REF!</definedName>
    <definedName name="_emp10">#REF!</definedName>
    <definedName name="_emp11">#REF!</definedName>
    <definedName name="_emp12">#REF!</definedName>
    <definedName name="_emp13">#REF!</definedName>
    <definedName name="_emp14">#REF!</definedName>
    <definedName name="_emp15">#REF!</definedName>
    <definedName name="_emp16">#REF!</definedName>
    <definedName name="_emp17">#REF!</definedName>
    <definedName name="_emp18">#REF!</definedName>
    <definedName name="_emp19">#REF!</definedName>
    <definedName name="_emp20">#REF!</definedName>
    <definedName name="_emp21">#REF!</definedName>
    <definedName name="_Ent1">'Template names'!$B$96</definedName>
    <definedName name="_Ent2">'Template names'!$B$97</definedName>
    <definedName name="_Ent3">'Template names'!$B$98</definedName>
    <definedName name="_xlnm._FilterDatabase" localSheetId="6" hidden="1">'Org structure'!$A$1:$D$166</definedName>
    <definedName name="_inf1" localSheetId="33">#REF!</definedName>
    <definedName name="_inf1" localSheetId="34">#REF!</definedName>
    <definedName name="_inf1" localSheetId="35">#REF!</definedName>
    <definedName name="_inf1" localSheetId="59">#REF!</definedName>
    <definedName name="_inf1" localSheetId="60">#REF!</definedName>
    <definedName name="_inf1" localSheetId="64">#REF!</definedName>
    <definedName name="_inf1" localSheetId="29">#REF!</definedName>
    <definedName name="_inf1">#REF!</definedName>
    <definedName name="_inf2" localSheetId="33">#REF!</definedName>
    <definedName name="_inf2" localSheetId="34">#REF!</definedName>
    <definedName name="_inf2" localSheetId="35">#REF!</definedName>
    <definedName name="_inf2" localSheetId="59">#REF!</definedName>
    <definedName name="_inf2" localSheetId="60">#REF!</definedName>
    <definedName name="_inf2" localSheetId="64">#REF!</definedName>
    <definedName name="_inf2" localSheetId="29">#REF!</definedName>
    <definedName name="_inf2">#REF!</definedName>
    <definedName name="_inf3" localSheetId="33">#REF!</definedName>
    <definedName name="_inf3" localSheetId="34">#REF!</definedName>
    <definedName name="_inf3" localSheetId="35">#REF!</definedName>
    <definedName name="_inf3" localSheetId="59">#REF!</definedName>
    <definedName name="_inf3" localSheetId="60">#REF!</definedName>
    <definedName name="_inf3" localSheetId="64">#REF!</definedName>
    <definedName name="_inf3" localSheetId="29">#REF!</definedName>
    <definedName name="_inf3">#REF!</definedName>
    <definedName name="_int04" localSheetId="33">#REF!</definedName>
    <definedName name="_int04" localSheetId="34">#REF!</definedName>
    <definedName name="_int04" localSheetId="35">#REF!</definedName>
    <definedName name="_int04" localSheetId="59">#REF!</definedName>
    <definedName name="_int04" localSheetId="60">#REF!</definedName>
    <definedName name="_int04" localSheetId="64">#REF!</definedName>
    <definedName name="_int04" localSheetId="29">#REF!</definedName>
    <definedName name="_int04">#REF!</definedName>
    <definedName name="_int05" localSheetId="33">#REF!</definedName>
    <definedName name="_int05" localSheetId="34">#REF!</definedName>
    <definedName name="_int05" localSheetId="35">#REF!</definedName>
    <definedName name="_int05" localSheetId="59">#REF!</definedName>
    <definedName name="_int05" localSheetId="60">#REF!</definedName>
    <definedName name="_int05" localSheetId="64">#REF!</definedName>
    <definedName name="_int05" localSheetId="29">#REF!</definedName>
    <definedName name="_int05">#REF!</definedName>
    <definedName name="_int06">#REF!</definedName>
    <definedName name="_int07">#REF!</definedName>
    <definedName name="_int08">#REF!</definedName>
    <definedName name="_int09">#REF!</definedName>
    <definedName name="_int10">#REF!</definedName>
    <definedName name="_int11">#REF!</definedName>
    <definedName name="_int12">#REF!</definedName>
    <definedName name="_int13">#REF!</definedName>
    <definedName name="_int14">#REF!</definedName>
    <definedName name="_int15">#REF!</definedName>
    <definedName name="_int16">#REF!</definedName>
    <definedName name="_int17">#REF!</definedName>
    <definedName name="_int18">#REF!</definedName>
    <definedName name="_int19">#REF!</definedName>
    <definedName name="_int20">#REF!</definedName>
    <definedName name="_inv04" localSheetId="33">#REF!</definedName>
    <definedName name="_inv04" localSheetId="34">#REF!</definedName>
    <definedName name="_inv04" localSheetId="35">#REF!</definedName>
    <definedName name="_inv04" localSheetId="59">#REF!</definedName>
    <definedName name="_inv04" localSheetId="60">#REF!</definedName>
    <definedName name="_inv04" localSheetId="64">#REF!</definedName>
    <definedName name="_inv04" localSheetId="29">#REF!</definedName>
    <definedName name="_inv04">#REF!</definedName>
    <definedName name="_inv05" localSheetId="33">#REF!</definedName>
    <definedName name="_inv05" localSheetId="34">#REF!</definedName>
    <definedName name="_inv05" localSheetId="35">#REF!</definedName>
    <definedName name="_inv05" localSheetId="59">#REF!</definedName>
    <definedName name="_inv05" localSheetId="60">#REF!</definedName>
    <definedName name="_inv05" localSheetId="64">#REF!</definedName>
    <definedName name="_inv05" localSheetId="29">#REF!</definedName>
    <definedName name="_inv05">#REF!</definedName>
    <definedName name="_inv06">#REF!</definedName>
    <definedName name="_inv07">#REF!</definedName>
    <definedName name="_inv08">#REF!</definedName>
    <definedName name="_inv09">#REF!</definedName>
    <definedName name="_inv10">#REF!</definedName>
    <definedName name="_inv11">#REF!</definedName>
    <definedName name="_inv12">#REF!</definedName>
    <definedName name="_inv13">#REF!</definedName>
    <definedName name="_MEB1" localSheetId="33">'Template names'!#REF!</definedName>
    <definedName name="_MEB1" localSheetId="34">'Template names'!#REF!</definedName>
    <definedName name="_MEB1" localSheetId="35">'Template names'!#REF!</definedName>
    <definedName name="_MEB1" localSheetId="59">'Template names'!#REF!</definedName>
    <definedName name="_MEB1" localSheetId="60">'Template names'!#REF!</definedName>
    <definedName name="_MEB1" localSheetId="64">'Template names'!#REF!</definedName>
    <definedName name="_MEB1" localSheetId="29">'Template names'!#REF!</definedName>
    <definedName name="_MEB1">'Template names'!#REF!</definedName>
    <definedName name="_MEB10" localSheetId="33">'Template names'!#REF!</definedName>
    <definedName name="_MEB10" localSheetId="34">'Template names'!#REF!</definedName>
    <definedName name="_MEB10" localSheetId="35">'Template names'!#REF!</definedName>
    <definedName name="_MEB10" localSheetId="59">'Template names'!#REF!</definedName>
    <definedName name="_MEB10" localSheetId="60">'Template names'!#REF!</definedName>
    <definedName name="_MEB10" localSheetId="64">'Template names'!#REF!</definedName>
    <definedName name="_MEB10" localSheetId="29">'Template names'!#REF!</definedName>
    <definedName name="_MEB10">'Template names'!#REF!</definedName>
    <definedName name="_MEB11" localSheetId="33">'Template names'!#REF!</definedName>
    <definedName name="_MEB11" localSheetId="34">'Template names'!#REF!</definedName>
    <definedName name="_MEB11" localSheetId="35">'Template names'!#REF!</definedName>
    <definedName name="_MEB11" localSheetId="59">'Template names'!#REF!</definedName>
    <definedName name="_MEB11" localSheetId="60">'Template names'!#REF!</definedName>
    <definedName name="_MEB11" localSheetId="64">'Template names'!#REF!</definedName>
    <definedName name="_MEB11" localSheetId="29">'Template names'!#REF!</definedName>
    <definedName name="_MEB11">'Template names'!#REF!</definedName>
    <definedName name="_MEB12" localSheetId="33">'Template names'!#REF!</definedName>
    <definedName name="_MEB12" localSheetId="34">'Template names'!#REF!</definedName>
    <definedName name="_MEB12" localSheetId="35">'Template names'!#REF!</definedName>
    <definedName name="_MEB12" localSheetId="59">'Template names'!#REF!</definedName>
    <definedName name="_MEB12" localSheetId="60">'Template names'!#REF!</definedName>
    <definedName name="_MEB12" localSheetId="64">'Template names'!#REF!</definedName>
    <definedName name="_MEB12" localSheetId="29">'Template names'!#REF!</definedName>
    <definedName name="_MEB12">'Template names'!#REF!</definedName>
    <definedName name="_MEB2" localSheetId="33">'Template names'!#REF!</definedName>
    <definedName name="_MEB2" localSheetId="34">'Template names'!#REF!</definedName>
    <definedName name="_MEB2" localSheetId="35">'Template names'!#REF!</definedName>
    <definedName name="_MEB2" localSheetId="59">'Template names'!#REF!</definedName>
    <definedName name="_MEB2" localSheetId="60">'Template names'!#REF!</definedName>
    <definedName name="_MEB2" localSheetId="64">'Template names'!#REF!</definedName>
    <definedName name="_MEB2" localSheetId="29">'Template names'!#REF!</definedName>
    <definedName name="_MEB2">'Template names'!#REF!</definedName>
    <definedName name="_MEB3" localSheetId="33">'Template names'!#REF!</definedName>
    <definedName name="_MEB3" localSheetId="34">'Template names'!#REF!</definedName>
    <definedName name="_MEB3" localSheetId="35">'Template names'!#REF!</definedName>
    <definedName name="_MEB3" localSheetId="59">'Template names'!#REF!</definedName>
    <definedName name="_MEB3" localSheetId="60">'Template names'!#REF!</definedName>
    <definedName name="_MEB3" localSheetId="64">'Template names'!#REF!</definedName>
    <definedName name="_MEB3" localSheetId="29">'Template names'!#REF!</definedName>
    <definedName name="_MEB3">'Template names'!#REF!</definedName>
    <definedName name="_MEB4" localSheetId="33">'Template names'!#REF!</definedName>
    <definedName name="_MEB4" localSheetId="34">'Template names'!#REF!</definedName>
    <definedName name="_MEB4" localSheetId="35">'Template names'!#REF!</definedName>
    <definedName name="_MEB4" localSheetId="59">'Template names'!#REF!</definedName>
    <definedName name="_MEB4" localSheetId="60">'Template names'!#REF!</definedName>
    <definedName name="_MEB4" localSheetId="64">'Template names'!#REF!</definedName>
    <definedName name="_MEB4" localSheetId="29">'Template names'!#REF!</definedName>
    <definedName name="_MEB4">'Template names'!#REF!</definedName>
    <definedName name="_MEB5" localSheetId="33">'Template names'!#REF!</definedName>
    <definedName name="_MEB5" localSheetId="34">'Template names'!#REF!</definedName>
    <definedName name="_MEB5" localSheetId="35">'Template names'!#REF!</definedName>
    <definedName name="_MEB5" localSheetId="59">'Template names'!#REF!</definedName>
    <definedName name="_MEB5" localSheetId="60">'Template names'!#REF!</definedName>
    <definedName name="_MEB5" localSheetId="64">'Template names'!#REF!</definedName>
    <definedName name="_MEB5" localSheetId="29">'Template names'!#REF!</definedName>
    <definedName name="_MEB5">'Template names'!#REF!</definedName>
    <definedName name="_MEB6" localSheetId="33">'Template names'!#REF!</definedName>
    <definedName name="_MEB6" localSheetId="34">'Template names'!#REF!</definedName>
    <definedName name="_MEB6" localSheetId="35">'Template names'!#REF!</definedName>
    <definedName name="_MEB6" localSheetId="59">'Template names'!#REF!</definedName>
    <definedName name="_MEB6" localSheetId="60">'Template names'!#REF!</definedName>
    <definedName name="_MEB6" localSheetId="64">'Template names'!#REF!</definedName>
    <definedName name="_MEB6" localSheetId="29">'Template names'!#REF!</definedName>
    <definedName name="_MEB6">'Template names'!#REF!</definedName>
    <definedName name="_MEB7" localSheetId="33">'Template names'!#REF!</definedName>
    <definedName name="_MEB7" localSheetId="34">'Template names'!#REF!</definedName>
    <definedName name="_MEB7" localSheetId="35">'Template names'!#REF!</definedName>
    <definedName name="_MEB7" localSheetId="59">'Template names'!#REF!</definedName>
    <definedName name="_MEB7" localSheetId="60">'Template names'!#REF!</definedName>
    <definedName name="_MEB7" localSheetId="64">'Template names'!#REF!</definedName>
    <definedName name="_MEB7" localSheetId="29">'Template names'!#REF!</definedName>
    <definedName name="_MEB7">'Template names'!#REF!</definedName>
    <definedName name="_MEB8" localSheetId="33">'Template names'!#REF!</definedName>
    <definedName name="_MEB8" localSheetId="34">'Template names'!#REF!</definedName>
    <definedName name="_MEB8" localSheetId="35">'Template names'!#REF!</definedName>
    <definedName name="_MEB8" localSheetId="59">'Template names'!#REF!</definedName>
    <definedName name="_MEB8" localSheetId="60">'Template names'!#REF!</definedName>
    <definedName name="_MEB8" localSheetId="64">'Template names'!#REF!</definedName>
    <definedName name="_MEB8" localSheetId="29">'Template names'!#REF!</definedName>
    <definedName name="_MEB8">'Template names'!#REF!</definedName>
    <definedName name="_MEB9" localSheetId="33">'Template names'!#REF!</definedName>
    <definedName name="_MEB9" localSheetId="34">'Template names'!#REF!</definedName>
    <definedName name="_MEB9" localSheetId="35">'Template names'!#REF!</definedName>
    <definedName name="_MEB9" localSheetId="59">'Template names'!#REF!</definedName>
    <definedName name="_MEB9" localSheetId="60">'Template names'!#REF!</definedName>
    <definedName name="_MEB9" localSheetId="64">'Template names'!#REF!</definedName>
    <definedName name="_MEB9" localSheetId="29">'Template names'!#REF!</definedName>
    <definedName name="_MEB9">'Template names'!#REF!</definedName>
    <definedName name="_MER1" localSheetId="33">'Template names'!#REF!</definedName>
    <definedName name="_MER1" localSheetId="34">'Template names'!#REF!</definedName>
    <definedName name="_MER1" localSheetId="35">'Template names'!#REF!</definedName>
    <definedName name="_MER1" localSheetId="59">'Template names'!#REF!</definedName>
    <definedName name="_MER1" localSheetId="60">'Template names'!#REF!</definedName>
    <definedName name="_MER1" localSheetId="64">'Template names'!#REF!</definedName>
    <definedName name="_MER1" localSheetId="29">'Template names'!#REF!</definedName>
    <definedName name="_MER1">'Template names'!#REF!</definedName>
    <definedName name="_MER10" localSheetId="33">'Template names'!#REF!</definedName>
    <definedName name="_MER10" localSheetId="34">'Template names'!#REF!</definedName>
    <definedName name="_MER10" localSheetId="35">'Template names'!#REF!</definedName>
    <definedName name="_MER10" localSheetId="59">'Template names'!#REF!</definedName>
    <definedName name="_MER10" localSheetId="60">'Template names'!#REF!</definedName>
    <definedName name="_MER10" localSheetId="64">'Template names'!#REF!</definedName>
    <definedName name="_MER10" localSheetId="29">'Template names'!#REF!</definedName>
    <definedName name="_MER10">'Template names'!#REF!</definedName>
    <definedName name="_MER11" localSheetId="33">'Template names'!#REF!</definedName>
    <definedName name="_MER11" localSheetId="34">'Template names'!#REF!</definedName>
    <definedName name="_MER11" localSheetId="35">'Template names'!#REF!</definedName>
    <definedName name="_MER11" localSheetId="59">'Template names'!#REF!</definedName>
    <definedName name="_MER11" localSheetId="60">'Template names'!#REF!</definedName>
    <definedName name="_MER11" localSheetId="64">'Template names'!#REF!</definedName>
    <definedName name="_MER11" localSheetId="29">'Template names'!#REF!</definedName>
    <definedName name="_MER11">'Template names'!#REF!</definedName>
    <definedName name="_MER2" localSheetId="33">'Template names'!#REF!</definedName>
    <definedName name="_MER2" localSheetId="34">'Template names'!#REF!</definedName>
    <definedName name="_MER2" localSheetId="35">'Template names'!#REF!</definedName>
    <definedName name="_MER2" localSheetId="59">'Template names'!#REF!</definedName>
    <definedName name="_MER2" localSheetId="60">'Template names'!#REF!</definedName>
    <definedName name="_MER2" localSheetId="64">'Template names'!#REF!</definedName>
    <definedName name="_MER2" localSheetId="29">'Template names'!#REF!</definedName>
    <definedName name="_MER2">'Template names'!#REF!</definedName>
    <definedName name="_MER3" localSheetId="33">'Template names'!#REF!</definedName>
    <definedName name="_MER3" localSheetId="34">'Template names'!#REF!</definedName>
    <definedName name="_MER3" localSheetId="35">'Template names'!#REF!</definedName>
    <definedName name="_MER3" localSheetId="59">'Template names'!#REF!</definedName>
    <definedName name="_MER3" localSheetId="60">'Template names'!#REF!</definedName>
    <definedName name="_MER3" localSheetId="64">'Template names'!#REF!</definedName>
    <definedName name="_MER3" localSheetId="29">'Template names'!#REF!</definedName>
    <definedName name="_MER3">'Template names'!#REF!</definedName>
    <definedName name="_MER4" localSheetId="33">'Template names'!#REF!</definedName>
    <definedName name="_MER4" localSheetId="34">'Template names'!#REF!</definedName>
    <definedName name="_MER4" localSheetId="35">'Template names'!#REF!</definedName>
    <definedName name="_MER4" localSheetId="59">'Template names'!#REF!</definedName>
    <definedName name="_MER4" localSheetId="60">'Template names'!#REF!</definedName>
    <definedName name="_MER4" localSheetId="64">'Template names'!#REF!</definedName>
    <definedName name="_MER4" localSheetId="29">'Template names'!#REF!</definedName>
    <definedName name="_MER4">'Template names'!#REF!</definedName>
    <definedName name="_MER5" localSheetId="33">'Template names'!#REF!</definedName>
    <definedName name="_MER5" localSheetId="34">'Template names'!#REF!</definedName>
    <definedName name="_MER5" localSheetId="35">'Template names'!#REF!</definedName>
    <definedName name="_MER5" localSheetId="59">'Template names'!#REF!</definedName>
    <definedName name="_MER5" localSheetId="60">'Template names'!#REF!</definedName>
    <definedName name="_MER5" localSheetId="64">'Template names'!#REF!</definedName>
    <definedName name="_MER5" localSheetId="29">'Template names'!#REF!</definedName>
    <definedName name="_MER5">'Template names'!#REF!</definedName>
    <definedName name="_MER6" localSheetId="33">'Template names'!#REF!</definedName>
    <definedName name="_MER6" localSheetId="34">'Template names'!#REF!</definedName>
    <definedName name="_MER6" localSheetId="35">'Template names'!#REF!</definedName>
    <definedName name="_MER6" localSheetId="59">'Template names'!#REF!</definedName>
    <definedName name="_MER6" localSheetId="60">'Template names'!#REF!</definedName>
    <definedName name="_MER6" localSheetId="64">'Template names'!#REF!</definedName>
    <definedName name="_MER6" localSheetId="29">'Template names'!#REF!</definedName>
    <definedName name="_MER6">'Template names'!#REF!</definedName>
    <definedName name="_MER7" localSheetId="33">'Template names'!#REF!</definedName>
    <definedName name="_MER7" localSheetId="34">'Template names'!#REF!</definedName>
    <definedName name="_MER7" localSheetId="35">'Template names'!#REF!</definedName>
    <definedName name="_MER7" localSheetId="59">'Template names'!#REF!</definedName>
    <definedName name="_MER7" localSheetId="60">'Template names'!#REF!</definedName>
    <definedName name="_MER7" localSheetId="64">'Template names'!#REF!</definedName>
    <definedName name="_MER7" localSheetId="29">'Template names'!#REF!</definedName>
    <definedName name="_MER7">'Template names'!#REF!</definedName>
    <definedName name="_MER8" localSheetId="33">'Template names'!#REF!</definedName>
    <definedName name="_MER8" localSheetId="34">'Template names'!#REF!</definedName>
    <definedName name="_MER8" localSheetId="35">'Template names'!#REF!</definedName>
    <definedName name="_MER8" localSheetId="59">'Template names'!#REF!</definedName>
    <definedName name="_MER8" localSheetId="60">'Template names'!#REF!</definedName>
    <definedName name="_MER8" localSheetId="64">'Template names'!#REF!</definedName>
    <definedName name="_MER8" localSheetId="29">'Template names'!#REF!</definedName>
    <definedName name="_MER8">'Template names'!#REF!</definedName>
    <definedName name="_MER9" localSheetId="33">'Template names'!#REF!</definedName>
    <definedName name="_MER9" localSheetId="34">'Template names'!#REF!</definedName>
    <definedName name="_MER9" localSheetId="35">'Template names'!#REF!</definedName>
    <definedName name="_MER9" localSheetId="59">'Template names'!#REF!</definedName>
    <definedName name="_MER9" localSheetId="60">'Template names'!#REF!</definedName>
    <definedName name="_MER9" localSheetId="64">'Template names'!#REF!</definedName>
    <definedName name="_MER9" localSheetId="29">'Template names'!#REF!</definedName>
    <definedName name="_MER9">'Template names'!#REF!</definedName>
    <definedName name="_rat03" localSheetId="33">#REF!</definedName>
    <definedName name="_rat03" localSheetId="34">#REF!</definedName>
    <definedName name="_rat03" localSheetId="35">#REF!</definedName>
    <definedName name="_rat03" localSheetId="59">#REF!</definedName>
    <definedName name="_rat03" localSheetId="60">#REF!</definedName>
    <definedName name="_rat03" localSheetId="64">#REF!</definedName>
    <definedName name="_rat03" localSheetId="29">#REF!</definedName>
    <definedName name="_rat03">#REF!</definedName>
    <definedName name="_rat04" localSheetId="33">#REF!</definedName>
    <definedName name="_rat04" localSheetId="34">#REF!</definedName>
    <definedName name="_rat04" localSheetId="35">#REF!</definedName>
    <definedName name="_rat04" localSheetId="59">#REF!</definedName>
    <definedName name="_rat04" localSheetId="60">#REF!</definedName>
    <definedName name="_rat04" localSheetId="64">#REF!</definedName>
    <definedName name="_rat04" localSheetId="29">#REF!</definedName>
    <definedName name="_rat04">#REF!</definedName>
    <definedName name="_rat05" localSheetId="33">#REF!</definedName>
    <definedName name="_rat05" localSheetId="34">#REF!</definedName>
    <definedName name="_rat05" localSheetId="35">#REF!</definedName>
    <definedName name="_rat05" localSheetId="59">#REF!</definedName>
    <definedName name="_rat05" localSheetId="60">#REF!</definedName>
    <definedName name="_rat05" localSheetId="64">#REF!</definedName>
    <definedName name="_rat05" localSheetId="29">#REF!</definedName>
    <definedName name="_rat05">#REF!</definedName>
    <definedName name="_rat06" localSheetId="33">#REF!</definedName>
    <definedName name="_rat06" localSheetId="34">#REF!</definedName>
    <definedName name="_rat06" localSheetId="35">#REF!</definedName>
    <definedName name="_rat06" localSheetId="59">#REF!</definedName>
    <definedName name="_rat06" localSheetId="60">#REF!</definedName>
    <definedName name="_rat06" localSheetId="64">#REF!</definedName>
    <definedName name="_rat06" localSheetId="29">#REF!</definedName>
    <definedName name="_rat06">#REF!</definedName>
    <definedName name="_rat07" localSheetId="33">#REF!</definedName>
    <definedName name="_rat07" localSheetId="34">#REF!</definedName>
    <definedName name="_rat07" localSheetId="35">#REF!</definedName>
    <definedName name="_rat07" localSheetId="59">#REF!</definedName>
    <definedName name="_rat07" localSheetId="60">#REF!</definedName>
    <definedName name="_rat07" localSheetId="64">#REF!</definedName>
    <definedName name="_rat07" localSheetId="29">#REF!</definedName>
    <definedName name="_rat07">#REF!</definedName>
    <definedName name="_rat08" localSheetId="33">#REF!</definedName>
    <definedName name="_rat08" localSheetId="34">#REF!</definedName>
    <definedName name="_rat08" localSheetId="35">#REF!</definedName>
    <definedName name="_rat08" localSheetId="59">#REF!</definedName>
    <definedName name="_rat08" localSheetId="60">#REF!</definedName>
    <definedName name="_rat08" localSheetId="64">#REF!</definedName>
    <definedName name="_rat08" localSheetId="29">#REF!</definedName>
    <definedName name="_rat08">#REF!</definedName>
    <definedName name="_rat09" localSheetId="33">#REF!</definedName>
    <definedName name="_rat09" localSheetId="34">#REF!</definedName>
    <definedName name="_rat09" localSheetId="35">#REF!</definedName>
    <definedName name="_rat09" localSheetId="59">#REF!</definedName>
    <definedName name="_rat09" localSheetId="60">#REF!</definedName>
    <definedName name="_rat09" localSheetId="64">#REF!</definedName>
    <definedName name="_rat09" localSheetId="29">#REF!</definedName>
    <definedName name="_rat09">#REF!</definedName>
    <definedName name="_rat10" localSheetId="33">#REF!</definedName>
    <definedName name="_rat10" localSheetId="34">#REF!</definedName>
    <definedName name="_rat10" localSheetId="35">#REF!</definedName>
    <definedName name="_rat10" localSheetId="59">#REF!</definedName>
    <definedName name="_rat10" localSheetId="60">#REF!</definedName>
    <definedName name="_rat10" localSheetId="64">#REF!</definedName>
    <definedName name="_rat10" localSheetId="29">#REF!</definedName>
    <definedName name="_rat10">#REF!</definedName>
    <definedName name="_rat11" localSheetId="33">#REF!</definedName>
    <definedName name="_rat11" localSheetId="34">#REF!</definedName>
    <definedName name="_rat11" localSheetId="35">#REF!</definedName>
    <definedName name="_rat11" localSheetId="59">#REF!</definedName>
    <definedName name="_rat11" localSheetId="60">#REF!</definedName>
    <definedName name="_rat11" localSheetId="64">#REF!</definedName>
    <definedName name="_rat11" localSheetId="29">#REF!</definedName>
    <definedName name="_rat11">#REF!</definedName>
    <definedName name="_rat12" localSheetId="33">#REF!</definedName>
    <definedName name="_rat12" localSheetId="34">#REF!</definedName>
    <definedName name="_rat12" localSheetId="35">#REF!</definedName>
    <definedName name="_rat12" localSheetId="59">#REF!</definedName>
    <definedName name="_rat12" localSheetId="60">#REF!</definedName>
    <definedName name="_rat12" localSheetId="64">#REF!</definedName>
    <definedName name="_rat12" localSheetId="29">#REF!</definedName>
    <definedName name="_rat12">#REF!</definedName>
    <definedName name="_rat13" localSheetId="33">#REF!</definedName>
    <definedName name="_rat13" localSheetId="34">#REF!</definedName>
    <definedName name="_rat13" localSheetId="35">#REF!</definedName>
    <definedName name="_rat13" localSheetId="59">#REF!</definedName>
    <definedName name="_rat13" localSheetId="60">#REF!</definedName>
    <definedName name="_rat13" localSheetId="64">#REF!</definedName>
    <definedName name="_rat13" localSheetId="29">#REF!</definedName>
    <definedName name="_rat13">#REF!</definedName>
    <definedName name="_rgr05" localSheetId="33">#REF!</definedName>
    <definedName name="_rgr05" localSheetId="34">#REF!</definedName>
    <definedName name="_rgr05" localSheetId="35">#REF!</definedName>
    <definedName name="_rgr05" localSheetId="59">#REF!</definedName>
    <definedName name="_rgr05" localSheetId="60">#REF!</definedName>
    <definedName name="_rgr05" localSheetId="64">#REF!</definedName>
    <definedName name="_rgr05" localSheetId="29">#REF!</definedName>
    <definedName name="_rgr05">#REF!</definedName>
    <definedName name="_rgr06">#REF!</definedName>
    <definedName name="_rgr07">#REF!</definedName>
    <definedName name="_rgr08">#REF!</definedName>
    <definedName name="_rgr09">#REF!</definedName>
    <definedName name="_rgr10">#REF!</definedName>
    <definedName name="_rgr11">#REF!</definedName>
    <definedName name="_rgr12">#REF!</definedName>
    <definedName name="_rgr13">#REF!</definedName>
    <definedName name="_rgr14">#REF!</definedName>
    <definedName name="_rgr15">#REF!</definedName>
    <definedName name="_rgr16">#REF!</definedName>
    <definedName name="_rgr17">#REF!</definedName>
    <definedName name="_rgr18">#REF!</definedName>
    <definedName name="_rgr19">#REF!</definedName>
    <definedName name="_rgr20">#REF!</definedName>
    <definedName name="_rmc05" localSheetId="33">#REF!</definedName>
    <definedName name="_rmc05" localSheetId="34">#REF!</definedName>
    <definedName name="_rmc05" localSheetId="35">#REF!</definedName>
    <definedName name="_rmc05" localSheetId="59">#REF!</definedName>
    <definedName name="_rmc05" localSheetId="60">#REF!</definedName>
    <definedName name="_rmc05" localSheetId="64">#REF!</definedName>
    <definedName name="_rmc05" localSheetId="29">#REF!</definedName>
    <definedName name="_rmc05">#REF!</definedName>
    <definedName name="_rmc06">#REF!</definedName>
    <definedName name="_rmc07">#REF!</definedName>
    <definedName name="_rmc08">#REF!</definedName>
    <definedName name="_rmc09">#REF!</definedName>
    <definedName name="_rmc10">#REF!</definedName>
    <definedName name="_rmc11">#REF!</definedName>
    <definedName name="_rmc12">#REF!</definedName>
    <definedName name="_rmc13">#REF!</definedName>
    <definedName name="_rmc14">#REF!</definedName>
    <definedName name="_rmc15">#REF!</definedName>
    <definedName name="_rmc16">#REF!</definedName>
    <definedName name="_rmc17">#REF!</definedName>
    <definedName name="_rmc18">#REF!</definedName>
    <definedName name="_rmc19">#REF!</definedName>
    <definedName name="_rmc20">#REF!</definedName>
    <definedName name="_rmc21">#REF!</definedName>
    <definedName name="_sdc05" localSheetId="33">#REF!</definedName>
    <definedName name="_sdc05" localSheetId="34">#REF!</definedName>
    <definedName name="_sdc05" localSheetId="35">#REF!</definedName>
    <definedName name="_sdc05" localSheetId="59">#REF!</definedName>
    <definedName name="_sdc05" localSheetId="60">#REF!</definedName>
    <definedName name="_sdc05" localSheetId="64">#REF!</definedName>
    <definedName name="_sdc05" localSheetId="29">#REF!</definedName>
    <definedName name="_sdc05">#REF!</definedName>
    <definedName name="_sdc06">#REF!</definedName>
    <definedName name="_sdc07">#REF!</definedName>
    <definedName name="_sdc08">#REF!</definedName>
    <definedName name="_sdc09">#REF!</definedName>
    <definedName name="_sdc10">#REF!</definedName>
    <definedName name="_sdc11">#REF!</definedName>
    <definedName name="_sdc12">#REF!</definedName>
    <definedName name="_sdc13">#REF!</definedName>
    <definedName name="_sdc14">#REF!</definedName>
    <definedName name="_sdc15">#REF!</definedName>
    <definedName name="_sdc16">#REF!</definedName>
    <definedName name="_sdc17">#REF!</definedName>
    <definedName name="_sdc18">#REF!</definedName>
    <definedName name="_sdc19">#REF!</definedName>
    <definedName name="_sdc20">#REF!</definedName>
    <definedName name="_wc05" localSheetId="33">#REF!</definedName>
    <definedName name="_wc05" localSheetId="34">#REF!</definedName>
    <definedName name="_wc05" localSheetId="35">#REF!</definedName>
    <definedName name="_wc05" localSheetId="59">#REF!</definedName>
    <definedName name="_wc05" localSheetId="60">#REF!</definedName>
    <definedName name="_wc05" localSheetId="64">#REF!</definedName>
    <definedName name="_wc05" localSheetId="29">#REF!</definedName>
    <definedName name="_wc05">#REF!</definedName>
    <definedName name="_wc06">#REF!</definedName>
    <definedName name="_wc07">#REF!</definedName>
    <definedName name="_wc08">#REF!</definedName>
    <definedName name="_wc09">#REF!</definedName>
    <definedName name="_wc10">#REF!</definedName>
    <definedName name="_wc11">#REF!</definedName>
    <definedName name="_wc12">#REF!</definedName>
    <definedName name="_wc13">#REF!</definedName>
    <definedName name="_wc14">#REF!</definedName>
    <definedName name="_wc15">#REF!</definedName>
    <definedName name="_wc16">#REF!</definedName>
    <definedName name="_wc17">#REF!</definedName>
    <definedName name="_wc18">#REF!</definedName>
    <definedName name="_wc19">#REF!</definedName>
    <definedName name="_wc20">#REF!</definedName>
    <definedName name="ADJ10plus" localSheetId="33">'Template names'!#REF!</definedName>
    <definedName name="ADJ10plus" localSheetId="34">'Template names'!#REF!</definedName>
    <definedName name="ADJ10plus" localSheetId="35">'Template names'!#REF!</definedName>
    <definedName name="ADJ10plus" localSheetId="59">'Template names'!#REF!</definedName>
    <definedName name="ADJ10plus" localSheetId="60">'Template names'!#REF!</definedName>
    <definedName name="ADJ10plus" localSheetId="64">'Template names'!#REF!</definedName>
    <definedName name="ADJ10plus" localSheetId="29">'Template names'!#REF!</definedName>
    <definedName name="ADJ10plus">'Template names'!#REF!</definedName>
    <definedName name="ADJ18A" localSheetId="33">'Template names'!#REF!</definedName>
    <definedName name="ADJ18A" localSheetId="34">'Template names'!#REF!</definedName>
    <definedName name="ADJ18A" localSheetId="35">'Template names'!#REF!</definedName>
    <definedName name="ADJ18A" localSheetId="59">'Template names'!#REF!</definedName>
    <definedName name="ADJ18A" localSheetId="60">'Template names'!#REF!</definedName>
    <definedName name="ADJ18A" localSheetId="64">'Template names'!#REF!</definedName>
    <definedName name="ADJ18A" localSheetId="29">'Template names'!#REF!</definedName>
    <definedName name="ADJ18A">'Template names'!#REF!</definedName>
    <definedName name="ADJ18B" localSheetId="33">'Template names'!#REF!</definedName>
    <definedName name="ADJ18B" localSheetId="34">'Template names'!#REF!</definedName>
    <definedName name="ADJ18B" localSheetId="35">'Template names'!#REF!</definedName>
    <definedName name="ADJ18B" localSheetId="59">'Template names'!#REF!</definedName>
    <definedName name="ADJ18B" localSheetId="60">'Template names'!#REF!</definedName>
    <definedName name="ADJ18B" localSheetId="64">'Template names'!#REF!</definedName>
    <definedName name="ADJ18B" localSheetId="29">'Template names'!#REF!</definedName>
    <definedName name="ADJ18B">'Template names'!#REF!</definedName>
    <definedName name="ADJ19B" localSheetId="33">'Template names'!#REF!</definedName>
    <definedName name="ADJ19B" localSheetId="34">'Template names'!#REF!</definedName>
    <definedName name="ADJ19B" localSheetId="35">'Template names'!#REF!</definedName>
    <definedName name="ADJ19B" localSheetId="59">'Template names'!#REF!</definedName>
    <definedName name="ADJ19B" localSheetId="60">'Template names'!#REF!</definedName>
    <definedName name="ADJ19B" localSheetId="64">'Template names'!#REF!</definedName>
    <definedName name="ADJ19B" localSheetId="29">'Template names'!#REF!</definedName>
    <definedName name="ADJ19B">'Template names'!#REF!</definedName>
    <definedName name="ADJ8A" localSheetId="33">'Template names'!#REF!</definedName>
    <definedName name="ADJ8A" localSheetId="34">'Template names'!#REF!</definedName>
    <definedName name="ADJ8A" localSheetId="35">'Template names'!#REF!</definedName>
    <definedName name="ADJ8A" localSheetId="59">'Template names'!#REF!</definedName>
    <definedName name="ADJ8A" localSheetId="60">'Template names'!#REF!</definedName>
    <definedName name="ADJ8A" localSheetId="64">'Template names'!#REF!</definedName>
    <definedName name="ADJ8A" localSheetId="29">'Template names'!#REF!</definedName>
    <definedName name="ADJ8A">'Template names'!#REF!</definedName>
    <definedName name="ADJ8B" localSheetId="33">'Template names'!#REF!</definedName>
    <definedName name="ADJ8B" localSheetId="34">'Template names'!#REF!</definedName>
    <definedName name="ADJ8B" localSheetId="35">'Template names'!#REF!</definedName>
    <definedName name="ADJ8B" localSheetId="59">'Template names'!#REF!</definedName>
    <definedName name="ADJ8B" localSheetId="60">'Template names'!#REF!</definedName>
    <definedName name="ADJ8B" localSheetId="64">'Template names'!#REF!</definedName>
    <definedName name="ADJ8B" localSheetId="29">'Template names'!#REF!</definedName>
    <definedName name="ADJ8B">'Template names'!#REF!</definedName>
    <definedName name="ADJP1" localSheetId="33">'Template names'!#REF!</definedName>
    <definedName name="ADJP1" localSheetId="34">'Template names'!#REF!</definedName>
    <definedName name="ADJP1" localSheetId="35">'Template names'!#REF!</definedName>
    <definedName name="ADJP1" localSheetId="59">'Template names'!#REF!</definedName>
    <definedName name="ADJP1" localSheetId="60">'Template names'!#REF!</definedName>
    <definedName name="ADJP1" localSheetId="64">'Template names'!#REF!</definedName>
    <definedName name="ADJP1" localSheetId="29">'Template names'!#REF!</definedName>
    <definedName name="ADJP1">'Template names'!#REF!</definedName>
    <definedName name="adjsum" localSheetId="33">'Template names'!#REF!</definedName>
    <definedName name="adjsum" localSheetId="34">'Template names'!#REF!</definedName>
    <definedName name="adjsum" localSheetId="35">'Template names'!#REF!</definedName>
    <definedName name="adjsum" localSheetId="59">'Template names'!#REF!</definedName>
    <definedName name="adjsum" localSheetId="60">'Template names'!#REF!</definedName>
    <definedName name="adjsum" localSheetId="64">'Template names'!#REF!</definedName>
    <definedName name="adjsum" localSheetId="29">'Template names'!#REF!</definedName>
    <definedName name="adjsum">'Template names'!#REF!</definedName>
    <definedName name="ADJTB1" localSheetId="33">'Template names'!#REF!</definedName>
    <definedName name="ADJTB1" localSheetId="34">'Template names'!#REF!</definedName>
    <definedName name="ADJTB1" localSheetId="35">'Template names'!#REF!</definedName>
    <definedName name="ADJTB1" localSheetId="59">'Template names'!#REF!</definedName>
    <definedName name="ADJTB1" localSheetId="60">'Template names'!#REF!</definedName>
    <definedName name="ADJTB1" localSheetId="64">'Template names'!#REF!</definedName>
    <definedName name="ADJTB1" localSheetId="29">'Template names'!#REF!</definedName>
    <definedName name="ADJTB1">'Template names'!#REF!</definedName>
    <definedName name="ADJXX" localSheetId="33">'Template names'!#REF!</definedName>
    <definedName name="ADJXX" localSheetId="34">'Template names'!#REF!</definedName>
    <definedName name="ADJXX" localSheetId="35">'Template names'!#REF!</definedName>
    <definedName name="ADJXX" localSheetId="59">'Template names'!#REF!</definedName>
    <definedName name="ADJXX" localSheetId="60">'Template names'!#REF!</definedName>
    <definedName name="ADJXX" localSheetId="64">'Template names'!#REF!</definedName>
    <definedName name="ADJXX" localSheetId="29">'Template names'!#REF!</definedName>
    <definedName name="ADJXX">'Template names'!#REF!</definedName>
    <definedName name="Approve1">'Template names'!$B$100</definedName>
    <definedName name="Approve10">'Template names'!$B$109</definedName>
    <definedName name="Approve2">'Template names'!$B$102</definedName>
    <definedName name="Approve3">'Template names'!$B$101</definedName>
    <definedName name="Approve4">'Template names'!$B$103</definedName>
    <definedName name="Approve5">'Template names'!$B$104</definedName>
    <definedName name="Approve6">'Template names'!$B$105</definedName>
    <definedName name="Approve7">'Template names'!$B$106</definedName>
    <definedName name="Approve8">'Template names'!$B$107</definedName>
    <definedName name="Approve9">'Template names'!$B$108</definedName>
    <definedName name="Asset_Class">'Lookup and lists'!$AE$15:$AE$29</definedName>
    <definedName name="asset_class1">'Lookup and lists'!$AE$16:$AE$40</definedName>
    <definedName name="Asset_sub_class">'Lookup and lists'!$AF$15:$AF$59</definedName>
    <definedName name="asset_subclass1">'Lookup and lists'!$AG$16:$AG$124</definedName>
    <definedName name="avelife07">#REF!</definedName>
    <definedName name="avelife08">#REF!</definedName>
    <definedName name="avelife09">#REF!</definedName>
    <definedName name="avelife10">#REF!</definedName>
    <definedName name="avelife11">#REF!</definedName>
    <definedName name="avelife12">#REF!</definedName>
    <definedName name="avelife13">#REF!</definedName>
    <definedName name="balloon" localSheetId="33">#REF!</definedName>
    <definedName name="balloon" localSheetId="34">#REF!</definedName>
    <definedName name="balloon" localSheetId="35">#REF!</definedName>
    <definedName name="balloon" localSheetId="59">#REF!</definedName>
    <definedName name="balloon" localSheetId="60">#REF!</definedName>
    <definedName name="balloon" localSheetId="64">#REF!</definedName>
    <definedName name="balloon" localSheetId="29">#REF!</definedName>
    <definedName name="balloon">#REF!</definedName>
    <definedName name="basedesc">'Template names'!$D$39:$D$39</definedName>
    <definedName name="baseindex">'Template names'!$B$88:$B$89</definedName>
    <definedName name="Bus" localSheetId="33">#REF!</definedName>
    <definedName name="Bus" localSheetId="34">#REF!</definedName>
    <definedName name="Bus" localSheetId="35">#REF!</definedName>
    <definedName name="Bus" localSheetId="59">#REF!</definedName>
    <definedName name="Bus" localSheetId="60">#REF!</definedName>
    <definedName name="Bus" localSheetId="64">#REF!</definedName>
    <definedName name="Bus" localSheetId="29">#REF!</definedName>
    <definedName name="Bus">#REF!</definedName>
    <definedName name="capexfactor" localSheetId="33">#REF!</definedName>
    <definedName name="capexfactor" localSheetId="34">#REF!</definedName>
    <definedName name="capexfactor" localSheetId="35">#REF!</definedName>
    <definedName name="capexfactor" localSheetId="59">#REF!</definedName>
    <definedName name="capexfactor" localSheetId="60">#REF!</definedName>
    <definedName name="capexfactor" localSheetId="64">#REF!</definedName>
    <definedName name="capexfactor" localSheetId="29">#REF!</definedName>
    <definedName name="capexfactor">#REF!</definedName>
    <definedName name="capexlimit06">#REF!</definedName>
    <definedName name="capexlimit07">#REF!</definedName>
    <definedName name="capexlimit08">#REF!</definedName>
    <definedName name="capexlimit09">#REF!</definedName>
    <definedName name="capexrate04" localSheetId="33">#REF!</definedName>
    <definedName name="capexrate04" localSheetId="34">#REF!</definedName>
    <definedName name="capexrate04" localSheetId="35">#REF!</definedName>
    <definedName name="capexrate04" localSheetId="59">#REF!</definedName>
    <definedName name="capexrate04" localSheetId="60">#REF!</definedName>
    <definedName name="capexrate04" localSheetId="64">#REF!</definedName>
    <definedName name="capexrate04" localSheetId="29">#REF!</definedName>
    <definedName name="capexrate04">#REF!</definedName>
    <definedName name="capexrate05" localSheetId="33">#REF!</definedName>
    <definedName name="capexrate05" localSheetId="34">#REF!</definedName>
    <definedName name="capexrate05" localSheetId="35">#REF!</definedName>
    <definedName name="capexrate05" localSheetId="59">#REF!</definedName>
    <definedName name="capexrate05" localSheetId="60">#REF!</definedName>
    <definedName name="capexrate05" localSheetId="64">#REF!</definedName>
    <definedName name="capexrate05" localSheetId="29">#REF!</definedName>
    <definedName name="capexrate05">#REF!</definedName>
    <definedName name="capexrate06">#REF!</definedName>
    <definedName name="capexrate07">#REF!</definedName>
    <definedName name="capexrate08">#REF!</definedName>
    <definedName name="capexrate09">#REF!</definedName>
    <definedName name="capexrate10">#REF!</definedName>
    <definedName name="capexrate11">#REF!</definedName>
    <definedName name="capexrate12">#REF!</definedName>
    <definedName name="capexrate13">#REF!</definedName>
    <definedName name="capexrate14">#REF!</definedName>
    <definedName name="capexrate15">#REF!</definedName>
    <definedName name="capexrate16">#REF!</definedName>
    <definedName name="capexrate17">#REF!</definedName>
    <definedName name="capexrate18">#REF!</definedName>
    <definedName name="capexrate19">#REF!</definedName>
    <definedName name="capexrate20">#REF!</definedName>
    <definedName name="capexrate21">#REF!</definedName>
    <definedName name="Capytd">#REF!</definedName>
    <definedName name="Cash1">'Template names'!$B$68</definedName>
    <definedName name="Cash2">'Template names'!$B$69</definedName>
    <definedName name="cfactor08">#REF!</definedName>
    <definedName name="cfactor09">#REF!</definedName>
    <definedName name="cfactor10">#REF!</definedName>
    <definedName name="cfactor11">#REF!</definedName>
    <definedName name="cfactor12">#REF!</definedName>
    <definedName name="cfactor13">#REF!</definedName>
    <definedName name="ChartA1">'Template names'!$B$157</definedName>
    <definedName name="ChartA10">'Template names'!$B$166</definedName>
    <definedName name="ChartA11">'Template names'!$B$167</definedName>
    <definedName name="ChartA12">'Template names'!$B$168</definedName>
    <definedName name="ChartA13">'Template names'!$B$169</definedName>
    <definedName name="ChartA2">'Template names'!$B$158</definedName>
    <definedName name="ChartA3">'Template names'!$B$159</definedName>
    <definedName name="ChartA4">'Template names'!$B$160</definedName>
    <definedName name="ChartA5">'Template names'!$B$161</definedName>
    <definedName name="ChartA6">'Template names'!$B$162</definedName>
    <definedName name="ChartA7">'Template names'!$B$163</definedName>
    <definedName name="ChartA8">'Template names'!$B$164</definedName>
    <definedName name="ChartA9">'Template names'!$B$165</definedName>
    <definedName name="choosebase">'Template names'!$B$89:$B$90</definedName>
    <definedName name="Consolques">'Template names'!$A$95</definedName>
    <definedName name="cpix04" localSheetId="33">#REF!</definedName>
    <definedName name="cpix04" localSheetId="34">#REF!</definedName>
    <definedName name="cpix04" localSheetId="35">#REF!</definedName>
    <definedName name="cpix04" localSheetId="59">#REF!</definedName>
    <definedName name="cpix04" localSheetId="60">#REF!</definedName>
    <definedName name="cpix04" localSheetId="64">#REF!</definedName>
    <definedName name="cpix04" localSheetId="29">#REF!</definedName>
    <definedName name="cpix04">#REF!</definedName>
    <definedName name="cpix05" localSheetId="33">#REF!</definedName>
    <definedName name="cpix05" localSheetId="34">#REF!</definedName>
    <definedName name="cpix05" localSheetId="35">#REF!</definedName>
    <definedName name="cpix05" localSheetId="59">#REF!</definedName>
    <definedName name="cpix05" localSheetId="60">#REF!</definedName>
    <definedName name="cpix05" localSheetId="64">#REF!</definedName>
    <definedName name="cpix05" localSheetId="29">#REF!</definedName>
    <definedName name="cpix05">#REF!</definedName>
    <definedName name="cpix06">#REF!</definedName>
    <definedName name="cpix07">#REF!</definedName>
    <definedName name="cpix08">#REF!</definedName>
    <definedName name="cpix09">#REF!</definedName>
    <definedName name="cpix10">#REF!</definedName>
    <definedName name="cpix11">#REF!</definedName>
    <definedName name="cpix12">#REF!</definedName>
    <definedName name="cpix13">#REF!</definedName>
    <definedName name="cpix14">#REF!</definedName>
    <definedName name="cpix15">#REF!</definedName>
    <definedName name="cpix16">#REF!</definedName>
    <definedName name="cpix17">#REF!</definedName>
    <definedName name="cpix18">#REF!</definedName>
    <definedName name="cpix19">#REF!</definedName>
    <definedName name="cpix20">#REF!</definedName>
    <definedName name="cpix21">#REF!</definedName>
    <definedName name="credit06" localSheetId="33">#REF!</definedName>
    <definedName name="credit06" localSheetId="34">#REF!</definedName>
    <definedName name="credit06" localSheetId="35">#REF!</definedName>
    <definedName name="credit06" localSheetId="59">#REF!</definedName>
    <definedName name="credit06" localSheetId="60">#REF!</definedName>
    <definedName name="credit06" localSheetId="64">#REF!</definedName>
    <definedName name="credit06" localSheetId="29">#REF!</definedName>
    <definedName name="credit06">#REF!</definedName>
    <definedName name="date">[1]Data!$B$2</definedName>
    <definedName name="debt03" localSheetId="33">#REF!</definedName>
    <definedName name="debt03" localSheetId="34">#REF!</definedName>
    <definedName name="debt03" localSheetId="35">#REF!</definedName>
    <definedName name="debt03" localSheetId="59">#REF!</definedName>
    <definedName name="debt03" localSheetId="60">#REF!</definedName>
    <definedName name="debt03" localSheetId="64">#REF!</definedName>
    <definedName name="debt03" localSheetId="29">#REF!</definedName>
    <definedName name="debt03">#REF!</definedName>
    <definedName name="debt04" localSheetId="33">#REF!</definedName>
    <definedName name="debt04" localSheetId="34">#REF!</definedName>
    <definedName name="debt04" localSheetId="35">#REF!</definedName>
    <definedName name="debt04" localSheetId="59">#REF!</definedName>
    <definedName name="debt04" localSheetId="60">#REF!</definedName>
    <definedName name="debt04" localSheetId="64">#REF!</definedName>
    <definedName name="debt04" localSheetId="29">#REF!</definedName>
    <definedName name="debt04">#REF!</definedName>
    <definedName name="debt05" localSheetId="33">#REF!</definedName>
    <definedName name="debt05" localSheetId="34">#REF!</definedName>
    <definedName name="debt05" localSheetId="35">#REF!</definedName>
    <definedName name="debt05" localSheetId="59">#REF!</definedName>
    <definedName name="debt05" localSheetId="60">#REF!</definedName>
    <definedName name="debt05" localSheetId="64">#REF!</definedName>
    <definedName name="debt05" localSheetId="29">#REF!</definedName>
    <definedName name="debt05">#REF!</definedName>
    <definedName name="debt06">#REF!</definedName>
    <definedName name="debt07">#REF!</definedName>
    <definedName name="debt08">#REF!</definedName>
    <definedName name="debt09">#REF!</definedName>
    <definedName name="debt10">#REF!</definedName>
    <definedName name="debt11">#REF!</definedName>
    <definedName name="debt12">#REF!</definedName>
    <definedName name="debt13">#REF!</definedName>
    <definedName name="debt14">#REF!</definedName>
    <definedName name="debt15">#REF!</definedName>
    <definedName name="debt16">#REF!</definedName>
    <definedName name="debt17">#REF!</definedName>
    <definedName name="debt18">#REF!</definedName>
    <definedName name="debt19">#REF!</definedName>
    <definedName name="debt20">#REF!</definedName>
    <definedName name="debt21">#REF!</definedName>
    <definedName name="debtrev04" localSheetId="33">#REF!</definedName>
    <definedName name="debtrev04" localSheetId="34">#REF!</definedName>
    <definedName name="debtrev04" localSheetId="35">#REF!</definedName>
    <definedName name="debtrev04" localSheetId="59">#REF!</definedName>
    <definedName name="debtrev04" localSheetId="60">#REF!</definedName>
    <definedName name="debtrev04" localSheetId="64">#REF!</definedName>
    <definedName name="debtrev04" localSheetId="29">#REF!</definedName>
    <definedName name="debtrev04">#REF!</definedName>
    <definedName name="debtrev05" localSheetId="33">#REF!</definedName>
    <definedName name="debtrev05" localSheetId="34">#REF!</definedName>
    <definedName name="debtrev05" localSheetId="35">#REF!</definedName>
    <definedName name="debtrev05" localSheetId="59">#REF!</definedName>
    <definedName name="debtrev05" localSheetId="60">#REF!</definedName>
    <definedName name="debtrev05" localSheetId="64">#REF!</definedName>
    <definedName name="debtrev05" localSheetId="29">#REF!</definedName>
    <definedName name="debtrev05">#REF!</definedName>
    <definedName name="debtrev06">#REF!</definedName>
    <definedName name="debtrev07">#REF!</definedName>
    <definedName name="debtrev08">#REF!</definedName>
    <definedName name="debtrev09">#REF!</definedName>
    <definedName name="debtrev10">#REF!</definedName>
    <definedName name="debtrev11">#REF!</definedName>
    <definedName name="debtrev12">#REF!</definedName>
    <definedName name="debtrev13">#REF!</definedName>
    <definedName name="debtrev14">#REF!</definedName>
    <definedName name="debtrev15">#REF!</definedName>
    <definedName name="debtrev16">#REF!</definedName>
    <definedName name="debtrev17">#REF!</definedName>
    <definedName name="debtrev18">#REF!</definedName>
    <definedName name="debtrev19">#REF!</definedName>
    <definedName name="debtrev20">#REF!</definedName>
    <definedName name="debtrev21">#REF!</definedName>
    <definedName name="desc">'Template names'!$B$30</definedName>
    <definedName name="dfratio03">#REF!</definedName>
    <definedName name="dfratio04">#REF!</definedName>
    <definedName name="dfratio05">#REF!</definedName>
    <definedName name="dfratio06">#REF!</definedName>
    <definedName name="dfratioadj04">#REF!</definedName>
    <definedName name="dfration02">#REF!</definedName>
    <definedName name="ecchoice" localSheetId="33">#REF!</definedName>
    <definedName name="ecchoice" localSheetId="34">#REF!</definedName>
    <definedName name="ecchoice" localSheetId="35">#REF!</definedName>
    <definedName name="ecchoice" localSheetId="59">#REF!</definedName>
    <definedName name="ecchoice" localSheetId="60">#REF!</definedName>
    <definedName name="ecchoice" localSheetId="64">#REF!</definedName>
    <definedName name="ecchoice" localSheetId="29">#REF!</definedName>
    <definedName name="ecchoice">#REF!</definedName>
    <definedName name="elec05" localSheetId="33">#REF!</definedName>
    <definedName name="elec05" localSheetId="34">#REF!</definedName>
    <definedName name="elec05" localSheetId="35">#REF!</definedName>
    <definedName name="elec05" localSheetId="59">#REF!</definedName>
    <definedName name="elec05" localSheetId="60">#REF!</definedName>
    <definedName name="elec05" localSheetId="64">#REF!</definedName>
    <definedName name="elec05" localSheetId="29">#REF!</definedName>
    <definedName name="elec05">#REF!</definedName>
    <definedName name="elec06">#REF!</definedName>
    <definedName name="elec07">#REF!</definedName>
    <definedName name="elec08">#REF!</definedName>
    <definedName name="elec09">#REF!</definedName>
    <definedName name="elec10">#REF!</definedName>
    <definedName name="elec11">#REF!</definedName>
    <definedName name="elec12">#REF!</definedName>
    <definedName name="elec13">#REF!</definedName>
    <definedName name="elecbulk06">#REF!</definedName>
    <definedName name="elecextra">#REF!</definedName>
    <definedName name="elecrev06">#REF!</definedName>
    <definedName name="elecrev07">#REF!</definedName>
    <definedName name="elecrev08">#REF!</definedName>
    <definedName name="elecrev09">#REF!</definedName>
    <definedName name="elecrev10">#REF!</definedName>
    <definedName name="elecrev11">#REF!</definedName>
    <definedName name="elecrev12">#REF!</definedName>
    <definedName name="elecrev13">#REF!</definedName>
    <definedName name="elecrev14">#REF!</definedName>
    <definedName name="elecrev15">#REF!</definedName>
    <definedName name="elecrev16">#REF!</definedName>
    <definedName name="elecrev17">#REF!</definedName>
    <definedName name="elecrev18">#REF!</definedName>
    <definedName name="elecrev19">#REF!</definedName>
    <definedName name="elecrev20">#REF!</definedName>
    <definedName name="elecrev21">#REF!</definedName>
    <definedName name="ENG_BI_CORE_LOCATION">"C:\Program Files (x86)\Sage Evolution\BIC\"</definedName>
    <definedName name="ENG_BI_EXE_FULL_PATH">"C:\Program Files (x86)\Sage Evolution\BIC\BICORE.EXE"</definedName>
    <definedName name="ENG_BI_EXE_NAME" hidden="1">"BICORE.EXE"</definedName>
    <definedName name="ENG_BI_EXEC_CMD_ARGS" hidden="1">"03304607807810712209810611910111403704607003604507812808407808506607809309606808406807306607711611309711310309811710810511411003208511810009711703307812211010910410512110610810912112212612706807008908908907606205313412409611711410912309712511006807008"</definedName>
    <definedName name="ENG_BI_EXEC_CMD_ARGS_10" hidden="1">"10511410211110010909711209804610007210009912011811112107610512310111710203206406703305012912309911711710711510609909110211311608010112110407007605809607411911207007307108210112510406909712509812612809511612209811711409908912010211511906105305812513210"</definedName>
    <definedName name="ENG_BI_EXEC_CMD_ARGS_11" hidden="1">"21131171071091061040651041141051191141151201190981171151140881161111170831060991101111161061000650891141261101251271001131181021081091040821101101061151251021151061000711161091211061101250830981101050610811121041061160990971251051061151050360811111081"</definedName>
    <definedName name="ENG_BI_EXEC_CMD_ARGS_12" hidden="1">"06108036082118111109099109117097117112117121134124096117117102113105108089114115105118100120086105119115114118111061058049047054046053051048057058125127100113118102108109104082110119112114125078098115097107106114091110103109120117102118101104066084123"</definedName>
    <definedName name="ENG_BI_EXEC_CMD_ARGS_13" hidden="1">"12410212513209611312209811211009908808506508408209811110110310511907611410610211012410210106607010111311511013412309911711809911210510307610111911210208211010410612011610511910110907008411812210212612709511612209811711210007311911611710210811208509712"</definedName>
    <definedName name="ENG_BI_EXEC_CMD_ARGS_14" hidden="1">"51130610710630930811181111071190971180390711051171021160370401240610540501010831011081020330731181151131171251121121101010670740720921291280951211260981121101000701221111121221161141181110721061111011131010650620560620640560601301240961161171021131051"</definedName>
    <definedName name="ENG_BI_EXEC_CMD_ARGS_15" hidden="1">"08075112119119109112102100071116109118126110109121122086086076065109116125119116058056048120124119050120097112110105114121102109112105107106110108108047099120110048119101116116114125100095099098118117109108109121121056122098103110092096100093105123111"</definedName>
    <definedName name="ENG_BI_EXEC_CMD_ARGS_16" hidden="1">"11712611610911611104812912309911711710711510609908811110911011010507511112312610908908707706210811612011705805605411309712411710211304610311604613110604708410211611710510809510009510209011210212512009811910109510009510207409910311611811112009711412111"</definedName>
    <definedName name="ENG_BI_EXEC_CMD_ARGS_17" hidden="1">"51001020960930791121151221090510781101091101200501021161131291230991171171071151060990961020991201051201060721201181010890870770621081161201171150670540481191281200471200971071061051191251011121131061041051101031060461081181100471241121091221161091161"</definedName>
    <definedName name="ENG_BI_EXEC_CMD_ARGS_18" hidden="1">"10124056115101108102092099095097106118120115118116114112111052125127100112126107108109104066100101100105114121094089077061113117117117058051052119128128046119102104102109110120106108117112104101119100102102099101105101118130046103116110048119105107115"</definedName>
    <definedName name="ENG_BI_EXEC_CMD_ARGS_19" hidden="1">"10511112810511410411609810810105111711412011510110312111605105110810510211411911211110312411711211910112912809512112609811211010007611411112311310110911009909712410208608707606510911612512105805105210809905011510110810111411711710111710910610810111410"</definedName>
    <definedName name="ENG_BI_EXEC_CMD_ARGS_2" hidden="1">"80700830900690860661021141170981101081020511301230991171141141270971201060690670710650880700760880780621090920680800700320811121041061180981011211051061141050360811111081041090320861181111100991091170971171141161251301240961161141091230971251080690660"</definedName>
    <definedName name="ENG_BI_EXEC_CMD_ARGS_20" hidden="1">"4101055108111113052126124083082072074082078075081065091066078088061053130"</definedName>
    <definedName name="ENG_BI_EXEC_CMD_ARGS_3" hidden="1">"94084070087061119102125132104112118110119098120101072071080074090084087088083069066083071087065086067053053064055058063049057064055060066050055057060058057059054058051068065056063054056060053053054064054059066057052068050053057059053055051068059050063"</definedName>
    <definedName name="ENG_BI_EXEC_CMD_ARGS_4" hidden="1">"05505505306305006106405406406605104806805005005805905806005905905804806305405305506304905905512513210211311710710910610407606908307107608806807306610211112912309911711411412509811611006608608907909907207908708709508707408308707308206510710511910411109"</definedName>
    <definedName name="ENG_BI_EXEC_CMD_ARGS_5" hidden="1">"91100511261280951161191051271061161050700860850830950710840780871020680650930660770840710651140830760880650360821081051011091021021161131121111050410771121040971120370771261191051031101130981121051201261251321021131141141190981211010690900840881040670"</definedName>
    <definedName name="ENG_BI_EXEC_CMD_ARGS_6" hidden="1">"83083079096089083073087061124104126123104113115110118101121101074094084083100068080082078099085065092090088079091069062072097113106108124106064053055052126127095116119105127104117101074086085084095071084078087104067083082078080082095087074082095076083"</definedName>
    <definedName name="ENG_BI_EXEC_CMD_ARGS_7" hidden="1">"06111110611110211010310605013413209511611910611910111610507008509308609606708807907910006708308207708808709507207008506607006508707406107812511210812611710611611007111610911812011012912809611311810512210211611007208608408809606808407808210006708808607"</definedName>
    <definedName name="ENG_BI_EXEC_CMD_ARGS_8" hidden="1">"70830830960860870690860830650860760621151061261241001121181101181061251010690900850800990670830830781040740800770860800791000800690880830960880820720660680981131011121200970730560510511341240961171171021131051080780860830710830660820670760780680700980"</definedName>
    <definedName name="ENG_BI_EXEC_CMD_ARGS_9" hidden="1">"96095102050126128095116119105127106116105087080088081065087080066091080069071078062124087079091082065092084058095074111117109116109106115102053092069119117106121105105120095114075114101115100105077068097130091104105119071085066100104111121115116124079"</definedName>
    <definedName name="ENG_BI_GEN_LIC" hidden="1">"15"</definedName>
    <definedName name="ENG_BI_GEN_LIC_WS" hidden="1">"True"</definedName>
    <definedName name="ENG_BI_LANG_CODE" hidden="1">"en"</definedName>
    <definedName name="ENG_BI_LBI" hidden="1">"3IC4FMA90R"</definedName>
    <definedName name="ENG_BI_REPOS_FILE" hidden="1">"C:\EvoBICMetaData\alchemex.svd"</definedName>
    <definedName name="ENG_BI_REPOS_PATH" hidden="1">"C:\EvoBICMetaData"</definedName>
    <definedName name="ENG_BI_TLA" hidden="1">"32;222;42;99;101;224;248;159;145;113;15;145;44;29;181;129;253;205;258;252;153;91;243;88;47;134;130;193;30;133;123;84"</definedName>
    <definedName name="ENG_BI_TLA2" hidden="1">"55;255;166;10;122;210;236;163;226;216;70;253;213;179;67;205;130;230;197;92;18;160;152;186;148;163;16;131;90;25;63;124"</definedName>
    <definedName name="EOYcapex">#REF!</definedName>
    <definedName name="eskom07" localSheetId="33">#REF!</definedName>
    <definedName name="eskom07" localSheetId="34">#REF!</definedName>
    <definedName name="eskom07" localSheetId="35">#REF!</definedName>
    <definedName name="eskom07" localSheetId="59">#REF!</definedName>
    <definedName name="eskom07" localSheetId="60">#REF!</definedName>
    <definedName name="eskom07" localSheetId="64">#REF!</definedName>
    <definedName name="eskom07" localSheetId="29">#REF!</definedName>
    <definedName name="eskom07">#REF!</definedName>
    <definedName name="FinYear">Instructions!$X$36</definedName>
    <definedName name="finyears" localSheetId="33">#REF!</definedName>
    <definedName name="finyears" localSheetId="34">#REF!</definedName>
    <definedName name="finyears" localSheetId="35">#REF!</definedName>
    <definedName name="finyears" localSheetId="59">#REF!</definedName>
    <definedName name="finyears" localSheetId="60">#REF!</definedName>
    <definedName name="finyears" localSheetId="64">#REF!</definedName>
    <definedName name="finyears" localSheetId="29">#REF!</definedName>
    <definedName name="finyears">#REF!</definedName>
    <definedName name="GrantNatCapex">'Lookup and lists'!$AG$2:$AG$9</definedName>
    <definedName name="GrantNatOpex">'Lookup and lists'!$AE$2:$AE$13</definedName>
    <definedName name="GrantProvCapex">'Lookup and lists'!$AH$2:$AH$9</definedName>
    <definedName name="GrantProvOpex">'Lookup and lists'!$AF$2:$AF$6</definedName>
    <definedName name="Head1">'Template names'!$B$2</definedName>
    <definedName name="Head10">'Template names'!$B$16</definedName>
    <definedName name="Head11">'Template names'!$B$17</definedName>
    <definedName name="Head12">'Template names'!$B$18</definedName>
    <definedName name="Head13">'Template names'!$B$19</definedName>
    <definedName name="Head14">'Template names'!$B$20</definedName>
    <definedName name="Head15">'Template names'!$B$21</definedName>
    <definedName name="Head16">'Template names'!$B$22</definedName>
    <definedName name="Head17">'Template names'!$B$23</definedName>
    <definedName name="Head18">'Template names'!$B$24</definedName>
    <definedName name="Head19">'Template names'!$B$25</definedName>
    <definedName name="head1A">'Template names'!$B$3</definedName>
    <definedName name="head1b">'Template names'!$B$4</definedName>
    <definedName name="Head2">'Template names'!$B$5</definedName>
    <definedName name="Head20">'Template names'!$B$26</definedName>
    <definedName name="Head21">'Template names'!$B$27</definedName>
    <definedName name="Head22">'Template names'!$B$28</definedName>
    <definedName name="Head23">'Template names'!$B$29</definedName>
    <definedName name="Head24">'Template names'!$B$30</definedName>
    <definedName name="Head25">'Template names'!$B$31</definedName>
    <definedName name="head27">'Template names'!$B$33</definedName>
    <definedName name="head27a">'Template names'!$B$34</definedName>
    <definedName name="Head29">'Template names'!$B$36</definedName>
    <definedName name="Head2A">'Template names'!$B$6</definedName>
    <definedName name="Head3">'Template names'!$B$7</definedName>
    <definedName name="Head30">'Template names'!$B$37</definedName>
    <definedName name="Head31">'Template names'!$B$38</definedName>
    <definedName name="Head32">'Template names'!$B$39</definedName>
    <definedName name="Head33">'Template names'!$B$40</definedName>
    <definedName name="Head34">'Template names'!$B$41</definedName>
    <definedName name="Head35">'Template names'!$B$42</definedName>
    <definedName name="Head36">'Template names'!$B$43</definedName>
    <definedName name="Head37">'Template names'!$B$44</definedName>
    <definedName name="Head38">'Template names'!$B$45</definedName>
    <definedName name="Head39">'Template names'!$B$46</definedName>
    <definedName name="Head4">'Template names'!$B$8</definedName>
    <definedName name="Head40">'Template names'!$B$47</definedName>
    <definedName name="Head41">'Template names'!$B$48</definedName>
    <definedName name="Head42">'Template names'!$B$49</definedName>
    <definedName name="Head43">'Template names'!$B$50</definedName>
    <definedName name="Head44">'Template names'!$B$51</definedName>
    <definedName name="Head45">'Template names'!$B$52</definedName>
    <definedName name="head46">'Template names'!$B$53</definedName>
    <definedName name="Head47">'Template names'!$B$54</definedName>
    <definedName name="Head48">'Template names'!$B$55</definedName>
    <definedName name="Head49">'Template names'!$B$56</definedName>
    <definedName name="Head5">'Template names'!$B$9</definedName>
    <definedName name="Head50">'Template names'!$B$57</definedName>
    <definedName name="Head51">'Template names'!$B$58</definedName>
    <definedName name="Head52">'Template names'!$B$59</definedName>
    <definedName name="Head53">'Template names'!$B$60</definedName>
    <definedName name="Head54">'Template names'!$B$61</definedName>
    <definedName name="Head55">'Template names'!$B$62</definedName>
    <definedName name="Head56">'Template names'!$B$63</definedName>
    <definedName name="Head5A">'Template names'!$B$10</definedName>
    <definedName name="Head5b">'Template names'!$B$11</definedName>
    <definedName name="Head6">'Template names'!$B$12</definedName>
    <definedName name="Head7">'Template names'!$B$13</definedName>
    <definedName name="Head8">'Template names'!$B$14</definedName>
    <definedName name="Head9">'Template names'!$B$15</definedName>
    <definedName name="Headings">'Lookup and lists'!$A$1:$O$24</definedName>
    <definedName name="hhgr05" localSheetId="33">#REF!</definedName>
    <definedName name="hhgr05" localSheetId="34">#REF!</definedName>
    <definedName name="hhgr05" localSheetId="35">#REF!</definedName>
    <definedName name="hhgr05" localSheetId="59">#REF!</definedName>
    <definedName name="hhgr05" localSheetId="60">#REF!</definedName>
    <definedName name="hhgr05" localSheetId="64">#REF!</definedName>
    <definedName name="hhgr05" localSheetId="29">#REF!</definedName>
    <definedName name="hhgr05">#REF!</definedName>
    <definedName name="hhgr06">#REF!</definedName>
    <definedName name="hhgr07">#REF!</definedName>
    <definedName name="hhgr08">#REF!</definedName>
    <definedName name="hhgr09">#REF!</definedName>
    <definedName name="hhgr10">#REF!</definedName>
    <definedName name="hhgr11">#REF!</definedName>
    <definedName name="hhgr12">#REF!</definedName>
    <definedName name="hhgr13">#REF!</definedName>
    <definedName name="hhgr14">#REF!</definedName>
    <definedName name="hhgr15">#REF!</definedName>
    <definedName name="hhgr16">#REF!</definedName>
    <definedName name="hhgr17">#REF!</definedName>
    <definedName name="hhgr18">#REF!</definedName>
    <definedName name="hhgr19">#REF!</definedName>
    <definedName name="hhgr20">#REF!</definedName>
    <definedName name="hhgr21">#REF!</definedName>
    <definedName name="incentive" localSheetId="33">#REF!</definedName>
    <definedName name="incentive" localSheetId="34">#REF!</definedName>
    <definedName name="incentive" localSheetId="35">#REF!</definedName>
    <definedName name="incentive" localSheetId="59">#REF!</definedName>
    <definedName name="incentive" localSheetId="60">#REF!</definedName>
    <definedName name="incentive" localSheetId="64">#REF!</definedName>
    <definedName name="incentive" localSheetId="29">#REF!</definedName>
    <definedName name="incentive">#REF!</definedName>
    <definedName name="INFO_BI_EXE_NAME" hidden="1">"BICORE.EXE"</definedName>
    <definedName name="INFO_EXE_SERVER_PATH" hidden="1">"C:\Program Files (x86)\Sage Evolution\BIC\BICORE.EXE"</definedName>
    <definedName name="INFO_INSTANCE_ID" hidden="1">"0"</definedName>
    <definedName name="INFO_INSTANCE_NAME" hidden="1">"NT A_SCHEDULE SCOA_6.5 VER_10.1_20210525_09_13_27_1313.xls"</definedName>
    <definedName name="INFO_REPORT_CODE" hidden="1">""</definedName>
    <definedName name="INFO_REPORT_ID" hidden="1">"15"</definedName>
    <definedName name="INFO_REPORT_NAME" hidden="1">"NT A_SCHEDULE SCOA_6.5 VER_10.1"</definedName>
    <definedName name="INFO_RUN_USER" hidden="1">""</definedName>
    <definedName name="INFO_RUN_WORKSTATION" hidden="1">"ZONDOT"</definedName>
    <definedName name="infra">#REF!</definedName>
    <definedName name="Infrarenewal">#REF!</definedName>
    <definedName name="infrastratnum">#REF!</definedName>
    <definedName name="Instructions">#REF!</definedName>
    <definedName name="inventory" localSheetId="33">#REF!</definedName>
    <definedName name="inventory" localSheetId="34">#REF!</definedName>
    <definedName name="inventory" localSheetId="35">#REF!</definedName>
    <definedName name="inventory" localSheetId="59">#REF!</definedName>
    <definedName name="inventory" localSheetId="60">#REF!</definedName>
    <definedName name="inventory" localSheetId="64">#REF!</definedName>
    <definedName name="inventory" localSheetId="29">#REF!</definedName>
    <definedName name="inventory">#REF!</definedName>
    <definedName name="IUDF">'Lookup and lists'!$AH$16:$AH$19</definedName>
    <definedName name="List1">'Lookup and lists'!$V$2:$V$4</definedName>
    <definedName name="List2">'Lookup and lists'!$W$2:$W$8</definedName>
    <definedName name="List3">'Lookup and lists'!$X$2:$X$7</definedName>
    <definedName name="List4">'Lookup and lists'!$Y$2:$Y$4</definedName>
    <definedName name="List5">'Lookup and lists'!$Z$2:$Z$4</definedName>
    <definedName name="List6">'Lookup and lists'!$AA$2:$AA$3</definedName>
    <definedName name="List7">'Lookup and lists'!$AB$2:$AB$3</definedName>
    <definedName name="List8">'Lookup and lists'!$AC$2:$AC$3</definedName>
    <definedName name="longterm" localSheetId="33">#REF!</definedName>
    <definedName name="longterm" localSheetId="34">#REF!</definedName>
    <definedName name="longterm" localSheetId="35">#REF!</definedName>
    <definedName name="longterm" localSheetId="59">#REF!</definedName>
    <definedName name="longterm" localSheetId="60">#REF!</definedName>
    <definedName name="longterm" localSheetId="64">#REF!</definedName>
    <definedName name="longterm" localSheetId="29">#REF!</definedName>
    <definedName name="longterm">#REF!</definedName>
    <definedName name="MainMunicipalVote">Sheet1!$BP:$BS</definedName>
    <definedName name="MainVote">[2]Sheet1!$BM:$BO</definedName>
    <definedName name="MEAB1" localSheetId="33">'Template names'!#REF!</definedName>
    <definedName name="MEAB1" localSheetId="34">'Template names'!#REF!</definedName>
    <definedName name="MEAB1" localSheetId="35">'Template names'!#REF!</definedName>
    <definedName name="MEAB1" localSheetId="59">'Template names'!#REF!</definedName>
    <definedName name="MEAB1" localSheetId="60">'Template names'!#REF!</definedName>
    <definedName name="MEAB1" localSheetId="64">'Template names'!#REF!</definedName>
    <definedName name="MEAB1" localSheetId="29">'Template names'!#REF!</definedName>
    <definedName name="MEAB1">'Template names'!#REF!</definedName>
    <definedName name="MEAB10" localSheetId="33">'Template names'!#REF!</definedName>
    <definedName name="MEAB10" localSheetId="34">'Template names'!#REF!</definedName>
    <definedName name="MEAB10" localSheetId="35">'Template names'!#REF!</definedName>
    <definedName name="MEAB10" localSheetId="59">'Template names'!#REF!</definedName>
    <definedName name="MEAB10" localSheetId="60">'Template names'!#REF!</definedName>
    <definedName name="MEAB10" localSheetId="64">'Template names'!#REF!</definedName>
    <definedName name="MEAB10" localSheetId="29">'Template names'!#REF!</definedName>
    <definedName name="MEAB10">'Template names'!#REF!</definedName>
    <definedName name="MEAB11" localSheetId="33">'Template names'!#REF!</definedName>
    <definedName name="MEAB11" localSheetId="34">'Template names'!#REF!</definedName>
    <definedName name="MEAB11" localSheetId="35">'Template names'!#REF!</definedName>
    <definedName name="MEAB11" localSheetId="59">'Template names'!#REF!</definedName>
    <definedName name="MEAB11" localSheetId="60">'Template names'!#REF!</definedName>
    <definedName name="MEAB11" localSheetId="64">'Template names'!#REF!</definedName>
    <definedName name="MEAB11" localSheetId="29">'Template names'!#REF!</definedName>
    <definedName name="MEAB11">'Template names'!#REF!</definedName>
    <definedName name="MEAB2" localSheetId="33">'Template names'!#REF!</definedName>
    <definedName name="MEAB2" localSheetId="34">'Template names'!#REF!</definedName>
    <definedName name="MEAB2" localSheetId="35">'Template names'!#REF!</definedName>
    <definedName name="MEAB2" localSheetId="59">'Template names'!#REF!</definedName>
    <definedName name="MEAB2" localSheetId="60">'Template names'!#REF!</definedName>
    <definedName name="MEAB2" localSheetId="64">'Template names'!#REF!</definedName>
    <definedName name="MEAB2" localSheetId="29">'Template names'!#REF!</definedName>
    <definedName name="MEAB2">'Template names'!#REF!</definedName>
    <definedName name="MEAB3" localSheetId="33">'Template names'!#REF!</definedName>
    <definedName name="MEAB3" localSheetId="34">'Template names'!#REF!</definedName>
    <definedName name="MEAB3" localSheetId="35">'Template names'!#REF!</definedName>
    <definedName name="MEAB3" localSheetId="59">'Template names'!#REF!</definedName>
    <definedName name="MEAB3" localSheetId="60">'Template names'!#REF!</definedName>
    <definedName name="MEAB3" localSheetId="64">'Template names'!#REF!</definedName>
    <definedName name="MEAB3" localSheetId="29">'Template names'!#REF!</definedName>
    <definedName name="MEAB3">'Template names'!#REF!</definedName>
    <definedName name="MEAB4" localSheetId="33">'Template names'!#REF!</definedName>
    <definedName name="MEAB4" localSheetId="34">'Template names'!#REF!</definedName>
    <definedName name="MEAB4" localSheetId="35">'Template names'!#REF!</definedName>
    <definedName name="MEAB4" localSheetId="59">'Template names'!#REF!</definedName>
    <definedName name="MEAB4" localSheetId="60">'Template names'!#REF!</definedName>
    <definedName name="MEAB4" localSheetId="64">'Template names'!#REF!</definedName>
    <definedName name="MEAB4" localSheetId="29">'Template names'!#REF!</definedName>
    <definedName name="MEAB4">'Template names'!#REF!</definedName>
    <definedName name="MEAB5" localSheetId="33">'Template names'!#REF!</definedName>
    <definedName name="MEAB5" localSheetId="34">'Template names'!#REF!</definedName>
    <definedName name="MEAB5" localSheetId="35">'Template names'!#REF!</definedName>
    <definedName name="MEAB5" localSheetId="59">'Template names'!#REF!</definedName>
    <definedName name="MEAB5" localSheetId="60">'Template names'!#REF!</definedName>
    <definedName name="MEAB5" localSheetId="64">'Template names'!#REF!</definedName>
    <definedName name="MEAB5" localSheetId="29">'Template names'!#REF!</definedName>
    <definedName name="MEAB5">'Template names'!#REF!</definedName>
    <definedName name="MEAB6" localSheetId="33">'Template names'!#REF!</definedName>
    <definedName name="MEAB6" localSheetId="34">'Template names'!#REF!</definedName>
    <definedName name="MEAB6" localSheetId="35">'Template names'!#REF!</definedName>
    <definedName name="MEAB6" localSheetId="59">'Template names'!#REF!</definedName>
    <definedName name="MEAB6" localSheetId="60">'Template names'!#REF!</definedName>
    <definedName name="MEAB6" localSheetId="64">'Template names'!#REF!</definedName>
    <definedName name="MEAB6" localSheetId="29">'Template names'!#REF!</definedName>
    <definedName name="MEAB6">'Template names'!#REF!</definedName>
    <definedName name="MEAB7" localSheetId="33">'Template names'!#REF!</definedName>
    <definedName name="MEAB7" localSheetId="34">'Template names'!#REF!</definedName>
    <definedName name="MEAB7" localSheetId="35">'Template names'!#REF!</definedName>
    <definedName name="MEAB7" localSheetId="59">'Template names'!#REF!</definedName>
    <definedName name="MEAB7" localSheetId="60">'Template names'!#REF!</definedName>
    <definedName name="MEAB7" localSheetId="64">'Template names'!#REF!</definedName>
    <definedName name="MEAB7" localSheetId="29">'Template names'!#REF!</definedName>
    <definedName name="MEAB7">'Template names'!#REF!</definedName>
    <definedName name="MEAB8" localSheetId="33">'Template names'!#REF!</definedName>
    <definedName name="MEAB8" localSheetId="34">'Template names'!#REF!</definedName>
    <definedName name="MEAB8" localSheetId="35">'Template names'!#REF!</definedName>
    <definedName name="MEAB8" localSheetId="59">'Template names'!#REF!</definedName>
    <definedName name="MEAB8" localSheetId="60">'Template names'!#REF!</definedName>
    <definedName name="MEAB8" localSheetId="64">'Template names'!#REF!</definedName>
    <definedName name="MEAB8" localSheetId="29">'Template names'!#REF!</definedName>
    <definedName name="MEAB8">'Template names'!#REF!</definedName>
    <definedName name="MEAB9" localSheetId="33">'Template names'!#REF!</definedName>
    <definedName name="MEAB9" localSheetId="34">'Template names'!#REF!</definedName>
    <definedName name="MEAB9" localSheetId="35">'Template names'!#REF!</definedName>
    <definedName name="MEAB9" localSheetId="59">'Template names'!#REF!</definedName>
    <definedName name="MEAB9" localSheetId="60">'Template names'!#REF!</definedName>
    <definedName name="MEAB9" localSheetId="64">'Template names'!#REF!</definedName>
    <definedName name="MEAB9" localSheetId="29">'Template names'!#REF!</definedName>
    <definedName name="MEAB9">'Template names'!#REF!</definedName>
    <definedName name="MEABsum" localSheetId="33">'Template names'!#REF!</definedName>
    <definedName name="MEABsum" localSheetId="34">'Template names'!#REF!</definedName>
    <definedName name="MEABsum" localSheetId="35">'Template names'!#REF!</definedName>
    <definedName name="MEABsum" localSheetId="59">'Template names'!#REF!</definedName>
    <definedName name="MEABsum" localSheetId="60">'Template names'!#REF!</definedName>
    <definedName name="MEABsum" localSheetId="64">'Template names'!#REF!</definedName>
    <definedName name="MEABsum" localSheetId="29">'Template names'!#REF!</definedName>
    <definedName name="MEABsum">'Template names'!#REF!</definedName>
    <definedName name="MEB1A" localSheetId="33">'Template names'!#REF!</definedName>
    <definedName name="MEB1A" localSheetId="34">'Template names'!#REF!</definedName>
    <definedName name="MEB1A" localSheetId="35">'Template names'!#REF!</definedName>
    <definedName name="MEB1A" localSheetId="59">'Template names'!#REF!</definedName>
    <definedName name="MEB1A" localSheetId="60">'Template names'!#REF!</definedName>
    <definedName name="MEB1A" localSheetId="64">'Template names'!#REF!</definedName>
    <definedName name="MEB1A" localSheetId="29">'Template names'!#REF!</definedName>
    <definedName name="MEB1A">'Template names'!#REF!</definedName>
    <definedName name="MEBsum" localSheetId="33">'Template names'!#REF!</definedName>
    <definedName name="MEBsum" localSheetId="34">'Template names'!#REF!</definedName>
    <definedName name="MEBsum" localSheetId="35">'Template names'!#REF!</definedName>
    <definedName name="MEBsum" localSheetId="59">'Template names'!#REF!</definedName>
    <definedName name="MEBsum" localSheetId="60">'Template names'!#REF!</definedName>
    <definedName name="MEBsum" localSheetId="64">'Template names'!#REF!</definedName>
    <definedName name="MEBsum" localSheetId="29">'Template names'!#REF!</definedName>
    <definedName name="MEBsum">'Template names'!#REF!</definedName>
    <definedName name="MERsum" localSheetId="33">'Template names'!#REF!</definedName>
    <definedName name="MERsum" localSheetId="34">'Template names'!#REF!</definedName>
    <definedName name="MERsum" localSheetId="35">'Template names'!#REF!</definedName>
    <definedName name="MERsum" localSheetId="59">'Template names'!#REF!</definedName>
    <definedName name="MERsum" localSheetId="60">'Template names'!#REF!</definedName>
    <definedName name="MERsum" localSheetId="64">'Template names'!#REF!</definedName>
    <definedName name="MERsum" localSheetId="29">'Template names'!#REF!</definedName>
    <definedName name="MERsum">'Template names'!#REF!</definedName>
    <definedName name="month">[1]Data!$B$1</definedName>
    <definedName name="MscSegmentCode">'Org structure'!$C$4</definedName>
    <definedName name="MTREF">Instructions!$X$34</definedName>
    <definedName name="MTSF">'Lookup and lists'!$AI$16:$AI$29</definedName>
    <definedName name="muni">'Template names'!$B$93</definedName>
    <definedName name="MuniEntities">'Template names'!$B$94</definedName>
    <definedName name="MuniType">'Template names'!$D$94</definedName>
    <definedName name="nersa07" localSheetId="33">#REF!</definedName>
    <definedName name="nersa07" localSheetId="34">#REF!</definedName>
    <definedName name="nersa07" localSheetId="35">#REF!</definedName>
    <definedName name="nersa07" localSheetId="59">#REF!</definedName>
    <definedName name="nersa07" localSheetId="60">#REF!</definedName>
    <definedName name="nersa07" localSheetId="64">#REF!</definedName>
    <definedName name="nersa07" localSheetId="29">#REF!</definedName>
    <definedName name="nersa07">#REF!</definedName>
    <definedName name="nersa08" localSheetId="33">#REF!</definedName>
    <definedName name="nersa08" localSheetId="34">#REF!</definedName>
    <definedName name="nersa08" localSheetId="35">#REF!</definedName>
    <definedName name="nersa08" localSheetId="59">#REF!</definedName>
    <definedName name="nersa08" localSheetId="60">#REF!</definedName>
    <definedName name="nersa08" localSheetId="64">#REF!</definedName>
    <definedName name="nersa08" localSheetId="29">#REF!</definedName>
    <definedName name="nersa08">#REF!</definedName>
    <definedName name="nethhgr05" localSheetId="33">#REF!</definedName>
    <definedName name="nethhgr05" localSheetId="34">#REF!</definedName>
    <definedName name="nethhgr05" localSheetId="35">#REF!</definedName>
    <definedName name="nethhgr05" localSheetId="59">#REF!</definedName>
    <definedName name="nethhgr05" localSheetId="60">#REF!</definedName>
    <definedName name="nethhgr05" localSheetId="64">#REF!</definedName>
    <definedName name="nethhgr05" localSheetId="29">#REF!</definedName>
    <definedName name="nethhgr05">#REF!</definedName>
    <definedName name="nethhgr06">#REF!</definedName>
    <definedName name="nethhgr07">#REF!</definedName>
    <definedName name="nethhgr08">#REF!</definedName>
    <definedName name="nethhgr09">#REF!</definedName>
    <definedName name="nethhgr10">#REF!</definedName>
    <definedName name="nethhgr11">#REF!</definedName>
    <definedName name="nethhgr12">#REF!</definedName>
    <definedName name="nethhgr13">#REF!</definedName>
    <definedName name="nethhgr14">#REF!</definedName>
    <definedName name="nethhgr15">#REF!</definedName>
    <definedName name="nethhgr16">#REF!</definedName>
    <definedName name="nethhgr17">#REF!</definedName>
    <definedName name="nethhgr18">#REF!</definedName>
    <definedName name="nethhgr19">#REF!</definedName>
    <definedName name="nethhgr20">#REF!</definedName>
    <definedName name="nethhgr21">#REF!</definedName>
    <definedName name="ninety">#REF!</definedName>
    <definedName name="Note20">[3]Names!$B$89</definedName>
    <definedName name="Orgstructurevotes">'Org structure'!$C$2</definedName>
    <definedName name="PARAM_DATA_CATALOG" localSheetId="1">PARAM!$G$2</definedName>
    <definedName name="PARAM_EXE_PATH" localSheetId="1">PARAM!$G$7</definedName>
    <definedName name="PARAM_INSTANCE_ID" localSheetId="1">PARAM!$G$6</definedName>
    <definedName name="PARAM_INSTANCE_NAME" localSheetId="1">PARAM!$G$5</definedName>
    <definedName name="PARAM_REPORT_ID" localSheetId="1">PARAM!$G$3</definedName>
    <definedName name="PARAM_REPORT_NAME" localSheetId="1">PARAM!$G$4</definedName>
    <definedName name="PARAM_RUN_ON" localSheetId="1">PARAM!$D$2</definedName>
    <definedName name="poorgr06">#REF!</definedName>
    <definedName name="_xlnm.Print_Area" localSheetId="20">'A10-SerDel'!$A$1:$K$89</definedName>
    <definedName name="_xlnm.Print_Area" localSheetId="8">'A1-Sum'!$A$1:$K$66</definedName>
    <definedName name="_xlnm.Print_Area" localSheetId="9">'A2-FinPerf SC'!$A$1:$K$54</definedName>
    <definedName name="_xlnm.Print_Area" localSheetId="12">A3A!$A$1:$K$344</definedName>
    <definedName name="_xlnm.Print_Area" localSheetId="11">'A3-FinPerf V'!$A$1:$K$43</definedName>
    <definedName name="_xlnm.Print_Area" localSheetId="13">'A4-FinPerf RE'!$A$1:$X$55</definedName>
    <definedName name="_xlnm.Print_Area" localSheetId="14">'A5-Capex'!$A$1:$L$84</definedName>
    <definedName name="_xlnm.Print_Area" localSheetId="16">'A6-FinPos'!$A$1:$L$54</definedName>
    <definedName name="_xlnm.Print_Area" localSheetId="19">'A9-Asset'!$A$1:$K$215</definedName>
    <definedName name="_xlnm.Print_Area" localSheetId="7">Contacts!$A$1:$D$140</definedName>
    <definedName name="_xlnm.Print_Area" localSheetId="3">Instructions!$A$1:$M$47</definedName>
    <definedName name="_xlnm.Print_Area" localSheetId="21">'SA1'!$A$1:$L$199</definedName>
    <definedName name="_xlnm.Print_Area" localSheetId="31">'SA11'!$A$1:$K$73</definedName>
    <definedName name="_xlnm.Print_Area" localSheetId="32">SA12a!$A$1:$R$56</definedName>
    <definedName name="_xlnm.Print_Area" localSheetId="33">SA12b!$A$1:$R$56</definedName>
    <definedName name="_xlnm.Print_Area" localSheetId="34">SA13a!$A$1:$R$90</definedName>
    <definedName name="_xlnm.Print_Area" localSheetId="35">SA13b!$A$1:$R$53</definedName>
    <definedName name="_xlnm.Print_Area" localSheetId="36">'SA14'!$A$1:$L$53</definedName>
    <definedName name="_xlnm.Print_Area" localSheetId="37">'SA15'!$A$1:$K$35</definedName>
    <definedName name="_xlnm.Print_Area" localSheetId="38">'SA16'!$A$1:$O$31</definedName>
    <definedName name="_xlnm.Print_Area" localSheetId="39">'SA17'!$A$1:$K$71</definedName>
    <definedName name="_xlnm.Print_Area" localSheetId="40">'SA18'!$A$1:$K$55</definedName>
    <definedName name="_xlnm.Print_Area" localSheetId="41">'SA19'!$A$1:$K$49</definedName>
    <definedName name="_xlnm.Print_Area" localSheetId="22">'SA2'!$A$1:$R$43</definedName>
    <definedName name="_xlnm.Print_Area" localSheetId="42">'SA20'!$A$1:$K$60</definedName>
    <definedName name="_xlnm.Print_Area" localSheetId="43">'SA21'!$A$1:$L$71</definedName>
    <definedName name="_xlnm.Print_Area" localSheetId="44">'SA22'!$A$1:$K$120</definedName>
    <definedName name="_xlnm.Print_Area" localSheetId="45">'SA23'!$A$1:$I$70</definedName>
    <definedName name="_xlnm.Print_Area" localSheetId="46">'SA24'!$A$1:$K$51</definedName>
    <definedName name="_xlnm.Print_Area" localSheetId="47">'SA25'!$A$1:$Q$47</definedName>
    <definedName name="_xlnm.Print_Area" localSheetId="48">'SA26'!$A$1:$Q$47</definedName>
    <definedName name="_xlnm.Print_Area" localSheetId="49">'SA27'!$A$1:$Q$55</definedName>
    <definedName name="_xlnm.Print_Area" localSheetId="50">'SA28'!$A$1:$Q$44</definedName>
    <definedName name="_xlnm.Print_Area" localSheetId="51">'SA29'!$A$1:$Q$40</definedName>
    <definedName name="_xlnm.Print_Area" localSheetId="23">'SA3'!$A$1:$L$171</definedName>
    <definedName name="_xlnm.Print_Area" localSheetId="52">'SA30'!$A$1:$P$57</definedName>
    <definedName name="_xlnm.Print_Area" localSheetId="53">'SA31'!$A$1:$K$42</definedName>
    <definedName name="_xlnm.Print_Area" localSheetId="54">'SA32'!$A$1:$F$27</definedName>
    <definedName name="_xlnm.Print_Area" localSheetId="55">'SA33'!$A$1:$O$48</definedName>
    <definedName name="_xlnm.Print_Area" localSheetId="56">SA34a!$A$1:$K$173</definedName>
    <definedName name="_xlnm.Print_Area" localSheetId="57">SA34b!$A$1:$K$175</definedName>
    <definedName name="_xlnm.Print_Area" localSheetId="60">SA34e!$A$1:$K$175</definedName>
    <definedName name="_xlnm.Print_Area" localSheetId="61">'SA35'!$A$1:$I$57</definedName>
    <definedName name="_xlnm.Print_Area" localSheetId="62">'SA36'!$A$1:$Q$71</definedName>
    <definedName name="_xlnm.Print_Area" localSheetId="63">'SA37'!$A$1:$R$81</definedName>
    <definedName name="_xlnm.Print_Area" localSheetId="64">'SA38'!$A$1:$O$45</definedName>
    <definedName name="_xlnm.Print_Area" localSheetId="24">'SA4'!$A$1:$M$27</definedName>
    <definedName name="_xlnm.Print_Area" localSheetId="25">'SA5'!$A$1:$M$74</definedName>
    <definedName name="_xlnm.Print_Area" localSheetId="26">'SA6'!$A$1:$M$30</definedName>
    <definedName name="_xlnm.Print_Area" localSheetId="27">'SA7'!$A$1:$K$89</definedName>
    <definedName name="_xlnm.Print_Area" localSheetId="28">'SA8'!$A$1:$L$42</definedName>
    <definedName name="_xlnm.Print_Area" localSheetId="29">'SA9'!$A$1:$M$310</definedName>
    <definedName name="_xlnm.Print_Titles" localSheetId="12">A3A!$1:$3</definedName>
    <definedName name="_xlnm.Print_Titles" localSheetId="11">'A3-FinPerf V'!$1:$3</definedName>
    <definedName name="_xlnm.Print_Titles" localSheetId="14">'A5-Capex'!$1:$3</definedName>
    <definedName name="proptax07">#REF!</definedName>
    <definedName name="Rand000" localSheetId="33">#REF!</definedName>
    <definedName name="Rand000" localSheetId="34">#REF!</definedName>
    <definedName name="Rand000" localSheetId="35">#REF!</definedName>
    <definedName name="Rand000" localSheetId="59">#REF!</definedName>
    <definedName name="Rand000" localSheetId="60">#REF!</definedName>
    <definedName name="Rand000" localSheetId="64">#REF!</definedName>
    <definedName name="Rand000" localSheetId="29">#REF!</definedName>
    <definedName name="Rand000">#REF!</definedName>
    <definedName name="RandM">'Template names'!$B$70</definedName>
    <definedName name="RawData" localSheetId="0">Sheet1!$A$1:$CH$2066</definedName>
    <definedName name="RawDataCols" localSheetId="0">Sheet1!$A:$CH</definedName>
    <definedName name="REDHHGR06" localSheetId="33">#REF!</definedName>
    <definedName name="REDHHGR06" localSheetId="34">#REF!</definedName>
    <definedName name="REDHHGR06" localSheetId="35">#REF!</definedName>
    <definedName name="REDHHGR06" localSheetId="59">#REF!</definedName>
    <definedName name="REDHHGR06" localSheetId="60">#REF!</definedName>
    <definedName name="REDHHGR06" localSheetId="64">#REF!</definedName>
    <definedName name="REDHHGR06" localSheetId="29">#REF!</definedName>
    <definedName name="REDHHGR06">#REF!</definedName>
    <definedName name="redhhgr07" localSheetId="33">#REF!</definedName>
    <definedName name="redhhgr07" localSheetId="34">#REF!</definedName>
    <definedName name="redhhgr07" localSheetId="35">#REF!</definedName>
    <definedName name="redhhgr07" localSheetId="59">#REF!</definedName>
    <definedName name="redhhgr07" localSheetId="60">#REF!</definedName>
    <definedName name="redhhgr07" localSheetId="64">#REF!</definedName>
    <definedName name="redhhgr07" localSheetId="29">#REF!</definedName>
    <definedName name="redhhgr07">#REF!</definedName>
    <definedName name="redrev06" localSheetId="33">#REF!</definedName>
    <definedName name="redrev06" localSheetId="34">#REF!</definedName>
    <definedName name="redrev06" localSheetId="35">#REF!</definedName>
    <definedName name="redrev06" localSheetId="59">#REF!</definedName>
    <definedName name="redrev06" localSheetId="60">#REF!</definedName>
    <definedName name="redrev06" localSheetId="64">#REF!</definedName>
    <definedName name="redrev06" localSheetId="29">#REF!</definedName>
    <definedName name="redrev06">#REF!</definedName>
    <definedName name="redrev07" localSheetId="33">#REF!</definedName>
    <definedName name="redrev07" localSheetId="34">#REF!</definedName>
    <definedName name="redrev07" localSheetId="35">#REF!</definedName>
    <definedName name="redrev07" localSheetId="59">#REF!</definedName>
    <definedName name="redrev07" localSheetId="60">#REF!</definedName>
    <definedName name="redrev07" localSheetId="64">#REF!</definedName>
    <definedName name="redrev07" localSheetId="29">#REF!</definedName>
    <definedName name="redrev07">#REF!</definedName>
    <definedName name="Reds" localSheetId="33">#REF!</definedName>
    <definedName name="Reds" localSheetId="34">#REF!</definedName>
    <definedName name="Reds" localSheetId="35">#REF!</definedName>
    <definedName name="Reds" localSheetId="59">#REF!</definedName>
    <definedName name="Reds" localSheetId="60">#REF!</definedName>
    <definedName name="Reds" localSheetId="64">#REF!</definedName>
    <definedName name="Reds" localSheetId="29">#REF!</definedName>
    <definedName name="Reds">#REF!</definedName>
    <definedName name="renewyears">#REF!</definedName>
    <definedName name="REP_REPORT_CODE" localSheetId="1">PARAM!$G$10</definedName>
    <definedName name="REP_SYSTEM_CODE" localSheetId="1">PARAM!$G$8</definedName>
    <definedName name="REP_SYSTEM_MODULE" localSheetId="1">PARAM!$G$9</definedName>
    <definedName name="Request0506" localSheetId="33">#REF!</definedName>
    <definedName name="Request0506" localSheetId="34">#REF!</definedName>
    <definedName name="Request0506" localSheetId="35">#REF!</definedName>
    <definedName name="Request0506" localSheetId="59">#REF!</definedName>
    <definedName name="Request0506" localSheetId="60">#REF!</definedName>
    <definedName name="Request0506" localSheetId="64">#REF!</definedName>
    <definedName name="Request0506" localSheetId="29">#REF!</definedName>
    <definedName name="Request0506">#REF!</definedName>
    <definedName name="resiprop">#REF!</definedName>
    <definedName name="result">'Template names'!$B$35</definedName>
    <definedName name="rmcRED06" localSheetId="33">#REF!</definedName>
    <definedName name="rmcRED06" localSheetId="34">#REF!</definedName>
    <definedName name="rmcRED06" localSheetId="35">#REF!</definedName>
    <definedName name="rmcRED06" localSheetId="59">#REF!</definedName>
    <definedName name="rmcRED06" localSheetId="60">#REF!</definedName>
    <definedName name="rmcRED06" localSheetId="64">#REF!</definedName>
    <definedName name="rmcRED06" localSheetId="29">#REF!</definedName>
    <definedName name="rmcRED06">#REF!</definedName>
    <definedName name="rmcred07" localSheetId="33">#REF!</definedName>
    <definedName name="rmcred07" localSheetId="34">#REF!</definedName>
    <definedName name="rmcred07" localSheetId="35">#REF!</definedName>
    <definedName name="rmcred07" localSheetId="59">#REF!</definedName>
    <definedName name="rmcred07" localSheetId="60">#REF!</definedName>
    <definedName name="rmcred07" localSheetId="64">#REF!</definedName>
    <definedName name="rmcred07" localSheetId="29">#REF!</definedName>
    <definedName name="rmcred07">#REF!</definedName>
    <definedName name="roundfactor" localSheetId="33">#REF!</definedName>
    <definedName name="roundfactor" localSheetId="34">#REF!</definedName>
    <definedName name="roundfactor" localSheetId="35">#REF!</definedName>
    <definedName name="roundfactor" localSheetId="59">#REF!</definedName>
    <definedName name="roundfactor" localSheetId="60">#REF!</definedName>
    <definedName name="roundfactor" localSheetId="64">#REF!</definedName>
    <definedName name="roundfactor" localSheetId="29">#REF!</definedName>
    <definedName name="roundfactor">#REF!</definedName>
    <definedName name="ROW_MASK_FILTER" localSheetId="1">PARAM!$G$11</definedName>
    <definedName name="S71_A2Code" localSheetId="0">Sheet1!$L:$L</definedName>
    <definedName name="S71_A2Description" localSheetId="0">Sheet1!$M:$M</definedName>
    <definedName name="S71_A2SubCode" localSheetId="0">Sheet1!$N:$N</definedName>
    <definedName name="S71_A2SubDescription" localSheetId="0">Sheet1!$O:$O</definedName>
    <definedName name="S71_A4Code" localSheetId="0">Sheet1!$F:$F</definedName>
    <definedName name="S71_A4Description" localSheetId="0">Sheet1!$G:$G</definedName>
    <definedName name="S71_A4SubCode" localSheetId="0">Sheet1!$H:$H</definedName>
    <definedName name="S71_A4SubDescription" localSheetId="0">Sheet1!$I:$I</definedName>
    <definedName name="S71_A5CapexCode" localSheetId="0">Sheet1!$P:$P</definedName>
    <definedName name="S71_A5GCode" localSheetId="0">Sheet1!$Q:$Q</definedName>
    <definedName name="S71_A5GDescription" localSheetId="0">Sheet1!$R:$R</definedName>
    <definedName name="S71_A6Code" localSheetId="0">Sheet1!$U:$U</definedName>
    <definedName name="S71_A6Description" localSheetId="0">Sheet1!$V:$V</definedName>
    <definedName name="S71_A6SubCode" localSheetId="0">Sheet1!$W:$W</definedName>
    <definedName name="S71_A6SubDescription" localSheetId="0">Sheet1!$X:$X</definedName>
    <definedName name="S71_A7Code" localSheetId="0">Sheet1!$Y:$Y</definedName>
    <definedName name="S71_A7CodePayments" localSheetId="0">Sheet1!$AC:$AC</definedName>
    <definedName name="S71_A7Description" localSheetId="0">Sheet1!$Z:$Z</definedName>
    <definedName name="S71_A7DescriptionPayments" localSheetId="0">Sheet1!$AD:$AD</definedName>
    <definedName name="S71_A7SubCode" localSheetId="0">Sheet1!$AA:$AA</definedName>
    <definedName name="S71_A7SubCodePayments" localSheetId="0">Sheet1!$AE:$AE</definedName>
    <definedName name="S71_A7SubDescription" localSheetId="0">Sheet1!$AB:$AB</definedName>
    <definedName name="S71_A7SubDescriptionPayments" localSheetId="0">Sheet1!$AF:$AF</definedName>
    <definedName name="S71_A9Code" localSheetId="0">Sheet1!$AG:$AG</definedName>
    <definedName name="S71_A9Description" localSheetId="0">Sheet1!$AH:$AH</definedName>
    <definedName name="S71_A9SubCode" localSheetId="0">Sheet1!$AI:$AI</definedName>
    <definedName name="S71_A9SubDescription" localSheetId="0">Sheet1!$AJ:$AJ</definedName>
    <definedName name="S71_Account" localSheetId="0">Sheet1!$A:$A</definedName>
    <definedName name="S71_AccountExtAccount" localSheetId="0">Sheet1!$B:$B</definedName>
    <definedName name="S71_AccountExtensionID" localSheetId="0">Sheet1!$C:$C</definedName>
    <definedName name="S71_AccountLink" localSheetId="0">Sheet1!$D:$D</definedName>
    <definedName name="S71_AdjustmentBudAmnt" localSheetId="0">Sheet1!$BZ:$BZ</definedName>
    <definedName name="S71_ASBudgetAmount" localSheetId="0">Sheet1!$CA:$CA</definedName>
    <definedName name="S71_CFCode" localSheetId="0">Sheet1!$AR:$AR</definedName>
    <definedName name="S71_ConsDepositsCode" localSheetId="0">Sheet1!$CE:$CE</definedName>
    <definedName name="S71_DepCode" localSheetId="0">Sheet1!$BJ:$BJ</definedName>
    <definedName name="S71_FxVoteDescription" localSheetId="0">Sheet1!$BR:$BR</definedName>
    <definedName name="S71_ItemSCOAAccount" localSheetId="0">Sheet1!$E:$E</definedName>
    <definedName name="S71_ItemType" localSheetId="0">Sheet1!$T:$T</definedName>
    <definedName name="S71_MasterVoteDescription" localSheetId="0">Sheet1!$BS:$BS</definedName>
    <definedName name="S71_MasterVoteMunicipal" localSheetId="0">Sheet1!$BP:$BP</definedName>
    <definedName name="S71_NonCurrentInvCode" localSheetId="0">Sheet1!$CF:$CF</definedName>
    <definedName name="S71_NonCurrentRecCode" localSheetId="0">Sheet1!$CG:$CG</definedName>
    <definedName name="S71_OriginalBudAmnt" localSheetId="0">Sheet1!$BY:$BY</definedName>
    <definedName name="S71_OY1BudgetAmount" localSheetId="0">Sheet1!$CB:$CB</definedName>
    <definedName name="S71_OY2BudgetAmount" localSheetId="0">Sheet1!$CC:$CC</definedName>
    <definedName name="S71_PPPYearAmount" localSheetId="0">Sheet1!$BX:$BX</definedName>
    <definedName name="S71_PPYearAmount" localSheetId="0">Sheet1!$BW:$BW</definedName>
    <definedName name="S71_PreAuditActual" localSheetId="0">Sheet1!$CD:$CD</definedName>
    <definedName name="S71_ProjectType" localSheetId="0">Sheet1!$S:$S</definedName>
    <definedName name="S71_PYearAmount" localSheetId="0">Sheet1!$BV:$BV</definedName>
    <definedName name="S71_RepMaintCode" localSheetId="0">Sheet1!$BD:$BD</definedName>
    <definedName name="S71_SA15Ref" localSheetId="0">Sheet1!$BT:$BT</definedName>
    <definedName name="S71_SA17Ref" localSheetId="0">Sheet1!$BU:$BU</definedName>
    <definedName name="S71_SA1SubCode" localSheetId="0">Sheet1!$J:$J</definedName>
    <definedName name="S71_SA1SubDescription" localSheetId="0">Sheet1!$K:$K</definedName>
    <definedName name="S71_SA30FDSubCode" localSheetId="0">Sheet1!$AP:$AP</definedName>
    <definedName name="S71_SA30FDSubDescription" localSheetId="0">Sheet1!$AQ:$AQ</definedName>
    <definedName name="S71_SA34aCode" localSheetId="0">Sheet1!$AS:$AS</definedName>
    <definedName name="S71_SA34aCode_2" localSheetId="0">Sheet1!$AT:$AT</definedName>
    <definedName name="S71_SA34aDescription" localSheetId="0">Sheet1!$AU:$AU</definedName>
    <definedName name="S71_SA34aSubDescription" localSheetId="0">Sheet1!$AV:$AV</definedName>
    <definedName name="S71_SA34bSubCode" localSheetId="0">Sheet1!$AW:$AW</definedName>
    <definedName name="S71_SA34bSubDescription" localSheetId="0">Sheet1!$AX:$AX</definedName>
    <definedName name="S71_SA34cCode" localSheetId="0">Sheet1!$AY:$AY</definedName>
    <definedName name="S71_SA34cDescription" localSheetId="0">Sheet1!$AZ:$AZ</definedName>
    <definedName name="S71_SA34Code" localSheetId="0">Sheet1!$BA:$BA</definedName>
    <definedName name="S71_SA34cSubCode" localSheetId="0">Sheet1!$BB:$BB</definedName>
    <definedName name="S71_SA34cSubDescription" localSheetId="0">Sheet1!$BC:$BC</definedName>
    <definedName name="S71_SA34dCode" localSheetId="0">Sheet1!$BE:$BE</definedName>
    <definedName name="S71_SA34dDescription" localSheetId="0">Sheet1!$BF:$BF</definedName>
    <definedName name="S71_SA34Description" localSheetId="0">Sheet1!$BG:$BG</definedName>
    <definedName name="S71_SA34dSubCode" localSheetId="0">Sheet1!$BH:$BH</definedName>
    <definedName name="S71_SA34dSubDescription" localSheetId="0">Sheet1!$BI:$BI</definedName>
    <definedName name="S71_SA34eCode" localSheetId="0">Sheet1!$BK:$BK</definedName>
    <definedName name="S71_SA34eDescription" localSheetId="0">Sheet1!$BL:$BL</definedName>
    <definedName name="S71_SA34eSubCode" localSheetId="0">Sheet1!$BM:$BM</definedName>
    <definedName name="S71_SA34eSubDescription" localSheetId="0">Sheet1!$BN:$BN</definedName>
    <definedName name="S71_SA3Code" localSheetId="0">Sheet1!$AL:$AL</definedName>
    <definedName name="S71_SA3Description" localSheetId="0">Sheet1!$AM:$AM</definedName>
    <definedName name="S71_SA3SubCode" localSheetId="0">Sheet1!$AN:$AN</definedName>
    <definedName name="S71_SA3SubDescription" localSheetId="0">Sheet1!$AO:$AO</definedName>
    <definedName name="S71_StaffCode" localSheetId="0">Sheet1!$BO:$BO</definedName>
    <definedName name="S71_SubMunicipalVoteNo" localSheetId="0">Sheet1!$BQ:$BQ</definedName>
    <definedName name="S71_WIPCode" localSheetId="0">Sheet1!$AK:$AK</definedName>
    <definedName name="S71_WIPOPBalance" localSheetId="0">Sheet1!$CH:$CH</definedName>
    <definedName name="S71A" localSheetId="33">'Template names'!#REF!</definedName>
    <definedName name="S71A" localSheetId="34">'Template names'!#REF!</definedName>
    <definedName name="S71A" localSheetId="35">'Template names'!#REF!</definedName>
    <definedName name="S71A" localSheetId="59">'Template names'!#REF!</definedName>
    <definedName name="S71A" localSheetId="60">'Template names'!#REF!</definedName>
    <definedName name="S71A" localSheetId="64">'Template names'!#REF!</definedName>
    <definedName name="S71A" localSheetId="29">'Template names'!#REF!</definedName>
    <definedName name="S71A">'Template names'!#REF!</definedName>
    <definedName name="S71B" localSheetId="33">'Template names'!#REF!</definedName>
    <definedName name="S71B" localSheetId="34">'Template names'!#REF!</definedName>
    <definedName name="S71B" localSheetId="35">'Template names'!#REF!</definedName>
    <definedName name="S71B" localSheetId="59">'Template names'!#REF!</definedName>
    <definedName name="S71B" localSheetId="60">'Template names'!#REF!</definedName>
    <definedName name="S71B" localSheetId="64">'Template names'!#REF!</definedName>
    <definedName name="S71B" localSheetId="29">'Template names'!#REF!</definedName>
    <definedName name="S71B">'Template names'!#REF!</definedName>
    <definedName name="s71B8" localSheetId="33">'Template names'!#REF!</definedName>
    <definedName name="s71B8" localSheetId="34">'Template names'!#REF!</definedName>
    <definedName name="s71B8" localSheetId="35">'Template names'!#REF!</definedName>
    <definedName name="s71B8" localSheetId="59">'Template names'!#REF!</definedName>
    <definedName name="s71B8" localSheetId="60">'Template names'!#REF!</definedName>
    <definedName name="s71B8" localSheetId="64">'Template names'!#REF!</definedName>
    <definedName name="s71B8" localSheetId="29">'Template names'!#REF!</definedName>
    <definedName name="s71B8">'Template names'!#REF!</definedName>
    <definedName name="s71B9" localSheetId="33">'Template names'!#REF!</definedName>
    <definedName name="s71B9" localSheetId="34">'Template names'!#REF!</definedName>
    <definedName name="s71B9" localSheetId="35">'Template names'!#REF!</definedName>
    <definedName name="s71B9" localSheetId="59">'Template names'!#REF!</definedName>
    <definedName name="s71B9" localSheetId="60">'Template names'!#REF!</definedName>
    <definedName name="s71B9" localSheetId="64">'Template names'!#REF!</definedName>
    <definedName name="s71B9" localSheetId="29">'Template names'!#REF!</definedName>
    <definedName name="s71B9">'Template names'!#REF!</definedName>
    <definedName name="S71C" localSheetId="33">'Template names'!#REF!</definedName>
    <definedName name="S71C" localSheetId="34">'Template names'!#REF!</definedName>
    <definedName name="S71C" localSheetId="35">'Template names'!#REF!</definedName>
    <definedName name="S71C" localSheetId="59">'Template names'!#REF!</definedName>
    <definedName name="S71C" localSheetId="60">'Template names'!#REF!</definedName>
    <definedName name="S71C" localSheetId="64">'Template names'!#REF!</definedName>
    <definedName name="S71C" localSheetId="29">'Template names'!#REF!</definedName>
    <definedName name="S71C">'Template names'!#REF!</definedName>
    <definedName name="S71D" localSheetId="33">'Template names'!#REF!</definedName>
    <definedName name="S71D" localSheetId="34">'Template names'!#REF!</definedName>
    <definedName name="S71D" localSheetId="35">'Template names'!#REF!</definedName>
    <definedName name="S71D" localSheetId="59">'Template names'!#REF!</definedName>
    <definedName name="S71D" localSheetId="60">'Template names'!#REF!</definedName>
    <definedName name="S71D" localSheetId="64">'Template names'!#REF!</definedName>
    <definedName name="S71D" localSheetId="29">'Template names'!#REF!</definedName>
    <definedName name="S71D">'Template names'!#REF!</definedName>
    <definedName name="S71E" localSheetId="33">'Template names'!#REF!</definedName>
    <definedName name="S71E" localSheetId="34">'Template names'!#REF!</definedName>
    <definedName name="S71E" localSheetId="35">'Template names'!#REF!</definedName>
    <definedName name="S71E" localSheetId="59">'Template names'!#REF!</definedName>
    <definedName name="S71E" localSheetId="60">'Template names'!#REF!</definedName>
    <definedName name="S71E" localSheetId="64">'Template names'!#REF!</definedName>
    <definedName name="S71E" localSheetId="29">'Template names'!#REF!</definedName>
    <definedName name="S71E">'Template names'!#REF!</definedName>
    <definedName name="S71F" localSheetId="33">'Template names'!#REF!</definedName>
    <definedName name="S71F" localSheetId="34">'Template names'!#REF!</definedName>
    <definedName name="S71F" localSheetId="35">'Template names'!#REF!</definedName>
    <definedName name="S71F" localSheetId="59">'Template names'!#REF!</definedName>
    <definedName name="S71F" localSheetId="60">'Template names'!#REF!</definedName>
    <definedName name="S71F" localSheetId="64">'Template names'!#REF!</definedName>
    <definedName name="S71F" localSheetId="29">'Template names'!#REF!</definedName>
    <definedName name="S71F">'Template names'!#REF!</definedName>
    <definedName name="S71G" localSheetId="33">'Template names'!#REF!</definedName>
    <definedName name="S71G" localSheetId="34">'Template names'!#REF!</definedName>
    <definedName name="S71G" localSheetId="35">'Template names'!#REF!</definedName>
    <definedName name="S71G" localSheetId="59">'Template names'!#REF!</definedName>
    <definedName name="S71G" localSheetId="60">'Template names'!#REF!</definedName>
    <definedName name="S71G" localSheetId="64">'Template names'!#REF!</definedName>
    <definedName name="S71G" localSheetId="29">'Template names'!#REF!</definedName>
    <definedName name="S71G">'Template names'!#REF!</definedName>
    <definedName name="S71H" localSheetId="33">'Template names'!#REF!</definedName>
    <definedName name="S71H" localSheetId="34">'Template names'!#REF!</definedName>
    <definedName name="S71H" localSheetId="35">'Template names'!#REF!</definedName>
    <definedName name="S71H" localSheetId="59">'Template names'!#REF!</definedName>
    <definedName name="S71H" localSheetId="60">'Template names'!#REF!</definedName>
    <definedName name="S71H" localSheetId="64">'Template names'!#REF!</definedName>
    <definedName name="S71H" localSheetId="29">'Template names'!#REF!</definedName>
    <definedName name="S71H">'Template names'!#REF!</definedName>
    <definedName name="S71I" localSheetId="33">'Template names'!#REF!</definedName>
    <definedName name="S71I" localSheetId="34">'Template names'!#REF!</definedName>
    <definedName name="S71I" localSheetId="35">'Template names'!#REF!</definedName>
    <definedName name="S71I" localSheetId="59">'Template names'!#REF!</definedName>
    <definedName name="S71I" localSheetId="60">'Template names'!#REF!</definedName>
    <definedName name="S71I" localSheetId="64">'Template names'!#REF!</definedName>
    <definedName name="S71I" localSheetId="29">'Template names'!#REF!</definedName>
    <definedName name="S71I">'Template names'!#REF!</definedName>
    <definedName name="S71J" localSheetId="33">'Template names'!#REF!</definedName>
    <definedName name="S71J" localSheetId="34">'Template names'!#REF!</definedName>
    <definedName name="S71J" localSheetId="35">'Template names'!#REF!</definedName>
    <definedName name="S71J" localSheetId="59">'Template names'!#REF!</definedName>
    <definedName name="S71J" localSheetId="60">'Template names'!#REF!</definedName>
    <definedName name="S71J" localSheetId="64">'Template names'!#REF!</definedName>
    <definedName name="S71J" localSheetId="29">'Template names'!#REF!</definedName>
    <definedName name="S71J">'Template names'!#REF!</definedName>
    <definedName name="S71K" localSheetId="33">'Template names'!#REF!</definedName>
    <definedName name="S71K" localSheetId="34">'Template names'!#REF!</definedName>
    <definedName name="S71K" localSheetId="35">'Template names'!#REF!</definedName>
    <definedName name="S71K" localSheetId="59">'Template names'!#REF!</definedName>
    <definedName name="S71K" localSheetId="60">'Template names'!#REF!</definedName>
    <definedName name="S71K" localSheetId="64">'Template names'!#REF!</definedName>
    <definedName name="S71K" localSheetId="29">'Template names'!#REF!</definedName>
    <definedName name="S71K">'Template names'!#REF!</definedName>
    <definedName name="S71L" localSheetId="33">'Template names'!#REF!</definedName>
    <definedName name="S71L" localSheetId="34">'Template names'!#REF!</definedName>
    <definedName name="S71L" localSheetId="35">'Template names'!#REF!</definedName>
    <definedName name="S71L" localSheetId="59">'Template names'!#REF!</definedName>
    <definedName name="S71L" localSheetId="60">'Template names'!#REF!</definedName>
    <definedName name="S71L" localSheetId="64">'Template names'!#REF!</definedName>
    <definedName name="S71L" localSheetId="29">'Template names'!#REF!</definedName>
    <definedName name="S71L">'Template names'!#REF!</definedName>
    <definedName name="S71M" localSheetId="33">'Template names'!#REF!</definedName>
    <definedName name="S71M" localSheetId="34">'Template names'!#REF!</definedName>
    <definedName name="S71M" localSheetId="35">'Template names'!#REF!</definedName>
    <definedName name="S71M" localSheetId="59">'Template names'!#REF!</definedName>
    <definedName name="S71M" localSheetId="60">'Template names'!#REF!</definedName>
    <definedName name="S71M" localSheetId="64">'Template names'!#REF!</definedName>
    <definedName name="S71M" localSheetId="29">'Template names'!#REF!</definedName>
    <definedName name="S71M">'Template names'!#REF!</definedName>
    <definedName name="S71N" localSheetId="33">'Template names'!#REF!</definedName>
    <definedName name="S71N" localSheetId="34">'Template names'!#REF!</definedName>
    <definedName name="S71N" localSheetId="35">'Template names'!#REF!</definedName>
    <definedName name="S71N" localSheetId="59">'Template names'!#REF!</definedName>
    <definedName name="S71N" localSheetId="60">'Template names'!#REF!</definedName>
    <definedName name="S71N" localSheetId="64">'Template names'!#REF!</definedName>
    <definedName name="S71N" localSheetId="29">'Template names'!#REF!</definedName>
    <definedName name="S71N">'Template names'!#REF!</definedName>
    <definedName name="S71O" localSheetId="33">'Template names'!#REF!</definedName>
    <definedName name="S71O" localSheetId="34">'Template names'!#REF!</definedName>
    <definedName name="S71O" localSheetId="35">'Template names'!#REF!</definedName>
    <definedName name="S71O" localSheetId="59">'Template names'!#REF!</definedName>
    <definedName name="S71O" localSheetId="60">'Template names'!#REF!</definedName>
    <definedName name="S71O" localSheetId="64">'Template names'!#REF!</definedName>
    <definedName name="S71O" localSheetId="29">'Template names'!#REF!</definedName>
    <definedName name="S71O">'Template names'!#REF!</definedName>
    <definedName name="S71P" localSheetId="33">'Template names'!#REF!</definedName>
    <definedName name="S71P" localSheetId="34">'Template names'!#REF!</definedName>
    <definedName name="S71P" localSheetId="35">'Template names'!#REF!</definedName>
    <definedName name="S71P" localSheetId="59">'Template names'!#REF!</definedName>
    <definedName name="S71P" localSheetId="60">'Template names'!#REF!</definedName>
    <definedName name="S71P" localSheetId="64">'Template names'!#REF!</definedName>
    <definedName name="S71P" localSheetId="29">'Template names'!#REF!</definedName>
    <definedName name="S71P">'Template names'!#REF!</definedName>
    <definedName name="S71Q" localSheetId="33">'Template names'!#REF!</definedName>
    <definedName name="S71Q" localSheetId="34">'Template names'!#REF!</definedName>
    <definedName name="S71Q" localSheetId="35">'Template names'!#REF!</definedName>
    <definedName name="S71Q" localSheetId="59">'Template names'!#REF!</definedName>
    <definedName name="S71Q" localSheetId="60">'Template names'!#REF!</definedName>
    <definedName name="S71Q" localSheetId="64">'Template names'!#REF!</definedName>
    <definedName name="S71Q" localSheetId="29">'Template names'!#REF!</definedName>
    <definedName name="S71Q">'Template names'!#REF!</definedName>
    <definedName name="S71SDBIP" localSheetId="33">'Template names'!#REF!</definedName>
    <definedName name="S71SDBIP" localSheetId="34">'Template names'!#REF!</definedName>
    <definedName name="S71SDBIP" localSheetId="35">'Template names'!#REF!</definedName>
    <definedName name="S71SDBIP" localSheetId="59">'Template names'!#REF!</definedName>
    <definedName name="S71SDBIP" localSheetId="60">'Template names'!#REF!</definedName>
    <definedName name="S71SDBIP" localSheetId="64">'Template names'!#REF!</definedName>
    <definedName name="S71SDBIP" localSheetId="29">'Template names'!#REF!</definedName>
    <definedName name="S71SDBIP">'Template names'!#REF!</definedName>
    <definedName name="s71sum" localSheetId="33">'Template names'!#REF!</definedName>
    <definedName name="s71sum" localSheetId="34">'Template names'!#REF!</definedName>
    <definedName name="s71sum" localSheetId="35">'Template names'!#REF!</definedName>
    <definedName name="s71sum" localSheetId="59">'Template names'!#REF!</definedName>
    <definedName name="s71sum" localSheetId="60">'Template names'!#REF!</definedName>
    <definedName name="s71sum" localSheetId="64">'Template names'!#REF!</definedName>
    <definedName name="s71sum" localSheetId="29">'Template names'!#REF!</definedName>
    <definedName name="s71sum">'Template names'!#REF!</definedName>
    <definedName name="Scale">#REF!</definedName>
    <definedName name="scenario" localSheetId="33">#REF!</definedName>
    <definedName name="scenario" localSheetId="34">#REF!</definedName>
    <definedName name="scenario" localSheetId="35">#REF!</definedName>
    <definedName name="scenario" localSheetId="59">#REF!</definedName>
    <definedName name="scenario" localSheetId="60">#REF!</definedName>
    <definedName name="scenario" localSheetId="64">#REF!</definedName>
    <definedName name="scenario" localSheetId="29">#REF!</definedName>
    <definedName name="scenario">#REF!</definedName>
    <definedName name="SDBIP1" localSheetId="33">'Template names'!#REF!</definedName>
    <definedName name="SDBIP1" localSheetId="34">'Template names'!#REF!</definedName>
    <definedName name="SDBIP1" localSheetId="35">'Template names'!#REF!</definedName>
    <definedName name="SDBIP1" localSheetId="59">'Template names'!#REF!</definedName>
    <definedName name="SDBIP1" localSheetId="60">'Template names'!#REF!</definedName>
    <definedName name="SDBIP1" localSheetId="64">'Template names'!#REF!</definedName>
    <definedName name="SDBIP1" localSheetId="29">'Template names'!#REF!</definedName>
    <definedName name="SDBIP1">'Template names'!#REF!</definedName>
    <definedName name="SDBIP10" localSheetId="33">'Template names'!#REF!</definedName>
    <definedName name="SDBIP10" localSheetId="34">'Template names'!#REF!</definedName>
    <definedName name="SDBIP10" localSheetId="35">'Template names'!#REF!</definedName>
    <definedName name="SDBIP10" localSheetId="59">'Template names'!#REF!</definedName>
    <definedName name="SDBIP10" localSheetId="60">'Template names'!#REF!</definedName>
    <definedName name="SDBIP10" localSheetId="64">'Template names'!#REF!</definedName>
    <definedName name="SDBIP10" localSheetId="29">'Template names'!#REF!</definedName>
    <definedName name="SDBIP10">'Template names'!#REF!</definedName>
    <definedName name="SDBIP2" localSheetId="33">'Template names'!#REF!</definedName>
    <definedName name="SDBIP2" localSheetId="34">'Template names'!#REF!</definedName>
    <definedName name="SDBIP2" localSheetId="35">'Template names'!#REF!</definedName>
    <definedName name="SDBIP2" localSheetId="59">'Template names'!#REF!</definedName>
    <definedName name="SDBIP2" localSheetId="60">'Template names'!#REF!</definedName>
    <definedName name="SDBIP2" localSheetId="64">'Template names'!#REF!</definedName>
    <definedName name="SDBIP2" localSheetId="29">'Template names'!#REF!</definedName>
    <definedName name="SDBIP2">'Template names'!#REF!</definedName>
    <definedName name="SDBIP3" localSheetId="33">'Template names'!#REF!</definedName>
    <definedName name="SDBIP3" localSheetId="34">'Template names'!#REF!</definedName>
    <definedName name="SDBIP3" localSheetId="35">'Template names'!#REF!</definedName>
    <definedName name="SDBIP3" localSheetId="59">'Template names'!#REF!</definedName>
    <definedName name="SDBIP3" localSheetId="60">'Template names'!#REF!</definedName>
    <definedName name="SDBIP3" localSheetId="64">'Template names'!#REF!</definedName>
    <definedName name="SDBIP3" localSheetId="29">'Template names'!#REF!</definedName>
    <definedName name="SDBIP3">'Template names'!#REF!</definedName>
    <definedName name="SDBIP4" localSheetId="33">'Template names'!#REF!</definedName>
    <definedName name="SDBIP4" localSheetId="34">'Template names'!#REF!</definedName>
    <definedName name="SDBIP4" localSheetId="35">'Template names'!#REF!</definedName>
    <definedName name="SDBIP4" localSheetId="59">'Template names'!#REF!</definedName>
    <definedName name="SDBIP4" localSheetId="60">'Template names'!#REF!</definedName>
    <definedName name="SDBIP4" localSheetId="64">'Template names'!#REF!</definedName>
    <definedName name="SDBIP4" localSheetId="29">'Template names'!#REF!</definedName>
    <definedName name="SDBIP4">'Template names'!#REF!</definedName>
    <definedName name="SDBIP8" localSheetId="33">'Template names'!#REF!</definedName>
    <definedName name="SDBIP8" localSheetId="34">'Template names'!#REF!</definedName>
    <definedName name="SDBIP8" localSheetId="35">'Template names'!#REF!</definedName>
    <definedName name="SDBIP8" localSheetId="59">'Template names'!#REF!</definedName>
    <definedName name="SDBIP8" localSheetId="60">'Template names'!#REF!</definedName>
    <definedName name="SDBIP8" localSheetId="64">'Template names'!#REF!</definedName>
    <definedName name="SDBIP8" localSheetId="29">'Template names'!#REF!</definedName>
    <definedName name="SDBIP8">'Template names'!#REF!</definedName>
    <definedName name="sdcred06">#REF!</definedName>
    <definedName name="SFPerf1">'Template names'!$B$64</definedName>
    <definedName name="SFPerf2">'Template names'!$B$65</definedName>
    <definedName name="SFpos1">'Template names'!$B$66</definedName>
    <definedName name="SFpos2">'Template names'!$B$67</definedName>
    <definedName name="SubMunicipalVote">Sheet1!$BQ:$BS</definedName>
    <definedName name="Subvote">'Org structure'!$C$3</definedName>
    <definedName name="SV_AUTO_CONN_CATALOG" hidden="1">"mSCOA Mkhambathini Local Municipality"</definedName>
    <definedName name="SV_AUTO_CONN_SERVER" hidden="1">"finance2"</definedName>
    <definedName name="SV_DBTYPE">"5"</definedName>
    <definedName name="SV_ENCPT_AUTO_CONN_PASSWORD" hidden="1">"083096084083070073098110103108119099064058057051"</definedName>
    <definedName name="SV_ENCPT_AUTO_CONN_USER" hidden="1">"095094088070084121098"</definedName>
    <definedName name="SV_ENCPT_LOGON_PWD" hidden="1">"078104085088070"</definedName>
    <definedName name="SV_ENCPT_LOGON_USER" hidden="1">"095094088070084084104118100097114103110"</definedName>
    <definedName name="SV_REPORT_CODE">""</definedName>
    <definedName name="SV_REPORT_ID">"15"</definedName>
    <definedName name="SV_REPORT_NAME">"NT A_SCHEDULE SCOA_6.5 VER_10.1"</definedName>
    <definedName name="SV_REPOSCODE">""</definedName>
    <definedName name="SV_SOLUTION_ID">"33"</definedName>
    <definedName name="SV_TENANT_CODE">"Mkhambathini Local Municipality"</definedName>
    <definedName name="TabC3" localSheetId="33">'Template names'!#REF!</definedName>
    <definedName name="TabC3" localSheetId="34">'Template names'!#REF!</definedName>
    <definedName name="TabC3" localSheetId="35">'Template names'!#REF!</definedName>
    <definedName name="TabC3" localSheetId="59">'Template names'!#REF!</definedName>
    <definedName name="TabC3" localSheetId="60">'Template names'!#REF!</definedName>
    <definedName name="TabC3" localSheetId="64">'Template names'!#REF!</definedName>
    <definedName name="TabC3" localSheetId="29">'Template names'!#REF!</definedName>
    <definedName name="TabC3">'Template names'!#REF!</definedName>
    <definedName name="TabC4" localSheetId="33">'Template names'!#REF!</definedName>
    <definedName name="TabC4" localSheetId="34">'Template names'!#REF!</definedName>
    <definedName name="TabC4" localSheetId="35">'Template names'!#REF!</definedName>
    <definedName name="TabC4" localSheetId="59">'Template names'!#REF!</definedName>
    <definedName name="TabC4" localSheetId="60">'Template names'!#REF!</definedName>
    <definedName name="TabC4" localSheetId="64">'Template names'!#REF!</definedName>
    <definedName name="TabC4" localSheetId="29">'Template names'!#REF!</definedName>
    <definedName name="TabC4">'Template names'!#REF!</definedName>
    <definedName name="TabC5" localSheetId="33">'Template names'!#REF!</definedName>
    <definedName name="TabC5" localSheetId="34">'Template names'!#REF!</definedName>
    <definedName name="TabC5" localSheetId="35">'Template names'!#REF!</definedName>
    <definedName name="TabC5" localSheetId="59">'Template names'!#REF!</definedName>
    <definedName name="TabC5" localSheetId="60">'Template names'!#REF!</definedName>
    <definedName name="TabC5" localSheetId="64">'Template names'!#REF!</definedName>
    <definedName name="TabC5" localSheetId="29">'Template names'!#REF!</definedName>
    <definedName name="TabC5">'Template names'!#REF!</definedName>
    <definedName name="TabC6" localSheetId="33">'Template names'!#REF!</definedName>
    <definedName name="TabC6" localSheetId="34">'Template names'!#REF!</definedName>
    <definedName name="TabC6" localSheetId="35">'Template names'!#REF!</definedName>
    <definedName name="TabC6" localSheetId="59">'Template names'!#REF!</definedName>
    <definedName name="TabC6" localSheetId="60">'Template names'!#REF!</definedName>
    <definedName name="TabC6" localSheetId="64">'Template names'!#REF!</definedName>
    <definedName name="TabC6" localSheetId="29">'Template names'!#REF!</definedName>
    <definedName name="TabC6">'Template names'!#REF!</definedName>
    <definedName name="Tabc7" localSheetId="33">'Template names'!#REF!</definedName>
    <definedName name="Tabc7" localSheetId="34">'Template names'!#REF!</definedName>
    <definedName name="Tabc7" localSheetId="35">'Template names'!#REF!</definedName>
    <definedName name="Tabc7" localSheetId="59">'Template names'!#REF!</definedName>
    <definedName name="Tabc7" localSheetId="60">'Template names'!#REF!</definedName>
    <definedName name="Tabc7" localSheetId="64">'Template names'!#REF!</definedName>
    <definedName name="Tabc7" localSheetId="29">'Template names'!#REF!</definedName>
    <definedName name="Tabc7">'Template names'!#REF!</definedName>
    <definedName name="Tabc8" localSheetId="33">'Template names'!#REF!</definedName>
    <definedName name="Tabc8" localSheetId="34">'Template names'!#REF!</definedName>
    <definedName name="Tabc8" localSheetId="35">'Template names'!#REF!</definedName>
    <definedName name="Tabc8" localSheetId="59">'Template names'!#REF!</definedName>
    <definedName name="Tabc8" localSheetId="60">'Template names'!#REF!</definedName>
    <definedName name="Tabc8" localSheetId="64">'Template names'!#REF!</definedName>
    <definedName name="Tabc8" localSheetId="29">'Template names'!#REF!</definedName>
    <definedName name="Tabc8">'Template names'!#REF!</definedName>
    <definedName name="Tabc9" localSheetId="33">'Template names'!#REF!</definedName>
    <definedName name="Tabc9" localSheetId="34">'Template names'!#REF!</definedName>
    <definedName name="Tabc9" localSheetId="35">'Template names'!#REF!</definedName>
    <definedName name="Tabc9" localSheetId="59">'Template names'!#REF!</definedName>
    <definedName name="Tabc9" localSheetId="60">'Template names'!#REF!</definedName>
    <definedName name="Tabc9" localSheetId="64">'Template names'!#REF!</definedName>
    <definedName name="Tabc9" localSheetId="29">'Template names'!#REF!</definedName>
    <definedName name="Tabc9">'Template names'!#REF!</definedName>
    <definedName name="Tablc8" localSheetId="33">'Template names'!#REF!</definedName>
    <definedName name="Tablc8" localSheetId="34">'Template names'!#REF!</definedName>
    <definedName name="Tablc8" localSheetId="35">'Template names'!#REF!</definedName>
    <definedName name="Tablc8" localSheetId="59">'Template names'!#REF!</definedName>
    <definedName name="Tablc8" localSheetId="60">'Template names'!#REF!</definedName>
    <definedName name="Tablc8" localSheetId="64">'Template names'!#REF!</definedName>
    <definedName name="Tablc8" localSheetId="29">'Template names'!#REF!</definedName>
    <definedName name="Tablc8">'Template names'!#REF!</definedName>
    <definedName name="TableA1">'Template names'!$B$111</definedName>
    <definedName name="TableA10">'Template names'!$B$120</definedName>
    <definedName name="TableA11">'Template names'!$B$121</definedName>
    <definedName name="TableA12a">'Template names'!$B$122</definedName>
    <definedName name="TableA12b">'Template names'!$B$123</definedName>
    <definedName name="TableA13a">'Template names'!$B$124</definedName>
    <definedName name="TableA13b">'Template names'!$B$125</definedName>
    <definedName name="TableA14">'Template names'!$B$126</definedName>
    <definedName name="TableA15">'Template names'!$B$127</definedName>
    <definedName name="TableA16">'Template names'!$B$128</definedName>
    <definedName name="TableA17">'Template names'!$B$129</definedName>
    <definedName name="TableA18">'Template names'!$B$130</definedName>
    <definedName name="TableA19">'Template names'!$B$131</definedName>
    <definedName name="TableA2">'Template names'!$B$112</definedName>
    <definedName name="TableA20">'Template names'!$B$132</definedName>
    <definedName name="TableA21">'Template names'!$B$133</definedName>
    <definedName name="TableA22">'Template names'!$B$134</definedName>
    <definedName name="TableA23">'Template names'!$B$135</definedName>
    <definedName name="TableA24">'Template names'!$B$136</definedName>
    <definedName name="TableA25">'Template names'!$B$137</definedName>
    <definedName name="TableA26">'Template names'!$B$138</definedName>
    <definedName name="TableA27">'Template names'!$B$139</definedName>
    <definedName name="TableA28">'Template names'!$B$140</definedName>
    <definedName name="TableA29">'Template names'!$B$141</definedName>
    <definedName name="TableA3">'Template names'!$B$113</definedName>
    <definedName name="TableA30">'Template names'!$B$142</definedName>
    <definedName name="TableA31">'Template names'!$B$143</definedName>
    <definedName name="TableA32">'Template names'!$B$144</definedName>
    <definedName name="TableA33">'Template names'!$B$145</definedName>
    <definedName name="TableA34a">'Template names'!$B$146</definedName>
    <definedName name="TableA34b">'Template names'!$B$147</definedName>
    <definedName name="TableA34c">'Template names'!$B$148</definedName>
    <definedName name="TableA34d">'Template names'!$B$149</definedName>
    <definedName name="TableA34e">'Template names'!$B$150</definedName>
    <definedName name="TableA35">'Template names'!$B$151</definedName>
    <definedName name="TableA36">'Template names'!$B$152</definedName>
    <definedName name="TableA37">'Template names'!$B$153</definedName>
    <definedName name="TableA38">'Template names'!$E$154</definedName>
    <definedName name="TableA4">'Template names'!$B$114</definedName>
    <definedName name="TableA5">'Template names'!$B$115</definedName>
    <definedName name="TableA6">'Template names'!$B$116</definedName>
    <definedName name="TableA7">'Template names'!$B$117</definedName>
    <definedName name="TableA8">'Template names'!$B$118</definedName>
    <definedName name="TableA9">'Template names'!$B$119</definedName>
    <definedName name="TableD7" localSheetId="33">'Template names'!#REF!</definedName>
    <definedName name="TableD7" localSheetId="34">'Template names'!#REF!</definedName>
    <definedName name="TableD7" localSheetId="35">'Template names'!#REF!</definedName>
    <definedName name="TableD7" localSheetId="59">'Template names'!#REF!</definedName>
    <definedName name="TableD7" localSheetId="60">'Template names'!#REF!</definedName>
    <definedName name="TableD7" localSheetId="64">'Template names'!#REF!</definedName>
    <definedName name="TableD7" localSheetId="29">'Template names'!#REF!</definedName>
    <definedName name="TableD7">'Template names'!#REF!</definedName>
    <definedName name="TableD8" localSheetId="33">'Template names'!#REF!</definedName>
    <definedName name="TableD8" localSheetId="34">'Template names'!#REF!</definedName>
    <definedName name="TableD8" localSheetId="35">'Template names'!#REF!</definedName>
    <definedName name="TableD8" localSheetId="59">'Template names'!#REF!</definedName>
    <definedName name="TableD8" localSheetId="60">'Template names'!#REF!</definedName>
    <definedName name="TableD8" localSheetId="64">'Template names'!#REF!</definedName>
    <definedName name="TableD8" localSheetId="29">'Template names'!#REF!</definedName>
    <definedName name="TableD8">'Template names'!#REF!</definedName>
    <definedName name="TableE4" localSheetId="33">'Template names'!#REF!</definedName>
    <definedName name="TableE4" localSheetId="34">'Template names'!#REF!</definedName>
    <definedName name="TableE4" localSheetId="35">'Template names'!#REF!</definedName>
    <definedName name="TableE4" localSheetId="59">'Template names'!#REF!</definedName>
    <definedName name="TableE4" localSheetId="60">'Template names'!#REF!</definedName>
    <definedName name="TableE4" localSheetId="64">'Template names'!#REF!</definedName>
    <definedName name="TableE4" localSheetId="29">'Template names'!#REF!</definedName>
    <definedName name="TableE4">'Template names'!#REF!</definedName>
    <definedName name="TableE7" localSheetId="33">'Template names'!#REF!</definedName>
    <definedName name="TableE7" localSheetId="34">'Template names'!#REF!</definedName>
    <definedName name="TableE7" localSheetId="35">'Template names'!#REF!</definedName>
    <definedName name="TableE7" localSheetId="59">'Template names'!#REF!</definedName>
    <definedName name="TableE7" localSheetId="60">'Template names'!#REF!</definedName>
    <definedName name="TableE7" localSheetId="64">'Template names'!#REF!</definedName>
    <definedName name="TableE7" localSheetId="29">'Template names'!#REF!</definedName>
    <definedName name="TableE7">'Template names'!#REF!</definedName>
    <definedName name="TableE9" localSheetId="33">'Template names'!#REF!</definedName>
    <definedName name="TableE9" localSheetId="34">'Template names'!#REF!</definedName>
    <definedName name="TableE9" localSheetId="35">'Template names'!#REF!</definedName>
    <definedName name="TableE9" localSheetId="59">'Template names'!#REF!</definedName>
    <definedName name="TableE9" localSheetId="60">'Template names'!#REF!</definedName>
    <definedName name="TableE9" localSheetId="64">'Template names'!#REF!</definedName>
    <definedName name="TableE9" localSheetId="29">'Template names'!#REF!</definedName>
    <definedName name="TableE9">'Template names'!#REF!</definedName>
    <definedName name="TableF6" localSheetId="33">'Template names'!#REF!</definedName>
    <definedName name="TableF6" localSheetId="34">'Template names'!#REF!</definedName>
    <definedName name="TableF6" localSheetId="35">'Template names'!#REF!</definedName>
    <definedName name="TableF6" localSheetId="59">'Template names'!#REF!</definedName>
    <definedName name="TableF6" localSheetId="60">'Template names'!#REF!</definedName>
    <definedName name="TableF6" localSheetId="64">'Template names'!#REF!</definedName>
    <definedName name="TableF6" localSheetId="29">'Template names'!#REF!</definedName>
    <definedName name="TableF6">'Template names'!#REF!</definedName>
    <definedName name="tariffdisc05" localSheetId="33">#REF!</definedName>
    <definedName name="tariffdisc05" localSheetId="34">#REF!</definedName>
    <definedName name="tariffdisc05" localSheetId="35">#REF!</definedName>
    <definedName name="tariffdisc05" localSheetId="59">#REF!</definedName>
    <definedName name="tariffdisc05" localSheetId="60">#REF!</definedName>
    <definedName name="tariffdisc05" localSheetId="64">#REF!</definedName>
    <definedName name="tariffdisc05" localSheetId="29">#REF!</definedName>
    <definedName name="tariffdisc05">#REF!</definedName>
    <definedName name="tariffdisc06">#REF!</definedName>
    <definedName name="tariffdisc07">#REF!</definedName>
    <definedName name="tariffdisc08">#REF!</definedName>
    <definedName name="tariffdisc09">#REF!</definedName>
    <definedName name="tariffdisc10">#REF!</definedName>
    <definedName name="tariffdisc11">#REF!</definedName>
    <definedName name="tariffdisc12">#REF!</definedName>
    <definedName name="tariffdisc13">#REF!</definedName>
    <definedName name="tariffdisc14">#REF!</definedName>
    <definedName name="tariffdisc15">#REF!</definedName>
    <definedName name="tariffdisc16">#REF!</definedName>
    <definedName name="tariffdisc17">#REF!</definedName>
    <definedName name="tariffdisc18">#REF!</definedName>
    <definedName name="tariffdisc19">#REF!</definedName>
    <definedName name="tariffdisc20">#REF!</definedName>
    <definedName name="title1">#REF!</definedName>
    <definedName name="Vdesc">'Template names'!$B$32</definedName>
    <definedName name="Vote">'Org structure'!$A$2:$A$16</definedName>
    <definedName name="Vote1">'Org structure'!$D$3:$D$12</definedName>
    <definedName name="Vote10">'Org structure'!$D$102:$D$111</definedName>
    <definedName name="Vote11">'Org structure'!$D$113:$D$122</definedName>
    <definedName name="Vote12">'Org structure'!$D$124:$D$133</definedName>
    <definedName name="Vote13">'Org structure'!$D$135:$D$144</definedName>
    <definedName name="Vote14">'Org structure'!$D$146:$D$155</definedName>
    <definedName name="Vote15">'Org structure'!$D$157:$D$166</definedName>
    <definedName name="Vote2">'Org structure'!$D$14:$D$23</definedName>
    <definedName name="Vote3">'Org structure'!$D$25:$D$34</definedName>
    <definedName name="Vote4">'Org structure'!$D$36:$D$45</definedName>
    <definedName name="Vote5">'Org structure'!$D$47:$D$56</definedName>
    <definedName name="Vote6">'Org structure'!$D$58:$D$67</definedName>
    <definedName name="Vote7">'Org structure'!$D$69:$D$78</definedName>
    <definedName name="Vote8">'Org structure'!$D$80:$D$89</definedName>
    <definedName name="Vote9">'Org structure'!$D$91:$D$100</definedName>
    <definedName name="Votes">#REF!</definedName>
    <definedName name="yrend">[1]Data!$B$3</definedName>
  </definedNames>
  <calcPr calcId="191029"/>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7" i="249" l="1"/>
  <c r="A19" i="249"/>
  <c r="A18" i="249"/>
  <c r="A17" i="249"/>
  <c r="A16" i="249"/>
  <c r="A12" i="249"/>
  <c r="A11" i="249"/>
  <c r="A10" i="249"/>
  <c r="A9" i="249"/>
  <c r="C135" i="248" l="1"/>
  <c r="D135" i="248"/>
  <c r="E135" i="248"/>
  <c r="F135" i="248"/>
  <c r="G135" i="248"/>
  <c r="H135" i="248"/>
  <c r="I135" i="248"/>
  <c r="J135" i="248"/>
  <c r="K136" i="248"/>
  <c r="K135" i="248"/>
  <c r="J136" i="248"/>
  <c r="I30" i="127"/>
  <c r="I28" i="127"/>
  <c r="H30" i="127"/>
  <c r="H28" i="127"/>
  <c r="G30" i="127"/>
  <c r="G28" i="127"/>
  <c r="F30" i="127"/>
  <c r="F28" i="127"/>
  <c r="I55" i="255"/>
  <c r="I54" i="255"/>
  <c r="I53" i="255"/>
  <c r="I52" i="255"/>
  <c r="I51" i="255"/>
  <c r="I50" i="255"/>
  <c r="I49" i="255"/>
  <c r="I48" i="255"/>
  <c r="I47" i="255"/>
  <c r="I46" i="255"/>
  <c r="I45" i="255"/>
  <c r="I44" i="255"/>
  <c r="I43" i="255"/>
  <c r="I42" i="255"/>
  <c r="I41" i="255"/>
  <c r="I40" i="255"/>
  <c r="I39" i="255"/>
  <c r="I38" i="255"/>
  <c r="I37" i="255"/>
  <c r="I30" i="255"/>
  <c r="I24" i="255"/>
  <c r="I18" i="255"/>
  <c r="I12" i="255"/>
  <c r="I7" i="255"/>
  <c r="I46" i="127"/>
  <c r="I44" i="127"/>
  <c r="I42" i="127"/>
  <c r="I40" i="127"/>
  <c r="I39" i="127"/>
  <c r="I38" i="127"/>
  <c r="I26" i="127"/>
  <c r="I25" i="127"/>
  <c r="I20" i="127"/>
  <c r="I18" i="127"/>
  <c r="I17" i="127"/>
  <c r="I16" i="127"/>
  <c r="I15" i="127"/>
  <c r="I14" i="127"/>
  <c r="I13" i="127"/>
  <c r="I12" i="127"/>
  <c r="I11" i="127"/>
  <c r="I73" i="126" a="1"/>
  <c r="I73" i="126" s="1"/>
  <c r="I72" i="126" a="1"/>
  <c r="I72" i="126" s="1"/>
  <c r="I69" i="126" a="1"/>
  <c r="I69" i="126" s="1"/>
  <c r="I68" i="126" a="1"/>
  <c r="I68" i="126" s="1"/>
  <c r="I67" i="126" a="1"/>
  <c r="I67" i="126" s="1"/>
  <c r="I66" i="126" a="1"/>
  <c r="I66" i="126" s="1"/>
  <c r="I62" i="126" a="1"/>
  <c r="I62" i="126" s="1"/>
  <c r="I61" i="126" a="1"/>
  <c r="I61" i="126" s="1"/>
  <c r="I60" i="126" a="1"/>
  <c r="I60" i="126" s="1"/>
  <c r="I59" i="126" a="1"/>
  <c r="I59" i="126" s="1"/>
  <c r="I58" i="126" a="1"/>
  <c r="I58" i="126" s="1"/>
  <c r="I56" i="126" a="1"/>
  <c r="I56" i="126" s="1"/>
  <c r="I55" i="126" a="1"/>
  <c r="I55" i="126" s="1"/>
  <c r="I54" i="126" a="1"/>
  <c r="I54" i="126" s="1"/>
  <c r="I52" i="126" a="1"/>
  <c r="I52" i="126" s="1"/>
  <c r="I51" i="126" a="1"/>
  <c r="I51" i="126" s="1"/>
  <c r="I50" i="126" a="1"/>
  <c r="I50" i="126" s="1"/>
  <c r="I49" i="126" a="1"/>
  <c r="I49" i="126" s="1"/>
  <c r="I48" i="126" a="1"/>
  <c r="I48" i="126" s="1"/>
  <c r="I46" i="126" a="1"/>
  <c r="I46" i="126" s="1"/>
  <c r="I45" i="126" a="1"/>
  <c r="I45" i="126" s="1"/>
  <c r="I44" i="126" a="1"/>
  <c r="I44" i="126" s="1"/>
  <c r="P36" i="95"/>
  <c r="P31" i="95" a="1"/>
  <c r="P31" i="95" s="1"/>
  <c r="P30" i="95" a="1"/>
  <c r="P30" i="95" s="1"/>
  <c r="P28" i="95" a="1"/>
  <c r="P28" i="95" s="1"/>
  <c r="O31" i="95" a="1"/>
  <c r="O31" i="95" s="1"/>
  <c r="O30" i="95" a="1"/>
  <c r="O30" i="95" s="1"/>
  <c r="O28" i="95" a="1"/>
  <c r="O28" i="95" s="1"/>
  <c r="N31" i="95" a="1"/>
  <c r="N31" i="95" s="1"/>
  <c r="N30" i="95" a="1"/>
  <c r="N30" i="95" s="1"/>
  <c r="N28" i="95" a="1"/>
  <c r="N28" i="95" s="1"/>
  <c r="L109" i="128"/>
  <c r="L110" i="128"/>
  <c r="K109" i="128"/>
  <c r="K110" i="128"/>
  <c r="J109" i="128"/>
  <c r="J110" i="128"/>
  <c r="I109" i="128"/>
  <c r="I110" i="128"/>
  <c r="H109" i="128"/>
  <c r="H110" i="128"/>
  <c r="G109" i="128"/>
  <c r="G110" i="128"/>
  <c r="F109" i="128"/>
  <c r="F110" i="128"/>
  <c r="E109" i="128"/>
  <c r="E110" i="128"/>
  <c r="D109" i="128"/>
  <c r="D110" i="128"/>
  <c r="L102" i="128"/>
  <c r="L103" i="128"/>
  <c r="K102" i="128"/>
  <c r="K103" i="128"/>
  <c r="J102" i="128"/>
  <c r="J103" i="128"/>
  <c r="I102" i="128"/>
  <c r="I103" i="128"/>
  <c r="H102" i="128"/>
  <c r="H103" i="128"/>
  <c r="G102" i="128"/>
  <c r="G103" i="128"/>
  <c r="F102" i="128"/>
  <c r="F103" i="128"/>
  <c r="E102" i="128"/>
  <c r="E103" i="128"/>
  <c r="D102" i="128"/>
  <c r="D103" i="128"/>
  <c r="L96" i="128"/>
  <c r="L97" i="128"/>
  <c r="K96" i="128"/>
  <c r="K97" i="128"/>
  <c r="J96" i="128"/>
  <c r="J97" i="128"/>
  <c r="I96" i="128"/>
  <c r="I97" i="128"/>
  <c r="H96" i="128"/>
  <c r="H97" i="128"/>
  <c r="G96" i="128"/>
  <c r="G97" i="128"/>
  <c r="F96" i="128"/>
  <c r="F97" i="128"/>
  <c r="E96" i="128"/>
  <c r="E97" i="128"/>
  <c r="D96" i="128"/>
  <c r="D97" i="128"/>
  <c r="L88" i="128"/>
  <c r="L89" i="128"/>
  <c r="K88" i="128"/>
  <c r="K89" i="128"/>
  <c r="J88" i="128"/>
  <c r="J89" i="128"/>
  <c r="I88" i="128"/>
  <c r="I89" i="128"/>
  <c r="H88" i="128"/>
  <c r="H89" i="128"/>
  <c r="G88" i="128"/>
  <c r="G89" i="128"/>
  <c r="F88" i="128"/>
  <c r="F89" i="128"/>
  <c r="E88" i="128"/>
  <c r="E89" i="128"/>
  <c r="D88" i="128"/>
  <c r="D89" i="128"/>
  <c r="L80" i="128"/>
  <c r="L81" i="128"/>
  <c r="K80" i="128"/>
  <c r="K81" i="128"/>
  <c r="J80" i="128"/>
  <c r="J81" i="128"/>
  <c r="I80" i="128"/>
  <c r="I81" i="128"/>
  <c r="H80" i="128"/>
  <c r="H81" i="128"/>
  <c r="G80" i="128"/>
  <c r="G81" i="128"/>
  <c r="F80" i="128"/>
  <c r="F81" i="128"/>
  <c r="E80" i="128"/>
  <c r="E81" i="128"/>
  <c r="D80" i="128"/>
  <c r="D81" i="128"/>
  <c r="L72" i="128"/>
  <c r="L73" i="128"/>
  <c r="K72" i="128"/>
  <c r="K73" i="128"/>
  <c r="J72" i="128"/>
  <c r="J73" i="128"/>
  <c r="I72" i="128"/>
  <c r="I73" i="128"/>
  <c r="H72" i="128"/>
  <c r="H73" i="128"/>
  <c r="G72" i="128"/>
  <c r="G73" i="128"/>
  <c r="F72" i="128"/>
  <c r="F73" i="128"/>
  <c r="E72" i="128"/>
  <c r="E73" i="128"/>
  <c r="D72" i="128"/>
  <c r="D73" i="128"/>
  <c r="L65" i="128"/>
  <c r="L66" i="128"/>
  <c r="K65" i="128"/>
  <c r="K66" i="128"/>
  <c r="J65" i="128"/>
  <c r="J66" i="128"/>
  <c r="I65" i="128"/>
  <c r="I66" i="128"/>
  <c r="H65" i="128"/>
  <c r="H66" i="128"/>
  <c r="G65" i="128"/>
  <c r="G66" i="128"/>
  <c r="F65" i="128"/>
  <c r="F66" i="128"/>
  <c r="E65" i="128"/>
  <c r="E66" i="128"/>
  <c r="D65" i="128"/>
  <c r="D66" i="128"/>
  <c r="C66" i="128"/>
  <c r="L179" i="255"/>
  <c r="AE9" i="349" a="1"/>
  <c r="AE9" i="349" s="1"/>
  <c r="AE10" i="349" a="1"/>
  <c r="AE10" i="349" s="1"/>
  <c r="AE11" i="349" a="1"/>
  <c r="AE11" i="349" s="1"/>
  <c r="AE12" i="349" a="1"/>
  <c r="AE12" i="349" s="1"/>
  <c r="AE13" i="349" a="1"/>
  <c r="AE13" i="349" s="1"/>
  <c r="AE14" i="349" a="1"/>
  <c r="AE14" i="349" s="1"/>
  <c r="AE15" i="349" a="1"/>
  <c r="AE15" i="349" s="1"/>
  <c r="AE16" i="349" a="1"/>
  <c r="AE16" i="349" s="1"/>
  <c r="AE17" i="349" a="1"/>
  <c r="AE17" i="349" s="1"/>
  <c r="AE18" i="349" a="1"/>
  <c r="AE18" i="349" s="1"/>
  <c r="AE19" i="349" a="1"/>
  <c r="AE19" i="349" s="1"/>
  <c r="AE20" i="349" a="1"/>
  <c r="AE20" i="349" s="1"/>
  <c r="AE21" i="349" a="1"/>
  <c r="AE21" i="349" s="1"/>
  <c r="AE22" i="349" a="1"/>
  <c r="AE22" i="349" s="1"/>
  <c r="AE23" i="349" a="1"/>
  <c r="AE23" i="349" s="1"/>
  <c r="AE24" i="349" a="1"/>
  <c r="AE24" i="349" s="1"/>
  <c r="AE25" i="349" a="1"/>
  <c r="AE25" i="349" s="1"/>
  <c r="AE26" i="349" a="1"/>
  <c r="AE26" i="349" s="1"/>
  <c r="AE27" i="349" a="1"/>
  <c r="AE27" i="349" s="1"/>
  <c r="AE28" i="349" a="1"/>
  <c r="AE28" i="349" s="1"/>
  <c r="AE29" i="349" a="1"/>
  <c r="AE29" i="349" s="1"/>
  <c r="AE30" i="349" a="1"/>
  <c r="AE30" i="349" s="1"/>
  <c r="AE31" i="349" a="1"/>
  <c r="AE31" i="349" s="1"/>
  <c r="AE32" i="349" a="1"/>
  <c r="AE32" i="349" s="1"/>
  <c r="AE33" i="349" a="1"/>
  <c r="AE33" i="349" s="1"/>
  <c r="AE34" i="349" a="1"/>
  <c r="AE34" i="349" s="1"/>
  <c r="AE35" i="349" a="1"/>
  <c r="AE35" i="349" s="1"/>
  <c r="AE36" i="349" a="1"/>
  <c r="AE36" i="349" s="1"/>
  <c r="AE37" i="349" a="1"/>
  <c r="AE37" i="349" s="1"/>
  <c r="AE38" i="349" a="1"/>
  <c r="AE38" i="349" s="1"/>
  <c r="AE39" i="349" a="1"/>
  <c r="AE39" i="349" s="1"/>
  <c r="AE40" i="349" a="1"/>
  <c r="AE40" i="349" s="1"/>
  <c r="AE41" i="349" a="1"/>
  <c r="AE41" i="349" s="1"/>
  <c r="AE42" i="349" a="1"/>
  <c r="AE42" i="349" s="1"/>
  <c r="AE43" i="349" a="1"/>
  <c r="AE43" i="349" s="1"/>
  <c r="AE44" i="349" a="1"/>
  <c r="AE44" i="349" s="1"/>
  <c r="AE45" i="349" a="1"/>
  <c r="AE45" i="349" s="1"/>
  <c r="AE46" i="349" a="1"/>
  <c r="AE46" i="349" s="1"/>
  <c r="AE47" i="349" a="1"/>
  <c r="AE47" i="349" s="1"/>
  <c r="AE48" i="349" a="1"/>
  <c r="AE48" i="349" s="1"/>
  <c r="AE49" i="349" a="1"/>
  <c r="AE49" i="349" s="1"/>
  <c r="AE50" i="349" a="1"/>
  <c r="AE50" i="349" s="1"/>
  <c r="AE51" i="349" a="1"/>
  <c r="AE51" i="349" s="1"/>
  <c r="AE52" i="349" a="1"/>
  <c r="AE52" i="349" s="1"/>
  <c r="AE53" i="349" a="1"/>
  <c r="AE53" i="349" s="1"/>
  <c r="AE54" i="349" a="1"/>
  <c r="AE54" i="349" s="1"/>
  <c r="AE55" i="349" a="1"/>
  <c r="AE55" i="349" s="1"/>
  <c r="AE56" i="349" a="1"/>
  <c r="AE56" i="349" s="1"/>
  <c r="AE57" i="349" a="1"/>
  <c r="AE57" i="349" s="1"/>
  <c r="AE58" i="349" a="1"/>
  <c r="AE58" i="349" s="1"/>
  <c r="AE59" i="349" a="1"/>
  <c r="AE59" i="349" s="1"/>
  <c r="AE60" i="349" a="1"/>
  <c r="AE60" i="349" s="1"/>
  <c r="AE61" i="349" a="1"/>
  <c r="AE61" i="349" s="1"/>
  <c r="AE62" i="349" a="1"/>
  <c r="AE62" i="349" s="1"/>
  <c r="AE63" i="349" a="1"/>
  <c r="AE63" i="349" s="1"/>
  <c r="AE64" i="349" a="1"/>
  <c r="AE64" i="349" s="1"/>
  <c r="AE65" i="349" a="1"/>
  <c r="AE65" i="349" s="1"/>
  <c r="AE66" i="349" a="1"/>
  <c r="AE66" i="349" s="1"/>
  <c r="AE67" i="349" a="1"/>
  <c r="AE67" i="349" s="1"/>
  <c r="AE68" i="349" a="1"/>
  <c r="AE68" i="349" s="1"/>
  <c r="AE69" i="349" a="1"/>
  <c r="AE69" i="349" s="1"/>
  <c r="AE70" i="349" a="1"/>
  <c r="AE70" i="349" s="1"/>
  <c r="AE71" i="349" a="1"/>
  <c r="AE71" i="349" s="1"/>
  <c r="AE72" i="349" a="1"/>
  <c r="AE72" i="349" s="1"/>
  <c r="AE73" i="349" a="1"/>
  <c r="AE73" i="349" s="1"/>
  <c r="AE74" i="349" a="1"/>
  <c r="AE74" i="349" s="1"/>
  <c r="AE75" i="349" a="1"/>
  <c r="AE75" i="349" s="1"/>
  <c r="AE76" i="349" a="1"/>
  <c r="AE76" i="349" s="1"/>
  <c r="AE77" i="349" a="1"/>
  <c r="AE77" i="349" s="1"/>
  <c r="AE78" i="349" a="1"/>
  <c r="AE78" i="349" s="1"/>
  <c r="AE79" i="349" a="1"/>
  <c r="AE79" i="349" s="1"/>
  <c r="AE80" i="349" a="1"/>
  <c r="AE80" i="349" s="1"/>
  <c r="AE81" i="349" a="1"/>
  <c r="AE81" i="349" s="1"/>
  <c r="AE82" i="349" a="1"/>
  <c r="AE82" i="349" s="1"/>
  <c r="AE83" i="349" a="1"/>
  <c r="AE83" i="349" s="1"/>
  <c r="AE84" i="349" a="1"/>
  <c r="AE84" i="349" s="1"/>
  <c r="AE85" i="349" a="1"/>
  <c r="AE85" i="349" s="1"/>
  <c r="AE86" i="349" a="1"/>
  <c r="AE86" i="349" s="1"/>
  <c r="AE87" i="349" a="1"/>
  <c r="AE87" i="349" s="1"/>
  <c r="AE88" i="349" a="1"/>
  <c r="AE88" i="349" s="1"/>
  <c r="AE89" i="349" a="1"/>
  <c r="AE89" i="349" s="1"/>
  <c r="AE90" i="349" a="1"/>
  <c r="AE90" i="349" s="1"/>
  <c r="AE91" i="349" a="1"/>
  <c r="AE91" i="349" s="1"/>
  <c r="AE92" i="349" a="1"/>
  <c r="AE92" i="349" s="1"/>
  <c r="AE93" i="349" a="1"/>
  <c r="AE93" i="349" s="1"/>
  <c r="AE94" i="349" a="1"/>
  <c r="AE94" i="349" s="1"/>
  <c r="AE95" i="349" a="1"/>
  <c r="AE95" i="349" s="1"/>
  <c r="AE96" i="349" a="1"/>
  <c r="AE96" i="349" s="1"/>
  <c r="AE97" i="349" a="1"/>
  <c r="AE97" i="349" s="1"/>
  <c r="AE98" i="349" a="1"/>
  <c r="AE98" i="349" s="1"/>
  <c r="AE99" i="349" a="1"/>
  <c r="AE99" i="349" s="1"/>
  <c r="AE100" i="349" a="1"/>
  <c r="AE100" i="349" s="1"/>
  <c r="AE101" i="349" a="1"/>
  <c r="AE101" i="349" s="1"/>
  <c r="AE102" i="349" a="1"/>
  <c r="AE102" i="349" s="1"/>
  <c r="AE103" i="349" a="1"/>
  <c r="AE103" i="349" s="1"/>
  <c r="AE104" i="349" a="1"/>
  <c r="AE104" i="349" s="1"/>
  <c r="AE105" i="349" a="1"/>
  <c r="AE105" i="349" s="1"/>
  <c r="AE106" i="349" a="1"/>
  <c r="AE106" i="349" s="1"/>
  <c r="AE107" i="349" a="1"/>
  <c r="AE107" i="349" s="1"/>
  <c r="AE108" i="349" a="1"/>
  <c r="AE108" i="349" s="1"/>
  <c r="AE109" i="349" a="1"/>
  <c r="AE109" i="349" s="1"/>
  <c r="AE110" i="349" a="1"/>
  <c r="AE110" i="349" s="1"/>
  <c r="AE111" i="349" a="1"/>
  <c r="AE111" i="349" s="1"/>
  <c r="AE112" i="349" a="1"/>
  <c r="AE112" i="349" s="1"/>
  <c r="AE113" i="349" a="1"/>
  <c r="AE113" i="349" s="1"/>
  <c r="AE114" i="349" a="1"/>
  <c r="AE114" i="349" s="1"/>
  <c r="AE115" i="349" a="1"/>
  <c r="AE115" i="349" s="1"/>
  <c r="AE116" i="349" a="1"/>
  <c r="AE116" i="349" s="1"/>
  <c r="AE117" i="349" a="1"/>
  <c r="AE117" i="349" s="1"/>
  <c r="AE118" i="349" a="1"/>
  <c r="AE118" i="349" s="1"/>
  <c r="AE119" i="349" a="1"/>
  <c r="AE119" i="349" s="1"/>
  <c r="AE120" i="349" a="1"/>
  <c r="AE120" i="349" s="1"/>
  <c r="AE121" i="349" a="1"/>
  <c r="AE121" i="349" s="1"/>
  <c r="AE122" i="349" a="1"/>
  <c r="AE122" i="349" s="1"/>
  <c r="AE123" i="349" a="1"/>
  <c r="AE123" i="349" s="1"/>
  <c r="AE124" i="349" a="1"/>
  <c r="AE124" i="349" s="1"/>
  <c r="AE125" i="349" a="1"/>
  <c r="AE125" i="349" s="1"/>
  <c r="AE126" i="349" a="1"/>
  <c r="AE126" i="349" s="1"/>
  <c r="AE127" i="349" a="1"/>
  <c r="AE127" i="349" s="1"/>
  <c r="AE128" i="349" a="1"/>
  <c r="AE128" i="349" s="1"/>
  <c r="AE129" i="349" a="1"/>
  <c r="AE129" i="349" s="1"/>
  <c r="AE130" i="349" a="1"/>
  <c r="AE130" i="349" s="1"/>
  <c r="AE131" i="349" a="1"/>
  <c r="AE131" i="349" s="1"/>
  <c r="AE132" i="349" a="1"/>
  <c r="AE132" i="349" s="1"/>
  <c r="AE133" i="349" a="1"/>
  <c r="AE133" i="349" s="1"/>
  <c r="AE134" i="349" a="1"/>
  <c r="AE134" i="349" s="1"/>
  <c r="AE135" i="349" a="1"/>
  <c r="AE135" i="349" s="1"/>
  <c r="AE136" i="349" a="1"/>
  <c r="AE136" i="349" s="1"/>
  <c r="AE137" i="349" a="1"/>
  <c r="AE137" i="349" s="1"/>
  <c r="AE138" i="349" a="1"/>
  <c r="AE138" i="349" s="1"/>
  <c r="AE139" i="349" a="1"/>
  <c r="AE139" i="349" s="1"/>
  <c r="AE140" i="349" a="1"/>
  <c r="AE140" i="349" s="1"/>
  <c r="AE141" i="349" a="1"/>
  <c r="AE141" i="349" s="1"/>
  <c r="AE142" i="349" a="1"/>
  <c r="AE142" i="349" s="1"/>
  <c r="AE143" i="349" a="1"/>
  <c r="AE143" i="349" s="1"/>
  <c r="AE144" i="349" a="1"/>
  <c r="AE144" i="349" s="1"/>
  <c r="AE145" i="349" a="1"/>
  <c r="AE145" i="349" s="1"/>
  <c r="AE146" i="349" a="1"/>
  <c r="AE146" i="349" s="1"/>
  <c r="AE147" i="349" a="1"/>
  <c r="AE147" i="349" s="1"/>
  <c r="AE148" i="349" a="1"/>
  <c r="AE148" i="349" s="1"/>
  <c r="AE149" i="349" a="1"/>
  <c r="AE149" i="349" s="1"/>
  <c r="AE150" i="349" a="1"/>
  <c r="AE150" i="349" s="1"/>
  <c r="AE151" i="349" a="1"/>
  <c r="AE151" i="349" s="1"/>
  <c r="AE152" i="349" a="1"/>
  <c r="AE152" i="349" s="1"/>
  <c r="AE153" i="349" a="1"/>
  <c r="AE153" i="349" s="1"/>
  <c r="AE154" i="349" a="1"/>
  <c r="AE154" i="349" s="1"/>
  <c r="AE155" i="349" a="1"/>
  <c r="AE155" i="349" s="1"/>
  <c r="AE156" i="349" a="1"/>
  <c r="AE156" i="349" s="1"/>
  <c r="AE157" i="349" a="1"/>
  <c r="AE157" i="349" s="1"/>
  <c r="AE158" i="349" a="1"/>
  <c r="AE158" i="349" s="1"/>
  <c r="AE159" i="349" a="1"/>
  <c r="AE159" i="349" s="1"/>
  <c r="AE160" i="349" a="1"/>
  <c r="AE160" i="349" s="1"/>
  <c r="AE161" i="349" a="1"/>
  <c r="AE161" i="349" s="1"/>
  <c r="AE162" i="349" a="1"/>
  <c r="AE162" i="349" s="1"/>
  <c r="AE163" i="349" a="1"/>
  <c r="AE163" i="349" s="1"/>
  <c r="AE164" i="349" a="1"/>
  <c r="AE164" i="349" s="1"/>
  <c r="AE165" i="349" a="1"/>
  <c r="AE165" i="349" s="1"/>
  <c r="AE166" i="349" a="1"/>
  <c r="AE166" i="349" s="1"/>
  <c r="AE8" i="349" a="1"/>
  <c r="AE8" i="349" s="1"/>
  <c r="G40" i="246"/>
  <c r="Q40" i="246"/>
  <c r="Q39" i="246"/>
  <c r="Q38" i="246"/>
  <c r="Q34" i="246"/>
  <c r="Q33" i="246"/>
  <c r="Q32" i="246"/>
  <c r="Q31" i="246"/>
  <c r="Q30" i="246"/>
  <c r="Q29" i="246"/>
  <c r="Q28" i="246"/>
  <c r="Q27" i="246"/>
  <c r="Q26" i="246"/>
  <c r="Q25" i="246"/>
  <c r="Q24" i="246"/>
  <c r="Q20" i="246"/>
  <c r="Q19" i="246"/>
  <c r="Q18" i="246"/>
  <c r="Q17" i="246"/>
  <c r="Q16" i="246"/>
  <c r="Q15" i="246"/>
  <c r="Q14" i="246"/>
  <c r="Q13" i="246"/>
  <c r="Q12" i="246"/>
  <c r="Q11" i="246"/>
  <c r="Q10" i="246"/>
  <c r="Q9" i="246"/>
  <c r="Q8" i="246"/>
  <c r="Q7" i="246"/>
  <c r="Q6" i="246"/>
  <c r="Q5" i="246"/>
  <c r="P40" i="246"/>
  <c r="P39" i="246"/>
  <c r="P38" i="246"/>
  <c r="P34" i="246"/>
  <c r="P33" i="246"/>
  <c r="P32" i="246"/>
  <c r="P31" i="246"/>
  <c r="P30" i="246"/>
  <c r="P29" i="246"/>
  <c r="P28" i="246"/>
  <c r="P27" i="246"/>
  <c r="P26" i="246"/>
  <c r="P25" i="246"/>
  <c r="P24" i="246"/>
  <c r="P20" i="246"/>
  <c r="P19" i="246"/>
  <c r="P18" i="246"/>
  <c r="P17" i="246"/>
  <c r="P16" i="246"/>
  <c r="P15" i="246"/>
  <c r="P14" i="246"/>
  <c r="P13" i="246"/>
  <c r="P12" i="246"/>
  <c r="P11" i="246"/>
  <c r="P10" i="246"/>
  <c r="P9" i="246"/>
  <c r="P8" i="246"/>
  <c r="P7" i="246"/>
  <c r="P6" i="246"/>
  <c r="P5" i="246"/>
  <c r="O40" i="246"/>
  <c r="O39" i="246"/>
  <c r="O38" i="246"/>
  <c r="O34" i="246"/>
  <c r="O33" i="246"/>
  <c r="O32" i="246"/>
  <c r="O31" i="246"/>
  <c r="O30" i="246"/>
  <c r="O29" i="246"/>
  <c r="O28" i="246"/>
  <c r="O27" i="246"/>
  <c r="O26" i="246"/>
  <c r="O25" i="246"/>
  <c r="O24" i="246"/>
  <c r="O20" i="246"/>
  <c r="O19" i="246"/>
  <c r="O18" i="246"/>
  <c r="O17" i="246"/>
  <c r="O16" i="246"/>
  <c r="O15" i="246"/>
  <c r="O14" i="246"/>
  <c r="O13" i="246"/>
  <c r="O12" i="246"/>
  <c r="O11" i="246"/>
  <c r="O10" i="246"/>
  <c r="O9" i="246"/>
  <c r="O8" i="246"/>
  <c r="O7" i="246"/>
  <c r="O6" i="246"/>
  <c r="O5" i="246"/>
  <c r="N40" i="246"/>
  <c r="N39" i="246"/>
  <c r="N38" i="246"/>
  <c r="N34" i="246"/>
  <c r="N33" i="246"/>
  <c r="N32" i="246"/>
  <c r="N31" i="246"/>
  <c r="N30" i="246"/>
  <c r="N29" i="246"/>
  <c r="N28" i="246"/>
  <c r="N27" i="246"/>
  <c r="N26" i="246"/>
  <c r="N25" i="246"/>
  <c r="N24" i="246"/>
  <c r="N20" i="246"/>
  <c r="N19" i="246"/>
  <c r="N18" i="246"/>
  <c r="N17" i="246"/>
  <c r="N16" i="246"/>
  <c r="N15" i="246"/>
  <c r="N14" i="246"/>
  <c r="N13" i="246"/>
  <c r="N12" i="246"/>
  <c r="N11" i="246"/>
  <c r="N10" i="246"/>
  <c r="N9" i="246"/>
  <c r="N8" i="246"/>
  <c r="N7" i="246"/>
  <c r="N6" i="246"/>
  <c r="N5" i="246"/>
  <c r="M40" i="246"/>
  <c r="M39" i="246"/>
  <c r="M38" i="246"/>
  <c r="M34" i="246"/>
  <c r="M33" i="246"/>
  <c r="M32" i="246"/>
  <c r="M31" i="246"/>
  <c r="M30" i="246"/>
  <c r="M29" i="246"/>
  <c r="M28" i="246"/>
  <c r="M27" i="246"/>
  <c r="M26" i="246"/>
  <c r="M25" i="246"/>
  <c r="M24" i="246"/>
  <c r="M20" i="246"/>
  <c r="M19" i="246"/>
  <c r="M18" i="246"/>
  <c r="M17" i="246"/>
  <c r="M16" i="246"/>
  <c r="M15" i="246"/>
  <c r="M14" i="246"/>
  <c r="M13" i="246"/>
  <c r="M12" i="246"/>
  <c r="M11" i="246"/>
  <c r="M10" i="246"/>
  <c r="M9" i="246"/>
  <c r="M8" i="246"/>
  <c r="M7" i="246"/>
  <c r="M6" i="246"/>
  <c r="M5" i="246"/>
  <c r="L40" i="246"/>
  <c r="L39" i="246"/>
  <c r="L38" i="246"/>
  <c r="L34" i="246"/>
  <c r="L33" i="246"/>
  <c r="L32" i="246"/>
  <c r="L31" i="246"/>
  <c r="L30" i="246"/>
  <c r="L29" i="246"/>
  <c r="L28" i="246"/>
  <c r="L27" i="246"/>
  <c r="L26" i="246"/>
  <c r="L25" i="246"/>
  <c r="L24" i="246"/>
  <c r="L20" i="246"/>
  <c r="L19" i="246"/>
  <c r="L18" i="246"/>
  <c r="L17" i="246"/>
  <c r="L16" i="246"/>
  <c r="L15" i="246"/>
  <c r="L14" i="246"/>
  <c r="L13" i="246"/>
  <c r="L12" i="246"/>
  <c r="L11" i="246"/>
  <c r="L10" i="246"/>
  <c r="L9" i="246"/>
  <c r="L8" i="246"/>
  <c r="L7" i="246"/>
  <c r="L6" i="246"/>
  <c r="L5" i="246"/>
  <c r="K40" i="246"/>
  <c r="K39" i="246"/>
  <c r="K38" i="246"/>
  <c r="K34" i="246"/>
  <c r="K33" i="246"/>
  <c r="K32" i="246"/>
  <c r="K31" i="246"/>
  <c r="K30" i="246"/>
  <c r="K29" i="246"/>
  <c r="K28" i="246"/>
  <c r="K27" i="246"/>
  <c r="K26" i="246"/>
  <c r="K25" i="246"/>
  <c r="K24" i="246"/>
  <c r="K20" i="246"/>
  <c r="K19" i="246"/>
  <c r="K18" i="246"/>
  <c r="K17" i="246"/>
  <c r="K16" i="246"/>
  <c r="K15" i="246"/>
  <c r="K14" i="246"/>
  <c r="K13" i="246"/>
  <c r="K12" i="246"/>
  <c r="K11" i="246"/>
  <c r="K10" i="246"/>
  <c r="K9" i="246"/>
  <c r="K8" i="246"/>
  <c r="K7" i="246"/>
  <c r="K6" i="246"/>
  <c r="K5" i="246"/>
  <c r="J40" i="246"/>
  <c r="J39" i="246"/>
  <c r="J38" i="246"/>
  <c r="J34" i="246"/>
  <c r="J33" i="246"/>
  <c r="J32" i="246"/>
  <c r="J31" i="246"/>
  <c r="J30" i="246"/>
  <c r="J29" i="246"/>
  <c r="J28" i="246"/>
  <c r="J27" i="246"/>
  <c r="J26" i="246"/>
  <c r="J25" i="246"/>
  <c r="J24" i="246"/>
  <c r="J20" i="246"/>
  <c r="J19" i="246"/>
  <c r="J18" i="246"/>
  <c r="J17" i="246"/>
  <c r="J16" i="246"/>
  <c r="J15" i="246"/>
  <c r="J14" i="246"/>
  <c r="J13" i="246"/>
  <c r="J12" i="246"/>
  <c r="J11" i="246"/>
  <c r="J10" i="246"/>
  <c r="J9" i="246"/>
  <c r="J8" i="246"/>
  <c r="J7" i="246"/>
  <c r="J6" i="246"/>
  <c r="J5" i="246"/>
  <c r="I40" i="246"/>
  <c r="I39" i="246"/>
  <c r="I38" i="246"/>
  <c r="I34" i="246"/>
  <c r="I33" i="246"/>
  <c r="I32" i="246"/>
  <c r="I31" i="246"/>
  <c r="I30" i="246"/>
  <c r="I29" i="246"/>
  <c r="I28" i="246"/>
  <c r="I27" i="246"/>
  <c r="I26" i="246"/>
  <c r="I25" i="246"/>
  <c r="I24" i="246"/>
  <c r="I20" i="246"/>
  <c r="I19" i="246"/>
  <c r="I18" i="246"/>
  <c r="I17" i="246"/>
  <c r="I16" i="246"/>
  <c r="I15" i="246"/>
  <c r="I14" i="246"/>
  <c r="I13" i="246"/>
  <c r="I12" i="246"/>
  <c r="I11" i="246"/>
  <c r="I10" i="246"/>
  <c r="I9" i="246"/>
  <c r="I8" i="246"/>
  <c r="I7" i="246"/>
  <c r="I6" i="246"/>
  <c r="I5" i="246"/>
  <c r="H40" i="246"/>
  <c r="H39" i="246"/>
  <c r="H38" i="246"/>
  <c r="H34" i="246"/>
  <c r="H33" i="246"/>
  <c r="H32" i="246"/>
  <c r="H31" i="246"/>
  <c r="H30" i="246"/>
  <c r="H29" i="246"/>
  <c r="H28" i="246"/>
  <c r="H27" i="246"/>
  <c r="H26" i="246"/>
  <c r="H25" i="246"/>
  <c r="H24" i="246"/>
  <c r="H20" i="246"/>
  <c r="H19" i="246"/>
  <c r="H18" i="246"/>
  <c r="H17" i="246"/>
  <c r="H16" i="246"/>
  <c r="H15" i="246"/>
  <c r="H14" i="246"/>
  <c r="H13" i="246"/>
  <c r="H12" i="246"/>
  <c r="H11" i="246"/>
  <c r="H10" i="246"/>
  <c r="H9" i="246"/>
  <c r="H8" i="246"/>
  <c r="H7" i="246"/>
  <c r="H6" i="246"/>
  <c r="H5" i="246"/>
  <c r="G39" i="246"/>
  <c r="G38" i="246"/>
  <c r="G34" i="246"/>
  <c r="G33" i="246"/>
  <c r="G32" i="246"/>
  <c r="G31" i="246"/>
  <c r="G30" i="246"/>
  <c r="G29" i="246"/>
  <c r="G28" i="246"/>
  <c r="G27" i="246"/>
  <c r="G26" i="246"/>
  <c r="G25" i="246"/>
  <c r="G24" i="246"/>
  <c r="G20" i="246"/>
  <c r="G19" i="246"/>
  <c r="G18" i="246"/>
  <c r="G17" i="246"/>
  <c r="G16" i="246"/>
  <c r="G15" i="246"/>
  <c r="G14" i="246"/>
  <c r="G13" i="246"/>
  <c r="G12" i="246"/>
  <c r="G11" i="246"/>
  <c r="G10" i="246"/>
  <c r="G9" i="246"/>
  <c r="G8" i="246"/>
  <c r="G7" i="246"/>
  <c r="G6" i="246"/>
  <c r="G5" i="246"/>
  <c r="F40" i="246"/>
  <c r="F39" i="246"/>
  <c r="F38" i="246"/>
  <c r="F34" i="246"/>
  <c r="F33" i="246"/>
  <c r="F32" i="246"/>
  <c r="F31" i="246"/>
  <c r="F30" i="246"/>
  <c r="F29" i="246"/>
  <c r="F28" i="246"/>
  <c r="F27" i="246"/>
  <c r="F26" i="246"/>
  <c r="F25" i="246"/>
  <c r="F24" i="246"/>
  <c r="F20" i="246"/>
  <c r="F19" i="246"/>
  <c r="F18" i="246"/>
  <c r="F17" i="246"/>
  <c r="F16" i="246"/>
  <c r="F15" i="246"/>
  <c r="F14" i="246"/>
  <c r="F13" i="246"/>
  <c r="F12" i="246"/>
  <c r="F11" i="246"/>
  <c r="F10" i="246"/>
  <c r="F9" i="246"/>
  <c r="F8" i="246"/>
  <c r="F7" i="246"/>
  <c r="F6" i="246"/>
  <c r="F5" i="246"/>
  <c r="E40" i="246"/>
  <c r="E39" i="246"/>
  <c r="E38" i="246"/>
  <c r="E34" i="246"/>
  <c r="E33" i="246"/>
  <c r="E32" i="246"/>
  <c r="E31" i="246"/>
  <c r="E30" i="246"/>
  <c r="E29" i="246"/>
  <c r="E28" i="246"/>
  <c r="E27" i="246"/>
  <c r="E26" i="246"/>
  <c r="E25" i="246"/>
  <c r="E24" i="246"/>
  <c r="E20" i="246"/>
  <c r="E19" i="246"/>
  <c r="E18" i="246"/>
  <c r="E17" i="246"/>
  <c r="E16" i="246"/>
  <c r="E15" i="246"/>
  <c r="E14" i="246"/>
  <c r="E13" i="246"/>
  <c r="E12" i="246"/>
  <c r="E11" i="246"/>
  <c r="E10" i="246"/>
  <c r="E9" i="246"/>
  <c r="E8" i="246"/>
  <c r="E7" i="246"/>
  <c r="E6" i="246"/>
  <c r="E5" i="246"/>
  <c r="D40" i="246"/>
  <c r="D39" i="246"/>
  <c r="D38" i="246"/>
  <c r="D34" i="246"/>
  <c r="D33" i="246"/>
  <c r="D32" i="246"/>
  <c r="D31" i="246"/>
  <c r="D30" i="246"/>
  <c r="D29" i="246"/>
  <c r="D28" i="246"/>
  <c r="D27" i="246"/>
  <c r="D26" i="246"/>
  <c r="D25" i="246"/>
  <c r="D24" i="246"/>
  <c r="D20" i="246"/>
  <c r="D19" i="246"/>
  <c r="D18" i="246"/>
  <c r="D17" i="246"/>
  <c r="D16" i="246"/>
  <c r="D15" i="246"/>
  <c r="D14" i="246"/>
  <c r="D13" i="246"/>
  <c r="D12" i="246"/>
  <c r="D11" i="246"/>
  <c r="D10" i="246"/>
  <c r="D9" i="246"/>
  <c r="D8" i="246"/>
  <c r="D7" i="246"/>
  <c r="D6" i="246"/>
  <c r="D5" i="246"/>
  <c r="C40" i="246"/>
  <c r="C39" i="246"/>
  <c r="C38" i="246"/>
  <c r="C34" i="246"/>
  <c r="C33" i="246"/>
  <c r="C32" i="246"/>
  <c r="C31" i="246"/>
  <c r="C30" i="246"/>
  <c r="C29" i="246"/>
  <c r="C28" i="246"/>
  <c r="C27" i="246"/>
  <c r="C26" i="246"/>
  <c r="C25" i="246"/>
  <c r="C24" i="246"/>
  <c r="C20" i="246"/>
  <c r="C19" i="246"/>
  <c r="C18" i="246"/>
  <c r="C17" i="246"/>
  <c r="C16" i="246"/>
  <c r="C15" i="246"/>
  <c r="C14" i="246"/>
  <c r="C13" i="246"/>
  <c r="C12" i="246"/>
  <c r="C11" i="246"/>
  <c r="C10" i="246"/>
  <c r="C9" i="246"/>
  <c r="C8" i="246"/>
  <c r="C7" i="246"/>
  <c r="C6" i="246"/>
  <c r="C5" i="246"/>
  <c r="I32" i="131"/>
  <c r="H32" i="131"/>
  <c r="G32" i="131"/>
  <c r="F32" i="131"/>
  <c r="E32" i="131"/>
  <c r="D32" i="131"/>
  <c r="C32" i="131"/>
  <c r="P27" i="95"/>
  <c r="O27" i="95"/>
  <c r="N27" i="95"/>
  <c r="N15" i="95"/>
  <c r="F31" i="129"/>
  <c r="G31" i="129"/>
  <c r="H31" i="129"/>
  <c r="L31" i="129"/>
  <c r="K31" i="129"/>
  <c r="J31" i="129"/>
  <c r="F26" i="131"/>
  <c r="H35" i="131"/>
  <c r="G35" i="131"/>
  <c r="F35" i="131"/>
  <c r="I35" i="131"/>
  <c r="I26" i="131"/>
  <c r="H26" i="131"/>
  <c r="G26" i="131"/>
  <c r="C3" i="347"/>
  <c r="C4" i="347"/>
  <c r="C2" i="347"/>
  <c r="P26" i="95"/>
  <c r="O26" i="95"/>
  <c r="N26" i="95"/>
  <c r="P25" i="95"/>
  <c r="O25" i="95"/>
  <c r="N25" i="95"/>
  <c r="P24" i="95"/>
  <c r="O24" i="95"/>
  <c r="N24" i="95"/>
  <c r="P23" i="95"/>
  <c r="O23" i="95"/>
  <c r="N23" i="95"/>
  <c r="P19" i="95"/>
  <c r="O19" i="95"/>
  <c r="N19" i="95"/>
  <c r="P18" i="95"/>
  <c r="O18" i="95"/>
  <c r="N18" i="95"/>
  <c r="P17" i="95"/>
  <c r="O17" i="95"/>
  <c r="N17" i="95"/>
  <c r="P16" i="95"/>
  <c r="O16" i="95"/>
  <c r="N16" i="95"/>
  <c r="P15" i="95"/>
  <c r="O15" i="95"/>
  <c r="P14" i="95"/>
  <c r="O14" i="95"/>
  <c r="N14" i="95"/>
  <c r="P13" i="95"/>
  <c r="O13" i="95"/>
  <c r="N13" i="95"/>
  <c r="P12" i="95"/>
  <c r="O12" i="95"/>
  <c r="N12" i="95"/>
  <c r="P11" i="95"/>
  <c r="O11" i="95"/>
  <c r="N11" i="95"/>
  <c r="P10" i="95"/>
  <c r="O10" i="95"/>
  <c r="N10" i="95"/>
  <c r="P9" i="95"/>
  <c r="O9" i="95"/>
  <c r="N9" i="95"/>
  <c r="P8" i="95"/>
  <c r="O8" i="95"/>
  <c r="N8" i="95"/>
  <c r="P7" i="95"/>
  <c r="O7" i="95"/>
  <c r="N7" i="95"/>
  <c r="P6" i="95"/>
  <c r="O6" i="95"/>
  <c r="N6" i="95"/>
  <c r="P5" i="95"/>
  <c r="O5" i="95"/>
  <c r="N5" i="95"/>
  <c r="L62" i="126"/>
  <c r="L61" i="126"/>
  <c r="L60" i="126"/>
  <c r="L59" i="126"/>
  <c r="L58" i="126"/>
  <c r="L56" i="126"/>
  <c r="L55" i="126"/>
  <c r="L54" i="126"/>
  <c r="L52" i="126"/>
  <c r="L51" i="126"/>
  <c r="L50" i="126"/>
  <c r="L49" i="126"/>
  <c r="L48" i="126"/>
  <c r="L46" i="126"/>
  <c r="L45" i="126"/>
  <c r="L44" i="126"/>
  <c r="I61" i="305"/>
  <c r="I60" i="305"/>
  <c r="I59" i="305"/>
  <c r="I55" i="305"/>
  <c r="I54" i="305"/>
  <c r="I53" i="305"/>
  <c r="I49" i="305"/>
  <c r="I48" i="305"/>
  <c r="I47" i="305"/>
  <c r="I43" i="305"/>
  <c r="I42" i="305"/>
  <c r="I41" i="305"/>
  <c r="I37" i="305"/>
  <c r="I36" i="305"/>
  <c r="I35" i="305"/>
  <c r="I30" i="305"/>
  <c r="I29" i="305"/>
  <c r="I25" i="305"/>
  <c r="I24" i="305"/>
  <c r="I20" i="305"/>
  <c r="I19" i="305"/>
  <c r="I18" i="305"/>
  <c r="I14" i="305"/>
  <c r="I13" i="305"/>
  <c r="I12" i="305"/>
  <c r="I8" i="305"/>
  <c r="I7" i="305"/>
  <c r="I6" i="305"/>
  <c r="I161" i="128"/>
  <c r="I162" i="128"/>
  <c r="I163" i="128"/>
  <c r="I164" i="128"/>
  <c r="I160" i="128"/>
  <c r="I156" i="128"/>
  <c r="I157" i="128"/>
  <c r="I155" i="128"/>
  <c r="I151" i="128"/>
  <c r="I150" i="128"/>
  <c r="I143" i="128"/>
  <c r="I144" i="128"/>
  <c r="I145" i="128"/>
  <c r="I142" i="128"/>
  <c r="I138" i="128"/>
  <c r="I137" i="128"/>
  <c r="I133" i="128"/>
  <c r="I131" i="128"/>
  <c r="I132" i="128"/>
  <c r="I130" i="128"/>
  <c r="I126" i="128"/>
  <c r="I125" i="128"/>
  <c r="I119" i="128"/>
  <c r="I120" i="128"/>
  <c r="I118" i="128"/>
  <c r="I111" i="128"/>
  <c r="I112" i="128"/>
  <c r="I113" i="128"/>
  <c r="I104" i="128"/>
  <c r="I105" i="128"/>
  <c r="I98" i="128"/>
  <c r="I90" i="128"/>
  <c r="I91" i="128"/>
  <c r="I92" i="128"/>
  <c r="I82" i="128"/>
  <c r="I83" i="128"/>
  <c r="I84" i="128"/>
  <c r="I74" i="128"/>
  <c r="I75" i="128"/>
  <c r="I76" i="128"/>
  <c r="I67" i="128"/>
  <c r="I68" i="128"/>
  <c r="I69" i="128"/>
  <c r="I58" i="128"/>
  <c r="I59" i="128"/>
  <c r="I60" i="128"/>
  <c r="I57" i="128"/>
  <c r="I48" i="128"/>
  <c r="I49" i="128"/>
  <c r="I50" i="128"/>
  <c r="I51" i="128"/>
  <c r="I47" i="128"/>
  <c r="I45" i="128"/>
  <c r="I44" i="128"/>
  <c r="I41" i="128"/>
  <c r="I40" i="128"/>
  <c r="I37" i="128"/>
  <c r="I38" i="128"/>
  <c r="I36" i="128"/>
  <c r="I33" i="128"/>
  <c r="I34" i="128"/>
  <c r="I32" i="128"/>
  <c r="I27" i="128"/>
  <c r="I28" i="128"/>
  <c r="I26" i="128"/>
  <c r="I148" i="255"/>
  <c r="I149" i="255"/>
  <c r="I150" i="255"/>
  <c r="I151" i="255"/>
  <c r="I152" i="255"/>
  <c r="I153" i="255"/>
  <c r="I147" i="255"/>
  <c r="I115" i="255"/>
  <c r="I114" i="255"/>
  <c r="I113" i="255"/>
  <c r="I103" i="255"/>
  <c r="I97" i="255"/>
  <c r="I98" i="255"/>
  <c r="I96" i="255"/>
  <c r="I83" i="255"/>
  <c r="I71" i="255"/>
  <c r="I72" i="255"/>
  <c r="I73" i="255"/>
  <c r="I74" i="255"/>
  <c r="I75" i="255"/>
  <c r="I76" i="255"/>
  <c r="I77" i="255"/>
  <c r="I78" i="255"/>
  <c r="I79" i="255"/>
  <c r="I80" i="255"/>
  <c r="I81" i="255"/>
  <c r="I70" i="255"/>
  <c r="I39" i="131"/>
  <c r="I33" i="131"/>
  <c r="I31" i="131"/>
  <c r="I21" i="131"/>
  <c r="I15" i="131"/>
  <c r="I16" i="131"/>
  <c r="I14" i="131"/>
  <c r="I8" i="131"/>
  <c r="I9" i="131"/>
  <c r="I10" i="131"/>
  <c r="I11" i="131"/>
  <c r="I12" i="131"/>
  <c r="I7" i="131"/>
  <c r="I6" i="131"/>
  <c r="I6" i="129"/>
  <c r="I339" i="343"/>
  <c r="I338" i="343"/>
  <c r="I337" i="343"/>
  <c r="I336" i="343"/>
  <c r="I335" i="343"/>
  <c r="I334" i="343"/>
  <c r="I333" i="343"/>
  <c r="I332" i="343"/>
  <c r="I331" i="343"/>
  <c r="I330" i="343"/>
  <c r="I328" i="343"/>
  <c r="I327" i="343"/>
  <c r="I326" i="343"/>
  <c r="I325" i="343"/>
  <c r="I324" i="343"/>
  <c r="I323" i="343"/>
  <c r="I322" i="343"/>
  <c r="I321" i="343"/>
  <c r="I320" i="343"/>
  <c r="I319" i="343"/>
  <c r="I317" i="343"/>
  <c r="I316" i="343"/>
  <c r="I315" i="343"/>
  <c r="I314" i="343"/>
  <c r="I313" i="343"/>
  <c r="I312" i="343"/>
  <c r="I311" i="343"/>
  <c r="I310" i="343"/>
  <c r="I309" i="343"/>
  <c r="I308" i="343"/>
  <c r="I306" i="343"/>
  <c r="I305" i="343"/>
  <c r="I304" i="343"/>
  <c r="I303" i="343"/>
  <c r="I302" i="343"/>
  <c r="I301" i="343"/>
  <c r="I300" i="343"/>
  <c r="I299" i="343"/>
  <c r="I298" i="343"/>
  <c r="I297" i="343"/>
  <c r="I295" i="343"/>
  <c r="I294" i="343"/>
  <c r="I293" i="343"/>
  <c r="I292" i="343"/>
  <c r="I291" i="343"/>
  <c r="I290" i="343"/>
  <c r="I289" i="343"/>
  <c r="I288" i="343"/>
  <c r="I287" i="343"/>
  <c r="I286" i="343"/>
  <c r="I284" i="343"/>
  <c r="I283" i="343"/>
  <c r="I282" i="343"/>
  <c r="I281" i="343"/>
  <c r="I280" i="343"/>
  <c r="I279" i="343"/>
  <c r="I278" i="343"/>
  <c r="I277" i="343"/>
  <c r="I276" i="343"/>
  <c r="I275" i="343"/>
  <c r="I273" i="343"/>
  <c r="I272" i="343"/>
  <c r="I271" i="343"/>
  <c r="I270" i="343"/>
  <c r="I269" i="343"/>
  <c r="I268" i="343"/>
  <c r="I267" i="343"/>
  <c r="I266" i="343"/>
  <c r="I265" i="343"/>
  <c r="I264" i="343"/>
  <c r="I262" i="343"/>
  <c r="I261" i="343"/>
  <c r="I260" i="343"/>
  <c r="I259" i="343"/>
  <c r="I258" i="343"/>
  <c r="I257" i="343"/>
  <c r="I256" i="343"/>
  <c r="I255" i="343"/>
  <c r="I254" i="343"/>
  <c r="I253" i="343"/>
  <c r="I251" i="343"/>
  <c r="I250" i="343"/>
  <c r="I249" i="343"/>
  <c r="I248" i="343"/>
  <c r="I247" i="343"/>
  <c r="I246" i="343"/>
  <c r="I245" i="343"/>
  <c r="I244" i="343"/>
  <c r="I243" i="343"/>
  <c r="I242" i="343"/>
  <c r="I240" i="343"/>
  <c r="I239" i="343"/>
  <c r="I238" i="343"/>
  <c r="I237" i="343"/>
  <c r="I236" i="343"/>
  <c r="I235" i="343"/>
  <c r="I234" i="343"/>
  <c r="I233" i="343"/>
  <c r="I232" i="343"/>
  <c r="I231" i="343"/>
  <c r="I229" i="343"/>
  <c r="I228" i="343"/>
  <c r="I227" i="343"/>
  <c r="I226" i="343"/>
  <c r="I225" i="343"/>
  <c r="I224" i="343"/>
  <c r="I223" i="343"/>
  <c r="I222" i="343"/>
  <c r="I221" i="343"/>
  <c r="I220" i="343"/>
  <c r="I218" i="343"/>
  <c r="I217" i="343"/>
  <c r="I216" i="343"/>
  <c r="I215" i="343"/>
  <c r="I214" i="343"/>
  <c r="I213" i="343"/>
  <c r="I212" i="343"/>
  <c r="I211" i="343"/>
  <c r="I210" i="343"/>
  <c r="I209" i="343"/>
  <c r="I207" i="343"/>
  <c r="I206" i="343"/>
  <c r="I205" i="343"/>
  <c r="I204" i="343"/>
  <c r="I203" i="343"/>
  <c r="I202" i="343"/>
  <c r="I201" i="343"/>
  <c r="I200" i="343"/>
  <c r="I199" i="343"/>
  <c r="I198" i="343"/>
  <c r="I196" i="343"/>
  <c r="I195" i="343"/>
  <c r="I194" i="343"/>
  <c r="I193" i="343"/>
  <c r="I192" i="343"/>
  <c r="I191" i="343"/>
  <c r="I190" i="343"/>
  <c r="I189" i="343"/>
  <c r="I188" i="343"/>
  <c r="I187" i="343"/>
  <c r="I177" i="343"/>
  <c r="I178" i="343"/>
  <c r="I179" i="343"/>
  <c r="I180" i="343"/>
  <c r="I181" i="343"/>
  <c r="I182" i="343"/>
  <c r="I183" i="343"/>
  <c r="I184" i="343"/>
  <c r="I185" i="343"/>
  <c r="I176" i="343"/>
  <c r="I45" i="129"/>
  <c r="I33" i="129"/>
  <c r="I31" i="129"/>
  <c r="I29" i="129"/>
  <c r="I23" i="129"/>
  <c r="I22" i="129"/>
  <c r="I21" i="129"/>
  <c r="I18" i="129"/>
  <c r="I17" i="129"/>
  <c r="I16" i="129"/>
  <c r="I15" i="129"/>
  <c r="I10" i="129"/>
  <c r="I9" i="129"/>
  <c r="I7" i="129"/>
  <c r="AE167" i="349" l="1"/>
  <c r="I179" i="255" s="1"/>
  <c r="I34" i="127"/>
  <c r="K164" i="248"/>
  <c r="J164" i="248"/>
  <c r="I164" i="248"/>
  <c r="H164" i="248"/>
  <c r="G164" i="248"/>
  <c r="F164" i="248"/>
  <c r="E164" i="248"/>
  <c r="D164" i="248"/>
  <c r="C164" i="248"/>
  <c r="K163" i="248"/>
  <c r="J163" i="248"/>
  <c r="I163" i="248"/>
  <c r="H163" i="248"/>
  <c r="G163" i="248"/>
  <c r="F163" i="248"/>
  <c r="E163" i="248"/>
  <c r="D163" i="248"/>
  <c r="C163" i="248"/>
  <c r="K162" i="248"/>
  <c r="J162" i="248"/>
  <c r="I162" i="248"/>
  <c r="H162" i="248"/>
  <c r="G162" i="248"/>
  <c r="F162" i="248"/>
  <c r="E162" i="248"/>
  <c r="D162" i="248"/>
  <c r="C162" i="248"/>
  <c r="K161" i="248"/>
  <c r="J161" i="248"/>
  <c r="I161" i="248"/>
  <c r="H161" i="248"/>
  <c r="G161" i="248"/>
  <c r="F161" i="248"/>
  <c r="E161" i="248"/>
  <c r="D161" i="248"/>
  <c r="C161" i="248"/>
  <c r="K160" i="248"/>
  <c r="J160" i="248"/>
  <c r="I160" i="248"/>
  <c r="H160" i="248"/>
  <c r="G160" i="248"/>
  <c r="F160" i="248"/>
  <c r="E160" i="248"/>
  <c r="D160" i="248"/>
  <c r="C160" i="248"/>
  <c r="K159" i="248"/>
  <c r="J159" i="248"/>
  <c r="I159" i="248"/>
  <c r="H159" i="248"/>
  <c r="G159" i="248"/>
  <c r="F159" i="248"/>
  <c r="E159" i="248"/>
  <c r="D159" i="248"/>
  <c r="C159" i="248"/>
  <c r="K158" i="248"/>
  <c r="J158" i="248"/>
  <c r="I158" i="248"/>
  <c r="H158" i="248"/>
  <c r="G158" i="248"/>
  <c r="F158" i="248"/>
  <c r="E158" i="248"/>
  <c r="D158" i="248"/>
  <c r="C158" i="248"/>
  <c r="K155" i="248"/>
  <c r="J155" i="248"/>
  <c r="I155" i="248"/>
  <c r="H155" i="248"/>
  <c r="G155" i="248"/>
  <c r="F155" i="248"/>
  <c r="E155" i="248"/>
  <c r="D155" i="248"/>
  <c r="C155" i="248"/>
  <c r="K154" i="248"/>
  <c r="J154" i="248"/>
  <c r="I154" i="248"/>
  <c r="H154" i="248"/>
  <c r="G154" i="248"/>
  <c r="F154" i="248"/>
  <c r="E154" i="248"/>
  <c r="D154" i="248"/>
  <c r="C154" i="248"/>
  <c r="K151" i="248"/>
  <c r="J151" i="248"/>
  <c r="I151" i="248"/>
  <c r="H151" i="248"/>
  <c r="G151" i="248"/>
  <c r="F151" i="248"/>
  <c r="E151" i="248"/>
  <c r="D151" i="248"/>
  <c r="C151" i="248"/>
  <c r="K148" i="248"/>
  <c r="J148" i="248"/>
  <c r="I148" i="248"/>
  <c r="H148" i="248"/>
  <c r="G148" i="248"/>
  <c r="F148" i="248"/>
  <c r="E148" i="248"/>
  <c r="D148" i="248"/>
  <c r="C148" i="248"/>
  <c r="K147" i="248"/>
  <c r="J147" i="248"/>
  <c r="I147" i="248"/>
  <c r="H147" i="248"/>
  <c r="G147" i="248"/>
  <c r="F147" i="248"/>
  <c r="E147" i="248"/>
  <c r="D147" i="248"/>
  <c r="C147" i="248"/>
  <c r="K143" i="248"/>
  <c r="J143" i="248"/>
  <c r="I143" i="248"/>
  <c r="H143" i="248"/>
  <c r="G143" i="248"/>
  <c r="F143" i="248"/>
  <c r="E143" i="248"/>
  <c r="D143" i="248"/>
  <c r="C143" i="248"/>
  <c r="K142" i="248"/>
  <c r="J142" i="248"/>
  <c r="I142" i="248"/>
  <c r="H142" i="248"/>
  <c r="G142" i="248"/>
  <c r="F142" i="248"/>
  <c r="E142" i="248"/>
  <c r="D142" i="248"/>
  <c r="C142" i="248"/>
  <c r="K141" i="248"/>
  <c r="J141" i="248"/>
  <c r="I141" i="248"/>
  <c r="H141" i="248"/>
  <c r="G141" i="248"/>
  <c r="F141" i="248"/>
  <c r="E141" i="248"/>
  <c r="D141" i="248"/>
  <c r="C141" i="248"/>
  <c r="K140" i="248"/>
  <c r="J140" i="248"/>
  <c r="I140" i="248"/>
  <c r="H140" i="248"/>
  <c r="G140" i="248"/>
  <c r="F140" i="248"/>
  <c r="E140" i="248"/>
  <c r="D140" i="248"/>
  <c r="C140" i="248"/>
  <c r="K139" i="248"/>
  <c r="J139" i="248"/>
  <c r="I139" i="248"/>
  <c r="H139" i="248"/>
  <c r="G139" i="248"/>
  <c r="F139" i="248"/>
  <c r="E139" i="248"/>
  <c r="D139" i="248"/>
  <c r="C139" i="248"/>
  <c r="K138" i="248"/>
  <c r="J138" i="248"/>
  <c r="I138" i="248"/>
  <c r="H138" i="248"/>
  <c r="G138" i="248"/>
  <c r="F138" i="248"/>
  <c r="E138" i="248"/>
  <c r="D138" i="248"/>
  <c r="C138" i="248"/>
  <c r="K137" i="248"/>
  <c r="J137" i="248"/>
  <c r="I137" i="248"/>
  <c r="H137" i="248"/>
  <c r="G137" i="248"/>
  <c r="F137" i="248"/>
  <c r="E137" i="248"/>
  <c r="D137" i="248"/>
  <c r="C137" i="248"/>
  <c r="I136" i="248"/>
  <c r="H136" i="248"/>
  <c r="G136" i="248"/>
  <c r="F136" i="248"/>
  <c r="E136" i="248"/>
  <c r="D136" i="248"/>
  <c r="C136" i="248"/>
  <c r="C24" i="128"/>
  <c r="C56" i="128"/>
  <c r="C65" i="128"/>
  <c r="C72" i="128"/>
  <c r="C109" i="128"/>
  <c r="C102" i="128"/>
  <c r="C96" i="128"/>
  <c r="C80" i="128"/>
  <c r="C88" i="128"/>
  <c r="L60" i="128"/>
  <c r="K60" i="128"/>
  <c r="J60" i="128"/>
  <c r="H60" i="128"/>
  <c r="G60" i="128"/>
  <c r="F60" i="128"/>
  <c r="E60" i="128"/>
  <c r="D60" i="128"/>
  <c r="C60" i="128"/>
  <c r="L59" i="128"/>
  <c r="K59" i="128"/>
  <c r="J59" i="128"/>
  <c r="H59" i="128"/>
  <c r="G59" i="128"/>
  <c r="F59" i="128"/>
  <c r="E59" i="128"/>
  <c r="D59" i="128"/>
  <c r="C59" i="128"/>
  <c r="L58" i="128"/>
  <c r="K58" i="128"/>
  <c r="J58" i="128"/>
  <c r="H58" i="128"/>
  <c r="G58" i="128"/>
  <c r="F58" i="128"/>
  <c r="E58" i="128"/>
  <c r="D58" i="128"/>
  <c r="C58" i="128"/>
  <c r="L57" i="128"/>
  <c r="K57" i="128"/>
  <c r="J57" i="128"/>
  <c r="H57" i="128"/>
  <c r="G57" i="128"/>
  <c r="F57" i="128"/>
  <c r="E57" i="128"/>
  <c r="D57" i="128"/>
  <c r="C57" i="128"/>
  <c r="L51" i="128"/>
  <c r="K51" i="128"/>
  <c r="J51" i="128"/>
  <c r="H51" i="128"/>
  <c r="G51" i="128"/>
  <c r="F51" i="128"/>
  <c r="E51" i="128"/>
  <c r="D51" i="128"/>
  <c r="C51" i="128"/>
  <c r="L50" i="128"/>
  <c r="K50" i="128"/>
  <c r="J50" i="128"/>
  <c r="H50" i="128"/>
  <c r="G50" i="128"/>
  <c r="F50" i="128"/>
  <c r="E50" i="128"/>
  <c r="D50" i="128"/>
  <c r="C50" i="128"/>
  <c r="L49" i="128"/>
  <c r="K49" i="128"/>
  <c r="J49" i="128"/>
  <c r="H49" i="128"/>
  <c r="G49" i="128"/>
  <c r="F49" i="128"/>
  <c r="E49" i="128"/>
  <c r="D49" i="128"/>
  <c r="C49" i="128"/>
  <c r="L48" i="128"/>
  <c r="K48" i="128"/>
  <c r="J48" i="128"/>
  <c r="H48" i="128"/>
  <c r="G48" i="128"/>
  <c r="F48" i="128"/>
  <c r="E48" i="128"/>
  <c r="D48" i="128"/>
  <c r="C48" i="128"/>
  <c r="L47" i="128"/>
  <c r="K47" i="128"/>
  <c r="J47" i="128"/>
  <c r="H47" i="128"/>
  <c r="G47" i="128"/>
  <c r="F47" i="128"/>
  <c r="E47" i="128"/>
  <c r="D47" i="128"/>
  <c r="C47" i="128"/>
  <c r="L45" i="128"/>
  <c r="K45" i="128"/>
  <c r="J45" i="128"/>
  <c r="H45" i="128"/>
  <c r="G45" i="128"/>
  <c r="F45" i="128"/>
  <c r="E45" i="128"/>
  <c r="D45" i="128"/>
  <c r="C45" i="128"/>
  <c r="L44" i="128"/>
  <c r="K44" i="128"/>
  <c r="J44" i="128"/>
  <c r="H44" i="128"/>
  <c r="G44" i="128"/>
  <c r="F44" i="128"/>
  <c r="E44" i="128"/>
  <c r="D44" i="128"/>
  <c r="C44" i="128"/>
  <c r="L41" i="128"/>
  <c r="K41" i="128"/>
  <c r="J41" i="128"/>
  <c r="H41" i="128"/>
  <c r="G41" i="128"/>
  <c r="F41" i="128"/>
  <c r="E41" i="128"/>
  <c r="D41" i="128"/>
  <c r="C41" i="128"/>
  <c r="L40" i="128"/>
  <c r="K40" i="128"/>
  <c r="J40" i="128"/>
  <c r="H40" i="128"/>
  <c r="G40" i="128"/>
  <c r="F40" i="128"/>
  <c r="E40" i="128"/>
  <c r="D40" i="128"/>
  <c r="C40" i="128"/>
  <c r="L38" i="128"/>
  <c r="K38" i="128"/>
  <c r="J38" i="128"/>
  <c r="H38" i="128"/>
  <c r="G38" i="128"/>
  <c r="F38" i="128"/>
  <c r="E38" i="128"/>
  <c r="D38" i="128"/>
  <c r="C38" i="128"/>
  <c r="L37" i="128"/>
  <c r="K37" i="128"/>
  <c r="J37" i="128"/>
  <c r="H37" i="128"/>
  <c r="G37" i="128"/>
  <c r="F37" i="128"/>
  <c r="E37" i="128"/>
  <c r="D37" i="128"/>
  <c r="C37" i="128"/>
  <c r="L36" i="128"/>
  <c r="K36" i="128"/>
  <c r="J36" i="128"/>
  <c r="H36" i="128"/>
  <c r="G36" i="128"/>
  <c r="F36" i="128"/>
  <c r="E36" i="128"/>
  <c r="D36" i="128"/>
  <c r="C36" i="128"/>
  <c r="L34" i="128"/>
  <c r="K34" i="128"/>
  <c r="J34" i="128"/>
  <c r="H34" i="128"/>
  <c r="G34" i="128"/>
  <c r="F34" i="128"/>
  <c r="E34" i="128"/>
  <c r="D34" i="128"/>
  <c r="C34" i="128"/>
  <c r="L33" i="128"/>
  <c r="K33" i="128"/>
  <c r="J33" i="128"/>
  <c r="H33" i="128"/>
  <c r="G33" i="128"/>
  <c r="F33" i="128"/>
  <c r="E33" i="128"/>
  <c r="D33" i="128"/>
  <c r="C33" i="128"/>
  <c r="L32" i="128"/>
  <c r="K32" i="128"/>
  <c r="J32" i="128"/>
  <c r="H32" i="128"/>
  <c r="G32" i="128"/>
  <c r="F32" i="128"/>
  <c r="E32" i="128"/>
  <c r="D32" i="128"/>
  <c r="C32" i="128"/>
  <c r="L28" i="128"/>
  <c r="K28" i="128"/>
  <c r="J28" i="128"/>
  <c r="H28" i="128"/>
  <c r="G28" i="128"/>
  <c r="F28" i="128"/>
  <c r="E28" i="128"/>
  <c r="D28" i="128"/>
  <c r="C28" i="128"/>
  <c r="L27" i="128"/>
  <c r="K27" i="128"/>
  <c r="J27" i="128"/>
  <c r="H27" i="128"/>
  <c r="G27" i="128"/>
  <c r="F27" i="128"/>
  <c r="E27" i="128"/>
  <c r="D27" i="128"/>
  <c r="C27" i="128"/>
  <c r="L26" i="128"/>
  <c r="K26" i="128"/>
  <c r="J26" i="128"/>
  <c r="H26" i="128"/>
  <c r="G26" i="128"/>
  <c r="F26" i="128"/>
  <c r="E26" i="128"/>
  <c r="D26" i="128"/>
  <c r="C26" i="128"/>
  <c r="L113" i="128"/>
  <c r="K113" i="128"/>
  <c r="J113" i="128"/>
  <c r="H113" i="128"/>
  <c r="G113" i="128"/>
  <c r="F113" i="128"/>
  <c r="E113" i="128"/>
  <c r="D113" i="128"/>
  <c r="C113" i="128"/>
  <c r="L112" i="128"/>
  <c r="K112" i="128"/>
  <c r="J112" i="128"/>
  <c r="H112" i="128"/>
  <c r="G112" i="128"/>
  <c r="F112" i="128"/>
  <c r="E112" i="128"/>
  <c r="D112" i="128"/>
  <c r="C112" i="128"/>
  <c r="L111" i="128"/>
  <c r="K111" i="128"/>
  <c r="J111" i="128"/>
  <c r="H111" i="128"/>
  <c r="G111" i="128"/>
  <c r="F111" i="128"/>
  <c r="E111" i="128"/>
  <c r="D111" i="128"/>
  <c r="C111" i="128"/>
  <c r="C110" i="128"/>
  <c r="L105" i="128"/>
  <c r="K105" i="128"/>
  <c r="J105" i="128"/>
  <c r="H105" i="128"/>
  <c r="G105" i="128"/>
  <c r="F105" i="128"/>
  <c r="E105" i="128"/>
  <c r="D105" i="128"/>
  <c r="C105" i="128"/>
  <c r="L104" i="128"/>
  <c r="K104" i="128"/>
  <c r="J104" i="128"/>
  <c r="H104" i="128"/>
  <c r="G104" i="128"/>
  <c r="F104" i="128"/>
  <c r="E104" i="128"/>
  <c r="D104" i="128"/>
  <c r="C104" i="128"/>
  <c r="C103" i="128"/>
  <c r="L98" i="128"/>
  <c r="K98" i="128"/>
  <c r="J98" i="128"/>
  <c r="H98" i="128"/>
  <c r="G98" i="128"/>
  <c r="F98" i="128"/>
  <c r="E98" i="128"/>
  <c r="D98" i="128"/>
  <c r="C98" i="128"/>
  <c r="C97" i="128"/>
  <c r="L92" i="128"/>
  <c r="K92" i="128"/>
  <c r="J92" i="128"/>
  <c r="H92" i="128"/>
  <c r="G92" i="128"/>
  <c r="F92" i="128"/>
  <c r="E92" i="128"/>
  <c r="D92" i="128"/>
  <c r="C92" i="128"/>
  <c r="L91" i="128"/>
  <c r="K91" i="128"/>
  <c r="J91" i="128"/>
  <c r="H91" i="128"/>
  <c r="G91" i="128"/>
  <c r="F91" i="128"/>
  <c r="E91" i="128"/>
  <c r="D91" i="128"/>
  <c r="C91" i="128"/>
  <c r="L90" i="128"/>
  <c r="K90" i="128"/>
  <c r="J90" i="128"/>
  <c r="H90" i="128"/>
  <c r="G90" i="128"/>
  <c r="F90" i="128"/>
  <c r="E90" i="128"/>
  <c r="D90" i="128"/>
  <c r="C90" i="128"/>
  <c r="C89" i="128"/>
  <c r="L84" i="128"/>
  <c r="K84" i="128"/>
  <c r="J84" i="128"/>
  <c r="H84" i="128"/>
  <c r="G84" i="128"/>
  <c r="F84" i="128"/>
  <c r="E84" i="128"/>
  <c r="D84" i="128"/>
  <c r="C84" i="128"/>
  <c r="L83" i="128"/>
  <c r="K83" i="128"/>
  <c r="J83" i="128"/>
  <c r="H83" i="128"/>
  <c r="G83" i="128"/>
  <c r="F83" i="128"/>
  <c r="E83" i="128"/>
  <c r="D83" i="128"/>
  <c r="C83" i="128"/>
  <c r="L82" i="128"/>
  <c r="K82" i="128"/>
  <c r="J82" i="128"/>
  <c r="H82" i="128"/>
  <c r="G82" i="128"/>
  <c r="F82" i="128"/>
  <c r="E82" i="128"/>
  <c r="D82" i="128"/>
  <c r="C82" i="128"/>
  <c r="C81" i="128"/>
  <c r="L76" i="128"/>
  <c r="K76" i="128"/>
  <c r="J76" i="128"/>
  <c r="H76" i="128"/>
  <c r="G76" i="128"/>
  <c r="F76" i="128"/>
  <c r="E76" i="128"/>
  <c r="D76" i="128"/>
  <c r="C76" i="128"/>
  <c r="L75" i="128"/>
  <c r="K75" i="128"/>
  <c r="J75" i="128"/>
  <c r="H75" i="128"/>
  <c r="G75" i="128"/>
  <c r="F75" i="128"/>
  <c r="E75" i="128"/>
  <c r="D75" i="128"/>
  <c r="C75" i="128"/>
  <c r="L74" i="128"/>
  <c r="K74" i="128"/>
  <c r="J74" i="128"/>
  <c r="H74" i="128"/>
  <c r="G74" i="128"/>
  <c r="F74" i="128"/>
  <c r="E74" i="128"/>
  <c r="D74" i="128"/>
  <c r="C74" i="128"/>
  <c r="C73" i="128"/>
  <c r="L69" i="128"/>
  <c r="K69" i="128"/>
  <c r="J69" i="128"/>
  <c r="H69" i="128"/>
  <c r="G69" i="128"/>
  <c r="F69" i="128"/>
  <c r="E69" i="128"/>
  <c r="D69" i="128"/>
  <c r="C69" i="128"/>
  <c r="L68" i="128"/>
  <c r="K68" i="128"/>
  <c r="J68" i="128"/>
  <c r="H68" i="128"/>
  <c r="G68" i="128"/>
  <c r="F68" i="128"/>
  <c r="E68" i="128"/>
  <c r="D68" i="128"/>
  <c r="C68" i="128"/>
  <c r="L67" i="128"/>
  <c r="K67" i="128"/>
  <c r="J67" i="128"/>
  <c r="H67" i="128"/>
  <c r="G67" i="128"/>
  <c r="F67" i="128"/>
  <c r="E67" i="128"/>
  <c r="D67" i="128"/>
  <c r="C67" i="128"/>
  <c r="E13" i="128"/>
  <c r="F13" i="128"/>
  <c r="D13" i="128"/>
  <c r="C13" i="128"/>
  <c r="G13" i="128"/>
  <c r="H17" i="128"/>
  <c r="H13" i="128"/>
  <c r="I13" i="128"/>
  <c r="L13" i="128"/>
  <c r="K13" i="128"/>
  <c r="J13" i="128"/>
  <c r="B54" i="95"/>
  <c r="O36" i="95"/>
  <c r="P50" i="95"/>
  <c r="O50" i="95"/>
  <c r="N50" i="95"/>
  <c r="P49" i="95"/>
  <c r="O49" i="95"/>
  <c r="N49" i="95"/>
  <c r="P48" i="95"/>
  <c r="O48" i="95"/>
  <c r="N48" i="95"/>
  <c r="P44" i="95"/>
  <c r="O44" i="95"/>
  <c r="N44" i="95"/>
  <c r="P43" i="95"/>
  <c r="O43" i="95"/>
  <c r="N43" i="95"/>
  <c r="P42" i="95"/>
  <c r="O42" i="95"/>
  <c r="N42" i="95"/>
  <c r="P41" i="95"/>
  <c r="O41" i="95"/>
  <c r="N41" i="95"/>
  <c r="P37" i="95"/>
  <c r="O37" i="95"/>
  <c r="N37" i="95"/>
  <c r="N36" i="95"/>
  <c r="P35" i="95"/>
  <c r="O35" i="95"/>
  <c r="N35" i="95"/>
  <c r="D31" i="129"/>
  <c r="L33" i="129"/>
  <c r="K33" i="129"/>
  <c r="J33" i="129"/>
  <c r="H33" i="129"/>
  <c r="G33" i="129"/>
  <c r="F33" i="129"/>
  <c r="L120" i="128"/>
  <c r="K120" i="128"/>
  <c r="J120" i="128"/>
  <c r="H120" i="128"/>
  <c r="G120" i="128"/>
  <c r="E120" i="128"/>
  <c r="D120" i="128"/>
  <c r="C120" i="128"/>
  <c r="F120" i="128"/>
  <c r="L54" i="255"/>
  <c r="K54" i="255"/>
  <c r="J54" i="255"/>
  <c r="H54" i="255"/>
  <c r="G54" i="255"/>
  <c r="F54" i="255"/>
  <c r="E54" i="255"/>
  <c r="D54" i="255"/>
  <c r="C54" i="255"/>
  <c r="J185" i="255" l="1"/>
  <c r="G103" i="255"/>
  <c r="H103" i="255"/>
  <c r="G39" i="128"/>
  <c r="J103" i="255"/>
  <c r="L49" i="95"/>
  <c r="L50" i="95"/>
  <c r="B44" i="95"/>
  <c r="L43" i="95"/>
  <c r="L42" i="95"/>
  <c r="C41" i="95"/>
  <c r="L48" i="95"/>
  <c r="B36" i="95"/>
  <c r="E35" i="131"/>
  <c r="D35" i="131"/>
  <c r="C35" i="131"/>
  <c r="E26" i="131"/>
  <c r="D26" i="131"/>
  <c r="C26" i="131"/>
  <c r="D153" i="255"/>
  <c r="C153" i="255"/>
  <c r="D152" i="255"/>
  <c r="C152" i="255"/>
  <c r="D151" i="255"/>
  <c r="C151" i="255"/>
  <c r="D150" i="255"/>
  <c r="C150" i="255"/>
  <c r="D149" i="255"/>
  <c r="C149" i="255"/>
  <c r="D148" i="255"/>
  <c r="C148" i="255"/>
  <c r="D147" i="255"/>
  <c r="C147" i="255"/>
  <c r="D115" i="255"/>
  <c r="C115" i="255"/>
  <c r="D114" i="255"/>
  <c r="C114" i="255"/>
  <c r="D113" i="255"/>
  <c r="C113" i="255"/>
  <c r="D103" i="255"/>
  <c r="C103" i="255"/>
  <c r="D98" i="255"/>
  <c r="C98" i="255"/>
  <c r="D97" i="255"/>
  <c r="C97" i="255"/>
  <c r="D96" i="255"/>
  <c r="C96" i="255"/>
  <c r="L83" i="255"/>
  <c r="K83" i="255"/>
  <c r="J83" i="255"/>
  <c r="H83" i="255"/>
  <c r="G83" i="255"/>
  <c r="F83" i="255"/>
  <c r="E83" i="255"/>
  <c r="D83" i="255"/>
  <c r="C83" i="255"/>
  <c r="C71" i="255"/>
  <c r="D71" i="255"/>
  <c r="C72" i="255"/>
  <c r="D72" i="255"/>
  <c r="C73" i="255"/>
  <c r="D73" i="255"/>
  <c r="C74" i="255"/>
  <c r="D74" i="255"/>
  <c r="C75" i="255"/>
  <c r="D75" i="255"/>
  <c r="C76" i="255"/>
  <c r="D76" i="255"/>
  <c r="C77" i="255"/>
  <c r="D77" i="255"/>
  <c r="C78" i="255"/>
  <c r="D78" i="255"/>
  <c r="C79" i="255"/>
  <c r="D79" i="255"/>
  <c r="C80" i="255"/>
  <c r="D80" i="255"/>
  <c r="C81" i="255"/>
  <c r="D81" i="255"/>
  <c r="C10" i="137"/>
  <c r="D10" i="137"/>
  <c r="E10" i="137"/>
  <c r="F10" i="137"/>
  <c r="G10" i="137"/>
  <c r="H10" i="137"/>
  <c r="I10" i="137"/>
  <c r="J10" i="137"/>
  <c r="K10" i="137"/>
  <c r="L10" i="137"/>
  <c r="M10" i="137"/>
  <c r="L40" i="95"/>
  <c r="K40" i="95"/>
  <c r="J40" i="95"/>
  <c r="I40" i="95"/>
  <c r="H40" i="95"/>
  <c r="G40" i="95"/>
  <c r="F40" i="95"/>
  <c r="E40" i="95"/>
  <c r="D40" i="95"/>
  <c r="C40" i="95"/>
  <c r="B40" i="95"/>
  <c r="L31" i="95"/>
  <c r="K31" i="95"/>
  <c r="J31" i="95"/>
  <c r="I31" i="95"/>
  <c r="H31" i="95"/>
  <c r="G31" i="95"/>
  <c r="F31" i="95"/>
  <c r="E31" i="95"/>
  <c r="D31" i="95"/>
  <c r="C31" i="95"/>
  <c r="B31" i="95"/>
  <c r="L30" i="95"/>
  <c r="K30" i="95"/>
  <c r="J30" i="95"/>
  <c r="I30" i="95"/>
  <c r="H30" i="95"/>
  <c r="G30" i="95"/>
  <c r="F30" i="95"/>
  <c r="E30" i="95"/>
  <c r="D30" i="95"/>
  <c r="C30" i="95"/>
  <c r="B30" i="95"/>
  <c r="E35" i="95"/>
  <c r="H44" i="95" l="1"/>
  <c r="D44" i="95"/>
  <c r="E44" i="95"/>
  <c r="K35" i="95"/>
  <c r="J44" i="95"/>
  <c r="C50" i="95"/>
  <c r="B50" i="95"/>
  <c r="D50" i="95"/>
  <c r="G50" i="95"/>
  <c r="F35" i="95"/>
  <c r="G35" i="95"/>
  <c r="H35" i="95"/>
  <c r="I50" i="95"/>
  <c r="D41" i="95"/>
  <c r="E41" i="95"/>
  <c r="F41" i="95"/>
  <c r="I41" i="95"/>
  <c r="K41" i="95"/>
  <c r="C44" i="95"/>
  <c r="L37" i="95"/>
  <c r="K37" i="95"/>
  <c r="J37" i="95"/>
  <c r="I37" i="95"/>
  <c r="H37" i="95"/>
  <c r="G37" i="95"/>
  <c r="F37" i="95"/>
  <c r="E37" i="95"/>
  <c r="D37" i="95"/>
  <c r="C37" i="95"/>
  <c r="B37" i="95"/>
  <c r="L36" i="95"/>
  <c r="K36" i="95"/>
  <c r="J36" i="95"/>
  <c r="I36" i="95"/>
  <c r="H36" i="95"/>
  <c r="G36" i="95"/>
  <c r="F36" i="95"/>
  <c r="E36" i="95"/>
  <c r="D36" i="95"/>
  <c r="C36" i="95"/>
  <c r="I35" i="95"/>
  <c r="G41" i="95"/>
  <c r="F44" i="95"/>
  <c r="E50" i="95"/>
  <c r="J35" i="95"/>
  <c r="H41" i="95"/>
  <c r="G44" i="95"/>
  <c r="F50" i="95"/>
  <c r="L35" i="95"/>
  <c r="J41" i="95"/>
  <c r="I44" i="95"/>
  <c r="H50" i="95"/>
  <c r="L41" i="95"/>
  <c r="K44" i="95"/>
  <c r="J50" i="95"/>
  <c r="B42" i="95"/>
  <c r="L44" i="95"/>
  <c r="K50" i="95"/>
  <c r="C42" i="95"/>
  <c r="B48" i="95"/>
  <c r="D42" i="95"/>
  <c r="C48" i="95"/>
  <c r="E42" i="95"/>
  <c r="D48" i="95"/>
  <c r="F42" i="95"/>
  <c r="E48" i="95"/>
  <c r="G42" i="95"/>
  <c r="F48" i="95"/>
  <c r="H42" i="95"/>
  <c r="G48" i="95"/>
  <c r="I42" i="95"/>
  <c r="H48" i="95"/>
  <c r="J42" i="95"/>
  <c r="I48" i="95"/>
  <c r="K42" i="95"/>
  <c r="J48" i="95"/>
  <c r="K48" i="95"/>
  <c r="B43" i="95"/>
  <c r="C43" i="95"/>
  <c r="B49" i="95"/>
  <c r="D43" i="95"/>
  <c r="C49" i="95"/>
  <c r="E43" i="95"/>
  <c r="D49" i="95"/>
  <c r="F43" i="95"/>
  <c r="E49" i="95"/>
  <c r="G43" i="95"/>
  <c r="F49" i="95"/>
  <c r="H43" i="95"/>
  <c r="G49" i="95"/>
  <c r="I43" i="95"/>
  <c r="H49" i="95"/>
  <c r="B35" i="95"/>
  <c r="J43" i="95"/>
  <c r="I49" i="95"/>
  <c r="C35" i="95"/>
  <c r="K43" i="95"/>
  <c r="J49" i="95"/>
  <c r="D35" i="95"/>
  <c r="B41" i="95"/>
  <c r="K49" i="95"/>
  <c r="J21" i="131" l="1"/>
  <c r="K21" i="131"/>
  <c r="L21" i="131"/>
  <c r="L164" i="128"/>
  <c r="K164" i="128"/>
  <c r="J164" i="128"/>
  <c r="H164" i="128"/>
  <c r="G164" i="128"/>
  <c r="F164" i="128"/>
  <c r="E164" i="128"/>
  <c r="D164" i="128"/>
  <c r="C164" i="128"/>
  <c r="L163" i="128"/>
  <c r="K163" i="128"/>
  <c r="J163" i="128"/>
  <c r="H163" i="128"/>
  <c r="G163" i="128"/>
  <c r="F163" i="128"/>
  <c r="E163" i="128"/>
  <c r="D163" i="128"/>
  <c r="C163" i="128"/>
  <c r="L162" i="128"/>
  <c r="K162" i="128"/>
  <c r="J162" i="128"/>
  <c r="H162" i="128"/>
  <c r="G162" i="128"/>
  <c r="F162" i="128"/>
  <c r="E162" i="128"/>
  <c r="D162" i="128"/>
  <c r="C162" i="128"/>
  <c r="L161" i="128"/>
  <c r="K161" i="128"/>
  <c r="J161" i="128"/>
  <c r="H161" i="128"/>
  <c r="G161" i="128"/>
  <c r="F161" i="128"/>
  <c r="E161" i="128"/>
  <c r="D161" i="128"/>
  <c r="C161" i="128"/>
  <c r="L160" i="128"/>
  <c r="K160" i="128"/>
  <c r="J160" i="128"/>
  <c r="H160" i="128"/>
  <c r="G160" i="128"/>
  <c r="F160" i="128"/>
  <c r="E160" i="128"/>
  <c r="D160" i="128"/>
  <c r="C160" i="128"/>
  <c r="L157" i="128"/>
  <c r="K157" i="128"/>
  <c r="J157" i="128"/>
  <c r="H157" i="128"/>
  <c r="G157" i="128"/>
  <c r="F157" i="128"/>
  <c r="E157" i="128"/>
  <c r="D157" i="128"/>
  <c r="C157" i="128"/>
  <c r="L156" i="128"/>
  <c r="K156" i="128"/>
  <c r="J156" i="128"/>
  <c r="H156" i="128"/>
  <c r="G156" i="128"/>
  <c r="F156" i="128"/>
  <c r="E156" i="128"/>
  <c r="D156" i="128"/>
  <c r="C156" i="128"/>
  <c r="L155" i="128"/>
  <c r="K155" i="128"/>
  <c r="J155" i="128"/>
  <c r="H155" i="128"/>
  <c r="G155" i="128"/>
  <c r="F155" i="128"/>
  <c r="E155" i="128"/>
  <c r="D155" i="128"/>
  <c r="C155" i="128"/>
  <c r="L151" i="128"/>
  <c r="K151" i="128"/>
  <c r="J151" i="128"/>
  <c r="H151" i="128"/>
  <c r="G151" i="128"/>
  <c r="F151" i="128"/>
  <c r="E151" i="128"/>
  <c r="D151" i="128"/>
  <c r="C151" i="128"/>
  <c r="L150" i="128"/>
  <c r="K150" i="128"/>
  <c r="J150" i="128"/>
  <c r="H150" i="128"/>
  <c r="G150" i="128"/>
  <c r="F150" i="128"/>
  <c r="E150" i="128"/>
  <c r="D150" i="128"/>
  <c r="C150" i="128"/>
  <c r="L145" i="128"/>
  <c r="K145" i="128"/>
  <c r="J145" i="128"/>
  <c r="H145" i="128"/>
  <c r="G145" i="128"/>
  <c r="F145" i="128"/>
  <c r="E145" i="128"/>
  <c r="D145" i="128"/>
  <c r="C145" i="128"/>
  <c r="L144" i="128"/>
  <c r="K144" i="128"/>
  <c r="J144" i="128"/>
  <c r="H144" i="128"/>
  <c r="G144" i="128"/>
  <c r="F144" i="128"/>
  <c r="E144" i="128"/>
  <c r="D144" i="128"/>
  <c r="C144" i="128"/>
  <c r="L143" i="128"/>
  <c r="K143" i="128"/>
  <c r="J143" i="128"/>
  <c r="H143" i="128"/>
  <c r="G143" i="128"/>
  <c r="F143" i="128"/>
  <c r="E143" i="128"/>
  <c r="D143" i="128"/>
  <c r="C143" i="128"/>
  <c r="L142" i="128"/>
  <c r="K142" i="128"/>
  <c r="J142" i="128"/>
  <c r="H142" i="128"/>
  <c r="G142" i="128"/>
  <c r="F142" i="128"/>
  <c r="E142" i="128"/>
  <c r="D142" i="128"/>
  <c r="C142" i="128"/>
  <c r="L138" i="128"/>
  <c r="K138" i="128"/>
  <c r="J138" i="128"/>
  <c r="H138" i="128"/>
  <c r="G138" i="128"/>
  <c r="F138" i="128"/>
  <c r="E138" i="128"/>
  <c r="D138" i="128"/>
  <c r="C138" i="128"/>
  <c r="L137" i="128"/>
  <c r="K137" i="128"/>
  <c r="J137" i="128"/>
  <c r="H137" i="128"/>
  <c r="G137" i="128"/>
  <c r="F137" i="128"/>
  <c r="E137" i="128"/>
  <c r="D137" i="128"/>
  <c r="C137" i="128"/>
  <c r="L133" i="128"/>
  <c r="K133" i="128"/>
  <c r="J133" i="128"/>
  <c r="H133" i="128"/>
  <c r="G133" i="128"/>
  <c r="F133" i="128"/>
  <c r="E133" i="128"/>
  <c r="D133" i="128"/>
  <c r="C133" i="128"/>
  <c r="L132" i="128"/>
  <c r="K132" i="128"/>
  <c r="J132" i="128"/>
  <c r="H132" i="128"/>
  <c r="G132" i="128"/>
  <c r="F132" i="128"/>
  <c r="E132" i="128"/>
  <c r="D132" i="128"/>
  <c r="C132" i="128"/>
  <c r="L131" i="128"/>
  <c r="K131" i="128"/>
  <c r="J131" i="128"/>
  <c r="H131" i="128"/>
  <c r="G131" i="128"/>
  <c r="F131" i="128"/>
  <c r="E131" i="128"/>
  <c r="D131" i="128"/>
  <c r="C131" i="128"/>
  <c r="L130" i="128"/>
  <c r="K130" i="128"/>
  <c r="J130" i="128"/>
  <c r="H130" i="128"/>
  <c r="G130" i="128"/>
  <c r="F130" i="128"/>
  <c r="E130" i="128"/>
  <c r="D130" i="128"/>
  <c r="C130" i="128"/>
  <c r="L126" i="128"/>
  <c r="K126" i="128"/>
  <c r="J126" i="128"/>
  <c r="H126" i="128"/>
  <c r="G126" i="128"/>
  <c r="F126" i="128"/>
  <c r="E126" i="128"/>
  <c r="D126" i="128"/>
  <c r="C126" i="128"/>
  <c r="L125" i="128"/>
  <c r="K125" i="128"/>
  <c r="J125" i="128"/>
  <c r="H125" i="128"/>
  <c r="G125" i="128"/>
  <c r="F125" i="128"/>
  <c r="F118" i="128"/>
  <c r="G118" i="128"/>
  <c r="E125" i="128"/>
  <c r="D125" i="128"/>
  <c r="C125" i="128"/>
  <c r="L119" i="128"/>
  <c r="K119" i="128"/>
  <c r="J119" i="128"/>
  <c r="H119" i="128"/>
  <c r="G119" i="128"/>
  <c r="F119" i="128"/>
  <c r="E119" i="128"/>
  <c r="D119" i="128"/>
  <c r="C119" i="128"/>
  <c r="L118" i="128"/>
  <c r="K118" i="128"/>
  <c r="J118" i="128"/>
  <c r="H118" i="128"/>
  <c r="E118" i="128"/>
  <c r="D118" i="128"/>
  <c r="C118" i="128"/>
  <c r="L19" i="128"/>
  <c r="K19" i="128"/>
  <c r="J19" i="128"/>
  <c r="I19" i="128"/>
  <c r="H19" i="128"/>
  <c r="G19" i="128"/>
  <c r="F19" i="128"/>
  <c r="E19" i="128"/>
  <c r="D19" i="128"/>
  <c r="C19" i="128"/>
  <c r="L18" i="128"/>
  <c r="K18" i="128"/>
  <c r="J18" i="128"/>
  <c r="I18" i="128"/>
  <c r="H18" i="128"/>
  <c r="G18" i="128"/>
  <c r="F18" i="128"/>
  <c r="E18" i="128"/>
  <c r="D18" i="128"/>
  <c r="C18" i="128"/>
  <c r="L17" i="128"/>
  <c r="K17" i="128"/>
  <c r="J17" i="128"/>
  <c r="I17" i="128"/>
  <c r="G17" i="128"/>
  <c r="F17" i="128"/>
  <c r="E17" i="128"/>
  <c r="D17" i="128"/>
  <c r="C17" i="128"/>
  <c r="L12" i="128"/>
  <c r="K12" i="128"/>
  <c r="J12" i="128"/>
  <c r="C39" i="255"/>
  <c r="D39" i="255"/>
  <c r="E39" i="255"/>
  <c r="F39" i="255"/>
  <c r="G39" i="255"/>
  <c r="H39" i="255"/>
  <c r="J39" i="255"/>
  <c r="K39" i="255"/>
  <c r="L39" i="255"/>
  <c r="C40" i="255"/>
  <c r="D40" i="255"/>
  <c r="E40" i="255"/>
  <c r="F40" i="255"/>
  <c r="G40" i="255"/>
  <c r="H40" i="255"/>
  <c r="J40" i="255"/>
  <c r="K40" i="255"/>
  <c r="L40" i="255"/>
  <c r="C41" i="255"/>
  <c r="D41" i="255"/>
  <c r="E41" i="255"/>
  <c r="F41" i="255"/>
  <c r="G41" i="255"/>
  <c r="H41" i="255"/>
  <c r="J41" i="255"/>
  <c r="K41" i="255"/>
  <c r="L41" i="255"/>
  <c r="C42" i="255"/>
  <c r="D42" i="255"/>
  <c r="E42" i="255"/>
  <c r="F42" i="255"/>
  <c r="G42" i="255"/>
  <c r="H42" i="255"/>
  <c r="J42" i="255"/>
  <c r="K42" i="255"/>
  <c r="L42" i="255"/>
  <c r="C43" i="255"/>
  <c r="D43" i="255"/>
  <c r="E43" i="255"/>
  <c r="F43" i="255"/>
  <c r="G43" i="255"/>
  <c r="H43" i="255"/>
  <c r="J43" i="255"/>
  <c r="K43" i="255"/>
  <c r="L43" i="255"/>
  <c r="C44" i="255"/>
  <c r="D44" i="255"/>
  <c r="E44" i="255"/>
  <c r="F44" i="255"/>
  <c r="G44" i="255"/>
  <c r="H44" i="255"/>
  <c r="J44" i="255"/>
  <c r="K44" i="255"/>
  <c r="L44" i="255"/>
  <c r="F38" i="255"/>
  <c r="G38" i="255"/>
  <c r="H38" i="255"/>
  <c r="J38" i="255"/>
  <c r="K38" i="255"/>
  <c r="L38" i="255"/>
  <c r="F45" i="255"/>
  <c r="G45" i="255"/>
  <c r="H45" i="255"/>
  <c r="J45" i="255"/>
  <c r="K45" i="255"/>
  <c r="L45" i="255"/>
  <c r="F46" i="255"/>
  <c r="G46" i="255"/>
  <c r="H46" i="255"/>
  <c r="J46" i="255"/>
  <c r="K46" i="255"/>
  <c r="L46" i="255"/>
  <c r="F47" i="255"/>
  <c r="G47" i="255"/>
  <c r="H47" i="255"/>
  <c r="J47" i="255"/>
  <c r="K47" i="255"/>
  <c r="L47" i="255"/>
  <c r="F48" i="255"/>
  <c r="G48" i="255"/>
  <c r="H48" i="255"/>
  <c r="J48" i="255"/>
  <c r="K48" i="255"/>
  <c r="L48" i="255"/>
  <c r="F49" i="255"/>
  <c r="G49" i="255"/>
  <c r="H49" i="255"/>
  <c r="J49" i="255"/>
  <c r="K49" i="255"/>
  <c r="L49" i="255"/>
  <c r="F50" i="255"/>
  <c r="G50" i="255"/>
  <c r="H50" i="255"/>
  <c r="J50" i="255"/>
  <c r="K50" i="255"/>
  <c r="L50" i="255"/>
  <c r="F51" i="255"/>
  <c r="G51" i="255"/>
  <c r="H51" i="255"/>
  <c r="J51" i="255"/>
  <c r="K51" i="255"/>
  <c r="L51" i="255"/>
  <c r="F52" i="255"/>
  <c r="G52" i="255"/>
  <c r="H52" i="255"/>
  <c r="J52" i="255"/>
  <c r="K52" i="255"/>
  <c r="L52" i="255"/>
  <c r="F53" i="255"/>
  <c r="G53" i="255"/>
  <c r="H53" i="255"/>
  <c r="J53" i="255"/>
  <c r="K53" i="255"/>
  <c r="L53" i="255"/>
  <c r="F55" i="255"/>
  <c r="G55" i="255"/>
  <c r="H55" i="255"/>
  <c r="J55" i="255"/>
  <c r="K55" i="255"/>
  <c r="L55" i="255"/>
  <c r="L37" i="255"/>
  <c r="K37" i="255"/>
  <c r="J37" i="255"/>
  <c r="H37" i="255"/>
  <c r="G37" i="255"/>
  <c r="F37" i="255"/>
  <c r="C38" i="255"/>
  <c r="D38" i="255"/>
  <c r="E38" i="255"/>
  <c r="C45" i="255"/>
  <c r="D45" i="255"/>
  <c r="E45" i="255"/>
  <c r="C46" i="255"/>
  <c r="D46" i="255"/>
  <c r="E46" i="255"/>
  <c r="C47" i="255"/>
  <c r="D47" i="255"/>
  <c r="E47" i="255"/>
  <c r="C48" i="255"/>
  <c r="D48" i="255"/>
  <c r="E48" i="255"/>
  <c r="C49" i="255"/>
  <c r="D49" i="255"/>
  <c r="E49" i="255"/>
  <c r="C50" i="255"/>
  <c r="D50" i="255"/>
  <c r="E50" i="255"/>
  <c r="C51" i="255"/>
  <c r="D51" i="255"/>
  <c r="E51" i="255"/>
  <c r="C52" i="255"/>
  <c r="D52" i="255"/>
  <c r="E52" i="255"/>
  <c r="C53" i="255"/>
  <c r="D53" i="255"/>
  <c r="E53" i="255"/>
  <c r="C55" i="255"/>
  <c r="D55" i="255"/>
  <c r="E55" i="255"/>
  <c r="D37" i="255"/>
  <c r="E37" i="255"/>
  <c r="C37" i="255"/>
  <c r="I33" i="255"/>
  <c r="L32" i="255"/>
  <c r="K32" i="255"/>
  <c r="J32" i="255"/>
  <c r="I32" i="255"/>
  <c r="H32" i="255"/>
  <c r="G32" i="255"/>
  <c r="F32" i="255"/>
  <c r="E32" i="255"/>
  <c r="D32" i="255"/>
  <c r="C32" i="255"/>
  <c r="L31" i="255"/>
  <c r="K31" i="255"/>
  <c r="J31" i="255"/>
  <c r="I31" i="255"/>
  <c r="H31" i="255"/>
  <c r="G31" i="255"/>
  <c r="F31" i="255"/>
  <c r="E31" i="255"/>
  <c r="D31" i="255"/>
  <c r="C31" i="255"/>
  <c r="L30" i="255"/>
  <c r="K30" i="255"/>
  <c r="J30" i="255"/>
  <c r="H30" i="255"/>
  <c r="G30" i="255"/>
  <c r="F30" i="255"/>
  <c r="E30" i="255"/>
  <c r="D30" i="255"/>
  <c r="C30" i="255"/>
  <c r="K44" i="146"/>
  <c r="J44" i="146"/>
  <c r="I44" i="146"/>
  <c r="H44" i="146"/>
  <c r="G44" i="146"/>
  <c r="F44" i="146"/>
  <c r="E44" i="146"/>
  <c r="D44" i="146"/>
  <c r="C44" i="146"/>
  <c r="K43" i="146"/>
  <c r="J43" i="146"/>
  <c r="I43" i="146"/>
  <c r="H43" i="146"/>
  <c r="G43" i="146"/>
  <c r="F43" i="146"/>
  <c r="E43" i="146"/>
  <c r="D43" i="146"/>
  <c r="C43" i="146"/>
  <c r="K42" i="146"/>
  <c r="J42" i="146"/>
  <c r="I42" i="146"/>
  <c r="H42" i="146"/>
  <c r="G42" i="146"/>
  <c r="F42" i="146"/>
  <c r="E42" i="146"/>
  <c r="D42" i="146"/>
  <c r="C42" i="146"/>
  <c r="K41" i="146"/>
  <c r="J41" i="146"/>
  <c r="I41" i="146"/>
  <c r="H41" i="146"/>
  <c r="G41" i="146"/>
  <c r="F41" i="146"/>
  <c r="E41" i="146"/>
  <c r="D41" i="146"/>
  <c r="C41" i="146"/>
  <c r="K40" i="146"/>
  <c r="J40" i="146"/>
  <c r="I40" i="146"/>
  <c r="H40" i="146"/>
  <c r="G40" i="146"/>
  <c r="F40" i="146"/>
  <c r="E40" i="146"/>
  <c r="D40" i="146"/>
  <c r="C40" i="146"/>
  <c r="K39" i="146"/>
  <c r="J39" i="146"/>
  <c r="I39" i="146"/>
  <c r="H39" i="146"/>
  <c r="G39" i="146"/>
  <c r="F39" i="146"/>
  <c r="E39" i="146"/>
  <c r="D39" i="146"/>
  <c r="C39" i="146"/>
  <c r="K38" i="146"/>
  <c r="J38" i="146"/>
  <c r="I38" i="146"/>
  <c r="H38" i="146"/>
  <c r="G38" i="146"/>
  <c r="F38" i="146"/>
  <c r="E38" i="146"/>
  <c r="D38" i="146"/>
  <c r="C38" i="146"/>
  <c r="K37" i="146"/>
  <c r="J37" i="146"/>
  <c r="I37" i="146"/>
  <c r="H37" i="146"/>
  <c r="G37" i="146"/>
  <c r="F37" i="146"/>
  <c r="E37" i="146"/>
  <c r="D37" i="146"/>
  <c r="C37" i="146"/>
  <c r="K36" i="146"/>
  <c r="J36" i="146"/>
  <c r="I36" i="146"/>
  <c r="H36" i="146"/>
  <c r="G36" i="146"/>
  <c r="F36" i="146"/>
  <c r="E36" i="146"/>
  <c r="D36" i="146"/>
  <c r="C36" i="146"/>
  <c r="K35" i="146"/>
  <c r="J35" i="146"/>
  <c r="I35" i="146"/>
  <c r="H35" i="146"/>
  <c r="G35" i="146"/>
  <c r="F35" i="146"/>
  <c r="E35" i="146"/>
  <c r="D35" i="146"/>
  <c r="C35" i="146"/>
  <c r="K34" i="146"/>
  <c r="J34" i="146"/>
  <c r="I34" i="146"/>
  <c r="H34" i="146"/>
  <c r="G34" i="146"/>
  <c r="F34" i="146"/>
  <c r="E34" i="146"/>
  <c r="D34" i="146"/>
  <c r="C34" i="146"/>
  <c r="K33" i="146"/>
  <c r="J33" i="146"/>
  <c r="I33" i="146"/>
  <c r="H33" i="146"/>
  <c r="G33" i="146"/>
  <c r="F33" i="146"/>
  <c r="E33" i="146"/>
  <c r="D33" i="146"/>
  <c r="C33" i="146"/>
  <c r="K28" i="146"/>
  <c r="J28" i="146"/>
  <c r="I28" i="146"/>
  <c r="H28" i="146"/>
  <c r="G28" i="146"/>
  <c r="F28" i="146"/>
  <c r="E28" i="146"/>
  <c r="D28" i="146"/>
  <c r="C28" i="146"/>
  <c r="K27" i="146"/>
  <c r="J27" i="146"/>
  <c r="I27" i="146"/>
  <c r="H27" i="146"/>
  <c r="G27" i="146"/>
  <c r="F27" i="146"/>
  <c r="E27" i="146"/>
  <c r="D27" i="146"/>
  <c r="C27" i="146"/>
  <c r="K26" i="146"/>
  <c r="J26" i="146"/>
  <c r="I26" i="146"/>
  <c r="H26" i="146"/>
  <c r="G26" i="146"/>
  <c r="F26" i="146"/>
  <c r="E26" i="146"/>
  <c r="D26" i="146"/>
  <c r="C26" i="146"/>
  <c r="K25" i="146"/>
  <c r="J25" i="146"/>
  <c r="I25" i="146"/>
  <c r="H25" i="146"/>
  <c r="G25" i="146"/>
  <c r="F25" i="146"/>
  <c r="E25" i="146"/>
  <c r="D25" i="146"/>
  <c r="C25" i="146"/>
  <c r="K24" i="146"/>
  <c r="J24" i="146"/>
  <c r="I24" i="146"/>
  <c r="H24" i="146"/>
  <c r="G24" i="146"/>
  <c r="F24" i="146"/>
  <c r="E24" i="146"/>
  <c r="D24" i="146"/>
  <c r="C24" i="146"/>
  <c r="K23" i="146"/>
  <c r="J23" i="146"/>
  <c r="I23" i="146"/>
  <c r="H23" i="146"/>
  <c r="G23" i="146"/>
  <c r="F23" i="146"/>
  <c r="E23" i="146"/>
  <c r="D23" i="146"/>
  <c r="C23" i="146"/>
  <c r="K22" i="146"/>
  <c r="J22" i="146"/>
  <c r="I22" i="146"/>
  <c r="H22" i="146"/>
  <c r="G22" i="146"/>
  <c r="F22" i="146"/>
  <c r="E22" i="146"/>
  <c r="D22" i="146"/>
  <c r="C22" i="146"/>
  <c r="K21" i="146"/>
  <c r="J21" i="146"/>
  <c r="I21" i="146"/>
  <c r="H21" i="146"/>
  <c r="G21" i="146"/>
  <c r="F21" i="146"/>
  <c r="E21" i="146"/>
  <c r="D21" i="146"/>
  <c r="C21" i="146"/>
  <c r="K20" i="146"/>
  <c r="J20" i="146"/>
  <c r="I20" i="146"/>
  <c r="H20" i="146"/>
  <c r="G20" i="146"/>
  <c r="F20" i="146"/>
  <c r="E20" i="146"/>
  <c r="D20" i="146"/>
  <c r="C20" i="146"/>
  <c r="K19" i="146"/>
  <c r="J19" i="146"/>
  <c r="I19" i="146"/>
  <c r="H19" i="146"/>
  <c r="G19" i="146"/>
  <c r="F19" i="146"/>
  <c r="E19" i="146"/>
  <c r="D19" i="146"/>
  <c r="C19" i="146"/>
  <c r="K18" i="146"/>
  <c r="J18" i="146"/>
  <c r="I18" i="146"/>
  <c r="H18" i="146"/>
  <c r="G18" i="146"/>
  <c r="F18" i="146"/>
  <c r="E18" i="146"/>
  <c r="D18" i="146"/>
  <c r="C18" i="146"/>
  <c r="K17" i="146"/>
  <c r="J17" i="146"/>
  <c r="I17" i="146"/>
  <c r="H17" i="146"/>
  <c r="G17" i="146"/>
  <c r="F17" i="146"/>
  <c r="E17" i="146"/>
  <c r="D17" i="146"/>
  <c r="C17" i="146"/>
  <c r="F7" i="146"/>
  <c r="G7" i="146"/>
  <c r="H7" i="146"/>
  <c r="I7" i="146"/>
  <c r="J7" i="146"/>
  <c r="K7" i="146"/>
  <c r="F8" i="146"/>
  <c r="G8" i="146"/>
  <c r="H8" i="146"/>
  <c r="I8" i="146"/>
  <c r="J8" i="146"/>
  <c r="K8" i="146"/>
  <c r="F9" i="146"/>
  <c r="G9" i="146"/>
  <c r="H9" i="146"/>
  <c r="I9" i="146"/>
  <c r="J9" i="146"/>
  <c r="K9" i="146"/>
  <c r="F10" i="146"/>
  <c r="G10" i="146"/>
  <c r="H10" i="146"/>
  <c r="I10" i="146"/>
  <c r="J10" i="146"/>
  <c r="K10" i="146"/>
  <c r="F11" i="146"/>
  <c r="G11" i="146"/>
  <c r="H11" i="146"/>
  <c r="I11" i="146"/>
  <c r="J11" i="146"/>
  <c r="K11" i="146"/>
  <c r="F12" i="146"/>
  <c r="G12" i="146"/>
  <c r="H12" i="146"/>
  <c r="I12" i="146"/>
  <c r="J12" i="146"/>
  <c r="K12" i="146"/>
  <c r="K6" i="146"/>
  <c r="J6" i="146"/>
  <c r="I6" i="146"/>
  <c r="H6" i="146"/>
  <c r="G6" i="146"/>
  <c r="F6" i="146"/>
  <c r="C7" i="146"/>
  <c r="D7" i="146"/>
  <c r="E7" i="146"/>
  <c r="C8" i="146"/>
  <c r="D8" i="146"/>
  <c r="E8" i="146"/>
  <c r="C9" i="146"/>
  <c r="D9" i="146"/>
  <c r="E9" i="146"/>
  <c r="C10" i="146"/>
  <c r="D10" i="146"/>
  <c r="E10" i="146"/>
  <c r="C11" i="146"/>
  <c r="D11" i="146"/>
  <c r="E11" i="146"/>
  <c r="C12" i="146"/>
  <c r="D12" i="146"/>
  <c r="E12" i="146"/>
  <c r="D6" i="146"/>
  <c r="E6" i="146"/>
  <c r="C6" i="146"/>
  <c r="L61" i="305"/>
  <c r="K61" i="305"/>
  <c r="J61" i="305"/>
  <c r="H61" i="305"/>
  <c r="G61" i="305"/>
  <c r="F61" i="305"/>
  <c r="E61" i="305"/>
  <c r="D61" i="305"/>
  <c r="C61" i="305"/>
  <c r="L60" i="305"/>
  <c r="K60" i="305"/>
  <c r="J60" i="305"/>
  <c r="H60" i="305"/>
  <c r="G60" i="305"/>
  <c r="F60" i="305"/>
  <c r="E60" i="305"/>
  <c r="D60" i="305"/>
  <c r="C60" i="305"/>
  <c r="L59" i="305"/>
  <c r="K59" i="305"/>
  <c r="J59" i="305"/>
  <c r="H59" i="305"/>
  <c r="G59" i="305"/>
  <c r="F59" i="305"/>
  <c r="E59" i="305"/>
  <c r="D59" i="305"/>
  <c r="C59" i="305"/>
  <c r="L55" i="305"/>
  <c r="K55" i="305"/>
  <c r="J55" i="305"/>
  <c r="H55" i="305"/>
  <c r="G55" i="305"/>
  <c r="F55" i="305"/>
  <c r="E55" i="305"/>
  <c r="D55" i="305"/>
  <c r="C55" i="305"/>
  <c r="L54" i="305"/>
  <c r="K54" i="305"/>
  <c r="J54" i="305"/>
  <c r="H54" i="305"/>
  <c r="G54" i="305"/>
  <c r="F54" i="305"/>
  <c r="E54" i="305"/>
  <c r="D54" i="305"/>
  <c r="C54" i="305"/>
  <c r="L53" i="305"/>
  <c r="K53" i="305"/>
  <c r="J53" i="305"/>
  <c r="H53" i="305"/>
  <c r="G53" i="305"/>
  <c r="F53" i="305"/>
  <c r="E53" i="305"/>
  <c r="D53" i="305"/>
  <c r="C53" i="305"/>
  <c r="L49" i="305"/>
  <c r="K49" i="305"/>
  <c r="J49" i="305"/>
  <c r="H49" i="305"/>
  <c r="G49" i="305"/>
  <c r="F49" i="305"/>
  <c r="E49" i="305"/>
  <c r="D49" i="305"/>
  <c r="C49" i="305"/>
  <c r="L48" i="305"/>
  <c r="K48" i="305"/>
  <c r="J48" i="305"/>
  <c r="H48" i="305"/>
  <c r="G48" i="305"/>
  <c r="F48" i="305"/>
  <c r="E48" i="305"/>
  <c r="D48" i="305"/>
  <c r="C48" i="305"/>
  <c r="L47" i="305"/>
  <c r="K47" i="305"/>
  <c r="J47" i="305"/>
  <c r="H47" i="305"/>
  <c r="G47" i="305"/>
  <c r="F47" i="305"/>
  <c r="E47" i="305"/>
  <c r="D47" i="305"/>
  <c r="C47" i="305"/>
  <c r="L43" i="305"/>
  <c r="K43" i="305"/>
  <c r="J43" i="305"/>
  <c r="H43" i="305"/>
  <c r="G43" i="305"/>
  <c r="F43" i="305"/>
  <c r="E43" i="305"/>
  <c r="D43" i="305"/>
  <c r="C43" i="305"/>
  <c r="L42" i="305"/>
  <c r="K42" i="305"/>
  <c r="J42" i="305"/>
  <c r="H42" i="305"/>
  <c r="G42" i="305"/>
  <c r="F42" i="305"/>
  <c r="E42" i="305"/>
  <c r="D42" i="305"/>
  <c r="C42" i="305"/>
  <c r="L41" i="305"/>
  <c r="K41" i="305"/>
  <c r="J41" i="305"/>
  <c r="H41" i="305"/>
  <c r="G41" i="305"/>
  <c r="F41" i="305"/>
  <c r="E41" i="305"/>
  <c r="D41" i="305"/>
  <c r="C41" i="305"/>
  <c r="L37" i="305"/>
  <c r="K37" i="305"/>
  <c r="J37" i="305"/>
  <c r="H37" i="305"/>
  <c r="G37" i="305"/>
  <c r="F37" i="305"/>
  <c r="E37" i="305"/>
  <c r="D37" i="305"/>
  <c r="C37" i="305"/>
  <c r="L36" i="305"/>
  <c r="K36" i="305"/>
  <c r="J36" i="305"/>
  <c r="H36" i="305"/>
  <c r="G36" i="305"/>
  <c r="F36" i="305"/>
  <c r="E36" i="305"/>
  <c r="D36" i="305"/>
  <c r="C36" i="305"/>
  <c r="L35" i="305"/>
  <c r="K35" i="305"/>
  <c r="J35" i="305"/>
  <c r="H35" i="305"/>
  <c r="G35" i="305"/>
  <c r="F35" i="305"/>
  <c r="E35" i="305"/>
  <c r="D35" i="305"/>
  <c r="C35" i="305"/>
  <c r="L30" i="305"/>
  <c r="K30" i="305"/>
  <c r="J30" i="305"/>
  <c r="H30" i="305"/>
  <c r="G30" i="305"/>
  <c r="F30" i="305"/>
  <c r="E30" i="305"/>
  <c r="D30" i="305"/>
  <c r="C30" i="305"/>
  <c r="L29" i="305"/>
  <c r="K29" i="305"/>
  <c r="J29" i="305"/>
  <c r="H29" i="305"/>
  <c r="G29" i="305"/>
  <c r="F29" i="305"/>
  <c r="E29" i="305"/>
  <c r="D29" i="305"/>
  <c r="C29" i="305"/>
  <c r="L25" i="305"/>
  <c r="K25" i="305"/>
  <c r="J25" i="305"/>
  <c r="H25" i="305"/>
  <c r="G25" i="305"/>
  <c r="F25" i="305"/>
  <c r="E25" i="305"/>
  <c r="D25" i="305"/>
  <c r="C25" i="305"/>
  <c r="L24" i="305"/>
  <c r="K24" i="305"/>
  <c r="J24" i="305"/>
  <c r="H24" i="305"/>
  <c r="G24" i="305"/>
  <c r="F24" i="305"/>
  <c r="E24" i="305"/>
  <c r="D24" i="305"/>
  <c r="C24" i="305"/>
  <c r="L20" i="305"/>
  <c r="K20" i="305"/>
  <c r="J20" i="305"/>
  <c r="H20" i="305"/>
  <c r="G20" i="305"/>
  <c r="F20" i="305"/>
  <c r="E20" i="305"/>
  <c r="D20" i="305"/>
  <c r="C20" i="305"/>
  <c r="L19" i="305"/>
  <c r="K19" i="305"/>
  <c r="J19" i="305"/>
  <c r="H19" i="305"/>
  <c r="G19" i="305"/>
  <c r="F19" i="305"/>
  <c r="E19" i="305"/>
  <c r="D19" i="305"/>
  <c r="C19" i="305"/>
  <c r="L18" i="305"/>
  <c r="K18" i="305"/>
  <c r="J18" i="305"/>
  <c r="H18" i="305"/>
  <c r="G18" i="305"/>
  <c r="F18" i="305"/>
  <c r="E18" i="305"/>
  <c r="D18" i="305"/>
  <c r="C18" i="305"/>
  <c r="L14" i="305"/>
  <c r="K14" i="305"/>
  <c r="J14" i="305"/>
  <c r="H14" i="305"/>
  <c r="G14" i="305"/>
  <c r="F14" i="305"/>
  <c r="E14" i="305"/>
  <c r="D14" i="305"/>
  <c r="C14" i="305"/>
  <c r="L13" i="305"/>
  <c r="K13" i="305"/>
  <c r="J13" i="305"/>
  <c r="H13" i="305"/>
  <c r="G13" i="305"/>
  <c r="F13" i="305"/>
  <c r="E13" i="305"/>
  <c r="D13" i="305"/>
  <c r="C13" i="305"/>
  <c r="L12" i="305"/>
  <c r="K12" i="305"/>
  <c r="J12" i="305"/>
  <c r="H12" i="305"/>
  <c r="G12" i="305"/>
  <c r="F12" i="305"/>
  <c r="E12" i="305"/>
  <c r="D12" i="305"/>
  <c r="C12" i="305"/>
  <c r="E9" i="95" l="1"/>
  <c r="F9" i="95"/>
  <c r="G9" i="95"/>
  <c r="H9" i="95"/>
  <c r="I9" i="95"/>
  <c r="J9" i="95"/>
  <c r="K9" i="95"/>
  <c r="L9" i="95"/>
  <c r="B9" i="95"/>
  <c r="D9" i="95"/>
  <c r="C9" i="95"/>
  <c r="B19" i="95"/>
  <c r="C19" i="95"/>
  <c r="D19" i="95"/>
  <c r="E19" i="95"/>
  <c r="F19" i="95"/>
  <c r="G19" i="95"/>
  <c r="H19" i="95"/>
  <c r="I19" i="95"/>
  <c r="J19" i="95"/>
  <c r="K19" i="95"/>
  <c r="L19" i="95"/>
  <c r="B8" i="95"/>
  <c r="C8" i="95"/>
  <c r="D8" i="95"/>
  <c r="E8" i="95"/>
  <c r="F8" i="95"/>
  <c r="G8" i="95"/>
  <c r="I8" i="95"/>
  <c r="K8" i="95"/>
  <c r="L8" i="95"/>
  <c r="H8" i="95"/>
  <c r="J8" i="95"/>
  <c r="B18" i="95"/>
  <c r="C18" i="95"/>
  <c r="D18" i="95"/>
  <c r="E18" i="95"/>
  <c r="F18" i="95"/>
  <c r="G18" i="95"/>
  <c r="H18" i="95"/>
  <c r="I18" i="95"/>
  <c r="J18" i="95"/>
  <c r="K18" i="95"/>
  <c r="L18" i="95"/>
  <c r="B7" i="95"/>
  <c r="C7" i="95"/>
  <c r="D7" i="95"/>
  <c r="E7" i="95"/>
  <c r="F7" i="95"/>
  <c r="G7" i="95"/>
  <c r="H7" i="95"/>
  <c r="I7" i="95"/>
  <c r="J7" i="95"/>
  <c r="K7" i="95"/>
  <c r="L7" i="95"/>
  <c r="B17" i="95"/>
  <c r="C17" i="95"/>
  <c r="D17" i="95"/>
  <c r="F17" i="95"/>
  <c r="H17" i="95"/>
  <c r="I17" i="95"/>
  <c r="E17" i="95"/>
  <c r="G17" i="95"/>
  <c r="J17" i="95"/>
  <c r="K17" i="95"/>
  <c r="L17" i="95"/>
  <c r="F6" i="95"/>
  <c r="G6" i="95"/>
  <c r="H6" i="95"/>
  <c r="I6" i="95"/>
  <c r="J6" i="95"/>
  <c r="K6" i="95"/>
  <c r="L6" i="95"/>
  <c r="B6" i="95"/>
  <c r="C6" i="95"/>
  <c r="D6" i="95"/>
  <c r="E6" i="95"/>
  <c r="L23" i="95"/>
  <c r="K23" i="95"/>
  <c r="J23" i="95"/>
  <c r="I23" i="95"/>
  <c r="H23" i="95"/>
  <c r="G23" i="95"/>
  <c r="F23" i="95"/>
  <c r="D23" i="95"/>
  <c r="B23" i="95"/>
  <c r="E23" i="95"/>
  <c r="C23" i="95"/>
  <c r="B16" i="95"/>
  <c r="C16" i="95"/>
  <c r="D16" i="95"/>
  <c r="E16" i="95"/>
  <c r="F16" i="95"/>
  <c r="G16" i="95"/>
  <c r="H16" i="95"/>
  <c r="I16" i="95"/>
  <c r="J16" i="95"/>
  <c r="K16" i="95"/>
  <c r="L16" i="95"/>
  <c r="F28" i="95"/>
  <c r="E28" i="95"/>
  <c r="D28" i="95"/>
  <c r="C28" i="95"/>
  <c r="B28" i="95"/>
  <c r="K28" i="95"/>
  <c r="J28" i="95"/>
  <c r="L28" i="95"/>
  <c r="I28" i="95"/>
  <c r="H28" i="95"/>
  <c r="G28" i="95"/>
  <c r="B14" i="95"/>
  <c r="C14" i="95"/>
  <c r="D14" i="95"/>
  <c r="E14" i="95"/>
  <c r="G14" i="95"/>
  <c r="I14" i="95"/>
  <c r="J14" i="95"/>
  <c r="L14" i="95"/>
  <c r="H14" i="95"/>
  <c r="K14" i="95"/>
  <c r="F14" i="95"/>
  <c r="C15" i="95"/>
  <c r="D15" i="95"/>
  <c r="E15" i="95"/>
  <c r="F15" i="95"/>
  <c r="G15" i="95"/>
  <c r="H15" i="95"/>
  <c r="I15" i="95"/>
  <c r="J15" i="95"/>
  <c r="K15" i="95"/>
  <c r="L15" i="95"/>
  <c r="B15" i="95"/>
  <c r="L27" i="95"/>
  <c r="K27" i="95"/>
  <c r="J27" i="95"/>
  <c r="I27" i="95"/>
  <c r="H27" i="95"/>
  <c r="G27" i="95"/>
  <c r="F27" i="95"/>
  <c r="E27" i="95"/>
  <c r="D27" i="95"/>
  <c r="C27" i="95"/>
  <c r="B27" i="95"/>
  <c r="B13" i="95"/>
  <c r="C13" i="95"/>
  <c r="D13" i="95"/>
  <c r="E13" i="95"/>
  <c r="F13" i="95"/>
  <c r="G13" i="95"/>
  <c r="H13" i="95"/>
  <c r="I13" i="95"/>
  <c r="J13" i="95"/>
  <c r="K13" i="95"/>
  <c r="L13" i="95"/>
  <c r="L26" i="95"/>
  <c r="K26" i="95"/>
  <c r="J26" i="95"/>
  <c r="I26" i="95"/>
  <c r="H26" i="95"/>
  <c r="G26" i="95"/>
  <c r="F26" i="95"/>
  <c r="E26" i="95"/>
  <c r="C26" i="95"/>
  <c r="D26" i="95"/>
  <c r="B26" i="95"/>
  <c r="D12" i="95"/>
  <c r="E12" i="95"/>
  <c r="F12" i="95"/>
  <c r="G12" i="95"/>
  <c r="H12" i="95"/>
  <c r="I12" i="95"/>
  <c r="J12" i="95"/>
  <c r="K12" i="95"/>
  <c r="L12" i="95"/>
  <c r="B12" i="95"/>
  <c r="C12" i="95"/>
  <c r="G25" i="95"/>
  <c r="F25" i="95"/>
  <c r="E25" i="95"/>
  <c r="D25" i="95"/>
  <c r="C25" i="95"/>
  <c r="B25" i="95"/>
  <c r="L25" i="95"/>
  <c r="K25" i="95"/>
  <c r="J25" i="95"/>
  <c r="I25" i="95"/>
  <c r="H25" i="95"/>
  <c r="B11" i="95"/>
  <c r="C11" i="95"/>
  <c r="D11" i="95"/>
  <c r="E11" i="95"/>
  <c r="F11" i="95"/>
  <c r="H11" i="95"/>
  <c r="J11" i="95"/>
  <c r="K11" i="95"/>
  <c r="G11" i="95"/>
  <c r="I11" i="95"/>
  <c r="L11" i="95"/>
  <c r="L24" i="95"/>
  <c r="K24" i="95"/>
  <c r="J24" i="95"/>
  <c r="I24" i="95"/>
  <c r="H24" i="95"/>
  <c r="G24" i="95"/>
  <c r="F24" i="95"/>
  <c r="E24" i="95"/>
  <c r="D24" i="95"/>
  <c r="C24" i="95"/>
  <c r="B24" i="95"/>
  <c r="B5" i="95"/>
  <c r="L5" i="95"/>
  <c r="D5" i="95"/>
  <c r="F5" i="95"/>
  <c r="H5" i="95"/>
  <c r="I5" i="95"/>
  <c r="E5" i="95"/>
  <c r="G5" i="95"/>
  <c r="J5" i="95"/>
  <c r="K5" i="95"/>
  <c r="C5" i="95"/>
  <c r="B10" i="95"/>
  <c r="C10" i="95"/>
  <c r="D10" i="95"/>
  <c r="E10" i="95"/>
  <c r="F10" i="95"/>
  <c r="G10" i="95"/>
  <c r="H10" i="95"/>
  <c r="I10" i="95"/>
  <c r="J10" i="95"/>
  <c r="K10" i="95"/>
  <c r="L10" i="95"/>
  <c r="M48" i="95"/>
  <c r="C7" i="305"/>
  <c r="D7" i="305"/>
  <c r="E7" i="305"/>
  <c r="F7" i="305"/>
  <c r="G7" i="305"/>
  <c r="H7" i="305"/>
  <c r="J7" i="305"/>
  <c r="K7" i="305"/>
  <c r="L7" i="305"/>
  <c r="C8" i="305"/>
  <c r="D8" i="305"/>
  <c r="E8" i="305"/>
  <c r="F8" i="305"/>
  <c r="G8" i="305"/>
  <c r="H8" i="305"/>
  <c r="J8" i="305"/>
  <c r="K8" i="305"/>
  <c r="L8" i="305"/>
  <c r="L6" i="305"/>
  <c r="K6" i="305"/>
  <c r="J6" i="305"/>
  <c r="H6" i="305"/>
  <c r="G6" i="305"/>
  <c r="F6" i="305"/>
  <c r="E6" i="305"/>
  <c r="D6" i="305"/>
  <c r="C6" i="305"/>
  <c r="K49" i="144"/>
  <c r="J49" i="144"/>
  <c r="I49" i="144"/>
  <c r="H49" i="144"/>
  <c r="G49" i="144"/>
  <c r="F49" i="144"/>
  <c r="E49" i="144"/>
  <c r="D49" i="144"/>
  <c r="C49" i="144"/>
  <c r="K48" i="144"/>
  <c r="J48" i="144"/>
  <c r="I48" i="144"/>
  <c r="H48" i="144"/>
  <c r="G48" i="144"/>
  <c r="F48" i="144"/>
  <c r="E48" i="144"/>
  <c r="D48" i="144"/>
  <c r="C48" i="144"/>
  <c r="K47" i="144"/>
  <c r="J47" i="144"/>
  <c r="I47" i="144"/>
  <c r="H47" i="144"/>
  <c r="G47" i="144"/>
  <c r="F47" i="144"/>
  <c r="E47" i="144"/>
  <c r="D47" i="144"/>
  <c r="C47" i="144"/>
  <c r="K46" i="144"/>
  <c r="J46" i="144"/>
  <c r="I46" i="144"/>
  <c r="H46" i="144"/>
  <c r="G46" i="144"/>
  <c r="F46" i="144"/>
  <c r="E46" i="144"/>
  <c r="D46" i="144"/>
  <c r="C46" i="144"/>
  <c r="K45" i="144"/>
  <c r="J45" i="144"/>
  <c r="I45" i="144"/>
  <c r="H45" i="144"/>
  <c r="G45" i="144"/>
  <c r="F45" i="144"/>
  <c r="E45" i="144"/>
  <c r="D45" i="144"/>
  <c r="C45" i="144"/>
  <c r="K44" i="144"/>
  <c r="J44" i="144"/>
  <c r="I44" i="144"/>
  <c r="H44" i="144"/>
  <c r="G44" i="144"/>
  <c r="F44" i="144"/>
  <c r="E44" i="144"/>
  <c r="D44" i="144"/>
  <c r="C44" i="144"/>
  <c r="K43" i="144"/>
  <c r="J43" i="144"/>
  <c r="I43" i="144"/>
  <c r="H43" i="144"/>
  <c r="G43" i="144"/>
  <c r="F43" i="144"/>
  <c r="E43" i="144"/>
  <c r="D43" i="144"/>
  <c r="C43" i="144"/>
  <c r="K42" i="144"/>
  <c r="J42" i="144"/>
  <c r="I42" i="144"/>
  <c r="H42" i="144"/>
  <c r="G42" i="144"/>
  <c r="F42" i="144"/>
  <c r="E42" i="144"/>
  <c r="D42" i="144"/>
  <c r="C42" i="144"/>
  <c r="K41" i="144"/>
  <c r="J41" i="144"/>
  <c r="I41" i="144"/>
  <c r="H41" i="144"/>
  <c r="G41" i="144"/>
  <c r="F41" i="144"/>
  <c r="E41" i="144"/>
  <c r="D41" i="144"/>
  <c r="C41" i="144"/>
  <c r="K40" i="144"/>
  <c r="J40" i="144"/>
  <c r="I40" i="144"/>
  <c r="H40" i="144"/>
  <c r="G40" i="144"/>
  <c r="F40" i="144"/>
  <c r="E40" i="144"/>
  <c r="D40" i="144"/>
  <c r="C40" i="144"/>
  <c r="K39" i="144"/>
  <c r="J39" i="144"/>
  <c r="I39" i="144"/>
  <c r="H39" i="144"/>
  <c r="G39" i="144"/>
  <c r="F39" i="144"/>
  <c r="E39" i="144"/>
  <c r="D39" i="144"/>
  <c r="C39" i="144"/>
  <c r="K38" i="144"/>
  <c r="J38" i="144"/>
  <c r="I38" i="144"/>
  <c r="H38" i="144"/>
  <c r="G38" i="144"/>
  <c r="F38" i="144"/>
  <c r="E38" i="144"/>
  <c r="D38" i="144"/>
  <c r="C38" i="144"/>
  <c r="I6" i="144"/>
  <c r="J6" i="144"/>
  <c r="K6" i="144"/>
  <c r="I7" i="144"/>
  <c r="J7" i="144"/>
  <c r="K7" i="144"/>
  <c r="I8" i="144"/>
  <c r="J8" i="144"/>
  <c r="K8" i="144"/>
  <c r="I9" i="144"/>
  <c r="J9" i="144"/>
  <c r="K9" i="144"/>
  <c r="I10" i="144"/>
  <c r="J10" i="144"/>
  <c r="K10" i="144"/>
  <c r="I11" i="144"/>
  <c r="J11" i="144"/>
  <c r="K11" i="144"/>
  <c r="I12" i="144"/>
  <c r="J12" i="144"/>
  <c r="K12" i="144"/>
  <c r="I13" i="144"/>
  <c r="J13" i="144"/>
  <c r="K13" i="144"/>
  <c r="I14" i="144"/>
  <c r="J14" i="144"/>
  <c r="K14" i="144"/>
  <c r="I15" i="144"/>
  <c r="J15" i="144"/>
  <c r="K15" i="144"/>
  <c r="I16" i="144"/>
  <c r="J16" i="144"/>
  <c r="K16" i="144"/>
  <c r="K5" i="144"/>
  <c r="J5" i="144"/>
  <c r="I5" i="144"/>
  <c r="C6" i="144"/>
  <c r="D6" i="144"/>
  <c r="E6" i="144"/>
  <c r="F6" i="144"/>
  <c r="G6" i="144"/>
  <c r="H6" i="144"/>
  <c r="C7" i="144"/>
  <c r="D7" i="144"/>
  <c r="E7" i="144"/>
  <c r="F7" i="144"/>
  <c r="G7" i="144"/>
  <c r="H7" i="144"/>
  <c r="C8" i="144"/>
  <c r="D8" i="144"/>
  <c r="E8" i="144"/>
  <c r="F8" i="144"/>
  <c r="G8" i="144"/>
  <c r="H8" i="144"/>
  <c r="C9" i="144"/>
  <c r="D9" i="144"/>
  <c r="E9" i="144"/>
  <c r="F9" i="144"/>
  <c r="G9" i="144"/>
  <c r="H9" i="144"/>
  <c r="C10" i="144"/>
  <c r="D10" i="144"/>
  <c r="E10" i="144"/>
  <c r="F10" i="144"/>
  <c r="G10" i="144"/>
  <c r="H10" i="144"/>
  <c r="C11" i="144"/>
  <c r="D11" i="144"/>
  <c r="E11" i="144"/>
  <c r="F11" i="144"/>
  <c r="G11" i="144"/>
  <c r="H11" i="144"/>
  <c r="C12" i="144"/>
  <c r="D12" i="144"/>
  <c r="E12" i="144"/>
  <c r="F12" i="144"/>
  <c r="G12" i="144"/>
  <c r="H12" i="144"/>
  <c r="C13" i="144"/>
  <c r="D13" i="144"/>
  <c r="E13" i="144"/>
  <c r="F13" i="144"/>
  <c r="G13" i="144"/>
  <c r="H13" i="144"/>
  <c r="C14" i="144"/>
  <c r="D14" i="144"/>
  <c r="E14" i="144"/>
  <c r="F14" i="144"/>
  <c r="G14" i="144"/>
  <c r="H14" i="144"/>
  <c r="C15" i="144"/>
  <c r="D15" i="144"/>
  <c r="E15" i="144"/>
  <c r="F15" i="144"/>
  <c r="G15" i="144"/>
  <c r="H15" i="144"/>
  <c r="C16" i="144"/>
  <c r="D16" i="144"/>
  <c r="E16" i="144"/>
  <c r="F16" i="144"/>
  <c r="G16" i="144"/>
  <c r="H16" i="144"/>
  <c r="H5" i="144"/>
  <c r="G5" i="144"/>
  <c r="F5" i="144"/>
  <c r="E5" i="144"/>
  <c r="D5" i="144"/>
  <c r="C5" i="144"/>
  <c r="C7" i="142"/>
  <c r="D7" i="142"/>
  <c r="E7" i="142"/>
  <c r="F7" i="142"/>
  <c r="G7" i="142"/>
  <c r="H7" i="142"/>
  <c r="I7" i="142"/>
  <c r="J7" i="142"/>
  <c r="K7" i="142"/>
  <c r="C8" i="142"/>
  <c r="D8" i="142"/>
  <c r="E8" i="142"/>
  <c r="F8" i="142"/>
  <c r="G8" i="142"/>
  <c r="H8" i="142"/>
  <c r="I8" i="142"/>
  <c r="J8" i="142"/>
  <c r="K8" i="142"/>
  <c r="C9" i="142"/>
  <c r="D9" i="142"/>
  <c r="E9" i="142"/>
  <c r="F9" i="142"/>
  <c r="G9" i="142"/>
  <c r="H9" i="142"/>
  <c r="I9" i="142"/>
  <c r="J9" i="142"/>
  <c r="K9" i="142"/>
  <c r="C10" i="142"/>
  <c r="D10" i="142"/>
  <c r="E10" i="142"/>
  <c r="F10" i="142"/>
  <c r="G10" i="142"/>
  <c r="H10" i="142"/>
  <c r="I10" i="142"/>
  <c r="J10" i="142"/>
  <c r="K10" i="142"/>
  <c r="C11" i="142"/>
  <c r="D11" i="142"/>
  <c r="E11" i="142"/>
  <c r="F11" i="142"/>
  <c r="G11" i="142"/>
  <c r="H11" i="142"/>
  <c r="I11" i="142"/>
  <c r="J11" i="142"/>
  <c r="K11" i="142"/>
  <c r="C12" i="142"/>
  <c r="D12" i="142"/>
  <c r="E12" i="142"/>
  <c r="F12" i="142"/>
  <c r="G12" i="142"/>
  <c r="H12" i="142"/>
  <c r="I12" i="142"/>
  <c r="J12" i="142"/>
  <c r="K12" i="142"/>
  <c r="C13" i="142"/>
  <c r="D13" i="142"/>
  <c r="E13" i="142"/>
  <c r="F13" i="142"/>
  <c r="G13" i="142"/>
  <c r="H13" i="142"/>
  <c r="I13" i="142"/>
  <c r="J13" i="142"/>
  <c r="K13" i="142"/>
  <c r="C14" i="142"/>
  <c r="D14" i="142"/>
  <c r="E14" i="142"/>
  <c r="F14" i="142"/>
  <c r="G14" i="142"/>
  <c r="H14" i="142"/>
  <c r="I14" i="142"/>
  <c r="J14" i="142"/>
  <c r="K14" i="142"/>
  <c r="C15" i="142"/>
  <c r="D15" i="142"/>
  <c r="E15" i="142"/>
  <c r="F15" i="142"/>
  <c r="G15" i="142"/>
  <c r="H15" i="142"/>
  <c r="I15" i="142"/>
  <c r="J15" i="142"/>
  <c r="K15" i="142"/>
  <c r="K6" i="142"/>
  <c r="J6" i="142"/>
  <c r="I6" i="142"/>
  <c r="H6" i="142"/>
  <c r="G6" i="142"/>
  <c r="F6" i="142"/>
  <c r="E6" i="142"/>
  <c r="D6" i="142"/>
  <c r="C6" i="142"/>
  <c r="M5" i="95" l="1"/>
  <c r="D12" i="128"/>
  <c r="C12" i="128"/>
  <c r="E12" i="128"/>
  <c r="F12" i="128"/>
  <c r="I12" i="128"/>
  <c r="H12" i="128"/>
  <c r="G12" i="128"/>
  <c r="K165" i="367"/>
  <c r="J165" i="367"/>
  <c r="I165" i="367"/>
  <c r="H165" i="367"/>
  <c r="G165" i="367"/>
  <c r="F165" i="367"/>
  <c r="E165" i="367"/>
  <c r="D165" i="367"/>
  <c r="C165" i="367"/>
  <c r="K162" i="367"/>
  <c r="J162" i="367"/>
  <c r="I162" i="367"/>
  <c r="H162" i="367"/>
  <c r="G162" i="367"/>
  <c r="F162" i="367"/>
  <c r="E162" i="367"/>
  <c r="D162" i="367"/>
  <c r="C162" i="367"/>
  <c r="K159" i="367"/>
  <c r="J159" i="367"/>
  <c r="I159" i="367"/>
  <c r="H159" i="367"/>
  <c r="G159" i="367"/>
  <c r="F159" i="367"/>
  <c r="E159" i="367"/>
  <c r="D159" i="367"/>
  <c r="C159" i="367"/>
  <c r="K156" i="367"/>
  <c r="J156" i="367"/>
  <c r="I156" i="367"/>
  <c r="H156" i="367"/>
  <c r="G156" i="367"/>
  <c r="F156" i="367"/>
  <c r="E156" i="367"/>
  <c r="D156" i="367"/>
  <c r="C156" i="367"/>
  <c r="K153" i="367"/>
  <c r="J153" i="367"/>
  <c r="I153" i="367"/>
  <c r="H153" i="367"/>
  <c r="G153" i="367"/>
  <c r="F153" i="367"/>
  <c r="E153" i="367"/>
  <c r="D153" i="367"/>
  <c r="C153" i="367"/>
  <c r="K150" i="367"/>
  <c r="J150" i="367"/>
  <c r="I150" i="367"/>
  <c r="H150" i="367"/>
  <c r="G150" i="367"/>
  <c r="F150" i="367"/>
  <c r="E150" i="367"/>
  <c r="D150" i="367"/>
  <c r="C150" i="367"/>
  <c r="K147" i="367"/>
  <c r="J147" i="367"/>
  <c r="I147" i="367"/>
  <c r="H147" i="367"/>
  <c r="G147" i="367"/>
  <c r="F147" i="367"/>
  <c r="E147" i="367"/>
  <c r="D147" i="367"/>
  <c r="C147" i="367"/>
  <c r="K146" i="367"/>
  <c r="J146" i="367"/>
  <c r="I146" i="367"/>
  <c r="H146" i="367"/>
  <c r="G146" i="367"/>
  <c r="F146" i="367"/>
  <c r="E146" i="367"/>
  <c r="D146" i="367"/>
  <c r="C146" i="367"/>
  <c r="K145" i="367"/>
  <c r="J145" i="367"/>
  <c r="I145" i="367"/>
  <c r="H145" i="367"/>
  <c r="G145" i="367"/>
  <c r="F145" i="367"/>
  <c r="E145" i="367"/>
  <c r="D145" i="367"/>
  <c r="C145" i="367"/>
  <c r="K144" i="367"/>
  <c r="J144" i="367"/>
  <c r="I144" i="367"/>
  <c r="H144" i="367"/>
  <c r="G144" i="367"/>
  <c r="F144" i="367"/>
  <c r="E144" i="367"/>
  <c r="D144" i="367"/>
  <c r="C144" i="367"/>
  <c r="K143" i="367"/>
  <c r="J143" i="367"/>
  <c r="I143" i="367"/>
  <c r="H143" i="367"/>
  <c r="G143" i="367"/>
  <c r="F143" i="367"/>
  <c r="E143" i="367"/>
  <c r="D143" i="367"/>
  <c r="C143" i="367"/>
  <c r="K142" i="367"/>
  <c r="J142" i="367"/>
  <c r="I142" i="367"/>
  <c r="H142" i="367"/>
  <c r="G142" i="367"/>
  <c r="F142" i="367"/>
  <c r="E142" i="367"/>
  <c r="D142" i="367"/>
  <c r="C142" i="367"/>
  <c r="K140" i="367"/>
  <c r="J140" i="367"/>
  <c r="I140" i="367"/>
  <c r="H140" i="367"/>
  <c r="G140" i="367"/>
  <c r="F140" i="367"/>
  <c r="E140" i="367"/>
  <c r="D140" i="367"/>
  <c r="C140" i="367"/>
  <c r="K137" i="367"/>
  <c r="J137" i="367"/>
  <c r="I137" i="367"/>
  <c r="H137" i="367"/>
  <c r="G137" i="367"/>
  <c r="F137" i="367"/>
  <c r="E137" i="367"/>
  <c r="D137" i="367"/>
  <c r="C137" i="367"/>
  <c r="K134" i="367"/>
  <c r="J134" i="367"/>
  <c r="I134" i="367"/>
  <c r="H134" i="367"/>
  <c r="G134" i="367"/>
  <c r="F134" i="367"/>
  <c r="E134" i="367"/>
  <c r="D134" i="367"/>
  <c r="C134" i="367"/>
  <c r="K133" i="367"/>
  <c r="J133" i="367"/>
  <c r="I133" i="367"/>
  <c r="H133" i="367"/>
  <c r="G133" i="367"/>
  <c r="F133" i="367"/>
  <c r="E133" i="367"/>
  <c r="D133" i="367"/>
  <c r="C133" i="367"/>
  <c r="K132" i="367"/>
  <c r="J132" i="367"/>
  <c r="I132" i="367"/>
  <c r="H132" i="367"/>
  <c r="G132" i="367"/>
  <c r="F132" i="367"/>
  <c r="E132" i="367"/>
  <c r="D132" i="367"/>
  <c r="C132" i="367"/>
  <c r="K130" i="367"/>
  <c r="J130" i="367"/>
  <c r="I130" i="367"/>
  <c r="H130" i="367"/>
  <c r="G130" i="367"/>
  <c r="F130" i="367"/>
  <c r="E130" i="367"/>
  <c r="D130" i="367"/>
  <c r="C130" i="367"/>
  <c r="K129" i="367"/>
  <c r="J129" i="367"/>
  <c r="I129" i="367"/>
  <c r="H129" i="367"/>
  <c r="G129" i="367"/>
  <c r="F129" i="367"/>
  <c r="E129" i="367"/>
  <c r="D129" i="367"/>
  <c r="C129" i="367"/>
  <c r="K128" i="367"/>
  <c r="J128" i="367"/>
  <c r="I128" i="367"/>
  <c r="H128" i="367"/>
  <c r="G128" i="367"/>
  <c r="F128" i="367"/>
  <c r="E128" i="367"/>
  <c r="D128" i="367"/>
  <c r="C128" i="367"/>
  <c r="K127" i="367"/>
  <c r="J127" i="367"/>
  <c r="I127" i="367"/>
  <c r="H127" i="367"/>
  <c r="G127" i="367"/>
  <c r="F127" i="367"/>
  <c r="E127" i="367"/>
  <c r="D127" i="367"/>
  <c r="C127" i="367"/>
  <c r="K126" i="367"/>
  <c r="J126" i="367"/>
  <c r="I126" i="367"/>
  <c r="H126" i="367"/>
  <c r="G126" i="367"/>
  <c r="F126" i="367"/>
  <c r="E126" i="367"/>
  <c r="D126" i="367"/>
  <c r="C126" i="367"/>
  <c r="K125" i="367"/>
  <c r="J125" i="367"/>
  <c r="I125" i="367"/>
  <c r="H125" i="367"/>
  <c r="G125" i="367"/>
  <c r="F125" i="367"/>
  <c r="E125" i="367"/>
  <c r="D125" i="367"/>
  <c r="C125" i="367"/>
  <c r="K124" i="367"/>
  <c r="J124" i="367"/>
  <c r="I124" i="367"/>
  <c r="H124" i="367"/>
  <c r="G124" i="367"/>
  <c r="F124" i="367"/>
  <c r="E124" i="367"/>
  <c r="D124" i="367"/>
  <c r="C124" i="367"/>
  <c r="K123" i="367"/>
  <c r="J123" i="367"/>
  <c r="I123" i="367"/>
  <c r="H123" i="367"/>
  <c r="G123" i="367"/>
  <c r="F123" i="367"/>
  <c r="E123" i="367"/>
  <c r="D123" i="367"/>
  <c r="C123" i="367"/>
  <c r="K122" i="367"/>
  <c r="J122" i="367"/>
  <c r="I122" i="367"/>
  <c r="H122" i="367"/>
  <c r="G122" i="367"/>
  <c r="F122" i="367"/>
  <c r="E122" i="367"/>
  <c r="D122" i="367"/>
  <c r="C122" i="367"/>
  <c r="K121" i="367"/>
  <c r="J121" i="367"/>
  <c r="I121" i="367"/>
  <c r="H121" i="367"/>
  <c r="G121" i="367"/>
  <c r="F121" i="367"/>
  <c r="E121" i="367"/>
  <c r="D121" i="367"/>
  <c r="C121" i="367"/>
  <c r="K120" i="367"/>
  <c r="J120" i="367"/>
  <c r="I120" i="367"/>
  <c r="H120" i="367"/>
  <c r="G120" i="367"/>
  <c r="F120" i="367"/>
  <c r="E120" i="367"/>
  <c r="D120" i="367"/>
  <c r="C120" i="367"/>
  <c r="K116" i="367"/>
  <c r="J116" i="367"/>
  <c r="I116" i="367"/>
  <c r="H116" i="367"/>
  <c r="G116" i="367"/>
  <c r="F116" i="367"/>
  <c r="E116" i="367"/>
  <c r="D116" i="367"/>
  <c r="C116" i="367"/>
  <c r="K115" i="367"/>
  <c r="J115" i="367"/>
  <c r="I115" i="367"/>
  <c r="H115" i="367"/>
  <c r="G115" i="367"/>
  <c r="F115" i="367"/>
  <c r="E115" i="367"/>
  <c r="D115" i="367"/>
  <c r="C115" i="367"/>
  <c r="K113" i="367"/>
  <c r="J113" i="367"/>
  <c r="I113" i="367"/>
  <c r="H113" i="367"/>
  <c r="G113" i="367"/>
  <c r="F113" i="367"/>
  <c r="E113" i="367"/>
  <c r="D113" i="367"/>
  <c r="C113" i="367"/>
  <c r="K112" i="367"/>
  <c r="J112" i="367"/>
  <c r="I112" i="367"/>
  <c r="H112" i="367"/>
  <c r="G112" i="367"/>
  <c r="F112" i="367"/>
  <c r="E112" i="367"/>
  <c r="D112" i="367"/>
  <c r="C112" i="367"/>
  <c r="K108" i="367"/>
  <c r="J108" i="367"/>
  <c r="I108" i="367"/>
  <c r="H108" i="367"/>
  <c r="G108" i="367"/>
  <c r="F108" i="367"/>
  <c r="E108" i="367"/>
  <c r="D108" i="367"/>
  <c r="C108" i="367"/>
  <c r="K107" i="367"/>
  <c r="J107" i="367"/>
  <c r="I107" i="367"/>
  <c r="H107" i="367"/>
  <c r="G107" i="367"/>
  <c r="F107" i="367"/>
  <c r="E107" i="367"/>
  <c r="D107" i="367"/>
  <c r="C107" i="367"/>
  <c r="K106" i="367"/>
  <c r="J106" i="367"/>
  <c r="I106" i="367"/>
  <c r="H106" i="367"/>
  <c r="G106" i="367"/>
  <c r="F106" i="367"/>
  <c r="E106" i="367"/>
  <c r="D106" i="367"/>
  <c r="C106" i="367"/>
  <c r="K105" i="367"/>
  <c r="J105" i="367"/>
  <c r="I105" i="367"/>
  <c r="H105" i="367"/>
  <c r="G105" i="367"/>
  <c r="F105" i="367"/>
  <c r="E105" i="367"/>
  <c r="D105" i="367"/>
  <c r="C105" i="367"/>
  <c r="K104" i="367"/>
  <c r="J104" i="367"/>
  <c r="I104" i="367"/>
  <c r="H104" i="367"/>
  <c r="G104" i="367"/>
  <c r="F104" i="367"/>
  <c r="E104" i="367"/>
  <c r="D104" i="367"/>
  <c r="C104" i="367"/>
  <c r="K101" i="367"/>
  <c r="J101" i="367"/>
  <c r="I101" i="367"/>
  <c r="H101" i="367"/>
  <c r="G101" i="367"/>
  <c r="F101" i="367"/>
  <c r="E101" i="367"/>
  <c r="D101" i="367"/>
  <c r="C101" i="367"/>
  <c r="K100" i="367"/>
  <c r="J100" i="367"/>
  <c r="I100" i="367"/>
  <c r="H100" i="367"/>
  <c r="G100" i="367"/>
  <c r="F100" i="367"/>
  <c r="E100" i="367"/>
  <c r="D100" i="367"/>
  <c r="C100" i="367"/>
  <c r="K99" i="367"/>
  <c r="J99" i="367"/>
  <c r="I99" i="367"/>
  <c r="H99" i="367"/>
  <c r="G99" i="367"/>
  <c r="F99" i="367"/>
  <c r="E99" i="367"/>
  <c r="D99" i="367"/>
  <c r="C99" i="367"/>
  <c r="K97" i="367"/>
  <c r="J97" i="367"/>
  <c r="I97" i="367"/>
  <c r="H97" i="367"/>
  <c r="G97" i="367"/>
  <c r="F97" i="367"/>
  <c r="E97" i="367"/>
  <c r="D97" i="367"/>
  <c r="C97" i="367"/>
  <c r="K96" i="367"/>
  <c r="J96" i="367"/>
  <c r="I96" i="367"/>
  <c r="H96" i="367"/>
  <c r="G96" i="367"/>
  <c r="F96" i="367"/>
  <c r="E96" i="367"/>
  <c r="D96" i="367"/>
  <c r="C96" i="367"/>
  <c r="K95" i="367"/>
  <c r="J95" i="367"/>
  <c r="I95" i="367"/>
  <c r="H95" i="367"/>
  <c r="G95" i="367"/>
  <c r="F95" i="367"/>
  <c r="E95" i="367"/>
  <c r="D95" i="367"/>
  <c r="C95" i="367"/>
  <c r="K94" i="367"/>
  <c r="J94" i="367"/>
  <c r="I94" i="367"/>
  <c r="H94" i="367"/>
  <c r="G94" i="367"/>
  <c r="F94" i="367"/>
  <c r="E94" i="367"/>
  <c r="D94" i="367"/>
  <c r="C94" i="367"/>
  <c r="K93" i="367"/>
  <c r="J93" i="367"/>
  <c r="I93" i="367"/>
  <c r="H93" i="367"/>
  <c r="G93" i="367"/>
  <c r="F93" i="367"/>
  <c r="E93" i="367"/>
  <c r="D93" i="367"/>
  <c r="C93" i="367"/>
  <c r="K92" i="367"/>
  <c r="J92" i="367"/>
  <c r="I92" i="367"/>
  <c r="H92" i="367"/>
  <c r="G92" i="367"/>
  <c r="F92" i="367"/>
  <c r="E92" i="367"/>
  <c r="D92" i="367"/>
  <c r="C92" i="367"/>
  <c r="K91" i="367"/>
  <c r="J91" i="367"/>
  <c r="I91" i="367"/>
  <c r="H91" i="367"/>
  <c r="G91" i="367"/>
  <c r="F91" i="367"/>
  <c r="E91" i="367"/>
  <c r="D91" i="367"/>
  <c r="C91" i="367"/>
  <c r="K90" i="367"/>
  <c r="J90" i="367"/>
  <c r="I90" i="367"/>
  <c r="H90" i="367"/>
  <c r="G90" i="367"/>
  <c r="F90" i="367"/>
  <c r="E90" i="367"/>
  <c r="D90" i="367"/>
  <c r="C90" i="367"/>
  <c r="K89" i="367"/>
  <c r="J89" i="367"/>
  <c r="I89" i="367"/>
  <c r="H89" i="367"/>
  <c r="G89" i="367"/>
  <c r="F89" i="367"/>
  <c r="E89" i="367"/>
  <c r="D89" i="367"/>
  <c r="C89" i="367"/>
  <c r="K88" i="367"/>
  <c r="J88" i="367"/>
  <c r="I88" i="367"/>
  <c r="H88" i="367"/>
  <c r="G88" i="367"/>
  <c r="F88" i="367"/>
  <c r="E88" i="367"/>
  <c r="D88" i="367"/>
  <c r="C88" i="367"/>
  <c r="K87" i="367"/>
  <c r="J87" i="367"/>
  <c r="I87" i="367"/>
  <c r="H87" i="367"/>
  <c r="G87" i="367"/>
  <c r="F87" i="367"/>
  <c r="E87" i="367"/>
  <c r="D87" i="367"/>
  <c r="C87" i="367"/>
  <c r="K86" i="367"/>
  <c r="J86" i="367"/>
  <c r="I86" i="367"/>
  <c r="H86" i="367"/>
  <c r="G86" i="367"/>
  <c r="F86" i="367"/>
  <c r="E86" i="367"/>
  <c r="D86" i="367"/>
  <c r="C86" i="367"/>
  <c r="K85" i="367"/>
  <c r="J85" i="367"/>
  <c r="I85" i="367"/>
  <c r="H85" i="367"/>
  <c r="G85" i="367"/>
  <c r="F85" i="367"/>
  <c r="E85" i="367"/>
  <c r="D85" i="367"/>
  <c r="C85" i="367"/>
  <c r="K84" i="367"/>
  <c r="J84" i="367"/>
  <c r="I84" i="367"/>
  <c r="H84" i="367"/>
  <c r="G84" i="367"/>
  <c r="F84" i="367"/>
  <c r="E84" i="367"/>
  <c r="D84" i="367"/>
  <c r="C84" i="367"/>
  <c r="K83" i="367"/>
  <c r="J83" i="367"/>
  <c r="I83" i="367"/>
  <c r="H83" i="367"/>
  <c r="G83" i="367"/>
  <c r="F83" i="367"/>
  <c r="E83" i="367"/>
  <c r="D83" i="367"/>
  <c r="C83" i="367"/>
  <c r="K82" i="367"/>
  <c r="J82" i="367"/>
  <c r="I82" i="367"/>
  <c r="H82" i="367"/>
  <c r="G82" i="367"/>
  <c r="F82" i="367"/>
  <c r="E82" i="367"/>
  <c r="D82" i="367"/>
  <c r="C82" i="367"/>
  <c r="K81" i="367"/>
  <c r="J81" i="367"/>
  <c r="I81" i="367"/>
  <c r="H81" i="367"/>
  <c r="G81" i="367"/>
  <c r="F81" i="367"/>
  <c r="E81" i="367"/>
  <c r="D81" i="367"/>
  <c r="C81" i="367"/>
  <c r="K80" i="367"/>
  <c r="J80" i="367"/>
  <c r="I80" i="367"/>
  <c r="H80" i="367"/>
  <c r="G80" i="367"/>
  <c r="F80" i="367"/>
  <c r="E80" i="367"/>
  <c r="D80" i="367"/>
  <c r="C80" i="367"/>
  <c r="K79" i="367"/>
  <c r="J79" i="367"/>
  <c r="I79" i="367"/>
  <c r="H79" i="367"/>
  <c r="G79" i="367"/>
  <c r="F79" i="367"/>
  <c r="E79" i="367"/>
  <c r="D79" i="367"/>
  <c r="C79" i="367"/>
  <c r="K78" i="367"/>
  <c r="J78" i="367"/>
  <c r="I78" i="367"/>
  <c r="H78" i="367"/>
  <c r="G78" i="367"/>
  <c r="F78" i="367"/>
  <c r="E78" i="367"/>
  <c r="D78" i="367"/>
  <c r="C78" i="367"/>
  <c r="K77" i="367"/>
  <c r="J77" i="367"/>
  <c r="I77" i="367"/>
  <c r="H77" i="367"/>
  <c r="G77" i="367"/>
  <c r="F77" i="367"/>
  <c r="E77" i="367"/>
  <c r="D77" i="367"/>
  <c r="C77" i="367"/>
  <c r="K76" i="367"/>
  <c r="J76" i="367"/>
  <c r="I76" i="367"/>
  <c r="H76" i="367"/>
  <c r="G76" i="367"/>
  <c r="F76" i="367"/>
  <c r="E76" i="367"/>
  <c r="D76" i="367"/>
  <c r="C76" i="367"/>
  <c r="K72" i="367"/>
  <c r="J72" i="367"/>
  <c r="I72" i="367"/>
  <c r="H72" i="367"/>
  <c r="G72" i="367"/>
  <c r="F72" i="367"/>
  <c r="E72" i="367"/>
  <c r="D72" i="367"/>
  <c r="C72" i="367"/>
  <c r="K71" i="367"/>
  <c r="J71" i="367"/>
  <c r="I71" i="367"/>
  <c r="H71" i="367"/>
  <c r="G71" i="367"/>
  <c r="F71" i="367"/>
  <c r="E71" i="367"/>
  <c r="D71" i="367"/>
  <c r="C71" i="367"/>
  <c r="K70" i="367"/>
  <c r="J70" i="367"/>
  <c r="I70" i="367"/>
  <c r="H70" i="367"/>
  <c r="G70" i="367"/>
  <c r="F70" i="367"/>
  <c r="E70" i="367"/>
  <c r="D70" i="367"/>
  <c r="C70" i="367"/>
  <c r="K69" i="367"/>
  <c r="J69" i="367"/>
  <c r="I69" i="367"/>
  <c r="H69" i="367"/>
  <c r="G69" i="367"/>
  <c r="F69" i="367"/>
  <c r="E69" i="367"/>
  <c r="D69" i="367"/>
  <c r="C69" i="367"/>
  <c r="K67" i="367"/>
  <c r="J67" i="367"/>
  <c r="I67" i="367"/>
  <c r="H67" i="367"/>
  <c r="G67" i="367"/>
  <c r="F67" i="367"/>
  <c r="E67" i="367"/>
  <c r="D67" i="367"/>
  <c r="C67" i="367"/>
  <c r="K66" i="367"/>
  <c r="J66" i="367"/>
  <c r="I66" i="367"/>
  <c r="H66" i="367"/>
  <c r="G66" i="367"/>
  <c r="F66" i="367"/>
  <c r="E66" i="367"/>
  <c r="D66" i="367"/>
  <c r="C66" i="367"/>
  <c r="K65" i="367"/>
  <c r="J65" i="367"/>
  <c r="I65" i="367"/>
  <c r="H65" i="367"/>
  <c r="G65" i="367"/>
  <c r="F65" i="367"/>
  <c r="E65" i="367"/>
  <c r="D65" i="367"/>
  <c r="C65" i="367"/>
  <c r="K64" i="367"/>
  <c r="J64" i="367"/>
  <c r="I64" i="367"/>
  <c r="H64" i="367"/>
  <c r="G64" i="367"/>
  <c r="F64" i="367"/>
  <c r="E64" i="367"/>
  <c r="D64" i="367"/>
  <c r="C64" i="367"/>
  <c r="K63" i="367"/>
  <c r="J63" i="367"/>
  <c r="I63" i="367"/>
  <c r="H63" i="367"/>
  <c r="G63" i="367"/>
  <c r="F63" i="367"/>
  <c r="E63" i="367"/>
  <c r="D63" i="367"/>
  <c r="C63" i="367"/>
  <c r="K61" i="367"/>
  <c r="J61" i="367"/>
  <c r="I61" i="367"/>
  <c r="H61" i="367"/>
  <c r="G61" i="367"/>
  <c r="F61" i="367"/>
  <c r="E61" i="367"/>
  <c r="D61" i="367"/>
  <c r="C61" i="367"/>
  <c r="K60" i="367"/>
  <c r="J60" i="367"/>
  <c r="I60" i="367"/>
  <c r="H60" i="367"/>
  <c r="G60" i="367"/>
  <c r="F60" i="367"/>
  <c r="E60" i="367"/>
  <c r="D60" i="367"/>
  <c r="C60" i="367"/>
  <c r="K59" i="367"/>
  <c r="J59" i="367"/>
  <c r="I59" i="367"/>
  <c r="H59" i="367"/>
  <c r="G59" i="367"/>
  <c r="F59" i="367"/>
  <c r="E59" i="367"/>
  <c r="D59" i="367"/>
  <c r="C59" i="367"/>
  <c r="K58" i="367"/>
  <c r="J58" i="367"/>
  <c r="I58" i="367"/>
  <c r="H58" i="367"/>
  <c r="G58" i="367"/>
  <c r="F58" i="367"/>
  <c r="E58" i="367"/>
  <c r="D58" i="367"/>
  <c r="C58" i="367"/>
  <c r="K57" i="367"/>
  <c r="J57" i="367"/>
  <c r="I57" i="367"/>
  <c r="H57" i="367"/>
  <c r="G57" i="367"/>
  <c r="F57" i="367"/>
  <c r="E57" i="367"/>
  <c r="D57" i="367"/>
  <c r="C57" i="367"/>
  <c r="K56" i="367"/>
  <c r="J56" i="367"/>
  <c r="I56" i="367"/>
  <c r="H56" i="367"/>
  <c r="G56" i="367"/>
  <c r="F56" i="367"/>
  <c r="E56" i="367"/>
  <c r="D56" i="367"/>
  <c r="C56" i="367"/>
  <c r="K55" i="367"/>
  <c r="J55" i="367"/>
  <c r="I55" i="367"/>
  <c r="H55" i="367"/>
  <c r="G55" i="367"/>
  <c r="F55" i="367"/>
  <c r="E55" i="367"/>
  <c r="D55" i="367"/>
  <c r="C55" i="367"/>
  <c r="K54" i="367"/>
  <c r="J54" i="367"/>
  <c r="I54" i="367"/>
  <c r="H54" i="367"/>
  <c r="G54" i="367"/>
  <c r="F54" i="367"/>
  <c r="E54" i="367"/>
  <c r="D54" i="367"/>
  <c r="C54" i="367"/>
  <c r="K53" i="367"/>
  <c r="J53" i="367"/>
  <c r="I53" i="367"/>
  <c r="H53" i="367"/>
  <c r="G53" i="367"/>
  <c r="F53" i="367"/>
  <c r="E53" i="367"/>
  <c r="D53" i="367"/>
  <c r="C53" i="367"/>
  <c r="K51" i="367"/>
  <c r="J51" i="367"/>
  <c r="I51" i="367"/>
  <c r="H51" i="367"/>
  <c r="G51" i="367"/>
  <c r="F51" i="367"/>
  <c r="E51" i="367"/>
  <c r="D51" i="367"/>
  <c r="C51" i="367"/>
  <c r="K50" i="367"/>
  <c r="J50" i="367"/>
  <c r="I50" i="367"/>
  <c r="H50" i="367"/>
  <c r="G50" i="367"/>
  <c r="F50" i="367"/>
  <c r="E50" i="367"/>
  <c r="D50" i="367"/>
  <c r="C50" i="367"/>
  <c r="K49" i="367"/>
  <c r="J49" i="367"/>
  <c r="I49" i="367"/>
  <c r="H49" i="367"/>
  <c r="G49" i="367"/>
  <c r="F49" i="367"/>
  <c r="E49" i="367"/>
  <c r="D49" i="367"/>
  <c r="C49" i="367"/>
  <c r="K48" i="367"/>
  <c r="J48" i="367"/>
  <c r="I48" i="367"/>
  <c r="H48" i="367"/>
  <c r="G48" i="367"/>
  <c r="F48" i="367"/>
  <c r="E48" i="367"/>
  <c r="D48" i="367"/>
  <c r="C48" i="367"/>
  <c r="K47" i="367"/>
  <c r="J47" i="367"/>
  <c r="I47" i="367"/>
  <c r="H47" i="367"/>
  <c r="G47" i="367"/>
  <c r="F47" i="367"/>
  <c r="E47" i="367"/>
  <c r="D47" i="367"/>
  <c r="C47" i="367"/>
  <c r="K46" i="367"/>
  <c r="J46" i="367"/>
  <c r="I46" i="367"/>
  <c r="H46" i="367"/>
  <c r="G46" i="367"/>
  <c r="F46" i="367"/>
  <c r="E46" i="367"/>
  <c r="D46" i="367"/>
  <c r="C46" i="367"/>
  <c r="K45" i="367"/>
  <c r="J45" i="367"/>
  <c r="I45" i="367"/>
  <c r="H45" i="367"/>
  <c r="G45" i="367"/>
  <c r="F45" i="367"/>
  <c r="E45" i="367"/>
  <c r="D45" i="367"/>
  <c r="C45" i="367"/>
  <c r="K43" i="367"/>
  <c r="J43" i="367"/>
  <c r="I43" i="367"/>
  <c r="H43" i="367"/>
  <c r="G43" i="367"/>
  <c r="F43" i="367"/>
  <c r="E43" i="367"/>
  <c r="D43" i="367"/>
  <c r="C43" i="367"/>
  <c r="K42" i="367"/>
  <c r="J42" i="367"/>
  <c r="I42" i="367"/>
  <c r="H42" i="367"/>
  <c r="G42" i="367"/>
  <c r="F42" i="367"/>
  <c r="E42" i="367"/>
  <c r="D42" i="367"/>
  <c r="C42" i="367"/>
  <c r="K41" i="367"/>
  <c r="J41" i="367"/>
  <c r="I41" i="367"/>
  <c r="H41" i="367"/>
  <c r="G41" i="367"/>
  <c r="F41" i="367"/>
  <c r="E41" i="367"/>
  <c r="D41" i="367"/>
  <c r="C41" i="367"/>
  <c r="K40" i="367"/>
  <c r="J40" i="367"/>
  <c r="I40" i="367"/>
  <c r="H40" i="367"/>
  <c r="G40" i="367"/>
  <c r="F40" i="367"/>
  <c r="E40" i="367"/>
  <c r="D40" i="367"/>
  <c r="C40" i="367"/>
  <c r="K39" i="367"/>
  <c r="J39" i="367"/>
  <c r="I39" i="367"/>
  <c r="H39" i="367"/>
  <c r="G39" i="367"/>
  <c r="F39" i="367"/>
  <c r="E39" i="367"/>
  <c r="D39" i="367"/>
  <c r="C39" i="367"/>
  <c r="K38" i="367"/>
  <c r="J38" i="367"/>
  <c r="I38" i="367"/>
  <c r="H38" i="367"/>
  <c r="G38" i="367"/>
  <c r="F38" i="367"/>
  <c r="E38" i="367"/>
  <c r="D38" i="367"/>
  <c r="C38" i="367"/>
  <c r="K36" i="367"/>
  <c r="J36" i="367"/>
  <c r="I36" i="367"/>
  <c r="H36" i="367"/>
  <c r="G36" i="367"/>
  <c r="F36" i="367"/>
  <c r="E36" i="367"/>
  <c r="D36" i="367"/>
  <c r="C36" i="367"/>
  <c r="K35" i="367"/>
  <c r="J35" i="367"/>
  <c r="I35" i="367"/>
  <c r="H35" i="367"/>
  <c r="G35" i="367"/>
  <c r="F35" i="367"/>
  <c r="E35" i="367"/>
  <c r="D35" i="367"/>
  <c r="C35" i="367"/>
  <c r="K34" i="367"/>
  <c r="J34" i="367"/>
  <c r="I34" i="367"/>
  <c r="H34" i="367"/>
  <c r="G34" i="367"/>
  <c r="F34" i="367"/>
  <c r="E34" i="367"/>
  <c r="D34" i="367"/>
  <c r="C34" i="367"/>
  <c r="K33" i="367"/>
  <c r="J33" i="367"/>
  <c r="I33" i="367"/>
  <c r="H33" i="367"/>
  <c r="G33" i="367"/>
  <c r="F33" i="367"/>
  <c r="E33" i="367"/>
  <c r="D33" i="367"/>
  <c r="C33" i="367"/>
  <c r="K32" i="367"/>
  <c r="J32" i="367"/>
  <c r="I32" i="367"/>
  <c r="H32" i="367"/>
  <c r="G32" i="367"/>
  <c r="F32" i="367"/>
  <c r="E32" i="367"/>
  <c r="D32" i="367"/>
  <c r="C32" i="367"/>
  <c r="K31" i="367"/>
  <c r="J31" i="367"/>
  <c r="I31" i="367"/>
  <c r="H31" i="367"/>
  <c r="G31" i="367"/>
  <c r="F31" i="367"/>
  <c r="E31" i="367"/>
  <c r="D31" i="367"/>
  <c r="C31" i="367"/>
  <c r="K30" i="367"/>
  <c r="J30" i="367"/>
  <c r="I30" i="367"/>
  <c r="H30" i="367"/>
  <c r="G30" i="367"/>
  <c r="F30" i="367"/>
  <c r="E30" i="367"/>
  <c r="D30" i="367"/>
  <c r="C30" i="367"/>
  <c r="K29" i="367"/>
  <c r="J29" i="367"/>
  <c r="I29" i="367"/>
  <c r="H29" i="367"/>
  <c r="G29" i="367"/>
  <c r="F29" i="367"/>
  <c r="E29" i="367"/>
  <c r="D29" i="367"/>
  <c r="C29" i="367"/>
  <c r="K28" i="367"/>
  <c r="J28" i="367"/>
  <c r="I28" i="367"/>
  <c r="H28" i="367"/>
  <c r="G28" i="367"/>
  <c r="F28" i="367"/>
  <c r="E28" i="367"/>
  <c r="D28" i="367"/>
  <c r="C28" i="367"/>
  <c r="K27" i="367"/>
  <c r="J27" i="367"/>
  <c r="I27" i="367"/>
  <c r="H27" i="367"/>
  <c r="G27" i="367"/>
  <c r="F27" i="367"/>
  <c r="E27" i="367"/>
  <c r="D27" i="367"/>
  <c r="C27" i="367"/>
  <c r="K25" i="367"/>
  <c r="J25" i="367"/>
  <c r="I25" i="367"/>
  <c r="H25" i="367"/>
  <c r="G25" i="367"/>
  <c r="F25" i="367"/>
  <c r="E25" i="367"/>
  <c r="D25" i="367"/>
  <c r="C25" i="367"/>
  <c r="K24" i="367"/>
  <c r="J24" i="367"/>
  <c r="I24" i="367"/>
  <c r="H24" i="367"/>
  <c r="G24" i="367"/>
  <c r="F24" i="367"/>
  <c r="E24" i="367"/>
  <c r="D24" i="367"/>
  <c r="C24" i="367"/>
  <c r="K23" i="367"/>
  <c r="J23" i="367"/>
  <c r="I23" i="367"/>
  <c r="H23" i="367"/>
  <c r="G23" i="367"/>
  <c r="F23" i="367"/>
  <c r="E23" i="367"/>
  <c r="D23" i="367"/>
  <c r="C23" i="367"/>
  <c r="K22" i="367"/>
  <c r="J22" i="367"/>
  <c r="I22" i="367"/>
  <c r="H22" i="367"/>
  <c r="G22" i="367"/>
  <c r="F22" i="367"/>
  <c r="E22" i="367"/>
  <c r="D22" i="367"/>
  <c r="C22" i="367"/>
  <c r="K21" i="367"/>
  <c r="J21" i="367"/>
  <c r="I21" i="367"/>
  <c r="H21" i="367"/>
  <c r="G21" i="367"/>
  <c r="F21" i="367"/>
  <c r="E21" i="367"/>
  <c r="D21" i="367"/>
  <c r="C21" i="367"/>
  <c r="K20" i="367"/>
  <c r="J20" i="367"/>
  <c r="I20" i="367"/>
  <c r="H20" i="367"/>
  <c r="G20" i="367"/>
  <c r="F20" i="367"/>
  <c r="E20" i="367"/>
  <c r="D20" i="367"/>
  <c r="C20" i="367"/>
  <c r="K19" i="367"/>
  <c r="J19" i="367"/>
  <c r="I19" i="367"/>
  <c r="H19" i="367"/>
  <c r="G19" i="367"/>
  <c r="F19" i="367"/>
  <c r="E19" i="367"/>
  <c r="D19" i="367"/>
  <c r="C19" i="367"/>
  <c r="K18" i="367"/>
  <c r="J18" i="367"/>
  <c r="I18" i="367"/>
  <c r="H18" i="367"/>
  <c r="G18" i="367"/>
  <c r="F18" i="367"/>
  <c r="E18" i="367"/>
  <c r="D18" i="367"/>
  <c r="C18" i="367"/>
  <c r="K17" i="367"/>
  <c r="J17" i="367"/>
  <c r="I17" i="367"/>
  <c r="H17" i="367"/>
  <c r="G17" i="367"/>
  <c r="F17" i="367"/>
  <c r="E17" i="367"/>
  <c r="D17" i="367"/>
  <c r="C17" i="367"/>
  <c r="K15" i="367"/>
  <c r="J15" i="367"/>
  <c r="I15" i="367"/>
  <c r="H15" i="367"/>
  <c r="G15" i="367"/>
  <c r="F15" i="367"/>
  <c r="E15" i="367"/>
  <c r="D15" i="367"/>
  <c r="C15" i="367"/>
  <c r="K14" i="367"/>
  <c r="J14" i="367"/>
  <c r="I14" i="367"/>
  <c r="H14" i="367"/>
  <c r="G14" i="367"/>
  <c r="F14" i="367"/>
  <c r="E14" i="367"/>
  <c r="D14" i="367"/>
  <c r="C14" i="367"/>
  <c r="K13" i="367"/>
  <c r="J13" i="367"/>
  <c r="I13" i="367"/>
  <c r="H13" i="367"/>
  <c r="G13" i="367"/>
  <c r="F13" i="367"/>
  <c r="E13" i="367"/>
  <c r="D13" i="367"/>
  <c r="C13" i="367"/>
  <c r="K11" i="367"/>
  <c r="J11" i="367"/>
  <c r="I11" i="367"/>
  <c r="H11" i="367"/>
  <c r="G11" i="367"/>
  <c r="F11" i="367"/>
  <c r="E11" i="367"/>
  <c r="D11" i="367"/>
  <c r="C11" i="367"/>
  <c r="K10" i="367"/>
  <c r="J10" i="367"/>
  <c r="I10" i="367"/>
  <c r="H10" i="367"/>
  <c r="G10" i="367"/>
  <c r="F10" i="367"/>
  <c r="E10" i="367"/>
  <c r="D10" i="367"/>
  <c r="C10" i="367"/>
  <c r="K9" i="367"/>
  <c r="J9" i="367"/>
  <c r="I9" i="367"/>
  <c r="H9" i="367"/>
  <c r="G9" i="367"/>
  <c r="F9" i="367"/>
  <c r="E9" i="367"/>
  <c r="D9" i="367"/>
  <c r="C9" i="367"/>
  <c r="K8" i="367"/>
  <c r="J8" i="367"/>
  <c r="I8" i="367"/>
  <c r="H8" i="367"/>
  <c r="G8" i="367"/>
  <c r="F8" i="367"/>
  <c r="E8" i="367"/>
  <c r="D8" i="367"/>
  <c r="C8" i="367"/>
  <c r="K165" i="358"/>
  <c r="J165" i="358"/>
  <c r="I165" i="358"/>
  <c r="H165" i="358"/>
  <c r="G165" i="358"/>
  <c r="F165" i="358"/>
  <c r="E165" i="358"/>
  <c r="D165" i="358"/>
  <c r="C165" i="358"/>
  <c r="K162" i="358"/>
  <c r="J162" i="358"/>
  <c r="I162" i="358"/>
  <c r="H162" i="358"/>
  <c r="G162" i="358"/>
  <c r="F162" i="358"/>
  <c r="E162" i="358"/>
  <c r="D162" i="358"/>
  <c r="C162" i="358"/>
  <c r="K159" i="358"/>
  <c r="J159" i="358"/>
  <c r="I159" i="358"/>
  <c r="H159" i="358"/>
  <c r="G159" i="358"/>
  <c r="F159" i="358"/>
  <c r="E159" i="358"/>
  <c r="D159" i="358"/>
  <c r="C159" i="358"/>
  <c r="K156" i="358"/>
  <c r="J156" i="358"/>
  <c r="I156" i="358"/>
  <c r="H156" i="358"/>
  <c r="G156" i="358"/>
  <c r="F156" i="358"/>
  <c r="E156" i="358"/>
  <c r="D156" i="358"/>
  <c r="C156" i="358"/>
  <c r="K153" i="358"/>
  <c r="J153" i="358"/>
  <c r="I153" i="358"/>
  <c r="H153" i="358"/>
  <c r="G153" i="358"/>
  <c r="F153" i="358"/>
  <c r="E153" i="358"/>
  <c r="D153" i="358"/>
  <c r="C153" i="358"/>
  <c r="K150" i="358"/>
  <c r="J150" i="358"/>
  <c r="I150" i="358"/>
  <c r="H150" i="358"/>
  <c r="G150" i="358"/>
  <c r="F150" i="358"/>
  <c r="E150" i="358"/>
  <c r="D150" i="358"/>
  <c r="C150" i="358"/>
  <c r="K147" i="358"/>
  <c r="J147" i="358"/>
  <c r="I147" i="358"/>
  <c r="H147" i="358"/>
  <c r="G147" i="358"/>
  <c r="F147" i="358"/>
  <c r="E147" i="358"/>
  <c r="D147" i="358"/>
  <c r="C147" i="358"/>
  <c r="K146" i="358"/>
  <c r="J146" i="358"/>
  <c r="I146" i="358"/>
  <c r="H146" i="358"/>
  <c r="G146" i="358"/>
  <c r="F146" i="358"/>
  <c r="E146" i="358"/>
  <c r="D146" i="358"/>
  <c r="C146" i="358"/>
  <c r="K145" i="358"/>
  <c r="J145" i="358"/>
  <c r="I145" i="358"/>
  <c r="H145" i="358"/>
  <c r="G145" i="358"/>
  <c r="F145" i="358"/>
  <c r="E145" i="358"/>
  <c r="D145" i="358"/>
  <c r="C145" i="358"/>
  <c r="K144" i="358"/>
  <c r="J144" i="358"/>
  <c r="I144" i="358"/>
  <c r="H144" i="358"/>
  <c r="G144" i="358"/>
  <c r="F144" i="358"/>
  <c r="E144" i="358"/>
  <c r="D144" i="358"/>
  <c r="C144" i="358"/>
  <c r="K143" i="358"/>
  <c r="J143" i="358"/>
  <c r="I143" i="358"/>
  <c r="H143" i="358"/>
  <c r="G143" i="358"/>
  <c r="F143" i="358"/>
  <c r="E143" i="358"/>
  <c r="D143" i="358"/>
  <c r="C143" i="358"/>
  <c r="K142" i="358"/>
  <c r="J142" i="358"/>
  <c r="I142" i="358"/>
  <c r="H142" i="358"/>
  <c r="G142" i="358"/>
  <c r="F142" i="358"/>
  <c r="E142" i="358"/>
  <c r="D142" i="358"/>
  <c r="C142" i="358"/>
  <c r="K140" i="358"/>
  <c r="J140" i="358"/>
  <c r="I140" i="358"/>
  <c r="H140" i="358"/>
  <c r="G140" i="358"/>
  <c r="F140" i="358"/>
  <c r="E140" i="358"/>
  <c r="D140" i="358"/>
  <c r="C140" i="358"/>
  <c r="K137" i="358"/>
  <c r="J137" i="358"/>
  <c r="I137" i="358"/>
  <c r="H137" i="358"/>
  <c r="G137" i="358"/>
  <c r="F137" i="358"/>
  <c r="E137" i="358"/>
  <c r="D137" i="358"/>
  <c r="C137" i="358"/>
  <c r="K134" i="358"/>
  <c r="J134" i="358"/>
  <c r="I134" i="358"/>
  <c r="H134" i="358"/>
  <c r="G134" i="358"/>
  <c r="F134" i="358"/>
  <c r="E134" i="358"/>
  <c r="D134" i="358"/>
  <c r="C134" i="358"/>
  <c r="K133" i="358"/>
  <c r="J133" i="358"/>
  <c r="I133" i="358"/>
  <c r="H133" i="358"/>
  <c r="G133" i="358"/>
  <c r="F133" i="358"/>
  <c r="E133" i="358"/>
  <c r="D133" i="358"/>
  <c r="C133" i="358"/>
  <c r="K132" i="358"/>
  <c r="J132" i="358"/>
  <c r="I132" i="358"/>
  <c r="H132" i="358"/>
  <c r="G132" i="358"/>
  <c r="F132" i="358"/>
  <c r="E132" i="358"/>
  <c r="D132" i="358"/>
  <c r="C132" i="358"/>
  <c r="K130" i="358"/>
  <c r="J130" i="358"/>
  <c r="I130" i="358"/>
  <c r="H130" i="358"/>
  <c r="G130" i="358"/>
  <c r="F130" i="358"/>
  <c r="E130" i="358"/>
  <c r="D130" i="358"/>
  <c r="C130" i="358"/>
  <c r="K129" i="358"/>
  <c r="J129" i="358"/>
  <c r="I129" i="358"/>
  <c r="H129" i="358"/>
  <c r="G129" i="358"/>
  <c r="F129" i="358"/>
  <c r="E129" i="358"/>
  <c r="D129" i="358"/>
  <c r="C129" i="358"/>
  <c r="K128" i="358"/>
  <c r="J128" i="358"/>
  <c r="I128" i="358"/>
  <c r="H128" i="358"/>
  <c r="G128" i="358"/>
  <c r="F128" i="358"/>
  <c r="E128" i="358"/>
  <c r="D128" i="358"/>
  <c r="C128" i="358"/>
  <c r="K127" i="358"/>
  <c r="J127" i="358"/>
  <c r="I127" i="358"/>
  <c r="H127" i="358"/>
  <c r="G127" i="358"/>
  <c r="F127" i="358"/>
  <c r="E127" i="358"/>
  <c r="D127" i="358"/>
  <c r="C127" i="358"/>
  <c r="K126" i="358"/>
  <c r="J126" i="358"/>
  <c r="I126" i="358"/>
  <c r="H126" i="358"/>
  <c r="G126" i="358"/>
  <c r="F126" i="358"/>
  <c r="E126" i="358"/>
  <c r="D126" i="358"/>
  <c r="C126" i="358"/>
  <c r="K125" i="358"/>
  <c r="J125" i="358"/>
  <c r="I125" i="358"/>
  <c r="H125" i="358"/>
  <c r="G125" i="358"/>
  <c r="F125" i="358"/>
  <c r="E125" i="358"/>
  <c r="D125" i="358"/>
  <c r="C125" i="358"/>
  <c r="K124" i="358"/>
  <c r="J124" i="358"/>
  <c r="I124" i="358"/>
  <c r="H124" i="358"/>
  <c r="G124" i="358"/>
  <c r="F124" i="358"/>
  <c r="E124" i="358"/>
  <c r="D124" i="358"/>
  <c r="C124" i="358"/>
  <c r="K123" i="358"/>
  <c r="J123" i="358"/>
  <c r="I123" i="358"/>
  <c r="H123" i="358"/>
  <c r="G123" i="358"/>
  <c r="F123" i="358"/>
  <c r="E123" i="358"/>
  <c r="D123" i="358"/>
  <c r="C123" i="358"/>
  <c r="K122" i="358"/>
  <c r="J122" i="358"/>
  <c r="I122" i="358"/>
  <c r="H122" i="358"/>
  <c r="G122" i="358"/>
  <c r="F122" i="358"/>
  <c r="E122" i="358"/>
  <c r="D122" i="358"/>
  <c r="C122" i="358"/>
  <c r="K121" i="358"/>
  <c r="J121" i="358"/>
  <c r="I121" i="358"/>
  <c r="H121" i="358"/>
  <c r="G121" i="358"/>
  <c r="F121" i="358"/>
  <c r="E121" i="358"/>
  <c r="D121" i="358"/>
  <c r="C121" i="358"/>
  <c r="K120" i="358"/>
  <c r="J120" i="358"/>
  <c r="I120" i="358"/>
  <c r="H120" i="358"/>
  <c r="G120" i="358"/>
  <c r="F120" i="358"/>
  <c r="E120" i="358"/>
  <c r="D120" i="358"/>
  <c r="C120" i="358"/>
  <c r="K116" i="358"/>
  <c r="J116" i="358"/>
  <c r="I116" i="358"/>
  <c r="H116" i="358"/>
  <c r="G116" i="358"/>
  <c r="F116" i="358"/>
  <c r="E116" i="358"/>
  <c r="D116" i="358"/>
  <c r="C116" i="358"/>
  <c r="K115" i="358"/>
  <c r="J115" i="358"/>
  <c r="I115" i="358"/>
  <c r="H115" i="358"/>
  <c r="G115" i="358"/>
  <c r="F115" i="358"/>
  <c r="E115" i="358"/>
  <c r="D115" i="358"/>
  <c r="C115" i="358"/>
  <c r="K113" i="358"/>
  <c r="J113" i="358"/>
  <c r="I113" i="358"/>
  <c r="H113" i="358"/>
  <c r="G113" i="358"/>
  <c r="F113" i="358"/>
  <c r="E113" i="358"/>
  <c r="D113" i="358"/>
  <c r="C113" i="358"/>
  <c r="K112" i="358"/>
  <c r="J112" i="358"/>
  <c r="I112" i="358"/>
  <c r="H112" i="358"/>
  <c r="G112" i="358"/>
  <c r="F112" i="358"/>
  <c r="E112" i="358"/>
  <c r="D112" i="358"/>
  <c r="C112" i="358"/>
  <c r="K108" i="358"/>
  <c r="J108" i="358"/>
  <c r="I108" i="358"/>
  <c r="H108" i="358"/>
  <c r="G108" i="358"/>
  <c r="F108" i="358"/>
  <c r="E108" i="358"/>
  <c r="D108" i="358"/>
  <c r="C108" i="358"/>
  <c r="K107" i="358"/>
  <c r="J107" i="358"/>
  <c r="I107" i="358"/>
  <c r="H107" i="358"/>
  <c r="G107" i="358"/>
  <c r="F107" i="358"/>
  <c r="E107" i="358"/>
  <c r="D107" i="358"/>
  <c r="C107" i="358"/>
  <c r="K106" i="358"/>
  <c r="J106" i="358"/>
  <c r="I106" i="358"/>
  <c r="H106" i="358"/>
  <c r="G106" i="358"/>
  <c r="F106" i="358"/>
  <c r="E106" i="358"/>
  <c r="D106" i="358"/>
  <c r="C106" i="358"/>
  <c r="K105" i="358"/>
  <c r="J105" i="358"/>
  <c r="I105" i="358"/>
  <c r="H105" i="358"/>
  <c r="G105" i="358"/>
  <c r="F105" i="358"/>
  <c r="E105" i="358"/>
  <c r="D105" i="358"/>
  <c r="C105" i="358"/>
  <c r="K104" i="358"/>
  <c r="J104" i="358"/>
  <c r="I104" i="358"/>
  <c r="H104" i="358"/>
  <c r="G104" i="358"/>
  <c r="F104" i="358"/>
  <c r="E104" i="358"/>
  <c r="D104" i="358"/>
  <c r="C104" i="358"/>
  <c r="K101" i="358"/>
  <c r="J101" i="358"/>
  <c r="I101" i="358"/>
  <c r="H101" i="358"/>
  <c r="G101" i="358"/>
  <c r="F101" i="358"/>
  <c r="E101" i="358"/>
  <c r="D101" i="358"/>
  <c r="C101" i="358"/>
  <c r="K100" i="358"/>
  <c r="J100" i="358"/>
  <c r="I100" i="358"/>
  <c r="H100" i="358"/>
  <c r="G100" i="358"/>
  <c r="F100" i="358"/>
  <c r="E100" i="358"/>
  <c r="D100" i="358"/>
  <c r="C100" i="358"/>
  <c r="K99" i="358"/>
  <c r="J99" i="358"/>
  <c r="I99" i="358"/>
  <c r="H99" i="358"/>
  <c r="G99" i="358"/>
  <c r="F99" i="358"/>
  <c r="E99" i="358"/>
  <c r="D99" i="358"/>
  <c r="C99" i="358"/>
  <c r="K97" i="358"/>
  <c r="J97" i="358"/>
  <c r="I97" i="358"/>
  <c r="H97" i="358"/>
  <c r="G97" i="358"/>
  <c r="F97" i="358"/>
  <c r="E97" i="358"/>
  <c r="D97" i="358"/>
  <c r="C97" i="358"/>
  <c r="K96" i="358"/>
  <c r="J96" i="358"/>
  <c r="I96" i="358"/>
  <c r="H96" i="358"/>
  <c r="G96" i="358"/>
  <c r="F96" i="358"/>
  <c r="E96" i="358"/>
  <c r="D96" i="358"/>
  <c r="C96" i="358"/>
  <c r="K95" i="358"/>
  <c r="J95" i="358"/>
  <c r="I95" i="358"/>
  <c r="H95" i="358"/>
  <c r="G95" i="358"/>
  <c r="F95" i="358"/>
  <c r="E95" i="358"/>
  <c r="D95" i="358"/>
  <c r="C95" i="358"/>
  <c r="K94" i="358"/>
  <c r="J94" i="358"/>
  <c r="I94" i="358"/>
  <c r="H94" i="358"/>
  <c r="G94" i="358"/>
  <c r="F94" i="358"/>
  <c r="E94" i="358"/>
  <c r="D94" i="358"/>
  <c r="C94" i="358"/>
  <c r="K93" i="358"/>
  <c r="J93" i="358"/>
  <c r="I93" i="358"/>
  <c r="H93" i="358"/>
  <c r="G93" i="358"/>
  <c r="F93" i="358"/>
  <c r="E93" i="358"/>
  <c r="D93" i="358"/>
  <c r="C93" i="358"/>
  <c r="K92" i="358"/>
  <c r="J92" i="358"/>
  <c r="I92" i="358"/>
  <c r="H92" i="358"/>
  <c r="G92" i="358"/>
  <c r="F92" i="358"/>
  <c r="E92" i="358"/>
  <c r="D92" i="358"/>
  <c r="C92" i="358"/>
  <c r="K91" i="358"/>
  <c r="J91" i="358"/>
  <c r="I91" i="358"/>
  <c r="H91" i="358"/>
  <c r="G91" i="358"/>
  <c r="F91" i="358"/>
  <c r="E91" i="358"/>
  <c r="D91" i="358"/>
  <c r="C91" i="358"/>
  <c r="K90" i="358"/>
  <c r="J90" i="358"/>
  <c r="I90" i="358"/>
  <c r="H90" i="358"/>
  <c r="G90" i="358"/>
  <c r="F90" i="358"/>
  <c r="E90" i="358"/>
  <c r="D90" i="358"/>
  <c r="C90" i="358"/>
  <c r="K89" i="358"/>
  <c r="J89" i="358"/>
  <c r="I89" i="358"/>
  <c r="H89" i="358"/>
  <c r="G89" i="358"/>
  <c r="F89" i="358"/>
  <c r="E89" i="358"/>
  <c r="D89" i="358"/>
  <c r="C89" i="358"/>
  <c r="K88" i="358"/>
  <c r="J88" i="358"/>
  <c r="I88" i="358"/>
  <c r="H88" i="358"/>
  <c r="G88" i="358"/>
  <c r="F88" i="358"/>
  <c r="E88" i="358"/>
  <c r="D88" i="358"/>
  <c r="C88" i="358"/>
  <c r="K87" i="358"/>
  <c r="J87" i="358"/>
  <c r="I87" i="358"/>
  <c r="H87" i="358"/>
  <c r="G87" i="358"/>
  <c r="F87" i="358"/>
  <c r="E87" i="358"/>
  <c r="D87" i="358"/>
  <c r="C87" i="358"/>
  <c r="K86" i="358"/>
  <c r="J86" i="358"/>
  <c r="I86" i="358"/>
  <c r="H86" i="358"/>
  <c r="G86" i="358"/>
  <c r="F86" i="358"/>
  <c r="E86" i="358"/>
  <c r="D86" i="358"/>
  <c r="C86" i="358"/>
  <c r="K85" i="358"/>
  <c r="J85" i="358"/>
  <c r="I85" i="358"/>
  <c r="H85" i="358"/>
  <c r="G85" i="358"/>
  <c r="F85" i="358"/>
  <c r="E85" i="358"/>
  <c r="D85" i="358"/>
  <c r="C85" i="358"/>
  <c r="K84" i="358"/>
  <c r="J84" i="358"/>
  <c r="I84" i="358"/>
  <c r="H84" i="358"/>
  <c r="G84" i="358"/>
  <c r="F84" i="358"/>
  <c r="E84" i="358"/>
  <c r="D84" i="358"/>
  <c r="C84" i="358"/>
  <c r="K83" i="358"/>
  <c r="J83" i="358"/>
  <c r="I83" i="358"/>
  <c r="H83" i="358"/>
  <c r="G83" i="358"/>
  <c r="F83" i="358"/>
  <c r="E83" i="358"/>
  <c r="D83" i="358"/>
  <c r="C83" i="358"/>
  <c r="K82" i="358"/>
  <c r="J82" i="358"/>
  <c r="I82" i="358"/>
  <c r="H82" i="358"/>
  <c r="G82" i="358"/>
  <c r="F82" i="358"/>
  <c r="E82" i="358"/>
  <c r="D82" i="358"/>
  <c r="C82" i="358"/>
  <c r="K81" i="358"/>
  <c r="J81" i="358"/>
  <c r="I81" i="358"/>
  <c r="H81" i="358"/>
  <c r="G81" i="358"/>
  <c r="F81" i="358"/>
  <c r="E81" i="358"/>
  <c r="D81" i="358"/>
  <c r="C81" i="358"/>
  <c r="K80" i="358"/>
  <c r="J80" i="358"/>
  <c r="I80" i="358"/>
  <c r="H80" i="358"/>
  <c r="G80" i="358"/>
  <c r="F80" i="358"/>
  <c r="E80" i="358"/>
  <c r="D80" i="358"/>
  <c r="C80" i="358"/>
  <c r="K79" i="358"/>
  <c r="J79" i="358"/>
  <c r="I79" i="358"/>
  <c r="H79" i="358"/>
  <c r="G79" i="358"/>
  <c r="F79" i="358"/>
  <c r="E79" i="358"/>
  <c r="D79" i="358"/>
  <c r="C79" i="358"/>
  <c r="K78" i="358"/>
  <c r="J78" i="358"/>
  <c r="I78" i="358"/>
  <c r="H78" i="358"/>
  <c r="G78" i="358"/>
  <c r="F78" i="358"/>
  <c r="E78" i="358"/>
  <c r="D78" i="358"/>
  <c r="C78" i="358"/>
  <c r="K77" i="358"/>
  <c r="J77" i="358"/>
  <c r="I77" i="358"/>
  <c r="H77" i="358"/>
  <c r="G77" i="358"/>
  <c r="F77" i="358"/>
  <c r="E77" i="358"/>
  <c r="D77" i="358"/>
  <c r="C77" i="358"/>
  <c r="K76" i="358"/>
  <c r="J76" i="358"/>
  <c r="I76" i="358"/>
  <c r="H76" i="358"/>
  <c r="G76" i="358"/>
  <c r="F76" i="358"/>
  <c r="E76" i="358"/>
  <c r="D76" i="358"/>
  <c r="C76" i="358"/>
  <c r="K72" i="358"/>
  <c r="J72" i="358"/>
  <c r="I72" i="358"/>
  <c r="H72" i="358"/>
  <c r="G72" i="358"/>
  <c r="F72" i="358"/>
  <c r="E72" i="358"/>
  <c r="D72" i="358"/>
  <c r="C72" i="358"/>
  <c r="K71" i="358"/>
  <c r="J71" i="358"/>
  <c r="I71" i="358"/>
  <c r="H71" i="358"/>
  <c r="G71" i="358"/>
  <c r="F71" i="358"/>
  <c r="E71" i="358"/>
  <c r="D71" i="358"/>
  <c r="C71" i="358"/>
  <c r="K70" i="358"/>
  <c r="J70" i="358"/>
  <c r="I70" i="358"/>
  <c r="H70" i="358"/>
  <c r="G70" i="358"/>
  <c r="F70" i="358"/>
  <c r="E70" i="358"/>
  <c r="D70" i="358"/>
  <c r="C70" i="358"/>
  <c r="K69" i="358"/>
  <c r="J69" i="358"/>
  <c r="I69" i="358"/>
  <c r="H69" i="358"/>
  <c r="G69" i="358"/>
  <c r="F69" i="358"/>
  <c r="E69" i="358"/>
  <c r="D69" i="358"/>
  <c r="C69" i="358"/>
  <c r="K67" i="358"/>
  <c r="J67" i="358"/>
  <c r="I67" i="358"/>
  <c r="H67" i="358"/>
  <c r="G67" i="358"/>
  <c r="F67" i="358"/>
  <c r="E67" i="358"/>
  <c r="D67" i="358"/>
  <c r="C67" i="358"/>
  <c r="K66" i="358"/>
  <c r="J66" i="358"/>
  <c r="I66" i="358"/>
  <c r="H66" i="358"/>
  <c r="G66" i="358"/>
  <c r="F66" i="358"/>
  <c r="E66" i="358"/>
  <c r="D66" i="358"/>
  <c r="C66" i="358"/>
  <c r="K65" i="358"/>
  <c r="J65" i="358"/>
  <c r="I65" i="358"/>
  <c r="H65" i="358"/>
  <c r="G65" i="358"/>
  <c r="F65" i="358"/>
  <c r="E65" i="358"/>
  <c r="D65" i="358"/>
  <c r="C65" i="358"/>
  <c r="K64" i="358"/>
  <c r="J64" i="358"/>
  <c r="I64" i="358"/>
  <c r="H64" i="358"/>
  <c r="G64" i="358"/>
  <c r="F64" i="358"/>
  <c r="E64" i="358"/>
  <c r="D64" i="358"/>
  <c r="C64" i="358"/>
  <c r="K63" i="358"/>
  <c r="J63" i="358"/>
  <c r="I63" i="358"/>
  <c r="H63" i="358"/>
  <c r="G63" i="358"/>
  <c r="F63" i="358"/>
  <c r="E63" i="358"/>
  <c r="D63" i="358"/>
  <c r="C63" i="358"/>
  <c r="K61" i="358"/>
  <c r="J61" i="358"/>
  <c r="I61" i="358"/>
  <c r="H61" i="358"/>
  <c r="G61" i="358"/>
  <c r="F61" i="358"/>
  <c r="E61" i="358"/>
  <c r="D61" i="358"/>
  <c r="C61" i="358"/>
  <c r="K60" i="358"/>
  <c r="J60" i="358"/>
  <c r="I60" i="358"/>
  <c r="H60" i="358"/>
  <c r="G60" i="358"/>
  <c r="F60" i="358"/>
  <c r="E60" i="358"/>
  <c r="D60" i="358"/>
  <c r="C60" i="358"/>
  <c r="K59" i="358"/>
  <c r="J59" i="358"/>
  <c r="I59" i="358"/>
  <c r="H59" i="358"/>
  <c r="G59" i="358"/>
  <c r="F59" i="358"/>
  <c r="E59" i="358"/>
  <c r="D59" i="358"/>
  <c r="C59" i="358"/>
  <c r="K58" i="358"/>
  <c r="J58" i="358"/>
  <c r="I58" i="358"/>
  <c r="H58" i="358"/>
  <c r="G58" i="358"/>
  <c r="F58" i="358"/>
  <c r="E58" i="358"/>
  <c r="D58" i="358"/>
  <c r="C58" i="358"/>
  <c r="K57" i="358"/>
  <c r="J57" i="358"/>
  <c r="I57" i="358"/>
  <c r="H57" i="358"/>
  <c r="G57" i="358"/>
  <c r="F57" i="358"/>
  <c r="E57" i="358"/>
  <c r="D57" i="358"/>
  <c r="C57" i="358"/>
  <c r="K56" i="358"/>
  <c r="J56" i="358"/>
  <c r="I56" i="358"/>
  <c r="H56" i="358"/>
  <c r="G56" i="358"/>
  <c r="F56" i="358"/>
  <c r="E56" i="358"/>
  <c r="D56" i="358"/>
  <c r="C56" i="358"/>
  <c r="K55" i="358"/>
  <c r="J55" i="358"/>
  <c r="I55" i="358"/>
  <c r="H55" i="358"/>
  <c r="G55" i="358"/>
  <c r="F55" i="358"/>
  <c r="E55" i="358"/>
  <c r="D55" i="358"/>
  <c r="C55" i="358"/>
  <c r="K54" i="358"/>
  <c r="J54" i="358"/>
  <c r="I54" i="358"/>
  <c r="H54" i="358"/>
  <c r="G54" i="358"/>
  <c r="F54" i="358"/>
  <c r="E54" i="358"/>
  <c r="D54" i="358"/>
  <c r="C54" i="358"/>
  <c r="K53" i="358"/>
  <c r="J53" i="358"/>
  <c r="I53" i="358"/>
  <c r="H53" i="358"/>
  <c r="G53" i="358"/>
  <c r="F53" i="358"/>
  <c r="E53" i="358"/>
  <c r="D53" i="358"/>
  <c r="C53" i="358"/>
  <c r="K51" i="358"/>
  <c r="J51" i="358"/>
  <c r="I51" i="358"/>
  <c r="H51" i="358"/>
  <c r="G51" i="358"/>
  <c r="F51" i="358"/>
  <c r="E51" i="358"/>
  <c r="D51" i="358"/>
  <c r="C51" i="358"/>
  <c r="K50" i="358"/>
  <c r="J50" i="358"/>
  <c r="I50" i="358"/>
  <c r="H50" i="358"/>
  <c r="G50" i="358"/>
  <c r="F50" i="358"/>
  <c r="E50" i="358"/>
  <c r="D50" i="358"/>
  <c r="C50" i="358"/>
  <c r="K49" i="358"/>
  <c r="J49" i="358"/>
  <c r="I49" i="358"/>
  <c r="H49" i="358"/>
  <c r="G49" i="358"/>
  <c r="F49" i="358"/>
  <c r="E49" i="358"/>
  <c r="D49" i="358"/>
  <c r="C49" i="358"/>
  <c r="K48" i="358"/>
  <c r="J48" i="358"/>
  <c r="I48" i="358"/>
  <c r="H48" i="358"/>
  <c r="G48" i="358"/>
  <c r="F48" i="358"/>
  <c r="E48" i="358"/>
  <c r="D48" i="358"/>
  <c r="C48" i="358"/>
  <c r="K47" i="358"/>
  <c r="J47" i="358"/>
  <c r="I47" i="358"/>
  <c r="H47" i="358"/>
  <c r="G47" i="358"/>
  <c r="F47" i="358"/>
  <c r="E47" i="358"/>
  <c r="D47" i="358"/>
  <c r="C47" i="358"/>
  <c r="K46" i="358"/>
  <c r="J46" i="358"/>
  <c r="I46" i="358"/>
  <c r="H46" i="358"/>
  <c r="G46" i="358"/>
  <c r="F46" i="358"/>
  <c r="E46" i="358"/>
  <c r="D46" i="358"/>
  <c r="C46" i="358"/>
  <c r="K45" i="358"/>
  <c r="J45" i="358"/>
  <c r="I45" i="358"/>
  <c r="H45" i="358"/>
  <c r="G45" i="358"/>
  <c r="F45" i="358"/>
  <c r="E45" i="358"/>
  <c r="D45" i="358"/>
  <c r="C45" i="358"/>
  <c r="K43" i="358"/>
  <c r="J43" i="358"/>
  <c r="I43" i="358"/>
  <c r="H43" i="358"/>
  <c r="G43" i="358"/>
  <c r="F43" i="358"/>
  <c r="E43" i="358"/>
  <c r="D43" i="358"/>
  <c r="C43" i="358"/>
  <c r="K42" i="358"/>
  <c r="J42" i="358"/>
  <c r="I42" i="358"/>
  <c r="H42" i="358"/>
  <c r="G42" i="358"/>
  <c r="F42" i="358"/>
  <c r="E42" i="358"/>
  <c r="D42" i="358"/>
  <c r="C42" i="358"/>
  <c r="K41" i="358"/>
  <c r="J41" i="358"/>
  <c r="I41" i="358"/>
  <c r="H41" i="358"/>
  <c r="G41" i="358"/>
  <c r="F41" i="358"/>
  <c r="E41" i="358"/>
  <c r="D41" i="358"/>
  <c r="C41" i="358"/>
  <c r="K40" i="358"/>
  <c r="J40" i="358"/>
  <c r="I40" i="358"/>
  <c r="H40" i="358"/>
  <c r="G40" i="358"/>
  <c r="F40" i="358"/>
  <c r="E40" i="358"/>
  <c r="D40" i="358"/>
  <c r="C40" i="358"/>
  <c r="K39" i="358"/>
  <c r="J39" i="358"/>
  <c r="I39" i="358"/>
  <c r="H39" i="358"/>
  <c r="G39" i="358"/>
  <c r="F39" i="358"/>
  <c r="E39" i="358"/>
  <c r="D39" i="358"/>
  <c r="C39" i="358"/>
  <c r="K38" i="358"/>
  <c r="J38" i="358"/>
  <c r="I38" i="358"/>
  <c r="H38" i="358"/>
  <c r="G38" i="358"/>
  <c r="F38" i="358"/>
  <c r="E38" i="358"/>
  <c r="D38" i="358"/>
  <c r="C38" i="358"/>
  <c r="K36" i="358"/>
  <c r="J36" i="358"/>
  <c r="I36" i="358"/>
  <c r="H36" i="358"/>
  <c r="G36" i="358"/>
  <c r="F36" i="358"/>
  <c r="E36" i="358"/>
  <c r="D36" i="358"/>
  <c r="C36" i="358"/>
  <c r="K35" i="358"/>
  <c r="J35" i="358"/>
  <c r="I35" i="358"/>
  <c r="H35" i="358"/>
  <c r="G35" i="358"/>
  <c r="F35" i="358"/>
  <c r="E35" i="358"/>
  <c r="D35" i="358"/>
  <c r="C35" i="358"/>
  <c r="K34" i="358"/>
  <c r="J34" i="358"/>
  <c r="I34" i="358"/>
  <c r="H34" i="358"/>
  <c r="G34" i="358"/>
  <c r="F34" i="358"/>
  <c r="E34" i="358"/>
  <c r="D34" i="358"/>
  <c r="C34" i="358"/>
  <c r="K33" i="358"/>
  <c r="J33" i="358"/>
  <c r="I33" i="358"/>
  <c r="H33" i="358"/>
  <c r="G33" i="358"/>
  <c r="F33" i="358"/>
  <c r="E33" i="358"/>
  <c r="D33" i="358"/>
  <c r="C33" i="358"/>
  <c r="K32" i="358"/>
  <c r="J32" i="358"/>
  <c r="I32" i="358"/>
  <c r="H32" i="358"/>
  <c r="G32" i="358"/>
  <c r="F32" i="358"/>
  <c r="E32" i="358"/>
  <c r="D32" i="358"/>
  <c r="C32" i="358"/>
  <c r="K31" i="358"/>
  <c r="J31" i="358"/>
  <c r="I31" i="358"/>
  <c r="H31" i="358"/>
  <c r="G31" i="358"/>
  <c r="F31" i="358"/>
  <c r="E31" i="358"/>
  <c r="D31" i="358"/>
  <c r="C31" i="358"/>
  <c r="K30" i="358"/>
  <c r="J30" i="358"/>
  <c r="I30" i="358"/>
  <c r="H30" i="358"/>
  <c r="G30" i="358"/>
  <c r="F30" i="358"/>
  <c r="E30" i="358"/>
  <c r="D30" i="358"/>
  <c r="C30" i="358"/>
  <c r="K29" i="358"/>
  <c r="J29" i="358"/>
  <c r="I29" i="358"/>
  <c r="H29" i="358"/>
  <c r="G29" i="358"/>
  <c r="F29" i="358"/>
  <c r="E29" i="358"/>
  <c r="D29" i="358"/>
  <c r="C29" i="358"/>
  <c r="K28" i="358"/>
  <c r="J28" i="358"/>
  <c r="I28" i="358"/>
  <c r="H28" i="358"/>
  <c r="G28" i="358"/>
  <c r="F28" i="358"/>
  <c r="E28" i="358"/>
  <c r="D28" i="358"/>
  <c r="C28" i="358"/>
  <c r="K27" i="358"/>
  <c r="J27" i="358"/>
  <c r="I27" i="358"/>
  <c r="H27" i="358"/>
  <c r="G27" i="358"/>
  <c r="F27" i="358"/>
  <c r="E27" i="358"/>
  <c r="D27" i="358"/>
  <c r="C27" i="358"/>
  <c r="K25" i="358"/>
  <c r="J25" i="358"/>
  <c r="I25" i="358"/>
  <c r="H25" i="358"/>
  <c r="G25" i="358"/>
  <c r="F25" i="358"/>
  <c r="E25" i="358"/>
  <c r="D25" i="358"/>
  <c r="C25" i="358"/>
  <c r="K24" i="358"/>
  <c r="J24" i="358"/>
  <c r="I24" i="358"/>
  <c r="H24" i="358"/>
  <c r="G24" i="358"/>
  <c r="F24" i="358"/>
  <c r="E24" i="358"/>
  <c r="D24" i="358"/>
  <c r="C24" i="358"/>
  <c r="K23" i="358"/>
  <c r="J23" i="358"/>
  <c r="I23" i="358"/>
  <c r="H23" i="358"/>
  <c r="G23" i="358"/>
  <c r="F23" i="358"/>
  <c r="E23" i="358"/>
  <c r="D23" i="358"/>
  <c r="C23" i="358"/>
  <c r="K22" i="358"/>
  <c r="J22" i="358"/>
  <c r="I22" i="358"/>
  <c r="H22" i="358"/>
  <c r="G22" i="358"/>
  <c r="F22" i="358"/>
  <c r="E22" i="358"/>
  <c r="D22" i="358"/>
  <c r="C22" i="358"/>
  <c r="K21" i="358"/>
  <c r="J21" i="358"/>
  <c r="I21" i="358"/>
  <c r="H21" i="358"/>
  <c r="G21" i="358"/>
  <c r="F21" i="358"/>
  <c r="E21" i="358"/>
  <c r="D21" i="358"/>
  <c r="C21" i="358"/>
  <c r="K20" i="358"/>
  <c r="J20" i="358"/>
  <c r="I20" i="358"/>
  <c r="H20" i="358"/>
  <c r="G20" i="358"/>
  <c r="F20" i="358"/>
  <c r="E20" i="358"/>
  <c r="D20" i="358"/>
  <c r="C20" i="358"/>
  <c r="K19" i="358"/>
  <c r="J19" i="358"/>
  <c r="I19" i="358"/>
  <c r="H19" i="358"/>
  <c r="G19" i="358"/>
  <c r="F19" i="358"/>
  <c r="E19" i="358"/>
  <c r="D19" i="358"/>
  <c r="C19" i="358"/>
  <c r="K18" i="358"/>
  <c r="J18" i="358"/>
  <c r="I18" i="358"/>
  <c r="H18" i="358"/>
  <c r="G18" i="358"/>
  <c r="F18" i="358"/>
  <c r="E18" i="358"/>
  <c r="D18" i="358"/>
  <c r="C18" i="358"/>
  <c r="K17" i="358"/>
  <c r="J17" i="358"/>
  <c r="I17" i="358"/>
  <c r="H17" i="358"/>
  <c r="G17" i="358"/>
  <c r="F17" i="358"/>
  <c r="E17" i="358"/>
  <c r="D17" i="358"/>
  <c r="C17" i="358"/>
  <c r="K15" i="358"/>
  <c r="J15" i="358"/>
  <c r="I15" i="358"/>
  <c r="H15" i="358"/>
  <c r="G15" i="358"/>
  <c r="F15" i="358"/>
  <c r="E15" i="358"/>
  <c r="D15" i="358"/>
  <c r="C15" i="358"/>
  <c r="K14" i="358"/>
  <c r="J14" i="358"/>
  <c r="I14" i="358"/>
  <c r="H14" i="358"/>
  <c r="G14" i="358"/>
  <c r="F14" i="358"/>
  <c r="E14" i="358"/>
  <c r="D14" i="358"/>
  <c r="C14" i="358"/>
  <c r="K13" i="358"/>
  <c r="J13" i="358"/>
  <c r="I13" i="358"/>
  <c r="H13" i="358"/>
  <c r="G13" i="358"/>
  <c r="F13" i="358"/>
  <c r="E13" i="358"/>
  <c r="D13" i="358"/>
  <c r="C13" i="358"/>
  <c r="C9" i="358"/>
  <c r="D9" i="358"/>
  <c r="E9" i="358"/>
  <c r="F9" i="358"/>
  <c r="G9" i="358"/>
  <c r="H9" i="358"/>
  <c r="I9" i="358"/>
  <c r="J9" i="358"/>
  <c r="K9" i="358"/>
  <c r="C10" i="358"/>
  <c r="D10" i="358"/>
  <c r="E10" i="358"/>
  <c r="F10" i="358"/>
  <c r="G10" i="358"/>
  <c r="H10" i="358"/>
  <c r="I10" i="358"/>
  <c r="J10" i="358"/>
  <c r="K10" i="358"/>
  <c r="C11" i="358"/>
  <c r="D11" i="358"/>
  <c r="E11" i="358"/>
  <c r="F11" i="358"/>
  <c r="G11" i="358"/>
  <c r="H11" i="358"/>
  <c r="I11" i="358"/>
  <c r="J11" i="358"/>
  <c r="K11" i="358"/>
  <c r="K8" i="358"/>
  <c r="J8" i="358"/>
  <c r="I8" i="358"/>
  <c r="H8" i="358"/>
  <c r="G8" i="358"/>
  <c r="F8" i="358"/>
  <c r="E8" i="358"/>
  <c r="D8" i="358"/>
  <c r="C8" i="358"/>
  <c r="K165" i="349"/>
  <c r="J165" i="349"/>
  <c r="I165" i="349"/>
  <c r="H165" i="349"/>
  <c r="G165" i="349"/>
  <c r="F165" i="349"/>
  <c r="E165" i="349"/>
  <c r="D165" i="349"/>
  <c r="C165" i="349"/>
  <c r="K162" i="349"/>
  <c r="J162" i="349"/>
  <c r="I162" i="349"/>
  <c r="H162" i="349"/>
  <c r="G162" i="349"/>
  <c r="F162" i="349"/>
  <c r="E162" i="349"/>
  <c r="D162" i="349"/>
  <c r="C162" i="349"/>
  <c r="K159" i="349"/>
  <c r="J159" i="349"/>
  <c r="I159" i="349"/>
  <c r="H159" i="349"/>
  <c r="G159" i="349"/>
  <c r="F159" i="349"/>
  <c r="E159" i="349"/>
  <c r="D159" i="349"/>
  <c r="C159" i="349"/>
  <c r="K156" i="349"/>
  <c r="J156" i="349"/>
  <c r="I156" i="349"/>
  <c r="H156" i="349"/>
  <c r="G156" i="349"/>
  <c r="F156" i="349"/>
  <c r="E156" i="349"/>
  <c r="D156" i="349"/>
  <c r="C156" i="349"/>
  <c r="K153" i="349"/>
  <c r="J153" i="349"/>
  <c r="I153" i="349"/>
  <c r="H153" i="349"/>
  <c r="G153" i="349"/>
  <c r="F153" i="349"/>
  <c r="E153" i="349"/>
  <c r="D153" i="349"/>
  <c r="C153" i="349"/>
  <c r="K150" i="349"/>
  <c r="J150" i="349"/>
  <c r="I150" i="349"/>
  <c r="H150" i="349"/>
  <c r="G150" i="349"/>
  <c r="F150" i="349"/>
  <c r="E150" i="349"/>
  <c r="D150" i="349"/>
  <c r="C150" i="349"/>
  <c r="K147" i="349"/>
  <c r="J147" i="349"/>
  <c r="I147" i="349"/>
  <c r="H147" i="349"/>
  <c r="G147" i="349"/>
  <c r="F147" i="349"/>
  <c r="E147" i="349"/>
  <c r="D147" i="349"/>
  <c r="C147" i="349"/>
  <c r="K146" i="349"/>
  <c r="J146" i="349"/>
  <c r="I146" i="349"/>
  <c r="H146" i="349"/>
  <c r="G146" i="349"/>
  <c r="F146" i="349"/>
  <c r="E146" i="349"/>
  <c r="D146" i="349"/>
  <c r="C146" i="349"/>
  <c r="K145" i="349"/>
  <c r="J145" i="349"/>
  <c r="I145" i="349"/>
  <c r="H145" i="349"/>
  <c r="G145" i="349"/>
  <c r="F145" i="349"/>
  <c r="E145" i="349"/>
  <c r="D145" i="349"/>
  <c r="C145" i="349"/>
  <c r="K144" i="349"/>
  <c r="J144" i="349"/>
  <c r="I144" i="349"/>
  <c r="H144" i="349"/>
  <c r="G144" i="349"/>
  <c r="F144" i="349"/>
  <c r="E144" i="349"/>
  <c r="D144" i="349"/>
  <c r="C144" i="349"/>
  <c r="K143" i="349"/>
  <c r="J143" i="349"/>
  <c r="I143" i="349"/>
  <c r="H143" i="349"/>
  <c r="G143" i="349"/>
  <c r="F143" i="349"/>
  <c r="E143" i="349"/>
  <c r="D143" i="349"/>
  <c r="C143" i="349"/>
  <c r="K142" i="349"/>
  <c r="J142" i="349"/>
  <c r="I142" i="349"/>
  <c r="H142" i="349"/>
  <c r="G142" i="349"/>
  <c r="F142" i="349"/>
  <c r="E142" i="349"/>
  <c r="D142" i="349"/>
  <c r="C142" i="349"/>
  <c r="K140" i="349"/>
  <c r="J140" i="349"/>
  <c r="I140" i="349"/>
  <c r="H140" i="349"/>
  <c r="G140" i="349"/>
  <c r="F140" i="349"/>
  <c r="E140" i="349"/>
  <c r="D140" i="349"/>
  <c r="C140" i="349"/>
  <c r="K137" i="349"/>
  <c r="J137" i="349"/>
  <c r="I137" i="349"/>
  <c r="H137" i="349"/>
  <c r="G137" i="349"/>
  <c r="F137" i="349"/>
  <c r="E137" i="349"/>
  <c r="D137" i="349"/>
  <c r="C137" i="349"/>
  <c r="K134" i="349"/>
  <c r="J134" i="349"/>
  <c r="I134" i="349"/>
  <c r="H134" i="349"/>
  <c r="G134" i="349"/>
  <c r="F134" i="349"/>
  <c r="E134" i="349"/>
  <c r="D134" i="349"/>
  <c r="C134" i="349"/>
  <c r="K133" i="349"/>
  <c r="J133" i="349"/>
  <c r="I133" i="349"/>
  <c r="H133" i="349"/>
  <c r="G133" i="349"/>
  <c r="F133" i="349"/>
  <c r="E133" i="349"/>
  <c r="D133" i="349"/>
  <c r="C133" i="349"/>
  <c r="K132" i="349"/>
  <c r="J132" i="349"/>
  <c r="I132" i="349"/>
  <c r="H132" i="349"/>
  <c r="G132" i="349"/>
  <c r="F132" i="349"/>
  <c r="E132" i="349"/>
  <c r="D132" i="349"/>
  <c r="C132" i="349"/>
  <c r="K130" i="349"/>
  <c r="J130" i="349"/>
  <c r="I130" i="349"/>
  <c r="H130" i="349"/>
  <c r="G130" i="349"/>
  <c r="F130" i="349"/>
  <c r="E130" i="349"/>
  <c r="D130" i="349"/>
  <c r="C130" i="349"/>
  <c r="K129" i="349"/>
  <c r="J129" i="349"/>
  <c r="I129" i="349"/>
  <c r="H129" i="349"/>
  <c r="G129" i="349"/>
  <c r="F129" i="349"/>
  <c r="E129" i="349"/>
  <c r="D129" i="349"/>
  <c r="C129" i="349"/>
  <c r="K128" i="349"/>
  <c r="J128" i="349"/>
  <c r="I128" i="349"/>
  <c r="H128" i="349"/>
  <c r="G128" i="349"/>
  <c r="F128" i="349"/>
  <c r="E128" i="349"/>
  <c r="D128" i="349"/>
  <c r="C128" i="349"/>
  <c r="K127" i="349"/>
  <c r="J127" i="349"/>
  <c r="I127" i="349"/>
  <c r="H127" i="349"/>
  <c r="G127" i="349"/>
  <c r="F127" i="349"/>
  <c r="E127" i="349"/>
  <c r="D127" i="349"/>
  <c r="C127" i="349"/>
  <c r="K126" i="349"/>
  <c r="J126" i="349"/>
  <c r="I126" i="349"/>
  <c r="H126" i="349"/>
  <c r="G126" i="349"/>
  <c r="F126" i="349"/>
  <c r="E126" i="349"/>
  <c r="D126" i="349"/>
  <c r="C126" i="349"/>
  <c r="K125" i="349"/>
  <c r="J125" i="349"/>
  <c r="I125" i="349"/>
  <c r="H125" i="349"/>
  <c r="G125" i="349"/>
  <c r="F125" i="349"/>
  <c r="E125" i="349"/>
  <c r="D125" i="349"/>
  <c r="C125" i="349"/>
  <c r="K124" i="349"/>
  <c r="J124" i="349"/>
  <c r="I124" i="349"/>
  <c r="H124" i="349"/>
  <c r="G124" i="349"/>
  <c r="F124" i="349"/>
  <c r="E124" i="349"/>
  <c r="D124" i="349"/>
  <c r="C124" i="349"/>
  <c r="K123" i="349"/>
  <c r="J123" i="349"/>
  <c r="I123" i="349"/>
  <c r="H123" i="349"/>
  <c r="G123" i="349"/>
  <c r="F123" i="349"/>
  <c r="E123" i="349"/>
  <c r="D123" i="349"/>
  <c r="C123" i="349"/>
  <c r="K122" i="349"/>
  <c r="J122" i="349"/>
  <c r="I122" i="349"/>
  <c r="H122" i="349"/>
  <c r="G122" i="349"/>
  <c r="F122" i="349"/>
  <c r="E122" i="349"/>
  <c r="D122" i="349"/>
  <c r="C122" i="349"/>
  <c r="K121" i="349"/>
  <c r="J121" i="349"/>
  <c r="I121" i="349"/>
  <c r="H121" i="349"/>
  <c r="G121" i="349"/>
  <c r="F121" i="349"/>
  <c r="E121" i="349"/>
  <c r="D121" i="349"/>
  <c r="C121" i="349"/>
  <c r="K120" i="349"/>
  <c r="J120" i="349"/>
  <c r="I120" i="349"/>
  <c r="H120" i="349"/>
  <c r="G120" i="349"/>
  <c r="F120" i="349"/>
  <c r="E120" i="349"/>
  <c r="D120" i="349"/>
  <c r="C120" i="349"/>
  <c r="K116" i="349"/>
  <c r="J116" i="349"/>
  <c r="I116" i="349"/>
  <c r="H116" i="349"/>
  <c r="G116" i="349"/>
  <c r="F116" i="349"/>
  <c r="E116" i="349"/>
  <c r="D116" i="349"/>
  <c r="C116" i="349"/>
  <c r="K115" i="349"/>
  <c r="J115" i="349"/>
  <c r="I115" i="349"/>
  <c r="H115" i="349"/>
  <c r="G115" i="349"/>
  <c r="F115" i="349"/>
  <c r="E115" i="349"/>
  <c r="D115" i="349"/>
  <c r="C115" i="349"/>
  <c r="K113" i="349"/>
  <c r="J113" i="349"/>
  <c r="I113" i="349"/>
  <c r="H113" i="349"/>
  <c r="G113" i="349"/>
  <c r="F113" i="349"/>
  <c r="E113" i="349"/>
  <c r="D113" i="349"/>
  <c r="C113" i="349"/>
  <c r="K112" i="349"/>
  <c r="J112" i="349"/>
  <c r="I112" i="349"/>
  <c r="H112" i="349"/>
  <c r="G112" i="349"/>
  <c r="F112" i="349"/>
  <c r="E112" i="349"/>
  <c r="D112" i="349"/>
  <c r="C112" i="349"/>
  <c r="K108" i="349"/>
  <c r="J108" i="349"/>
  <c r="I108" i="349"/>
  <c r="H108" i="349"/>
  <c r="G108" i="349"/>
  <c r="F108" i="349"/>
  <c r="E108" i="349"/>
  <c r="D108" i="349"/>
  <c r="C108" i="349"/>
  <c r="K107" i="349"/>
  <c r="J107" i="349"/>
  <c r="I107" i="349"/>
  <c r="H107" i="349"/>
  <c r="G107" i="349"/>
  <c r="F107" i="349"/>
  <c r="E107" i="349"/>
  <c r="D107" i="349"/>
  <c r="C107" i="349"/>
  <c r="K106" i="349"/>
  <c r="J106" i="349"/>
  <c r="I106" i="349"/>
  <c r="H106" i="349"/>
  <c r="G106" i="349"/>
  <c r="F106" i="349"/>
  <c r="E106" i="349"/>
  <c r="D106" i="349"/>
  <c r="C106" i="349"/>
  <c r="K105" i="349"/>
  <c r="J105" i="349"/>
  <c r="I105" i="349"/>
  <c r="H105" i="349"/>
  <c r="G105" i="349"/>
  <c r="F105" i="349"/>
  <c r="E105" i="349"/>
  <c r="D105" i="349"/>
  <c r="C105" i="349"/>
  <c r="K104" i="349"/>
  <c r="J104" i="349"/>
  <c r="I104" i="349"/>
  <c r="H104" i="349"/>
  <c r="G104" i="349"/>
  <c r="F104" i="349"/>
  <c r="E104" i="349"/>
  <c r="D104" i="349"/>
  <c r="C104" i="349"/>
  <c r="K102" i="349"/>
  <c r="J102" i="349"/>
  <c r="I102" i="349"/>
  <c r="H102" i="349"/>
  <c r="G102" i="349"/>
  <c r="F102" i="349"/>
  <c r="E102" i="349"/>
  <c r="D102" i="349"/>
  <c r="C102" i="349"/>
  <c r="K101" i="349"/>
  <c r="J101" i="349"/>
  <c r="I101" i="349"/>
  <c r="H101" i="349"/>
  <c r="G101" i="349"/>
  <c r="F101" i="349"/>
  <c r="E101" i="349"/>
  <c r="D101" i="349"/>
  <c r="C101" i="349"/>
  <c r="K100" i="349"/>
  <c r="J100" i="349"/>
  <c r="I100" i="349"/>
  <c r="H100" i="349"/>
  <c r="G100" i="349"/>
  <c r="F100" i="349"/>
  <c r="E100" i="349"/>
  <c r="D100" i="349"/>
  <c r="C100" i="349"/>
  <c r="K99" i="349"/>
  <c r="J99" i="349"/>
  <c r="I99" i="349"/>
  <c r="H99" i="349"/>
  <c r="G99" i="349"/>
  <c r="F99" i="349"/>
  <c r="E99" i="349"/>
  <c r="D99" i="349"/>
  <c r="C99" i="349"/>
  <c r="K97" i="349"/>
  <c r="J97" i="349"/>
  <c r="I97" i="349"/>
  <c r="H97" i="349"/>
  <c r="G97" i="349"/>
  <c r="F97" i="349"/>
  <c r="E97" i="349"/>
  <c r="D97" i="349"/>
  <c r="C97" i="349"/>
  <c r="K96" i="349"/>
  <c r="J96" i="349"/>
  <c r="I96" i="349"/>
  <c r="H96" i="349"/>
  <c r="G96" i="349"/>
  <c r="F96" i="349"/>
  <c r="E96" i="349"/>
  <c r="D96" i="349"/>
  <c r="C96" i="349"/>
  <c r="K95" i="349"/>
  <c r="J95" i="349"/>
  <c r="I95" i="349"/>
  <c r="H95" i="349"/>
  <c r="G95" i="349"/>
  <c r="F95" i="349"/>
  <c r="E95" i="349"/>
  <c r="D95" i="349"/>
  <c r="C95" i="349"/>
  <c r="K94" i="349"/>
  <c r="J94" i="349"/>
  <c r="I94" i="349"/>
  <c r="H94" i="349"/>
  <c r="G94" i="349"/>
  <c r="F94" i="349"/>
  <c r="E94" i="349"/>
  <c r="D94" i="349"/>
  <c r="C94" i="349"/>
  <c r="K93" i="349"/>
  <c r="J93" i="349"/>
  <c r="I93" i="349"/>
  <c r="H93" i="349"/>
  <c r="G93" i="349"/>
  <c r="F93" i="349"/>
  <c r="E93" i="349"/>
  <c r="D93" i="349"/>
  <c r="C93" i="349"/>
  <c r="K92" i="349"/>
  <c r="J92" i="349"/>
  <c r="I92" i="349"/>
  <c r="H92" i="349"/>
  <c r="G92" i="349"/>
  <c r="F92" i="349"/>
  <c r="E92" i="349"/>
  <c r="D92" i="349"/>
  <c r="C92" i="349"/>
  <c r="K91" i="349"/>
  <c r="J91" i="349"/>
  <c r="I91" i="349"/>
  <c r="H91" i="349"/>
  <c r="G91" i="349"/>
  <c r="F91" i="349"/>
  <c r="E91" i="349"/>
  <c r="D91" i="349"/>
  <c r="C91" i="349"/>
  <c r="K90" i="349"/>
  <c r="J90" i="349"/>
  <c r="I90" i="349"/>
  <c r="H90" i="349"/>
  <c r="G90" i="349"/>
  <c r="F90" i="349"/>
  <c r="E90" i="349"/>
  <c r="D90" i="349"/>
  <c r="C90" i="349"/>
  <c r="K89" i="349"/>
  <c r="J89" i="349"/>
  <c r="I89" i="349"/>
  <c r="H89" i="349"/>
  <c r="G89" i="349"/>
  <c r="F89" i="349"/>
  <c r="E89" i="349"/>
  <c r="D89" i="349"/>
  <c r="C89" i="349"/>
  <c r="K88" i="349"/>
  <c r="J88" i="349"/>
  <c r="I88" i="349"/>
  <c r="H88" i="349"/>
  <c r="G88" i="349"/>
  <c r="F88" i="349"/>
  <c r="E88" i="349"/>
  <c r="D88" i="349"/>
  <c r="C88" i="349"/>
  <c r="K87" i="349"/>
  <c r="J87" i="349"/>
  <c r="I87" i="349"/>
  <c r="H87" i="349"/>
  <c r="G87" i="349"/>
  <c r="F87" i="349"/>
  <c r="E87" i="349"/>
  <c r="D87" i="349"/>
  <c r="C87" i="349"/>
  <c r="K86" i="349"/>
  <c r="J86" i="349"/>
  <c r="I86" i="349"/>
  <c r="H86" i="349"/>
  <c r="G86" i="349"/>
  <c r="F86" i="349"/>
  <c r="E86" i="349"/>
  <c r="D86" i="349"/>
  <c r="C86" i="349"/>
  <c r="K85" i="349"/>
  <c r="J85" i="349"/>
  <c r="I85" i="349"/>
  <c r="H85" i="349"/>
  <c r="G85" i="349"/>
  <c r="F85" i="349"/>
  <c r="E85" i="349"/>
  <c r="D85" i="349"/>
  <c r="C85" i="349"/>
  <c r="K84" i="349"/>
  <c r="J84" i="349"/>
  <c r="I84" i="349"/>
  <c r="H84" i="349"/>
  <c r="G84" i="349"/>
  <c r="F84" i="349"/>
  <c r="E84" i="349"/>
  <c r="D84" i="349"/>
  <c r="C84" i="349"/>
  <c r="K83" i="349"/>
  <c r="J83" i="349"/>
  <c r="I83" i="349"/>
  <c r="H83" i="349"/>
  <c r="G83" i="349"/>
  <c r="F83" i="349"/>
  <c r="E83" i="349"/>
  <c r="D83" i="349"/>
  <c r="C83" i="349"/>
  <c r="K82" i="349"/>
  <c r="J82" i="349"/>
  <c r="I82" i="349"/>
  <c r="H82" i="349"/>
  <c r="G82" i="349"/>
  <c r="F82" i="349"/>
  <c r="E82" i="349"/>
  <c r="D82" i="349"/>
  <c r="C82" i="349"/>
  <c r="K81" i="349"/>
  <c r="J81" i="349"/>
  <c r="I81" i="349"/>
  <c r="H81" i="349"/>
  <c r="G81" i="349"/>
  <c r="F81" i="349"/>
  <c r="E81" i="349"/>
  <c r="D81" i="349"/>
  <c r="C81" i="349"/>
  <c r="K80" i="349"/>
  <c r="J80" i="349"/>
  <c r="I80" i="349"/>
  <c r="H80" i="349"/>
  <c r="G80" i="349"/>
  <c r="F80" i="349"/>
  <c r="E80" i="349"/>
  <c r="D80" i="349"/>
  <c r="C80" i="349"/>
  <c r="K79" i="349"/>
  <c r="J79" i="349"/>
  <c r="I79" i="349"/>
  <c r="H79" i="349"/>
  <c r="G79" i="349"/>
  <c r="F79" i="349"/>
  <c r="E79" i="349"/>
  <c r="D79" i="349"/>
  <c r="C79" i="349"/>
  <c r="K78" i="349"/>
  <c r="J78" i="349"/>
  <c r="I78" i="349"/>
  <c r="H78" i="349"/>
  <c r="G78" i="349"/>
  <c r="F78" i="349"/>
  <c r="E78" i="349"/>
  <c r="D78" i="349"/>
  <c r="C78" i="349"/>
  <c r="K77" i="349"/>
  <c r="J77" i="349"/>
  <c r="I77" i="349"/>
  <c r="H77" i="349"/>
  <c r="G77" i="349"/>
  <c r="F77" i="349"/>
  <c r="E77" i="349"/>
  <c r="D77" i="349"/>
  <c r="C77" i="349"/>
  <c r="K76" i="349"/>
  <c r="J76" i="349"/>
  <c r="I76" i="349"/>
  <c r="H76" i="349"/>
  <c r="G76" i="349"/>
  <c r="F76" i="349"/>
  <c r="E76" i="349"/>
  <c r="D76" i="349"/>
  <c r="C76" i="349"/>
  <c r="K72" i="349"/>
  <c r="J72" i="349"/>
  <c r="I72" i="349"/>
  <c r="H72" i="349"/>
  <c r="G72" i="349"/>
  <c r="F72" i="349"/>
  <c r="E72" i="349"/>
  <c r="D72" i="349"/>
  <c r="C72" i="349"/>
  <c r="K71" i="349"/>
  <c r="J71" i="349"/>
  <c r="I71" i="349"/>
  <c r="H71" i="349"/>
  <c r="G71" i="349"/>
  <c r="F71" i="349"/>
  <c r="E71" i="349"/>
  <c r="D71" i="349"/>
  <c r="C71" i="349"/>
  <c r="K70" i="349"/>
  <c r="J70" i="349"/>
  <c r="I70" i="349"/>
  <c r="H70" i="349"/>
  <c r="G70" i="349"/>
  <c r="F70" i="349"/>
  <c r="E70" i="349"/>
  <c r="D70" i="349"/>
  <c r="C70" i="349"/>
  <c r="K69" i="349"/>
  <c r="J69" i="349"/>
  <c r="I69" i="349"/>
  <c r="H69" i="349"/>
  <c r="G69" i="349"/>
  <c r="F69" i="349"/>
  <c r="E69" i="349"/>
  <c r="D69" i="349"/>
  <c r="C69" i="349"/>
  <c r="K67" i="349"/>
  <c r="J67" i="349"/>
  <c r="I67" i="349"/>
  <c r="H67" i="349"/>
  <c r="G67" i="349"/>
  <c r="F67" i="349"/>
  <c r="E67" i="349"/>
  <c r="D67" i="349"/>
  <c r="C67" i="349"/>
  <c r="K66" i="349"/>
  <c r="J66" i="349"/>
  <c r="I66" i="349"/>
  <c r="H66" i="349"/>
  <c r="G66" i="349"/>
  <c r="F66" i="349"/>
  <c r="E66" i="349"/>
  <c r="D66" i="349"/>
  <c r="C66" i="349"/>
  <c r="K65" i="349"/>
  <c r="J65" i="349"/>
  <c r="I65" i="349"/>
  <c r="H65" i="349"/>
  <c r="G65" i="349"/>
  <c r="F65" i="349"/>
  <c r="E65" i="349"/>
  <c r="D65" i="349"/>
  <c r="C65" i="349"/>
  <c r="K64" i="349"/>
  <c r="J64" i="349"/>
  <c r="I64" i="349"/>
  <c r="H64" i="349"/>
  <c r="G64" i="349"/>
  <c r="F64" i="349"/>
  <c r="E64" i="349"/>
  <c r="D64" i="349"/>
  <c r="C64" i="349"/>
  <c r="K63" i="349"/>
  <c r="J63" i="349"/>
  <c r="I63" i="349"/>
  <c r="H63" i="349"/>
  <c r="G63" i="349"/>
  <c r="F63" i="349"/>
  <c r="E63" i="349"/>
  <c r="D63" i="349"/>
  <c r="C63" i="349"/>
  <c r="K61" i="349"/>
  <c r="J61" i="349"/>
  <c r="I61" i="349"/>
  <c r="H61" i="349"/>
  <c r="G61" i="349"/>
  <c r="F61" i="349"/>
  <c r="E61" i="349"/>
  <c r="D61" i="349"/>
  <c r="C61" i="349"/>
  <c r="K60" i="349"/>
  <c r="J60" i="349"/>
  <c r="I60" i="349"/>
  <c r="H60" i="349"/>
  <c r="G60" i="349"/>
  <c r="F60" i="349"/>
  <c r="E60" i="349"/>
  <c r="D60" i="349"/>
  <c r="C60" i="349"/>
  <c r="K59" i="349"/>
  <c r="J59" i="349"/>
  <c r="I59" i="349"/>
  <c r="H59" i="349"/>
  <c r="G59" i="349"/>
  <c r="F59" i="349"/>
  <c r="E59" i="349"/>
  <c r="D59" i="349"/>
  <c r="C59" i="349"/>
  <c r="K58" i="349"/>
  <c r="J58" i="349"/>
  <c r="I58" i="349"/>
  <c r="H58" i="349"/>
  <c r="G58" i="349"/>
  <c r="F58" i="349"/>
  <c r="E58" i="349"/>
  <c r="D58" i="349"/>
  <c r="C58" i="349"/>
  <c r="K57" i="349"/>
  <c r="J57" i="349"/>
  <c r="I57" i="349"/>
  <c r="H57" i="349"/>
  <c r="G57" i="349"/>
  <c r="F57" i="349"/>
  <c r="E57" i="349"/>
  <c r="D57" i="349"/>
  <c r="C57" i="349"/>
  <c r="K56" i="349"/>
  <c r="J56" i="349"/>
  <c r="I56" i="349"/>
  <c r="H56" i="349"/>
  <c r="G56" i="349"/>
  <c r="F56" i="349"/>
  <c r="E56" i="349"/>
  <c r="D56" i="349"/>
  <c r="C56" i="349"/>
  <c r="K55" i="349"/>
  <c r="J55" i="349"/>
  <c r="I55" i="349"/>
  <c r="H55" i="349"/>
  <c r="G55" i="349"/>
  <c r="F55" i="349"/>
  <c r="E55" i="349"/>
  <c r="D55" i="349"/>
  <c r="C55" i="349"/>
  <c r="K54" i="349"/>
  <c r="J54" i="349"/>
  <c r="I54" i="349"/>
  <c r="H54" i="349"/>
  <c r="G54" i="349"/>
  <c r="F54" i="349"/>
  <c r="E54" i="349"/>
  <c r="D54" i="349"/>
  <c r="C54" i="349"/>
  <c r="K53" i="349"/>
  <c r="J53" i="349"/>
  <c r="I53" i="349"/>
  <c r="H53" i="349"/>
  <c r="G53" i="349"/>
  <c r="F53" i="349"/>
  <c r="E53" i="349"/>
  <c r="D53" i="349"/>
  <c r="C53" i="349"/>
  <c r="K51" i="349"/>
  <c r="J51" i="349"/>
  <c r="I51" i="349"/>
  <c r="H51" i="349"/>
  <c r="G51" i="349"/>
  <c r="F51" i="349"/>
  <c r="E51" i="349"/>
  <c r="D51" i="349"/>
  <c r="C51" i="349"/>
  <c r="K50" i="349"/>
  <c r="J50" i="349"/>
  <c r="I50" i="349"/>
  <c r="H50" i="349"/>
  <c r="G50" i="349"/>
  <c r="F50" i="349"/>
  <c r="E50" i="349"/>
  <c r="D50" i="349"/>
  <c r="C50" i="349"/>
  <c r="K49" i="349"/>
  <c r="J49" i="349"/>
  <c r="I49" i="349"/>
  <c r="H49" i="349"/>
  <c r="G49" i="349"/>
  <c r="F49" i="349"/>
  <c r="E49" i="349"/>
  <c r="D49" i="349"/>
  <c r="C49" i="349"/>
  <c r="K48" i="349"/>
  <c r="J48" i="349"/>
  <c r="I48" i="349"/>
  <c r="H48" i="349"/>
  <c r="G48" i="349"/>
  <c r="F48" i="349"/>
  <c r="E48" i="349"/>
  <c r="D48" i="349"/>
  <c r="C48" i="349"/>
  <c r="K47" i="349"/>
  <c r="J47" i="349"/>
  <c r="I47" i="349"/>
  <c r="H47" i="349"/>
  <c r="G47" i="349"/>
  <c r="F47" i="349"/>
  <c r="E47" i="349"/>
  <c r="D47" i="349"/>
  <c r="C47" i="349"/>
  <c r="K46" i="349"/>
  <c r="J46" i="349"/>
  <c r="I46" i="349"/>
  <c r="H46" i="349"/>
  <c r="G46" i="349"/>
  <c r="F46" i="349"/>
  <c r="E46" i="349"/>
  <c r="D46" i="349"/>
  <c r="C46" i="349"/>
  <c r="K45" i="349"/>
  <c r="J45" i="349"/>
  <c r="I45" i="349"/>
  <c r="H45" i="349"/>
  <c r="G45" i="349"/>
  <c r="F45" i="349"/>
  <c r="E45" i="349"/>
  <c r="D45" i="349"/>
  <c r="C45" i="349"/>
  <c r="K43" i="349"/>
  <c r="J43" i="349"/>
  <c r="I43" i="349"/>
  <c r="H43" i="349"/>
  <c r="G43" i="349"/>
  <c r="F43" i="349"/>
  <c r="E43" i="349"/>
  <c r="D43" i="349"/>
  <c r="C43" i="349"/>
  <c r="K42" i="349"/>
  <c r="J42" i="349"/>
  <c r="I42" i="349"/>
  <c r="H42" i="349"/>
  <c r="G42" i="349"/>
  <c r="F42" i="349"/>
  <c r="E42" i="349"/>
  <c r="D42" i="349"/>
  <c r="C42" i="349"/>
  <c r="K41" i="349"/>
  <c r="J41" i="349"/>
  <c r="I41" i="349"/>
  <c r="H41" i="349"/>
  <c r="G41" i="349"/>
  <c r="F41" i="349"/>
  <c r="E41" i="349"/>
  <c r="D41" i="349"/>
  <c r="C41" i="349"/>
  <c r="K40" i="349"/>
  <c r="J40" i="349"/>
  <c r="I40" i="349"/>
  <c r="H40" i="349"/>
  <c r="G40" i="349"/>
  <c r="F40" i="349"/>
  <c r="E40" i="349"/>
  <c r="D40" i="349"/>
  <c r="C40" i="349"/>
  <c r="K39" i="349"/>
  <c r="J39" i="349"/>
  <c r="I39" i="349"/>
  <c r="H39" i="349"/>
  <c r="G39" i="349"/>
  <c r="F39" i="349"/>
  <c r="E39" i="349"/>
  <c r="D39" i="349"/>
  <c r="C39" i="349"/>
  <c r="K38" i="349"/>
  <c r="J38" i="349"/>
  <c r="I38" i="349"/>
  <c r="H38" i="349"/>
  <c r="G38" i="349"/>
  <c r="F38" i="349"/>
  <c r="E38" i="349"/>
  <c r="D38" i="349"/>
  <c r="C38" i="349"/>
  <c r="K36" i="349"/>
  <c r="J36" i="349"/>
  <c r="I36" i="349"/>
  <c r="H36" i="349"/>
  <c r="G36" i="349"/>
  <c r="F36" i="349"/>
  <c r="E36" i="349"/>
  <c r="D36" i="349"/>
  <c r="C36" i="349"/>
  <c r="K35" i="349"/>
  <c r="J35" i="349"/>
  <c r="I35" i="349"/>
  <c r="H35" i="349"/>
  <c r="G35" i="349"/>
  <c r="F35" i="349"/>
  <c r="E35" i="349"/>
  <c r="D35" i="349"/>
  <c r="C35" i="349"/>
  <c r="K34" i="349"/>
  <c r="J34" i="349"/>
  <c r="I34" i="349"/>
  <c r="H34" i="349"/>
  <c r="G34" i="349"/>
  <c r="F34" i="349"/>
  <c r="E34" i="349"/>
  <c r="D34" i="349"/>
  <c r="C34" i="349"/>
  <c r="K33" i="349"/>
  <c r="J33" i="349"/>
  <c r="I33" i="349"/>
  <c r="H33" i="349"/>
  <c r="G33" i="349"/>
  <c r="F33" i="349"/>
  <c r="E33" i="349"/>
  <c r="D33" i="349"/>
  <c r="C33" i="349"/>
  <c r="K32" i="349"/>
  <c r="J32" i="349"/>
  <c r="I32" i="349"/>
  <c r="H32" i="349"/>
  <c r="G32" i="349"/>
  <c r="F32" i="349"/>
  <c r="E32" i="349"/>
  <c r="D32" i="349"/>
  <c r="C32" i="349"/>
  <c r="K31" i="349"/>
  <c r="J31" i="349"/>
  <c r="I31" i="349"/>
  <c r="H31" i="349"/>
  <c r="G31" i="349"/>
  <c r="F31" i="349"/>
  <c r="E31" i="349"/>
  <c r="D31" i="349"/>
  <c r="C31" i="349"/>
  <c r="K30" i="349"/>
  <c r="J30" i="349"/>
  <c r="I30" i="349"/>
  <c r="H30" i="349"/>
  <c r="G30" i="349"/>
  <c r="F30" i="349"/>
  <c r="E30" i="349"/>
  <c r="D30" i="349"/>
  <c r="C30" i="349"/>
  <c r="K29" i="349"/>
  <c r="J29" i="349"/>
  <c r="I29" i="349"/>
  <c r="H29" i="349"/>
  <c r="G29" i="349"/>
  <c r="F29" i="349"/>
  <c r="E29" i="349"/>
  <c r="D29" i="349"/>
  <c r="C29" i="349"/>
  <c r="K28" i="349"/>
  <c r="J28" i="349"/>
  <c r="I28" i="349"/>
  <c r="H28" i="349"/>
  <c r="G28" i="349"/>
  <c r="F28" i="349"/>
  <c r="E28" i="349"/>
  <c r="D28" i="349"/>
  <c r="C28" i="349"/>
  <c r="K27" i="349"/>
  <c r="J27" i="349"/>
  <c r="I27" i="349"/>
  <c r="H27" i="349"/>
  <c r="G27" i="349"/>
  <c r="F27" i="349"/>
  <c r="E27" i="349"/>
  <c r="D27" i="349"/>
  <c r="C27" i="349"/>
  <c r="K25" i="349"/>
  <c r="J25" i="349"/>
  <c r="I25" i="349"/>
  <c r="H25" i="349"/>
  <c r="G25" i="349"/>
  <c r="F25" i="349"/>
  <c r="E25" i="349"/>
  <c r="D25" i="349"/>
  <c r="C25" i="349"/>
  <c r="K24" i="349"/>
  <c r="J24" i="349"/>
  <c r="I24" i="349"/>
  <c r="H24" i="349"/>
  <c r="G24" i="349"/>
  <c r="F24" i="349"/>
  <c r="E24" i="349"/>
  <c r="D24" i="349"/>
  <c r="C24" i="349"/>
  <c r="K23" i="349"/>
  <c r="J23" i="349"/>
  <c r="I23" i="349"/>
  <c r="H23" i="349"/>
  <c r="G23" i="349"/>
  <c r="F23" i="349"/>
  <c r="E23" i="349"/>
  <c r="D23" i="349"/>
  <c r="C23" i="349"/>
  <c r="K22" i="349"/>
  <c r="J22" i="349"/>
  <c r="I22" i="349"/>
  <c r="H22" i="349"/>
  <c r="G22" i="349"/>
  <c r="F22" i="349"/>
  <c r="E22" i="349"/>
  <c r="D22" i="349"/>
  <c r="C22" i="349"/>
  <c r="K21" i="349"/>
  <c r="J21" i="349"/>
  <c r="I21" i="349"/>
  <c r="H21" i="349"/>
  <c r="G21" i="349"/>
  <c r="F21" i="349"/>
  <c r="E21" i="349"/>
  <c r="D21" i="349"/>
  <c r="C21" i="349"/>
  <c r="K20" i="349"/>
  <c r="J20" i="349"/>
  <c r="I20" i="349"/>
  <c r="H20" i="349"/>
  <c r="G20" i="349"/>
  <c r="F20" i="349"/>
  <c r="E20" i="349"/>
  <c r="D20" i="349"/>
  <c r="C20" i="349"/>
  <c r="K19" i="349"/>
  <c r="J19" i="349"/>
  <c r="I19" i="349"/>
  <c r="H19" i="349"/>
  <c r="G19" i="349"/>
  <c r="F19" i="349"/>
  <c r="E19" i="349"/>
  <c r="D19" i="349"/>
  <c r="C19" i="349"/>
  <c r="K18" i="349"/>
  <c r="J18" i="349"/>
  <c r="I18" i="349"/>
  <c r="H18" i="349"/>
  <c r="G18" i="349"/>
  <c r="F18" i="349"/>
  <c r="E18" i="349"/>
  <c r="D18" i="349"/>
  <c r="C18" i="349"/>
  <c r="K17" i="349"/>
  <c r="J17" i="349"/>
  <c r="I17" i="349"/>
  <c r="H17" i="349"/>
  <c r="G17" i="349"/>
  <c r="F17" i="349"/>
  <c r="E17" i="349"/>
  <c r="D17" i="349"/>
  <c r="C17" i="349"/>
  <c r="K15" i="349"/>
  <c r="J15" i="349"/>
  <c r="I15" i="349"/>
  <c r="H15" i="349"/>
  <c r="G15" i="349"/>
  <c r="F15" i="349"/>
  <c r="E15" i="349"/>
  <c r="D15" i="349"/>
  <c r="C15" i="349"/>
  <c r="K14" i="349"/>
  <c r="J14" i="349"/>
  <c r="I14" i="349"/>
  <c r="H14" i="349"/>
  <c r="G14" i="349"/>
  <c r="F14" i="349"/>
  <c r="E14" i="349"/>
  <c r="D14" i="349"/>
  <c r="C14" i="349"/>
  <c r="K13" i="349"/>
  <c r="J13" i="349"/>
  <c r="I13" i="349"/>
  <c r="H13" i="349"/>
  <c r="G13" i="349"/>
  <c r="F13" i="349"/>
  <c r="E13" i="349"/>
  <c r="D13" i="349"/>
  <c r="C13" i="349"/>
  <c r="K11" i="349"/>
  <c r="J11" i="349"/>
  <c r="I11" i="349"/>
  <c r="H11" i="349"/>
  <c r="G11" i="349"/>
  <c r="F11" i="349"/>
  <c r="E11" i="349"/>
  <c r="D11" i="349"/>
  <c r="C11" i="349"/>
  <c r="K10" i="349"/>
  <c r="J10" i="349"/>
  <c r="I10" i="349"/>
  <c r="H10" i="349"/>
  <c r="G10" i="349"/>
  <c r="F10" i="349"/>
  <c r="E10" i="349"/>
  <c r="D10" i="349"/>
  <c r="C10" i="349"/>
  <c r="K9" i="349"/>
  <c r="J9" i="349"/>
  <c r="I9" i="349"/>
  <c r="H9" i="349"/>
  <c r="G9" i="349"/>
  <c r="F9" i="349"/>
  <c r="E9" i="349"/>
  <c r="D9" i="349"/>
  <c r="C9" i="349"/>
  <c r="K8" i="349"/>
  <c r="J8" i="349"/>
  <c r="I8" i="349"/>
  <c r="H8" i="349"/>
  <c r="G8" i="349"/>
  <c r="F8" i="349"/>
  <c r="E8" i="349"/>
  <c r="D8" i="349"/>
  <c r="C8" i="349"/>
  <c r="K165" i="350"/>
  <c r="J165" i="350"/>
  <c r="I165" i="350"/>
  <c r="H165" i="350"/>
  <c r="G165" i="350"/>
  <c r="F165" i="350"/>
  <c r="E165" i="350"/>
  <c r="D165" i="350"/>
  <c r="C165" i="350"/>
  <c r="K162" i="350"/>
  <c r="J162" i="350"/>
  <c r="I162" i="350"/>
  <c r="H162" i="350"/>
  <c r="G162" i="350"/>
  <c r="F162" i="350"/>
  <c r="E162" i="350"/>
  <c r="D162" i="350"/>
  <c r="C162" i="350"/>
  <c r="K159" i="350"/>
  <c r="J159" i="350"/>
  <c r="I159" i="350"/>
  <c r="H159" i="350"/>
  <c r="G159" i="350"/>
  <c r="F159" i="350"/>
  <c r="E159" i="350"/>
  <c r="D159" i="350"/>
  <c r="C159" i="350"/>
  <c r="K156" i="350"/>
  <c r="J156" i="350"/>
  <c r="I156" i="350"/>
  <c r="H156" i="350"/>
  <c r="G156" i="350"/>
  <c r="F156" i="350"/>
  <c r="E156" i="350"/>
  <c r="D156" i="350"/>
  <c r="C156" i="350"/>
  <c r="K153" i="350"/>
  <c r="J153" i="350"/>
  <c r="I153" i="350"/>
  <c r="H153" i="350"/>
  <c r="G153" i="350"/>
  <c r="F153" i="350"/>
  <c r="E153" i="350"/>
  <c r="D153" i="350"/>
  <c r="C153" i="350"/>
  <c r="K150" i="350"/>
  <c r="J150" i="350"/>
  <c r="I150" i="350"/>
  <c r="H150" i="350"/>
  <c r="G150" i="350"/>
  <c r="F150" i="350"/>
  <c r="E150" i="350"/>
  <c r="D150" i="350"/>
  <c r="C150" i="350"/>
  <c r="K147" i="350"/>
  <c r="J147" i="350"/>
  <c r="I147" i="350"/>
  <c r="H147" i="350"/>
  <c r="G147" i="350"/>
  <c r="F147" i="350"/>
  <c r="E147" i="350"/>
  <c r="D147" i="350"/>
  <c r="C147" i="350"/>
  <c r="K146" i="350"/>
  <c r="J146" i="350"/>
  <c r="I146" i="350"/>
  <c r="H146" i="350"/>
  <c r="G146" i="350"/>
  <c r="F146" i="350"/>
  <c r="E146" i="350"/>
  <c r="D146" i="350"/>
  <c r="C146" i="350"/>
  <c r="K145" i="350"/>
  <c r="J145" i="350"/>
  <c r="I145" i="350"/>
  <c r="H145" i="350"/>
  <c r="G145" i="350"/>
  <c r="F145" i="350"/>
  <c r="E145" i="350"/>
  <c r="D145" i="350"/>
  <c r="C145" i="350"/>
  <c r="K144" i="350"/>
  <c r="J144" i="350"/>
  <c r="I144" i="350"/>
  <c r="H144" i="350"/>
  <c r="G144" i="350"/>
  <c r="F144" i="350"/>
  <c r="E144" i="350"/>
  <c r="D144" i="350"/>
  <c r="C144" i="350"/>
  <c r="K143" i="350"/>
  <c r="J143" i="350"/>
  <c r="I143" i="350"/>
  <c r="H143" i="350"/>
  <c r="G143" i="350"/>
  <c r="F143" i="350"/>
  <c r="E143" i="350"/>
  <c r="D143" i="350"/>
  <c r="C143" i="350"/>
  <c r="K142" i="350"/>
  <c r="J142" i="350"/>
  <c r="I142" i="350"/>
  <c r="H142" i="350"/>
  <c r="G142" i="350"/>
  <c r="F142" i="350"/>
  <c r="E142" i="350"/>
  <c r="D142" i="350"/>
  <c r="C142" i="350"/>
  <c r="K140" i="350"/>
  <c r="J140" i="350"/>
  <c r="I140" i="350"/>
  <c r="H140" i="350"/>
  <c r="G140" i="350"/>
  <c r="F140" i="350"/>
  <c r="E140" i="350"/>
  <c r="D140" i="350"/>
  <c r="C140" i="350"/>
  <c r="K137" i="350"/>
  <c r="J137" i="350"/>
  <c r="I137" i="350"/>
  <c r="H137" i="350"/>
  <c r="G137" i="350"/>
  <c r="F137" i="350"/>
  <c r="E137" i="350"/>
  <c r="D137" i="350"/>
  <c r="C137" i="350"/>
  <c r="K134" i="350"/>
  <c r="J134" i="350"/>
  <c r="I134" i="350"/>
  <c r="H134" i="350"/>
  <c r="G134" i="350"/>
  <c r="F134" i="350"/>
  <c r="E134" i="350"/>
  <c r="D134" i="350"/>
  <c r="C134" i="350"/>
  <c r="K133" i="350"/>
  <c r="J133" i="350"/>
  <c r="I133" i="350"/>
  <c r="H133" i="350"/>
  <c r="G133" i="350"/>
  <c r="F133" i="350"/>
  <c r="E133" i="350"/>
  <c r="D133" i="350"/>
  <c r="C133" i="350"/>
  <c r="K132" i="350"/>
  <c r="J132" i="350"/>
  <c r="I132" i="350"/>
  <c r="H132" i="350"/>
  <c r="G132" i="350"/>
  <c r="F132" i="350"/>
  <c r="E132" i="350"/>
  <c r="D132" i="350"/>
  <c r="C132" i="350"/>
  <c r="K130" i="350"/>
  <c r="J130" i="350"/>
  <c r="I130" i="350"/>
  <c r="H130" i="350"/>
  <c r="G130" i="350"/>
  <c r="F130" i="350"/>
  <c r="E130" i="350"/>
  <c r="D130" i="350"/>
  <c r="C130" i="350"/>
  <c r="K129" i="350"/>
  <c r="J129" i="350"/>
  <c r="I129" i="350"/>
  <c r="H129" i="350"/>
  <c r="G129" i="350"/>
  <c r="F129" i="350"/>
  <c r="E129" i="350"/>
  <c r="D129" i="350"/>
  <c r="C129" i="350"/>
  <c r="K128" i="350"/>
  <c r="J128" i="350"/>
  <c r="I128" i="350"/>
  <c r="H128" i="350"/>
  <c r="G128" i="350"/>
  <c r="F128" i="350"/>
  <c r="E128" i="350"/>
  <c r="D128" i="350"/>
  <c r="C128" i="350"/>
  <c r="K127" i="350"/>
  <c r="J127" i="350"/>
  <c r="I127" i="350"/>
  <c r="H127" i="350"/>
  <c r="G127" i="350"/>
  <c r="F127" i="350"/>
  <c r="E127" i="350"/>
  <c r="D127" i="350"/>
  <c r="C127" i="350"/>
  <c r="K126" i="350"/>
  <c r="J126" i="350"/>
  <c r="I126" i="350"/>
  <c r="H126" i="350"/>
  <c r="G126" i="350"/>
  <c r="F126" i="350"/>
  <c r="E126" i="350"/>
  <c r="D126" i="350"/>
  <c r="C126" i="350"/>
  <c r="K125" i="350"/>
  <c r="J125" i="350"/>
  <c r="I125" i="350"/>
  <c r="H125" i="350"/>
  <c r="G125" i="350"/>
  <c r="F125" i="350"/>
  <c r="E125" i="350"/>
  <c r="D125" i="350"/>
  <c r="C125" i="350"/>
  <c r="K124" i="350"/>
  <c r="J124" i="350"/>
  <c r="I124" i="350"/>
  <c r="H124" i="350"/>
  <c r="G124" i="350"/>
  <c r="F124" i="350"/>
  <c r="E124" i="350"/>
  <c r="D124" i="350"/>
  <c r="C124" i="350"/>
  <c r="K123" i="350"/>
  <c r="J123" i="350"/>
  <c r="I123" i="350"/>
  <c r="H123" i="350"/>
  <c r="G123" i="350"/>
  <c r="F123" i="350"/>
  <c r="E123" i="350"/>
  <c r="D123" i="350"/>
  <c r="C123" i="350"/>
  <c r="K122" i="350"/>
  <c r="J122" i="350"/>
  <c r="I122" i="350"/>
  <c r="H122" i="350"/>
  <c r="G122" i="350"/>
  <c r="F122" i="350"/>
  <c r="E122" i="350"/>
  <c r="D122" i="350"/>
  <c r="C122" i="350"/>
  <c r="K121" i="350"/>
  <c r="J121" i="350"/>
  <c r="I121" i="350"/>
  <c r="H121" i="350"/>
  <c r="G121" i="350"/>
  <c r="F121" i="350"/>
  <c r="E121" i="350"/>
  <c r="D121" i="350"/>
  <c r="C121" i="350"/>
  <c r="K120" i="350"/>
  <c r="J120" i="350"/>
  <c r="I120" i="350"/>
  <c r="H120" i="350"/>
  <c r="G120" i="350"/>
  <c r="F120" i="350"/>
  <c r="E120" i="350"/>
  <c r="D120" i="350"/>
  <c r="C120" i="350"/>
  <c r="K116" i="350"/>
  <c r="J116" i="350"/>
  <c r="I116" i="350"/>
  <c r="H116" i="350"/>
  <c r="G116" i="350"/>
  <c r="F116" i="350"/>
  <c r="E116" i="350"/>
  <c r="D116" i="350"/>
  <c r="C116" i="350"/>
  <c r="K115" i="350"/>
  <c r="J115" i="350"/>
  <c r="I115" i="350"/>
  <c r="H115" i="350"/>
  <c r="G115" i="350"/>
  <c r="F115" i="350"/>
  <c r="E115" i="350"/>
  <c r="D115" i="350"/>
  <c r="C115" i="350"/>
  <c r="K113" i="350"/>
  <c r="J113" i="350"/>
  <c r="I113" i="350"/>
  <c r="H113" i="350"/>
  <c r="G113" i="350"/>
  <c r="F113" i="350"/>
  <c r="E113" i="350"/>
  <c r="D113" i="350"/>
  <c r="C113" i="350"/>
  <c r="K112" i="350"/>
  <c r="J112" i="350"/>
  <c r="I112" i="350"/>
  <c r="H112" i="350"/>
  <c r="G112" i="350"/>
  <c r="F112" i="350"/>
  <c r="E112" i="350"/>
  <c r="D112" i="350"/>
  <c r="C112" i="350"/>
  <c r="K108" i="350"/>
  <c r="J108" i="350"/>
  <c r="I108" i="350"/>
  <c r="H108" i="350"/>
  <c r="G108" i="350"/>
  <c r="F108" i="350"/>
  <c r="E108" i="350"/>
  <c r="D108" i="350"/>
  <c r="C108" i="350"/>
  <c r="K107" i="350"/>
  <c r="J107" i="350"/>
  <c r="I107" i="350"/>
  <c r="H107" i="350"/>
  <c r="G107" i="350"/>
  <c r="F107" i="350"/>
  <c r="E107" i="350"/>
  <c r="D107" i="350"/>
  <c r="C107" i="350"/>
  <c r="K106" i="350"/>
  <c r="J106" i="350"/>
  <c r="I106" i="350"/>
  <c r="H106" i="350"/>
  <c r="G106" i="350"/>
  <c r="F106" i="350"/>
  <c r="E106" i="350"/>
  <c r="D106" i="350"/>
  <c r="C106" i="350"/>
  <c r="K105" i="350"/>
  <c r="J105" i="350"/>
  <c r="I105" i="350"/>
  <c r="H105" i="350"/>
  <c r="G105" i="350"/>
  <c r="F105" i="350"/>
  <c r="E105" i="350"/>
  <c r="D105" i="350"/>
  <c r="C105" i="350"/>
  <c r="K104" i="350"/>
  <c r="J104" i="350"/>
  <c r="I104" i="350"/>
  <c r="H104" i="350"/>
  <c r="G104" i="350"/>
  <c r="F104" i="350"/>
  <c r="E104" i="350"/>
  <c r="D104" i="350"/>
  <c r="C104" i="350"/>
  <c r="K101" i="350"/>
  <c r="J101" i="350"/>
  <c r="I101" i="350"/>
  <c r="H101" i="350"/>
  <c r="G101" i="350"/>
  <c r="F101" i="350"/>
  <c r="E101" i="350"/>
  <c r="D101" i="350"/>
  <c r="C101" i="350"/>
  <c r="K100" i="350"/>
  <c r="J100" i="350"/>
  <c r="I100" i="350"/>
  <c r="H100" i="350"/>
  <c r="G100" i="350"/>
  <c r="F100" i="350"/>
  <c r="E100" i="350"/>
  <c r="D100" i="350"/>
  <c r="C100" i="350"/>
  <c r="K99" i="350"/>
  <c r="J99" i="350"/>
  <c r="I99" i="350"/>
  <c r="H99" i="350"/>
  <c r="G99" i="350"/>
  <c r="F99" i="350"/>
  <c r="E99" i="350"/>
  <c r="D99" i="350"/>
  <c r="C99" i="350"/>
  <c r="K97" i="350"/>
  <c r="J97" i="350"/>
  <c r="I97" i="350"/>
  <c r="H97" i="350"/>
  <c r="G97" i="350"/>
  <c r="F97" i="350"/>
  <c r="E97" i="350"/>
  <c r="D97" i="350"/>
  <c r="C97" i="350"/>
  <c r="K96" i="350"/>
  <c r="J96" i="350"/>
  <c r="I96" i="350"/>
  <c r="H96" i="350"/>
  <c r="G96" i="350"/>
  <c r="F96" i="350"/>
  <c r="E96" i="350"/>
  <c r="D96" i="350"/>
  <c r="C96" i="350"/>
  <c r="K95" i="350"/>
  <c r="J95" i="350"/>
  <c r="I95" i="350"/>
  <c r="H95" i="350"/>
  <c r="G95" i="350"/>
  <c r="F95" i="350"/>
  <c r="E95" i="350"/>
  <c r="D95" i="350"/>
  <c r="C95" i="350"/>
  <c r="K94" i="350"/>
  <c r="J94" i="350"/>
  <c r="I94" i="350"/>
  <c r="H94" i="350"/>
  <c r="G94" i="350"/>
  <c r="F94" i="350"/>
  <c r="E94" i="350"/>
  <c r="D94" i="350"/>
  <c r="C94" i="350"/>
  <c r="K93" i="350"/>
  <c r="J93" i="350"/>
  <c r="I93" i="350"/>
  <c r="H93" i="350"/>
  <c r="G93" i="350"/>
  <c r="F93" i="350"/>
  <c r="E93" i="350"/>
  <c r="D93" i="350"/>
  <c r="C93" i="350"/>
  <c r="K92" i="350"/>
  <c r="J92" i="350"/>
  <c r="I92" i="350"/>
  <c r="H92" i="350"/>
  <c r="G92" i="350"/>
  <c r="F92" i="350"/>
  <c r="E92" i="350"/>
  <c r="D92" i="350"/>
  <c r="C92" i="350"/>
  <c r="K91" i="350"/>
  <c r="J91" i="350"/>
  <c r="I91" i="350"/>
  <c r="H91" i="350"/>
  <c r="G91" i="350"/>
  <c r="F91" i="350"/>
  <c r="E91" i="350"/>
  <c r="D91" i="350"/>
  <c r="C91" i="350"/>
  <c r="K90" i="350"/>
  <c r="J90" i="350"/>
  <c r="I90" i="350"/>
  <c r="H90" i="350"/>
  <c r="G90" i="350"/>
  <c r="F90" i="350"/>
  <c r="E90" i="350"/>
  <c r="D90" i="350"/>
  <c r="C90" i="350"/>
  <c r="K89" i="350"/>
  <c r="J89" i="350"/>
  <c r="I89" i="350"/>
  <c r="H89" i="350"/>
  <c r="G89" i="350"/>
  <c r="F89" i="350"/>
  <c r="E89" i="350"/>
  <c r="D89" i="350"/>
  <c r="C89" i="350"/>
  <c r="K88" i="350"/>
  <c r="J88" i="350"/>
  <c r="I88" i="350"/>
  <c r="H88" i="350"/>
  <c r="G88" i="350"/>
  <c r="F88" i="350"/>
  <c r="E88" i="350"/>
  <c r="D88" i="350"/>
  <c r="C88" i="350"/>
  <c r="K87" i="350"/>
  <c r="J87" i="350"/>
  <c r="I87" i="350"/>
  <c r="H87" i="350"/>
  <c r="G87" i="350"/>
  <c r="F87" i="350"/>
  <c r="E87" i="350"/>
  <c r="D87" i="350"/>
  <c r="C87" i="350"/>
  <c r="K86" i="350"/>
  <c r="J86" i="350"/>
  <c r="I86" i="350"/>
  <c r="H86" i="350"/>
  <c r="G86" i="350"/>
  <c r="F86" i="350"/>
  <c r="E86" i="350"/>
  <c r="D86" i="350"/>
  <c r="C86" i="350"/>
  <c r="K85" i="350"/>
  <c r="J85" i="350"/>
  <c r="I85" i="350"/>
  <c r="H85" i="350"/>
  <c r="G85" i="350"/>
  <c r="F85" i="350"/>
  <c r="E85" i="350"/>
  <c r="D85" i="350"/>
  <c r="C85" i="350"/>
  <c r="K84" i="350"/>
  <c r="J84" i="350"/>
  <c r="I84" i="350"/>
  <c r="H84" i="350"/>
  <c r="G84" i="350"/>
  <c r="F84" i="350"/>
  <c r="E84" i="350"/>
  <c r="D84" i="350"/>
  <c r="C84" i="350"/>
  <c r="K83" i="350"/>
  <c r="J83" i="350"/>
  <c r="I83" i="350"/>
  <c r="H83" i="350"/>
  <c r="G83" i="350"/>
  <c r="F83" i="350"/>
  <c r="E83" i="350"/>
  <c r="D83" i="350"/>
  <c r="C83" i="350"/>
  <c r="K82" i="350"/>
  <c r="J82" i="350"/>
  <c r="I82" i="350"/>
  <c r="H82" i="350"/>
  <c r="G82" i="350"/>
  <c r="F82" i="350"/>
  <c r="E82" i="350"/>
  <c r="D82" i="350"/>
  <c r="C82" i="350"/>
  <c r="K81" i="350"/>
  <c r="J81" i="350"/>
  <c r="I81" i="350"/>
  <c r="H81" i="350"/>
  <c r="G81" i="350"/>
  <c r="F81" i="350"/>
  <c r="E81" i="350"/>
  <c r="D81" i="350"/>
  <c r="C81" i="350"/>
  <c r="K80" i="350"/>
  <c r="J80" i="350"/>
  <c r="I80" i="350"/>
  <c r="H80" i="350"/>
  <c r="G80" i="350"/>
  <c r="F80" i="350"/>
  <c r="E80" i="350"/>
  <c r="D80" i="350"/>
  <c r="C80" i="350"/>
  <c r="K79" i="350"/>
  <c r="J79" i="350"/>
  <c r="I79" i="350"/>
  <c r="H79" i="350"/>
  <c r="G79" i="350"/>
  <c r="F79" i="350"/>
  <c r="E79" i="350"/>
  <c r="D79" i="350"/>
  <c r="C79" i="350"/>
  <c r="K78" i="350"/>
  <c r="J78" i="350"/>
  <c r="I78" i="350"/>
  <c r="H78" i="350"/>
  <c r="G78" i="350"/>
  <c r="F78" i="350"/>
  <c r="E78" i="350"/>
  <c r="D78" i="350"/>
  <c r="C78" i="350"/>
  <c r="K77" i="350"/>
  <c r="J77" i="350"/>
  <c r="I77" i="350"/>
  <c r="H77" i="350"/>
  <c r="G77" i="350"/>
  <c r="F77" i="350"/>
  <c r="E77" i="350"/>
  <c r="D77" i="350"/>
  <c r="C77" i="350"/>
  <c r="K76" i="350"/>
  <c r="J76" i="350"/>
  <c r="I76" i="350"/>
  <c r="H76" i="350"/>
  <c r="G76" i="350"/>
  <c r="F76" i="350"/>
  <c r="E76" i="350"/>
  <c r="D76" i="350"/>
  <c r="C76" i="350"/>
  <c r="K72" i="350"/>
  <c r="J72" i="350"/>
  <c r="I72" i="350"/>
  <c r="H72" i="350"/>
  <c r="G72" i="350"/>
  <c r="F72" i="350"/>
  <c r="E72" i="350"/>
  <c r="D72" i="350"/>
  <c r="C72" i="350"/>
  <c r="K71" i="350"/>
  <c r="J71" i="350"/>
  <c r="I71" i="350"/>
  <c r="H71" i="350"/>
  <c r="G71" i="350"/>
  <c r="F71" i="350"/>
  <c r="E71" i="350"/>
  <c r="D71" i="350"/>
  <c r="C71" i="350"/>
  <c r="K70" i="350"/>
  <c r="J70" i="350"/>
  <c r="I70" i="350"/>
  <c r="H70" i="350"/>
  <c r="G70" i="350"/>
  <c r="F70" i="350"/>
  <c r="E70" i="350"/>
  <c r="D70" i="350"/>
  <c r="C70" i="350"/>
  <c r="K69" i="350"/>
  <c r="J69" i="350"/>
  <c r="I69" i="350"/>
  <c r="H69" i="350"/>
  <c r="G69" i="350"/>
  <c r="F69" i="350"/>
  <c r="E69" i="350"/>
  <c r="D69" i="350"/>
  <c r="C69" i="350"/>
  <c r="K67" i="350"/>
  <c r="J67" i="350"/>
  <c r="I67" i="350"/>
  <c r="H67" i="350"/>
  <c r="G67" i="350"/>
  <c r="F67" i="350"/>
  <c r="E67" i="350"/>
  <c r="D67" i="350"/>
  <c r="C67" i="350"/>
  <c r="K66" i="350"/>
  <c r="J66" i="350"/>
  <c r="I66" i="350"/>
  <c r="H66" i="350"/>
  <c r="G66" i="350"/>
  <c r="F66" i="350"/>
  <c r="E66" i="350"/>
  <c r="D66" i="350"/>
  <c r="C66" i="350"/>
  <c r="K65" i="350"/>
  <c r="J65" i="350"/>
  <c r="I65" i="350"/>
  <c r="H65" i="350"/>
  <c r="G65" i="350"/>
  <c r="F65" i="350"/>
  <c r="E65" i="350"/>
  <c r="D65" i="350"/>
  <c r="C65" i="350"/>
  <c r="K64" i="350"/>
  <c r="J64" i="350"/>
  <c r="I64" i="350"/>
  <c r="H64" i="350"/>
  <c r="G64" i="350"/>
  <c r="F64" i="350"/>
  <c r="E64" i="350"/>
  <c r="D64" i="350"/>
  <c r="C64" i="350"/>
  <c r="K63" i="350"/>
  <c r="J63" i="350"/>
  <c r="I63" i="350"/>
  <c r="H63" i="350"/>
  <c r="G63" i="350"/>
  <c r="F63" i="350"/>
  <c r="E63" i="350"/>
  <c r="D63" i="350"/>
  <c r="C63" i="350"/>
  <c r="K61" i="350"/>
  <c r="J61" i="350"/>
  <c r="I61" i="350"/>
  <c r="H61" i="350"/>
  <c r="G61" i="350"/>
  <c r="F61" i="350"/>
  <c r="E61" i="350"/>
  <c r="D61" i="350"/>
  <c r="C61" i="350"/>
  <c r="K60" i="350"/>
  <c r="J60" i="350"/>
  <c r="I60" i="350"/>
  <c r="H60" i="350"/>
  <c r="G60" i="350"/>
  <c r="F60" i="350"/>
  <c r="E60" i="350"/>
  <c r="D60" i="350"/>
  <c r="C60" i="350"/>
  <c r="K59" i="350"/>
  <c r="J59" i="350"/>
  <c r="I59" i="350"/>
  <c r="H59" i="350"/>
  <c r="G59" i="350"/>
  <c r="F59" i="350"/>
  <c r="E59" i="350"/>
  <c r="D59" i="350"/>
  <c r="C59" i="350"/>
  <c r="K58" i="350"/>
  <c r="J58" i="350"/>
  <c r="I58" i="350"/>
  <c r="H58" i="350"/>
  <c r="G58" i="350"/>
  <c r="F58" i="350"/>
  <c r="E58" i="350"/>
  <c r="D58" i="350"/>
  <c r="C58" i="350"/>
  <c r="K57" i="350"/>
  <c r="J57" i="350"/>
  <c r="I57" i="350"/>
  <c r="H57" i="350"/>
  <c r="G57" i="350"/>
  <c r="F57" i="350"/>
  <c r="E57" i="350"/>
  <c r="D57" i="350"/>
  <c r="C57" i="350"/>
  <c r="K56" i="350"/>
  <c r="J56" i="350"/>
  <c r="I56" i="350"/>
  <c r="H56" i="350"/>
  <c r="G56" i="350"/>
  <c r="F56" i="350"/>
  <c r="E56" i="350"/>
  <c r="D56" i="350"/>
  <c r="C56" i="350"/>
  <c r="K55" i="350"/>
  <c r="J55" i="350"/>
  <c r="I55" i="350"/>
  <c r="H55" i="350"/>
  <c r="G55" i="350"/>
  <c r="F55" i="350"/>
  <c r="E55" i="350"/>
  <c r="D55" i="350"/>
  <c r="C55" i="350"/>
  <c r="K54" i="350"/>
  <c r="J54" i="350"/>
  <c r="I54" i="350"/>
  <c r="H54" i="350"/>
  <c r="G54" i="350"/>
  <c r="F54" i="350"/>
  <c r="E54" i="350"/>
  <c r="D54" i="350"/>
  <c r="C54" i="350"/>
  <c r="K53" i="350"/>
  <c r="J53" i="350"/>
  <c r="I53" i="350"/>
  <c r="H53" i="350"/>
  <c r="G53" i="350"/>
  <c r="F53" i="350"/>
  <c r="E53" i="350"/>
  <c r="D53" i="350"/>
  <c r="C53" i="350"/>
  <c r="K51" i="350"/>
  <c r="J51" i="350"/>
  <c r="I51" i="350"/>
  <c r="H51" i="350"/>
  <c r="G51" i="350"/>
  <c r="F51" i="350"/>
  <c r="E51" i="350"/>
  <c r="D51" i="350"/>
  <c r="C51" i="350"/>
  <c r="K50" i="350"/>
  <c r="J50" i="350"/>
  <c r="I50" i="350"/>
  <c r="H50" i="350"/>
  <c r="G50" i="350"/>
  <c r="F50" i="350"/>
  <c r="E50" i="350"/>
  <c r="D50" i="350"/>
  <c r="C50" i="350"/>
  <c r="K49" i="350"/>
  <c r="J49" i="350"/>
  <c r="I49" i="350"/>
  <c r="H49" i="350"/>
  <c r="G49" i="350"/>
  <c r="F49" i="350"/>
  <c r="E49" i="350"/>
  <c r="D49" i="350"/>
  <c r="C49" i="350"/>
  <c r="K48" i="350"/>
  <c r="J48" i="350"/>
  <c r="I48" i="350"/>
  <c r="H48" i="350"/>
  <c r="G48" i="350"/>
  <c r="F48" i="350"/>
  <c r="E48" i="350"/>
  <c r="D48" i="350"/>
  <c r="C48" i="350"/>
  <c r="K47" i="350"/>
  <c r="J47" i="350"/>
  <c r="I47" i="350"/>
  <c r="H47" i="350"/>
  <c r="G47" i="350"/>
  <c r="F47" i="350"/>
  <c r="E47" i="350"/>
  <c r="D47" i="350"/>
  <c r="C47" i="350"/>
  <c r="K46" i="350"/>
  <c r="J46" i="350"/>
  <c r="I46" i="350"/>
  <c r="H46" i="350"/>
  <c r="G46" i="350"/>
  <c r="F46" i="350"/>
  <c r="E46" i="350"/>
  <c r="D46" i="350"/>
  <c r="C46" i="350"/>
  <c r="K45" i="350"/>
  <c r="J45" i="350"/>
  <c r="I45" i="350"/>
  <c r="H45" i="350"/>
  <c r="G45" i="350"/>
  <c r="F45" i="350"/>
  <c r="E45" i="350"/>
  <c r="D45" i="350"/>
  <c r="C45" i="350"/>
  <c r="K43" i="350"/>
  <c r="J43" i="350"/>
  <c r="I43" i="350"/>
  <c r="H43" i="350"/>
  <c r="G43" i="350"/>
  <c r="F43" i="350"/>
  <c r="E43" i="350"/>
  <c r="D43" i="350"/>
  <c r="C43" i="350"/>
  <c r="K42" i="350"/>
  <c r="J42" i="350"/>
  <c r="I42" i="350"/>
  <c r="H42" i="350"/>
  <c r="G42" i="350"/>
  <c r="F42" i="350"/>
  <c r="E42" i="350"/>
  <c r="D42" i="350"/>
  <c r="C42" i="350"/>
  <c r="K41" i="350"/>
  <c r="J41" i="350"/>
  <c r="I41" i="350"/>
  <c r="H41" i="350"/>
  <c r="G41" i="350"/>
  <c r="F41" i="350"/>
  <c r="E41" i="350"/>
  <c r="D41" i="350"/>
  <c r="C41" i="350"/>
  <c r="K40" i="350"/>
  <c r="J40" i="350"/>
  <c r="I40" i="350"/>
  <c r="H40" i="350"/>
  <c r="G40" i="350"/>
  <c r="F40" i="350"/>
  <c r="E40" i="350"/>
  <c r="D40" i="350"/>
  <c r="C40" i="350"/>
  <c r="K39" i="350"/>
  <c r="J39" i="350"/>
  <c r="I39" i="350"/>
  <c r="H39" i="350"/>
  <c r="G39" i="350"/>
  <c r="F39" i="350"/>
  <c r="E39" i="350"/>
  <c r="D39" i="350"/>
  <c r="C39" i="350"/>
  <c r="K38" i="350"/>
  <c r="J38" i="350"/>
  <c r="I38" i="350"/>
  <c r="H38" i="350"/>
  <c r="G38" i="350"/>
  <c r="F38" i="350"/>
  <c r="E38" i="350"/>
  <c r="D38" i="350"/>
  <c r="C38" i="350"/>
  <c r="K36" i="350"/>
  <c r="J36" i="350"/>
  <c r="I36" i="350"/>
  <c r="H36" i="350"/>
  <c r="G36" i="350"/>
  <c r="F36" i="350"/>
  <c r="E36" i="350"/>
  <c r="D36" i="350"/>
  <c r="C36" i="350"/>
  <c r="K35" i="350"/>
  <c r="J35" i="350"/>
  <c r="I35" i="350"/>
  <c r="H35" i="350"/>
  <c r="G35" i="350"/>
  <c r="F35" i="350"/>
  <c r="E35" i="350"/>
  <c r="D35" i="350"/>
  <c r="C35" i="350"/>
  <c r="K34" i="350"/>
  <c r="J34" i="350"/>
  <c r="I34" i="350"/>
  <c r="H34" i="350"/>
  <c r="G34" i="350"/>
  <c r="F34" i="350"/>
  <c r="E34" i="350"/>
  <c r="D34" i="350"/>
  <c r="C34" i="350"/>
  <c r="K33" i="350"/>
  <c r="J33" i="350"/>
  <c r="I33" i="350"/>
  <c r="H33" i="350"/>
  <c r="G33" i="350"/>
  <c r="F33" i="350"/>
  <c r="E33" i="350"/>
  <c r="D33" i="350"/>
  <c r="C33" i="350"/>
  <c r="K32" i="350"/>
  <c r="J32" i="350"/>
  <c r="I32" i="350"/>
  <c r="H32" i="350"/>
  <c r="G32" i="350"/>
  <c r="F32" i="350"/>
  <c r="E32" i="350"/>
  <c r="D32" i="350"/>
  <c r="C32" i="350"/>
  <c r="K31" i="350"/>
  <c r="J31" i="350"/>
  <c r="I31" i="350"/>
  <c r="H31" i="350"/>
  <c r="G31" i="350"/>
  <c r="F31" i="350"/>
  <c r="E31" i="350"/>
  <c r="D31" i="350"/>
  <c r="C31" i="350"/>
  <c r="K30" i="350"/>
  <c r="J30" i="350"/>
  <c r="I30" i="350"/>
  <c r="H30" i="350"/>
  <c r="G30" i="350"/>
  <c r="F30" i="350"/>
  <c r="E30" i="350"/>
  <c r="D30" i="350"/>
  <c r="C30" i="350"/>
  <c r="K29" i="350"/>
  <c r="J29" i="350"/>
  <c r="I29" i="350"/>
  <c r="H29" i="350"/>
  <c r="G29" i="350"/>
  <c r="F29" i="350"/>
  <c r="E29" i="350"/>
  <c r="D29" i="350"/>
  <c r="C29" i="350"/>
  <c r="K28" i="350"/>
  <c r="J28" i="350"/>
  <c r="I28" i="350"/>
  <c r="H28" i="350"/>
  <c r="G28" i="350"/>
  <c r="F28" i="350"/>
  <c r="E28" i="350"/>
  <c r="D28" i="350"/>
  <c r="C28" i="350"/>
  <c r="K27" i="350"/>
  <c r="J27" i="350"/>
  <c r="I27" i="350"/>
  <c r="H27" i="350"/>
  <c r="G27" i="350"/>
  <c r="F27" i="350"/>
  <c r="E27" i="350"/>
  <c r="D27" i="350"/>
  <c r="C27" i="350"/>
  <c r="K25" i="350"/>
  <c r="J25" i="350"/>
  <c r="I25" i="350"/>
  <c r="H25" i="350"/>
  <c r="G25" i="350"/>
  <c r="F25" i="350"/>
  <c r="E25" i="350"/>
  <c r="D25" i="350"/>
  <c r="C25" i="350"/>
  <c r="K24" i="350"/>
  <c r="J24" i="350"/>
  <c r="I24" i="350"/>
  <c r="H24" i="350"/>
  <c r="G24" i="350"/>
  <c r="F24" i="350"/>
  <c r="E24" i="350"/>
  <c r="D24" i="350"/>
  <c r="C24" i="350"/>
  <c r="K23" i="350"/>
  <c r="J23" i="350"/>
  <c r="I23" i="350"/>
  <c r="H23" i="350"/>
  <c r="G23" i="350"/>
  <c r="F23" i="350"/>
  <c r="E23" i="350"/>
  <c r="D23" i="350"/>
  <c r="C23" i="350"/>
  <c r="K22" i="350"/>
  <c r="J22" i="350"/>
  <c r="I22" i="350"/>
  <c r="H22" i="350"/>
  <c r="G22" i="350"/>
  <c r="F22" i="350"/>
  <c r="E22" i="350"/>
  <c r="D22" i="350"/>
  <c r="C22" i="350"/>
  <c r="K21" i="350"/>
  <c r="J21" i="350"/>
  <c r="I21" i="350"/>
  <c r="H21" i="350"/>
  <c r="G21" i="350"/>
  <c r="F21" i="350"/>
  <c r="E21" i="350"/>
  <c r="D21" i="350"/>
  <c r="C21" i="350"/>
  <c r="K20" i="350"/>
  <c r="J20" i="350"/>
  <c r="I20" i="350"/>
  <c r="H20" i="350"/>
  <c r="G20" i="350"/>
  <c r="F20" i="350"/>
  <c r="E20" i="350"/>
  <c r="D20" i="350"/>
  <c r="C20" i="350"/>
  <c r="K19" i="350"/>
  <c r="J19" i="350"/>
  <c r="I19" i="350"/>
  <c r="H19" i="350"/>
  <c r="G19" i="350"/>
  <c r="F19" i="350"/>
  <c r="E19" i="350"/>
  <c r="D19" i="350"/>
  <c r="C19" i="350"/>
  <c r="K18" i="350"/>
  <c r="J18" i="350"/>
  <c r="I18" i="350"/>
  <c r="H18" i="350"/>
  <c r="G18" i="350"/>
  <c r="F18" i="350"/>
  <c r="E18" i="350"/>
  <c r="D18" i="350"/>
  <c r="C18" i="350"/>
  <c r="K17" i="350"/>
  <c r="J17" i="350"/>
  <c r="I17" i="350"/>
  <c r="H17" i="350"/>
  <c r="G17" i="350"/>
  <c r="F17" i="350"/>
  <c r="E17" i="350"/>
  <c r="D17" i="350"/>
  <c r="C17" i="350"/>
  <c r="K15" i="350"/>
  <c r="J15" i="350"/>
  <c r="I15" i="350"/>
  <c r="H15" i="350"/>
  <c r="G15" i="350"/>
  <c r="F15" i="350"/>
  <c r="E15" i="350"/>
  <c r="D15" i="350"/>
  <c r="C15" i="350"/>
  <c r="K14" i="350"/>
  <c r="J14" i="350"/>
  <c r="I14" i="350"/>
  <c r="H14" i="350"/>
  <c r="G14" i="350"/>
  <c r="F14" i="350"/>
  <c r="E14" i="350"/>
  <c r="D14" i="350"/>
  <c r="C14" i="350"/>
  <c r="K13" i="350"/>
  <c r="J13" i="350"/>
  <c r="I13" i="350"/>
  <c r="H13" i="350"/>
  <c r="G13" i="350"/>
  <c r="F13" i="350"/>
  <c r="E13" i="350"/>
  <c r="D13" i="350"/>
  <c r="C13" i="350"/>
  <c r="C9" i="350"/>
  <c r="D9" i="350"/>
  <c r="E9" i="350"/>
  <c r="F9" i="350"/>
  <c r="G9" i="350"/>
  <c r="H9" i="350"/>
  <c r="I9" i="350"/>
  <c r="J9" i="350"/>
  <c r="K9" i="350"/>
  <c r="C10" i="350"/>
  <c r="D10" i="350"/>
  <c r="E10" i="350"/>
  <c r="F10" i="350"/>
  <c r="G10" i="350"/>
  <c r="H10" i="350"/>
  <c r="I10" i="350"/>
  <c r="J10" i="350"/>
  <c r="K10" i="350"/>
  <c r="C11" i="350"/>
  <c r="D11" i="350"/>
  <c r="E11" i="350"/>
  <c r="F11" i="350"/>
  <c r="G11" i="350"/>
  <c r="H11" i="350"/>
  <c r="I11" i="350"/>
  <c r="J11" i="350"/>
  <c r="K11" i="350"/>
  <c r="K8" i="350"/>
  <c r="J8" i="350"/>
  <c r="I8" i="350"/>
  <c r="H8" i="350"/>
  <c r="G8" i="350"/>
  <c r="F8" i="350"/>
  <c r="E8" i="350"/>
  <c r="D8" i="350"/>
  <c r="C8" i="350"/>
  <c r="K165" i="134"/>
  <c r="J165" i="134"/>
  <c r="I165" i="134"/>
  <c r="H165" i="134"/>
  <c r="G165" i="134"/>
  <c r="F165" i="134"/>
  <c r="E165" i="134"/>
  <c r="D165" i="134"/>
  <c r="C165" i="134"/>
  <c r="K162" i="134"/>
  <c r="J162" i="134"/>
  <c r="I162" i="134"/>
  <c r="H162" i="134"/>
  <c r="G162" i="134"/>
  <c r="F162" i="134"/>
  <c r="E162" i="134"/>
  <c r="D162" i="134"/>
  <c r="C162" i="134"/>
  <c r="K159" i="134"/>
  <c r="J159" i="134"/>
  <c r="I159" i="134"/>
  <c r="H159" i="134"/>
  <c r="G159" i="134"/>
  <c r="F159" i="134"/>
  <c r="E159" i="134"/>
  <c r="D159" i="134"/>
  <c r="C159" i="134"/>
  <c r="K156" i="134"/>
  <c r="J156" i="134"/>
  <c r="I156" i="134"/>
  <c r="H156" i="134"/>
  <c r="G156" i="134"/>
  <c r="F156" i="134"/>
  <c r="E156" i="134"/>
  <c r="D156" i="134"/>
  <c r="C156" i="134"/>
  <c r="K153" i="134"/>
  <c r="J153" i="134"/>
  <c r="I153" i="134"/>
  <c r="H153" i="134"/>
  <c r="G153" i="134"/>
  <c r="F153" i="134"/>
  <c r="E153" i="134"/>
  <c r="D153" i="134"/>
  <c r="C153" i="134"/>
  <c r="K150" i="134"/>
  <c r="J150" i="134"/>
  <c r="I150" i="134"/>
  <c r="H150" i="134"/>
  <c r="G150" i="134"/>
  <c r="F150" i="134"/>
  <c r="E150" i="134"/>
  <c r="D150" i="134"/>
  <c r="C150" i="134"/>
  <c r="K147" i="134"/>
  <c r="J147" i="134"/>
  <c r="I147" i="134"/>
  <c r="H147" i="134"/>
  <c r="G147" i="134"/>
  <c r="F147" i="134"/>
  <c r="E147" i="134"/>
  <c r="D147" i="134"/>
  <c r="C147" i="134"/>
  <c r="K146" i="134"/>
  <c r="J146" i="134"/>
  <c r="I146" i="134"/>
  <c r="H146" i="134"/>
  <c r="G146" i="134"/>
  <c r="F146" i="134"/>
  <c r="E146" i="134"/>
  <c r="D146" i="134"/>
  <c r="C146" i="134"/>
  <c r="K145" i="134"/>
  <c r="J145" i="134"/>
  <c r="I145" i="134"/>
  <c r="H145" i="134"/>
  <c r="G145" i="134"/>
  <c r="F145" i="134"/>
  <c r="E145" i="134"/>
  <c r="D145" i="134"/>
  <c r="C145" i="134"/>
  <c r="K144" i="134"/>
  <c r="J144" i="134"/>
  <c r="I144" i="134"/>
  <c r="H144" i="134"/>
  <c r="G144" i="134"/>
  <c r="F144" i="134"/>
  <c r="E144" i="134"/>
  <c r="D144" i="134"/>
  <c r="C144" i="134"/>
  <c r="K143" i="134"/>
  <c r="J143" i="134"/>
  <c r="I143" i="134"/>
  <c r="H143" i="134"/>
  <c r="G143" i="134"/>
  <c r="F143" i="134"/>
  <c r="E143" i="134"/>
  <c r="D143" i="134"/>
  <c r="C143" i="134"/>
  <c r="K142" i="134"/>
  <c r="J142" i="134"/>
  <c r="I142" i="134"/>
  <c r="H142" i="134"/>
  <c r="G142" i="134"/>
  <c r="F142" i="134"/>
  <c r="E142" i="134"/>
  <c r="D142" i="134"/>
  <c r="C142" i="134"/>
  <c r="K140" i="134"/>
  <c r="J140" i="134"/>
  <c r="I140" i="134"/>
  <c r="H140" i="134"/>
  <c r="G140" i="134"/>
  <c r="F140" i="134"/>
  <c r="E140" i="134"/>
  <c r="D140" i="134"/>
  <c r="C140" i="134"/>
  <c r="K137" i="134"/>
  <c r="J137" i="134"/>
  <c r="I137" i="134"/>
  <c r="H137" i="134"/>
  <c r="G137" i="134"/>
  <c r="F137" i="134"/>
  <c r="E137" i="134"/>
  <c r="D137" i="134"/>
  <c r="C137" i="134"/>
  <c r="K134" i="134"/>
  <c r="J134" i="134"/>
  <c r="I134" i="134"/>
  <c r="H134" i="134"/>
  <c r="G134" i="134"/>
  <c r="F134" i="134"/>
  <c r="E134" i="134"/>
  <c r="D134" i="134"/>
  <c r="C134" i="134"/>
  <c r="K133" i="134"/>
  <c r="J133" i="134"/>
  <c r="I133" i="134"/>
  <c r="H133" i="134"/>
  <c r="G133" i="134"/>
  <c r="F133" i="134"/>
  <c r="E133" i="134"/>
  <c r="D133" i="134"/>
  <c r="C133" i="134"/>
  <c r="K132" i="134"/>
  <c r="J132" i="134"/>
  <c r="I132" i="134"/>
  <c r="H132" i="134"/>
  <c r="G132" i="134"/>
  <c r="F132" i="134"/>
  <c r="E132" i="134"/>
  <c r="D132" i="134"/>
  <c r="C132" i="134"/>
  <c r="K11" i="134"/>
  <c r="J11" i="134"/>
  <c r="I11" i="134"/>
  <c r="H11" i="134"/>
  <c r="G11" i="134"/>
  <c r="F11" i="134"/>
  <c r="E11" i="134"/>
  <c r="D11" i="134"/>
  <c r="C11" i="134"/>
  <c r="K10" i="134"/>
  <c r="J10" i="134"/>
  <c r="I10" i="134"/>
  <c r="H10" i="134"/>
  <c r="G10" i="134"/>
  <c r="F10" i="134"/>
  <c r="E10" i="134"/>
  <c r="D10" i="134"/>
  <c r="C10" i="134"/>
  <c r="K9" i="134"/>
  <c r="J9" i="134"/>
  <c r="I9" i="134"/>
  <c r="H9" i="134"/>
  <c r="G9" i="134"/>
  <c r="F9" i="134"/>
  <c r="E9" i="134"/>
  <c r="D9" i="134"/>
  <c r="C9" i="134"/>
  <c r="K8" i="134"/>
  <c r="J8" i="134"/>
  <c r="I8" i="134"/>
  <c r="H8" i="134"/>
  <c r="G8" i="134"/>
  <c r="F8" i="134"/>
  <c r="E8" i="134"/>
  <c r="D8" i="134"/>
  <c r="C8" i="134"/>
  <c r="K15" i="134"/>
  <c r="J15" i="134"/>
  <c r="I15" i="134"/>
  <c r="H15" i="134"/>
  <c r="G15" i="134"/>
  <c r="F15" i="134"/>
  <c r="E15" i="134"/>
  <c r="D15" i="134"/>
  <c r="C15" i="134"/>
  <c r="K14" i="134"/>
  <c r="J14" i="134"/>
  <c r="I14" i="134"/>
  <c r="H14" i="134"/>
  <c r="G14" i="134"/>
  <c r="F14" i="134"/>
  <c r="E14" i="134"/>
  <c r="D14" i="134"/>
  <c r="C14" i="134"/>
  <c r="K13" i="134"/>
  <c r="J13" i="134"/>
  <c r="I13" i="134"/>
  <c r="H13" i="134"/>
  <c r="G13" i="134"/>
  <c r="F13" i="134"/>
  <c r="E13" i="134"/>
  <c r="D13" i="134"/>
  <c r="C13" i="134"/>
  <c r="K25" i="134"/>
  <c r="J25" i="134"/>
  <c r="I25" i="134"/>
  <c r="H25" i="134"/>
  <c r="G25" i="134"/>
  <c r="F25" i="134"/>
  <c r="E25" i="134"/>
  <c r="D25" i="134"/>
  <c r="C25" i="134"/>
  <c r="K24" i="134"/>
  <c r="J24" i="134"/>
  <c r="I24" i="134"/>
  <c r="H24" i="134"/>
  <c r="G24" i="134"/>
  <c r="F24" i="134"/>
  <c r="E24" i="134"/>
  <c r="D24" i="134"/>
  <c r="C24" i="134"/>
  <c r="K23" i="134"/>
  <c r="J23" i="134"/>
  <c r="I23" i="134"/>
  <c r="H23" i="134"/>
  <c r="G23" i="134"/>
  <c r="F23" i="134"/>
  <c r="E23" i="134"/>
  <c r="D23" i="134"/>
  <c r="C23" i="134"/>
  <c r="K22" i="134"/>
  <c r="J22" i="134"/>
  <c r="I22" i="134"/>
  <c r="H22" i="134"/>
  <c r="G22" i="134"/>
  <c r="F22" i="134"/>
  <c r="E22" i="134"/>
  <c r="D22" i="134"/>
  <c r="C22" i="134"/>
  <c r="K21" i="134"/>
  <c r="J21" i="134"/>
  <c r="I21" i="134"/>
  <c r="H21" i="134"/>
  <c r="G21" i="134"/>
  <c r="F21" i="134"/>
  <c r="E21" i="134"/>
  <c r="D21" i="134"/>
  <c r="C21" i="134"/>
  <c r="K20" i="134"/>
  <c r="J20" i="134"/>
  <c r="I20" i="134"/>
  <c r="H20" i="134"/>
  <c r="G20" i="134"/>
  <c r="F20" i="134"/>
  <c r="E20" i="134"/>
  <c r="D20" i="134"/>
  <c r="C20" i="134"/>
  <c r="K19" i="134"/>
  <c r="J19" i="134"/>
  <c r="I19" i="134"/>
  <c r="H19" i="134"/>
  <c r="G19" i="134"/>
  <c r="F19" i="134"/>
  <c r="E19" i="134"/>
  <c r="D19" i="134"/>
  <c r="C19" i="134"/>
  <c r="K18" i="134"/>
  <c r="J18" i="134"/>
  <c r="I18" i="134"/>
  <c r="H18" i="134"/>
  <c r="G18" i="134"/>
  <c r="F18" i="134"/>
  <c r="E18" i="134"/>
  <c r="D18" i="134"/>
  <c r="C18" i="134"/>
  <c r="K17" i="134"/>
  <c r="J17" i="134"/>
  <c r="I17" i="134"/>
  <c r="H17" i="134"/>
  <c r="G17" i="134"/>
  <c r="F17" i="134"/>
  <c r="E17" i="134"/>
  <c r="D17" i="134"/>
  <c r="C17" i="134"/>
  <c r="K36" i="134"/>
  <c r="J36" i="134"/>
  <c r="I36" i="134"/>
  <c r="H36" i="134"/>
  <c r="G36" i="134"/>
  <c r="F36" i="134"/>
  <c r="E36" i="134"/>
  <c r="D36" i="134"/>
  <c r="C36" i="134"/>
  <c r="K35" i="134"/>
  <c r="J35" i="134"/>
  <c r="I35" i="134"/>
  <c r="H35" i="134"/>
  <c r="G35" i="134"/>
  <c r="F35" i="134"/>
  <c r="E35" i="134"/>
  <c r="D35" i="134"/>
  <c r="C35" i="134"/>
  <c r="K34" i="134"/>
  <c r="J34" i="134"/>
  <c r="I34" i="134"/>
  <c r="H34" i="134"/>
  <c r="G34" i="134"/>
  <c r="F34" i="134"/>
  <c r="E34" i="134"/>
  <c r="D34" i="134"/>
  <c r="C34" i="134"/>
  <c r="K33" i="134"/>
  <c r="J33" i="134"/>
  <c r="I33" i="134"/>
  <c r="H33" i="134"/>
  <c r="G33" i="134"/>
  <c r="F33" i="134"/>
  <c r="E33" i="134"/>
  <c r="D33" i="134"/>
  <c r="C33" i="134"/>
  <c r="K32" i="134"/>
  <c r="J32" i="134"/>
  <c r="I32" i="134"/>
  <c r="H32" i="134"/>
  <c r="G32" i="134"/>
  <c r="F32" i="134"/>
  <c r="E32" i="134"/>
  <c r="D32" i="134"/>
  <c r="C32" i="134"/>
  <c r="K31" i="134"/>
  <c r="J31" i="134"/>
  <c r="I31" i="134"/>
  <c r="H31" i="134"/>
  <c r="G31" i="134"/>
  <c r="F31" i="134"/>
  <c r="E31" i="134"/>
  <c r="D31" i="134"/>
  <c r="C31" i="134"/>
  <c r="K30" i="134"/>
  <c r="J30" i="134"/>
  <c r="I30" i="134"/>
  <c r="H30" i="134"/>
  <c r="G30" i="134"/>
  <c r="F30" i="134"/>
  <c r="E30" i="134"/>
  <c r="D30" i="134"/>
  <c r="C30" i="134"/>
  <c r="K29" i="134"/>
  <c r="J29" i="134"/>
  <c r="I29" i="134"/>
  <c r="H29" i="134"/>
  <c r="G29" i="134"/>
  <c r="F29" i="134"/>
  <c r="E29" i="134"/>
  <c r="D29" i="134"/>
  <c r="C29" i="134"/>
  <c r="K28" i="134"/>
  <c r="J28" i="134"/>
  <c r="I28" i="134"/>
  <c r="H28" i="134"/>
  <c r="G28" i="134"/>
  <c r="F28" i="134"/>
  <c r="E28" i="134"/>
  <c r="D28" i="134"/>
  <c r="C28" i="134"/>
  <c r="K27" i="134"/>
  <c r="J27" i="134"/>
  <c r="I27" i="134"/>
  <c r="H27" i="134"/>
  <c r="G27" i="134"/>
  <c r="F27" i="134"/>
  <c r="E27" i="134"/>
  <c r="D27" i="134"/>
  <c r="C27" i="134"/>
  <c r="K43" i="134"/>
  <c r="J43" i="134"/>
  <c r="I43" i="134"/>
  <c r="H43" i="134"/>
  <c r="G43" i="134"/>
  <c r="F43" i="134"/>
  <c r="E43" i="134"/>
  <c r="D43" i="134"/>
  <c r="C43" i="134"/>
  <c r="K42" i="134"/>
  <c r="J42" i="134"/>
  <c r="I42" i="134"/>
  <c r="H42" i="134"/>
  <c r="G42" i="134"/>
  <c r="F42" i="134"/>
  <c r="E42" i="134"/>
  <c r="D42" i="134"/>
  <c r="C42" i="134"/>
  <c r="K41" i="134"/>
  <c r="J41" i="134"/>
  <c r="I41" i="134"/>
  <c r="H41" i="134"/>
  <c r="G41" i="134"/>
  <c r="F41" i="134"/>
  <c r="E41" i="134"/>
  <c r="D41" i="134"/>
  <c r="C41" i="134"/>
  <c r="K40" i="134"/>
  <c r="J40" i="134"/>
  <c r="I40" i="134"/>
  <c r="H40" i="134"/>
  <c r="G40" i="134"/>
  <c r="F40" i="134"/>
  <c r="E40" i="134"/>
  <c r="D40" i="134"/>
  <c r="C40" i="134"/>
  <c r="K39" i="134"/>
  <c r="J39" i="134"/>
  <c r="I39" i="134"/>
  <c r="H39" i="134"/>
  <c r="G39" i="134"/>
  <c r="F39" i="134"/>
  <c r="E39" i="134"/>
  <c r="D39" i="134"/>
  <c r="C39" i="134"/>
  <c r="K38" i="134"/>
  <c r="J38" i="134"/>
  <c r="I38" i="134"/>
  <c r="H38" i="134"/>
  <c r="G38" i="134"/>
  <c r="F38" i="134"/>
  <c r="E38" i="134"/>
  <c r="D38" i="134"/>
  <c r="C38" i="134"/>
  <c r="K51" i="134"/>
  <c r="J51" i="134"/>
  <c r="I51" i="134"/>
  <c r="H51" i="134"/>
  <c r="G51" i="134"/>
  <c r="F51" i="134"/>
  <c r="E51" i="134"/>
  <c r="D51" i="134"/>
  <c r="C51" i="134"/>
  <c r="K50" i="134"/>
  <c r="J50" i="134"/>
  <c r="I50" i="134"/>
  <c r="H50" i="134"/>
  <c r="G50" i="134"/>
  <c r="F50" i="134"/>
  <c r="E50" i="134"/>
  <c r="D50" i="134"/>
  <c r="C50" i="134"/>
  <c r="K49" i="134"/>
  <c r="J49" i="134"/>
  <c r="I49" i="134"/>
  <c r="H49" i="134"/>
  <c r="G49" i="134"/>
  <c r="F49" i="134"/>
  <c r="E49" i="134"/>
  <c r="D49" i="134"/>
  <c r="C49" i="134"/>
  <c r="K48" i="134"/>
  <c r="J48" i="134"/>
  <c r="I48" i="134"/>
  <c r="H48" i="134"/>
  <c r="G48" i="134"/>
  <c r="F48" i="134"/>
  <c r="E48" i="134"/>
  <c r="D48" i="134"/>
  <c r="C48" i="134"/>
  <c r="K47" i="134"/>
  <c r="J47" i="134"/>
  <c r="I47" i="134"/>
  <c r="H47" i="134"/>
  <c r="G47" i="134"/>
  <c r="F47" i="134"/>
  <c r="E47" i="134"/>
  <c r="D47" i="134"/>
  <c r="C47" i="134"/>
  <c r="K46" i="134"/>
  <c r="J46" i="134"/>
  <c r="I46" i="134"/>
  <c r="H46" i="134"/>
  <c r="G46" i="134"/>
  <c r="F46" i="134"/>
  <c r="E46" i="134"/>
  <c r="D46" i="134"/>
  <c r="C46" i="134"/>
  <c r="K45" i="134"/>
  <c r="J45" i="134"/>
  <c r="I45" i="134"/>
  <c r="H45" i="134"/>
  <c r="G45" i="134"/>
  <c r="F45" i="134"/>
  <c r="E45" i="134"/>
  <c r="D45" i="134"/>
  <c r="C45" i="134"/>
  <c r="K61" i="134"/>
  <c r="J61" i="134"/>
  <c r="I61" i="134"/>
  <c r="H61" i="134"/>
  <c r="G61" i="134"/>
  <c r="F61" i="134"/>
  <c r="E61" i="134"/>
  <c r="D61" i="134"/>
  <c r="C61" i="134"/>
  <c r="K60" i="134"/>
  <c r="J60" i="134"/>
  <c r="I60" i="134"/>
  <c r="H60" i="134"/>
  <c r="G60" i="134"/>
  <c r="F60" i="134"/>
  <c r="E60" i="134"/>
  <c r="D60" i="134"/>
  <c r="C60" i="134"/>
  <c r="K59" i="134"/>
  <c r="J59" i="134"/>
  <c r="I59" i="134"/>
  <c r="H59" i="134"/>
  <c r="G59" i="134"/>
  <c r="F59" i="134"/>
  <c r="E59" i="134"/>
  <c r="D59" i="134"/>
  <c r="C59" i="134"/>
  <c r="K58" i="134"/>
  <c r="J58" i="134"/>
  <c r="I58" i="134"/>
  <c r="H58" i="134"/>
  <c r="G58" i="134"/>
  <c r="F58" i="134"/>
  <c r="E58" i="134"/>
  <c r="D58" i="134"/>
  <c r="C58" i="134"/>
  <c r="K57" i="134"/>
  <c r="J57" i="134"/>
  <c r="I57" i="134"/>
  <c r="H57" i="134"/>
  <c r="G57" i="134"/>
  <c r="F57" i="134"/>
  <c r="E57" i="134"/>
  <c r="D57" i="134"/>
  <c r="C57" i="134"/>
  <c r="K56" i="134"/>
  <c r="J56" i="134"/>
  <c r="I56" i="134"/>
  <c r="H56" i="134"/>
  <c r="G56" i="134"/>
  <c r="F56" i="134"/>
  <c r="E56" i="134"/>
  <c r="D56" i="134"/>
  <c r="C56" i="134"/>
  <c r="K55" i="134"/>
  <c r="J55" i="134"/>
  <c r="I55" i="134"/>
  <c r="H55" i="134"/>
  <c r="G55" i="134"/>
  <c r="F55" i="134"/>
  <c r="E55" i="134"/>
  <c r="D55" i="134"/>
  <c r="C55" i="134"/>
  <c r="K54" i="134"/>
  <c r="J54" i="134"/>
  <c r="I54" i="134"/>
  <c r="H54" i="134"/>
  <c r="G54" i="134"/>
  <c r="F54" i="134"/>
  <c r="E54" i="134"/>
  <c r="D54" i="134"/>
  <c r="C54" i="134"/>
  <c r="K53" i="134"/>
  <c r="J53" i="134"/>
  <c r="I53" i="134"/>
  <c r="H53" i="134"/>
  <c r="G53" i="134"/>
  <c r="F53" i="134"/>
  <c r="E53" i="134"/>
  <c r="D53" i="134"/>
  <c r="C53" i="134"/>
  <c r="K72" i="134"/>
  <c r="J72" i="134"/>
  <c r="I72" i="134"/>
  <c r="H72" i="134"/>
  <c r="G72" i="134"/>
  <c r="F72" i="134"/>
  <c r="E72" i="134"/>
  <c r="D72" i="134"/>
  <c r="C72" i="134"/>
  <c r="K71" i="134"/>
  <c r="J71" i="134"/>
  <c r="I71" i="134"/>
  <c r="H71" i="134"/>
  <c r="G71" i="134"/>
  <c r="F71" i="134"/>
  <c r="E71" i="134"/>
  <c r="D71" i="134"/>
  <c r="C71" i="134"/>
  <c r="K70" i="134"/>
  <c r="J70" i="134"/>
  <c r="I70" i="134"/>
  <c r="H70" i="134"/>
  <c r="G70" i="134"/>
  <c r="F70" i="134"/>
  <c r="E70" i="134"/>
  <c r="D70" i="134"/>
  <c r="C70" i="134"/>
  <c r="K69" i="134"/>
  <c r="J69" i="134"/>
  <c r="I69" i="134"/>
  <c r="H69" i="134"/>
  <c r="G69" i="134"/>
  <c r="F69" i="134"/>
  <c r="E69" i="134"/>
  <c r="D69" i="134"/>
  <c r="C69" i="134"/>
  <c r="K67" i="134"/>
  <c r="J67" i="134"/>
  <c r="I67" i="134"/>
  <c r="H67" i="134"/>
  <c r="G67" i="134"/>
  <c r="F67" i="134"/>
  <c r="E67" i="134"/>
  <c r="D67" i="134"/>
  <c r="C67" i="134"/>
  <c r="K66" i="134"/>
  <c r="J66" i="134"/>
  <c r="I66" i="134"/>
  <c r="H66" i="134"/>
  <c r="G66" i="134"/>
  <c r="F66" i="134"/>
  <c r="E66" i="134"/>
  <c r="D66" i="134"/>
  <c r="C66" i="134"/>
  <c r="K65" i="134"/>
  <c r="J65" i="134"/>
  <c r="I65" i="134"/>
  <c r="H65" i="134"/>
  <c r="G65" i="134"/>
  <c r="F65" i="134"/>
  <c r="E65" i="134"/>
  <c r="D65" i="134"/>
  <c r="C65" i="134"/>
  <c r="K64" i="134"/>
  <c r="J64" i="134"/>
  <c r="I64" i="134"/>
  <c r="H64" i="134"/>
  <c r="G64" i="134"/>
  <c r="F64" i="134"/>
  <c r="E64" i="134"/>
  <c r="D64" i="134"/>
  <c r="C64" i="134"/>
  <c r="K63" i="134"/>
  <c r="J63" i="134"/>
  <c r="I63" i="134"/>
  <c r="H63" i="134"/>
  <c r="G63" i="134"/>
  <c r="F63" i="134"/>
  <c r="E63" i="134"/>
  <c r="D63" i="134"/>
  <c r="C63" i="134"/>
  <c r="K97" i="134"/>
  <c r="J97" i="134"/>
  <c r="I97" i="134"/>
  <c r="H97" i="134"/>
  <c r="G97" i="134"/>
  <c r="F97" i="134"/>
  <c r="E97" i="134"/>
  <c r="D97" i="134"/>
  <c r="C97" i="134"/>
  <c r="K96" i="134"/>
  <c r="J96" i="134"/>
  <c r="I96" i="134"/>
  <c r="H96" i="134"/>
  <c r="G96" i="134"/>
  <c r="F96" i="134"/>
  <c r="E96" i="134"/>
  <c r="D96" i="134"/>
  <c r="C96" i="134"/>
  <c r="K95" i="134"/>
  <c r="J95" i="134"/>
  <c r="I95" i="134"/>
  <c r="H95" i="134"/>
  <c r="G95" i="134"/>
  <c r="F95" i="134"/>
  <c r="E95" i="134"/>
  <c r="D95" i="134"/>
  <c r="C95" i="134"/>
  <c r="K94" i="134"/>
  <c r="J94" i="134"/>
  <c r="I94" i="134"/>
  <c r="H94" i="134"/>
  <c r="G94" i="134"/>
  <c r="F94" i="134"/>
  <c r="E94" i="134"/>
  <c r="D94" i="134"/>
  <c r="C94" i="134"/>
  <c r="K93" i="134"/>
  <c r="J93" i="134"/>
  <c r="I93" i="134"/>
  <c r="H93" i="134"/>
  <c r="G93" i="134"/>
  <c r="F93" i="134"/>
  <c r="E93" i="134"/>
  <c r="D93" i="134"/>
  <c r="C93" i="134"/>
  <c r="K92" i="134"/>
  <c r="J92" i="134"/>
  <c r="I92" i="134"/>
  <c r="H92" i="134"/>
  <c r="G92" i="134"/>
  <c r="F92" i="134"/>
  <c r="E92" i="134"/>
  <c r="D92" i="134"/>
  <c r="C92" i="134"/>
  <c r="K91" i="134"/>
  <c r="J91" i="134"/>
  <c r="I91" i="134"/>
  <c r="H91" i="134"/>
  <c r="G91" i="134"/>
  <c r="F91" i="134"/>
  <c r="E91" i="134"/>
  <c r="D91" i="134"/>
  <c r="C91" i="134"/>
  <c r="K90" i="134"/>
  <c r="J90" i="134"/>
  <c r="I90" i="134"/>
  <c r="H90" i="134"/>
  <c r="G90" i="134"/>
  <c r="F90" i="134"/>
  <c r="E90" i="134"/>
  <c r="D90" i="134"/>
  <c r="C90" i="134"/>
  <c r="K89" i="134"/>
  <c r="J89" i="134"/>
  <c r="I89" i="134"/>
  <c r="H89" i="134"/>
  <c r="G89" i="134"/>
  <c r="F89" i="134"/>
  <c r="E89" i="134"/>
  <c r="D89" i="134"/>
  <c r="C89" i="134"/>
  <c r="K88" i="134"/>
  <c r="J88" i="134"/>
  <c r="I88" i="134"/>
  <c r="H88" i="134"/>
  <c r="G88" i="134"/>
  <c r="F88" i="134"/>
  <c r="E88" i="134"/>
  <c r="D88" i="134"/>
  <c r="C88" i="134"/>
  <c r="K87" i="134"/>
  <c r="J87" i="134"/>
  <c r="I87" i="134"/>
  <c r="H87" i="134"/>
  <c r="G87" i="134"/>
  <c r="F87" i="134"/>
  <c r="E87" i="134"/>
  <c r="D87" i="134"/>
  <c r="C87" i="134"/>
  <c r="K86" i="134"/>
  <c r="J86" i="134"/>
  <c r="I86" i="134"/>
  <c r="H86" i="134"/>
  <c r="G86" i="134"/>
  <c r="F86" i="134"/>
  <c r="E86" i="134"/>
  <c r="D86" i="134"/>
  <c r="C86" i="134"/>
  <c r="K85" i="134"/>
  <c r="J85" i="134"/>
  <c r="I85" i="134"/>
  <c r="H85" i="134"/>
  <c r="G85" i="134"/>
  <c r="F85" i="134"/>
  <c r="E85" i="134"/>
  <c r="D85" i="134"/>
  <c r="C85" i="134"/>
  <c r="K84" i="134"/>
  <c r="J84" i="134"/>
  <c r="I84" i="134"/>
  <c r="H84" i="134"/>
  <c r="G84" i="134"/>
  <c r="F84" i="134"/>
  <c r="E84" i="134"/>
  <c r="D84" i="134"/>
  <c r="C84" i="134"/>
  <c r="K83" i="134"/>
  <c r="J83" i="134"/>
  <c r="I83" i="134"/>
  <c r="H83" i="134"/>
  <c r="G83" i="134"/>
  <c r="F83" i="134"/>
  <c r="E83" i="134"/>
  <c r="D83" i="134"/>
  <c r="C83" i="134"/>
  <c r="K82" i="134"/>
  <c r="J82" i="134"/>
  <c r="I82" i="134"/>
  <c r="H82" i="134"/>
  <c r="G82" i="134"/>
  <c r="F82" i="134"/>
  <c r="E82" i="134"/>
  <c r="D82" i="134"/>
  <c r="C82" i="134"/>
  <c r="K81" i="134"/>
  <c r="J81" i="134"/>
  <c r="I81" i="134"/>
  <c r="H81" i="134"/>
  <c r="G81" i="134"/>
  <c r="F81" i="134"/>
  <c r="E81" i="134"/>
  <c r="D81" i="134"/>
  <c r="C81" i="134"/>
  <c r="K80" i="134"/>
  <c r="J80" i="134"/>
  <c r="I80" i="134"/>
  <c r="H80" i="134"/>
  <c r="G80" i="134"/>
  <c r="F80" i="134"/>
  <c r="E80" i="134"/>
  <c r="D80" i="134"/>
  <c r="C80" i="134"/>
  <c r="K79" i="134"/>
  <c r="J79" i="134"/>
  <c r="I79" i="134"/>
  <c r="H79" i="134"/>
  <c r="G79" i="134"/>
  <c r="F79" i="134"/>
  <c r="E79" i="134"/>
  <c r="D79" i="134"/>
  <c r="C79" i="134"/>
  <c r="K78" i="134"/>
  <c r="J78" i="134"/>
  <c r="I78" i="134"/>
  <c r="H78" i="134"/>
  <c r="G78" i="134"/>
  <c r="F78" i="134"/>
  <c r="E78" i="134"/>
  <c r="D78" i="134"/>
  <c r="C78" i="134"/>
  <c r="K77" i="134"/>
  <c r="J77" i="134"/>
  <c r="I77" i="134"/>
  <c r="H77" i="134"/>
  <c r="G77" i="134"/>
  <c r="F77" i="134"/>
  <c r="E77" i="134"/>
  <c r="D77" i="134"/>
  <c r="C77" i="134"/>
  <c r="K76" i="134"/>
  <c r="J76" i="134"/>
  <c r="I76" i="134"/>
  <c r="H76" i="134"/>
  <c r="G76" i="134"/>
  <c r="F76" i="134"/>
  <c r="E76" i="134"/>
  <c r="D76" i="134"/>
  <c r="C76" i="134"/>
  <c r="K101" i="134"/>
  <c r="J101" i="134"/>
  <c r="I101" i="134"/>
  <c r="H101" i="134"/>
  <c r="G101" i="134"/>
  <c r="F101" i="134"/>
  <c r="E101" i="134"/>
  <c r="D101" i="134"/>
  <c r="C101" i="134"/>
  <c r="K100" i="134"/>
  <c r="J100" i="134"/>
  <c r="I100" i="134"/>
  <c r="H100" i="134"/>
  <c r="G100" i="134"/>
  <c r="F100" i="134"/>
  <c r="E100" i="134"/>
  <c r="D100" i="134"/>
  <c r="C100" i="134"/>
  <c r="K99" i="134"/>
  <c r="J99" i="134"/>
  <c r="I99" i="134"/>
  <c r="H99" i="134"/>
  <c r="G99" i="134"/>
  <c r="F99" i="134"/>
  <c r="E99" i="134"/>
  <c r="D99" i="134"/>
  <c r="C99" i="134"/>
  <c r="K108" i="134"/>
  <c r="J108" i="134"/>
  <c r="I108" i="134"/>
  <c r="H108" i="134"/>
  <c r="G108" i="134"/>
  <c r="F108" i="134"/>
  <c r="E108" i="134"/>
  <c r="D108" i="134"/>
  <c r="C108" i="134"/>
  <c r="K107" i="134"/>
  <c r="J107" i="134"/>
  <c r="I107" i="134"/>
  <c r="H107" i="134"/>
  <c r="G107" i="134"/>
  <c r="F107" i="134"/>
  <c r="E107" i="134"/>
  <c r="D107" i="134"/>
  <c r="C107" i="134"/>
  <c r="K106" i="134"/>
  <c r="J106" i="134"/>
  <c r="I106" i="134"/>
  <c r="H106" i="134"/>
  <c r="G106" i="134"/>
  <c r="F106" i="134"/>
  <c r="E106" i="134"/>
  <c r="D106" i="134"/>
  <c r="C106" i="134"/>
  <c r="K105" i="134"/>
  <c r="J105" i="134"/>
  <c r="I105" i="134"/>
  <c r="H105" i="134"/>
  <c r="G105" i="134"/>
  <c r="F105" i="134"/>
  <c r="E105" i="134"/>
  <c r="D105" i="134"/>
  <c r="C105" i="134"/>
  <c r="K104" i="134"/>
  <c r="J104" i="134"/>
  <c r="I104" i="134"/>
  <c r="H104" i="134"/>
  <c r="G104" i="134"/>
  <c r="F104" i="134"/>
  <c r="E104" i="134"/>
  <c r="D104" i="134"/>
  <c r="C104" i="134"/>
  <c r="K116" i="134"/>
  <c r="J116" i="134"/>
  <c r="I116" i="134"/>
  <c r="H116" i="134"/>
  <c r="G116" i="134"/>
  <c r="F116" i="134"/>
  <c r="E116" i="134"/>
  <c r="D116" i="134"/>
  <c r="C116" i="134"/>
  <c r="K115" i="134"/>
  <c r="J115" i="134"/>
  <c r="I115" i="134"/>
  <c r="H115" i="134"/>
  <c r="G115" i="134"/>
  <c r="F115" i="134"/>
  <c r="E115" i="134"/>
  <c r="D115" i="134"/>
  <c r="C115" i="134"/>
  <c r="K113" i="134"/>
  <c r="J113" i="134"/>
  <c r="I113" i="134"/>
  <c r="H113" i="134"/>
  <c r="G113" i="134"/>
  <c r="F113" i="134"/>
  <c r="E113" i="134"/>
  <c r="D113" i="134"/>
  <c r="C113" i="134"/>
  <c r="K112" i="134"/>
  <c r="J112" i="134"/>
  <c r="I112" i="134"/>
  <c r="H112" i="134"/>
  <c r="G112" i="134"/>
  <c r="F112" i="134"/>
  <c r="E112" i="134"/>
  <c r="D112" i="134"/>
  <c r="C112" i="134"/>
  <c r="C121" i="134"/>
  <c r="D121" i="134"/>
  <c r="E121" i="134"/>
  <c r="F121" i="134"/>
  <c r="G121" i="134"/>
  <c r="H121" i="134"/>
  <c r="I121" i="134"/>
  <c r="J121" i="134"/>
  <c r="K121" i="134"/>
  <c r="C122" i="134"/>
  <c r="D122" i="134"/>
  <c r="E122" i="134"/>
  <c r="F122" i="134"/>
  <c r="G122" i="134"/>
  <c r="H122" i="134"/>
  <c r="I122" i="134"/>
  <c r="J122" i="134"/>
  <c r="K122" i="134"/>
  <c r="C123" i="134"/>
  <c r="D123" i="134"/>
  <c r="E123" i="134"/>
  <c r="F123" i="134"/>
  <c r="G123" i="134"/>
  <c r="H123" i="134"/>
  <c r="I123" i="134"/>
  <c r="J123" i="134"/>
  <c r="K123" i="134"/>
  <c r="C124" i="134"/>
  <c r="D124" i="134"/>
  <c r="E124" i="134"/>
  <c r="F124" i="134"/>
  <c r="G124" i="134"/>
  <c r="H124" i="134"/>
  <c r="I124" i="134"/>
  <c r="J124" i="134"/>
  <c r="K124" i="134"/>
  <c r="C125" i="134"/>
  <c r="D125" i="134"/>
  <c r="E125" i="134"/>
  <c r="F125" i="134"/>
  <c r="G125" i="134"/>
  <c r="H125" i="134"/>
  <c r="I125" i="134"/>
  <c r="J125" i="134"/>
  <c r="K125" i="134"/>
  <c r="C126" i="134"/>
  <c r="D126" i="134"/>
  <c r="E126" i="134"/>
  <c r="F126" i="134"/>
  <c r="G126" i="134"/>
  <c r="H126" i="134"/>
  <c r="I126" i="134"/>
  <c r="J126" i="134"/>
  <c r="K126" i="134"/>
  <c r="C127" i="134"/>
  <c r="D127" i="134"/>
  <c r="E127" i="134"/>
  <c r="F127" i="134"/>
  <c r="G127" i="134"/>
  <c r="H127" i="134"/>
  <c r="I127" i="134"/>
  <c r="J127" i="134"/>
  <c r="K127" i="134"/>
  <c r="C128" i="134"/>
  <c r="D128" i="134"/>
  <c r="E128" i="134"/>
  <c r="F128" i="134"/>
  <c r="G128" i="134"/>
  <c r="H128" i="134"/>
  <c r="I128" i="134"/>
  <c r="J128" i="134"/>
  <c r="K128" i="134"/>
  <c r="C129" i="134"/>
  <c r="D129" i="134"/>
  <c r="E129" i="134"/>
  <c r="F129" i="134"/>
  <c r="G129" i="134"/>
  <c r="H129" i="134"/>
  <c r="I129" i="134"/>
  <c r="J129" i="134"/>
  <c r="K129" i="134"/>
  <c r="C130" i="134"/>
  <c r="D130" i="134"/>
  <c r="E130" i="134"/>
  <c r="F130" i="134"/>
  <c r="G130" i="134"/>
  <c r="H130" i="134"/>
  <c r="I130" i="134"/>
  <c r="J130" i="134"/>
  <c r="K130" i="134"/>
  <c r="K120" i="134"/>
  <c r="J120" i="134"/>
  <c r="I120" i="134"/>
  <c r="H120" i="134"/>
  <c r="G120" i="134"/>
  <c r="F120" i="134"/>
  <c r="E120" i="134"/>
  <c r="D120" i="134"/>
  <c r="C120" i="134"/>
  <c r="C156" i="347" l="1"/>
  <c r="C145" i="347"/>
  <c r="C134" i="347"/>
  <c r="C123" i="347"/>
  <c r="C112" i="347"/>
  <c r="C101" i="347"/>
  <c r="C90" i="347"/>
  <c r="C79" i="347"/>
  <c r="C68" i="347"/>
  <c r="C57" i="347"/>
  <c r="C46" i="347"/>
  <c r="C35" i="347"/>
  <c r="C24" i="347"/>
  <c r="C13" i="347"/>
  <c r="C166" i="347"/>
  <c r="C165" i="347"/>
  <c r="C164" i="347"/>
  <c r="C163" i="347"/>
  <c r="C162" i="347"/>
  <c r="C161" i="347"/>
  <c r="C160" i="347"/>
  <c r="C159" i="347"/>
  <c r="C158" i="347"/>
  <c r="C157" i="347"/>
  <c r="C155" i="347"/>
  <c r="C154" i="347"/>
  <c r="C153" i="347"/>
  <c r="C152" i="347"/>
  <c r="C151" i="347"/>
  <c r="C150" i="347"/>
  <c r="C149" i="347"/>
  <c r="C148" i="347"/>
  <c r="C147" i="347"/>
  <c r="C146" i="347"/>
  <c r="C144" i="347"/>
  <c r="C143" i="347"/>
  <c r="C142" i="347"/>
  <c r="C141" i="347"/>
  <c r="C140" i="347"/>
  <c r="C139" i="347"/>
  <c r="C138" i="347"/>
  <c r="C137" i="347"/>
  <c r="C136" i="347"/>
  <c r="C135" i="347"/>
  <c r="C133" i="347"/>
  <c r="C132" i="347"/>
  <c r="C131" i="347"/>
  <c r="C130" i="347"/>
  <c r="C129" i="347"/>
  <c r="C128" i="347"/>
  <c r="C127" i="347"/>
  <c r="C126" i="347"/>
  <c r="C125" i="347"/>
  <c r="C124" i="347"/>
  <c r="C122" i="347"/>
  <c r="C121" i="347"/>
  <c r="C120" i="347"/>
  <c r="C119" i="347"/>
  <c r="C118" i="347"/>
  <c r="C117" i="347"/>
  <c r="C116" i="347"/>
  <c r="C115" i="347"/>
  <c r="C114" i="347"/>
  <c r="C113" i="347"/>
  <c r="C111" i="347"/>
  <c r="C110" i="347"/>
  <c r="C109" i="347"/>
  <c r="C108" i="347"/>
  <c r="C107" i="347"/>
  <c r="C106" i="347"/>
  <c r="C105" i="347"/>
  <c r="C104" i="347"/>
  <c r="C103" i="347"/>
  <c r="C102" i="347"/>
  <c r="C100" i="347"/>
  <c r="C99" i="347"/>
  <c r="C98" i="347"/>
  <c r="C97" i="347"/>
  <c r="C96" i="347"/>
  <c r="C95" i="347"/>
  <c r="C94" i="347"/>
  <c r="C93" i="347"/>
  <c r="C92" i="347"/>
  <c r="C91" i="347"/>
  <c r="C89" i="347"/>
  <c r="C88" i="347"/>
  <c r="C87" i="347"/>
  <c r="C86" i="347"/>
  <c r="C85" i="347"/>
  <c r="C84" i="347"/>
  <c r="C83" i="347"/>
  <c r="C82" i="347"/>
  <c r="C81" i="347"/>
  <c r="C80" i="347"/>
  <c r="C78" i="347"/>
  <c r="C77" i="347"/>
  <c r="C76" i="347"/>
  <c r="C75" i="347"/>
  <c r="C74" i="347"/>
  <c r="C73" i="347"/>
  <c r="C72" i="347"/>
  <c r="C71" i="347"/>
  <c r="C70" i="347"/>
  <c r="C69" i="347"/>
  <c r="C67" i="347"/>
  <c r="C66" i="347"/>
  <c r="C65" i="347"/>
  <c r="C64" i="347"/>
  <c r="C63" i="347"/>
  <c r="C62" i="347"/>
  <c r="C61" i="347"/>
  <c r="C60" i="347"/>
  <c r="C59" i="347"/>
  <c r="C58" i="347"/>
  <c r="C56" i="347"/>
  <c r="C55" i="347"/>
  <c r="C54" i="347"/>
  <c r="C53" i="347"/>
  <c r="C52" i="347"/>
  <c r="C51" i="347"/>
  <c r="C50" i="347"/>
  <c r="C49" i="347"/>
  <c r="C48" i="347"/>
  <c r="C47" i="347"/>
  <c r="C45" i="347"/>
  <c r="C44" i="347"/>
  <c r="C43" i="347"/>
  <c r="C42" i="347"/>
  <c r="C41" i="347"/>
  <c r="C40" i="347"/>
  <c r="C39" i="347"/>
  <c r="C38" i="347"/>
  <c r="C37" i="347"/>
  <c r="C36" i="347"/>
  <c r="C34" i="347"/>
  <c r="C33" i="347"/>
  <c r="C32" i="347"/>
  <c r="C31" i="347"/>
  <c r="C30" i="347"/>
  <c r="C29" i="347"/>
  <c r="C28" i="347"/>
  <c r="C27" i="347"/>
  <c r="C26" i="347"/>
  <c r="C25" i="347"/>
  <c r="C23" i="347"/>
  <c r="C22" i="347"/>
  <c r="C21" i="347"/>
  <c r="C20" i="347"/>
  <c r="C19" i="347"/>
  <c r="C18" i="347"/>
  <c r="C17" i="347"/>
  <c r="C16" i="347"/>
  <c r="C15" i="347"/>
  <c r="C14" i="347"/>
  <c r="C12" i="347"/>
  <c r="C11" i="347"/>
  <c r="C10" i="347"/>
  <c r="C9" i="347"/>
  <c r="C8" i="347"/>
  <c r="C7" i="347"/>
  <c r="C6" i="347"/>
  <c r="C5" i="347"/>
  <c r="L229" i="343" l="1"/>
  <c r="K229" i="343"/>
  <c r="J229" i="343"/>
  <c r="H229" i="343"/>
  <c r="G229" i="343"/>
  <c r="F229" i="343"/>
  <c r="E229" i="343"/>
  <c r="D229" i="343"/>
  <c r="C229" i="343"/>
  <c r="L228" i="343"/>
  <c r="K228" i="343"/>
  <c r="J228" i="343"/>
  <c r="H228" i="343"/>
  <c r="G228" i="343"/>
  <c r="F228" i="343"/>
  <c r="E228" i="343"/>
  <c r="D228" i="343"/>
  <c r="C228" i="343"/>
  <c r="L227" i="343"/>
  <c r="K227" i="343"/>
  <c r="J227" i="343"/>
  <c r="H227" i="343"/>
  <c r="G227" i="343"/>
  <c r="F227" i="343"/>
  <c r="E227" i="343"/>
  <c r="D227" i="343"/>
  <c r="C227" i="343"/>
  <c r="L226" i="343"/>
  <c r="K226" i="343"/>
  <c r="J226" i="343"/>
  <c r="H226" i="343"/>
  <c r="G226" i="343"/>
  <c r="F226" i="343"/>
  <c r="E226" i="343"/>
  <c r="D226" i="343"/>
  <c r="C226" i="343"/>
  <c r="L225" i="343"/>
  <c r="K225" i="343"/>
  <c r="J225" i="343"/>
  <c r="H225" i="343"/>
  <c r="G225" i="343"/>
  <c r="F225" i="343"/>
  <c r="E225" i="343"/>
  <c r="D225" i="343"/>
  <c r="C225" i="343"/>
  <c r="L224" i="343"/>
  <c r="K224" i="343"/>
  <c r="J224" i="343"/>
  <c r="H224" i="343"/>
  <c r="G224" i="343"/>
  <c r="F224" i="343"/>
  <c r="E224" i="343"/>
  <c r="D224" i="343"/>
  <c r="C224" i="343"/>
  <c r="L223" i="343"/>
  <c r="K223" i="343"/>
  <c r="J223" i="343"/>
  <c r="H223" i="343"/>
  <c r="G223" i="343"/>
  <c r="F223" i="343"/>
  <c r="E223" i="343"/>
  <c r="D223" i="343"/>
  <c r="C223" i="343"/>
  <c r="L222" i="343"/>
  <c r="K222" i="343"/>
  <c r="J222" i="343"/>
  <c r="H222" i="343"/>
  <c r="G222" i="343"/>
  <c r="F222" i="343"/>
  <c r="E222" i="343"/>
  <c r="D222" i="343"/>
  <c r="C222" i="343"/>
  <c r="L221" i="343"/>
  <c r="K221" i="343"/>
  <c r="J221" i="343"/>
  <c r="H221" i="343"/>
  <c r="G221" i="343"/>
  <c r="F221" i="343"/>
  <c r="E221" i="343"/>
  <c r="D221" i="343"/>
  <c r="C221" i="343"/>
  <c r="L220" i="343"/>
  <c r="K220" i="343"/>
  <c r="J220" i="343"/>
  <c r="H220" i="343"/>
  <c r="G220" i="343"/>
  <c r="F220" i="343"/>
  <c r="E220" i="343"/>
  <c r="D220" i="343"/>
  <c r="C220" i="343"/>
  <c r="L262" i="343"/>
  <c r="K262" i="343"/>
  <c r="J262" i="343"/>
  <c r="H262" i="343"/>
  <c r="G262" i="343"/>
  <c r="F262" i="343"/>
  <c r="E262" i="343"/>
  <c r="D262" i="343"/>
  <c r="C262" i="343"/>
  <c r="L261" i="343"/>
  <c r="K261" i="343"/>
  <c r="J261" i="343"/>
  <c r="H261" i="343"/>
  <c r="G261" i="343"/>
  <c r="F261" i="343"/>
  <c r="E261" i="343"/>
  <c r="D261" i="343"/>
  <c r="C261" i="343"/>
  <c r="L260" i="343"/>
  <c r="K260" i="343"/>
  <c r="J260" i="343"/>
  <c r="H260" i="343"/>
  <c r="G260" i="343"/>
  <c r="F260" i="343"/>
  <c r="E260" i="343"/>
  <c r="D260" i="343"/>
  <c r="C260" i="343"/>
  <c r="L259" i="343"/>
  <c r="K259" i="343"/>
  <c r="J259" i="343"/>
  <c r="H259" i="343"/>
  <c r="G259" i="343"/>
  <c r="F259" i="343"/>
  <c r="E259" i="343"/>
  <c r="D259" i="343"/>
  <c r="C259" i="343"/>
  <c r="L258" i="343"/>
  <c r="K258" i="343"/>
  <c r="J258" i="343"/>
  <c r="H258" i="343"/>
  <c r="G258" i="343"/>
  <c r="F258" i="343"/>
  <c r="E258" i="343"/>
  <c r="D258" i="343"/>
  <c r="C258" i="343"/>
  <c r="L257" i="343"/>
  <c r="K257" i="343"/>
  <c r="J257" i="343"/>
  <c r="H257" i="343"/>
  <c r="G257" i="343"/>
  <c r="F257" i="343"/>
  <c r="E257" i="343"/>
  <c r="D257" i="343"/>
  <c r="C257" i="343"/>
  <c r="L256" i="343"/>
  <c r="K256" i="343"/>
  <c r="J256" i="343"/>
  <c r="H256" i="343"/>
  <c r="G256" i="343"/>
  <c r="F256" i="343"/>
  <c r="E256" i="343"/>
  <c r="D256" i="343"/>
  <c r="C256" i="343"/>
  <c r="L255" i="343"/>
  <c r="K255" i="343"/>
  <c r="J255" i="343"/>
  <c r="H255" i="343"/>
  <c r="G255" i="343"/>
  <c r="F255" i="343"/>
  <c r="E255" i="343"/>
  <c r="D255" i="343"/>
  <c r="C255" i="343"/>
  <c r="L254" i="343"/>
  <c r="K254" i="343"/>
  <c r="J254" i="343"/>
  <c r="H254" i="343"/>
  <c r="G254" i="343"/>
  <c r="F254" i="343"/>
  <c r="E254" i="343"/>
  <c r="D254" i="343"/>
  <c r="C254" i="343"/>
  <c r="L253" i="343"/>
  <c r="K253" i="343"/>
  <c r="J253" i="343"/>
  <c r="H253" i="343"/>
  <c r="G253" i="343"/>
  <c r="F253" i="343"/>
  <c r="E253" i="343"/>
  <c r="D253" i="343"/>
  <c r="C253" i="343"/>
  <c r="L251" i="343"/>
  <c r="K251" i="343"/>
  <c r="J251" i="343"/>
  <c r="H251" i="343"/>
  <c r="G251" i="343"/>
  <c r="F251" i="343"/>
  <c r="E251" i="343"/>
  <c r="D251" i="343"/>
  <c r="C251" i="343"/>
  <c r="L250" i="343"/>
  <c r="K250" i="343"/>
  <c r="J250" i="343"/>
  <c r="H250" i="343"/>
  <c r="G250" i="343"/>
  <c r="F250" i="343"/>
  <c r="E250" i="343"/>
  <c r="D250" i="343"/>
  <c r="C250" i="343"/>
  <c r="L249" i="343"/>
  <c r="K249" i="343"/>
  <c r="J249" i="343"/>
  <c r="H249" i="343"/>
  <c r="G249" i="343"/>
  <c r="F249" i="343"/>
  <c r="E249" i="343"/>
  <c r="D249" i="343"/>
  <c r="C249" i="343"/>
  <c r="L248" i="343"/>
  <c r="K248" i="343"/>
  <c r="J248" i="343"/>
  <c r="H248" i="343"/>
  <c r="G248" i="343"/>
  <c r="F248" i="343"/>
  <c r="E248" i="343"/>
  <c r="D248" i="343"/>
  <c r="C248" i="343"/>
  <c r="L247" i="343"/>
  <c r="K247" i="343"/>
  <c r="J247" i="343"/>
  <c r="H247" i="343"/>
  <c r="G247" i="343"/>
  <c r="F247" i="343"/>
  <c r="E247" i="343"/>
  <c r="D247" i="343"/>
  <c r="C247" i="343"/>
  <c r="L246" i="343"/>
  <c r="K246" i="343"/>
  <c r="J246" i="343"/>
  <c r="H246" i="343"/>
  <c r="G246" i="343"/>
  <c r="F246" i="343"/>
  <c r="E246" i="343"/>
  <c r="D246" i="343"/>
  <c r="C246" i="343"/>
  <c r="L245" i="343"/>
  <c r="K245" i="343"/>
  <c r="J245" i="343"/>
  <c r="H245" i="343"/>
  <c r="G245" i="343"/>
  <c r="F245" i="343"/>
  <c r="E245" i="343"/>
  <c r="D245" i="343"/>
  <c r="C245" i="343"/>
  <c r="L244" i="343"/>
  <c r="K244" i="343"/>
  <c r="J244" i="343"/>
  <c r="H244" i="343"/>
  <c r="G244" i="343"/>
  <c r="F244" i="343"/>
  <c r="E244" i="343"/>
  <c r="D244" i="343"/>
  <c r="C244" i="343"/>
  <c r="L243" i="343"/>
  <c r="K243" i="343"/>
  <c r="J243" i="343"/>
  <c r="H243" i="343"/>
  <c r="G243" i="343"/>
  <c r="F243" i="343"/>
  <c r="E243" i="343"/>
  <c r="D243" i="343"/>
  <c r="C243" i="343"/>
  <c r="L242" i="343"/>
  <c r="K242" i="343"/>
  <c r="J242" i="343"/>
  <c r="H242" i="343"/>
  <c r="G242" i="343"/>
  <c r="F242" i="343"/>
  <c r="E242" i="343"/>
  <c r="D242" i="343"/>
  <c r="C242" i="343"/>
  <c r="L240" i="343"/>
  <c r="K240" i="343"/>
  <c r="J240" i="343"/>
  <c r="H240" i="343"/>
  <c r="G240" i="343"/>
  <c r="F240" i="343"/>
  <c r="E240" i="343"/>
  <c r="D240" i="343"/>
  <c r="C240" i="343"/>
  <c r="L239" i="343"/>
  <c r="K239" i="343"/>
  <c r="J239" i="343"/>
  <c r="H239" i="343"/>
  <c r="G239" i="343"/>
  <c r="F239" i="343"/>
  <c r="E239" i="343"/>
  <c r="D239" i="343"/>
  <c r="C239" i="343"/>
  <c r="L238" i="343"/>
  <c r="K238" i="343"/>
  <c r="J238" i="343"/>
  <c r="H238" i="343"/>
  <c r="G238" i="343"/>
  <c r="F238" i="343"/>
  <c r="E238" i="343"/>
  <c r="D238" i="343"/>
  <c r="C238" i="343"/>
  <c r="L237" i="343"/>
  <c r="K237" i="343"/>
  <c r="J237" i="343"/>
  <c r="H237" i="343"/>
  <c r="G237" i="343"/>
  <c r="F237" i="343"/>
  <c r="E237" i="343"/>
  <c r="D237" i="343"/>
  <c r="C237" i="343"/>
  <c r="L236" i="343"/>
  <c r="K236" i="343"/>
  <c r="J236" i="343"/>
  <c r="H236" i="343"/>
  <c r="G236" i="343"/>
  <c r="F236" i="343"/>
  <c r="E236" i="343"/>
  <c r="D236" i="343"/>
  <c r="C236" i="343"/>
  <c r="L235" i="343"/>
  <c r="K235" i="343"/>
  <c r="J235" i="343"/>
  <c r="H235" i="343"/>
  <c r="G235" i="343"/>
  <c r="F235" i="343"/>
  <c r="E235" i="343"/>
  <c r="D235" i="343"/>
  <c r="C235" i="343"/>
  <c r="L234" i="343"/>
  <c r="K234" i="343"/>
  <c r="J234" i="343"/>
  <c r="H234" i="343"/>
  <c r="G234" i="343"/>
  <c r="F234" i="343"/>
  <c r="E234" i="343"/>
  <c r="D234" i="343"/>
  <c r="C234" i="343"/>
  <c r="L233" i="343"/>
  <c r="K233" i="343"/>
  <c r="J233" i="343"/>
  <c r="H233" i="343"/>
  <c r="G233" i="343"/>
  <c r="F233" i="343"/>
  <c r="E233" i="343"/>
  <c r="D233" i="343"/>
  <c r="C233" i="343"/>
  <c r="L232" i="343"/>
  <c r="K232" i="343"/>
  <c r="J232" i="343"/>
  <c r="H232" i="343"/>
  <c r="G232" i="343"/>
  <c r="F232" i="343"/>
  <c r="E232" i="343"/>
  <c r="D232" i="343"/>
  <c r="C232" i="343"/>
  <c r="L231" i="343"/>
  <c r="K231" i="343"/>
  <c r="J231" i="343"/>
  <c r="H231" i="343"/>
  <c r="G231" i="343"/>
  <c r="F231" i="343"/>
  <c r="E231" i="343"/>
  <c r="D231" i="343"/>
  <c r="C231" i="343"/>
  <c r="L284" i="343"/>
  <c r="K284" i="343"/>
  <c r="J284" i="343"/>
  <c r="H284" i="343"/>
  <c r="G284" i="343"/>
  <c r="F284" i="343"/>
  <c r="E284" i="343"/>
  <c r="D284" i="343"/>
  <c r="C284" i="343"/>
  <c r="L283" i="343"/>
  <c r="K283" i="343"/>
  <c r="J283" i="343"/>
  <c r="H283" i="343"/>
  <c r="G283" i="343"/>
  <c r="F283" i="343"/>
  <c r="E283" i="343"/>
  <c r="D283" i="343"/>
  <c r="C283" i="343"/>
  <c r="L282" i="343"/>
  <c r="K282" i="343"/>
  <c r="J282" i="343"/>
  <c r="H282" i="343"/>
  <c r="G282" i="343"/>
  <c r="F282" i="343"/>
  <c r="E282" i="343"/>
  <c r="D282" i="343"/>
  <c r="C282" i="343"/>
  <c r="L281" i="343"/>
  <c r="K281" i="343"/>
  <c r="J281" i="343"/>
  <c r="H281" i="343"/>
  <c r="G281" i="343"/>
  <c r="F281" i="343"/>
  <c r="E281" i="343"/>
  <c r="D281" i="343"/>
  <c r="C281" i="343"/>
  <c r="L280" i="343"/>
  <c r="K280" i="343"/>
  <c r="J280" i="343"/>
  <c r="H280" i="343"/>
  <c r="G280" i="343"/>
  <c r="F280" i="343"/>
  <c r="E280" i="343"/>
  <c r="D280" i="343"/>
  <c r="C280" i="343"/>
  <c r="L279" i="343"/>
  <c r="K279" i="343"/>
  <c r="J279" i="343"/>
  <c r="H279" i="343"/>
  <c r="G279" i="343"/>
  <c r="F279" i="343"/>
  <c r="E279" i="343"/>
  <c r="D279" i="343"/>
  <c r="C279" i="343"/>
  <c r="L278" i="343"/>
  <c r="K278" i="343"/>
  <c r="J278" i="343"/>
  <c r="H278" i="343"/>
  <c r="G278" i="343"/>
  <c r="F278" i="343"/>
  <c r="E278" i="343"/>
  <c r="D278" i="343"/>
  <c r="C278" i="343"/>
  <c r="L277" i="343"/>
  <c r="K277" i="343"/>
  <c r="J277" i="343"/>
  <c r="H277" i="343"/>
  <c r="G277" i="343"/>
  <c r="F277" i="343"/>
  <c r="E277" i="343"/>
  <c r="D277" i="343"/>
  <c r="C277" i="343"/>
  <c r="L276" i="343"/>
  <c r="K276" i="343"/>
  <c r="J276" i="343"/>
  <c r="H276" i="343"/>
  <c r="G276" i="343"/>
  <c r="F276" i="343"/>
  <c r="E276" i="343"/>
  <c r="D276" i="343"/>
  <c r="C276" i="343"/>
  <c r="L275" i="343"/>
  <c r="K275" i="343"/>
  <c r="J275" i="343"/>
  <c r="H275" i="343"/>
  <c r="G275" i="343"/>
  <c r="F275" i="343"/>
  <c r="E275" i="343"/>
  <c r="D275" i="343"/>
  <c r="C275" i="343"/>
  <c r="L273" i="343"/>
  <c r="K273" i="343"/>
  <c r="J273" i="343"/>
  <c r="H273" i="343"/>
  <c r="G273" i="343"/>
  <c r="F273" i="343"/>
  <c r="E273" i="343"/>
  <c r="D273" i="343"/>
  <c r="C273" i="343"/>
  <c r="L272" i="343"/>
  <c r="K272" i="343"/>
  <c r="J272" i="343"/>
  <c r="H272" i="343"/>
  <c r="G272" i="343"/>
  <c r="F272" i="343"/>
  <c r="E272" i="343"/>
  <c r="D272" i="343"/>
  <c r="C272" i="343"/>
  <c r="L271" i="343"/>
  <c r="K271" i="343"/>
  <c r="J271" i="343"/>
  <c r="H271" i="343"/>
  <c r="G271" i="343"/>
  <c r="F271" i="343"/>
  <c r="E271" i="343"/>
  <c r="D271" i="343"/>
  <c r="C271" i="343"/>
  <c r="L270" i="343"/>
  <c r="K270" i="343"/>
  <c r="J270" i="343"/>
  <c r="H270" i="343"/>
  <c r="G270" i="343"/>
  <c r="F270" i="343"/>
  <c r="E270" i="343"/>
  <c r="D270" i="343"/>
  <c r="C270" i="343"/>
  <c r="L269" i="343"/>
  <c r="K269" i="343"/>
  <c r="J269" i="343"/>
  <c r="H269" i="343"/>
  <c r="G269" i="343"/>
  <c r="F269" i="343"/>
  <c r="E269" i="343"/>
  <c r="D269" i="343"/>
  <c r="C269" i="343"/>
  <c r="L268" i="343"/>
  <c r="K268" i="343"/>
  <c r="J268" i="343"/>
  <c r="H268" i="343"/>
  <c r="G268" i="343"/>
  <c r="F268" i="343"/>
  <c r="E268" i="343"/>
  <c r="D268" i="343"/>
  <c r="C268" i="343"/>
  <c r="L267" i="343"/>
  <c r="K267" i="343"/>
  <c r="J267" i="343"/>
  <c r="H267" i="343"/>
  <c r="G267" i="343"/>
  <c r="F267" i="343"/>
  <c r="E267" i="343"/>
  <c r="D267" i="343"/>
  <c r="C267" i="343"/>
  <c r="L266" i="343"/>
  <c r="K266" i="343"/>
  <c r="J266" i="343"/>
  <c r="H266" i="343"/>
  <c r="G266" i="343"/>
  <c r="F266" i="343"/>
  <c r="E266" i="343"/>
  <c r="D266" i="343"/>
  <c r="C266" i="343"/>
  <c r="L265" i="343"/>
  <c r="K265" i="343"/>
  <c r="J265" i="343"/>
  <c r="H265" i="343"/>
  <c r="G265" i="343"/>
  <c r="F265" i="343"/>
  <c r="E265" i="343"/>
  <c r="D265" i="343"/>
  <c r="C265" i="343"/>
  <c r="L264" i="343"/>
  <c r="K264" i="343"/>
  <c r="J264" i="343"/>
  <c r="H264" i="343"/>
  <c r="G264" i="343"/>
  <c r="F264" i="343"/>
  <c r="E264" i="343"/>
  <c r="D264" i="343"/>
  <c r="C264" i="343"/>
  <c r="L295" i="343"/>
  <c r="K295" i="343"/>
  <c r="J295" i="343"/>
  <c r="H295" i="343"/>
  <c r="G295" i="343"/>
  <c r="F295" i="343"/>
  <c r="E295" i="343"/>
  <c r="D295" i="343"/>
  <c r="C295" i="343"/>
  <c r="L294" i="343"/>
  <c r="K294" i="343"/>
  <c r="J294" i="343"/>
  <c r="H294" i="343"/>
  <c r="G294" i="343"/>
  <c r="F294" i="343"/>
  <c r="E294" i="343"/>
  <c r="D294" i="343"/>
  <c r="C294" i="343"/>
  <c r="L293" i="343"/>
  <c r="K293" i="343"/>
  <c r="J293" i="343"/>
  <c r="H293" i="343"/>
  <c r="G293" i="343"/>
  <c r="F293" i="343"/>
  <c r="E293" i="343"/>
  <c r="D293" i="343"/>
  <c r="C293" i="343"/>
  <c r="L292" i="343"/>
  <c r="K292" i="343"/>
  <c r="J292" i="343"/>
  <c r="H292" i="343"/>
  <c r="G292" i="343"/>
  <c r="F292" i="343"/>
  <c r="E292" i="343"/>
  <c r="D292" i="343"/>
  <c r="C292" i="343"/>
  <c r="L291" i="343"/>
  <c r="K291" i="343"/>
  <c r="J291" i="343"/>
  <c r="H291" i="343"/>
  <c r="G291" i="343"/>
  <c r="F291" i="343"/>
  <c r="E291" i="343"/>
  <c r="D291" i="343"/>
  <c r="C291" i="343"/>
  <c r="L290" i="343"/>
  <c r="K290" i="343"/>
  <c r="J290" i="343"/>
  <c r="H290" i="343"/>
  <c r="G290" i="343"/>
  <c r="F290" i="343"/>
  <c r="E290" i="343"/>
  <c r="D290" i="343"/>
  <c r="C290" i="343"/>
  <c r="L289" i="343"/>
  <c r="K289" i="343"/>
  <c r="J289" i="343"/>
  <c r="H289" i="343"/>
  <c r="G289" i="343"/>
  <c r="F289" i="343"/>
  <c r="E289" i="343"/>
  <c r="D289" i="343"/>
  <c r="C289" i="343"/>
  <c r="L288" i="343"/>
  <c r="K288" i="343"/>
  <c r="J288" i="343"/>
  <c r="H288" i="343"/>
  <c r="G288" i="343"/>
  <c r="F288" i="343"/>
  <c r="E288" i="343"/>
  <c r="D288" i="343"/>
  <c r="C288" i="343"/>
  <c r="L287" i="343"/>
  <c r="K287" i="343"/>
  <c r="J287" i="343"/>
  <c r="H287" i="343"/>
  <c r="G287" i="343"/>
  <c r="F287" i="343"/>
  <c r="E287" i="343"/>
  <c r="D287" i="343"/>
  <c r="C287" i="343"/>
  <c r="L286" i="343"/>
  <c r="K286" i="343"/>
  <c r="J286" i="343"/>
  <c r="H286" i="343"/>
  <c r="G286" i="343"/>
  <c r="F286" i="343"/>
  <c r="E286" i="343"/>
  <c r="D286" i="343"/>
  <c r="C286" i="343"/>
  <c r="L306" i="343"/>
  <c r="K306" i="343"/>
  <c r="J306" i="343"/>
  <c r="H306" i="343"/>
  <c r="G306" i="343"/>
  <c r="F306" i="343"/>
  <c r="E306" i="343"/>
  <c r="D306" i="343"/>
  <c r="C306" i="343"/>
  <c r="L305" i="343"/>
  <c r="K305" i="343"/>
  <c r="J305" i="343"/>
  <c r="H305" i="343"/>
  <c r="G305" i="343"/>
  <c r="F305" i="343"/>
  <c r="E305" i="343"/>
  <c r="D305" i="343"/>
  <c r="C305" i="343"/>
  <c r="L304" i="343"/>
  <c r="K304" i="343"/>
  <c r="J304" i="343"/>
  <c r="H304" i="343"/>
  <c r="G304" i="343"/>
  <c r="F304" i="343"/>
  <c r="E304" i="343"/>
  <c r="D304" i="343"/>
  <c r="C304" i="343"/>
  <c r="L303" i="343"/>
  <c r="K303" i="343"/>
  <c r="J303" i="343"/>
  <c r="H303" i="343"/>
  <c r="G303" i="343"/>
  <c r="F303" i="343"/>
  <c r="E303" i="343"/>
  <c r="D303" i="343"/>
  <c r="C303" i="343"/>
  <c r="L302" i="343"/>
  <c r="K302" i="343"/>
  <c r="J302" i="343"/>
  <c r="H302" i="343"/>
  <c r="G302" i="343"/>
  <c r="F302" i="343"/>
  <c r="E302" i="343"/>
  <c r="D302" i="343"/>
  <c r="C302" i="343"/>
  <c r="L301" i="343"/>
  <c r="K301" i="343"/>
  <c r="J301" i="343"/>
  <c r="H301" i="343"/>
  <c r="G301" i="343"/>
  <c r="F301" i="343"/>
  <c r="E301" i="343"/>
  <c r="D301" i="343"/>
  <c r="C301" i="343"/>
  <c r="L300" i="343"/>
  <c r="K300" i="343"/>
  <c r="J300" i="343"/>
  <c r="H300" i="343"/>
  <c r="G300" i="343"/>
  <c r="F300" i="343"/>
  <c r="E300" i="343"/>
  <c r="D300" i="343"/>
  <c r="C300" i="343"/>
  <c r="L299" i="343"/>
  <c r="K299" i="343"/>
  <c r="J299" i="343"/>
  <c r="H299" i="343"/>
  <c r="G299" i="343"/>
  <c r="F299" i="343"/>
  <c r="E299" i="343"/>
  <c r="D299" i="343"/>
  <c r="C299" i="343"/>
  <c r="L298" i="343"/>
  <c r="K298" i="343"/>
  <c r="J298" i="343"/>
  <c r="H298" i="343"/>
  <c r="G298" i="343"/>
  <c r="F298" i="343"/>
  <c r="E298" i="343"/>
  <c r="D298" i="343"/>
  <c r="C298" i="343"/>
  <c r="L297" i="343"/>
  <c r="K297" i="343"/>
  <c r="J297" i="343"/>
  <c r="H297" i="343"/>
  <c r="G297" i="343"/>
  <c r="F297" i="343"/>
  <c r="E297" i="343"/>
  <c r="D297" i="343"/>
  <c r="C297" i="343"/>
  <c r="L317" i="343"/>
  <c r="K317" i="343"/>
  <c r="J317" i="343"/>
  <c r="H317" i="343"/>
  <c r="G317" i="343"/>
  <c r="F317" i="343"/>
  <c r="E317" i="343"/>
  <c r="D317" i="343"/>
  <c r="C317" i="343"/>
  <c r="L316" i="343"/>
  <c r="K316" i="343"/>
  <c r="J316" i="343"/>
  <c r="H316" i="343"/>
  <c r="G316" i="343"/>
  <c r="F316" i="343"/>
  <c r="E316" i="343"/>
  <c r="D316" i="343"/>
  <c r="C316" i="343"/>
  <c r="L315" i="343"/>
  <c r="K315" i="343"/>
  <c r="J315" i="343"/>
  <c r="H315" i="343"/>
  <c r="G315" i="343"/>
  <c r="F315" i="343"/>
  <c r="E315" i="343"/>
  <c r="D315" i="343"/>
  <c r="C315" i="343"/>
  <c r="L314" i="343"/>
  <c r="K314" i="343"/>
  <c r="J314" i="343"/>
  <c r="H314" i="343"/>
  <c r="G314" i="343"/>
  <c r="F314" i="343"/>
  <c r="E314" i="343"/>
  <c r="D314" i="343"/>
  <c r="C314" i="343"/>
  <c r="L313" i="343"/>
  <c r="K313" i="343"/>
  <c r="J313" i="343"/>
  <c r="H313" i="343"/>
  <c r="G313" i="343"/>
  <c r="F313" i="343"/>
  <c r="E313" i="343"/>
  <c r="D313" i="343"/>
  <c r="C313" i="343"/>
  <c r="L312" i="343"/>
  <c r="K312" i="343"/>
  <c r="J312" i="343"/>
  <c r="H312" i="343"/>
  <c r="G312" i="343"/>
  <c r="F312" i="343"/>
  <c r="E312" i="343"/>
  <c r="D312" i="343"/>
  <c r="C312" i="343"/>
  <c r="L311" i="343"/>
  <c r="K311" i="343"/>
  <c r="J311" i="343"/>
  <c r="H311" i="343"/>
  <c r="G311" i="343"/>
  <c r="F311" i="343"/>
  <c r="E311" i="343"/>
  <c r="D311" i="343"/>
  <c r="C311" i="343"/>
  <c r="L310" i="343"/>
  <c r="K310" i="343"/>
  <c r="J310" i="343"/>
  <c r="H310" i="343"/>
  <c r="G310" i="343"/>
  <c r="F310" i="343"/>
  <c r="E310" i="343"/>
  <c r="D310" i="343"/>
  <c r="C310" i="343"/>
  <c r="L309" i="343"/>
  <c r="K309" i="343"/>
  <c r="J309" i="343"/>
  <c r="H309" i="343"/>
  <c r="G309" i="343"/>
  <c r="F309" i="343"/>
  <c r="E309" i="343"/>
  <c r="D309" i="343"/>
  <c r="C309" i="343"/>
  <c r="L308" i="343"/>
  <c r="K308" i="343"/>
  <c r="J308" i="343"/>
  <c r="H308" i="343"/>
  <c r="G308" i="343"/>
  <c r="F308" i="343"/>
  <c r="E308" i="343"/>
  <c r="D308" i="343"/>
  <c r="C308" i="343"/>
  <c r="L328" i="343"/>
  <c r="K328" i="343"/>
  <c r="J328" i="343"/>
  <c r="H328" i="343"/>
  <c r="G328" i="343"/>
  <c r="F328" i="343"/>
  <c r="E328" i="343"/>
  <c r="D328" i="343"/>
  <c r="C328" i="343"/>
  <c r="L327" i="343"/>
  <c r="K327" i="343"/>
  <c r="J327" i="343"/>
  <c r="H327" i="343"/>
  <c r="G327" i="343"/>
  <c r="F327" i="343"/>
  <c r="E327" i="343"/>
  <c r="D327" i="343"/>
  <c r="C327" i="343"/>
  <c r="L326" i="343"/>
  <c r="K326" i="343"/>
  <c r="J326" i="343"/>
  <c r="H326" i="343"/>
  <c r="G326" i="343"/>
  <c r="F326" i="343"/>
  <c r="E326" i="343"/>
  <c r="D326" i="343"/>
  <c r="C326" i="343"/>
  <c r="L325" i="343"/>
  <c r="K325" i="343"/>
  <c r="J325" i="343"/>
  <c r="H325" i="343"/>
  <c r="G325" i="343"/>
  <c r="F325" i="343"/>
  <c r="E325" i="343"/>
  <c r="D325" i="343"/>
  <c r="C325" i="343"/>
  <c r="L324" i="343"/>
  <c r="K324" i="343"/>
  <c r="J324" i="343"/>
  <c r="H324" i="343"/>
  <c r="G324" i="343"/>
  <c r="F324" i="343"/>
  <c r="E324" i="343"/>
  <c r="D324" i="343"/>
  <c r="C324" i="343"/>
  <c r="L323" i="343"/>
  <c r="K323" i="343"/>
  <c r="J323" i="343"/>
  <c r="H323" i="343"/>
  <c r="G323" i="343"/>
  <c r="F323" i="343"/>
  <c r="E323" i="343"/>
  <c r="D323" i="343"/>
  <c r="C323" i="343"/>
  <c r="L322" i="343"/>
  <c r="K322" i="343"/>
  <c r="J322" i="343"/>
  <c r="H322" i="343"/>
  <c r="G322" i="343"/>
  <c r="F322" i="343"/>
  <c r="E322" i="343"/>
  <c r="D322" i="343"/>
  <c r="C322" i="343"/>
  <c r="L321" i="343"/>
  <c r="K321" i="343"/>
  <c r="J321" i="343"/>
  <c r="H321" i="343"/>
  <c r="G321" i="343"/>
  <c r="F321" i="343"/>
  <c r="E321" i="343"/>
  <c r="D321" i="343"/>
  <c r="C321" i="343"/>
  <c r="L320" i="343"/>
  <c r="K320" i="343"/>
  <c r="J320" i="343"/>
  <c r="H320" i="343"/>
  <c r="G320" i="343"/>
  <c r="F320" i="343"/>
  <c r="E320" i="343"/>
  <c r="D320" i="343"/>
  <c r="C320" i="343"/>
  <c r="L319" i="343"/>
  <c r="K319" i="343"/>
  <c r="J319" i="343"/>
  <c r="H319" i="343"/>
  <c r="G319" i="343"/>
  <c r="F319" i="343"/>
  <c r="E319" i="343"/>
  <c r="D319" i="343"/>
  <c r="C319" i="343"/>
  <c r="L339" i="343"/>
  <c r="K339" i="343"/>
  <c r="J339" i="343"/>
  <c r="H339" i="343"/>
  <c r="G339" i="343"/>
  <c r="F339" i="343"/>
  <c r="E339" i="343"/>
  <c r="D339" i="343"/>
  <c r="C339" i="343"/>
  <c r="L338" i="343"/>
  <c r="K338" i="343"/>
  <c r="J338" i="343"/>
  <c r="H338" i="343"/>
  <c r="G338" i="343"/>
  <c r="F338" i="343"/>
  <c r="E338" i="343"/>
  <c r="D338" i="343"/>
  <c r="C338" i="343"/>
  <c r="L337" i="343"/>
  <c r="K337" i="343"/>
  <c r="J337" i="343"/>
  <c r="H337" i="343"/>
  <c r="G337" i="343"/>
  <c r="F337" i="343"/>
  <c r="E337" i="343"/>
  <c r="D337" i="343"/>
  <c r="C337" i="343"/>
  <c r="L336" i="343"/>
  <c r="K336" i="343"/>
  <c r="J336" i="343"/>
  <c r="H336" i="343"/>
  <c r="G336" i="343"/>
  <c r="F336" i="343"/>
  <c r="E336" i="343"/>
  <c r="D336" i="343"/>
  <c r="C336" i="343"/>
  <c r="L335" i="343"/>
  <c r="K335" i="343"/>
  <c r="J335" i="343"/>
  <c r="H335" i="343"/>
  <c r="G335" i="343"/>
  <c r="F335" i="343"/>
  <c r="E335" i="343"/>
  <c r="D335" i="343"/>
  <c r="C335" i="343"/>
  <c r="L334" i="343"/>
  <c r="K334" i="343"/>
  <c r="J334" i="343"/>
  <c r="H334" i="343"/>
  <c r="G334" i="343"/>
  <c r="F334" i="343"/>
  <c r="E334" i="343"/>
  <c r="D334" i="343"/>
  <c r="C334" i="343"/>
  <c r="L333" i="343"/>
  <c r="K333" i="343"/>
  <c r="J333" i="343"/>
  <c r="H333" i="343"/>
  <c r="G333" i="343"/>
  <c r="F333" i="343"/>
  <c r="E333" i="343"/>
  <c r="D333" i="343"/>
  <c r="C333" i="343"/>
  <c r="L332" i="343"/>
  <c r="K332" i="343"/>
  <c r="J332" i="343"/>
  <c r="H332" i="343"/>
  <c r="G332" i="343"/>
  <c r="F332" i="343"/>
  <c r="E332" i="343"/>
  <c r="D332" i="343"/>
  <c r="C332" i="343"/>
  <c r="L331" i="343"/>
  <c r="K331" i="343"/>
  <c r="J331" i="343"/>
  <c r="H331" i="343"/>
  <c r="G331" i="343"/>
  <c r="F331" i="343"/>
  <c r="E331" i="343"/>
  <c r="D331" i="343"/>
  <c r="C331" i="343"/>
  <c r="L330" i="343"/>
  <c r="K330" i="343"/>
  <c r="J330" i="343"/>
  <c r="H330" i="343"/>
  <c r="G330" i="343"/>
  <c r="F330" i="343"/>
  <c r="E330" i="343"/>
  <c r="D330" i="343"/>
  <c r="C330" i="343"/>
  <c r="L218" i="343"/>
  <c r="K218" i="343"/>
  <c r="J218" i="343"/>
  <c r="H218" i="343"/>
  <c r="G218" i="343"/>
  <c r="F218" i="343"/>
  <c r="E218" i="343"/>
  <c r="D218" i="343"/>
  <c r="C218" i="343"/>
  <c r="L217" i="343"/>
  <c r="K217" i="343"/>
  <c r="J217" i="343"/>
  <c r="H217" i="343"/>
  <c r="G217" i="343"/>
  <c r="F217" i="343"/>
  <c r="E217" i="343"/>
  <c r="D217" i="343"/>
  <c r="C217" i="343"/>
  <c r="L216" i="343"/>
  <c r="K216" i="343"/>
  <c r="J216" i="343"/>
  <c r="H216" i="343"/>
  <c r="G216" i="343"/>
  <c r="F216" i="343"/>
  <c r="E216" i="343"/>
  <c r="D216" i="343"/>
  <c r="C216" i="343"/>
  <c r="L215" i="343"/>
  <c r="K215" i="343"/>
  <c r="J215" i="343"/>
  <c r="H215" i="343"/>
  <c r="G215" i="343"/>
  <c r="F215" i="343"/>
  <c r="E215" i="343"/>
  <c r="D215" i="343"/>
  <c r="C215" i="343"/>
  <c r="L214" i="343"/>
  <c r="K214" i="343"/>
  <c r="J214" i="343"/>
  <c r="H214" i="343"/>
  <c r="G214" i="343"/>
  <c r="F214" i="343"/>
  <c r="E214" i="343"/>
  <c r="D214" i="343"/>
  <c r="C214" i="343"/>
  <c r="L213" i="343"/>
  <c r="K213" i="343"/>
  <c r="J213" i="343"/>
  <c r="H213" i="343"/>
  <c r="G213" i="343"/>
  <c r="F213" i="343"/>
  <c r="E213" i="343"/>
  <c r="D213" i="343"/>
  <c r="C213" i="343"/>
  <c r="L212" i="343"/>
  <c r="K212" i="343"/>
  <c r="J212" i="343"/>
  <c r="H212" i="343"/>
  <c r="G212" i="343"/>
  <c r="F212" i="343"/>
  <c r="E212" i="343"/>
  <c r="D212" i="343"/>
  <c r="C212" i="343"/>
  <c r="L211" i="343"/>
  <c r="K211" i="343"/>
  <c r="J211" i="343"/>
  <c r="H211" i="343"/>
  <c r="G211" i="343"/>
  <c r="F211" i="343"/>
  <c r="E211" i="343"/>
  <c r="D211" i="343"/>
  <c r="C211" i="343"/>
  <c r="L210" i="343"/>
  <c r="K210" i="343"/>
  <c r="J210" i="343"/>
  <c r="H210" i="343"/>
  <c r="G210" i="343"/>
  <c r="F210" i="343"/>
  <c r="E210" i="343"/>
  <c r="D210" i="343"/>
  <c r="C210" i="343"/>
  <c r="L209" i="343"/>
  <c r="K209" i="343"/>
  <c r="J209" i="343"/>
  <c r="H209" i="343"/>
  <c r="G209" i="343"/>
  <c r="F209" i="343"/>
  <c r="E209" i="343"/>
  <c r="D209" i="343"/>
  <c r="C209" i="343"/>
  <c r="L207" i="343"/>
  <c r="K207" i="343"/>
  <c r="J207" i="343"/>
  <c r="H207" i="343"/>
  <c r="G207" i="343"/>
  <c r="F207" i="343"/>
  <c r="E207" i="343"/>
  <c r="D207" i="343"/>
  <c r="C207" i="343"/>
  <c r="L206" i="343"/>
  <c r="K206" i="343"/>
  <c r="J206" i="343"/>
  <c r="H206" i="343"/>
  <c r="G206" i="343"/>
  <c r="F206" i="343"/>
  <c r="E206" i="343"/>
  <c r="D206" i="343"/>
  <c r="C206" i="343"/>
  <c r="L205" i="343"/>
  <c r="K205" i="343"/>
  <c r="J205" i="343"/>
  <c r="H205" i="343"/>
  <c r="G205" i="343"/>
  <c r="F205" i="343"/>
  <c r="E205" i="343"/>
  <c r="D205" i="343"/>
  <c r="C205" i="343"/>
  <c r="L204" i="343"/>
  <c r="K204" i="343"/>
  <c r="J204" i="343"/>
  <c r="H204" i="343"/>
  <c r="G204" i="343"/>
  <c r="F204" i="343"/>
  <c r="E204" i="343"/>
  <c r="D204" i="343"/>
  <c r="C204" i="343"/>
  <c r="L203" i="343"/>
  <c r="K203" i="343"/>
  <c r="J203" i="343"/>
  <c r="H203" i="343"/>
  <c r="G203" i="343"/>
  <c r="F203" i="343"/>
  <c r="E203" i="343"/>
  <c r="D203" i="343"/>
  <c r="C203" i="343"/>
  <c r="L202" i="343"/>
  <c r="K202" i="343"/>
  <c r="J202" i="343"/>
  <c r="H202" i="343"/>
  <c r="G202" i="343"/>
  <c r="F202" i="343"/>
  <c r="E202" i="343"/>
  <c r="D202" i="343"/>
  <c r="C202" i="343"/>
  <c r="L201" i="343"/>
  <c r="K201" i="343"/>
  <c r="J201" i="343"/>
  <c r="H201" i="343"/>
  <c r="G201" i="343"/>
  <c r="F201" i="343"/>
  <c r="E201" i="343"/>
  <c r="D201" i="343"/>
  <c r="C201" i="343"/>
  <c r="L200" i="343"/>
  <c r="K200" i="343"/>
  <c r="J200" i="343"/>
  <c r="H200" i="343"/>
  <c r="G200" i="343"/>
  <c r="F200" i="343"/>
  <c r="E200" i="343"/>
  <c r="D200" i="343"/>
  <c r="C200" i="343"/>
  <c r="L199" i="343"/>
  <c r="K199" i="343"/>
  <c r="J199" i="343"/>
  <c r="H199" i="343"/>
  <c r="G199" i="343"/>
  <c r="F199" i="343"/>
  <c r="E199" i="343"/>
  <c r="D199" i="343"/>
  <c r="C199" i="343"/>
  <c r="L198" i="343"/>
  <c r="K198" i="343"/>
  <c r="J198" i="343"/>
  <c r="H198" i="343"/>
  <c r="G198" i="343"/>
  <c r="F198" i="343"/>
  <c r="E198" i="343"/>
  <c r="D198" i="343"/>
  <c r="C198" i="343"/>
  <c r="L196" i="343"/>
  <c r="K196" i="343"/>
  <c r="J196" i="343"/>
  <c r="H196" i="343"/>
  <c r="G196" i="343"/>
  <c r="F196" i="343"/>
  <c r="E196" i="343"/>
  <c r="D196" i="343"/>
  <c r="C196" i="343"/>
  <c r="L195" i="343"/>
  <c r="K195" i="343"/>
  <c r="J195" i="343"/>
  <c r="H195" i="343"/>
  <c r="G195" i="343"/>
  <c r="F195" i="343"/>
  <c r="E195" i="343"/>
  <c r="D195" i="343"/>
  <c r="C195" i="343"/>
  <c r="L194" i="343"/>
  <c r="K194" i="343"/>
  <c r="J194" i="343"/>
  <c r="H194" i="343"/>
  <c r="G194" i="343"/>
  <c r="F194" i="343"/>
  <c r="E194" i="343"/>
  <c r="D194" i="343"/>
  <c r="C194" i="343"/>
  <c r="L193" i="343"/>
  <c r="K193" i="343"/>
  <c r="J193" i="343"/>
  <c r="H193" i="343"/>
  <c r="G193" i="343"/>
  <c r="F193" i="343"/>
  <c r="E193" i="343"/>
  <c r="D193" i="343"/>
  <c r="C193" i="343"/>
  <c r="L192" i="343"/>
  <c r="K192" i="343"/>
  <c r="J192" i="343"/>
  <c r="H192" i="343"/>
  <c r="G192" i="343"/>
  <c r="F192" i="343"/>
  <c r="E192" i="343"/>
  <c r="D192" i="343"/>
  <c r="C192" i="343"/>
  <c r="L191" i="343"/>
  <c r="K191" i="343"/>
  <c r="J191" i="343"/>
  <c r="H191" i="343"/>
  <c r="G191" i="343"/>
  <c r="F191" i="343"/>
  <c r="E191" i="343"/>
  <c r="D191" i="343"/>
  <c r="C191" i="343"/>
  <c r="L190" i="343"/>
  <c r="K190" i="343"/>
  <c r="J190" i="343"/>
  <c r="H190" i="343"/>
  <c r="G190" i="343"/>
  <c r="F190" i="343"/>
  <c r="E190" i="343"/>
  <c r="D190" i="343"/>
  <c r="C190" i="343"/>
  <c r="L189" i="343"/>
  <c r="K189" i="343"/>
  <c r="J189" i="343"/>
  <c r="H189" i="343"/>
  <c r="G189" i="343"/>
  <c r="F189" i="343"/>
  <c r="E189" i="343"/>
  <c r="D189" i="343"/>
  <c r="C189" i="343"/>
  <c r="L188" i="343"/>
  <c r="K188" i="343"/>
  <c r="J188" i="343"/>
  <c r="H188" i="343"/>
  <c r="G188" i="343"/>
  <c r="F188" i="343"/>
  <c r="E188" i="343"/>
  <c r="D188" i="343"/>
  <c r="C188" i="343"/>
  <c r="L187" i="343"/>
  <c r="K187" i="343"/>
  <c r="J187" i="343"/>
  <c r="H187" i="343"/>
  <c r="G187" i="343"/>
  <c r="F187" i="343"/>
  <c r="E187" i="343"/>
  <c r="D187" i="343"/>
  <c r="C187" i="343"/>
  <c r="C177" i="343"/>
  <c r="D177" i="343"/>
  <c r="E177" i="343"/>
  <c r="F177" i="343"/>
  <c r="G177" i="343"/>
  <c r="H177" i="343"/>
  <c r="J177" i="343"/>
  <c r="K177" i="343"/>
  <c r="L177" i="343"/>
  <c r="C178" i="343"/>
  <c r="D178" i="343"/>
  <c r="E178" i="343"/>
  <c r="F178" i="343"/>
  <c r="G178" i="343"/>
  <c r="H178" i="343"/>
  <c r="J178" i="343"/>
  <c r="K178" i="343"/>
  <c r="L178" i="343"/>
  <c r="C179" i="343"/>
  <c r="D179" i="343"/>
  <c r="E179" i="343"/>
  <c r="F179" i="343"/>
  <c r="G179" i="343"/>
  <c r="H179" i="343"/>
  <c r="J179" i="343"/>
  <c r="K179" i="343"/>
  <c r="L179" i="343"/>
  <c r="C180" i="343"/>
  <c r="D180" i="343"/>
  <c r="E180" i="343"/>
  <c r="F180" i="343"/>
  <c r="G180" i="343"/>
  <c r="H180" i="343"/>
  <c r="J180" i="343"/>
  <c r="K180" i="343"/>
  <c r="L180" i="343"/>
  <c r="C181" i="343"/>
  <c r="D181" i="343"/>
  <c r="E181" i="343"/>
  <c r="F181" i="343"/>
  <c r="G181" i="343"/>
  <c r="H181" i="343"/>
  <c r="J181" i="343"/>
  <c r="K181" i="343"/>
  <c r="L181" i="343"/>
  <c r="C182" i="343"/>
  <c r="D182" i="343"/>
  <c r="E182" i="343"/>
  <c r="F182" i="343"/>
  <c r="G182" i="343"/>
  <c r="H182" i="343"/>
  <c r="J182" i="343"/>
  <c r="K182" i="343"/>
  <c r="L182" i="343"/>
  <c r="C183" i="343"/>
  <c r="D183" i="343"/>
  <c r="E183" i="343"/>
  <c r="F183" i="343"/>
  <c r="G183" i="343"/>
  <c r="H183" i="343"/>
  <c r="J183" i="343"/>
  <c r="K183" i="343"/>
  <c r="L183" i="343"/>
  <c r="C184" i="343"/>
  <c r="D184" i="343"/>
  <c r="E184" i="343"/>
  <c r="F184" i="343"/>
  <c r="G184" i="343"/>
  <c r="H184" i="343"/>
  <c r="J184" i="343"/>
  <c r="K184" i="343"/>
  <c r="L184" i="343"/>
  <c r="C185" i="343"/>
  <c r="D185" i="343"/>
  <c r="E185" i="343"/>
  <c r="F185" i="343"/>
  <c r="G185" i="343"/>
  <c r="H185" i="343"/>
  <c r="J185" i="343"/>
  <c r="K185" i="343"/>
  <c r="L185" i="343"/>
  <c r="E176" i="343"/>
  <c r="D176" i="343"/>
  <c r="C176" i="343"/>
  <c r="L176" i="343"/>
  <c r="K176" i="343"/>
  <c r="J176" i="343"/>
  <c r="H176" i="343"/>
  <c r="G176" i="343"/>
  <c r="F176" i="343"/>
  <c r="C273" i="342"/>
  <c r="K62" i="126"/>
  <c r="J62" i="126"/>
  <c r="H62" i="126"/>
  <c r="G62" i="126"/>
  <c r="F62" i="126"/>
  <c r="E62" i="126"/>
  <c r="D62" i="126"/>
  <c r="C62" i="126"/>
  <c r="K61" i="126"/>
  <c r="J61" i="126"/>
  <c r="H61" i="126"/>
  <c r="G61" i="126"/>
  <c r="F61" i="126"/>
  <c r="E61" i="126"/>
  <c r="D61" i="126"/>
  <c r="C61" i="126"/>
  <c r="K60" i="126"/>
  <c r="J60" i="126"/>
  <c r="H60" i="126"/>
  <c r="G60" i="126"/>
  <c r="F60" i="126"/>
  <c r="E60" i="126"/>
  <c r="D60" i="126"/>
  <c r="C60" i="126"/>
  <c r="K59" i="126"/>
  <c r="J59" i="126"/>
  <c r="H59" i="126"/>
  <c r="G59" i="126"/>
  <c r="F59" i="126"/>
  <c r="E59" i="126"/>
  <c r="D59" i="126"/>
  <c r="C59" i="126"/>
  <c r="K58" i="126"/>
  <c r="J58" i="126"/>
  <c r="H58" i="126"/>
  <c r="G58" i="126"/>
  <c r="F58" i="126"/>
  <c r="E58" i="126"/>
  <c r="D58" i="126"/>
  <c r="C58" i="126"/>
  <c r="K56" i="126"/>
  <c r="J56" i="126"/>
  <c r="H56" i="126"/>
  <c r="G56" i="126"/>
  <c r="F56" i="126"/>
  <c r="E56" i="126"/>
  <c r="D56" i="126"/>
  <c r="C56" i="126"/>
  <c r="K55" i="126"/>
  <c r="J55" i="126"/>
  <c r="H55" i="126"/>
  <c r="G55" i="126"/>
  <c r="F55" i="126"/>
  <c r="E55" i="126"/>
  <c r="D55" i="126"/>
  <c r="C55" i="126"/>
  <c r="K54" i="126"/>
  <c r="J54" i="126"/>
  <c r="H54" i="126"/>
  <c r="G54" i="126"/>
  <c r="F54" i="126"/>
  <c r="E54" i="126"/>
  <c r="D54" i="126"/>
  <c r="C54" i="126"/>
  <c r="K52" i="126"/>
  <c r="J52" i="126"/>
  <c r="H52" i="126"/>
  <c r="G52" i="126"/>
  <c r="F52" i="126"/>
  <c r="E52" i="126"/>
  <c r="D52" i="126"/>
  <c r="C52" i="126"/>
  <c r="K51" i="126"/>
  <c r="J51" i="126"/>
  <c r="H51" i="126"/>
  <c r="G51" i="126"/>
  <c r="F51" i="126"/>
  <c r="E51" i="126"/>
  <c r="D51" i="126"/>
  <c r="C51" i="126"/>
  <c r="K50" i="126"/>
  <c r="J50" i="126"/>
  <c r="H50" i="126"/>
  <c r="G50" i="126"/>
  <c r="F50" i="126"/>
  <c r="E50" i="126"/>
  <c r="D50" i="126"/>
  <c r="C50" i="126"/>
  <c r="K49" i="126"/>
  <c r="J49" i="126"/>
  <c r="H49" i="126"/>
  <c r="G49" i="126"/>
  <c r="F49" i="126"/>
  <c r="E49" i="126"/>
  <c r="D49" i="126"/>
  <c r="C49" i="126"/>
  <c r="K48" i="126"/>
  <c r="J48" i="126"/>
  <c r="H48" i="126"/>
  <c r="G48" i="126"/>
  <c r="F48" i="126"/>
  <c r="E48" i="126"/>
  <c r="D48" i="126"/>
  <c r="C48" i="126"/>
  <c r="J45" i="126"/>
  <c r="K45" i="126"/>
  <c r="J46" i="126"/>
  <c r="K46" i="126"/>
  <c r="K44" i="126"/>
  <c r="F45" i="126"/>
  <c r="G45" i="126"/>
  <c r="H45" i="126"/>
  <c r="F46" i="126"/>
  <c r="G46" i="126"/>
  <c r="H46" i="126"/>
  <c r="J44" i="126"/>
  <c r="H44" i="126"/>
  <c r="G44" i="126"/>
  <c r="F44" i="126"/>
  <c r="C45" i="126"/>
  <c r="D45" i="126"/>
  <c r="E45" i="126"/>
  <c r="C46" i="126"/>
  <c r="D46" i="126"/>
  <c r="E46" i="126"/>
  <c r="E44" i="126"/>
  <c r="D44" i="126"/>
  <c r="C44" i="126"/>
  <c r="L73" i="126"/>
  <c r="K73" i="126"/>
  <c r="J73" i="126"/>
  <c r="H73" i="126"/>
  <c r="G73" i="126"/>
  <c r="F73" i="126"/>
  <c r="E73" i="126"/>
  <c r="D73" i="126"/>
  <c r="C73" i="126"/>
  <c r="L72" i="126"/>
  <c r="K72" i="126"/>
  <c r="J72" i="126"/>
  <c r="H72" i="126"/>
  <c r="G72" i="126"/>
  <c r="F72" i="126"/>
  <c r="E72" i="126"/>
  <c r="D72" i="126"/>
  <c r="C72" i="126"/>
  <c r="C67" i="126"/>
  <c r="D67" i="126"/>
  <c r="E67" i="126"/>
  <c r="F67" i="126"/>
  <c r="G67" i="126"/>
  <c r="H67" i="126"/>
  <c r="J67" i="126"/>
  <c r="K67" i="126"/>
  <c r="L67" i="126"/>
  <c r="C68" i="126"/>
  <c r="D68" i="126"/>
  <c r="E68" i="126"/>
  <c r="F68" i="126"/>
  <c r="G68" i="126"/>
  <c r="H68" i="126"/>
  <c r="J68" i="126"/>
  <c r="K68" i="126"/>
  <c r="L68" i="126"/>
  <c r="C69" i="126"/>
  <c r="D69" i="126"/>
  <c r="E69" i="126"/>
  <c r="F69" i="126"/>
  <c r="G69" i="126"/>
  <c r="H69" i="126"/>
  <c r="J69" i="126"/>
  <c r="K69" i="126"/>
  <c r="L69" i="126"/>
  <c r="J66" i="126"/>
  <c r="H66" i="126"/>
  <c r="G66" i="126"/>
  <c r="F66" i="126"/>
  <c r="E66" i="126"/>
  <c r="D66" i="126"/>
  <c r="C66" i="126"/>
  <c r="L45" i="129"/>
  <c r="K45" i="129"/>
  <c r="J45" i="129"/>
  <c r="H45" i="129"/>
  <c r="G45" i="129"/>
  <c r="F45" i="129"/>
  <c r="H39" i="131"/>
  <c r="G39" i="131"/>
  <c r="F39" i="131"/>
  <c r="E39" i="131"/>
  <c r="D39" i="131"/>
  <c r="C39" i="131"/>
  <c r="H31" i="131"/>
  <c r="G31" i="131"/>
  <c r="F31" i="131"/>
  <c r="E31" i="131"/>
  <c r="D31" i="131"/>
  <c r="C31" i="131"/>
  <c r="H33" i="131"/>
  <c r="G33" i="131"/>
  <c r="F33" i="131"/>
  <c r="E33" i="131"/>
  <c r="D33" i="131"/>
  <c r="C33" i="131"/>
  <c r="H21" i="131"/>
  <c r="G21" i="131"/>
  <c r="F21" i="131"/>
  <c r="E21" i="131"/>
  <c r="D21" i="131"/>
  <c r="C21" i="131"/>
  <c r="C15" i="131"/>
  <c r="D15" i="131"/>
  <c r="E15" i="131"/>
  <c r="F15" i="131"/>
  <c r="G15" i="131"/>
  <c r="H15" i="131"/>
  <c r="C16" i="131"/>
  <c r="D16" i="131"/>
  <c r="E16" i="131"/>
  <c r="F16" i="131"/>
  <c r="G16" i="131"/>
  <c r="H16" i="131"/>
  <c r="C14" i="131"/>
  <c r="D14" i="131"/>
  <c r="E14" i="131"/>
  <c r="F14" i="131"/>
  <c r="F11" i="131"/>
  <c r="H14" i="131"/>
  <c r="G14" i="131"/>
  <c r="E45" i="129" l="1"/>
  <c r="D45" i="129"/>
  <c r="C45" i="129"/>
  <c r="E33" i="129"/>
  <c r="D33" i="129"/>
  <c r="C33" i="129"/>
  <c r="E31" i="129"/>
  <c r="C31" i="129"/>
  <c r="L29" i="129"/>
  <c r="K29" i="129"/>
  <c r="J29" i="129"/>
  <c r="H29" i="129"/>
  <c r="G29" i="129"/>
  <c r="F29" i="129"/>
  <c r="E29" i="129"/>
  <c r="D29" i="129"/>
  <c r="C29" i="129"/>
  <c r="L23" i="129"/>
  <c r="K23" i="129"/>
  <c r="J23" i="129"/>
  <c r="H23" i="129"/>
  <c r="G23" i="129"/>
  <c r="F23" i="129"/>
  <c r="E23" i="129"/>
  <c r="D23" i="129"/>
  <c r="C23" i="129"/>
  <c r="L22" i="129"/>
  <c r="K22" i="129"/>
  <c r="J22" i="129"/>
  <c r="H22" i="129"/>
  <c r="G22" i="129"/>
  <c r="F22" i="129"/>
  <c r="E22" i="129"/>
  <c r="D22" i="129"/>
  <c r="C22" i="129"/>
  <c r="L21" i="129"/>
  <c r="K21" i="129"/>
  <c r="J21" i="129"/>
  <c r="H21" i="129"/>
  <c r="G21" i="129"/>
  <c r="F21" i="129"/>
  <c r="E21" i="129"/>
  <c r="D21" i="129"/>
  <c r="C21" i="129"/>
  <c r="L18" i="129"/>
  <c r="K18" i="129"/>
  <c r="J18" i="129"/>
  <c r="H18" i="129"/>
  <c r="G18" i="129"/>
  <c r="F18" i="129"/>
  <c r="E18" i="129"/>
  <c r="D18" i="129"/>
  <c r="C18" i="129"/>
  <c r="L17" i="129"/>
  <c r="K17" i="129"/>
  <c r="J17" i="129"/>
  <c r="H17" i="129"/>
  <c r="G17" i="129"/>
  <c r="F17" i="129"/>
  <c r="E17" i="129"/>
  <c r="D17" i="129"/>
  <c r="C17" i="129"/>
  <c r="L16" i="129"/>
  <c r="K16" i="129"/>
  <c r="J16" i="129"/>
  <c r="H16" i="129"/>
  <c r="G16" i="129"/>
  <c r="F16" i="129"/>
  <c r="E16" i="129"/>
  <c r="D16" i="129"/>
  <c r="C16" i="129"/>
  <c r="L15" i="129"/>
  <c r="K15" i="129"/>
  <c r="J15" i="129"/>
  <c r="H15" i="129"/>
  <c r="G15" i="129"/>
  <c r="F15" i="129"/>
  <c r="E15" i="129"/>
  <c r="D15" i="129"/>
  <c r="C15" i="129"/>
  <c r="L10" i="129"/>
  <c r="K10" i="129"/>
  <c r="J10" i="129"/>
  <c r="H10" i="129"/>
  <c r="G10" i="129"/>
  <c r="F10" i="129"/>
  <c r="E10" i="129"/>
  <c r="D10" i="129"/>
  <c r="C10" i="129"/>
  <c r="L9" i="129"/>
  <c r="K9" i="129"/>
  <c r="J9" i="129"/>
  <c r="H9" i="129"/>
  <c r="G9" i="129"/>
  <c r="F9" i="129"/>
  <c r="E9" i="129"/>
  <c r="D9" i="129"/>
  <c r="C9" i="129"/>
  <c r="L7" i="129"/>
  <c r="K7" i="129"/>
  <c r="J7" i="129"/>
  <c r="H7" i="129"/>
  <c r="G7" i="129"/>
  <c r="F7" i="129"/>
  <c r="E7" i="129"/>
  <c r="D7" i="129"/>
  <c r="C7" i="129"/>
  <c r="L6" i="129"/>
  <c r="K6" i="129"/>
  <c r="J6" i="129"/>
  <c r="H6" i="129"/>
  <c r="G6" i="129"/>
  <c r="F6" i="129"/>
  <c r="E6" i="129"/>
  <c r="D6" i="129"/>
  <c r="C6" i="129"/>
  <c r="C7" i="131"/>
  <c r="D7" i="131"/>
  <c r="E7" i="131"/>
  <c r="F7" i="131"/>
  <c r="G7" i="131"/>
  <c r="H7" i="131"/>
  <c r="C8" i="131"/>
  <c r="D8" i="131"/>
  <c r="E8" i="131"/>
  <c r="F8" i="131"/>
  <c r="G8" i="131"/>
  <c r="H8" i="131"/>
  <c r="C9" i="131"/>
  <c r="D9" i="131"/>
  <c r="E9" i="131"/>
  <c r="F9" i="131"/>
  <c r="G9" i="131"/>
  <c r="H9" i="131"/>
  <c r="C10" i="131"/>
  <c r="D10" i="131"/>
  <c r="E10" i="131"/>
  <c r="F10" i="131"/>
  <c r="G10" i="131"/>
  <c r="H10" i="131"/>
  <c r="C11" i="131"/>
  <c r="D11" i="131"/>
  <c r="E11" i="131"/>
  <c r="G11" i="131"/>
  <c r="H11" i="131"/>
  <c r="C12" i="131"/>
  <c r="D12" i="131"/>
  <c r="E12" i="131"/>
  <c r="F12" i="131"/>
  <c r="G12" i="131"/>
  <c r="H12" i="131"/>
  <c r="H6" i="131"/>
  <c r="G6" i="131"/>
  <c r="F6" i="131"/>
  <c r="E6" i="131"/>
  <c r="D6" i="131"/>
  <c r="C6" i="131"/>
  <c r="K337" i="342"/>
  <c r="J337" i="342"/>
  <c r="I337" i="342"/>
  <c r="H337" i="342"/>
  <c r="G337" i="342"/>
  <c r="F337" i="342"/>
  <c r="E337" i="342"/>
  <c r="D337" i="342"/>
  <c r="C337" i="342"/>
  <c r="K336" i="342"/>
  <c r="J336" i="342"/>
  <c r="I336" i="342"/>
  <c r="H336" i="342"/>
  <c r="G336" i="342"/>
  <c r="F336" i="342"/>
  <c r="E336" i="342"/>
  <c r="D336" i="342"/>
  <c r="C336" i="342"/>
  <c r="K335" i="342"/>
  <c r="J335" i="342"/>
  <c r="I335" i="342"/>
  <c r="H335" i="342"/>
  <c r="G335" i="342"/>
  <c r="F335" i="342"/>
  <c r="E335" i="342"/>
  <c r="D335" i="342"/>
  <c r="C335" i="342"/>
  <c r="K334" i="342"/>
  <c r="J334" i="342"/>
  <c r="I334" i="342"/>
  <c r="H334" i="342"/>
  <c r="G334" i="342"/>
  <c r="F334" i="342"/>
  <c r="E334" i="342"/>
  <c r="D334" i="342"/>
  <c r="C334" i="342"/>
  <c r="K333" i="342"/>
  <c r="J333" i="342"/>
  <c r="I333" i="342"/>
  <c r="H333" i="342"/>
  <c r="G333" i="342"/>
  <c r="F333" i="342"/>
  <c r="E333" i="342"/>
  <c r="D333" i="342"/>
  <c r="C333" i="342"/>
  <c r="K332" i="342"/>
  <c r="J332" i="342"/>
  <c r="I332" i="342"/>
  <c r="H332" i="342"/>
  <c r="G332" i="342"/>
  <c r="F332" i="342"/>
  <c r="E332" i="342"/>
  <c r="D332" i="342"/>
  <c r="C332" i="342"/>
  <c r="K331" i="342"/>
  <c r="J331" i="342"/>
  <c r="I331" i="342"/>
  <c r="H331" i="342"/>
  <c r="G331" i="342"/>
  <c r="F331" i="342"/>
  <c r="E331" i="342"/>
  <c r="D331" i="342"/>
  <c r="C331" i="342"/>
  <c r="K330" i="342"/>
  <c r="J330" i="342"/>
  <c r="I330" i="342"/>
  <c r="H330" i="342"/>
  <c r="G330" i="342"/>
  <c r="F330" i="342"/>
  <c r="E330" i="342"/>
  <c r="D330" i="342"/>
  <c r="C330" i="342"/>
  <c r="K329" i="342"/>
  <c r="J329" i="342"/>
  <c r="I329" i="342"/>
  <c r="H329" i="342"/>
  <c r="G329" i="342"/>
  <c r="F329" i="342"/>
  <c r="E329" i="342"/>
  <c r="D329" i="342"/>
  <c r="C329" i="342"/>
  <c r="K328" i="342"/>
  <c r="J328" i="342"/>
  <c r="I328" i="342"/>
  <c r="H328" i="342"/>
  <c r="G328" i="342"/>
  <c r="F328" i="342"/>
  <c r="E328" i="342"/>
  <c r="D328" i="342"/>
  <c r="C328" i="342"/>
  <c r="K326" i="342"/>
  <c r="J326" i="342"/>
  <c r="I326" i="342"/>
  <c r="H326" i="342"/>
  <c r="G326" i="342"/>
  <c r="F326" i="342"/>
  <c r="E326" i="342"/>
  <c r="D326" i="342"/>
  <c r="C326" i="342"/>
  <c r="K325" i="342"/>
  <c r="J325" i="342"/>
  <c r="I325" i="342"/>
  <c r="H325" i="342"/>
  <c r="G325" i="342"/>
  <c r="F325" i="342"/>
  <c r="E325" i="342"/>
  <c r="D325" i="342"/>
  <c r="C325" i="342"/>
  <c r="K324" i="342"/>
  <c r="J324" i="342"/>
  <c r="I324" i="342"/>
  <c r="H324" i="342"/>
  <c r="G324" i="342"/>
  <c r="F324" i="342"/>
  <c r="E324" i="342"/>
  <c r="D324" i="342"/>
  <c r="C324" i="342"/>
  <c r="K323" i="342"/>
  <c r="J323" i="342"/>
  <c r="I323" i="342"/>
  <c r="H323" i="342"/>
  <c r="G323" i="342"/>
  <c r="F323" i="342"/>
  <c r="E323" i="342"/>
  <c r="D323" i="342"/>
  <c r="C323" i="342"/>
  <c r="K322" i="342"/>
  <c r="J322" i="342"/>
  <c r="I322" i="342"/>
  <c r="H322" i="342"/>
  <c r="G322" i="342"/>
  <c r="F322" i="342"/>
  <c r="E322" i="342"/>
  <c r="D322" i="342"/>
  <c r="C322" i="342"/>
  <c r="K321" i="342"/>
  <c r="J321" i="342"/>
  <c r="I321" i="342"/>
  <c r="H321" i="342"/>
  <c r="G321" i="342"/>
  <c r="F321" i="342"/>
  <c r="E321" i="342"/>
  <c r="D321" i="342"/>
  <c r="C321" i="342"/>
  <c r="K320" i="342"/>
  <c r="J320" i="342"/>
  <c r="I320" i="342"/>
  <c r="H320" i="342"/>
  <c r="G320" i="342"/>
  <c r="F320" i="342"/>
  <c r="E320" i="342"/>
  <c r="D320" i="342"/>
  <c r="C320" i="342"/>
  <c r="K319" i="342"/>
  <c r="J319" i="342"/>
  <c r="I319" i="342"/>
  <c r="H319" i="342"/>
  <c r="G319" i="342"/>
  <c r="F319" i="342"/>
  <c r="E319" i="342"/>
  <c r="D319" i="342"/>
  <c r="C319" i="342"/>
  <c r="K318" i="342"/>
  <c r="J318" i="342"/>
  <c r="I318" i="342"/>
  <c r="H318" i="342"/>
  <c r="G318" i="342"/>
  <c r="F318" i="342"/>
  <c r="E318" i="342"/>
  <c r="D318" i="342"/>
  <c r="C318" i="342"/>
  <c r="K317" i="342"/>
  <c r="J317" i="342"/>
  <c r="I317" i="342"/>
  <c r="H317" i="342"/>
  <c r="G317" i="342"/>
  <c r="F317" i="342"/>
  <c r="E317" i="342"/>
  <c r="D317" i="342"/>
  <c r="C317" i="342"/>
  <c r="K315" i="342"/>
  <c r="J315" i="342"/>
  <c r="I315" i="342"/>
  <c r="H315" i="342"/>
  <c r="G315" i="342"/>
  <c r="F315" i="342"/>
  <c r="E315" i="342"/>
  <c r="D315" i="342"/>
  <c r="C315" i="342"/>
  <c r="K314" i="342"/>
  <c r="J314" i="342"/>
  <c r="I314" i="342"/>
  <c r="H314" i="342"/>
  <c r="G314" i="342"/>
  <c r="F314" i="342"/>
  <c r="E314" i="342"/>
  <c r="D314" i="342"/>
  <c r="C314" i="342"/>
  <c r="K313" i="342"/>
  <c r="J313" i="342"/>
  <c r="I313" i="342"/>
  <c r="H313" i="342"/>
  <c r="G313" i="342"/>
  <c r="F313" i="342"/>
  <c r="E313" i="342"/>
  <c r="D313" i="342"/>
  <c r="C313" i="342"/>
  <c r="K312" i="342"/>
  <c r="J312" i="342"/>
  <c r="I312" i="342"/>
  <c r="H312" i="342"/>
  <c r="G312" i="342"/>
  <c r="F312" i="342"/>
  <c r="E312" i="342"/>
  <c r="D312" i="342"/>
  <c r="C312" i="342"/>
  <c r="K311" i="342"/>
  <c r="J311" i="342"/>
  <c r="I311" i="342"/>
  <c r="H311" i="342"/>
  <c r="G311" i="342"/>
  <c r="F311" i="342"/>
  <c r="E311" i="342"/>
  <c r="D311" i="342"/>
  <c r="C311" i="342"/>
  <c r="K310" i="342"/>
  <c r="J310" i="342"/>
  <c r="I310" i="342"/>
  <c r="H310" i="342"/>
  <c r="G310" i="342"/>
  <c r="F310" i="342"/>
  <c r="E310" i="342"/>
  <c r="D310" i="342"/>
  <c r="C310" i="342"/>
  <c r="K309" i="342"/>
  <c r="J309" i="342"/>
  <c r="I309" i="342"/>
  <c r="H309" i="342"/>
  <c r="G309" i="342"/>
  <c r="F309" i="342"/>
  <c r="E309" i="342"/>
  <c r="D309" i="342"/>
  <c r="C309" i="342"/>
  <c r="K308" i="342"/>
  <c r="J308" i="342"/>
  <c r="I308" i="342"/>
  <c r="H308" i="342"/>
  <c r="G308" i="342"/>
  <c r="F308" i="342"/>
  <c r="E308" i="342"/>
  <c r="D308" i="342"/>
  <c r="C308" i="342"/>
  <c r="K307" i="342"/>
  <c r="J307" i="342"/>
  <c r="I307" i="342"/>
  <c r="H307" i="342"/>
  <c r="G307" i="342"/>
  <c r="F307" i="342"/>
  <c r="E307" i="342"/>
  <c r="D307" i="342"/>
  <c r="C307" i="342"/>
  <c r="K306" i="342"/>
  <c r="J306" i="342"/>
  <c r="I306" i="342"/>
  <c r="H306" i="342"/>
  <c r="G306" i="342"/>
  <c r="F306" i="342"/>
  <c r="E306" i="342"/>
  <c r="D306" i="342"/>
  <c r="C306" i="342"/>
  <c r="K304" i="342"/>
  <c r="J304" i="342"/>
  <c r="I304" i="342"/>
  <c r="H304" i="342"/>
  <c r="G304" i="342"/>
  <c r="F304" i="342"/>
  <c r="E304" i="342"/>
  <c r="D304" i="342"/>
  <c r="C304" i="342"/>
  <c r="K303" i="342"/>
  <c r="J303" i="342"/>
  <c r="I303" i="342"/>
  <c r="H303" i="342"/>
  <c r="G303" i="342"/>
  <c r="F303" i="342"/>
  <c r="E303" i="342"/>
  <c r="D303" i="342"/>
  <c r="C303" i="342"/>
  <c r="K302" i="342"/>
  <c r="J302" i="342"/>
  <c r="I302" i="342"/>
  <c r="H302" i="342"/>
  <c r="G302" i="342"/>
  <c r="F302" i="342"/>
  <c r="E302" i="342"/>
  <c r="D302" i="342"/>
  <c r="C302" i="342"/>
  <c r="K301" i="342"/>
  <c r="J301" i="342"/>
  <c r="I301" i="342"/>
  <c r="H301" i="342"/>
  <c r="G301" i="342"/>
  <c r="F301" i="342"/>
  <c r="E301" i="342"/>
  <c r="D301" i="342"/>
  <c r="C301" i="342"/>
  <c r="K300" i="342"/>
  <c r="J300" i="342"/>
  <c r="I300" i="342"/>
  <c r="H300" i="342"/>
  <c r="G300" i="342"/>
  <c r="F300" i="342"/>
  <c r="E300" i="342"/>
  <c r="D300" i="342"/>
  <c r="C300" i="342"/>
  <c r="K299" i="342"/>
  <c r="J299" i="342"/>
  <c r="I299" i="342"/>
  <c r="H299" i="342"/>
  <c r="G299" i="342"/>
  <c r="F299" i="342"/>
  <c r="E299" i="342"/>
  <c r="D299" i="342"/>
  <c r="C299" i="342"/>
  <c r="K298" i="342"/>
  <c r="J298" i="342"/>
  <c r="I298" i="342"/>
  <c r="H298" i="342"/>
  <c r="G298" i="342"/>
  <c r="F298" i="342"/>
  <c r="E298" i="342"/>
  <c r="D298" i="342"/>
  <c r="C298" i="342"/>
  <c r="K297" i="342"/>
  <c r="J297" i="342"/>
  <c r="I297" i="342"/>
  <c r="H297" i="342"/>
  <c r="G297" i="342"/>
  <c r="F297" i="342"/>
  <c r="E297" i="342"/>
  <c r="D297" i="342"/>
  <c r="C297" i="342"/>
  <c r="K296" i="342"/>
  <c r="J296" i="342"/>
  <c r="I296" i="342"/>
  <c r="H296" i="342"/>
  <c r="G296" i="342"/>
  <c r="F296" i="342"/>
  <c r="E296" i="342"/>
  <c r="D296" i="342"/>
  <c r="C296" i="342"/>
  <c r="K295" i="342"/>
  <c r="J295" i="342"/>
  <c r="I295" i="342"/>
  <c r="H295" i="342"/>
  <c r="G295" i="342"/>
  <c r="F295" i="342"/>
  <c r="E295" i="342"/>
  <c r="D295" i="342"/>
  <c r="C295" i="342"/>
  <c r="K293" i="342"/>
  <c r="J293" i="342"/>
  <c r="I293" i="342"/>
  <c r="H293" i="342"/>
  <c r="G293" i="342"/>
  <c r="F293" i="342"/>
  <c r="E293" i="342"/>
  <c r="D293" i="342"/>
  <c r="C293" i="342"/>
  <c r="K292" i="342"/>
  <c r="J292" i="342"/>
  <c r="I292" i="342"/>
  <c r="H292" i="342"/>
  <c r="G292" i="342"/>
  <c r="F292" i="342"/>
  <c r="E292" i="342"/>
  <c r="D292" i="342"/>
  <c r="C292" i="342"/>
  <c r="K291" i="342"/>
  <c r="J291" i="342"/>
  <c r="I291" i="342"/>
  <c r="H291" i="342"/>
  <c r="G291" i="342"/>
  <c r="F291" i="342"/>
  <c r="E291" i="342"/>
  <c r="D291" i="342"/>
  <c r="C291" i="342"/>
  <c r="K290" i="342"/>
  <c r="J290" i="342"/>
  <c r="I290" i="342"/>
  <c r="H290" i="342"/>
  <c r="G290" i="342"/>
  <c r="F290" i="342"/>
  <c r="E290" i="342"/>
  <c r="D290" i="342"/>
  <c r="C290" i="342"/>
  <c r="K289" i="342"/>
  <c r="J289" i="342"/>
  <c r="I289" i="342"/>
  <c r="H289" i="342"/>
  <c r="G289" i="342"/>
  <c r="F289" i="342"/>
  <c r="E289" i="342"/>
  <c r="D289" i="342"/>
  <c r="C289" i="342"/>
  <c r="K288" i="342"/>
  <c r="J288" i="342"/>
  <c r="I288" i="342"/>
  <c r="H288" i="342"/>
  <c r="G288" i="342"/>
  <c r="F288" i="342"/>
  <c r="E288" i="342"/>
  <c r="D288" i="342"/>
  <c r="C288" i="342"/>
  <c r="K287" i="342"/>
  <c r="J287" i="342"/>
  <c r="I287" i="342"/>
  <c r="H287" i="342"/>
  <c r="G287" i="342"/>
  <c r="F287" i="342"/>
  <c r="E287" i="342"/>
  <c r="D287" i="342"/>
  <c r="C287" i="342"/>
  <c r="K286" i="342"/>
  <c r="J286" i="342"/>
  <c r="I286" i="342"/>
  <c r="H286" i="342"/>
  <c r="G286" i="342"/>
  <c r="F286" i="342"/>
  <c r="E286" i="342"/>
  <c r="D286" i="342"/>
  <c r="C286" i="342"/>
  <c r="K285" i="342"/>
  <c r="J285" i="342"/>
  <c r="I285" i="342"/>
  <c r="H285" i="342"/>
  <c r="G285" i="342"/>
  <c r="F285" i="342"/>
  <c r="E285" i="342"/>
  <c r="D285" i="342"/>
  <c r="C285" i="342"/>
  <c r="K284" i="342"/>
  <c r="J284" i="342"/>
  <c r="I284" i="342"/>
  <c r="H284" i="342"/>
  <c r="G284" i="342"/>
  <c r="F284" i="342"/>
  <c r="E284" i="342"/>
  <c r="D284" i="342"/>
  <c r="C284" i="342"/>
  <c r="K282" i="342"/>
  <c r="J282" i="342"/>
  <c r="I282" i="342"/>
  <c r="H282" i="342"/>
  <c r="G282" i="342"/>
  <c r="F282" i="342"/>
  <c r="E282" i="342"/>
  <c r="D282" i="342"/>
  <c r="C282" i="342"/>
  <c r="K281" i="342"/>
  <c r="J281" i="342"/>
  <c r="I281" i="342"/>
  <c r="H281" i="342"/>
  <c r="G281" i="342"/>
  <c r="F281" i="342"/>
  <c r="E281" i="342"/>
  <c r="D281" i="342"/>
  <c r="C281" i="342"/>
  <c r="K280" i="342"/>
  <c r="J280" i="342"/>
  <c r="I280" i="342"/>
  <c r="H280" i="342"/>
  <c r="G280" i="342"/>
  <c r="F280" i="342"/>
  <c r="E280" i="342"/>
  <c r="D280" i="342"/>
  <c r="C280" i="342"/>
  <c r="K279" i="342"/>
  <c r="J279" i="342"/>
  <c r="I279" i="342"/>
  <c r="H279" i="342"/>
  <c r="G279" i="342"/>
  <c r="F279" i="342"/>
  <c r="E279" i="342"/>
  <c r="D279" i="342"/>
  <c r="C279" i="342"/>
  <c r="K278" i="342"/>
  <c r="J278" i="342"/>
  <c r="I278" i="342"/>
  <c r="H278" i="342"/>
  <c r="G278" i="342"/>
  <c r="F278" i="342"/>
  <c r="E278" i="342"/>
  <c r="D278" i="342"/>
  <c r="C278" i="342"/>
  <c r="K277" i="342"/>
  <c r="J277" i="342"/>
  <c r="I277" i="342"/>
  <c r="H277" i="342"/>
  <c r="G277" i="342"/>
  <c r="F277" i="342"/>
  <c r="E277" i="342"/>
  <c r="D277" i="342"/>
  <c r="C277" i="342"/>
  <c r="K276" i="342"/>
  <c r="J276" i="342"/>
  <c r="I276" i="342"/>
  <c r="H276" i="342"/>
  <c r="G276" i="342"/>
  <c r="F276" i="342"/>
  <c r="E276" i="342"/>
  <c r="D276" i="342"/>
  <c r="C276" i="342"/>
  <c r="K275" i="342"/>
  <c r="J275" i="342"/>
  <c r="I275" i="342"/>
  <c r="H275" i="342"/>
  <c r="G275" i="342"/>
  <c r="F275" i="342"/>
  <c r="E275" i="342"/>
  <c r="D275" i="342"/>
  <c r="C275" i="342"/>
  <c r="K274" i="342"/>
  <c r="J274" i="342"/>
  <c r="I274" i="342"/>
  <c r="H274" i="342"/>
  <c r="G274" i="342"/>
  <c r="F274" i="342"/>
  <c r="E274" i="342"/>
  <c r="D274" i="342"/>
  <c r="C274" i="342"/>
  <c r="K273" i="342"/>
  <c r="J273" i="342"/>
  <c r="I273" i="342"/>
  <c r="H273" i="342"/>
  <c r="G273" i="342"/>
  <c r="F273" i="342"/>
  <c r="E273" i="342"/>
  <c r="D273" i="342"/>
  <c r="K271" i="342"/>
  <c r="J271" i="342"/>
  <c r="I271" i="342"/>
  <c r="H271" i="342"/>
  <c r="G271" i="342"/>
  <c r="F271" i="342"/>
  <c r="E271" i="342"/>
  <c r="D271" i="342"/>
  <c r="C271" i="342"/>
  <c r="K270" i="342"/>
  <c r="J270" i="342"/>
  <c r="I270" i="342"/>
  <c r="H270" i="342"/>
  <c r="G270" i="342"/>
  <c r="F270" i="342"/>
  <c r="E270" i="342"/>
  <c r="D270" i="342"/>
  <c r="C270" i="342"/>
  <c r="K269" i="342"/>
  <c r="J269" i="342"/>
  <c r="I269" i="342"/>
  <c r="H269" i="342"/>
  <c r="G269" i="342"/>
  <c r="F269" i="342"/>
  <c r="E269" i="342"/>
  <c r="D269" i="342"/>
  <c r="C269" i="342"/>
  <c r="K268" i="342"/>
  <c r="J268" i="342"/>
  <c r="I268" i="342"/>
  <c r="H268" i="342"/>
  <c r="G268" i="342"/>
  <c r="F268" i="342"/>
  <c r="E268" i="342"/>
  <c r="D268" i="342"/>
  <c r="C268" i="342"/>
  <c r="K267" i="342"/>
  <c r="J267" i="342"/>
  <c r="I267" i="342"/>
  <c r="H267" i="342"/>
  <c r="G267" i="342"/>
  <c r="F267" i="342"/>
  <c r="E267" i="342"/>
  <c r="D267" i="342"/>
  <c r="C267" i="342"/>
  <c r="K266" i="342"/>
  <c r="J266" i="342"/>
  <c r="I266" i="342"/>
  <c r="H266" i="342"/>
  <c r="G266" i="342"/>
  <c r="F266" i="342"/>
  <c r="E266" i="342"/>
  <c r="D266" i="342"/>
  <c r="C266" i="342"/>
  <c r="K265" i="342"/>
  <c r="J265" i="342"/>
  <c r="I265" i="342"/>
  <c r="H265" i="342"/>
  <c r="G265" i="342"/>
  <c r="F265" i="342"/>
  <c r="E265" i="342"/>
  <c r="D265" i="342"/>
  <c r="C265" i="342"/>
  <c r="K264" i="342"/>
  <c r="J264" i="342"/>
  <c r="I264" i="342"/>
  <c r="H264" i="342"/>
  <c r="G264" i="342"/>
  <c r="F264" i="342"/>
  <c r="E264" i="342"/>
  <c r="D264" i="342"/>
  <c r="C264" i="342"/>
  <c r="K263" i="342"/>
  <c r="J263" i="342"/>
  <c r="I263" i="342"/>
  <c r="H263" i="342"/>
  <c r="G263" i="342"/>
  <c r="F263" i="342"/>
  <c r="E263" i="342"/>
  <c r="D263" i="342"/>
  <c r="C263" i="342"/>
  <c r="K262" i="342"/>
  <c r="J262" i="342"/>
  <c r="I262" i="342"/>
  <c r="H262" i="342"/>
  <c r="G262" i="342"/>
  <c r="F262" i="342"/>
  <c r="E262" i="342"/>
  <c r="D262" i="342"/>
  <c r="C262" i="342"/>
  <c r="K260" i="342"/>
  <c r="J260" i="342"/>
  <c r="I260" i="342"/>
  <c r="H260" i="342"/>
  <c r="G260" i="342"/>
  <c r="F260" i="342"/>
  <c r="E260" i="342"/>
  <c r="D260" i="342"/>
  <c r="C260" i="342"/>
  <c r="K259" i="342"/>
  <c r="J259" i="342"/>
  <c r="I259" i="342"/>
  <c r="H259" i="342"/>
  <c r="G259" i="342"/>
  <c r="F259" i="342"/>
  <c r="E259" i="342"/>
  <c r="D259" i="342"/>
  <c r="C259" i="342"/>
  <c r="K258" i="342"/>
  <c r="J258" i="342"/>
  <c r="I258" i="342"/>
  <c r="H258" i="342"/>
  <c r="G258" i="342"/>
  <c r="F258" i="342"/>
  <c r="E258" i="342"/>
  <c r="D258" i="342"/>
  <c r="C258" i="342"/>
  <c r="K257" i="342"/>
  <c r="J257" i="342"/>
  <c r="I257" i="342"/>
  <c r="H257" i="342"/>
  <c r="G257" i="342"/>
  <c r="F257" i="342"/>
  <c r="E257" i="342"/>
  <c r="D257" i="342"/>
  <c r="C257" i="342"/>
  <c r="K256" i="342"/>
  <c r="J256" i="342"/>
  <c r="I256" i="342"/>
  <c r="H256" i="342"/>
  <c r="G256" i="342"/>
  <c r="F256" i="342"/>
  <c r="E256" i="342"/>
  <c r="D256" i="342"/>
  <c r="C256" i="342"/>
  <c r="K255" i="342"/>
  <c r="J255" i="342"/>
  <c r="I255" i="342"/>
  <c r="H255" i="342"/>
  <c r="G255" i="342"/>
  <c r="F255" i="342"/>
  <c r="E255" i="342"/>
  <c r="D255" i="342"/>
  <c r="C255" i="342"/>
  <c r="K254" i="342"/>
  <c r="J254" i="342"/>
  <c r="I254" i="342"/>
  <c r="H254" i="342"/>
  <c r="G254" i="342"/>
  <c r="F254" i="342"/>
  <c r="E254" i="342"/>
  <c r="D254" i="342"/>
  <c r="C254" i="342"/>
  <c r="K253" i="342"/>
  <c r="J253" i="342"/>
  <c r="I253" i="342"/>
  <c r="H253" i="342"/>
  <c r="G253" i="342"/>
  <c r="F253" i="342"/>
  <c r="E253" i="342"/>
  <c r="D253" i="342"/>
  <c r="C253" i="342"/>
  <c r="K252" i="342"/>
  <c r="J252" i="342"/>
  <c r="I252" i="342"/>
  <c r="H252" i="342"/>
  <c r="G252" i="342"/>
  <c r="F252" i="342"/>
  <c r="E252" i="342"/>
  <c r="D252" i="342"/>
  <c r="C252" i="342"/>
  <c r="K251" i="342"/>
  <c r="J251" i="342"/>
  <c r="I251" i="342"/>
  <c r="H251" i="342"/>
  <c r="G251" i="342"/>
  <c r="F251" i="342"/>
  <c r="E251" i="342"/>
  <c r="D251" i="342"/>
  <c r="C251" i="342"/>
  <c r="K249" i="342"/>
  <c r="J249" i="342"/>
  <c r="I249" i="342"/>
  <c r="H249" i="342"/>
  <c r="G249" i="342"/>
  <c r="F249" i="342"/>
  <c r="E249" i="342"/>
  <c r="D249" i="342"/>
  <c r="C249" i="342"/>
  <c r="K248" i="342"/>
  <c r="J248" i="342"/>
  <c r="I248" i="342"/>
  <c r="H248" i="342"/>
  <c r="G248" i="342"/>
  <c r="F248" i="342"/>
  <c r="E248" i="342"/>
  <c r="D248" i="342"/>
  <c r="C248" i="342"/>
  <c r="K247" i="342"/>
  <c r="J247" i="342"/>
  <c r="I247" i="342"/>
  <c r="H247" i="342"/>
  <c r="G247" i="342"/>
  <c r="F247" i="342"/>
  <c r="E247" i="342"/>
  <c r="D247" i="342"/>
  <c r="C247" i="342"/>
  <c r="K246" i="342"/>
  <c r="J246" i="342"/>
  <c r="I246" i="342"/>
  <c r="H246" i="342"/>
  <c r="G246" i="342"/>
  <c r="F246" i="342"/>
  <c r="E246" i="342"/>
  <c r="D246" i="342"/>
  <c r="C246" i="342"/>
  <c r="K245" i="342"/>
  <c r="J245" i="342"/>
  <c r="I245" i="342"/>
  <c r="H245" i="342"/>
  <c r="G245" i="342"/>
  <c r="F245" i="342"/>
  <c r="E245" i="342"/>
  <c r="D245" i="342"/>
  <c r="C245" i="342"/>
  <c r="K244" i="342"/>
  <c r="J244" i="342"/>
  <c r="I244" i="342"/>
  <c r="H244" i="342"/>
  <c r="G244" i="342"/>
  <c r="F244" i="342"/>
  <c r="E244" i="342"/>
  <c r="D244" i="342"/>
  <c r="C244" i="342"/>
  <c r="K243" i="342"/>
  <c r="J243" i="342"/>
  <c r="I243" i="342"/>
  <c r="H243" i="342"/>
  <c r="G243" i="342"/>
  <c r="F243" i="342"/>
  <c r="E243" i="342"/>
  <c r="D243" i="342"/>
  <c r="C243" i="342"/>
  <c r="K242" i="342"/>
  <c r="J242" i="342"/>
  <c r="I242" i="342"/>
  <c r="H242" i="342"/>
  <c r="G242" i="342"/>
  <c r="F242" i="342"/>
  <c r="E242" i="342"/>
  <c r="D242" i="342"/>
  <c r="C242" i="342"/>
  <c r="K241" i="342"/>
  <c r="J241" i="342"/>
  <c r="I241" i="342"/>
  <c r="H241" i="342"/>
  <c r="G241" i="342"/>
  <c r="F241" i="342"/>
  <c r="E241" i="342"/>
  <c r="D241" i="342"/>
  <c r="C241" i="342"/>
  <c r="K240" i="342"/>
  <c r="J240" i="342"/>
  <c r="I240" i="342"/>
  <c r="H240" i="342"/>
  <c r="G240" i="342"/>
  <c r="F240" i="342"/>
  <c r="E240" i="342"/>
  <c r="D240" i="342"/>
  <c r="C240" i="342"/>
  <c r="K238" i="342"/>
  <c r="J238" i="342"/>
  <c r="I238" i="342"/>
  <c r="H238" i="342"/>
  <c r="G238" i="342"/>
  <c r="F238" i="342"/>
  <c r="E238" i="342"/>
  <c r="D238" i="342"/>
  <c r="C238" i="342"/>
  <c r="K237" i="342"/>
  <c r="J237" i="342"/>
  <c r="I237" i="342"/>
  <c r="H237" i="342"/>
  <c r="G237" i="342"/>
  <c r="F237" i="342"/>
  <c r="E237" i="342"/>
  <c r="D237" i="342"/>
  <c r="C237" i="342"/>
  <c r="K236" i="342"/>
  <c r="J236" i="342"/>
  <c r="I236" i="342"/>
  <c r="H236" i="342"/>
  <c r="G236" i="342"/>
  <c r="F236" i="342"/>
  <c r="E236" i="342"/>
  <c r="D236" i="342"/>
  <c r="C236" i="342"/>
  <c r="K235" i="342"/>
  <c r="J235" i="342"/>
  <c r="I235" i="342"/>
  <c r="H235" i="342"/>
  <c r="G235" i="342"/>
  <c r="F235" i="342"/>
  <c r="E235" i="342"/>
  <c r="D235" i="342"/>
  <c r="C235" i="342"/>
  <c r="K234" i="342"/>
  <c r="J234" i="342"/>
  <c r="I234" i="342"/>
  <c r="H234" i="342"/>
  <c r="G234" i="342"/>
  <c r="F234" i="342"/>
  <c r="E234" i="342"/>
  <c r="D234" i="342"/>
  <c r="C234" i="342"/>
  <c r="K233" i="342"/>
  <c r="J233" i="342"/>
  <c r="I233" i="342"/>
  <c r="H233" i="342"/>
  <c r="G233" i="342"/>
  <c r="F233" i="342"/>
  <c r="E233" i="342"/>
  <c r="D233" i="342"/>
  <c r="C233" i="342"/>
  <c r="K232" i="342"/>
  <c r="J232" i="342"/>
  <c r="I232" i="342"/>
  <c r="H232" i="342"/>
  <c r="G232" i="342"/>
  <c r="F232" i="342"/>
  <c r="E232" i="342"/>
  <c r="D232" i="342"/>
  <c r="C232" i="342"/>
  <c r="K231" i="342"/>
  <c r="J231" i="342"/>
  <c r="I231" i="342"/>
  <c r="H231" i="342"/>
  <c r="G231" i="342"/>
  <c r="F231" i="342"/>
  <c r="E231" i="342"/>
  <c r="D231" i="342"/>
  <c r="C231" i="342"/>
  <c r="K230" i="342"/>
  <c r="J230" i="342"/>
  <c r="I230" i="342"/>
  <c r="H230" i="342"/>
  <c r="G230" i="342"/>
  <c r="F230" i="342"/>
  <c r="E230" i="342"/>
  <c r="D230" i="342"/>
  <c r="C230" i="342"/>
  <c r="K229" i="342"/>
  <c r="J229" i="342"/>
  <c r="I229" i="342"/>
  <c r="H229" i="342"/>
  <c r="G229" i="342"/>
  <c r="F229" i="342"/>
  <c r="E229" i="342"/>
  <c r="D229" i="342"/>
  <c r="C229" i="342"/>
  <c r="K227" i="342"/>
  <c r="J227" i="342"/>
  <c r="I227" i="342"/>
  <c r="H227" i="342"/>
  <c r="G227" i="342"/>
  <c r="F227" i="342"/>
  <c r="E227" i="342"/>
  <c r="D227" i="342"/>
  <c r="C227" i="342"/>
  <c r="K226" i="342"/>
  <c r="J226" i="342"/>
  <c r="I226" i="342"/>
  <c r="H226" i="342"/>
  <c r="G226" i="342"/>
  <c r="F226" i="342"/>
  <c r="E226" i="342"/>
  <c r="D226" i="342"/>
  <c r="C226" i="342"/>
  <c r="K225" i="342"/>
  <c r="J225" i="342"/>
  <c r="I225" i="342"/>
  <c r="H225" i="342"/>
  <c r="G225" i="342"/>
  <c r="F225" i="342"/>
  <c r="E225" i="342"/>
  <c r="D225" i="342"/>
  <c r="C225" i="342"/>
  <c r="K224" i="342"/>
  <c r="J224" i="342"/>
  <c r="I224" i="342"/>
  <c r="H224" i="342"/>
  <c r="G224" i="342"/>
  <c r="F224" i="342"/>
  <c r="E224" i="342"/>
  <c r="D224" i="342"/>
  <c r="C224" i="342"/>
  <c r="K223" i="342"/>
  <c r="J223" i="342"/>
  <c r="I223" i="342"/>
  <c r="H223" i="342"/>
  <c r="G223" i="342"/>
  <c r="F223" i="342"/>
  <c r="E223" i="342"/>
  <c r="D223" i="342"/>
  <c r="C223" i="342"/>
  <c r="K222" i="342"/>
  <c r="J222" i="342"/>
  <c r="I222" i="342"/>
  <c r="H222" i="342"/>
  <c r="G222" i="342"/>
  <c r="F222" i="342"/>
  <c r="E222" i="342"/>
  <c r="D222" i="342"/>
  <c r="C222" i="342"/>
  <c r="K221" i="342"/>
  <c r="J221" i="342"/>
  <c r="I221" i="342"/>
  <c r="H221" i="342"/>
  <c r="G221" i="342"/>
  <c r="F221" i="342"/>
  <c r="E221" i="342"/>
  <c r="D221" i="342"/>
  <c r="C221" i="342"/>
  <c r="K220" i="342"/>
  <c r="J220" i="342"/>
  <c r="I220" i="342"/>
  <c r="H220" i="342"/>
  <c r="G220" i="342"/>
  <c r="F220" i="342"/>
  <c r="E220" i="342"/>
  <c r="D220" i="342"/>
  <c r="C220" i="342"/>
  <c r="K219" i="342"/>
  <c r="J219" i="342"/>
  <c r="I219" i="342"/>
  <c r="H219" i="342"/>
  <c r="G219" i="342"/>
  <c r="F219" i="342"/>
  <c r="E219" i="342"/>
  <c r="D219" i="342"/>
  <c r="C219" i="342"/>
  <c r="K218" i="342"/>
  <c r="J218" i="342"/>
  <c r="I218" i="342"/>
  <c r="H218" i="342"/>
  <c r="G218" i="342"/>
  <c r="F218" i="342"/>
  <c r="E218" i="342"/>
  <c r="D218" i="342"/>
  <c r="C218" i="342"/>
  <c r="K216" i="342"/>
  <c r="J216" i="342"/>
  <c r="I216" i="342"/>
  <c r="H216" i="342"/>
  <c r="G216" i="342"/>
  <c r="F216" i="342"/>
  <c r="E216" i="342"/>
  <c r="D216" i="342"/>
  <c r="C216" i="342"/>
  <c r="K215" i="342"/>
  <c r="J215" i="342"/>
  <c r="I215" i="342"/>
  <c r="H215" i="342"/>
  <c r="G215" i="342"/>
  <c r="F215" i="342"/>
  <c r="E215" i="342"/>
  <c r="D215" i="342"/>
  <c r="C215" i="342"/>
  <c r="K214" i="342"/>
  <c r="J214" i="342"/>
  <c r="I214" i="342"/>
  <c r="H214" i="342"/>
  <c r="G214" i="342"/>
  <c r="F214" i="342"/>
  <c r="E214" i="342"/>
  <c r="D214" i="342"/>
  <c r="C214" i="342"/>
  <c r="K213" i="342"/>
  <c r="J213" i="342"/>
  <c r="I213" i="342"/>
  <c r="H213" i="342"/>
  <c r="G213" i="342"/>
  <c r="F213" i="342"/>
  <c r="E213" i="342"/>
  <c r="D213" i="342"/>
  <c r="C213" i="342"/>
  <c r="K212" i="342"/>
  <c r="J212" i="342"/>
  <c r="I212" i="342"/>
  <c r="H212" i="342"/>
  <c r="G212" i="342"/>
  <c r="F212" i="342"/>
  <c r="E212" i="342"/>
  <c r="D212" i="342"/>
  <c r="C212" i="342"/>
  <c r="K211" i="342"/>
  <c r="J211" i="342"/>
  <c r="I211" i="342"/>
  <c r="H211" i="342"/>
  <c r="G211" i="342"/>
  <c r="F211" i="342"/>
  <c r="E211" i="342"/>
  <c r="D211" i="342"/>
  <c r="C211" i="342"/>
  <c r="K210" i="342"/>
  <c r="J210" i="342"/>
  <c r="I210" i="342"/>
  <c r="H210" i="342"/>
  <c r="G210" i="342"/>
  <c r="F210" i="342"/>
  <c r="E210" i="342"/>
  <c r="D210" i="342"/>
  <c r="C210" i="342"/>
  <c r="K209" i="342"/>
  <c r="J209" i="342"/>
  <c r="I209" i="342"/>
  <c r="H209" i="342"/>
  <c r="G209" i="342"/>
  <c r="F209" i="342"/>
  <c r="E209" i="342"/>
  <c r="D209" i="342"/>
  <c r="C209" i="342"/>
  <c r="K208" i="342"/>
  <c r="J208" i="342"/>
  <c r="I208" i="342"/>
  <c r="H208" i="342"/>
  <c r="G208" i="342"/>
  <c r="F208" i="342"/>
  <c r="E208" i="342"/>
  <c r="D208" i="342"/>
  <c r="C208" i="342"/>
  <c r="K207" i="342"/>
  <c r="J207" i="342"/>
  <c r="I207" i="342"/>
  <c r="H207" i="342"/>
  <c r="G207" i="342"/>
  <c r="F207" i="342"/>
  <c r="E207" i="342"/>
  <c r="D207" i="342"/>
  <c r="C207" i="342"/>
  <c r="K205" i="342"/>
  <c r="J205" i="342"/>
  <c r="I205" i="342"/>
  <c r="H205" i="342"/>
  <c r="G205" i="342"/>
  <c r="F205" i="342"/>
  <c r="E205" i="342"/>
  <c r="D205" i="342"/>
  <c r="C205" i="342"/>
  <c r="K204" i="342"/>
  <c r="J204" i="342"/>
  <c r="I204" i="342"/>
  <c r="H204" i="342"/>
  <c r="G204" i="342"/>
  <c r="F204" i="342"/>
  <c r="E204" i="342"/>
  <c r="D204" i="342"/>
  <c r="C204" i="342"/>
  <c r="K203" i="342"/>
  <c r="J203" i="342"/>
  <c r="I203" i="342"/>
  <c r="H203" i="342"/>
  <c r="G203" i="342"/>
  <c r="F203" i="342"/>
  <c r="E203" i="342"/>
  <c r="D203" i="342"/>
  <c r="C203" i="342"/>
  <c r="K202" i="342"/>
  <c r="J202" i="342"/>
  <c r="I202" i="342"/>
  <c r="H202" i="342"/>
  <c r="G202" i="342"/>
  <c r="F202" i="342"/>
  <c r="E202" i="342"/>
  <c r="D202" i="342"/>
  <c r="C202" i="342"/>
  <c r="K201" i="342"/>
  <c r="J201" i="342"/>
  <c r="I201" i="342"/>
  <c r="H201" i="342"/>
  <c r="G201" i="342"/>
  <c r="F201" i="342"/>
  <c r="E201" i="342"/>
  <c r="D201" i="342"/>
  <c r="C201" i="342"/>
  <c r="K200" i="342"/>
  <c r="J200" i="342"/>
  <c r="I200" i="342"/>
  <c r="H200" i="342"/>
  <c r="G200" i="342"/>
  <c r="F200" i="342"/>
  <c r="E200" i="342"/>
  <c r="D200" i="342"/>
  <c r="C200" i="342"/>
  <c r="K199" i="342"/>
  <c r="J199" i="342"/>
  <c r="I199" i="342"/>
  <c r="H199" i="342"/>
  <c r="G199" i="342"/>
  <c r="F199" i="342"/>
  <c r="E199" i="342"/>
  <c r="D199" i="342"/>
  <c r="C199" i="342"/>
  <c r="K198" i="342"/>
  <c r="J198" i="342"/>
  <c r="I198" i="342"/>
  <c r="H198" i="342"/>
  <c r="G198" i="342"/>
  <c r="F198" i="342"/>
  <c r="E198" i="342"/>
  <c r="D198" i="342"/>
  <c r="C198" i="342"/>
  <c r="K197" i="342"/>
  <c r="J197" i="342"/>
  <c r="I197" i="342"/>
  <c r="H197" i="342"/>
  <c r="G197" i="342"/>
  <c r="F197" i="342"/>
  <c r="E197" i="342"/>
  <c r="D197" i="342"/>
  <c r="C197" i="342"/>
  <c r="K196" i="342"/>
  <c r="J196" i="342"/>
  <c r="I196" i="342"/>
  <c r="H196" i="342"/>
  <c r="G196" i="342"/>
  <c r="F196" i="342"/>
  <c r="E196" i="342"/>
  <c r="D196" i="342"/>
  <c r="C196" i="342"/>
  <c r="K194" i="342"/>
  <c r="J194" i="342"/>
  <c r="I194" i="342"/>
  <c r="H194" i="342"/>
  <c r="G194" i="342"/>
  <c r="F194" i="342"/>
  <c r="E194" i="342"/>
  <c r="D194" i="342"/>
  <c r="C194" i="342"/>
  <c r="K193" i="342"/>
  <c r="J193" i="342"/>
  <c r="I193" i="342"/>
  <c r="H193" i="342"/>
  <c r="G193" i="342"/>
  <c r="F193" i="342"/>
  <c r="E193" i="342"/>
  <c r="D193" i="342"/>
  <c r="C193" i="342"/>
  <c r="K192" i="342"/>
  <c r="J192" i="342"/>
  <c r="I192" i="342"/>
  <c r="H192" i="342"/>
  <c r="G192" i="342"/>
  <c r="F192" i="342"/>
  <c r="E192" i="342"/>
  <c r="D192" i="342"/>
  <c r="C192" i="342"/>
  <c r="K191" i="342"/>
  <c r="J191" i="342"/>
  <c r="I191" i="342"/>
  <c r="H191" i="342"/>
  <c r="G191" i="342"/>
  <c r="F191" i="342"/>
  <c r="E191" i="342"/>
  <c r="D191" i="342"/>
  <c r="C191" i="342"/>
  <c r="K190" i="342"/>
  <c r="J190" i="342"/>
  <c r="I190" i="342"/>
  <c r="H190" i="342"/>
  <c r="G190" i="342"/>
  <c r="F190" i="342"/>
  <c r="E190" i="342"/>
  <c r="D190" i="342"/>
  <c r="C190" i="342"/>
  <c r="K189" i="342"/>
  <c r="J189" i="342"/>
  <c r="I189" i="342"/>
  <c r="H189" i="342"/>
  <c r="G189" i="342"/>
  <c r="F189" i="342"/>
  <c r="E189" i="342"/>
  <c r="D189" i="342"/>
  <c r="C189" i="342"/>
  <c r="K188" i="342"/>
  <c r="J188" i="342"/>
  <c r="I188" i="342"/>
  <c r="H188" i="342"/>
  <c r="G188" i="342"/>
  <c r="F188" i="342"/>
  <c r="E188" i="342"/>
  <c r="D188" i="342"/>
  <c r="C188" i="342"/>
  <c r="K187" i="342"/>
  <c r="J187" i="342"/>
  <c r="I187" i="342"/>
  <c r="H187" i="342"/>
  <c r="G187" i="342"/>
  <c r="F187" i="342"/>
  <c r="E187" i="342"/>
  <c r="D187" i="342"/>
  <c r="C187" i="342"/>
  <c r="K186" i="342"/>
  <c r="J186" i="342"/>
  <c r="I186" i="342"/>
  <c r="H186" i="342"/>
  <c r="G186" i="342"/>
  <c r="F186" i="342"/>
  <c r="E186" i="342"/>
  <c r="D186" i="342"/>
  <c r="C186" i="342"/>
  <c r="K185" i="342"/>
  <c r="J185" i="342"/>
  <c r="I185" i="342"/>
  <c r="H185" i="342"/>
  <c r="G185" i="342"/>
  <c r="F185" i="342"/>
  <c r="E185" i="342"/>
  <c r="D185" i="342"/>
  <c r="C185" i="342"/>
  <c r="C175" i="342"/>
  <c r="D175" i="342"/>
  <c r="E175" i="342"/>
  <c r="F175" i="342"/>
  <c r="G175" i="342"/>
  <c r="H175" i="342"/>
  <c r="I175" i="342"/>
  <c r="J175" i="342"/>
  <c r="K175" i="342"/>
  <c r="C176" i="342"/>
  <c r="D176" i="342"/>
  <c r="E176" i="342"/>
  <c r="F176" i="342"/>
  <c r="G176" i="342"/>
  <c r="H176" i="342"/>
  <c r="I176" i="342"/>
  <c r="J176" i="342"/>
  <c r="K176" i="342"/>
  <c r="C177" i="342"/>
  <c r="D177" i="342"/>
  <c r="E177" i="342"/>
  <c r="F177" i="342"/>
  <c r="G177" i="342"/>
  <c r="H177" i="342"/>
  <c r="I177" i="342"/>
  <c r="J177" i="342"/>
  <c r="K177" i="342"/>
  <c r="C178" i="342"/>
  <c r="D178" i="342"/>
  <c r="E178" i="342"/>
  <c r="F178" i="342"/>
  <c r="G178" i="342"/>
  <c r="H178" i="342"/>
  <c r="I178" i="342"/>
  <c r="J178" i="342"/>
  <c r="K178" i="342"/>
  <c r="C179" i="342"/>
  <c r="D179" i="342"/>
  <c r="E179" i="342"/>
  <c r="F179" i="342"/>
  <c r="G179" i="342"/>
  <c r="H179" i="342"/>
  <c r="I179" i="342"/>
  <c r="J179" i="342"/>
  <c r="K179" i="342"/>
  <c r="C180" i="342"/>
  <c r="D180" i="342"/>
  <c r="E180" i="342"/>
  <c r="F180" i="342"/>
  <c r="G180" i="342"/>
  <c r="H180" i="342"/>
  <c r="I180" i="342"/>
  <c r="J180" i="342"/>
  <c r="K180" i="342"/>
  <c r="C181" i="342"/>
  <c r="D181" i="342"/>
  <c r="E181" i="342"/>
  <c r="F181" i="342"/>
  <c r="G181" i="342"/>
  <c r="H181" i="342"/>
  <c r="I181" i="342"/>
  <c r="J181" i="342"/>
  <c r="K181" i="342"/>
  <c r="C182" i="342"/>
  <c r="D182" i="342"/>
  <c r="E182" i="342"/>
  <c r="F182" i="342"/>
  <c r="G182" i="342"/>
  <c r="H182" i="342"/>
  <c r="I182" i="342"/>
  <c r="J182" i="342"/>
  <c r="K182" i="342"/>
  <c r="C183" i="342"/>
  <c r="D183" i="342"/>
  <c r="E183" i="342"/>
  <c r="F183" i="342"/>
  <c r="G183" i="342"/>
  <c r="H183" i="342"/>
  <c r="I183" i="342"/>
  <c r="J183" i="342"/>
  <c r="K183" i="342"/>
  <c r="K174" i="342"/>
  <c r="J174" i="342"/>
  <c r="I174" i="342"/>
  <c r="H174" i="342"/>
  <c r="G174" i="342"/>
  <c r="F174" i="342"/>
  <c r="E174" i="342"/>
  <c r="D174" i="342"/>
  <c r="C174" i="342"/>
  <c r="K169" i="342"/>
  <c r="J169" i="342"/>
  <c r="I169" i="342"/>
  <c r="H169" i="342"/>
  <c r="G169" i="342"/>
  <c r="F169" i="342"/>
  <c r="E169" i="342"/>
  <c r="D169" i="342"/>
  <c r="C169" i="342"/>
  <c r="K168" i="342"/>
  <c r="J168" i="342"/>
  <c r="I168" i="342"/>
  <c r="H168" i="342"/>
  <c r="G168" i="342"/>
  <c r="F168" i="342"/>
  <c r="E168" i="342"/>
  <c r="D168" i="342"/>
  <c r="C168" i="342"/>
  <c r="K167" i="342"/>
  <c r="J167" i="342"/>
  <c r="I167" i="342"/>
  <c r="H167" i="342"/>
  <c r="G167" i="342"/>
  <c r="F167" i="342"/>
  <c r="E167" i="342"/>
  <c r="D167" i="342"/>
  <c r="C167" i="342"/>
  <c r="K166" i="342"/>
  <c r="J166" i="342"/>
  <c r="I166" i="342"/>
  <c r="H166" i="342"/>
  <c r="G166" i="342"/>
  <c r="F166" i="342"/>
  <c r="E166" i="342"/>
  <c r="D166" i="342"/>
  <c r="C166" i="342"/>
  <c r="K165" i="342"/>
  <c r="J165" i="342"/>
  <c r="I165" i="342"/>
  <c r="H165" i="342"/>
  <c r="G165" i="342"/>
  <c r="F165" i="342"/>
  <c r="E165" i="342"/>
  <c r="D165" i="342"/>
  <c r="C165" i="342"/>
  <c r="K164" i="342"/>
  <c r="J164" i="342"/>
  <c r="I164" i="342"/>
  <c r="H164" i="342"/>
  <c r="G164" i="342"/>
  <c r="F164" i="342"/>
  <c r="E164" i="342"/>
  <c r="D164" i="342"/>
  <c r="C164" i="342"/>
  <c r="K163" i="342"/>
  <c r="J163" i="342"/>
  <c r="I163" i="342"/>
  <c r="H163" i="342"/>
  <c r="G163" i="342"/>
  <c r="F163" i="342"/>
  <c r="E163" i="342"/>
  <c r="D163" i="342"/>
  <c r="C163" i="342"/>
  <c r="K162" i="342"/>
  <c r="J162" i="342"/>
  <c r="I162" i="342"/>
  <c r="H162" i="342"/>
  <c r="G162" i="342"/>
  <c r="F162" i="342"/>
  <c r="E162" i="342"/>
  <c r="D162" i="342"/>
  <c r="C162" i="342"/>
  <c r="K161" i="342"/>
  <c r="J161" i="342"/>
  <c r="I161" i="342"/>
  <c r="H161" i="342"/>
  <c r="G161" i="342"/>
  <c r="F161" i="342"/>
  <c r="E161" i="342"/>
  <c r="D161" i="342"/>
  <c r="C161" i="342"/>
  <c r="K160" i="342"/>
  <c r="J160" i="342"/>
  <c r="I160" i="342"/>
  <c r="H160" i="342"/>
  <c r="G160" i="342"/>
  <c r="F160" i="342"/>
  <c r="E160" i="342"/>
  <c r="D160" i="342"/>
  <c r="C160" i="342"/>
  <c r="K158" i="342"/>
  <c r="J158" i="342"/>
  <c r="I158" i="342"/>
  <c r="H158" i="342"/>
  <c r="G158" i="342"/>
  <c r="F158" i="342"/>
  <c r="E158" i="342"/>
  <c r="D158" i="342"/>
  <c r="C158" i="342"/>
  <c r="K157" i="342"/>
  <c r="J157" i="342"/>
  <c r="I157" i="342"/>
  <c r="H157" i="342"/>
  <c r="G157" i="342"/>
  <c r="F157" i="342"/>
  <c r="E157" i="342"/>
  <c r="D157" i="342"/>
  <c r="C157" i="342"/>
  <c r="K156" i="342"/>
  <c r="J156" i="342"/>
  <c r="I156" i="342"/>
  <c r="H156" i="342"/>
  <c r="G156" i="342"/>
  <c r="F156" i="342"/>
  <c r="E156" i="342"/>
  <c r="D156" i="342"/>
  <c r="C156" i="342"/>
  <c r="K155" i="342"/>
  <c r="J155" i="342"/>
  <c r="I155" i="342"/>
  <c r="H155" i="342"/>
  <c r="G155" i="342"/>
  <c r="F155" i="342"/>
  <c r="E155" i="342"/>
  <c r="D155" i="342"/>
  <c r="C155" i="342"/>
  <c r="K154" i="342"/>
  <c r="J154" i="342"/>
  <c r="I154" i="342"/>
  <c r="H154" i="342"/>
  <c r="G154" i="342"/>
  <c r="F154" i="342"/>
  <c r="E154" i="342"/>
  <c r="D154" i="342"/>
  <c r="C154" i="342"/>
  <c r="K153" i="342"/>
  <c r="J153" i="342"/>
  <c r="I153" i="342"/>
  <c r="H153" i="342"/>
  <c r="G153" i="342"/>
  <c r="F153" i="342"/>
  <c r="E153" i="342"/>
  <c r="D153" i="342"/>
  <c r="C153" i="342"/>
  <c r="K152" i="342"/>
  <c r="J152" i="342"/>
  <c r="I152" i="342"/>
  <c r="H152" i="342"/>
  <c r="G152" i="342"/>
  <c r="F152" i="342"/>
  <c r="E152" i="342"/>
  <c r="D152" i="342"/>
  <c r="C152" i="342"/>
  <c r="K151" i="342"/>
  <c r="J151" i="342"/>
  <c r="I151" i="342"/>
  <c r="H151" i="342"/>
  <c r="G151" i="342"/>
  <c r="F151" i="342"/>
  <c r="E151" i="342"/>
  <c r="D151" i="342"/>
  <c r="C151" i="342"/>
  <c r="K150" i="342"/>
  <c r="J150" i="342"/>
  <c r="I150" i="342"/>
  <c r="H150" i="342"/>
  <c r="G150" i="342"/>
  <c r="F150" i="342"/>
  <c r="E150" i="342"/>
  <c r="D150" i="342"/>
  <c r="C150" i="342"/>
  <c r="K149" i="342"/>
  <c r="J149" i="342"/>
  <c r="I149" i="342"/>
  <c r="H149" i="342"/>
  <c r="G149" i="342"/>
  <c r="F149" i="342"/>
  <c r="E149" i="342"/>
  <c r="D149" i="342"/>
  <c r="C149" i="342"/>
  <c r="K147" i="342"/>
  <c r="J147" i="342"/>
  <c r="I147" i="342"/>
  <c r="H147" i="342"/>
  <c r="G147" i="342"/>
  <c r="F147" i="342"/>
  <c r="E147" i="342"/>
  <c r="D147" i="342"/>
  <c r="C147" i="342"/>
  <c r="K146" i="342"/>
  <c r="J146" i="342"/>
  <c r="I146" i="342"/>
  <c r="H146" i="342"/>
  <c r="G146" i="342"/>
  <c r="F146" i="342"/>
  <c r="E146" i="342"/>
  <c r="D146" i="342"/>
  <c r="C146" i="342"/>
  <c r="K145" i="342"/>
  <c r="J145" i="342"/>
  <c r="I145" i="342"/>
  <c r="H145" i="342"/>
  <c r="G145" i="342"/>
  <c r="F145" i="342"/>
  <c r="E145" i="342"/>
  <c r="D145" i="342"/>
  <c r="C145" i="342"/>
  <c r="K144" i="342"/>
  <c r="J144" i="342"/>
  <c r="I144" i="342"/>
  <c r="H144" i="342"/>
  <c r="G144" i="342"/>
  <c r="F144" i="342"/>
  <c r="E144" i="342"/>
  <c r="D144" i="342"/>
  <c r="C144" i="342"/>
  <c r="K143" i="342"/>
  <c r="J143" i="342"/>
  <c r="I143" i="342"/>
  <c r="H143" i="342"/>
  <c r="G143" i="342"/>
  <c r="F143" i="342"/>
  <c r="E143" i="342"/>
  <c r="D143" i="342"/>
  <c r="C143" i="342"/>
  <c r="K142" i="342"/>
  <c r="J142" i="342"/>
  <c r="I142" i="342"/>
  <c r="H142" i="342"/>
  <c r="G142" i="342"/>
  <c r="F142" i="342"/>
  <c r="E142" i="342"/>
  <c r="D142" i="342"/>
  <c r="C142" i="342"/>
  <c r="K141" i="342"/>
  <c r="J141" i="342"/>
  <c r="I141" i="342"/>
  <c r="H141" i="342"/>
  <c r="G141" i="342"/>
  <c r="F141" i="342"/>
  <c r="E141" i="342"/>
  <c r="D141" i="342"/>
  <c r="C141" i="342"/>
  <c r="K140" i="342"/>
  <c r="J140" i="342"/>
  <c r="I140" i="342"/>
  <c r="H140" i="342"/>
  <c r="G140" i="342"/>
  <c r="F140" i="342"/>
  <c r="E140" i="342"/>
  <c r="D140" i="342"/>
  <c r="C140" i="342"/>
  <c r="K139" i="342"/>
  <c r="J139" i="342"/>
  <c r="I139" i="342"/>
  <c r="H139" i="342"/>
  <c r="G139" i="342"/>
  <c r="F139" i="342"/>
  <c r="E139" i="342"/>
  <c r="D139" i="342"/>
  <c r="C139" i="342"/>
  <c r="K138" i="342"/>
  <c r="J138" i="342"/>
  <c r="I138" i="342"/>
  <c r="H138" i="342"/>
  <c r="G138" i="342"/>
  <c r="F138" i="342"/>
  <c r="E138" i="342"/>
  <c r="D138" i="342"/>
  <c r="C138" i="342"/>
  <c r="K136" i="342"/>
  <c r="J136" i="342"/>
  <c r="I136" i="342"/>
  <c r="H136" i="342"/>
  <c r="G136" i="342"/>
  <c r="F136" i="342"/>
  <c r="E136" i="342"/>
  <c r="D136" i="342"/>
  <c r="C136" i="342"/>
  <c r="K135" i="342"/>
  <c r="J135" i="342"/>
  <c r="I135" i="342"/>
  <c r="H135" i="342"/>
  <c r="G135" i="342"/>
  <c r="F135" i="342"/>
  <c r="E135" i="342"/>
  <c r="D135" i="342"/>
  <c r="C135" i="342"/>
  <c r="K134" i="342"/>
  <c r="J134" i="342"/>
  <c r="I134" i="342"/>
  <c r="H134" i="342"/>
  <c r="G134" i="342"/>
  <c r="F134" i="342"/>
  <c r="E134" i="342"/>
  <c r="D134" i="342"/>
  <c r="C134" i="342"/>
  <c r="K133" i="342"/>
  <c r="J133" i="342"/>
  <c r="I133" i="342"/>
  <c r="H133" i="342"/>
  <c r="G133" i="342"/>
  <c r="F133" i="342"/>
  <c r="E133" i="342"/>
  <c r="D133" i="342"/>
  <c r="C133" i="342"/>
  <c r="K132" i="342"/>
  <c r="J132" i="342"/>
  <c r="I132" i="342"/>
  <c r="H132" i="342"/>
  <c r="G132" i="342"/>
  <c r="F132" i="342"/>
  <c r="E132" i="342"/>
  <c r="D132" i="342"/>
  <c r="C132" i="342"/>
  <c r="K131" i="342"/>
  <c r="J131" i="342"/>
  <c r="I131" i="342"/>
  <c r="H131" i="342"/>
  <c r="G131" i="342"/>
  <c r="F131" i="342"/>
  <c r="E131" i="342"/>
  <c r="D131" i="342"/>
  <c r="C131" i="342"/>
  <c r="K130" i="342"/>
  <c r="J130" i="342"/>
  <c r="I130" i="342"/>
  <c r="H130" i="342"/>
  <c r="G130" i="342"/>
  <c r="F130" i="342"/>
  <c r="E130" i="342"/>
  <c r="D130" i="342"/>
  <c r="C130" i="342"/>
  <c r="K129" i="342"/>
  <c r="J129" i="342"/>
  <c r="I129" i="342"/>
  <c r="H129" i="342"/>
  <c r="G129" i="342"/>
  <c r="F129" i="342"/>
  <c r="E129" i="342"/>
  <c r="D129" i="342"/>
  <c r="C129" i="342"/>
  <c r="K128" i="342"/>
  <c r="J128" i="342"/>
  <c r="I128" i="342"/>
  <c r="H128" i="342"/>
  <c r="G128" i="342"/>
  <c r="F128" i="342"/>
  <c r="E128" i="342"/>
  <c r="D128" i="342"/>
  <c r="C128" i="342"/>
  <c r="K127" i="342"/>
  <c r="J127" i="342"/>
  <c r="I127" i="342"/>
  <c r="H127" i="342"/>
  <c r="G127" i="342"/>
  <c r="F127" i="342"/>
  <c r="E127" i="342"/>
  <c r="D127" i="342"/>
  <c r="C127" i="342"/>
  <c r="K125" i="342"/>
  <c r="J125" i="342"/>
  <c r="I125" i="342"/>
  <c r="H125" i="342"/>
  <c r="G125" i="342"/>
  <c r="F125" i="342"/>
  <c r="E125" i="342"/>
  <c r="D125" i="342"/>
  <c r="C125" i="342"/>
  <c r="K124" i="342"/>
  <c r="J124" i="342"/>
  <c r="I124" i="342"/>
  <c r="H124" i="342"/>
  <c r="G124" i="342"/>
  <c r="F124" i="342"/>
  <c r="E124" i="342"/>
  <c r="D124" i="342"/>
  <c r="C124" i="342"/>
  <c r="K123" i="342"/>
  <c r="J123" i="342"/>
  <c r="I123" i="342"/>
  <c r="H123" i="342"/>
  <c r="G123" i="342"/>
  <c r="F123" i="342"/>
  <c r="E123" i="342"/>
  <c r="D123" i="342"/>
  <c r="C123" i="342"/>
  <c r="K122" i="342"/>
  <c r="J122" i="342"/>
  <c r="I122" i="342"/>
  <c r="H122" i="342"/>
  <c r="G122" i="342"/>
  <c r="F122" i="342"/>
  <c r="E122" i="342"/>
  <c r="D122" i="342"/>
  <c r="C122" i="342"/>
  <c r="K121" i="342"/>
  <c r="J121" i="342"/>
  <c r="I121" i="342"/>
  <c r="H121" i="342"/>
  <c r="G121" i="342"/>
  <c r="F121" i="342"/>
  <c r="E121" i="342"/>
  <c r="D121" i="342"/>
  <c r="C121" i="342"/>
  <c r="K120" i="342"/>
  <c r="J120" i="342"/>
  <c r="I120" i="342"/>
  <c r="H120" i="342"/>
  <c r="G120" i="342"/>
  <c r="F120" i="342"/>
  <c r="E120" i="342"/>
  <c r="D120" i="342"/>
  <c r="C120" i="342"/>
  <c r="K119" i="342"/>
  <c r="J119" i="342"/>
  <c r="I119" i="342"/>
  <c r="H119" i="342"/>
  <c r="G119" i="342"/>
  <c r="F119" i="342"/>
  <c r="E119" i="342"/>
  <c r="D119" i="342"/>
  <c r="C119" i="342"/>
  <c r="K118" i="342"/>
  <c r="J118" i="342"/>
  <c r="I118" i="342"/>
  <c r="H118" i="342"/>
  <c r="G118" i="342"/>
  <c r="F118" i="342"/>
  <c r="E118" i="342"/>
  <c r="D118" i="342"/>
  <c r="C118" i="342"/>
  <c r="K117" i="342"/>
  <c r="J117" i="342"/>
  <c r="I117" i="342"/>
  <c r="H117" i="342"/>
  <c r="G117" i="342"/>
  <c r="F117" i="342"/>
  <c r="E117" i="342"/>
  <c r="D117" i="342"/>
  <c r="C117" i="342"/>
  <c r="K116" i="342"/>
  <c r="J116" i="342"/>
  <c r="I116" i="342"/>
  <c r="H116" i="342"/>
  <c r="G116" i="342"/>
  <c r="F116" i="342"/>
  <c r="E116" i="342"/>
  <c r="D116" i="342"/>
  <c r="C116" i="342"/>
  <c r="K114" i="342"/>
  <c r="J114" i="342"/>
  <c r="I114" i="342"/>
  <c r="H114" i="342"/>
  <c r="G114" i="342"/>
  <c r="F114" i="342"/>
  <c r="E114" i="342"/>
  <c r="D114" i="342"/>
  <c r="C114" i="342"/>
  <c r="K113" i="342"/>
  <c r="J113" i="342"/>
  <c r="I113" i="342"/>
  <c r="H113" i="342"/>
  <c r="G113" i="342"/>
  <c r="F113" i="342"/>
  <c r="E113" i="342"/>
  <c r="D113" i="342"/>
  <c r="C113" i="342"/>
  <c r="K112" i="342"/>
  <c r="J112" i="342"/>
  <c r="I112" i="342"/>
  <c r="H112" i="342"/>
  <c r="G112" i="342"/>
  <c r="F112" i="342"/>
  <c r="E112" i="342"/>
  <c r="D112" i="342"/>
  <c r="C112" i="342"/>
  <c r="K111" i="342"/>
  <c r="J111" i="342"/>
  <c r="I111" i="342"/>
  <c r="H111" i="342"/>
  <c r="G111" i="342"/>
  <c r="F111" i="342"/>
  <c r="E111" i="342"/>
  <c r="D111" i="342"/>
  <c r="C111" i="342"/>
  <c r="K110" i="342"/>
  <c r="J110" i="342"/>
  <c r="I110" i="342"/>
  <c r="H110" i="342"/>
  <c r="G110" i="342"/>
  <c r="F110" i="342"/>
  <c r="E110" i="342"/>
  <c r="D110" i="342"/>
  <c r="C110" i="342"/>
  <c r="K109" i="342"/>
  <c r="J109" i="342"/>
  <c r="I109" i="342"/>
  <c r="H109" i="342"/>
  <c r="G109" i="342"/>
  <c r="F109" i="342"/>
  <c r="E109" i="342"/>
  <c r="D109" i="342"/>
  <c r="C109" i="342"/>
  <c r="K108" i="342"/>
  <c r="J108" i="342"/>
  <c r="I108" i="342"/>
  <c r="H108" i="342"/>
  <c r="G108" i="342"/>
  <c r="F108" i="342"/>
  <c r="E108" i="342"/>
  <c r="D108" i="342"/>
  <c r="C108" i="342"/>
  <c r="K107" i="342"/>
  <c r="J107" i="342"/>
  <c r="I107" i="342"/>
  <c r="H107" i="342"/>
  <c r="G107" i="342"/>
  <c r="F107" i="342"/>
  <c r="E107" i="342"/>
  <c r="D107" i="342"/>
  <c r="C107" i="342"/>
  <c r="K106" i="342"/>
  <c r="J106" i="342"/>
  <c r="I106" i="342"/>
  <c r="H106" i="342"/>
  <c r="G106" i="342"/>
  <c r="F106" i="342"/>
  <c r="E106" i="342"/>
  <c r="D106" i="342"/>
  <c r="C106" i="342"/>
  <c r="K105" i="342"/>
  <c r="J105" i="342"/>
  <c r="I105" i="342"/>
  <c r="H105" i="342"/>
  <c r="G105" i="342"/>
  <c r="F105" i="342"/>
  <c r="E105" i="342"/>
  <c r="D105" i="342"/>
  <c r="C105" i="342"/>
  <c r="K103" i="342"/>
  <c r="J103" i="342"/>
  <c r="I103" i="342"/>
  <c r="H103" i="342"/>
  <c r="G103" i="342"/>
  <c r="F103" i="342"/>
  <c r="E103" i="342"/>
  <c r="D103" i="342"/>
  <c r="C103" i="342"/>
  <c r="K102" i="342"/>
  <c r="J102" i="342"/>
  <c r="I102" i="342"/>
  <c r="H102" i="342"/>
  <c r="G102" i="342"/>
  <c r="F102" i="342"/>
  <c r="E102" i="342"/>
  <c r="D102" i="342"/>
  <c r="C102" i="342"/>
  <c r="K101" i="342"/>
  <c r="J101" i="342"/>
  <c r="I101" i="342"/>
  <c r="H101" i="342"/>
  <c r="G101" i="342"/>
  <c r="F101" i="342"/>
  <c r="E101" i="342"/>
  <c r="D101" i="342"/>
  <c r="C101" i="342"/>
  <c r="K100" i="342"/>
  <c r="J100" i="342"/>
  <c r="I100" i="342"/>
  <c r="H100" i="342"/>
  <c r="G100" i="342"/>
  <c r="F100" i="342"/>
  <c r="E100" i="342"/>
  <c r="D100" i="342"/>
  <c r="C100" i="342"/>
  <c r="K99" i="342"/>
  <c r="J99" i="342"/>
  <c r="I99" i="342"/>
  <c r="H99" i="342"/>
  <c r="G99" i="342"/>
  <c r="F99" i="342"/>
  <c r="E99" i="342"/>
  <c r="D99" i="342"/>
  <c r="C99" i="342"/>
  <c r="K98" i="342"/>
  <c r="J98" i="342"/>
  <c r="I98" i="342"/>
  <c r="H98" i="342"/>
  <c r="G98" i="342"/>
  <c r="F98" i="342"/>
  <c r="E98" i="342"/>
  <c r="D98" i="342"/>
  <c r="C98" i="342"/>
  <c r="K97" i="342"/>
  <c r="J97" i="342"/>
  <c r="I97" i="342"/>
  <c r="H97" i="342"/>
  <c r="G97" i="342"/>
  <c r="F97" i="342"/>
  <c r="E97" i="342"/>
  <c r="D97" i="342"/>
  <c r="C97" i="342"/>
  <c r="K96" i="342"/>
  <c r="J96" i="342"/>
  <c r="I96" i="342"/>
  <c r="H96" i="342"/>
  <c r="G96" i="342"/>
  <c r="F96" i="342"/>
  <c r="E96" i="342"/>
  <c r="D96" i="342"/>
  <c r="C96" i="342"/>
  <c r="K95" i="342"/>
  <c r="J95" i="342"/>
  <c r="I95" i="342"/>
  <c r="H95" i="342"/>
  <c r="G95" i="342"/>
  <c r="F95" i="342"/>
  <c r="E95" i="342"/>
  <c r="D95" i="342"/>
  <c r="C95" i="342"/>
  <c r="K94" i="342"/>
  <c r="J94" i="342"/>
  <c r="I94" i="342"/>
  <c r="H94" i="342"/>
  <c r="G94" i="342"/>
  <c r="F94" i="342"/>
  <c r="E94" i="342"/>
  <c r="D94" i="342"/>
  <c r="C94" i="342"/>
  <c r="K92" i="342"/>
  <c r="J92" i="342"/>
  <c r="I92" i="342"/>
  <c r="H92" i="342"/>
  <c r="G92" i="342"/>
  <c r="F92" i="342"/>
  <c r="E92" i="342"/>
  <c r="D92" i="342"/>
  <c r="C92" i="342"/>
  <c r="K91" i="342"/>
  <c r="J91" i="342"/>
  <c r="I91" i="342"/>
  <c r="H91" i="342"/>
  <c r="G91" i="342"/>
  <c r="F91" i="342"/>
  <c r="E91" i="342"/>
  <c r="D91" i="342"/>
  <c r="C91" i="342"/>
  <c r="K90" i="342"/>
  <c r="J90" i="342"/>
  <c r="I90" i="342"/>
  <c r="H90" i="342"/>
  <c r="G90" i="342"/>
  <c r="F90" i="342"/>
  <c r="E90" i="342"/>
  <c r="D90" i="342"/>
  <c r="C90" i="342"/>
  <c r="K89" i="342"/>
  <c r="J89" i="342"/>
  <c r="I89" i="342"/>
  <c r="H89" i="342"/>
  <c r="G89" i="342"/>
  <c r="F89" i="342"/>
  <c r="E89" i="342"/>
  <c r="D89" i="342"/>
  <c r="C89" i="342"/>
  <c r="K88" i="342"/>
  <c r="J88" i="342"/>
  <c r="I88" i="342"/>
  <c r="H88" i="342"/>
  <c r="G88" i="342"/>
  <c r="F88" i="342"/>
  <c r="E88" i="342"/>
  <c r="D88" i="342"/>
  <c r="C88" i="342"/>
  <c r="K87" i="342"/>
  <c r="J87" i="342"/>
  <c r="I87" i="342"/>
  <c r="H87" i="342"/>
  <c r="G87" i="342"/>
  <c r="F87" i="342"/>
  <c r="E87" i="342"/>
  <c r="D87" i="342"/>
  <c r="C87" i="342"/>
  <c r="K86" i="342"/>
  <c r="J86" i="342"/>
  <c r="I86" i="342"/>
  <c r="H86" i="342"/>
  <c r="G86" i="342"/>
  <c r="F86" i="342"/>
  <c r="E86" i="342"/>
  <c r="D86" i="342"/>
  <c r="C86" i="342"/>
  <c r="K85" i="342"/>
  <c r="J85" i="342"/>
  <c r="I85" i="342"/>
  <c r="H85" i="342"/>
  <c r="G85" i="342"/>
  <c r="F85" i="342"/>
  <c r="E85" i="342"/>
  <c r="D85" i="342"/>
  <c r="C85" i="342"/>
  <c r="K84" i="342"/>
  <c r="J84" i="342"/>
  <c r="I84" i="342"/>
  <c r="H84" i="342"/>
  <c r="G84" i="342"/>
  <c r="F84" i="342"/>
  <c r="E84" i="342"/>
  <c r="D84" i="342"/>
  <c r="C84" i="342"/>
  <c r="K83" i="342"/>
  <c r="J83" i="342"/>
  <c r="I83" i="342"/>
  <c r="H83" i="342"/>
  <c r="G83" i="342"/>
  <c r="F83" i="342"/>
  <c r="E83" i="342"/>
  <c r="D83" i="342"/>
  <c r="C83" i="342"/>
  <c r="K81" i="342"/>
  <c r="J81" i="342"/>
  <c r="I81" i="342"/>
  <c r="H81" i="342"/>
  <c r="G81" i="342"/>
  <c r="F81" i="342"/>
  <c r="E81" i="342"/>
  <c r="D81" i="342"/>
  <c r="C81" i="342"/>
  <c r="K80" i="342"/>
  <c r="J80" i="342"/>
  <c r="I80" i="342"/>
  <c r="H80" i="342"/>
  <c r="G80" i="342"/>
  <c r="F80" i="342"/>
  <c r="E80" i="342"/>
  <c r="D80" i="342"/>
  <c r="C80" i="342"/>
  <c r="K79" i="342"/>
  <c r="J79" i="342"/>
  <c r="I79" i="342"/>
  <c r="H79" i="342"/>
  <c r="G79" i="342"/>
  <c r="F79" i="342"/>
  <c r="E79" i="342"/>
  <c r="D79" i="342"/>
  <c r="C79" i="342"/>
  <c r="K78" i="342"/>
  <c r="J78" i="342"/>
  <c r="I78" i="342"/>
  <c r="H78" i="342"/>
  <c r="G78" i="342"/>
  <c r="F78" i="342"/>
  <c r="E78" i="342"/>
  <c r="D78" i="342"/>
  <c r="C78" i="342"/>
  <c r="K77" i="342"/>
  <c r="J77" i="342"/>
  <c r="I77" i="342"/>
  <c r="H77" i="342"/>
  <c r="G77" i="342"/>
  <c r="F77" i="342"/>
  <c r="E77" i="342"/>
  <c r="D77" i="342"/>
  <c r="C77" i="342"/>
  <c r="K76" i="342"/>
  <c r="J76" i="342"/>
  <c r="I76" i="342"/>
  <c r="H76" i="342"/>
  <c r="G76" i="342"/>
  <c r="F76" i="342"/>
  <c r="E76" i="342"/>
  <c r="D76" i="342"/>
  <c r="C76" i="342"/>
  <c r="K75" i="342"/>
  <c r="J75" i="342"/>
  <c r="I75" i="342"/>
  <c r="H75" i="342"/>
  <c r="G75" i="342"/>
  <c r="F75" i="342"/>
  <c r="E75" i="342"/>
  <c r="D75" i="342"/>
  <c r="C75" i="342"/>
  <c r="K74" i="342"/>
  <c r="J74" i="342"/>
  <c r="I74" i="342"/>
  <c r="H74" i="342"/>
  <c r="G74" i="342"/>
  <c r="F74" i="342"/>
  <c r="E74" i="342"/>
  <c r="D74" i="342"/>
  <c r="C74" i="342"/>
  <c r="K73" i="342"/>
  <c r="J73" i="342"/>
  <c r="I73" i="342"/>
  <c r="H73" i="342"/>
  <c r="G73" i="342"/>
  <c r="F73" i="342"/>
  <c r="E73" i="342"/>
  <c r="D73" i="342"/>
  <c r="C73" i="342"/>
  <c r="K72" i="342"/>
  <c r="J72" i="342"/>
  <c r="I72" i="342"/>
  <c r="H72" i="342"/>
  <c r="G72" i="342"/>
  <c r="F72" i="342"/>
  <c r="E72" i="342"/>
  <c r="D72" i="342"/>
  <c r="C72" i="342"/>
  <c r="K70" i="342"/>
  <c r="J70" i="342"/>
  <c r="I70" i="342"/>
  <c r="H70" i="342"/>
  <c r="G70" i="342"/>
  <c r="F70" i="342"/>
  <c r="E70" i="342"/>
  <c r="D70" i="342"/>
  <c r="C70" i="342"/>
  <c r="K69" i="342"/>
  <c r="J69" i="342"/>
  <c r="I69" i="342"/>
  <c r="H69" i="342"/>
  <c r="G69" i="342"/>
  <c r="F69" i="342"/>
  <c r="E69" i="342"/>
  <c r="D69" i="342"/>
  <c r="C69" i="342"/>
  <c r="K68" i="342"/>
  <c r="J68" i="342"/>
  <c r="I68" i="342"/>
  <c r="H68" i="342"/>
  <c r="G68" i="342"/>
  <c r="F68" i="342"/>
  <c r="E68" i="342"/>
  <c r="D68" i="342"/>
  <c r="C68" i="342"/>
  <c r="K67" i="342"/>
  <c r="J67" i="342"/>
  <c r="I67" i="342"/>
  <c r="H67" i="342"/>
  <c r="G67" i="342"/>
  <c r="F67" i="342"/>
  <c r="E67" i="342"/>
  <c r="D67" i="342"/>
  <c r="C67" i="342"/>
  <c r="K66" i="342"/>
  <c r="J66" i="342"/>
  <c r="I66" i="342"/>
  <c r="H66" i="342"/>
  <c r="G66" i="342"/>
  <c r="F66" i="342"/>
  <c r="E66" i="342"/>
  <c r="D66" i="342"/>
  <c r="C66" i="342"/>
  <c r="K65" i="342"/>
  <c r="J65" i="342"/>
  <c r="I65" i="342"/>
  <c r="H65" i="342"/>
  <c r="G65" i="342"/>
  <c r="F65" i="342"/>
  <c r="E65" i="342"/>
  <c r="D65" i="342"/>
  <c r="C65" i="342"/>
  <c r="K64" i="342"/>
  <c r="J64" i="342"/>
  <c r="I64" i="342"/>
  <c r="H64" i="342"/>
  <c r="G64" i="342"/>
  <c r="F64" i="342"/>
  <c r="E64" i="342"/>
  <c r="D64" i="342"/>
  <c r="C64" i="342"/>
  <c r="K63" i="342"/>
  <c r="J63" i="342"/>
  <c r="I63" i="342"/>
  <c r="H63" i="342"/>
  <c r="G63" i="342"/>
  <c r="F63" i="342"/>
  <c r="E63" i="342"/>
  <c r="D63" i="342"/>
  <c r="C63" i="342"/>
  <c r="K62" i="342"/>
  <c r="J62" i="342"/>
  <c r="I62" i="342"/>
  <c r="H62" i="342"/>
  <c r="G62" i="342"/>
  <c r="F62" i="342"/>
  <c r="E62" i="342"/>
  <c r="D62" i="342"/>
  <c r="C62" i="342"/>
  <c r="K61" i="342"/>
  <c r="J61" i="342"/>
  <c r="I61" i="342"/>
  <c r="H61" i="342"/>
  <c r="G61" i="342"/>
  <c r="F61" i="342"/>
  <c r="E61" i="342"/>
  <c r="D61" i="342"/>
  <c r="C61" i="342"/>
  <c r="K59" i="342"/>
  <c r="J59" i="342"/>
  <c r="I59" i="342"/>
  <c r="H59" i="342"/>
  <c r="G59" i="342"/>
  <c r="F59" i="342"/>
  <c r="E59" i="342"/>
  <c r="D59" i="342"/>
  <c r="C59" i="342"/>
  <c r="K58" i="342"/>
  <c r="J58" i="342"/>
  <c r="I58" i="342"/>
  <c r="H58" i="342"/>
  <c r="G58" i="342"/>
  <c r="F58" i="342"/>
  <c r="E58" i="342"/>
  <c r="D58" i="342"/>
  <c r="C58" i="342"/>
  <c r="K57" i="342"/>
  <c r="J57" i="342"/>
  <c r="I57" i="342"/>
  <c r="H57" i="342"/>
  <c r="G57" i="342"/>
  <c r="F57" i="342"/>
  <c r="E57" i="342"/>
  <c r="D57" i="342"/>
  <c r="C57" i="342"/>
  <c r="K56" i="342"/>
  <c r="J56" i="342"/>
  <c r="I56" i="342"/>
  <c r="H56" i="342"/>
  <c r="G56" i="342"/>
  <c r="F56" i="342"/>
  <c r="E56" i="342"/>
  <c r="D56" i="342"/>
  <c r="C56" i="342"/>
  <c r="K55" i="342"/>
  <c r="J55" i="342"/>
  <c r="I55" i="342"/>
  <c r="H55" i="342"/>
  <c r="G55" i="342"/>
  <c r="F55" i="342"/>
  <c r="E55" i="342"/>
  <c r="D55" i="342"/>
  <c r="C55" i="342"/>
  <c r="K54" i="342"/>
  <c r="J54" i="342"/>
  <c r="I54" i="342"/>
  <c r="H54" i="342"/>
  <c r="G54" i="342"/>
  <c r="F54" i="342"/>
  <c r="E54" i="342"/>
  <c r="D54" i="342"/>
  <c r="C54" i="342"/>
  <c r="K53" i="342"/>
  <c r="J53" i="342"/>
  <c r="I53" i="342"/>
  <c r="H53" i="342"/>
  <c r="G53" i="342"/>
  <c r="F53" i="342"/>
  <c r="E53" i="342"/>
  <c r="D53" i="342"/>
  <c r="C53" i="342"/>
  <c r="K52" i="342"/>
  <c r="J52" i="342"/>
  <c r="I52" i="342"/>
  <c r="H52" i="342"/>
  <c r="G52" i="342"/>
  <c r="F52" i="342"/>
  <c r="E52" i="342"/>
  <c r="D52" i="342"/>
  <c r="C52" i="342"/>
  <c r="K51" i="342"/>
  <c r="J51" i="342"/>
  <c r="I51" i="342"/>
  <c r="H51" i="342"/>
  <c r="G51" i="342"/>
  <c r="F51" i="342"/>
  <c r="E51" i="342"/>
  <c r="D51" i="342"/>
  <c r="C51" i="342"/>
  <c r="K50" i="342"/>
  <c r="J50" i="342"/>
  <c r="I50" i="342"/>
  <c r="H50" i="342"/>
  <c r="G50" i="342"/>
  <c r="F50" i="342"/>
  <c r="E50" i="342"/>
  <c r="D50" i="342"/>
  <c r="C50" i="342"/>
  <c r="K48" i="342"/>
  <c r="J48" i="342"/>
  <c r="I48" i="342"/>
  <c r="H48" i="342"/>
  <c r="G48" i="342"/>
  <c r="F48" i="342"/>
  <c r="E48" i="342"/>
  <c r="D48" i="342"/>
  <c r="C48" i="342"/>
  <c r="K47" i="342"/>
  <c r="J47" i="342"/>
  <c r="I47" i="342"/>
  <c r="H47" i="342"/>
  <c r="G47" i="342"/>
  <c r="F47" i="342"/>
  <c r="E47" i="342"/>
  <c r="D47" i="342"/>
  <c r="C47" i="342"/>
  <c r="K46" i="342"/>
  <c r="J46" i="342"/>
  <c r="I46" i="342"/>
  <c r="H46" i="342"/>
  <c r="G46" i="342"/>
  <c r="F46" i="342"/>
  <c r="E46" i="342"/>
  <c r="D46" i="342"/>
  <c r="C46" i="342"/>
  <c r="K45" i="342"/>
  <c r="J45" i="342"/>
  <c r="I45" i="342"/>
  <c r="H45" i="342"/>
  <c r="G45" i="342"/>
  <c r="F45" i="342"/>
  <c r="E45" i="342"/>
  <c r="D45" i="342"/>
  <c r="C45" i="342"/>
  <c r="K44" i="342"/>
  <c r="J44" i="342"/>
  <c r="I44" i="342"/>
  <c r="H44" i="342"/>
  <c r="G44" i="342"/>
  <c r="F44" i="342"/>
  <c r="E44" i="342"/>
  <c r="D44" i="342"/>
  <c r="C44" i="342"/>
  <c r="K43" i="342"/>
  <c r="J43" i="342"/>
  <c r="I43" i="342"/>
  <c r="H43" i="342"/>
  <c r="G43" i="342"/>
  <c r="F43" i="342"/>
  <c r="E43" i="342"/>
  <c r="D43" i="342"/>
  <c r="C43" i="342"/>
  <c r="K42" i="342"/>
  <c r="J42" i="342"/>
  <c r="I42" i="342"/>
  <c r="H42" i="342"/>
  <c r="G42" i="342"/>
  <c r="F42" i="342"/>
  <c r="E42" i="342"/>
  <c r="D42" i="342"/>
  <c r="C42" i="342"/>
  <c r="K41" i="342"/>
  <c r="J41" i="342"/>
  <c r="I41" i="342"/>
  <c r="H41" i="342"/>
  <c r="G41" i="342"/>
  <c r="F41" i="342"/>
  <c r="E41" i="342"/>
  <c r="D41" i="342"/>
  <c r="C41" i="342"/>
  <c r="K40" i="342"/>
  <c r="J40" i="342"/>
  <c r="I40" i="342"/>
  <c r="H40" i="342"/>
  <c r="G40" i="342"/>
  <c r="F40" i="342"/>
  <c r="E40" i="342"/>
  <c r="D40" i="342"/>
  <c r="C40" i="342"/>
  <c r="K39" i="342"/>
  <c r="J39" i="342"/>
  <c r="I39" i="342"/>
  <c r="H39" i="342"/>
  <c r="G39" i="342"/>
  <c r="F39" i="342"/>
  <c r="E39" i="342"/>
  <c r="D39" i="342"/>
  <c r="C39" i="342"/>
  <c r="K37" i="342"/>
  <c r="J37" i="342"/>
  <c r="I37" i="342"/>
  <c r="H37" i="342"/>
  <c r="G37" i="342"/>
  <c r="F37" i="342"/>
  <c r="E37" i="342"/>
  <c r="D37" i="342"/>
  <c r="C37" i="342"/>
  <c r="K36" i="342"/>
  <c r="J36" i="342"/>
  <c r="I36" i="342"/>
  <c r="H36" i="342"/>
  <c r="G36" i="342"/>
  <c r="F36" i="342"/>
  <c r="E36" i="342"/>
  <c r="D36" i="342"/>
  <c r="C36" i="342"/>
  <c r="K35" i="342"/>
  <c r="J35" i="342"/>
  <c r="I35" i="342"/>
  <c r="H35" i="342"/>
  <c r="G35" i="342"/>
  <c r="F35" i="342"/>
  <c r="E35" i="342"/>
  <c r="D35" i="342"/>
  <c r="C35" i="342"/>
  <c r="K34" i="342"/>
  <c r="J34" i="342"/>
  <c r="I34" i="342"/>
  <c r="H34" i="342"/>
  <c r="G34" i="342"/>
  <c r="F34" i="342"/>
  <c r="E34" i="342"/>
  <c r="D34" i="342"/>
  <c r="C34" i="342"/>
  <c r="K33" i="342"/>
  <c r="J33" i="342"/>
  <c r="I33" i="342"/>
  <c r="H33" i="342"/>
  <c r="G33" i="342"/>
  <c r="F33" i="342"/>
  <c r="E33" i="342"/>
  <c r="D33" i="342"/>
  <c r="C33" i="342"/>
  <c r="K32" i="342"/>
  <c r="J32" i="342"/>
  <c r="I32" i="342"/>
  <c r="H32" i="342"/>
  <c r="G32" i="342"/>
  <c r="F32" i="342"/>
  <c r="E32" i="342"/>
  <c r="D32" i="342"/>
  <c r="C32" i="342"/>
  <c r="K31" i="342"/>
  <c r="J31" i="342"/>
  <c r="I31" i="342"/>
  <c r="H31" i="342"/>
  <c r="G31" i="342"/>
  <c r="F31" i="342"/>
  <c r="E31" i="342"/>
  <c r="D31" i="342"/>
  <c r="C31" i="342"/>
  <c r="K30" i="342"/>
  <c r="J30" i="342"/>
  <c r="I30" i="342"/>
  <c r="H30" i="342"/>
  <c r="G30" i="342"/>
  <c r="F30" i="342"/>
  <c r="E30" i="342"/>
  <c r="D30" i="342"/>
  <c r="C30" i="342"/>
  <c r="K29" i="342"/>
  <c r="J29" i="342"/>
  <c r="I29" i="342"/>
  <c r="H29" i="342"/>
  <c r="G29" i="342"/>
  <c r="F29" i="342"/>
  <c r="E29" i="342"/>
  <c r="D29" i="342"/>
  <c r="C29" i="342"/>
  <c r="K28" i="342"/>
  <c r="J28" i="342"/>
  <c r="I28" i="342"/>
  <c r="H28" i="342"/>
  <c r="G28" i="342"/>
  <c r="F28" i="342"/>
  <c r="E28" i="342"/>
  <c r="D28" i="342"/>
  <c r="C28" i="342"/>
  <c r="K26" i="342"/>
  <c r="J26" i="342"/>
  <c r="I26" i="342"/>
  <c r="H26" i="342"/>
  <c r="G26" i="342"/>
  <c r="F26" i="342"/>
  <c r="E26" i="342"/>
  <c r="D26" i="342"/>
  <c r="C26" i="342"/>
  <c r="K25" i="342"/>
  <c r="J25" i="342"/>
  <c r="I25" i="342"/>
  <c r="H25" i="342"/>
  <c r="G25" i="342"/>
  <c r="F25" i="342"/>
  <c r="E25" i="342"/>
  <c r="D25" i="342"/>
  <c r="C25" i="342"/>
  <c r="K24" i="342"/>
  <c r="J24" i="342"/>
  <c r="I24" i="342"/>
  <c r="H24" i="342"/>
  <c r="G24" i="342"/>
  <c r="F24" i="342"/>
  <c r="E24" i="342"/>
  <c r="D24" i="342"/>
  <c r="C24" i="342"/>
  <c r="K23" i="342"/>
  <c r="J23" i="342"/>
  <c r="I23" i="342"/>
  <c r="H23" i="342"/>
  <c r="G23" i="342"/>
  <c r="F23" i="342"/>
  <c r="E23" i="342"/>
  <c r="D23" i="342"/>
  <c r="C23" i="342"/>
  <c r="K22" i="342"/>
  <c r="J22" i="342"/>
  <c r="I22" i="342"/>
  <c r="H22" i="342"/>
  <c r="G22" i="342"/>
  <c r="F22" i="342"/>
  <c r="E22" i="342"/>
  <c r="D22" i="342"/>
  <c r="C22" i="342"/>
  <c r="K21" i="342"/>
  <c r="J21" i="342"/>
  <c r="I21" i="342"/>
  <c r="H21" i="342"/>
  <c r="G21" i="342"/>
  <c r="F21" i="342"/>
  <c r="E21" i="342"/>
  <c r="D21" i="342"/>
  <c r="C21" i="342"/>
  <c r="K20" i="342"/>
  <c r="J20" i="342"/>
  <c r="I20" i="342"/>
  <c r="H20" i="342"/>
  <c r="G20" i="342"/>
  <c r="F20" i="342"/>
  <c r="E20" i="342"/>
  <c r="D20" i="342"/>
  <c r="C20" i="342"/>
  <c r="K19" i="342"/>
  <c r="J19" i="342"/>
  <c r="I19" i="342"/>
  <c r="H19" i="342"/>
  <c r="G19" i="342"/>
  <c r="F19" i="342"/>
  <c r="E19" i="342"/>
  <c r="D19" i="342"/>
  <c r="C19" i="342"/>
  <c r="K18" i="342"/>
  <c r="J18" i="342"/>
  <c r="I18" i="342"/>
  <c r="H18" i="342"/>
  <c r="G18" i="342"/>
  <c r="F18" i="342"/>
  <c r="E18" i="342"/>
  <c r="D18" i="342"/>
  <c r="C18" i="342"/>
  <c r="K17" i="342"/>
  <c r="J17" i="342"/>
  <c r="I17" i="342"/>
  <c r="H17" i="342"/>
  <c r="G17" i="342"/>
  <c r="F17" i="342"/>
  <c r="E17" i="342"/>
  <c r="D17" i="342"/>
  <c r="C17" i="342"/>
  <c r="C7" i="342"/>
  <c r="D7" i="342"/>
  <c r="E7" i="342"/>
  <c r="F7" i="342"/>
  <c r="G7" i="342"/>
  <c r="H7" i="342"/>
  <c r="I7" i="342"/>
  <c r="J7" i="342"/>
  <c r="K7" i="342"/>
  <c r="C8" i="342"/>
  <c r="D8" i="342"/>
  <c r="E8" i="342"/>
  <c r="F8" i="342"/>
  <c r="G8" i="342"/>
  <c r="H8" i="342"/>
  <c r="I8" i="342"/>
  <c r="J8" i="342"/>
  <c r="K8" i="342"/>
  <c r="C9" i="342"/>
  <c r="D9" i="342"/>
  <c r="E9" i="342"/>
  <c r="F9" i="342"/>
  <c r="G9" i="342"/>
  <c r="H9" i="342"/>
  <c r="I9" i="342"/>
  <c r="J9" i="342"/>
  <c r="K9" i="342"/>
  <c r="C10" i="342"/>
  <c r="D10" i="342"/>
  <c r="E10" i="342"/>
  <c r="F10" i="342"/>
  <c r="G10" i="342"/>
  <c r="H10" i="342"/>
  <c r="I10" i="342"/>
  <c r="J10" i="342"/>
  <c r="K10" i="342"/>
  <c r="C11" i="342"/>
  <c r="D11" i="342"/>
  <c r="E11" i="342"/>
  <c r="F11" i="342"/>
  <c r="G11" i="342"/>
  <c r="H11" i="342"/>
  <c r="I11" i="342"/>
  <c r="J11" i="342"/>
  <c r="K11" i="342"/>
  <c r="C12" i="342"/>
  <c r="D12" i="342"/>
  <c r="E12" i="342"/>
  <c r="F12" i="342"/>
  <c r="G12" i="342"/>
  <c r="H12" i="342"/>
  <c r="I12" i="342"/>
  <c r="J12" i="342"/>
  <c r="K12" i="342"/>
  <c r="C13" i="342"/>
  <c r="D13" i="342"/>
  <c r="E13" i="342"/>
  <c r="F13" i="342"/>
  <c r="G13" i="342"/>
  <c r="H13" i="342"/>
  <c r="I13" i="342"/>
  <c r="J13" i="342"/>
  <c r="K13" i="342"/>
  <c r="C14" i="342"/>
  <c r="D14" i="342"/>
  <c r="E14" i="342"/>
  <c r="F14" i="342"/>
  <c r="G14" i="342"/>
  <c r="H14" i="342"/>
  <c r="I14" i="342"/>
  <c r="J14" i="342"/>
  <c r="K14" i="342"/>
  <c r="C15" i="342"/>
  <c r="D15" i="342"/>
  <c r="E15" i="342"/>
  <c r="F15" i="342"/>
  <c r="G15" i="342"/>
  <c r="H15" i="342"/>
  <c r="I15" i="342"/>
  <c r="J15" i="342"/>
  <c r="K15" i="342"/>
  <c r="K6" i="342"/>
  <c r="J6" i="342"/>
  <c r="I6" i="342"/>
  <c r="H6" i="342"/>
  <c r="G6" i="342"/>
  <c r="F6" i="342"/>
  <c r="E6" i="342"/>
  <c r="D6" i="342"/>
  <c r="C6" i="342"/>
  <c r="K245" i="351"/>
  <c r="J245" i="351"/>
  <c r="I245" i="351"/>
  <c r="H245" i="351"/>
  <c r="G245" i="351"/>
  <c r="F245" i="351"/>
  <c r="E245" i="351"/>
  <c r="D245" i="351"/>
  <c r="C245" i="351"/>
  <c r="K244" i="351"/>
  <c r="J244" i="351"/>
  <c r="I244" i="351"/>
  <c r="H244" i="351"/>
  <c r="G244" i="351"/>
  <c r="F244" i="351"/>
  <c r="E244" i="351"/>
  <c r="D244" i="351"/>
  <c r="C244" i="351"/>
  <c r="K243" i="351"/>
  <c r="J243" i="351"/>
  <c r="I243" i="351"/>
  <c r="H243" i="351"/>
  <c r="G243" i="351"/>
  <c r="F243" i="351"/>
  <c r="E243" i="351"/>
  <c r="D243" i="351"/>
  <c r="C243" i="351"/>
  <c r="K242" i="351"/>
  <c r="J242" i="351"/>
  <c r="I242" i="351"/>
  <c r="H242" i="351"/>
  <c r="G242" i="351"/>
  <c r="F242" i="351"/>
  <c r="E242" i="351"/>
  <c r="D242" i="351"/>
  <c r="C242" i="351"/>
  <c r="K241" i="351"/>
  <c r="J241" i="351"/>
  <c r="I241" i="351"/>
  <c r="H241" i="351"/>
  <c r="G241" i="351"/>
  <c r="F241" i="351"/>
  <c r="E241" i="351"/>
  <c r="D241" i="351"/>
  <c r="C241" i="351"/>
  <c r="K240" i="351"/>
  <c r="J240" i="351"/>
  <c r="I240" i="351"/>
  <c r="H240" i="351"/>
  <c r="G240" i="351"/>
  <c r="F240" i="351"/>
  <c r="E240" i="351"/>
  <c r="D240" i="351"/>
  <c r="C240" i="351"/>
  <c r="K238" i="351"/>
  <c r="J238" i="351"/>
  <c r="I238" i="351"/>
  <c r="H238" i="351"/>
  <c r="G238" i="351"/>
  <c r="F238" i="351"/>
  <c r="E238" i="351"/>
  <c r="D238" i="351"/>
  <c r="C238" i="351"/>
  <c r="K237" i="351"/>
  <c r="J237" i="351"/>
  <c r="I237" i="351"/>
  <c r="H237" i="351"/>
  <c r="G237" i="351"/>
  <c r="F237" i="351"/>
  <c r="E237" i="351"/>
  <c r="D237" i="351"/>
  <c r="C237" i="351"/>
  <c r="K236" i="351"/>
  <c r="J236" i="351"/>
  <c r="I236" i="351"/>
  <c r="H236" i="351"/>
  <c r="G236" i="351"/>
  <c r="F236" i="351"/>
  <c r="E236" i="351"/>
  <c r="D236" i="351"/>
  <c r="C236" i="351"/>
  <c r="K235" i="351"/>
  <c r="J235" i="351"/>
  <c r="I235" i="351"/>
  <c r="H235" i="351"/>
  <c r="G235" i="351"/>
  <c r="F235" i="351"/>
  <c r="E235" i="351"/>
  <c r="D235" i="351"/>
  <c r="C235" i="351"/>
  <c r="K233" i="351"/>
  <c r="J233" i="351"/>
  <c r="I233" i="351"/>
  <c r="H233" i="351"/>
  <c r="G233" i="351"/>
  <c r="F233" i="351"/>
  <c r="E233" i="351"/>
  <c r="D233" i="351"/>
  <c r="C233" i="351"/>
  <c r="K232" i="351"/>
  <c r="J232" i="351"/>
  <c r="I232" i="351"/>
  <c r="H232" i="351"/>
  <c r="G232" i="351"/>
  <c r="F232" i="351"/>
  <c r="E232" i="351"/>
  <c r="D232" i="351"/>
  <c r="C232" i="351"/>
  <c r="K231" i="351"/>
  <c r="J231" i="351"/>
  <c r="I231" i="351"/>
  <c r="H231" i="351"/>
  <c r="G231" i="351"/>
  <c r="F231" i="351"/>
  <c r="E231" i="351"/>
  <c r="D231" i="351"/>
  <c r="C231" i="351"/>
  <c r="K230" i="351"/>
  <c r="J230" i="351"/>
  <c r="I230" i="351"/>
  <c r="H230" i="351"/>
  <c r="G230" i="351"/>
  <c r="F230" i="351"/>
  <c r="E230" i="351"/>
  <c r="D230" i="351"/>
  <c r="C230" i="351"/>
  <c r="K228" i="351"/>
  <c r="J228" i="351"/>
  <c r="I228" i="351"/>
  <c r="H228" i="351"/>
  <c r="G228" i="351"/>
  <c r="F228" i="351"/>
  <c r="E228" i="351"/>
  <c r="D228" i="351"/>
  <c r="C228" i="351"/>
  <c r="K227" i="351"/>
  <c r="J227" i="351"/>
  <c r="I227" i="351"/>
  <c r="H227" i="351"/>
  <c r="G227" i="351"/>
  <c r="F227" i="351"/>
  <c r="E227" i="351"/>
  <c r="D227" i="351"/>
  <c r="C227" i="351"/>
  <c r="K226" i="351"/>
  <c r="J226" i="351"/>
  <c r="I226" i="351"/>
  <c r="H226" i="351"/>
  <c r="G226" i="351"/>
  <c r="F226" i="351"/>
  <c r="E226" i="351"/>
  <c r="D226" i="351"/>
  <c r="C226" i="351"/>
  <c r="K224" i="351"/>
  <c r="J224" i="351"/>
  <c r="I224" i="351"/>
  <c r="H224" i="351"/>
  <c r="G224" i="351"/>
  <c r="F224" i="351"/>
  <c r="E224" i="351"/>
  <c r="D224" i="351"/>
  <c r="C224" i="351"/>
  <c r="K223" i="351"/>
  <c r="J223" i="351"/>
  <c r="I223" i="351"/>
  <c r="H223" i="351"/>
  <c r="G223" i="351"/>
  <c r="F223" i="351"/>
  <c r="E223" i="351"/>
  <c r="D223" i="351"/>
  <c r="C223" i="351"/>
  <c r="K222" i="351"/>
  <c r="J222" i="351"/>
  <c r="I222" i="351"/>
  <c r="H222" i="351"/>
  <c r="G222" i="351"/>
  <c r="F222" i="351"/>
  <c r="E222" i="351"/>
  <c r="D222" i="351"/>
  <c r="C222" i="351"/>
  <c r="K219" i="351"/>
  <c r="J219" i="351"/>
  <c r="I219" i="351"/>
  <c r="H219" i="351"/>
  <c r="G219" i="351"/>
  <c r="F219" i="351"/>
  <c r="E219" i="351"/>
  <c r="D219" i="351"/>
  <c r="C219" i="351"/>
  <c r="K218" i="351"/>
  <c r="J218" i="351"/>
  <c r="I218" i="351"/>
  <c r="H218" i="351"/>
  <c r="G218" i="351"/>
  <c r="F218" i="351"/>
  <c r="E218" i="351"/>
  <c r="D218" i="351"/>
  <c r="C218" i="351"/>
  <c r="K217" i="351"/>
  <c r="J217" i="351"/>
  <c r="I217" i="351"/>
  <c r="H217" i="351"/>
  <c r="G217" i="351"/>
  <c r="F217" i="351"/>
  <c r="E217" i="351"/>
  <c r="D217" i="351"/>
  <c r="C217" i="351"/>
  <c r="K216" i="351"/>
  <c r="J216" i="351"/>
  <c r="I216" i="351"/>
  <c r="H216" i="351"/>
  <c r="G216" i="351"/>
  <c r="F216" i="351"/>
  <c r="E216" i="351"/>
  <c r="D216" i="351"/>
  <c r="C216" i="351"/>
  <c r="K215" i="351"/>
  <c r="J215" i="351"/>
  <c r="I215" i="351"/>
  <c r="H215" i="351"/>
  <c r="G215" i="351"/>
  <c r="F215" i="351"/>
  <c r="E215" i="351"/>
  <c r="D215" i="351"/>
  <c r="C215" i="351"/>
  <c r="K214" i="351"/>
  <c r="J214" i="351"/>
  <c r="I214" i="351"/>
  <c r="H214" i="351"/>
  <c r="G214" i="351"/>
  <c r="F214" i="351"/>
  <c r="E214" i="351"/>
  <c r="D214" i="351"/>
  <c r="C214" i="351"/>
  <c r="K212" i="351"/>
  <c r="J212" i="351"/>
  <c r="I212" i="351"/>
  <c r="H212" i="351"/>
  <c r="G212" i="351"/>
  <c r="F212" i="351"/>
  <c r="E212" i="351"/>
  <c r="D212" i="351"/>
  <c r="C212" i="351"/>
  <c r="K211" i="351"/>
  <c r="J211" i="351"/>
  <c r="I211" i="351"/>
  <c r="H211" i="351"/>
  <c r="G211" i="351"/>
  <c r="F211" i="351"/>
  <c r="E211" i="351"/>
  <c r="D211" i="351"/>
  <c r="C211" i="351"/>
  <c r="K210" i="351"/>
  <c r="J210" i="351"/>
  <c r="I210" i="351"/>
  <c r="H210" i="351"/>
  <c r="G210" i="351"/>
  <c r="F210" i="351"/>
  <c r="E210" i="351"/>
  <c r="D210" i="351"/>
  <c r="C210" i="351"/>
  <c r="K209" i="351"/>
  <c r="J209" i="351"/>
  <c r="I209" i="351"/>
  <c r="H209" i="351"/>
  <c r="G209" i="351"/>
  <c r="F209" i="351"/>
  <c r="E209" i="351"/>
  <c r="D209" i="351"/>
  <c r="C209" i="351"/>
  <c r="K207" i="351"/>
  <c r="J207" i="351"/>
  <c r="I207" i="351"/>
  <c r="H207" i="351"/>
  <c r="G207" i="351"/>
  <c r="F207" i="351"/>
  <c r="E207" i="351"/>
  <c r="D207" i="351"/>
  <c r="C207" i="351"/>
  <c r="K206" i="351"/>
  <c r="J206" i="351"/>
  <c r="I206" i="351"/>
  <c r="H206" i="351"/>
  <c r="G206" i="351"/>
  <c r="F206" i="351"/>
  <c r="E206" i="351"/>
  <c r="D206" i="351"/>
  <c r="C206" i="351"/>
  <c r="K205" i="351"/>
  <c r="J205" i="351"/>
  <c r="I205" i="351"/>
  <c r="H205" i="351"/>
  <c r="G205" i="351"/>
  <c r="F205" i="351"/>
  <c r="E205" i="351"/>
  <c r="D205" i="351"/>
  <c r="C205" i="351"/>
  <c r="K204" i="351"/>
  <c r="J204" i="351"/>
  <c r="I204" i="351"/>
  <c r="H204" i="351"/>
  <c r="G204" i="351"/>
  <c r="F204" i="351"/>
  <c r="E204" i="351"/>
  <c r="D204" i="351"/>
  <c r="C204" i="351"/>
  <c r="K203" i="351"/>
  <c r="J203" i="351"/>
  <c r="I203" i="351"/>
  <c r="H203" i="351"/>
  <c r="G203" i="351"/>
  <c r="F203" i="351"/>
  <c r="E203" i="351"/>
  <c r="D203" i="351"/>
  <c r="C203" i="351"/>
  <c r="K202" i="351"/>
  <c r="J202" i="351"/>
  <c r="I202" i="351"/>
  <c r="H202" i="351"/>
  <c r="G202" i="351"/>
  <c r="F202" i="351"/>
  <c r="E202" i="351"/>
  <c r="D202" i="351"/>
  <c r="C202" i="351"/>
  <c r="K201" i="351"/>
  <c r="J201" i="351"/>
  <c r="I201" i="351"/>
  <c r="H201" i="351"/>
  <c r="G201" i="351"/>
  <c r="F201" i="351"/>
  <c r="E201" i="351"/>
  <c r="D201" i="351"/>
  <c r="C201" i="351"/>
  <c r="K200" i="351"/>
  <c r="J200" i="351"/>
  <c r="I200" i="351"/>
  <c r="H200" i="351"/>
  <c r="G200" i="351"/>
  <c r="F200" i="351"/>
  <c r="E200" i="351"/>
  <c r="D200" i="351"/>
  <c r="C200" i="351"/>
  <c r="K199" i="351"/>
  <c r="J199" i="351"/>
  <c r="I199" i="351"/>
  <c r="H199" i="351"/>
  <c r="G199" i="351"/>
  <c r="F199" i="351"/>
  <c r="E199" i="351"/>
  <c r="D199" i="351"/>
  <c r="C199" i="351"/>
  <c r="K198" i="351"/>
  <c r="J198" i="351"/>
  <c r="I198" i="351"/>
  <c r="H198" i="351"/>
  <c r="G198" i="351"/>
  <c r="F198" i="351"/>
  <c r="E198" i="351"/>
  <c r="D198" i="351"/>
  <c r="C198" i="351"/>
  <c r="K195" i="351"/>
  <c r="J195" i="351"/>
  <c r="I195" i="351"/>
  <c r="H195" i="351"/>
  <c r="G195" i="351"/>
  <c r="F195" i="351"/>
  <c r="E195" i="351"/>
  <c r="D195" i="351"/>
  <c r="C195" i="351"/>
  <c r="K194" i="351"/>
  <c r="J194" i="351"/>
  <c r="I194" i="351"/>
  <c r="H194" i="351"/>
  <c r="G194" i="351"/>
  <c r="F194" i="351"/>
  <c r="E194" i="351"/>
  <c r="D194" i="351"/>
  <c r="C194" i="351"/>
  <c r="K193" i="351"/>
  <c r="J193" i="351"/>
  <c r="I193" i="351"/>
  <c r="H193" i="351"/>
  <c r="G193" i="351"/>
  <c r="F193" i="351"/>
  <c r="E193" i="351"/>
  <c r="D193" i="351"/>
  <c r="C193" i="351"/>
  <c r="K192" i="351"/>
  <c r="J192" i="351"/>
  <c r="I192" i="351"/>
  <c r="H192" i="351"/>
  <c r="G192" i="351"/>
  <c r="F192" i="351"/>
  <c r="E192" i="351"/>
  <c r="D192" i="351"/>
  <c r="C192" i="351"/>
  <c r="K191" i="351"/>
  <c r="J191" i="351"/>
  <c r="I191" i="351"/>
  <c r="H191" i="351"/>
  <c r="G191" i="351"/>
  <c r="F191" i="351"/>
  <c r="E191" i="351"/>
  <c r="D191" i="351"/>
  <c r="C191" i="351"/>
  <c r="K190" i="351"/>
  <c r="J190" i="351"/>
  <c r="I190" i="351"/>
  <c r="H190" i="351"/>
  <c r="G190" i="351"/>
  <c r="F190" i="351"/>
  <c r="E190" i="351"/>
  <c r="D190" i="351"/>
  <c r="C190" i="351"/>
  <c r="K189" i="351"/>
  <c r="J189" i="351"/>
  <c r="I189" i="351"/>
  <c r="H189" i="351"/>
  <c r="G189" i="351"/>
  <c r="F189" i="351"/>
  <c r="E189" i="351"/>
  <c r="D189" i="351"/>
  <c r="C189" i="351"/>
  <c r="K187" i="351"/>
  <c r="J187" i="351"/>
  <c r="I187" i="351"/>
  <c r="H187" i="351"/>
  <c r="G187" i="351"/>
  <c r="F187" i="351"/>
  <c r="E187" i="351"/>
  <c r="D187" i="351"/>
  <c r="C187" i="351"/>
  <c r="K186" i="351"/>
  <c r="J186" i="351"/>
  <c r="I186" i="351"/>
  <c r="H186" i="351"/>
  <c r="G186" i="351"/>
  <c r="F186" i="351"/>
  <c r="E186" i="351"/>
  <c r="D186" i="351"/>
  <c r="C186" i="351"/>
  <c r="K184" i="351"/>
  <c r="J184" i="351"/>
  <c r="I184" i="351"/>
  <c r="H184" i="351"/>
  <c r="G184" i="351"/>
  <c r="F184" i="351"/>
  <c r="E184" i="351"/>
  <c r="D184" i="351"/>
  <c r="C184" i="351"/>
  <c r="K183" i="351"/>
  <c r="J183" i="351"/>
  <c r="I183" i="351"/>
  <c r="H183" i="351"/>
  <c r="G183" i="351"/>
  <c r="F183" i="351"/>
  <c r="E183" i="351"/>
  <c r="D183" i="351"/>
  <c r="C183" i="351"/>
  <c r="K182" i="351"/>
  <c r="J182" i="351"/>
  <c r="I182" i="351"/>
  <c r="H182" i="351"/>
  <c r="G182" i="351"/>
  <c r="F182" i="351"/>
  <c r="E182" i="351"/>
  <c r="D182" i="351"/>
  <c r="C182" i="351"/>
  <c r="K181" i="351"/>
  <c r="J181" i="351"/>
  <c r="I181" i="351"/>
  <c r="H181" i="351"/>
  <c r="G181" i="351"/>
  <c r="F181" i="351"/>
  <c r="E181" i="351"/>
  <c r="D181" i="351"/>
  <c r="C181" i="351"/>
  <c r="K180" i="351"/>
  <c r="J180" i="351"/>
  <c r="I180" i="351"/>
  <c r="H180" i="351"/>
  <c r="G180" i="351"/>
  <c r="F180" i="351"/>
  <c r="E180" i="351"/>
  <c r="D180" i="351"/>
  <c r="C180" i="351"/>
  <c r="K179" i="351"/>
  <c r="J179" i="351"/>
  <c r="I179" i="351"/>
  <c r="H179" i="351"/>
  <c r="G179" i="351"/>
  <c r="F179" i="351"/>
  <c r="E179" i="351"/>
  <c r="D179" i="351"/>
  <c r="C179" i="351"/>
  <c r="K178" i="351"/>
  <c r="J178" i="351"/>
  <c r="I178" i="351"/>
  <c r="H178" i="351"/>
  <c r="G178" i="351"/>
  <c r="F178" i="351"/>
  <c r="E178" i="351"/>
  <c r="D178" i="351"/>
  <c r="C178" i="351"/>
  <c r="K177" i="351"/>
  <c r="J177" i="351"/>
  <c r="I177" i="351"/>
  <c r="H177" i="351"/>
  <c r="G177" i="351"/>
  <c r="F177" i="351"/>
  <c r="E177" i="351"/>
  <c r="D177" i="351"/>
  <c r="C177" i="351"/>
  <c r="K175" i="351"/>
  <c r="J175" i="351"/>
  <c r="I175" i="351"/>
  <c r="H175" i="351"/>
  <c r="G175" i="351"/>
  <c r="F175" i="351"/>
  <c r="E175" i="351"/>
  <c r="D175" i="351"/>
  <c r="C175" i="351"/>
  <c r="K174" i="351"/>
  <c r="J174" i="351"/>
  <c r="I174" i="351"/>
  <c r="H174" i="351"/>
  <c r="G174" i="351"/>
  <c r="F174" i="351"/>
  <c r="E174" i="351"/>
  <c r="D174" i="351"/>
  <c r="C174" i="351"/>
  <c r="K173" i="351"/>
  <c r="J173" i="351"/>
  <c r="I173" i="351"/>
  <c r="H173" i="351"/>
  <c r="G173" i="351"/>
  <c r="F173" i="351"/>
  <c r="E173" i="351"/>
  <c r="D173" i="351"/>
  <c r="C173" i="351"/>
  <c r="K172" i="351"/>
  <c r="J172" i="351"/>
  <c r="I172" i="351"/>
  <c r="H172" i="351"/>
  <c r="G172" i="351"/>
  <c r="F172" i="351"/>
  <c r="E172" i="351"/>
  <c r="D172" i="351"/>
  <c r="C172" i="351"/>
  <c r="K171" i="351"/>
  <c r="J171" i="351"/>
  <c r="I171" i="351"/>
  <c r="H171" i="351"/>
  <c r="G171" i="351"/>
  <c r="F171" i="351"/>
  <c r="E171" i="351"/>
  <c r="D171" i="351"/>
  <c r="C171" i="351"/>
  <c r="K169" i="351"/>
  <c r="J169" i="351"/>
  <c r="I169" i="351"/>
  <c r="H169" i="351"/>
  <c r="G169" i="351"/>
  <c r="F169" i="351"/>
  <c r="E169" i="351"/>
  <c r="D169" i="351"/>
  <c r="C169" i="351"/>
  <c r="K168" i="351"/>
  <c r="J168" i="351"/>
  <c r="I168" i="351"/>
  <c r="H168" i="351"/>
  <c r="G168" i="351"/>
  <c r="F168" i="351"/>
  <c r="E168" i="351"/>
  <c r="D168" i="351"/>
  <c r="C168" i="351"/>
  <c r="K167" i="351"/>
  <c r="J167" i="351"/>
  <c r="I167" i="351"/>
  <c r="H167" i="351"/>
  <c r="G167" i="351"/>
  <c r="F167" i="351"/>
  <c r="E167" i="351"/>
  <c r="D167" i="351"/>
  <c r="C167" i="351"/>
  <c r="K166" i="351"/>
  <c r="J166" i="351"/>
  <c r="I166" i="351"/>
  <c r="H166" i="351"/>
  <c r="G166" i="351"/>
  <c r="F166" i="351"/>
  <c r="E166" i="351"/>
  <c r="D166" i="351"/>
  <c r="C166" i="351"/>
  <c r="K165" i="351"/>
  <c r="J165" i="351"/>
  <c r="I165" i="351"/>
  <c r="H165" i="351"/>
  <c r="G165" i="351"/>
  <c r="F165" i="351"/>
  <c r="E165" i="351"/>
  <c r="D165" i="351"/>
  <c r="C165" i="351"/>
  <c r="K164" i="351"/>
  <c r="J164" i="351"/>
  <c r="I164" i="351"/>
  <c r="H164" i="351"/>
  <c r="G164" i="351"/>
  <c r="F164" i="351"/>
  <c r="E164" i="351"/>
  <c r="D164" i="351"/>
  <c r="C164" i="351"/>
  <c r="K163" i="351"/>
  <c r="J163" i="351"/>
  <c r="I163" i="351"/>
  <c r="H163" i="351"/>
  <c r="G163" i="351"/>
  <c r="F163" i="351"/>
  <c r="E163" i="351"/>
  <c r="D163" i="351"/>
  <c r="C163" i="351"/>
  <c r="K162" i="351"/>
  <c r="J162" i="351"/>
  <c r="I162" i="351"/>
  <c r="H162" i="351"/>
  <c r="G162" i="351"/>
  <c r="F162" i="351"/>
  <c r="E162" i="351"/>
  <c r="D162" i="351"/>
  <c r="C162" i="351"/>
  <c r="K161" i="351"/>
  <c r="J161" i="351"/>
  <c r="I161" i="351"/>
  <c r="H161" i="351"/>
  <c r="G161" i="351"/>
  <c r="F161" i="351"/>
  <c r="E161" i="351"/>
  <c r="D161" i="351"/>
  <c r="C161" i="351"/>
  <c r="K160" i="351"/>
  <c r="J160" i="351"/>
  <c r="I160" i="351"/>
  <c r="H160" i="351"/>
  <c r="G160" i="351"/>
  <c r="F160" i="351"/>
  <c r="E160" i="351"/>
  <c r="D160" i="351"/>
  <c r="C160" i="351"/>
  <c r="K159" i="351"/>
  <c r="J159" i="351"/>
  <c r="I159" i="351"/>
  <c r="H159" i="351"/>
  <c r="G159" i="351"/>
  <c r="F159" i="351"/>
  <c r="E159" i="351"/>
  <c r="D159" i="351"/>
  <c r="C159" i="351"/>
  <c r="K158" i="351"/>
  <c r="J158" i="351"/>
  <c r="I158" i="351"/>
  <c r="H158" i="351"/>
  <c r="G158" i="351"/>
  <c r="F158" i="351"/>
  <c r="E158" i="351"/>
  <c r="D158" i="351"/>
  <c r="C158" i="351"/>
  <c r="K157" i="351"/>
  <c r="J157" i="351"/>
  <c r="I157" i="351"/>
  <c r="H157" i="351"/>
  <c r="G157" i="351"/>
  <c r="F157" i="351"/>
  <c r="E157" i="351"/>
  <c r="D157" i="351"/>
  <c r="C157" i="351"/>
  <c r="K156" i="351"/>
  <c r="J156" i="351"/>
  <c r="I156" i="351"/>
  <c r="H156" i="351"/>
  <c r="G156" i="351"/>
  <c r="F156" i="351"/>
  <c r="E156" i="351"/>
  <c r="D156" i="351"/>
  <c r="C156" i="351"/>
  <c r="K155" i="351"/>
  <c r="J155" i="351"/>
  <c r="I155" i="351"/>
  <c r="H155" i="351"/>
  <c r="G155" i="351"/>
  <c r="F155" i="351"/>
  <c r="E155" i="351"/>
  <c r="D155" i="351"/>
  <c r="C155" i="351"/>
  <c r="K154" i="351"/>
  <c r="J154" i="351"/>
  <c r="I154" i="351"/>
  <c r="H154" i="351"/>
  <c r="G154" i="351"/>
  <c r="F154" i="351"/>
  <c r="E154" i="351"/>
  <c r="D154" i="351"/>
  <c r="C154" i="351"/>
  <c r="K153" i="351"/>
  <c r="J153" i="351"/>
  <c r="I153" i="351"/>
  <c r="H153" i="351"/>
  <c r="G153" i="351"/>
  <c r="F153" i="351"/>
  <c r="E153" i="351"/>
  <c r="D153" i="351"/>
  <c r="C153" i="351"/>
  <c r="K152" i="351"/>
  <c r="J152" i="351"/>
  <c r="I152" i="351"/>
  <c r="H152" i="351"/>
  <c r="G152" i="351"/>
  <c r="F152" i="351"/>
  <c r="E152" i="351"/>
  <c r="D152" i="351"/>
  <c r="C152" i="351"/>
  <c r="K151" i="351"/>
  <c r="J151" i="351"/>
  <c r="I151" i="351"/>
  <c r="H151" i="351"/>
  <c r="G151" i="351"/>
  <c r="F151" i="351"/>
  <c r="E151" i="351"/>
  <c r="D151" i="351"/>
  <c r="C151" i="351"/>
  <c r="K150" i="351"/>
  <c r="J150" i="351"/>
  <c r="I150" i="351"/>
  <c r="H150" i="351"/>
  <c r="G150" i="351"/>
  <c r="F150" i="351"/>
  <c r="E150" i="351"/>
  <c r="D150" i="351"/>
  <c r="C150" i="351"/>
  <c r="K149" i="351"/>
  <c r="J149" i="351"/>
  <c r="I149" i="351"/>
  <c r="H149" i="351"/>
  <c r="G149" i="351"/>
  <c r="F149" i="351"/>
  <c r="E149" i="351"/>
  <c r="D149" i="351"/>
  <c r="C149" i="351"/>
  <c r="K130" i="351"/>
  <c r="J130" i="351"/>
  <c r="I130" i="351"/>
  <c r="H130" i="351"/>
  <c r="G130" i="351"/>
  <c r="F130" i="351"/>
  <c r="E130" i="351"/>
  <c r="D130" i="351"/>
  <c r="C130" i="351"/>
  <c r="K129" i="351"/>
  <c r="J129" i="351"/>
  <c r="I129" i="351"/>
  <c r="H129" i="351"/>
  <c r="G129" i="351"/>
  <c r="F129" i="351"/>
  <c r="E129" i="351"/>
  <c r="D129" i="351"/>
  <c r="C129" i="351"/>
  <c r="K144" i="351"/>
  <c r="J144" i="351"/>
  <c r="I144" i="351"/>
  <c r="H144" i="351"/>
  <c r="G144" i="351"/>
  <c r="F144" i="351"/>
  <c r="E144" i="351"/>
  <c r="D144" i="351"/>
  <c r="C144" i="351"/>
  <c r="K143" i="351"/>
  <c r="J143" i="351"/>
  <c r="I143" i="351"/>
  <c r="H143" i="351"/>
  <c r="G143" i="351"/>
  <c r="F143" i="351"/>
  <c r="E143" i="351"/>
  <c r="D143" i="351"/>
  <c r="C143" i="351"/>
  <c r="K142" i="351"/>
  <c r="J142" i="351"/>
  <c r="I142" i="351"/>
  <c r="H142" i="351"/>
  <c r="G142" i="351"/>
  <c r="F142" i="351"/>
  <c r="E142" i="351"/>
  <c r="D142" i="351"/>
  <c r="C142" i="351"/>
  <c r="K141" i="351"/>
  <c r="J141" i="351"/>
  <c r="I141" i="351"/>
  <c r="H141" i="351"/>
  <c r="G141" i="351"/>
  <c r="F141" i="351"/>
  <c r="E141" i="351"/>
  <c r="D141" i="351"/>
  <c r="C141" i="351"/>
  <c r="K140" i="351"/>
  <c r="J140" i="351"/>
  <c r="I140" i="351"/>
  <c r="H140" i="351"/>
  <c r="G140" i="351"/>
  <c r="F140" i="351"/>
  <c r="E140" i="351"/>
  <c r="D140" i="351"/>
  <c r="C140" i="351"/>
  <c r="K139" i="351"/>
  <c r="J139" i="351"/>
  <c r="I139" i="351"/>
  <c r="H139" i="351"/>
  <c r="G139" i="351"/>
  <c r="F139" i="351"/>
  <c r="E139" i="351"/>
  <c r="D139" i="351"/>
  <c r="C139" i="351"/>
  <c r="K138" i="351"/>
  <c r="J138" i="351"/>
  <c r="I138" i="351"/>
  <c r="H138" i="351"/>
  <c r="G138" i="351"/>
  <c r="F138" i="351"/>
  <c r="E138" i="351"/>
  <c r="D138" i="351"/>
  <c r="C138" i="351"/>
  <c r="K137" i="351"/>
  <c r="J137" i="351"/>
  <c r="I137" i="351"/>
  <c r="H137" i="351"/>
  <c r="G137" i="351"/>
  <c r="F137" i="351"/>
  <c r="E137" i="351"/>
  <c r="D137" i="351"/>
  <c r="C137" i="351"/>
  <c r="K136" i="351"/>
  <c r="J136" i="351"/>
  <c r="I136" i="351"/>
  <c r="H136" i="351"/>
  <c r="G136" i="351"/>
  <c r="F136" i="351"/>
  <c r="E136" i="351"/>
  <c r="D136" i="351"/>
  <c r="C136" i="351"/>
  <c r="K135" i="351"/>
  <c r="J135" i="351"/>
  <c r="I135" i="351"/>
  <c r="H135" i="351"/>
  <c r="G135" i="351"/>
  <c r="F135" i="351"/>
  <c r="E135" i="351"/>
  <c r="D135" i="351"/>
  <c r="C135" i="351"/>
  <c r="K134" i="351"/>
  <c r="J134" i="351"/>
  <c r="I134" i="351"/>
  <c r="H134" i="351"/>
  <c r="G134" i="351"/>
  <c r="F134" i="351"/>
  <c r="E134" i="351"/>
  <c r="D134" i="351"/>
  <c r="C134" i="351"/>
  <c r="K133" i="351"/>
  <c r="J133" i="351"/>
  <c r="I133" i="351"/>
  <c r="H133" i="351"/>
  <c r="G133" i="351"/>
  <c r="F133" i="351"/>
  <c r="E133" i="351"/>
  <c r="D133" i="351"/>
  <c r="C133" i="351"/>
  <c r="K132" i="351"/>
  <c r="J132" i="351"/>
  <c r="I132" i="351"/>
  <c r="H132" i="351"/>
  <c r="G132" i="351"/>
  <c r="F132" i="351"/>
  <c r="E132" i="351"/>
  <c r="D132" i="351"/>
  <c r="C132" i="351"/>
  <c r="K146" i="351"/>
  <c r="J146" i="351"/>
  <c r="I146" i="351"/>
  <c r="H146" i="351"/>
  <c r="G146" i="351"/>
  <c r="F146" i="351"/>
  <c r="C146" i="351"/>
  <c r="E146" i="351"/>
  <c r="D146" i="351"/>
  <c r="K123" i="351"/>
  <c r="J123" i="351"/>
  <c r="I123" i="351"/>
  <c r="H123" i="351"/>
  <c r="G123" i="351"/>
  <c r="F123" i="351"/>
  <c r="E123" i="351"/>
  <c r="D123" i="351"/>
  <c r="C123" i="351"/>
  <c r="K122" i="351"/>
  <c r="J122" i="351"/>
  <c r="I122" i="351"/>
  <c r="H122" i="351"/>
  <c r="G122" i="351"/>
  <c r="F122" i="351"/>
  <c r="E122" i="351"/>
  <c r="D122" i="351"/>
  <c r="C122" i="351"/>
  <c r="K121" i="351"/>
  <c r="J121" i="351"/>
  <c r="I121" i="351"/>
  <c r="H121" i="351"/>
  <c r="G121" i="351"/>
  <c r="F121" i="351"/>
  <c r="E121" i="351"/>
  <c r="D121" i="351"/>
  <c r="C121" i="351"/>
  <c r="K120" i="351"/>
  <c r="J120" i="351"/>
  <c r="I120" i="351"/>
  <c r="H120" i="351"/>
  <c r="G120" i="351"/>
  <c r="F120" i="351"/>
  <c r="E120" i="351"/>
  <c r="D120" i="351"/>
  <c r="C120" i="351"/>
  <c r="K119" i="351"/>
  <c r="J119" i="351"/>
  <c r="I119" i="351"/>
  <c r="H119" i="351"/>
  <c r="G119" i="351"/>
  <c r="F119" i="351"/>
  <c r="E119" i="351"/>
  <c r="D119" i="351"/>
  <c r="C119" i="351"/>
  <c r="K118" i="351"/>
  <c r="J118" i="351"/>
  <c r="I118" i="351"/>
  <c r="H118" i="351"/>
  <c r="G118" i="351"/>
  <c r="F118" i="351"/>
  <c r="E118" i="351"/>
  <c r="D118" i="351"/>
  <c r="C118" i="351"/>
  <c r="K116" i="351"/>
  <c r="J116" i="351"/>
  <c r="I116" i="351"/>
  <c r="H116" i="351"/>
  <c r="G116" i="351"/>
  <c r="F116" i="351"/>
  <c r="E116" i="351"/>
  <c r="D116" i="351"/>
  <c r="C116" i="351"/>
  <c r="K115" i="351"/>
  <c r="J115" i="351"/>
  <c r="I115" i="351"/>
  <c r="H115" i="351"/>
  <c r="G115" i="351"/>
  <c r="F115" i="351"/>
  <c r="E115" i="351"/>
  <c r="D115" i="351"/>
  <c r="C115" i="351"/>
  <c r="K114" i="351"/>
  <c r="J114" i="351"/>
  <c r="I114" i="351"/>
  <c r="H114" i="351"/>
  <c r="G114" i="351"/>
  <c r="F114" i="351"/>
  <c r="E114" i="351"/>
  <c r="D114" i="351"/>
  <c r="C114" i="351"/>
  <c r="K113" i="351"/>
  <c r="J113" i="351"/>
  <c r="I113" i="351"/>
  <c r="H113" i="351"/>
  <c r="G113" i="351"/>
  <c r="F113" i="351"/>
  <c r="E113" i="351"/>
  <c r="D113" i="351"/>
  <c r="C113" i="351"/>
  <c r="K111" i="351"/>
  <c r="J111" i="351"/>
  <c r="I111" i="351"/>
  <c r="H111" i="351"/>
  <c r="G111" i="351"/>
  <c r="F111" i="351"/>
  <c r="E111" i="351"/>
  <c r="D111" i="351"/>
  <c r="C111" i="351"/>
  <c r="K110" i="351"/>
  <c r="J110" i="351"/>
  <c r="I110" i="351"/>
  <c r="H110" i="351"/>
  <c r="G110" i="351"/>
  <c r="F110" i="351"/>
  <c r="E110" i="351"/>
  <c r="D110" i="351"/>
  <c r="C110" i="351"/>
  <c r="K109" i="351"/>
  <c r="J109" i="351"/>
  <c r="I109" i="351"/>
  <c r="H109" i="351"/>
  <c r="G109" i="351"/>
  <c r="F109" i="351"/>
  <c r="E109" i="351"/>
  <c r="D109" i="351"/>
  <c r="C109" i="351"/>
  <c r="K108" i="351"/>
  <c r="J108" i="351"/>
  <c r="I108" i="351"/>
  <c r="H108" i="351"/>
  <c r="G108" i="351"/>
  <c r="F108" i="351"/>
  <c r="E108" i="351"/>
  <c r="D108" i="351"/>
  <c r="C108" i="351"/>
  <c r="K106" i="351"/>
  <c r="J106" i="351"/>
  <c r="I106" i="351"/>
  <c r="H106" i="351"/>
  <c r="G106" i="351"/>
  <c r="F106" i="351"/>
  <c r="E106" i="351"/>
  <c r="D106" i="351"/>
  <c r="C106" i="351"/>
  <c r="K105" i="351"/>
  <c r="J105" i="351"/>
  <c r="I105" i="351"/>
  <c r="H105" i="351"/>
  <c r="G105" i="351"/>
  <c r="F105" i="351"/>
  <c r="E105" i="351"/>
  <c r="D105" i="351"/>
  <c r="C105" i="351"/>
  <c r="K104" i="351"/>
  <c r="J104" i="351"/>
  <c r="I104" i="351"/>
  <c r="H104" i="351"/>
  <c r="G104" i="351"/>
  <c r="F104" i="351"/>
  <c r="E104" i="351"/>
  <c r="D104" i="351"/>
  <c r="C104" i="351"/>
  <c r="K102" i="351"/>
  <c r="J102" i="351"/>
  <c r="I102" i="351"/>
  <c r="H102" i="351"/>
  <c r="G102" i="351"/>
  <c r="F102" i="351"/>
  <c r="E102" i="351"/>
  <c r="D102" i="351"/>
  <c r="C102" i="351"/>
  <c r="K101" i="351"/>
  <c r="J101" i="351"/>
  <c r="I101" i="351"/>
  <c r="H101" i="351"/>
  <c r="G101" i="351"/>
  <c r="F101" i="351"/>
  <c r="E101" i="351"/>
  <c r="D101" i="351"/>
  <c r="C101" i="351"/>
  <c r="K100" i="351"/>
  <c r="J100" i="351"/>
  <c r="I100" i="351"/>
  <c r="H100" i="351"/>
  <c r="G100" i="351"/>
  <c r="F100" i="351"/>
  <c r="E100" i="351"/>
  <c r="D100" i="351"/>
  <c r="C100" i="351"/>
  <c r="K97" i="351"/>
  <c r="J97" i="351"/>
  <c r="I97" i="351"/>
  <c r="H97" i="351"/>
  <c r="G97" i="351"/>
  <c r="F97" i="351"/>
  <c r="E97" i="351"/>
  <c r="D97" i="351"/>
  <c r="C97" i="351"/>
  <c r="K96" i="351"/>
  <c r="J96" i="351"/>
  <c r="I96" i="351"/>
  <c r="H96" i="351"/>
  <c r="G96" i="351"/>
  <c r="F96" i="351"/>
  <c r="E96" i="351"/>
  <c r="D96" i="351"/>
  <c r="C96" i="351"/>
  <c r="K95" i="351"/>
  <c r="J95" i="351"/>
  <c r="I95" i="351"/>
  <c r="H95" i="351"/>
  <c r="G95" i="351"/>
  <c r="F95" i="351"/>
  <c r="E95" i="351"/>
  <c r="D95" i="351"/>
  <c r="C95" i="351"/>
  <c r="K94" i="351"/>
  <c r="J94" i="351"/>
  <c r="I94" i="351"/>
  <c r="H94" i="351"/>
  <c r="G94" i="351"/>
  <c r="F94" i="351"/>
  <c r="E94" i="351"/>
  <c r="D94" i="351"/>
  <c r="C94" i="351"/>
  <c r="K93" i="351"/>
  <c r="J93" i="351"/>
  <c r="I93" i="351"/>
  <c r="H93" i="351"/>
  <c r="G93" i="351"/>
  <c r="F93" i="351"/>
  <c r="E93" i="351"/>
  <c r="D93" i="351"/>
  <c r="C93" i="351"/>
  <c r="K92" i="351"/>
  <c r="J92" i="351"/>
  <c r="I92" i="351"/>
  <c r="H92" i="351"/>
  <c r="G92" i="351"/>
  <c r="F92" i="351"/>
  <c r="E92" i="351"/>
  <c r="D92" i="351"/>
  <c r="C92" i="351"/>
  <c r="K90" i="351"/>
  <c r="J90" i="351"/>
  <c r="I90" i="351"/>
  <c r="H90" i="351"/>
  <c r="G90" i="351"/>
  <c r="F90" i="351"/>
  <c r="E90" i="351"/>
  <c r="D90" i="351"/>
  <c r="C90" i="351"/>
  <c r="K89" i="351"/>
  <c r="J89" i="351"/>
  <c r="I89" i="351"/>
  <c r="H89" i="351"/>
  <c r="G89" i="351"/>
  <c r="F89" i="351"/>
  <c r="E89" i="351"/>
  <c r="D89" i="351"/>
  <c r="C89" i="351"/>
  <c r="K88" i="351"/>
  <c r="J88" i="351"/>
  <c r="I88" i="351"/>
  <c r="H88" i="351"/>
  <c r="G88" i="351"/>
  <c r="F88" i="351"/>
  <c r="E88" i="351"/>
  <c r="D88" i="351"/>
  <c r="C88" i="351"/>
  <c r="K87" i="351"/>
  <c r="J87" i="351"/>
  <c r="I87" i="351"/>
  <c r="H87" i="351"/>
  <c r="G87" i="351"/>
  <c r="F87" i="351"/>
  <c r="E87" i="351"/>
  <c r="D87" i="351"/>
  <c r="C87" i="351"/>
  <c r="K85" i="351"/>
  <c r="J85" i="351"/>
  <c r="I85" i="351"/>
  <c r="H85" i="351"/>
  <c r="G85" i="351"/>
  <c r="F85" i="351"/>
  <c r="E85" i="351"/>
  <c r="D85" i="351"/>
  <c r="C85" i="351"/>
  <c r="K84" i="351"/>
  <c r="J84" i="351"/>
  <c r="I84" i="351"/>
  <c r="H84" i="351"/>
  <c r="G84" i="351"/>
  <c r="F84" i="351"/>
  <c r="E84" i="351"/>
  <c r="D84" i="351"/>
  <c r="C84" i="351"/>
  <c r="K83" i="351"/>
  <c r="J83" i="351"/>
  <c r="I83" i="351"/>
  <c r="H83" i="351"/>
  <c r="G83" i="351"/>
  <c r="F83" i="351"/>
  <c r="E83" i="351"/>
  <c r="D83" i="351"/>
  <c r="C83" i="351"/>
  <c r="K82" i="351"/>
  <c r="J82" i="351"/>
  <c r="I82" i="351"/>
  <c r="H82" i="351"/>
  <c r="G82" i="351"/>
  <c r="F82" i="351"/>
  <c r="E82" i="351"/>
  <c r="D82" i="351"/>
  <c r="C82" i="351"/>
  <c r="K81" i="351"/>
  <c r="J81" i="351"/>
  <c r="I81" i="351"/>
  <c r="H81" i="351"/>
  <c r="G81" i="351"/>
  <c r="F81" i="351"/>
  <c r="E81" i="351"/>
  <c r="D81" i="351"/>
  <c r="C81" i="351"/>
  <c r="K80" i="351"/>
  <c r="J80" i="351"/>
  <c r="I80" i="351"/>
  <c r="H80" i="351"/>
  <c r="G80" i="351"/>
  <c r="F80" i="351"/>
  <c r="E80" i="351"/>
  <c r="D80" i="351"/>
  <c r="C80" i="351"/>
  <c r="K79" i="351"/>
  <c r="J79" i="351"/>
  <c r="I79" i="351"/>
  <c r="H79" i="351"/>
  <c r="G79" i="351"/>
  <c r="F79" i="351"/>
  <c r="E79" i="351"/>
  <c r="D79" i="351"/>
  <c r="C79" i="351"/>
  <c r="K78" i="351"/>
  <c r="J78" i="351"/>
  <c r="I78" i="351"/>
  <c r="H78" i="351"/>
  <c r="G78" i="351"/>
  <c r="F78" i="351"/>
  <c r="E78" i="351"/>
  <c r="D78" i="351"/>
  <c r="C78" i="351"/>
  <c r="K77" i="351"/>
  <c r="J77" i="351"/>
  <c r="I77" i="351"/>
  <c r="H77" i="351"/>
  <c r="G77" i="351"/>
  <c r="F77" i="351"/>
  <c r="E77" i="351"/>
  <c r="D77" i="351"/>
  <c r="C77" i="351"/>
  <c r="K76" i="351"/>
  <c r="J76" i="351"/>
  <c r="I76" i="351"/>
  <c r="H76" i="351"/>
  <c r="G76" i="351"/>
  <c r="F76" i="351"/>
  <c r="E76" i="351"/>
  <c r="D76" i="351"/>
  <c r="C76" i="351"/>
  <c r="K73" i="351"/>
  <c r="J73" i="351"/>
  <c r="I73" i="351"/>
  <c r="H73" i="351"/>
  <c r="G73" i="351"/>
  <c r="F73" i="351"/>
  <c r="E73" i="351"/>
  <c r="D73" i="351"/>
  <c r="C73" i="351"/>
  <c r="K72" i="351"/>
  <c r="J72" i="351"/>
  <c r="I72" i="351"/>
  <c r="H72" i="351"/>
  <c r="G72" i="351"/>
  <c r="F72" i="351"/>
  <c r="E72" i="351"/>
  <c r="D72" i="351"/>
  <c r="C72" i="351"/>
  <c r="K71" i="351"/>
  <c r="J71" i="351"/>
  <c r="I71" i="351"/>
  <c r="H71" i="351"/>
  <c r="G71" i="351"/>
  <c r="F71" i="351"/>
  <c r="E71" i="351"/>
  <c r="D71" i="351"/>
  <c r="C71" i="351"/>
  <c r="K70" i="351"/>
  <c r="J70" i="351"/>
  <c r="I70" i="351"/>
  <c r="H70" i="351"/>
  <c r="G70" i="351"/>
  <c r="F70" i="351"/>
  <c r="E70" i="351"/>
  <c r="D70" i="351"/>
  <c r="C70" i="351"/>
  <c r="K69" i="351"/>
  <c r="J69" i="351"/>
  <c r="I69" i="351"/>
  <c r="H69" i="351"/>
  <c r="G69" i="351"/>
  <c r="F69" i="351"/>
  <c r="E69" i="351"/>
  <c r="D69" i="351"/>
  <c r="C69" i="351"/>
  <c r="K68" i="351"/>
  <c r="J68" i="351"/>
  <c r="I68" i="351"/>
  <c r="H68" i="351"/>
  <c r="G68" i="351"/>
  <c r="F68" i="351"/>
  <c r="E68" i="351"/>
  <c r="D68" i="351"/>
  <c r="C68" i="351"/>
  <c r="K67" i="351"/>
  <c r="J67" i="351"/>
  <c r="I67" i="351"/>
  <c r="H67" i="351"/>
  <c r="G67" i="351"/>
  <c r="F67" i="351"/>
  <c r="E67" i="351"/>
  <c r="D67" i="351"/>
  <c r="C67" i="351"/>
  <c r="K65" i="351"/>
  <c r="J65" i="351"/>
  <c r="I65" i="351"/>
  <c r="H65" i="351"/>
  <c r="G65" i="351"/>
  <c r="F65" i="351"/>
  <c r="E65" i="351"/>
  <c r="D65" i="351"/>
  <c r="C65" i="351"/>
  <c r="K64" i="351"/>
  <c r="J64" i="351"/>
  <c r="I64" i="351"/>
  <c r="H64" i="351"/>
  <c r="G64" i="351"/>
  <c r="F64" i="351"/>
  <c r="E64" i="351"/>
  <c r="D64" i="351"/>
  <c r="C64" i="351"/>
  <c r="K62" i="351"/>
  <c r="J62" i="351"/>
  <c r="I62" i="351"/>
  <c r="H62" i="351"/>
  <c r="G62" i="351"/>
  <c r="F62" i="351"/>
  <c r="E62" i="351"/>
  <c r="D62" i="351"/>
  <c r="C62" i="351"/>
  <c r="K61" i="351"/>
  <c r="J61" i="351"/>
  <c r="I61" i="351"/>
  <c r="H61" i="351"/>
  <c r="G61" i="351"/>
  <c r="F61" i="351"/>
  <c r="E61" i="351"/>
  <c r="D61" i="351"/>
  <c r="C61" i="351"/>
  <c r="K60" i="351"/>
  <c r="J60" i="351"/>
  <c r="I60" i="351"/>
  <c r="H60" i="351"/>
  <c r="G60" i="351"/>
  <c r="F60" i="351"/>
  <c r="E60" i="351"/>
  <c r="D60" i="351"/>
  <c r="C60" i="351"/>
  <c r="K59" i="351"/>
  <c r="J59" i="351"/>
  <c r="I59" i="351"/>
  <c r="H59" i="351"/>
  <c r="G59" i="351"/>
  <c r="F59" i="351"/>
  <c r="E59" i="351"/>
  <c r="D59" i="351"/>
  <c r="C59" i="351"/>
  <c r="K58" i="351"/>
  <c r="J58" i="351"/>
  <c r="I58" i="351"/>
  <c r="H58" i="351"/>
  <c r="G58" i="351"/>
  <c r="F58" i="351"/>
  <c r="E58" i="351"/>
  <c r="D58" i="351"/>
  <c r="C58" i="351"/>
  <c r="K57" i="351"/>
  <c r="J57" i="351"/>
  <c r="I57" i="351"/>
  <c r="H57" i="351"/>
  <c r="G57" i="351"/>
  <c r="F57" i="351"/>
  <c r="E57" i="351"/>
  <c r="D57" i="351"/>
  <c r="C57" i="351"/>
  <c r="K56" i="351"/>
  <c r="J56" i="351"/>
  <c r="I56" i="351"/>
  <c r="H56" i="351"/>
  <c r="G56" i="351"/>
  <c r="F56" i="351"/>
  <c r="E56" i="351"/>
  <c r="D56" i="351"/>
  <c r="C56" i="351"/>
  <c r="K55" i="351"/>
  <c r="J55" i="351"/>
  <c r="I55" i="351"/>
  <c r="H55" i="351"/>
  <c r="G55" i="351"/>
  <c r="F55" i="351"/>
  <c r="E55" i="351"/>
  <c r="D55" i="351"/>
  <c r="C55" i="351"/>
  <c r="K53" i="351"/>
  <c r="J53" i="351"/>
  <c r="I53" i="351"/>
  <c r="H53" i="351"/>
  <c r="G53" i="351"/>
  <c r="F53" i="351"/>
  <c r="E53" i="351"/>
  <c r="D53" i="351"/>
  <c r="C53" i="351"/>
  <c r="K52" i="351"/>
  <c r="J52" i="351"/>
  <c r="I52" i="351"/>
  <c r="H52" i="351"/>
  <c r="G52" i="351"/>
  <c r="F52" i="351"/>
  <c r="E52" i="351"/>
  <c r="D52" i="351"/>
  <c r="C52" i="351"/>
  <c r="K51" i="351"/>
  <c r="J51" i="351"/>
  <c r="I51" i="351"/>
  <c r="H51" i="351"/>
  <c r="G51" i="351"/>
  <c r="F51" i="351"/>
  <c r="E51" i="351"/>
  <c r="D51" i="351"/>
  <c r="C51" i="351"/>
  <c r="K50" i="351"/>
  <c r="J50" i="351"/>
  <c r="I50" i="351"/>
  <c r="H50" i="351"/>
  <c r="G50" i="351"/>
  <c r="F50" i="351"/>
  <c r="E50" i="351"/>
  <c r="D50" i="351"/>
  <c r="C50" i="351"/>
  <c r="K49" i="351"/>
  <c r="J49" i="351"/>
  <c r="I49" i="351"/>
  <c r="H49" i="351"/>
  <c r="G49" i="351"/>
  <c r="F49" i="351"/>
  <c r="E49" i="351"/>
  <c r="D49" i="351"/>
  <c r="C49" i="351"/>
  <c r="K47" i="351"/>
  <c r="J47" i="351"/>
  <c r="I47" i="351"/>
  <c r="H47" i="351"/>
  <c r="G47" i="351"/>
  <c r="F47" i="351"/>
  <c r="E47" i="351"/>
  <c r="D47" i="351"/>
  <c r="C47" i="351"/>
  <c r="K46" i="351"/>
  <c r="J46" i="351"/>
  <c r="I46" i="351"/>
  <c r="H46" i="351"/>
  <c r="G46" i="351"/>
  <c r="F46" i="351"/>
  <c r="E46" i="351"/>
  <c r="D46" i="351"/>
  <c r="C46" i="351"/>
  <c r="K45" i="351"/>
  <c r="J45" i="351"/>
  <c r="I45" i="351"/>
  <c r="H45" i="351"/>
  <c r="G45" i="351"/>
  <c r="F45" i="351"/>
  <c r="E45" i="351"/>
  <c r="D45" i="351"/>
  <c r="C45" i="351"/>
  <c r="K44" i="351"/>
  <c r="J44" i="351"/>
  <c r="I44" i="351"/>
  <c r="H44" i="351"/>
  <c r="G44" i="351"/>
  <c r="F44" i="351"/>
  <c r="E44" i="351"/>
  <c r="D44" i="351"/>
  <c r="C44" i="351"/>
  <c r="K43" i="351"/>
  <c r="J43" i="351"/>
  <c r="I43" i="351"/>
  <c r="H43" i="351"/>
  <c r="G43" i="351"/>
  <c r="F43" i="351"/>
  <c r="E43" i="351"/>
  <c r="D43" i="351"/>
  <c r="C43" i="351"/>
  <c r="K42" i="351"/>
  <c r="J42" i="351"/>
  <c r="I42" i="351"/>
  <c r="H42" i="351"/>
  <c r="G42" i="351"/>
  <c r="F42" i="351"/>
  <c r="E42" i="351"/>
  <c r="D42" i="351"/>
  <c r="C42" i="351"/>
  <c r="K41" i="351"/>
  <c r="J41" i="351"/>
  <c r="I41" i="351"/>
  <c r="H41" i="351"/>
  <c r="G41" i="351"/>
  <c r="F41" i="351"/>
  <c r="E41" i="351"/>
  <c r="D41" i="351"/>
  <c r="C41" i="351"/>
  <c r="K40" i="351"/>
  <c r="J40" i="351"/>
  <c r="I40" i="351"/>
  <c r="H40" i="351"/>
  <c r="G40" i="351"/>
  <c r="F40" i="351"/>
  <c r="E40" i="351"/>
  <c r="D40" i="351"/>
  <c r="C40" i="351"/>
  <c r="K39" i="351"/>
  <c r="J39" i="351"/>
  <c r="I39" i="351"/>
  <c r="H39" i="351"/>
  <c r="G39" i="351"/>
  <c r="F39" i="351"/>
  <c r="E39" i="351"/>
  <c r="D39" i="351"/>
  <c r="C39" i="351"/>
  <c r="K38" i="351"/>
  <c r="J38" i="351"/>
  <c r="I38" i="351"/>
  <c r="H38" i="351"/>
  <c r="G38" i="351"/>
  <c r="F38" i="351"/>
  <c r="E38" i="351"/>
  <c r="D38" i="351"/>
  <c r="C38" i="351"/>
  <c r="K37" i="351"/>
  <c r="J37" i="351"/>
  <c r="I37" i="351"/>
  <c r="H37" i="351"/>
  <c r="G37" i="351"/>
  <c r="F37" i="351"/>
  <c r="E37" i="351"/>
  <c r="D37" i="351"/>
  <c r="C37" i="351"/>
  <c r="K36" i="351"/>
  <c r="J36" i="351"/>
  <c r="I36" i="351"/>
  <c r="H36" i="351"/>
  <c r="G36" i="351"/>
  <c r="F36" i="351"/>
  <c r="E36" i="351"/>
  <c r="D36" i="351"/>
  <c r="C36" i="351"/>
  <c r="K35" i="351"/>
  <c r="J35" i="351"/>
  <c r="I35" i="351"/>
  <c r="H35" i="351"/>
  <c r="G35" i="351"/>
  <c r="F35" i="351"/>
  <c r="E35" i="351"/>
  <c r="D35" i="351"/>
  <c r="C35" i="351"/>
  <c r="K34" i="351"/>
  <c r="J34" i="351"/>
  <c r="I34" i="351"/>
  <c r="H34" i="351"/>
  <c r="G34" i="351"/>
  <c r="F34" i="351"/>
  <c r="E34" i="351"/>
  <c r="D34" i="351"/>
  <c r="C34" i="351"/>
  <c r="K33" i="351"/>
  <c r="J33" i="351"/>
  <c r="I33" i="351"/>
  <c r="H33" i="351"/>
  <c r="G33" i="351"/>
  <c r="F33" i="351"/>
  <c r="E33" i="351"/>
  <c r="D33" i="351"/>
  <c r="C33" i="351"/>
  <c r="K32" i="351"/>
  <c r="J32" i="351"/>
  <c r="I32" i="351"/>
  <c r="H32" i="351"/>
  <c r="G32" i="351"/>
  <c r="F32" i="351"/>
  <c r="E32" i="351"/>
  <c r="D32" i="351"/>
  <c r="C32" i="351"/>
  <c r="K31" i="351"/>
  <c r="J31" i="351"/>
  <c r="I31" i="351"/>
  <c r="H31" i="351"/>
  <c r="G31" i="351"/>
  <c r="F31" i="351"/>
  <c r="E31" i="351"/>
  <c r="D31" i="351"/>
  <c r="C31" i="351"/>
  <c r="K30" i="351"/>
  <c r="J30" i="351"/>
  <c r="I30" i="351"/>
  <c r="H30" i="351"/>
  <c r="G30" i="351"/>
  <c r="F30" i="351"/>
  <c r="E30" i="351"/>
  <c r="D30" i="351"/>
  <c r="C30" i="351"/>
  <c r="K29" i="351"/>
  <c r="J29" i="351"/>
  <c r="I29" i="351"/>
  <c r="H29" i="351"/>
  <c r="G29" i="351"/>
  <c r="F29" i="351"/>
  <c r="E29" i="351"/>
  <c r="D29" i="351"/>
  <c r="C29" i="351"/>
  <c r="K28" i="351"/>
  <c r="J28" i="351"/>
  <c r="I28" i="351"/>
  <c r="H28" i="351"/>
  <c r="G28" i="351"/>
  <c r="F28" i="351"/>
  <c r="E28" i="351"/>
  <c r="D28" i="351"/>
  <c r="C28" i="351"/>
  <c r="K27" i="351"/>
  <c r="J27" i="351"/>
  <c r="I27" i="351"/>
  <c r="H27" i="351"/>
  <c r="G27" i="351"/>
  <c r="F27" i="351"/>
  <c r="E27" i="351"/>
  <c r="D27" i="351"/>
  <c r="C27" i="351"/>
  <c r="K24" i="351"/>
  <c r="J24" i="351"/>
  <c r="I24" i="351"/>
  <c r="H24" i="351"/>
  <c r="G24" i="351"/>
  <c r="F24" i="351"/>
  <c r="E24" i="351"/>
  <c r="D24" i="351"/>
  <c r="C24" i="351"/>
  <c r="K22" i="351"/>
  <c r="J22" i="351"/>
  <c r="I22" i="351"/>
  <c r="H22" i="351"/>
  <c r="G22" i="351"/>
  <c r="F22" i="351"/>
  <c r="E22" i="351"/>
  <c r="D22" i="351"/>
  <c r="C22" i="351"/>
  <c r="K21" i="351"/>
  <c r="J21" i="351"/>
  <c r="I21" i="351"/>
  <c r="H21" i="351"/>
  <c r="G21" i="351"/>
  <c r="F21" i="351"/>
  <c r="E21" i="351"/>
  <c r="D21" i="351"/>
  <c r="C21" i="351"/>
  <c r="K20" i="351"/>
  <c r="J20" i="351"/>
  <c r="I20" i="351"/>
  <c r="H20" i="351"/>
  <c r="G20" i="351"/>
  <c r="F20" i="351"/>
  <c r="E20" i="351"/>
  <c r="D20" i="351"/>
  <c r="C20" i="351"/>
  <c r="K19" i="351"/>
  <c r="J19" i="351"/>
  <c r="I19" i="351"/>
  <c r="H19" i="351"/>
  <c r="G19" i="351"/>
  <c r="F19" i="351"/>
  <c r="E19" i="351"/>
  <c r="D19" i="351"/>
  <c r="C19" i="351"/>
  <c r="K18" i="351"/>
  <c r="J18" i="351"/>
  <c r="I18" i="351"/>
  <c r="H18" i="351"/>
  <c r="G18" i="351"/>
  <c r="F18" i="351"/>
  <c r="E18" i="351"/>
  <c r="D18" i="351"/>
  <c r="C18" i="351"/>
  <c r="K17" i="351"/>
  <c r="J17" i="351"/>
  <c r="I17" i="351"/>
  <c r="H17" i="351"/>
  <c r="G17" i="351"/>
  <c r="F17" i="351"/>
  <c r="E17" i="351"/>
  <c r="D17" i="351"/>
  <c r="C17" i="351"/>
  <c r="K16" i="351"/>
  <c r="J16" i="351"/>
  <c r="I16" i="351"/>
  <c r="H16" i="351"/>
  <c r="G16" i="351"/>
  <c r="F16" i="351"/>
  <c r="E16" i="351"/>
  <c r="D16" i="351"/>
  <c r="C16" i="351"/>
  <c r="K15" i="351"/>
  <c r="J15" i="351"/>
  <c r="I15" i="351"/>
  <c r="H15" i="351"/>
  <c r="G15" i="351"/>
  <c r="F15" i="351"/>
  <c r="E15" i="351"/>
  <c r="D15" i="351"/>
  <c r="C15" i="351"/>
  <c r="K14" i="351"/>
  <c r="J14" i="351"/>
  <c r="I14" i="351"/>
  <c r="H14" i="351"/>
  <c r="G14" i="351"/>
  <c r="F14" i="351"/>
  <c r="E14" i="351"/>
  <c r="D14" i="351"/>
  <c r="C14" i="351"/>
  <c r="K13" i="351"/>
  <c r="J13" i="351"/>
  <c r="I13" i="351"/>
  <c r="H13" i="351"/>
  <c r="G13" i="351"/>
  <c r="F13" i="351"/>
  <c r="E13" i="351"/>
  <c r="D13" i="351"/>
  <c r="C13" i="351"/>
  <c r="K12" i="351"/>
  <c r="J12" i="351"/>
  <c r="I12" i="351"/>
  <c r="H12" i="351"/>
  <c r="G12" i="351"/>
  <c r="F12" i="351"/>
  <c r="E12" i="351"/>
  <c r="D12" i="351"/>
  <c r="C12" i="351"/>
  <c r="K11" i="351"/>
  <c r="J11" i="351"/>
  <c r="I11" i="351"/>
  <c r="H11" i="351"/>
  <c r="G11" i="351"/>
  <c r="F11" i="351"/>
  <c r="E11" i="351"/>
  <c r="D11" i="351"/>
  <c r="C11" i="351"/>
  <c r="K10" i="351"/>
  <c r="J10" i="351"/>
  <c r="I10" i="351"/>
  <c r="H10" i="351"/>
  <c r="G10" i="351"/>
  <c r="F10" i="351"/>
  <c r="E10" i="351"/>
  <c r="D10" i="351"/>
  <c r="C10" i="351"/>
  <c r="F8" i="351"/>
  <c r="G8" i="351"/>
  <c r="H8" i="351"/>
  <c r="I8" i="351"/>
  <c r="J8" i="351"/>
  <c r="K8" i="351"/>
  <c r="K7" i="351"/>
  <c r="J7" i="351"/>
  <c r="I7" i="351"/>
  <c r="H7" i="351"/>
  <c r="G7" i="351"/>
  <c r="F7" i="351"/>
  <c r="C8" i="351"/>
  <c r="D8" i="351"/>
  <c r="E8" i="351"/>
  <c r="E7" i="351"/>
  <c r="D7" i="351"/>
  <c r="C7" i="351"/>
  <c r="E148" i="255" l="1"/>
  <c r="F148" i="255"/>
  <c r="G148" i="255"/>
  <c r="H148" i="255"/>
  <c r="J148" i="255"/>
  <c r="K148" i="255"/>
  <c r="L148" i="255"/>
  <c r="E149" i="255"/>
  <c r="F149" i="255"/>
  <c r="G149" i="255"/>
  <c r="H149" i="255"/>
  <c r="J149" i="255"/>
  <c r="K149" i="255"/>
  <c r="L149" i="255"/>
  <c r="E150" i="255"/>
  <c r="F150" i="255"/>
  <c r="G150" i="255"/>
  <c r="H150" i="255"/>
  <c r="J150" i="255"/>
  <c r="K150" i="255"/>
  <c r="L150" i="255"/>
  <c r="E151" i="255"/>
  <c r="F151" i="255"/>
  <c r="G151" i="255"/>
  <c r="H151" i="255"/>
  <c r="J151" i="255"/>
  <c r="K151" i="255"/>
  <c r="L151" i="255"/>
  <c r="E152" i="255"/>
  <c r="F152" i="255"/>
  <c r="G152" i="255"/>
  <c r="H152" i="255"/>
  <c r="J152" i="255"/>
  <c r="K152" i="255"/>
  <c r="L152" i="255"/>
  <c r="E153" i="255"/>
  <c r="F153" i="255"/>
  <c r="G153" i="255"/>
  <c r="H153" i="255"/>
  <c r="J153" i="255"/>
  <c r="K153" i="255"/>
  <c r="L153" i="255"/>
  <c r="L147" i="255"/>
  <c r="K147" i="255"/>
  <c r="J147" i="255"/>
  <c r="H147" i="255"/>
  <c r="G147" i="255"/>
  <c r="F147" i="255"/>
  <c r="E147" i="255"/>
  <c r="L115" i="255"/>
  <c r="K115" i="255"/>
  <c r="J115" i="255"/>
  <c r="H115" i="255"/>
  <c r="G115" i="255"/>
  <c r="F115" i="255"/>
  <c r="E115" i="255"/>
  <c r="L114" i="255"/>
  <c r="K114" i="255"/>
  <c r="J114" i="255"/>
  <c r="H114" i="255"/>
  <c r="G114" i="255"/>
  <c r="F114" i="255"/>
  <c r="E114" i="255"/>
  <c r="L113" i="255"/>
  <c r="K113" i="255"/>
  <c r="J113" i="255"/>
  <c r="H113" i="255"/>
  <c r="G113" i="255"/>
  <c r="F113" i="255"/>
  <c r="E113" i="255"/>
  <c r="L103" i="255"/>
  <c r="K103" i="255"/>
  <c r="F103" i="255"/>
  <c r="E103" i="255"/>
  <c r="L98" i="255"/>
  <c r="K98" i="255"/>
  <c r="J98" i="255"/>
  <c r="H98" i="255"/>
  <c r="G98" i="255"/>
  <c r="F98" i="255"/>
  <c r="E98" i="255"/>
  <c r="L97" i="255"/>
  <c r="K97" i="255"/>
  <c r="J97" i="255"/>
  <c r="H97" i="255"/>
  <c r="G97" i="255"/>
  <c r="F97" i="255"/>
  <c r="E97" i="255"/>
  <c r="L96" i="255"/>
  <c r="K96" i="255"/>
  <c r="J96" i="255"/>
  <c r="H96" i="255"/>
  <c r="G96" i="255"/>
  <c r="F96" i="255"/>
  <c r="E96" i="255"/>
  <c r="G71" i="255"/>
  <c r="H71" i="255"/>
  <c r="J71" i="255"/>
  <c r="K71" i="255"/>
  <c r="L71" i="255"/>
  <c r="G72" i="255"/>
  <c r="H72" i="255"/>
  <c r="J72" i="255"/>
  <c r="K72" i="255"/>
  <c r="L72" i="255"/>
  <c r="G73" i="255"/>
  <c r="H73" i="255"/>
  <c r="J73" i="255"/>
  <c r="K73" i="255"/>
  <c r="L73" i="255"/>
  <c r="G74" i="255"/>
  <c r="H74" i="255"/>
  <c r="J74" i="255"/>
  <c r="K74" i="255"/>
  <c r="L74" i="255"/>
  <c r="G75" i="255"/>
  <c r="H75" i="255"/>
  <c r="J75" i="255"/>
  <c r="K75" i="255"/>
  <c r="L75" i="255"/>
  <c r="G76" i="255"/>
  <c r="H76" i="255"/>
  <c r="J76" i="255"/>
  <c r="K76" i="255"/>
  <c r="L76" i="255"/>
  <c r="G77" i="255"/>
  <c r="H77" i="255"/>
  <c r="J77" i="255"/>
  <c r="K77" i="255"/>
  <c r="L77" i="255"/>
  <c r="G78" i="255"/>
  <c r="H78" i="255"/>
  <c r="J78" i="255"/>
  <c r="K78" i="255"/>
  <c r="L78" i="255"/>
  <c r="G79" i="255"/>
  <c r="H79" i="255"/>
  <c r="J79" i="255"/>
  <c r="K79" i="255"/>
  <c r="L79" i="255"/>
  <c r="G80" i="255"/>
  <c r="H80" i="255"/>
  <c r="J80" i="255"/>
  <c r="K80" i="255"/>
  <c r="L80" i="255"/>
  <c r="G81" i="255"/>
  <c r="H81" i="255"/>
  <c r="J81" i="255"/>
  <c r="K81" i="255"/>
  <c r="L81" i="255"/>
  <c r="L70" i="255"/>
  <c r="K70" i="255"/>
  <c r="J70" i="255"/>
  <c r="H70" i="255"/>
  <c r="G70" i="255"/>
  <c r="E71" i="255"/>
  <c r="F71" i="255"/>
  <c r="E72" i="255"/>
  <c r="F72" i="255"/>
  <c r="E73" i="255"/>
  <c r="F73" i="255"/>
  <c r="E74" i="255"/>
  <c r="F74" i="255"/>
  <c r="E75" i="255"/>
  <c r="F75" i="255"/>
  <c r="E76" i="255"/>
  <c r="F76" i="255"/>
  <c r="E77" i="255"/>
  <c r="F77" i="255"/>
  <c r="E78" i="255"/>
  <c r="F78" i="255"/>
  <c r="E79" i="255"/>
  <c r="F79" i="255"/>
  <c r="E80" i="255"/>
  <c r="F80" i="255"/>
  <c r="E81" i="255"/>
  <c r="F81" i="255"/>
  <c r="F70" i="255"/>
  <c r="E70" i="255"/>
  <c r="D70" i="255"/>
  <c r="C70" i="255"/>
  <c r="I26" i="255"/>
  <c r="I25" i="255"/>
  <c r="H25" i="255"/>
  <c r="G25" i="255"/>
  <c r="F25" i="255"/>
  <c r="H24" i="255"/>
  <c r="G24" i="255"/>
  <c r="F24" i="255"/>
  <c r="I19" i="255"/>
  <c r="H19" i="255"/>
  <c r="G19" i="255"/>
  <c r="F19" i="255"/>
  <c r="H18" i="255"/>
  <c r="G18" i="255"/>
  <c r="F18" i="255"/>
  <c r="I13" i="255"/>
  <c r="H13" i="255"/>
  <c r="G13" i="255"/>
  <c r="F13" i="255"/>
  <c r="H12" i="255"/>
  <c r="G12" i="255"/>
  <c r="F12" i="255"/>
  <c r="L25" i="255"/>
  <c r="K25" i="255"/>
  <c r="J25" i="255"/>
  <c r="L24" i="255"/>
  <c r="K24" i="255"/>
  <c r="J24" i="255"/>
  <c r="L19" i="255"/>
  <c r="K19" i="255"/>
  <c r="J19" i="255"/>
  <c r="L18" i="255"/>
  <c r="K18" i="255"/>
  <c r="J18" i="255"/>
  <c r="L13" i="255"/>
  <c r="K13" i="255"/>
  <c r="J13" i="255"/>
  <c r="L12" i="255"/>
  <c r="K12" i="255"/>
  <c r="J12" i="255"/>
  <c r="L8" i="255"/>
  <c r="K8" i="255"/>
  <c r="J8" i="255"/>
  <c r="I8" i="255"/>
  <c r="H8" i="255"/>
  <c r="G8" i="255"/>
  <c r="F8" i="255"/>
  <c r="L7" i="255"/>
  <c r="K7" i="255"/>
  <c r="J7" i="255"/>
  <c r="H7" i="255"/>
  <c r="G7" i="255"/>
  <c r="F7" i="255"/>
  <c r="E25" i="255"/>
  <c r="D25" i="255"/>
  <c r="C25" i="255"/>
  <c r="E24" i="255"/>
  <c r="D24" i="255"/>
  <c r="C24" i="255"/>
  <c r="E19" i="255"/>
  <c r="D19" i="255"/>
  <c r="C19" i="255"/>
  <c r="E18" i="255"/>
  <c r="D18" i="255"/>
  <c r="C18" i="255"/>
  <c r="E13" i="255"/>
  <c r="D13" i="255"/>
  <c r="C13" i="255"/>
  <c r="E12" i="255"/>
  <c r="D12" i="255"/>
  <c r="C12" i="255"/>
  <c r="C8" i="255"/>
  <c r="D8" i="255"/>
  <c r="E8" i="255"/>
  <c r="E7" i="255"/>
  <c r="D7" i="255"/>
  <c r="C7" i="255"/>
  <c r="D39" i="127"/>
  <c r="E39" i="127"/>
  <c r="F39" i="127"/>
  <c r="G39" i="127"/>
  <c r="H39" i="127"/>
  <c r="J39" i="127"/>
  <c r="K39" i="127"/>
  <c r="L39" i="127"/>
  <c r="L34" i="127"/>
  <c r="K34" i="127"/>
  <c r="J34" i="127"/>
  <c r="H34" i="127"/>
  <c r="G34" i="127"/>
  <c r="F34" i="127"/>
  <c r="L28" i="127"/>
  <c r="K28" i="127"/>
  <c r="J28" i="127"/>
  <c r="L26" i="127"/>
  <c r="K26" i="127"/>
  <c r="J26" i="127"/>
  <c r="H26" i="127"/>
  <c r="G26" i="127"/>
  <c r="F26" i="127"/>
  <c r="L25" i="127"/>
  <c r="K25" i="127"/>
  <c r="J25" i="127"/>
  <c r="H25" i="127"/>
  <c r="G25" i="127"/>
  <c r="F25" i="127"/>
  <c r="L46" i="127"/>
  <c r="K46" i="127"/>
  <c r="J46" i="127"/>
  <c r="H46" i="127"/>
  <c r="G46" i="127"/>
  <c r="F46" i="127"/>
  <c r="E46" i="127"/>
  <c r="D46" i="127"/>
  <c r="C46" i="127"/>
  <c r="L44" i="127"/>
  <c r="K44" i="127"/>
  <c r="J44" i="127"/>
  <c r="H44" i="127"/>
  <c r="G44" i="127"/>
  <c r="F44" i="127"/>
  <c r="E44" i="127"/>
  <c r="D44" i="127"/>
  <c r="C44" i="127"/>
  <c r="L42" i="127"/>
  <c r="K42" i="127"/>
  <c r="J42" i="127"/>
  <c r="H42" i="127"/>
  <c r="G42" i="127"/>
  <c r="F42" i="127"/>
  <c r="E42" i="127"/>
  <c r="D42" i="127"/>
  <c r="C42" i="127"/>
  <c r="L40" i="127"/>
  <c r="K40" i="127"/>
  <c r="J40" i="127"/>
  <c r="H40" i="127"/>
  <c r="G40" i="127"/>
  <c r="F40" i="127"/>
  <c r="E40" i="127"/>
  <c r="D40" i="127"/>
  <c r="C40" i="127"/>
  <c r="L38" i="127"/>
  <c r="K38" i="127"/>
  <c r="J38" i="127"/>
  <c r="H38" i="127"/>
  <c r="G38" i="127"/>
  <c r="F38" i="127"/>
  <c r="E38" i="127"/>
  <c r="D38" i="127"/>
  <c r="C38" i="127"/>
  <c r="E34" i="127"/>
  <c r="D34" i="127"/>
  <c r="C34" i="127"/>
  <c r="E28" i="127"/>
  <c r="D28" i="127"/>
  <c r="C28" i="127"/>
  <c r="E26" i="127"/>
  <c r="D26" i="127"/>
  <c r="C26" i="127"/>
  <c r="E25" i="127"/>
  <c r="D25" i="127"/>
  <c r="C25" i="127"/>
  <c r="L20" i="127"/>
  <c r="K20" i="127"/>
  <c r="J20" i="127"/>
  <c r="H20" i="127"/>
  <c r="G20" i="127"/>
  <c r="F20" i="127"/>
  <c r="E20" i="127"/>
  <c r="D20" i="127"/>
  <c r="C20" i="127"/>
  <c r="C12" i="127"/>
  <c r="D12" i="127"/>
  <c r="E12" i="127"/>
  <c r="F12" i="127"/>
  <c r="G12" i="127"/>
  <c r="H12" i="127"/>
  <c r="J12" i="127"/>
  <c r="K12" i="127"/>
  <c r="L12" i="127"/>
  <c r="C13" i="127"/>
  <c r="D13" i="127"/>
  <c r="E13" i="127"/>
  <c r="F13" i="127"/>
  <c r="G13" i="127"/>
  <c r="H13" i="127"/>
  <c r="J13" i="127"/>
  <c r="K13" i="127"/>
  <c r="L13" i="127"/>
  <c r="C14" i="127"/>
  <c r="D14" i="127"/>
  <c r="E14" i="127"/>
  <c r="F14" i="127"/>
  <c r="G14" i="127"/>
  <c r="H14" i="127"/>
  <c r="J14" i="127"/>
  <c r="K14" i="127"/>
  <c r="L14" i="127"/>
  <c r="C15" i="127"/>
  <c r="D15" i="127"/>
  <c r="E15" i="127"/>
  <c r="F15" i="127"/>
  <c r="G15" i="127"/>
  <c r="H15" i="127"/>
  <c r="J15" i="127"/>
  <c r="K15" i="127"/>
  <c r="L15" i="127"/>
  <c r="C16" i="127"/>
  <c r="D16" i="127"/>
  <c r="E16" i="127"/>
  <c r="F16" i="127"/>
  <c r="G16" i="127"/>
  <c r="H16" i="127"/>
  <c r="J16" i="127"/>
  <c r="K16" i="127"/>
  <c r="L16" i="127"/>
  <c r="C17" i="127"/>
  <c r="D17" i="127"/>
  <c r="E17" i="127"/>
  <c r="F17" i="127"/>
  <c r="G17" i="127"/>
  <c r="H17" i="127"/>
  <c r="J17" i="127"/>
  <c r="K17" i="127"/>
  <c r="L17" i="127"/>
  <c r="C18" i="127"/>
  <c r="D18" i="127"/>
  <c r="E18" i="127"/>
  <c r="F18" i="127"/>
  <c r="G18" i="127"/>
  <c r="H18" i="127"/>
  <c r="J18" i="127"/>
  <c r="K18" i="127"/>
  <c r="L18" i="127"/>
  <c r="L11" i="127"/>
  <c r="K11" i="127"/>
  <c r="J11" i="127"/>
  <c r="H11" i="127"/>
  <c r="G11" i="127"/>
  <c r="F11" i="127"/>
  <c r="E11" i="127"/>
  <c r="D11" i="127"/>
  <c r="C11" i="127"/>
  <c r="C114" i="128"/>
  <c r="C185" i="255" l="1"/>
  <c r="C106" i="128" l="1"/>
  <c r="C99" i="128"/>
  <c r="C93" i="128"/>
  <c r="C85" i="128"/>
  <c r="C77" i="128"/>
  <c r="C70" i="128"/>
  <c r="C61" i="128"/>
  <c r="D56" i="128" s="1"/>
  <c r="C46" i="128"/>
  <c r="C43" i="128"/>
  <c r="C39" i="128"/>
  <c r="C35" i="128"/>
  <c r="C31" i="128"/>
  <c r="C25" i="128"/>
  <c r="C42" i="128" l="1"/>
  <c r="C52" i="128" s="1"/>
  <c r="C30" i="128"/>
  <c r="C29" i="128" s="1"/>
  <c r="D99" i="128"/>
  <c r="E99" i="128" s="1"/>
  <c r="D185" i="255"/>
  <c r="D114" i="128"/>
  <c r="E114" i="128" s="1"/>
  <c r="F114" i="128" s="1"/>
  <c r="D85" i="128"/>
  <c r="E85" i="128" s="1"/>
  <c r="D70" i="128"/>
  <c r="E70" i="128" s="1"/>
  <c r="D93" i="128"/>
  <c r="E93" i="128" s="1"/>
  <c r="D25" i="128"/>
  <c r="D77" i="128"/>
  <c r="E77" i="128" s="1"/>
  <c r="D61" i="128"/>
  <c r="E56" i="128" s="1"/>
  <c r="E61" i="128" s="1"/>
  <c r="D35" i="128"/>
  <c r="D39" i="128"/>
  <c r="E43" i="128"/>
  <c r="D31" i="128"/>
  <c r="E35" i="128"/>
  <c r="E25" i="128"/>
  <c r="E46" i="128"/>
  <c r="D106" i="128"/>
  <c r="E106" i="128" s="1"/>
  <c r="D46" i="128"/>
  <c r="D43" i="128"/>
  <c r="I27" i="131"/>
  <c r="H27" i="131"/>
  <c r="G27" i="131"/>
  <c r="F27" i="131"/>
  <c r="E27" i="131"/>
  <c r="D27" i="131"/>
  <c r="C27" i="131"/>
  <c r="C184" i="255" l="1"/>
  <c r="C186" i="255" s="1"/>
  <c r="C30" i="127" s="1"/>
  <c r="H77" i="128"/>
  <c r="C53" i="128"/>
  <c r="C115" i="128" s="1"/>
  <c r="C11" i="129" s="1"/>
  <c r="E185" i="255"/>
  <c r="F77" i="128"/>
  <c r="D42" i="128"/>
  <c r="D52" i="128" s="1"/>
  <c r="I77" i="128"/>
  <c r="G114" i="128"/>
  <c r="H114" i="128"/>
  <c r="I114" i="128"/>
  <c r="D30" i="128"/>
  <c r="D29" i="128" s="1"/>
  <c r="H56" i="128"/>
  <c r="F56" i="128"/>
  <c r="F61" i="128" s="1"/>
  <c r="G56" i="128"/>
  <c r="I56" i="128"/>
  <c r="F46" i="128"/>
  <c r="G77" i="128"/>
  <c r="J77" i="128" s="1"/>
  <c r="K77" i="128" s="1"/>
  <c r="L77" i="128" s="1"/>
  <c r="F35" i="128"/>
  <c r="E31" i="128"/>
  <c r="E30" i="128" s="1"/>
  <c r="F43" i="128"/>
  <c r="E42" i="128"/>
  <c r="I93" i="128"/>
  <c r="H93" i="128"/>
  <c r="G93" i="128"/>
  <c r="J93" i="128" s="1"/>
  <c r="K93" i="128" s="1"/>
  <c r="L93" i="128" s="1"/>
  <c r="F93" i="128"/>
  <c r="F25" i="128"/>
  <c r="I99" i="128"/>
  <c r="H99" i="128"/>
  <c r="G99" i="128"/>
  <c r="J99" i="128" s="1"/>
  <c r="K99" i="128" s="1"/>
  <c r="L99" i="128" s="1"/>
  <c r="F99" i="128"/>
  <c r="I70" i="128"/>
  <c r="G70" i="128"/>
  <c r="J70" i="128" s="1"/>
  <c r="K70" i="128" s="1"/>
  <c r="L70" i="128" s="1"/>
  <c r="F70" i="128"/>
  <c r="H70" i="128"/>
  <c r="E39" i="128"/>
  <c r="H106" i="128"/>
  <c r="F106" i="128"/>
  <c r="G106" i="128"/>
  <c r="J106" i="128" s="1"/>
  <c r="K106" i="128" s="1"/>
  <c r="L106" i="128" s="1"/>
  <c r="I106" i="128"/>
  <c r="I85" i="128"/>
  <c r="H85" i="128"/>
  <c r="G85" i="128"/>
  <c r="J85" i="128" s="1"/>
  <c r="K85" i="128" s="1"/>
  <c r="L85" i="128" s="1"/>
  <c r="F85" i="128"/>
  <c r="A23" i="95"/>
  <c r="A24" i="95"/>
  <c r="L146" i="128"/>
  <c r="L38" i="129" s="1"/>
  <c r="K146" i="128"/>
  <c r="K38" i="129" s="1"/>
  <c r="J146" i="128"/>
  <c r="J38" i="129" s="1"/>
  <c r="H146" i="128"/>
  <c r="H38" i="129" s="1"/>
  <c r="G146" i="128"/>
  <c r="G38" i="129" s="1"/>
  <c r="F146" i="128"/>
  <c r="F38" i="129" s="1"/>
  <c r="E146" i="128"/>
  <c r="E38" i="129" s="1"/>
  <c r="D146" i="128"/>
  <c r="D38" i="129" s="1"/>
  <c r="C146" i="128"/>
  <c r="C38" i="129" s="1"/>
  <c r="I146" i="128"/>
  <c r="I38" i="129" s="1"/>
  <c r="L174" i="255"/>
  <c r="L33" i="127" s="1"/>
  <c r="Q33" i="137" s="1"/>
  <c r="K174" i="255"/>
  <c r="K33" i="127" s="1"/>
  <c r="P33" i="137" s="1"/>
  <c r="J174" i="255"/>
  <c r="J33" i="127" s="1"/>
  <c r="O33" i="137" s="1"/>
  <c r="I174" i="255"/>
  <c r="I33" i="127" s="1"/>
  <c r="H174" i="255"/>
  <c r="H33" i="127" s="1"/>
  <c r="G174" i="255"/>
  <c r="G33" i="127" s="1"/>
  <c r="F174" i="255"/>
  <c r="F33" i="127" s="1"/>
  <c r="E174" i="255"/>
  <c r="E33" i="127" s="1"/>
  <c r="D174" i="255"/>
  <c r="D33" i="127" s="1"/>
  <c r="C174" i="255"/>
  <c r="L144" i="255"/>
  <c r="L31" i="127" s="1"/>
  <c r="K144" i="255"/>
  <c r="J144" i="255"/>
  <c r="J31" i="127" s="1"/>
  <c r="O31" i="137" s="1"/>
  <c r="I144" i="255"/>
  <c r="H144" i="255"/>
  <c r="H31" i="127" s="1"/>
  <c r="G144" i="255"/>
  <c r="G31" i="127" s="1"/>
  <c r="F144" i="255"/>
  <c r="F31" i="127" s="1"/>
  <c r="E144" i="255"/>
  <c r="E31" i="127" s="1"/>
  <c r="D144" i="255"/>
  <c r="D31" i="127" s="1"/>
  <c r="C144" i="255"/>
  <c r="C31" i="127" s="1"/>
  <c r="L100" i="255"/>
  <c r="L27" i="127" s="1"/>
  <c r="K100" i="255"/>
  <c r="K27" i="127" s="1"/>
  <c r="J13" i="86" s="1"/>
  <c r="J100" i="255"/>
  <c r="J27" i="127" s="1"/>
  <c r="I100" i="255"/>
  <c r="I27" i="127" s="1"/>
  <c r="H13" i="86" s="1"/>
  <c r="H100" i="255"/>
  <c r="H27" i="127" s="1"/>
  <c r="G13" i="86" s="1"/>
  <c r="G100" i="255"/>
  <c r="G27" i="127" s="1"/>
  <c r="F13" i="86" s="1"/>
  <c r="F100" i="255"/>
  <c r="F27" i="127" s="1"/>
  <c r="E13" i="86" s="1"/>
  <c r="E100" i="255"/>
  <c r="E27" i="127" s="1"/>
  <c r="D13" i="86" s="1"/>
  <c r="D100" i="255"/>
  <c r="D27" i="127" s="1"/>
  <c r="C13" i="86" s="1"/>
  <c r="C100" i="255"/>
  <c r="C27" i="127" s="1"/>
  <c r="B13" i="86" s="1"/>
  <c r="C66" i="255"/>
  <c r="C19" i="127" s="1"/>
  <c r="B9" i="86" s="1"/>
  <c r="L66" i="255"/>
  <c r="L19" i="127" s="1"/>
  <c r="K66" i="255"/>
  <c r="K19" i="127" s="1"/>
  <c r="J66" i="255"/>
  <c r="J19" i="127" s="1"/>
  <c r="I9" i="86" s="1"/>
  <c r="I66" i="255"/>
  <c r="I19" i="127" s="1"/>
  <c r="H9" i="86" s="1"/>
  <c r="H66" i="255"/>
  <c r="H19" i="127" s="1"/>
  <c r="G9" i="86" s="1"/>
  <c r="G66" i="255"/>
  <c r="G19" i="127" s="1"/>
  <c r="F9" i="86" s="1"/>
  <c r="F66" i="255"/>
  <c r="F19" i="127" s="1"/>
  <c r="E9" i="86" s="1"/>
  <c r="E66" i="255"/>
  <c r="E19" i="127" s="1"/>
  <c r="D9" i="86" s="1"/>
  <c r="D66" i="255"/>
  <c r="D19" i="127" s="1"/>
  <c r="C9" i="86" s="1"/>
  <c r="A69" i="126"/>
  <c r="A31" i="300" s="1"/>
  <c r="A21" i="86"/>
  <c r="G20" i="128"/>
  <c r="L31" i="237"/>
  <c r="K31" i="237"/>
  <c r="J31" i="237"/>
  <c r="I31" i="237"/>
  <c r="H31" i="237"/>
  <c r="G31" i="237"/>
  <c r="F31" i="237"/>
  <c r="E31" i="237"/>
  <c r="D31" i="237"/>
  <c r="C31" i="237"/>
  <c r="I52" i="294"/>
  <c r="H52" i="294"/>
  <c r="G52" i="294"/>
  <c r="F52" i="294"/>
  <c r="E52" i="294"/>
  <c r="D52" i="294"/>
  <c r="C52" i="294"/>
  <c r="K28" i="301"/>
  <c r="J28" i="301"/>
  <c r="I28" i="301"/>
  <c r="H28" i="301"/>
  <c r="G28" i="301"/>
  <c r="F28" i="301"/>
  <c r="E28" i="301"/>
  <c r="D28" i="301"/>
  <c r="C28" i="301"/>
  <c r="L7" i="131"/>
  <c r="K7" i="131"/>
  <c r="J7" i="131"/>
  <c r="P20" i="95"/>
  <c r="P32" i="95" s="1"/>
  <c r="O20" i="95"/>
  <c r="O32" i="95" s="1"/>
  <c r="N20" i="95"/>
  <c r="N32" i="95" s="1"/>
  <c r="L20" i="95"/>
  <c r="L32" i="95" s="1"/>
  <c r="K20" i="95"/>
  <c r="K32" i="95" s="1"/>
  <c r="J20" i="95"/>
  <c r="J32" i="95" s="1"/>
  <c r="I20" i="95"/>
  <c r="I32" i="95" s="1"/>
  <c r="H20" i="95"/>
  <c r="H32" i="95" s="1"/>
  <c r="G20" i="95"/>
  <c r="G32" i="95" s="1"/>
  <c r="F20" i="95"/>
  <c r="F32" i="95" s="1"/>
  <c r="E20" i="95"/>
  <c r="E32" i="95" s="1"/>
  <c r="D20" i="95"/>
  <c r="D32" i="95" s="1"/>
  <c r="C20" i="95"/>
  <c r="C32" i="95" s="1"/>
  <c r="B20" i="95"/>
  <c r="B32" i="95" s="1"/>
  <c r="Q21" i="246"/>
  <c r="P21" i="246"/>
  <c r="O21" i="246"/>
  <c r="N21" i="246"/>
  <c r="M21" i="246"/>
  <c r="L21" i="246"/>
  <c r="K21" i="246"/>
  <c r="J21" i="246"/>
  <c r="I21" i="246"/>
  <c r="H21" i="246"/>
  <c r="G21" i="246"/>
  <c r="F21" i="246"/>
  <c r="E21" i="246"/>
  <c r="D21" i="246"/>
  <c r="C21" i="246"/>
  <c r="A212" i="351"/>
  <c r="A211" i="351"/>
  <c r="A210" i="351"/>
  <c r="A184" i="351"/>
  <c r="A183" i="351"/>
  <c r="A182" i="351"/>
  <c r="A181" i="351"/>
  <c r="A180" i="351"/>
  <c r="A179" i="351"/>
  <c r="B308" i="344"/>
  <c r="M2" i="296"/>
  <c r="Q37" i="368"/>
  <c r="P37" i="368"/>
  <c r="O37" i="368"/>
  <c r="N37" i="368"/>
  <c r="M37" i="368"/>
  <c r="Q36" i="368"/>
  <c r="P36" i="368"/>
  <c r="O36" i="368"/>
  <c r="N36" i="368"/>
  <c r="M36" i="368"/>
  <c r="Q23" i="368"/>
  <c r="P23" i="368"/>
  <c r="O23" i="368"/>
  <c r="N23" i="368"/>
  <c r="M23" i="368"/>
  <c r="N50" i="256"/>
  <c r="M50" i="256"/>
  <c r="A172" i="351"/>
  <c r="A173" i="351"/>
  <c r="A174" i="351"/>
  <c r="A175" i="351"/>
  <c r="A171" i="351"/>
  <c r="I44" i="337"/>
  <c r="I42" i="337"/>
  <c r="I41" i="337"/>
  <c r="I40" i="337"/>
  <c r="I39" i="337"/>
  <c r="I38" i="337"/>
  <c r="K75" i="367"/>
  <c r="K80" i="248" s="1"/>
  <c r="J75" i="367"/>
  <c r="J80" i="248" s="1"/>
  <c r="I75" i="367"/>
  <c r="I80" i="248" s="1"/>
  <c r="H75" i="367"/>
  <c r="G75" i="367"/>
  <c r="G80" i="248" s="1"/>
  <c r="F75" i="367"/>
  <c r="F80" i="248" s="1"/>
  <c r="E75" i="367"/>
  <c r="E80" i="248" s="1"/>
  <c r="D75" i="367"/>
  <c r="D80" i="248" s="1"/>
  <c r="K75" i="358"/>
  <c r="J75" i="358"/>
  <c r="I75" i="358"/>
  <c r="H75" i="358"/>
  <c r="G75" i="358"/>
  <c r="F75" i="358"/>
  <c r="E75" i="358"/>
  <c r="D75" i="358"/>
  <c r="K75" i="349"/>
  <c r="K180" i="248" s="1"/>
  <c r="J75" i="349"/>
  <c r="J180" i="248" s="1"/>
  <c r="I75" i="349"/>
  <c r="I180" i="248" s="1"/>
  <c r="H75" i="349"/>
  <c r="H180" i="248" s="1"/>
  <c r="G75" i="349"/>
  <c r="F75" i="349"/>
  <c r="F180" i="248" s="1"/>
  <c r="E75" i="349"/>
  <c r="E180" i="248" s="1"/>
  <c r="D75" i="349"/>
  <c r="D180" i="248" s="1"/>
  <c r="K75" i="350"/>
  <c r="K48" i="248" s="1"/>
  <c r="J75" i="350"/>
  <c r="J48" i="248" s="1"/>
  <c r="I75" i="350"/>
  <c r="I48" i="248" s="1"/>
  <c r="H75" i="350"/>
  <c r="H48" i="248" s="1"/>
  <c r="G75" i="350"/>
  <c r="G48" i="248" s="1"/>
  <c r="F75" i="350"/>
  <c r="F48" i="248" s="1"/>
  <c r="E75" i="350"/>
  <c r="E48" i="248" s="1"/>
  <c r="D75" i="350"/>
  <c r="D48" i="248" s="1"/>
  <c r="K75" i="134"/>
  <c r="K16" i="248" s="1"/>
  <c r="J75" i="134"/>
  <c r="J16" i="248" s="1"/>
  <c r="I75" i="134"/>
  <c r="I16" i="248" s="1"/>
  <c r="H75" i="134"/>
  <c r="H16" i="248" s="1"/>
  <c r="G75" i="134"/>
  <c r="G16" i="248" s="1"/>
  <c r="F75" i="134"/>
  <c r="E75" i="134"/>
  <c r="E16" i="248" s="1"/>
  <c r="D75" i="134"/>
  <c r="D16" i="248" s="1"/>
  <c r="C16" i="134"/>
  <c r="C8" i="248" s="1"/>
  <c r="E154" i="100"/>
  <c r="F154" i="100"/>
  <c r="A38" i="368"/>
  <c r="A2" i="133"/>
  <c r="A2" i="351"/>
  <c r="K239" i="351"/>
  <c r="K47" i="133" s="1"/>
  <c r="Q47" i="298" s="1"/>
  <c r="J239" i="351"/>
  <c r="J47" i="133" s="1"/>
  <c r="P47" i="298" s="1"/>
  <c r="I239" i="351"/>
  <c r="I47" i="133" s="1"/>
  <c r="O47" i="298" s="1"/>
  <c r="H239" i="351"/>
  <c r="H47" i="133" s="1"/>
  <c r="G239" i="351"/>
  <c r="G47" i="133" s="1"/>
  <c r="F239" i="351"/>
  <c r="F47" i="133" s="1"/>
  <c r="E239" i="351"/>
  <c r="E47" i="133" s="1"/>
  <c r="D239" i="351"/>
  <c r="D47" i="133" s="1"/>
  <c r="C239" i="351"/>
  <c r="C47" i="133" s="1"/>
  <c r="A245" i="351"/>
  <c r="A244" i="351"/>
  <c r="A243" i="351"/>
  <c r="A242" i="351"/>
  <c r="A241" i="351"/>
  <c r="A240" i="351"/>
  <c r="K234" i="351"/>
  <c r="K46" i="133" s="1"/>
  <c r="Q46" i="298" s="1"/>
  <c r="J234" i="351"/>
  <c r="J46" i="133" s="1"/>
  <c r="P46" i="298" s="1"/>
  <c r="I234" i="351"/>
  <c r="I46" i="133" s="1"/>
  <c r="O46" i="298" s="1"/>
  <c r="H234" i="351"/>
  <c r="H46" i="133" s="1"/>
  <c r="G234" i="351"/>
  <c r="G46" i="133" s="1"/>
  <c r="F234" i="351"/>
  <c r="F46" i="133" s="1"/>
  <c r="E234" i="351"/>
  <c r="E46" i="133" s="1"/>
  <c r="D234" i="351"/>
  <c r="D46" i="133" s="1"/>
  <c r="C234" i="351"/>
  <c r="C46" i="133" s="1"/>
  <c r="A238" i="351"/>
  <c r="A237" i="351"/>
  <c r="A236" i="351"/>
  <c r="A235" i="351"/>
  <c r="K229" i="351"/>
  <c r="K45" i="133" s="1"/>
  <c r="Q45" i="298" s="1"/>
  <c r="J229" i="351"/>
  <c r="J45" i="133" s="1"/>
  <c r="P45" i="298" s="1"/>
  <c r="I229" i="351"/>
  <c r="I45" i="133" s="1"/>
  <c r="O45" i="298" s="1"/>
  <c r="H229" i="351"/>
  <c r="H45" i="133" s="1"/>
  <c r="G229" i="351"/>
  <c r="G45" i="133" s="1"/>
  <c r="F229" i="351"/>
  <c r="F45" i="133" s="1"/>
  <c r="E229" i="351"/>
  <c r="E45" i="133" s="1"/>
  <c r="D229" i="351"/>
  <c r="D45" i="133" s="1"/>
  <c r="C229" i="351"/>
  <c r="C45" i="133" s="1"/>
  <c r="A233" i="351"/>
  <c r="A232" i="351"/>
  <c r="A231" i="351"/>
  <c r="A230" i="351"/>
  <c r="K225" i="351"/>
  <c r="K44" i="133" s="1"/>
  <c r="Q44" i="298" s="1"/>
  <c r="J225" i="351"/>
  <c r="J44" i="133" s="1"/>
  <c r="P44" i="298" s="1"/>
  <c r="I225" i="351"/>
  <c r="I44" i="133" s="1"/>
  <c r="H225" i="351"/>
  <c r="H44" i="133" s="1"/>
  <c r="G225" i="351"/>
  <c r="G44" i="133" s="1"/>
  <c r="F225" i="351"/>
  <c r="F44" i="133" s="1"/>
  <c r="E225" i="351"/>
  <c r="E44" i="133" s="1"/>
  <c r="D225" i="351"/>
  <c r="D44" i="133" s="1"/>
  <c r="C225" i="351"/>
  <c r="C44" i="133" s="1"/>
  <c r="A228" i="351"/>
  <c r="A227" i="351"/>
  <c r="A226" i="351"/>
  <c r="K221" i="351"/>
  <c r="K43" i="133" s="1"/>
  <c r="J221" i="351"/>
  <c r="J43" i="133" s="1"/>
  <c r="P43" i="298" s="1"/>
  <c r="I221" i="351"/>
  <c r="I43" i="133" s="1"/>
  <c r="O43" i="298" s="1"/>
  <c r="H221" i="351"/>
  <c r="G221" i="351"/>
  <c r="F221" i="351"/>
  <c r="F43" i="133" s="1"/>
  <c r="E221" i="351"/>
  <c r="E43" i="133" s="1"/>
  <c r="D221" i="351"/>
  <c r="C221" i="351"/>
  <c r="C43" i="133" s="1"/>
  <c r="A224" i="351"/>
  <c r="K213" i="351"/>
  <c r="K41" i="133" s="1"/>
  <c r="Q41" i="298" s="1"/>
  <c r="J213" i="351"/>
  <c r="J41" i="133" s="1"/>
  <c r="P41" i="298" s="1"/>
  <c r="I213" i="351"/>
  <c r="I41" i="133" s="1"/>
  <c r="O41" i="298" s="1"/>
  <c r="H213" i="351"/>
  <c r="H41" i="133" s="1"/>
  <c r="G213" i="351"/>
  <c r="G41" i="133" s="1"/>
  <c r="F213" i="351"/>
  <c r="F41" i="133" s="1"/>
  <c r="E213" i="351"/>
  <c r="E41" i="133" s="1"/>
  <c r="D213" i="351"/>
  <c r="D41" i="133" s="1"/>
  <c r="C213" i="351"/>
  <c r="C41" i="133" s="1"/>
  <c r="A219" i="351"/>
  <c r="A218" i="351"/>
  <c r="A217" i="351"/>
  <c r="A216" i="351"/>
  <c r="A215" i="351"/>
  <c r="A214" i="351"/>
  <c r="K197" i="351"/>
  <c r="K39" i="133" s="1"/>
  <c r="Q39" i="298" s="1"/>
  <c r="J197" i="351"/>
  <c r="J39" i="133" s="1"/>
  <c r="P39" i="298" s="1"/>
  <c r="I197" i="351"/>
  <c r="I39" i="133" s="1"/>
  <c r="H197" i="351"/>
  <c r="H39" i="133" s="1"/>
  <c r="G197" i="351"/>
  <c r="G39" i="133" s="1"/>
  <c r="F197" i="351"/>
  <c r="F39" i="133" s="1"/>
  <c r="E197" i="351"/>
  <c r="E39" i="133" s="1"/>
  <c r="D197" i="351"/>
  <c r="D39" i="133" s="1"/>
  <c r="C197" i="351"/>
  <c r="C39" i="133" s="1"/>
  <c r="A207" i="351"/>
  <c r="A206" i="351"/>
  <c r="A205" i="351"/>
  <c r="A204" i="351"/>
  <c r="A203" i="351"/>
  <c r="A202" i="351"/>
  <c r="A201" i="351"/>
  <c r="A200" i="351"/>
  <c r="A199" i="351"/>
  <c r="A198" i="351"/>
  <c r="K148" i="351"/>
  <c r="K33" i="133" s="1"/>
  <c r="Q33" i="298" s="1"/>
  <c r="J148" i="351"/>
  <c r="J33" i="133" s="1"/>
  <c r="I148" i="351"/>
  <c r="I33" i="133" s="1"/>
  <c r="O33" i="298" s="1"/>
  <c r="H148" i="351"/>
  <c r="H33" i="133" s="1"/>
  <c r="G148" i="351"/>
  <c r="G33" i="133" s="1"/>
  <c r="F148" i="351"/>
  <c r="F33" i="133" s="1"/>
  <c r="E148" i="351"/>
  <c r="E33" i="133" s="1"/>
  <c r="D148" i="351"/>
  <c r="D33" i="133" s="1"/>
  <c r="C148" i="351"/>
  <c r="C33" i="133" s="1"/>
  <c r="K188" i="351"/>
  <c r="K37" i="133" s="1"/>
  <c r="J188" i="351"/>
  <c r="J37" i="133" s="1"/>
  <c r="P37" i="298" s="1"/>
  <c r="I188" i="351"/>
  <c r="I37" i="133" s="1"/>
  <c r="O37" i="298" s="1"/>
  <c r="H188" i="351"/>
  <c r="H37" i="133" s="1"/>
  <c r="G188" i="351"/>
  <c r="G37" i="133" s="1"/>
  <c r="F188" i="351"/>
  <c r="F37" i="133" s="1"/>
  <c r="E188" i="351"/>
  <c r="E37" i="133" s="1"/>
  <c r="D188" i="351"/>
  <c r="D37" i="133" s="1"/>
  <c r="C188" i="351"/>
  <c r="C37" i="133" s="1"/>
  <c r="A195" i="351"/>
  <c r="A194" i="351"/>
  <c r="A193" i="351"/>
  <c r="A192" i="351"/>
  <c r="A191" i="351"/>
  <c r="A190" i="351"/>
  <c r="A189" i="351"/>
  <c r="C185" i="351"/>
  <c r="D185" i="351"/>
  <c r="D36" i="133" s="1"/>
  <c r="E185" i="351"/>
  <c r="E36" i="133" s="1"/>
  <c r="F185" i="351"/>
  <c r="F36" i="133" s="1"/>
  <c r="G185" i="351"/>
  <c r="G36" i="133" s="1"/>
  <c r="H185" i="351"/>
  <c r="H36" i="133" s="1"/>
  <c r="I185" i="351"/>
  <c r="I36" i="133" s="1"/>
  <c r="J185" i="351"/>
  <c r="J36" i="133" s="1"/>
  <c r="P36" i="298" s="1"/>
  <c r="K185" i="351"/>
  <c r="K36" i="133" s="1"/>
  <c r="Q36" i="298" s="1"/>
  <c r="A187" i="351"/>
  <c r="A186" i="351"/>
  <c r="K170" i="351"/>
  <c r="K34" i="133" s="1"/>
  <c r="Q34" i="298" s="1"/>
  <c r="J170" i="351"/>
  <c r="J34" i="133" s="1"/>
  <c r="P34" i="298" s="1"/>
  <c r="I170" i="351"/>
  <c r="I34" i="133" s="1"/>
  <c r="O34" i="298" s="1"/>
  <c r="H170" i="351"/>
  <c r="H34" i="133" s="1"/>
  <c r="G170" i="351"/>
  <c r="G34" i="133" s="1"/>
  <c r="F170" i="351"/>
  <c r="F34" i="133" s="1"/>
  <c r="E170" i="351"/>
  <c r="E34" i="133" s="1"/>
  <c r="D170" i="351"/>
  <c r="D34" i="133" s="1"/>
  <c r="C170" i="351"/>
  <c r="C34" i="133" s="1"/>
  <c r="A169" i="351"/>
  <c r="A168" i="351"/>
  <c r="A167" i="351"/>
  <c r="A166" i="351"/>
  <c r="A165" i="351"/>
  <c r="A164" i="351"/>
  <c r="A163" i="351"/>
  <c r="A162" i="351"/>
  <c r="A161" i="351"/>
  <c r="A160" i="351"/>
  <c r="A159" i="351"/>
  <c r="A158" i="351"/>
  <c r="A157" i="351"/>
  <c r="A156" i="351"/>
  <c r="A155" i="351"/>
  <c r="A154" i="351"/>
  <c r="A153" i="351"/>
  <c r="A152" i="351"/>
  <c r="A151" i="351"/>
  <c r="A150" i="351"/>
  <c r="A149" i="351"/>
  <c r="K131" i="351"/>
  <c r="K30" i="133" s="1"/>
  <c r="Q30" i="298" s="1"/>
  <c r="J131" i="351"/>
  <c r="J30" i="133" s="1"/>
  <c r="P30" i="298" s="1"/>
  <c r="I131" i="351"/>
  <c r="I30" i="133" s="1"/>
  <c r="H131" i="351"/>
  <c r="H30" i="133" s="1"/>
  <c r="G131" i="351"/>
  <c r="G30" i="133" s="1"/>
  <c r="F131" i="351"/>
  <c r="F30" i="133" s="1"/>
  <c r="E131" i="351"/>
  <c r="E30" i="133" s="1"/>
  <c r="D131" i="351"/>
  <c r="D30" i="133" s="1"/>
  <c r="C131" i="351"/>
  <c r="C30" i="133" s="1"/>
  <c r="A144" i="351"/>
  <c r="A143" i="351"/>
  <c r="A142" i="351"/>
  <c r="A141" i="351"/>
  <c r="A140" i="351"/>
  <c r="A139" i="351"/>
  <c r="A138" i="351"/>
  <c r="A137" i="351"/>
  <c r="A136" i="351"/>
  <c r="A135" i="351"/>
  <c r="A134" i="351"/>
  <c r="A133" i="351"/>
  <c r="A132" i="351"/>
  <c r="K99" i="351"/>
  <c r="K20" i="133" s="1"/>
  <c r="Q20" i="298" s="1"/>
  <c r="J99" i="351"/>
  <c r="J20" i="133" s="1"/>
  <c r="I99" i="351"/>
  <c r="I20" i="133" s="1"/>
  <c r="O20" i="298" s="1"/>
  <c r="H99" i="351"/>
  <c r="H20" i="133" s="1"/>
  <c r="G99" i="351"/>
  <c r="G20" i="133" s="1"/>
  <c r="F99" i="351"/>
  <c r="F20" i="133" s="1"/>
  <c r="E99" i="351"/>
  <c r="E20" i="133" s="1"/>
  <c r="D99" i="351"/>
  <c r="D20" i="133" s="1"/>
  <c r="K112" i="351"/>
  <c r="K23" i="133" s="1"/>
  <c r="Q23" i="298" s="1"/>
  <c r="J112" i="351"/>
  <c r="J23" i="133" s="1"/>
  <c r="P23" i="298" s="1"/>
  <c r="I112" i="351"/>
  <c r="I23" i="133" s="1"/>
  <c r="O23" i="298" s="1"/>
  <c r="H112" i="351"/>
  <c r="H23" i="133" s="1"/>
  <c r="G112" i="351"/>
  <c r="G23" i="133" s="1"/>
  <c r="F112" i="351"/>
  <c r="F23" i="133" s="1"/>
  <c r="E112" i="351"/>
  <c r="E23" i="133" s="1"/>
  <c r="D112" i="351"/>
  <c r="D23" i="133" s="1"/>
  <c r="C112" i="351"/>
  <c r="C23" i="133" s="1"/>
  <c r="K103" i="351"/>
  <c r="K21" i="133" s="1"/>
  <c r="Q21" i="298" s="1"/>
  <c r="J103" i="351"/>
  <c r="J21" i="133" s="1"/>
  <c r="P21" i="298" s="1"/>
  <c r="I103" i="351"/>
  <c r="I21" i="133" s="1"/>
  <c r="O21" i="298" s="1"/>
  <c r="H103" i="351"/>
  <c r="H21" i="133" s="1"/>
  <c r="G103" i="351"/>
  <c r="G21" i="133" s="1"/>
  <c r="F103" i="351"/>
  <c r="F21" i="133" s="1"/>
  <c r="E103" i="351"/>
  <c r="E21" i="133" s="1"/>
  <c r="D103" i="351"/>
  <c r="D21" i="133" s="1"/>
  <c r="C103" i="351"/>
  <c r="C21" i="133" s="1"/>
  <c r="C99" i="351"/>
  <c r="K91" i="351"/>
  <c r="K18" i="133" s="1"/>
  <c r="Q18" i="298" s="1"/>
  <c r="J91" i="351"/>
  <c r="J18" i="133" s="1"/>
  <c r="P18" i="298" s="1"/>
  <c r="I91" i="351"/>
  <c r="I18" i="133" s="1"/>
  <c r="O18" i="298" s="1"/>
  <c r="H91" i="351"/>
  <c r="H18" i="133" s="1"/>
  <c r="G91" i="351"/>
  <c r="G18" i="133" s="1"/>
  <c r="F91" i="351"/>
  <c r="F18" i="133" s="1"/>
  <c r="E91" i="351"/>
  <c r="E18" i="133" s="1"/>
  <c r="D91" i="351"/>
  <c r="D18" i="133" s="1"/>
  <c r="C91" i="351"/>
  <c r="C18" i="133" s="1"/>
  <c r="K75" i="351"/>
  <c r="K16" i="133" s="1"/>
  <c r="Q16" i="298" s="1"/>
  <c r="J75" i="351"/>
  <c r="J16" i="133" s="1"/>
  <c r="P16" i="298" s="1"/>
  <c r="I75" i="351"/>
  <c r="I16" i="133" s="1"/>
  <c r="O16" i="298" s="1"/>
  <c r="H75" i="351"/>
  <c r="H16" i="133" s="1"/>
  <c r="G75" i="351"/>
  <c r="G16" i="133" s="1"/>
  <c r="F75" i="351"/>
  <c r="F16" i="133" s="1"/>
  <c r="E75" i="351"/>
  <c r="E16" i="133" s="1"/>
  <c r="D75" i="351"/>
  <c r="D16" i="133" s="1"/>
  <c r="C75" i="351"/>
  <c r="C16" i="133" s="1"/>
  <c r="K26" i="351"/>
  <c r="K10" i="133" s="1"/>
  <c r="Q10" i="298" s="1"/>
  <c r="J26" i="351"/>
  <c r="J10" i="133" s="1"/>
  <c r="P10" i="298" s="1"/>
  <c r="I26" i="351"/>
  <c r="I10" i="133" s="1"/>
  <c r="O10" i="298" s="1"/>
  <c r="H26" i="351"/>
  <c r="H10" i="133" s="1"/>
  <c r="G26" i="351"/>
  <c r="G10" i="133" s="1"/>
  <c r="F26" i="351"/>
  <c r="F10" i="133" s="1"/>
  <c r="E26" i="351"/>
  <c r="E10" i="133" s="1"/>
  <c r="D26" i="351"/>
  <c r="D10" i="133" s="1"/>
  <c r="C26" i="351"/>
  <c r="K48" i="351"/>
  <c r="K11" i="133" s="1"/>
  <c r="Q11" i="298" s="1"/>
  <c r="J48" i="351"/>
  <c r="J11" i="133" s="1"/>
  <c r="P11" i="298" s="1"/>
  <c r="I48" i="351"/>
  <c r="I11" i="133" s="1"/>
  <c r="O11" i="298" s="1"/>
  <c r="H48" i="351"/>
  <c r="H11" i="133" s="1"/>
  <c r="G48" i="351"/>
  <c r="G11" i="133" s="1"/>
  <c r="F48" i="351"/>
  <c r="F11" i="133" s="1"/>
  <c r="E48" i="351"/>
  <c r="E11" i="133" s="1"/>
  <c r="D48" i="351"/>
  <c r="D11" i="133" s="1"/>
  <c r="C48" i="351"/>
  <c r="C11" i="133" s="1"/>
  <c r="K63" i="351"/>
  <c r="K13" i="133" s="1"/>
  <c r="Q13" i="298" s="1"/>
  <c r="J63" i="351"/>
  <c r="J13" i="133" s="1"/>
  <c r="P13" i="298" s="1"/>
  <c r="I63" i="351"/>
  <c r="I13" i="133" s="1"/>
  <c r="O13" i="298" s="1"/>
  <c r="H63" i="351"/>
  <c r="H13" i="133" s="1"/>
  <c r="G63" i="351"/>
  <c r="G13" i="133" s="1"/>
  <c r="F63" i="351"/>
  <c r="F13" i="133" s="1"/>
  <c r="E63" i="351"/>
  <c r="E13" i="133" s="1"/>
  <c r="D63" i="351"/>
  <c r="D13" i="133" s="1"/>
  <c r="C63" i="351"/>
  <c r="C13" i="133" s="1"/>
  <c r="K66" i="351"/>
  <c r="K14" i="133" s="1"/>
  <c r="J66" i="351"/>
  <c r="J14" i="133" s="1"/>
  <c r="P14" i="298" s="1"/>
  <c r="I66" i="351"/>
  <c r="I14" i="133" s="1"/>
  <c r="H66" i="351"/>
  <c r="H14" i="133" s="1"/>
  <c r="G66" i="351"/>
  <c r="G14" i="133" s="1"/>
  <c r="F66" i="351"/>
  <c r="F14" i="133" s="1"/>
  <c r="E66" i="351"/>
  <c r="E14" i="133" s="1"/>
  <c r="D66" i="351"/>
  <c r="D14" i="133" s="1"/>
  <c r="C66" i="351"/>
  <c r="C14" i="133" s="1"/>
  <c r="K9" i="351"/>
  <c r="K7" i="133" s="1"/>
  <c r="Q7" i="298" s="1"/>
  <c r="J9" i="351"/>
  <c r="J7" i="133" s="1"/>
  <c r="P7" i="298" s="1"/>
  <c r="I9" i="351"/>
  <c r="H9" i="351"/>
  <c r="H7" i="133" s="1"/>
  <c r="G9" i="351"/>
  <c r="G7" i="133" s="1"/>
  <c r="F9" i="351"/>
  <c r="F7" i="133" s="1"/>
  <c r="E9" i="351"/>
  <c r="E7" i="133" s="1"/>
  <c r="D9" i="351"/>
  <c r="D7" i="133" s="1"/>
  <c r="C9" i="351"/>
  <c r="E141" i="100"/>
  <c r="E139" i="100"/>
  <c r="F141" i="100"/>
  <c r="F139" i="100"/>
  <c r="E104" i="100"/>
  <c r="F101" i="100"/>
  <c r="F104" i="100"/>
  <c r="E101" i="100"/>
  <c r="A5" i="298"/>
  <c r="A6" i="298"/>
  <c r="A7" i="298"/>
  <c r="A8" i="298"/>
  <c r="A9" i="298"/>
  <c r="A10" i="298"/>
  <c r="A11" i="298"/>
  <c r="A12" i="298"/>
  <c r="A13" i="298"/>
  <c r="A14" i="298"/>
  <c r="A15" i="298"/>
  <c r="A16" i="298"/>
  <c r="A17" i="298"/>
  <c r="A18" i="298"/>
  <c r="A19" i="298"/>
  <c r="A20" i="298"/>
  <c r="A21" i="298"/>
  <c r="A22" i="298"/>
  <c r="A23" i="298"/>
  <c r="A24" i="298"/>
  <c r="L6" i="131"/>
  <c r="K6" i="131"/>
  <c r="J6" i="131"/>
  <c r="K91" i="248"/>
  <c r="J91" i="248"/>
  <c r="I91" i="248"/>
  <c r="H91" i="248"/>
  <c r="G91" i="248"/>
  <c r="F91" i="248"/>
  <c r="E91" i="248"/>
  <c r="D91" i="248"/>
  <c r="C91" i="248"/>
  <c r="E147" i="100"/>
  <c r="E150" i="100"/>
  <c r="F150" i="100"/>
  <c r="A171" i="367"/>
  <c r="K164" i="367"/>
  <c r="K99" i="248" s="1"/>
  <c r="J164" i="367"/>
  <c r="J99" i="248" s="1"/>
  <c r="I164" i="367"/>
  <c r="I99" i="248" s="1"/>
  <c r="H164" i="367"/>
  <c r="H99" i="248" s="1"/>
  <c r="G164" i="367"/>
  <c r="G99" i="248" s="1"/>
  <c r="F164" i="367"/>
  <c r="F99" i="248" s="1"/>
  <c r="E164" i="367"/>
  <c r="E99" i="248" s="1"/>
  <c r="D164" i="367"/>
  <c r="D99" i="248" s="1"/>
  <c r="C164" i="367"/>
  <c r="C99" i="248" s="1"/>
  <c r="K161" i="367"/>
  <c r="K98" i="248" s="1"/>
  <c r="J161" i="367"/>
  <c r="J98" i="248" s="1"/>
  <c r="I161" i="367"/>
  <c r="I98" i="248" s="1"/>
  <c r="H161" i="367"/>
  <c r="H98" i="248" s="1"/>
  <c r="G161" i="367"/>
  <c r="G98" i="248" s="1"/>
  <c r="F161" i="367"/>
  <c r="F98" i="248" s="1"/>
  <c r="E161" i="367"/>
  <c r="E98" i="248" s="1"/>
  <c r="D161" i="367"/>
  <c r="D98" i="248" s="1"/>
  <c r="C161" i="367"/>
  <c r="C98" i="248" s="1"/>
  <c r="K158" i="367"/>
  <c r="K97" i="248" s="1"/>
  <c r="J158" i="367"/>
  <c r="J97" i="248" s="1"/>
  <c r="I158" i="367"/>
  <c r="I97" i="248" s="1"/>
  <c r="H158" i="367"/>
  <c r="H97" i="248" s="1"/>
  <c r="G158" i="367"/>
  <c r="G97" i="248" s="1"/>
  <c r="F158" i="367"/>
  <c r="F97" i="248" s="1"/>
  <c r="E158" i="367"/>
  <c r="E97" i="248" s="1"/>
  <c r="D158" i="367"/>
  <c r="D97" i="248" s="1"/>
  <c r="C158" i="367"/>
  <c r="C97" i="248" s="1"/>
  <c r="K155" i="367"/>
  <c r="K96" i="248" s="1"/>
  <c r="J155" i="367"/>
  <c r="J96" i="248" s="1"/>
  <c r="I155" i="367"/>
  <c r="I96" i="248" s="1"/>
  <c r="H155" i="367"/>
  <c r="H96" i="248" s="1"/>
  <c r="G155" i="367"/>
  <c r="G96" i="248" s="1"/>
  <c r="F155" i="367"/>
  <c r="F96" i="248" s="1"/>
  <c r="E155" i="367"/>
  <c r="E96" i="248" s="1"/>
  <c r="D155" i="367"/>
  <c r="D96" i="248" s="1"/>
  <c r="C155" i="367"/>
  <c r="C96" i="248" s="1"/>
  <c r="K152" i="367"/>
  <c r="K95" i="248" s="1"/>
  <c r="J152" i="367"/>
  <c r="J95" i="248" s="1"/>
  <c r="I152" i="367"/>
  <c r="I95" i="248" s="1"/>
  <c r="H152" i="367"/>
  <c r="H95" i="248" s="1"/>
  <c r="G152" i="367"/>
  <c r="G95" i="248" s="1"/>
  <c r="F152" i="367"/>
  <c r="F95" i="248" s="1"/>
  <c r="E152" i="367"/>
  <c r="E95" i="248" s="1"/>
  <c r="D152" i="367"/>
  <c r="D95" i="248" s="1"/>
  <c r="C152" i="367"/>
  <c r="C95" i="248" s="1"/>
  <c r="K149" i="367"/>
  <c r="K94" i="248" s="1"/>
  <c r="J149" i="367"/>
  <c r="J94" i="248" s="1"/>
  <c r="I149" i="367"/>
  <c r="I94" i="248" s="1"/>
  <c r="H149" i="367"/>
  <c r="H94" i="248" s="1"/>
  <c r="G149" i="367"/>
  <c r="G94" i="248" s="1"/>
  <c r="F149" i="367"/>
  <c r="F94" i="248" s="1"/>
  <c r="E149" i="367"/>
  <c r="E94" i="248" s="1"/>
  <c r="D149" i="367"/>
  <c r="D94" i="248" s="1"/>
  <c r="C149" i="367"/>
  <c r="C94" i="248" s="1"/>
  <c r="K141" i="367"/>
  <c r="K92" i="248" s="1"/>
  <c r="J141" i="367"/>
  <c r="J92" i="248" s="1"/>
  <c r="I141" i="367"/>
  <c r="I139" i="367" s="1"/>
  <c r="H141" i="367"/>
  <c r="H92" i="248" s="1"/>
  <c r="G141" i="367"/>
  <c r="F141" i="367"/>
  <c r="F92" i="248" s="1"/>
  <c r="E141" i="367"/>
  <c r="E92" i="248" s="1"/>
  <c r="D141" i="367"/>
  <c r="D139" i="367" s="1"/>
  <c r="C141" i="367"/>
  <c r="C92" i="248" s="1"/>
  <c r="K136" i="367"/>
  <c r="K90" i="248" s="1"/>
  <c r="J136" i="367"/>
  <c r="J90" i="248" s="1"/>
  <c r="I136" i="367"/>
  <c r="I90" i="248" s="1"/>
  <c r="H136" i="367"/>
  <c r="H90" i="248" s="1"/>
  <c r="G136" i="367"/>
  <c r="G90" i="248" s="1"/>
  <c r="F136" i="367"/>
  <c r="F90" i="248" s="1"/>
  <c r="E136" i="367"/>
  <c r="E90" i="248" s="1"/>
  <c r="D136" i="367"/>
  <c r="D90" i="248" s="1"/>
  <c r="C136" i="367"/>
  <c r="C90" i="248" s="1"/>
  <c r="K131" i="367"/>
  <c r="K88" i="248" s="1"/>
  <c r="J131" i="367"/>
  <c r="J88" i="248" s="1"/>
  <c r="I131" i="367"/>
  <c r="I88" i="248" s="1"/>
  <c r="H131" i="367"/>
  <c r="H88" i="248" s="1"/>
  <c r="G131" i="367"/>
  <c r="F131" i="367"/>
  <c r="F88" i="248" s="1"/>
  <c r="E131" i="367"/>
  <c r="E88" i="248" s="1"/>
  <c r="D131" i="367"/>
  <c r="D88" i="248" s="1"/>
  <c r="C131" i="367"/>
  <c r="C88" i="248" s="1"/>
  <c r="K119" i="367"/>
  <c r="J119" i="367"/>
  <c r="J87" i="248" s="1"/>
  <c r="I119" i="367"/>
  <c r="I87" i="248" s="1"/>
  <c r="H119" i="367"/>
  <c r="H87" i="248" s="1"/>
  <c r="G119" i="367"/>
  <c r="G87" i="248" s="1"/>
  <c r="F119" i="367"/>
  <c r="F87" i="248" s="1"/>
  <c r="E119" i="367"/>
  <c r="E87" i="248" s="1"/>
  <c r="D119" i="367"/>
  <c r="C119" i="367"/>
  <c r="C87" i="248" s="1"/>
  <c r="K114" i="367"/>
  <c r="K85" i="248" s="1"/>
  <c r="J114" i="367"/>
  <c r="J85" i="248" s="1"/>
  <c r="I114" i="367"/>
  <c r="I85" i="248" s="1"/>
  <c r="H114" i="367"/>
  <c r="G114" i="367"/>
  <c r="G85" i="248" s="1"/>
  <c r="F114" i="367"/>
  <c r="F85" i="248" s="1"/>
  <c r="E114" i="367"/>
  <c r="E85" i="248" s="1"/>
  <c r="D114" i="367"/>
  <c r="D85" i="248" s="1"/>
  <c r="C114" i="367"/>
  <c r="C85" i="248" s="1"/>
  <c r="K111" i="367"/>
  <c r="K84" i="248" s="1"/>
  <c r="J111" i="367"/>
  <c r="J84" i="248" s="1"/>
  <c r="I111" i="367"/>
  <c r="I84" i="248" s="1"/>
  <c r="H111" i="367"/>
  <c r="H84" i="248" s="1"/>
  <c r="G111" i="367"/>
  <c r="F111" i="367"/>
  <c r="F84" i="248" s="1"/>
  <c r="E111" i="367"/>
  <c r="E84" i="248" s="1"/>
  <c r="D111" i="367"/>
  <c r="D84" i="248" s="1"/>
  <c r="C111" i="367"/>
  <c r="C84" i="248" s="1"/>
  <c r="K103" i="367"/>
  <c r="K83" i="248" s="1"/>
  <c r="J103" i="367"/>
  <c r="J83" i="248" s="1"/>
  <c r="I103" i="367"/>
  <c r="I83" i="248" s="1"/>
  <c r="H103" i="367"/>
  <c r="H83" i="248" s="1"/>
  <c r="G103" i="367"/>
  <c r="G83" i="248" s="1"/>
  <c r="F103" i="367"/>
  <c r="F83" i="248" s="1"/>
  <c r="E103" i="367"/>
  <c r="E83" i="248" s="1"/>
  <c r="D103" i="367"/>
  <c r="D83" i="248" s="1"/>
  <c r="C103" i="367"/>
  <c r="C83" i="248" s="1"/>
  <c r="K98" i="367"/>
  <c r="K81" i="248" s="1"/>
  <c r="J98" i="367"/>
  <c r="J81" i="248" s="1"/>
  <c r="I98" i="367"/>
  <c r="I81" i="248" s="1"/>
  <c r="H98" i="367"/>
  <c r="H81" i="248" s="1"/>
  <c r="G98" i="367"/>
  <c r="G81" i="248" s="1"/>
  <c r="F98" i="367"/>
  <c r="E98" i="367"/>
  <c r="E81" i="248" s="1"/>
  <c r="D98" i="367"/>
  <c r="D81" i="248" s="1"/>
  <c r="C98" i="367"/>
  <c r="C81" i="248" s="1"/>
  <c r="C75" i="367"/>
  <c r="C80" i="248" s="1"/>
  <c r="K68" i="367"/>
  <c r="K78" i="248" s="1"/>
  <c r="J68" i="367"/>
  <c r="J78" i="248" s="1"/>
  <c r="I68" i="367"/>
  <c r="I78" i="248" s="1"/>
  <c r="H68" i="367"/>
  <c r="H78" i="248" s="1"/>
  <c r="G68" i="367"/>
  <c r="G78" i="248" s="1"/>
  <c r="F68" i="367"/>
  <c r="F78" i="248" s="1"/>
  <c r="E68" i="367"/>
  <c r="E78" i="248" s="1"/>
  <c r="D68" i="367"/>
  <c r="D78" i="248" s="1"/>
  <c r="C68" i="367"/>
  <c r="C78" i="248" s="1"/>
  <c r="K62" i="367"/>
  <c r="K77" i="248" s="1"/>
  <c r="J62" i="367"/>
  <c r="J77" i="248" s="1"/>
  <c r="I62" i="367"/>
  <c r="I77" i="248" s="1"/>
  <c r="H62" i="367"/>
  <c r="H77" i="248" s="1"/>
  <c r="G62" i="367"/>
  <c r="G77" i="248" s="1"/>
  <c r="F62" i="367"/>
  <c r="F77" i="248" s="1"/>
  <c r="E62" i="367"/>
  <c r="E77" i="248" s="1"/>
  <c r="D62" i="367"/>
  <c r="D77" i="248" s="1"/>
  <c r="C62" i="367"/>
  <c r="C77" i="248" s="1"/>
  <c r="K52" i="367"/>
  <c r="K76" i="248" s="1"/>
  <c r="J52" i="367"/>
  <c r="J76" i="248" s="1"/>
  <c r="I52" i="367"/>
  <c r="I76" i="248" s="1"/>
  <c r="H52" i="367"/>
  <c r="H76" i="248" s="1"/>
  <c r="G52" i="367"/>
  <c r="G76" i="248" s="1"/>
  <c r="F52" i="367"/>
  <c r="F76" i="248" s="1"/>
  <c r="E52" i="367"/>
  <c r="E76" i="248" s="1"/>
  <c r="D52" i="367"/>
  <c r="D76" i="248" s="1"/>
  <c r="C52" i="367"/>
  <c r="C76" i="248" s="1"/>
  <c r="K44" i="367"/>
  <c r="K75" i="248" s="1"/>
  <c r="J44" i="367"/>
  <c r="I44" i="367"/>
  <c r="I75" i="248" s="1"/>
  <c r="H44" i="367"/>
  <c r="H75" i="248" s="1"/>
  <c r="G44" i="367"/>
  <c r="G75" i="248" s="1"/>
  <c r="F44" i="367"/>
  <c r="F75" i="248" s="1"/>
  <c r="E44" i="367"/>
  <c r="E75" i="248" s="1"/>
  <c r="D44" i="367"/>
  <c r="D75" i="248" s="1"/>
  <c r="C44" i="367"/>
  <c r="C75" i="248" s="1"/>
  <c r="K37" i="367"/>
  <c r="K74" i="248" s="1"/>
  <c r="J37" i="367"/>
  <c r="J74" i="248" s="1"/>
  <c r="I37" i="367"/>
  <c r="I74" i="248" s="1"/>
  <c r="H37" i="367"/>
  <c r="H74" i="248" s="1"/>
  <c r="G37" i="367"/>
  <c r="G74" i="248" s="1"/>
  <c r="F37" i="367"/>
  <c r="F74" i="248" s="1"/>
  <c r="E37" i="367"/>
  <c r="E74" i="248" s="1"/>
  <c r="D37" i="367"/>
  <c r="D74" i="248" s="1"/>
  <c r="C37" i="367"/>
  <c r="C74" i="248" s="1"/>
  <c r="K26" i="367"/>
  <c r="K73" i="248" s="1"/>
  <c r="J26" i="367"/>
  <c r="J73" i="248" s="1"/>
  <c r="I26" i="367"/>
  <c r="I73" i="248" s="1"/>
  <c r="H26" i="367"/>
  <c r="H73" i="248" s="1"/>
  <c r="G26" i="367"/>
  <c r="G73" i="248" s="1"/>
  <c r="F26" i="367"/>
  <c r="F73" i="248" s="1"/>
  <c r="E26" i="367"/>
  <c r="E73" i="248" s="1"/>
  <c r="D26" i="367"/>
  <c r="D73" i="248" s="1"/>
  <c r="C26" i="367"/>
  <c r="C73" i="248" s="1"/>
  <c r="K16" i="367"/>
  <c r="K72" i="248" s="1"/>
  <c r="J16" i="367"/>
  <c r="J72" i="248" s="1"/>
  <c r="I16" i="367"/>
  <c r="I72" i="248" s="1"/>
  <c r="H16" i="367"/>
  <c r="H72" i="248" s="1"/>
  <c r="G16" i="367"/>
  <c r="G72" i="248" s="1"/>
  <c r="F16" i="367"/>
  <c r="F72" i="248" s="1"/>
  <c r="E16" i="367"/>
  <c r="E72" i="248" s="1"/>
  <c r="D16" i="367"/>
  <c r="D72" i="248" s="1"/>
  <c r="C16" i="367"/>
  <c r="C72" i="248" s="1"/>
  <c r="K12" i="367"/>
  <c r="K71" i="248" s="1"/>
  <c r="J12" i="367"/>
  <c r="J71" i="248" s="1"/>
  <c r="I12" i="367"/>
  <c r="I71" i="248" s="1"/>
  <c r="H12" i="367"/>
  <c r="H71" i="248" s="1"/>
  <c r="G12" i="367"/>
  <c r="G71" i="248" s="1"/>
  <c r="F12" i="367"/>
  <c r="F71" i="248" s="1"/>
  <c r="E12" i="367"/>
  <c r="E71" i="248" s="1"/>
  <c r="D12" i="367"/>
  <c r="D71" i="248" s="1"/>
  <c r="C12" i="367"/>
  <c r="C71" i="248" s="1"/>
  <c r="K7" i="367"/>
  <c r="K70" i="248" s="1"/>
  <c r="J7" i="367"/>
  <c r="J70" i="248" s="1"/>
  <c r="I7" i="367"/>
  <c r="H7" i="367"/>
  <c r="H70" i="248" s="1"/>
  <c r="G7" i="367"/>
  <c r="F7" i="367"/>
  <c r="F70" i="248" s="1"/>
  <c r="E7" i="367"/>
  <c r="E70" i="248" s="1"/>
  <c r="D7" i="367"/>
  <c r="D70" i="248" s="1"/>
  <c r="C7" i="367"/>
  <c r="C70" i="248" s="1"/>
  <c r="H3" i="367"/>
  <c r="G3" i="367"/>
  <c r="F3" i="367"/>
  <c r="E3" i="367"/>
  <c r="D3" i="367"/>
  <c r="C3" i="367"/>
  <c r="B2" i="367"/>
  <c r="A2" i="367"/>
  <c r="K191" i="248"/>
  <c r="J191" i="248"/>
  <c r="I191" i="248"/>
  <c r="H191" i="248"/>
  <c r="G191" i="248"/>
  <c r="F191" i="248"/>
  <c r="E191" i="248"/>
  <c r="D191" i="248"/>
  <c r="K59" i="248"/>
  <c r="J59" i="248"/>
  <c r="I59" i="248"/>
  <c r="H59" i="248"/>
  <c r="G59" i="248"/>
  <c r="F59" i="248"/>
  <c r="E59" i="248"/>
  <c r="D59" i="248"/>
  <c r="K27" i="248"/>
  <c r="J27" i="248"/>
  <c r="I27" i="248"/>
  <c r="H27" i="248"/>
  <c r="G27" i="248"/>
  <c r="F27" i="248"/>
  <c r="E27" i="248"/>
  <c r="D27" i="248"/>
  <c r="C191" i="248"/>
  <c r="C59" i="248"/>
  <c r="C27" i="248"/>
  <c r="K164" i="358"/>
  <c r="J164" i="358"/>
  <c r="I164" i="358"/>
  <c r="H164" i="358"/>
  <c r="G164" i="358"/>
  <c r="F164" i="358"/>
  <c r="E164" i="358"/>
  <c r="D164" i="358"/>
  <c r="C164" i="358"/>
  <c r="K161" i="358"/>
  <c r="J161" i="358"/>
  <c r="I161" i="358"/>
  <c r="H161" i="358"/>
  <c r="G161" i="358"/>
  <c r="F161" i="358"/>
  <c r="E161" i="358"/>
  <c r="D161" i="358"/>
  <c r="C161" i="358"/>
  <c r="K158" i="358"/>
  <c r="J158" i="358"/>
  <c r="I158" i="358"/>
  <c r="H158" i="358"/>
  <c r="G158" i="358"/>
  <c r="F158" i="358"/>
  <c r="E158" i="358"/>
  <c r="D158" i="358"/>
  <c r="C158" i="358"/>
  <c r="K155" i="358"/>
  <c r="J155" i="358"/>
  <c r="I155" i="358"/>
  <c r="H155" i="358"/>
  <c r="G155" i="358"/>
  <c r="F155" i="358"/>
  <c r="E155" i="358"/>
  <c r="D155" i="358"/>
  <c r="C155" i="358"/>
  <c r="K152" i="358"/>
  <c r="J152" i="358"/>
  <c r="I152" i="358"/>
  <c r="H152" i="358"/>
  <c r="G152" i="358"/>
  <c r="F152" i="358"/>
  <c r="E152" i="358"/>
  <c r="D152" i="358"/>
  <c r="C152" i="358"/>
  <c r="K149" i="358"/>
  <c r="J149" i="358"/>
  <c r="I149" i="358"/>
  <c r="H149" i="358"/>
  <c r="G149" i="358"/>
  <c r="F149" i="358"/>
  <c r="E149" i="358"/>
  <c r="D149" i="358"/>
  <c r="C149" i="358"/>
  <c r="K141" i="358"/>
  <c r="K139" i="358" s="1"/>
  <c r="J141" i="358"/>
  <c r="J139" i="358" s="1"/>
  <c r="I141" i="358"/>
  <c r="I139" i="358" s="1"/>
  <c r="H141" i="358"/>
  <c r="H139" i="358" s="1"/>
  <c r="G141" i="358"/>
  <c r="G139" i="358" s="1"/>
  <c r="F141" i="358"/>
  <c r="F139" i="358" s="1"/>
  <c r="E141" i="358"/>
  <c r="E139" i="358" s="1"/>
  <c r="D141" i="358"/>
  <c r="D139" i="358" s="1"/>
  <c r="C141" i="358"/>
  <c r="C139" i="358" s="1"/>
  <c r="K136" i="358"/>
  <c r="J136" i="358"/>
  <c r="I136" i="358"/>
  <c r="H136" i="358"/>
  <c r="G136" i="358"/>
  <c r="F136" i="358"/>
  <c r="E136" i="358"/>
  <c r="D136" i="358"/>
  <c r="C136" i="358"/>
  <c r="K131" i="358"/>
  <c r="J131" i="358"/>
  <c r="I131" i="358"/>
  <c r="H131" i="358"/>
  <c r="G131" i="358"/>
  <c r="F131" i="358"/>
  <c r="E131" i="358"/>
  <c r="D131" i="358"/>
  <c r="C131" i="358"/>
  <c r="K119" i="358"/>
  <c r="J119" i="358"/>
  <c r="I119" i="358"/>
  <c r="H119" i="358"/>
  <c r="G119" i="358"/>
  <c r="F119" i="358"/>
  <c r="E119" i="358"/>
  <c r="D119" i="358"/>
  <c r="C119" i="358"/>
  <c r="K114" i="358"/>
  <c r="J114" i="358"/>
  <c r="I114" i="358"/>
  <c r="H114" i="358"/>
  <c r="G114" i="358"/>
  <c r="F114" i="358"/>
  <c r="E114" i="358"/>
  <c r="D114" i="358"/>
  <c r="C114" i="358"/>
  <c r="K111" i="358"/>
  <c r="J111" i="358"/>
  <c r="I111" i="358"/>
  <c r="H111" i="358"/>
  <c r="G111" i="358"/>
  <c r="F111" i="358"/>
  <c r="E111" i="358"/>
  <c r="D111" i="358"/>
  <c r="C111" i="358"/>
  <c r="K103" i="358"/>
  <c r="J103" i="358"/>
  <c r="I103" i="358"/>
  <c r="H103" i="358"/>
  <c r="G103" i="358"/>
  <c r="F103" i="358"/>
  <c r="E103" i="358"/>
  <c r="D103" i="358"/>
  <c r="C103" i="358"/>
  <c r="K98" i="358"/>
  <c r="J98" i="358"/>
  <c r="I98" i="358"/>
  <c r="H98" i="358"/>
  <c r="G98" i="358"/>
  <c r="F98" i="358"/>
  <c r="E98" i="358"/>
  <c r="D98" i="358"/>
  <c r="C98" i="358"/>
  <c r="C75" i="358"/>
  <c r="K68" i="358"/>
  <c r="J68" i="358"/>
  <c r="I68" i="358"/>
  <c r="H68" i="358"/>
  <c r="G68" i="358"/>
  <c r="F68" i="358"/>
  <c r="E68" i="358"/>
  <c r="D68" i="358"/>
  <c r="C68" i="358"/>
  <c r="K62" i="358"/>
  <c r="J62" i="358"/>
  <c r="I62" i="358"/>
  <c r="H62" i="358"/>
  <c r="G62" i="358"/>
  <c r="F62" i="358"/>
  <c r="E62" i="358"/>
  <c r="D62" i="358"/>
  <c r="C62" i="358"/>
  <c r="K52" i="358"/>
  <c r="J52" i="358"/>
  <c r="I52" i="358"/>
  <c r="H52" i="358"/>
  <c r="G52" i="358"/>
  <c r="F52" i="358"/>
  <c r="E52" i="358"/>
  <c r="D52" i="358"/>
  <c r="C52" i="358"/>
  <c r="K44" i="358"/>
  <c r="J44" i="358"/>
  <c r="I44" i="358"/>
  <c r="H44" i="358"/>
  <c r="G44" i="358"/>
  <c r="F44" i="358"/>
  <c r="E44" i="358"/>
  <c r="D44" i="358"/>
  <c r="C44" i="358"/>
  <c r="K37" i="358"/>
  <c r="J37" i="358"/>
  <c r="I37" i="358"/>
  <c r="H37" i="358"/>
  <c r="G37" i="358"/>
  <c r="F37" i="358"/>
  <c r="E37" i="358"/>
  <c r="D37" i="358"/>
  <c r="C37" i="358"/>
  <c r="K26" i="358"/>
  <c r="J26" i="358"/>
  <c r="I26" i="358"/>
  <c r="H26" i="358"/>
  <c r="G26" i="358"/>
  <c r="F26" i="358"/>
  <c r="E26" i="358"/>
  <c r="D26" i="358"/>
  <c r="C26" i="358"/>
  <c r="K16" i="358"/>
  <c r="J16" i="358"/>
  <c r="I16" i="358"/>
  <c r="H16" i="358"/>
  <c r="G16" i="358"/>
  <c r="F16" i="358"/>
  <c r="E16" i="358"/>
  <c r="D16" i="358"/>
  <c r="C16" i="358"/>
  <c r="K12" i="358"/>
  <c r="J12" i="358"/>
  <c r="I12" i="358"/>
  <c r="H12" i="358"/>
  <c r="G12" i="358"/>
  <c r="F12" i="358"/>
  <c r="E12" i="358"/>
  <c r="D12" i="358"/>
  <c r="C12" i="358"/>
  <c r="K7" i="358"/>
  <c r="J7" i="358"/>
  <c r="I7" i="358"/>
  <c r="H7" i="358"/>
  <c r="G7" i="358"/>
  <c r="F7" i="358"/>
  <c r="E7" i="358"/>
  <c r="D7" i="358"/>
  <c r="C7" i="358"/>
  <c r="K164" i="349"/>
  <c r="K199" i="248" s="1"/>
  <c r="J164" i="349"/>
  <c r="J199" i="248" s="1"/>
  <c r="I164" i="349"/>
  <c r="I199" i="248" s="1"/>
  <c r="H164" i="349"/>
  <c r="H199" i="248" s="1"/>
  <c r="G164" i="349"/>
  <c r="G199" i="248" s="1"/>
  <c r="F164" i="349"/>
  <c r="F199" i="248" s="1"/>
  <c r="E164" i="349"/>
  <c r="E199" i="248" s="1"/>
  <c r="D164" i="349"/>
  <c r="D199" i="248" s="1"/>
  <c r="C164" i="349"/>
  <c r="C199" i="248" s="1"/>
  <c r="K161" i="349"/>
  <c r="K198" i="248" s="1"/>
  <c r="J161" i="349"/>
  <c r="J198" i="248" s="1"/>
  <c r="I161" i="349"/>
  <c r="I198" i="248" s="1"/>
  <c r="H161" i="349"/>
  <c r="H198" i="248" s="1"/>
  <c r="G161" i="349"/>
  <c r="G198" i="248" s="1"/>
  <c r="F161" i="349"/>
  <c r="F198" i="248" s="1"/>
  <c r="E161" i="349"/>
  <c r="E198" i="248" s="1"/>
  <c r="D161" i="349"/>
  <c r="D198" i="248" s="1"/>
  <c r="C161" i="349"/>
  <c r="C198" i="248" s="1"/>
  <c r="K158" i="349"/>
  <c r="K197" i="248" s="1"/>
  <c r="J158" i="349"/>
  <c r="J197" i="248" s="1"/>
  <c r="I158" i="349"/>
  <c r="I197" i="248" s="1"/>
  <c r="H158" i="349"/>
  <c r="H197" i="248" s="1"/>
  <c r="G158" i="349"/>
  <c r="G197" i="248" s="1"/>
  <c r="F158" i="349"/>
  <c r="F197" i="248" s="1"/>
  <c r="E158" i="349"/>
  <c r="E197" i="248" s="1"/>
  <c r="D158" i="349"/>
  <c r="D197" i="248" s="1"/>
  <c r="C158" i="349"/>
  <c r="C197" i="248" s="1"/>
  <c r="K155" i="349"/>
  <c r="K196" i="248" s="1"/>
  <c r="J155" i="349"/>
  <c r="J196" i="248" s="1"/>
  <c r="I155" i="349"/>
  <c r="I196" i="248" s="1"/>
  <c r="H155" i="349"/>
  <c r="H196" i="248" s="1"/>
  <c r="G155" i="349"/>
  <c r="G196" i="248" s="1"/>
  <c r="F155" i="349"/>
  <c r="F196" i="248" s="1"/>
  <c r="E155" i="349"/>
  <c r="E196" i="248" s="1"/>
  <c r="D155" i="349"/>
  <c r="D196" i="248" s="1"/>
  <c r="C155" i="349"/>
  <c r="C196" i="248" s="1"/>
  <c r="K152" i="349"/>
  <c r="K195" i="248" s="1"/>
  <c r="J152" i="349"/>
  <c r="J195" i="248" s="1"/>
  <c r="I152" i="349"/>
  <c r="I195" i="248" s="1"/>
  <c r="H152" i="349"/>
  <c r="H195" i="248" s="1"/>
  <c r="G152" i="349"/>
  <c r="G195" i="248" s="1"/>
  <c r="F152" i="349"/>
  <c r="F195" i="248" s="1"/>
  <c r="E152" i="349"/>
  <c r="E195" i="248" s="1"/>
  <c r="D152" i="349"/>
  <c r="D195" i="248" s="1"/>
  <c r="C152" i="349"/>
  <c r="C195" i="248" s="1"/>
  <c r="K149" i="349"/>
  <c r="K194" i="248" s="1"/>
  <c r="J149" i="349"/>
  <c r="J194" i="248" s="1"/>
  <c r="I149" i="349"/>
  <c r="I194" i="248" s="1"/>
  <c r="H149" i="349"/>
  <c r="H194" i="248" s="1"/>
  <c r="G149" i="349"/>
  <c r="G194" i="248" s="1"/>
  <c r="F149" i="349"/>
  <c r="F194" i="248" s="1"/>
  <c r="E149" i="349"/>
  <c r="E194" i="248" s="1"/>
  <c r="D149" i="349"/>
  <c r="D194" i="248" s="1"/>
  <c r="C149" i="349"/>
  <c r="C194" i="248" s="1"/>
  <c r="K141" i="349"/>
  <c r="K139" i="349" s="1"/>
  <c r="J141" i="349"/>
  <c r="J139" i="349" s="1"/>
  <c r="I141" i="349"/>
  <c r="I139" i="349" s="1"/>
  <c r="H141" i="349"/>
  <c r="H139" i="349" s="1"/>
  <c r="G141" i="349"/>
  <c r="G192" i="248" s="1"/>
  <c r="F141" i="349"/>
  <c r="E141" i="349"/>
  <c r="E192" i="248" s="1"/>
  <c r="D141" i="349"/>
  <c r="D139" i="349" s="1"/>
  <c r="C141" i="349"/>
  <c r="C192" i="248" s="1"/>
  <c r="K136" i="349"/>
  <c r="K190" i="248" s="1"/>
  <c r="J136" i="349"/>
  <c r="J190" i="248" s="1"/>
  <c r="I136" i="349"/>
  <c r="I190" i="248" s="1"/>
  <c r="H136" i="349"/>
  <c r="H190" i="248" s="1"/>
  <c r="G136" i="349"/>
  <c r="G190" i="248" s="1"/>
  <c r="F136" i="349"/>
  <c r="F190" i="248" s="1"/>
  <c r="E136" i="349"/>
  <c r="E190" i="248" s="1"/>
  <c r="D136" i="349"/>
  <c r="D190" i="248" s="1"/>
  <c r="C136" i="349"/>
  <c r="C190" i="248" s="1"/>
  <c r="K131" i="349"/>
  <c r="K188" i="248" s="1"/>
  <c r="J131" i="349"/>
  <c r="J188" i="248" s="1"/>
  <c r="I131" i="349"/>
  <c r="I188" i="248" s="1"/>
  <c r="H131" i="349"/>
  <c r="G131" i="349"/>
  <c r="G188" i="248" s="1"/>
  <c r="F131" i="349"/>
  <c r="F188" i="248" s="1"/>
  <c r="E131" i="349"/>
  <c r="E188" i="248" s="1"/>
  <c r="D131" i="349"/>
  <c r="D188" i="248" s="1"/>
  <c r="C131" i="349"/>
  <c r="C188" i="248" s="1"/>
  <c r="K119" i="349"/>
  <c r="K187" i="248" s="1"/>
  <c r="J119" i="349"/>
  <c r="J187" i="248" s="1"/>
  <c r="I119" i="349"/>
  <c r="I187" i="248" s="1"/>
  <c r="H119" i="349"/>
  <c r="H187" i="248" s="1"/>
  <c r="G119" i="349"/>
  <c r="G187" i="248" s="1"/>
  <c r="F119" i="349"/>
  <c r="F187" i="248" s="1"/>
  <c r="E119" i="349"/>
  <c r="E187" i="248" s="1"/>
  <c r="D119" i="349"/>
  <c r="C119" i="349"/>
  <c r="C187" i="248" s="1"/>
  <c r="K114" i="349"/>
  <c r="K185" i="248" s="1"/>
  <c r="J114" i="349"/>
  <c r="J185" i="248" s="1"/>
  <c r="I114" i="349"/>
  <c r="I185" i="248" s="1"/>
  <c r="H114" i="349"/>
  <c r="H185" i="248" s="1"/>
  <c r="G114" i="349"/>
  <c r="G185" i="248" s="1"/>
  <c r="F114" i="349"/>
  <c r="F185" i="248" s="1"/>
  <c r="E114" i="349"/>
  <c r="E185" i="248" s="1"/>
  <c r="D114" i="349"/>
  <c r="D185" i="248" s="1"/>
  <c r="C114" i="349"/>
  <c r="C185" i="248" s="1"/>
  <c r="K111" i="349"/>
  <c r="J111" i="349"/>
  <c r="J184" i="248" s="1"/>
  <c r="I111" i="349"/>
  <c r="I184" i="248" s="1"/>
  <c r="H111" i="349"/>
  <c r="H184" i="248" s="1"/>
  <c r="G111" i="349"/>
  <c r="G184" i="248" s="1"/>
  <c r="F111" i="349"/>
  <c r="F184" i="248" s="1"/>
  <c r="E111" i="349"/>
  <c r="E184" i="248" s="1"/>
  <c r="D111" i="349"/>
  <c r="D184" i="248" s="1"/>
  <c r="C111" i="349"/>
  <c r="C184" i="248" s="1"/>
  <c r="K103" i="349"/>
  <c r="K183" i="248" s="1"/>
  <c r="J103" i="349"/>
  <c r="J183" i="248" s="1"/>
  <c r="I103" i="349"/>
  <c r="I183" i="248" s="1"/>
  <c r="H103" i="349"/>
  <c r="H183" i="248" s="1"/>
  <c r="G103" i="349"/>
  <c r="G183" i="248" s="1"/>
  <c r="F103" i="349"/>
  <c r="F183" i="248" s="1"/>
  <c r="E103" i="349"/>
  <c r="E183" i="248" s="1"/>
  <c r="D103" i="349"/>
  <c r="D183" i="248" s="1"/>
  <c r="C103" i="349"/>
  <c r="C183" i="248" s="1"/>
  <c r="K98" i="349"/>
  <c r="K181" i="248" s="1"/>
  <c r="J98" i="349"/>
  <c r="J181" i="248" s="1"/>
  <c r="I98" i="349"/>
  <c r="I181" i="248" s="1"/>
  <c r="H98" i="349"/>
  <c r="G98" i="349"/>
  <c r="G181" i="248" s="1"/>
  <c r="F98" i="349"/>
  <c r="F181" i="248" s="1"/>
  <c r="E98" i="349"/>
  <c r="E181" i="248" s="1"/>
  <c r="D98" i="349"/>
  <c r="C98" i="349"/>
  <c r="C181" i="248" s="1"/>
  <c r="C75" i="349"/>
  <c r="C180" i="248" s="1"/>
  <c r="K68" i="349"/>
  <c r="K178" i="248" s="1"/>
  <c r="J68" i="349"/>
  <c r="J178" i="248" s="1"/>
  <c r="I68" i="349"/>
  <c r="I178" i="248" s="1"/>
  <c r="H68" i="349"/>
  <c r="H178" i="248" s="1"/>
  <c r="G68" i="349"/>
  <c r="G178" i="248" s="1"/>
  <c r="F68" i="349"/>
  <c r="F178" i="248" s="1"/>
  <c r="E68" i="349"/>
  <c r="E178" i="248" s="1"/>
  <c r="D68" i="349"/>
  <c r="D178" i="248" s="1"/>
  <c r="C68" i="349"/>
  <c r="C178" i="248" s="1"/>
  <c r="K62" i="349"/>
  <c r="K177" i="248" s="1"/>
  <c r="J62" i="349"/>
  <c r="J177" i="248" s="1"/>
  <c r="I62" i="349"/>
  <c r="I177" i="248" s="1"/>
  <c r="H62" i="349"/>
  <c r="H177" i="248" s="1"/>
  <c r="G62" i="349"/>
  <c r="G177" i="248" s="1"/>
  <c r="F62" i="349"/>
  <c r="F177" i="248" s="1"/>
  <c r="E62" i="349"/>
  <c r="E177" i="248" s="1"/>
  <c r="D62" i="349"/>
  <c r="D177" i="248" s="1"/>
  <c r="C62" i="349"/>
  <c r="K52" i="349"/>
  <c r="K176" i="248" s="1"/>
  <c r="J52" i="349"/>
  <c r="J176" i="248" s="1"/>
  <c r="I52" i="349"/>
  <c r="I176" i="248" s="1"/>
  <c r="H52" i="349"/>
  <c r="G52" i="349"/>
  <c r="G176" i="248" s="1"/>
  <c r="F52" i="349"/>
  <c r="F176" i="248" s="1"/>
  <c r="E52" i="349"/>
  <c r="E176" i="248" s="1"/>
  <c r="D52" i="349"/>
  <c r="D176" i="248" s="1"/>
  <c r="C52" i="349"/>
  <c r="C176" i="248" s="1"/>
  <c r="K44" i="349"/>
  <c r="K175" i="248" s="1"/>
  <c r="J44" i="349"/>
  <c r="J175" i="248" s="1"/>
  <c r="I44" i="349"/>
  <c r="I175" i="248" s="1"/>
  <c r="H44" i="349"/>
  <c r="H175" i="248" s="1"/>
  <c r="G44" i="349"/>
  <c r="G175" i="248" s="1"/>
  <c r="F44" i="349"/>
  <c r="F175" i="248" s="1"/>
  <c r="E44" i="349"/>
  <c r="E175" i="248" s="1"/>
  <c r="D44" i="349"/>
  <c r="D175" i="248" s="1"/>
  <c r="C44" i="349"/>
  <c r="C175" i="248" s="1"/>
  <c r="K37" i="349"/>
  <c r="K174" i="248" s="1"/>
  <c r="J37" i="349"/>
  <c r="J174" i="248" s="1"/>
  <c r="I37" i="349"/>
  <c r="I174" i="248" s="1"/>
  <c r="H37" i="349"/>
  <c r="H174" i="248" s="1"/>
  <c r="G37" i="349"/>
  <c r="G174" i="248" s="1"/>
  <c r="F37" i="349"/>
  <c r="F174" i="248" s="1"/>
  <c r="E37" i="349"/>
  <c r="E174" i="248" s="1"/>
  <c r="D37" i="349"/>
  <c r="D174" i="248" s="1"/>
  <c r="C37" i="349"/>
  <c r="C174" i="248" s="1"/>
  <c r="K26" i="349"/>
  <c r="K173" i="248" s="1"/>
  <c r="J26" i="349"/>
  <c r="J173" i="248" s="1"/>
  <c r="I26" i="349"/>
  <c r="I173" i="248" s="1"/>
  <c r="H26" i="349"/>
  <c r="H173" i="248" s="1"/>
  <c r="G26" i="349"/>
  <c r="G173" i="248" s="1"/>
  <c r="F26" i="349"/>
  <c r="F173" i="248" s="1"/>
  <c r="E26" i="349"/>
  <c r="E173" i="248" s="1"/>
  <c r="D26" i="349"/>
  <c r="D173" i="248" s="1"/>
  <c r="C26" i="349"/>
  <c r="C173" i="248" s="1"/>
  <c r="K16" i="349"/>
  <c r="K172" i="248" s="1"/>
  <c r="J16" i="349"/>
  <c r="J172" i="248" s="1"/>
  <c r="I16" i="349"/>
  <c r="I172" i="248" s="1"/>
  <c r="H16" i="349"/>
  <c r="H172" i="248" s="1"/>
  <c r="G16" i="349"/>
  <c r="G172" i="248" s="1"/>
  <c r="F16" i="349"/>
  <c r="F172" i="248" s="1"/>
  <c r="E16" i="349"/>
  <c r="E172" i="248" s="1"/>
  <c r="D16" i="349"/>
  <c r="D172" i="248" s="1"/>
  <c r="C16" i="349"/>
  <c r="C172" i="248" s="1"/>
  <c r="K12" i="349"/>
  <c r="K171" i="248" s="1"/>
  <c r="J12" i="349"/>
  <c r="J171" i="248" s="1"/>
  <c r="I12" i="349"/>
  <c r="I171" i="248" s="1"/>
  <c r="H12" i="349"/>
  <c r="H171" i="248" s="1"/>
  <c r="G12" i="349"/>
  <c r="G171" i="248" s="1"/>
  <c r="F12" i="349"/>
  <c r="F171" i="248" s="1"/>
  <c r="E12" i="349"/>
  <c r="E171" i="248" s="1"/>
  <c r="D12" i="349"/>
  <c r="D171" i="248" s="1"/>
  <c r="C12" i="349"/>
  <c r="C171" i="248" s="1"/>
  <c r="K7" i="349"/>
  <c r="J7" i="349"/>
  <c r="J170" i="248" s="1"/>
  <c r="I7" i="349"/>
  <c r="I170" i="248" s="1"/>
  <c r="H7" i="349"/>
  <c r="H170" i="248" s="1"/>
  <c r="G7" i="349"/>
  <c r="G170" i="248" s="1"/>
  <c r="F7" i="349"/>
  <c r="F170" i="248" s="1"/>
  <c r="E7" i="349"/>
  <c r="E170" i="248" s="1"/>
  <c r="D7" i="349"/>
  <c r="D170" i="248" s="1"/>
  <c r="C7" i="349"/>
  <c r="C170" i="248" s="1"/>
  <c r="A169" i="134"/>
  <c r="K164" i="134"/>
  <c r="K35" i="248" s="1"/>
  <c r="J164" i="134"/>
  <c r="J35" i="248" s="1"/>
  <c r="I164" i="134"/>
  <c r="I35" i="248" s="1"/>
  <c r="H164" i="134"/>
  <c r="H35" i="248" s="1"/>
  <c r="G164" i="134"/>
  <c r="G35" i="248" s="1"/>
  <c r="F164" i="134"/>
  <c r="F35" i="248" s="1"/>
  <c r="E164" i="134"/>
  <c r="E35" i="248" s="1"/>
  <c r="D164" i="134"/>
  <c r="D35" i="248" s="1"/>
  <c r="C164" i="134"/>
  <c r="C35" i="248" s="1"/>
  <c r="K161" i="134"/>
  <c r="K34" i="248" s="1"/>
  <c r="J161" i="134"/>
  <c r="J34" i="248" s="1"/>
  <c r="I161" i="134"/>
  <c r="I34" i="248" s="1"/>
  <c r="H161" i="134"/>
  <c r="H34" i="248" s="1"/>
  <c r="G161" i="134"/>
  <c r="G34" i="248" s="1"/>
  <c r="F161" i="134"/>
  <c r="F34" i="248" s="1"/>
  <c r="E161" i="134"/>
  <c r="E34" i="248" s="1"/>
  <c r="D161" i="134"/>
  <c r="D34" i="248" s="1"/>
  <c r="C161" i="134"/>
  <c r="C34" i="248" s="1"/>
  <c r="K158" i="134"/>
  <c r="K33" i="248" s="1"/>
  <c r="J158" i="134"/>
  <c r="J33" i="248" s="1"/>
  <c r="I158" i="134"/>
  <c r="I33" i="248" s="1"/>
  <c r="H158" i="134"/>
  <c r="H33" i="248" s="1"/>
  <c r="G158" i="134"/>
  <c r="G33" i="248" s="1"/>
  <c r="F158" i="134"/>
  <c r="F33" i="248" s="1"/>
  <c r="E158" i="134"/>
  <c r="E33" i="248" s="1"/>
  <c r="D158" i="134"/>
  <c r="D33" i="248" s="1"/>
  <c r="C158" i="134"/>
  <c r="C33" i="248" s="1"/>
  <c r="K155" i="134"/>
  <c r="K32" i="248" s="1"/>
  <c r="J155" i="134"/>
  <c r="J32" i="248" s="1"/>
  <c r="I155" i="134"/>
  <c r="I32" i="248" s="1"/>
  <c r="H155" i="134"/>
  <c r="H32" i="248" s="1"/>
  <c r="G155" i="134"/>
  <c r="G32" i="248" s="1"/>
  <c r="F155" i="134"/>
  <c r="F32" i="248" s="1"/>
  <c r="E155" i="134"/>
  <c r="E32" i="248" s="1"/>
  <c r="D155" i="134"/>
  <c r="D32" i="248" s="1"/>
  <c r="C155" i="134"/>
  <c r="C32" i="248" s="1"/>
  <c r="K152" i="134"/>
  <c r="K31" i="248" s="1"/>
  <c r="J152" i="134"/>
  <c r="J31" i="248" s="1"/>
  <c r="I152" i="134"/>
  <c r="I31" i="248" s="1"/>
  <c r="H152" i="134"/>
  <c r="H31" i="248" s="1"/>
  <c r="G152" i="134"/>
  <c r="G31" i="248" s="1"/>
  <c r="F152" i="134"/>
  <c r="F31" i="248" s="1"/>
  <c r="E152" i="134"/>
  <c r="E31" i="248" s="1"/>
  <c r="D152" i="134"/>
  <c r="D31" i="248" s="1"/>
  <c r="C152" i="134"/>
  <c r="C31" i="248" s="1"/>
  <c r="K149" i="134"/>
  <c r="K30" i="248" s="1"/>
  <c r="J149" i="134"/>
  <c r="J30" i="248" s="1"/>
  <c r="I149" i="134"/>
  <c r="I30" i="248" s="1"/>
  <c r="H149" i="134"/>
  <c r="H30" i="248" s="1"/>
  <c r="G149" i="134"/>
  <c r="G30" i="248" s="1"/>
  <c r="F149" i="134"/>
  <c r="F30" i="248" s="1"/>
  <c r="E149" i="134"/>
  <c r="E30" i="248" s="1"/>
  <c r="D149" i="134"/>
  <c r="D30" i="248" s="1"/>
  <c r="C149" i="134"/>
  <c r="C30" i="248" s="1"/>
  <c r="K141" i="134"/>
  <c r="K139" i="134" s="1"/>
  <c r="J141" i="134"/>
  <c r="J139" i="134" s="1"/>
  <c r="I141" i="134"/>
  <c r="I28" i="248" s="1"/>
  <c r="H141" i="134"/>
  <c r="G141" i="134"/>
  <c r="G139" i="134" s="1"/>
  <c r="F141" i="134"/>
  <c r="F139" i="134" s="1"/>
  <c r="E141" i="134"/>
  <c r="E28" i="248" s="1"/>
  <c r="D141" i="134"/>
  <c r="D28" i="248" s="1"/>
  <c r="C141" i="134"/>
  <c r="C139" i="134" s="1"/>
  <c r="K136" i="134"/>
  <c r="K26" i="248" s="1"/>
  <c r="J136" i="134"/>
  <c r="J26" i="248" s="1"/>
  <c r="I136" i="134"/>
  <c r="I26" i="248" s="1"/>
  <c r="H136" i="134"/>
  <c r="H26" i="248" s="1"/>
  <c r="G136" i="134"/>
  <c r="G26" i="248" s="1"/>
  <c r="F136" i="134"/>
  <c r="F26" i="248" s="1"/>
  <c r="E136" i="134"/>
  <c r="E26" i="248" s="1"/>
  <c r="D136" i="134"/>
  <c r="D26" i="248" s="1"/>
  <c r="C136" i="134"/>
  <c r="C26" i="248" s="1"/>
  <c r="K131" i="134"/>
  <c r="K24" i="248" s="1"/>
  <c r="J131" i="134"/>
  <c r="J24" i="248" s="1"/>
  <c r="I131" i="134"/>
  <c r="I24" i="248" s="1"/>
  <c r="H131" i="134"/>
  <c r="H24" i="248" s="1"/>
  <c r="G131" i="134"/>
  <c r="G24" i="248" s="1"/>
  <c r="F131" i="134"/>
  <c r="F24" i="248" s="1"/>
  <c r="E131" i="134"/>
  <c r="E24" i="248" s="1"/>
  <c r="D131" i="134"/>
  <c r="D24" i="248" s="1"/>
  <c r="C131" i="134"/>
  <c r="C24" i="248" s="1"/>
  <c r="K119" i="134"/>
  <c r="J119" i="134"/>
  <c r="J23" i="248" s="1"/>
  <c r="I119" i="134"/>
  <c r="I23" i="248" s="1"/>
  <c r="H119" i="134"/>
  <c r="H23" i="248" s="1"/>
  <c r="G119" i="134"/>
  <c r="G23" i="248" s="1"/>
  <c r="F119" i="134"/>
  <c r="F23" i="248" s="1"/>
  <c r="E119" i="134"/>
  <c r="D119" i="134"/>
  <c r="D23" i="248" s="1"/>
  <c r="C119" i="134"/>
  <c r="C23" i="248" s="1"/>
  <c r="K114" i="134"/>
  <c r="K21" i="248" s="1"/>
  <c r="J114" i="134"/>
  <c r="J21" i="248" s="1"/>
  <c r="I114" i="134"/>
  <c r="I21" i="248" s="1"/>
  <c r="H114" i="134"/>
  <c r="H21" i="248" s="1"/>
  <c r="G114" i="134"/>
  <c r="G21" i="248" s="1"/>
  <c r="F114" i="134"/>
  <c r="F21" i="248" s="1"/>
  <c r="E114" i="134"/>
  <c r="E21" i="248" s="1"/>
  <c r="D114" i="134"/>
  <c r="C114" i="134"/>
  <c r="C21" i="248" s="1"/>
  <c r="K111" i="134"/>
  <c r="K20" i="248" s="1"/>
  <c r="J111" i="134"/>
  <c r="J20" i="248" s="1"/>
  <c r="I111" i="134"/>
  <c r="I20" i="248" s="1"/>
  <c r="H111" i="134"/>
  <c r="G111" i="134"/>
  <c r="G20" i="248" s="1"/>
  <c r="F111" i="134"/>
  <c r="F20" i="248" s="1"/>
  <c r="E111" i="134"/>
  <c r="D111" i="134"/>
  <c r="D20" i="248" s="1"/>
  <c r="C111" i="134"/>
  <c r="C20" i="248" s="1"/>
  <c r="K103" i="134"/>
  <c r="K19" i="248" s="1"/>
  <c r="J103" i="134"/>
  <c r="J19" i="248" s="1"/>
  <c r="I103" i="134"/>
  <c r="I19" i="248" s="1"/>
  <c r="H103" i="134"/>
  <c r="H19" i="248" s="1"/>
  <c r="G103" i="134"/>
  <c r="G19" i="248" s="1"/>
  <c r="F103" i="134"/>
  <c r="F19" i="248" s="1"/>
  <c r="E103" i="134"/>
  <c r="E19" i="248" s="1"/>
  <c r="D103" i="134"/>
  <c r="D19" i="248" s="1"/>
  <c r="C103" i="134"/>
  <c r="C19" i="248" s="1"/>
  <c r="K98" i="134"/>
  <c r="J98" i="134"/>
  <c r="I98" i="134"/>
  <c r="I17" i="248" s="1"/>
  <c r="H98" i="134"/>
  <c r="H17" i="248" s="1"/>
  <c r="G98" i="134"/>
  <c r="G17" i="248" s="1"/>
  <c r="F98" i="134"/>
  <c r="F17" i="248" s="1"/>
  <c r="E98" i="134"/>
  <c r="E17" i="248" s="1"/>
  <c r="D98" i="134"/>
  <c r="D17" i="248" s="1"/>
  <c r="C98" i="134"/>
  <c r="C17" i="248" s="1"/>
  <c r="C75" i="134"/>
  <c r="C16" i="248" s="1"/>
  <c r="K68" i="134"/>
  <c r="K14" i="248" s="1"/>
  <c r="J68" i="134"/>
  <c r="J14" i="248" s="1"/>
  <c r="I68" i="134"/>
  <c r="I14" i="248" s="1"/>
  <c r="H68" i="134"/>
  <c r="H14" i="248" s="1"/>
  <c r="G68" i="134"/>
  <c r="G14" i="248" s="1"/>
  <c r="F68" i="134"/>
  <c r="F14" i="248" s="1"/>
  <c r="E68" i="134"/>
  <c r="E14" i="248" s="1"/>
  <c r="D68" i="134"/>
  <c r="D14" i="248" s="1"/>
  <c r="C68" i="134"/>
  <c r="C14" i="248" s="1"/>
  <c r="K62" i="134"/>
  <c r="K13" i="248" s="1"/>
  <c r="J62" i="134"/>
  <c r="J13" i="248" s="1"/>
  <c r="I62" i="134"/>
  <c r="I13" i="248" s="1"/>
  <c r="H62" i="134"/>
  <c r="H13" i="248" s="1"/>
  <c r="G62" i="134"/>
  <c r="G13" i="248" s="1"/>
  <c r="F62" i="134"/>
  <c r="F13" i="248" s="1"/>
  <c r="E62" i="134"/>
  <c r="E13" i="248" s="1"/>
  <c r="D62" i="134"/>
  <c r="D13" i="248" s="1"/>
  <c r="C62" i="134"/>
  <c r="C13" i="248" s="1"/>
  <c r="K52" i="134"/>
  <c r="K12" i="248" s="1"/>
  <c r="J52" i="134"/>
  <c r="J12" i="248" s="1"/>
  <c r="I52" i="134"/>
  <c r="I12" i="248" s="1"/>
  <c r="H52" i="134"/>
  <c r="H12" i="248" s="1"/>
  <c r="G52" i="134"/>
  <c r="G12" i="248" s="1"/>
  <c r="F52" i="134"/>
  <c r="F12" i="248" s="1"/>
  <c r="E52" i="134"/>
  <c r="E12" i="248" s="1"/>
  <c r="D52" i="134"/>
  <c r="D12" i="248" s="1"/>
  <c r="C52" i="134"/>
  <c r="C12" i="248" s="1"/>
  <c r="K44" i="134"/>
  <c r="K11" i="248" s="1"/>
  <c r="J44" i="134"/>
  <c r="J11" i="248" s="1"/>
  <c r="I44" i="134"/>
  <c r="I11" i="248" s="1"/>
  <c r="H44" i="134"/>
  <c r="H11" i="248" s="1"/>
  <c r="G44" i="134"/>
  <c r="G11" i="248" s="1"/>
  <c r="F44" i="134"/>
  <c r="F11" i="248" s="1"/>
  <c r="E44" i="134"/>
  <c r="E11" i="248" s="1"/>
  <c r="D44" i="134"/>
  <c r="D11" i="248" s="1"/>
  <c r="C44" i="134"/>
  <c r="C11" i="248" s="1"/>
  <c r="K37" i="134"/>
  <c r="K10" i="248" s="1"/>
  <c r="J37" i="134"/>
  <c r="J10" i="248" s="1"/>
  <c r="I37" i="134"/>
  <c r="I10" i="248" s="1"/>
  <c r="H37" i="134"/>
  <c r="H10" i="248" s="1"/>
  <c r="G37" i="134"/>
  <c r="G10" i="248" s="1"/>
  <c r="F37" i="134"/>
  <c r="F10" i="248" s="1"/>
  <c r="E37" i="134"/>
  <c r="E10" i="248" s="1"/>
  <c r="D37" i="134"/>
  <c r="D10" i="248" s="1"/>
  <c r="C37" i="134"/>
  <c r="C10" i="248" s="1"/>
  <c r="K26" i="134"/>
  <c r="K9" i="248" s="1"/>
  <c r="J26" i="134"/>
  <c r="J9" i="248" s="1"/>
  <c r="I26" i="134"/>
  <c r="I9" i="248" s="1"/>
  <c r="H26" i="134"/>
  <c r="G26" i="134"/>
  <c r="G9" i="248" s="1"/>
  <c r="F26" i="134"/>
  <c r="F9" i="248" s="1"/>
  <c r="E26" i="134"/>
  <c r="E9" i="248" s="1"/>
  <c r="D26" i="134"/>
  <c r="D9" i="248" s="1"/>
  <c r="C26" i="134"/>
  <c r="C9" i="248" s="1"/>
  <c r="K16" i="134"/>
  <c r="K8" i="248" s="1"/>
  <c r="J16" i="134"/>
  <c r="J8" i="248" s="1"/>
  <c r="I16" i="134"/>
  <c r="I8" i="248" s="1"/>
  <c r="H16" i="134"/>
  <c r="H8" i="248" s="1"/>
  <c r="G16" i="134"/>
  <c r="G8" i="248" s="1"/>
  <c r="F16" i="134"/>
  <c r="F8" i="248" s="1"/>
  <c r="E16" i="134"/>
  <c r="E8" i="248" s="1"/>
  <c r="D16" i="134"/>
  <c r="D8" i="248" s="1"/>
  <c r="K12" i="134"/>
  <c r="K7" i="248" s="1"/>
  <c r="J12" i="134"/>
  <c r="J7" i="248" s="1"/>
  <c r="I12" i="134"/>
  <c r="I7" i="248" s="1"/>
  <c r="H12" i="134"/>
  <c r="H7" i="248" s="1"/>
  <c r="G12" i="134"/>
  <c r="G7" i="248" s="1"/>
  <c r="F12" i="134"/>
  <c r="F7" i="248" s="1"/>
  <c r="E12" i="134"/>
  <c r="E7" i="248" s="1"/>
  <c r="D12" i="134"/>
  <c r="D7" i="248" s="1"/>
  <c r="C12" i="134"/>
  <c r="C7" i="248" s="1"/>
  <c r="K7" i="134"/>
  <c r="K6" i="248" s="1"/>
  <c r="J7" i="134"/>
  <c r="J6" i="248" s="1"/>
  <c r="I7" i="134"/>
  <c r="I6" i="248" s="1"/>
  <c r="H7" i="134"/>
  <c r="H6" i="248" s="1"/>
  <c r="G7" i="134"/>
  <c r="G6" i="248" s="1"/>
  <c r="F7" i="134"/>
  <c r="F6" i="248" s="1"/>
  <c r="E7" i="134"/>
  <c r="E6" i="248" s="1"/>
  <c r="D7" i="134"/>
  <c r="D6" i="248" s="1"/>
  <c r="C7" i="134"/>
  <c r="C6" i="248" s="1"/>
  <c r="K62" i="350"/>
  <c r="K45" i="248" s="1"/>
  <c r="J62" i="350"/>
  <c r="J45" i="248" s="1"/>
  <c r="I62" i="350"/>
  <c r="I45" i="248" s="1"/>
  <c r="H62" i="350"/>
  <c r="H45" i="248" s="1"/>
  <c r="G62" i="350"/>
  <c r="G45" i="248" s="1"/>
  <c r="F62" i="350"/>
  <c r="F45" i="248" s="1"/>
  <c r="E62" i="350"/>
  <c r="E45" i="248" s="1"/>
  <c r="D62" i="350"/>
  <c r="D45" i="248" s="1"/>
  <c r="C62" i="350"/>
  <c r="C45" i="248" s="1"/>
  <c r="K155" i="350"/>
  <c r="K64" i="248" s="1"/>
  <c r="J155" i="350"/>
  <c r="J64" i="248" s="1"/>
  <c r="I155" i="350"/>
  <c r="I64" i="248" s="1"/>
  <c r="H155" i="350"/>
  <c r="H64" i="248" s="1"/>
  <c r="G155" i="350"/>
  <c r="G64" i="248" s="1"/>
  <c r="F155" i="350"/>
  <c r="F64" i="248" s="1"/>
  <c r="E155" i="350"/>
  <c r="E64" i="248" s="1"/>
  <c r="D155" i="350"/>
  <c r="D64" i="248" s="1"/>
  <c r="C155" i="350"/>
  <c r="C64" i="248" s="1"/>
  <c r="K161" i="350"/>
  <c r="K66" i="248" s="1"/>
  <c r="J161" i="350"/>
  <c r="J66" i="248" s="1"/>
  <c r="I161" i="350"/>
  <c r="I66" i="248" s="1"/>
  <c r="H161" i="350"/>
  <c r="H66" i="248" s="1"/>
  <c r="G161" i="350"/>
  <c r="G66" i="248" s="1"/>
  <c r="F161" i="350"/>
  <c r="F66" i="248" s="1"/>
  <c r="E161" i="350"/>
  <c r="E66" i="248" s="1"/>
  <c r="D161" i="350"/>
  <c r="D66" i="248" s="1"/>
  <c r="C161" i="350"/>
  <c r="C66" i="248" s="1"/>
  <c r="K158" i="350"/>
  <c r="K65" i="248" s="1"/>
  <c r="J158" i="350"/>
  <c r="J65" i="248" s="1"/>
  <c r="I158" i="350"/>
  <c r="I65" i="248" s="1"/>
  <c r="H158" i="350"/>
  <c r="H65" i="248" s="1"/>
  <c r="G158" i="350"/>
  <c r="G65" i="248" s="1"/>
  <c r="F158" i="350"/>
  <c r="F65" i="248" s="1"/>
  <c r="E158" i="350"/>
  <c r="E65" i="248" s="1"/>
  <c r="D158" i="350"/>
  <c r="D65" i="248" s="1"/>
  <c r="C158" i="350"/>
  <c r="C65" i="248" s="1"/>
  <c r="K164" i="350"/>
  <c r="K67" i="248" s="1"/>
  <c r="J164" i="350"/>
  <c r="J67" i="248" s="1"/>
  <c r="I164" i="350"/>
  <c r="I67" i="248" s="1"/>
  <c r="H164" i="350"/>
  <c r="H67" i="248" s="1"/>
  <c r="G164" i="350"/>
  <c r="G67" i="248" s="1"/>
  <c r="F164" i="350"/>
  <c r="F67" i="248" s="1"/>
  <c r="E164" i="350"/>
  <c r="E67" i="248" s="1"/>
  <c r="D164" i="350"/>
  <c r="D67" i="248" s="1"/>
  <c r="C164" i="350"/>
  <c r="C67" i="248" s="1"/>
  <c r="K152" i="350"/>
  <c r="K63" i="248" s="1"/>
  <c r="J152" i="350"/>
  <c r="J63" i="248" s="1"/>
  <c r="I152" i="350"/>
  <c r="I63" i="248" s="1"/>
  <c r="H152" i="350"/>
  <c r="H63" i="248" s="1"/>
  <c r="G152" i="350"/>
  <c r="G63" i="248" s="1"/>
  <c r="F152" i="350"/>
  <c r="F63" i="248" s="1"/>
  <c r="E152" i="350"/>
  <c r="E63" i="248" s="1"/>
  <c r="D152" i="350"/>
  <c r="D63" i="248" s="1"/>
  <c r="C152" i="350"/>
  <c r="C63" i="248" s="1"/>
  <c r="K149" i="350"/>
  <c r="K62" i="248" s="1"/>
  <c r="J149" i="350"/>
  <c r="J62" i="248" s="1"/>
  <c r="I149" i="350"/>
  <c r="I62" i="248" s="1"/>
  <c r="H149" i="350"/>
  <c r="H62" i="248" s="1"/>
  <c r="G149" i="350"/>
  <c r="G62" i="248" s="1"/>
  <c r="F149" i="350"/>
  <c r="F62" i="248" s="1"/>
  <c r="E149" i="350"/>
  <c r="E62" i="248" s="1"/>
  <c r="D149" i="350"/>
  <c r="D62" i="248" s="1"/>
  <c r="C149" i="350"/>
  <c r="C62" i="248" s="1"/>
  <c r="K141" i="350"/>
  <c r="K60" i="248" s="1"/>
  <c r="J141" i="350"/>
  <c r="J60" i="248" s="1"/>
  <c r="I141" i="350"/>
  <c r="I139" i="350" s="1"/>
  <c r="H141" i="350"/>
  <c r="H60" i="248" s="1"/>
  <c r="G141" i="350"/>
  <c r="G60" i="248" s="1"/>
  <c r="F141" i="350"/>
  <c r="F60" i="248" s="1"/>
  <c r="E141" i="350"/>
  <c r="D141" i="350"/>
  <c r="D139" i="350" s="1"/>
  <c r="C141" i="350"/>
  <c r="C139" i="350" s="1"/>
  <c r="K131" i="350"/>
  <c r="K56" i="248" s="1"/>
  <c r="J131" i="350"/>
  <c r="J56" i="248" s="1"/>
  <c r="I131" i="350"/>
  <c r="I56" i="248" s="1"/>
  <c r="H131" i="350"/>
  <c r="H56" i="248" s="1"/>
  <c r="G131" i="350"/>
  <c r="G56" i="248" s="1"/>
  <c r="F131" i="350"/>
  <c r="F56" i="248" s="1"/>
  <c r="E131" i="350"/>
  <c r="E56" i="248" s="1"/>
  <c r="D131" i="350"/>
  <c r="D56" i="248" s="1"/>
  <c r="C131" i="350"/>
  <c r="C56" i="248" s="1"/>
  <c r="K119" i="350"/>
  <c r="K55" i="248" s="1"/>
  <c r="J119" i="350"/>
  <c r="J55" i="248" s="1"/>
  <c r="I119" i="350"/>
  <c r="I55" i="248" s="1"/>
  <c r="H119" i="350"/>
  <c r="H55" i="248" s="1"/>
  <c r="G119" i="350"/>
  <c r="F119" i="350"/>
  <c r="E119" i="350"/>
  <c r="E55" i="248" s="1"/>
  <c r="D119" i="350"/>
  <c r="C119" i="350"/>
  <c r="K114" i="350"/>
  <c r="J114" i="350"/>
  <c r="J53" i="248" s="1"/>
  <c r="I114" i="350"/>
  <c r="H114" i="350"/>
  <c r="H53" i="248" s="1"/>
  <c r="G114" i="350"/>
  <c r="G53" i="248" s="1"/>
  <c r="F114" i="350"/>
  <c r="F53" i="248" s="1"/>
  <c r="E114" i="350"/>
  <c r="E53" i="248" s="1"/>
  <c r="D114" i="350"/>
  <c r="D53" i="248" s="1"/>
  <c r="C114" i="350"/>
  <c r="C53" i="248" s="1"/>
  <c r="K111" i="350"/>
  <c r="K52" i="248" s="1"/>
  <c r="J111" i="350"/>
  <c r="I111" i="350"/>
  <c r="I52" i="248" s="1"/>
  <c r="H111" i="350"/>
  <c r="H52" i="248" s="1"/>
  <c r="G111" i="350"/>
  <c r="G52" i="248" s="1"/>
  <c r="F111" i="350"/>
  <c r="F52" i="248" s="1"/>
  <c r="E111" i="350"/>
  <c r="E52" i="248" s="1"/>
  <c r="D111" i="350"/>
  <c r="D52" i="248" s="1"/>
  <c r="C111" i="350"/>
  <c r="C52" i="248" s="1"/>
  <c r="K103" i="350"/>
  <c r="K51" i="248" s="1"/>
  <c r="J103" i="350"/>
  <c r="J51" i="248" s="1"/>
  <c r="I103" i="350"/>
  <c r="I51" i="248" s="1"/>
  <c r="H103" i="350"/>
  <c r="H51" i="248" s="1"/>
  <c r="G103" i="350"/>
  <c r="G51" i="248" s="1"/>
  <c r="F103" i="350"/>
  <c r="F51" i="248" s="1"/>
  <c r="E103" i="350"/>
  <c r="E51" i="248" s="1"/>
  <c r="D103" i="350"/>
  <c r="D51" i="248" s="1"/>
  <c r="C103" i="350"/>
  <c r="C51" i="248" s="1"/>
  <c r="K98" i="350"/>
  <c r="J98" i="350"/>
  <c r="J49" i="248" s="1"/>
  <c r="I98" i="350"/>
  <c r="I49" i="248" s="1"/>
  <c r="H98" i="350"/>
  <c r="H49" i="248" s="1"/>
  <c r="G98" i="350"/>
  <c r="G49" i="248" s="1"/>
  <c r="F98" i="350"/>
  <c r="F49" i="248" s="1"/>
  <c r="F50" i="248" s="1"/>
  <c r="E98" i="350"/>
  <c r="E49" i="248" s="1"/>
  <c r="D98" i="350"/>
  <c r="D49" i="248" s="1"/>
  <c r="C98" i="350"/>
  <c r="C75" i="350"/>
  <c r="C48" i="248" s="1"/>
  <c r="C7" i="350"/>
  <c r="C38" i="248" s="1"/>
  <c r="K52" i="350"/>
  <c r="K44" i="248" s="1"/>
  <c r="J52" i="350"/>
  <c r="J44" i="248" s="1"/>
  <c r="I52" i="350"/>
  <c r="I44" i="248" s="1"/>
  <c r="H52" i="350"/>
  <c r="H44" i="248" s="1"/>
  <c r="G52" i="350"/>
  <c r="G44" i="248" s="1"/>
  <c r="F52" i="350"/>
  <c r="F44" i="248" s="1"/>
  <c r="E52" i="350"/>
  <c r="E44" i="248" s="1"/>
  <c r="D52" i="350"/>
  <c r="D44" i="248" s="1"/>
  <c r="C52" i="350"/>
  <c r="C44" i="248" s="1"/>
  <c r="K44" i="350"/>
  <c r="K43" i="248" s="1"/>
  <c r="J44" i="350"/>
  <c r="I44" i="350"/>
  <c r="I43" i="248" s="1"/>
  <c r="H44" i="350"/>
  <c r="H43" i="248" s="1"/>
  <c r="G44" i="350"/>
  <c r="G43" i="248" s="1"/>
  <c r="F44" i="350"/>
  <c r="F43" i="248" s="1"/>
  <c r="E44" i="350"/>
  <c r="E43" i="248" s="1"/>
  <c r="D44" i="350"/>
  <c r="D43" i="248" s="1"/>
  <c r="C44" i="350"/>
  <c r="C43" i="248" s="1"/>
  <c r="K37" i="350"/>
  <c r="K42" i="248" s="1"/>
  <c r="J37" i="350"/>
  <c r="J42" i="248" s="1"/>
  <c r="I37" i="350"/>
  <c r="I42" i="248" s="1"/>
  <c r="H37" i="350"/>
  <c r="H42" i="248" s="1"/>
  <c r="G37" i="350"/>
  <c r="G42" i="248" s="1"/>
  <c r="F37" i="350"/>
  <c r="F42" i="248" s="1"/>
  <c r="E37" i="350"/>
  <c r="E42" i="248" s="1"/>
  <c r="D37" i="350"/>
  <c r="D42" i="248" s="1"/>
  <c r="C37" i="350"/>
  <c r="C42" i="248" s="1"/>
  <c r="K26" i="350"/>
  <c r="K41" i="248" s="1"/>
  <c r="J26" i="350"/>
  <c r="J41" i="248" s="1"/>
  <c r="I26" i="350"/>
  <c r="I41" i="248" s="1"/>
  <c r="H26" i="350"/>
  <c r="H41" i="248" s="1"/>
  <c r="G26" i="350"/>
  <c r="G41" i="248" s="1"/>
  <c r="F26" i="350"/>
  <c r="F41" i="248" s="1"/>
  <c r="E26" i="350"/>
  <c r="E41" i="248" s="1"/>
  <c r="D26" i="350"/>
  <c r="D41" i="248" s="1"/>
  <c r="C26" i="350"/>
  <c r="C41" i="248" s="1"/>
  <c r="K16" i="350"/>
  <c r="J16" i="350"/>
  <c r="J40" i="248" s="1"/>
  <c r="I16" i="350"/>
  <c r="I40" i="248" s="1"/>
  <c r="H16" i="350"/>
  <c r="H40" i="248" s="1"/>
  <c r="G16" i="350"/>
  <c r="G40" i="248" s="1"/>
  <c r="F16" i="350"/>
  <c r="E16" i="350"/>
  <c r="E40" i="248" s="1"/>
  <c r="D16" i="350"/>
  <c r="D40" i="248" s="1"/>
  <c r="C16" i="350"/>
  <c r="C40" i="248" s="1"/>
  <c r="K12" i="350"/>
  <c r="K39" i="248" s="1"/>
  <c r="J12" i="350"/>
  <c r="J39" i="248" s="1"/>
  <c r="I12" i="350"/>
  <c r="I39" i="248" s="1"/>
  <c r="H12" i="350"/>
  <c r="H39" i="248" s="1"/>
  <c r="G12" i="350"/>
  <c r="F12" i="350"/>
  <c r="F39" i="248" s="1"/>
  <c r="E12" i="350"/>
  <c r="E39" i="248" s="1"/>
  <c r="D12" i="350"/>
  <c r="D39" i="248" s="1"/>
  <c r="C12" i="350"/>
  <c r="C39" i="248" s="1"/>
  <c r="K7" i="350"/>
  <c r="K38" i="248" s="1"/>
  <c r="J7" i="350"/>
  <c r="J38" i="248" s="1"/>
  <c r="I7" i="350"/>
  <c r="I38" i="248" s="1"/>
  <c r="H7" i="350"/>
  <c r="H38" i="248" s="1"/>
  <c r="G7" i="350"/>
  <c r="G38" i="248" s="1"/>
  <c r="F7" i="350"/>
  <c r="F38" i="248" s="1"/>
  <c r="E7" i="350"/>
  <c r="E38" i="248" s="1"/>
  <c r="D7" i="350"/>
  <c r="D38" i="248" s="1"/>
  <c r="L33" i="255"/>
  <c r="L26" i="255"/>
  <c r="K56" i="253" s="1"/>
  <c r="J14" i="255"/>
  <c r="I57" i="253" s="1"/>
  <c r="K14" i="255"/>
  <c r="J57" i="253" s="1"/>
  <c r="L14" i="255"/>
  <c r="J9" i="255"/>
  <c r="J5" i="127" s="1"/>
  <c r="K75" i="253"/>
  <c r="K74" i="253"/>
  <c r="K73" i="253"/>
  <c r="K72" i="253"/>
  <c r="K71" i="253"/>
  <c r="J75" i="253"/>
  <c r="J74" i="253"/>
  <c r="J73" i="253"/>
  <c r="J72" i="253"/>
  <c r="J71" i="253"/>
  <c r="I75" i="253"/>
  <c r="I74" i="253"/>
  <c r="I73" i="253"/>
  <c r="I72" i="253"/>
  <c r="I71" i="253"/>
  <c r="K33" i="255"/>
  <c r="J33" i="255"/>
  <c r="I58" i="253" s="1"/>
  <c r="K26" i="255"/>
  <c r="K27" i="255" s="1"/>
  <c r="K8" i="127" s="1"/>
  <c r="L48" i="123" s="1"/>
  <c r="J26" i="255"/>
  <c r="J27" i="255" s="1"/>
  <c r="J8" i="127" s="1"/>
  <c r="O8" i="137" s="1"/>
  <c r="L20" i="255"/>
  <c r="L21" i="255" s="1"/>
  <c r="L7" i="127" s="1"/>
  <c r="K20" i="255"/>
  <c r="J55" i="253" s="1"/>
  <c r="J20" i="255"/>
  <c r="M105" i="363"/>
  <c r="K44" i="253" s="1"/>
  <c r="L105" i="363"/>
  <c r="J44" i="253" s="1"/>
  <c r="K105" i="363"/>
  <c r="I44" i="253" s="1"/>
  <c r="J105" i="363"/>
  <c r="H44" i="253" s="1"/>
  <c r="I105" i="363"/>
  <c r="G44" i="253" s="1"/>
  <c r="H105" i="363"/>
  <c r="F44" i="253" s="1"/>
  <c r="G105" i="363"/>
  <c r="E44" i="253" s="1"/>
  <c r="F105" i="363"/>
  <c r="D44" i="253" s="1"/>
  <c r="E105" i="363"/>
  <c r="C44" i="253" s="1"/>
  <c r="M104" i="363"/>
  <c r="K43" i="253" s="1"/>
  <c r="L104" i="363"/>
  <c r="J43" i="253" s="1"/>
  <c r="K104" i="363"/>
  <c r="I43" i="253" s="1"/>
  <c r="J104" i="363"/>
  <c r="H43" i="253" s="1"/>
  <c r="I104" i="363"/>
  <c r="G43" i="253" s="1"/>
  <c r="H104" i="363"/>
  <c r="F43" i="253" s="1"/>
  <c r="G104" i="363"/>
  <c r="E43" i="253" s="1"/>
  <c r="F104" i="363"/>
  <c r="D43" i="253" s="1"/>
  <c r="E104" i="363"/>
  <c r="C43" i="253" s="1"/>
  <c r="M103" i="363"/>
  <c r="L103" i="363"/>
  <c r="J42" i="253" s="1"/>
  <c r="K103" i="363"/>
  <c r="J103" i="363"/>
  <c r="H42" i="253" s="1"/>
  <c r="I103" i="363"/>
  <c r="H103" i="363"/>
  <c r="F42" i="253" s="1"/>
  <c r="G103" i="363"/>
  <c r="E42" i="253" s="1"/>
  <c r="F103" i="363"/>
  <c r="D42" i="253" s="1"/>
  <c r="E103" i="363"/>
  <c r="C42" i="253" s="1"/>
  <c r="M102" i="363"/>
  <c r="K41" i="253" s="1"/>
  <c r="L102" i="363"/>
  <c r="J41" i="253" s="1"/>
  <c r="K102" i="363"/>
  <c r="I41" i="253" s="1"/>
  <c r="J102" i="363"/>
  <c r="H41" i="253" s="1"/>
  <c r="I102" i="363"/>
  <c r="G41" i="253" s="1"/>
  <c r="H102" i="363"/>
  <c r="G102" i="363"/>
  <c r="E41" i="253" s="1"/>
  <c r="F102" i="363"/>
  <c r="E102" i="363"/>
  <c r="C41" i="253" s="1"/>
  <c r="M101" i="363"/>
  <c r="K40" i="253" s="1"/>
  <c r="L101" i="363"/>
  <c r="K101" i="363"/>
  <c r="I40" i="253" s="1"/>
  <c r="J101" i="363"/>
  <c r="I101" i="363"/>
  <c r="H101" i="363"/>
  <c r="G101" i="363"/>
  <c r="F101" i="363"/>
  <c r="E101" i="363"/>
  <c r="C40" i="253" s="1"/>
  <c r="M99" i="363"/>
  <c r="L99" i="363"/>
  <c r="J38" i="253" s="1"/>
  <c r="J39" i="253" s="1"/>
  <c r="K99" i="363"/>
  <c r="I38" i="253" s="1"/>
  <c r="I39" i="253" s="1"/>
  <c r="J99" i="363"/>
  <c r="J100" i="363" s="1"/>
  <c r="I99" i="363"/>
  <c r="H99" i="363"/>
  <c r="G99" i="363"/>
  <c r="F99" i="363"/>
  <c r="E99" i="363"/>
  <c r="C38" i="253" s="1"/>
  <c r="C39" i="253" s="1"/>
  <c r="M95" i="363"/>
  <c r="K34" i="253" s="1"/>
  <c r="L95" i="363"/>
  <c r="J34" i="253" s="1"/>
  <c r="K95" i="363"/>
  <c r="I34" i="253" s="1"/>
  <c r="J95" i="363"/>
  <c r="H34" i="253" s="1"/>
  <c r="I95" i="363"/>
  <c r="H95" i="363"/>
  <c r="F34" i="253" s="1"/>
  <c r="G95" i="363"/>
  <c r="E34" i="253" s="1"/>
  <c r="F95" i="363"/>
  <c r="D34" i="253" s="1"/>
  <c r="E95" i="363"/>
  <c r="C34" i="253"/>
  <c r="M94" i="363"/>
  <c r="K33" i="253" s="1"/>
  <c r="L94" i="363"/>
  <c r="J33" i="253" s="1"/>
  <c r="K94" i="363"/>
  <c r="I33" i="253" s="1"/>
  <c r="J94" i="363"/>
  <c r="J96" i="363" s="1"/>
  <c r="I94" i="363"/>
  <c r="H94" i="363"/>
  <c r="G94" i="363"/>
  <c r="G96" i="363" s="1"/>
  <c r="F94" i="363"/>
  <c r="D33" i="253" s="1"/>
  <c r="E94" i="363"/>
  <c r="M93" i="363"/>
  <c r="K32" i="253" s="1"/>
  <c r="L93" i="363"/>
  <c r="J32" i="253" s="1"/>
  <c r="K93" i="363"/>
  <c r="J93" i="363"/>
  <c r="H32" i="253" s="1"/>
  <c r="I93" i="363"/>
  <c r="G32" i="253" s="1"/>
  <c r="H93" i="363"/>
  <c r="G93" i="363"/>
  <c r="E32" i="253" s="1"/>
  <c r="F93" i="363"/>
  <c r="E93" i="363"/>
  <c r="M91" i="363"/>
  <c r="K30" i="253"/>
  <c r="L91" i="363"/>
  <c r="J30" i="253"/>
  <c r="K91" i="363"/>
  <c r="I30" i="253" s="1"/>
  <c r="J91" i="363"/>
  <c r="H30" i="253" s="1"/>
  <c r="I91" i="363"/>
  <c r="G30" i="253" s="1"/>
  <c r="H91" i="363"/>
  <c r="G91" i="363"/>
  <c r="E30" i="253" s="1"/>
  <c r="F91" i="363"/>
  <c r="D30" i="253" s="1"/>
  <c r="E91" i="363"/>
  <c r="C30" i="253" s="1"/>
  <c r="M90" i="363"/>
  <c r="M92" i="363" s="1"/>
  <c r="L90" i="363"/>
  <c r="J29" i="253" s="1"/>
  <c r="K90" i="363"/>
  <c r="I29" i="253" s="1"/>
  <c r="J90" i="363"/>
  <c r="H29" i="253" s="1"/>
  <c r="I90" i="363"/>
  <c r="H90" i="363"/>
  <c r="F29" i="253" s="1"/>
  <c r="G90" i="363"/>
  <c r="F90" i="363"/>
  <c r="E90" i="363"/>
  <c r="E92" i="363" s="1"/>
  <c r="M86" i="363"/>
  <c r="K25" i="253"/>
  <c r="L86" i="363"/>
  <c r="J25" i="253" s="1"/>
  <c r="K86" i="363"/>
  <c r="J86" i="363"/>
  <c r="H25" i="253" s="1"/>
  <c r="I86" i="363"/>
  <c r="G25" i="253" s="1"/>
  <c r="H86" i="363"/>
  <c r="G86" i="363"/>
  <c r="F86" i="363"/>
  <c r="D25" i="253" s="1"/>
  <c r="M85" i="363"/>
  <c r="L85" i="363"/>
  <c r="K85" i="363"/>
  <c r="I24" i="253" s="1"/>
  <c r="J85" i="363"/>
  <c r="H24" i="253" s="1"/>
  <c r="I85" i="363"/>
  <c r="H85" i="363"/>
  <c r="F24" i="253" s="1"/>
  <c r="G85" i="363"/>
  <c r="E24" i="253" s="1"/>
  <c r="F85" i="363"/>
  <c r="D24" i="253"/>
  <c r="M84" i="363"/>
  <c r="L84" i="363"/>
  <c r="L87" i="363" s="1"/>
  <c r="K84" i="363"/>
  <c r="I23" i="253" s="1"/>
  <c r="J84" i="363"/>
  <c r="H23" i="253" s="1"/>
  <c r="I84" i="363"/>
  <c r="G23" i="253" s="1"/>
  <c r="H84" i="363"/>
  <c r="F23" i="253" s="1"/>
  <c r="G84" i="363"/>
  <c r="F84" i="363"/>
  <c r="E86" i="363"/>
  <c r="C25" i="253" s="1"/>
  <c r="E85" i="363"/>
  <c r="E84" i="363"/>
  <c r="C23" i="253" s="1"/>
  <c r="M82" i="363"/>
  <c r="K21" i="253" s="1"/>
  <c r="L82" i="363"/>
  <c r="J21" i="253" s="1"/>
  <c r="K82" i="363"/>
  <c r="I21" i="253" s="1"/>
  <c r="J82" i="363"/>
  <c r="H21" i="253" s="1"/>
  <c r="I82" i="363"/>
  <c r="G21" i="253" s="1"/>
  <c r="H82" i="363"/>
  <c r="G82" i="363"/>
  <c r="E21" i="253" s="1"/>
  <c r="F82" i="363"/>
  <c r="D21" i="253"/>
  <c r="E82" i="363"/>
  <c r="C21" i="253" s="1"/>
  <c r="M81" i="363"/>
  <c r="K20" i="253" s="1"/>
  <c r="L81" i="363"/>
  <c r="J20" i="253" s="1"/>
  <c r="K81" i="363"/>
  <c r="J81" i="363"/>
  <c r="H20" i="253" s="1"/>
  <c r="I81" i="363"/>
  <c r="G20" i="253" s="1"/>
  <c r="H81" i="363"/>
  <c r="F20" i="253" s="1"/>
  <c r="G81" i="363"/>
  <c r="E20" i="253" s="1"/>
  <c r="F81" i="363"/>
  <c r="D20" i="253" s="1"/>
  <c r="E81" i="363"/>
  <c r="C20" i="253" s="1"/>
  <c r="M80" i="363"/>
  <c r="K19" i="253" s="1"/>
  <c r="L80" i="363"/>
  <c r="J19" i="253"/>
  <c r="K80" i="363"/>
  <c r="I19" i="253" s="1"/>
  <c r="J80" i="363"/>
  <c r="H19" i="253" s="1"/>
  <c r="I80" i="363"/>
  <c r="G19" i="253" s="1"/>
  <c r="H80" i="363"/>
  <c r="G80" i="363"/>
  <c r="E19" i="253" s="1"/>
  <c r="F80" i="363"/>
  <c r="D19" i="253" s="1"/>
  <c r="E80" i="363"/>
  <c r="C19" i="253" s="1"/>
  <c r="M79" i="363"/>
  <c r="K18" i="253" s="1"/>
  <c r="L79" i="363"/>
  <c r="J18" i="253"/>
  <c r="K79" i="363"/>
  <c r="I18" i="253" s="1"/>
  <c r="J79" i="363"/>
  <c r="H18" i="253" s="1"/>
  <c r="I79" i="363"/>
  <c r="I83" i="363" s="1"/>
  <c r="H79" i="363"/>
  <c r="F18" i="253" s="1"/>
  <c r="G79" i="363"/>
  <c r="F79" i="363"/>
  <c r="D18" i="253" s="1"/>
  <c r="E79" i="363"/>
  <c r="M78" i="363"/>
  <c r="L78" i="363"/>
  <c r="K78" i="363"/>
  <c r="J78" i="363"/>
  <c r="I78" i="363"/>
  <c r="G17" i="253" s="1"/>
  <c r="H78" i="363"/>
  <c r="G78" i="363"/>
  <c r="F78" i="363"/>
  <c r="D17" i="253" s="1"/>
  <c r="E78" i="363"/>
  <c r="C17" i="253" s="1"/>
  <c r="M74" i="363"/>
  <c r="K13" i="253" s="1"/>
  <c r="L74" i="363"/>
  <c r="J13" i="253" s="1"/>
  <c r="K74" i="363"/>
  <c r="J74" i="363"/>
  <c r="H13" i="253" s="1"/>
  <c r="I74" i="363"/>
  <c r="G13" i="253" s="1"/>
  <c r="H74" i="363"/>
  <c r="F13" i="253" s="1"/>
  <c r="G74" i="363"/>
  <c r="F74" i="363"/>
  <c r="D13" i="253" s="1"/>
  <c r="M73" i="363"/>
  <c r="L73" i="363"/>
  <c r="J12" i="253" s="1"/>
  <c r="K73" i="363"/>
  <c r="I12" i="253" s="1"/>
  <c r="J73" i="363"/>
  <c r="H12" i="253" s="1"/>
  <c r="I73" i="363"/>
  <c r="G12" i="253" s="1"/>
  <c r="H73" i="363"/>
  <c r="F12" i="253" s="1"/>
  <c r="G73" i="363"/>
  <c r="E12" i="253" s="1"/>
  <c r="F73" i="363"/>
  <c r="D12" i="253"/>
  <c r="M72" i="363"/>
  <c r="K11" i="253" s="1"/>
  <c r="L72" i="363"/>
  <c r="J11" i="253" s="1"/>
  <c r="K72" i="363"/>
  <c r="I11" i="253"/>
  <c r="J72" i="363"/>
  <c r="I72" i="363"/>
  <c r="I75" i="363" s="1"/>
  <c r="H72" i="363"/>
  <c r="G72" i="363"/>
  <c r="F72" i="363"/>
  <c r="E74" i="363"/>
  <c r="E73" i="363"/>
  <c r="C12" i="253" s="1"/>
  <c r="E72" i="363"/>
  <c r="M70" i="363"/>
  <c r="K9" i="253" s="1"/>
  <c r="L70" i="363"/>
  <c r="J9" i="253" s="1"/>
  <c r="K70" i="363"/>
  <c r="J70" i="363"/>
  <c r="H9" i="253" s="1"/>
  <c r="I70" i="363"/>
  <c r="H70" i="363"/>
  <c r="F9" i="253" s="1"/>
  <c r="G70" i="363"/>
  <c r="E9" i="253" s="1"/>
  <c r="F70" i="363"/>
  <c r="D9" i="253" s="1"/>
  <c r="M69" i="363"/>
  <c r="K8" i="253" s="1"/>
  <c r="L69" i="363"/>
  <c r="J8" i="253"/>
  <c r="K69" i="363"/>
  <c r="I8" i="253" s="1"/>
  <c r="J69" i="363"/>
  <c r="I69" i="363"/>
  <c r="H69" i="363"/>
  <c r="F8" i="253" s="1"/>
  <c r="G69" i="363"/>
  <c r="E8" i="253" s="1"/>
  <c r="F69" i="363"/>
  <c r="D8" i="253" s="1"/>
  <c r="M68" i="363"/>
  <c r="K7" i="253" s="1"/>
  <c r="L68" i="363"/>
  <c r="J7" i="253" s="1"/>
  <c r="K68" i="363"/>
  <c r="I7" i="253" s="1"/>
  <c r="J68" i="363"/>
  <c r="H7" i="253" s="1"/>
  <c r="I68" i="363"/>
  <c r="G7" i="253" s="1"/>
  <c r="H68" i="363"/>
  <c r="F7" i="253" s="1"/>
  <c r="G68" i="363"/>
  <c r="F68" i="363"/>
  <c r="M67" i="363"/>
  <c r="K6" i="253" s="1"/>
  <c r="L67" i="363"/>
  <c r="J6" i="253" s="1"/>
  <c r="K67" i="363"/>
  <c r="I6" i="253" s="1"/>
  <c r="J67" i="363"/>
  <c r="H6" i="253" s="1"/>
  <c r="I67" i="363"/>
  <c r="G6" i="253"/>
  <c r="H67" i="363"/>
  <c r="F6" i="253" s="1"/>
  <c r="G67" i="363"/>
  <c r="E6" i="253" s="1"/>
  <c r="F67" i="363"/>
  <c r="D6" i="253" s="1"/>
  <c r="E68" i="363"/>
  <c r="E69" i="363"/>
  <c r="C8" i="253" s="1"/>
  <c r="E70" i="363"/>
  <c r="C9" i="253" s="1"/>
  <c r="E67" i="363"/>
  <c r="F33" i="253"/>
  <c r="G34" i="253"/>
  <c r="E23" i="253"/>
  <c r="F21" i="253"/>
  <c r="F17" i="253"/>
  <c r="I15" i="255"/>
  <c r="I6" i="127" s="1"/>
  <c r="J46" i="123" s="1"/>
  <c r="K52" i="253"/>
  <c r="J52" i="253"/>
  <c r="I52" i="253"/>
  <c r="H52" i="253"/>
  <c r="G52" i="253"/>
  <c r="F52" i="253"/>
  <c r="E52" i="253"/>
  <c r="D52" i="253"/>
  <c r="C52" i="253"/>
  <c r="K51" i="253"/>
  <c r="J51" i="253"/>
  <c r="I51" i="253"/>
  <c r="H51" i="253"/>
  <c r="G51" i="253"/>
  <c r="F51" i="253"/>
  <c r="E51" i="253"/>
  <c r="D51" i="253"/>
  <c r="C51" i="253"/>
  <c r="K50" i="253"/>
  <c r="J50" i="253"/>
  <c r="I50" i="253"/>
  <c r="H50" i="253"/>
  <c r="G50" i="253"/>
  <c r="F50" i="253"/>
  <c r="E50" i="253"/>
  <c r="D50" i="253"/>
  <c r="C50" i="253"/>
  <c r="K49" i="253"/>
  <c r="J49" i="253"/>
  <c r="I49" i="253"/>
  <c r="H49" i="253"/>
  <c r="G49" i="253"/>
  <c r="F49" i="253"/>
  <c r="E49" i="253"/>
  <c r="D49" i="253"/>
  <c r="C49" i="253"/>
  <c r="I34" i="255"/>
  <c r="I9" i="127" s="1"/>
  <c r="J49" i="123" s="1"/>
  <c r="H33" i="255"/>
  <c r="H58" i="253" s="1"/>
  <c r="G33" i="255"/>
  <c r="G58" i="253" s="1"/>
  <c r="F33" i="255"/>
  <c r="F58" i="253" s="1"/>
  <c r="E33" i="255"/>
  <c r="D33" i="255"/>
  <c r="D34" i="255" s="1"/>
  <c r="D9" i="127" s="1"/>
  <c r="E49" i="123" s="1"/>
  <c r="C33" i="255"/>
  <c r="C34" i="255" s="1"/>
  <c r="C9" i="127" s="1"/>
  <c r="D49" i="123" s="1"/>
  <c r="H26" i="255"/>
  <c r="G26" i="255"/>
  <c r="F26" i="255"/>
  <c r="E26" i="255"/>
  <c r="E56" i="253" s="1"/>
  <c r="D26" i="255"/>
  <c r="D56" i="253" s="1"/>
  <c r="C26" i="255"/>
  <c r="H20" i="255"/>
  <c r="H55" i="253" s="1"/>
  <c r="G20" i="255"/>
  <c r="G55" i="253" s="1"/>
  <c r="F20" i="255"/>
  <c r="F21" i="255" s="1"/>
  <c r="F7" i="127" s="1"/>
  <c r="G47" i="123" s="1"/>
  <c r="E20" i="255"/>
  <c r="E55" i="253" s="1"/>
  <c r="D20" i="255"/>
  <c r="C20" i="255"/>
  <c r="C55" i="253" s="1"/>
  <c r="M296" i="363"/>
  <c r="L296" i="363"/>
  <c r="K296" i="363"/>
  <c r="J296" i="363"/>
  <c r="I296" i="363"/>
  <c r="H296" i="363"/>
  <c r="G296" i="363"/>
  <c r="F296" i="363"/>
  <c r="E296" i="363"/>
  <c r="M284" i="363"/>
  <c r="L284" i="363"/>
  <c r="K284" i="363"/>
  <c r="J284" i="363"/>
  <c r="I284" i="363"/>
  <c r="H284" i="363"/>
  <c r="G284" i="363"/>
  <c r="F284" i="363"/>
  <c r="E284" i="363"/>
  <c r="M272" i="363"/>
  <c r="L272" i="363"/>
  <c r="K272" i="363"/>
  <c r="J272" i="363"/>
  <c r="H59" i="253" s="1"/>
  <c r="I272" i="363"/>
  <c r="H272" i="363"/>
  <c r="G272" i="363"/>
  <c r="F272" i="363"/>
  <c r="D59" i="253" s="1"/>
  <c r="E272" i="363"/>
  <c r="H14" i="255"/>
  <c r="H15" i="255" s="1"/>
  <c r="H6" i="127" s="1"/>
  <c r="I46" i="123" s="1"/>
  <c r="G14" i="255"/>
  <c r="G57" i="253" s="1"/>
  <c r="F14" i="255"/>
  <c r="F15" i="255" s="1"/>
  <c r="F6" i="127" s="1"/>
  <c r="E14" i="255"/>
  <c r="E15" i="255" s="1"/>
  <c r="E6" i="127" s="1"/>
  <c r="D14" i="255"/>
  <c r="D57" i="253" s="1"/>
  <c r="C14" i="255"/>
  <c r="M260" i="363"/>
  <c r="L260" i="363"/>
  <c r="K260" i="363"/>
  <c r="J260" i="363"/>
  <c r="I260" i="363"/>
  <c r="H260" i="363"/>
  <c r="G260" i="363"/>
  <c r="F260" i="363"/>
  <c r="E260" i="363"/>
  <c r="J248" i="363"/>
  <c r="I248" i="363"/>
  <c r="H248" i="363"/>
  <c r="G248" i="363"/>
  <c r="F248" i="363"/>
  <c r="E248" i="363"/>
  <c r="A297" i="363"/>
  <c r="M244" i="363"/>
  <c r="L244" i="363"/>
  <c r="K244" i="363"/>
  <c r="J244" i="363"/>
  <c r="I244" i="363"/>
  <c r="H244" i="363"/>
  <c r="G244" i="363"/>
  <c r="G245" i="363" s="1"/>
  <c r="F244" i="363"/>
  <c r="E244" i="363"/>
  <c r="M238" i="363"/>
  <c r="L238" i="363"/>
  <c r="K238" i="363"/>
  <c r="J238" i="363"/>
  <c r="I238" i="363"/>
  <c r="H238" i="363"/>
  <c r="G238" i="363"/>
  <c r="F238" i="363"/>
  <c r="F245" i="363" s="1"/>
  <c r="E238" i="363"/>
  <c r="M234" i="363"/>
  <c r="L234" i="363"/>
  <c r="K234" i="363"/>
  <c r="K235" i="363" s="1"/>
  <c r="J234" i="363"/>
  <c r="I234" i="363"/>
  <c r="H234" i="363"/>
  <c r="G234" i="363"/>
  <c r="F234" i="363"/>
  <c r="E234" i="363"/>
  <c r="M230" i="363"/>
  <c r="L230" i="363"/>
  <c r="K230" i="363"/>
  <c r="J230" i="363"/>
  <c r="J235" i="363" s="1"/>
  <c r="I230" i="363"/>
  <c r="I235" i="363" s="1"/>
  <c r="H230" i="363"/>
  <c r="G230" i="363"/>
  <c r="F230" i="363"/>
  <c r="E230" i="363"/>
  <c r="M225" i="363"/>
  <c r="M226" i="363" s="1"/>
  <c r="L225" i="363"/>
  <c r="K225" i="363"/>
  <c r="J225" i="363"/>
  <c r="I225" i="363"/>
  <c r="H225" i="363"/>
  <c r="G225" i="363"/>
  <c r="G226" i="363" s="1"/>
  <c r="F225" i="363"/>
  <c r="E225" i="363"/>
  <c r="M221" i="363"/>
  <c r="L221" i="363"/>
  <c r="K221" i="363"/>
  <c r="J221" i="363"/>
  <c r="J226" i="363" s="1"/>
  <c r="I221" i="363"/>
  <c r="H221" i="363"/>
  <c r="G221" i="363"/>
  <c r="F221" i="363"/>
  <c r="E221" i="363"/>
  <c r="M213" i="363"/>
  <c r="L213" i="363"/>
  <c r="K213" i="363"/>
  <c r="J213" i="363"/>
  <c r="I213" i="363"/>
  <c r="I214" i="363" s="1"/>
  <c r="H213" i="363"/>
  <c r="G213" i="363"/>
  <c r="F213" i="363"/>
  <c r="E213" i="363"/>
  <c r="M209" i="363"/>
  <c r="M214" i="363" s="1"/>
  <c r="L209" i="363"/>
  <c r="K209" i="363"/>
  <c r="J209" i="363"/>
  <c r="I209" i="363"/>
  <c r="H209" i="363"/>
  <c r="H214" i="363" s="1"/>
  <c r="G209" i="363"/>
  <c r="F209" i="363"/>
  <c r="E209" i="363"/>
  <c r="J202" i="363"/>
  <c r="I202" i="363"/>
  <c r="H202" i="363"/>
  <c r="G202" i="363"/>
  <c r="F202" i="363"/>
  <c r="E202" i="363"/>
  <c r="M198" i="363"/>
  <c r="L198" i="363"/>
  <c r="K198" i="363"/>
  <c r="J198" i="363"/>
  <c r="I198" i="363"/>
  <c r="H198" i="363"/>
  <c r="G198" i="363"/>
  <c r="F198" i="363"/>
  <c r="E198" i="363"/>
  <c r="M192" i="363"/>
  <c r="L192" i="363"/>
  <c r="L199" i="363" s="1"/>
  <c r="K192" i="363"/>
  <c r="K199" i="363"/>
  <c r="J192" i="363"/>
  <c r="I192" i="363"/>
  <c r="H192" i="363"/>
  <c r="G192" i="363"/>
  <c r="F192" i="363"/>
  <c r="F199" i="363" s="1"/>
  <c r="E192" i="363"/>
  <c r="E199" i="363" s="1"/>
  <c r="M188" i="363"/>
  <c r="L188" i="363"/>
  <c r="K188" i="363"/>
  <c r="J188" i="363"/>
  <c r="I188" i="363"/>
  <c r="H188" i="363"/>
  <c r="G188" i="363"/>
  <c r="F188" i="363"/>
  <c r="E188" i="363"/>
  <c r="M184" i="363"/>
  <c r="M189" i="363" s="1"/>
  <c r="L184" i="363"/>
  <c r="K184" i="363"/>
  <c r="J184" i="363"/>
  <c r="I184" i="363"/>
  <c r="H184" i="363"/>
  <c r="G184" i="363"/>
  <c r="G189" i="363" s="1"/>
  <c r="F184" i="363"/>
  <c r="E184" i="363"/>
  <c r="M179" i="363"/>
  <c r="L179" i="363"/>
  <c r="K179" i="363"/>
  <c r="J179" i="363"/>
  <c r="I179" i="363"/>
  <c r="H179" i="363"/>
  <c r="H180" i="363" s="1"/>
  <c r="G179" i="363"/>
  <c r="F179" i="363"/>
  <c r="F180" i="363" s="1"/>
  <c r="E179" i="363"/>
  <c r="M175" i="363"/>
  <c r="L175" i="363"/>
  <c r="K175" i="363"/>
  <c r="J175" i="363"/>
  <c r="J180" i="363" s="1"/>
  <c r="I175" i="363"/>
  <c r="I180" i="363" s="1"/>
  <c r="H175" i="363"/>
  <c r="G175" i="363"/>
  <c r="F175" i="363"/>
  <c r="E175" i="363"/>
  <c r="E180" i="363" s="1"/>
  <c r="M167" i="363"/>
  <c r="L167" i="363"/>
  <c r="K167" i="363"/>
  <c r="J167" i="363"/>
  <c r="J168" i="363" s="1"/>
  <c r="I167" i="363"/>
  <c r="H167" i="363"/>
  <c r="G167" i="363"/>
  <c r="F167" i="363"/>
  <c r="E167" i="363"/>
  <c r="M163" i="363"/>
  <c r="L163" i="363"/>
  <c r="K163" i="363"/>
  <c r="K168" i="363" s="1"/>
  <c r="J163" i="363"/>
  <c r="I163" i="363"/>
  <c r="H163" i="363"/>
  <c r="G163" i="363"/>
  <c r="F163" i="363"/>
  <c r="E163" i="363"/>
  <c r="J156" i="363"/>
  <c r="I156" i="363"/>
  <c r="H156" i="363"/>
  <c r="G156" i="363"/>
  <c r="F156" i="363"/>
  <c r="E156" i="363"/>
  <c r="M152" i="363"/>
  <c r="L152" i="363"/>
  <c r="K152" i="363"/>
  <c r="J152" i="363"/>
  <c r="J153" i="363" s="1"/>
  <c r="I152" i="363"/>
  <c r="H152" i="363"/>
  <c r="G152" i="363"/>
  <c r="F152" i="363"/>
  <c r="F153" i="363" s="1"/>
  <c r="E152" i="363"/>
  <c r="M146" i="363"/>
  <c r="M153" i="363" s="1"/>
  <c r="L146" i="363"/>
  <c r="K146" i="363"/>
  <c r="J146" i="363"/>
  <c r="I146" i="363"/>
  <c r="I153" i="363" s="1"/>
  <c r="H146" i="363"/>
  <c r="G146" i="363"/>
  <c r="G153" i="363" s="1"/>
  <c r="F146" i="363"/>
  <c r="E146" i="363"/>
  <c r="M142" i="363"/>
  <c r="L142" i="363"/>
  <c r="K142" i="363"/>
  <c r="J142" i="363"/>
  <c r="I142" i="363"/>
  <c r="H142" i="363"/>
  <c r="H143" i="363" s="1"/>
  <c r="G142" i="363"/>
  <c r="F142" i="363"/>
  <c r="E142" i="363"/>
  <c r="M138" i="363"/>
  <c r="M143" i="363" s="1"/>
  <c r="L138" i="363"/>
  <c r="K138" i="363"/>
  <c r="J138" i="363"/>
  <c r="I138" i="363"/>
  <c r="H138" i="363"/>
  <c r="G138" i="363"/>
  <c r="F138" i="363"/>
  <c r="F143" i="363" s="1"/>
  <c r="E138" i="363"/>
  <c r="E143" i="363" s="1"/>
  <c r="M133" i="363"/>
  <c r="L133" i="363"/>
  <c r="K133" i="363"/>
  <c r="J133" i="363"/>
  <c r="J134" i="363" s="1"/>
  <c r="I133" i="363"/>
  <c r="H133" i="363"/>
  <c r="G133" i="363"/>
  <c r="F133" i="363"/>
  <c r="F134" i="363" s="1"/>
  <c r="E133" i="363"/>
  <c r="M129" i="363"/>
  <c r="M134" i="363" s="1"/>
  <c r="L129" i="363"/>
  <c r="K129" i="363"/>
  <c r="J129" i="363"/>
  <c r="I129" i="363"/>
  <c r="H129" i="363"/>
  <c r="G129" i="363"/>
  <c r="F129" i="363"/>
  <c r="E129" i="363"/>
  <c r="M121" i="363"/>
  <c r="L121" i="363"/>
  <c r="K121" i="363"/>
  <c r="J121" i="363"/>
  <c r="I121" i="363"/>
  <c r="H121" i="363"/>
  <c r="G121" i="363"/>
  <c r="F121" i="363"/>
  <c r="E121" i="363"/>
  <c r="M117" i="363"/>
  <c r="L117" i="363"/>
  <c r="K117" i="363"/>
  <c r="K122" i="363" s="1"/>
  <c r="J117" i="363"/>
  <c r="J122" i="363" s="1"/>
  <c r="I117" i="363"/>
  <c r="H117" i="363"/>
  <c r="G117" i="363"/>
  <c r="F117" i="363"/>
  <c r="E117" i="363"/>
  <c r="E122" i="363" s="1"/>
  <c r="J110" i="363"/>
  <c r="I110" i="363"/>
  <c r="H110" i="363"/>
  <c r="G110" i="363"/>
  <c r="F110" i="363"/>
  <c r="E110" i="363"/>
  <c r="J64" i="363"/>
  <c r="I64" i="363"/>
  <c r="H64" i="363"/>
  <c r="G64" i="363"/>
  <c r="F64" i="363"/>
  <c r="E64" i="363"/>
  <c r="M45" i="363"/>
  <c r="L45" i="363"/>
  <c r="K45" i="363"/>
  <c r="J45" i="363"/>
  <c r="I45" i="363"/>
  <c r="H45" i="363"/>
  <c r="G45" i="363"/>
  <c r="F45" i="363"/>
  <c r="E45" i="363"/>
  <c r="D45" i="363"/>
  <c r="M41" i="363"/>
  <c r="L41" i="363"/>
  <c r="K41" i="363"/>
  <c r="J41" i="363"/>
  <c r="I41" i="363"/>
  <c r="H41" i="363"/>
  <c r="G41" i="363"/>
  <c r="F41" i="363"/>
  <c r="E41" i="363"/>
  <c r="D41" i="363"/>
  <c r="M3" i="363"/>
  <c r="L3" i="363"/>
  <c r="K3" i="363"/>
  <c r="J3" i="363"/>
  <c r="I3" i="363"/>
  <c r="H3" i="363"/>
  <c r="G3" i="363"/>
  <c r="F2" i="363"/>
  <c r="D2" i="363"/>
  <c r="H75" i="253"/>
  <c r="G75" i="253"/>
  <c r="F75" i="253"/>
  <c r="E75" i="253"/>
  <c r="D75" i="253"/>
  <c r="C75" i="253"/>
  <c r="H74" i="253"/>
  <c r="G74" i="253"/>
  <c r="F74" i="253"/>
  <c r="E74" i="253"/>
  <c r="D74" i="253"/>
  <c r="C74" i="253"/>
  <c r="H73" i="253"/>
  <c r="G73" i="253"/>
  <c r="F73" i="253"/>
  <c r="E73" i="253"/>
  <c r="D73" i="253"/>
  <c r="C73" i="253"/>
  <c r="H72" i="253"/>
  <c r="G72" i="253"/>
  <c r="F72" i="253"/>
  <c r="E72" i="253"/>
  <c r="D72" i="253"/>
  <c r="C72" i="253"/>
  <c r="H71" i="253"/>
  <c r="G71" i="253"/>
  <c r="F71" i="253"/>
  <c r="E71" i="253"/>
  <c r="D71" i="253"/>
  <c r="C71" i="253"/>
  <c r="A29" i="305"/>
  <c r="A24" i="305"/>
  <c r="I27" i="255"/>
  <c r="I8" i="127" s="1"/>
  <c r="J48" i="123" s="1"/>
  <c r="I21" i="255"/>
  <c r="I7" i="127" s="1"/>
  <c r="J47" i="123" s="1"/>
  <c r="L9" i="255"/>
  <c r="L5" i="127" s="1"/>
  <c r="Q5" i="137" s="1"/>
  <c r="K9" i="255"/>
  <c r="K5" i="127" s="1"/>
  <c r="P5" i="137" s="1"/>
  <c r="I9" i="255"/>
  <c r="I5" i="127" s="1"/>
  <c r="H9" i="255"/>
  <c r="H5" i="127" s="1"/>
  <c r="G9" i="255"/>
  <c r="G5" i="127" s="1"/>
  <c r="F5" i="86" s="1"/>
  <c r="F9" i="255"/>
  <c r="F5" i="127" s="1"/>
  <c r="E5" i="86" s="1"/>
  <c r="E9" i="255"/>
  <c r="E5" i="127" s="1"/>
  <c r="D9" i="255"/>
  <c r="D5" i="127" s="1"/>
  <c r="E45" i="123" s="1"/>
  <c r="C9" i="255"/>
  <c r="C5" i="127" s="1"/>
  <c r="B5" i="86" s="1"/>
  <c r="N3" i="296"/>
  <c r="O3" i="296"/>
  <c r="A78" i="296"/>
  <c r="O50" i="256"/>
  <c r="P50" i="256"/>
  <c r="Q50" i="256"/>
  <c r="M63" i="256"/>
  <c r="N63" i="256"/>
  <c r="O63" i="256"/>
  <c r="P63" i="256"/>
  <c r="Q63" i="256"/>
  <c r="M64" i="256"/>
  <c r="N64" i="256"/>
  <c r="O64" i="256"/>
  <c r="P64" i="256"/>
  <c r="Q64" i="256"/>
  <c r="A65" i="256"/>
  <c r="A2" i="294"/>
  <c r="B2" i="294"/>
  <c r="I3" i="294"/>
  <c r="F21" i="294"/>
  <c r="G21" i="294"/>
  <c r="G53" i="294" s="1"/>
  <c r="H21" i="294"/>
  <c r="I21" i="294"/>
  <c r="C40" i="294"/>
  <c r="D40" i="294"/>
  <c r="E40" i="294"/>
  <c r="F40" i="294"/>
  <c r="G40" i="294"/>
  <c r="H40" i="294"/>
  <c r="I40" i="294"/>
  <c r="A43" i="294"/>
  <c r="A44" i="294"/>
  <c r="A45" i="294"/>
  <c r="A46" i="294"/>
  <c r="A47" i="294"/>
  <c r="A49" i="294"/>
  <c r="A54" i="294"/>
  <c r="A2" i="358"/>
  <c r="B2" i="358"/>
  <c r="C3" i="358"/>
  <c r="D3" i="358"/>
  <c r="E3" i="358"/>
  <c r="F3" i="358"/>
  <c r="G3" i="358"/>
  <c r="H3" i="358"/>
  <c r="A169" i="358"/>
  <c r="A2" i="349"/>
  <c r="B2" i="349"/>
  <c r="C3" i="349"/>
  <c r="D3" i="349"/>
  <c r="E3" i="349"/>
  <c r="F3" i="349"/>
  <c r="G3" i="349"/>
  <c r="H3" i="349"/>
  <c r="A171" i="349"/>
  <c r="A2" i="350"/>
  <c r="B2" i="350"/>
  <c r="C3" i="350"/>
  <c r="D3" i="350"/>
  <c r="E3" i="350"/>
  <c r="F3" i="350"/>
  <c r="G3" i="350"/>
  <c r="H3" i="350"/>
  <c r="C68" i="350"/>
  <c r="C46" i="248" s="1"/>
  <c r="D68" i="350"/>
  <c r="D46" i="248" s="1"/>
  <c r="E68" i="350"/>
  <c r="E46" i="248" s="1"/>
  <c r="F68" i="350"/>
  <c r="F46" i="248" s="1"/>
  <c r="G68" i="350"/>
  <c r="G46" i="248" s="1"/>
  <c r="H68" i="350"/>
  <c r="H46" i="248" s="1"/>
  <c r="I68" i="350"/>
  <c r="I46" i="248" s="1"/>
  <c r="J68" i="350"/>
  <c r="J46" i="248" s="1"/>
  <c r="K68" i="350"/>
  <c r="K46" i="248" s="1"/>
  <c r="C136" i="350"/>
  <c r="C58" i="248" s="1"/>
  <c r="D136" i="350"/>
  <c r="D58" i="248" s="1"/>
  <c r="E136" i="350"/>
  <c r="E58" i="248" s="1"/>
  <c r="F136" i="350"/>
  <c r="F58" i="248" s="1"/>
  <c r="G136" i="350"/>
  <c r="G58" i="248" s="1"/>
  <c r="H136" i="350"/>
  <c r="H58" i="248" s="1"/>
  <c r="I136" i="350"/>
  <c r="I58" i="248" s="1"/>
  <c r="J136" i="350"/>
  <c r="J58" i="248" s="1"/>
  <c r="K136" i="350"/>
  <c r="K58" i="248" s="1"/>
  <c r="A171" i="350"/>
  <c r="A2" i="134"/>
  <c r="B2" i="134"/>
  <c r="C3" i="134"/>
  <c r="D3" i="134"/>
  <c r="E3" i="134"/>
  <c r="F3" i="134"/>
  <c r="G3" i="134"/>
  <c r="H3" i="134"/>
  <c r="A2" i="139"/>
  <c r="B2" i="139"/>
  <c r="D3" i="139"/>
  <c r="O6" i="139"/>
  <c r="O7" i="139"/>
  <c r="O8" i="139"/>
  <c r="C9" i="139"/>
  <c r="D9" i="139"/>
  <c r="E9" i="139"/>
  <c r="F9" i="139"/>
  <c r="G9" i="139"/>
  <c r="H9" i="139"/>
  <c r="I9" i="139"/>
  <c r="J9" i="139"/>
  <c r="K9" i="139"/>
  <c r="L9" i="139"/>
  <c r="M9" i="139"/>
  <c r="N9" i="139"/>
  <c r="O12" i="139"/>
  <c r="O13" i="139"/>
  <c r="O14" i="139"/>
  <c r="C15" i="139"/>
  <c r="D15" i="139"/>
  <c r="E15" i="139"/>
  <c r="F15" i="139"/>
  <c r="F23" i="139" s="1"/>
  <c r="G15" i="139"/>
  <c r="H15" i="139"/>
  <c r="I15" i="139"/>
  <c r="J15" i="139"/>
  <c r="K15" i="139"/>
  <c r="L15" i="139"/>
  <c r="M15" i="139"/>
  <c r="N15" i="139"/>
  <c r="O18" i="139"/>
  <c r="O19" i="139"/>
  <c r="O20" i="139"/>
  <c r="C21" i="139"/>
  <c r="D21" i="139"/>
  <c r="D23" i="139" s="1"/>
  <c r="E21" i="139"/>
  <c r="E23" i="139" s="1"/>
  <c r="F21" i="139"/>
  <c r="G21" i="139"/>
  <c r="H21" i="139"/>
  <c r="I21" i="139"/>
  <c r="J21" i="139"/>
  <c r="K21" i="139"/>
  <c r="L21" i="139"/>
  <c r="M21" i="139"/>
  <c r="N21" i="139"/>
  <c r="O27" i="139"/>
  <c r="O28" i="139"/>
  <c r="O29" i="139"/>
  <c r="C30" i="139"/>
  <c r="D30" i="139"/>
  <c r="E30" i="139"/>
  <c r="F30" i="139"/>
  <c r="G30" i="139"/>
  <c r="H30" i="139"/>
  <c r="I30" i="139"/>
  <c r="J30" i="139"/>
  <c r="K30" i="139"/>
  <c r="L30" i="139"/>
  <c r="M30" i="139"/>
  <c r="N30" i="139"/>
  <c r="O33" i="139"/>
  <c r="O34" i="139"/>
  <c r="O35" i="139"/>
  <c r="C36" i="139"/>
  <c r="D36" i="139"/>
  <c r="E36" i="139"/>
  <c r="F36" i="139"/>
  <c r="F44" i="139" s="1"/>
  <c r="G36" i="139"/>
  <c r="H36" i="139"/>
  <c r="I36" i="139"/>
  <c r="J36" i="139"/>
  <c r="K36" i="139"/>
  <c r="K44" i="139" s="1"/>
  <c r="L36" i="139"/>
  <c r="L44" i="139" s="1"/>
  <c r="M36" i="139"/>
  <c r="M44" i="139" s="1"/>
  <c r="N36" i="139"/>
  <c r="O39" i="139"/>
  <c r="O40" i="139"/>
  <c r="O41" i="139"/>
  <c r="C42" i="139"/>
  <c r="D42" i="139"/>
  <c r="D44" i="139" s="1"/>
  <c r="E42" i="139"/>
  <c r="F42" i="139"/>
  <c r="G42" i="139"/>
  <c r="H42" i="139"/>
  <c r="I42" i="139"/>
  <c r="J42" i="139"/>
  <c r="K42" i="139"/>
  <c r="L42" i="139"/>
  <c r="M42" i="139"/>
  <c r="N42" i="139"/>
  <c r="A45" i="139"/>
  <c r="A25" i="250"/>
  <c r="A2" i="301"/>
  <c r="B2" i="301"/>
  <c r="C3" i="301"/>
  <c r="D3" i="301"/>
  <c r="E3" i="301"/>
  <c r="F3" i="301"/>
  <c r="G3" i="301"/>
  <c r="H3" i="301"/>
  <c r="A5" i="301"/>
  <c r="A6" i="301"/>
  <c r="A7" i="301"/>
  <c r="A8" i="301"/>
  <c r="A24" i="301" s="1"/>
  <c r="A9" i="301"/>
  <c r="A10" i="301"/>
  <c r="A11" i="301"/>
  <c r="C11" i="301"/>
  <c r="D11" i="301"/>
  <c r="E11" i="301"/>
  <c r="F11" i="301"/>
  <c r="G11" i="301"/>
  <c r="G20" i="301" s="1"/>
  <c r="H11" i="301"/>
  <c r="I11" i="301"/>
  <c r="J11" i="301"/>
  <c r="K11" i="301"/>
  <c r="A12" i="301"/>
  <c r="A14" i="301"/>
  <c r="A15" i="301"/>
  <c r="A16" i="301"/>
  <c r="A17" i="301"/>
  <c r="A18" i="301"/>
  <c r="A19" i="301"/>
  <c r="C19" i="301"/>
  <c r="D19" i="301"/>
  <c r="E19" i="301"/>
  <c r="E20" i="301" s="1"/>
  <c r="F19" i="301"/>
  <c r="G19" i="301"/>
  <c r="H19" i="301"/>
  <c r="I19" i="301"/>
  <c r="J19" i="301"/>
  <c r="K19" i="301"/>
  <c r="A20" i="301"/>
  <c r="A26" i="301"/>
  <c r="A27" i="301"/>
  <c r="A31" i="301"/>
  <c r="A32" i="301"/>
  <c r="A33" i="301"/>
  <c r="A34" i="301"/>
  <c r="A38" i="301"/>
  <c r="A39" i="301"/>
  <c r="A40" i="301"/>
  <c r="A5" i="95"/>
  <c r="A6" i="95"/>
  <c r="M6" i="95"/>
  <c r="A7" i="95"/>
  <c r="M7" i="95"/>
  <c r="A8" i="95"/>
  <c r="M8" i="95"/>
  <c r="A9" i="95"/>
  <c r="M9" i="95"/>
  <c r="A11" i="95"/>
  <c r="M11" i="95"/>
  <c r="A12" i="95"/>
  <c r="M12" i="95"/>
  <c r="A13" i="95"/>
  <c r="M13" i="95"/>
  <c r="A14" i="95"/>
  <c r="M14" i="95"/>
  <c r="A15" i="95"/>
  <c r="M15" i="95"/>
  <c r="A16" i="95"/>
  <c r="M16" i="95"/>
  <c r="A17" i="95"/>
  <c r="M17" i="95"/>
  <c r="M18" i="95"/>
  <c r="A19" i="95"/>
  <c r="M19" i="95"/>
  <c r="M23" i="95"/>
  <c r="M24" i="95"/>
  <c r="M25" i="95"/>
  <c r="A26" i="95"/>
  <c r="M26" i="95"/>
  <c r="A27" i="95"/>
  <c r="M27" i="95"/>
  <c r="A28" i="95"/>
  <c r="M28" i="95"/>
  <c r="A30" i="95"/>
  <c r="M30" i="95"/>
  <c r="A31" i="95"/>
  <c r="M31" i="95"/>
  <c r="M35" i="95"/>
  <c r="M36" i="95"/>
  <c r="M37" i="95"/>
  <c r="M41" i="95"/>
  <c r="M42" i="95"/>
  <c r="M43" i="95"/>
  <c r="M44" i="95"/>
  <c r="A48" i="95"/>
  <c r="A49" i="95"/>
  <c r="M49" i="95"/>
  <c r="A50" i="95"/>
  <c r="M50" i="95"/>
  <c r="N54" i="95"/>
  <c r="J39" i="131" s="1"/>
  <c r="A56" i="95"/>
  <c r="A2" i="300"/>
  <c r="B2" i="300"/>
  <c r="A4" i="300"/>
  <c r="A5" i="300"/>
  <c r="A6" i="300"/>
  <c r="O6" i="300"/>
  <c r="P6" i="300"/>
  <c r="Q6" i="300"/>
  <c r="A7" i="300"/>
  <c r="O7" i="300"/>
  <c r="P7" i="300"/>
  <c r="Q7" i="300"/>
  <c r="A8" i="300"/>
  <c r="O8" i="300"/>
  <c r="P8" i="300"/>
  <c r="Q8" i="300"/>
  <c r="A9" i="300"/>
  <c r="A10" i="300"/>
  <c r="O10" i="300"/>
  <c r="P10" i="300"/>
  <c r="Q10" i="300"/>
  <c r="A11" i="300"/>
  <c r="O11" i="300"/>
  <c r="P11" i="300"/>
  <c r="Q11" i="300"/>
  <c r="A12" i="300"/>
  <c r="O12" i="300"/>
  <c r="P12" i="300"/>
  <c r="Q12" i="300"/>
  <c r="A13" i="300"/>
  <c r="O13" i="300"/>
  <c r="P13" i="300"/>
  <c r="Q13" i="300"/>
  <c r="A14" i="300"/>
  <c r="O14" i="300"/>
  <c r="P14" i="300"/>
  <c r="Q14" i="300"/>
  <c r="A15" i="300"/>
  <c r="A16" i="300"/>
  <c r="O16" i="300"/>
  <c r="P16" i="300"/>
  <c r="Q16" i="300"/>
  <c r="A17" i="300"/>
  <c r="O17" i="300"/>
  <c r="P17" i="300"/>
  <c r="Q17" i="300"/>
  <c r="A18" i="300"/>
  <c r="O18" i="300"/>
  <c r="P18" i="300"/>
  <c r="Q18" i="300"/>
  <c r="A19" i="300"/>
  <c r="A20" i="300"/>
  <c r="O20" i="300"/>
  <c r="P20" i="300"/>
  <c r="Q20" i="300"/>
  <c r="A21" i="300"/>
  <c r="O21" i="300"/>
  <c r="P21" i="300"/>
  <c r="Q21" i="300"/>
  <c r="A22" i="300"/>
  <c r="O22" i="300"/>
  <c r="P22" i="300"/>
  <c r="Q22" i="300"/>
  <c r="A23" i="300"/>
  <c r="O23" i="300"/>
  <c r="P23" i="300"/>
  <c r="Q23" i="300"/>
  <c r="A24" i="300"/>
  <c r="O24" i="300"/>
  <c r="P24" i="300"/>
  <c r="Q24" i="300"/>
  <c r="A25" i="300"/>
  <c r="O28" i="300"/>
  <c r="P28" i="300"/>
  <c r="Q28" i="300"/>
  <c r="O29" i="300"/>
  <c r="P29" i="300"/>
  <c r="Q29" i="300"/>
  <c r="O30" i="300"/>
  <c r="P30" i="300"/>
  <c r="Q30" i="300"/>
  <c r="O31" i="300"/>
  <c r="P31" i="300"/>
  <c r="Q31" i="300"/>
  <c r="O34" i="300"/>
  <c r="P34" i="300"/>
  <c r="Q34" i="300"/>
  <c r="O35" i="300"/>
  <c r="P35" i="300"/>
  <c r="Q35" i="300"/>
  <c r="A37" i="300"/>
  <c r="A39" i="300"/>
  <c r="A2" i="140"/>
  <c r="B2" i="140"/>
  <c r="A42" i="140"/>
  <c r="A2" i="298"/>
  <c r="B2" i="298"/>
  <c r="A4" i="298"/>
  <c r="A27" i="298"/>
  <c r="A36" i="298"/>
  <c r="A39" i="298"/>
  <c r="A50" i="298"/>
  <c r="A52" i="298"/>
  <c r="O52" i="298"/>
  <c r="P52" i="298"/>
  <c r="Q52" i="298"/>
  <c r="A53" i="298"/>
  <c r="A54" i="298"/>
  <c r="A2" i="299"/>
  <c r="B2" i="299"/>
  <c r="A4" i="299"/>
  <c r="A20" i="299"/>
  <c r="A22" i="299"/>
  <c r="A38" i="299"/>
  <c r="A40" i="299"/>
  <c r="A44" i="299"/>
  <c r="O44" i="299"/>
  <c r="P44" i="299"/>
  <c r="Q44" i="299"/>
  <c r="A45" i="299"/>
  <c r="A46" i="299"/>
  <c r="A2" i="137"/>
  <c r="B2" i="137"/>
  <c r="A4" i="137"/>
  <c r="A5" i="137"/>
  <c r="A6" i="137"/>
  <c r="A7" i="137"/>
  <c r="A8" i="137"/>
  <c r="A9" i="137"/>
  <c r="A11" i="137"/>
  <c r="O11" i="137"/>
  <c r="P11" i="137"/>
  <c r="Q11" i="137"/>
  <c r="A12" i="137"/>
  <c r="O12" i="137"/>
  <c r="P12" i="137"/>
  <c r="Q12" i="137"/>
  <c r="A13" i="137"/>
  <c r="O13" i="137"/>
  <c r="P13" i="137"/>
  <c r="Q13" i="137"/>
  <c r="A14" i="137"/>
  <c r="O14" i="137"/>
  <c r="P14" i="137"/>
  <c r="Q14" i="137"/>
  <c r="A15" i="137"/>
  <c r="O15" i="137"/>
  <c r="P15" i="137"/>
  <c r="Q15" i="137"/>
  <c r="A16" i="137"/>
  <c r="O16" i="137"/>
  <c r="P16" i="137"/>
  <c r="Q16" i="137"/>
  <c r="A17" i="137"/>
  <c r="O17" i="137"/>
  <c r="P17" i="137"/>
  <c r="Q17" i="137"/>
  <c r="A18" i="137"/>
  <c r="O18" i="137"/>
  <c r="P18" i="137"/>
  <c r="Q18" i="137"/>
  <c r="A19" i="137"/>
  <c r="A20" i="137"/>
  <c r="O20" i="137"/>
  <c r="P20" i="137"/>
  <c r="Q20" i="137"/>
  <c r="A21" i="137"/>
  <c r="A23" i="137"/>
  <c r="A24" i="137"/>
  <c r="A25" i="137"/>
  <c r="O25" i="137"/>
  <c r="P25" i="137"/>
  <c r="Q25" i="137"/>
  <c r="A26" i="137"/>
  <c r="O26" i="137"/>
  <c r="P26" i="137"/>
  <c r="Q26" i="137"/>
  <c r="A27" i="137"/>
  <c r="A28" i="137"/>
  <c r="O28" i="137"/>
  <c r="P28" i="137"/>
  <c r="Q28" i="137"/>
  <c r="A29" i="137"/>
  <c r="A30" i="137"/>
  <c r="A31" i="137"/>
  <c r="A32" i="137"/>
  <c r="A33" i="137"/>
  <c r="A34" i="137"/>
  <c r="O34" i="137"/>
  <c r="P34" i="137"/>
  <c r="Q34" i="137"/>
  <c r="A35" i="137"/>
  <c r="A37" i="137"/>
  <c r="A38" i="137"/>
  <c r="O38" i="137"/>
  <c r="P38" i="137"/>
  <c r="Q38" i="137"/>
  <c r="A39" i="137"/>
  <c r="A40" i="137"/>
  <c r="O40" i="137"/>
  <c r="P40" i="137"/>
  <c r="Q40" i="137"/>
  <c r="A41" i="137"/>
  <c r="A42" i="137"/>
  <c r="A42" i="299" s="1"/>
  <c r="O42" i="137"/>
  <c r="P42" i="137"/>
  <c r="Q42" i="137"/>
  <c r="A43" i="137"/>
  <c r="A43" i="299" s="1"/>
  <c r="O43" i="137"/>
  <c r="P43" i="137"/>
  <c r="Q43" i="137"/>
  <c r="A44" i="137"/>
  <c r="O44" i="137"/>
  <c r="P44" i="137"/>
  <c r="Q44" i="137"/>
  <c r="A45" i="137"/>
  <c r="A46" i="137"/>
  <c r="B2" i="148"/>
  <c r="C10" i="148"/>
  <c r="D10" i="148"/>
  <c r="E10" i="148"/>
  <c r="F10" i="148"/>
  <c r="G10" i="148"/>
  <c r="H10" i="148"/>
  <c r="I10" i="148"/>
  <c r="J10" i="148"/>
  <c r="K10" i="148"/>
  <c r="C20" i="148"/>
  <c r="D20" i="148"/>
  <c r="E20" i="148"/>
  <c r="F20" i="148"/>
  <c r="G20" i="148"/>
  <c r="H20" i="148"/>
  <c r="I20" i="148"/>
  <c r="J20" i="148"/>
  <c r="K20" i="148"/>
  <c r="C36" i="148"/>
  <c r="D36" i="148"/>
  <c r="E36" i="148"/>
  <c r="F36" i="148"/>
  <c r="G36" i="148"/>
  <c r="H36" i="148"/>
  <c r="I36" i="148"/>
  <c r="J36" i="148"/>
  <c r="K36" i="148"/>
  <c r="A43" i="148"/>
  <c r="B2" i="145"/>
  <c r="I5" i="145"/>
  <c r="I6" i="145"/>
  <c r="I7" i="145"/>
  <c r="I8" i="145"/>
  <c r="I9" i="145"/>
  <c r="I10" i="145"/>
  <c r="A11" i="145"/>
  <c r="C11" i="145"/>
  <c r="D11" i="145"/>
  <c r="E11" i="145"/>
  <c r="F11" i="145"/>
  <c r="I14" i="145"/>
  <c r="I15" i="145"/>
  <c r="I16" i="145"/>
  <c r="I17" i="145"/>
  <c r="I18" i="145"/>
  <c r="I19" i="145"/>
  <c r="I22" i="145"/>
  <c r="I23" i="145"/>
  <c r="I24" i="145"/>
  <c r="I25" i="145"/>
  <c r="I26" i="145"/>
  <c r="I27" i="145"/>
  <c r="I28" i="145"/>
  <c r="I29" i="145"/>
  <c r="I30" i="145"/>
  <c r="I31" i="145"/>
  <c r="I32" i="145"/>
  <c r="I33" i="145"/>
  <c r="I34" i="145"/>
  <c r="A35" i="145"/>
  <c r="C35" i="145"/>
  <c r="D35" i="145"/>
  <c r="E35" i="145"/>
  <c r="F35" i="145"/>
  <c r="G35" i="145"/>
  <c r="G57" i="145" s="1"/>
  <c r="I39" i="145"/>
  <c r="I40" i="145"/>
  <c r="I41" i="145"/>
  <c r="I42" i="145"/>
  <c r="I43" i="145"/>
  <c r="I44" i="145"/>
  <c r="I45" i="145"/>
  <c r="I46" i="145"/>
  <c r="I47" i="145"/>
  <c r="I48" i="145"/>
  <c r="I49" i="145"/>
  <c r="I50" i="145"/>
  <c r="I51" i="145"/>
  <c r="I52" i="145"/>
  <c r="I53" i="145"/>
  <c r="I54" i="145"/>
  <c r="C55" i="145"/>
  <c r="C57" i="145" s="1"/>
  <c r="D55" i="145"/>
  <c r="E55" i="145"/>
  <c r="F55" i="145"/>
  <c r="G55" i="145"/>
  <c r="A59" i="145"/>
  <c r="B2" i="146"/>
  <c r="C3" i="146"/>
  <c r="D3" i="146"/>
  <c r="E3" i="146"/>
  <c r="F3" i="146"/>
  <c r="G3" i="146"/>
  <c r="H3" i="146"/>
  <c r="C13" i="146"/>
  <c r="D13" i="146"/>
  <c r="E13" i="146"/>
  <c r="F13" i="146"/>
  <c r="G13" i="146"/>
  <c r="H13" i="146"/>
  <c r="I13" i="146"/>
  <c r="J13" i="146"/>
  <c r="K13" i="146"/>
  <c r="C29" i="146"/>
  <c r="D29" i="146"/>
  <c r="E29" i="146"/>
  <c r="F29" i="146"/>
  <c r="G29" i="146"/>
  <c r="H29" i="146"/>
  <c r="I29" i="146"/>
  <c r="J29" i="146"/>
  <c r="K29" i="146"/>
  <c r="A30" i="146"/>
  <c r="B30" i="146"/>
  <c r="C45" i="146"/>
  <c r="D45" i="146"/>
  <c r="E45" i="146"/>
  <c r="F45" i="146"/>
  <c r="G45" i="146"/>
  <c r="H45" i="146"/>
  <c r="I45" i="146"/>
  <c r="J45" i="146"/>
  <c r="K45" i="146"/>
  <c r="A46" i="146"/>
  <c r="B46" i="146"/>
  <c r="C65" i="146"/>
  <c r="D65" i="146"/>
  <c r="D66" i="146" s="1"/>
  <c r="E65" i="146"/>
  <c r="F65" i="146"/>
  <c r="G65" i="146"/>
  <c r="H65" i="146"/>
  <c r="I65" i="146"/>
  <c r="J65" i="146"/>
  <c r="K65" i="146"/>
  <c r="A66" i="146"/>
  <c r="B66" i="146"/>
  <c r="C81" i="146"/>
  <c r="D81" i="146"/>
  <c r="E81" i="146"/>
  <c r="F81" i="146"/>
  <c r="G81" i="146"/>
  <c r="H81" i="146"/>
  <c r="I81" i="146"/>
  <c r="J81" i="146"/>
  <c r="K81" i="146"/>
  <c r="A82" i="146"/>
  <c r="B82" i="146"/>
  <c r="C97" i="146"/>
  <c r="D97" i="146"/>
  <c r="E97" i="146"/>
  <c r="F97" i="146"/>
  <c r="G98" i="146" s="1"/>
  <c r="G97" i="146"/>
  <c r="H97" i="146"/>
  <c r="H98" i="146" s="1"/>
  <c r="I97" i="146"/>
  <c r="J97" i="146"/>
  <c r="K97" i="146"/>
  <c r="A98" i="146"/>
  <c r="B98" i="146"/>
  <c r="A103" i="146"/>
  <c r="B103" i="146"/>
  <c r="A105" i="146"/>
  <c r="A2" i="305"/>
  <c r="B2" i="305"/>
  <c r="C3" i="305"/>
  <c r="D3" i="305"/>
  <c r="E3" i="305"/>
  <c r="F3" i="305"/>
  <c r="G3" i="305"/>
  <c r="H3" i="305"/>
  <c r="I3" i="305"/>
  <c r="C9" i="305"/>
  <c r="D9" i="305"/>
  <c r="E9" i="305"/>
  <c r="F9" i="305"/>
  <c r="G9" i="305"/>
  <c r="H9" i="305"/>
  <c r="I9" i="305"/>
  <c r="J9" i="305"/>
  <c r="K9" i="305"/>
  <c r="L9" i="305"/>
  <c r="A12" i="305"/>
  <c r="C15" i="305"/>
  <c r="D15" i="305"/>
  <c r="E15" i="305"/>
  <c r="F15" i="305"/>
  <c r="G15" i="305"/>
  <c r="H15" i="305"/>
  <c r="I15" i="305"/>
  <c r="J15" i="305"/>
  <c r="K15" i="305"/>
  <c r="L15" i="305"/>
  <c r="A18" i="305"/>
  <c r="C21" i="305"/>
  <c r="D21" i="305"/>
  <c r="E21" i="305"/>
  <c r="F21" i="305"/>
  <c r="G21" i="305"/>
  <c r="H21" i="305"/>
  <c r="I21" i="305"/>
  <c r="J21" i="305"/>
  <c r="K21" i="305"/>
  <c r="L21" i="305"/>
  <c r="C26" i="305"/>
  <c r="D26" i="305"/>
  <c r="E26" i="305"/>
  <c r="F26" i="305"/>
  <c r="G26" i="305"/>
  <c r="H26" i="305"/>
  <c r="I26" i="305"/>
  <c r="J26" i="305"/>
  <c r="K26" i="305"/>
  <c r="L26" i="305"/>
  <c r="C31" i="305"/>
  <c r="D31" i="305"/>
  <c r="E31" i="305"/>
  <c r="F31" i="305"/>
  <c r="G31" i="305"/>
  <c r="H31" i="305"/>
  <c r="I31" i="305"/>
  <c r="J31" i="305"/>
  <c r="K31" i="305"/>
  <c r="L31" i="305"/>
  <c r="C38" i="305"/>
  <c r="D38" i="305"/>
  <c r="E38" i="305"/>
  <c r="F38" i="305"/>
  <c r="G38" i="305"/>
  <c r="H38" i="305"/>
  <c r="I38" i="305"/>
  <c r="J38" i="305"/>
  <c r="K38" i="305"/>
  <c r="L38" i="305"/>
  <c r="A41" i="305"/>
  <c r="C44" i="305"/>
  <c r="D44" i="305"/>
  <c r="E44" i="305"/>
  <c r="F44" i="305"/>
  <c r="G44" i="305"/>
  <c r="H44" i="305"/>
  <c r="I44" i="305"/>
  <c r="J44" i="305"/>
  <c r="K44" i="305"/>
  <c r="L44" i="305"/>
  <c r="A47" i="305"/>
  <c r="C50" i="305"/>
  <c r="D50" i="305"/>
  <c r="E50" i="305"/>
  <c r="F50" i="305"/>
  <c r="G50" i="305"/>
  <c r="H50" i="305"/>
  <c r="I50" i="305"/>
  <c r="J50" i="305"/>
  <c r="K50" i="305"/>
  <c r="L50" i="305"/>
  <c r="A53" i="305"/>
  <c r="C56" i="305"/>
  <c r="D56" i="305"/>
  <c r="E56" i="305"/>
  <c r="F56" i="305"/>
  <c r="G56" i="305"/>
  <c r="H56" i="305"/>
  <c r="I56" i="305"/>
  <c r="J56" i="305"/>
  <c r="K56" i="305"/>
  <c r="L56" i="305"/>
  <c r="A59" i="305"/>
  <c r="C62" i="305"/>
  <c r="D62" i="305"/>
  <c r="E62" i="305"/>
  <c r="F62" i="305"/>
  <c r="G62" i="305"/>
  <c r="H62" i="305"/>
  <c r="I62" i="305"/>
  <c r="J62" i="305"/>
  <c r="K62" i="305"/>
  <c r="L62" i="305"/>
  <c r="A65" i="305"/>
  <c r="A2" i="316"/>
  <c r="B2" i="316"/>
  <c r="C3" i="316"/>
  <c r="D3" i="316"/>
  <c r="E3" i="316"/>
  <c r="F3" i="316"/>
  <c r="G3" i="316"/>
  <c r="H3" i="316"/>
  <c r="A5" i="316"/>
  <c r="A29" i="316" s="1"/>
  <c r="C8" i="316"/>
  <c r="D8" i="316"/>
  <c r="D25" i="316" s="1"/>
  <c r="E8" i="316"/>
  <c r="F8" i="316"/>
  <c r="G8" i="316"/>
  <c r="H8" i="316"/>
  <c r="I8" i="316"/>
  <c r="J8" i="316"/>
  <c r="K8" i="316"/>
  <c r="A12" i="316"/>
  <c r="A17" i="316" s="1"/>
  <c r="A13" i="316"/>
  <c r="C13" i="316"/>
  <c r="D13" i="316"/>
  <c r="E13" i="316"/>
  <c r="F13" i="316"/>
  <c r="G13" i="316"/>
  <c r="H13" i="316"/>
  <c r="I13" i="316"/>
  <c r="J13" i="316"/>
  <c r="K13" i="316"/>
  <c r="A14" i="316"/>
  <c r="A16" i="316"/>
  <c r="C18" i="316"/>
  <c r="D18" i="316"/>
  <c r="E18" i="316"/>
  <c r="F18" i="316"/>
  <c r="G18" i="316"/>
  <c r="H18" i="316"/>
  <c r="I18" i="316"/>
  <c r="J18" i="316"/>
  <c r="K18" i="316"/>
  <c r="A21" i="316"/>
  <c r="C23" i="316"/>
  <c r="D23" i="316"/>
  <c r="E23" i="316"/>
  <c r="F23" i="316"/>
  <c r="G23" i="316"/>
  <c r="H23" i="316"/>
  <c r="I23" i="316"/>
  <c r="J23" i="316"/>
  <c r="K23" i="316"/>
  <c r="C26" i="316"/>
  <c r="D26" i="316"/>
  <c r="E26" i="316"/>
  <c r="F26" i="316"/>
  <c r="F53" i="316" s="1"/>
  <c r="G26" i="316"/>
  <c r="H26" i="316"/>
  <c r="H53" i="316" s="1"/>
  <c r="I26" i="316"/>
  <c r="J26" i="316"/>
  <c r="K26" i="316"/>
  <c r="C32" i="316"/>
  <c r="D32" i="316"/>
  <c r="D49" i="316" s="1"/>
  <c r="E32" i="316"/>
  <c r="F32" i="316"/>
  <c r="G32" i="316"/>
  <c r="G49" i="316" s="1"/>
  <c r="H32" i="316"/>
  <c r="I32" i="316"/>
  <c r="I49" i="316" s="1"/>
  <c r="J32" i="316"/>
  <c r="J49" i="316" s="1"/>
  <c r="K32" i="316"/>
  <c r="K49" i="316" s="1"/>
  <c r="A36" i="316"/>
  <c r="A41" i="316" s="1"/>
  <c r="A37" i="316"/>
  <c r="A42" i="316" s="1"/>
  <c r="C37" i="316"/>
  <c r="D37" i="316"/>
  <c r="E37" i="316"/>
  <c r="E49" i="316" s="1"/>
  <c r="F37" i="316"/>
  <c r="G37" i="316"/>
  <c r="H37" i="316"/>
  <c r="I37" i="316"/>
  <c r="J37" i="316"/>
  <c r="K37" i="316"/>
  <c r="A38" i="316"/>
  <c r="A40" i="316"/>
  <c r="C42" i="316"/>
  <c r="D42" i="316"/>
  <c r="E42" i="316"/>
  <c r="F42" i="316"/>
  <c r="G42" i="316"/>
  <c r="H42" i="316"/>
  <c r="I42" i="316"/>
  <c r="J42" i="316"/>
  <c r="K42" i="316"/>
  <c r="A45" i="316"/>
  <c r="C47" i="316"/>
  <c r="D47" i="316"/>
  <c r="E47" i="316"/>
  <c r="F47" i="316"/>
  <c r="G47" i="316"/>
  <c r="H47" i="316"/>
  <c r="H49" i="316" s="1"/>
  <c r="I47" i="316"/>
  <c r="J47" i="316"/>
  <c r="K47" i="316"/>
  <c r="C50" i="316"/>
  <c r="D50" i="316"/>
  <c r="E50" i="316"/>
  <c r="F50" i="316"/>
  <c r="G50" i="316"/>
  <c r="H50" i="316"/>
  <c r="I50" i="316"/>
  <c r="J50" i="316"/>
  <c r="K50" i="316"/>
  <c r="A54" i="316"/>
  <c r="A2" i="249"/>
  <c r="B2" i="249"/>
  <c r="C3" i="249"/>
  <c r="D3" i="249"/>
  <c r="E3" i="249"/>
  <c r="F3" i="249"/>
  <c r="G3" i="249"/>
  <c r="H3" i="249"/>
  <c r="A7" i="249"/>
  <c r="C7" i="249"/>
  <c r="D7" i="249"/>
  <c r="E7" i="249"/>
  <c r="F7" i="249"/>
  <c r="G7" i="249"/>
  <c r="I7" i="249"/>
  <c r="I27" i="249" s="1"/>
  <c r="J7" i="249"/>
  <c r="K7" i="249"/>
  <c r="A8" i="249"/>
  <c r="A13" i="249"/>
  <c r="A14" i="249"/>
  <c r="A15" i="249"/>
  <c r="C15" i="249"/>
  <c r="D15" i="249"/>
  <c r="E15" i="249"/>
  <c r="F15" i="249"/>
  <c r="G15" i="249"/>
  <c r="H15" i="249"/>
  <c r="I15" i="249"/>
  <c r="J15" i="249"/>
  <c r="K15" i="249"/>
  <c r="A21" i="249"/>
  <c r="C21" i="249"/>
  <c r="D21" i="249"/>
  <c r="E21" i="249"/>
  <c r="F21" i="249"/>
  <c r="G21" i="249"/>
  <c r="H21" i="249"/>
  <c r="I21" i="249"/>
  <c r="J21" i="249"/>
  <c r="K21" i="249"/>
  <c r="A22" i="249"/>
  <c r="A24" i="249"/>
  <c r="C24" i="249"/>
  <c r="D24" i="249"/>
  <c r="E24" i="249"/>
  <c r="F24" i="249"/>
  <c r="G24" i="249"/>
  <c r="H24" i="249"/>
  <c r="I24" i="249"/>
  <c r="J24" i="249"/>
  <c r="K24" i="249"/>
  <c r="A25" i="249"/>
  <c r="C30" i="249"/>
  <c r="D30" i="249"/>
  <c r="E30" i="249"/>
  <c r="F30" i="249"/>
  <c r="G30" i="249"/>
  <c r="H30" i="249"/>
  <c r="I30" i="249"/>
  <c r="J30" i="249"/>
  <c r="K30" i="249"/>
  <c r="A32" i="249"/>
  <c r="A33" i="249"/>
  <c r="A34" i="249"/>
  <c r="A35" i="249"/>
  <c r="A36" i="249"/>
  <c r="C37" i="249"/>
  <c r="D37" i="249"/>
  <c r="E37" i="249"/>
  <c r="F37" i="249"/>
  <c r="G37" i="249"/>
  <c r="H37" i="249"/>
  <c r="H45" i="249" s="1"/>
  <c r="I37" i="249"/>
  <c r="J37" i="249"/>
  <c r="K37" i="249"/>
  <c r="A38" i="249"/>
  <c r="C39" i="249"/>
  <c r="D39" i="249"/>
  <c r="E39" i="249"/>
  <c r="F39" i="249"/>
  <c r="G39" i="249"/>
  <c r="H39" i="249"/>
  <c r="I39" i="249"/>
  <c r="J39" i="249"/>
  <c r="K39" i="249"/>
  <c r="K45" i="249" s="1"/>
  <c r="C42" i="249"/>
  <c r="D42" i="249"/>
  <c r="E42" i="249"/>
  <c r="F42" i="249"/>
  <c r="G42" i="249"/>
  <c r="H42" i="249"/>
  <c r="I42" i="249"/>
  <c r="J42" i="249"/>
  <c r="K42" i="249"/>
  <c r="A48" i="249"/>
  <c r="A2" i="136"/>
  <c r="B2" i="136"/>
  <c r="C3" i="136"/>
  <c r="D3" i="136"/>
  <c r="E3" i="136"/>
  <c r="F3" i="136"/>
  <c r="G3" i="136"/>
  <c r="H3" i="136"/>
  <c r="C7" i="136"/>
  <c r="D7" i="136"/>
  <c r="E7" i="136"/>
  <c r="F7" i="136"/>
  <c r="G7" i="136"/>
  <c r="H7" i="136"/>
  <c r="I7" i="136"/>
  <c r="J7" i="136"/>
  <c r="K7" i="136"/>
  <c r="K27" i="136" s="1"/>
  <c r="B8" i="136"/>
  <c r="B9" i="136"/>
  <c r="B10" i="136"/>
  <c r="B11" i="136"/>
  <c r="B12" i="136"/>
  <c r="B13" i="136"/>
  <c r="C15" i="136"/>
  <c r="D15" i="136"/>
  <c r="E15" i="136"/>
  <c r="F15" i="136"/>
  <c r="G15" i="136"/>
  <c r="H15" i="136"/>
  <c r="I15" i="136"/>
  <c r="J15" i="136"/>
  <c r="K15" i="136"/>
  <c r="B16" i="136"/>
  <c r="B17" i="136"/>
  <c r="B18" i="136"/>
  <c r="B19" i="136"/>
  <c r="A20" i="249"/>
  <c r="C21" i="136"/>
  <c r="D21" i="136"/>
  <c r="E21" i="136"/>
  <c r="F21" i="136"/>
  <c r="G21" i="136"/>
  <c r="H21" i="136"/>
  <c r="I21" i="136"/>
  <c r="J21" i="136"/>
  <c r="K21" i="136"/>
  <c r="C24" i="136"/>
  <c r="D24" i="136"/>
  <c r="E24" i="136"/>
  <c r="F24" i="136"/>
  <c r="G24" i="136"/>
  <c r="H24" i="136"/>
  <c r="I24" i="136"/>
  <c r="J24" i="136"/>
  <c r="K24" i="136"/>
  <c r="A30" i="136"/>
  <c r="A30" i="249" s="1"/>
  <c r="C30" i="136"/>
  <c r="D30" i="136"/>
  <c r="E30" i="136"/>
  <c r="F30" i="136"/>
  <c r="G30" i="136"/>
  <c r="H30" i="136"/>
  <c r="I30" i="136"/>
  <c r="J30" i="136"/>
  <c r="K30" i="136"/>
  <c r="A37" i="136"/>
  <c r="A37" i="249" s="1"/>
  <c r="C37" i="136"/>
  <c r="D37" i="136"/>
  <c r="D47" i="136" s="1"/>
  <c r="E37" i="136"/>
  <c r="F37" i="136"/>
  <c r="G37" i="136"/>
  <c r="H37" i="136"/>
  <c r="I37" i="136"/>
  <c r="J37" i="136"/>
  <c r="K37" i="136"/>
  <c r="A41" i="136"/>
  <c r="A39" i="249" s="1"/>
  <c r="C41" i="136"/>
  <c r="D41" i="136"/>
  <c r="E41" i="136"/>
  <c r="F41" i="136"/>
  <c r="G41" i="136"/>
  <c r="H41" i="136"/>
  <c r="I41" i="136"/>
  <c r="J41" i="136"/>
  <c r="K41" i="136"/>
  <c r="A42" i="136"/>
  <c r="A40" i="249" s="1"/>
  <c r="A44" i="136"/>
  <c r="A42" i="249" s="1"/>
  <c r="C44" i="136"/>
  <c r="D44" i="136"/>
  <c r="E44" i="136"/>
  <c r="F44" i="136"/>
  <c r="G44" i="136"/>
  <c r="H44" i="136"/>
  <c r="H47" i="136" s="1"/>
  <c r="I44" i="136"/>
  <c r="J44" i="136"/>
  <c r="K44" i="136"/>
  <c r="A45" i="136"/>
  <c r="A43" i="249" s="1"/>
  <c r="A49" i="136"/>
  <c r="B2" i="144"/>
  <c r="C3" i="144"/>
  <c r="D3" i="144"/>
  <c r="E3" i="144"/>
  <c r="F3" i="144"/>
  <c r="G3" i="144"/>
  <c r="H3" i="144"/>
  <c r="C17" i="144"/>
  <c r="C34" i="144" s="1"/>
  <c r="D17" i="144"/>
  <c r="D34" i="144" s="1"/>
  <c r="E17" i="144"/>
  <c r="F17" i="144"/>
  <c r="F34" i="144" s="1"/>
  <c r="G17" i="144"/>
  <c r="H17" i="144"/>
  <c r="H34" i="144" s="1"/>
  <c r="I17" i="144"/>
  <c r="I34" i="144" s="1"/>
  <c r="J17" i="144"/>
  <c r="J34" i="144" s="1"/>
  <c r="K17" i="144"/>
  <c r="A20" i="144"/>
  <c r="A21" i="144"/>
  <c r="A22" i="144"/>
  <c r="A23" i="144"/>
  <c r="A24" i="144"/>
  <c r="A25" i="144"/>
  <c r="A26" i="144"/>
  <c r="A27" i="144"/>
  <c r="A28" i="144"/>
  <c r="A29" i="144"/>
  <c r="A30" i="144"/>
  <c r="A31" i="144"/>
  <c r="C32" i="144"/>
  <c r="D32" i="144"/>
  <c r="E32" i="144"/>
  <c r="F32" i="144"/>
  <c r="G32" i="144"/>
  <c r="H32" i="144"/>
  <c r="I32" i="144"/>
  <c r="J32" i="144"/>
  <c r="K32" i="144"/>
  <c r="C50" i="144"/>
  <c r="D50" i="144"/>
  <c r="E50" i="144"/>
  <c r="F50" i="144"/>
  <c r="F67" i="144" s="1"/>
  <c r="F12" i="237" s="1"/>
  <c r="G50" i="144"/>
  <c r="G67" i="144" s="1"/>
  <c r="G12" i="237" s="1"/>
  <c r="H50" i="144"/>
  <c r="I50" i="144"/>
  <c r="J50" i="144"/>
  <c r="K50" i="144"/>
  <c r="K67" i="144" s="1"/>
  <c r="L12" i="237" s="1"/>
  <c r="A53" i="144"/>
  <c r="A54" i="144"/>
  <c r="A55" i="144"/>
  <c r="A56" i="144"/>
  <c r="A57" i="144"/>
  <c r="A58" i="144"/>
  <c r="A59" i="144"/>
  <c r="A60" i="144"/>
  <c r="A61" i="144"/>
  <c r="A62" i="144"/>
  <c r="A63" i="144"/>
  <c r="A64" i="144"/>
  <c r="C65" i="144"/>
  <c r="D65" i="144"/>
  <c r="E65" i="144"/>
  <c r="F65" i="144"/>
  <c r="G65" i="144"/>
  <c r="H65" i="144"/>
  <c r="I65" i="144"/>
  <c r="J65" i="144"/>
  <c r="K65" i="144"/>
  <c r="A69" i="144"/>
  <c r="B2" i="143"/>
  <c r="O5" i="143"/>
  <c r="O6" i="143"/>
  <c r="O7" i="143"/>
  <c r="O8" i="143"/>
  <c r="O9" i="143"/>
  <c r="O10" i="143"/>
  <c r="O11" i="143"/>
  <c r="K12" i="143"/>
  <c r="M12" i="143"/>
  <c r="N12" i="143"/>
  <c r="O15" i="143"/>
  <c r="O16" i="143"/>
  <c r="O17" i="143"/>
  <c r="O18" i="143"/>
  <c r="O19" i="143"/>
  <c r="O22" i="143" s="1"/>
  <c r="O20" i="143"/>
  <c r="O21" i="143"/>
  <c r="K22" i="143"/>
  <c r="M22" i="143"/>
  <c r="N22" i="143"/>
  <c r="A26" i="143"/>
  <c r="B2" i="142"/>
  <c r="C3" i="142"/>
  <c r="D3" i="142"/>
  <c r="E3" i="142"/>
  <c r="F3" i="142"/>
  <c r="G3" i="142"/>
  <c r="H3" i="142"/>
  <c r="C17" i="142"/>
  <c r="D17" i="142"/>
  <c r="D32" i="142" s="1"/>
  <c r="E17" i="142"/>
  <c r="E36" i="142" s="1"/>
  <c r="F17" i="142"/>
  <c r="F32" i="142" s="1"/>
  <c r="G17" i="142"/>
  <c r="G36" i="142" s="1"/>
  <c r="H17" i="142"/>
  <c r="H36" i="142" s="1"/>
  <c r="I17" i="142"/>
  <c r="I36" i="142" s="1"/>
  <c r="J17" i="142"/>
  <c r="J36" i="142" s="1"/>
  <c r="K17" i="142"/>
  <c r="K32" i="142" s="1"/>
  <c r="A20" i="142"/>
  <c r="A21" i="142"/>
  <c r="A22" i="142"/>
  <c r="A23" i="142"/>
  <c r="A24" i="142"/>
  <c r="A25" i="142"/>
  <c r="A26" i="142"/>
  <c r="A27" i="142"/>
  <c r="A28" i="142"/>
  <c r="C30" i="142"/>
  <c r="D30" i="142"/>
  <c r="E30" i="142"/>
  <c r="F30" i="142"/>
  <c r="G30" i="142"/>
  <c r="H30" i="142"/>
  <c r="I30" i="142"/>
  <c r="J30" i="142"/>
  <c r="K30" i="142"/>
  <c r="A34" i="142"/>
  <c r="A2" i="337"/>
  <c r="B2" i="337"/>
  <c r="C3" i="337"/>
  <c r="D3" i="337"/>
  <c r="E3" i="337"/>
  <c r="F3" i="337"/>
  <c r="G3" i="337"/>
  <c r="H3" i="337"/>
  <c r="C15" i="337"/>
  <c r="C17" i="337" s="1"/>
  <c r="D15" i="337"/>
  <c r="D17" i="337" s="1"/>
  <c r="E15" i="337"/>
  <c r="E17" i="337" s="1"/>
  <c r="F15" i="337"/>
  <c r="G15" i="337"/>
  <c r="G17" i="337" s="1"/>
  <c r="H15" i="337"/>
  <c r="H17" i="337" s="1"/>
  <c r="J15" i="337"/>
  <c r="J17" i="337" s="1"/>
  <c r="K15" i="337"/>
  <c r="K17" i="337" s="1"/>
  <c r="L15" i="337"/>
  <c r="L17" i="337" s="1"/>
  <c r="A21" i="337"/>
  <c r="A22" i="337"/>
  <c r="A23" i="337"/>
  <c r="A24" i="337"/>
  <c r="A25" i="337"/>
  <c r="A26" i="337"/>
  <c r="A27" i="337"/>
  <c r="A28" i="337"/>
  <c r="A29" i="337"/>
  <c r="A30" i="337"/>
  <c r="C30" i="337"/>
  <c r="C32" i="337" s="1"/>
  <c r="D33" i="337" s="1"/>
  <c r="D30" i="337"/>
  <c r="D32" i="337" s="1"/>
  <c r="E30" i="337"/>
  <c r="E32" i="337" s="1"/>
  <c r="F30" i="337"/>
  <c r="F32" i="337" s="1"/>
  <c r="G30" i="337"/>
  <c r="G32" i="337" s="1"/>
  <c r="H30" i="337"/>
  <c r="H32" i="337" s="1"/>
  <c r="J30" i="337"/>
  <c r="K30" i="337"/>
  <c r="K32" i="337" s="1"/>
  <c r="L30" i="337"/>
  <c r="L32" i="337" s="1"/>
  <c r="A31" i="337"/>
  <c r="A36" i="337"/>
  <c r="A37" i="337"/>
  <c r="A38" i="337"/>
  <c r="A39" i="337"/>
  <c r="A40" i="337"/>
  <c r="A41" i="337"/>
  <c r="A42" i="337"/>
  <c r="A43" i="337"/>
  <c r="A44" i="337"/>
  <c r="A45" i="337"/>
  <c r="C45" i="337"/>
  <c r="C47" i="337" s="1"/>
  <c r="D45" i="337"/>
  <c r="D47" i="337" s="1"/>
  <c r="E45" i="337"/>
  <c r="E47" i="337" s="1"/>
  <c r="E48" i="337" s="1"/>
  <c r="F45" i="337"/>
  <c r="F47" i="337" s="1"/>
  <c r="G45" i="337"/>
  <c r="G47" i="337" s="1"/>
  <c r="H45" i="337"/>
  <c r="H47" i="337" s="1"/>
  <c r="J45" i="337"/>
  <c r="J47" i="337" s="1"/>
  <c r="K45" i="337"/>
  <c r="K47" i="337" s="1"/>
  <c r="L45" i="337"/>
  <c r="L47" i="337" s="1"/>
  <c r="A46" i="337"/>
  <c r="I46" i="337"/>
  <c r="A48" i="337"/>
  <c r="A50" i="337"/>
  <c r="A2" i="362"/>
  <c r="B2" i="362"/>
  <c r="S39" i="362"/>
  <c r="S40" i="362"/>
  <c r="A2" i="361"/>
  <c r="B2" i="361"/>
  <c r="S39" i="361"/>
  <c r="S40" i="361"/>
  <c r="A88" i="361"/>
  <c r="A2" i="360"/>
  <c r="B2" i="360"/>
  <c r="A50" i="360"/>
  <c r="A2" i="335"/>
  <c r="B2" i="335"/>
  <c r="S39" i="335"/>
  <c r="S40" i="335"/>
  <c r="A50" i="335"/>
  <c r="A2" i="336"/>
  <c r="B2" i="336"/>
  <c r="C3" i="336"/>
  <c r="D3" i="336"/>
  <c r="E3" i="336"/>
  <c r="F3" i="336"/>
  <c r="G3" i="336"/>
  <c r="H3" i="336"/>
  <c r="C37" i="336"/>
  <c r="D37" i="336"/>
  <c r="E37" i="336"/>
  <c r="F37" i="336"/>
  <c r="G37" i="336"/>
  <c r="H37" i="336"/>
  <c r="I37" i="336"/>
  <c r="J37" i="336"/>
  <c r="K37" i="336"/>
  <c r="C63" i="336"/>
  <c r="D63" i="336"/>
  <c r="E63" i="336"/>
  <c r="F63" i="336"/>
  <c r="G63" i="336"/>
  <c r="H63" i="336"/>
  <c r="I63" i="336"/>
  <c r="J63" i="336"/>
  <c r="K63" i="336"/>
  <c r="A65" i="336"/>
  <c r="A2" i="123"/>
  <c r="C2" i="123"/>
  <c r="D3" i="123"/>
  <c r="E3" i="123"/>
  <c r="F3" i="123"/>
  <c r="G3" i="123"/>
  <c r="H3" i="123"/>
  <c r="I3" i="123"/>
  <c r="J3" i="123"/>
  <c r="A5" i="123"/>
  <c r="E16" i="123"/>
  <c r="F16" i="123"/>
  <c r="G16" i="123"/>
  <c r="H16" i="123"/>
  <c r="I16" i="123"/>
  <c r="J16" i="123"/>
  <c r="K16" i="123"/>
  <c r="L16" i="123"/>
  <c r="M16" i="123"/>
  <c r="B18" i="123"/>
  <c r="B58" i="123" s="1"/>
  <c r="A20" i="123"/>
  <c r="A38" i="123"/>
  <c r="A39" i="123"/>
  <c r="A40" i="123"/>
  <c r="A41" i="123"/>
  <c r="A42" i="123"/>
  <c r="D50" i="123"/>
  <c r="E50" i="123"/>
  <c r="F50" i="123"/>
  <c r="G50" i="123"/>
  <c r="H50" i="123"/>
  <c r="I50" i="123"/>
  <c r="J50" i="123"/>
  <c r="K50" i="123"/>
  <c r="L50" i="123"/>
  <c r="M50" i="123"/>
  <c r="A51" i="123"/>
  <c r="D51" i="123"/>
  <c r="E51" i="123"/>
  <c r="F51" i="123"/>
  <c r="G51" i="123"/>
  <c r="H51" i="123"/>
  <c r="I51" i="123"/>
  <c r="J51" i="123"/>
  <c r="K51" i="123"/>
  <c r="L51" i="123"/>
  <c r="M51" i="123"/>
  <c r="D53" i="123"/>
  <c r="E53" i="123"/>
  <c r="F53" i="123"/>
  <c r="G53" i="123"/>
  <c r="H53" i="123"/>
  <c r="I53" i="123"/>
  <c r="J53" i="123"/>
  <c r="D56" i="123"/>
  <c r="E56" i="123"/>
  <c r="F56" i="123"/>
  <c r="G56" i="123"/>
  <c r="H56" i="123"/>
  <c r="I56" i="123"/>
  <c r="J56" i="123"/>
  <c r="K56" i="123"/>
  <c r="K14" i="123" s="1"/>
  <c r="L56" i="123"/>
  <c r="M56" i="123"/>
  <c r="M14" i="123" s="1"/>
  <c r="B57" i="123"/>
  <c r="K68" i="123"/>
  <c r="L68" i="123"/>
  <c r="M68" i="123"/>
  <c r="K76" i="123"/>
  <c r="L76" i="123"/>
  <c r="M76" i="123"/>
  <c r="K82" i="123"/>
  <c r="L82" i="123"/>
  <c r="M82" i="123"/>
  <c r="A84" i="123"/>
  <c r="K84" i="123"/>
  <c r="L84" i="123"/>
  <c r="M84" i="123"/>
  <c r="E98" i="123"/>
  <c r="F98" i="123"/>
  <c r="G98" i="123"/>
  <c r="H98" i="123"/>
  <c r="I98" i="123"/>
  <c r="J98" i="123"/>
  <c r="K98" i="123"/>
  <c r="L98" i="123"/>
  <c r="M98" i="123"/>
  <c r="K120" i="123"/>
  <c r="A137" i="123"/>
  <c r="C3" i="88"/>
  <c r="D3" i="88"/>
  <c r="E3" i="88"/>
  <c r="F3" i="88"/>
  <c r="G3" i="88"/>
  <c r="H3" i="88"/>
  <c r="I3" i="88"/>
  <c r="A40" i="88"/>
  <c r="D47" i="88"/>
  <c r="E47" i="88"/>
  <c r="F47" i="88"/>
  <c r="G47" i="88"/>
  <c r="H47" i="88"/>
  <c r="I47" i="88"/>
  <c r="J47" i="88"/>
  <c r="K47" i="88"/>
  <c r="L47" i="88"/>
  <c r="C49" i="88"/>
  <c r="D49" i="88"/>
  <c r="E49" i="88"/>
  <c r="F49" i="88"/>
  <c r="G49" i="88"/>
  <c r="H49" i="88"/>
  <c r="I49" i="88"/>
  <c r="C3" i="147"/>
  <c r="D3" i="147"/>
  <c r="E3" i="147"/>
  <c r="F3" i="147"/>
  <c r="G3" i="147"/>
  <c r="H3" i="147"/>
  <c r="A73" i="147"/>
  <c r="C74" i="147"/>
  <c r="D74" i="147"/>
  <c r="E74" i="147"/>
  <c r="F74" i="147"/>
  <c r="G74" i="147"/>
  <c r="H74" i="147"/>
  <c r="A80" i="147"/>
  <c r="A84" i="147"/>
  <c r="D2" i="314"/>
  <c r="E3" i="314"/>
  <c r="F3" i="314"/>
  <c r="G3" i="314"/>
  <c r="H3" i="314"/>
  <c r="I3" i="314"/>
  <c r="J3" i="314"/>
  <c r="E24" i="314"/>
  <c r="F24" i="314"/>
  <c r="G24" i="314"/>
  <c r="H24" i="314"/>
  <c r="I24" i="314"/>
  <c r="J24" i="314"/>
  <c r="K24" i="314"/>
  <c r="L24" i="314"/>
  <c r="M24" i="314"/>
  <c r="A25" i="314"/>
  <c r="D2" i="315"/>
  <c r="E3" i="315"/>
  <c r="F3" i="315"/>
  <c r="G3" i="315"/>
  <c r="H3" i="315"/>
  <c r="I3" i="315"/>
  <c r="J3" i="315"/>
  <c r="A70" i="315"/>
  <c r="E70" i="315"/>
  <c r="F70" i="315"/>
  <c r="G70" i="315"/>
  <c r="H70" i="315"/>
  <c r="I70" i="315"/>
  <c r="J70" i="315"/>
  <c r="K70" i="315"/>
  <c r="L70" i="315"/>
  <c r="M70" i="315"/>
  <c r="A71" i="315"/>
  <c r="D2" i="141"/>
  <c r="E3" i="141"/>
  <c r="F3" i="141"/>
  <c r="G3" i="141"/>
  <c r="H3" i="141"/>
  <c r="I3" i="141"/>
  <c r="J3" i="141"/>
  <c r="A22" i="141"/>
  <c r="E22" i="141"/>
  <c r="F22" i="141"/>
  <c r="G22" i="141"/>
  <c r="H22" i="141"/>
  <c r="I22" i="141"/>
  <c r="J22" i="141"/>
  <c r="K22" i="141"/>
  <c r="L22" i="141"/>
  <c r="M22" i="141"/>
  <c r="A23" i="141"/>
  <c r="A2" i="128"/>
  <c r="B2" i="128"/>
  <c r="C3" i="128"/>
  <c r="D3" i="128"/>
  <c r="E3" i="128"/>
  <c r="F3" i="128"/>
  <c r="G3" i="128"/>
  <c r="H3" i="128"/>
  <c r="I3" i="128"/>
  <c r="A11" i="128"/>
  <c r="C14" i="128"/>
  <c r="C8" i="129" s="1"/>
  <c r="C35" i="237" s="1"/>
  <c r="D14" i="128"/>
  <c r="D8" i="129" s="1"/>
  <c r="E14" i="128"/>
  <c r="E8" i="129" s="1"/>
  <c r="E35" i="237" s="1"/>
  <c r="F14" i="128"/>
  <c r="F8" i="129" s="1"/>
  <c r="F35" i="237" s="1"/>
  <c r="G14" i="128"/>
  <c r="G8" i="129" s="1"/>
  <c r="G35" i="237" s="1"/>
  <c r="H14" i="128"/>
  <c r="H8" i="129" s="1"/>
  <c r="I14" i="128"/>
  <c r="I8" i="129" s="1"/>
  <c r="I35" i="237" s="1"/>
  <c r="J14" i="128"/>
  <c r="J8" i="129" s="1"/>
  <c r="K14" i="128"/>
  <c r="K8" i="129" s="1"/>
  <c r="K35" i="237" s="1"/>
  <c r="L14" i="128"/>
  <c r="L8" i="129" s="1"/>
  <c r="C20" i="128"/>
  <c r="D20" i="128"/>
  <c r="E20" i="128"/>
  <c r="F20" i="128"/>
  <c r="H20" i="128"/>
  <c r="I20" i="128"/>
  <c r="J20" i="128"/>
  <c r="K20" i="128"/>
  <c r="L20" i="128"/>
  <c r="A117" i="128"/>
  <c r="A121" i="128" s="1"/>
  <c r="C121" i="128"/>
  <c r="C19" i="129" s="1"/>
  <c r="C24" i="129" s="1"/>
  <c r="B36" i="86" s="1"/>
  <c r="D121" i="128"/>
  <c r="D19" i="129" s="1"/>
  <c r="D24" i="129" s="1"/>
  <c r="C36" i="86" s="1"/>
  <c r="E121" i="128"/>
  <c r="E19" i="129" s="1"/>
  <c r="F121" i="128"/>
  <c r="F19" i="129" s="1"/>
  <c r="F24" i="129" s="1"/>
  <c r="E36" i="86" s="1"/>
  <c r="G121" i="128"/>
  <c r="G19" i="129" s="1"/>
  <c r="G24" i="129" s="1"/>
  <c r="H121" i="128"/>
  <c r="H19" i="129" s="1"/>
  <c r="H24" i="129" s="1"/>
  <c r="G36" i="86" s="1"/>
  <c r="I121" i="128"/>
  <c r="I19" i="129" s="1"/>
  <c r="I24" i="129" s="1"/>
  <c r="H36" i="86" s="1"/>
  <c r="J121" i="128"/>
  <c r="J19" i="129" s="1"/>
  <c r="J24" i="129" s="1"/>
  <c r="I36" i="86" s="1"/>
  <c r="K121" i="128"/>
  <c r="K19" i="129" s="1"/>
  <c r="K24" i="129" s="1"/>
  <c r="J36" i="86" s="1"/>
  <c r="L121" i="128"/>
  <c r="L19" i="129" s="1"/>
  <c r="L24" i="129" s="1"/>
  <c r="K36" i="86" s="1"/>
  <c r="A124" i="128"/>
  <c r="A127" i="128" s="1"/>
  <c r="C127" i="128"/>
  <c r="C30" i="129" s="1"/>
  <c r="D127" i="128"/>
  <c r="D30" i="129" s="1"/>
  <c r="E127" i="128"/>
  <c r="E30" i="129" s="1"/>
  <c r="F127" i="128"/>
  <c r="F30" i="129" s="1"/>
  <c r="G127" i="128"/>
  <c r="G30" i="129" s="1"/>
  <c r="H127" i="128"/>
  <c r="H30" i="129" s="1"/>
  <c r="I127" i="128"/>
  <c r="I30" i="129" s="1"/>
  <c r="J127" i="128"/>
  <c r="J30" i="129" s="1"/>
  <c r="K127" i="128"/>
  <c r="K30" i="129" s="1"/>
  <c r="L127" i="128"/>
  <c r="L30" i="129" s="1"/>
  <c r="A129" i="128"/>
  <c r="A134" i="128" s="1"/>
  <c r="C134" i="128"/>
  <c r="C32" i="129" s="1"/>
  <c r="D134" i="128"/>
  <c r="D32" i="129" s="1"/>
  <c r="E134" i="128"/>
  <c r="E32" i="129" s="1"/>
  <c r="F134" i="128"/>
  <c r="F32" i="129" s="1"/>
  <c r="G134" i="128"/>
  <c r="G32" i="129" s="1"/>
  <c r="H134" i="128"/>
  <c r="H32" i="129" s="1"/>
  <c r="I134" i="128"/>
  <c r="I32" i="129" s="1"/>
  <c r="J134" i="128"/>
  <c r="J32" i="129" s="1"/>
  <c r="K134" i="128"/>
  <c r="K32" i="129" s="1"/>
  <c r="L134" i="128"/>
  <c r="L32" i="129" s="1"/>
  <c r="A136" i="128"/>
  <c r="A139" i="128" s="1"/>
  <c r="C139" i="128"/>
  <c r="C37" i="129" s="1"/>
  <c r="D139" i="128"/>
  <c r="D37" i="129" s="1"/>
  <c r="E139" i="128"/>
  <c r="E37" i="129" s="1"/>
  <c r="F139" i="128"/>
  <c r="F37" i="129" s="1"/>
  <c r="G139" i="128"/>
  <c r="G37" i="129" s="1"/>
  <c r="H139" i="128"/>
  <c r="H37" i="129" s="1"/>
  <c r="I139" i="128"/>
  <c r="I37" i="129" s="1"/>
  <c r="J139" i="128"/>
  <c r="J37" i="129" s="1"/>
  <c r="K139" i="128"/>
  <c r="K37" i="129" s="1"/>
  <c r="L139" i="128"/>
  <c r="L37" i="129" s="1"/>
  <c r="A141" i="128"/>
  <c r="A146" i="128" s="1"/>
  <c r="A149" i="128"/>
  <c r="A150" i="128" s="1"/>
  <c r="C152" i="128"/>
  <c r="D152" i="128"/>
  <c r="E152" i="128"/>
  <c r="F152" i="128"/>
  <c r="G152" i="128"/>
  <c r="H152" i="128"/>
  <c r="I152" i="128"/>
  <c r="J152" i="128"/>
  <c r="K152" i="128"/>
  <c r="L152" i="128"/>
  <c r="A153" i="128"/>
  <c r="C165" i="128"/>
  <c r="C46" i="129" s="1"/>
  <c r="C48" i="129" s="1"/>
  <c r="B39" i="86" s="1"/>
  <c r="D165" i="128"/>
  <c r="D46" i="129" s="1"/>
  <c r="D48" i="129" s="1"/>
  <c r="C39" i="86" s="1"/>
  <c r="E165" i="128"/>
  <c r="E46" i="129" s="1"/>
  <c r="E48" i="129" s="1"/>
  <c r="D39" i="86" s="1"/>
  <c r="F165" i="128"/>
  <c r="F46" i="129" s="1"/>
  <c r="F48" i="129" s="1"/>
  <c r="E39" i="86" s="1"/>
  <c r="G165" i="128"/>
  <c r="G46" i="129" s="1"/>
  <c r="G48" i="129" s="1"/>
  <c r="F39" i="86" s="1"/>
  <c r="H165" i="128"/>
  <c r="H46" i="129" s="1"/>
  <c r="H48" i="129" s="1"/>
  <c r="G39" i="86" s="1"/>
  <c r="I165" i="128"/>
  <c r="I46" i="129" s="1"/>
  <c r="I48" i="129" s="1"/>
  <c r="H39" i="86" s="1"/>
  <c r="J165" i="128"/>
  <c r="J46" i="129" s="1"/>
  <c r="J48" i="129" s="1"/>
  <c r="I39" i="86" s="1"/>
  <c r="K165" i="128"/>
  <c r="K46" i="129" s="1"/>
  <c r="K48" i="129" s="1"/>
  <c r="J39" i="86" s="1"/>
  <c r="L165" i="128"/>
  <c r="L46" i="129" s="1"/>
  <c r="L48" i="129" s="1"/>
  <c r="K39" i="86" s="1"/>
  <c r="A166" i="128"/>
  <c r="A172" i="128"/>
  <c r="E184" i="128"/>
  <c r="D184" i="128" s="1"/>
  <c r="C184" i="128" s="1"/>
  <c r="F184" i="128"/>
  <c r="G184" i="128"/>
  <c r="H184" i="128"/>
  <c r="I184" i="128"/>
  <c r="A2" i="246"/>
  <c r="B2" i="246"/>
  <c r="A4" i="246"/>
  <c r="A5" i="246"/>
  <c r="R5" i="246"/>
  <c r="A6" i="246"/>
  <c r="R6" i="246"/>
  <c r="A7" i="246"/>
  <c r="R7" i="246"/>
  <c r="A8" i="246"/>
  <c r="R8" i="246"/>
  <c r="A9" i="246"/>
  <c r="R9" i="246"/>
  <c r="A11" i="246"/>
  <c r="R11" i="246"/>
  <c r="A12" i="246"/>
  <c r="R12" i="246"/>
  <c r="A13" i="246"/>
  <c r="R13" i="246"/>
  <c r="A14" i="246"/>
  <c r="R14" i="246"/>
  <c r="A15" i="246"/>
  <c r="R15" i="246"/>
  <c r="A16" i="246"/>
  <c r="R16" i="246"/>
  <c r="A17" i="246"/>
  <c r="R17" i="246"/>
  <c r="A18" i="246"/>
  <c r="R18" i="246"/>
  <c r="A19" i="246"/>
  <c r="R19" i="246"/>
  <c r="A20" i="246"/>
  <c r="R20" i="246"/>
  <c r="A21" i="246"/>
  <c r="A23" i="246"/>
  <c r="A24" i="246"/>
  <c r="R24" i="246"/>
  <c r="A25" i="246"/>
  <c r="R25" i="246"/>
  <c r="A26" i="246"/>
  <c r="R26" i="246"/>
  <c r="A27" i="246"/>
  <c r="R27" i="246"/>
  <c r="A28" i="246"/>
  <c r="R28" i="246"/>
  <c r="A29" i="246"/>
  <c r="R29" i="246"/>
  <c r="A30" i="246"/>
  <c r="R30" i="246"/>
  <c r="A31" i="246"/>
  <c r="R31" i="246"/>
  <c r="A32" i="246"/>
  <c r="R32" i="246"/>
  <c r="A33" i="246"/>
  <c r="R33" i="246"/>
  <c r="A34" i="246"/>
  <c r="R34" i="246"/>
  <c r="C35" i="246"/>
  <c r="D35" i="246"/>
  <c r="E35" i="246"/>
  <c r="F35" i="246"/>
  <c r="G35" i="246"/>
  <c r="H35" i="246"/>
  <c r="I35" i="246"/>
  <c r="J35" i="246"/>
  <c r="K35" i="246"/>
  <c r="L35" i="246"/>
  <c r="M35" i="246"/>
  <c r="N35" i="246"/>
  <c r="O35" i="246"/>
  <c r="P35" i="246"/>
  <c r="Q35" i="246"/>
  <c r="A37" i="246"/>
  <c r="A38" i="246"/>
  <c r="R38" i="246"/>
  <c r="A39" i="246"/>
  <c r="R39" i="246"/>
  <c r="A40" i="246"/>
  <c r="R40" i="246"/>
  <c r="A41" i="246"/>
  <c r="A42" i="246"/>
  <c r="A2" i="255"/>
  <c r="B2" i="255"/>
  <c r="C3" i="255"/>
  <c r="D3" i="255"/>
  <c r="E3" i="255"/>
  <c r="F3" i="255"/>
  <c r="G3" i="255"/>
  <c r="H3" i="255"/>
  <c r="I3" i="255"/>
  <c r="A6" i="255"/>
  <c r="A11" i="255"/>
  <c r="A12" i="255" s="1"/>
  <c r="A17" i="255"/>
  <c r="A21" i="255" s="1"/>
  <c r="A23" i="255"/>
  <c r="A27" i="255" s="1"/>
  <c r="A29" i="255"/>
  <c r="A34" i="255" s="1"/>
  <c r="A69" i="255"/>
  <c r="A84" i="255" s="1"/>
  <c r="C82" i="255"/>
  <c r="C84" i="255" s="1"/>
  <c r="C24" i="127" s="1"/>
  <c r="B11" i="86" s="1"/>
  <c r="D82" i="255"/>
  <c r="D84" i="255" s="1"/>
  <c r="D24" i="127" s="1"/>
  <c r="C11" i="86" s="1"/>
  <c r="E82" i="255"/>
  <c r="E84" i="255" s="1"/>
  <c r="E24" i="127" s="1"/>
  <c r="D11" i="86" s="1"/>
  <c r="F82" i="255"/>
  <c r="F84" i="255" s="1"/>
  <c r="F24" i="127" s="1"/>
  <c r="E11" i="86" s="1"/>
  <c r="G82" i="255"/>
  <c r="G84" i="255" s="1"/>
  <c r="G24" i="127" s="1"/>
  <c r="F11" i="86" s="1"/>
  <c r="H82" i="255"/>
  <c r="H84" i="255" s="1"/>
  <c r="H24" i="127" s="1"/>
  <c r="G11" i="86" s="1"/>
  <c r="I82" i="255"/>
  <c r="I84" i="255" s="1"/>
  <c r="I24" i="127" s="1"/>
  <c r="H11" i="86" s="1"/>
  <c r="J82" i="255"/>
  <c r="J84" i="255" s="1"/>
  <c r="J24" i="127" s="1"/>
  <c r="O24" i="137" s="1"/>
  <c r="K82" i="255"/>
  <c r="K84" i="255" s="1"/>
  <c r="K24" i="127" s="1"/>
  <c r="L82" i="255"/>
  <c r="L84" i="255" s="1"/>
  <c r="L24" i="127" s="1"/>
  <c r="Q24" i="137" s="1"/>
  <c r="C39" i="127"/>
  <c r="B21" i="86" s="1"/>
  <c r="D21" i="86"/>
  <c r="E21" i="86"/>
  <c r="F21" i="86"/>
  <c r="G21" i="86"/>
  <c r="H21" i="86"/>
  <c r="K21" i="86"/>
  <c r="A95" i="255"/>
  <c r="A100" i="255" s="1"/>
  <c r="C105" i="255"/>
  <c r="C29" i="127" s="1"/>
  <c r="D105" i="255"/>
  <c r="E105" i="255"/>
  <c r="F105" i="255"/>
  <c r="G105" i="255"/>
  <c r="H105" i="255"/>
  <c r="I105" i="255"/>
  <c r="J105" i="255"/>
  <c r="K105" i="255"/>
  <c r="L105" i="255"/>
  <c r="A112" i="255"/>
  <c r="I31" i="127"/>
  <c r="K31" i="127"/>
  <c r="P31" i="137" s="1"/>
  <c r="C33" i="127"/>
  <c r="I181" i="255"/>
  <c r="L181" i="255"/>
  <c r="A189" i="255"/>
  <c r="A2" i="253"/>
  <c r="B2" i="253"/>
  <c r="C3" i="253"/>
  <c r="D3" i="253"/>
  <c r="E3" i="253"/>
  <c r="F3" i="253"/>
  <c r="G3" i="253"/>
  <c r="H3" i="253"/>
  <c r="B12" i="253"/>
  <c r="A22" i="253"/>
  <c r="A26" i="253"/>
  <c r="A27" i="253"/>
  <c r="B27" i="253"/>
  <c r="A31" i="253"/>
  <c r="A35" i="253"/>
  <c r="A36" i="253"/>
  <c r="B36" i="253"/>
  <c r="A39" i="253"/>
  <c r="A45" i="253"/>
  <c r="A46" i="253"/>
  <c r="B46" i="253"/>
  <c r="A80" i="253"/>
  <c r="A2" i="248"/>
  <c r="B2" i="248"/>
  <c r="C3" i="248"/>
  <c r="D3" i="248"/>
  <c r="E3" i="248"/>
  <c r="F3" i="248"/>
  <c r="G3" i="248"/>
  <c r="H3" i="248"/>
  <c r="C144" i="248"/>
  <c r="C165" i="248" s="1"/>
  <c r="B53" i="86" s="1"/>
  <c r="D144" i="248"/>
  <c r="D134" i="248" s="1"/>
  <c r="E144" i="248"/>
  <c r="E134" i="248" s="1"/>
  <c r="F144" i="248"/>
  <c r="F165" i="248" s="1"/>
  <c r="E53" i="86" s="1"/>
  <c r="G144" i="248"/>
  <c r="H144" i="248"/>
  <c r="I144" i="248"/>
  <c r="I134" i="248" s="1"/>
  <c r="J144" i="248"/>
  <c r="J134" i="248" s="1"/>
  <c r="K144" i="248"/>
  <c r="K165" i="248" s="1"/>
  <c r="A54" i="86"/>
  <c r="A208" i="248"/>
  <c r="A2" i="237"/>
  <c r="B2" i="237"/>
  <c r="C3" i="237"/>
  <c r="D3" i="237"/>
  <c r="E3" i="237"/>
  <c r="F3" i="237"/>
  <c r="G3" i="237"/>
  <c r="H3" i="237"/>
  <c r="I3" i="237"/>
  <c r="A5" i="237"/>
  <c r="A7" i="237"/>
  <c r="C7" i="237"/>
  <c r="D7" i="237"/>
  <c r="E7" i="237"/>
  <c r="F7" i="237"/>
  <c r="G7" i="237"/>
  <c r="H7" i="237"/>
  <c r="I7" i="237"/>
  <c r="J7" i="237"/>
  <c r="K7" i="237"/>
  <c r="L7" i="237"/>
  <c r="A11" i="237"/>
  <c r="C11" i="237"/>
  <c r="D11" i="237"/>
  <c r="E11" i="237"/>
  <c r="F11" i="237"/>
  <c r="G11" i="237"/>
  <c r="H11" i="237"/>
  <c r="I11" i="237"/>
  <c r="J11" i="237"/>
  <c r="K11" i="237"/>
  <c r="L11" i="237"/>
  <c r="A18" i="237"/>
  <c r="A20" i="237"/>
  <c r="A40" i="237"/>
  <c r="C52" i="237"/>
  <c r="C16" i="237" s="1"/>
  <c r="D52" i="237"/>
  <c r="D16" i="237" s="1"/>
  <c r="E52" i="237"/>
  <c r="E16" i="237" s="1"/>
  <c r="F52" i="237"/>
  <c r="F16" i="237" s="1"/>
  <c r="G52" i="237"/>
  <c r="G16" i="237" s="1"/>
  <c r="H52" i="237"/>
  <c r="H16" i="237" s="1"/>
  <c r="I52" i="237"/>
  <c r="I16" i="237" s="1"/>
  <c r="J52" i="237"/>
  <c r="J16" i="237" s="1"/>
  <c r="K52" i="237"/>
  <c r="K16" i="237" s="1"/>
  <c r="L52" i="237"/>
  <c r="L16" i="237"/>
  <c r="A53" i="237"/>
  <c r="A54" i="237"/>
  <c r="C54" i="237"/>
  <c r="C67" i="237" s="1"/>
  <c r="D54" i="237"/>
  <c r="D67" i="237" s="1"/>
  <c r="E54" i="237"/>
  <c r="E67" i="237" s="1"/>
  <c r="F54" i="237"/>
  <c r="F67" i="237" s="1"/>
  <c r="G54" i="237"/>
  <c r="G67" i="237" s="1"/>
  <c r="H54" i="237"/>
  <c r="H67" i="237" s="1"/>
  <c r="I54" i="237"/>
  <c r="I67" i="237" s="1"/>
  <c r="J54" i="237"/>
  <c r="J67" i="237" s="1"/>
  <c r="K54" i="237"/>
  <c r="K67" i="237" s="1"/>
  <c r="L54" i="237"/>
  <c r="L67" i="237" s="1"/>
  <c r="A55" i="237"/>
  <c r="A56" i="237"/>
  <c r="A2" i="131"/>
  <c r="B2" i="131"/>
  <c r="C3" i="131"/>
  <c r="D3" i="131"/>
  <c r="E3" i="131"/>
  <c r="F3" i="131"/>
  <c r="G3" i="131"/>
  <c r="H3" i="131"/>
  <c r="I3" i="131"/>
  <c r="J8" i="131"/>
  <c r="K8" i="131"/>
  <c r="L8" i="131"/>
  <c r="J9" i="131"/>
  <c r="K9" i="131"/>
  <c r="L9" i="131"/>
  <c r="J10" i="131"/>
  <c r="K10" i="131"/>
  <c r="L10" i="131"/>
  <c r="J11" i="131"/>
  <c r="K11" i="131"/>
  <c r="L11" i="131"/>
  <c r="J12" i="131"/>
  <c r="K12" i="131"/>
  <c r="L12" i="131"/>
  <c r="J15" i="131"/>
  <c r="K15" i="131"/>
  <c r="L15" i="131"/>
  <c r="J16" i="131"/>
  <c r="K16" i="131"/>
  <c r="L16" i="131"/>
  <c r="C17" i="131"/>
  <c r="B42" i="86" s="1"/>
  <c r="D17" i="131"/>
  <c r="C42" i="86" s="1"/>
  <c r="E17" i="131"/>
  <c r="D42" i="86" s="1"/>
  <c r="F17" i="131"/>
  <c r="G17" i="131"/>
  <c r="F42" i="86" s="1"/>
  <c r="H17" i="131"/>
  <c r="G42" i="86" s="1"/>
  <c r="I17" i="131"/>
  <c r="H42" i="86" s="1"/>
  <c r="J23" i="131"/>
  <c r="K23" i="131"/>
  <c r="L23" i="131"/>
  <c r="J24" i="131"/>
  <c r="K24" i="131"/>
  <c r="L24" i="131"/>
  <c r="J26" i="131"/>
  <c r="K26" i="131"/>
  <c r="L26" i="131"/>
  <c r="B43" i="86"/>
  <c r="C43" i="86"/>
  <c r="D43" i="86"/>
  <c r="G43" i="86"/>
  <c r="H43" i="86"/>
  <c r="J31" i="131"/>
  <c r="K31" i="131"/>
  <c r="L31" i="131"/>
  <c r="J32" i="131"/>
  <c r="K32" i="131"/>
  <c r="L32" i="131"/>
  <c r="J33" i="131"/>
  <c r="K33" i="131"/>
  <c r="L33" i="131"/>
  <c r="J35" i="131"/>
  <c r="J49" i="131" s="1"/>
  <c r="K35" i="131"/>
  <c r="K49" i="131" s="1"/>
  <c r="L35" i="131"/>
  <c r="C36" i="131"/>
  <c r="B44" i="86" s="1"/>
  <c r="D36" i="131"/>
  <c r="C44" i="86" s="1"/>
  <c r="E36" i="131"/>
  <c r="F36" i="131"/>
  <c r="E44" i="86" s="1"/>
  <c r="G36" i="131"/>
  <c r="F44" i="86" s="1"/>
  <c r="H36" i="131"/>
  <c r="G44" i="86" s="1"/>
  <c r="I36" i="131"/>
  <c r="A41" i="131"/>
  <c r="C45" i="131"/>
  <c r="D45" i="131"/>
  <c r="E45" i="131"/>
  <c r="F45" i="131"/>
  <c r="G45" i="131"/>
  <c r="H45" i="131"/>
  <c r="I45" i="131"/>
  <c r="C46" i="131"/>
  <c r="D46" i="131"/>
  <c r="E46" i="131"/>
  <c r="F46" i="131"/>
  <c r="G46" i="131"/>
  <c r="H46" i="131"/>
  <c r="I46" i="131"/>
  <c r="C48" i="131"/>
  <c r="D48" i="131"/>
  <c r="E48" i="131"/>
  <c r="F48" i="131"/>
  <c r="G48" i="131"/>
  <c r="H48" i="131"/>
  <c r="I48" i="131"/>
  <c r="A49" i="131"/>
  <c r="C49" i="131"/>
  <c r="D49" i="131"/>
  <c r="E49" i="131"/>
  <c r="F49" i="131"/>
  <c r="G49" i="131"/>
  <c r="H49" i="131"/>
  <c r="I49" i="131"/>
  <c r="A2" i="129"/>
  <c r="B2" i="129"/>
  <c r="C3" i="129"/>
  <c r="D3" i="129"/>
  <c r="E3" i="129"/>
  <c r="F3" i="129"/>
  <c r="G3" i="129"/>
  <c r="H3" i="129"/>
  <c r="I3" i="129"/>
  <c r="A49" i="129"/>
  <c r="A2" i="343"/>
  <c r="B2" i="343"/>
  <c r="C3" i="343"/>
  <c r="D3" i="343"/>
  <c r="E3" i="343"/>
  <c r="F3" i="343"/>
  <c r="G3" i="343"/>
  <c r="H3" i="343"/>
  <c r="I3" i="343"/>
  <c r="C6" i="343"/>
  <c r="C6" i="126" s="1"/>
  <c r="D6" i="343"/>
  <c r="E6" i="343"/>
  <c r="F6" i="343"/>
  <c r="F6" i="126" s="1"/>
  <c r="G6" i="343"/>
  <c r="G6" i="126" s="1"/>
  <c r="H6" i="343"/>
  <c r="I6" i="343"/>
  <c r="I6" i="126" s="1"/>
  <c r="N6" i="343"/>
  <c r="O6" i="343"/>
  <c r="P6" i="343"/>
  <c r="R6" i="343"/>
  <c r="S6" i="343"/>
  <c r="T6" i="343"/>
  <c r="V6" i="343"/>
  <c r="V171" i="343" s="1"/>
  <c r="W6" i="343"/>
  <c r="X6" i="343"/>
  <c r="L7" i="343"/>
  <c r="Q7" i="343"/>
  <c r="J7" i="343" s="1"/>
  <c r="U7" i="343"/>
  <c r="K7" i="343" s="1"/>
  <c r="L8" i="343"/>
  <c r="Q8" i="343"/>
  <c r="J8" i="343" s="1"/>
  <c r="U8" i="343"/>
  <c r="K8" i="343" s="1"/>
  <c r="L9" i="343"/>
  <c r="Q9" i="343"/>
  <c r="J9" i="343" s="1"/>
  <c r="U9" i="343"/>
  <c r="K9" i="343" s="1"/>
  <c r="L10" i="343"/>
  <c r="Q10" i="343"/>
  <c r="J10" i="343" s="1"/>
  <c r="U10" i="343"/>
  <c r="K10" i="343" s="1"/>
  <c r="L11" i="343"/>
  <c r="Q11" i="343"/>
  <c r="J11" i="343" s="1"/>
  <c r="U11" i="343"/>
  <c r="K11" i="343" s="1"/>
  <c r="L12" i="343"/>
  <c r="Q12" i="343"/>
  <c r="J12" i="343" s="1"/>
  <c r="U12" i="343"/>
  <c r="K12" i="343" s="1"/>
  <c r="L13" i="343"/>
  <c r="Q13" i="343"/>
  <c r="J13" i="343" s="1"/>
  <c r="U13" i="343"/>
  <c r="K13" i="343" s="1"/>
  <c r="L14" i="343"/>
  <c r="Q14" i="343"/>
  <c r="J14" i="343" s="1"/>
  <c r="U14" i="343"/>
  <c r="K14" i="343" s="1"/>
  <c r="L15" i="343"/>
  <c r="Q15" i="343"/>
  <c r="J15" i="343" s="1"/>
  <c r="U15" i="343"/>
  <c r="K15" i="343" s="1"/>
  <c r="L16" i="343"/>
  <c r="Q16" i="343"/>
  <c r="J16" i="343" s="1"/>
  <c r="U16" i="343"/>
  <c r="K16" i="343" s="1"/>
  <c r="C17" i="343"/>
  <c r="D17" i="343"/>
  <c r="D7" i="126" s="1"/>
  <c r="E17" i="343"/>
  <c r="F17" i="343"/>
  <c r="F7" i="126" s="1"/>
  <c r="G17" i="343"/>
  <c r="G7" i="126" s="1"/>
  <c r="H17" i="343"/>
  <c r="H7" i="126" s="1"/>
  <c r="I17" i="343"/>
  <c r="I7" i="126" s="1"/>
  <c r="N17" i="343"/>
  <c r="O17" i="343"/>
  <c r="O171" i="343" s="1"/>
  <c r="P17" i="343"/>
  <c r="R17" i="343"/>
  <c r="S17" i="343"/>
  <c r="T17" i="343"/>
  <c r="V17" i="343"/>
  <c r="W17" i="343"/>
  <c r="X17" i="343"/>
  <c r="L18" i="343"/>
  <c r="Q18" i="343"/>
  <c r="J18" i="343" s="1"/>
  <c r="U18" i="343"/>
  <c r="L19" i="343"/>
  <c r="Q19" i="343"/>
  <c r="U19" i="343"/>
  <c r="K19" i="343" s="1"/>
  <c r="L20" i="343"/>
  <c r="Q20" i="343"/>
  <c r="J20" i="343" s="1"/>
  <c r="U20" i="343"/>
  <c r="K20" i="343" s="1"/>
  <c r="L21" i="343"/>
  <c r="Q21" i="343"/>
  <c r="J21" i="343" s="1"/>
  <c r="U21" i="343"/>
  <c r="L22" i="343"/>
  <c r="Q22" i="343"/>
  <c r="J22" i="343" s="1"/>
  <c r="U22" i="343"/>
  <c r="L23" i="343"/>
  <c r="Q23" i="343"/>
  <c r="J23" i="343" s="1"/>
  <c r="U23" i="343"/>
  <c r="K23" i="343" s="1"/>
  <c r="L24" i="343"/>
  <c r="Q24" i="343"/>
  <c r="J24" i="343" s="1"/>
  <c r="U24" i="343"/>
  <c r="K24" i="343" s="1"/>
  <c r="L25" i="343"/>
  <c r="Q25" i="343"/>
  <c r="J25" i="343" s="1"/>
  <c r="U25" i="343"/>
  <c r="K25" i="343" s="1"/>
  <c r="L26" i="343"/>
  <c r="Q26" i="343"/>
  <c r="J26" i="343" s="1"/>
  <c r="U26" i="343"/>
  <c r="K26" i="343" s="1"/>
  <c r="L27" i="343"/>
  <c r="Q27" i="343"/>
  <c r="J27" i="343" s="1"/>
  <c r="U27" i="343"/>
  <c r="K27" i="343"/>
  <c r="C28" i="343"/>
  <c r="D28" i="343"/>
  <c r="D8" i="126" s="1"/>
  <c r="E28" i="343"/>
  <c r="F28" i="343"/>
  <c r="G28" i="343"/>
  <c r="G8" i="126" s="1"/>
  <c r="H28" i="343"/>
  <c r="H8" i="126" s="1"/>
  <c r="I28" i="343"/>
  <c r="I8" i="126"/>
  <c r="N28" i="343"/>
  <c r="O28" i="343"/>
  <c r="P28" i="343"/>
  <c r="R28" i="343"/>
  <c r="S28" i="343"/>
  <c r="T28" i="343"/>
  <c r="V28" i="343"/>
  <c r="W28" i="343"/>
  <c r="X28" i="343"/>
  <c r="L29" i="343"/>
  <c r="Q29" i="343"/>
  <c r="J29" i="343" s="1"/>
  <c r="U29" i="343"/>
  <c r="K29" i="343" s="1"/>
  <c r="L30" i="343"/>
  <c r="Q30" i="343"/>
  <c r="J30" i="343" s="1"/>
  <c r="U30" i="343"/>
  <c r="K30" i="343" s="1"/>
  <c r="L31" i="343"/>
  <c r="L28" i="343" s="1"/>
  <c r="L8" i="126" s="1"/>
  <c r="Q31" i="343"/>
  <c r="J31" i="343" s="1"/>
  <c r="U31" i="343"/>
  <c r="K31" i="343" s="1"/>
  <c r="L32" i="343"/>
  <c r="Q32" i="343"/>
  <c r="J32" i="343" s="1"/>
  <c r="U32" i="343"/>
  <c r="K32" i="343" s="1"/>
  <c r="L33" i="343"/>
  <c r="Q33" i="343"/>
  <c r="J33" i="343" s="1"/>
  <c r="U33" i="343"/>
  <c r="K33" i="343" s="1"/>
  <c r="L34" i="343"/>
  <c r="Q34" i="343"/>
  <c r="U34" i="343"/>
  <c r="L35" i="343"/>
  <c r="Q35" i="343"/>
  <c r="J35" i="343" s="1"/>
  <c r="U35" i="343"/>
  <c r="K35" i="343" s="1"/>
  <c r="L36" i="343"/>
  <c r="Q36" i="343"/>
  <c r="J36" i="343" s="1"/>
  <c r="U36" i="343"/>
  <c r="K36" i="343" s="1"/>
  <c r="L37" i="343"/>
  <c r="Q37" i="343"/>
  <c r="J37" i="343" s="1"/>
  <c r="U37" i="343"/>
  <c r="K37" i="343" s="1"/>
  <c r="L38" i="343"/>
  <c r="Q38" i="343"/>
  <c r="J38" i="343" s="1"/>
  <c r="U38" i="343"/>
  <c r="K38" i="343" s="1"/>
  <c r="C39" i="343"/>
  <c r="C9" i="126" s="1"/>
  <c r="D39" i="343"/>
  <c r="E39" i="343"/>
  <c r="E9" i="126"/>
  <c r="F39" i="343"/>
  <c r="F9" i="126" s="1"/>
  <c r="G39" i="343"/>
  <c r="G9" i="126" s="1"/>
  <c r="H39" i="343"/>
  <c r="H9" i="126" s="1"/>
  <c r="I39" i="343"/>
  <c r="I9" i="126" s="1"/>
  <c r="N39" i="343"/>
  <c r="O39" i="343"/>
  <c r="P39" i="343"/>
  <c r="R39" i="343"/>
  <c r="S39" i="343"/>
  <c r="T39" i="343"/>
  <c r="V39" i="343"/>
  <c r="W39" i="343"/>
  <c r="X39" i="343"/>
  <c r="L40" i="343"/>
  <c r="Q40" i="343"/>
  <c r="J40" i="343" s="1"/>
  <c r="U40" i="343"/>
  <c r="K40" i="343"/>
  <c r="K39" i="343" s="1"/>
  <c r="K9" i="126" s="1"/>
  <c r="P8" i="140" s="1"/>
  <c r="L41" i="343"/>
  <c r="Q41" i="343"/>
  <c r="J41" i="343" s="1"/>
  <c r="U41" i="343"/>
  <c r="K41" i="343" s="1"/>
  <c r="L42" i="343"/>
  <c r="Q42" i="343"/>
  <c r="U42" i="343"/>
  <c r="K42" i="343" s="1"/>
  <c r="L43" i="343"/>
  <c r="Q43" i="343"/>
  <c r="J43" i="343" s="1"/>
  <c r="U43" i="343"/>
  <c r="K43" i="343"/>
  <c r="L44" i="343"/>
  <c r="Q44" i="343"/>
  <c r="J44" i="343" s="1"/>
  <c r="U44" i="343"/>
  <c r="K44" i="343" s="1"/>
  <c r="L45" i="343"/>
  <c r="Q45" i="343"/>
  <c r="J45" i="343" s="1"/>
  <c r="U45" i="343"/>
  <c r="K45" i="343" s="1"/>
  <c r="L46" i="343"/>
  <c r="Q46" i="343"/>
  <c r="J46" i="343" s="1"/>
  <c r="U46" i="343"/>
  <c r="K46" i="343" s="1"/>
  <c r="L47" i="343"/>
  <c r="Q47" i="343"/>
  <c r="J47" i="343" s="1"/>
  <c r="U47" i="343"/>
  <c r="K47" i="343" s="1"/>
  <c r="L48" i="343"/>
  <c r="Q48" i="343"/>
  <c r="J48" i="343" s="1"/>
  <c r="U48" i="343"/>
  <c r="K48" i="343" s="1"/>
  <c r="L49" i="343"/>
  <c r="Q49" i="343"/>
  <c r="J49" i="343" s="1"/>
  <c r="U49" i="343"/>
  <c r="K49" i="343" s="1"/>
  <c r="C50" i="343"/>
  <c r="C10" i="126" s="1"/>
  <c r="D50" i="343"/>
  <c r="D10" i="126"/>
  <c r="E50" i="343"/>
  <c r="E10" i="126" s="1"/>
  <c r="F50" i="343"/>
  <c r="F10" i="126" s="1"/>
  <c r="G50" i="343"/>
  <c r="G10" i="126" s="1"/>
  <c r="H50" i="343"/>
  <c r="H10" i="126" s="1"/>
  <c r="I50" i="343"/>
  <c r="N50" i="343"/>
  <c r="O50" i="343"/>
  <c r="P50" i="343"/>
  <c r="R50" i="343"/>
  <c r="S50" i="343"/>
  <c r="T50" i="343"/>
  <c r="V50" i="343"/>
  <c r="W50" i="343"/>
  <c r="X50" i="343"/>
  <c r="L51" i="343"/>
  <c r="Q51" i="343"/>
  <c r="U51" i="343"/>
  <c r="K51" i="343" s="1"/>
  <c r="L52" i="343"/>
  <c r="Q52" i="343"/>
  <c r="J52" i="343" s="1"/>
  <c r="U52" i="343"/>
  <c r="K52" i="343" s="1"/>
  <c r="L53" i="343"/>
  <c r="Q53" i="343"/>
  <c r="J53" i="343" s="1"/>
  <c r="U53" i="343"/>
  <c r="K53" i="343" s="1"/>
  <c r="L54" i="343"/>
  <c r="Q54" i="343"/>
  <c r="J54" i="343" s="1"/>
  <c r="U54" i="343"/>
  <c r="K54" i="343" s="1"/>
  <c r="L55" i="343"/>
  <c r="Q55" i="343"/>
  <c r="J55" i="343" s="1"/>
  <c r="U55" i="343"/>
  <c r="K55" i="343"/>
  <c r="L56" i="343"/>
  <c r="Q56" i="343"/>
  <c r="J56" i="343" s="1"/>
  <c r="U56" i="343"/>
  <c r="K56" i="343" s="1"/>
  <c r="L57" i="343"/>
  <c r="Q57" i="343"/>
  <c r="U57" i="343"/>
  <c r="K57" i="343" s="1"/>
  <c r="L58" i="343"/>
  <c r="Q58" i="343"/>
  <c r="J58" i="343" s="1"/>
  <c r="U58" i="343"/>
  <c r="K58" i="343" s="1"/>
  <c r="L59" i="343"/>
  <c r="Q59" i="343"/>
  <c r="J59" i="343" s="1"/>
  <c r="U59" i="343"/>
  <c r="K59" i="343" s="1"/>
  <c r="L60" i="343"/>
  <c r="Q60" i="343"/>
  <c r="J60" i="343" s="1"/>
  <c r="U60" i="343"/>
  <c r="K60" i="343" s="1"/>
  <c r="C61" i="343"/>
  <c r="C11" i="126" s="1"/>
  <c r="D61" i="343"/>
  <c r="D11" i="126" s="1"/>
  <c r="E61" i="343"/>
  <c r="E11" i="126" s="1"/>
  <c r="F61" i="343"/>
  <c r="F11" i="126" s="1"/>
  <c r="G61" i="343"/>
  <c r="H61" i="343"/>
  <c r="H11" i="126" s="1"/>
  <c r="I61" i="343"/>
  <c r="I11" i="126" s="1"/>
  <c r="N61" i="343"/>
  <c r="O61" i="343"/>
  <c r="P61" i="343"/>
  <c r="R61" i="343"/>
  <c r="S61" i="343"/>
  <c r="T61" i="343"/>
  <c r="V61" i="343"/>
  <c r="W61" i="343"/>
  <c r="X61" i="343"/>
  <c r="L62" i="343"/>
  <c r="Q62" i="343"/>
  <c r="J62" i="343" s="1"/>
  <c r="U62" i="343"/>
  <c r="L63" i="343"/>
  <c r="Q63" i="343"/>
  <c r="U63" i="343"/>
  <c r="K63" i="343" s="1"/>
  <c r="L64" i="343"/>
  <c r="Q64" i="343"/>
  <c r="J64" i="343" s="1"/>
  <c r="U64" i="343"/>
  <c r="U61" i="343" s="1"/>
  <c r="L65" i="343"/>
  <c r="L61" i="343" s="1"/>
  <c r="L11" i="126" s="1"/>
  <c r="Q65" i="343"/>
  <c r="J65" i="343" s="1"/>
  <c r="U65" i="343"/>
  <c r="K65" i="343" s="1"/>
  <c r="L66" i="343"/>
  <c r="Q66" i="343"/>
  <c r="J66" i="343" s="1"/>
  <c r="U66" i="343"/>
  <c r="K66" i="343" s="1"/>
  <c r="L67" i="343"/>
  <c r="Q67" i="343"/>
  <c r="J67" i="343" s="1"/>
  <c r="U67" i="343"/>
  <c r="K67" i="343" s="1"/>
  <c r="L68" i="343"/>
  <c r="Q68" i="343"/>
  <c r="J68" i="343" s="1"/>
  <c r="U68" i="343"/>
  <c r="K68" i="343" s="1"/>
  <c r="L69" i="343"/>
  <c r="Q69" i="343"/>
  <c r="J69" i="343"/>
  <c r="U69" i="343"/>
  <c r="K69" i="343" s="1"/>
  <c r="L70" i="343"/>
  <c r="Q70" i="343"/>
  <c r="J70" i="343" s="1"/>
  <c r="U70" i="343"/>
  <c r="K70" i="343" s="1"/>
  <c r="L71" i="343"/>
  <c r="Q71" i="343"/>
  <c r="J71" i="343" s="1"/>
  <c r="U71" i="343"/>
  <c r="K71" i="343" s="1"/>
  <c r="C72" i="343"/>
  <c r="C12" i="126" s="1"/>
  <c r="D72" i="343"/>
  <c r="D12" i="126" s="1"/>
  <c r="E72" i="343"/>
  <c r="E12" i="126" s="1"/>
  <c r="F72" i="343"/>
  <c r="F12" i="126" s="1"/>
  <c r="G72" i="343"/>
  <c r="G12" i="126" s="1"/>
  <c r="H72" i="343"/>
  <c r="H12" i="126"/>
  <c r="I72" i="343"/>
  <c r="I12" i="126" s="1"/>
  <c r="N72" i="343"/>
  <c r="N171" i="343" s="1"/>
  <c r="O72" i="343"/>
  <c r="P72" i="343"/>
  <c r="R72" i="343"/>
  <c r="S72" i="343"/>
  <c r="T72" i="343"/>
  <c r="V72" i="343"/>
  <c r="W72" i="343"/>
  <c r="X72" i="343"/>
  <c r="L73" i="343"/>
  <c r="Q73" i="343"/>
  <c r="J73" i="343" s="1"/>
  <c r="U73" i="343"/>
  <c r="K73" i="343" s="1"/>
  <c r="L74" i="343"/>
  <c r="Q74" i="343"/>
  <c r="J74" i="343" s="1"/>
  <c r="U74" i="343"/>
  <c r="K74" i="343" s="1"/>
  <c r="L75" i="343"/>
  <c r="Q75" i="343"/>
  <c r="J75" i="343" s="1"/>
  <c r="U75" i="343"/>
  <c r="K75" i="343" s="1"/>
  <c r="L76" i="343"/>
  <c r="Q76" i="343"/>
  <c r="J76" i="343" s="1"/>
  <c r="U76" i="343"/>
  <c r="L77" i="343"/>
  <c r="Q77" i="343"/>
  <c r="J77" i="343" s="1"/>
  <c r="U77" i="343"/>
  <c r="K77" i="343" s="1"/>
  <c r="L78" i="343"/>
  <c r="Q78" i="343"/>
  <c r="U78" i="343"/>
  <c r="K78" i="343" s="1"/>
  <c r="L79" i="343"/>
  <c r="Q79" i="343"/>
  <c r="J79" i="343" s="1"/>
  <c r="U79" i="343"/>
  <c r="K79" i="343" s="1"/>
  <c r="L80" i="343"/>
  <c r="Q80" i="343"/>
  <c r="J80" i="343" s="1"/>
  <c r="U80" i="343"/>
  <c r="K80" i="343" s="1"/>
  <c r="L81" i="343"/>
  <c r="Q81" i="343"/>
  <c r="J81" i="343" s="1"/>
  <c r="U81" i="343"/>
  <c r="K81" i="343" s="1"/>
  <c r="L82" i="343"/>
  <c r="Q82" i="343"/>
  <c r="J82" i="343" s="1"/>
  <c r="U82" i="343"/>
  <c r="K82" i="343" s="1"/>
  <c r="C83" i="343"/>
  <c r="C13" i="126" s="1"/>
  <c r="D83" i="343"/>
  <c r="D13" i="126" s="1"/>
  <c r="E83" i="343"/>
  <c r="E13" i="126" s="1"/>
  <c r="F83" i="343"/>
  <c r="F13" i="126" s="1"/>
  <c r="G83" i="343"/>
  <c r="H83" i="343"/>
  <c r="H13" i="126" s="1"/>
  <c r="I83" i="343"/>
  <c r="I13" i="126" s="1"/>
  <c r="N83" i="343"/>
  <c r="O83" i="343"/>
  <c r="P83" i="343"/>
  <c r="R83" i="343"/>
  <c r="S83" i="343"/>
  <c r="T83" i="343"/>
  <c r="V83" i="343"/>
  <c r="W83" i="343"/>
  <c r="X83" i="343"/>
  <c r="L84" i="343"/>
  <c r="Q84" i="343"/>
  <c r="J84" i="343" s="1"/>
  <c r="U84" i="343"/>
  <c r="K84" i="343" s="1"/>
  <c r="L85" i="343"/>
  <c r="Q85" i="343"/>
  <c r="J85" i="343" s="1"/>
  <c r="U85" i="343"/>
  <c r="K85" i="343" s="1"/>
  <c r="L86" i="343"/>
  <c r="Q86" i="343"/>
  <c r="J86" i="343" s="1"/>
  <c r="U86" i="343"/>
  <c r="K86" i="343" s="1"/>
  <c r="L87" i="343"/>
  <c r="Q87" i="343"/>
  <c r="J87" i="343" s="1"/>
  <c r="U87" i="343"/>
  <c r="K87" i="343" s="1"/>
  <c r="L88" i="343"/>
  <c r="Q88" i="343"/>
  <c r="J88" i="343" s="1"/>
  <c r="U88" i="343"/>
  <c r="K88" i="343" s="1"/>
  <c r="L89" i="343"/>
  <c r="Q89" i="343"/>
  <c r="U89" i="343"/>
  <c r="K89" i="343" s="1"/>
  <c r="L90" i="343"/>
  <c r="Q90" i="343"/>
  <c r="J90" i="343" s="1"/>
  <c r="U90" i="343"/>
  <c r="K90" i="343" s="1"/>
  <c r="L91" i="343"/>
  <c r="Q91" i="343"/>
  <c r="J91" i="343" s="1"/>
  <c r="U91" i="343"/>
  <c r="K91" i="343" s="1"/>
  <c r="L92" i="343"/>
  <c r="Q92" i="343"/>
  <c r="J92" i="343" s="1"/>
  <c r="U92" i="343"/>
  <c r="K92" i="343" s="1"/>
  <c r="L93" i="343"/>
  <c r="Q93" i="343"/>
  <c r="J93" i="343" s="1"/>
  <c r="U93" i="343"/>
  <c r="C94" i="343"/>
  <c r="D94" i="343"/>
  <c r="D14" i="126" s="1"/>
  <c r="E94" i="343"/>
  <c r="E14" i="126" s="1"/>
  <c r="F94" i="343"/>
  <c r="F14" i="126" s="1"/>
  <c r="G94" i="343"/>
  <c r="G14" i="126" s="1"/>
  <c r="H94" i="343"/>
  <c r="H14" i="126" s="1"/>
  <c r="I94" i="343"/>
  <c r="I14" i="126" s="1"/>
  <c r="N94" i="343"/>
  <c r="O94" i="343"/>
  <c r="P94" i="343"/>
  <c r="R94" i="343"/>
  <c r="S94" i="343"/>
  <c r="T94" i="343"/>
  <c r="V94" i="343"/>
  <c r="W94" i="343"/>
  <c r="X94" i="343"/>
  <c r="L95" i="343"/>
  <c r="Q95" i="343"/>
  <c r="U95" i="343"/>
  <c r="L96" i="343"/>
  <c r="Q96" i="343"/>
  <c r="J96" i="343" s="1"/>
  <c r="U96" i="343"/>
  <c r="K96" i="343" s="1"/>
  <c r="L97" i="343"/>
  <c r="Q97" i="343"/>
  <c r="J97" i="343" s="1"/>
  <c r="U97" i="343"/>
  <c r="K97" i="343" s="1"/>
  <c r="L98" i="343"/>
  <c r="Q98" i="343"/>
  <c r="J98" i="343" s="1"/>
  <c r="U98" i="343"/>
  <c r="L99" i="343"/>
  <c r="Q99" i="343"/>
  <c r="J99" i="343" s="1"/>
  <c r="U99" i="343"/>
  <c r="K99" i="343" s="1"/>
  <c r="L100" i="343"/>
  <c r="Q100" i="343"/>
  <c r="J100" i="343" s="1"/>
  <c r="U100" i="343"/>
  <c r="K100" i="343" s="1"/>
  <c r="L101" i="343"/>
  <c r="Q101" i="343"/>
  <c r="J101" i="343" s="1"/>
  <c r="U101" i="343"/>
  <c r="K101" i="343" s="1"/>
  <c r="L102" i="343"/>
  <c r="Q102" i="343"/>
  <c r="J102" i="343" s="1"/>
  <c r="U102" i="343"/>
  <c r="K102" i="343" s="1"/>
  <c r="L103" i="343"/>
  <c r="Q103" i="343"/>
  <c r="J103" i="343" s="1"/>
  <c r="U103" i="343"/>
  <c r="K103" i="343" s="1"/>
  <c r="L104" i="343"/>
  <c r="Q104" i="343"/>
  <c r="J104" i="343" s="1"/>
  <c r="U104" i="343"/>
  <c r="K104" i="343" s="1"/>
  <c r="C105" i="343"/>
  <c r="C15" i="126" s="1"/>
  <c r="D105" i="343"/>
  <c r="E105" i="343"/>
  <c r="E15" i="126" s="1"/>
  <c r="F105" i="343"/>
  <c r="F15" i="126" s="1"/>
  <c r="G105" i="343"/>
  <c r="G15" i="126" s="1"/>
  <c r="H105" i="343"/>
  <c r="I105" i="343"/>
  <c r="I15" i="126" s="1"/>
  <c r="N105" i="343"/>
  <c r="O105" i="343"/>
  <c r="P105" i="343"/>
  <c r="R105" i="343"/>
  <c r="S105" i="343"/>
  <c r="T105" i="343"/>
  <c r="V105" i="343"/>
  <c r="W105" i="343"/>
  <c r="X105" i="343"/>
  <c r="L106" i="343"/>
  <c r="Q106" i="343"/>
  <c r="J106" i="343" s="1"/>
  <c r="U106" i="343"/>
  <c r="L107" i="343"/>
  <c r="Q107" i="343"/>
  <c r="J107" i="343" s="1"/>
  <c r="U107" i="343"/>
  <c r="K107" i="343" s="1"/>
  <c r="L108" i="343"/>
  <c r="Q108" i="343"/>
  <c r="J108" i="343" s="1"/>
  <c r="U108" i="343"/>
  <c r="K108" i="343" s="1"/>
  <c r="L109" i="343"/>
  <c r="Q109" i="343"/>
  <c r="J109" i="343" s="1"/>
  <c r="U109" i="343"/>
  <c r="K109" i="343" s="1"/>
  <c r="L110" i="343"/>
  <c r="Q110" i="343"/>
  <c r="J110" i="343" s="1"/>
  <c r="U110" i="343"/>
  <c r="K110" i="343" s="1"/>
  <c r="L111" i="343"/>
  <c r="Q111" i="343"/>
  <c r="J111" i="343" s="1"/>
  <c r="U111" i="343"/>
  <c r="K111" i="343" s="1"/>
  <c r="L112" i="343"/>
  <c r="Q112" i="343"/>
  <c r="J112" i="343" s="1"/>
  <c r="U112" i="343"/>
  <c r="K112" i="343" s="1"/>
  <c r="L113" i="343"/>
  <c r="Q113" i="343"/>
  <c r="J113" i="343" s="1"/>
  <c r="U113" i="343"/>
  <c r="K113" i="343" s="1"/>
  <c r="L114" i="343"/>
  <c r="Q114" i="343"/>
  <c r="J114" i="343"/>
  <c r="U114" i="343"/>
  <c r="K114" i="343" s="1"/>
  <c r="L115" i="343"/>
  <c r="Q115" i="343"/>
  <c r="J115" i="343" s="1"/>
  <c r="U115" i="343"/>
  <c r="K115" i="343" s="1"/>
  <c r="C116" i="343"/>
  <c r="C16" i="126" s="1"/>
  <c r="D116" i="343"/>
  <c r="D16" i="126" s="1"/>
  <c r="E116" i="343"/>
  <c r="E16" i="126" s="1"/>
  <c r="F116" i="343"/>
  <c r="F16" i="126"/>
  <c r="G116" i="343"/>
  <c r="G16" i="126" s="1"/>
  <c r="H116" i="343"/>
  <c r="I116" i="343"/>
  <c r="I16" i="126" s="1"/>
  <c r="N116" i="343"/>
  <c r="O116" i="343"/>
  <c r="P116" i="343"/>
  <c r="R116" i="343"/>
  <c r="S116" i="343"/>
  <c r="T116" i="343"/>
  <c r="V116" i="343"/>
  <c r="W116" i="343"/>
  <c r="X116" i="343"/>
  <c r="L117" i="343"/>
  <c r="Q117" i="343"/>
  <c r="J117" i="343" s="1"/>
  <c r="U117" i="343"/>
  <c r="K117" i="343" s="1"/>
  <c r="L118" i="343"/>
  <c r="Q118" i="343"/>
  <c r="U118" i="343"/>
  <c r="K118" i="343" s="1"/>
  <c r="L119" i="343"/>
  <c r="Q119" i="343"/>
  <c r="J119" i="343" s="1"/>
  <c r="U119" i="343"/>
  <c r="K119" i="343" s="1"/>
  <c r="L120" i="343"/>
  <c r="Q120" i="343"/>
  <c r="J120" i="343" s="1"/>
  <c r="U120" i="343"/>
  <c r="K120" i="343" s="1"/>
  <c r="K116" i="343" s="1"/>
  <c r="L121" i="343"/>
  <c r="Q121" i="343"/>
  <c r="J121" i="343" s="1"/>
  <c r="U121" i="343"/>
  <c r="K121" i="343"/>
  <c r="L122" i="343"/>
  <c r="Q122" i="343"/>
  <c r="J122" i="343" s="1"/>
  <c r="U122" i="343"/>
  <c r="K122" i="343" s="1"/>
  <c r="L123" i="343"/>
  <c r="Q123" i="343"/>
  <c r="J123" i="343" s="1"/>
  <c r="U123" i="343"/>
  <c r="K123" i="343" s="1"/>
  <c r="L124" i="343"/>
  <c r="Q124" i="343"/>
  <c r="J124" i="343" s="1"/>
  <c r="U124" i="343"/>
  <c r="K124" i="343" s="1"/>
  <c r="L125" i="343"/>
  <c r="Q125" i="343"/>
  <c r="J125" i="343" s="1"/>
  <c r="U125" i="343"/>
  <c r="K125" i="343" s="1"/>
  <c r="L126" i="343"/>
  <c r="L16" i="233" s="1"/>
  <c r="Q126" i="343"/>
  <c r="J126" i="343" s="1"/>
  <c r="U126" i="343"/>
  <c r="K126" i="343" s="1"/>
  <c r="C127" i="343"/>
  <c r="C17" i="126" s="1"/>
  <c r="D127" i="343"/>
  <c r="D17" i="126" s="1"/>
  <c r="E127" i="343"/>
  <c r="E17" i="126" s="1"/>
  <c r="F127" i="343"/>
  <c r="F17" i="126" s="1"/>
  <c r="G127" i="343"/>
  <c r="G17" i="126" s="1"/>
  <c r="H127" i="343"/>
  <c r="H17" i="126" s="1"/>
  <c r="I127" i="343"/>
  <c r="I17" i="126" s="1"/>
  <c r="N127" i="343"/>
  <c r="O127" i="343"/>
  <c r="P127" i="343"/>
  <c r="R127" i="343"/>
  <c r="S127" i="343"/>
  <c r="T127" i="343"/>
  <c r="V127" i="343"/>
  <c r="W127" i="343"/>
  <c r="X127" i="343"/>
  <c r="L128" i="343"/>
  <c r="Q128" i="343"/>
  <c r="J128" i="343" s="1"/>
  <c r="U128" i="343"/>
  <c r="K128" i="343" s="1"/>
  <c r="L129" i="343"/>
  <c r="Q129" i="343"/>
  <c r="J129" i="343" s="1"/>
  <c r="U129" i="343"/>
  <c r="K129" i="343" s="1"/>
  <c r="L130" i="343"/>
  <c r="Q130" i="343"/>
  <c r="J130" i="343" s="1"/>
  <c r="U130" i="343"/>
  <c r="K130" i="343" s="1"/>
  <c r="L131" i="343"/>
  <c r="Q131" i="343"/>
  <c r="J131" i="343" s="1"/>
  <c r="U131" i="343"/>
  <c r="K131" i="343" s="1"/>
  <c r="L132" i="343"/>
  <c r="Q132" i="343"/>
  <c r="J132" i="343" s="1"/>
  <c r="U132" i="343"/>
  <c r="K132" i="343" s="1"/>
  <c r="L133" i="343"/>
  <c r="Q133" i="343"/>
  <c r="J133" i="343" s="1"/>
  <c r="U133" i="343"/>
  <c r="K133" i="343"/>
  <c r="L134" i="343"/>
  <c r="Q134" i="343"/>
  <c r="J134" i="343" s="1"/>
  <c r="J127" i="343" s="1"/>
  <c r="J17" i="126" s="1"/>
  <c r="O16" i="140" s="1"/>
  <c r="U134" i="343"/>
  <c r="K134" i="343" s="1"/>
  <c r="L135" i="343"/>
  <c r="Q135" i="343"/>
  <c r="J135" i="343" s="1"/>
  <c r="U135" i="343"/>
  <c r="L136" i="343"/>
  <c r="Q136" i="343"/>
  <c r="J136" i="343" s="1"/>
  <c r="U136" i="343"/>
  <c r="K136" i="343" s="1"/>
  <c r="L137" i="343"/>
  <c r="L17" i="233" s="1"/>
  <c r="Q137" i="343"/>
  <c r="J137" i="343" s="1"/>
  <c r="U137" i="343"/>
  <c r="K137" i="343" s="1"/>
  <c r="C138" i="343"/>
  <c r="C18" i="126" s="1"/>
  <c r="D138" i="343"/>
  <c r="E138" i="343"/>
  <c r="E18" i="126" s="1"/>
  <c r="F138" i="343"/>
  <c r="F18" i="126" s="1"/>
  <c r="G138" i="343"/>
  <c r="G18" i="126" s="1"/>
  <c r="H138" i="343"/>
  <c r="H18" i="126" s="1"/>
  <c r="I138" i="343"/>
  <c r="I18" i="126" s="1"/>
  <c r="N138" i="343"/>
  <c r="O138" i="343"/>
  <c r="P138" i="343"/>
  <c r="R138" i="343"/>
  <c r="S138" i="343"/>
  <c r="T138" i="343"/>
  <c r="V138" i="343"/>
  <c r="W138" i="343"/>
  <c r="X138" i="343"/>
  <c r="L139" i="343"/>
  <c r="Q139" i="343"/>
  <c r="U139" i="343"/>
  <c r="K139" i="343" s="1"/>
  <c r="L140" i="343"/>
  <c r="Q140" i="343"/>
  <c r="J140" i="343" s="1"/>
  <c r="U140" i="343"/>
  <c r="L141" i="343"/>
  <c r="Q141" i="343"/>
  <c r="J141" i="343" s="1"/>
  <c r="U141" i="343"/>
  <c r="K141" i="343" s="1"/>
  <c r="L142" i="343"/>
  <c r="Q142" i="343"/>
  <c r="J142" i="343"/>
  <c r="U142" i="343"/>
  <c r="L143" i="343"/>
  <c r="Q143" i="343"/>
  <c r="J143" i="343" s="1"/>
  <c r="U143" i="343"/>
  <c r="K143" i="343" s="1"/>
  <c r="L144" i="343"/>
  <c r="Q144" i="343"/>
  <c r="J144" i="343" s="1"/>
  <c r="U144" i="343"/>
  <c r="K144" i="343" s="1"/>
  <c r="L145" i="343"/>
  <c r="Q145" i="343"/>
  <c r="J145" i="343" s="1"/>
  <c r="U145" i="343"/>
  <c r="K145" i="343" s="1"/>
  <c r="L146" i="343"/>
  <c r="Q146" i="343"/>
  <c r="J146" i="343" s="1"/>
  <c r="U146" i="343"/>
  <c r="K146" i="343" s="1"/>
  <c r="L147" i="343"/>
  <c r="Q147" i="343"/>
  <c r="J147" i="343" s="1"/>
  <c r="U147" i="343"/>
  <c r="K147" i="343" s="1"/>
  <c r="L148" i="343"/>
  <c r="L18" i="233" s="1"/>
  <c r="Q148" i="343"/>
  <c r="J148" i="343" s="1"/>
  <c r="U148" i="343"/>
  <c r="K148" i="343" s="1"/>
  <c r="C149" i="343"/>
  <c r="C19" i="126" s="1"/>
  <c r="D149" i="343"/>
  <c r="D19" i="126" s="1"/>
  <c r="E149" i="343"/>
  <c r="E19" i="126" s="1"/>
  <c r="F149" i="343"/>
  <c r="G149" i="343"/>
  <c r="G19" i="126" s="1"/>
  <c r="H149" i="343"/>
  <c r="H19" i="126" s="1"/>
  <c r="I149" i="343"/>
  <c r="I19" i="126" s="1"/>
  <c r="N149" i="343"/>
  <c r="O149" i="343"/>
  <c r="P149" i="343"/>
  <c r="R149" i="343"/>
  <c r="S149" i="343"/>
  <c r="T149" i="343"/>
  <c r="V149" i="343"/>
  <c r="W149" i="343"/>
  <c r="X149" i="343"/>
  <c r="L150" i="343"/>
  <c r="Q150" i="343"/>
  <c r="J150" i="343"/>
  <c r="U150" i="343"/>
  <c r="K150" i="343" s="1"/>
  <c r="L151" i="343"/>
  <c r="Q151" i="343"/>
  <c r="J151" i="343" s="1"/>
  <c r="U151" i="343"/>
  <c r="K151" i="343" s="1"/>
  <c r="L152" i="343"/>
  <c r="Q152" i="343"/>
  <c r="J152" i="343"/>
  <c r="U152" i="343"/>
  <c r="K152" i="343" s="1"/>
  <c r="L153" i="343"/>
  <c r="Q153" i="343"/>
  <c r="J153" i="343" s="1"/>
  <c r="U153" i="343"/>
  <c r="L154" i="343"/>
  <c r="Q154" i="343"/>
  <c r="J154" i="343" s="1"/>
  <c r="U154" i="343"/>
  <c r="L155" i="343"/>
  <c r="Q155" i="343"/>
  <c r="J155" i="343"/>
  <c r="U155" i="343"/>
  <c r="K155" i="343" s="1"/>
  <c r="L156" i="343"/>
  <c r="Q156" i="343"/>
  <c r="J156" i="343" s="1"/>
  <c r="U156" i="343"/>
  <c r="K156" i="343" s="1"/>
  <c r="L157" i="343"/>
  <c r="Q157" i="343"/>
  <c r="J157" i="343" s="1"/>
  <c r="U157" i="343"/>
  <c r="K157" i="343" s="1"/>
  <c r="L158" i="343"/>
  <c r="Q158" i="343"/>
  <c r="J158" i="343" s="1"/>
  <c r="U158" i="343"/>
  <c r="K158" i="343" s="1"/>
  <c r="L159" i="343"/>
  <c r="Q159" i="343"/>
  <c r="J159" i="343" s="1"/>
  <c r="U159" i="343"/>
  <c r="K159" i="343" s="1"/>
  <c r="C160" i="343"/>
  <c r="C20" i="126" s="1"/>
  <c r="D160" i="343"/>
  <c r="D20" i="126" s="1"/>
  <c r="E160" i="343"/>
  <c r="F160" i="343"/>
  <c r="G160" i="343"/>
  <c r="G20" i="126" s="1"/>
  <c r="H160" i="343"/>
  <c r="H20" i="126" s="1"/>
  <c r="I160" i="343"/>
  <c r="I20" i="126" s="1"/>
  <c r="N160" i="343"/>
  <c r="O160" i="343"/>
  <c r="P160" i="343"/>
  <c r="R160" i="343"/>
  <c r="S160" i="343"/>
  <c r="T160" i="343"/>
  <c r="V160" i="343"/>
  <c r="W160" i="343"/>
  <c r="X160" i="343"/>
  <c r="L161" i="343"/>
  <c r="Q161" i="343"/>
  <c r="J161" i="343" s="1"/>
  <c r="U161" i="343"/>
  <c r="K161" i="343" s="1"/>
  <c r="L162" i="343"/>
  <c r="Q162" i="343"/>
  <c r="J162" i="343" s="1"/>
  <c r="U162" i="343"/>
  <c r="K162" i="343" s="1"/>
  <c r="L163" i="343"/>
  <c r="Q163" i="343"/>
  <c r="J163" i="343" s="1"/>
  <c r="U163" i="343"/>
  <c r="K163" i="343" s="1"/>
  <c r="L164" i="343"/>
  <c r="Q164" i="343"/>
  <c r="J164" i="343" s="1"/>
  <c r="U164" i="343"/>
  <c r="K164" i="343" s="1"/>
  <c r="L165" i="343"/>
  <c r="Q165" i="343"/>
  <c r="J165" i="343" s="1"/>
  <c r="U165" i="343"/>
  <c r="K165" i="343" s="1"/>
  <c r="L166" i="343"/>
  <c r="Q166" i="343"/>
  <c r="J166" i="343" s="1"/>
  <c r="U166" i="343"/>
  <c r="L167" i="343"/>
  <c r="Q167" i="343"/>
  <c r="U167" i="343"/>
  <c r="K167" i="343" s="1"/>
  <c r="L168" i="343"/>
  <c r="Q168" i="343"/>
  <c r="J168" i="343" s="1"/>
  <c r="U168" i="343"/>
  <c r="K168" i="343" s="1"/>
  <c r="L169" i="343"/>
  <c r="Q169" i="343"/>
  <c r="J169" i="343" s="1"/>
  <c r="U169" i="343"/>
  <c r="K169" i="343" s="1"/>
  <c r="L170" i="343"/>
  <c r="Q170" i="343"/>
  <c r="J170" i="343" s="1"/>
  <c r="U170" i="343"/>
  <c r="K170" i="343" s="1"/>
  <c r="C175" i="343"/>
  <c r="C24" i="126" s="1"/>
  <c r="D175" i="343"/>
  <c r="D24" i="126" s="1"/>
  <c r="E175" i="343"/>
  <c r="E24" i="126" s="1"/>
  <c r="F175" i="343"/>
  <c r="F24" i="126" s="1"/>
  <c r="G175" i="343"/>
  <c r="H175" i="343"/>
  <c r="I175" i="343"/>
  <c r="I24" i="126" s="1"/>
  <c r="J175" i="343"/>
  <c r="J24" i="126" s="1"/>
  <c r="O23" i="140" s="1"/>
  <c r="K175" i="343"/>
  <c r="K24" i="126" s="1"/>
  <c r="P23" i="140" s="1"/>
  <c r="L175" i="343"/>
  <c r="L24" i="126" s="1"/>
  <c r="Q23" i="140" s="1"/>
  <c r="C186" i="343"/>
  <c r="C25" i="126" s="1"/>
  <c r="D186" i="343"/>
  <c r="D25" i="126" s="1"/>
  <c r="E186" i="343"/>
  <c r="E25" i="126" s="1"/>
  <c r="F186" i="343"/>
  <c r="F25" i="126" s="1"/>
  <c r="G186" i="343"/>
  <c r="G25" i="126" s="1"/>
  <c r="H186" i="343"/>
  <c r="H25" i="126" s="1"/>
  <c r="I186" i="343"/>
  <c r="I25" i="126" s="1"/>
  <c r="J186" i="343"/>
  <c r="J25" i="126" s="1"/>
  <c r="O24" i="140" s="1"/>
  <c r="K186" i="343"/>
  <c r="L186" i="343"/>
  <c r="L25" i="126" s="1"/>
  <c r="Q24" i="140" s="1"/>
  <c r="C197" i="343"/>
  <c r="C26" i="126" s="1"/>
  <c r="D197" i="343"/>
  <c r="D26" i="126" s="1"/>
  <c r="E197" i="343"/>
  <c r="E26" i="126" s="1"/>
  <c r="F197" i="343"/>
  <c r="F26" i="126" s="1"/>
  <c r="G197" i="343"/>
  <c r="G26" i="126" s="1"/>
  <c r="H197" i="343"/>
  <c r="H26" i="126" s="1"/>
  <c r="I197" i="343"/>
  <c r="I26" i="126" s="1"/>
  <c r="J197" i="343"/>
  <c r="J26" i="126" s="1"/>
  <c r="O25" i="140" s="1"/>
  <c r="K197" i="343"/>
  <c r="K26" i="126" s="1"/>
  <c r="P25" i="140" s="1"/>
  <c r="L197" i="343"/>
  <c r="L26" i="126" s="1"/>
  <c r="Q25" i="140" s="1"/>
  <c r="C208" i="343"/>
  <c r="C27" i="126" s="1"/>
  <c r="D208" i="343"/>
  <c r="D27" i="126" s="1"/>
  <c r="E208" i="343"/>
  <c r="E27" i="126" s="1"/>
  <c r="F208" i="343"/>
  <c r="F27" i="126" s="1"/>
  <c r="G208" i="343"/>
  <c r="G27" i="126" s="1"/>
  <c r="H208" i="343"/>
  <c r="H27" i="126" s="1"/>
  <c r="I208" i="343"/>
  <c r="I27" i="126" s="1"/>
  <c r="J208" i="343"/>
  <c r="J27" i="126" s="1"/>
  <c r="O26" i="140" s="1"/>
  <c r="K208" i="343"/>
  <c r="K27" i="126" s="1"/>
  <c r="P26" i="140" s="1"/>
  <c r="L208" i="343"/>
  <c r="L27" i="126" s="1"/>
  <c r="Q26" i="140" s="1"/>
  <c r="C219" i="343"/>
  <c r="C28" i="126" s="1"/>
  <c r="D219" i="343"/>
  <c r="D28" i="126" s="1"/>
  <c r="E219" i="343"/>
  <c r="E28" i="126" s="1"/>
  <c r="F219" i="343"/>
  <c r="F28" i="126" s="1"/>
  <c r="G219" i="343"/>
  <c r="G28" i="126" s="1"/>
  <c r="H219" i="343"/>
  <c r="H28" i="126" s="1"/>
  <c r="I219" i="343"/>
  <c r="I28" i="126" s="1"/>
  <c r="J219" i="343"/>
  <c r="J28" i="126" s="1"/>
  <c r="O27" i="140" s="1"/>
  <c r="K219" i="343"/>
  <c r="K28" i="126" s="1"/>
  <c r="P27" i="140" s="1"/>
  <c r="L219" i="343"/>
  <c r="L28" i="126" s="1"/>
  <c r="Q27" i="140" s="1"/>
  <c r="C230" i="343"/>
  <c r="C29" i="126" s="1"/>
  <c r="D230" i="343"/>
  <c r="D29" i="126" s="1"/>
  <c r="E230" i="343"/>
  <c r="E29" i="126" s="1"/>
  <c r="F230" i="343"/>
  <c r="F29" i="126" s="1"/>
  <c r="G230" i="343"/>
  <c r="G29" i="126" s="1"/>
  <c r="H230" i="343"/>
  <c r="H29" i="126" s="1"/>
  <c r="I230" i="343"/>
  <c r="I29" i="126" s="1"/>
  <c r="J230" i="343"/>
  <c r="K230" i="343"/>
  <c r="K29" i="126" s="1"/>
  <c r="P28" i="140" s="1"/>
  <c r="L230" i="343"/>
  <c r="L29" i="126" s="1"/>
  <c r="Q28" i="140" s="1"/>
  <c r="C241" i="343"/>
  <c r="C30" i="126" s="1"/>
  <c r="D241" i="343"/>
  <c r="D30" i="126" s="1"/>
  <c r="E241" i="343"/>
  <c r="E30" i="126" s="1"/>
  <c r="F241" i="343"/>
  <c r="F30" i="126" s="1"/>
  <c r="G241" i="343"/>
  <c r="G30" i="126" s="1"/>
  <c r="H241" i="343"/>
  <c r="H30" i="126" s="1"/>
  <c r="I241" i="343"/>
  <c r="I30" i="126" s="1"/>
  <c r="J241" i="343"/>
  <c r="J30" i="126" s="1"/>
  <c r="O29" i="140" s="1"/>
  <c r="K241" i="343"/>
  <c r="K30" i="126" s="1"/>
  <c r="P29" i="140" s="1"/>
  <c r="L241" i="343"/>
  <c r="L30" i="126" s="1"/>
  <c r="Q29" i="140" s="1"/>
  <c r="C252" i="343"/>
  <c r="C31" i="126" s="1"/>
  <c r="D252" i="343"/>
  <c r="D31" i="126" s="1"/>
  <c r="E252" i="343"/>
  <c r="E31" i="126" s="1"/>
  <c r="F252" i="343"/>
  <c r="F31" i="126" s="1"/>
  <c r="G252" i="343"/>
  <c r="G31" i="126" s="1"/>
  <c r="H252" i="343"/>
  <c r="H31" i="126" s="1"/>
  <c r="I252" i="343"/>
  <c r="I31" i="126" s="1"/>
  <c r="J252" i="343"/>
  <c r="J31" i="126" s="1"/>
  <c r="O30" i="140" s="1"/>
  <c r="K252" i="343"/>
  <c r="K31" i="126" s="1"/>
  <c r="P30" i="140" s="1"/>
  <c r="L252" i="343"/>
  <c r="L31" i="126" s="1"/>
  <c r="Q30" i="140" s="1"/>
  <c r="C263" i="343"/>
  <c r="C32" i="126" s="1"/>
  <c r="D263" i="343"/>
  <c r="D32" i="126" s="1"/>
  <c r="E263" i="343"/>
  <c r="E32" i="126" s="1"/>
  <c r="F263" i="343"/>
  <c r="F32" i="126" s="1"/>
  <c r="G263" i="343"/>
  <c r="G32" i="126" s="1"/>
  <c r="H263" i="343"/>
  <c r="H32" i="126" s="1"/>
  <c r="I263" i="343"/>
  <c r="I32" i="126" s="1"/>
  <c r="J263" i="343"/>
  <c r="J32" i="126" s="1"/>
  <c r="O31" i="140" s="1"/>
  <c r="K263" i="343"/>
  <c r="K32" i="126" s="1"/>
  <c r="P31" i="140" s="1"/>
  <c r="L263" i="343"/>
  <c r="L32" i="126" s="1"/>
  <c r="Q31" i="140" s="1"/>
  <c r="C274" i="343"/>
  <c r="C33" i="126" s="1"/>
  <c r="D274" i="343"/>
  <c r="D33" i="126" s="1"/>
  <c r="E274" i="343"/>
  <c r="F274" i="343"/>
  <c r="F33" i="126" s="1"/>
  <c r="G274" i="343"/>
  <c r="G33" i="126" s="1"/>
  <c r="H274" i="343"/>
  <c r="H33" i="126" s="1"/>
  <c r="I274" i="343"/>
  <c r="I33" i="126" s="1"/>
  <c r="J274" i="343"/>
  <c r="J33" i="126" s="1"/>
  <c r="O32" i="140" s="1"/>
  <c r="K274" i="343"/>
  <c r="K33" i="126" s="1"/>
  <c r="P32" i="140" s="1"/>
  <c r="L274" i="343"/>
  <c r="L33" i="126" s="1"/>
  <c r="Q32" i="140" s="1"/>
  <c r="C285" i="343"/>
  <c r="C34" i="126" s="1"/>
  <c r="D285" i="343"/>
  <c r="D34" i="126" s="1"/>
  <c r="E285" i="343"/>
  <c r="E34" i="126" s="1"/>
  <c r="F285" i="343"/>
  <c r="F34" i="126" s="1"/>
  <c r="G285" i="343"/>
  <c r="G34" i="126" s="1"/>
  <c r="H285" i="343"/>
  <c r="H34" i="126" s="1"/>
  <c r="I285" i="343"/>
  <c r="I34" i="126" s="1"/>
  <c r="J285" i="343"/>
  <c r="J34" i="126" s="1"/>
  <c r="O33" i="140" s="1"/>
  <c r="K285" i="343"/>
  <c r="K34" i="126" s="1"/>
  <c r="L285" i="343"/>
  <c r="L34" i="126" s="1"/>
  <c r="Q33" i="140" s="1"/>
  <c r="C296" i="343"/>
  <c r="C35" i="126" s="1"/>
  <c r="D296" i="343"/>
  <c r="D35" i="126" s="1"/>
  <c r="E296" i="343"/>
  <c r="E35" i="126" s="1"/>
  <c r="F296" i="343"/>
  <c r="F35" i="126" s="1"/>
  <c r="G296" i="343"/>
  <c r="G35" i="126" s="1"/>
  <c r="H296" i="343"/>
  <c r="H35" i="126" s="1"/>
  <c r="I296" i="343"/>
  <c r="I35" i="126" s="1"/>
  <c r="J296" i="343"/>
  <c r="J35" i="126" s="1"/>
  <c r="O34" i="140" s="1"/>
  <c r="K296" i="343"/>
  <c r="K35" i="126" s="1"/>
  <c r="P34" i="140" s="1"/>
  <c r="L296" i="343"/>
  <c r="L35" i="126" s="1"/>
  <c r="Q34" i="140" s="1"/>
  <c r="C307" i="343"/>
  <c r="C36" i="126" s="1"/>
  <c r="D307" i="343"/>
  <c r="D36" i="126" s="1"/>
  <c r="E307" i="343"/>
  <c r="E36" i="126" s="1"/>
  <c r="F307" i="343"/>
  <c r="F36" i="126" s="1"/>
  <c r="G307" i="343"/>
  <c r="G36" i="126" s="1"/>
  <c r="H307" i="343"/>
  <c r="H36" i="126" s="1"/>
  <c r="I307" i="343"/>
  <c r="I36" i="126" s="1"/>
  <c r="J307" i="343"/>
  <c r="J36" i="126" s="1"/>
  <c r="O35" i="140" s="1"/>
  <c r="K307" i="343"/>
  <c r="K36" i="126" s="1"/>
  <c r="P35" i="140" s="1"/>
  <c r="L307" i="343"/>
  <c r="L36" i="126" s="1"/>
  <c r="Q35" i="140" s="1"/>
  <c r="C318" i="343"/>
  <c r="C37" i="126" s="1"/>
  <c r="D318" i="343"/>
  <c r="D37" i="126" s="1"/>
  <c r="E318" i="343"/>
  <c r="E37" i="126" s="1"/>
  <c r="F318" i="343"/>
  <c r="F37" i="126" s="1"/>
  <c r="G318" i="343"/>
  <c r="G37" i="126" s="1"/>
  <c r="H318" i="343"/>
  <c r="H37" i="126" s="1"/>
  <c r="I318" i="343"/>
  <c r="I37" i="126" s="1"/>
  <c r="J318" i="343"/>
  <c r="J37" i="126" s="1"/>
  <c r="O36" i="140" s="1"/>
  <c r="K318" i="343"/>
  <c r="K37" i="126" s="1"/>
  <c r="P36" i="140" s="1"/>
  <c r="L318" i="343"/>
  <c r="L37" i="126" s="1"/>
  <c r="Q36" i="140" s="1"/>
  <c r="C329" i="343"/>
  <c r="C38" i="126" s="1"/>
  <c r="D329" i="343"/>
  <c r="D38" i="126" s="1"/>
  <c r="E329" i="343"/>
  <c r="E38" i="126" s="1"/>
  <c r="F329" i="343"/>
  <c r="F38" i="126" s="1"/>
  <c r="G329" i="343"/>
  <c r="G38" i="126" s="1"/>
  <c r="H329" i="343"/>
  <c r="H38" i="126" s="1"/>
  <c r="I329" i="343"/>
  <c r="I38" i="126" s="1"/>
  <c r="J329" i="343"/>
  <c r="J38" i="126" s="1"/>
  <c r="O37" i="140" s="1"/>
  <c r="K329" i="343"/>
  <c r="K38" i="126" s="1"/>
  <c r="P37" i="140" s="1"/>
  <c r="L329" i="343"/>
  <c r="L38" i="126" s="1"/>
  <c r="Q37" i="140" s="1"/>
  <c r="A2" i="126"/>
  <c r="B2" i="126"/>
  <c r="C3" i="126"/>
  <c r="D3" i="126"/>
  <c r="E3" i="126"/>
  <c r="F3" i="126"/>
  <c r="G3" i="126"/>
  <c r="H3" i="126"/>
  <c r="I3" i="126"/>
  <c r="E6" i="126"/>
  <c r="E7" i="126"/>
  <c r="E8" i="126"/>
  <c r="D9" i="126"/>
  <c r="I10" i="126"/>
  <c r="G11" i="126"/>
  <c r="G13" i="126"/>
  <c r="C14" i="126"/>
  <c r="D15" i="126"/>
  <c r="H15" i="126"/>
  <c r="F19" i="126"/>
  <c r="E20" i="126"/>
  <c r="C43" i="126"/>
  <c r="D43" i="126"/>
  <c r="E43" i="126"/>
  <c r="F43" i="126"/>
  <c r="G43" i="126"/>
  <c r="H43" i="126"/>
  <c r="I43" i="126"/>
  <c r="J43" i="126"/>
  <c r="O5" i="300" s="1"/>
  <c r="K43" i="126"/>
  <c r="P5" i="300" s="1"/>
  <c r="L43" i="126"/>
  <c r="Q5" i="300" s="1"/>
  <c r="C47" i="126"/>
  <c r="D47" i="126"/>
  <c r="E47" i="126"/>
  <c r="F47" i="126"/>
  <c r="G47" i="126"/>
  <c r="H47" i="126"/>
  <c r="I47" i="126"/>
  <c r="J47" i="126"/>
  <c r="O9" i="300" s="1"/>
  <c r="K47" i="126"/>
  <c r="P9" i="300" s="1"/>
  <c r="L47" i="126"/>
  <c r="Q9" i="300" s="1"/>
  <c r="C53" i="126"/>
  <c r="D53" i="126"/>
  <c r="E53" i="126"/>
  <c r="F53" i="126"/>
  <c r="G53" i="126"/>
  <c r="H53" i="126"/>
  <c r="I53" i="126"/>
  <c r="J53" i="126"/>
  <c r="O15" i="300" s="1"/>
  <c r="K53" i="126"/>
  <c r="P15" i="300" s="1"/>
  <c r="L53" i="126"/>
  <c r="Q15" i="300" s="1"/>
  <c r="C57" i="126"/>
  <c r="D57" i="126"/>
  <c r="E57" i="126"/>
  <c r="F57" i="126"/>
  <c r="G57" i="126"/>
  <c r="H57" i="126"/>
  <c r="I57" i="126"/>
  <c r="J57" i="126"/>
  <c r="O19" i="300" s="1"/>
  <c r="K57" i="126"/>
  <c r="P19" i="300" s="1"/>
  <c r="L57" i="126"/>
  <c r="Q19" i="300" s="1"/>
  <c r="C70" i="126"/>
  <c r="B28" i="86" s="1"/>
  <c r="D70" i="126"/>
  <c r="D74" i="126" s="1"/>
  <c r="E70" i="126"/>
  <c r="D28" i="86" s="1"/>
  <c r="F107" i="123" s="1"/>
  <c r="F70" i="126"/>
  <c r="E28" i="86" s="1"/>
  <c r="G70" i="126"/>
  <c r="H70" i="126"/>
  <c r="G28" i="86" s="1"/>
  <c r="I107" i="123" s="1"/>
  <c r="I70" i="126"/>
  <c r="H28" i="86" s="1"/>
  <c r="J107" i="123" s="1"/>
  <c r="J70" i="126"/>
  <c r="I28" i="86" s="1"/>
  <c r="K70" i="126"/>
  <c r="K74" i="126" s="1"/>
  <c r="L70" i="126"/>
  <c r="L74" i="126" s="1"/>
  <c r="A75" i="126"/>
  <c r="A2" i="127"/>
  <c r="B2" i="127"/>
  <c r="M2" i="127"/>
  <c r="C3" i="127"/>
  <c r="D3" i="127"/>
  <c r="E3" i="127"/>
  <c r="F3" i="127"/>
  <c r="G3" i="127"/>
  <c r="H3" i="127"/>
  <c r="I3" i="127"/>
  <c r="M21" i="127"/>
  <c r="N21" i="127"/>
  <c r="N37" i="127" s="1"/>
  <c r="O21" i="127"/>
  <c r="P21" i="127"/>
  <c r="Q21" i="127"/>
  <c r="R21" i="127"/>
  <c r="S21" i="127"/>
  <c r="T21" i="127"/>
  <c r="U21" i="127"/>
  <c r="U37" i="127" s="1"/>
  <c r="V21" i="127"/>
  <c r="V37" i="127" s="1"/>
  <c r="W21" i="127"/>
  <c r="X21" i="127"/>
  <c r="M35" i="127"/>
  <c r="N35" i="127"/>
  <c r="O35" i="127"/>
  <c r="P35" i="127"/>
  <c r="Q35" i="127"/>
  <c r="R35" i="127"/>
  <c r="S35" i="127"/>
  <c r="T35" i="127"/>
  <c r="U35" i="127"/>
  <c r="V35" i="127"/>
  <c r="W35" i="127"/>
  <c r="W37" i="127" s="1"/>
  <c r="X35" i="127"/>
  <c r="C21" i="86"/>
  <c r="P39" i="137"/>
  <c r="A47" i="127"/>
  <c r="A24" i="86" s="1"/>
  <c r="M47" i="127"/>
  <c r="N47" i="127"/>
  <c r="O47" i="127"/>
  <c r="P47" i="127"/>
  <c r="Q47" i="127"/>
  <c r="R47" i="127"/>
  <c r="S47" i="127"/>
  <c r="T47" i="127"/>
  <c r="U47" i="127"/>
  <c r="V47" i="127"/>
  <c r="W47" i="127"/>
  <c r="X47" i="127"/>
  <c r="A48" i="127"/>
  <c r="A2" i="342"/>
  <c r="B2" i="342"/>
  <c r="L2" i="342"/>
  <c r="C3" i="342"/>
  <c r="D3" i="342"/>
  <c r="E3" i="342"/>
  <c r="F3" i="342"/>
  <c r="G3" i="342"/>
  <c r="H3" i="342"/>
  <c r="C5" i="342"/>
  <c r="C5" i="233" s="1"/>
  <c r="D5" i="342"/>
  <c r="D5" i="233" s="1"/>
  <c r="E5" i="342"/>
  <c r="E5" i="233" s="1"/>
  <c r="F5" i="342"/>
  <c r="F5" i="233" s="1"/>
  <c r="G5" i="342"/>
  <c r="G5" i="233" s="1"/>
  <c r="H5" i="342"/>
  <c r="I5" i="342"/>
  <c r="I5" i="233" s="1"/>
  <c r="O5" i="299" s="1"/>
  <c r="J5" i="342"/>
  <c r="J5" i="233" s="1"/>
  <c r="P5" i="299" s="1"/>
  <c r="K5" i="342"/>
  <c r="C16" i="342"/>
  <c r="C6" i="233" s="1"/>
  <c r="D16" i="342"/>
  <c r="D6" i="233" s="1"/>
  <c r="E16" i="342"/>
  <c r="E6" i="233" s="1"/>
  <c r="F16" i="342"/>
  <c r="F6" i="233" s="1"/>
  <c r="G16" i="342"/>
  <c r="G6" i="233" s="1"/>
  <c r="H16" i="342"/>
  <c r="H6" i="233" s="1"/>
  <c r="I16" i="342"/>
  <c r="I6" i="233" s="1"/>
  <c r="O6" i="299" s="1"/>
  <c r="J16" i="342"/>
  <c r="J6" i="233" s="1"/>
  <c r="P6" i="299" s="1"/>
  <c r="K16" i="342"/>
  <c r="K6" i="233" s="1"/>
  <c r="Q6" i="299" s="1"/>
  <c r="C27" i="342"/>
  <c r="C7" i="233" s="1"/>
  <c r="D27" i="342"/>
  <c r="D7" i="233" s="1"/>
  <c r="E27" i="342"/>
  <c r="E7" i="233" s="1"/>
  <c r="F27" i="342"/>
  <c r="F7" i="233" s="1"/>
  <c r="G27" i="342"/>
  <c r="G7" i="233" s="1"/>
  <c r="H27" i="342"/>
  <c r="H7" i="233" s="1"/>
  <c r="I27" i="342"/>
  <c r="I7" i="233" s="1"/>
  <c r="O7" i="299" s="1"/>
  <c r="J27" i="342"/>
  <c r="J7" i="233" s="1"/>
  <c r="P7" i="299" s="1"/>
  <c r="K27" i="342"/>
  <c r="K7" i="233" s="1"/>
  <c r="Q7" i="299" s="1"/>
  <c r="C38" i="342"/>
  <c r="C8" i="233" s="1"/>
  <c r="D38" i="342"/>
  <c r="D8" i="233" s="1"/>
  <c r="E38" i="342"/>
  <c r="E8" i="233" s="1"/>
  <c r="F38" i="342"/>
  <c r="F8" i="233" s="1"/>
  <c r="G38" i="342"/>
  <c r="G8" i="233" s="1"/>
  <c r="H38" i="342"/>
  <c r="H8" i="233" s="1"/>
  <c r="I38" i="342"/>
  <c r="I8" i="233" s="1"/>
  <c r="O8" i="299" s="1"/>
  <c r="J38" i="342"/>
  <c r="J8" i="233" s="1"/>
  <c r="P8" i="299" s="1"/>
  <c r="K38" i="342"/>
  <c r="K8" i="233" s="1"/>
  <c r="Q8" i="299" s="1"/>
  <c r="C49" i="342"/>
  <c r="C9" i="233" s="1"/>
  <c r="D49" i="342"/>
  <c r="D9" i="233" s="1"/>
  <c r="E49" i="342"/>
  <c r="E9" i="233" s="1"/>
  <c r="F49" i="342"/>
  <c r="F9" i="233" s="1"/>
  <c r="G49" i="342"/>
  <c r="G9" i="233" s="1"/>
  <c r="H49" i="342"/>
  <c r="H9" i="233" s="1"/>
  <c r="I49" i="342"/>
  <c r="I9" i="233" s="1"/>
  <c r="O9" i="299" s="1"/>
  <c r="J49" i="342"/>
  <c r="J9" i="233" s="1"/>
  <c r="P9" i="299" s="1"/>
  <c r="K49" i="342"/>
  <c r="K9" i="233" s="1"/>
  <c r="Q9" i="299" s="1"/>
  <c r="C60" i="342"/>
  <c r="C10" i="233" s="1"/>
  <c r="D60" i="342"/>
  <c r="D10" i="233" s="1"/>
  <c r="E60" i="342"/>
  <c r="E10" i="233" s="1"/>
  <c r="F60" i="342"/>
  <c r="F10" i="233" s="1"/>
  <c r="G60" i="342"/>
  <c r="G10" i="233" s="1"/>
  <c r="H60" i="342"/>
  <c r="H10" i="233" s="1"/>
  <c r="I60" i="342"/>
  <c r="I10" i="233" s="1"/>
  <c r="O10" i="299" s="1"/>
  <c r="J60" i="342"/>
  <c r="J10" i="233" s="1"/>
  <c r="P10" i="299" s="1"/>
  <c r="K60" i="342"/>
  <c r="K10" i="233" s="1"/>
  <c r="Q10" i="299" s="1"/>
  <c r="C71" i="342"/>
  <c r="C11" i="233" s="1"/>
  <c r="D71" i="342"/>
  <c r="D11" i="233" s="1"/>
  <c r="E71" i="342"/>
  <c r="E11" i="233" s="1"/>
  <c r="F71" i="342"/>
  <c r="F11" i="233" s="1"/>
  <c r="G71" i="342"/>
  <c r="G11" i="233" s="1"/>
  <c r="H71" i="342"/>
  <c r="H11" i="233" s="1"/>
  <c r="I71" i="342"/>
  <c r="I11" i="233" s="1"/>
  <c r="O11" i="299" s="1"/>
  <c r="J71" i="342"/>
  <c r="J11" i="233" s="1"/>
  <c r="P11" i="299" s="1"/>
  <c r="K71" i="342"/>
  <c r="K11" i="233" s="1"/>
  <c r="Q11" i="299" s="1"/>
  <c r="C82" i="342"/>
  <c r="C12" i="233" s="1"/>
  <c r="D82" i="342"/>
  <c r="D12" i="233" s="1"/>
  <c r="E82" i="342"/>
  <c r="E12" i="233" s="1"/>
  <c r="F82" i="342"/>
  <c r="F12" i="233" s="1"/>
  <c r="G82" i="342"/>
  <c r="G12" i="233" s="1"/>
  <c r="H82" i="342"/>
  <c r="H12" i="233" s="1"/>
  <c r="I82" i="342"/>
  <c r="I12" i="233" s="1"/>
  <c r="J82" i="342"/>
  <c r="J12" i="233" s="1"/>
  <c r="P12" i="299" s="1"/>
  <c r="K82" i="342"/>
  <c r="K12" i="233" s="1"/>
  <c r="Q12" i="299" s="1"/>
  <c r="C93" i="342"/>
  <c r="C13" i="233" s="1"/>
  <c r="D93" i="342"/>
  <c r="D13" i="233" s="1"/>
  <c r="E93" i="342"/>
  <c r="E13" i="233" s="1"/>
  <c r="F93" i="342"/>
  <c r="G93" i="342"/>
  <c r="G13" i="233" s="1"/>
  <c r="H93" i="342"/>
  <c r="H13" i="233" s="1"/>
  <c r="I93" i="342"/>
  <c r="I13" i="233" s="1"/>
  <c r="O13" i="299" s="1"/>
  <c r="J93" i="342"/>
  <c r="J13" i="233" s="1"/>
  <c r="P13" i="299" s="1"/>
  <c r="K93" i="342"/>
  <c r="K13" i="233" s="1"/>
  <c r="Q13" i="299" s="1"/>
  <c r="C104" i="342"/>
  <c r="C14" i="233" s="1"/>
  <c r="D104" i="342"/>
  <c r="D14" i="233" s="1"/>
  <c r="E104" i="342"/>
  <c r="E14" i="233" s="1"/>
  <c r="F104" i="342"/>
  <c r="F14" i="233" s="1"/>
  <c r="G104" i="342"/>
  <c r="G14" i="233" s="1"/>
  <c r="H104" i="342"/>
  <c r="H14" i="233" s="1"/>
  <c r="I104" i="342"/>
  <c r="I14" i="233" s="1"/>
  <c r="O14" i="299" s="1"/>
  <c r="J104" i="342"/>
  <c r="J14" i="233" s="1"/>
  <c r="P14" i="299" s="1"/>
  <c r="K104" i="342"/>
  <c r="K14" i="233" s="1"/>
  <c r="Q14" i="299" s="1"/>
  <c r="C115" i="342"/>
  <c r="C15" i="233" s="1"/>
  <c r="D115" i="342"/>
  <c r="D15" i="233" s="1"/>
  <c r="E115" i="342"/>
  <c r="E15" i="233" s="1"/>
  <c r="F115" i="342"/>
  <c r="F15" i="233" s="1"/>
  <c r="G115" i="342"/>
  <c r="G15" i="233" s="1"/>
  <c r="H115" i="342"/>
  <c r="H15" i="233" s="1"/>
  <c r="I115" i="342"/>
  <c r="I15" i="233" s="1"/>
  <c r="O15" i="299" s="1"/>
  <c r="J115" i="342"/>
  <c r="J15" i="233" s="1"/>
  <c r="P15" i="299" s="1"/>
  <c r="K115" i="342"/>
  <c r="K15" i="233" s="1"/>
  <c r="Q15" i="299" s="1"/>
  <c r="C126" i="342"/>
  <c r="C16" i="233" s="1"/>
  <c r="D126" i="342"/>
  <c r="D16" i="233" s="1"/>
  <c r="E126" i="342"/>
  <c r="E16" i="233" s="1"/>
  <c r="F126" i="342"/>
  <c r="F16" i="233" s="1"/>
  <c r="G126" i="342"/>
  <c r="G16" i="233" s="1"/>
  <c r="H126" i="342"/>
  <c r="H16" i="233" s="1"/>
  <c r="I126" i="342"/>
  <c r="I16" i="233" s="1"/>
  <c r="O16" i="299" s="1"/>
  <c r="J126" i="342"/>
  <c r="J16" i="233" s="1"/>
  <c r="P16" i="299" s="1"/>
  <c r="K126" i="342"/>
  <c r="K16" i="233" s="1"/>
  <c r="Q16" i="299" s="1"/>
  <c r="C137" i="342"/>
  <c r="C17" i="233" s="1"/>
  <c r="D137" i="342"/>
  <c r="D17" i="233" s="1"/>
  <c r="E137" i="342"/>
  <c r="E17" i="233" s="1"/>
  <c r="F137" i="342"/>
  <c r="F17" i="233" s="1"/>
  <c r="G137" i="342"/>
  <c r="G17" i="233" s="1"/>
  <c r="H137" i="342"/>
  <c r="H17" i="233" s="1"/>
  <c r="I137" i="342"/>
  <c r="I17" i="233" s="1"/>
  <c r="O17" i="299" s="1"/>
  <c r="J137" i="342"/>
  <c r="J17" i="233" s="1"/>
  <c r="K137" i="342"/>
  <c r="K17" i="233" s="1"/>
  <c r="Q17" i="299" s="1"/>
  <c r="C148" i="342"/>
  <c r="C18" i="233" s="1"/>
  <c r="D148" i="342"/>
  <c r="D18" i="233" s="1"/>
  <c r="E148" i="342"/>
  <c r="E18" i="233" s="1"/>
  <c r="F148" i="342"/>
  <c r="F18" i="233" s="1"/>
  <c r="G148" i="342"/>
  <c r="G18" i="233" s="1"/>
  <c r="H148" i="342"/>
  <c r="H18" i="233" s="1"/>
  <c r="I148" i="342"/>
  <c r="I18" i="233" s="1"/>
  <c r="O18" i="299" s="1"/>
  <c r="J148" i="342"/>
  <c r="J18" i="233" s="1"/>
  <c r="P18" i="299" s="1"/>
  <c r="K148" i="342"/>
  <c r="K18" i="233" s="1"/>
  <c r="Q18" i="299" s="1"/>
  <c r="C159" i="342"/>
  <c r="C19" i="233" s="1"/>
  <c r="D159" i="342"/>
  <c r="D19" i="233" s="1"/>
  <c r="E159" i="342"/>
  <c r="E19" i="233" s="1"/>
  <c r="F159" i="342"/>
  <c r="F19" i="233" s="1"/>
  <c r="G159" i="342"/>
  <c r="H159" i="342"/>
  <c r="H19" i="233" s="1"/>
  <c r="I159" i="342"/>
  <c r="I19" i="233" s="1"/>
  <c r="O19" i="299" s="1"/>
  <c r="J159" i="342"/>
  <c r="J19" i="233" s="1"/>
  <c r="P19" i="299" s="1"/>
  <c r="K159" i="342"/>
  <c r="K19" i="233" s="1"/>
  <c r="Q19" i="299" s="1"/>
  <c r="L170" i="342"/>
  <c r="M170" i="342"/>
  <c r="N170" i="342"/>
  <c r="O170" i="342"/>
  <c r="P170" i="342"/>
  <c r="Q170" i="342"/>
  <c r="R170" i="342"/>
  <c r="S170" i="342"/>
  <c r="S340" i="342" s="1"/>
  <c r="T170" i="342"/>
  <c r="T340" i="342" s="1"/>
  <c r="U170" i="342"/>
  <c r="V170" i="342"/>
  <c r="W170" i="342"/>
  <c r="C173" i="342"/>
  <c r="D173" i="342"/>
  <c r="D23" i="233" s="1"/>
  <c r="E173" i="342"/>
  <c r="E23" i="233" s="1"/>
  <c r="F173" i="342"/>
  <c r="F23" i="233" s="1"/>
  <c r="G173" i="342"/>
  <c r="G23" i="233" s="1"/>
  <c r="H173" i="342"/>
  <c r="H23" i="233" s="1"/>
  <c r="I173" i="342"/>
  <c r="I23" i="233" s="1"/>
  <c r="O23" i="299" s="1"/>
  <c r="J173" i="342"/>
  <c r="J23" i="233" s="1"/>
  <c r="P23" i="299" s="1"/>
  <c r="K173" i="342"/>
  <c r="K23" i="233" s="1"/>
  <c r="Q23" i="299" s="1"/>
  <c r="C184" i="342"/>
  <c r="C24" i="233" s="1"/>
  <c r="D184" i="342"/>
  <c r="D24" i="233" s="1"/>
  <c r="E184" i="342"/>
  <c r="E24" i="233" s="1"/>
  <c r="F184" i="342"/>
  <c r="F24" i="233" s="1"/>
  <c r="G184" i="342"/>
  <c r="H184" i="342"/>
  <c r="H24" i="233" s="1"/>
  <c r="I184" i="342"/>
  <c r="I24" i="233" s="1"/>
  <c r="O24" i="299" s="1"/>
  <c r="J184" i="342"/>
  <c r="J24" i="233" s="1"/>
  <c r="P24" i="299" s="1"/>
  <c r="K184" i="342"/>
  <c r="K24" i="233" s="1"/>
  <c r="Q24" i="299" s="1"/>
  <c r="C195" i="342"/>
  <c r="C25" i="233" s="1"/>
  <c r="D195" i="342"/>
  <c r="D25" i="233" s="1"/>
  <c r="E195" i="342"/>
  <c r="E25" i="233" s="1"/>
  <c r="F195" i="342"/>
  <c r="F25" i="233" s="1"/>
  <c r="G195" i="342"/>
  <c r="G25" i="233" s="1"/>
  <c r="H195" i="342"/>
  <c r="H25" i="233" s="1"/>
  <c r="I195" i="342"/>
  <c r="I25" i="233" s="1"/>
  <c r="O25" i="299" s="1"/>
  <c r="J195" i="342"/>
  <c r="J25" i="233" s="1"/>
  <c r="P25" i="299" s="1"/>
  <c r="K195" i="342"/>
  <c r="K25" i="233" s="1"/>
  <c r="Q25" i="299" s="1"/>
  <c r="C206" i="342"/>
  <c r="C26" i="233" s="1"/>
  <c r="D206" i="342"/>
  <c r="D26" i="233" s="1"/>
  <c r="E206" i="342"/>
  <c r="E26" i="233" s="1"/>
  <c r="F206" i="342"/>
  <c r="G206" i="342"/>
  <c r="G26" i="233" s="1"/>
  <c r="H206" i="342"/>
  <c r="H26" i="233" s="1"/>
  <c r="I206" i="342"/>
  <c r="I26" i="233" s="1"/>
  <c r="O26" i="299" s="1"/>
  <c r="J206" i="342"/>
  <c r="J26" i="233" s="1"/>
  <c r="P26" i="299" s="1"/>
  <c r="K206" i="342"/>
  <c r="K26" i="233" s="1"/>
  <c r="Q26" i="299" s="1"/>
  <c r="C217" i="342"/>
  <c r="C27" i="233" s="1"/>
  <c r="D217" i="342"/>
  <c r="D27" i="233" s="1"/>
  <c r="E217" i="342"/>
  <c r="E27" i="233" s="1"/>
  <c r="F217" i="342"/>
  <c r="F27" i="233" s="1"/>
  <c r="G217" i="342"/>
  <c r="G27" i="233" s="1"/>
  <c r="H217" i="342"/>
  <c r="H27" i="233" s="1"/>
  <c r="I217" i="342"/>
  <c r="I27" i="233" s="1"/>
  <c r="O27" i="299" s="1"/>
  <c r="J217" i="342"/>
  <c r="J27" i="233" s="1"/>
  <c r="P27" i="299" s="1"/>
  <c r="K217" i="342"/>
  <c r="K27" i="233" s="1"/>
  <c r="Q27" i="299" s="1"/>
  <c r="C228" i="342"/>
  <c r="C28" i="233" s="1"/>
  <c r="D228" i="342"/>
  <c r="D28" i="233" s="1"/>
  <c r="E228" i="342"/>
  <c r="E28" i="233" s="1"/>
  <c r="F228" i="342"/>
  <c r="F28" i="233" s="1"/>
  <c r="G228" i="342"/>
  <c r="G28" i="233" s="1"/>
  <c r="H228" i="342"/>
  <c r="H28" i="233" s="1"/>
  <c r="I228" i="342"/>
  <c r="I28" i="233" s="1"/>
  <c r="O28" i="299" s="1"/>
  <c r="J228" i="342"/>
  <c r="J28" i="233" s="1"/>
  <c r="P28" i="299" s="1"/>
  <c r="K228" i="342"/>
  <c r="K28" i="233" s="1"/>
  <c r="Q28" i="299" s="1"/>
  <c r="C239" i="342"/>
  <c r="C29" i="233" s="1"/>
  <c r="D239" i="342"/>
  <c r="D29" i="233" s="1"/>
  <c r="E239" i="342"/>
  <c r="E29" i="233" s="1"/>
  <c r="F239" i="342"/>
  <c r="F29" i="233" s="1"/>
  <c r="G239" i="342"/>
  <c r="G29" i="233" s="1"/>
  <c r="H239" i="342"/>
  <c r="H29" i="233" s="1"/>
  <c r="I239" i="342"/>
  <c r="I29" i="233" s="1"/>
  <c r="O29" i="299" s="1"/>
  <c r="J239" i="342"/>
  <c r="J29" i="233" s="1"/>
  <c r="P29" i="299" s="1"/>
  <c r="K239" i="342"/>
  <c r="K29" i="233" s="1"/>
  <c r="Q29" i="299" s="1"/>
  <c r="C250" i="342"/>
  <c r="C30" i="233" s="1"/>
  <c r="D250" i="342"/>
  <c r="D30" i="233" s="1"/>
  <c r="E250" i="342"/>
  <c r="E30" i="233" s="1"/>
  <c r="F250" i="342"/>
  <c r="F30" i="233" s="1"/>
  <c r="G250" i="342"/>
  <c r="G30" i="233" s="1"/>
  <c r="H250" i="342"/>
  <c r="H30" i="233" s="1"/>
  <c r="I250" i="342"/>
  <c r="I30" i="233" s="1"/>
  <c r="O30" i="299" s="1"/>
  <c r="J250" i="342"/>
  <c r="J30" i="233" s="1"/>
  <c r="P30" i="299" s="1"/>
  <c r="K250" i="342"/>
  <c r="K30" i="233" s="1"/>
  <c r="Q30" i="299" s="1"/>
  <c r="C261" i="342"/>
  <c r="C31" i="233" s="1"/>
  <c r="D261" i="342"/>
  <c r="D31" i="233" s="1"/>
  <c r="E261" i="342"/>
  <c r="E31" i="233" s="1"/>
  <c r="F261" i="342"/>
  <c r="F31" i="233" s="1"/>
  <c r="G261" i="342"/>
  <c r="G31" i="233" s="1"/>
  <c r="H261" i="342"/>
  <c r="H31" i="233" s="1"/>
  <c r="I261" i="342"/>
  <c r="I31" i="233" s="1"/>
  <c r="J261" i="342"/>
  <c r="J31" i="233" s="1"/>
  <c r="P31" i="299" s="1"/>
  <c r="K261" i="342"/>
  <c r="K31" i="233" s="1"/>
  <c r="Q31" i="299" s="1"/>
  <c r="C272" i="342"/>
  <c r="C32" i="233" s="1"/>
  <c r="D272" i="342"/>
  <c r="D32" i="233" s="1"/>
  <c r="E272" i="342"/>
  <c r="E32" i="233" s="1"/>
  <c r="F272" i="342"/>
  <c r="F32" i="233" s="1"/>
  <c r="G272" i="342"/>
  <c r="G32" i="233" s="1"/>
  <c r="H272" i="342"/>
  <c r="H32" i="233" s="1"/>
  <c r="I272" i="342"/>
  <c r="I32" i="233" s="1"/>
  <c r="O32" i="299" s="1"/>
  <c r="J272" i="342"/>
  <c r="J32" i="233" s="1"/>
  <c r="P32" i="299" s="1"/>
  <c r="K272" i="342"/>
  <c r="K32" i="233" s="1"/>
  <c r="Q32" i="299" s="1"/>
  <c r="C283" i="342"/>
  <c r="C33" i="233" s="1"/>
  <c r="D283" i="342"/>
  <c r="D33" i="233" s="1"/>
  <c r="E283" i="342"/>
  <c r="E33" i="233" s="1"/>
  <c r="F283" i="342"/>
  <c r="F33" i="233" s="1"/>
  <c r="G283" i="342"/>
  <c r="G33" i="233" s="1"/>
  <c r="H283" i="342"/>
  <c r="H33" i="233" s="1"/>
  <c r="I283" i="342"/>
  <c r="I33" i="233" s="1"/>
  <c r="O33" i="299" s="1"/>
  <c r="J283" i="342"/>
  <c r="J33" i="233" s="1"/>
  <c r="K283" i="342"/>
  <c r="K33" i="233" s="1"/>
  <c r="Q33" i="299" s="1"/>
  <c r="C294" i="342"/>
  <c r="C34" i="233" s="1"/>
  <c r="D294" i="342"/>
  <c r="D34" i="233" s="1"/>
  <c r="E294" i="342"/>
  <c r="E34" i="233" s="1"/>
  <c r="F294" i="342"/>
  <c r="F34" i="233" s="1"/>
  <c r="G294" i="342"/>
  <c r="G34" i="233" s="1"/>
  <c r="H294" i="342"/>
  <c r="H34" i="233" s="1"/>
  <c r="I294" i="342"/>
  <c r="I34" i="233" s="1"/>
  <c r="O34" i="299" s="1"/>
  <c r="J294" i="342"/>
  <c r="J34" i="233" s="1"/>
  <c r="P34" i="299" s="1"/>
  <c r="K294" i="342"/>
  <c r="K34" i="233" s="1"/>
  <c r="Q34" i="299" s="1"/>
  <c r="C305" i="342"/>
  <c r="C35" i="233" s="1"/>
  <c r="D305" i="342"/>
  <c r="D35" i="233" s="1"/>
  <c r="E305" i="342"/>
  <c r="E35" i="233" s="1"/>
  <c r="F305" i="342"/>
  <c r="F35" i="233" s="1"/>
  <c r="G305" i="342"/>
  <c r="G35" i="233" s="1"/>
  <c r="H305" i="342"/>
  <c r="H35" i="233" s="1"/>
  <c r="I305" i="342"/>
  <c r="I35" i="233" s="1"/>
  <c r="O35" i="299" s="1"/>
  <c r="J305" i="342"/>
  <c r="J35" i="233" s="1"/>
  <c r="P35" i="299" s="1"/>
  <c r="K305" i="342"/>
  <c r="K35" i="233" s="1"/>
  <c r="Q35" i="299" s="1"/>
  <c r="C316" i="342"/>
  <c r="C36" i="233" s="1"/>
  <c r="D316" i="342"/>
  <c r="D36" i="233" s="1"/>
  <c r="E316" i="342"/>
  <c r="E36" i="233" s="1"/>
  <c r="F316" i="342"/>
  <c r="F36" i="233" s="1"/>
  <c r="G316" i="342"/>
  <c r="G36" i="233" s="1"/>
  <c r="H316" i="342"/>
  <c r="H36" i="233" s="1"/>
  <c r="I316" i="342"/>
  <c r="I36" i="233" s="1"/>
  <c r="O36" i="299" s="1"/>
  <c r="J316" i="342"/>
  <c r="J36" i="233" s="1"/>
  <c r="P36" i="299" s="1"/>
  <c r="K316" i="342"/>
  <c r="K36" i="233" s="1"/>
  <c r="Q36" i="299" s="1"/>
  <c r="C327" i="342"/>
  <c r="C37" i="233" s="1"/>
  <c r="D327" i="342"/>
  <c r="D37" i="233" s="1"/>
  <c r="E327" i="342"/>
  <c r="E37" i="233" s="1"/>
  <c r="F327" i="342"/>
  <c r="F37" i="233" s="1"/>
  <c r="G327" i="342"/>
  <c r="G37" i="233" s="1"/>
  <c r="H327" i="342"/>
  <c r="H37" i="233" s="1"/>
  <c r="I327" i="342"/>
  <c r="I37" i="233" s="1"/>
  <c r="O37" i="299" s="1"/>
  <c r="J327" i="342"/>
  <c r="J37" i="233" s="1"/>
  <c r="P37" i="299" s="1"/>
  <c r="K327" i="342"/>
  <c r="K37" i="233" s="1"/>
  <c r="Q37" i="299" s="1"/>
  <c r="L338" i="342"/>
  <c r="M338" i="342"/>
  <c r="N338" i="342"/>
  <c r="O338" i="342"/>
  <c r="P338" i="342"/>
  <c r="Q338" i="342"/>
  <c r="R338" i="342"/>
  <c r="S338" i="342"/>
  <c r="T338" i="342"/>
  <c r="U338" i="342"/>
  <c r="V338" i="342"/>
  <c r="W338" i="342"/>
  <c r="W340" i="342" s="1"/>
  <c r="A340" i="342"/>
  <c r="A341" i="342"/>
  <c r="A2" i="233"/>
  <c r="B2" i="233"/>
  <c r="L2" i="233"/>
  <c r="C3" i="233"/>
  <c r="D3" i="233"/>
  <c r="E3" i="233"/>
  <c r="F3" i="233"/>
  <c r="G3" i="233"/>
  <c r="H3" i="233"/>
  <c r="L15" i="233"/>
  <c r="L19" i="233"/>
  <c r="L33" i="233"/>
  <c r="L34" i="233"/>
  <c r="L35" i="233"/>
  <c r="L36" i="233"/>
  <c r="L37" i="233"/>
  <c r="L38" i="233"/>
  <c r="L39" i="233" s="1"/>
  <c r="M38" i="233"/>
  <c r="M39" i="233" s="1"/>
  <c r="N38" i="233"/>
  <c r="N39" i="233" s="1"/>
  <c r="O38" i="233"/>
  <c r="O39" i="233" s="1"/>
  <c r="P38" i="233"/>
  <c r="P39" i="233" s="1"/>
  <c r="Q38" i="233"/>
  <c r="Q39" i="233" s="1"/>
  <c r="R38" i="233"/>
  <c r="R39" i="233"/>
  <c r="S38" i="233"/>
  <c r="S39" i="233" s="1"/>
  <c r="T38" i="233"/>
  <c r="T39" i="233" s="1"/>
  <c r="U38" i="233"/>
  <c r="U39" i="233" s="1"/>
  <c r="V38" i="233"/>
  <c r="V39" i="233" s="1"/>
  <c r="W38" i="233"/>
  <c r="W39" i="233" s="1"/>
  <c r="A39" i="233"/>
  <c r="A45" i="233" s="1"/>
  <c r="A40" i="233"/>
  <c r="B2" i="351"/>
  <c r="C3" i="351"/>
  <c r="D3" i="351"/>
  <c r="E3" i="351"/>
  <c r="F3" i="351"/>
  <c r="G3" i="351"/>
  <c r="H3" i="351"/>
  <c r="C6" i="351"/>
  <c r="C6" i="133" s="1"/>
  <c r="D6" i="351"/>
  <c r="D6" i="133" s="1"/>
  <c r="E6" i="351"/>
  <c r="E6" i="133" s="1"/>
  <c r="F6" i="351"/>
  <c r="F6" i="133" s="1"/>
  <c r="G6" i="351"/>
  <c r="G6" i="133" s="1"/>
  <c r="H6" i="351"/>
  <c r="H6" i="133" s="1"/>
  <c r="I6" i="351"/>
  <c r="I6" i="133" s="1"/>
  <c r="O6" i="298" s="1"/>
  <c r="J6" i="351"/>
  <c r="J6" i="133" s="1"/>
  <c r="P6" i="298" s="1"/>
  <c r="K6" i="351"/>
  <c r="K6" i="133" s="1"/>
  <c r="Q6" i="298" s="1"/>
  <c r="C23" i="351"/>
  <c r="C8" i="133" s="1"/>
  <c r="D23" i="351"/>
  <c r="D8" i="133" s="1"/>
  <c r="E23" i="351"/>
  <c r="E8" i="133" s="1"/>
  <c r="F23" i="351"/>
  <c r="F8" i="133" s="1"/>
  <c r="G23" i="351"/>
  <c r="G8" i="133" s="1"/>
  <c r="H23" i="351"/>
  <c r="H8" i="133" s="1"/>
  <c r="I23" i="351"/>
  <c r="I8" i="133" s="1"/>
  <c r="O8" i="298" s="1"/>
  <c r="J23" i="351"/>
  <c r="K23" i="351"/>
  <c r="K8" i="133" s="1"/>
  <c r="Q8" i="298" s="1"/>
  <c r="C54" i="351"/>
  <c r="C12" i="133" s="1"/>
  <c r="D54" i="351"/>
  <c r="D12" i="133" s="1"/>
  <c r="E54" i="351"/>
  <c r="E12" i="133" s="1"/>
  <c r="F54" i="351"/>
  <c r="F12" i="133" s="1"/>
  <c r="G54" i="351"/>
  <c r="G12" i="133" s="1"/>
  <c r="H54" i="351"/>
  <c r="H12" i="133" s="1"/>
  <c r="I54" i="351"/>
  <c r="I12" i="133" s="1"/>
  <c r="O12" i="298" s="1"/>
  <c r="J54" i="351"/>
  <c r="J12" i="133" s="1"/>
  <c r="P12" i="298" s="1"/>
  <c r="K54" i="351"/>
  <c r="K12" i="133" s="1"/>
  <c r="Q12" i="298" s="1"/>
  <c r="C107" i="351"/>
  <c r="C22" i="133" s="1"/>
  <c r="D107" i="351"/>
  <c r="D22" i="133" s="1"/>
  <c r="E107" i="351"/>
  <c r="E22" i="133" s="1"/>
  <c r="F107" i="351"/>
  <c r="F22" i="133" s="1"/>
  <c r="G107" i="351"/>
  <c r="G22" i="133" s="1"/>
  <c r="H107" i="351"/>
  <c r="H22" i="133" s="1"/>
  <c r="I107" i="351"/>
  <c r="I22" i="133" s="1"/>
  <c r="J107" i="351"/>
  <c r="J22" i="133" s="1"/>
  <c r="P22" i="298" s="1"/>
  <c r="K107" i="351"/>
  <c r="K22" i="133" s="1"/>
  <c r="Q22" i="298" s="1"/>
  <c r="C117" i="351"/>
  <c r="C24" i="133" s="1"/>
  <c r="D117" i="351"/>
  <c r="D24" i="133" s="1"/>
  <c r="E117" i="351"/>
  <c r="E24" i="133" s="1"/>
  <c r="F117" i="351"/>
  <c r="F24" i="133" s="1"/>
  <c r="G117" i="351"/>
  <c r="G24" i="133" s="1"/>
  <c r="H117" i="351"/>
  <c r="H24" i="133" s="1"/>
  <c r="I117" i="351"/>
  <c r="I24" i="133" s="1"/>
  <c r="O24" i="298" s="1"/>
  <c r="J117" i="351"/>
  <c r="J24" i="133" s="1"/>
  <c r="P24" i="298" s="1"/>
  <c r="K117" i="351"/>
  <c r="K24" i="133" s="1"/>
  <c r="Q24" i="298" s="1"/>
  <c r="A124" i="351"/>
  <c r="A127" i="351"/>
  <c r="A128" i="351"/>
  <c r="C128" i="351"/>
  <c r="C29" i="133" s="1"/>
  <c r="D128" i="351"/>
  <c r="D29" i="133" s="1"/>
  <c r="E128" i="351"/>
  <c r="E29" i="133" s="1"/>
  <c r="F128" i="351"/>
  <c r="F29" i="133" s="1"/>
  <c r="G128" i="351"/>
  <c r="G29" i="133" s="1"/>
  <c r="H128" i="351"/>
  <c r="H29" i="133" s="1"/>
  <c r="I128" i="351"/>
  <c r="I29" i="133" s="1"/>
  <c r="O29" i="298" s="1"/>
  <c r="J128" i="351"/>
  <c r="J29" i="133" s="1"/>
  <c r="P29" i="298" s="1"/>
  <c r="K128" i="351"/>
  <c r="K29" i="133" s="1"/>
  <c r="Q29" i="298" s="1"/>
  <c r="A129" i="351"/>
  <c r="A130" i="351"/>
  <c r="A131" i="351"/>
  <c r="A145" i="351"/>
  <c r="C145" i="351"/>
  <c r="C31" i="133" s="1"/>
  <c r="D145" i="351"/>
  <c r="D31" i="133" s="1"/>
  <c r="E145" i="351"/>
  <c r="E31" i="133" s="1"/>
  <c r="F145" i="351"/>
  <c r="F31" i="133" s="1"/>
  <c r="G145" i="351"/>
  <c r="G31" i="133" s="1"/>
  <c r="H145" i="351"/>
  <c r="H31" i="133" s="1"/>
  <c r="I145" i="351"/>
  <c r="I31" i="133" s="1"/>
  <c r="O31" i="298" s="1"/>
  <c r="J145" i="351"/>
  <c r="J31" i="133" s="1"/>
  <c r="P31" i="298" s="1"/>
  <c r="K145" i="351"/>
  <c r="K31" i="133" s="1"/>
  <c r="Q31" i="298" s="1"/>
  <c r="A146" i="351"/>
  <c r="A147" i="351"/>
  <c r="A148" i="351"/>
  <c r="A170" i="351"/>
  <c r="A176" i="351"/>
  <c r="C176" i="351"/>
  <c r="C35" i="133" s="1"/>
  <c r="D176" i="351"/>
  <c r="D35" i="133" s="1"/>
  <c r="E176" i="351"/>
  <c r="E35" i="133" s="1"/>
  <c r="F176" i="351"/>
  <c r="F35" i="133" s="1"/>
  <c r="G176" i="351"/>
  <c r="G35" i="133" s="1"/>
  <c r="H176" i="351"/>
  <c r="H35" i="133" s="1"/>
  <c r="I176" i="351"/>
  <c r="I35" i="133" s="1"/>
  <c r="O35" i="298" s="1"/>
  <c r="J176" i="351"/>
  <c r="J35" i="133" s="1"/>
  <c r="P35" i="298" s="1"/>
  <c r="K176" i="351"/>
  <c r="K35" i="133" s="1"/>
  <c r="Q35" i="298" s="1"/>
  <c r="A177" i="351"/>
  <c r="A178" i="351"/>
  <c r="A185" i="351"/>
  <c r="A188" i="351"/>
  <c r="A196" i="351"/>
  <c r="A197" i="351"/>
  <c r="A208" i="351"/>
  <c r="C208" i="351"/>
  <c r="C40" i="133" s="1"/>
  <c r="D208" i="351"/>
  <c r="D40" i="133" s="1"/>
  <c r="E208" i="351"/>
  <c r="E40" i="133" s="1"/>
  <c r="F208" i="351"/>
  <c r="F40" i="133" s="1"/>
  <c r="G208" i="351"/>
  <c r="G40" i="133" s="1"/>
  <c r="H208" i="351"/>
  <c r="H40" i="133" s="1"/>
  <c r="I208" i="351"/>
  <c r="I40" i="133" s="1"/>
  <c r="O40" i="298" s="1"/>
  <c r="J208" i="351"/>
  <c r="J40" i="133" s="1"/>
  <c r="P40" i="298" s="1"/>
  <c r="K208" i="351"/>
  <c r="K40" i="133" s="1"/>
  <c r="Q40" i="298" s="1"/>
  <c r="A209" i="351"/>
  <c r="A213" i="351"/>
  <c r="A220" i="351"/>
  <c r="A221" i="351"/>
  <c r="A222" i="351"/>
  <c r="A223" i="351"/>
  <c r="A225" i="351"/>
  <c r="A229" i="351"/>
  <c r="A234" i="351"/>
  <c r="A239" i="351"/>
  <c r="A246" i="351"/>
  <c r="A247" i="351"/>
  <c r="A248" i="351"/>
  <c r="B2" i="133"/>
  <c r="C3" i="133"/>
  <c r="D3" i="133"/>
  <c r="E3" i="133"/>
  <c r="F3" i="133"/>
  <c r="G3" i="133"/>
  <c r="H3" i="133"/>
  <c r="A25" i="133"/>
  <c r="A25" i="298" s="1"/>
  <c r="A28" i="298"/>
  <c r="A29" i="298"/>
  <c r="A30" i="298"/>
  <c r="A31" i="298"/>
  <c r="A32" i="298"/>
  <c r="A33" i="298"/>
  <c r="A34" i="298"/>
  <c r="A35" i="298"/>
  <c r="A37" i="298"/>
  <c r="A38" i="298"/>
  <c r="A40" i="298"/>
  <c r="A41" i="298"/>
  <c r="A42" i="298"/>
  <c r="A43" i="298"/>
  <c r="A44" i="298"/>
  <c r="A45" i="298"/>
  <c r="A46" i="298"/>
  <c r="A47" i="298"/>
  <c r="A48" i="133"/>
  <c r="A48" i="298"/>
  <c r="A49" i="133"/>
  <c r="A50" i="133"/>
  <c r="A2" i="86"/>
  <c r="B3" i="86"/>
  <c r="C3" i="86"/>
  <c r="D3" i="86"/>
  <c r="E3" i="86"/>
  <c r="F3" i="86"/>
  <c r="G3" i="86"/>
  <c r="H3" i="86"/>
  <c r="B7" i="86"/>
  <c r="C7" i="86"/>
  <c r="D7" i="86"/>
  <c r="E7" i="86"/>
  <c r="F7" i="86"/>
  <c r="G7" i="86"/>
  <c r="H7" i="86"/>
  <c r="I7" i="86"/>
  <c r="J7" i="86"/>
  <c r="K7" i="86"/>
  <c r="B8" i="86"/>
  <c r="C8" i="86"/>
  <c r="D8" i="86"/>
  <c r="E8" i="86"/>
  <c r="F8" i="86"/>
  <c r="G8" i="86"/>
  <c r="H8" i="86"/>
  <c r="I8" i="86"/>
  <c r="J8" i="86"/>
  <c r="K8" i="86"/>
  <c r="A10" i="86"/>
  <c r="B12" i="86"/>
  <c r="C12" i="86"/>
  <c r="D12" i="86"/>
  <c r="F100" i="123" s="1"/>
  <c r="E12" i="86"/>
  <c r="G100" i="123" s="1"/>
  <c r="F12" i="86"/>
  <c r="G12" i="86"/>
  <c r="H12" i="86"/>
  <c r="I12" i="86"/>
  <c r="K100" i="123" s="1"/>
  <c r="J12" i="86"/>
  <c r="K12" i="86"/>
  <c r="B14" i="86"/>
  <c r="C14" i="86"/>
  <c r="D14" i="86"/>
  <c r="E14" i="86"/>
  <c r="F14" i="86"/>
  <c r="G14" i="86"/>
  <c r="H14" i="86"/>
  <c r="I14" i="86"/>
  <c r="J14" i="86"/>
  <c r="K14" i="86"/>
  <c r="A18" i="86"/>
  <c r="A19" i="86"/>
  <c r="A20" i="86"/>
  <c r="B20" i="86"/>
  <c r="C20" i="86"/>
  <c r="D20" i="86"/>
  <c r="E20" i="86"/>
  <c r="F20" i="86"/>
  <c r="G20" i="86"/>
  <c r="H20" i="86"/>
  <c r="I20" i="86"/>
  <c r="J20" i="86"/>
  <c r="K20" i="86"/>
  <c r="A22" i="86"/>
  <c r="A23" i="86"/>
  <c r="B23" i="86"/>
  <c r="C23" i="86"/>
  <c r="D23" i="86"/>
  <c r="E23" i="86"/>
  <c r="F23" i="86"/>
  <c r="G23" i="86"/>
  <c r="H23" i="86"/>
  <c r="I23" i="86"/>
  <c r="J23" i="86"/>
  <c r="K23" i="86"/>
  <c r="A30" i="86"/>
  <c r="B30" i="86"/>
  <c r="D106" i="123" s="1"/>
  <c r="C30" i="86"/>
  <c r="E106" i="123" s="1"/>
  <c r="D30" i="86"/>
  <c r="F106" i="123" s="1"/>
  <c r="E30" i="86"/>
  <c r="G106" i="123" s="1"/>
  <c r="F30" i="86"/>
  <c r="H106" i="123" s="1"/>
  <c r="G30" i="86"/>
  <c r="I106" i="123" s="1"/>
  <c r="H30" i="86"/>
  <c r="J106" i="123" s="1"/>
  <c r="I30" i="86"/>
  <c r="K106" i="123" s="1"/>
  <c r="J30" i="86"/>
  <c r="L106" i="123" s="1"/>
  <c r="K30" i="86"/>
  <c r="M106" i="123" s="1"/>
  <c r="A31" i="86"/>
  <c r="B31" i="86"/>
  <c r="D105" i="123" s="1"/>
  <c r="C31" i="86"/>
  <c r="D31" i="86"/>
  <c r="F105" i="123" s="1"/>
  <c r="E31" i="86"/>
  <c r="G105" i="123" s="1"/>
  <c r="F31" i="86"/>
  <c r="H105" i="123" s="1"/>
  <c r="G31" i="86"/>
  <c r="I105" i="123" s="1"/>
  <c r="H31" i="86"/>
  <c r="J105" i="123" s="1"/>
  <c r="I31" i="86"/>
  <c r="K105" i="123" s="1"/>
  <c r="J31" i="86"/>
  <c r="L105" i="123" s="1"/>
  <c r="K31" i="86"/>
  <c r="M105" i="123" s="1"/>
  <c r="A35" i="86"/>
  <c r="A36" i="86"/>
  <c r="A37" i="86"/>
  <c r="A38" i="86"/>
  <c r="E43" i="86"/>
  <c r="F43" i="86"/>
  <c r="A45" i="86"/>
  <c r="A41" i="301" s="1"/>
  <c r="A48" i="86"/>
  <c r="A49" i="86"/>
  <c r="A62" i="86"/>
  <c r="A63" i="86"/>
  <c r="A64" i="86"/>
  <c r="A65" i="86"/>
  <c r="A2" i="347"/>
  <c r="A6" i="343" s="1"/>
  <c r="A6" i="126" s="1"/>
  <c r="A24" i="126" s="1"/>
  <c r="A23" i="140" s="1"/>
  <c r="A3" i="347"/>
  <c r="A17" i="343" s="1"/>
  <c r="A7" i="126" s="1"/>
  <c r="A6" i="294" s="1"/>
  <c r="A25" i="294" s="1"/>
  <c r="A4" i="347"/>
  <c r="A28" i="343" s="1"/>
  <c r="A5" i="347"/>
  <c r="A6" i="347"/>
  <c r="A50" i="343" s="1"/>
  <c r="A219" i="343" s="1"/>
  <c r="A7" i="347"/>
  <c r="A61" i="343" s="1"/>
  <c r="A11" i="126" s="1"/>
  <c r="A10" i="294" s="1"/>
  <c r="A29" i="294" s="1"/>
  <c r="A8" i="347"/>
  <c r="A72" i="343" s="1"/>
  <c r="A9" i="347"/>
  <c r="A83" i="343" s="1"/>
  <c r="A10" i="347"/>
  <c r="A93" i="342" s="1"/>
  <c r="A11" i="347"/>
  <c r="A104" i="342" s="1"/>
  <c r="A14" i="233" s="1"/>
  <c r="A12" i="347"/>
  <c r="A116" i="343" s="1"/>
  <c r="A285" i="343" s="1"/>
  <c r="A13" i="347"/>
  <c r="A126" i="342" s="1"/>
  <c r="A14" i="347"/>
  <c r="A138" i="343" s="1"/>
  <c r="A307" i="343" s="1"/>
  <c r="A15" i="347"/>
  <c r="A16" i="347"/>
  <c r="A159" i="342" s="1"/>
  <c r="A19" i="233" s="1"/>
  <c r="D36" i="347"/>
  <c r="D37" i="347"/>
  <c r="D38" i="347"/>
  <c r="D39" i="347"/>
  <c r="D40" i="347"/>
  <c r="D41" i="347"/>
  <c r="D42" i="347"/>
  <c r="D43" i="347"/>
  <c r="D44" i="347"/>
  <c r="D45" i="347"/>
  <c r="D47" i="347"/>
  <c r="D48" i="347"/>
  <c r="D49" i="347"/>
  <c r="D50" i="347"/>
  <c r="D51" i="347"/>
  <c r="D52" i="347"/>
  <c r="D53" i="347"/>
  <c r="D54" i="347"/>
  <c r="D55" i="347"/>
  <c r="D56" i="347"/>
  <c r="D58" i="347"/>
  <c r="D59" i="347"/>
  <c r="D60" i="347"/>
  <c r="D61" i="347"/>
  <c r="D62" i="347"/>
  <c r="D63" i="347"/>
  <c r="D64" i="347"/>
  <c r="D65" i="347"/>
  <c r="D66" i="347"/>
  <c r="D67" i="347"/>
  <c r="D69" i="347"/>
  <c r="D70" i="347"/>
  <c r="D71" i="347"/>
  <c r="D72" i="347"/>
  <c r="D73" i="347"/>
  <c r="D74" i="347"/>
  <c r="D75" i="347"/>
  <c r="D76" i="347"/>
  <c r="D77" i="347"/>
  <c r="D78" i="347"/>
  <c r="D80" i="347"/>
  <c r="D81" i="347"/>
  <c r="D82" i="347"/>
  <c r="D83" i="347"/>
  <c r="D84" i="347"/>
  <c r="D85" i="347"/>
  <c r="D86" i="347"/>
  <c r="D87" i="347"/>
  <c r="D88" i="347"/>
  <c r="D89" i="347"/>
  <c r="D91" i="347"/>
  <c r="D92" i="347"/>
  <c r="D93" i="347"/>
  <c r="D94" i="347"/>
  <c r="D95" i="347"/>
  <c r="D96" i="347"/>
  <c r="D97" i="347"/>
  <c r="D98" i="347"/>
  <c r="D99" i="347"/>
  <c r="D100" i="347"/>
  <c r="D102" i="347"/>
  <c r="D103" i="347"/>
  <c r="D104" i="347"/>
  <c r="D105" i="347"/>
  <c r="D106" i="347"/>
  <c r="D107" i="347"/>
  <c r="D108" i="347"/>
  <c r="D109" i="347"/>
  <c r="D110" i="347"/>
  <c r="D111" i="347"/>
  <c r="D113" i="347"/>
  <c r="D114" i="347"/>
  <c r="D115" i="347"/>
  <c r="D116" i="347"/>
  <c r="D117" i="347"/>
  <c r="D118" i="347"/>
  <c r="D119" i="347"/>
  <c r="D120" i="347"/>
  <c r="D121" i="347"/>
  <c r="D122" i="347"/>
  <c r="D124" i="347"/>
  <c r="D125" i="347"/>
  <c r="D126" i="347"/>
  <c r="D127" i="347"/>
  <c r="D128" i="347"/>
  <c r="D129" i="347"/>
  <c r="D130" i="347"/>
  <c r="D131" i="347"/>
  <c r="D132" i="347"/>
  <c r="D133" i="347"/>
  <c r="D135" i="347"/>
  <c r="D136" i="347"/>
  <c r="D137" i="347"/>
  <c r="D138" i="347"/>
  <c r="D139" i="347"/>
  <c r="D140" i="347"/>
  <c r="D141" i="347"/>
  <c r="D142" i="347"/>
  <c r="D143" i="347"/>
  <c r="D144" i="347"/>
  <c r="D146" i="347"/>
  <c r="D147" i="347"/>
  <c r="D148" i="347"/>
  <c r="D149" i="347"/>
  <c r="D150" i="347"/>
  <c r="D151" i="347"/>
  <c r="D152" i="347"/>
  <c r="D153" i="347"/>
  <c r="D154" i="347"/>
  <c r="D155" i="347"/>
  <c r="D157" i="347"/>
  <c r="D158" i="347"/>
  <c r="D159" i="347"/>
  <c r="D160" i="347"/>
  <c r="D161" i="347"/>
  <c r="D162" i="347"/>
  <c r="D163" i="347"/>
  <c r="D164" i="347"/>
  <c r="D165" i="347"/>
  <c r="D166" i="347"/>
  <c r="A2" i="344"/>
  <c r="E2" i="344"/>
  <c r="F2" i="344"/>
  <c r="G2" i="344"/>
  <c r="H2" i="344"/>
  <c r="I2" i="344"/>
  <c r="J2" i="344"/>
  <c r="K2" i="344"/>
  <c r="L2" i="344"/>
  <c r="M2" i="344"/>
  <c r="N2" i="344"/>
  <c r="O2" i="344"/>
  <c r="A3" i="344"/>
  <c r="E3" i="344"/>
  <c r="F3" i="344"/>
  <c r="G3" i="344"/>
  <c r="H3" i="344"/>
  <c r="I3" i="344"/>
  <c r="J3" i="344"/>
  <c r="K3" i="344"/>
  <c r="L3" i="344"/>
  <c r="M3" i="344"/>
  <c r="N3" i="344"/>
  <c r="O3" i="344"/>
  <c r="A4" i="344"/>
  <c r="E4" i="344"/>
  <c r="F4" i="344"/>
  <c r="G4" i="344"/>
  <c r="H4" i="344"/>
  <c r="I4" i="344"/>
  <c r="J4" i="344"/>
  <c r="K4" i="344"/>
  <c r="L4" i="344"/>
  <c r="M4" i="344"/>
  <c r="N4" i="344"/>
  <c r="O4" i="344"/>
  <c r="A5" i="344"/>
  <c r="E5" i="344"/>
  <c r="F5" i="344"/>
  <c r="G5" i="344"/>
  <c r="H5" i="344"/>
  <c r="I5" i="344"/>
  <c r="J5" i="344"/>
  <c r="K5" i="344"/>
  <c r="L5" i="344"/>
  <c r="M5" i="344"/>
  <c r="N5" i="344"/>
  <c r="O5" i="344"/>
  <c r="A6" i="344"/>
  <c r="E6" i="344"/>
  <c r="F6" i="344"/>
  <c r="G6" i="344"/>
  <c r="H6" i="344"/>
  <c r="I6" i="344"/>
  <c r="J6" i="344"/>
  <c r="K6" i="344"/>
  <c r="L6" i="344"/>
  <c r="M6" i="344"/>
  <c r="N6" i="344"/>
  <c r="O6" i="344"/>
  <c r="A7" i="344"/>
  <c r="E7" i="344"/>
  <c r="F7" i="344"/>
  <c r="G7" i="344"/>
  <c r="H7" i="344"/>
  <c r="I7" i="344"/>
  <c r="J7" i="344"/>
  <c r="K7" i="344"/>
  <c r="L7" i="344"/>
  <c r="M7" i="344"/>
  <c r="N7" i="344"/>
  <c r="O7" i="344"/>
  <c r="A8" i="344"/>
  <c r="E8" i="344"/>
  <c r="F8" i="344"/>
  <c r="G8" i="344"/>
  <c r="H8" i="344"/>
  <c r="I8" i="344"/>
  <c r="J8" i="344"/>
  <c r="K8" i="344"/>
  <c r="L8" i="344"/>
  <c r="M8" i="344"/>
  <c r="N8" i="344"/>
  <c r="O8" i="344"/>
  <c r="A9" i="344"/>
  <c r="E9" i="344"/>
  <c r="F9" i="344"/>
  <c r="G9" i="344"/>
  <c r="H9" i="344"/>
  <c r="I9" i="344"/>
  <c r="J9" i="344"/>
  <c r="K9" i="344"/>
  <c r="L9" i="344"/>
  <c r="M9" i="344"/>
  <c r="N9" i="344"/>
  <c r="O9" i="344"/>
  <c r="A10" i="344"/>
  <c r="E10" i="344"/>
  <c r="F10" i="344"/>
  <c r="G10" i="344"/>
  <c r="H10" i="344"/>
  <c r="I10" i="344"/>
  <c r="J10" i="344"/>
  <c r="K10" i="344"/>
  <c r="L10" i="344"/>
  <c r="M10" i="344"/>
  <c r="N10" i="344"/>
  <c r="O10" i="344"/>
  <c r="A11" i="344"/>
  <c r="E11" i="344"/>
  <c r="F11" i="344"/>
  <c r="G11" i="344"/>
  <c r="H11" i="344"/>
  <c r="I11" i="344"/>
  <c r="J11" i="344"/>
  <c r="K11" i="344"/>
  <c r="L11" i="344"/>
  <c r="M11" i="344"/>
  <c r="N11" i="344"/>
  <c r="O11" i="344"/>
  <c r="A12" i="344"/>
  <c r="E12" i="344"/>
  <c r="F12" i="344"/>
  <c r="G12" i="344"/>
  <c r="H12" i="344"/>
  <c r="I12" i="344"/>
  <c r="J12" i="344"/>
  <c r="K12" i="344"/>
  <c r="L12" i="344"/>
  <c r="M12" i="344"/>
  <c r="N12" i="344"/>
  <c r="O12" i="344"/>
  <c r="A13" i="344"/>
  <c r="E13" i="344"/>
  <c r="F13" i="344"/>
  <c r="G13" i="344"/>
  <c r="H13" i="344"/>
  <c r="I13" i="344"/>
  <c r="J13" i="344"/>
  <c r="K13" i="344"/>
  <c r="L13" i="344"/>
  <c r="M13" i="344"/>
  <c r="N13" i="344"/>
  <c r="O13" i="344"/>
  <c r="A14" i="344"/>
  <c r="E14" i="344"/>
  <c r="F14" i="344"/>
  <c r="G14" i="344"/>
  <c r="H14" i="344"/>
  <c r="I14" i="344"/>
  <c r="J14" i="344"/>
  <c r="K14" i="344"/>
  <c r="L14" i="344"/>
  <c r="M14" i="344"/>
  <c r="N14" i="344"/>
  <c r="O14" i="344"/>
  <c r="A15" i="344"/>
  <c r="E15" i="344"/>
  <c r="F15" i="344"/>
  <c r="G15" i="344"/>
  <c r="H15" i="344"/>
  <c r="I15" i="344"/>
  <c r="J15" i="344"/>
  <c r="K15" i="344"/>
  <c r="L15" i="344"/>
  <c r="M15" i="344"/>
  <c r="N15" i="344"/>
  <c r="O15" i="344"/>
  <c r="A16" i="344"/>
  <c r="E16" i="344"/>
  <c r="F16" i="344"/>
  <c r="G16" i="344"/>
  <c r="H16" i="344"/>
  <c r="I16" i="344"/>
  <c r="J16" i="344"/>
  <c r="K16" i="344"/>
  <c r="L16" i="344"/>
  <c r="M16" i="344"/>
  <c r="N16" i="344"/>
  <c r="O16" i="344"/>
  <c r="A17" i="344"/>
  <c r="E17" i="344"/>
  <c r="F17" i="344"/>
  <c r="G17" i="344"/>
  <c r="H17" i="344"/>
  <c r="I17" i="344"/>
  <c r="J17" i="344"/>
  <c r="K17" i="344"/>
  <c r="L17" i="344"/>
  <c r="M17" i="344"/>
  <c r="N17" i="344"/>
  <c r="O17" i="344"/>
  <c r="A18" i="344"/>
  <c r="E18" i="344"/>
  <c r="F18" i="344"/>
  <c r="G18" i="344"/>
  <c r="H18" i="344"/>
  <c r="I18" i="344"/>
  <c r="J18" i="344"/>
  <c r="K18" i="344"/>
  <c r="L18" i="344"/>
  <c r="M18" i="344"/>
  <c r="N18" i="344"/>
  <c r="O18" i="344"/>
  <c r="A19" i="344"/>
  <c r="E19" i="344"/>
  <c r="F19" i="344"/>
  <c r="G19" i="344"/>
  <c r="H19" i="344"/>
  <c r="I19" i="344"/>
  <c r="J19" i="344"/>
  <c r="K19" i="344"/>
  <c r="L19" i="344"/>
  <c r="M19" i="344"/>
  <c r="N19" i="344"/>
  <c r="O19" i="344"/>
  <c r="A20" i="344"/>
  <c r="E20" i="344"/>
  <c r="F20" i="344"/>
  <c r="G20" i="344"/>
  <c r="H20" i="344"/>
  <c r="I20" i="344"/>
  <c r="J20" i="344"/>
  <c r="K20" i="344"/>
  <c r="L20" i="344"/>
  <c r="M20" i="344"/>
  <c r="N20" i="344"/>
  <c r="O20" i="344"/>
  <c r="A21" i="344"/>
  <c r="E21" i="344"/>
  <c r="F21" i="344"/>
  <c r="G21" i="344"/>
  <c r="H21" i="344"/>
  <c r="I21" i="344"/>
  <c r="J21" i="344"/>
  <c r="K21" i="344"/>
  <c r="L21" i="344"/>
  <c r="M21" i="344"/>
  <c r="N21" i="344"/>
  <c r="O21" i="344"/>
  <c r="A22" i="344"/>
  <c r="E22" i="344"/>
  <c r="F22" i="344"/>
  <c r="G22" i="344"/>
  <c r="H22" i="344"/>
  <c r="I22" i="344"/>
  <c r="J22" i="344"/>
  <c r="K22" i="344"/>
  <c r="L22" i="344"/>
  <c r="M22" i="344"/>
  <c r="N22" i="344"/>
  <c r="O22" i="344"/>
  <c r="E23" i="344"/>
  <c r="F23" i="344"/>
  <c r="G23" i="344"/>
  <c r="H23" i="344"/>
  <c r="I23" i="344"/>
  <c r="J23" i="344"/>
  <c r="K23" i="344"/>
  <c r="L23" i="344"/>
  <c r="M23" i="344"/>
  <c r="N23" i="344"/>
  <c r="O23" i="344"/>
  <c r="A24" i="344"/>
  <c r="E24" i="344"/>
  <c r="F24" i="344"/>
  <c r="G24" i="344"/>
  <c r="H24" i="344"/>
  <c r="I24" i="344"/>
  <c r="J24" i="344"/>
  <c r="K24" i="344"/>
  <c r="L24" i="344"/>
  <c r="M24" i="344"/>
  <c r="N24" i="344"/>
  <c r="O24" i="344"/>
  <c r="B28" i="344"/>
  <c r="B93" i="100" s="1"/>
  <c r="C1326" i="364" s="1"/>
  <c r="A95" i="100"/>
  <c r="B149" i="100" s="1"/>
  <c r="E100" i="100"/>
  <c r="F100" i="100"/>
  <c r="E102" i="100"/>
  <c r="F102" i="100"/>
  <c r="E103" i="100"/>
  <c r="F103" i="100"/>
  <c r="A72" i="315" s="1"/>
  <c r="E105" i="100"/>
  <c r="F105" i="100"/>
  <c r="A174" i="128" s="1"/>
  <c r="E106" i="100"/>
  <c r="F106" i="100"/>
  <c r="E107" i="100"/>
  <c r="F107" i="100"/>
  <c r="E108" i="100"/>
  <c r="F108" i="100"/>
  <c r="E109" i="100"/>
  <c r="F109" i="100"/>
  <c r="C110" i="100"/>
  <c r="D110" i="100"/>
  <c r="B111" i="100"/>
  <c r="E112" i="100"/>
  <c r="F112" i="100"/>
  <c r="B113" i="100"/>
  <c r="B114" i="100"/>
  <c r="B115" i="100"/>
  <c r="B116" i="100"/>
  <c r="B117" i="100"/>
  <c r="B118" i="100"/>
  <c r="B119" i="100"/>
  <c r="B120" i="100"/>
  <c r="B121" i="100"/>
  <c r="B122" i="100"/>
  <c r="B123" i="100"/>
  <c r="B124" i="100"/>
  <c r="B125" i="100"/>
  <c r="B126" i="100"/>
  <c r="B127" i="100"/>
  <c r="B128" i="100"/>
  <c r="B129" i="100"/>
  <c r="B130" i="100"/>
  <c r="B131" i="100"/>
  <c r="B132" i="100"/>
  <c r="B133" i="100"/>
  <c r="B134" i="100"/>
  <c r="B135" i="100"/>
  <c r="B136" i="100"/>
  <c r="E137" i="100"/>
  <c r="F137" i="100"/>
  <c r="E138" i="100"/>
  <c r="F138" i="100"/>
  <c r="E140" i="100"/>
  <c r="F140" i="100"/>
  <c r="E142" i="100"/>
  <c r="F142" i="100"/>
  <c r="E143" i="100"/>
  <c r="B144" i="100"/>
  <c r="B145" i="100"/>
  <c r="E146" i="100"/>
  <c r="F146" i="100"/>
  <c r="F147" i="100"/>
  <c r="E148" i="100"/>
  <c r="F148" i="100"/>
  <c r="E149" i="100"/>
  <c r="F149" i="100"/>
  <c r="E151" i="100"/>
  <c r="F151" i="100"/>
  <c r="E152" i="100"/>
  <c r="F152" i="100"/>
  <c r="E153" i="100"/>
  <c r="F153" i="100"/>
  <c r="B157" i="100"/>
  <c r="B158" i="100"/>
  <c r="B159" i="100"/>
  <c r="B160" i="100"/>
  <c r="B161" i="100"/>
  <c r="B162" i="100"/>
  <c r="B163" i="100"/>
  <c r="B164" i="100"/>
  <c r="B165" i="100"/>
  <c r="B166" i="100"/>
  <c r="B167" i="100"/>
  <c r="B168" i="100"/>
  <c r="B169" i="100"/>
  <c r="B170" i="100"/>
  <c r="B171" i="100"/>
  <c r="B172" i="100"/>
  <c r="B173" i="100"/>
  <c r="B174" i="100"/>
  <c r="B175" i="100"/>
  <c r="B176" i="100"/>
  <c r="B177" i="100"/>
  <c r="B178" i="100"/>
  <c r="B179" i="100"/>
  <c r="X34" i="354"/>
  <c r="B1098" i="364" s="1"/>
  <c r="H122" i="363"/>
  <c r="L143" i="363"/>
  <c r="G134" i="363"/>
  <c r="F122" i="363"/>
  <c r="G168" i="363"/>
  <c r="E168" i="363"/>
  <c r="I168" i="363"/>
  <c r="I199" i="363"/>
  <c r="G235" i="363"/>
  <c r="F189" i="363"/>
  <c r="I189" i="363"/>
  <c r="E235" i="363"/>
  <c r="L122" i="363"/>
  <c r="E134" i="363"/>
  <c r="I134" i="363"/>
  <c r="F235" i="363"/>
  <c r="G143" i="363"/>
  <c r="J199" i="363"/>
  <c r="F226" i="363"/>
  <c r="E153" i="363"/>
  <c r="F214" i="363"/>
  <c r="J214" i="363"/>
  <c r="E214" i="363"/>
  <c r="J245" i="363"/>
  <c r="H245" i="363"/>
  <c r="H168" i="363"/>
  <c r="J21" i="86"/>
  <c r="L92" i="363"/>
  <c r="F83" i="363"/>
  <c r="K245" i="363"/>
  <c r="L96" i="363"/>
  <c r="K189" i="363"/>
  <c r="M168" i="363"/>
  <c r="K143" i="363"/>
  <c r="K59" i="253"/>
  <c r="L226" i="363"/>
  <c r="I17" i="253"/>
  <c r="M180" i="363"/>
  <c r="L153" i="363"/>
  <c r="K23" i="253"/>
  <c r="K17" i="253"/>
  <c r="L100" i="363"/>
  <c r="K100" i="363"/>
  <c r="L189" i="363"/>
  <c r="J17" i="253"/>
  <c r="K166" i="343"/>
  <c r="I32" i="253"/>
  <c r="K96" i="363"/>
  <c r="H38" i="253"/>
  <c r="H39" i="253" s="1"/>
  <c r="L106" i="363"/>
  <c r="J40" i="253"/>
  <c r="I42" i="253"/>
  <c r="C44" i="139"/>
  <c r="J51" i="343"/>
  <c r="I100" i="146"/>
  <c r="D6" i="126"/>
  <c r="J82" i="146"/>
  <c r="A47" i="316"/>
  <c r="K66" i="146"/>
  <c r="J100" i="146"/>
  <c r="H8" i="253"/>
  <c r="J71" i="363"/>
  <c r="M71" i="363"/>
  <c r="G9" i="253"/>
  <c r="G11" i="253"/>
  <c r="E13" i="253"/>
  <c r="K23" i="139"/>
  <c r="C23" i="139"/>
  <c r="M23" i="139"/>
  <c r="I23" i="139"/>
  <c r="H44" i="139"/>
  <c r="J24" i="253"/>
  <c r="F25" i="253"/>
  <c r="H33" i="253"/>
  <c r="F100" i="363"/>
  <c r="D38" i="253"/>
  <c r="D39" i="253" s="1"/>
  <c r="C13" i="253"/>
  <c r="E17" i="253"/>
  <c r="G59" i="253"/>
  <c r="I9" i="253"/>
  <c r="K71" i="363"/>
  <c r="M199" i="363"/>
  <c r="J106" i="363"/>
  <c r="H40" i="253"/>
  <c r="F41" i="253"/>
  <c r="G42" i="253"/>
  <c r="L83" i="363"/>
  <c r="E59" i="253"/>
  <c r="D40" i="253"/>
  <c r="A71" i="336"/>
  <c r="O39" i="137"/>
  <c r="I21" i="86"/>
  <c r="K48" i="337"/>
  <c r="L48" i="337"/>
  <c r="I45" i="337"/>
  <c r="E33" i="337"/>
  <c r="E18" i="337"/>
  <c r="I30" i="337"/>
  <c r="J32" i="337"/>
  <c r="J18" i="337"/>
  <c r="F33" i="337"/>
  <c r="J63" i="343"/>
  <c r="J61" i="343" s="1"/>
  <c r="J11" i="126" s="1"/>
  <c r="Q61" i="343"/>
  <c r="K21" i="343"/>
  <c r="K140" i="343"/>
  <c r="E171" i="343"/>
  <c r="H16" i="126"/>
  <c r="C7" i="126"/>
  <c r="T37" i="127"/>
  <c r="J34" i="343"/>
  <c r="F30" i="253"/>
  <c r="H92" i="363"/>
  <c r="K92" i="363"/>
  <c r="C32" i="253"/>
  <c r="K154" i="343"/>
  <c r="F8" i="126"/>
  <c r="K42" i="253"/>
  <c r="M106" i="363"/>
  <c r="Q127" i="343"/>
  <c r="W171" i="343"/>
  <c r="A48" i="316"/>
  <c r="A43" i="316"/>
  <c r="K20" i="301"/>
  <c r="L105" i="343"/>
  <c r="L15" i="126" s="1"/>
  <c r="K95" i="343"/>
  <c r="L39" i="343"/>
  <c r="L9" i="126" s="1"/>
  <c r="C7" i="253"/>
  <c r="K12" i="253"/>
  <c r="M75" i="363"/>
  <c r="K29" i="253"/>
  <c r="K62" i="343"/>
  <c r="F87" i="363"/>
  <c r="F88" i="363" s="1"/>
  <c r="D23" i="253"/>
  <c r="J87" i="363"/>
  <c r="M96" i="363"/>
  <c r="M100" i="363"/>
  <c r="K38" i="253"/>
  <c r="K39" i="253" s="1"/>
  <c r="L127" i="343"/>
  <c r="L17" i="126" s="1"/>
  <c r="U116" i="343"/>
  <c r="U50" i="343"/>
  <c r="H18" i="337"/>
  <c r="I98" i="146"/>
  <c r="N23" i="139"/>
  <c r="G100" i="363"/>
  <c r="E38" i="253"/>
  <c r="E39" i="253" s="1"/>
  <c r="H100" i="146"/>
  <c r="F49" i="316"/>
  <c r="H25" i="316"/>
  <c r="H59" i="316" s="1"/>
  <c r="B1146" i="364"/>
  <c r="B830" i="364"/>
  <c r="B1612" i="364"/>
  <c r="B1691" i="364"/>
  <c r="B1056" i="364"/>
  <c r="B125" i="364"/>
  <c r="B452" i="364"/>
  <c r="B123" i="364"/>
  <c r="B1626" i="364"/>
  <c r="B1745" i="364"/>
  <c r="B279" i="364"/>
  <c r="B71" i="364"/>
  <c r="B358" i="364"/>
  <c r="B2776" i="364"/>
  <c r="B2676" i="364"/>
  <c r="B2637" i="364"/>
  <c r="B2590" i="364"/>
  <c r="B2548" i="364"/>
  <c r="B2529" i="364"/>
  <c r="B2447" i="364"/>
  <c r="B2685" i="364"/>
  <c r="B2625" i="364"/>
  <c r="B2604" i="364"/>
  <c r="B2538" i="364"/>
  <c r="B2598" i="364"/>
  <c r="B2549" i="364"/>
  <c r="B2513" i="364"/>
  <c r="B2479" i="364"/>
  <c r="B2446" i="364"/>
  <c r="B2422" i="364"/>
  <c r="B2403" i="364"/>
  <c r="B2369" i="364"/>
  <c r="B2354" i="364"/>
  <c r="B2305" i="364"/>
  <c r="B2290" i="364"/>
  <c r="B2177" i="364"/>
  <c r="B1985" i="364"/>
  <c r="B1956" i="364"/>
  <c r="B1938" i="364"/>
  <c r="B1924" i="364"/>
  <c r="B2372" i="364"/>
  <c r="B2348" i="364"/>
  <c r="B2329" i="364"/>
  <c r="B2308" i="364"/>
  <c r="B2284" i="364"/>
  <c r="B2265" i="364"/>
  <c r="B2244" i="364"/>
  <c r="B2201" i="364"/>
  <c r="B2180" i="364"/>
  <c r="B2092" i="364"/>
  <c r="B2028" i="364"/>
  <c r="B1901" i="364"/>
  <c r="B2821" i="364"/>
  <c r="B2670" i="364"/>
  <c r="B2603" i="364"/>
  <c r="B2542" i="364"/>
  <c r="B2277" i="364"/>
  <c r="B2239" i="364"/>
  <c r="B2213" i="364"/>
  <c r="B2194" i="364"/>
  <c r="B2130" i="364"/>
  <c r="B2066" i="364"/>
  <c r="B2047" i="364"/>
  <c r="B1983" i="364"/>
  <c r="B1962" i="364"/>
  <c r="B1889" i="364"/>
  <c r="B1875" i="364"/>
  <c r="B1811" i="364"/>
  <c r="B2379" i="364"/>
  <c r="B2251" i="364"/>
  <c r="B2207" i="364"/>
  <c r="B2168" i="364"/>
  <c r="B1242" i="364"/>
  <c r="B1114" i="364"/>
  <c r="B962" i="364"/>
  <c r="B867" i="364"/>
  <c r="B1408" i="364"/>
  <c r="B1255" i="364"/>
  <c r="B960" i="364"/>
  <c r="B666" i="364"/>
  <c r="B561" i="364"/>
  <c r="B1789" i="364"/>
  <c r="B1467" i="364"/>
  <c r="B730" i="364"/>
  <c r="B1269" i="364"/>
  <c r="B1735" i="364"/>
  <c r="B1351" i="364"/>
  <c r="B781" i="364"/>
  <c r="B271" i="364"/>
  <c r="B239" i="364"/>
  <c r="B200" i="364"/>
  <c r="B163" i="364"/>
  <c r="B106" i="364"/>
  <c r="B80" i="364"/>
  <c r="B1632" i="364"/>
  <c r="B586" i="364"/>
  <c r="B429" i="364"/>
  <c r="B272" i="364"/>
  <c r="B226" i="364"/>
  <c r="B2649" i="364"/>
  <c r="B1370" i="364"/>
  <c r="B1218" i="364"/>
  <c r="B1058" i="364"/>
  <c r="B1365" i="364"/>
  <c r="B1109" i="364"/>
  <c r="B871" i="364"/>
  <c r="B787" i="364"/>
  <c r="B596" i="364"/>
  <c r="B505" i="364"/>
  <c r="B424" i="364"/>
  <c r="B344" i="364"/>
  <c r="B312" i="364"/>
  <c r="B1708" i="364"/>
  <c r="B1196" i="364"/>
  <c r="B1184" i="364"/>
  <c r="B618" i="364"/>
  <c r="B267" i="364"/>
  <c r="B221" i="364"/>
  <c r="B160" i="364"/>
  <c r="B320" i="364"/>
  <c r="B261" i="364"/>
  <c r="B208" i="364"/>
  <c r="B142" i="364"/>
  <c r="B94" i="364"/>
  <c r="B11" i="364"/>
  <c r="B107" i="364"/>
  <c r="B797" i="364"/>
  <c r="B22" i="364"/>
  <c r="B146" i="364"/>
  <c r="B202" i="364"/>
  <c r="B2717" i="364"/>
  <c r="B2671" i="364"/>
  <c r="B2651" i="364"/>
  <c r="B2628" i="364"/>
  <c r="B2673" i="364"/>
  <c r="B2646" i="364"/>
  <c r="B2621" i="364"/>
  <c r="B2584" i="364"/>
  <c r="B2559" i="364"/>
  <c r="B2503" i="364"/>
  <c r="B2420" i="364"/>
  <c r="B2740" i="364"/>
  <c r="B2751" i="364"/>
  <c r="B2842" i="364"/>
  <c r="B2807" i="364"/>
  <c r="B2568" i="364"/>
  <c r="B2617" i="364"/>
  <c r="B2505" i="364"/>
  <c r="B2456" i="364"/>
  <c r="B2427" i="364"/>
  <c r="B2185" i="364"/>
  <c r="B2166" i="364"/>
  <c r="B2102" i="364"/>
  <c r="B2076" i="364"/>
  <c r="B2057" i="364"/>
  <c r="B2012" i="364"/>
  <c r="B1993" i="364"/>
  <c r="B1931" i="364"/>
  <c r="B2618" i="364"/>
  <c r="B2546" i="364"/>
  <c r="B2488" i="364"/>
  <c r="B2352" i="364"/>
  <c r="B2127" i="364"/>
  <c r="B2037" i="364"/>
  <c r="B2014" i="364"/>
  <c r="B1979" i="364"/>
  <c r="B2508" i="364"/>
  <c r="B2448" i="364"/>
  <c r="B2418" i="364"/>
  <c r="B2391" i="364"/>
  <c r="B2272" i="364"/>
  <c r="B2248" i="364"/>
  <c r="B2218" i="364"/>
  <c r="B2164" i="364"/>
  <c r="B2135" i="364"/>
  <c r="B2105" i="364"/>
  <c r="B2051" i="364"/>
  <c r="B1936" i="364"/>
  <c r="B2689" i="364"/>
  <c r="B2368" i="364"/>
  <c r="B2315" i="364"/>
  <c r="B2261" i="364"/>
  <c r="B1682" i="364"/>
  <c r="B1668" i="364"/>
  <c r="B1650" i="364"/>
  <c r="B1636" i="364"/>
  <c r="B1618" i="364"/>
  <c r="B1604" i="364"/>
  <c r="B1572" i="364"/>
  <c r="B1554" i="364"/>
  <c r="B1508" i="364"/>
  <c r="B1490" i="364"/>
  <c r="B1476" i="364"/>
  <c r="B1394" i="364"/>
  <c r="B1284" i="364"/>
  <c r="B1188" i="364"/>
  <c r="B1170" i="364"/>
  <c r="B1156" i="364"/>
  <c r="B929" i="364"/>
  <c r="B913" i="364"/>
  <c r="B897" i="364"/>
  <c r="B881" i="364"/>
  <c r="B865" i="364"/>
  <c r="B849" i="364"/>
  <c r="B833" i="364"/>
  <c r="B801" i="364"/>
  <c r="B785" i="364"/>
  <c r="B769" i="364"/>
  <c r="B753" i="364"/>
  <c r="B2577" i="364"/>
  <c r="B1990" i="364"/>
  <c r="B1898" i="364"/>
  <c r="B1866" i="364"/>
  <c r="B1770" i="364"/>
  <c r="B1601" i="364"/>
  <c r="B1578" i="364"/>
  <c r="B1556" i="364"/>
  <c r="B1537" i="364"/>
  <c r="B1514" i="364"/>
  <c r="B1492" i="364"/>
  <c r="B1473" i="364"/>
  <c r="B1450" i="364"/>
  <c r="B1428" i="364"/>
  <c r="B1409" i="364"/>
  <c r="B1386" i="364"/>
  <c r="B1258" i="364"/>
  <c r="B1089" i="364"/>
  <c r="B1044" i="364"/>
  <c r="B1025" i="364"/>
  <c r="B1002" i="364"/>
  <c r="B774" i="364"/>
  <c r="B742" i="364"/>
  <c r="B718" i="364"/>
  <c r="B702" i="364"/>
  <c r="B686" i="364"/>
  <c r="B670" i="364"/>
  <c r="B654" i="364"/>
  <c r="B638" i="364"/>
  <c r="B622" i="364"/>
  <c r="B606" i="364"/>
  <c r="B558" i="364"/>
  <c r="B494" i="364"/>
  <c r="B2395" i="364"/>
  <c r="B2289" i="364"/>
  <c r="B2231" i="364"/>
  <c r="B2183" i="364"/>
  <c r="B1715" i="364"/>
  <c r="B1692" i="364"/>
  <c r="B1673" i="364"/>
  <c r="B1651" i="364"/>
  <c r="B1628" i="364"/>
  <c r="B1609" i="364"/>
  <c r="B1545" i="364"/>
  <c r="B1523" i="364"/>
  <c r="B1500" i="364"/>
  <c r="B1481" i="364"/>
  <c r="B1459" i="364"/>
  <c r="B1331" i="364"/>
  <c r="B1203" i="364"/>
  <c r="B1161" i="364"/>
  <c r="B1139" i="364"/>
  <c r="B1116" i="364"/>
  <c r="B949" i="364"/>
  <c r="B933" i="364"/>
  <c r="B885" i="364"/>
  <c r="B869" i="364"/>
  <c r="B853" i="364"/>
  <c r="B837" i="364"/>
  <c r="B821" i="364"/>
  <c r="B805" i="364"/>
  <c r="B757" i="364"/>
  <c r="B741" i="364"/>
  <c r="B725" i="364"/>
  <c r="B661" i="364"/>
  <c r="B565" i="364"/>
  <c r="B533" i="364"/>
  <c r="B517" i="364"/>
  <c r="B501" i="364"/>
  <c r="B92" i="364"/>
  <c r="B108" i="364"/>
  <c r="B124" i="364"/>
  <c r="B140" i="364"/>
  <c r="B188" i="364"/>
  <c r="B204" i="364"/>
  <c r="B220" i="364"/>
  <c r="B236" i="364"/>
  <c r="B252" i="364"/>
  <c r="B268" i="364"/>
  <c r="B284" i="364"/>
  <c r="B348" i="364"/>
  <c r="B455" i="364"/>
  <c r="B519" i="364"/>
  <c r="B551" i="364"/>
  <c r="B583" i="364"/>
  <c r="B963" i="364"/>
  <c r="B995" i="364"/>
  <c r="B1027" i="364"/>
  <c r="B1059" i="364"/>
  <c r="B1091" i="364"/>
  <c r="B1123" i="364"/>
  <c r="B1155" i="364"/>
  <c r="B1187" i="364"/>
  <c r="B1219" i="364"/>
  <c r="B1251" i="364"/>
  <c r="B1283" i="364"/>
  <c r="B1411" i="364"/>
  <c r="B1603" i="364"/>
  <c r="B1731" i="364"/>
  <c r="B1763" i="364"/>
  <c r="B1828" i="364"/>
  <c r="B1634" i="364"/>
  <c r="B1314" i="364"/>
  <c r="B1026" i="364"/>
  <c r="B2423" i="364"/>
  <c r="B1639" i="364"/>
  <c r="B1319" i="364"/>
  <c r="B1036" i="364"/>
  <c r="B620" i="364"/>
  <c r="B1846" i="364"/>
  <c r="B1339" i="364"/>
  <c r="B835" i="364"/>
  <c r="B2006" i="364"/>
  <c r="B215" i="364"/>
  <c r="B585" i="364"/>
  <c r="B368" i="364"/>
  <c r="B122" i="364"/>
  <c r="B21" i="364"/>
  <c r="B274" i="364"/>
  <c r="B1248" i="364"/>
  <c r="B40" i="364"/>
  <c r="B118" i="364"/>
  <c r="B205" i="364"/>
  <c r="B309" i="364"/>
  <c r="B484" i="364"/>
  <c r="B1516" i="364"/>
  <c r="B37" i="364"/>
  <c r="B192" i="364"/>
  <c r="B2786" i="364"/>
  <c r="B2752" i="364"/>
  <c r="B2829" i="364"/>
  <c r="B2787" i="364"/>
  <c r="B2712" i="364"/>
  <c r="B2439" i="364"/>
  <c r="B2409" i="364"/>
  <c r="B2732" i="364"/>
  <c r="B2863" i="364"/>
  <c r="B2823" i="364"/>
  <c r="B2785" i="364"/>
  <c r="B2701" i="364"/>
  <c r="B2672" i="364"/>
  <c r="B2404" i="364"/>
  <c r="B1570" i="364"/>
  <c r="B1600" i="364"/>
  <c r="B981" i="364"/>
  <c r="B387" i="364"/>
  <c r="B1644" i="364"/>
  <c r="B540" i="364"/>
  <c r="B296" i="364"/>
  <c r="B75" i="364"/>
  <c r="B362" i="364"/>
  <c r="B150" i="364"/>
  <c r="B255" i="364"/>
  <c r="B430" i="364"/>
  <c r="B306" i="364"/>
  <c r="B2331" i="364"/>
  <c r="B2720" i="364"/>
  <c r="B2834" i="364"/>
  <c r="B2802" i="364"/>
  <c r="B2574" i="364"/>
  <c r="B2631" i="364"/>
  <c r="B2540" i="364"/>
  <c r="B2487" i="364"/>
  <c r="B2454" i="364"/>
  <c r="B2416" i="364"/>
  <c r="B2746" i="364"/>
  <c r="B2847" i="364"/>
  <c r="B2796" i="364"/>
  <c r="B2696" i="364"/>
  <c r="B2650" i="364"/>
  <c r="B2614" i="364"/>
  <c r="B2573" i="364"/>
  <c r="B2533" i="364"/>
  <c r="B2506" i="364"/>
  <c r="B2805" i="364"/>
  <c r="B2688" i="364"/>
  <c r="B2608" i="364"/>
  <c r="B2530" i="364"/>
  <c r="B2471" i="364"/>
  <c r="B2417" i="364"/>
  <c r="B2362" i="364"/>
  <c r="B2328" i="364"/>
  <c r="B2302" i="364"/>
  <c r="B2279" i="364"/>
  <c r="B2245" i="364"/>
  <c r="B2219" i="364"/>
  <c r="B2189" i="364"/>
  <c r="B2159" i="364"/>
  <c r="B2132" i="364"/>
  <c r="B2106" i="364"/>
  <c r="B2072" i="364"/>
  <c r="B2046" i="364"/>
  <c r="B2023" i="364"/>
  <c r="B1989" i="364"/>
  <c r="B1963" i="364"/>
  <c r="B1935" i="364"/>
  <c r="B2850" i="364"/>
  <c r="B2758" i="364"/>
  <c r="B2633" i="364"/>
  <c r="B2532" i="364"/>
  <c r="B2466" i="364"/>
  <c r="B2419" i="364"/>
  <c r="B2378" i="364"/>
  <c r="B2259" i="364"/>
  <c r="B2224" i="364"/>
  <c r="B2191" i="364"/>
  <c r="B2145" i="364"/>
  <c r="B2107" i="364"/>
  <c r="B2078" i="364"/>
  <c r="B1999" i="364"/>
  <c r="B1954" i="364"/>
  <c r="B1915" i="364"/>
  <c r="B1890" i="364"/>
  <c r="B1862" i="364"/>
  <c r="B1830" i="364"/>
  <c r="B1801" i="364"/>
  <c r="B1780" i="364"/>
  <c r="B2836" i="364"/>
  <c r="B2695" i="364"/>
  <c r="B2591" i="364"/>
  <c r="B2485" i="364"/>
  <c r="B2434" i="364"/>
  <c r="B2397" i="364"/>
  <c r="B2356" i="364"/>
  <c r="B2318" i="364"/>
  <c r="B2282" i="364"/>
  <c r="B2243" i="364"/>
  <c r="B2205" i="364"/>
  <c r="B2169" i="364"/>
  <c r="B2126" i="364"/>
  <c r="B2090" i="364"/>
  <c r="B2056" i="364"/>
  <c r="B1950" i="364"/>
  <c r="B1911" i="364"/>
  <c r="B1882" i="364"/>
  <c r="B1854" i="364"/>
  <c r="B1822" i="364"/>
  <c r="B1797" i="364"/>
  <c r="B2664" i="364"/>
  <c r="B2467" i="364"/>
  <c r="B2389" i="364"/>
  <c r="B2304" i="364"/>
  <c r="B2232" i="364"/>
  <c r="B2152" i="364"/>
  <c r="B2069" i="364"/>
  <c r="B2005" i="364"/>
  <c r="B1905" i="364"/>
  <c r="B1841" i="364"/>
  <c r="B1803" i="364"/>
  <c r="B1768" i="364"/>
  <c r="B1743" i="364"/>
  <c r="B1721" i="364"/>
  <c r="B1704" i="364"/>
  <c r="B1679" i="364"/>
  <c r="B1657" i="364"/>
  <c r="B1640" i="364"/>
  <c r="B1615" i="364"/>
  <c r="B1593" i="364"/>
  <c r="B1576" i="364"/>
  <c r="B1551" i="364"/>
  <c r="B1529" i="364"/>
  <c r="B1465" i="364"/>
  <c r="B1448" i="364"/>
  <c r="B1423" i="364"/>
  <c r="B1401" i="364"/>
  <c r="B1996" i="364"/>
  <c r="B1474" i="364"/>
  <c r="B2252" i="364"/>
  <c r="B1484" i="364"/>
  <c r="B1152" i="364"/>
  <c r="B602" i="364"/>
  <c r="B1621" i="364"/>
  <c r="B955" i="364"/>
  <c r="B642" i="364"/>
  <c r="B408" i="364"/>
  <c r="B322" i="364"/>
  <c r="B1307" i="364"/>
  <c r="B1981" i="364"/>
  <c r="B967" i="364"/>
  <c r="B516" i="364"/>
  <c r="B359" i="364"/>
  <c r="B254" i="364"/>
  <c r="B1205" i="364"/>
  <c r="B476" i="364"/>
  <c r="B282" i="364"/>
  <c r="B170" i="364"/>
  <c r="B96" i="364"/>
  <c r="B32" i="364"/>
  <c r="B765" i="364"/>
  <c r="B304" i="364"/>
  <c r="B149" i="364"/>
  <c r="B668" i="364"/>
  <c r="B54" i="364"/>
  <c r="B168" i="364"/>
  <c r="B294" i="364"/>
  <c r="B524" i="364"/>
  <c r="B165" i="364"/>
  <c r="B644" i="364"/>
  <c r="B2869" i="364"/>
  <c r="B2826" i="364"/>
  <c r="B2790" i="364"/>
  <c r="B2709" i="364"/>
  <c r="B2678" i="364"/>
  <c r="B2640" i="364"/>
  <c r="B2597" i="364"/>
  <c r="B2562" i="364"/>
  <c r="B2527" i="364"/>
  <c r="B2854" i="364"/>
  <c r="B2808" i="364"/>
  <c r="B2761" i="364"/>
  <c r="B2668" i="364"/>
  <c r="B2626" i="364"/>
  <c r="B2575" i="364"/>
  <c r="B2518" i="364"/>
  <c r="B2480" i="364"/>
  <c r="B2450" i="364"/>
  <c r="B2742" i="364"/>
  <c r="B2727" i="364"/>
  <c r="B2828" i="364"/>
  <c r="B2641" i="364"/>
  <c r="B2610" i="364"/>
  <c r="B2563" i="364"/>
  <c r="B2528" i="364"/>
  <c r="B2498" i="364"/>
  <c r="B2461" i="364"/>
  <c r="B2795" i="364"/>
  <c r="B2658" i="364"/>
  <c r="B2587" i="364"/>
  <c r="B2520" i="364"/>
  <c r="B2451" i="364"/>
  <c r="B2412" i="364"/>
  <c r="B2381" i="364"/>
  <c r="B2351" i="364"/>
  <c r="B2324" i="364"/>
  <c r="B2298" i="364"/>
  <c r="B2264" i="364"/>
  <c r="B2238" i="364"/>
  <c r="B2215" i="364"/>
  <c r="B2181" i="364"/>
  <c r="B2155" i="364"/>
  <c r="B2125" i="364"/>
  <c r="B2095" i="364"/>
  <c r="B2068" i="364"/>
  <c r="B2042" i="364"/>
  <c r="B2008" i="364"/>
  <c r="B1982" i="364"/>
  <c r="B1960" i="364"/>
  <c r="B1928" i="364"/>
  <c r="B2592" i="364"/>
  <c r="B2516" i="364"/>
  <c r="B2459" i="364"/>
  <c r="B2401" i="364"/>
  <c r="B2363" i="364"/>
  <c r="B2334" i="364"/>
  <c r="B2255" i="364"/>
  <c r="B2214" i="364"/>
  <c r="B2171" i="364"/>
  <c r="B2142" i="364"/>
  <c r="B2101" i="364"/>
  <c r="B2063" i="364"/>
  <c r="B2022" i="364"/>
  <c r="B1994" i="364"/>
  <c r="B1946" i="364"/>
  <c r="B1912" i="364"/>
  <c r="B1883" i="364"/>
  <c r="B1851" i="364"/>
  <c r="B1826" i="364"/>
  <c r="B1798" i="364"/>
  <c r="B2733" i="364"/>
  <c r="B2809" i="364"/>
  <c r="B2683" i="364"/>
  <c r="B2555" i="364"/>
  <c r="B2481" i="364"/>
  <c r="B2425" i="364"/>
  <c r="B2382" i="364"/>
  <c r="B2346" i="364"/>
  <c r="B2312" i="364"/>
  <c r="B2269" i="364"/>
  <c r="B2233" i="364"/>
  <c r="B2199" i="364"/>
  <c r="B2154" i="364"/>
  <c r="B2120" i="364"/>
  <c r="B2080" i="364"/>
  <c r="B2041" i="364"/>
  <c r="B2007" i="364"/>
  <c r="B1972" i="364"/>
  <c r="B1930" i="364"/>
  <c r="B1904" i="364"/>
  <c r="B1879" i="364"/>
  <c r="B1847" i="364"/>
  <c r="B1818" i="364"/>
  <c r="B1790" i="364"/>
  <c r="B2839" i="364"/>
  <c r="B2639" i="364"/>
  <c r="B2453" i="364"/>
  <c r="B2360" i="364"/>
  <c r="B2280" i="364"/>
  <c r="B2216" i="364"/>
  <c r="B2133" i="364"/>
  <c r="B2059" i="364"/>
  <c r="B1984" i="364"/>
  <c r="B1888" i="364"/>
  <c r="B1835" i="364"/>
  <c r="B1799" i="364"/>
  <c r="B1757" i="364"/>
  <c r="B1739" i="364"/>
  <c r="B1718" i="364"/>
  <c r="B1693" i="364"/>
  <c r="B1675" i="364"/>
  <c r="B1654" i="364"/>
  <c r="B1629" i="364"/>
  <c r="B1611" i="364"/>
  <c r="B1590" i="364"/>
  <c r="B1565" i="364"/>
  <c r="B1547" i="364"/>
  <c r="B1526" i="364"/>
  <c r="B1501" i="364"/>
  <c r="B1483" i="364"/>
  <c r="B1462" i="364"/>
  <c r="B1437" i="364"/>
  <c r="B1419" i="364"/>
  <c r="B1398" i="364"/>
  <c r="B1373" i="364"/>
  <c r="B1355" i="364"/>
  <c r="B1334" i="364"/>
  <c r="B1309" i="364"/>
  <c r="B1291" i="364"/>
  <c r="B1270" i="364"/>
  <c r="B1245" i="364"/>
  <c r="B1227" i="364"/>
  <c r="B1206" i="364"/>
  <c r="B1181" i="364"/>
  <c r="B1163" i="364"/>
  <c r="B1142" i="364"/>
  <c r="B1117" i="364"/>
  <c r="B1099" i="364"/>
  <c r="B1078" i="364"/>
  <c r="B1053" i="364"/>
  <c r="B1035" i="364"/>
  <c r="B1014" i="364"/>
  <c r="B989" i="364"/>
  <c r="B971" i="364"/>
  <c r="B948" i="364"/>
  <c r="B924" i="364"/>
  <c r="B905" i="364"/>
  <c r="B884" i="364"/>
  <c r="B860" i="364"/>
  <c r="B841" i="364"/>
  <c r="B820" i="364"/>
  <c r="B796" i="364"/>
  <c r="B777" i="364"/>
  <c r="B756" i="364"/>
  <c r="B732" i="364"/>
  <c r="B2788" i="364"/>
  <c r="B2602" i="364"/>
  <c r="B2430" i="364"/>
  <c r="B2340" i="364"/>
  <c r="B2257" i="364"/>
  <c r="B2163" i="364"/>
  <c r="B2084" i="364"/>
  <c r="B2001" i="364"/>
  <c r="B1923" i="364"/>
  <c r="B1881" i="364"/>
  <c r="B1842" i="364"/>
  <c r="B1795" i="364"/>
  <c r="B1761" i="364"/>
  <c r="B1734" i="364"/>
  <c r="B1702" i="364"/>
  <c r="B1674" i="364"/>
  <c r="B1648" i="364"/>
  <c r="B1616" i="364"/>
  <c r="B1588" i="364"/>
  <c r="B1566" i="364"/>
  <c r="B1534" i="364"/>
  <c r="B1505" i="364"/>
  <c r="B1478" i="364"/>
  <c r="B1446" i="364"/>
  <c r="B1418" i="364"/>
  <c r="B1392" i="364"/>
  <c r="B1360" i="364"/>
  <c r="B1332" i="364"/>
  <c r="B1310" i="364"/>
  <c r="B1278" i="364"/>
  <c r="B1249" i="364"/>
  <c r="B1222" i="364"/>
  <c r="B1190" i="364"/>
  <c r="B1162" i="364"/>
  <c r="B1136" i="364"/>
  <c r="B1104" i="364"/>
  <c r="B1076" i="364"/>
  <c r="B1054" i="364"/>
  <c r="B1022" i="364"/>
  <c r="B993" i="364"/>
  <c r="B966" i="364"/>
  <c r="B927" i="364"/>
  <c r="B886" i="364"/>
  <c r="B847" i="364"/>
  <c r="B799" i="364"/>
  <c r="B758" i="364"/>
  <c r="B723" i="364"/>
  <c r="B699" i="364"/>
  <c r="B678" i="364"/>
  <c r="B659" i="364"/>
  <c r="B635" i="364"/>
  <c r="B614" i="364"/>
  <c r="B595" i="364"/>
  <c r="B571" i="364"/>
  <c r="B550" i="364"/>
  <c r="B531" i="364"/>
  <c r="B507" i="364"/>
  <c r="B486" i="364"/>
  <c r="B467" i="364"/>
  <c r="B2735" i="364"/>
  <c r="B2710" i="364"/>
  <c r="B2565" i="364"/>
  <c r="B2433" i="364"/>
  <c r="B2359" i="364"/>
  <c r="B2301" i="364"/>
  <c r="B2222" i="364"/>
  <c r="B2161" i="364"/>
  <c r="B2094" i="364"/>
  <c r="B2025" i="364"/>
  <c r="B1957" i="364"/>
  <c r="B1765" i="364"/>
  <c r="B1733" i="364"/>
  <c r="B1705" i="364"/>
  <c r="B1678" i="364"/>
  <c r="B1646" i="364"/>
  <c r="B1619" i="364"/>
  <c r="B1592" i="364"/>
  <c r="B1560" i="364"/>
  <c r="B1532" i="364"/>
  <c r="B1509" i="364"/>
  <c r="B1477" i="364"/>
  <c r="B1449" i="364"/>
  <c r="B1422" i="364"/>
  <c r="B1390" i="364"/>
  <c r="B1363" i="364"/>
  <c r="B1336" i="364"/>
  <c r="B1304" i="364"/>
  <c r="B1276" i="364"/>
  <c r="B1253" i="364"/>
  <c r="B1221" i="364"/>
  <c r="B1193" i="364"/>
  <c r="B1166" i="364"/>
  <c r="B1134" i="364"/>
  <c r="B1107" i="364"/>
  <c r="B1080" i="364"/>
  <c r="B1048" i="364"/>
  <c r="B1020" i="364"/>
  <c r="B997" i="364"/>
  <c r="B965" i="364"/>
  <c r="B939" i="364"/>
  <c r="B920" i="364"/>
  <c r="B898" i="364"/>
  <c r="B875" i="364"/>
  <c r="B856" i="364"/>
  <c r="B834" i="364"/>
  <c r="B811" i="364"/>
  <c r="B792" i="364"/>
  <c r="B770" i="364"/>
  <c r="B747" i="364"/>
  <c r="B728" i="364"/>
  <c r="B704" i="364"/>
  <c r="B685" i="364"/>
  <c r="B664" i="364"/>
  <c r="B640" i="364"/>
  <c r="B621" i="364"/>
  <c r="B600" i="364"/>
  <c r="B576" i="364"/>
  <c r="B557" i="364"/>
  <c r="B536" i="364"/>
  <c r="B512" i="364"/>
  <c r="B493" i="364"/>
  <c r="B472" i="364"/>
  <c r="B448" i="364"/>
  <c r="B9" i="364"/>
  <c r="B33" i="364"/>
  <c r="B52" i="364"/>
  <c r="B73" i="364"/>
  <c r="B97" i="364"/>
  <c r="B116" i="364"/>
  <c r="B137" i="364"/>
  <c r="B161" i="364"/>
  <c r="B180" i="364"/>
  <c r="B201" i="364"/>
  <c r="B225" i="364"/>
  <c r="B244" i="364"/>
  <c r="B265" i="364"/>
  <c r="B289" i="364"/>
  <c r="B308" i="364"/>
  <c r="B329" i="364"/>
  <c r="B353" i="364"/>
  <c r="B372" i="364"/>
  <c r="B393" i="364"/>
  <c r="B417" i="364"/>
  <c r="B443" i="364"/>
  <c r="B479" i="364"/>
  <c r="B527" i="364"/>
  <c r="B567" i="364"/>
  <c r="B607" i="364"/>
  <c r="B655" i="364"/>
  <c r="B695" i="364"/>
  <c r="B736" i="364"/>
  <c r="B782" i="364"/>
  <c r="B823" i="364"/>
  <c r="B864" i="364"/>
  <c r="B910" i="364"/>
  <c r="B951" i="364"/>
  <c r="B991" i="364"/>
  <c r="B1037" i="364"/>
  <c r="B1079" i="364"/>
  <c r="B1119" i="364"/>
  <c r="B1165" i="364"/>
  <c r="B1207" i="364"/>
  <c r="B1247" i="364"/>
  <c r="B1293" i="364"/>
  <c r="B1335" i="364"/>
  <c r="B1375" i="364"/>
  <c r="B1421" i="364"/>
  <c r="B1463" i="364"/>
  <c r="B1503" i="364"/>
  <c r="B1549" i="364"/>
  <c r="B1591" i="364"/>
  <c r="B1631" i="364"/>
  <c r="B1677" i="364"/>
  <c r="B1719" i="364"/>
  <c r="B1759" i="364"/>
  <c r="B1839" i="364"/>
  <c r="B1925" i="364"/>
  <c r="B2030" i="364"/>
  <c r="B2182" i="364"/>
  <c r="B2321" i="364"/>
  <c r="B2493" i="364"/>
  <c r="B2390" i="364"/>
  <c r="B1442" i="364"/>
  <c r="B1767" i="364"/>
  <c r="B972" i="364"/>
  <c r="B1531" i="364"/>
  <c r="B578" i="364"/>
  <c r="B1902" i="364"/>
  <c r="B1870" i="364"/>
  <c r="B439" i="364"/>
  <c r="B199" i="364"/>
  <c r="B460" i="364"/>
  <c r="B147" i="364"/>
  <c r="B293" i="364"/>
  <c r="B1760" i="364"/>
  <c r="B182" i="364"/>
  <c r="B987" i="364"/>
  <c r="B256" i="364"/>
  <c r="B2857" i="364"/>
  <c r="B2778" i="364"/>
  <c r="B2667" i="364"/>
  <c r="B2593" i="364"/>
  <c r="B2747" i="364"/>
  <c r="B2803" i="364"/>
  <c r="B2662" i="364"/>
  <c r="B2553" i="364"/>
  <c r="B2473" i="364"/>
  <c r="B2736" i="364"/>
  <c r="B2817" i="364"/>
  <c r="B2675" i="364"/>
  <c r="B2594" i="364"/>
  <c r="B2522" i="364"/>
  <c r="B2457" i="364"/>
  <c r="B2715" i="364"/>
  <c r="B2571" i="364"/>
  <c r="B2441" i="364"/>
  <c r="B2373" i="364"/>
  <c r="B2317" i="364"/>
  <c r="B2260" i="364"/>
  <c r="B2200" i="364"/>
  <c r="B2151" i="364"/>
  <c r="B2091" i="364"/>
  <c r="B2031" i="364"/>
  <c r="B1978" i="364"/>
  <c r="B2731" i="364"/>
  <c r="B2674" i="364"/>
  <c r="B2500" i="364"/>
  <c r="B2398" i="364"/>
  <c r="B2319" i="364"/>
  <c r="B2250" i="364"/>
  <c r="B2165" i="364"/>
  <c r="B2086" i="364"/>
  <c r="B2017" i="364"/>
  <c r="B1932" i="364"/>
  <c r="B1876" i="364"/>
  <c r="B1819" i="364"/>
  <c r="B2744" i="364"/>
  <c r="B2629" i="364"/>
  <c r="B2474" i="364"/>
  <c r="B2376" i="364"/>
  <c r="B2297" i="364"/>
  <c r="B2228" i="364"/>
  <c r="B2144" i="364"/>
  <c r="B2071" i="364"/>
  <c r="B1998" i="364"/>
  <c r="B1926" i="364"/>
  <c r="B1868" i="364"/>
  <c r="B1815" i="364"/>
  <c r="B2820" i="364"/>
  <c r="B2408" i="364"/>
  <c r="B2271" i="364"/>
  <c r="B2112" i="364"/>
  <c r="B1952" i="364"/>
  <c r="B1831" i="364"/>
  <c r="B1753" i="364"/>
  <c r="B1711" i="364"/>
  <c r="B1672" i="364"/>
  <c r="B1625" i="364"/>
  <c r="B1583" i="364"/>
  <c r="B1544" i="364"/>
  <c r="B1497" i="364"/>
  <c r="B1455" i="364"/>
  <c r="B1416" i="364"/>
  <c r="B1384" i="364"/>
  <c r="B1352" i="364"/>
  <c r="B1323" i="364"/>
  <c r="B1295" i="364"/>
  <c r="B1263" i="364"/>
  <c r="B1238" i="364"/>
  <c r="B1209" i="364"/>
  <c r="B1177" i="364"/>
  <c r="B1149" i="364"/>
  <c r="B1128" i="364"/>
  <c r="B1096" i="364"/>
  <c r="B1067" i="364"/>
  <c r="B1039" i="364"/>
  <c r="B1007" i="364"/>
  <c r="B982" i="364"/>
  <c r="B953" i="364"/>
  <c r="B921" i="364"/>
  <c r="B892" i="364"/>
  <c r="B868" i="364"/>
  <c r="B836" i="364"/>
  <c r="B809" i="364"/>
  <c r="B780" i="364"/>
  <c r="B748" i="364"/>
  <c r="B2726" i="364"/>
  <c r="B2634" i="364"/>
  <c r="B2415" i="364"/>
  <c r="B2291" i="364"/>
  <c r="B2202" i="364"/>
  <c r="B2074" i="364"/>
  <c r="B1948" i="364"/>
  <c r="B1891" i="364"/>
  <c r="B1827" i="364"/>
  <c r="B1778" i="364"/>
  <c r="B1738" i="364"/>
  <c r="B1697" i="364"/>
  <c r="B1662" i="364"/>
  <c r="B1630" i="364"/>
  <c r="B1584" i="364"/>
  <c r="B1546" i="364"/>
  <c r="B1510" i="364"/>
  <c r="B1470" i="364"/>
  <c r="B1438" i="364"/>
  <c r="B1396" i="364"/>
  <c r="B1354" i="364"/>
  <c r="B1318" i="364"/>
  <c r="B1286" i="364"/>
  <c r="B1246" i="364"/>
  <c r="B1204" i="364"/>
  <c r="B1168" i="364"/>
  <c r="B1126" i="364"/>
  <c r="B1094" i="364"/>
  <c r="B1057" i="364"/>
  <c r="B1012" i="364"/>
  <c r="B976" i="364"/>
  <c r="B943" i="364"/>
  <c r="B879" i="364"/>
  <c r="B822" i="364"/>
  <c r="B767" i="364"/>
  <c r="B715" i="364"/>
  <c r="B691" i="364"/>
  <c r="B662" i="364"/>
  <c r="B630" i="364"/>
  <c r="B603" i="364"/>
  <c r="B579" i="364"/>
  <c r="B547" i="364"/>
  <c r="B518" i="364"/>
  <c r="B491" i="364"/>
  <c r="B459" i="364"/>
  <c r="B2840" i="364"/>
  <c r="B2596" i="364"/>
  <c r="B2429" i="364"/>
  <c r="B2326" i="364"/>
  <c r="B2242" i="364"/>
  <c r="B2153" i="364"/>
  <c r="B2055" i="364"/>
  <c r="B1966" i="364"/>
  <c r="B1752" i="364"/>
  <c r="B1720" i="364"/>
  <c r="B1683" i="364"/>
  <c r="B1641" i="364"/>
  <c r="B1605" i="364"/>
  <c r="B1573" i="364"/>
  <c r="B1528" i="364"/>
  <c r="B1491" i="364"/>
  <c r="B1454" i="364"/>
  <c r="B1413" i="364"/>
  <c r="B1381" i="364"/>
  <c r="B1340" i="364"/>
  <c r="B1299" i="364"/>
  <c r="B1262" i="364"/>
  <c r="B1230" i="364"/>
  <c r="B1189" i="364"/>
  <c r="B1148" i="364"/>
  <c r="B1112" i="364"/>
  <c r="B1070" i="364"/>
  <c r="B1038" i="364"/>
  <c r="B1001" i="364"/>
  <c r="B956" i="364"/>
  <c r="B930" i="364"/>
  <c r="B904" i="364"/>
  <c r="B872" i="364"/>
  <c r="B843" i="364"/>
  <c r="B818" i="364"/>
  <c r="B786" i="364"/>
  <c r="B760" i="364"/>
  <c r="B731" i="364"/>
  <c r="B701" i="364"/>
  <c r="B672" i="364"/>
  <c r="B648" i="364"/>
  <c r="B616" i="364"/>
  <c r="B589" i="364"/>
  <c r="B560" i="364"/>
  <c r="B528" i="364"/>
  <c r="B504" i="364"/>
  <c r="B477" i="364"/>
  <c r="B445" i="364"/>
  <c r="B2" i="364"/>
  <c r="B25" i="364"/>
  <c r="B57" i="364"/>
  <c r="B84" i="364"/>
  <c r="B113" i="364"/>
  <c r="B145" i="364"/>
  <c r="B169" i="364"/>
  <c r="B196" i="364"/>
  <c r="B228" i="364"/>
  <c r="B257" i="364"/>
  <c r="B281" i="364"/>
  <c r="B313" i="364"/>
  <c r="B340" i="364"/>
  <c r="B369" i="364"/>
  <c r="B401" i="364"/>
  <c r="B425" i="364"/>
  <c r="B471" i="364"/>
  <c r="B535" i="364"/>
  <c r="B591" i="364"/>
  <c r="B639" i="364"/>
  <c r="B703" i="364"/>
  <c r="B759" i="364"/>
  <c r="B814" i="364"/>
  <c r="B878" i="364"/>
  <c r="B928" i="364"/>
  <c r="B983" i="364"/>
  <c r="B1047" i="364"/>
  <c r="B1101" i="364"/>
  <c r="B1151" i="364"/>
  <c r="B1215" i="364"/>
  <c r="B1271" i="364"/>
  <c r="B1325" i="364"/>
  <c r="B1389" i="364"/>
  <c r="B1439" i="364"/>
  <c r="B1495" i="364"/>
  <c r="B1559" i="364"/>
  <c r="B1613" i="364"/>
  <c r="B1663" i="364"/>
  <c r="B1727" i="364"/>
  <c r="B1796" i="364"/>
  <c r="B1903" i="364"/>
  <c r="B2093" i="364"/>
  <c r="B2247" i="364"/>
  <c r="B2463" i="364"/>
  <c r="B733" i="364"/>
  <c r="B277" i="364"/>
  <c r="B120" i="364"/>
  <c r="B1800" i="364"/>
  <c r="B366" i="364"/>
  <c r="B175" i="364"/>
  <c r="B1755" i="364"/>
  <c r="B162" i="364"/>
  <c r="B1961" i="364"/>
  <c r="B213" i="364"/>
  <c r="B2876" i="364"/>
  <c r="B47" i="364"/>
  <c r="B24" i="364"/>
  <c r="B248" i="364"/>
  <c r="B2525" i="364"/>
  <c r="B1306" i="364"/>
  <c r="B1740" i="364"/>
  <c r="B716" i="364"/>
  <c r="B1211" i="364"/>
  <c r="B564" i="364"/>
  <c r="B1617" i="364"/>
  <c r="B1440" i="364"/>
  <c r="B423" i="364"/>
  <c r="B2075" i="364"/>
  <c r="B349" i="364"/>
  <c r="B144" i="364"/>
  <c r="B2039" i="364"/>
  <c r="B229" i="364"/>
  <c r="B18" i="100"/>
  <c r="H2" i="139" s="1"/>
  <c r="B245" i="364"/>
  <c r="B1004" i="364"/>
  <c r="B266" i="364"/>
  <c r="B2853" i="364"/>
  <c r="B2771" i="364"/>
  <c r="B2655" i="364"/>
  <c r="B2581" i="364"/>
  <c r="B2729" i="364"/>
  <c r="B2781" i="364"/>
  <c r="B2652" i="364"/>
  <c r="B2545" i="364"/>
  <c r="B2458" i="364"/>
  <c r="B2734" i="364"/>
  <c r="B2801" i="364"/>
  <c r="B2661" i="364"/>
  <c r="B2588" i="364"/>
  <c r="B2510" i="364"/>
  <c r="B2737" i="364"/>
  <c r="B2699" i="364"/>
  <c r="B2541" i="364"/>
  <c r="B2436" i="364"/>
  <c r="B2366" i="364"/>
  <c r="B2309" i="364"/>
  <c r="B2253" i="364"/>
  <c r="B2196" i="364"/>
  <c r="B2136" i="364"/>
  <c r="B2087" i="364"/>
  <c r="B2027" i="364"/>
  <c r="B1967" i="364"/>
  <c r="B2748" i="364"/>
  <c r="B2644" i="364"/>
  <c r="B2482" i="364"/>
  <c r="B2387" i="364"/>
  <c r="B2314" i="364"/>
  <c r="B2229" i="364"/>
  <c r="B2160" i="364"/>
  <c r="B2081" i="364"/>
  <c r="B2003" i="364"/>
  <c r="B1927" i="364"/>
  <c r="B1865" i="364"/>
  <c r="B1812" i="364"/>
  <c r="B2860" i="364"/>
  <c r="B2613" i="364"/>
  <c r="B2442" i="364"/>
  <c r="B2371" i="364"/>
  <c r="B2292" i="364"/>
  <c r="B2208" i="364"/>
  <c r="B2141" i="364"/>
  <c r="B2062" i="364"/>
  <c r="B1987" i="364"/>
  <c r="B1918" i="364"/>
  <c r="B1861" i="364"/>
  <c r="B1804" i="364"/>
  <c r="B2789" i="364"/>
  <c r="B2399" i="364"/>
  <c r="B2240" i="364"/>
  <c r="B2104" i="364"/>
  <c r="B1920" i="364"/>
  <c r="B1809" i="364"/>
  <c r="B1750" i="364"/>
  <c r="B1707" i="364"/>
  <c r="B1661" i="364"/>
  <c r="B1622" i="364"/>
  <c r="B1579" i="364"/>
  <c r="B1533" i="364"/>
  <c r="B1494" i="364"/>
  <c r="B1451" i="364"/>
  <c r="B1405" i="364"/>
  <c r="B1369" i="364"/>
  <c r="B1341" i="364"/>
  <c r="B1320" i="364"/>
  <c r="B1288" i="364"/>
  <c r="B1259" i="364"/>
  <c r="B1231" i="364"/>
  <c r="B1199" i="364"/>
  <c r="B1174" i="364"/>
  <c r="B1145" i="364"/>
  <c r="B1113" i="364"/>
  <c r="B1085" i="364"/>
  <c r="B1064" i="364"/>
  <c r="B1032" i="364"/>
  <c r="B1003" i="364"/>
  <c r="B975" i="364"/>
  <c r="B940" i="364"/>
  <c r="B916" i="364"/>
  <c r="B889" i="364"/>
  <c r="B857" i="364"/>
  <c r="B828" i="364"/>
  <c r="B804" i="364"/>
  <c r="B772" i="364"/>
  <c r="B745" i="364"/>
  <c r="B2831" i="364"/>
  <c r="B2492" i="364"/>
  <c r="B2385" i="364"/>
  <c r="B2285" i="364"/>
  <c r="B2157" i="364"/>
  <c r="B2035" i="364"/>
  <c r="B1939" i="364"/>
  <c r="B1874" i="364"/>
  <c r="B1817" i="364"/>
  <c r="B1766" i="364"/>
  <c r="B1726" i="364"/>
  <c r="B1694" i="364"/>
  <c r="B1652" i="364"/>
  <c r="B1610" i="364"/>
  <c r="B1574" i="364"/>
  <c r="B1542" i="364"/>
  <c r="B1502" i="364"/>
  <c r="B1460" i="364"/>
  <c r="B1424" i="364"/>
  <c r="B1382" i="364"/>
  <c r="B1350" i="364"/>
  <c r="B1313" i="364"/>
  <c r="B1268" i="364"/>
  <c r="B1232" i="364"/>
  <c r="B1200" i="364"/>
  <c r="B1158" i="364"/>
  <c r="B1121" i="364"/>
  <c r="B1086" i="364"/>
  <c r="B1040" i="364"/>
  <c r="B1008" i="364"/>
  <c r="B970" i="364"/>
  <c r="B918" i="364"/>
  <c r="B863" i="364"/>
  <c r="B815" i="364"/>
  <c r="B751" i="364"/>
  <c r="B710" i="364"/>
  <c r="B683" i="364"/>
  <c r="B651" i="364"/>
  <c r="B627" i="364"/>
  <c r="B598" i="364"/>
  <c r="B566" i="364"/>
  <c r="B539" i="364"/>
  <c r="B515" i="364"/>
  <c r="B483" i="364"/>
  <c r="B454" i="364"/>
  <c r="B2777" i="364"/>
  <c r="B2512" i="364"/>
  <c r="B2410" i="364"/>
  <c r="B2311" i="364"/>
  <c r="B2210" i="364"/>
  <c r="B2114" i="364"/>
  <c r="B2045" i="364"/>
  <c r="B1947" i="364"/>
  <c r="B1747" i="364"/>
  <c r="B1710" i="364"/>
  <c r="B1669" i="364"/>
  <c r="B1637" i="364"/>
  <c r="B1596" i="364"/>
  <c r="B1555" i="364"/>
  <c r="B1518" i="364"/>
  <c r="B1486" i="364"/>
  <c r="B1445" i="364"/>
  <c r="B1404" i="364"/>
  <c r="B1368" i="364"/>
  <c r="B1326" i="364"/>
  <c r="B1294" i="364"/>
  <c r="B1257" i="364"/>
  <c r="B1212" i="364"/>
  <c r="B1176" i="364"/>
  <c r="B1144" i="364"/>
  <c r="B1102" i="364"/>
  <c r="B1065" i="364"/>
  <c r="B1029" i="364"/>
  <c r="B984" i="364"/>
  <c r="B952" i="364"/>
  <c r="B923" i="364"/>
  <c r="B891" i="364"/>
  <c r="B866" i="364"/>
  <c r="B840" i="364"/>
  <c r="B808" i="364"/>
  <c r="B779" i="364"/>
  <c r="B754" i="364"/>
  <c r="B720" i="364"/>
  <c r="B696" i="364"/>
  <c r="B669" i="364"/>
  <c r="B637" i="364"/>
  <c r="B608" i="364"/>
  <c r="B584" i="364"/>
  <c r="B552" i="364"/>
  <c r="B525" i="364"/>
  <c r="B496" i="364"/>
  <c r="B464" i="364"/>
  <c r="B440" i="364"/>
  <c r="B4" i="364"/>
  <c r="B36" i="364"/>
  <c r="B65" i="364"/>
  <c r="B89" i="364"/>
  <c r="B121" i="364"/>
  <c r="B148" i="364"/>
  <c r="B177" i="364"/>
  <c r="B209" i="364"/>
  <c r="B233" i="364"/>
  <c r="B260" i="364"/>
  <c r="B292" i="364"/>
  <c r="B321" i="364"/>
  <c r="B345" i="364"/>
  <c r="B377" i="364"/>
  <c r="B404" i="364"/>
  <c r="B434" i="364"/>
  <c r="B495" i="364"/>
  <c r="B543" i="364"/>
  <c r="B599" i="364"/>
  <c r="B663" i="364"/>
  <c r="B719" i="364"/>
  <c r="B768" i="364"/>
  <c r="B832" i="364"/>
  <c r="B887" i="364"/>
  <c r="B942" i="364"/>
  <c r="B1005" i="364"/>
  <c r="B1055" i="364"/>
  <c r="B1111" i="364"/>
  <c r="B1175" i="364"/>
  <c r="B1229" i="364"/>
  <c r="B1279" i="364"/>
  <c r="B1343" i="364"/>
  <c r="B1399" i="364"/>
  <c r="B1453" i="364"/>
  <c r="B1517" i="364"/>
  <c r="B1567" i="364"/>
  <c r="B1623" i="364"/>
  <c r="B1687" i="364"/>
  <c r="B1741" i="364"/>
  <c r="B1807" i="364"/>
  <c r="B1943" i="364"/>
  <c r="B2109" i="364"/>
  <c r="B2286" i="364"/>
  <c r="B2705" i="364"/>
  <c r="B2227" i="364"/>
  <c r="B508" i="364"/>
  <c r="B227" i="364"/>
  <c r="B88" i="364"/>
  <c r="B1287" i="364"/>
  <c r="B301" i="364"/>
  <c r="B143" i="364"/>
  <c r="B513" i="364"/>
  <c r="B98" i="364"/>
  <c r="B1260" i="364"/>
  <c r="B134" i="364"/>
  <c r="B1774" i="364"/>
  <c r="B1243" i="364"/>
  <c r="B1910" i="364"/>
  <c r="B708" i="364"/>
  <c r="B1814" i="364"/>
  <c r="B1420" i="364"/>
  <c r="B826" i="364"/>
  <c r="B1141" i="364"/>
  <c r="B355" i="364"/>
  <c r="B246" i="364"/>
  <c r="B466" i="364"/>
  <c r="B171" i="364"/>
  <c r="B352" i="364"/>
  <c r="B880" i="364"/>
  <c r="B2822" i="364"/>
  <c r="B2624" i="364"/>
  <c r="B2843" i="364"/>
  <c r="B2606" i="364"/>
  <c r="B2435" i="364"/>
  <c r="B2765" i="364"/>
  <c r="B2552" i="364"/>
  <c r="B2844" i="364"/>
  <c r="B2497" i="364"/>
  <c r="B2347" i="364"/>
  <c r="B2234" i="364"/>
  <c r="B2117" i="364"/>
  <c r="B2004" i="364"/>
  <c r="B2811" i="364"/>
  <c r="B2437" i="364"/>
  <c r="B2278" i="364"/>
  <c r="B2131" i="364"/>
  <c r="B1973" i="364"/>
  <c r="B1848" i="364"/>
  <c r="B2793" i="364"/>
  <c r="B2411" i="364"/>
  <c r="B2263" i="364"/>
  <c r="B2115" i="364"/>
  <c r="B1958" i="364"/>
  <c r="B1840" i="364"/>
  <c r="B2586" i="364"/>
  <c r="B2187" i="364"/>
  <c r="B1873" i="364"/>
  <c r="B1736" i="364"/>
  <c r="B1647" i="364"/>
  <c r="B1561" i="364"/>
  <c r="B1480" i="364"/>
  <c r="B1391" i="364"/>
  <c r="B1337" i="364"/>
  <c r="B1277" i="364"/>
  <c r="B1224" i="364"/>
  <c r="B1167" i="364"/>
  <c r="B1110" i="364"/>
  <c r="B1049" i="364"/>
  <c r="B1000" i="364"/>
  <c r="B937" i="364"/>
  <c r="B876" i="364"/>
  <c r="B825" i="364"/>
  <c r="B764" i="364"/>
  <c r="B2714" i="364"/>
  <c r="B2364" i="364"/>
  <c r="B2129" i="364"/>
  <c r="B1913" i="364"/>
  <c r="B1810" i="364"/>
  <c r="B1716" i="364"/>
  <c r="B1638" i="364"/>
  <c r="B1569" i="364"/>
  <c r="B1488" i="364"/>
  <c r="B1414" i="364"/>
  <c r="B1342" i="364"/>
  <c r="B1264" i="364"/>
  <c r="B1185" i="364"/>
  <c r="B1118" i="364"/>
  <c r="B1034" i="364"/>
  <c r="B958" i="364"/>
  <c r="B854" i="364"/>
  <c r="B735" i="364"/>
  <c r="B675" i="364"/>
  <c r="B619" i="364"/>
  <c r="B563" i="364"/>
  <c r="B502" i="364"/>
  <c r="B451" i="364"/>
  <c r="B2484" i="364"/>
  <c r="B2281" i="364"/>
  <c r="B2103" i="364"/>
  <c r="B1929" i="364"/>
  <c r="B1701" i="364"/>
  <c r="B1624" i="364"/>
  <c r="B1550" i="364"/>
  <c r="B1468" i="364"/>
  <c r="B1400" i="364"/>
  <c r="B1321" i="364"/>
  <c r="B1240" i="364"/>
  <c r="B1171" i="364"/>
  <c r="B1093" i="364"/>
  <c r="B1016" i="364"/>
  <c r="B946" i="364"/>
  <c r="B888" i="364"/>
  <c r="B827" i="364"/>
  <c r="B776" i="364"/>
  <c r="B717" i="364"/>
  <c r="B656" i="364"/>
  <c r="B605" i="364"/>
  <c r="B544" i="364"/>
  <c r="B488" i="364"/>
  <c r="B432" i="364"/>
  <c r="B41" i="364"/>
  <c r="B100" i="364"/>
  <c r="B153" i="364"/>
  <c r="B212" i="364"/>
  <c r="B273" i="364"/>
  <c r="B324" i="364"/>
  <c r="B385" i="364"/>
  <c r="B447" i="364"/>
  <c r="B559" i="364"/>
  <c r="B671" i="364"/>
  <c r="B791" i="364"/>
  <c r="B896" i="364"/>
  <c r="B1015" i="364"/>
  <c r="B1133" i="364"/>
  <c r="B1239" i="364"/>
  <c r="B1357" i="364"/>
  <c r="B1471" i="364"/>
  <c r="B1581" i="364"/>
  <c r="B1695" i="364"/>
  <c r="B1860" i="364"/>
  <c r="B2146" i="364"/>
  <c r="B2800" i="364"/>
  <c r="B915" i="364"/>
  <c r="B2134" i="364"/>
  <c r="B363" i="364"/>
  <c r="B612" i="364"/>
  <c r="B749" i="364"/>
  <c r="B58" i="364"/>
  <c r="B78" i="364"/>
  <c r="B114" i="364"/>
  <c r="B91" i="364"/>
  <c r="B2745" i="364"/>
  <c r="B2702" i="364"/>
  <c r="B2539" i="364"/>
  <c r="B2692" i="364"/>
  <c r="B2499" i="364"/>
  <c r="B2852" i="364"/>
  <c r="B2619" i="364"/>
  <c r="B2476" i="364"/>
  <c r="B2627" i="364"/>
  <c r="B2392" i="364"/>
  <c r="B2283" i="364"/>
  <c r="B2170" i="364"/>
  <c r="B2053" i="364"/>
  <c r="B1942" i="364"/>
  <c r="B2572" i="364"/>
  <c r="B2342" i="364"/>
  <c r="B2195" i="364"/>
  <c r="B2043" i="364"/>
  <c r="B1894" i="364"/>
  <c r="B1784" i="364"/>
  <c r="B2515" i="364"/>
  <c r="B2327" i="364"/>
  <c r="B2179" i="364"/>
  <c r="B2026" i="364"/>
  <c r="B1886" i="364"/>
  <c r="B1776" i="364"/>
  <c r="B2325" i="364"/>
  <c r="B2015" i="364"/>
  <c r="B1771" i="364"/>
  <c r="B1686" i="364"/>
  <c r="B1597" i="364"/>
  <c r="B1515" i="364"/>
  <c r="B1430" i="364"/>
  <c r="B1359" i="364"/>
  <c r="B1302" i="364"/>
  <c r="B1241" i="364"/>
  <c r="B1192" i="364"/>
  <c r="B1131" i="364"/>
  <c r="B1071" i="364"/>
  <c r="B1017" i="364"/>
  <c r="B957" i="364"/>
  <c r="B900" i="364"/>
  <c r="B844" i="364"/>
  <c r="B788" i="364"/>
  <c r="B729" i="364"/>
  <c r="B2460" i="364"/>
  <c r="B2212" i="364"/>
  <c r="B1980" i="364"/>
  <c r="B1849" i="364"/>
  <c r="B1744" i="364"/>
  <c r="B1670" i="364"/>
  <c r="B1598" i="364"/>
  <c r="B1520" i="364"/>
  <c r="B1441" i="364"/>
  <c r="B1374" i="364"/>
  <c r="B1290" i="364"/>
  <c r="B1214" i="364"/>
  <c r="B1140" i="364"/>
  <c r="B1062" i="364"/>
  <c r="B990" i="364"/>
  <c r="B895" i="364"/>
  <c r="B783" i="364"/>
  <c r="B694" i="364"/>
  <c r="B643" i="364"/>
  <c r="B582" i="364"/>
  <c r="B523" i="364"/>
  <c r="B470" i="364"/>
  <c r="B2623" i="364"/>
  <c r="B2350" i="364"/>
  <c r="B2173" i="364"/>
  <c r="B1986" i="364"/>
  <c r="B1724" i="364"/>
  <c r="B1656" i="364"/>
  <c r="B1577" i="364"/>
  <c r="B1496" i="364"/>
  <c r="B1427" i="364"/>
  <c r="B1349" i="364"/>
  <c r="B1272" i="364"/>
  <c r="B1198" i="364"/>
  <c r="B1125" i="364"/>
  <c r="B1043" i="364"/>
  <c r="B974" i="364"/>
  <c r="B907" i="364"/>
  <c r="B850" i="364"/>
  <c r="B795" i="364"/>
  <c r="B738" i="364"/>
  <c r="B680" i="364"/>
  <c r="B624" i="364"/>
  <c r="B568" i="364"/>
  <c r="B509" i="364"/>
  <c r="B456" i="364"/>
  <c r="B20" i="364"/>
  <c r="B81" i="364"/>
  <c r="B132" i="364"/>
  <c r="B193" i="364"/>
  <c r="B249" i="364"/>
  <c r="B305" i="364"/>
  <c r="B361" i="364"/>
  <c r="B420" i="364"/>
  <c r="B511" i="364"/>
  <c r="B631" i="364"/>
  <c r="B750" i="364"/>
  <c r="B855" i="364"/>
  <c r="B973" i="364"/>
  <c r="B1087" i="364"/>
  <c r="B1197" i="364"/>
  <c r="B1311" i="364"/>
  <c r="B1431" i="364"/>
  <c r="B1535" i="364"/>
  <c r="B1655" i="364"/>
  <c r="B1775" i="364"/>
  <c r="B2010" i="364"/>
  <c r="B2402" i="364"/>
  <c r="B1425" i="364"/>
  <c r="B152" i="364"/>
  <c r="B474" i="364"/>
  <c r="B79" i="364"/>
  <c r="B6" i="364"/>
  <c r="B34" i="364"/>
  <c r="B130" i="364"/>
  <c r="X36" i="354"/>
  <c r="B237" i="364"/>
  <c r="B1407" i="364"/>
  <c r="B102" i="364"/>
  <c r="B166" i="364"/>
  <c r="B422" i="364"/>
  <c r="B111" i="364"/>
  <c r="B2178" i="364"/>
  <c r="B397" i="364"/>
  <c r="B2349" i="364"/>
  <c r="B1751" i="364"/>
  <c r="B1527" i="364"/>
  <c r="B1303" i="364"/>
  <c r="B1069" i="364"/>
  <c r="B846" i="364"/>
  <c r="B623" i="364"/>
  <c r="B409" i="364"/>
  <c r="B297" i="364"/>
  <c r="B185" i="364"/>
  <c r="B68" i="364"/>
  <c r="B461" i="364"/>
  <c r="B573" i="364"/>
  <c r="B688" i="364"/>
  <c r="B802" i="364"/>
  <c r="B914" i="364"/>
  <c r="B1061" i="364"/>
  <c r="B1208" i="364"/>
  <c r="B1358" i="364"/>
  <c r="B1513" i="364"/>
  <c r="B1660" i="364"/>
  <c r="B2011" i="364"/>
  <c r="B2370" i="364"/>
  <c r="B475" i="364"/>
  <c r="B587" i="364"/>
  <c r="B707" i="364"/>
  <c r="B911" i="364"/>
  <c r="B1072" i="364"/>
  <c r="B1226" i="364"/>
  <c r="B1377" i="364"/>
  <c r="B1524" i="364"/>
  <c r="B1680" i="364"/>
  <c r="B1859" i="364"/>
  <c r="B2236" i="364"/>
  <c r="B740" i="364"/>
  <c r="B852" i="364"/>
  <c r="B968" i="364"/>
  <c r="B1081" i="364"/>
  <c r="B1195" i="364"/>
  <c r="B1305" i="364"/>
  <c r="B1433" i="364"/>
  <c r="B1608" i="364"/>
  <c r="B1777" i="364"/>
  <c r="B2344" i="364"/>
  <c r="B1900" i="364"/>
  <c r="B2184" i="364"/>
  <c r="B2526" i="364"/>
  <c r="B1908" i="364"/>
  <c r="B2206" i="364"/>
  <c r="B2580" i="364"/>
  <c r="B2061" i="364"/>
  <c r="B2287" i="364"/>
  <c r="B2648" i="364"/>
  <c r="B2635" i="364"/>
  <c r="B2511" i="364"/>
  <c r="B2558" i="364"/>
  <c r="B2749" i="364"/>
  <c r="B104" i="364"/>
  <c r="B83" i="364"/>
  <c r="B676" i="364"/>
  <c r="B2380" i="364"/>
  <c r="B198" i="364"/>
  <c r="B70" i="364"/>
  <c r="B262" i="364"/>
  <c r="B184" i="364"/>
  <c r="B1991" i="364"/>
  <c r="B1645" i="364"/>
  <c r="B1183" i="364"/>
  <c r="B959" i="364"/>
  <c r="B727" i="364"/>
  <c r="B503" i="364"/>
  <c r="B356" i="364"/>
  <c r="B241" i="364"/>
  <c r="B129" i="364"/>
  <c r="B17" i="364"/>
  <c r="B520" i="364"/>
  <c r="B632" i="364"/>
  <c r="B744" i="364"/>
  <c r="B859" i="364"/>
  <c r="B979" i="364"/>
  <c r="B1129" i="364"/>
  <c r="B1285" i="364"/>
  <c r="B1432" i="364"/>
  <c r="B1582" i="364"/>
  <c r="B1742" i="364"/>
  <c r="B2198" i="364"/>
  <c r="B2693" i="364"/>
  <c r="B534" i="364"/>
  <c r="B646" i="364"/>
  <c r="B790" i="364"/>
  <c r="B998" i="364"/>
  <c r="B1150" i="364"/>
  <c r="B1296" i="364"/>
  <c r="B1456" i="364"/>
  <c r="B1606" i="364"/>
  <c r="B1758" i="364"/>
  <c r="B2029" i="364"/>
  <c r="B2478" i="364"/>
  <c r="B793" i="364"/>
  <c r="B908" i="364"/>
  <c r="B1021" i="364"/>
  <c r="B1135" i="364"/>
  <c r="B1256" i="364"/>
  <c r="B1366" i="364"/>
  <c r="B1519" i="364"/>
  <c r="B1689" i="364"/>
  <c r="B2048" i="364"/>
  <c r="B1783" i="364"/>
  <c r="B2036" i="364"/>
  <c r="B2336" i="364"/>
  <c r="B1787" i="364"/>
  <c r="B2058" i="364"/>
  <c r="B2357" i="364"/>
  <c r="B1945" i="364"/>
  <c r="B2174" i="364"/>
  <c r="B2407" i="364"/>
  <c r="B2490" i="364"/>
  <c r="B2874" i="364"/>
  <c r="B2707" i="364"/>
  <c r="B2706" i="364"/>
  <c r="B27" i="364"/>
  <c r="B126" i="364"/>
  <c r="B839" i="364"/>
  <c r="B402" i="364"/>
  <c r="B986" i="364"/>
  <c r="B416" i="364"/>
  <c r="B287" i="364"/>
  <c r="B291" i="364"/>
  <c r="B336" i="364"/>
  <c r="B713" i="364"/>
  <c r="B317" i="364"/>
  <c r="B2856" i="364"/>
  <c r="B1871" i="364"/>
  <c r="B1599" i="364"/>
  <c r="B1367" i="364"/>
  <c r="B1143" i="364"/>
  <c r="B919" i="364"/>
  <c r="B687" i="364"/>
  <c r="B463" i="364"/>
  <c r="B337" i="364"/>
  <c r="B217" i="364"/>
  <c r="B105" i="364"/>
  <c r="B6" i="100"/>
  <c r="O3" i="343" s="1"/>
  <c r="B541" i="364"/>
  <c r="B653" i="364"/>
  <c r="B763" i="364"/>
  <c r="B882" i="364"/>
  <c r="B1006" i="364"/>
  <c r="B1157" i="364"/>
  <c r="B1317" i="364"/>
  <c r="B1464" i="364"/>
  <c r="B1614" i="364"/>
  <c r="B1769" i="364"/>
  <c r="B2267" i="364"/>
  <c r="B2725" i="364"/>
  <c r="B555" i="364"/>
  <c r="B667" i="364"/>
  <c r="B831" i="364"/>
  <c r="B1030" i="364"/>
  <c r="B1182" i="364"/>
  <c r="B1328" i="364"/>
  <c r="B1482" i="364"/>
  <c r="B1633" i="364"/>
  <c r="B1785" i="364"/>
  <c r="B2108" i="364"/>
  <c r="B2665" i="364"/>
  <c r="B812" i="364"/>
  <c r="B932" i="364"/>
  <c r="B1046" i="364"/>
  <c r="B1160" i="364"/>
  <c r="B1273" i="364"/>
  <c r="B1387" i="364"/>
  <c r="B1558" i="364"/>
  <c r="B1725" i="364"/>
  <c r="B2176" i="364"/>
  <c r="B1836" i="364"/>
  <c r="B2100" i="364"/>
  <c r="B2400" i="364"/>
  <c r="B1844" i="364"/>
  <c r="B2122" i="364"/>
  <c r="B2426" i="364"/>
  <c r="B1997" i="364"/>
  <c r="B2223" i="364"/>
  <c r="B2489" i="364"/>
  <c r="B2547" i="364"/>
  <c r="B2424" i="364"/>
  <c r="B2835" i="364"/>
  <c r="B2806" i="364"/>
  <c r="B406" i="364"/>
  <c r="B433" i="364"/>
  <c r="B311" i="364"/>
  <c r="B771" i="364"/>
  <c r="B1754" i="364"/>
  <c r="I82" i="146"/>
  <c r="E82" i="146"/>
  <c r="D100" i="146"/>
  <c r="D82" i="146"/>
  <c r="K16" i="126"/>
  <c r="P15" i="140" s="1"/>
  <c r="K18" i="343"/>
  <c r="L97" i="363"/>
  <c r="J118" i="343"/>
  <c r="J116" i="343" s="1"/>
  <c r="J16" i="126" s="1"/>
  <c r="Q116" i="343"/>
  <c r="O36" i="139"/>
  <c r="O44" i="139" s="1"/>
  <c r="B1709" i="364"/>
  <c r="B164" i="364"/>
  <c r="B1235" i="364"/>
  <c r="B726" i="364"/>
  <c r="B2330" i="364"/>
  <c r="B1643" i="364"/>
  <c r="B2773" i="364"/>
  <c r="B283" i="364"/>
  <c r="B1485" i="364"/>
  <c r="B49" i="364"/>
  <c r="B1385" i="364"/>
  <c r="B950" i="364"/>
  <c r="B761" i="364"/>
  <c r="B1867" i="364"/>
  <c r="B2110" i="364"/>
  <c r="B218" i="364"/>
  <c r="G33" i="337"/>
  <c r="H34" i="337" s="1"/>
  <c r="H33" i="337"/>
  <c r="K153" i="343"/>
  <c r="U149" i="343"/>
  <c r="L138" i="343"/>
  <c r="L18" i="126" s="1"/>
  <c r="U105" i="343"/>
  <c r="K106" i="343"/>
  <c r="K105" i="343" s="1"/>
  <c r="K15" i="126" s="1"/>
  <c r="L50" i="343"/>
  <c r="L10" i="126" s="1"/>
  <c r="H23" i="139"/>
  <c r="S37" i="127"/>
  <c r="D57" i="145"/>
  <c r="I11" i="145"/>
  <c r="O42" i="139"/>
  <c r="G92" i="363"/>
  <c r="G97" i="363" s="1"/>
  <c r="E29" i="253"/>
  <c r="R37" i="127"/>
  <c r="A22" i="316"/>
  <c r="I66" i="146"/>
  <c r="E7" i="253"/>
  <c r="G71" i="363"/>
  <c r="F11" i="253"/>
  <c r="F19" i="253"/>
  <c r="H83" i="363"/>
  <c r="L17" i="343"/>
  <c r="L7" i="126" s="1"/>
  <c r="Q6" i="140" s="1"/>
  <c r="E44" i="139"/>
  <c r="L23" i="139"/>
  <c r="O15" i="139"/>
  <c r="G122" i="363"/>
  <c r="M245" i="363"/>
  <c r="C18" i="253"/>
  <c r="E83" i="363"/>
  <c r="I87" i="363"/>
  <c r="I88" i="363" s="1"/>
  <c r="G24" i="253"/>
  <c r="I44" i="139"/>
  <c r="L245" i="363"/>
  <c r="H11" i="253"/>
  <c r="J75" i="363"/>
  <c r="J76" i="363" s="1"/>
  <c r="I122" i="363"/>
  <c r="I100" i="363"/>
  <c r="G38" i="253"/>
  <c r="G39" i="253" s="1"/>
  <c r="F86" i="351"/>
  <c r="H86" i="351"/>
  <c r="G86" i="351"/>
  <c r="G17" i="133" s="1"/>
  <c r="D86" i="351"/>
  <c r="D17" i="133" s="1"/>
  <c r="I86" i="351"/>
  <c r="I17" i="133" s="1"/>
  <c r="C86" i="351"/>
  <c r="K86" i="351"/>
  <c r="E86" i="351"/>
  <c r="J86" i="351"/>
  <c r="J149" i="343"/>
  <c r="J19" i="126" s="1"/>
  <c r="K135" i="343"/>
  <c r="K127" i="343" s="1"/>
  <c r="K17" i="126" s="1"/>
  <c r="F66" i="146"/>
  <c r="F100" i="146"/>
  <c r="G66" i="146"/>
  <c r="U160" i="343"/>
  <c r="A173" i="128"/>
  <c r="A24" i="141"/>
  <c r="I171" i="343"/>
  <c r="L116" i="343"/>
  <c r="L16" i="126" s="1"/>
  <c r="G82" i="146"/>
  <c r="E57" i="145"/>
  <c r="D11" i="253"/>
  <c r="F53" i="294"/>
  <c r="D18" i="126"/>
  <c r="D171" i="343"/>
  <c r="J42" i="343"/>
  <c r="J39" i="343" s="1"/>
  <c r="Q39" i="343"/>
  <c r="J6" i="343"/>
  <c r="J6" i="126" s="1"/>
  <c r="O5" i="140" s="1"/>
  <c r="J57" i="343"/>
  <c r="J50" i="343" s="1"/>
  <c r="J10" i="126" s="1"/>
  <c r="O9" i="140" s="1"/>
  <c r="Q50" i="343"/>
  <c r="I32" i="337"/>
  <c r="O37" i="127"/>
  <c r="J167" i="343"/>
  <c r="J160" i="343"/>
  <c r="J20" i="126" s="1"/>
  <c r="Q160" i="343"/>
  <c r="J78" i="343"/>
  <c r="J72" i="343" s="1"/>
  <c r="J12" i="126" s="1"/>
  <c r="Q72" i="343"/>
  <c r="E98" i="146"/>
  <c r="F98" i="146"/>
  <c r="Q149" i="343"/>
  <c r="K6" i="343"/>
  <c r="K6" i="126" s="1"/>
  <c r="P5" i="140" s="1"/>
  <c r="M24" i="143"/>
  <c r="K82" i="146"/>
  <c r="F32" i="253"/>
  <c r="H96" i="363"/>
  <c r="H97" i="363" s="1"/>
  <c r="L33" i="337"/>
  <c r="K98" i="146"/>
  <c r="J143" i="363"/>
  <c r="N44" i="139"/>
  <c r="F92" i="363"/>
  <c r="D29" i="253"/>
  <c r="J92" i="363"/>
  <c r="J97" i="363" s="1"/>
  <c r="I92" i="363"/>
  <c r="G29" i="253"/>
  <c r="F37" i="148" l="1"/>
  <c r="B2797" i="364"/>
  <c r="B280" i="364"/>
  <c r="B110" i="364"/>
  <c r="B343" i="364"/>
  <c r="B2394" i="364"/>
  <c r="B1730" i="364"/>
  <c r="B59" i="364"/>
  <c r="B554" i="364"/>
  <c r="B141" i="364"/>
  <c r="B1312" i="364"/>
  <c r="B347" i="364"/>
  <c r="B1703" i="364"/>
  <c r="B1877" i="364"/>
  <c r="B2832" i="364"/>
  <c r="B2819" i="364"/>
  <c r="B136" i="364"/>
  <c r="B158" i="364"/>
  <c r="B553" i="364"/>
  <c r="B360" i="364"/>
  <c r="B1878" i="364"/>
  <c r="B1543" i="364"/>
  <c r="B1041" i="364"/>
  <c r="B157" i="364"/>
  <c r="B1832" i="364"/>
  <c r="B370" i="364"/>
  <c r="B2089" i="364"/>
  <c r="B593" i="364"/>
  <c r="B2273" i="364"/>
  <c r="B3" i="100"/>
  <c r="B22" i="100"/>
  <c r="B7" i="100"/>
  <c r="K2" i="123" s="1"/>
  <c r="B5" i="100"/>
  <c r="F2" i="127" s="1"/>
  <c r="B2615" i="364"/>
  <c r="B2798" i="364"/>
  <c r="B86" i="364"/>
  <c r="B112" i="364"/>
  <c r="B617" i="364"/>
  <c r="B903" i="364"/>
  <c r="B2138" i="364"/>
  <c r="B159" i="364"/>
  <c r="B1553" i="364"/>
  <c r="B1159" i="364"/>
  <c r="B2097" i="364"/>
  <c r="B1403" i="364"/>
  <c r="B2345" i="364"/>
  <c r="B634" i="364"/>
  <c r="B1953" i="364"/>
  <c r="B342" i="364"/>
  <c r="B1213" i="364"/>
  <c r="B2814" i="364"/>
  <c r="B8" i="364"/>
  <c r="B131" i="364"/>
  <c r="B700" i="364"/>
  <c r="B1019" i="364"/>
  <c r="B2310" i="364"/>
  <c r="B127" i="364"/>
  <c r="B13" i="364"/>
  <c r="B2158" i="364"/>
  <c r="B813" i="364"/>
  <c r="B1595" i="364"/>
  <c r="B373" i="364"/>
  <c r="B1329" i="364"/>
  <c r="B1469" i="364"/>
  <c r="B56" i="364"/>
  <c r="B2830" i="364"/>
  <c r="B1077" i="364"/>
  <c r="B154" i="364"/>
  <c r="B1223" i="364"/>
  <c r="B1493" i="364"/>
  <c r="B562" i="364"/>
  <c r="B31" i="364"/>
  <c r="B29" i="364"/>
  <c r="B206" i="364"/>
  <c r="B1105" i="364"/>
  <c r="B1749" i="364"/>
  <c r="B389" i="364"/>
  <c r="B890" i="364"/>
  <c r="B2225" i="364"/>
  <c r="B2697" i="364"/>
  <c r="B2724" i="364"/>
  <c r="B609" i="364"/>
  <c r="B264" i="364"/>
  <c r="B1013" i="364"/>
  <c r="B1917" i="364"/>
  <c r="B378" i="364"/>
  <c r="B181" i="364"/>
  <c r="B77" i="364"/>
  <c r="B302" i="364"/>
  <c r="B1233" i="364"/>
  <c r="B2804" i="364"/>
  <c r="B405" i="364"/>
  <c r="B922" i="364"/>
  <c r="B936" i="364"/>
  <c r="B17" i="100"/>
  <c r="K3" i="253" s="1"/>
  <c r="B15" i="100"/>
  <c r="B2" i="100"/>
  <c r="E2" i="351" s="1"/>
  <c r="B2718" i="364"/>
  <c r="B69" i="364"/>
  <c r="B288" i="364"/>
  <c r="B1115" i="364"/>
  <c r="B1179" i="364"/>
  <c r="B1676" i="364"/>
  <c r="B187" i="364"/>
  <c r="B243" i="364"/>
  <c r="B93" i="364"/>
  <c r="B577" i="364"/>
  <c r="B1361" i="364"/>
  <c r="B1280" i="364"/>
  <c r="B482" i="364"/>
  <c r="B1018" i="364"/>
  <c r="B480" i="364"/>
  <c r="B37" i="100"/>
  <c r="J37" i="148"/>
  <c r="F27" i="136"/>
  <c r="K47" i="136"/>
  <c r="I27" i="136"/>
  <c r="L18" i="337"/>
  <c r="K18" i="337"/>
  <c r="F57" i="145"/>
  <c r="J25" i="316"/>
  <c r="K53" i="316"/>
  <c r="E25" i="316"/>
  <c r="E59" i="316" s="1"/>
  <c r="E27" i="249"/>
  <c r="H27" i="249"/>
  <c r="H47" i="249" s="1"/>
  <c r="J27" i="249"/>
  <c r="G45" i="249"/>
  <c r="D45" i="249"/>
  <c r="F27" i="249"/>
  <c r="C45" i="249"/>
  <c r="K27" i="249"/>
  <c r="G27" i="249"/>
  <c r="G47" i="249" s="1"/>
  <c r="C27" i="249"/>
  <c r="D18" i="337"/>
  <c r="G27" i="136"/>
  <c r="C27" i="136"/>
  <c r="E27" i="136"/>
  <c r="J47" i="136"/>
  <c r="F47" i="136"/>
  <c r="F48" i="136" s="1"/>
  <c r="D184" i="255"/>
  <c r="D186" i="255" s="1"/>
  <c r="D30" i="127" s="1"/>
  <c r="C680" i="364"/>
  <c r="C2736" i="364"/>
  <c r="P27" i="137"/>
  <c r="E37" i="246"/>
  <c r="E41" i="246" s="1"/>
  <c r="E9" i="140"/>
  <c r="K9" i="140"/>
  <c r="J9" i="140"/>
  <c r="I9" i="140"/>
  <c r="G9" i="140"/>
  <c r="D9" i="140"/>
  <c r="L9" i="140"/>
  <c r="C9" i="140"/>
  <c r="M9" i="140"/>
  <c r="H9" i="140"/>
  <c r="F9" i="140"/>
  <c r="K30" i="146"/>
  <c r="C5" i="140"/>
  <c r="K5" i="140"/>
  <c r="M5" i="140"/>
  <c r="L5" i="140"/>
  <c r="H5" i="140"/>
  <c r="I5" i="140"/>
  <c r="G5" i="140"/>
  <c r="F5" i="140"/>
  <c r="E5" i="140"/>
  <c r="J5" i="140"/>
  <c r="D5" i="140"/>
  <c r="H89" i="248"/>
  <c r="H118" i="367"/>
  <c r="E14" i="146"/>
  <c r="K74" i="350"/>
  <c r="J16" i="140"/>
  <c r="I16" i="140"/>
  <c r="H16" i="140"/>
  <c r="G16" i="140"/>
  <c r="F16" i="140"/>
  <c r="E16" i="140"/>
  <c r="C16" i="140"/>
  <c r="D16" i="140"/>
  <c r="M16" i="140"/>
  <c r="L16" i="140"/>
  <c r="K16" i="140"/>
  <c r="J30" i="146"/>
  <c r="D60" i="248"/>
  <c r="D61" i="248" s="1"/>
  <c r="K28" i="248"/>
  <c r="K29" i="248" s="1"/>
  <c r="D37" i="246"/>
  <c r="D41" i="246" s="1"/>
  <c r="E118" i="358"/>
  <c r="E182" i="248"/>
  <c r="A149" i="342"/>
  <c r="A317" i="342" s="1"/>
  <c r="A150" i="343"/>
  <c r="A319" i="343" s="1"/>
  <c r="A113" i="342"/>
  <c r="A281" i="342" s="1"/>
  <c r="A114" i="343"/>
  <c r="A283" i="343" s="1"/>
  <c r="A78" i="342"/>
  <c r="A246" i="342" s="1"/>
  <c r="A79" i="343"/>
  <c r="A248" i="343" s="1"/>
  <c r="A43" i="342"/>
  <c r="A211" i="342" s="1"/>
  <c r="A44" i="343"/>
  <c r="A213" i="343" s="1"/>
  <c r="M8" i="298"/>
  <c r="L8" i="298"/>
  <c r="K8" i="298"/>
  <c r="J8" i="298"/>
  <c r="I8" i="298"/>
  <c r="H8" i="298"/>
  <c r="G8" i="298"/>
  <c r="F8" i="298"/>
  <c r="E8" i="298"/>
  <c r="D8" i="298"/>
  <c r="C8" i="298"/>
  <c r="M27" i="299"/>
  <c r="L27" i="299"/>
  <c r="K27" i="299"/>
  <c r="J27" i="299"/>
  <c r="I27" i="299"/>
  <c r="G27" i="299"/>
  <c r="E27" i="299"/>
  <c r="D27" i="299"/>
  <c r="H27" i="299"/>
  <c r="F27" i="299"/>
  <c r="C27" i="299"/>
  <c r="L28" i="300"/>
  <c r="K28" i="300"/>
  <c r="J28" i="300"/>
  <c r="I28" i="300"/>
  <c r="H28" i="300"/>
  <c r="G28" i="300"/>
  <c r="F28" i="300"/>
  <c r="E28" i="300"/>
  <c r="D28" i="300"/>
  <c r="C28" i="300"/>
  <c r="M28" i="300"/>
  <c r="D18" i="300"/>
  <c r="M18" i="300"/>
  <c r="L18" i="300"/>
  <c r="K18" i="300"/>
  <c r="J18" i="300"/>
  <c r="I18" i="300"/>
  <c r="H18" i="300"/>
  <c r="G18" i="300"/>
  <c r="F18" i="300"/>
  <c r="E18" i="300"/>
  <c r="C18" i="300"/>
  <c r="G11" i="300"/>
  <c r="M11" i="300"/>
  <c r="L11" i="300"/>
  <c r="K11" i="300"/>
  <c r="J11" i="300"/>
  <c r="I11" i="300"/>
  <c r="H11" i="300"/>
  <c r="F11" i="300"/>
  <c r="D11" i="300"/>
  <c r="C11" i="300"/>
  <c r="E11" i="300"/>
  <c r="A147" i="342"/>
  <c r="A315" i="342" s="1"/>
  <c r="A148" i="343"/>
  <c r="A317" i="343" s="1"/>
  <c r="A112" i="342"/>
  <c r="A280" i="342" s="1"/>
  <c r="A113" i="343"/>
  <c r="A282" i="343" s="1"/>
  <c r="A77" i="342"/>
  <c r="A245" i="342" s="1"/>
  <c r="A78" i="343"/>
  <c r="A247" i="343" s="1"/>
  <c r="A42" i="342"/>
  <c r="A210" i="342" s="1"/>
  <c r="A43" i="343"/>
  <c r="A212" i="343" s="1"/>
  <c r="M34" i="299"/>
  <c r="L34" i="299"/>
  <c r="K34" i="299"/>
  <c r="J34" i="299"/>
  <c r="I34" i="299"/>
  <c r="H34" i="299"/>
  <c r="G34" i="299"/>
  <c r="F34" i="299"/>
  <c r="E34" i="299"/>
  <c r="D34" i="299"/>
  <c r="C34" i="299"/>
  <c r="D11" i="299"/>
  <c r="C11" i="299"/>
  <c r="M11" i="299"/>
  <c r="K11" i="299"/>
  <c r="I11" i="299"/>
  <c r="H11" i="299"/>
  <c r="L11" i="299"/>
  <c r="J11" i="299"/>
  <c r="G11" i="299"/>
  <c r="F11" i="299"/>
  <c r="E11" i="299"/>
  <c r="F34" i="140"/>
  <c r="G34" i="140"/>
  <c r="H34" i="140"/>
  <c r="I34" i="140"/>
  <c r="J34" i="140"/>
  <c r="K34" i="140"/>
  <c r="L34" i="140"/>
  <c r="M34" i="140"/>
  <c r="C34" i="140"/>
  <c r="D34" i="140"/>
  <c r="E34" i="140"/>
  <c r="A146" i="342"/>
  <c r="A314" i="342" s="1"/>
  <c r="A147" i="343"/>
  <c r="A316" i="343" s="1"/>
  <c r="A111" i="342"/>
  <c r="A279" i="342" s="1"/>
  <c r="A112" i="343"/>
  <c r="A281" i="343" s="1"/>
  <c r="A76" i="342"/>
  <c r="A244" i="342" s="1"/>
  <c r="A77" i="343"/>
  <c r="A246" i="343" s="1"/>
  <c r="A41" i="342"/>
  <c r="A209" i="342" s="1"/>
  <c r="A42" i="343"/>
  <c r="A211" i="343" s="1"/>
  <c r="M18" i="299"/>
  <c r="L18" i="299"/>
  <c r="K18" i="299"/>
  <c r="J18" i="299"/>
  <c r="I18" i="299"/>
  <c r="H18" i="299"/>
  <c r="G18" i="299"/>
  <c r="F18" i="299"/>
  <c r="E18" i="299"/>
  <c r="D18" i="299"/>
  <c r="C18" i="299"/>
  <c r="L23" i="298"/>
  <c r="K23" i="298"/>
  <c r="J23" i="298"/>
  <c r="I23" i="298"/>
  <c r="H23" i="298"/>
  <c r="G23" i="298"/>
  <c r="F23" i="298"/>
  <c r="E23" i="298"/>
  <c r="D23" i="298"/>
  <c r="C23" i="298"/>
  <c r="M23" i="298"/>
  <c r="M33" i="298"/>
  <c r="L33" i="298"/>
  <c r="K33" i="298"/>
  <c r="J33" i="298"/>
  <c r="I33" i="298"/>
  <c r="G33" i="298"/>
  <c r="E33" i="298"/>
  <c r="D33" i="298"/>
  <c r="C33" i="298"/>
  <c r="H33" i="298"/>
  <c r="F33" i="298"/>
  <c r="A145" i="342"/>
  <c r="A313" i="342" s="1"/>
  <c r="A146" i="343"/>
  <c r="A315" i="343" s="1"/>
  <c r="A110" i="342"/>
  <c r="A278" i="342" s="1"/>
  <c r="A111" i="343"/>
  <c r="A280" i="343" s="1"/>
  <c r="A75" i="342"/>
  <c r="A243" i="342" s="1"/>
  <c r="A76" i="343"/>
  <c r="A245" i="343" s="1"/>
  <c r="A40" i="342"/>
  <c r="A208" i="342" s="1"/>
  <c r="A41" i="343"/>
  <c r="A210" i="343" s="1"/>
  <c r="E37" i="140"/>
  <c r="F37" i="140"/>
  <c r="G37" i="140"/>
  <c r="H37" i="140"/>
  <c r="I37" i="140"/>
  <c r="J37" i="140"/>
  <c r="K37" i="140"/>
  <c r="L37" i="140"/>
  <c r="M37" i="140"/>
  <c r="C37" i="140"/>
  <c r="D37" i="140"/>
  <c r="M25" i="137"/>
  <c r="L25" i="137"/>
  <c r="K25" i="137"/>
  <c r="J25" i="137"/>
  <c r="I25" i="137"/>
  <c r="H25" i="137"/>
  <c r="G25" i="137"/>
  <c r="F25" i="137"/>
  <c r="E25" i="137"/>
  <c r="C25" i="137"/>
  <c r="D25" i="137"/>
  <c r="C13" i="137"/>
  <c r="D13" i="137"/>
  <c r="E13" i="137"/>
  <c r="F13" i="137"/>
  <c r="G13" i="137"/>
  <c r="H13" i="137"/>
  <c r="J13" i="137"/>
  <c r="L13" i="137"/>
  <c r="M13" i="137"/>
  <c r="K13" i="137"/>
  <c r="I13" i="137"/>
  <c r="M47" i="298"/>
  <c r="L47" i="298"/>
  <c r="K47" i="298"/>
  <c r="J47" i="298"/>
  <c r="I47" i="298"/>
  <c r="H47" i="298"/>
  <c r="G47" i="298"/>
  <c r="F47" i="298"/>
  <c r="E47" i="298"/>
  <c r="C47" i="298"/>
  <c r="D47" i="298"/>
  <c r="A39" i="342"/>
  <c r="A207" i="342" s="1"/>
  <c r="A40" i="343"/>
  <c r="A209" i="343" s="1"/>
  <c r="L23" i="299"/>
  <c r="K23" i="299"/>
  <c r="J23" i="299"/>
  <c r="I23" i="299"/>
  <c r="H23" i="299"/>
  <c r="G23" i="299"/>
  <c r="F23" i="299"/>
  <c r="E23" i="299"/>
  <c r="D23" i="299"/>
  <c r="C23" i="299"/>
  <c r="M23" i="299"/>
  <c r="M38" i="137"/>
  <c r="L38" i="137"/>
  <c r="K38" i="137"/>
  <c r="J38" i="137"/>
  <c r="I38" i="137"/>
  <c r="H38" i="137"/>
  <c r="G38" i="137"/>
  <c r="F38" i="137"/>
  <c r="E38" i="137"/>
  <c r="D38" i="137"/>
  <c r="C38" i="137"/>
  <c r="E24" i="300"/>
  <c r="M24" i="300"/>
  <c r="D24" i="300"/>
  <c r="C24" i="300"/>
  <c r="L24" i="300"/>
  <c r="J24" i="300"/>
  <c r="I24" i="300"/>
  <c r="G24" i="300"/>
  <c r="K24" i="300"/>
  <c r="H24" i="300"/>
  <c r="F24" i="300"/>
  <c r="G17" i="300"/>
  <c r="F17" i="300"/>
  <c r="E17" i="300"/>
  <c r="D17" i="300"/>
  <c r="C17" i="300"/>
  <c r="L17" i="300"/>
  <c r="K17" i="300"/>
  <c r="M17" i="300"/>
  <c r="I17" i="300"/>
  <c r="J17" i="300"/>
  <c r="H17" i="300"/>
  <c r="J10" i="300"/>
  <c r="I10" i="300"/>
  <c r="H10" i="300"/>
  <c r="G10" i="300"/>
  <c r="F10" i="300"/>
  <c r="E10" i="300"/>
  <c r="D10" i="300"/>
  <c r="C10" i="300"/>
  <c r="M10" i="300"/>
  <c r="L10" i="300"/>
  <c r="K10" i="300"/>
  <c r="M41" i="298"/>
  <c r="L41" i="298"/>
  <c r="K41" i="298"/>
  <c r="J41" i="298"/>
  <c r="I41" i="298"/>
  <c r="H41" i="298"/>
  <c r="G41" i="298"/>
  <c r="F41" i="298"/>
  <c r="E41" i="298"/>
  <c r="D41" i="298"/>
  <c r="C41" i="298"/>
  <c r="A143" i="342"/>
  <c r="A311" i="342" s="1"/>
  <c r="A144" i="343"/>
  <c r="A313" i="343" s="1"/>
  <c r="A108" i="342"/>
  <c r="A276" i="342" s="1"/>
  <c r="A109" i="343"/>
  <c r="A278" i="343" s="1"/>
  <c r="A73" i="342"/>
  <c r="A241" i="342" s="1"/>
  <c r="A74" i="343"/>
  <c r="A243" i="343" s="1"/>
  <c r="I24" i="298"/>
  <c r="M24" i="298"/>
  <c r="L24" i="298"/>
  <c r="K24" i="298"/>
  <c r="J24" i="298"/>
  <c r="H24" i="298"/>
  <c r="F24" i="298"/>
  <c r="E24" i="298"/>
  <c r="G24" i="298"/>
  <c r="D24" i="298"/>
  <c r="C24" i="298"/>
  <c r="M30" i="299"/>
  <c r="L30" i="299"/>
  <c r="K30" i="299"/>
  <c r="J30" i="299"/>
  <c r="I30" i="299"/>
  <c r="H30" i="299"/>
  <c r="F30" i="299"/>
  <c r="D30" i="299"/>
  <c r="C30" i="299"/>
  <c r="G30" i="299"/>
  <c r="E30" i="299"/>
  <c r="M7" i="299"/>
  <c r="L7" i="299"/>
  <c r="K7" i="299"/>
  <c r="J7" i="299"/>
  <c r="I7" i="299"/>
  <c r="H7" i="299"/>
  <c r="G7" i="299"/>
  <c r="F7" i="299"/>
  <c r="E7" i="299"/>
  <c r="D7" i="299"/>
  <c r="C7" i="299"/>
  <c r="L24" i="140"/>
  <c r="C24" i="140"/>
  <c r="D24" i="140"/>
  <c r="E24" i="140"/>
  <c r="F24" i="140"/>
  <c r="G24" i="140"/>
  <c r="H24" i="140"/>
  <c r="I24" i="140"/>
  <c r="J24" i="140"/>
  <c r="K24" i="140"/>
  <c r="M24" i="140"/>
  <c r="A142" i="342"/>
  <c r="A310" i="342" s="1"/>
  <c r="A143" i="343"/>
  <c r="A312" i="343" s="1"/>
  <c r="A107" i="342"/>
  <c r="A275" i="342" s="1"/>
  <c r="A108" i="343"/>
  <c r="A277" i="343" s="1"/>
  <c r="A72" i="342"/>
  <c r="A240" i="342" s="1"/>
  <c r="A73" i="343"/>
  <c r="A242" i="343" s="1"/>
  <c r="M37" i="299"/>
  <c r="L37" i="299"/>
  <c r="K37" i="299"/>
  <c r="J37" i="299"/>
  <c r="I37" i="299"/>
  <c r="H37" i="299"/>
  <c r="G37" i="299"/>
  <c r="F37" i="299"/>
  <c r="E37" i="299"/>
  <c r="D37" i="299"/>
  <c r="C37" i="299"/>
  <c r="C14" i="299"/>
  <c r="M14" i="299"/>
  <c r="L14" i="299"/>
  <c r="J14" i="299"/>
  <c r="H14" i="299"/>
  <c r="G14" i="299"/>
  <c r="K14" i="299"/>
  <c r="I14" i="299"/>
  <c r="F14" i="299"/>
  <c r="E14" i="299"/>
  <c r="D14" i="299"/>
  <c r="M16" i="298"/>
  <c r="L16" i="298"/>
  <c r="K16" i="298"/>
  <c r="J16" i="298"/>
  <c r="I16" i="298"/>
  <c r="H16" i="298"/>
  <c r="G16" i="298"/>
  <c r="F16" i="298"/>
  <c r="E16" i="298"/>
  <c r="D16" i="298"/>
  <c r="C16" i="298"/>
  <c r="D33" i="137"/>
  <c r="C33" i="137"/>
  <c r="M33" i="137"/>
  <c r="K33" i="137"/>
  <c r="I33" i="137"/>
  <c r="H33" i="137"/>
  <c r="L33" i="137"/>
  <c r="J33" i="137"/>
  <c r="G33" i="137"/>
  <c r="F33" i="137"/>
  <c r="E33" i="137"/>
  <c r="J30" i="140"/>
  <c r="C30" i="140"/>
  <c r="D30" i="140"/>
  <c r="E30" i="140"/>
  <c r="F30" i="140"/>
  <c r="G30" i="140"/>
  <c r="H30" i="140"/>
  <c r="I30" i="140"/>
  <c r="K30" i="140"/>
  <c r="M30" i="140"/>
  <c r="L30" i="140"/>
  <c r="A138" i="342"/>
  <c r="A306" i="342" s="1"/>
  <c r="A139" i="343"/>
  <c r="A308" i="343" s="1"/>
  <c r="A102" i="342"/>
  <c r="A270" i="342" s="1"/>
  <c r="A103" i="343"/>
  <c r="A272" i="343" s="1"/>
  <c r="A67" i="342"/>
  <c r="A235" i="342" s="1"/>
  <c r="A68" i="343"/>
  <c r="A237" i="343" s="1"/>
  <c r="M33" i="299"/>
  <c r="L33" i="299"/>
  <c r="K33" i="299"/>
  <c r="J33" i="299"/>
  <c r="I33" i="299"/>
  <c r="H33" i="299"/>
  <c r="G33" i="299"/>
  <c r="E33" i="299"/>
  <c r="C33" i="299"/>
  <c r="F33" i="299"/>
  <c r="D33" i="299"/>
  <c r="M10" i="299"/>
  <c r="L10" i="299"/>
  <c r="K10" i="299"/>
  <c r="J10" i="299"/>
  <c r="I10" i="299"/>
  <c r="H10" i="299"/>
  <c r="G10" i="299"/>
  <c r="F10" i="299"/>
  <c r="E10" i="299"/>
  <c r="D10" i="299"/>
  <c r="C10" i="299"/>
  <c r="D20" i="137"/>
  <c r="E20" i="137"/>
  <c r="F20" i="137"/>
  <c r="G20" i="137"/>
  <c r="H20" i="137"/>
  <c r="I20" i="137"/>
  <c r="J20" i="137"/>
  <c r="K20" i="137"/>
  <c r="L20" i="137"/>
  <c r="M20" i="137"/>
  <c r="C20" i="137"/>
  <c r="M35" i="300"/>
  <c r="L35" i="300"/>
  <c r="K35" i="300"/>
  <c r="J35" i="300"/>
  <c r="I35" i="300"/>
  <c r="H35" i="300"/>
  <c r="G35" i="300"/>
  <c r="F35" i="300"/>
  <c r="E35" i="300"/>
  <c r="D35" i="300"/>
  <c r="C35" i="300"/>
  <c r="M20" i="298"/>
  <c r="L20" i="298"/>
  <c r="K20" i="298"/>
  <c r="J20" i="298"/>
  <c r="I20" i="298"/>
  <c r="H20" i="298"/>
  <c r="G20" i="298"/>
  <c r="F20" i="298"/>
  <c r="E20" i="298"/>
  <c r="D20" i="298"/>
  <c r="C20" i="298"/>
  <c r="M23" i="300"/>
  <c r="L23" i="300"/>
  <c r="K23" i="300"/>
  <c r="J23" i="300"/>
  <c r="I23" i="300"/>
  <c r="H23" i="300"/>
  <c r="G23" i="300"/>
  <c r="F23" i="300"/>
  <c r="E23" i="300"/>
  <c r="D23" i="300"/>
  <c r="C23" i="300"/>
  <c r="A136" i="342"/>
  <c r="A304" i="342" s="1"/>
  <c r="A137" i="343"/>
  <c r="A306" i="343" s="1"/>
  <c r="M17" i="299"/>
  <c r="L17" i="299"/>
  <c r="K17" i="299"/>
  <c r="I17" i="299"/>
  <c r="G17" i="299"/>
  <c r="F17" i="299"/>
  <c r="J17" i="299"/>
  <c r="H17" i="299"/>
  <c r="E17" i="299"/>
  <c r="D17" i="299"/>
  <c r="C17" i="299"/>
  <c r="A135" i="342"/>
  <c r="A303" i="342" s="1"/>
  <c r="A136" i="343"/>
  <c r="A305" i="343" s="1"/>
  <c r="A100" i="342"/>
  <c r="A268" i="342" s="1"/>
  <c r="A101" i="343"/>
  <c r="A270" i="343" s="1"/>
  <c r="A65" i="342"/>
  <c r="A233" i="342" s="1"/>
  <c r="A66" i="343"/>
  <c r="A235" i="343" s="1"/>
  <c r="K31" i="298"/>
  <c r="J31" i="298"/>
  <c r="I31" i="298"/>
  <c r="H31" i="298"/>
  <c r="G31" i="298"/>
  <c r="F31" i="298"/>
  <c r="E31" i="298"/>
  <c r="D31" i="298"/>
  <c r="C31" i="298"/>
  <c r="L31" i="298"/>
  <c r="M31" i="298"/>
  <c r="C22" i="300"/>
  <c r="M22" i="300"/>
  <c r="L22" i="300"/>
  <c r="K22" i="300"/>
  <c r="J22" i="300"/>
  <c r="I22" i="300"/>
  <c r="H22" i="300"/>
  <c r="G22" i="300"/>
  <c r="F22" i="300"/>
  <c r="E22" i="300"/>
  <c r="D22" i="300"/>
  <c r="A109" i="342"/>
  <c r="A277" i="342" s="1"/>
  <c r="A110" i="343"/>
  <c r="A279" i="343" s="1"/>
  <c r="K27" i="140"/>
  <c r="C27" i="140"/>
  <c r="D27" i="140"/>
  <c r="E27" i="140"/>
  <c r="F27" i="140"/>
  <c r="G27" i="140"/>
  <c r="H27" i="140"/>
  <c r="I27" i="140"/>
  <c r="J27" i="140"/>
  <c r="L27" i="140"/>
  <c r="M27" i="140"/>
  <c r="C12" i="137"/>
  <c r="D12" i="137"/>
  <c r="E12" i="137"/>
  <c r="F12" i="137"/>
  <c r="G12" i="137"/>
  <c r="H12" i="137"/>
  <c r="I12" i="137"/>
  <c r="J12" i="137"/>
  <c r="K12" i="137"/>
  <c r="L12" i="137"/>
  <c r="M12" i="137"/>
  <c r="A139" i="342"/>
  <c r="A307" i="342" s="1"/>
  <c r="A140" i="343"/>
  <c r="A309" i="343" s="1"/>
  <c r="A101" i="342"/>
  <c r="A269" i="342" s="1"/>
  <c r="A102" i="343"/>
  <c r="A271" i="343" s="1"/>
  <c r="I33" i="140"/>
  <c r="C33" i="140"/>
  <c r="D33" i="140"/>
  <c r="E33" i="140"/>
  <c r="F33" i="140"/>
  <c r="G33" i="140"/>
  <c r="H33" i="140"/>
  <c r="J33" i="140"/>
  <c r="L33" i="140"/>
  <c r="M33" i="140"/>
  <c r="K33" i="140"/>
  <c r="D13" i="298"/>
  <c r="L13" i="298"/>
  <c r="C13" i="298"/>
  <c r="M13" i="298"/>
  <c r="K13" i="298"/>
  <c r="I13" i="298"/>
  <c r="H13" i="298"/>
  <c r="F13" i="298"/>
  <c r="G13" i="298"/>
  <c r="J13" i="298"/>
  <c r="E13" i="298"/>
  <c r="A169" i="342"/>
  <c r="A337" i="342" s="1"/>
  <c r="A170" i="343"/>
  <c r="A339" i="343" s="1"/>
  <c r="A134" i="342"/>
  <c r="A302" i="342" s="1"/>
  <c r="A135" i="343"/>
  <c r="A304" i="343" s="1"/>
  <c r="A99" i="342"/>
  <c r="A267" i="342" s="1"/>
  <c r="A100" i="343"/>
  <c r="A269" i="343" s="1"/>
  <c r="A64" i="342"/>
  <c r="A232" i="342" s="1"/>
  <c r="A65" i="343"/>
  <c r="A234" i="343" s="1"/>
  <c r="H36" i="140"/>
  <c r="C36" i="140"/>
  <c r="D36" i="140"/>
  <c r="E36" i="140"/>
  <c r="F36" i="140"/>
  <c r="G36" i="140"/>
  <c r="I36" i="140"/>
  <c r="K36" i="140"/>
  <c r="L36" i="140"/>
  <c r="J36" i="140"/>
  <c r="M36" i="140"/>
  <c r="H34" i="300"/>
  <c r="M34" i="300"/>
  <c r="L34" i="300"/>
  <c r="K34" i="300"/>
  <c r="J34" i="300"/>
  <c r="I34" i="300"/>
  <c r="G34" i="300"/>
  <c r="E34" i="300"/>
  <c r="D34" i="300"/>
  <c r="F34" i="300"/>
  <c r="C34" i="300"/>
  <c r="H8" i="137"/>
  <c r="I8" i="137"/>
  <c r="J8" i="137"/>
  <c r="K8" i="137"/>
  <c r="L8" i="137"/>
  <c r="M8" i="137"/>
  <c r="C8" i="137"/>
  <c r="D8" i="137"/>
  <c r="G8" i="137"/>
  <c r="F8" i="137"/>
  <c r="E8" i="137"/>
  <c r="A168" i="342"/>
  <c r="A336" i="342" s="1"/>
  <c r="A169" i="343"/>
  <c r="A338" i="343" s="1"/>
  <c r="A133" i="342"/>
  <c r="A301" i="342" s="1"/>
  <c r="A134" i="343"/>
  <c r="A303" i="343" s="1"/>
  <c r="A98" i="342"/>
  <c r="A266" i="342" s="1"/>
  <c r="A99" i="343"/>
  <c r="A268" i="343" s="1"/>
  <c r="A63" i="342"/>
  <c r="A231" i="342" s="1"/>
  <c r="A64" i="343"/>
  <c r="A233" i="343" s="1"/>
  <c r="M40" i="298"/>
  <c r="L40" i="298"/>
  <c r="K40" i="298"/>
  <c r="J40" i="298"/>
  <c r="I40" i="298"/>
  <c r="H40" i="298"/>
  <c r="G40" i="298"/>
  <c r="E40" i="298"/>
  <c r="C40" i="298"/>
  <c r="F40" i="298"/>
  <c r="D40" i="298"/>
  <c r="J29" i="299"/>
  <c r="I29" i="299"/>
  <c r="H29" i="299"/>
  <c r="G29" i="299"/>
  <c r="F29" i="299"/>
  <c r="E29" i="299"/>
  <c r="D29" i="299"/>
  <c r="C29" i="299"/>
  <c r="M29" i="299"/>
  <c r="L29" i="299"/>
  <c r="K29" i="299"/>
  <c r="M6" i="299"/>
  <c r="L6" i="299"/>
  <c r="K6" i="299"/>
  <c r="J6" i="299"/>
  <c r="I6" i="299"/>
  <c r="H6" i="299"/>
  <c r="G6" i="299"/>
  <c r="F6" i="299"/>
  <c r="E6" i="299"/>
  <c r="D6" i="299"/>
  <c r="C6" i="299"/>
  <c r="H43" i="298"/>
  <c r="G43" i="298"/>
  <c r="F43" i="298"/>
  <c r="E43" i="298"/>
  <c r="D43" i="298"/>
  <c r="C43" i="298"/>
  <c r="M43" i="298"/>
  <c r="L43" i="298"/>
  <c r="K43" i="298"/>
  <c r="J43" i="298"/>
  <c r="I43" i="298"/>
  <c r="A167" i="342"/>
  <c r="A335" i="342" s="1"/>
  <c r="A168" i="343"/>
  <c r="A337" i="343" s="1"/>
  <c r="A132" i="342"/>
  <c r="A300" i="342" s="1"/>
  <c r="A133" i="343"/>
  <c r="A302" i="343" s="1"/>
  <c r="A97" i="342"/>
  <c r="A265" i="342" s="1"/>
  <c r="A98" i="343"/>
  <c r="A267" i="343" s="1"/>
  <c r="A62" i="342"/>
  <c r="A230" i="342" s="1"/>
  <c r="A63" i="343"/>
  <c r="A232" i="343" s="1"/>
  <c r="M36" i="299"/>
  <c r="L36" i="299"/>
  <c r="K36" i="299"/>
  <c r="J36" i="299"/>
  <c r="I36" i="299"/>
  <c r="H36" i="299"/>
  <c r="G36" i="299"/>
  <c r="F36" i="299"/>
  <c r="D36" i="299"/>
  <c r="C36" i="299"/>
  <c r="E36" i="299"/>
  <c r="M13" i="299"/>
  <c r="L13" i="299"/>
  <c r="K13" i="299"/>
  <c r="J13" i="299"/>
  <c r="I13" i="299"/>
  <c r="H13" i="299"/>
  <c r="G13" i="299"/>
  <c r="F13" i="299"/>
  <c r="E13" i="299"/>
  <c r="D13" i="299"/>
  <c r="C13" i="299"/>
  <c r="M23" i="140"/>
  <c r="L23" i="140"/>
  <c r="K23" i="140"/>
  <c r="J23" i="140"/>
  <c r="I23" i="140"/>
  <c r="H23" i="140"/>
  <c r="G23" i="140"/>
  <c r="F23" i="140"/>
  <c r="E23" i="140"/>
  <c r="D23" i="140"/>
  <c r="C23" i="140"/>
  <c r="C18" i="137"/>
  <c r="D18" i="137"/>
  <c r="E18" i="137"/>
  <c r="F18" i="137"/>
  <c r="G18" i="137"/>
  <c r="H18" i="137"/>
  <c r="I18" i="137"/>
  <c r="J18" i="137"/>
  <c r="K18" i="137"/>
  <c r="L18" i="137"/>
  <c r="M18" i="137"/>
  <c r="M18" i="298"/>
  <c r="L18" i="298"/>
  <c r="K18" i="298"/>
  <c r="J18" i="298"/>
  <c r="I18" i="298"/>
  <c r="H18" i="298"/>
  <c r="G18" i="298"/>
  <c r="F18" i="298"/>
  <c r="E18" i="298"/>
  <c r="D18" i="298"/>
  <c r="C18" i="298"/>
  <c r="A166" i="342"/>
  <c r="A334" i="342" s="1"/>
  <c r="A167" i="343"/>
  <c r="A336" i="343" s="1"/>
  <c r="A131" i="342"/>
  <c r="A299" i="342" s="1"/>
  <c r="A132" i="343"/>
  <c r="A301" i="343" s="1"/>
  <c r="A96" i="342"/>
  <c r="A264" i="342" s="1"/>
  <c r="A97" i="343"/>
  <c r="A266" i="343" s="1"/>
  <c r="A61" i="342"/>
  <c r="A229" i="342" s="1"/>
  <c r="A62" i="343"/>
  <c r="A231" i="343" s="1"/>
  <c r="F21" i="300"/>
  <c r="E21" i="300"/>
  <c r="D21" i="300"/>
  <c r="C21" i="300"/>
  <c r="M21" i="300"/>
  <c r="K21" i="300"/>
  <c r="J21" i="300"/>
  <c r="L21" i="300"/>
  <c r="I21" i="300"/>
  <c r="H21" i="300"/>
  <c r="G21" i="300"/>
  <c r="E8" i="300"/>
  <c r="M8" i="300"/>
  <c r="L8" i="300"/>
  <c r="K8" i="300"/>
  <c r="J8" i="300"/>
  <c r="I8" i="300"/>
  <c r="H8" i="300"/>
  <c r="G8" i="300"/>
  <c r="F8" i="300"/>
  <c r="D8" i="300"/>
  <c r="C8" i="300"/>
  <c r="A165" i="342"/>
  <c r="A333" i="342" s="1"/>
  <c r="A166" i="343"/>
  <c r="A335" i="343" s="1"/>
  <c r="A130" i="342"/>
  <c r="A298" i="342" s="1"/>
  <c r="A131" i="343"/>
  <c r="A300" i="343" s="1"/>
  <c r="A95" i="342"/>
  <c r="A263" i="342" s="1"/>
  <c r="A96" i="343"/>
  <c r="A265" i="343" s="1"/>
  <c r="A59" i="342"/>
  <c r="A227" i="342" s="1"/>
  <c r="A60" i="343"/>
  <c r="A229" i="343" s="1"/>
  <c r="C26" i="140"/>
  <c r="D26" i="140"/>
  <c r="E26" i="140"/>
  <c r="F26" i="140"/>
  <c r="G26" i="140"/>
  <c r="H26" i="140"/>
  <c r="I26" i="140"/>
  <c r="J26" i="140"/>
  <c r="K26" i="140"/>
  <c r="L26" i="140"/>
  <c r="M26" i="140"/>
  <c r="M34" i="137"/>
  <c r="L34" i="137"/>
  <c r="K34" i="137"/>
  <c r="J34" i="137"/>
  <c r="I34" i="137"/>
  <c r="H34" i="137"/>
  <c r="G34" i="137"/>
  <c r="F34" i="137"/>
  <c r="E34" i="137"/>
  <c r="D34" i="137"/>
  <c r="C34" i="137"/>
  <c r="A164" i="342"/>
  <c r="A332" i="342" s="1"/>
  <c r="A165" i="343"/>
  <c r="A334" i="343" s="1"/>
  <c r="A129" i="342"/>
  <c r="A297" i="342" s="1"/>
  <c r="A130" i="343"/>
  <c r="A299" i="343" s="1"/>
  <c r="A94" i="342"/>
  <c r="A262" i="342" s="1"/>
  <c r="A95" i="343"/>
  <c r="A264" i="343" s="1"/>
  <c r="A58" i="342"/>
  <c r="A226" i="342" s="1"/>
  <c r="A59" i="343"/>
  <c r="A228" i="343" s="1"/>
  <c r="M25" i="299"/>
  <c r="L25" i="299"/>
  <c r="K25" i="299"/>
  <c r="J25" i="299"/>
  <c r="I25" i="299"/>
  <c r="H25" i="299"/>
  <c r="G25" i="299"/>
  <c r="F25" i="299"/>
  <c r="E25" i="299"/>
  <c r="D25" i="299"/>
  <c r="C25" i="299"/>
  <c r="M44" i="137"/>
  <c r="L44" i="137"/>
  <c r="K44" i="137"/>
  <c r="J44" i="137"/>
  <c r="I44" i="137"/>
  <c r="H44" i="137"/>
  <c r="G44" i="137"/>
  <c r="F44" i="137"/>
  <c r="E44" i="137"/>
  <c r="D44" i="137"/>
  <c r="C44" i="137"/>
  <c r="A163" i="342"/>
  <c r="A331" i="342" s="1"/>
  <c r="A164" i="343"/>
  <c r="A333" i="343" s="1"/>
  <c r="A128" i="342"/>
  <c r="A296" i="342" s="1"/>
  <c r="A129" i="343"/>
  <c r="A298" i="343" s="1"/>
  <c r="A92" i="342"/>
  <c r="A260" i="342" s="1"/>
  <c r="A93" i="343"/>
  <c r="A262" i="343" s="1"/>
  <c r="A57" i="342"/>
  <c r="A225" i="342" s="1"/>
  <c r="A58" i="343"/>
  <c r="A227" i="343" s="1"/>
  <c r="I32" i="299"/>
  <c r="H32" i="299"/>
  <c r="G32" i="299"/>
  <c r="F32" i="299"/>
  <c r="E32" i="299"/>
  <c r="D32" i="299"/>
  <c r="C32" i="299"/>
  <c r="M32" i="299"/>
  <c r="L32" i="299"/>
  <c r="K32" i="299"/>
  <c r="J32" i="299"/>
  <c r="M9" i="299"/>
  <c r="L9" i="299"/>
  <c r="K9" i="299"/>
  <c r="J9" i="299"/>
  <c r="I9" i="299"/>
  <c r="H9" i="299"/>
  <c r="G9" i="299"/>
  <c r="F9" i="299"/>
  <c r="E9" i="299"/>
  <c r="D9" i="299"/>
  <c r="C9" i="299"/>
  <c r="C29" i="140"/>
  <c r="D29" i="140"/>
  <c r="E29" i="140"/>
  <c r="F29" i="140"/>
  <c r="G29" i="140"/>
  <c r="H29" i="140"/>
  <c r="I29" i="140"/>
  <c r="J29" i="140"/>
  <c r="K29" i="140"/>
  <c r="L29" i="140"/>
  <c r="M29" i="140"/>
  <c r="E17" i="137"/>
  <c r="F17" i="137"/>
  <c r="G17" i="137"/>
  <c r="H17" i="137"/>
  <c r="I17" i="137"/>
  <c r="J17" i="137"/>
  <c r="K17" i="137"/>
  <c r="L17" i="137"/>
  <c r="M17" i="137"/>
  <c r="C17" i="137"/>
  <c r="D17" i="137"/>
  <c r="A162" i="342"/>
  <c r="A330" i="342" s="1"/>
  <c r="A163" i="343"/>
  <c r="A332" i="343" s="1"/>
  <c r="A127" i="342"/>
  <c r="A295" i="342" s="1"/>
  <c r="A128" i="343"/>
  <c r="A297" i="343" s="1"/>
  <c r="A91" i="342"/>
  <c r="A259" i="342" s="1"/>
  <c r="A92" i="343"/>
  <c r="A261" i="343" s="1"/>
  <c r="A56" i="342"/>
  <c r="A224" i="342" s="1"/>
  <c r="A57" i="343"/>
  <c r="A226" i="343" s="1"/>
  <c r="M16" i="299"/>
  <c r="L16" i="299"/>
  <c r="K16" i="299"/>
  <c r="J16" i="299"/>
  <c r="I16" i="299"/>
  <c r="H16" i="299"/>
  <c r="G16" i="299"/>
  <c r="F16" i="299"/>
  <c r="E16" i="299"/>
  <c r="D16" i="299"/>
  <c r="C16" i="299"/>
  <c r="M52" i="298"/>
  <c r="L52" i="298"/>
  <c r="K52" i="298"/>
  <c r="J52" i="298"/>
  <c r="I52" i="298"/>
  <c r="H52" i="298"/>
  <c r="G52" i="298"/>
  <c r="F52" i="298"/>
  <c r="E52" i="298"/>
  <c r="D52" i="298"/>
  <c r="C52" i="298"/>
  <c r="M20" i="300"/>
  <c r="L20" i="300"/>
  <c r="K20" i="300"/>
  <c r="J20" i="300"/>
  <c r="I20" i="300"/>
  <c r="H20" i="300"/>
  <c r="G20" i="300"/>
  <c r="F20" i="300"/>
  <c r="E20" i="300"/>
  <c r="D20" i="300"/>
  <c r="C20" i="300"/>
  <c r="F14" i="300"/>
  <c r="M14" i="300"/>
  <c r="L14" i="300"/>
  <c r="K14" i="300"/>
  <c r="J14" i="300"/>
  <c r="I14" i="300"/>
  <c r="H14" i="300"/>
  <c r="G14" i="300"/>
  <c r="E14" i="300"/>
  <c r="C14" i="300"/>
  <c r="D14" i="300"/>
  <c r="H7" i="300"/>
  <c r="G7" i="300"/>
  <c r="F7" i="300"/>
  <c r="E7" i="300"/>
  <c r="D7" i="300"/>
  <c r="C7" i="300"/>
  <c r="M7" i="300"/>
  <c r="L7" i="300"/>
  <c r="K7" i="300"/>
  <c r="J7" i="300"/>
  <c r="I7" i="300"/>
  <c r="M11" i="298"/>
  <c r="L11" i="298"/>
  <c r="K11" i="298"/>
  <c r="J11" i="298"/>
  <c r="I11" i="298"/>
  <c r="H11" i="298"/>
  <c r="G11" i="298"/>
  <c r="F11" i="298"/>
  <c r="E11" i="298"/>
  <c r="D11" i="298"/>
  <c r="C11" i="298"/>
  <c r="G46" i="298"/>
  <c r="F46" i="298"/>
  <c r="E46" i="298"/>
  <c r="D46" i="298"/>
  <c r="C46" i="298"/>
  <c r="L46" i="298"/>
  <c r="K46" i="298"/>
  <c r="M46" i="298"/>
  <c r="J46" i="298"/>
  <c r="I46" i="298"/>
  <c r="H46" i="298"/>
  <c r="A161" i="342"/>
  <c r="A329" i="342" s="1"/>
  <c r="A162" i="343"/>
  <c r="A331" i="343" s="1"/>
  <c r="A125" i="342"/>
  <c r="A293" i="342" s="1"/>
  <c r="A126" i="343"/>
  <c r="A295" i="343" s="1"/>
  <c r="A90" i="342"/>
  <c r="A258" i="342" s="1"/>
  <c r="A91" i="343"/>
  <c r="A260" i="343" s="1"/>
  <c r="A55" i="342"/>
  <c r="A223" i="342" s="1"/>
  <c r="A56" i="343"/>
  <c r="A225" i="343" s="1"/>
  <c r="C32" i="140"/>
  <c r="D32" i="140"/>
  <c r="E32" i="140"/>
  <c r="F32" i="140"/>
  <c r="G32" i="140"/>
  <c r="H32" i="140"/>
  <c r="I32" i="140"/>
  <c r="J32" i="140"/>
  <c r="K32" i="140"/>
  <c r="L32" i="140"/>
  <c r="M32" i="140"/>
  <c r="G24" i="137"/>
  <c r="F24" i="137"/>
  <c r="E24" i="137"/>
  <c r="D24" i="137"/>
  <c r="C24" i="137"/>
  <c r="L24" i="137"/>
  <c r="K24" i="137"/>
  <c r="I24" i="137"/>
  <c r="J24" i="137"/>
  <c r="H24" i="137"/>
  <c r="M24" i="137"/>
  <c r="A70" i="342"/>
  <c r="A238" i="342" s="1"/>
  <c r="A71" i="343"/>
  <c r="A240" i="343" s="1"/>
  <c r="A160" i="342"/>
  <c r="A328" i="342" s="1"/>
  <c r="A161" i="343"/>
  <c r="A330" i="343" s="1"/>
  <c r="A124" i="342"/>
  <c r="A292" i="342" s="1"/>
  <c r="A125" i="343"/>
  <c r="A294" i="343" s="1"/>
  <c r="A89" i="342"/>
  <c r="A257" i="342" s="1"/>
  <c r="A90" i="343"/>
  <c r="A259" i="343" s="1"/>
  <c r="A54" i="342"/>
  <c r="A222" i="342" s="1"/>
  <c r="A55" i="343"/>
  <c r="A224" i="343" s="1"/>
  <c r="M43" i="137"/>
  <c r="L43" i="137"/>
  <c r="K43" i="137"/>
  <c r="I43" i="137"/>
  <c r="G43" i="137"/>
  <c r="F43" i="137"/>
  <c r="E43" i="137"/>
  <c r="D43" i="137"/>
  <c r="J43" i="137"/>
  <c r="H43" i="137"/>
  <c r="C43" i="137"/>
  <c r="M45" i="298"/>
  <c r="L45" i="298"/>
  <c r="K45" i="298"/>
  <c r="J45" i="298"/>
  <c r="I45" i="298"/>
  <c r="H45" i="298"/>
  <c r="G45" i="298"/>
  <c r="F45" i="298"/>
  <c r="E45" i="298"/>
  <c r="D45" i="298"/>
  <c r="C45" i="298"/>
  <c r="A158" i="342"/>
  <c r="A326" i="342" s="1"/>
  <c r="A159" i="343"/>
  <c r="A328" i="343" s="1"/>
  <c r="A123" i="342"/>
  <c r="A291" i="342" s="1"/>
  <c r="A124" i="343"/>
  <c r="A293" i="343" s="1"/>
  <c r="A88" i="342"/>
  <c r="A256" i="342" s="1"/>
  <c r="A89" i="343"/>
  <c r="A258" i="343" s="1"/>
  <c r="A53" i="342"/>
  <c r="A221" i="342" s="1"/>
  <c r="A54" i="343"/>
  <c r="A223" i="343" s="1"/>
  <c r="M12" i="298"/>
  <c r="L12" i="298"/>
  <c r="K12" i="298"/>
  <c r="J12" i="298"/>
  <c r="I12" i="298"/>
  <c r="H12" i="298"/>
  <c r="G12" i="298"/>
  <c r="F12" i="298"/>
  <c r="E12" i="298"/>
  <c r="D12" i="298"/>
  <c r="C12" i="298"/>
  <c r="M28" i="299"/>
  <c r="L28" i="299"/>
  <c r="K28" i="299"/>
  <c r="J28" i="299"/>
  <c r="I28" i="299"/>
  <c r="H28" i="299"/>
  <c r="G28" i="299"/>
  <c r="F28" i="299"/>
  <c r="E28" i="299"/>
  <c r="D28" i="299"/>
  <c r="C28" i="299"/>
  <c r="F5" i="299"/>
  <c r="E5" i="299"/>
  <c r="D5" i="299"/>
  <c r="C5" i="299"/>
  <c r="M5" i="299"/>
  <c r="K5" i="299"/>
  <c r="J5" i="299"/>
  <c r="I5" i="299"/>
  <c r="H5" i="299"/>
  <c r="L5" i="299"/>
  <c r="G5" i="299"/>
  <c r="C35" i="140"/>
  <c r="D35" i="140"/>
  <c r="E35" i="140"/>
  <c r="F35" i="140"/>
  <c r="G35" i="140"/>
  <c r="H35" i="140"/>
  <c r="I35" i="140"/>
  <c r="J35" i="140"/>
  <c r="K35" i="140"/>
  <c r="L35" i="140"/>
  <c r="M35" i="140"/>
  <c r="C16" i="137"/>
  <c r="D16" i="137"/>
  <c r="E16" i="137"/>
  <c r="F16" i="137"/>
  <c r="G16" i="137"/>
  <c r="I16" i="137"/>
  <c r="K16" i="137"/>
  <c r="L16" i="137"/>
  <c r="H16" i="137"/>
  <c r="J16" i="137"/>
  <c r="M16" i="137"/>
  <c r="K31" i="300"/>
  <c r="J31" i="300"/>
  <c r="I31" i="300"/>
  <c r="H31" i="300"/>
  <c r="G31" i="300"/>
  <c r="F31" i="300"/>
  <c r="E31" i="300"/>
  <c r="D31" i="300"/>
  <c r="C31" i="300"/>
  <c r="M31" i="300"/>
  <c r="L31" i="300"/>
  <c r="F6" i="298"/>
  <c r="E6" i="298"/>
  <c r="D6" i="298"/>
  <c r="C6" i="298"/>
  <c r="M6" i="298"/>
  <c r="K6" i="298"/>
  <c r="J6" i="298"/>
  <c r="I6" i="298"/>
  <c r="H6" i="298"/>
  <c r="G6" i="298"/>
  <c r="L6" i="298"/>
  <c r="A157" i="342"/>
  <c r="A325" i="342" s="1"/>
  <c r="A158" i="343"/>
  <c r="A327" i="343" s="1"/>
  <c r="A122" i="342"/>
  <c r="A290" i="342" s="1"/>
  <c r="A123" i="343"/>
  <c r="A292" i="343" s="1"/>
  <c r="A87" i="342"/>
  <c r="A255" i="342" s="1"/>
  <c r="A88" i="343"/>
  <c r="A257" i="343" s="1"/>
  <c r="A52" i="342"/>
  <c r="A220" i="342" s="1"/>
  <c r="A53" i="343"/>
  <c r="A222" i="343" s="1"/>
  <c r="H35" i="299"/>
  <c r="G35" i="299"/>
  <c r="F35" i="299"/>
  <c r="E35" i="299"/>
  <c r="D35" i="299"/>
  <c r="C35" i="299"/>
  <c r="M35" i="299"/>
  <c r="L35" i="299"/>
  <c r="K35" i="299"/>
  <c r="J35" i="299"/>
  <c r="I35" i="299"/>
  <c r="I13" i="300"/>
  <c r="H13" i="300"/>
  <c r="G13" i="300"/>
  <c r="F13" i="300"/>
  <c r="E13" i="300"/>
  <c r="D13" i="300"/>
  <c r="C13" i="300"/>
  <c r="M13" i="300"/>
  <c r="L13" i="300"/>
  <c r="K13" i="300"/>
  <c r="J13" i="300"/>
  <c r="M6" i="300"/>
  <c r="L6" i="300"/>
  <c r="K6" i="300"/>
  <c r="J6" i="300"/>
  <c r="I6" i="300"/>
  <c r="H6" i="300"/>
  <c r="G6" i="300"/>
  <c r="F6" i="300"/>
  <c r="E6" i="300"/>
  <c r="D6" i="300"/>
  <c r="C6" i="300"/>
  <c r="A156" i="342"/>
  <c r="A324" i="342" s="1"/>
  <c r="A157" i="343"/>
  <c r="A326" i="343" s="1"/>
  <c r="A121" i="342"/>
  <c r="A289" i="342" s="1"/>
  <c r="A122" i="343"/>
  <c r="A291" i="343" s="1"/>
  <c r="A86" i="342"/>
  <c r="A254" i="342" s="1"/>
  <c r="A87" i="343"/>
  <c r="A256" i="343" s="1"/>
  <c r="A51" i="342"/>
  <c r="A219" i="342" s="1"/>
  <c r="A52" i="343"/>
  <c r="A221" i="343" s="1"/>
  <c r="M29" i="298"/>
  <c r="L29" i="298"/>
  <c r="K29" i="298"/>
  <c r="J29" i="298"/>
  <c r="H29" i="298"/>
  <c r="F29" i="298"/>
  <c r="E29" i="298"/>
  <c r="D29" i="298"/>
  <c r="G29" i="298"/>
  <c r="C29" i="298"/>
  <c r="I29" i="298"/>
  <c r="L19" i="299"/>
  <c r="K19" i="299"/>
  <c r="J19" i="299"/>
  <c r="I19" i="299"/>
  <c r="H19" i="299"/>
  <c r="G19" i="299"/>
  <c r="F19" i="299"/>
  <c r="E19" i="299"/>
  <c r="D19" i="299"/>
  <c r="C19" i="299"/>
  <c r="M19" i="299"/>
  <c r="M44" i="299"/>
  <c r="L44" i="299"/>
  <c r="K44" i="299"/>
  <c r="J44" i="299"/>
  <c r="I44" i="299"/>
  <c r="H44" i="299"/>
  <c r="G44" i="299"/>
  <c r="F44" i="299"/>
  <c r="E44" i="299"/>
  <c r="D44" i="299"/>
  <c r="C44" i="299"/>
  <c r="J21" i="298"/>
  <c r="M21" i="298"/>
  <c r="L21" i="298"/>
  <c r="K21" i="298"/>
  <c r="I21" i="298"/>
  <c r="G21" i="298"/>
  <c r="F21" i="298"/>
  <c r="H21" i="298"/>
  <c r="E21" i="298"/>
  <c r="D21" i="298"/>
  <c r="C21" i="298"/>
  <c r="M37" i="298"/>
  <c r="L37" i="298"/>
  <c r="K37" i="298"/>
  <c r="J37" i="298"/>
  <c r="I37" i="298"/>
  <c r="H37" i="298"/>
  <c r="G37" i="298"/>
  <c r="F37" i="298"/>
  <c r="E37" i="298"/>
  <c r="D37" i="298"/>
  <c r="C37" i="298"/>
  <c r="A105" i="342"/>
  <c r="A273" i="342" s="1"/>
  <c r="A106" i="343"/>
  <c r="A275" i="343" s="1"/>
  <c r="A103" i="342"/>
  <c r="A271" i="342" s="1"/>
  <c r="A104" i="343"/>
  <c r="A273" i="343" s="1"/>
  <c r="G11" i="137"/>
  <c r="H11" i="137"/>
  <c r="I11" i="137"/>
  <c r="J11" i="137"/>
  <c r="K11" i="137"/>
  <c r="L11" i="137"/>
  <c r="M11" i="137"/>
  <c r="C11" i="137"/>
  <c r="D11" i="137"/>
  <c r="E11" i="137"/>
  <c r="F11" i="137"/>
  <c r="A155" i="342"/>
  <c r="A323" i="342" s="1"/>
  <c r="A156" i="343"/>
  <c r="A325" i="343" s="1"/>
  <c r="A120" i="342"/>
  <c r="A288" i="342" s="1"/>
  <c r="A121" i="343"/>
  <c r="A290" i="343" s="1"/>
  <c r="A85" i="342"/>
  <c r="A253" i="342" s="1"/>
  <c r="A86" i="343"/>
  <c r="A255" i="343" s="1"/>
  <c r="A50" i="342"/>
  <c r="A218" i="342" s="1"/>
  <c r="A51" i="343"/>
  <c r="A220" i="343" s="1"/>
  <c r="M42" i="137"/>
  <c r="L42" i="137"/>
  <c r="K42" i="137"/>
  <c r="J42" i="137"/>
  <c r="I42" i="137"/>
  <c r="H42" i="137"/>
  <c r="G42" i="137"/>
  <c r="F42" i="137"/>
  <c r="E42" i="137"/>
  <c r="D42" i="137"/>
  <c r="C42" i="137"/>
  <c r="M28" i="137"/>
  <c r="L28" i="137"/>
  <c r="K28" i="137"/>
  <c r="J28" i="137"/>
  <c r="I28" i="137"/>
  <c r="H28" i="137"/>
  <c r="G28" i="137"/>
  <c r="F28" i="137"/>
  <c r="E28" i="137"/>
  <c r="D28" i="137"/>
  <c r="C28" i="137"/>
  <c r="M30" i="300"/>
  <c r="L30" i="300"/>
  <c r="K30" i="300"/>
  <c r="J30" i="300"/>
  <c r="I30" i="300"/>
  <c r="H30" i="300"/>
  <c r="G30" i="300"/>
  <c r="F30" i="300"/>
  <c r="E30" i="300"/>
  <c r="D30" i="300"/>
  <c r="C30" i="300"/>
  <c r="A154" i="342"/>
  <c r="A322" i="342" s="1"/>
  <c r="A155" i="343"/>
  <c r="A324" i="343" s="1"/>
  <c r="A119" i="342"/>
  <c r="A287" i="342" s="1"/>
  <c r="A120" i="343"/>
  <c r="A289" i="343" s="1"/>
  <c r="A84" i="342"/>
  <c r="A252" i="342" s="1"/>
  <c r="A85" i="343"/>
  <c r="A254" i="343" s="1"/>
  <c r="A48" i="342"/>
  <c r="A216" i="342" s="1"/>
  <c r="A49" i="343"/>
  <c r="A218" i="343" s="1"/>
  <c r="M24" i="299"/>
  <c r="L24" i="299"/>
  <c r="K24" i="299"/>
  <c r="J24" i="299"/>
  <c r="H24" i="299"/>
  <c r="F24" i="299"/>
  <c r="E24" i="299"/>
  <c r="G24" i="299"/>
  <c r="C24" i="299"/>
  <c r="D24" i="299"/>
  <c r="I24" i="299"/>
  <c r="I25" i="140"/>
  <c r="J25" i="140"/>
  <c r="K25" i="140"/>
  <c r="L25" i="140"/>
  <c r="M25" i="140"/>
  <c r="D25" i="140"/>
  <c r="E25" i="140"/>
  <c r="H25" i="140"/>
  <c r="C25" i="140"/>
  <c r="F25" i="140"/>
  <c r="G25" i="140"/>
  <c r="C15" i="137"/>
  <c r="D15" i="137"/>
  <c r="E15" i="137"/>
  <c r="F15" i="137"/>
  <c r="G15" i="137"/>
  <c r="H15" i="137"/>
  <c r="I15" i="137"/>
  <c r="J15" i="137"/>
  <c r="K15" i="137"/>
  <c r="L15" i="137"/>
  <c r="M15" i="137"/>
  <c r="A153" i="342"/>
  <c r="A321" i="342" s="1"/>
  <c r="A154" i="343"/>
  <c r="A323" i="343" s="1"/>
  <c r="A118" i="342"/>
  <c r="A286" i="342" s="1"/>
  <c r="A119" i="343"/>
  <c r="A288" i="343" s="1"/>
  <c r="A83" i="342"/>
  <c r="A251" i="342" s="1"/>
  <c r="A84" i="343"/>
  <c r="A253" i="343" s="1"/>
  <c r="A47" i="342"/>
  <c r="A215" i="342" s="1"/>
  <c r="A48" i="343"/>
  <c r="A217" i="343" s="1"/>
  <c r="E8" i="299"/>
  <c r="D8" i="299"/>
  <c r="C8" i="299"/>
  <c r="L8" i="299"/>
  <c r="J8" i="299"/>
  <c r="I8" i="299"/>
  <c r="F8" i="299"/>
  <c r="M8" i="299"/>
  <c r="K8" i="299"/>
  <c r="H8" i="299"/>
  <c r="G8" i="299"/>
  <c r="M12" i="300"/>
  <c r="L12" i="300"/>
  <c r="K12" i="300"/>
  <c r="J12" i="300"/>
  <c r="I12" i="300"/>
  <c r="H12" i="300"/>
  <c r="G12" i="300"/>
  <c r="F12" i="300"/>
  <c r="E12" i="300"/>
  <c r="D12" i="300"/>
  <c r="C12" i="300"/>
  <c r="M16" i="300"/>
  <c r="L16" i="300"/>
  <c r="K16" i="300"/>
  <c r="J16" i="300"/>
  <c r="I16" i="300"/>
  <c r="H16" i="300"/>
  <c r="G16" i="300"/>
  <c r="F16" i="300"/>
  <c r="E16" i="300"/>
  <c r="D16" i="300"/>
  <c r="C16" i="300"/>
  <c r="A152" i="342"/>
  <c r="A320" i="342" s="1"/>
  <c r="A153" i="343"/>
  <c r="A322" i="343" s="1"/>
  <c r="A117" i="342"/>
  <c r="A285" i="342" s="1"/>
  <c r="A118" i="343"/>
  <c r="A287" i="343" s="1"/>
  <c r="A81" i="342"/>
  <c r="A249" i="342" s="1"/>
  <c r="A82" i="343"/>
  <c r="A251" i="343" s="1"/>
  <c r="A46" i="342"/>
  <c r="A214" i="342" s="1"/>
  <c r="A47" i="343"/>
  <c r="A216" i="343" s="1"/>
  <c r="M15" i="299"/>
  <c r="L15" i="299"/>
  <c r="K15" i="299"/>
  <c r="J15" i="299"/>
  <c r="I15" i="299"/>
  <c r="H15" i="299"/>
  <c r="G15" i="299"/>
  <c r="F15" i="299"/>
  <c r="E15" i="299"/>
  <c r="D15" i="299"/>
  <c r="C15" i="299"/>
  <c r="M31" i="137"/>
  <c r="L31" i="137"/>
  <c r="K31" i="137"/>
  <c r="J31" i="137"/>
  <c r="I31" i="137"/>
  <c r="H31" i="137"/>
  <c r="G31" i="137"/>
  <c r="F31" i="137"/>
  <c r="E31" i="137"/>
  <c r="D31" i="137"/>
  <c r="C31" i="137"/>
  <c r="I29" i="300"/>
  <c r="M29" i="300"/>
  <c r="L29" i="300"/>
  <c r="K29" i="300"/>
  <c r="J29" i="300"/>
  <c r="H29" i="300"/>
  <c r="F29" i="300"/>
  <c r="E29" i="300"/>
  <c r="G29" i="300"/>
  <c r="D29" i="300"/>
  <c r="C29" i="300"/>
  <c r="E10" i="298"/>
  <c r="D10" i="298"/>
  <c r="C10" i="298"/>
  <c r="L10" i="298"/>
  <c r="J10" i="298"/>
  <c r="I10" i="298"/>
  <c r="G10" i="298"/>
  <c r="K10" i="298"/>
  <c r="H10" i="298"/>
  <c r="F10" i="298"/>
  <c r="M10" i="298"/>
  <c r="A144" i="342"/>
  <c r="A312" i="342" s="1"/>
  <c r="A145" i="343"/>
  <c r="A314" i="343" s="1"/>
  <c r="A141" i="342"/>
  <c r="A309" i="342" s="1"/>
  <c r="A142" i="343"/>
  <c r="A311" i="343" s="1"/>
  <c r="A140" i="342"/>
  <c r="A308" i="342" s="1"/>
  <c r="A141" i="343"/>
  <c r="A310" i="343" s="1"/>
  <c r="A68" i="342"/>
  <c r="A236" i="342" s="1"/>
  <c r="A69" i="343"/>
  <c r="A238" i="343" s="1"/>
  <c r="C39" i="137"/>
  <c r="M39" i="137"/>
  <c r="L39" i="137"/>
  <c r="J39" i="137"/>
  <c r="H39" i="137"/>
  <c r="G39" i="137"/>
  <c r="E39" i="137"/>
  <c r="D39" i="137"/>
  <c r="F39" i="137"/>
  <c r="I39" i="137"/>
  <c r="K39" i="137"/>
  <c r="A151" i="342"/>
  <c r="A319" i="342" s="1"/>
  <c r="A152" i="343"/>
  <c r="A321" i="343" s="1"/>
  <c r="A116" i="342"/>
  <c r="A284" i="342" s="1"/>
  <c r="A117" i="343"/>
  <c r="A286" i="343" s="1"/>
  <c r="A80" i="342"/>
  <c r="A248" i="342" s="1"/>
  <c r="A81" i="343"/>
  <c r="A250" i="343" s="1"/>
  <c r="A45" i="342"/>
  <c r="A213" i="342" s="1"/>
  <c r="A46" i="343"/>
  <c r="A215" i="343" s="1"/>
  <c r="J35" i="298"/>
  <c r="I35" i="298"/>
  <c r="H35" i="298"/>
  <c r="G35" i="298"/>
  <c r="F35" i="298"/>
  <c r="E35" i="298"/>
  <c r="D35" i="298"/>
  <c r="C35" i="298"/>
  <c r="L35" i="298"/>
  <c r="M35" i="298"/>
  <c r="K35" i="298"/>
  <c r="M34" i="298"/>
  <c r="L34" i="298"/>
  <c r="K34" i="298"/>
  <c r="J34" i="298"/>
  <c r="I34" i="298"/>
  <c r="H34" i="298"/>
  <c r="G34" i="298"/>
  <c r="F34" i="298"/>
  <c r="E34" i="298"/>
  <c r="D34" i="298"/>
  <c r="C34" i="298"/>
  <c r="A74" i="342"/>
  <c r="A242" i="342" s="1"/>
  <c r="A75" i="343"/>
  <c r="A244" i="343" s="1"/>
  <c r="A106" i="342"/>
  <c r="A274" i="342" s="1"/>
  <c r="A107" i="343"/>
  <c r="A276" i="343" s="1"/>
  <c r="A69" i="342"/>
  <c r="A237" i="342" s="1"/>
  <c r="A70" i="343"/>
  <c r="A239" i="343" s="1"/>
  <c r="K26" i="299"/>
  <c r="J26" i="299"/>
  <c r="I26" i="299"/>
  <c r="H26" i="299"/>
  <c r="G26" i="299"/>
  <c r="F26" i="299"/>
  <c r="E26" i="299"/>
  <c r="D26" i="299"/>
  <c r="C26" i="299"/>
  <c r="M26" i="299"/>
  <c r="L26" i="299"/>
  <c r="A66" i="342"/>
  <c r="A234" i="342" s="1"/>
  <c r="A67" i="343"/>
  <c r="A236" i="343" s="1"/>
  <c r="A150" i="342"/>
  <c r="A318" i="342" s="1"/>
  <c r="A151" i="343"/>
  <c r="A320" i="343" s="1"/>
  <c r="A114" i="342"/>
  <c r="A282" i="342" s="1"/>
  <c r="A115" i="343"/>
  <c r="A284" i="343" s="1"/>
  <c r="A79" i="342"/>
  <c r="A247" i="342" s="1"/>
  <c r="A80" i="343"/>
  <c r="A249" i="343" s="1"/>
  <c r="A44" i="342"/>
  <c r="A212" i="342" s="1"/>
  <c r="A45" i="343"/>
  <c r="A214" i="343" s="1"/>
  <c r="G31" i="140"/>
  <c r="H31" i="140"/>
  <c r="I31" i="140"/>
  <c r="J31" i="140"/>
  <c r="K31" i="140"/>
  <c r="L31" i="140"/>
  <c r="M31" i="140"/>
  <c r="C31" i="140"/>
  <c r="F31" i="140"/>
  <c r="E31" i="140"/>
  <c r="D31" i="140"/>
  <c r="M40" i="137"/>
  <c r="L40" i="137"/>
  <c r="K40" i="137"/>
  <c r="J40" i="137"/>
  <c r="I40" i="137"/>
  <c r="H40" i="137"/>
  <c r="G40" i="137"/>
  <c r="F40" i="137"/>
  <c r="E40" i="137"/>
  <c r="D40" i="137"/>
  <c r="C40" i="137"/>
  <c r="M26" i="137"/>
  <c r="L26" i="137"/>
  <c r="K26" i="137"/>
  <c r="J26" i="137"/>
  <c r="I26" i="137"/>
  <c r="H26" i="137"/>
  <c r="G26" i="137"/>
  <c r="F26" i="137"/>
  <c r="E26" i="137"/>
  <c r="D26" i="137"/>
  <c r="C26" i="137"/>
  <c r="F14" i="137"/>
  <c r="G14" i="137"/>
  <c r="H14" i="137"/>
  <c r="I14" i="137"/>
  <c r="J14" i="137"/>
  <c r="K14" i="137"/>
  <c r="L14" i="137"/>
  <c r="M14" i="137"/>
  <c r="D14" i="137"/>
  <c r="C14" i="137"/>
  <c r="E14" i="137"/>
  <c r="G30" i="146"/>
  <c r="D30" i="146"/>
  <c r="H30" i="146"/>
  <c r="M20" i="95"/>
  <c r="M32" i="95" s="1"/>
  <c r="B2579" i="364"/>
  <c r="B263" i="364"/>
  <c r="B2864" i="364"/>
  <c r="B1371" i="364"/>
  <c r="B1635" i="364"/>
  <c r="B487" i="364"/>
  <c r="B549" i="364"/>
  <c r="B1180" i="364"/>
  <c r="B2338" i="364"/>
  <c r="B1066" i="364"/>
  <c r="B1933" i="364"/>
  <c r="B1252" i="364"/>
  <c r="B2576" i="364"/>
  <c r="B2067" i="364"/>
  <c r="B2560" i="364"/>
  <c r="B2694" i="364"/>
  <c r="B303" i="364"/>
  <c r="B1666" i="364"/>
  <c r="B2743" i="364"/>
  <c r="B2296" i="364"/>
  <c r="B2769" i="364"/>
  <c r="B1970" i="364"/>
  <c r="B2645" i="364"/>
  <c r="B2865" i="364"/>
  <c r="B232" i="364"/>
  <c r="B1723" i="364"/>
  <c r="B1589" i="364"/>
  <c r="B238" i="364"/>
  <c r="B2099" i="364"/>
  <c r="B441" i="364"/>
  <c r="B1082" i="364"/>
  <c r="B2687" i="364"/>
  <c r="B594" i="364"/>
  <c r="B2605" i="364"/>
  <c r="B323" i="364"/>
  <c r="B1571" i="364"/>
  <c r="B428" i="364"/>
  <c r="B581" i="364"/>
  <c r="B1225" i="364"/>
  <c r="B2452" i="364"/>
  <c r="B1153" i="364"/>
  <c r="B2060" i="364"/>
  <c r="B1298" i="364"/>
  <c r="B2750" i="364"/>
  <c r="B2150" i="364"/>
  <c r="B2669" i="364"/>
  <c r="B2774" i="364"/>
  <c r="B944" i="364"/>
  <c r="B72" i="364"/>
  <c r="B1452" i="364"/>
  <c r="B2421" i="364"/>
  <c r="B1773" i="364"/>
  <c r="B2019" i="364"/>
  <c r="B2770" i="364"/>
  <c r="B2753" i="364"/>
  <c r="B330" i="364"/>
  <c r="B570" i="364"/>
  <c r="B117" i="364"/>
  <c r="B327" i="364"/>
  <c r="B588" i="364"/>
  <c r="B532" i="364"/>
  <c r="B1530" i="364"/>
  <c r="B2772" i="364"/>
  <c r="B1095" i="364"/>
  <c r="B2636" i="364"/>
  <c r="B399" i="364"/>
  <c r="B1539" i="364"/>
  <c r="B412" i="364"/>
  <c r="B597" i="364"/>
  <c r="B1244" i="364"/>
  <c r="B2537" i="364"/>
  <c r="B1172" i="364"/>
  <c r="B2118" i="364"/>
  <c r="B1316" i="364"/>
  <c r="B1829" i="364"/>
  <c r="B2186" i="364"/>
  <c r="B2837" i="364"/>
  <c r="B2794" i="364"/>
  <c r="B2124" i="364"/>
  <c r="B2148" i="364"/>
  <c r="B1845" i="364"/>
  <c r="B2501" i="364"/>
  <c r="B1791" i="364"/>
  <c r="B2083" i="364"/>
  <c r="B2756" i="364"/>
  <c r="B649" i="364"/>
  <c r="B398" i="364"/>
  <c r="B657" i="364"/>
  <c r="B53" i="364"/>
  <c r="B351" i="364"/>
  <c r="B698" i="364"/>
  <c r="B660" i="364"/>
  <c r="B1594" i="364"/>
  <c r="B27" i="100"/>
  <c r="U3" i="233" s="1"/>
  <c r="B4" i="100"/>
  <c r="B2813" i="364"/>
  <c r="B861" i="364"/>
  <c r="B2659" i="364"/>
  <c r="B1479" i="364"/>
  <c r="B1507" i="364"/>
  <c r="B396" i="364"/>
  <c r="B613" i="364"/>
  <c r="B1267" i="364"/>
  <c r="B2653" i="364"/>
  <c r="B1194" i="364"/>
  <c r="B2316" i="364"/>
  <c r="B1348" i="364"/>
  <c r="B1850" i="364"/>
  <c r="B2235" i="364"/>
  <c r="B2730" i="364"/>
  <c r="B2841" i="364"/>
  <c r="B222" i="364"/>
  <c r="B673" i="364"/>
  <c r="B395" i="364"/>
  <c r="B2768" i="364"/>
  <c r="B1805" i="364"/>
  <c r="B2098" i="364"/>
  <c r="B2738" i="364"/>
  <c r="B382" i="364"/>
  <c r="B481" i="364"/>
  <c r="B752" i="364"/>
  <c r="B55" i="364"/>
  <c r="B415" i="364"/>
  <c r="B816" i="364"/>
  <c r="B697" i="364"/>
  <c r="B1658" i="364"/>
  <c r="B2870" i="364"/>
  <c r="B1580" i="364"/>
  <c r="B2690" i="364"/>
  <c r="B912" i="364"/>
  <c r="B1475" i="364"/>
  <c r="B380" i="364"/>
  <c r="B629" i="364"/>
  <c r="B1289" i="364"/>
  <c r="B2815" i="364"/>
  <c r="B1217" i="364"/>
  <c r="B2374" i="364"/>
  <c r="B1362" i="364"/>
  <c r="B1893" i="364"/>
  <c r="B2270" i="364"/>
  <c r="B2468" i="364"/>
  <c r="B2861" i="364"/>
  <c r="B407" i="364"/>
  <c r="B314" i="364"/>
  <c r="B427" i="364"/>
  <c r="B2867" i="364"/>
  <c r="B1855" i="364"/>
  <c r="B2113" i="364"/>
  <c r="B2413" i="364"/>
  <c r="B242" i="364"/>
  <c r="B545" i="364"/>
  <c r="B999" i="364"/>
  <c r="B183" i="364"/>
  <c r="B435" i="364"/>
  <c r="B1024" i="364"/>
  <c r="B766" i="364"/>
  <c r="B1788" i="364"/>
  <c r="J3" i="305"/>
  <c r="J3" i="127"/>
  <c r="B2531" i="364"/>
  <c r="B739" i="364"/>
  <c r="B2759" i="364"/>
  <c r="B1397" i="364"/>
  <c r="B1443" i="364"/>
  <c r="B364" i="364"/>
  <c r="B645" i="364"/>
  <c r="B1308" i="364"/>
  <c r="B478" i="364"/>
  <c r="B1236" i="364"/>
  <c r="B2438" i="364"/>
  <c r="B1380" i="364"/>
  <c r="B1914" i="364"/>
  <c r="B2293" i="364"/>
  <c r="B2544" i="364"/>
  <c r="B426" i="364"/>
  <c r="B722" i="364"/>
  <c r="B85" i="364"/>
  <c r="B633" i="364"/>
  <c r="B1779" i="364"/>
  <c r="B1869" i="364"/>
  <c r="B2147" i="364"/>
  <c r="B2428" i="364"/>
  <c r="B155" i="364"/>
  <c r="B743" i="364"/>
  <c r="B1127" i="364"/>
  <c r="B211" i="364"/>
  <c r="B530" i="364"/>
  <c r="B1191" i="364"/>
  <c r="B798" i="364"/>
  <c r="B2355" i="364"/>
  <c r="B2612" i="364"/>
  <c r="B1820" i="364"/>
  <c r="B2873" i="364"/>
  <c r="B376" i="364"/>
  <c r="B1379" i="364"/>
  <c r="B332" i="364"/>
  <c r="B677" i="364"/>
  <c r="B1353" i="364"/>
  <c r="B510" i="364"/>
  <c r="B1322" i="364"/>
  <c r="B2704" i="364"/>
  <c r="B1412" i="364"/>
  <c r="B1968" i="364"/>
  <c r="B2383" i="364"/>
  <c r="B2630" i="364"/>
  <c r="B5" i="364"/>
  <c r="B1696" i="364"/>
  <c r="B46" i="364"/>
  <c r="B794" i="364"/>
  <c r="B1825" i="364"/>
  <c r="B1959" i="364"/>
  <c r="B2226" i="364"/>
  <c r="B2462" i="364"/>
  <c r="B2755" i="364"/>
  <c r="B1388" i="364"/>
  <c r="B1838" i="364"/>
  <c r="B307" i="364"/>
  <c r="B636" i="364"/>
  <c r="B1356" i="364"/>
  <c r="B1173" i="364"/>
  <c r="B2295" i="364"/>
  <c r="B2643" i="364"/>
  <c r="B689" i="364"/>
  <c r="B1504" i="364"/>
  <c r="B473" i="364"/>
  <c r="B1347" i="364"/>
  <c r="B316" i="364"/>
  <c r="B693" i="364"/>
  <c r="B1372" i="364"/>
  <c r="B526" i="364"/>
  <c r="B1345" i="364"/>
  <c r="B2851" i="364"/>
  <c r="B1426" i="364"/>
  <c r="B1992" i="364"/>
  <c r="B2406" i="364"/>
  <c r="B2656" i="364"/>
  <c r="B1169" i="364"/>
  <c r="B2871" i="364"/>
  <c r="B103" i="364"/>
  <c r="B909" i="364"/>
  <c r="B1843" i="364"/>
  <c r="B1988" i="364"/>
  <c r="B2241" i="364"/>
  <c r="B2477" i="364"/>
  <c r="B1499" i="364"/>
  <c r="B190" i="364"/>
  <c r="B947" i="364"/>
  <c r="B350" i="364"/>
  <c r="B681" i="364"/>
  <c r="B1447" i="364"/>
  <c r="B1429" i="364"/>
  <c r="B15" i="364"/>
  <c r="B2763" i="364"/>
  <c r="B1164" i="364"/>
  <c r="B458" i="364"/>
  <c r="B674" i="364"/>
  <c r="B1315" i="364"/>
  <c r="B300" i="364"/>
  <c r="B709" i="364"/>
  <c r="B1436" i="364"/>
  <c r="B542" i="364"/>
  <c r="B1364" i="364"/>
  <c r="B737" i="364"/>
  <c r="B1444" i="364"/>
  <c r="B2016" i="364"/>
  <c r="B2449" i="364"/>
  <c r="B2780" i="364"/>
  <c r="B381" i="364"/>
  <c r="B925" i="364"/>
  <c r="B167" i="364"/>
  <c r="B1147" i="364"/>
  <c r="B1857" i="364"/>
  <c r="B2009" i="364"/>
  <c r="B2275" i="364"/>
  <c r="B2507" i="364"/>
  <c r="B436" i="364"/>
  <c r="B231" i="364"/>
  <c r="B1282" i="364"/>
  <c r="B410" i="364"/>
  <c r="B775" i="364"/>
  <c r="B1536" i="364"/>
  <c r="B1557" i="364"/>
  <c r="B992" i="364"/>
  <c r="B1178" i="364"/>
  <c r="B684" i="364"/>
  <c r="B985" i="364"/>
  <c r="B1853" i="364"/>
  <c r="B1346" i="364"/>
  <c r="B721" i="364"/>
  <c r="B1906" i="364"/>
  <c r="B1434" i="364"/>
  <c r="B848" i="364"/>
  <c r="B1254" i="364"/>
  <c r="B1602" i="364"/>
  <c r="B1009" i="364"/>
  <c r="B611" i="364"/>
  <c r="B1934" i="364"/>
  <c r="B1073" i="364"/>
  <c r="B1084" i="364"/>
  <c r="B2306" i="364"/>
  <c r="B1201" i="364"/>
  <c r="B592" i="364"/>
  <c r="B2172" i="364"/>
  <c r="B1265" i="364"/>
  <c r="B276" i="364"/>
  <c r="B575" i="364"/>
  <c r="B62" i="364"/>
  <c r="B2469" i="364"/>
  <c r="B14" i="364"/>
  <c r="B2044" i="364"/>
  <c r="B874" i="364"/>
  <c r="B76" i="364"/>
  <c r="B969" i="364"/>
  <c r="B1737" i="364"/>
  <c r="B806" i="364"/>
  <c r="B1620" i="364"/>
  <c r="B964" i="364"/>
  <c r="B1746" i="364"/>
  <c r="B2567" i="364"/>
  <c r="B2230" i="364"/>
  <c r="B2703" i="364"/>
  <c r="B414" i="364"/>
  <c r="B1659" i="364"/>
  <c r="B310" i="364"/>
  <c r="B1562" i="364"/>
  <c r="B2303" i="364"/>
  <c r="B2414" i="364"/>
  <c r="B2677" i="364"/>
  <c r="B2838" i="364"/>
  <c r="B290" i="364"/>
  <c r="B386" i="364"/>
  <c r="B1031" i="364"/>
  <c r="B173" i="364"/>
  <c r="B392" i="364"/>
  <c r="B1525" i="364"/>
  <c r="B1521" i="364"/>
  <c r="B223" i="364"/>
  <c r="B2254" i="364"/>
  <c r="B194" i="364"/>
  <c r="B2495" i="364"/>
  <c r="B135" i="364"/>
  <c r="B2582" i="364"/>
  <c r="B842" i="364"/>
  <c r="B60" i="364"/>
  <c r="B988" i="364"/>
  <c r="B1756" i="364"/>
  <c r="B838" i="364"/>
  <c r="B1642" i="364"/>
  <c r="B978" i="364"/>
  <c r="B1764" i="364"/>
  <c r="B2779" i="364"/>
  <c r="B2249" i="364"/>
  <c r="B2766" i="364"/>
  <c r="B498" i="364"/>
  <c r="B1965" i="364"/>
  <c r="B1132" i="364"/>
  <c r="B2221" i="364"/>
  <c r="B2322" i="364"/>
  <c r="B2444" i="364"/>
  <c r="B2764" i="364"/>
  <c r="B2723" i="364"/>
  <c r="B626" i="364"/>
  <c r="B418" i="364"/>
  <c r="B529" i="364"/>
  <c r="B189" i="364"/>
  <c r="B500" i="364"/>
  <c r="B1653" i="364"/>
  <c r="B1585" i="364"/>
  <c r="B1068" i="364"/>
  <c r="B365" i="364"/>
  <c r="B2524" i="364"/>
  <c r="B258" i="364"/>
  <c r="B2536" i="364"/>
  <c r="B810" i="364"/>
  <c r="B12" i="364"/>
  <c r="B1011" i="364"/>
  <c r="B1937" i="364"/>
  <c r="B870" i="364"/>
  <c r="B1665" i="364"/>
  <c r="B996" i="364"/>
  <c r="B1824" i="364"/>
  <c r="B1833" i="364"/>
  <c r="B2268" i="364"/>
  <c r="B2824" i="364"/>
  <c r="B20" i="100"/>
  <c r="H3" i="294" s="1"/>
  <c r="B538" i="364"/>
  <c r="B1627" i="364"/>
  <c r="B1895" i="364"/>
  <c r="B2367" i="364"/>
  <c r="B2475" i="364"/>
  <c r="B2816" i="364"/>
  <c r="B2519" i="364"/>
  <c r="B1376" i="364"/>
  <c r="B468" i="364"/>
  <c r="B442" i="364"/>
  <c r="B214" i="364"/>
  <c r="B762" i="364"/>
  <c r="B1782" i="364"/>
  <c r="B1713" i="364"/>
  <c r="B2343" i="364"/>
  <c r="B1813" i="364"/>
  <c r="B2564" i="364"/>
  <c r="B384" i="364"/>
  <c r="B2365" i="364"/>
  <c r="B778" i="364"/>
  <c r="B437" i="364"/>
  <c r="B1033" i="364"/>
  <c r="B1975" i="364"/>
  <c r="B902" i="364"/>
  <c r="B1684" i="364"/>
  <c r="B1042" i="364"/>
  <c r="B1856" i="364"/>
  <c r="B1858" i="364"/>
  <c r="B2313" i="364"/>
  <c r="B2848" i="364"/>
  <c r="B16" i="364"/>
  <c r="B784" i="364"/>
  <c r="B2300" i="364"/>
  <c r="B1944" i="364"/>
  <c r="B2386" i="364"/>
  <c r="B2607" i="364"/>
  <c r="B2754" i="364"/>
  <c r="B2632" i="364"/>
  <c r="B3" i="364"/>
  <c r="B537" i="364"/>
  <c r="B400" i="364"/>
  <c r="B235" i="364"/>
  <c r="B851" i="364"/>
  <c r="B2561" i="364"/>
  <c r="B1781" i="364"/>
  <c r="B1964" i="364"/>
  <c r="B35" i="364"/>
  <c r="B2600" i="364"/>
  <c r="B1120" i="364"/>
  <c r="B2065" i="364"/>
  <c r="B746" i="364"/>
  <c r="B453" i="364"/>
  <c r="B1052" i="364"/>
  <c r="B2033" i="364"/>
  <c r="B934" i="364"/>
  <c r="B1706" i="364"/>
  <c r="B1106" i="364"/>
  <c r="B1899" i="364"/>
  <c r="B1897" i="364"/>
  <c r="B2332" i="364"/>
  <c r="B2875" i="364"/>
  <c r="B42" i="364"/>
  <c r="B1063" i="364"/>
  <c r="B295" i="364"/>
  <c r="B2040" i="364"/>
  <c r="B2405" i="364"/>
  <c r="B2660" i="364"/>
  <c r="B2464" i="364"/>
  <c r="B2647" i="364"/>
  <c r="B26" i="364"/>
  <c r="B628" i="364"/>
  <c r="B333" i="364"/>
  <c r="B465" i="364"/>
  <c r="B935" i="364"/>
  <c r="B325" i="364"/>
  <c r="B1909" i="364"/>
  <c r="B2521" i="364"/>
  <c r="B115" i="364"/>
  <c r="B2642" i="364"/>
  <c r="B10" i="364"/>
  <c r="B1969" i="364"/>
  <c r="B711" i="364"/>
  <c r="B469" i="364"/>
  <c r="B1075" i="364"/>
  <c r="B2082" i="364"/>
  <c r="B961" i="364"/>
  <c r="B1729" i="364"/>
  <c r="B1124" i="364"/>
  <c r="B2024" i="364"/>
  <c r="B1922" i="364"/>
  <c r="B2358" i="364"/>
  <c r="B2566" i="364"/>
  <c r="B99" i="364"/>
  <c r="B1216" i="364"/>
  <c r="B383" i="364"/>
  <c r="B2079" i="364"/>
  <c r="B2455" i="364"/>
  <c r="B2799" i="364"/>
  <c r="B2486" i="364"/>
  <c r="B2663" i="364"/>
  <c r="B48" i="364"/>
  <c r="B692" i="364"/>
  <c r="B269" i="364"/>
  <c r="B497" i="364"/>
  <c r="B1083" i="364"/>
  <c r="B341" i="364"/>
  <c r="B2276" i="364"/>
  <c r="B1327" i="364"/>
  <c r="B207" i="364"/>
  <c r="B2681" i="364"/>
  <c r="B64" i="364"/>
  <c r="B1892" i="364"/>
  <c r="B615" i="364"/>
  <c r="B485" i="364"/>
  <c r="B1097" i="364"/>
  <c r="B2139" i="364"/>
  <c r="B980" i="364"/>
  <c r="B1748" i="364"/>
  <c r="B1138" i="364"/>
  <c r="B2197" i="364"/>
  <c r="B1951" i="364"/>
  <c r="B2396" i="364"/>
  <c r="B2589" i="364"/>
  <c r="B128" i="364"/>
  <c r="B926" i="364"/>
  <c r="B658" i="364"/>
  <c r="B2123" i="364"/>
  <c r="B2496" i="364"/>
  <c r="B2862" i="364"/>
  <c r="B2517" i="364"/>
  <c r="B2698" i="364"/>
  <c r="B67" i="364"/>
  <c r="B819" i="364"/>
  <c r="B191" i="364"/>
  <c r="B580" i="364"/>
  <c r="B1237" i="364"/>
  <c r="B357" i="364"/>
  <c r="B858" i="364"/>
  <c r="B1541" i="364"/>
  <c r="F28" i="248"/>
  <c r="F29" i="248" s="1"/>
  <c r="D46" i="146"/>
  <c r="K14" i="146"/>
  <c r="F104" i="146"/>
  <c r="E104" i="146"/>
  <c r="F30" i="146"/>
  <c r="J14" i="146"/>
  <c r="A105" i="343"/>
  <c r="A274" i="343" s="1"/>
  <c r="H14" i="146"/>
  <c r="E30" i="146"/>
  <c r="K48" i="146"/>
  <c r="K102" i="146" s="1"/>
  <c r="C48" i="146"/>
  <c r="C32" i="305"/>
  <c r="C108" i="255" s="1"/>
  <c r="C46" i="88" s="1"/>
  <c r="C118" i="350"/>
  <c r="I118" i="350"/>
  <c r="G46" i="146"/>
  <c r="I48" i="146"/>
  <c r="I102" i="146" s="1"/>
  <c r="I63" i="305"/>
  <c r="I109" i="255" s="1"/>
  <c r="A94" i="343"/>
  <c r="A263" i="343" s="1"/>
  <c r="F32" i="305"/>
  <c r="F108" i="255" s="1"/>
  <c r="G14" i="146"/>
  <c r="G34" i="255"/>
  <c r="G9" i="127" s="1"/>
  <c r="H49" i="123" s="1"/>
  <c r="K15" i="255"/>
  <c r="K6" i="127" s="1"/>
  <c r="L46" i="123" s="1"/>
  <c r="I60" i="248"/>
  <c r="K46" i="146"/>
  <c r="Q43" i="299"/>
  <c r="H110" i="367"/>
  <c r="P43" i="299"/>
  <c r="E63" i="305"/>
  <c r="E109" i="255" s="1"/>
  <c r="O43" i="299"/>
  <c r="K118" i="358"/>
  <c r="D63" i="305"/>
  <c r="D109" i="255" s="1"/>
  <c r="Q42" i="299"/>
  <c r="J182" i="248"/>
  <c r="P42" i="299"/>
  <c r="H37" i="246"/>
  <c r="H41" i="246" s="1"/>
  <c r="G37" i="246"/>
  <c r="G41" i="246" s="1"/>
  <c r="F37" i="246"/>
  <c r="F41" i="246" s="1"/>
  <c r="H139" i="350"/>
  <c r="D104" i="146"/>
  <c r="H46" i="146"/>
  <c r="I46" i="146"/>
  <c r="H48" i="146"/>
  <c r="H102" i="146" s="1"/>
  <c r="H104" i="146"/>
  <c r="F48" i="146"/>
  <c r="F102" i="146" s="1"/>
  <c r="J104" i="146"/>
  <c r="G104" i="146"/>
  <c r="K104" i="146"/>
  <c r="J48" i="146"/>
  <c r="J102" i="146" s="1"/>
  <c r="D14" i="146"/>
  <c r="K63" i="305"/>
  <c r="K109" i="255" s="1"/>
  <c r="H63" i="305"/>
  <c r="H109" i="255" s="1"/>
  <c r="H32" i="305"/>
  <c r="H108" i="255" s="1"/>
  <c r="E32" i="305"/>
  <c r="E108" i="255" s="1"/>
  <c r="D32" i="305"/>
  <c r="D108" i="255" s="1"/>
  <c r="L27" i="255"/>
  <c r="L8" i="127" s="1"/>
  <c r="Q8" i="137" s="1"/>
  <c r="G139" i="349"/>
  <c r="C55" i="248"/>
  <c r="C119" i="248" s="1"/>
  <c r="K139" i="350"/>
  <c r="K34" i="144"/>
  <c r="K71" i="144" s="1"/>
  <c r="H110" i="134"/>
  <c r="C542" i="364"/>
  <c r="C2480" i="364"/>
  <c r="E118" i="134"/>
  <c r="M55" i="123"/>
  <c r="J84" i="123" s="1"/>
  <c r="I92" i="248"/>
  <c r="I93" i="248" s="1"/>
  <c r="F74" i="349"/>
  <c r="C67" i="144"/>
  <c r="C12" i="237" s="1"/>
  <c r="D36" i="142"/>
  <c r="E67" i="144"/>
  <c r="E12" i="237" s="1"/>
  <c r="G34" i="144"/>
  <c r="G71" i="144" s="1"/>
  <c r="F71" i="144"/>
  <c r="E34" i="144"/>
  <c r="E71" i="144" s="1"/>
  <c r="K36" i="142"/>
  <c r="I32" i="142"/>
  <c r="H32" i="142"/>
  <c r="G32" i="142"/>
  <c r="F36" i="142"/>
  <c r="I118" i="367"/>
  <c r="D118" i="367"/>
  <c r="K110" i="358"/>
  <c r="H139" i="367"/>
  <c r="I74" i="350"/>
  <c r="H55" i="123"/>
  <c r="H110" i="349"/>
  <c r="K74" i="349"/>
  <c r="H110" i="358"/>
  <c r="E139" i="367"/>
  <c r="C139" i="349"/>
  <c r="E110" i="367"/>
  <c r="F116" i="248"/>
  <c r="A60" i="342"/>
  <c r="A10" i="233" s="1"/>
  <c r="A10" i="299" s="1"/>
  <c r="A28" i="299" s="1"/>
  <c r="D192" i="248"/>
  <c r="D193" i="248" s="1"/>
  <c r="J110" i="350"/>
  <c r="A49" i="342"/>
  <c r="A217" i="342" s="1"/>
  <c r="A27" i="233" s="1"/>
  <c r="I118" i="134"/>
  <c r="H20" i="248"/>
  <c r="H22" i="248" s="1"/>
  <c r="C110" i="358"/>
  <c r="F2" i="147"/>
  <c r="G74" i="350"/>
  <c r="D110" i="358"/>
  <c r="I22" i="248"/>
  <c r="G118" i="134"/>
  <c r="C74" i="358"/>
  <c r="A27" i="342"/>
  <c r="A195" i="342" s="1"/>
  <c r="A25" i="233" s="1"/>
  <c r="J55" i="123"/>
  <c r="G84" i="123" s="1"/>
  <c r="D118" i="358"/>
  <c r="J25" i="248"/>
  <c r="K118" i="134"/>
  <c r="A16" i="342"/>
  <c r="A184" i="342" s="1"/>
  <c r="A24" i="233" s="1"/>
  <c r="C110" i="248"/>
  <c r="G193" i="248"/>
  <c r="C118" i="349"/>
  <c r="J192" i="248"/>
  <c r="J193" i="248" s="1"/>
  <c r="E74" i="349"/>
  <c r="H85" i="248"/>
  <c r="H117" i="248" s="1"/>
  <c r="H192" i="248"/>
  <c r="H193" i="248" s="1"/>
  <c r="C74" i="367"/>
  <c r="G110" i="358"/>
  <c r="F110" i="358"/>
  <c r="E74" i="367"/>
  <c r="I110" i="134"/>
  <c r="K110" i="367"/>
  <c r="I110" i="358"/>
  <c r="H118" i="349"/>
  <c r="D86" i="248"/>
  <c r="E118" i="350"/>
  <c r="I192" i="248"/>
  <c r="I193" i="248" s="1"/>
  <c r="I139" i="134"/>
  <c r="D110" i="367"/>
  <c r="F110" i="367"/>
  <c r="G28" i="248"/>
  <c r="G29" i="248" s="1"/>
  <c r="K192" i="248"/>
  <c r="K193" i="248" s="1"/>
  <c r="F118" i="367"/>
  <c r="E139" i="349"/>
  <c r="J139" i="367"/>
  <c r="H118" i="358"/>
  <c r="K74" i="367"/>
  <c r="C110" i="367"/>
  <c r="F86" i="248"/>
  <c r="A71" i="342"/>
  <c r="A239" i="342" s="1"/>
  <c r="A29" i="233" s="1"/>
  <c r="E118" i="367"/>
  <c r="E23" i="248"/>
  <c r="E25" i="248" s="1"/>
  <c r="A82" i="342"/>
  <c r="A250" i="342" s="1"/>
  <c r="A30" i="233" s="1"/>
  <c r="K139" i="367"/>
  <c r="D92" i="248"/>
  <c r="F139" i="367"/>
  <c r="C139" i="367"/>
  <c r="D87" i="248"/>
  <c r="D89" i="248" s="1"/>
  <c r="I110" i="367"/>
  <c r="I74" i="367"/>
  <c r="J74" i="367"/>
  <c r="G74" i="367"/>
  <c r="G6" i="367"/>
  <c r="G70" i="248"/>
  <c r="G79" i="248" s="1"/>
  <c r="F118" i="358"/>
  <c r="J118" i="358"/>
  <c r="C118" i="358"/>
  <c r="F74" i="358"/>
  <c r="G74" i="358"/>
  <c r="H74" i="358"/>
  <c r="E74" i="358"/>
  <c r="D74" i="358"/>
  <c r="F6" i="358"/>
  <c r="G6" i="358"/>
  <c r="K6" i="358"/>
  <c r="E189" i="248"/>
  <c r="E118" i="349"/>
  <c r="C6" i="358"/>
  <c r="D6" i="358"/>
  <c r="J6" i="358"/>
  <c r="I6" i="358"/>
  <c r="H188" i="248"/>
  <c r="H189" i="248" s="1"/>
  <c r="I6" i="349"/>
  <c r="J118" i="349"/>
  <c r="K118" i="349"/>
  <c r="G118" i="349"/>
  <c r="C110" i="349"/>
  <c r="F110" i="349"/>
  <c r="D110" i="349"/>
  <c r="J110" i="349"/>
  <c r="G110" i="349"/>
  <c r="J74" i="349"/>
  <c r="C74" i="349"/>
  <c r="F6" i="349"/>
  <c r="K127" i="248"/>
  <c r="G139" i="350"/>
  <c r="C60" i="248"/>
  <c r="C61" i="248" s="1"/>
  <c r="F139" i="350"/>
  <c r="J118" i="350"/>
  <c r="K118" i="350"/>
  <c r="C110" i="350"/>
  <c r="J52" i="248"/>
  <c r="J54" i="248" s="1"/>
  <c r="D110" i="350"/>
  <c r="E110" i="350"/>
  <c r="H110" i="350"/>
  <c r="H74" i="350"/>
  <c r="E74" i="350"/>
  <c r="D74" i="350"/>
  <c r="D50" i="248"/>
  <c r="I6" i="350"/>
  <c r="E6" i="350"/>
  <c r="C6" i="350"/>
  <c r="D139" i="134"/>
  <c r="E139" i="134"/>
  <c r="D118" i="134"/>
  <c r="C106" i="248"/>
  <c r="G6" i="134"/>
  <c r="J6" i="134"/>
  <c r="C6" i="134"/>
  <c r="C74" i="134"/>
  <c r="I74" i="134"/>
  <c r="G74" i="134"/>
  <c r="G110" i="134"/>
  <c r="F110" i="134"/>
  <c r="C110" i="134"/>
  <c r="J110" i="134"/>
  <c r="C118" i="134"/>
  <c r="K23" i="248"/>
  <c r="K25" i="248" s="1"/>
  <c r="E42" i="123"/>
  <c r="C109" i="248"/>
  <c r="F117" i="248"/>
  <c r="E130" i="248"/>
  <c r="A137" i="342"/>
  <c r="A17" i="233" s="1"/>
  <c r="O2" i="246" s="1"/>
  <c r="A160" i="343"/>
  <c r="A20" i="126" s="1"/>
  <c r="A115" i="342"/>
  <c r="A15" i="233" s="1"/>
  <c r="A15" i="299" s="1"/>
  <c r="A33" i="299" s="1"/>
  <c r="C488" i="364"/>
  <c r="C1320" i="364"/>
  <c r="K3" i="144"/>
  <c r="C1946" i="364"/>
  <c r="C1537" i="364"/>
  <c r="M3" i="123"/>
  <c r="J35" i="253"/>
  <c r="J64" i="86" s="1"/>
  <c r="C2475" i="364"/>
  <c r="B102" i="100"/>
  <c r="A1" i="342" s="1"/>
  <c r="C1172" i="364"/>
  <c r="K3" i="133"/>
  <c r="C10" i="364"/>
  <c r="B143" i="100"/>
  <c r="A1" i="301" s="1"/>
  <c r="C606" i="364"/>
  <c r="L3" i="88"/>
  <c r="C1706" i="364"/>
  <c r="A1" i="316"/>
  <c r="K3" i="249"/>
  <c r="C2234" i="364"/>
  <c r="K3" i="350"/>
  <c r="C164" i="364"/>
  <c r="C691" i="364"/>
  <c r="C471" i="364"/>
  <c r="C2261" i="364"/>
  <c r="C2035" i="364"/>
  <c r="C475" i="364"/>
  <c r="K3" i="336"/>
  <c r="C235" i="364"/>
  <c r="C76" i="364"/>
  <c r="F186" i="248"/>
  <c r="L3" i="337"/>
  <c r="C2587" i="364"/>
  <c r="C1178" i="364"/>
  <c r="E31" i="253"/>
  <c r="C522" i="364"/>
  <c r="B142" i="100"/>
  <c r="A1" i="95" s="1"/>
  <c r="C1020" i="364"/>
  <c r="C571" i="364"/>
  <c r="C274" i="364"/>
  <c r="C944" i="364"/>
  <c r="C550" i="364"/>
  <c r="C1862" i="364"/>
  <c r="C351" i="364"/>
  <c r="C295" i="364"/>
  <c r="C1743" i="364"/>
  <c r="C2267" i="364"/>
  <c r="I104" i="248"/>
  <c r="K57" i="248"/>
  <c r="I189" i="248"/>
  <c r="C1087" i="364"/>
  <c r="C320" i="364"/>
  <c r="C194" i="364"/>
  <c r="C64" i="364"/>
  <c r="C2278" i="364"/>
  <c r="C2588" i="364"/>
  <c r="C896" i="364"/>
  <c r="C2105" i="364"/>
  <c r="C1766" i="364"/>
  <c r="C1990" i="364"/>
  <c r="C182" i="364"/>
  <c r="Q3" i="256"/>
  <c r="C2661" i="364"/>
  <c r="A1" i="139"/>
  <c r="R3" i="296"/>
  <c r="C2541" i="364"/>
  <c r="C1568" i="364"/>
  <c r="D14" i="253"/>
  <c r="C62" i="86" s="1"/>
  <c r="C342" i="364"/>
  <c r="C1481" i="364"/>
  <c r="C256" i="364"/>
  <c r="C1650" i="364"/>
  <c r="F102" i="248"/>
  <c r="C2497" i="364"/>
  <c r="C2393" i="364"/>
  <c r="J60" i="316"/>
  <c r="C2817" i="364"/>
  <c r="C2175" i="364"/>
  <c r="C2570" i="364"/>
  <c r="C109" i="364"/>
  <c r="C2601" i="364"/>
  <c r="C2579" i="364"/>
  <c r="C2811" i="364"/>
  <c r="C2311" i="364"/>
  <c r="C2564" i="364"/>
  <c r="C2418" i="364"/>
  <c r="A12" i="128"/>
  <c r="A14" i="128"/>
  <c r="A1" i="363"/>
  <c r="C1880" i="364"/>
  <c r="C2247" i="364"/>
  <c r="C769" i="364"/>
  <c r="C1693" i="364"/>
  <c r="C918" i="364"/>
  <c r="C2509" i="364"/>
  <c r="C275" i="364"/>
  <c r="C831" i="364"/>
  <c r="C1230" i="364"/>
  <c r="C228" i="364"/>
  <c r="C296" i="364"/>
  <c r="C2483" i="364"/>
  <c r="C1761" i="364"/>
  <c r="C2424" i="364"/>
  <c r="C1277" i="364"/>
  <c r="C555" i="364"/>
  <c r="C1372" i="364"/>
  <c r="C642" i="364"/>
  <c r="C804" i="364"/>
  <c r="C1229" i="364"/>
  <c r="C2047" i="364"/>
  <c r="C771" i="364"/>
  <c r="C1727" i="364"/>
  <c r="C2340" i="364"/>
  <c r="C941" i="364"/>
  <c r="C2824" i="364"/>
  <c r="C558" i="364"/>
  <c r="C79" i="364"/>
  <c r="C1053" i="364"/>
  <c r="C2875" i="364"/>
  <c r="C2394" i="364"/>
  <c r="C20" i="364"/>
  <c r="C248" i="364"/>
  <c r="C197" i="364"/>
  <c r="C852" i="364"/>
  <c r="C2773" i="364"/>
  <c r="C1960" i="364"/>
  <c r="C1833" i="364"/>
  <c r="C2077" i="364"/>
  <c r="C2098" i="364"/>
  <c r="C257" i="364"/>
  <c r="A72" i="147"/>
  <c r="C424" i="364"/>
  <c r="C127" i="364"/>
  <c r="C2448" i="364"/>
  <c r="C2745" i="364"/>
  <c r="C2463" i="364"/>
  <c r="C1329" i="364"/>
  <c r="C833" i="364"/>
  <c r="C310" i="364"/>
  <c r="C914" i="364"/>
  <c r="C827" i="364"/>
  <c r="C974" i="364"/>
  <c r="C1856" i="364"/>
  <c r="C116" i="364"/>
  <c r="C1209" i="364"/>
  <c r="C549" i="364"/>
  <c r="C302" i="364"/>
  <c r="C1283" i="364"/>
  <c r="C265" i="364"/>
  <c r="C2625" i="364"/>
  <c r="C483" i="364"/>
  <c r="C980" i="364"/>
  <c r="C1992" i="364"/>
  <c r="C2792" i="364"/>
  <c r="C1391" i="364"/>
  <c r="C2869" i="364"/>
  <c r="C1420" i="364"/>
  <c r="C1239" i="364"/>
  <c r="C110" i="364"/>
  <c r="C1698" i="364"/>
  <c r="C2376" i="364"/>
  <c r="C865" i="364"/>
  <c r="C146" i="364"/>
  <c r="C1154" i="364"/>
  <c r="C1910" i="364"/>
  <c r="C2146" i="364"/>
  <c r="C91" i="364"/>
  <c r="C708" i="364"/>
  <c r="C2280" i="364"/>
  <c r="C2144" i="364"/>
  <c r="C29" i="364"/>
  <c r="C1626" i="364"/>
  <c r="C269" i="364"/>
  <c r="C2778" i="364"/>
  <c r="C2510" i="364"/>
  <c r="C132" i="364"/>
  <c r="C808" i="364"/>
  <c r="C1594" i="364"/>
  <c r="C353" i="364"/>
  <c r="C2201" i="364"/>
  <c r="C1491" i="364"/>
  <c r="C1551" i="364"/>
  <c r="C809" i="364"/>
  <c r="C1604" i="364"/>
  <c r="A1" i="145"/>
  <c r="C2118" i="364"/>
  <c r="C1026" i="364"/>
  <c r="C311" i="364"/>
  <c r="C2064" i="364"/>
  <c r="C1796" i="364"/>
  <c r="C1435" i="364"/>
  <c r="C1493" i="364"/>
  <c r="C2079" i="364"/>
  <c r="C2038" i="364"/>
  <c r="C1180" i="364"/>
  <c r="C1496" i="364"/>
  <c r="C510" i="364"/>
  <c r="C2075" i="364"/>
  <c r="C1530" i="364"/>
  <c r="C2006" i="364"/>
  <c r="C86" i="364"/>
  <c r="C1187" i="364"/>
  <c r="C561" i="364"/>
  <c r="C1782" i="364"/>
  <c r="C2110" i="364"/>
  <c r="C2174" i="364"/>
  <c r="C1847" i="364"/>
  <c r="C2356" i="364"/>
  <c r="C1666" i="364"/>
  <c r="C255" i="364"/>
  <c r="C2789" i="364"/>
  <c r="C1244" i="364"/>
  <c r="C482" i="364"/>
  <c r="C356" i="364"/>
  <c r="C1691" i="364"/>
  <c r="C369" i="364"/>
  <c r="C291" i="364"/>
  <c r="C1895" i="364"/>
  <c r="C2727" i="364"/>
  <c r="C1300" i="364"/>
  <c r="C298" i="364"/>
  <c r="C1927" i="364"/>
  <c r="C1248" i="364"/>
  <c r="C487" i="364"/>
  <c r="C402" i="364"/>
  <c r="C2818" i="364"/>
  <c r="C70" i="364"/>
  <c r="C2840" i="364"/>
  <c r="C14" i="364"/>
  <c r="C1707" i="364"/>
  <c r="C2855" i="364"/>
  <c r="C1185" i="364"/>
  <c r="C396" i="364"/>
  <c r="C1770" i="364"/>
  <c r="C1762" i="364"/>
  <c r="C2628" i="364"/>
  <c r="C261" i="364"/>
  <c r="C2621" i="364"/>
  <c r="C1911" i="364"/>
  <c r="C2688" i="364"/>
  <c r="C8" i="364"/>
  <c r="C2854" i="364"/>
  <c r="C2852" i="364"/>
  <c r="C2310" i="364"/>
  <c r="C2033" i="364"/>
  <c r="C845" i="364"/>
  <c r="C2820" i="364"/>
  <c r="C2544" i="364"/>
  <c r="C1826" i="364"/>
  <c r="C2872" i="364"/>
  <c r="C1206" i="364"/>
  <c r="C142" i="364"/>
  <c r="C2822" i="364"/>
  <c r="C2847" i="364"/>
  <c r="C1454" i="364"/>
  <c r="C2135" i="364"/>
  <c r="C2227" i="364"/>
  <c r="C2353" i="364"/>
  <c r="C2375" i="364"/>
  <c r="C1744" i="364"/>
  <c r="C1089" i="364"/>
  <c r="C1139" i="364"/>
  <c r="C891" i="364"/>
  <c r="C1697" i="364"/>
  <c r="C2532" i="364"/>
  <c r="C1058" i="364"/>
  <c r="C786" i="364"/>
  <c r="C1279" i="364"/>
  <c r="C1040" i="364"/>
  <c r="C1463" i="364"/>
  <c r="C2360" i="364"/>
  <c r="C1996" i="364"/>
  <c r="C2777" i="364"/>
  <c r="C816" i="364"/>
  <c r="C1708" i="364"/>
  <c r="C1776" i="364"/>
  <c r="C2609" i="364"/>
  <c r="C2195" i="364"/>
  <c r="C1547" i="364"/>
  <c r="C2319" i="364"/>
  <c r="C470" i="364"/>
  <c r="C1094" i="364"/>
  <c r="C1205" i="364"/>
  <c r="C2275" i="364"/>
  <c r="C1711" i="364"/>
  <c r="C1917" i="364"/>
  <c r="C1408" i="364"/>
  <c r="C1135" i="364"/>
  <c r="C1327" i="364"/>
  <c r="C1754" i="364"/>
  <c r="C1469" i="364"/>
  <c r="C2496" i="364"/>
  <c r="C1722" i="364"/>
  <c r="C579" i="364"/>
  <c r="C920" i="364"/>
  <c r="C541" i="364"/>
  <c r="C1945" i="364"/>
  <c r="C514" i="364"/>
  <c r="C338" i="364"/>
  <c r="C2326" i="364"/>
  <c r="C2209" i="364"/>
  <c r="C1000" i="364"/>
  <c r="C114" i="364"/>
  <c r="C2710" i="364"/>
  <c r="C2451" i="364"/>
  <c r="C106" i="364"/>
  <c r="C1522" i="364"/>
  <c r="C2440" i="364"/>
  <c r="C1725" i="364"/>
  <c r="C2846" i="364"/>
  <c r="C650" i="364"/>
  <c r="C247" i="364"/>
  <c r="C1264" i="364"/>
  <c r="C1633" i="364"/>
  <c r="C38" i="364"/>
  <c r="C2750" i="364"/>
  <c r="C2797" i="364"/>
  <c r="C844" i="364"/>
  <c r="C12" i="364"/>
  <c r="C179" i="364"/>
  <c r="C2614" i="364"/>
  <c r="C1273" i="364"/>
  <c r="C1578" i="364"/>
  <c r="C495" i="364"/>
  <c r="C453" i="364"/>
  <c r="C343" i="364"/>
  <c r="C710" i="364"/>
  <c r="C2317" i="364"/>
  <c r="C143" i="364"/>
  <c r="C2335" i="364"/>
  <c r="C1331" i="364"/>
  <c r="C1823" i="364"/>
  <c r="C469" i="364"/>
  <c r="C1759" i="364"/>
  <c r="C1056" i="364"/>
  <c r="C2103" i="364"/>
  <c r="C2523" i="364"/>
  <c r="C2549" i="364"/>
  <c r="C2857" i="364"/>
  <c r="C2657" i="364"/>
  <c r="C2264" i="364"/>
  <c r="C1521" i="364"/>
  <c r="C595" i="364"/>
  <c r="C315" i="364"/>
  <c r="C1899" i="364"/>
  <c r="C2370" i="364"/>
  <c r="C977" i="364"/>
  <c r="C578" i="364"/>
  <c r="C1689" i="364"/>
  <c r="C724" i="364"/>
  <c r="C266" i="364"/>
  <c r="C951" i="364"/>
  <c r="C2833" i="364"/>
  <c r="C1218" i="364"/>
  <c r="C570" i="364"/>
  <c r="C1726" i="364"/>
  <c r="C1309" i="364"/>
  <c r="C1081" i="364"/>
  <c r="C1939" i="364"/>
  <c r="C2793" i="364"/>
  <c r="C1593" i="364"/>
  <c r="C1021" i="364"/>
  <c r="C2494" i="364"/>
  <c r="C345" i="364"/>
  <c r="C970" i="364"/>
  <c r="C1134" i="364"/>
  <c r="C2062" i="364"/>
  <c r="C2407" i="364"/>
  <c r="C2106" i="364"/>
  <c r="C713" i="364"/>
  <c r="C1110" i="364"/>
  <c r="C276" i="364"/>
  <c r="C2290" i="364"/>
  <c r="C2320" i="364"/>
  <c r="C2161" i="364"/>
  <c r="C2298" i="364"/>
  <c r="C2089" i="364"/>
  <c r="C995" i="364"/>
  <c r="C996" i="364"/>
  <c r="C949" i="364"/>
  <c r="C349" i="364"/>
  <c r="C1182" i="364"/>
  <c r="C1894" i="364"/>
  <c r="C528" i="364"/>
  <c r="C505" i="364"/>
  <c r="C2814" i="364"/>
  <c r="C1788" i="364"/>
  <c r="C1520" i="364"/>
  <c r="C1016" i="364"/>
  <c r="C1115" i="364"/>
  <c r="C2643" i="364"/>
  <c r="C500" i="364"/>
  <c r="C748" i="364"/>
  <c r="C18" i="364"/>
  <c r="C719" i="364"/>
  <c r="C1068" i="364"/>
  <c r="C1561" i="364"/>
  <c r="C1565" i="364"/>
  <c r="C354" i="364"/>
  <c r="C1836" i="364"/>
  <c r="C2291" i="364"/>
  <c r="C1732" i="364"/>
  <c r="C2568" i="364"/>
  <c r="C2221" i="364"/>
  <c r="C1489" i="364"/>
  <c r="C1876" i="364"/>
  <c r="C305" i="364"/>
  <c r="C138" i="364"/>
  <c r="C1208" i="364"/>
  <c r="C43" i="364"/>
  <c r="C1850" i="364"/>
  <c r="C246" i="364"/>
  <c r="C1303" i="364"/>
  <c r="C1671" i="364"/>
  <c r="C1162" i="364"/>
  <c r="C191" i="364"/>
  <c r="C435" i="364"/>
  <c r="C1598" i="364"/>
  <c r="C859" i="364"/>
  <c r="C2359" i="364"/>
  <c r="C1623" i="364"/>
  <c r="C2815" i="364"/>
  <c r="C2753" i="364"/>
  <c r="C2367" i="364"/>
  <c r="C2430" i="364"/>
  <c r="C2653" i="364"/>
  <c r="C52" i="364"/>
  <c r="C1079" i="364"/>
  <c r="C151" i="364"/>
  <c r="C1580" i="364"/>
  <c r="C47" i="364"/>
  <c r="C2626" i="364"/>
  <c r="C107" i="364"/>
  <c r="C267" i="364"/>
  <c r="C2569" i="364"/>
  <c r="C2646" i="364"/>
  <c r="C1475" i="364"/>
  <c r="C1482" i="364"/>
  <c r="C919" i="364"/>
  <c r="C2798" i="364"/>
  <c r="C2575" i="364"/>
  <c r="C426" i="364"/>
  <c r="C348" i="364"/>
  <c r="C1048" i="364"/>
  <c r="C1559" i="364"/>
  <c r="C209" i="364"/>
  <c r="C2180" i="364"/>
  <c r="C492" i="364"/>
  <c r="C34" i="364"/>
  <c r="C460" i="364"/>
  <c r="C1476" i="364"/>
  <c r="C779" i="364"/>
  <c r="C1011" i="364"/>
  <c r="C981" i="364"/>
  <c r="C1953" i="364"/>
  <c r="C1875" i="364"/>
  <c r="C661" i="364"/>
  <c r="C868" i="364"/>
  <c r="C2141" i="364"/>
  <c r="C917" i="364"/>
  <c r="C2131" i="364"/>
  <c r="C166" i="364"/>
  <c r="C1174" i="364"/>
  <c r="C3" i="364"/>
  <c r="C9" i="364"/>
  <c r="C1777" i="364"/>
  <c r="C2561" i="364"/>
  <c r="C152" i="364"/>
  <c r="C2374" i="364"/>
  <c r="C821" i="364"/>
  <c r="C767" i="364"/>
  <c r="C7" i="364"/>
  <c r="C2612" i="364"/>
  <c r="C1980" i="364"/>
  <c r="C15" i="364"/>
  <c r="C1060" i="364"/>
  <c r="C2065" i="364"/>
  <c r="C44" i="364"/>
  <c r="C53" i="364"/>
  <c r="C497" i="364"/>
  <c r="C636" i="364"/>
  <c r="C2733" i="364"/>
  <c r="C1254" i="364"/>
  <c r="C1006" i="364"/>
  <c r="C747" i="364"/>
  <c r="C163" i="364"/>
  <c r="C837" i="364"/>
  <c r="C2092" i="364"/>
  <c r="C2153" i="364"/>
  <c r="C2556" i="364"/>
  <c r="C2468" i="364"/>
  <c r="C1036" i="364"/>
  <c r="C829" i="364"/>
  <c r="C1962" i="364"/>
  <c r="C2542" i="364"/>
  <c r="C1753" i="364"/>
  <c r="C1119" i="364"/>
  <c r="C350" i="364"/>
  <c r="C2218" i="364"/>
  <c r="C2670" i="364"/>
  <c r="C2838" i="364"/>
  <c r="C314" i="364"/>
  <c r="C378" i="364"/>
  <c r="C120" i="364"/>
  <c r="C441" i="364"/>
  <c r="C2248" i="364"/>
  <c r="C2308" i="364"/>
  <c r="C2147" i="364"/>
  <c r="C1997" i="364"/>
  <c r="C2694" i="364"/>
  <c r="C1217" i="364"/>
  <c r="C374" i="364"/>
  <c r="C1738" i="364"/>
  <c r="C1325" i="364"/>
  <c r="C2594" i="364"/>
  <c r="C1069" i="364"/>
  <c r="C2014" i="364"/>
  <c r="C1763" i="364"/>
  <c r="C2553" i="364"/>
  <c r="C1348" i="364"/>
  <c r="C1086" i="364"/>
  <c r="C738" i="364"/>
  <c r="C1075" i="364"/>
  <c r="C1401" i="364"/>
  <c r="C364" i="364"/>
  <c r="C508" i="364"/>
  <c r="C459" i="364"/>
  <c r="C1483" i="364"/>
  <c r="C299" i="364"/>
  <c r="C1852" i="364"/>
  <c r="C2439" i="364"/>
  <c r="C1723" i="364"/>
  <c r="C1502" i="364"/>
  <c r="C134" i="364"/>
  <c r="C2464" i="364"/>
  <c r="C1751" i="364"/>
  <c r="C1271" i="364"/>
  <c r="C1112" i="364"/>
  <c r="C2800" i="364"/>
  <c r="C521" i="364"/>
  <c r="C327" i="364"/>
  <c r="C1787" i="364"/>
  <c r="C2485" i="364"/>
  <c r="C1569" i="364"/>
  <c r="C2160" i="364"/>
  <c r="C792" i="364"/>
  <c r="C754" i="364"/>
  <c r="C554" i="364"/>
  <c r="C1145" i="364"/>
  <c r="C2347" i="364"/>
  <c r="C1773" i="364"/>
  <c r="C2459" i="364"/>
  <c r="C2190" i="364"/>
  <c r="C675" i="364"/>
  <c r="C1251" i="364"/>
  <c r="C1756" i="364"/>
  <c r="C1999" i="364"/>
  <c r="C436" i="364"/>
  <c r="C1659" i="364"/>
  <c r="C1936" i="364"/>
  <c r="C72" i="364"/>
  <c r="C801" i="364"/>
  <c r="C1025" i="364"/>
  <c r="C1250" i="364"/>
  <c r="C2711" i="364"/>
  <c r="A1" i="123"/>
  <c r="C324" i="364"/>
  <c r="C2211" i="364"/>
  <c r="C150" i="364"/>
  <c r="C2173" i="364"/>
  <c r="C284" i="364"/>
  <c r="C2853" i="364"/>
  <c r="C1806" i="364"/>
  <c r="C2603" i="364"/>
  <c r="C1504" i="364"/>
  <c r="C316" i="364"/>
  <c r="C654" i="364"/>
  <c r="C2615" i="364"/>
  <c r="C2186" i="364"/>
  <c r="C952" i="364"/>
  <c r="C897" i="364"/>
  <c r="C1370" i="364"/>
  <c r="C1978" i="364"/>
  <c r="C2104" i="364"/>
  <c r="C1257" i="364"/>
  <c r="C2809" i="364"/>
  <c r="C532" i="364"/>
  <c r="C1359" i="364"/>
  <c r="C2073" i="364"/>
  <c r="C734" i="364"/>
  <c r="C690" i="364"/>
  <c r="C1220" i="364"/>
  <c r="C1874" i="364"/>
  <c r="C781" i="364"/>
  <c r="C1322" i="364"/>
  <c r="C1043" i="364"/>
  <c r="C764" i="364"/>
  <c r="A1" i="314"/>
  <c r="C1845" i="364"/>
  <c r="C1835" i="364"/>
  <c r="C54" i="364"/>
  <c r="C1943" i="364"/>
  <c r="C1548" i="364"/>
  <c r="C2844" i="364"/>
  <c r="C433" i="364"/>
  <c r="C622" i="364"/>
  <c r="C1553" i="364"/>
  <c r="C1288" i="364"/>
  <c r="C1820" i="364"/>
  <c r="C336" i="364"/>
  <c r="C252" i="364"/>
  <c r="C2685" i="364"/>
  <c r="C934" i="364"/>
  <c r="C2287" i="364"/>
  <c r="C2208" i="364"/>
  <c r="C2117" i="364"/>
  <c r="C872" i="364"/>
  <c r="C1509" i="364"/>
  <c r="C979" i="364"/>
  <c r="C1865" i="364"/>
  <c r="C1837" i="364"/>
  <c r="C2757" i="364"/>
  <c r="C913" i="364"/>
  <c r="C887" i="364"/>
  <c r="C222" i="364"/>
  <c r="C2404" i="364"/>
  <c r="C2715" i="364"/>
  <c r="C2868" i="364"/>
  <c r="C1969" i="364"/>
  <c r="C219" i="364"/>
  <c r="C2525" i="364"/>
  <c r="C1245" i="364"/>
  <c r="C1582" i="364"/>
  <c r="C136" i="364"/>
  <c r="C1963" i="364"/>
  <c r="C388" i="364"/>
  <c r="C377" i="364"/>
  <c r="C2772" i="364"/>
  <c r="C968" i="364"/>
  <c r="C1037" i="364"/>
  <c r="C1173" i="364"/>
  <c r="C2150" i="364"/>
  <c r="C2252" i="364"/>
  <c r="C964" i="364"/>
  <c r="C442" i="364"/>
  <c r="C279" i="364"/>
  <c r="C1144" i="364"/>
  <c r="C582" i="364"/>
  <c r="C2535" i="364"/>
  <c r="C1675" i="364"/>
  <c r="C2405" i="364"/>
  <c r="C1488" i="364"/>
  <c r="C648" i="364"/>
  <c r="C2036" i="364"/>
  <c r="C677" i="364"/>
  <c r="C641" i="364"/>
  <c r="C2085" i="364"/>
  <c r="C1849" i="364"/>
  <c r="C2531" i="364"/>
  <c r="C1384" i="364"/>
  <c r="C241" i="364"/>
  <c r="C637" i="364"/>
  <c r="C1193" i="364"/>
  <c r="C1236" i="364"/>
  <c r="C1169" i="364"/>
  <c r="C133" i="364"/>
  <c r="C2257" i="364"/>
  <c r="C1093" i="364"/>
  <c r="C1889" i="364"/>
  <c r="C942" i="364"/>
  <c r="C2836" i="364"/>
  <c r="C559" i="364"/>
  <c r="C789" i="364"/>
  <c r="C1033" i="364"/>
  <c r="C2742" i="364"/>
  <c r="C1741" i="364"/>
  <c r="C332" i="364"/>
  <c r="C2538" i="364"/>
  <c r="C1868" i="364"/>
  <c r="C1511" i="364"/>
  <c r="C965" i="364"/>
  <c r="C1581" i="364"/>
  <c r="C858" i="364"/>
  <c r="C1148" i="364"/>
  <c r="C2289" i="364"/>
  <c r="C2871" i="364"/>
  <c r="C2759" i="364"/>
  <c r="C2348" i="364"/>
  <c r="C373" i="364"/>
  <c r="C2619" i="364"/>
  <c r="C705" i="364"/>
  <c r="C836" i="364"/>
  <c r="C1955" i="364"/>
  <c r="C231" i="364"/>
  <c r="C1111" i="364"/>
  <c r="C1662" i="364"/>
  <c r="C2351" i="364"/>
  <c r="C2061" i="364"/>
  <c r="C512" i="364"/>
  <c r="C1918" i="364"/>
  <c r="C1600" i="364"/>
  <c r="C2420" i="364"/>
  <c r="C1947" i="364"/>
  <c r="C1419" i="364"/>
  <c r="C730" i="364"/>
  <c r="C250" i="364"/>
  <c r="C1896" i="364"/>
  <c r="C2679" i="364"/>
  <c r="C1387" i="364"/>
  <c r="C1045" i="364"/>
  <c r="C2296" i="364"/>
  <c r="C1167" i="364"/>
  <c r="C347" i="364"/>
  <c r="C1128" i="364"/>
  <c r="C233" i="364"/>
  <c r="C2563" i="364"/>
  <c r="C1619" i="364"/>
  <c r="C2145" i="364"/>
  <c r="C885" i="364"/>
  <c r="C1831" i="364"/>
  <c r="C2111" i="364"/>
  <c r="C340" i="364"/>
  <c r="C2322" i="364"/>
  <c r="C1557" i="364"/>
  <c r="C2489" i="364"/>
  <c r="C2343" i="364"/>
  <c r="C2269" i="364"/>
  <c r="C989" i="364"/>
  <c r="C1097" i="364"/>
  <c r="C600" i="364"/>
  <c r="C280" i="364"/>
  <c r="C2487" i="364"/>
  <c r="C465" i="364"/>
  <c r="C776" i="364"/>
  <c r="C2512" i="364"/>
  <c r="C2828" i="364"/>
  <c r="C1338" i="364"/>
  <c r="C908" i="364"/>
  <c r="C2709" i="364"/>
  <c r="C2454" i="364"/>
  <c r="C850" i="364"/>
  <c r="C1701" i="364"/>
  <c r="C1851" i="364"/>
  <c r="C25" i="364"/>
  <c r="C674" i="364"/>
  <c r="C2001" i="364"/>
  <c r="C2540" i="364"/>
  <c r="C168" i="364"/>
  <c r="C494" i="364"/>
  <c r="C1667" i="364"/>
  <c r="C1465" i="364"/>
  <c r="C2598" i="364"/>
  <c r="C1210" i="364"/>
  <c r="C206" i="364"/>
  <c r="C679" i="364"/>
  <c r="C2293" i="364"/>
  <c r="C1562" i="364"/>
  <c r="C1589" i="364"/>
  <c r="C923" i="364"/>
  <c r="C1197" i="364"/>
  <c r="C178" i="364"/>
  <c r="C1956" i="364"/>
  <c r="C1222" i="364"/>
  <c r="C2349" i="364"/>
  <c r="C337" i="364"/>
  <c r="C418" i="364"/>
  <c r="C1431" i="364"/>
  <c r="C2328" i="364"/>
  <c r="C2162" i="364"/>
  <c r="C1339" i="364"/>
  <c r="C1270" i="364"/>
  <c r="C895" i="364"/>
  <c r="C212" i="364"/>
  <c r="C344" i="364"/>
  <c r="C126" i="364"/>
  <c r="C672" i="364"/>
  <c r="C586" i="364"/>
  <c r="C61" i="364"/>
  <c r="C205" i="364"/>
  <c r="C1074" i="364"/>
  <c r="C1881" i="364"/>
  <c r="C805" i="364"/>
  <c r="C237" i="364"/>
  <c r="C2518" i="364"/>
  <c r="C1198" i="364"/>
  <c r="C2354" i="364"/>
  <c r="C59" i="364"/>
  <c r="C2253" i="364"/>
  <c r="C1352" i="364"/>
  <c r="C1519" i="364"/>
  <c r="C1742" i="364"/>
  <c r="C1471" i="364"/>
  <c r="C732" i="364"/>
  <c r="C982" i="364"/>
  <c r="C2717" i="364"/>
  <c r="C167" i="364"/>
  <c r="C1879" i="364"/>
  <c r="C50" i="364"/>
  <c r="C511" i="364"/>
  <c r="C1614" i="364"/>
  <c r="C851" i="364"/>
  <c r="C95" i="364"/>
  <c r="C1503" i="364"/>
  <c r="C1599" i="364"/>
  <c r="C1439" i="364"/>
  <c r="C1536" i="364"/>
  <c r="C2072" i="364"/>
  <c r="C2015" i="364"/>
  <c r="C2256" i="364"/>
  <c r="C1018" i="364"/>
  <c r="C278" i="364"/>
  <c r="C58" i="364"/>
  <c r="C2126" i="364"/>
  <c r="C2560" i="364"/>
  <c r="C2455" i="364"/>
  <c r="C840" i="364"/>
  <c r="C1549" i="364"/>
  <c r="C936" i="364"/>
  <c r="C2776" i="364"/>
  <c r="C2159" i="364"/>
  <c r="C2336" i="364"/>
  <c r="C2769" i="364"/>
  <c r="C2600" i="364"/>
  <c r="C907" i="364"/>
  <c r="C1353" i="364"/>
  <c r="C1686" i="364"/>
  <c r="C699" i="364"/>
  <c r="C249" i="364"/>
  <c r="C888" i="364"/>
  <c r="C2761" i="364"/>
  <c r="C671" i="364"/>
  <c r="C2692" i="364"/>
  <c r="C2300" i="364"/>
  <c r="C2163" i="364"/>
  <c r="C1867" i="364"/>
  <c r="C1466" i="364"/>
  <c r="C154" i="364"/>
  <c r="C520" i="364"/>
  <c r="C2358" i="364"/>
  <c r="C799" i="364"/>
  <c r="C2301" i="364"/>
  <c r="C366" i="364"/>
  <c r="C1841" i="364"/>
  <c r="C1704" i="364"/>
  <c r="C89" i="364"/>
  <c r="A1" i="336"/>
  <c r="C507" i="364"/>
  <c r="C26" i="364"/>
  <c r="C2220" i="364"/>
  <c r="C1200" i="364"/>
  <c r="C479" i="364"/>
  <c r="C2312" i="364"/>
  <c r="C242" i="364"/>
  <c r="C1054" i="364"/>
  <c r="C1096" i="364"/>
  <c r="C707" i="364"/>
  <c r="C2816" i="364"/>
  <c r="C188" i="364"/>
  <c r="C1181" i="364"/>
  <c r="C2043" i="364"/>
  <c r="C55" i="364"/>
  <c r="A1" i="362"/>
  <c r="C1156" i="364"/>
  <c r="C601" i="364"/>
  <c r="C1786" i="364"/>
  <c r="C687" i="364"/>
  <c r="C1922" i="364"/>
  <c r="C2633" i="364"/>
  <c r="C842" i="364"/>
  <c r="C2673" i="364"/>
  <c r="C552" i="364"/>
  <c r="C2432" i="364"/>
  <c r="C644" i="364"/>
  <c r="C1749" i="364"/>
  <c r="C365" i="364"/>
  <c r="C1576" i="364"/>
  <c r="C1262" i="364"/>
  <c r="C768" i="364"/>
  <c r="C1349" i="364"/>
  <c r="C2" i="364"/>
  <c r="C2415" i="364"/>
  <c r="C1812" i="364"/>
  <c r="C2053" i="364"/>
  <c r="C973" i="364"/>
  <c r="C2611" i="364"/>
  <c r="C2400" i="364"/>
  <c r="C1243" i="364"/>
  <c r="C838" i="364"/>
  <c r="A1" i="360"/>
  <c r="C391" i="364"/>
  <c r="C232" i="364"/>
  <c r="C2303" i="364"/>
  <c r="C1797" i="364"/>
  <c r="C2315" i="364"/>
  <c r="C871" i="364"/>
  <c r="C1872" i="364"/>
  <c r="C2446" i="364"/>
  <c r="C1267" i="364"/>
  <c r="C1931" i="364"/>
  <c r="C2863" i="364"/>
  <c r="C290" i="364"/>
  <c r="C856" i="364"/>
  <c r="C1030" i="364"/>
  <c r="C493" i="364"/>
  <c r="C1781" i="364"/>
  <c r="C287" i="364"/>
  <c r="C2380" i="364"/>
  <c r="C2732" i="364"/>
  <c r="C2771" i="364"/>
  <c r="C1629" i="364"/>
  <c r="C689" i="364"/>
  <c r="C1091" i="364"/>
  <c r="C2826" i="364"/>
  <c r="C171" i="364"/>
  <c r="C88" i="364"/>
  <c r="C1985" i="364"/>
  <c r="C268" i="364"/>
  <c r="C929" i="364"/>
  <c r="C1800" i="364"/>
  <c r="C992" i="364"/>
  <c r="C2166" i="364"/>
  <c r="C1157" i="364"/>
  <c r="C1815" i="364"/>
  <c r="C401" i="364"/>
  <c r="C2874" i="364"/>
  <c r="C2831" i="364"/>
  <c r="C1416" i="364"/>
  <c r="C1645" i="364"/>
  <c r="C367" i="364"/>
  <c r="C2330" i="364"/>
  <c r="C1256" i="364"/>
  <c r="C2654" i="364"/>
  <c r="C1299" i="364"/>
  <c r="C1443" i="364"/>
  <c r="C2428" i="364"/>
  <c r="C583" i="364"/>
  <c r="C472" i="364"/>
  <c r="C1640" i="364"/>
  <c r="C177" i="364"/>
  <c r="C869" i="364"/>
  <c r="C1186" i="364"/>
  <c r="C835" i="364"/>
  <c r="C1409" i="364"/>
  <c r="C2490" i="364"/>
  <c r="C2288" i="364"/>
  <c r="C2728" i="364"/>
  <c r="C2196" i="364"/>
  <c r="C1456" i="364"/>
  <c r="C173" i="364"/>
  <c r="C1607" i="364"/>
  <c r="C890" i="364"/>
  <c r="C1714" i="364"/>
  <c r="C226" i="364"/>
  <c r="C986" i="364"/>
  <c r="C2412" i="364"/>
  <c r="C2751" i="364"/>
  <c r="C2813" i="364"/>
  <c r="C2623" i="364"/>
  <c r="C930" i="364"/>
  <c r="C646" i="364"/>
  <c r="C1345" i="364"/>
  <c r="C185" i="364"/>
  <c r="C798" i="364"/>
  <c r="C427" i="364"/>
  <c r="C489" i="364"/>
  <c r="C2054" i="364"/>
  <c r="C1263" i="364"/>
  <c r="C421" i="364"/>
  <c r="C22" i="364"/>
  <c r="C906" i="364"/>
  <c r="C742" i="364"/>
  <c r="C635" i="364"/>
  <c r="C270" i="364"/>
  <c r="C2067" i="364"/>
  <c r="C30" i="364"/>
  <c r="C153" i="364"/>
  <c r="C1834" i="364"/>
  <c r="C2703" i="364"/>
  <c r="C1983" i="364"/>
  <c r="C213" i="364"/>
  <c r="C326" i="364"/>
  <c r="C1950" i="364"/>
  <c r="C1399" i="364"/>
  <c r="C820" i="364"/>
  <c r="C515" i="364"/>
  <c r="C2215" i="364"/>
  <c r="C1925" i="364"/>
  <c r="C386" i="364"/>
  <c r="C2434" i="364"/>
  <c r="A1" i="88"/>
  <c r="C245" i="364"/>
  <c r="C2458" i="364"/>
  <c r="C1394" i="364"/>
  <c r="C1715" i="364"/>
  <c r="C1679" i="364"/>
  <c r="C921" i="364"/>
  <c r="C190" i="364"/>
  <c r="C1286" i="364"/>
  <c r="C1636" i="364"/>
  <c r="C2639" i="364"/>
  <c r="C527" i="364"/>
  <c r="C1425" i="364"/>
  <c r="C434" i="364"/>
  <c r="C2016" i="364"/>
  <c r="C1423" i="364"/>
  <c r="C826" i="364"/>
  <c r="C2616" i="364"/>
  <c r="C2470" i="364"/>
  <c r="H42" i="123"/>
  <c r="C1090" i="364"/>
  <c r="C1635" i="364"/>
  <c r="C1344" i="364"/>
  <c r="C659" i="364"/>
  <c r="C1735" i="364"/>
  <c r="C94" i="364"/>
  <c r="C1940" i="364"/>
  <c r="C170" i="364"/>
  <c r="C2804" i="364"/>
  <c r="C346" i="364"/>
  <c r="C1136" i="364"/>
  <c r="C751" i="364"/>
  <c r="C2447" i="364"/>
  <c r="C568" i="364"/>
  <c r="C1817" i="364"/>
  <c r="C2056" i="364"/>
  <c r="C1699" i="364"/>
  <c r="C1038" i="364"/>
  <c r="A1" i="136"/>
  <c r="C526" i="364"/>
  <c r="C1428" i="364"/>
  <c r="C922" i="364"/>
  <c r="C1988" i="364"/>
  <c r="C1497" i="364"/>
  <c r="C2122" i="364"/>
  <c r="C1771" i="364"/>
  <c r="C485" i="364"/>
  <c r="C536" i="364"/>
  <c r="C204" i="364"/>
  <c r="C700" i="364"/>
  <c r="C82" i="364"/>
  <c r="C822" i="364"/>
  <c r="C1656" i="364"/>
  <c r="C259" i="364"/>
  <c r="C2292" i="364"/>
  <c r="C1912" i="364"/>
  <c r="C2143" i="364"/>
  <c r="C223" i="364"/>
  <c r="C2486" i="364"/>
  <c r="C96" i="364"/>
  <c r="C950" i="364"/>
  <c r="C634" i="364"/>
  <c r="C605" i="364"/>
  <c r="C1846" i="364"/>
  <c r="C753" i="364"/>
  <c r="C352" i="364"/>
  <c r="A1" i="337"/>
  <c r="B4" i="355"/>
  <c r="C4" i="355" s="1"/>
  <c r="C2708" i="364"/>
  <c r="C225" i="364"/>
  <c r="C464" i="364"/>
  <c r="C1061" i="364"/>
  <c r="C652" i="364"/>
  <c r="C2618" i="364"/>
  <c r="C1612" i="364"/>
  <c r="F93" i="248"/>
  <c r="C629" i="364"/>
  <c r="C2585" i="364"/>
  <c r="C1343" i="364"/>
  <c r="C2139" i="364"/>
  <c r="C2739" i="364"/>
  <c r="C2026" i="364"/>
  <c r="C2063" i="364"/>
  <c r="C2706" i="364"/>
  <c r="A1" i="355"/>
  <c r="C2116" i="364"/>
  <c r="C1993" i="364"/>
  <c r="C1123" i="364"/>
  <c r="C46" i="364"/>
  <c r="C1844" i="364"/>
  <c r="C390" i="364"/>
  <c r="C1436" i="364"/>
  <c r="C1952" i="364"/>
  <c r="C358" i="364"/>
  <c r="C42" i="364"/>
  <c r="C863" i="364"/>
  <c r="C1508" i="364"/>
  <c r="C1864" i="364"/>
  <c r="A1" i="315"/>
  <c r="C1870" i="364"/>
  <c r="C1368" i="364"/>
  <c r="C2444" i="364"/>
  <c r="C1793" i="364"/>
  <c r="C725" i="364"/>
  <c r="C592" i="364"/>
  <c r="C1583" i="364"/>
  <c r="C1972" i="364"/>
  <c r="C1414" i="364"/>
  <c r="C450" i="364"/>
  <c r="C1644" i="364"/>
  <c r="C948" i="364"/>
  <c r="C2671" i="364"/>
  <c r="C466" i="364"/>
  <c r="C1242" i="364"/>
  <c r="C2821" i="364"/>
  <c r="C524" i="364"/>
  <c r="C2501" i="364"/>
  <c r="C147" i="364"/>
  <c r="C670" i="364"/>
  <c r="C830" i="364"/>
  <c r="C83" i="364"/>
  <c r="C467" i="364"/>
  <c r="C1194" i="364"/>
  <c r="C2546" i="364"/>
  <c r="C307" i="364"/>
  <c r="C2294" i="364"/>
  <c r="C1315" i="364"/>
  <c r="C51" i="364"/>
  <c r="C33" i="364"/>
  <c r="C1977" i="364"/>
  <c r="C420" i="364"/>
  <c r="C2867" i="364"/>
  <c r="C1507" i="364"/>
  <c r="C639" i="364"/>
  <c r="C1657" i="364"/>
  <c r="C2567" i="364"/>
  <c r="C328" i="364"/>
  <c r="C574" i="364"/>
  <c r="C2233" i="364"/>
  <c r="C1412" i="364"/>
  <c r="C220" i="364"/>
  <c r="C2096" i="364"/>
  <c r="C1294" i="364"/>
  <c r="C1397" i="364"/>
  <c r="C451" i="364"/>
  <c r="C855" i="364"/>
  <c r="C1886" i="364"/>
  <c r="C1319" i="364"/>
  <c r="C783" i="364"/>
  <c r="C172" i="364"/>
  <c r="C2635" i="364"/>
  <c r="C1480" i="364"/>
  <c r="C2552" i="364"/>
  <c r="C1654" i="364"/>
  <c r="C618" i="364"/>
  <c r="C1968" i="364"/>
  <c r="C1832" i="364"/>
  <c r="C1839" i="364"/>
  <c r="C862" i="364"/>
  <c r="C744" i="364"/>
  <c r="C1291" i="364"/>
  <c r="C199" i="364"/>
  <c r="C2200" i="364"/>
  <c r="C2244" i="364"/>
  <c r="C945" i="364"/>
  <c r="C2329" i="364"/>
  <c r="C1127" i="364"/>
  <c r="C2259" i="364"/>
  <c r="C2276" i="364"/>
  <c r="C1336" i="364"/>
  <c r="C2581" i="364"/>
  <c r="C1902" i="364"/>
  <c r="C1371" i="364"/>
  <c r="C27" i="364"/>
  <c r="C169" i="364"/>
  <c r="C962" i="364"/>
  <c r="C1809" i="364"/>
  <c r="C1934" i="364"/>
  <c r="C227" i="364"/>
  <c r="C2795" i="364"/>
  <c r="C139" i="364"/>
  <c r="C721" i="364"/>
  <c r="C2791" i="364"/>
  <c r="C2273" i="364"/>
  <c r="H2" i="315"/>
  <c r="F2" i="136"/>
  <c r="F2" i="126"/>
  <c r="H109" i="363"/>
  <c r="F2" i="349"/>
  <c r="F2" i="316"/>
  <c r="F2" i="131"/>
  <c r="G2" i="362"/>
  <c r="F2" i="336"/>
  <c r="F2" i="342"/>
  <c r="F2" i="305"/>
  <c r="F2" i="128"/>
  <c r="F2" i="301"/>
  <c r="F2" i="146"/>
  <c r="C32" i="364"/>
  <c r="C1308" i="364"/>
  <c r="C1572" i="364"/>
  <c r="C2113" i="364"/>
  <c r="C2385" i="364"/>
  <c r="C379" i="364"/>
  <c r="C1227" i="364"/>
  <c r="C2627" i="364"/>
  <c r="C2716" i="364"/>
  <c r="C1885" i="364"/>
  <c r="C24" i="364"/>
  <c r="C990" i="364"/>
  <c r="C1558" i="364"/>
  <c r="C297" i="364"/>
  <c r="C1951" i="364"/>
  <c r="C543" i="364"/>
  <c r="C2555" i="364"/>
  <c r="C2547" i="364"/>
  <c r="C66" i="364"/>
  <c r="C1529" i="364"/>
  <c r="C387" i="364"/>
  <c r="C2241" i="364"/>
  <c r="C2644" i="364"/>
  <c r="C1855" i="364"/>
  <c r="C1190" i="364"/>
  <c r="C1616" i="364"/>
  <c r="C2702" i="364"/>
  <c r="C1979" i="364"/>
  <c r="C2806" i="364"/>
  <c r="C2450" i="364"/>
  <c r="C2409" i="364"/>
  <c r="C1237" i="364"/>
  <c r="C2338" i="364"/>
  <c r="C1783" i="364"/>
  <c r="C846" i="364"/>
  <c r="C140" i="364"/>
  <c r="C2662" i="364"/>
  <c r="C251" i="364"/>
  <c r="C1534" i="364"/>
  <c r="C971" i="364"/>
  <c r="C2477" i="364"/>
  <c r="C2589" i="364"/>
  <c r="C1933" i="364"/>
  <c r="C2046" i="364"/>
  <c r="C2236" i="364"/>
  <c r="C1159" i="364"/>
  <c r="C1982" i="364"/>
  <c r="C1150" i="364"/>
  <c r="C663" i="364"/>
  <c r="C103" i="364"/>
  <c r="C1211" i="364"/>
  <c r="C1098" i="364"/>
  <c r="C1799" i="364"/>
  <c r="C2177" i="364"/>
  <c r="C2691" i="364"/>
  <c r="C1041" i="364"/>
  <c r="C2355" i="364"/>
  <c r="C359" i="364"/>
  <c r="C2401" i="364"/>
  <c r="C2020" i="364"/>
  <c r="C1709" i="364"/>
  <c r="C530" i="364"/>
  <c r="C1764" i="364"/>
  <c r="C67" i="364"/>
  <c r="C1802" i="364"/>
  <c r="C1736" i="364"/>
  <c r="C113" i="364"/>
  <c r="C2473" i="364"/>
  <c r="C2559" i="364"/>
  <c r="C1066" i="364"/>
  <c r="C254" i="364"/>
  <c r="C1790" i="364"/>
  <c r="C1311" i="364"/>
  <c r="C1545" i="364"/>
  <c r="C1718" i="364"/>
  <c r="J34" i="255"/>
  <c r="J9" i="127" s="1"/>
  <c r="O9" i="137" s="1"/>
  <c r="H31" i="253"/>
  <c r="I110" i="248"/>
  <c r="C123" i="248"/>
  <c r="D17" i="86"/>
  <c r="C103" i="248"/>
  <c r="E113" i="248"/>
  <c r="F54" i="248"/>
  <c r="J115" i="248"/>
  <c r="I129" i="248"/>
  <c r="I123" i="248"/>
  <c r="B140" i="100"/>
  <c r="A1" i="140" s="1"/>
  <c r="J103" i="248"/>
  <c r="D115" i="248"/>
  <c r="I10" i="253"/>
  <c r="J130" i="248"/>
  <c r="I2" i="342"/>
  <c r="J57" i="248"/>
  <c r="H103" i="248"/>
  <c r="E82" i="248"/>
  <c r="H74" i="126"/>
  <c r="I74" i="126"/>
  <c r="E74" i="126"/>
  <c r="C74" i="126"/>
  <c r="K37" i="246"/>
  <c r="K41" i="246" s="1"/>
  <c r="C19" i="294"/>
  <c r="D60" i="316"/>
  <c r="O37" i="246"/>
  <c r="O41" i="246" s="1"/>
  <c r="C28" i="86"/>
  <c r="E107" i="123" s="1"/>
  <c r="O2" i="256"/>
  <c r="J2" i="129"/>
  <c r="B112" i="100"/>
  <c r="A1" i="246" s="1"/>
  <c r="K3" i="142"/>
  <c r="G113" i="248"/>
  <c r="K107" i="248"/>
  <c r="B138" i="100"/>
  <c r="A1" i="299" s="1"/>
  <c r="L3" i="128"/>
  <c r="L3" i="305"/>
  <c r="F129" i="248"/>
  <c r="E108" i="248"/>
  <c r="G82" i="248"/>
  <c r="J123" i="248"/>
  <c r="J3" i="361"/>
  <c r="J36" i="131"/>
  <c r="I44" i="86" s="1"/>
  <c r="J10" i="253"/>
  <c r="D102" i="248"/>
  <c r="C130" i="248"/>
  <c r="K21" i="255"/>
  <c r="K7" i="127" s="1"/>
  <c r="L47" i="123" s="1"/>
  <c r="F126" i="248"/>
  <c r="M248" i="363"/>
  <c r="L3" i="237"/>
  <c r="H60" i="316"/>
  <c r="K3" i="358"/>
  <c r="I89" i="248"/>
  <c r="C89" i="248"/>
  <c r="I82" i="248"/>
  <c r="J2" i="255"/>
  <c r="E2" i="337"/>
  <c r="E2" i="343"/>
  <c r="G201" i="363"/>
  <c r="D54" i="248"/>
  <c r="I126" i="248"/>
  <c r="F2" i="233"/>
  <c r="E2" i="128"/>
  <c r="I2" i="367"/>
  <c r="E2" i="134"/>
  <c r="F2" i="249"/>
  <c r="F2" i="248"/>
  <c r="G247" i="363"/>
  <c r="F2" i="350"/>
  <c r="F2" i="253"/>
  <c r="I2" i="146"/>
  <c r="A327" i="342"/>
  <c r="A37" i="233" s="1"/>
  <c r="N3" i="256"/>
  <c r="F2" i="255"/>
  <c r="K63" i="363"/>
  <c r="H201" i="363"/>
  <c r="J2" i="126"/>
  <c r="F2" i="343"/>
  <c r="J37" i="246"/>
  <c r="J41" i="246" s="1"/>
  <c r="I340" i="343"/>
  <c r="I341" i="343" s="1"/>
  <c r="C340" i="343"/>
  <c r="F340" i="343"/>
  <c r="O25" i="300"/>
  <c r="J63" i="126"/>
  <c r="I27" i="86" s="1"/>
  <c r="K112" i="123" s="1"/>
  <c r="L63" i="126"/>
  <c r="L85" i="126" s="1"/>
  <c r="F63" i="126"/>
  <c r="E27" i="86" s="1"/>
  <c r="G112" i="123" s="1"/>
  <c r="I63" i="126"/>
  <c r="H27" i="86" s="1"/>
  <c r="J112" i="123" s="1"/>
  <c r="K60" i="316"/>
  <c r="J28" i="86"/>
  <c r="L107" i="123" s="1"/>
  <c r="G60" i="316"/>
  <c r="B32" i="86"/>
  <c r="D108" i="123" s="1"/>
  <c r="F38" i="133"/>
  <c r="F196" i="351"/>
  <c r="H34" i="255"/>
  <c r="H9" i="127" s="1"/>
  <c r="I49" i="123" s="1"/>
  <c r="D220" i="351"/>
  <c r="I165" i="248"/>
  <c r="I53" i="86" s="1"/>
  <c r="H5" i="351"/>
  <c r="G5" i="351"/>
  <c r="C47" i="131"/>
  <c r="C50" i="131" s="1"/>
  <c r="D113" i="248"/>
  <c r="J186" i="248"/>
  <c r="E2" i="86"/>
  <c r="K74" i="351"/>
  <c r="H38" i="133"/>
  <c r="C15" i="294"/>
  <c r="C2637" i="364"/>
  <c r="C2337" i="364"/>
  <c r="C498" i="364"/>
  <c r="C506" i="364"/>
  <c r="C1531" i="364"/>
  <c r="C2433" i="364"/>
  <c r="C1015" i="364"/>
  <c r="C92" i="364"/>
  <c r="C1716" i="364"/>
  <c r="C717" i="364"/>
  <c r="C1664" i="364"/>
  <c r="C2402" i="364"/>
  <c r="C2171" i="364"/>
  <c r="C763" i="364"/>
  <c r="C1791" i="364"/>
  <c r="C513" i="364"/>
  <c r="C1683" i="364"/>
  <c r="C664" i="364"/>
  <c r="C158" i="364"/>
  <c r="C1695" i="364"/>
  <c r="C1976" i="364"/>
  <c r="C2835" i="364"/>
  <c r="C2042" i="364"/>
  <c r="K112" i="248"/>
  <c r="D129" i="248"/>
  <c r="H123" i="248"/>
  <c r="C147" i="351"/>
  <c r="E165" i="248"/>
  <c r="D53" i="86" s="1"/>
  <c r="J2" i="363"/>
  <c r="D2" i="129"/>
  <c r="C733" i="364"/>
  <c r="C13" i="364"/>
  <c r="C653" i="364"/>
  <c r="C458" i="364"/>
  <c r="C556" i="364"/>
  <c r="C1617" i="364"/>
  <c r="C2232" i="364"/>
  <c r="C1226" i="364"/>
  <c r="C2090" i="364"/>
  <c r="C2055" i="364"/>
  <c r="C953" i="364"/>
  <c r="C2277" i="364"/>
  <c r="C1613" i="364"/>
  <c r="C2028" i="364"/>
  <c r="C1422" i="364"/>
  <c r="C645" i="364"/>
  <c r="C2158" i="364"/>
  <c r="C1365" i="364"/>
  <c r="C2674" i="364"/>
  <c r="C2127" i="364"/>
  <c r="C2414" i="364"/>
  <c r="C2004" i="364"/>
  <c r="C1915" i="364"/>
  <c r="C701" i="364"/>
  <c r="K189" i="248"/>
  <c r="F103" i="248"/>
  <c r="D29" i="248"/>
  <c r="J131" i="248"/>
  <c r="I29" i="248"/>
  <c r="H102" i="248"/>
  <c r="G220" i="351"/>
  <c r="F155" i="363"/>
  <c r="E29" i="248"/>
  <c r="G15" i="133"/>
  <c r="E9" i="294"/>
  <c r="I31" i="253"/>
  <c r="K35" i="253"/>
  <c r="K64" i="86" s="1"/>
  <c r="D15" i="248"/>
  <c r="J119" i="248"/>
  <c r="D2" i="233"/>
  <c r="H28" i="133"/>
  <c r="J14" i="253"/>
  <c r="J62" i="86" s="1"/>
  <c r="D22" i="253"/>
  <c r="K109" i="248"/>
  <c r="F15" i="248"/>
  <c r="K128" i="248"/>
  <c r="C36" i="133"/>
  <c r="C32" i="133" s="1"/>
  <c r="C186" i="248"/>
  <c r="C1265" i="364"/>
  <c r="C104" i="364"/>
  <c r="A1" i="147"/>
  <c r="C2539" i="364"/>
  <c r="C1540" i="364"/>
  <c r="C2101" i="364"/>
  <c r="C628" i="364"/>
  <c r="C372" i="364"/>
  <c r="C2645" i="364"/>
  <c r="C2362" i="364"/>
  <c r="C2437" i="364"/>
  <c r="C288" i="364"/>
  <c r="C2453" i="364"/>
  <c r="C2760" i="364"/>
  <c r="C665" i="364"/>
  <c r="C1001" i="364"/>
  <c r="C2069" i="364"/>
  <c r="C2764" i="364"/>
  <c r="C1669" i="364"/>
  <c r="C2634" i="364"/>
  <c r="C2513" i="364"/>
  <c r="C660" i="364"/>
  <c r="C839" i="364"/>
  <c r="C1464" i="364"/>
  <c r="C813" i="364"/>
  <c r="C772" i="364"/>
  <c r="K103" i="248"/>
  <c r="I108" i="248"/>
  <c r="C129" i="248"/>
  <c r="K129" i="248"/>
  <c r="J82" i="248"/>
  <c r="J56" i="253"/>
  <c r="E50" i="248"/>
  <c r="F35" i="253"/>
  <c r="E64" i="86" s="1"/>
  <c r="E2" i="362"/>
  <c r="D109" i="248"/>
  <c r="G19" i="133"/>
  <c r="D2" i="255"/>
  <c r="J49" i="88"/>
  <c r="G130" i="248"/>
  <c r="F109" i="363"/>
  <c r="I56" i="253"/>
  <c r="Q25" i="300"/>
  <c r="D2" i="127"/>
  <c r="E2" i="123"/>
  <c r="I50" i="248"/>
  <c r="E122" i="248"/>
  <c r="J189" i="248"/>
  <c r="F2" i="315"/>
  <c r="C1789" i="364"/>
  <c r="C669" i="364"/>
  <c r="C2331" i="364"/>
  <c r="C1634" i="364"/>
  <c r="C889" i="364"/>
  <c r="C1848" i="364"/>
  <c r="C2516" i="364"/>
  <c r="C2503" i="364"/>
  <c r="C2187" i="364"/>
  <c r="C1798" i="364"/>
  <c r="C408" i="364"/>
  <c r="C238" i="364"/>
  <c r="C2642" i="364"/>
  <c r="C2783" i="364"/>
  <c r="C991" i="364"/>
  <c r="C795" i="364"/>
  <c r="C2864" i="364"/>
  <c r="C1120" i="364"/>
  <c r="C2620" i="364"/>
  <c r="C803" i="364"/>
  <c r="C1649" i="364"/>
  <c r="C1673" i="364"/>
  <c r="C2398" i="364"/>
  <c r="C285" i="364"/>
  <c r="D47" i="131"/>
  <c r="D50" i="131" s="1"/>
  <c r="C86" i="248"/>
  <c r="H127" i="248"/>
  <c r="C2421" i="364"/>
  <c r="C727" i="364"/>
  <c r="C603" i="364"/>
  <c r="C2346" i="364"/>
  <c r="C1330" i="364"/>
  <c r="C1630" i="364"/>
  <c r="C2305" i="364"/>
  <c r="C2128" i="364"/>
  <c r="C2181" i="364"/>
  <c r="C263" i="364"/>
  <c r="C1935" i="364"/>
  <c r="C406" i="364"/>
  <c r="C486" i="364"/>
  <c r="C880" i="364"/>
  <c r="C1207" i="364"/>
  <c r="C2396" i="364"/>
  <c r="C1655" i="364"/>
  <c r="C1638" i="364"/>
  <c r="C277" i="364"/>
  <c r="C155" i="364"/>
  <c r="C879" i="364"/>
  <c r="C2572" i="364"/>
  <c r="C2493" i="364"/>
  <c r="C1204" i="364"/>
  <c r="C2602" i="364"/>
  <c r="E54" i="248"/>
  <c r="C1930" i="364"/>
  <c r="C2796" i="364"/>
  <c r="C2856" i="364"/>
  <c r="C1116" i="364"/>
  <c r="C1637" i="364"/>
  <c r="C1573" i="364"/>
  <c r="C71" i="364"/>
  <c r="C2265" i="364"/>
  <c r="C2183" i="364"/>
  <c r="C2324" i="364"/>
  <c r="C62" i="364"/>
  <c r="C68" i="364"/>
  <c r="C588" i="364"/>
  <c r="C2719" i="364"/>
  <c r="C2584" i="364"/>
  <c r="C1700" i="364"/>
  <c r="C2699" i="364"/>
  <c r="C2533" i="364"/>
  <c r="C41" i="364"/>
  <c r="C607" i="364"/>
  <c r="C1427" i="364"/>
  <c r="C2827" i="364"/>
  <c r="C447" i="364"/>
  <c r="C2799" i="364"/>
  <c r="C22" i="248"/>
  <c r="F108" i="248"/>
  <c r="C128" i="248"/>
  <c r="G106" i="248"/>
  <c r="F22" i="248"/>
  <c r="H104" i="248"/>
  <c r="E117" i="248"/>
  <c r="E131" i="248"/>
  <c r="D116" i="248"/>
  <c r="D2" i="349"/>
  <c r="F127" i="351"/>
  <c r="G26" i="253"/>
  <c r="F63" i="86" s="1"/>
  <c r="C2747" i="364"/>
  <c r="C2182" i="364"/>
  <c r="C533" i="364"/>
  <c r="C1842" i="364"/>
  <c r="C409" i="364"/>
  <c r="C187" i="364"/>
  <c r="C807" i="364"/>
  <c r="C2729" i="364"/>
  <c r="C2484" i="364"/>
  <c r="C1552" i="364"/>
  <c r="C216" i="364"/>
  <c r="C704" i="364"/>
  <c r="C2511" i="364"/>
  <c r="C2697" i="364"/>
  <c r="C2302" i="364"/>
  <c r="C1900" i="364"/>
  <c r="C407" i="364"/>
  <c r="C403" i="364"/>
  <c r="C1734" i="364"/>
  <c r="C2219" i="364"/>
  <c r="C1434" i="364"/>
  <c r="C1429" i="364"/>
  <c r="A1" i="335"/>
  <c r="N2" i="343"/>
  <c r="B108" i="100"/>
  <c r="A1" i="248" s="1"/>
  <c r="K42" i="123"/>
  <c r="D2" i="249"/>
  <c r="C2002" i="364"/>
  <c r="C1147" i="364"/>
  <c r="C193" i="364"/>
  <c r="C2199" i="364"/>
  <c r="C1514" i="364"/>
  <c r="C1647" i="364"/>
  <c r="C2377" i="364"/>
  <c r="C1811" i="364"/>
  <c r="C1034" i="364"/>
  <c r="C2756" i="364"/>
  <c r="C774" i="364"/>
  <c r="C847" i="364"/>
  <c r="C2157" i="364"/>
  <c r="C901" i="364"/>
  <c r="C1560" i="364"/>
  <c r="C1981" i="364"/>
  <c r="C722" i="364"/>
  <c r="C2422" i="364"/>
  <c r="C1215" i="364"/>
  <c r="C1765" i="364"/>
  <c r="C2460" i="364"/>
  <c r="C1779" i="364"/>
  <c r="C1532" i="364"/>
  <c r="D186" i="248"/>
  <c r="F189" i="248"/>
  <c r="G131" i="248"/>
  <c r="D2" i="131"/>
  <c r="C1663" i="364"/>
  <c r="C1810" i="364"/>
  <c r="C2226" i="364"/>
  <c r="C958" i="364"/>
  <c r="C1411" i="364"/>
  <c r="I112" i="248"/>
  <c r="D31" i="253"/>
  <c r="C218" i="364"/>
  <c r="C1571" i="364"/>
  <c r="C2834" i="364"/>
  <c r="C2109" i="364"/>
  <c r="C1281" i="364"/>
  <c r="C90" i="364"/>
  <c r="C2548" i="364"/>
  <c r="C2678" i="364"/>
  <c r="C431" i="364"/>
  <c r="C715" i="364"/>
  <c r="C1971" i="364"/>
  <c r="C31" i="364"/>
  <c r="C1453" i="364"/>
  <c r="C2876" i="364"/>
  <c r="C1132" i="364"/>
  <c r="C502" i="364"/>
  <c r="C1285" i="364"/>
  <c r="C410" i="364"/>
  <c r="C100" i="364"/>
  <c r="C2652" i="364"/>
  <c r="C1278" i="364"/>
  <c r="C2526" i="364"/>
  <c r="C1389" i="364"/>
  <c r="C1029" i="364"/>
  <c r="J108" i="248"/>
  <c r="I86" i="248"/>
  <c r="C93" i="248"/>
  <c r="H131" i="248"/>
  <c r="I147" i="351"/>
  <c r="C596" i="364"/>
  <c r="C2787" i="364"/>
  <c r="C1027" i="364"/>
  <c r="C2011" i="364"/>
  <c r="C2574" i="364"/>
  <c r="C2334" i="364"/>
  <c r="C319" i="364"/>
  <c r="C988" i="364"/>
  <c r="C1024" i="364"/>
  <c r="C1012" i="364"/>
  <c r="C1133" i="364"/>
  <c r="C1107" i="364"/>
  <c r="C411" i="364"/>
  <c r="C1158" i="364"/>
  <c r="C2586" i="364"/>
  <c r="C2057" i="364"/>
  <c r="C632" i="364"/>
  <c r="C1177" i="364"/>
  <c r="C1648" i="364"/>
  <c r="C230" i="364"/>
  <c r="C2388" i="364"/>
  <c r="C1085" i="364"/>
  <c r="C2392" i="364"/>
  <c r="C1292" i="364"/>
  <c r="E102" i="248"/>
  <c r="J86" i="248"/>
  <c r="B106" i="100"/>
  <c r="A1" i="131" s="1"/>
  <c r="D38" i="133"/>
  <c r="J127" i="351"/>
  <c r="J74" i="351"/>
  <c r="K48" i="123"/>
  <c r="L40" i="123" s="1"/>
  <c r="I92" i="123"/>
  <c r="F74" i="351"/>
  <c r="J165" i="248"/>
  <c r="J53" i="86" s="1"/>
  <c r="E25" i="351"/>
  <c r="F5" i="351"/>
  <c r="H45" i="123"/>
  <c r="H32" i="133"/>
  <c r="E47" i="131"/>
  <c r="E50" i="131" s="1"/>
  <c r="G147" i="351"/>
  <c r="D165" i="248"/>
  <c r="C53" i="86" s="1"/>
  <c r="E38" i="133"/>
  <c r="C220" i="351"/>
  <c r="H127" i="351"/>
  <c r="D127" i="351"/>
  <c r="F147" i="351"/>
  <c r="Q37" i="246"/>
  <c r="Q41" i="246" s="1"/>
  <c r="K147" i="351"/>
  <c r="E196" i="351"/>
  <c r="H147" i="351"/>
  <c r="G47" i="131"/>
  <c r="G50" i="131" s="1"/>
  <c r="C134" i="248"/>
  <c r="K134" i="248"/>
  <c r="F134" i="248"/>
  <c r="G38" i="131"/>
  <c r="G40" i="131" s="1"/>
  <c r="H5" i="123" s="1"/>
  <c r="I47" i="131"/>
  <c r="I50" i="131" s="1"/>
  <c r="H38" i="131"/>
  <c r="H40" i="131" s="1"/>
  <c r="I5" i="123" s="1"/>
  <c r="C38" i="131"/>
  <c r="C40" i="131" s="1"/>
  <c r="B45" i="86" s="1"/>
  <c r="U340" i="342"/>
  <c r="H170" i="342"/>
  <c r="E170" i="342"/>
  <c r="I170" i="342"/>
  <c r="D338" i="342"/>
  <c r="L340" i="342"/>
  <c r="K220" i="351"/>
  <c r="D43" i="133"/>
  <c r="D42" i="133" s="1"/>
  <c r="F220" i="351"/>
  <c r="G43" i="133"/>
  <c r="G42" i="133" s="1"/>
  <c r="I220" i="351"/>
  <c r="J220" i="351"/>
  <c r="G38" i="133"/>
  <c r="H196" i="351"/>
  <c r="D196" i="351"/>
  <c r="K196" i="351"/>
  <c r="C196" i="351"/>
  <c r="E147" i="351"/>
  <c r="G32" i="133"/>
  <c r="G127" i="351"/>
  <c r="I127" i="351"/>
  <c r="C127" i="351"/>
  <c r="E127" i="351"/>
  <c r="J19" i="133"/>
  <c r="P19" i="298" s="1"/>
  <c r="H19" i="133"/>
  <c r="F98" i="351"/>
  <c r="K98" i="351"/>
  <c r="D19" i="133"/>
  <c r="G98" i="351"/>
  <c r="J98" i="351"/>
  <c r="H98" i="351"/>
  <c r="I25" i="351"/>
  <c r="K25" i="351"/>
  <c r="H25" i="351"/>
  <c r="K9" i="133"/>
  <c r="Q9" i="298" s="1"/>
  <c r="C25" i="351"/>
  <c r="G25" i="351"/>
  <c r="G9" i="133"/>
  <c r="D5" i="133"/>
  <c r="D5" i="351"/>
  <c r="E5" i="351"/>
  <c r="R35" i="246"/>
  <c r="N37" i="246"/>
  <c r="N41" i="246" s="1"/>
  <c r="D27" i="255"/>
  <c r="D8" i="127" s="1"/>
  <c r="E48" i="123" s="1"/>
  <c r="J97" i="123"/>
  <c r="I9" i="133"/>
  <c r="O9" i="298" s="1"/>
  <c r="K123" i="248"/>
  <c r="H115" i="248"/>
  <c r="J48" i="131"/>
  <c r="J109" i="248"/>
  <c r="G107" i="123"/>
  <c r="E32" i="86"/>
  <c r="G108" i="123" s="1"/>
  <c r="F123" i="248"/>
  <c r="F61" i="248"/>
  <c r="G123" i="248"/>
  <c r="K93" i="248"/>
  <c r="D32" i="133"/>
  <c r="H10" i="253"/>
  <c r="E193" i="248"/>
  <c r="G112" i="248"/>
  <c r="G18" i="248"/>
  <c r="D39" i="126"/>
  <c r="J22" i="253"/>
  <c r="J89" i="248"/>
  <c r="E112" i="248"/>
  <c r="D106" i="248"/>
  <c r="D15" i="255"/>
  <c r="D6" i="127" s="1"/>
  <c r="E46" i="123" s="1"/>
  <c r="K15" i="248"/>
  <c r="G107" i="248"/>
  <c r="D15" i="133"/>
  <c r="D26" i="253"/>
  <c r="C63" i="86" s="1"/>
  <c r="Q37" i="298"/>
  <c r="K32" i="133"/>
  <c r="Q32" i="298" s="1"/>
  <c r="C58" i="253"/>
  <c r="A8" i="126"/>
  <c r="A197" i="343"/>
  <c r="K120" i="248"/>
  <c r="O44" i="298"/>
  <c r="I42" i="133"/>
  <c r="O42" i="298" s="1"/>
  <c r="F42" i="133"/>
  <c r="D120" i="248"/>
  <c r="F130" i="248"/>
  <c r="I35" i="253"/>
  <c r="H64" i="86" s="1"/>
  <c r="J22" i="248"/>
  <c r="F127" i="248"/>
  <c r="D108" i="248"/>
  <c r="K31" i="253"/>
  <c r="K36" i="253" s="1"/>
  <c r="G50" i="248"/>
  <c r="A230" i="343"/>
  <c r="F14" i="253"/>
  <c r="E62" i="86" s="1"/>
  <c r="E28" i="133"/>
  <c r="H14" i="253"/>
  <c r="G62" i="86" s="1"/>
  <c r="K14" i="253"/>
  <c r="K62" i="86" s="1"/>
  <c r="H9" i="133"/>
  <c r="P33" i="140"/>
  <c r="D15" i="294"/>
  <c r="I109" i="248"/>
  <c r="C116" i="248"/>
  <c r="E47" i="248"/>
  <c r="G31" i="253"/>
  <c r="C2746" i="364"/>
  <c r="C2758" i="364"/>
  <c r="C697" i="364"/>
  <c r="C1440" i="364"/>
  <c r="C2155" i="364"/>
  <c r="C2142" i="364"/>
  <c r="C1546" i="364"/>
  <c r="C788" i="364"/>
  <c r="C1684" i="364"/>
  <c r="C1808" i="364"/>
  <c r="C128" i="364"/>
  <c r="C6" i="364"/>
  <c r="C1057" i="364"/>
  <c r="C2731" i="364"/>
  <c r="C2557" i="364"/>
  <c r="C900" i="364"/>
  <c r="C2488" i="364"/>
  <c r="C370" i="364"/>
  <c r="C2744" i="364"/>
  <c r="C883" i="364"/>
  <c r="C1413" i="364"/>
  <c r="C2112" i="364"/>
  <c r="C474" i="364"/>
  <c r="C815" i="364"/>
  <c r="C63" i="364"/>
  <c r="C569" i="364"/>
  <c r="C729" i="364"/>
  <c r="C389" i="364"/>
  <c r="C615" i="364"/>
  <c r="C2121" i="364"/>
  <c r="C2843" i="364"/>
  <c r="C341" i="364"/>
  <c r="C860" i="364"/>
  <c r="C2672" i="364"/>
  <c r="C2640" i="364"/>
  <c r="C1383" i="364"/>
  <c r="C2198" i="364"/>
  <c r="C371" i="364"/>
  <c r="C800" i="364"/>
  <c r="C1176" i="364"/>
  <c r="C1608" i="364"/>
  <c r="C1621" i="364"/>
  <c r="C2506" i="364"/>
  <c r="C1392" i="364"/>
  <c r="C2130" i="364"/>
  <c r="C777" i="364"/>
  <c r="C2666" i="364"/>
  <c r="C2651" i="364"/>
  <c r="C978" i="364"/>
  <c r="C1092" i="364"/>
  <c r="C2596" i="364"/>
  <c r="C2423" i="364"/>
  <c r="C1284" i="364"/>
  <c r="C1702" i="364"/>
  <c r="C2749" i="364"/>
  <c r="C462" i="364"/>
  <c r="C339" i="364"/>
  <c r="C473" i="364"/>
  <c r="C2204" i="364"/>
  <c r="C1705" i="364"/>
  <c r="C706" i="364"/>
  <c r="C2714" i="364"/>
  <c r="C385" i="364"/>
  <c r="C1588" i="364"/>
  <c r="C400" i="364"/>
  <c r="C1605" i="364"/>
  <c r="C1805" i="364"/>
  <c r="C376" i="364"/>
  <c r="C1907" i="364"/>
  <c r="C997" i="364"/>
  <c r="C946" i="364"/>
  <c r="C1166" i="364"/>
  <c r="C1457" i="364"/>
  <c r="C757" i="364"/>
  <c r="C1712" i="364"/>
  <c r="C1680" i="364"/>
  <c r="C1328" i="364"/>
  <c r="C398" i="364"/>
  <c r="C2629" i="364"/>
  <c r="C1106" i="364"/>
  <c r="C382" i="364"/>
  <c r="C2189" i="364"/>
  <c r="C2514" i="364"/>
  <c r="C2194" i="364"/>
  <c r="C2781" i="364"/>
  <c r="C935" i="364"/>
  <c r="C2149" i="364"/>
  <c r="C78" i="364"/>
  <c r="C2417" i="364"/>
  <c r="C630" i="364"/>
  <c r="C439" i="364"/>
  <c r="C481" i="364"/>
  <c r="C909" i="364"/>
  <c r="C1252" i="364"/>
  <c r="C2406" i="364"/>
  <c r="C2009" i="364"/>
  <c r="C2249" i="364"/>
  <c r="C1892" i="364"/>
  <c r="C1153" i="364"/>
  <c r="C1224" i="364"/>
  <c r="C69" i="364"/>
  <c r="C195" i="364"/>
  <c r="C1681" i="364"/>
  <c r="C404" i="364"/>
  <c r="C2478" i="364"/>
  <c r="C430" i="364"/>
  <c r="C932" i="364"/>
  <c r="C866" i="364"/>
  <c r="C210" i="364"/>
  <c r="C2543" i="364"/>
  <c r="C1959" i="364"/>
  <c r="C1611" i="364"/>
  <c r="C1991" i="364"/>
  <c r="C1130" i="364"/>
  <c r="C857" i="364"/>
  <c r="C694" i="364"/>
  <c r="C2491" i="364"/>
  <c r="C711" i="364"/>
  <c r="C2007" i="364"/>
  <c r="C1385" i="364"/>
  <c r="C1448" i="364"/>
  <c r="C2825" i="364"/>
  <c r="C1290" i="364"/>
  <c r="C2704" i="364"/>
  <c r="C1103" i="364"/>
  <c r="C1287" i="364"/>
  <c r="C678" i="364"/>
  <c r="C1044" i="364"/>
  <c r="C2225" i="364"/>
  <c r="C2383" i="364"/>
  <c r="C739" i="364"/>
  <c r="C633" i="364"/>
  <c r="C2318" i="364"/>
  <c r="C2765" i="364"/>
  <c r="C2352" i="364"/>
  <c r="C2286" i="364"/>
  <c r="C2788" i="364"/>
  <c r="C2461" i="364"/>
  <c r="C1467" i="364"/>
  <c r="C2845" i="364"/>
  <c r="C2271" i="364"/>
  <c r="C1861" i="364"/>
  <c r="C1201" i="364"/>
  <c r="C545" i="364"/>
  <c r="C832" i="364"/>
  <c r="C2184" i="364"/>
  <c r="C924" i="364"/>
  <c r="C614" i="364"/>
  <c r="C2307" i="364"/>
  <c r="C440" i="364"/>
  <c r="C577" i="364"/>
  <c r="C1515" i="364"/>
  <c r="C121" i="364"/>
  <c r="C2243" i="364"/>
  <c r="C1974" i="364"/>
  <c r="C175" i="364"/>
  <c r="C985" i="364"/>
  <c r="C306" i="364"/>
  <c r="C1231" i="364"/>
  <c r="C976" i="364"/>
  <c r="C1321" i="364"/>
  <c r="C875" i="364"/>
  <c r="C1804" i="364"/>
  <c r="C2658" i="364"/>
  <c r="C904" i="364"/>
  <c r="C1717" i="364"/>
  <c r="C770" i="364"/>
  <c r="C2228" i="364"/>
  <c r="C2304" i="364"/>
  <c r="C1920" i="364"/>
  <c r="C1275" i="364"/>
  <c r="C1682" i="364"/>
  <c r="C1937" i="364"/>
  <c r="C775" i="364"/>
  <c r="C2577" i="364"/>
  <c r="C910" i="364"/>
  <c r="C802" i="364"/>
  <c r="C562" i="364"/>
  <c r="C1665" i="364"/>
  <c r="C1883" i="364"/>
  <c r="C1004" i="364"/>
  <c r="C1247" i="364"/>
  <c r="C1078" i="364"/>
  <c r="C765" i="364"/>
  <c r="C1403" i="364"/>
  <c r="C253" i="364"/>
  <c r="C2018" i="364"/>
  <c r="C1076" i="364"/>
  <c r="C1293" i="364"/>
  <c r="C2723" i="364"/>
  <c r="C2268" i="364"/>
  <c r="C1447" i="364"/>
  <c r="C1151" i="364"/>
  <c r="C2580" i="364"/>
  <c r="C2238" i="364"/>
  <c r="A1" i="361"/>
  <c r="C2482" i="364"/>
  <c r="C490" i="364"/>
  <c r="C766" i="364"/>
  <c r="C1577" i="364"/>
  <c r="C758" i="364"/>
  <c r="C560" i="364"/>
  <c r="C1121" i="364"/>
  <c r="C1863" i="364"/>
  <c r="C81" i="364"/>
  <c r="C1032" i="364"/>
  <c r="C1866" i="364"/>
  <c r="C540" i="364"/>
  <c r="C118" i="364"/>
  <c r="C2794" i="364"/>
  <c r="C1884" i="364"/>
  <c r="C1672" i="364"/>
  <c r="C293" i="364"/>
  <c r="C429" i="364"/>
  <c r="C49" i="364"/>
  <c r="C416" i="364"/>
  <c r="C2429" i="364"/>
  <c r="C796" i="364"/>
  <c r="C1376" i="364"/>
  <c r="C2595" i="364"/>
  <c r="C864" i="364"/>
  <c r="C761" i="364"/>
  <c r="C1003" i="364"/>
  <c r="C2443" i="364"/>
  <c r="C2701" i="364"/>
  <c r="C1929" i="364"/>
  <c r="C1986" i="364"/>
  <c r="C681" i="364"/>
  <c r="C1624" i="364"/>
  <c r="A1" i="141"/>
  <c r="C2578" i="364"/>
  <c r="C1897" i="364"/>
  <c r="C1114" i="364"/>
  <c r="C1958" i="364"/>
  <c r="C122" i="364"/>
  <c r="C2386" i="364"/>
  <c r="C2372" i="364"/>
  <c r="C638" i="364"/>
  <c r="C1566" i="364"/>
  <c r="C2223" i="364"/>
  <c r="C794" i="364"/>
  <c r="C2012" i="364"/>
  <c r="C967" i="364"/>
  <c r="C1984" i="364"/>
  <c r="C215" i="364"/>
  <c r="C806" i="364"/>
  <c r="C518" i="364"/>
  <c r="C1005" i="364"/>
  <c r="C1921" i="364"/>
  <c r="C726" i="364"/>
  <c r="C2242" i="364"/>
  <c r="C2582" i="364"/>
  <c r="C119" i="364"/>
  <c r="C1183" i="364"/>
  <c r="C817" i="364"/>
  <c r="A1" i="255"/>
  <c r="C938" i="364"/>
  <c r="C2341" i="364"/>
  <c r="C2775" i="364"/>
  <c r="C2530" i="364"/>
  <c r="C443" i="364"/>
  <c r="C1740" i="364"/>
  <c r="C2222" i="364"/>
  <c r="C1490" i="364"/>
  <c r="C2660" i="364"/>
  <c r="C1050" i="364"/>
  <c r="C1213" i="364"/>
  <c r="C993" i="364"/>
  <c r="C848" i="364"/>
  <c r="C905" i="364"/>
  <c r="C2842" i="364"/>
  <c r="C523" i="364"/>
  <c r="C947" i="364"/>
  <c r="C2091" i="364"/>
  <c r="C2279" i="364"/>
  <c r="C2630" i="364"/>
  <c r="C782" i="364"/>
  <c r="C1694" i="364"/>
  <c r="C2205" i="364"/>
  <c r="C2472" i="364"/>
  <c r="C1196" i="364"/>
  <c r="C756" i="364"/>
  <c r="C1052" i="364"/>
  <c r="C217" i="364"/>
  <c r="C1473" i="364"/>
  <c r="C1904" i="364"/>
  <c r="C1745" i="364"/>
  <c r="C666" i="364"/>
  <c r="C438" i="364"/>
  <c r="C23" i="364"/>
  <c r="C2576" i="364"/>
  <c r="C1474" i="364"/>
  <c r="C234" i="364"/>
  <c r="C1366" i="364"/>
  <c r="C2696" i="364"/>
  <c r="C1631" i="364"/>
  <c r="C1369" i="364"/>
  <c r="C2357" i="364"/>
  <c r="C740" i="364"/>
  <c r="C1668" i="364"/>
  <c r="C454" i="364"/>
  <c r="C2230" i="364"/>
  <c r="C2862" i="364"/>
  <c r="C1255" i="364"/>
  <c r="C1031" i="364"/>
  <c r="C413" i="364"/>
  <c r="C2217" i="364"/>
  <c r="C477" i="364"/>
  <c r="C2411" i="364"/>
  <c r="C940" i="364"/>
  <c r="C960" i="364"/>
  <c r="C546" i="364"/>
  <c r="C1479" i="364"/>
  <c r="C2382" i="364"/>
  <c r="C1225" i="364"/>
  <c r="C1516" i="364"/>
  <c r="C504" i="364"/>
  <c r="C619" i="364"/>
  <c r="C19" i="364"/>
  <c r="C1039" i="364"/>
  <c r="C1780" i="364"/>
  <c r="C1643" i="364"/>
  <c r="C557" i="364"/>
  <c r="C1995" i="364"/>
  <c r="C2316" i="364"/>
  <c r="C2114" i="364"/>
  <c r="C2078" i="364"/>
  <c r="C587" i="364"/>
  <c r="C928" i="364"/>
  <c r="C517" i="364"/>
  <c r="C2262" i="364"/>
  <c r="C455" i="364"/>
  <c r="C2766" i="364"/>
  <c r="C1354" i="364"/>
  <c r="C2695" i="364"/>
  <c r="C2274" i="364"/>
  <c r="C2021" i="364"/>
  <c r="C1792" i="364"/>
  <c r="C943" i="364"/>
  <c r="C683" i="364"/>
  <c r="C2608" i="364"/>
  <c r="C1184" i="364"/>
  <c r="C926" i="364"/>
  <c r="C2452" i="364"/>
  <c r="C1059" i="364"/>
  <c r="C2197" i="364"/>
  <c r="C1860" i="364"/>
  <c r="C1380" i="364"/>
  <c r="C1216" i="364"/>
  <c r="C585" i="364"/>
  <c r="C1449" i="364"/>
  <c r="C331" i="364"/>
  <c r="C2431" i="364"/>
  <c r="C2801" i="364"/>
  <c r="C1615" i="364"/>
  <c r="C1901" i="364"/>
  <c r="C878" i="364"/>
  <c r="C1405" i="364"/>
  <c r="C484" i="364"/>
  <c r="C716" i="364"/>
  <c r="C2151" i="364"/>
  <c r="C811" i="364"/>
  <c r="C117" i="364"/>
  <c r="C1388" i="364"/>
  <c r="C911" i="364"/>
  <c r="C2285" i="364"/>
  <c r="C1289" i="364"/>
  <c r="C87" i="364"/>
  <c r="C1533" i="364"/>
  <c r="C1888" i="364"/>
  <c r="C449" i="364"/>
  <c r="C828" i="364"/>
  <c r="C870" i="364"/>
  <c r="C1829" i="364"/>
  <c r="C1597" i="364"/>
  <c r="C1415" i="364"/>
  <c r="C1143" i="364"/>
  <c r="C2283" i="364"/>
  <c r="C304" i="364"/>
  <c r="C240" i="364"/>
  <c r="C1400" i="364"/>
  <c r="C1728" i="364"/>
  <c r="C2495" i="364"/>
  <c r="C2059" i="364"/>
  <c r="C1748" i="364"/>
  <c r="C1961" i="364"/>
  <c r="C925" i="364"/>
  <c r="C184" i="364"/>
  <c r="C1964" i="364"/>
  <c r="C737" i="364"/>
  <c r="C73" i="364"/>
  <c r="C1932" i="364"/>
  <c r="C1871" i="364"/>
  <c r="C2083" i="364"/>
  <c r="C36" i="364"/>
  <c r="C2368" i="364"/>
  <c r="C537" i="364"/>
  <c r="C1109" i="364"/>
  <c r="C1821" i="364"/>
  <c r="C2263" i="364"/>
  <c r="C613" i="364"/>
  <c r="C893" i="364"/>
  <c r="C1374" i="364"/>
  <c r="C1261" i="364"/>
  <c r="C283" i="364"/>
  <c r="C741" i="364"/>
  <c r="C2682" i="364"/>
  <c r="C975" i="364"/>
  <c r="C2858" i="364"/>
  <c r="C2081" i="364"/>
  <c r="C2342" i="364"/>
  <c r="C1891" i="364"/>
  <c r="C412" i="364"/>
  <c r="C1009" i="364"/>
  <c r="C1746" i="364"/>
  <c r="C2449" i="364"/>
  <c r="C161" i="364"/>
  <c r="C728" i="364"/>
  <c r="C2648" i="364"/>
  <c r="C2786" i="364"/>
  <c r="C2592" i="364"/>
  <c r="C590" i="364"/>
  <c r="C1063" i="364"/>
  <c r="C709" i="364"/>
  <c r="C2823" i="364"/>
  <c r="C1047" i="364"/>
  <c r="C322" i="364"/>
  <c r="C2403" i="364"/>
  <c r="C593" i="364"/>
  <c r="C2707" i="364"/>
  <c r="C1080" i="364"/>
  <c r="C1878" i="364"/>
  <c r="C1752" i="364"/>
  <c r="C876" i="364"/>
  <c r="C1022" i="364"/>
  <c r="C1873" i="364"/>
  <c r="C393" i="364"/>
  <c r="C2870" i="364"/>
  <c r="C1592" i="364"/>
  <c r="C1155" i="364"/>
  <c r="C1822" i="364"/>
  <c r="C77" i="364"/>
  <c r="C773" i="364"/>
  <c r="C1082" i="364"/>
  <c r="C2164" i="364"/>
  <c r="C780" i="364"/>
  <c r="C2076" i="364"/>
  <c r="C2178" i="364"/>
  <c r="A1" i="146"/>
  <c r="C108" i="364"/>
  <c r="C1724" i="364"/>
  <c r="C534" i="364"/>
  <c r="C810" i="364"/>
  <c r="C1500" i="364"/>
  <c r="C1019" i="364"/>
  <c r="C2325" i="364"/>
  <c r="C1070" i="364"/>
  <c r="C1455" i="364"/>
  <c r="C873" i="364"/>
  <c r="C2649" i="364"/>
  <c r="C2467" i="364"/>
  <c r="C272" i="364"/>
  <c r="C1171" i="364"/>
  <c r="C702" i="364"/>
  <c r="C1472" i="364"/>
  <c r="C2474" i="364"/>
  <c r="C1393" i="364"/>
  <c r="C2505" i="364"/>
  <c r="C1014" i="364"/>
  <c r="C2632" i="364"/>
  <c r="C1774" i="364"/>
  <c r="C1170" i="364"/>
  <c r="C1687" i="364"/>
  <c r="C192" i="364"/>
  <c r="C2762" i="364"/>
  <c r="C258" i="364"/>
  <c r="C535" i="364"/>
  <c r="C959" i="364"/>
  <c r="C2154" i="364"/>
  <c r="C1541" i="364"/>
  <c r="C1998" i="364"/>
  <c r="C1898" i="364"/>
  <c r="C157" i="364"/>
  <c r="C2442" i="364"/>
  <c r="C2100" i="364"/>
  <c r="C544" i="364"/>
  <c r="C1122" i="364"/>
  <c r="C547" i="364"/>
  <c r="C1769" i="364"/>
  <c r="C2123" i="364"/>
  <c r="C1893" i="364"/>
  <c r="C437" i="364"/>
  <c r="C693" i="364"/>
  <c r="C2665" i="364"/>
  <c r="C2545" i="364"/>
  <c r="C292" i="364"/>
  <c r="C1101" i="364"/>
  <c r="C2327" i="364"/>
  <c r="C1814" i="364"/>
  <c r="C1398" i="364"/>
  <c r="C998" i="364"/>
  <c r="C1923" i="364"/>
  <c r="C360" i="364"/>
  <c r="C2136" i="364"/>
  <c r="C428" i="364"/>
  <c r="C1494" i="364"/>
  <c r="C2515" i="364"/>
  <c r="C2022" i="364"/>
  <c r="C2017" i="364"/>
  <c r="C2239" i="364"/>
  <c r="C2133" i="364"/>
  <c r="C2168" i="364"/>
  <c r="C1477" i="364"/>
  <c r="C2841" i="364"/>
  <c r="C643" i="364"/>
  <c r="C2214" i="364"/>
  <c r="C1444" i="364"/>
  <c r="C57" i="364"/>
  <c r="C1747" i="364"/>
  <c r="C1350" i="364"/>
  <c r="C736" i="364"/>
  <c r="C1807" i="364"/>
  <c r="C760" i="364"/>
  <c r="C2741" i="364"/>
  <c r="C480" i="364"/>
  <c r="C1484" i="364"/>
  <c r="C1334" i="364"/>
  <c r="C2419" i="364"/>
  <c r="C1692" i="364"/>
  <c r="C2690" i="364"/>
  <c r="C2051" i="364"/>
  <c r="C1362" i="364"/>
  <c r="C80" i="364"/>
  <c r="C456" i="364"/>
  <c r="C640" i="364"/>
  <c r="C626" i="364"/>
  <c r="C819" i="364"/>
  <c r="C2321" i="364"/>
  <c r="C1410" i="364"/>
  <c r="C1966" i="364"/>
  <c r="C1302" i="364"/>
  <c r="C2499" i="364"/>
  <c r="C1358" i="364"/>
  <c r="C2638" i="364"/>
  <c r="C176" i="364"/>
  <c r="C1857" i="364"/>
  <c r="C1072" i="364"/>
  <c r="C1595" i="364"/>
  <c r="C1813" i="364"/>
  <c r="C551" i="364"/>
  <c r="C573" i="364"/>
  <c r="C567" i="364"/>
  <c r="C2240" i="364"/>
  <c r="C200" i="364"/>
  <c r="C1269" i="364"/>
  <c r="C841" i="364"/>
  <c r="C1404" i="364"/>
  <c r="C752" i="364"/>
  <c r="C144" i="364"/>
  <c r="C658" i="364"/>
  <c r="C750" i="364"/>
  <c r="C2617" i="364"/>
  <c r="C566" i="364"/>
  <c r="C1609" i="364"/>
  <c r="C294" i="364"/>
  <c r="C2722" i="364"/>
  <c r="C2492" i="364"/>
  <c r="C2566" i="364"/>
  <c r="C2148" i="364"/>
  <c r="C2266" i="364"/>
  <c r="C1492" i="364"/>
  <c r="C334" i="364"/>
  <c r="C503" i="364"/>
  <c r="C1601" i="364"/>
  <c r="C1887" i="364"/>
  <c r="C75" i="364"/>
  <c r="C1721" i="364"/>
  <c r="C2641" i="364"/>
  <c r="C329" i="364"/>
  <c r="C1859" i="364"/>
  <c r="C1445" i="364"/>
  <c r="C85" i="364"/>
  <c r="C1584" i="364"/>
  <c r="C1563" i="364"/>
  <c r="C93" i="364"/>
  <c r="C1378" i="364"/>
  <c r="C286" i="364"/>
  <c r="C102" i="364"/>
  <c r="C300" i="364"/>
  <c r="C2721" i="364"/>
  <c r="C1512" i="364"/>
  <c r="C1316" i="364"/>
  <c r="C1260" i="364"/>
  <c r="C1310" i="364"/>
  <c r="C1591" i="364"/>
  <c r="C2748" i="364"/>
  <c r="C1395" i="364"/>
  <c r="C1259" i="364"/>
  <c r="C1632" i="364"/>
  <c r="C1104" i="364"/>
  <c r="C686" i="364"/>
  <c r="A1" i="249"/>
  <c r="C282" i="364"/>
  <c r="C623" i="364"/>
  <c r="C159" i="364"/>
  <c r="C180" i="364"/>
  <c r="C2052" i="364"/>
  <c r="C1768" i="364"/>
  <c r="C1356" i="364"/>
  <c r="C1730" i="364"/>
  <c r="C563" i="364"/>
  <c r="C321" i="364"/>
  <c r="C260" i="364"/>
  <c r="C2763" i="364"/>
  <c r="C2344" i="364"/>
  <c r="C1161" i="364"/>
  <c r="C589" i="364"/>
  <c r="C1526" i="364"/>
  <c r="C186" i="364"/>
  <c r="C239" i="364"/>
  <c r="C2524" i="364"/>
  <c r="C2176" i="364"/>
  <c r="C1340" i="364"/>
  <c r="C1914" i="364"/>
  <c r="C655" i="364"/>
  <c r="C2019" i="364"/>
  <c r="C2829" i="364"/>
  <c r="C620" i="364"/>
  <c r="C2093" i="364"/>
  <c r="C902" i="364"/>
  <c r="C1199" i="364"/>
  <c r="C1795" i="364"/>
  <c r="C2364" i="364"/>
  <c r="C2156" i="364"/>
  <c r="C1478" i="364"/>
  <c r="C2258" i="364"/>
  <c r="C1803" i="364"/>
  <c r="C2270" i="364"/>
  <c r="C380" i="364"/>
  <c r="C2068" i="364"/>
  <c r="C668" i="364"/>
  <c r="C2481" i="364"/>
  <c r="C1919" i="364"/>
  <c r="C1381" i="364"/>
  <c r="C28" i="364"/>
  <c r="C2659" i="364"/>
  <c r="C1784" i="364"/>
  <c r="C2743" i="364"/>
  <c r="C2097" i="364"/>
  <c r="C478" i="364"/>
  <c r="C2622" i="364"/>
  <c r="C2471" i="364"/>
  <c r="C2071" i="364"/>
  <c r="C1077" i="364"/>
  <c r="C1407" i="364"/>
  <c r="C877" i="364"/>
  <c r="C1246" i="364"/>
  <c r="C491" i="364"/>
  <c r="C602" i="364"/>
  <c r="C1674" i="364"/>
  <c r="C362" i="364"/>
  <c r="C755" i="364"/>
  <c r="C785" i="364"/>
  <c r="C955" i="364"/>
  <c r="C509" i="364"/>
  <c r="C2416" i="364"/>
  <c r="C2251" i="364"/>
  <c r="C2558" i="364"/>
  <c r="C1527" i="364"/>
  <c r="C333" i="364"/>
  <c r="C196" i="364"/>
  <c r="C1430" i="364"/>
  <c r="C198" i="364"/>
  <c r="C2850" i="364"/>
  <c r="C2272" i="364"/>
  <c r="C966" i="364"/>
  <c r="C1363" i="364"/>
  <c r="C1987" i="364"/>
  <c r="C2366" i="364"/>
  <c r="C2210" i="364"/>
  <c r="C1241" i="364"/>
  <c r="C2536" i="364"/>
  <c r="C688" i="364"/>
  <c r="C203" i="364"/>
  <c r="C1843" i="364"/>
  <c r="C2832" i="364"/>
  <c r="C208" i="364"/>
  <c r="C1105" i="364"/>
  <c r="C1276" i="364"/>
  <c r="C2807" i="364"/>
  <c r="C2712" i="364"/>
  <c r="C444" i="364"/>
  <c r="C1816" i="364"/>
  <c r="C1272" i="364"/>
  <c r="C2309" i="364"/>
  <c r="C2631" i="364"/>
  <c r="C2295" i="364"/>
  <c r="C2231" i="364"/>
  <c r="C2224" i="364"/>
  <c r="C1424" i="364"/>
  <c r="C1523" i="364"/>
  <c r="C881" i="364"/>
  <c r="C2593" i="364"/>
  <c r="C1102" i="364"/>
  <c r="C1661" i="364"/>
  <c r="C317" i="364"/>
  <c r="C1421" i="364"/>
  <c r="C2819" i="364"/>
  <c r="C867" i="364"/>
  <c r="C2465" i="364"/>
  <c r="C422" i="364"/>
  <c r="C1364" i="364"/>
  <c r="C262" i="364"/>
  <c r="C56" i="364"/>
  <c r="C2502" i="364"/>
  <c r="C214" i="364"/>
  <c r="C1819" i="364"/>
  <c r="C1461" i="364"/>
  <c r="C1140" i="364"/>
  <c r="C2050" i="364"/>
  <c r="C221" i="364"/>
  <c r="C2677" i="364"/>
  <c r="C1099" i="364"/>
  <c r="C2299" i="364"/>
  <c r="C1223" i="364"/>
  <c r="C933" i="364"/>
  <c r="C2590" i="364"/>
  <c r="C2479" i="364"/>
  <c r="C2049" i="364"/>
  <c r="C1459" i="364"/>
  <c r="C1517" i="364"/>
  <c r="C384" i="364"/>
  <c r="C2391" i="364"/>
  <c r="C1095" i="364"/>
  <c r="C1556" i="364"/>
  <c r="C1948" i="364"/>
  <c r="C1396" i="364"/>
  <c r="C2037" i="364"/>
  <c r="C1067" i="364"/>
  <c r="C11" i="364"/>
  <c r="C2528" i="364"/>
  <c r="C84" i="364"/>
  <c r="C2345" i="364"/>
  <c r="C1065" i="364"/>
  <c r="C612" i="364"/>
  <c r="C2024" i="364"/>
  <c r="C2082" i="364"/>
  <c r="C2785" i="364"/>
  <c r="C2039" i="364"/>
  <c r="C1710" i="364"/>
  <c r="C1965" i="364"/>
  <c r="C131" i="364"/>
  <c r="C1406" i="364"/>
  <c r="C1498" i="364"/>
  <c r="C1437" i="364"/>
  <c r="C516" i="364"/>
  <c r="C2193" i="364"/>
  <c r="C499" i="364"/>
  <c r="C1646" i="364"/>
  <c r="C383" i="364"/>
  <c r="C2034" i="364"/>
  <c r="C1146" i="364"/>
  <c r="C2810" i="364"/>
  <c r="C1618" i="364"/>
  <c r="C1989" i="364"/>
  <c r="C1168" i="364"/>
  <c r="C417" i="364"/>
  <c r="C2086" i="364"/>
  <c r="C2140" i="364"/>
  <c r="C1758" i="364"/>
  <c r="C581" i="364"/>
  <c r="C4" i="364"/>
  <c r="C2550" i="364"/>
  <c r="C538" i="364"/>
  <c r="C1042" i="364"/>
  <c r="C1696" i="364"/>
  <c r="C2730" i="364"/>
  <c r="C2534" i="364"/>
  <c r="C2668" i="364"/>
  <c r="C1458" i="364"/>
  <c r="C2591" i="364"/>
  <c r="C1690" i="364"/>
  <c r="C183" i="364"/>
  <c r="C2124" i="364"/>
  <c r="C1446" i="364"/>
  <c r="C1913" i="364"/>
  <c r="C1676" i="364"/>
  <c r="C931" i="364"/>
  <c r="C746" i="364"/>
  <c r="C425" i="364"/>
  <c r="C2237" i="364"/>
  <c r="C1035" i="364"/>
  <c r="C1141" i="364"/>
  <c r="C2698" i="364"/>
  <c r="C915" i="364"/>
  <c r="C1390" i="364"/>
  <c r="C2812" i="364"/>
  <c r="C631" i="364"/>
  <c r="C1713" i="364"/>
  <c r="C625" i="364"/>
  <c r="C812" i="364"/>
  <c r="C575" i="364"/>
  <c r="C2680" i="364"/>
  <c r="C1234" i="364"/>
  <c r="C823" i="364"/>
  <c r="C1175" i="364"/>
  <c r="C2655" i="364"/>
  <c r="C2250" i="364"/>
  <c r="C2361" i="364"/>
  <c r="C2040" i="364"/>
  <c r="C2802" i="364"/>
  <c r="C2713" i="364"/>
  <c r="C2805" i="364"/>
  <c r="C1462" i="364"/>
  <c r="C882" i="364"/>
  <c r="C271" i="364"/>
  <c r="C1088" i="364"/>
  <c r="C1274" i="364"/>
  <c r="A1" i="142"/>
  <c r="C160" i="364"/>
  <c r="C1100" i="364"/>
  <c r="C1357" i="364"/>
  <c r="C1214" i="364"/>
  <c r="C124" i="364"/>
  <c r="C1994" i="364"/>
  <c r="C1426" i="364"/>
  <c r="C1046" i="364"/>
  <c r="C82" i="248"/>
  <c r="D112" i="248"/>
  <c r="E10" i="253"/>
  <c r="H35" i="253"/>
  <c r="G64" i="86" s="1"/>
  <c r="F107" i="248"/>
  <c r="G5" i="133"/>
  <c r="K115" i="248"/>
  <c r="E120" i="248"/>
  <c r="B17" i="86"/>
  <c r="F9" i="133"/>
  <c r="E5" i="133"/>
  <c r="K53" i="123"/>
  <c r="C22" i="253"/>
  <c r="I119" i="248"/>
  <c r="I42" i="123"/>
  <c r="C131" i="248"/>
  <c r="I130" i="248"/>
  <c r="K122" i="248"/>
  <c r="J50" i="248"/>
  <c r="G189" i="248"/>
  <c r="F19" i="133"/>
  <c r="H186" i="248"/>
  <c r="E93" i="248"/>
  <c r="F182" i="248"/>
  <c r="K182" i="248"/>
  <c r="F28" i="133"/>
  <c r="H93" i="248"/>
  <c r="J15" i="248"/>
  <c r="I28" i="133"/>
  <c r="O28" i="298" s="1"/>
  <c r="F17" i="86"/>
  <c r="J5" i="86"/>
  <c r="C21" i="255"/>
  <c r="C7" i="127" s="1"/>
  <c r="D47" i="123" s="1"/>
  <c r="F55" i="253"/>
  <c r="L45" i="123"/>
  <c r="F57" i="253"/>
  <c r="G15" i="255"/>
  <c r="G6" i="127" s="1"/>
  <c r="H46" i="123" s="1"/>
  <c r="I38" i="123" s="1"/>
  <c r="J93" i="123"/>
  <c r="H97" i="123"/>
  <c r="E57" i="253"/>
  <c r="H57" i="253"/>
  <c r="G21" i="255"/>
  <c r="G7" i="127" s="1"/>
  <c r="H47" i="123" s="1"/>
  <c r="H39" i="123" s="1"/>
  <c r="O19" i="137"/>
  <c r="M92" i="123"/>
  <c r="K5" i="86"/>
  <c r="J92" i="123"/>
  <c r="G5" i="86"/>
  <c r="I45" i="123"/>
  <c r="E79" i="253"/>
  <c r="D60" i="86" s="1"/>
  <c r="L14" i="123"/>
  <c r="L3" i="342"/>
  <c r="K34" i="255"/>
  <c r="K9" i="127" s="1"/>
  <c r="J58" i="253"/>
  <c r="D123" i="248"/>
  <c r="H32" i="86"/>
  <c r="J108" i="123" s="1"/>
  <c r="E9" i="133"/>
  <c r="A18" i="126"/>
  <c r="K19" i="133"/>
  <c r="Q19" i="298" s="1"/>
  <c r="A1" i="368"/>
  <c r="E34" i="129"/>
  <c r="D37" i="86" s="1"/>
  <c r="C1554" i="364"/>
  <c r="C731" i="364"/>
  <c r="C1438" i="364"/>
  <c r="C1297" i="364"/>
  <c r="C621" i="364"/>
  <c r="C448" i="364"/>
  <c r="C1739" i="364"/>
  <c r="C236" i="364"/>
  <c r="C954" i="364"/>
  <c r="C939" i="364"/>
  <c r="C662" i="364"/>
  <c r="C461" i="364"/>
  <c r="C1280" i="364"/>
  <c r="C564" i="364"/>
  <c r="C2667" i="364"/>
  <c r="C16" i="364"/>
  <c r="C1441" i="364"/>
  <c r="C2369" i="364"/>
  <c r="C2202" i="364"/>
  <c r="C1023" i="364"/>
  <c r="C617" i="364"/>
  <c r="C2675" i="364"/>
  <c r="C423" i="364"/>
  <c r="C1567" i="364"/>
  <c r="C1485" i="364"/>
  <c r="C529" i="364"/>
  <c r="C2390" i="364"/>
  <c r="C2738" i="364"/>
  <c r="C656" i="364"/>
  <c r="C2070" i="364"/>
  <c r="C1240" i="364"/>
  <c r="C2438" i="364"/>
  <c r="C1108" i="364"/>
  <c r="C2395" i="364"/>
  <c r="C1550" i="364"/>
  <c r="C1501" i="364"/>
  <c r="C1926" i="364"/>
  <c r="C1126" i="364"/>
  <c r="C712" i="364"/>
  <c r="C40" i="364"/>
  <c r="C714" i="364"/>
  <c r="C2457" i="364"/>
  <c r="C696" i="364"/>
  <c r="C1653" i="364"/>
  <c r="C2647" i="364"/>
  <c r="C1830" i="364"/>
  <c r="C2686" i="364"/>
  <c r="C1495" i="364"/>
  <c r="C2179" i="364"/>
  <c r="C244" i="364"/>
  <c r="C2095" i="364"/>
  <c r="C2735" i="364"/>
  <c r="C112" i="364"/>
  <c r="C2306" i="364"/>
  <c r="C797" i="364"/>
  <c r="C2599" i="364"/>
  <c r="C903" i="364"/>
  <c r="C1622" i="364"/>
  <c r="C1542" i="364"/>
  <c r="C2080" i="364"/>
  <c r="C1451" i="364"/>
  <c r="C1596" i="364"/>
  <c r="C611" i="364"/>
  <c r="C651" i="364"/>
  <c r="C1433" i="364"/>
  <c r="C111" i="364"/>
  <c r="C784" i="364"/>
  <c r="C48" i="364"/>
  <c r="C994" i="364"/>
  <c r="C2780" i="364"/>
  <c r="C1677" i="364"/>
  <c r="C1869" i="364"/>
  <c r="C2754" i="364"/>
  <c r="C1750" i="364"/>
  <c r="C1113" i="364"/>
  <c r="C2426" i="364"/>
  <c r="C647" i="364"/>
  <c r="C2724" i="364"/>
  <c r="C849" i="364"/>
  <c r="C539" i="364"/>
  <c r="C405" i="364"/>
  <c r="C1160" i="364"/>
  <c r="C912" i="364"/>
  <c r="C2607" i="364"/>
  <c r="C718" i="364"/>
  <c r="C2282" i="364"/>
  <c r="C735" i="364"/>
  <c r="C2551" i="364"/>
  <c r="C1347" i="364"/>
  <c r="C2084" i="364"/>
  <c r="C99" i="364"/>
  <c r="C2597" i="364"/>
  <c r="C778" i="364"/>
  <c r="C1720" i="364"/>
  <c r="C1232" i="364"/>
  <c r="C1149" i="364"/>
  <c r="C1688" i="364"/>
  <c r="C2216" i="364"/>
  <c r="C2129" i="364"/>
  <c r="C1073" i="364"/>
  <c r="A1" i="250"/>
  <c r="C2774" i="364"/>
  <c r="C37" i="364"/>
  <c r="C130" i="364"/>
  <c r="C720" i="364"/>
  <c r="C1312" i="364"/>
  <c r="C39" i="364"/>
  <c r="C1853" i="364"/>
  <c r="C1124" i="364"/>
  <c r="C598" i="364"/>
  <c r="C1013" i="364"/>
  <c r="C916" i="364"/>
  <c r="C2169" i="364"/>
  <c r="C2373" i="364"/>
  <c r="C874" i="364"/>
  <c r="C201" i="364"/>
  <c r="C2066" i="364"/>
  <c r="C1524" i="364"/>
  <c r="C2755" i="364"/>
  <c r="C1487" i="364"/>
  <c r="C2203" i="364"/>
  <c r="C1188" i="364"/>
  <c r="C899" i="364"/>
  <c r="C397" i="364"/>
  <c r="C2425" i="364"/>
  <c r="C787" i="364"/>
  <c r="C1125" i="364"/>
  <c r="C624" i="364"/>
  <c r="C312" i="364"/>
  <c r="C791" i="364"/>
  <c r="C2613" i="364"/>
  <c r="C1010" i="364"/>
  <c r="C1165" i="364"/>
  <c r="C2332" i="364"/>
  <c r="C395" i="364"/>
  <c r="C1249" i="364"/>
  <c r="C2138" i="364"/>
  <c r="C2167" i="364"/>
  <c r="C1651" i="364"/>
  <c r="C1610" i="364"/>
  <c r="C1670" i="364"/>
  <c r="C1970" i="364"/>
  <c r="C682" i="364"/>
  <c r="C2610" i="364"/>
  <c r="C1858" i="364"/>
  <c r="C1064" i="364"/>
  <c r="C1221" i="364"/>
  <c r="C463" i="364"/>
  <c r="C1314" i="364"/>
  <c r="C2029" i="364"/>
  <c r="C1570" i="364"/>
  <c r="C2849" i="364"/>
  <c r="C723" i="364"/>
  <c r="C1928" i="364"/>
  <c r="C1152" i="364"/>
  <c r="C330" i="364"/>
  <c r="C1575" i="364"/>
  <c r="C476" i="364"/>
  <c r="C610" i="364"/>
  <c r="C1282" i="364"/>
  <c r="C1543" i="364"/>
  <c r="C2583" i="364"/>
  <c r="A1" i="144"/>
  <c r="C1941" i="364"/>
  <c r="C1824" i="364"/>
  <c r="C2134" i="364"/>
  <c r="C608" i="364"/>
  <c r="C2604" i="364"/>
  <c r="C2782" i="364"/>
  <c r="C1585" i="364"/>
  <c r="C1337" i="364"/>
  <c r="C363" i="364"/>
  <c r="C1660" i="364"/>
  <c r="C2058" i="364"/>
  <c r="C2245" i="364"/>
  <c r="C684" i="364"/>
  <c r="C202" i="364"/>
  <c r="C2521" i="364"/>
  <c r="C1418" i="364"/>
  <c r="C894" i="364"/>
  <c r="C1528" i="364"/>
  <c r="C125" i="364"/>
  <c r="C323" i="364"/>
  <c r="C1266" i="364"/>
  <c r="C531" i="364"/>
  <c r="C2387" i="364"/>
  <c r="C2740" i="364"/>
  <c r="C2705" i="364"/>
  <c r="C2032" i="364"/>
  <c r="C2384" i="364"/>
  <c r="C1375" i="364"/>
  <c r="C1313" i="364"/>
  <c r="C1191" i="364"/>
  <c r="C399" i="364"/>
  <c r="C824" i="364"/>
  <c r="C762" i="364"/>
  <c r="C2441" i="364"/>
  <c r="C2837" i="364"/>
  <c r="C105" i="364"/>
  <c r="C1641" i="364"/>
  <c r="C1685" i="364"/>
  <c r="C2537" i="364"/>
  <c r="C149" i="364"/>
  <c r="C1906" i="364"/>
  <c r="C627" i="364"/>
  <c r="C1212" i="364"/>
  <c r="C576" i="364"/>
  <c r="C698" i="364"/>
  <c r="C1602" i="364"/>
  <c r="C1296" i="364"/>
  <c r="C445" i="364"/>
  <c r="C415" i="364"/>
  <c r="C2087" i="364"/>
  <c r="C2323" i="364"/>
  <c r="C2517" i="364"/>
  <c r="C2152" i="364"/>
  <c r="C2255" i="364"/>
  <c r="C1794" i="364"/>
  <c r="C2408" i="364"/>
  <c r="C983" i="364"/>
  <c r="C1179" i="364"/>
  <c r="C1586" i="364"/>
  <c r="C1564" i="364"/>
  <c r="C1957" i="364"/>
  <c r="C1118" i="364"/>
  <c r="C667" i="364"/>
  <c r="C1051" i="364"/>
  <c r="C1658" i="364"/>
  <c r="C1470" i="364"/>
  <c r="C1760" i="364"/>
  <c r="C1386" i="364"/>
  <c r="C892" i="364"/>
  <c r="C361" i="364"/>
  <c r="C45" i="364"/>
  <c r="C2102" i="364"/>
  <c r="C2664" i="364"/>
  <c r="C2185" i="364"/>
  <c r="C572" i="364"/>
  <c r="C2866" i="364"/>
  <c r="C1506" i="364"/>
  <c r="C2235" i="364"/>
  <c r="C1603" i="364"/>
  <c r="C156" i="364"/>
  <c r="C1938" i="364"/>
  <c r="C2094" i="364"/>
  <c r="C135" i="364"/>
  <c r="C211" i="364"/>
  <c r="C2381" i="364"/>
  <c r="C853" i="364"/>
  <c r="C2399" i="364"/>
  <c r="C2839" i="364"/>
  <c r="C2669" i="364"/>
  <c r="C2507" i="364"/>
  <c r="C446" i="364"/>
  <c r="C2192" i="364"/>
  <c r="C101" i="364"/>
  <c r="C335" i="364"/>
  <c r="C1460" i="364"/>
  <c r="C468" i="364"/>
  <c r="C1346" i="364"/>
  <c r="C414" i="364"/>
  <c r="C98" i="364"/>
  <c r="C1367" i="364"/>
  <c r="C2333" i="364"/>
  <c r="C452" i="364"/>
  <c r="C790" i="364"/>
  <c r="C2752" i="364"/>
  <c r="C2044" i="364"/>
  <c r="C1335" i="364"/>
  <c r="C2108" i="364"/>
  <c r="C2125" i="364"/>
  <c r="C1652" i="364"/>
  <c r="C2803" i="364"/>
  <c r="C2191" i="364"/>
  <c r="C1924" i="364"/>
  <c r="C1351" i="364"/>
  <c r="C264" i="364"/>
  <c r="C1628" i="364"/>
  <c r="C224" i="364"/>
  <c r="C1574" i="364"/>
  <c r="C1642" i="364"/>
  <c r="C2008" i="364"/>
  <c r="C2378" i="364"/>
  <c r="C1916" i="364"/>
  <c r="C2027" i="364"/>
  <c r="C1071" i="364"/>
  <c r="C1360" i="364"/>
  <c r="C1332" i="364"/>
  <c r="C1775" i="364"/>
  <c r="C1854" i="364"/>
  <c r="C649" i="364"/>
  <c r="C1317" i="364"/>
  <c r="C313" i="364"/>
  <c r="C2768" i="364"/>
  <c r="C2260" i="364"/>
  <c r="C1778" i="364"/>
  <c r="C2737" i="364"/>
  <c r="C1203" i="364"/>
  <c r="C1295" i="364"/>
  <c r="C1233" i="364"/>
  <c r="C273" i="364"/>
  <c r="C318" i="364"/>
  <c r="C1333" i="364"/>
  <c r="C2013" i="364"/>
  <c r="C969" i="364"/>
  <c r="C814" i="364"/>
  <c r="C1539" i="364"/>
  <c r="C1909" i="364"/>
  <c r="C1620" i="364"/>
  <c r="C2389" i="364"/>
  <c r="C368" i="364"/>
  <c r="C2859" i="364"/>
  <c r="C2207" i="364"/>
  <c r="C1304" i="364"/>
  <c r="C565" i="364"/>
  <c r="C181" i="364"/>
  <c r="C898" i="364"/>
  <c r="C325" i="364"/>
  <c r="C2371" i="364"/>
  <c r="A1" i="128"/>
  <c r="C1402" i="364"/>
  <c r="C1731" i="364"/>
  <c r="C1838" i="364"/>
  <c r="C1954" i="364"/>
  <c r="C1379" i="364"/>
  <c r="C35" i="364"/>
  <c r="C1949" i="364"/>
  <c r="C749" i="364"/>
  <c r="C886" i="364"/>
  <c r="C2565" i="364"/>
  <c r="C854" i="364"/>
  <c r="C2045" i="364"/>
  <c r="C999" i="364"/>
  <c r="C1017" i="364"/>
  <c r="C243" i="364"/>
  <c r="C1703" i="364"/>
  <c r="C2074" i="364"/>
  <c r="C676" i="364"/>
  <c r="C1510" i="364"/>
  <c r="C2213" i="364"/>
  <c r="C162" i="364"/>
  <c r="C609" i="364"/>
  <c r="C174" i="364"/>
  <c r="C793" i="364"/>
  <c r="C956" i="364"/>
  <c r="C1828" i="364"/>
  <c r="C1627" i="364"/>
  <c r="C357" i="364"/>
  <c r="C2734" i="364"/>
  <c r="C1008" i="364"/>
  <c r="C594" i="364"/>
  <c r="C2281" i="364"/>
  <c r="C1049" i="364"/>
  <c r="F79" i="248"/>
  <c r="E42" i="133"/>
  <c r="C79" i="248"/>
  <c r="F109" i="248"/>
  <c r="C16" i="294"/>
  <c r="A175" i="343"/>
  <c r="K116" i="248"/>
  <c r="K22" i="248"/>
  <c r="A252" i="343"/>
  <c r="A13" i="126"/>
  <c r="A12" i="140" s="1"/>
  <c r="A16" i="126"/>
  <c r="A15" i="294" s="1"/>
  <c r="A34" i="294" s="1"/>
  <c r="G2" i="123"/>
  <c r="N3" i="368"/>
  <c r="F105" i="248"/>
  <c r="H57" i="248"/>
  <c r="H120" i="248"/>
  <c r="I116" i="248"/>
  <c r="G28" i="133"/>
  <c r="A272" i="342"/>
  <c r="A32" i="233" s="1"/>
  <c r="E15" i="294"/>
  <c r="J21" i="255"/>
  <c r="J7" i="127" s="1"/>
  <c r="I55" i="253"/>
  <c r="Q27" i="137"/>
  <c r="K13" i="86"/>
  <c r="I2" i="358"/>
  <c r="P2" i="296"/>
  <c r="K2" i="315"/>
  <c r="B50" i="100"/>
  <c r="K2" i="363"/>
  <c r="C54" i="248"/>
  <c r="C25" i="248"/>
  <c r="F26" i="253"/>
  <c r="E63" i="86" s="1"/>
  <c r="D126" i="248"/>
  <c r="I186" i="248"/>
  <c r="A1" i="148"/>
  <c r="E115" i="248"/>
  <c r="G61" i="248"/>
  <c r="E107" i="248"/>
  <c r="H126" i="248"/>
  <c r="H119" i="248"/>
  <c r="D82" i="248"/>
  <c r="L3" i="131"/>
  <c r="J122" i="248"/>
  <c r="F115" i="248"/>
  <c r="A1" i="305"/>
  <c r="F10" i="253"/>
  <c r="E86" i="248"/>
  <c r="C42" i="133"/>
  <c r="G3" i="139"/>
  <c r="I57" i="248"/>
  <c r="D130" i="248"/>
  <c r="K61" i="248"/>
  <c r="I103" i="248"/>
  <c r="F79" i="253"/>
  <c r="E60" i="86" s="1"/>
  <c r="D127" i="248"/>
  <c r="H130" i="248"/>
  <c r="M42" i="123"/>
  <c r="G126" i="248"/>
  <c r="I38" i="133"/>
  <c r="O38" i="298" s="1"/>
  <c r="J104" i="248"/>
  <c r="G127" i="248"/>
  <c r="F120" i="248"/>
  <c r="K86" i="248"/>
  <c r="C122" i="248"/>
  <c r="C189" i="248"/>
  <c r="F31" i="253"/>
  <c r="E57" i="248"/>
  <c r="F106" i="248"/>
  <c r="D47" i="248"/>
  <c r="I127" i="248"/>
  <c r="E103" i="248"/>
  <c r="E186" i="248"/>
  <c r="A1" i="358"/>
  <c r="G42" i="123"/>
  <c r="P32" i="300"/>
  <c r="P36" i="300" s="1"/>
  <c r="I122" i="248"/>
  <c r="M45" i="123"/>
  <c r="D2" i="146"/>
  <c r="D2" i="316"/>
  <c r="K105" i="248"/>
  <c r="J128" i="248"/>
  <c r="C193" i="248"/>
  <c r="H128" i="248"/>
  <c r="J102" i="248"/>
  <c r="H122" i="248"/>
  <c r="F63" i="363"/>
  <c r="B154" i="100"/>
  <c r="P25" i="300"/>
  <c r="H26" i="253"/>
  <c r="G63" i="86" s="1"/>
  <c r="F89" i="248"/>
  <c r="F22" i="253"/>
  <c r="H61" i="248"/>
  <c r="C182" i="248"/>
  <c r="J93" i="248"/>
  <c r="H18" i="248"/>
  <c r="O15" i="140"/>
  <c r="E2" i="248"/>
  <c r="H5" i="233"/>
  <c r="H20" i="233" s="1"/>
  <c r="F13" i="233"/>
  <c r="F20" i="233" s="1"/>
  <c r="F170" i="342"/>
  <c r="D98" i="351"/>
  <c r="A39" i="343"/>
  <c r="A38" i="342"/>
  <c r="E60" i="316"/>
  <c r="E52" i="316"/>
  <c r="C7" i="133"/>
  <c r="C5" i="133" s="1"/>
  <c r="C5" i="351"/>
  <c r="H43" i="133"/>
  <c r="H42" i="133" s="1"/>
  <c r="H220" i="351"/>
  <c r="G76" i="363"/>
  <c r="C47" i="248"/>
  <c r="F55" i="248"/>
  <c r="F118" i="350"/>
  <c r="D187" i="248"/>
  <c r="D189" i="248" s="1"/>
  <c r="D118" i="349"/>
  <c r="F139" i="349"/>
  <c r="F192" i="248"/>
  <c r="F193" i="248" s="1"/>
  <c r="H247" i="363"/>
  <c r="D32" i="253"/>
  <c r="D35" i="253" s="1"/>
  <c r="C64" i="86" s="1"/>
  <c r="F96" i="363"/>
  <c r="G55" i="248"/>
  <c r="G57" i="248" s="1"/>
  <c r="G118" i="350"/>
  <c r="H9" i="248"/>
  <c r="H6" i="134"/>
  <c r="G6" i="349"/>
  <c r="H176" i="248"/>
  <c r="H179" i="248" s="1"/>
  <c r="H6" i="349"/>
  <c r="K53" i="248"/>
  <c r="K110" i="350"/>
  <c r="E2" i="126"/>
  <c r="E2" i="129"/>
  <c r="E73" i="147"/>
  <c r="E2" i="342"/>
  <c r="G115" i="248"/>
  <c r="C20" i="133"/>
  <c r="C19" i="133" s="1"/>
  <c r="C98" i="351"/>
  <c r="Q43" i="298"/>
  <c r="K42" i="133"/>
  <c r="Q42" i="298" s="1"/>
  <c r="F16" i="248"/>
  <c r="F74" i="134"/>
  <c r="D25" i="351"/>
  <c r="C104" i="248"/>
  <c r="G63" i="126"/>
  <c r="F27" i="86" s="1"/>
  <c r="H112" i="123" s="1"/>
  <c r="F40" i="248"/>
  <c r="F47" i="248" s="1"/>
  <c r="F6" i="350"/>
  <c r="H17" i="253"/>
  <c r="H22" i="253" s="1"/>
  <c r="J83" i="363"/>
  <c r="E25" i="253"/>
  <c r="E26" i="253" s="1"/>
  <c r="D63" i="86" s="1"/>
  <c r="G87" i="363"/>
  <c r="I115" i="248"/>
  <c r="E126" i="248"/>
  <c r="H129" i="248"/>
  <c r="G84" i="248"/>
  <c r="G86" i="248" s="1"/>
  <c r="G110" i="367"/>
  <c r="C27" i="255"/>
  <c r="C8" i="127" s="1"/>
  <c r="D48" i="123" s="1"/>
  <c r="C56" i="253"/>
  <c r="C177" i="248"/>
  <c r="C179" i="248" s="1"/>
  <c r="C6" i="349"/>
  <c r="I7" i="133"/>
  <c r="I5" i="351"/>
  <c r="J43" i="248"/>
  <c r="J6" i="350"/>
  <c r="K170" i="248"/>
  <c r="K179" i="248" s="1"/>
  <c r="K6" i="349"/>
  <c r="E6" i="134"/>
  <c r="E106" i="363"/>
  <c r="E40" i="253"/>
  <c r="E45" i="253" s="1"/>
  <c r="G106" i="363"/>
  <c r="K87" i="248"/>
  <c r="K89" i="248" s="1"/>
  <c r="K118" i="367"/>
  <c r="E15" i="248"/>
  <c r="E106" i="248"/>
  <c r="E220" i="351"/>
  <c r="A10" i="126"/>
  <c r="M83" i="363"/>
  <c r="L37" i="246"/>
  <c r="L41" i="246" s="1"/>
  <c r="E46" i="146"/>
  <c r="E48" i="146"/>
  <c r="F46" i="146"/>
  <c r="I25" i="253"/>
  <c r="I26" i="253" s="1"/>
  <c r="K87" i="363"/>
  <c r="F40" i="253"/>
  <c r="F45" i="253" s="1"/>
  <c r="E65" i="86" s="1"/>
  <c r="H106" i="363"/>
  <c r="K102" i="248"/>
  <c r="H80" i="248"/>
  <c r="H82" i="248" s="1"/>
  <c r="H74" i="367"/>
  <c r="J118" i="367"/>
  <c r="L36" i="131"/>
  <c r="K44" i="86" s="1"/>
  <c r="L49" i="131"/>
  <c r="E42" i="86"/>
  <c r="F38" i="131"/>
  <c r="F40" i="131" s="1"/>
  <c r="G27" i="255"/>
  <c r="G8" i="127" s="1"/>
  <c r="H48" i="123" s="1"/>
  <c r="G56" i="253"/>
  <c r="G60" i="253" s="1"/>
  <c r="F71" i="363"/>
  <c r="D7" i="253"/>
  <c r="D10" i="253" s="1"/>
  <c r="C33" i="253"/>
  <c r="C35" i="253" s="1"/>
  <c r="B64" i="86" s="1"/>
  <c r="E96" i="363"/>
  <c r="G40" i="253"/>
  <c r="G45" i="253" s="1"/>
  <c r="F65" i="86" s="1"/>
  <c r="I106" i="363"/>
  <c r="L15" i="255"/>
  <c r="L6" i="127" s="1"/>
  <c r="K57" i="253"/>
  <c r="K40" i="248"/>
  <c r="K47" i="248" s="1"/>
  <c r="K6" i="350"/>
  <c r="G24" i="126"/>
  <c r="G39" i="126" s="1"/>
  <c r="G340" i="343"/>
  <c r="J139" i="343"/>
  <c r="J138" i="343" s="1"/>
  <c r="J18" i="126" s="1"/>
  <c r="O17" i="140" s="1"/>
  <c r="Q138" i="343"/>
  <c r="H6" i="126"/>
  <c r="H21" i="126" s="1"/>
  <c r="H171" i="343"/>
  <c r="O32" i="300"/>
  <c r="O36" i="300" s="1"/>
  <c r="E18" i="253"/>
  <c r="E22" i="253" s="1"/>
  <c r="G83" i="363"/>
  <c r="J126" i="248"/>
  <c r="J74" i="134"/>
  <c r="J17" i="248"/>
  <c r="J113" i="248" s="1"/>
  <c r="H139" i="134"/>
  <c r="H28" i="248"/>
  <c r="D14" i="294"/>
  <c r="P14" i="140"/>
  <c r="J25" i="351"/>
  <c r="G21" i="126"/>
  <c r="J32" i="305"/>
  <c r="J108" i="255" s="1"/>
  <c r="O42" i="299"/>
  <c r="E105" i="123"/>
  <c r="J8" i="133"/>
  <c r="P8" i="298" s="1"/>
  <c r="J5" i="351"/>
  <c r="G104" i="248"/>
  <c r="G15" i="248"/>
  <c r="F2" i="142"/>
  <c r="F2" i="148"/>
  <c r="F2" i="133"/>
  <c r="F2" i="144"/>
  <c r="F2" i="337"/>
  <c r="H2" i="141"/>
  <c r="N2" i="296"/>
  <c r="G2" i="361"/>
  <c r="F2" i="367"/>
  <c r="H63" i="363"/>
  <c r="F2" i="237"/>
  <c r="F2" i="129"/>
  <c r="D2" i="139"/>
  <c r="F2" i="134"/>
  <c r="F2" i="351"/>
  <c r="A3" i="335"/>
  <c r="H2" i="314"/>
  <c r="F73" i="147"/>
  <c r="F2" i="88"/>
  <c r="J59" i="316"/>
  <c r="J52" i="316"/>
  <c r="C127" i="248"/>
  <c r="I98" i="351"/>
  <c r="G196" i="351"/>
  <c r="H118" i="134"/>
  <c r="H134" i="248"/>
  <c r="H165" i="248"/>
  <c r="H217" i="248" s="1"/>
  <c r="E34" i="255"/>
  <c r="E9" i="127" s="1"/>
  <c r="F49" i="123" s="1"/>
  <c r="F41" i="123" s="1"/>
  <c r="E58" i="253"/>
  <c r="G109" i="248"/>
  <c r="I338" i="342"/>
  <c r="G171" i="343"/>
  <c r="Q94" i="343"/>
  <c r="J95" i="343"/>
  <c r="J94" i="343" s="1"/>
  <c r="J14" i="126" s="1"/>
  <c r="G134" i="248"/>
  <c r="G165" i="248"/>
  <c r="G217" i="248" s="1"/>
  <c r="E32" i="133"/>
  <c r="H25" i="248"/>
  <c r="K149" i="343"/>
  <c r="K19" i="126" s="1"/>
  <c r="P18" i="140" s="1"/>
  <c r="M53" i="123"/>
  <c r="L45" i="131"/>
  <c r="K28" i="133"/>
  <c r="Q28" i="298" s="1"/>
  <c r="J170" i="342"/>
  <c r="Q10" i="140"/>
  <c r="E10" i="294"/>
  <c r="G100" i="146"/>
  <c r="H82" i="146"/>
  <c r="D6" i="349"/>
  <c r="K64" i="343"/>
  <c r="R171" i="343"/>
  <c r="L6" i="343"/>
  <c r="L6" i="126" s="1"/>
  <c r="E5" i="294" s="1"/>
  <c r="H181" i="248"/>
  <c r="H182" i="248" s="1"/>
  <c r="H74" i="349"/>
  <c r="F17" i="133"/>
  <c r="F15" i="133" s="1"/>
  <c r="E74" i="351"/>
  <c r="I107" i="363"/>
  <c r="K76" i="343"/>
  <c r="K72" i="343" s="1"/>
  <c r="K12" i="126" s="1"/>
  <c r="U72" i="343"/>
  <c r="A12" i="126"/>
  <c r="A241" i="343"/>
  <c r="K17" i="248"/>
  <c r="K74" i="134"/>
  <c r="K50" i="343"/>
  <c r="K10" i="126" s="1"/>
  <c r="D9" i="294" s="1"/>
  <c r="K34" i="343"/>
  <c r="K28" i="343" s="1"/>
  <c r="K8" i="126" s="1"/>
  <c r="P7" i="140" s="1"/>
  <c r="U28" i="343"/>
  <c r="K22" i="343"/>
  <c r="K17" i="343" s="1"/>
  <c r="K7" i="126" s="1"/>
  <c r="U17" i="343"/>
  <c r="I3" i="144"/>
  <c r="I3" i="349"/>
  <c r="K156" i="363"/>
  <c r="J33" i="337"/>
  <c r="K33" i="337"/>
  <c r="F6" i="367"/>
  <c r="C112" i="248"/>
  <c r="C18" i="248"/>
  <c r="O2" i="368"/>
  <c r="I2" i="337"/>
  <c r="I2" i="248"/>
  <c r="I2" i="144"/>
  <c r="I2" i="86"/>
  <c r="I2" i="336"/>
  <c r="C2" i="294"/>
  <c r="I2" i="351"/>
  <c r="K155" i="363"/>
  <c r="H2" i="361"/>
  <c r="J2" i="127"/>
  <c r="G24" i="233"/>
  <c r="G38" i="233" s="1"/>
  <c r="G338" i="342"/>
  <c r="C170" i="342"/>
  <c r="D74" i="351"/>
  <c r="J112" i="248"/>
  <c r="J45" i="253"/>
  <c r="L149" i="343"/>
  <c r="L19" i="126" s="1"/>
  <c r="K49" i="248"/>
  <c r="K50" i="248" s="1"/>
  <c r="C108" i="248"/>
  <c r="D2" i="358"/>
  <c r="Q105" i="343"/>
  <c r="U127" i="343"/>
  <c r="J196" i="351"/>
  <c r="B150" i="100"/>
  <c r="A1" i="367" s="1"/>
  <c r="D48" i="146"/>
  <c r="H45" i="253"/>
  <c r="G65" i="86" s="1"/>
  <c r="F17" i="337"/>
  <c r="I17" i="337" s="1"/>
  <c r="I15" i="337"/>
  <c r="G37" i="148"/>
  <c r="I6" i="367"/>
  <c r="I70" i="248"/>
  <c r="I79" i="248" s="1"/>
  <c r="C11" i="253"/>
  <c r="C14" i="253" s="1"/>
  <c r="B62" i="86" s="1"/>
  <c r="E75" i="363"/>
  <c r="D55" i="248"/>
  <c r="D118" i="350"/>
  <c r="H108" i="248"/>
  <c r="K338" i="342"/>
  <c r="F247" i="363"/>
  <c r="I19" i="133"/>
  <c r="O19" i="298" s="1"/>
  <c r="J38" i="133"/>
  <c r="P38" i="298" s="1"/>
  <c r="J147" i="351"/>
  <c r="K127" i="351"/>
  <c r="K97" i="363"/>
  <c r="F118" i="349"/>
  <c r="E11" i="253"/>
  <c r="E14" i="253" s="1"/>
  <c r="D62" i="86" s="1"/>
  <c r="G75" i="363"/>
  <c r="C45" i="253"/>
  <c r="K5" i="133"/>
  <c r="Q5" i="298" s="1"/>
  <c r="U6" i="343"/>
  <c r="K6" i="134"/>
  <c r="I118" i="349"/>
  <c r="F6" i="134"/>
  <c r="J23" i="253"/>
  <c r="J26" i="253" s="1"/>
  <c r="J63" i="86" s="1"/>
  <c r="I47" i="136"/>
  <c r="I48" i="136" s="1"/>
  <c r="G44" i="139"/>
  <c r="E33" i="253"/>
  <c r="E35" i="253" s="1"/>
  <c r="D64" i="86" s="1"/>
  <c r="C10" i="133"/>
  <c r="C9" i="133" s="1"/>
  <c r="B139" i="100"/>
  <c r="A1" i="298" s="1"/>
  <c r="D2" i="305"/>
  <c r="K5" i="351"/>
  <c r="D2" i="342"/>
  <c r="D6" i="134"/>
  <c r="H27" i="136"/>
  <c r="H48" i="136" s="1"/>
  <c r="L63" i="305"/>
  <c r="L109" i="255" s="1"/>
  <c r="C104" i="146"/>
  <c r="B141" i="100"/>
  <c r="A1" i="300" s="1"/>
  <c r="D2" i="144"/>
  <c r="D2" i="336"/>
  <c r="G179" i="248"/>
  <c r="G33" i="253"/>
  <c r="G35" i="253" s="1"/>
  <c r="F64" i="86" s="1"/>
  <c r="I96" i="363"/>
  <c r="I97" i="363" s="1"/>
  <c r="K58" i="253"/>
  <c r="L34" i="255"/>
  <c r="L9" i="127" s="1"/>
  <c r="Q9" i="137" s="1"/>
  <c r="E20" i="248"/>
  <c r="E22" i="248" s="1"/>
  <c r="E110" i="134"/>
  <c r="D2" i="134"/>
  <c r="J28" i="343"/>
  <c r="J8" i="126" s="1"/>
  <c r="C7" i="294" s="1"/>
  <c r="E6" i="358"/>
  <c r="B103" i="100"/>
  <c r="A1" i="127" s="1"/>
  <c r="I196" i="351"/>
  <c r="E3" i="294"/>
  <c r="B338" i="364"/>
  <c r="B2550" i="364"/>
  <c r="B179" i="364"/>
  <c r="B2266" i="364"/>
  <c r="B938" i="364"/>
  <c r="B172" i="364"/>
  <c r="B773" i="364"/>
  <c r="B1395" i="364"/>
  <c r="B446" i="364"/>
  <c r="B1108" i="364"/>
  <c r="B1802" i="364"/>
  <c r="B1060" i="364"/>
  <c r="B1700" i="364"/>
  <c r="B2333" i="364"/>
  <c r="B2783" i="364"/>
  <c r="B2680" i="364"/>
  <c r="B2728" i="364"/>
  <c r="B374" i="364"/>
  <c r="B1664" i="364"/>
  <c r="B413" i="364"/>
  <c r="B1548" i="364"/>
  <c r="B1907" i="364"/>
  <c r="B1919" i="364"/>
  <c r="B2034" i="364"/>
  <c r="B2557" i="364"/>
  <c r="B2535" i="364"/>
  <c r="B219" i="364"/>
  <c r="B375" i="364"/>
  <c r="B1228" i="364"/>
  <c r="B604" i="364"/>
  <c r="B278" i="364"/>
  <c r="B1884" i="364"/>
  <c r="B2679" i="364"/>
  <c r="B877" i="364"/>
  <c r="B1274" i="364"/>
  <c r="B873" i="364"/>
  <c r="U39" i="343"/>
  <c r="J6" i="349"/>
  <c r="K25" i="126"/>
  <c r="K340" i="343"/>
  <c r="E110" i="248"/>
  <c r="J75" i="248"/>
  <c r="J79" i="248" s="1"/>
  <c r="J6" i="367"/>
  <c r="F34" i="337"/>
  <c r="B152" i="100"/>
  <c r="A1" i="256" s="1"/>
  <c r="F106" i="363"/>
  <c r="F107" i="363" s="1"/>
  <c r="D41" i="253"/>
  <c r="D45" i="253" s="1"/>
  <c r="C65" i="86" s="1"/>
  <c r="D340" i="343"/>
  <c r="D341" i="343" s="1"/>
  <c r="B151" i="100"/>
  <c r="A1" i="294" s="1"/>
  <c r="M110" i="363"/>
  <c r="B2288" i="364"/>
  <c r="B2866" i="364"/>
  <c r="B2551" i="364"/>
  <c r="B1122" i="364"/>
  <c r="B1772" i="364"/>
  <c r="B2032" i="364"/>
  <c r="B2388" i="364"/>
  <c r="B2686" i="364"/>
  <c r="B450" i="364"/>
  <c r="B2578" i="364"/>
  <c r="B250" i="364"/>
  <c r="B2167" i="364"/>
  <c r="B906" i="364"/>
  <c r="B156" i="364"/>
  <c r="B789" i="364"/>
  <c r="B1417" i="364"/>
  <c r="B462" i="364"/>
  <c r="B1130" i="364"/>
  <c r="B1834" i="364"/>
  <c r="B1092" i="364"/>
  <c r="B1732" i="364"/>
  <c r="B2361" i="364"/>
  <c r="B2721" i="364"/>
  <c r="B2716" i="364"/>
  <c r="B893" i="364"/>
  <c r="B492" i="364"/>
  <c r="B1896" i="364"/>
  <c r="B522" i="364"/>
  <c r="B2054" i="364"/>
  <c r="B1940" i="364"/>
  <c r="B1941" i="364"/>
  <c r="B2049" i="364"/>
  <c r="B2583" i="364"/>
  <c r="B2585" i="364"/>
  <c r="B139" i="364"/>
  <c r="B403" i="364"/>
  <c r="B1344" i="364"/>
  <c r="B298" i="364"/>
  <c r="B299" i="364"/>
  <c r="B2504" i="364"/>
  <c r="B894" i="364"/>
  <c r="B941" i="364"/>
  <c r="B1338" i="364"/>
  <c r="B1712" i="364"/>
  <c r="U138" i="343"/>
  <c r="K142" i="343"/>
  <c r="I14" i="146"/>
  <c r="F110" i="248"/>
  <c r="B2601" i="364"/>
  <c r="B43" i="364"/>
  <c r="B506" i="364"/>
  <c r="B1575" i="364"/>
  <c r="B234" i="364"/>
  <c r="B334" i="364"/>
  <c r="B328" i="364"/>
  <c r="B1090" i="364"/>
  <c r="B1045" i="364"/>
  <c r="B1402" i="364"/>
  <c r="D74" i="134"/>
  <c r="I182" i="248"/>
  <c r="I6" i="134"/>
  <c r="E110" i="349"/>
  <c r="G8" i="253"/>
  <c r="G10" i="253" s="1"/>
  <c r="I71" i="363"/>
  <c r="I76" i="363" s="1"/>
  <c r="M97" i="363"/>
  <c r="C107" i="248"/>
  <c r="F74" i="367"/>
  <c r="D2" i="133"/>
  <c r="D52" i="316"/>
  <c r="Q3" i="300"/>
  <c r="I105" i="248"/>
  <c r="C6" i="367"/>
  <c r="A149" i="343"/>
  <c r="A148" i="342"/>
  <c r="V340" i="342"/>
  <c r="F74" i="126"/>
  <c r="F59" i="253"/>
  <c r="B104" i="100"/>
  <c r="A1" i="343" s="1"/>
  <c r="B109" i="100"/>
  <c r="A1" i="253" s="1"/>
  <c r="D2" i="147"/>
  <c r="B148" i="100"/>
  <c r="A1" i="349" s="1"/>
  <c r="F25" i="248"/>
  <c r="G18" i="253"/>
  <c r="G22" i="253" s="1"/>
  <c r="H338" i="342"/>
  <c r="H47" i="248"/>
  <c r="I74" i="349"/>
  <c r="D74" i="367"/>
  <c r="A5" i="342"/>
  <c r="B2760" i="364"/>
  <c r="B2827" i="364"/>
  <c r="B1649" i="364"/>
  <c r="B734" i="364"/>
  <c r="B1250" i="364"/>
  <c r="B803" i="364"/>
  <c r="B490" i="364"/>
  <c r="B109" i="364"/>
  <c r="B714" i="364"/>
  <c r="B1154" i="364"/>
  <c r="B331" i="364"/>
  <c r="B285" i="364"/>
  <c r="B50" i="364"/>
  <c r="B2616" i="364"/>
  <c r="B2722" i="364"/>
  <c r="B2384" i="364"/>
  <c r="B2708" i="364"/>
  <c r="B1887" i="364"/>
  <c r="B2085" i="364"/>
  <c r="B1995" i="364"/>
  <c r="B514" i="364"/>
  <c r="B138" i="364"/>
  <c r="B862" i="364"/>
  <c r="B548" i="364"/>
  <c r="B39" i="364"/>
  <c r="B2609" i="364"/>
  <c r="B2599" i="364"/>
  <c r="B2038" i="364"/>
  <c r="B1880" i="364"/>
  <c r="B1872" i="364"/>
  <c r="B1586" i="364"/>
  <c r="B1074" i="364"/>
  <c r="B1261" i="364"/>
  <c r="B36" i="100"/>
  <c r="B1457" i="364"/>
  <c r="B610" i="364"/>
  <c r="B994" i="364"/>
  <c r="B665" i="364"/>
  <c r="B391" i="364"/>
  <c r="B61" i="364"/>
  <c r="B63" i="364"/>
  <c r="B883" i="364"/>
  <c r="B1563" i="364"/>
  <c r="B203" i="364"/>
  <c r="B178" i="364"/>
  <c r="B2570" i="364"/>
  <c r="B2812" i="364"/>
  <c r="B2339" i="364"/>
  <c r="B2556" i="364"/>
  <c r="B1837" i="364"/>
  <c r="B2021" i="364"/>
  <c r="B1863" i="364"/>
  <c r="B354" i="364"/>
  <c r="B51" i="364"/>
  <c r="B1511" i="364"/>
  <c r="B367" i="364"/>
  <c r="B224" i="364"/>
  <c r="B2543" i="364"/>
  <c r="B2514" i="364"/>
  <c r="B1974" i="364"/>
  <c r="B1816" i="364"/>
  <c r="B1808" i="364"/>
  <c r="B1540" i="364"/>
  <c r="B1028" i="364"/>
  <c r="B388" i="364"/>
  <c r="B2445" i="364"/>
  <c r="B1393" i="364"/>
  <c r="B569" i="364"/>
  <c r="B931" i="364"/>
  <c r="B601" i="364"/>
  <c r="B371" i="364"/>
  <c r="B45" i="364"/>
  <c r="B95" i="364"/>
  <c r="B2353" i="364"/>
  <c r="B1324" i="364"/>
  <c r="B176" i="364"/>
  <c r="B216" i="364"/>
  <c r="B2554" i="364"/>
  <c r="B2791" i="364"/>
  <c r="B2320" i="364"/>
  <c r="B2509" i="364"/>
  <c r="B1823" i="364"/>
  <c r="B2002" i="364"/>
  <c r="B16" i="100"/>
  <c r="K3" i="255" s="1"/>
  <c r="B315" i="364"/>
  <c r="B19" i="364"/>
  <c r="B1383" i="364"/>
  <c r="B335" i="364"/>
  <c r="B318" i="364"/>
  <c r="B2523" i="364"/>
  <c r="B2494" i="364"/>
  <c r="B1949" i="364"/>
  <c r="B1794" i="364"/>
  <c r="B1786" i="364"/>
  <c r="B1522" i="364"/>
  <c r="B1010" i="364"/>
  <c r="B499" i="364"/>
  <c r="B2217" i="364"/>
  <c r="B1137" i="364"/>
  <c r="B421" i="364"/>
  <c r="B1821" i="364"/>
  <c r="B411" i="364"/>
  <c r="B270" i="364"/>
  <c r="B2622" i="364"/>
  <c r="B230" i="364"/>
  <c r="B1472" i="364"/>
  <c r="B1885" i="364"/>
  <c r="B90" i="364"/>
  <c r="B682" i="364"/>
  <c r="B2859" i="364"/>
  <c r="B2666" i="364"/>
  <c r="B2256" i="364"/>
  <c r="B2393" i="364"/>
  <c r="B2872" i="364"/>
  <c r="B1921" i="364"/>
  <c r="B1698" i="364"/>
  <c r="B1051" i="364"/>
  <c r="B346" i="364"/>
  <c r="B625" i="364"/>
  <c r="B1461" i="364"/>
  <c r="B82" i="364"/>
  <c r="B2792" i="364"/>
  <c r="B2784" i="364"/>
  <c r="B2684" i="364"/>
  <c r="B2654" i="364"/>
  <c r="B2440" i="364"/>
  <c r="B1458" i="364"/>
  <c r="B945" i="364"/>
  <c r="B2620" i="364"/>
  <c r="B1466" i="364"/>
  <c r="B556" i="364"/>
  <c r="B1971" i="364"/>
  <c r="B1100" i="364"/>
  <c r="B1489" i="364"/>
  <c r="B690" i="364"/>
  <c r="B275" i="364"/>
  <c r="B2741" i="364"/>
  <c r="B2203" i="364"/>
  <c r="B431" i="364"/>
  <c r="B390" i="364"/>
  <c r="B1333" i="364"/>
  <c r="B2657" i="364"/>
  <c r="B2502" i="364"/>
  <c r="B2128" i="364"/>
  <c r="B2220" i="364"/>
  <c r="B2431" i="364"/>
  <c r="B1793" i="364"/>
  <c r="B1728" i="364"/>
  <c r="B419" i="364"/>
  <c r="B210" i="364"/>
  <c r="B706" i="364"/>
  <c r="B186" i="364"/>
  <c r="B101" i="364"/>
  <c r="B2534" i="364"/>
  <c r="B2377" i="364"/>
  <c r="B2323" i="364"/>
  <c r="B2307" i="364"/>
  <c r="B1976" i="364"/>
  <c r="B1330" i="364"/>
  <c r="B817" i="364"/>
  <c r="B66" i="364"/>
  <c r="B1023" i="364"/>
  <c r="B1210" i="364"/>
  <c r="B1806" i="364"/>
  <c r="B2762" i="364"/>
  <c r="B652" i="364"/>
  <c r="B977" i="364"/>
  <c r="B394" i="364"/>
  <c r="B151" i="364"/>
  <c r="B251" i="364"/>
  <c r="B1275" i="364"/>
  <c r="B319" i="364"/>
  <c r="B197" i="364"/>
  <c r="B2849" i="364"/>
  <c r="B2569" i="364"/>
  <c r="B2855" i="364"/>
  <c r="B2064" i="364"/>
  <c r="B2137" i="364"/>
  <c r="B2341" i="364"/>
  <c r="B2611" i="364"/>
  <c r="B1088" i="364"/>
  <c r="B247" i="364"/>
  <c r="B18" i="364"/>
  <c r="B379" i="364"/>
  <c r="B74" i="364"/>
  <c r="B2375" i="364"/>
  <c r="B2443" i="364"/>
  <c r="B2294" i="364"/>
  <c r="B2209" i="364"/>
  <c r="B2190" i="364"/>
  <c r="B1792" i="364"/>
  <c r="B1266" i="364"/>
  <c r="B1688" i="364"/>
  <c r="B954" i="364"/>
  <c r="B1301" i="364"/>
  <c r="B2119" i="364"/>
  <c r="B1864" i="364"/>
  <c r="B1568" i="364"/>
  <c r="B253" i="364"/>
  <c r="B23" i="364"/>
  <c r="B2432" i="364"/>
  <c r="B755" i="364"/>
  <c r="B1717" i="364"/>
  <c r="B30" i="364"/>
  <c r="B2782" i="364"/>
  <c r="B2491" i="364"/>
  <c r="B2638" i="364"/>
  <c r="B2000" i="364"/>
  <c r="B2052" i="364"/>
  <c r="B2258" i="364"/>
  <c r="B2335" i="364"/>
  <c r="B2020" i="364"/>
  <c r="B650" i="364"/>
  <c r="B2237" i="364"/>
  <c r="B1435" i="364"/>
  <c r="B1297" i="364"/>
  <c r="B2818" i="364"/>
  <c r="B2868" i="364"/>
  <c r="B2204" i="364"/>
  <c r="B2096" i="364"/>
  <c r="B2077" i="364"/>
  <c r="B1714" i="364"/>
  <c r="B1202" i="364"/>
  <c r="C29" i="253"/>
  <c r="C31" i="253" s="1"/>
  <c r="C49" i="248"/>
  <c r="C50" i="248" s="1"/>
  <c r="C74" i="350"/>
  <c r="B489" i="364"/>
  <c r="B286" i="364"/>
  <c r="B1538" i="364"/>
  <c r="B339" i="364"/>
  <c r="B1410" i="364"/>
  <c r="B2111" i="364"/>
  <c r="B2073" i="364"/>
  <c r="B2162" i="364"/>
  <c r="B2711" i="364"/>
  <c r="B2682" i="364"/>
  <c r="B240" i="364"/>
  <c r="B829" i="364"/>
  <c r="B1050" i="364"/>
  <c r="B19" i="100"/>
  <c r="I2" i="139" s="1"/>
  <c r="B845" i="364"/>
  <c r="B438" i="364"/>
  <c r="B1506" i="364"/>
  <c r="B1685" i="364"/>
  <c r="B1722" i="364"/>
  <c r="B38" i="364"/>
  <c r="F118" i="134"/>
  <c r="K61" i="343"/>
  <c r="K11" i="126" s="1"/>
  <c r="D104" i="248"/>
  <c r="H87" i="363"/>
  <c r="C25" i="316"/>
  <c r="C59" i="316" s="1"/>
  <c r="C63" i="305"/>
  <c r="C109" i="255" s="1"/>
  <c r="E139" i="350"/>
  <c r="E60" i="248"/>
  <c r="E61" i="248" s="1"/>
  <c r="L88" i="363"/>
  <c r="L340" i="343"/>
  <c r="B101" i="100"/>
  <c r="A1" i="133" s="1"/>
  <c r="C39" i="126"/>
  <c r="D9" i="133"/>
  <c r="B2700" i="364"/>
  <c r="B2691" i="364"/>
  <c r="B7" i="364"/>
  <c r="B1487" i="364"/>
  <c r="B1977" i="364"/>
  <c r="B2299" i="364"/>
  <c r="B2719" i="364"/>
  <c r="B133" i="364"/>
  <c r="B899" i="364"/>
  <c r="B2810" i="364"/>
  <c r="B521" i="364"/>
  <c r="B1699" i="364"/>
  <c r="B679" i="364"/>
  <c r="B44" i="364"/>
  <c r="B901" i="364"/>
  <c r="B1564" i="364"/>
  <c r="B574" i="364"/>
  <c r="B1281" i="364"/>
  <c r="B2188" i="364"/>
  <c r="B1220" i="364"/>
  <c r="B2088" i="364"/>
  <c r="B2846" i="364"/>
  <c r="B2121" i="364"/>
  <c r="B2465" i="364"/>
  <c r="B259" i="364"/>
  <c r="B444" i="364"/>
  <c r="B1852" i="364"/>
  <c r="B449" i="364"/>
  <c r="B1955" i="364"/>
  <c r="B2149" i="364"/>
  <c r="B2116" i="364"/>
  <c r="B2192" i="364"/>
  <c r="B2833" i="364"/>
  <c r="B2713" i="364"/>
  <c r="B326" i="364"/>
  <c r="B1607" i="364"/>
  <c r="B1378" i="364"/>
  <c r="B87" i="364"/>
  <c r="B1415" i="364"/>
  <c r="B546" i="364"/>
  <c r="B1690" i="364"/>
  <c r="B2050" i="364"/>
  <c r="B1916" i="364"/>
  <c r="M76" i="363"/>
  <c r="K28" i="86"/>
  <c r="D18" i="248"/>
  <c r="F81" i="248"/>
  <c r="F113" i="248" s="1"/>
  <c r="N24" i="143"/>
  <c r="K10" i="253"/>
  <c r="K184" i="248"/>
  <c r="K186" i="248" s="1"/>
  <c r="K110" i="349"/>
  <c r="J110" i="358"/>
  <c r="G92" i="248"/>
  <c r="G139" i="367"/>
  <c r="H44" i="86"/>
  <c r="I38" i="131"/>
  <c r="B146" i="100"/>
  <c r="A1" i="134" s="1"/>
  <c r="F25" i="351"/>
  <c r="Q3" i="298"/>
  <c r="B2825" i="364"/>
  <c r="B2775" i="364"/>
  <c r="B174" i="364"/>
  <c r="B1512" i="364"/>
  <c r="B2013" i="364"/>
  <c r="B2337" i="364"/>
  <c r="B2472" i="364"/>
  <c r="B1681" i="364"/>
  <c r="B1186" i="364"/>
  <c r="B2845" i="364"/>
  <c r="B705" i="364"/>
  <c r="B1667" i="364"/>
  <c r="B647" i="364"/>
  <c r="B28" i="364"/>
  <c r="B917" i="364"/>
  <c r="B1587" i="364"/>
  <c r="B590" i="364"/>
  <c r="B1300" i="364"/>
  <c r="B2246" i="364"/>
  <c r="B1234" i="364"/>
  <c r="B2143" i="364"/>
  <c r="B2739" i="364"/>
  <c r="B2140" i="364"/>
  <c r="B2483" i="364"/>
  <c r="B195" i="364"/>
  <c r="B641" i="364"/>
  <c r="B2193" i="364"/>
  <c r="B572" i="364"/>
  <c r="B2262" i="364"/>
  <c r="B2175" i="364"/>
  <c r="B2156" i="364"/>
  <c r="B2211" i="364"/>
  <c r="B2858" i="364"/>
  <c r="B2767" i="364"/>
  <c r="B457" i="364"/>
  <c r="B807" i="364"/>
  <c r="B1498" i="364"/>
  <c r="B119" i="364"/>
  <c r="B1671" i="364"/>
  <c r="B724" i="364"/>
  <c r="B1762" i="364"/>
  <c r="B2274" i="364"/>
  <c r="B2018" i="364"/>
  <c r="H6" i="350"/>
  <c r="L71" i="363"/>
  <c r="L76" i="363" s="1"/>
  <c r="K138" i="343"/>
  <c r="K18" i="126" s="1"/>
  <c r="P17" i="140" s="1"/>
  <c r="H134" i="363"/>
  <c r="L168" i="363"/>
  <c r="H189" i="363"/>
  <c r="K226" i="363"/>
  <c r="D128" i="248"/>
  <c r="B107" i="100"/>
  <c r="A1" i="237" s="1"/>
  <c r="B137" i="100"/>
  <c r="A1" i="137" s="1"/>
  <c r="J42" i="133"/>
  <c r="P42" i="298" s="1"/>
  <c r="E98" i="351"/>
  <c r="H71" i="363"/>
  <c r="D6" i="367"/>
  <c r="Q6" i="343"/>
  <c r="G39" i="248"/>
  <c r="G6" i="350"/>
  <c r="J118" i="134"/>
  <c r="B100" i="100"/>
  <c r="A1" i="86" s="1"/>
  <c r="E19" i="133"/>
  <c r="H88" i="363"/>
  <c r="C118" i="367"/>
  <c r="K106" i="363"/>
  <c r="K107" i="363" s="1"/>
  <c r="I245" i="363"/>
  <c r="C6" i="253"/>
  <c r="C10" i="253" s="1"/>
  <c r="E71" i="363"/>
  <c r="E76" i="363" s="1"/>
  <c r="I106" i="248"/>
  <c r="I53" i="248"/>
  <c r="I110" i="350"/>
  <c r="H6" i="358"/>
  <c r="D147" i="351"/>
  <c r="B105" i="100"/>
  <c r="A1" i="129" s="1"/>
  <c r="C120" i="248"/>
  <c r="G11" i="88"/>
  <c r="I45" i="253"/>
  <c r="I46" i="253" s="1"/>
  <c r="L75" i="363"/>
  <c r="G63" i="305"/>
  <c r="G109" i="255" s="1"/>
  <c r="I104" i="146"/>
  <c r="J46" i="146"/>
  <c r="D74" i="349"/>
  <c r="K79" i="253"/>
  <c r="K60" i="86" s="1"/>
  <c r="E100" i="363"/>
  <c r="I74" i="358"/>
  <c r="K74" i="358"/>
  <c r="K27" i="131"/>
  <c r="J43" i="86" s="1"/>
  <c r="J31" i="253"/>
  <c r="C117" i="248"/>
  <c r="B153" i="100"/>
  <c r="A1" i="296" s="1"/>
  <c r="H63" i="126"/>
  <c r="G27" i="86" s="1"/>
  <c r="I112" i="123" s="1"/>
  <c r="F82" i="146"/>
  <c r="J44" i="139"/>
  <c r="G105" i="248"/>
  <c r="F99" i="123"/>
  <c r="C47" i="136"/>
  <c r="C48" i="136" s="1"/>
  <c r="K214" i="363"/>
  <c r="E41" i="123"/>
  <c r="K126" i="248"/>
  <c r="F63" i="305"/>
  <c r="G199" i="363"/>
  <c r="S171" i="343"/>
  <c r="P37" i="246"/>
  <c r="P41" i="246" s="1"/>
  <c r="H54" i="248"/>
  <c r="K108" i="248"/>
  <c r="E110" i="358"/>
  <c r="C38" i="133"/>
  <c r="H38" i="233"/>
  <c r="L49" i="88"/>
  <c r="M37" i="246"/>
  <c r="M41" i="246" s="1"/>
  <c r="R21" i="246"/>
  <c r="D79" i="253"/>
  <c r="C60" i="86" s="1"/>
  <c r="I79" i="253"/>
  <c r="I60" i="86" s="1"/>
  <c r="C37" i="246"/>
  <c r="C41" i="246" s="1"/>
  <c r="C20" i="233"/>
  <c r="E21" i="126"/>
  <c r="H235" i="363"/>
  <c r="C59" i="253"/>
  <c r="H67" i="144"/>
  <c r="H12" i="237" s="1"/>
  <c r="A46" i="316"/>
  <c r="K37" i="148"/>
  <c r="H5" i="133"/>
  <c r="E226" i="363"/>
  <c r="J110" i="367"/>
  <c r="G186" i="248"/>
  <c r="F179" i="248"/>
  <c r="D38" i="131"/>
  <c r="D40" i="131" s="1"/>
  <c r="G23" i="139"/>
  <c r="F42" i="128"/>
  <c r="D24" i="128"/>
  <c r="D53" i="128" s="1"/>
  <c r="D115" i="128" s="1"/>
  <c r="D11" i="129" s="1"/>
  <c r="D12" i="129" s="1"/>
  <c r="C12" i="129"/>
  <c r="B35" i="86" s="1"/>
  <c r="I55" i="123"/>
  <c r="I34" i="129"/>
  <c r="H37" i="86" s="1"/>
  <c r="E24" i="129"/>
  <c r="D36" i="86" s="1"/>
  <c r="E29" i="128"/>
  <c r="E184" i="255" s="1"/>
  <c r="E186" i="255" s="1"/>
  <c r="E30" i="127" s="1"/>
  <c r="F185" i="255"/>
  <c r="G61" i="128"/>
  <c r="J56" i="128" s="1"/>
  <c r="O5" i="137"/>
  <c r="K92" i="123"/>
  <c r="L92" i="123"/>
  <c r="K45" i="123"/>
  <c r="I5" i="86"/>
  <c r="E29" i="127"/>
  <c r="L29" i="127"/>
  <c r="Q29" i="137" s="1"/>
  <c r="P38" i="95"/>
  <c r="D29" i="127"/>
  <c r="K29" i="127"/>
  <c r="O38" i="95"/>
  <c r="J29" i="127"/>
  <c r="N38" i="95"/>
  <c r="I29" i="127"/>
  <c r="H29" i="127"/>
  <c r="G29" i="127"/>
  <c r="F29" i="127"/>
  <c r="J114" i="128"/>
  <c r="P8" i="137"/>
  <c r="K11" i="86"/>
  <c r="A18" i="255"/>
  <c r="B15" i="86"/>
  <c r="J9" i="86"/>
  <c r="P19" i="137"/>
  <c r="F92" i="123"/>
  <c r="D5" i="86"/>
  <c r="F45" i="123"/>
  <c r="F37" i="123" s="1"/>
  <c r="I17" i="86"/>
  <c r="D45" i="123"/>
  <c r="E37" i="123" s="1"/>
  <c r="H17" i="86"/>
  <c r="G99" i="123"/>
  <c r="G97" i="123"/>
  <c r="F97" i="123"/>
  <c r="E97" i="123"/>
  <c r="K55" i="253"/>
  <c r="J54" i="123"/>
  <c r="J10" i="123" s="1"/>
  <c r="I36" i="237" s="1"/>
  <c r="I29" i="237" s="1"/>
  <c r="I32" i="237" s="1"/>
  <c r="I14" i="237" s="1"/>
  <c r="I18" i="237" s="1"/>
  <c r="H49" i="86" s="1"/>
  <c r="J15" i="255"/>
  <c r="J6" i="127" s="1"/>
  <c r="A15" i="255"/>
  <c r="J17" i="88"/>
  <c r="H92" i="123"/>
  <c r="G45" i="123"/>
  <c r="I11" i="86"/>
  <c r="K97" i="123" s="1"/>
  <c r="H21" i="255"/>
  <c r="H7" i="127" s="1"/>
  <c r="I47" i="123" s="1"/>
  <c r="J39" i="123" s="1"/>
  <c r="M47" i="123"/>
  <c r="Q7" i="137"/>
  <c r="E27" i="255"/>
  <c r="E8" i="127" s="1"/>
  <c r="F48" i="123" s="1"/>
  <c r="F34" i="255"/>
  <c r="F9" i="127" s="1"/>
  <c r="G49" i="123" s="1"/>
  <c r="G79" i="253"/>
  <c r="F60" i="86" s="1"/>
  <c r="I97" i="123"/>
  <c r="L35" i="237"/>
  <c r="J11" i="88"/>
  <c r="E39" i="129"/>
  <c r="D38" i="86" s="1"/>
  <c r="L39" i="129"/>
  <c r="K38" i="86" s="1"/>
  <c r="E52" i="128"/>
  <c r="I11" i="88"/>
  <c r="E11" i="88"/>
  <c r="H35" i="237"/>
  <c r="H11" i="88"/>
  <c r="F39" i="129"/>
  <c r="E38" i="86" s="1"/>
  <c r="J15" i="123"/>
  <c r="G46" i="128"/>
  <c r="F31" i="128"/>
  <c r="F30" i="128" s="1"/>
  <c r="F39" i="128"/>
  <c r="G35" i="128"/>
  <c r="J35" i="128"/>
  <c r="G25" i="128"/>
  <c r="J25" i="128"/>
  <c r="N39" i="95" s="1"/>
  <c r="G43" i="128"/>
  <c r="J43" i="128"/>
  <c r="J46" i="128"/>
  <c r="I15" i="123"/>
  <c r="D11" i="88"/>
  <c r="C11" i="88"/>
  <c r="H71" i="144"/>
  <c r="J39" i="129"/>
  <c r="I38" i="86" s="1"/>
  <c r="F36" i="86"/>
  <c r="D35" i="237"/>
  <c r="F15" i="123"/>
  <c r="E15" i="123"/>
  <c r="F55" i="123"/>
  <c r="F84" i="123" s="1"/>
  <c r="E55" i="123"/>
  <c r="E84" i="123" s="1"/>
  <c r="J35" i="237"/>
  <c r="L55" i="123"/>
  <c r="I84" i="123" s="1"/>
  <c r="L15" i="123"/>
  <c r="F11" i="88"/>
  <c r="K11" i="88"/>
  <c r="J34" i="129"/>
  <c r="L11" i="88"/>
  <c r="D71" i="144"/>
  <c r="G55" i="123"/>
  <c r="I71" i="144"/>
  <c r="J71" i="144"/>
  <c r="H15" i="123"/>
  <c r="C71" i="144"/>
  <c r="G15" i="123"/>
  <c r="F34" i="129"/>
  <c r="G46" i="123"/>
  <c r="O12" i="299"/>
  <c r="I20" i="233"/>
  <c r="F46" i="123"/>
  <c r="K107" i="123"/>
  <c r="I32" i="86"/>
  <c r="K110" i="123" s="1"/>
  <c r="Q8" i="140"/>
  <c r="E8" i="294"/>
  <c r="A294" i="342"/>
  <c r="A34" i="233" s="1"/>
  <c r="A16" i="233"/>
  <c r="A16" i="299" s="1"/>
  <c r="A34" i="299" s="1"/>
  <c r="D20" i="233"/>
  <c r="Q16" i="140"/>
  <c r="E16" i="294"/>
  <c r="P340" i="342"/>
  <c r="C63" i="126"/>
  <c r="B27" i="86" s="1"/>
  <c r="D112" i="123" s="1"/>
  <c r="D21" i="126"/>
  <c r="J105" i="248"/>
  <c r="O19" i="140"/>
  <c r="K17" i="133"/>
  <c r="Q17" i="298" s="1"/>
  <c r="D32" i="86"/>
  <c r="F108" i="123" s="1"/>
  <c r="J120" i="248"/>
  <c r="J17" i="133"/>
  <c r="J15" i="133" s="1"/>
  <c r="P15" i="298" s="1"/>
  <c r="F2" i="362"/>
  <c r="E2" i="249"/>
  <c r="J2" i="131"/>
  <c r="K2" i="141"/>
  <c r="I2" i="249"/>
  <c r="E2" i="139"/>
  <c r="M3" i="141"/>
  <c r="K3" i="349"/>
  <c r="Q3" i="299"/>
  <c r="M107" i="363"/>
  <c r="K47" i="249"/>
  <c r="J107" i="363"/>
  <c r="J88" i="363"/>
  <c r="E38" i="233"/>
  <c r="O340" i="342"/>
  <c r="F5" i="133"/>
  <c r="O30" i="298"/>
  <c r="M3" i="368"/>
  <c r="A127" i="343"/>
  <c r="N340" i="342"/>
  <c r="B28" i="100"/>
  <c r="B26" i="100"/>
  <c r="B24" i="100"/>
  <c r="N2" i="139" s="1"/>
  <c r="M340" i="342"/>
  <c r="E17" i="133"/>
  <c r="E15" i="133" s="1"/>
  <c r="I32" i="133"/>
  <c r="O32" i="298" s="1"/>
  <c r="E34" i="337"/>
  <c r="F32" i="133"/>
  <c r="E20" i="233"/>
  <c r="D5" i="294"/>
  <c r="M3" i="256"/>
  <c r="E2" i="305"/>
  <c r="I18" i="248"/>
  <c r="L107" i="363"/>
  <c r="P20" i="298"/>
  <c r="D59" i="316"/>
  <c r="B29" i="100"/>
  <c r="B25" i="100"/>
  <c r="T3" i="127" s="1"/>
  <c r="B23" i="100"/>
  <c r="Q3" i="342" s="1"/>
  <c r="B21" i="100"/>
  <c r="O3" i="342" s="1"/>
  <c r="D38" i="233"/>
  <c r="G34" i="129"/>
  <c r="F42" i="123"/>
  <c r="J63" i="305"/>
  <c r="K100" i="146"/>
  <c r="J74" i="350"/>
  <c r="J139" i="350"/>
  <c r="C28" i="248"/>
  <c r="Q37" i="127"/>
  <c r="D48" i="337"/>
  <c r="I67" i="144"/>
  <c r="J12" i="237" s="1"/>
  <c r="J66" i="146"/>
  <c r="J20" i="301"/>
  <c r="K134" i="363"/>
  <c r="I143" i="363"/>
  <c r="J79" i="253"/>
  <c r="J60" i="86" s="1"/>
  <c r="H74" i="134"/>
  <c r="K34" i="129"/>
  <c r="L32" i="305"/>
  <c r="I32" i="305"/>
  <c r="I108" i="255" s="1"/>
  <c r="Q32" i="300"/>
  <c r="Q36" i="300" s="1"/>
  <c r="G122" i="248"/>
  <c r="D79" i="248"/>
  <c r="K82" i="248"/>
  <c r="I37" i="246"/>
  <c r="I41" i="246" s="1"/>
  <c r="H47" i="131"/>
  <c r="H50" i="131" s="1"/>
  <c r="J42" i="123"/>
  <c r="H48" i="337"/>
  <c r="J32" i="142"/>
  <c r="J27" i="136"/>
  <c r="J48" i="136" s="1"/>
  <c r="J53" i="316"/>
  <c r="K32" i="305"/>
  <c r="K108" i="255" s="1"/>
  <c r="I20" i="301"/>
  <c r="O30" i="139"/>
  <c r="O21" i="139"/>
  <c r="O23" i="139" s="1"/>
  <c r="O9" i="139"/>
  <c r="L134" i="363"/>
  <c r="L180" i="363"/>
  <c r="J189" i="363"/>
  <c r="I107" i="248"/>
  <c r="F122" i="248"/>
  <c r="L72" i="343"/>
  <c r="L12" i="126" s="1"/>
  <c r="E53" i="316"/>
  <c r="J98" i="146"/>
  <c r="H66" i="146"/>
  <c r="F14" i="146"/>
  <c r="H20" i="301"/>
  <c r="I53" i="294"/>
  <c r="H53" i="294"/>
  <c r="L235" i="363"/>
  <c r="K22" i="253"/>
  <c r="G108" i="248"/>
  <c r="E127" i="248"/>
  <c r="D63" i="126"/>
  <c r="C27" i="86" s="1"/>
  <c r="E112" i="123" s="1"/>
  <c r="L83" i="343"/>
  <c r="L13" i="126" s="1"/>
  <c r="L27" i="131"/>
  <c r="K43" i="86" s="1"/>
  <c r="D53" i="316"/>
  <c r="K130" i="248"/>
  <c r="E89" i="248"/>
  <c r="C39" i="129"/>
  <c r="B38" i="86" s="1"/>
  <c r="F25" i="316"/>
  <c r="F59" i="316" s="1"/>
  <c r="I25" i="316"/>
  <c r="H37" i="148"/>
  <c r="F20" i="301"/>
  <c r="H79" i="253"/>
  <c r="G60" i="86" s="1"/>
  <c r="G180" i="363"/>
  <c r="E189" i="363"/>
  <c r="H226" i="363"/>
  <c r="M235" i="363"/>
  <c r="I59" i="253"/>
  <c r="G54" i="248"/>
  <c r="D110" i="134"/>
  <c r="D179" i="248"/>
  <c r="E128" i="248"/>
  <c r="C28" i="133"/>
  <c r="P171" i="343"/>
  <c r="Q28" i="343"/>
  <c r="J27" i="131"/>
  <c r="I43" i="86" s="1"/>
  <c r="H34" i="129"/>
  <c r="G32" i="305"/>
  <c r="G108" i="255" s="1"/>
  <c r="G92" i="123"/>
  <c r="G14" i="253"/>
  <c r="F62" i="86" s="1"/>
  <c r="D105" i="248"/>
  <c r="J106" i="248"/>
  <c r="G110" i="350"/>
  <c r="K131" i="248"/>
  <c r="I131" i="248"/>
  <c r="J179" i="248"/>
  <c r="G118" i="358"/>
  <c r="O11" i="140"/>
  <c r="C11" i="294"/>
  <c r="Q17" i="140"/>
  <c r="E17" i="294"/>
  <c r="E14" i="294"/>
  <c r="Q14" i="140"/>
  <c r="A14" i="299"/>
  <c r="A32" i="299" s="1"/>
  <c r="L2" i="246"/>
  <c r="O17" i="298"/>
  <c r="I15" i="133"/>
  <c r="O15" i="298" s="1"/>
  <c r="O31" i="299"/>
  <c r="I38" i="233"/>
  <c r="I74" i="351"/>
  <c r="O39" i="298"/>
  <c r="O36" i="298"/>
  <c r="G34" i="337"/>
  <c r="A261" i="342"/>
  <c r="A31" i="233" s="1"/>
  <c r="A13" i="233"/>
  <c r="C23" i="233"/>
  <c r="C38" i="233" s="1"/>
  <c r="C338" i="342"/>
  <c r="C15" i="255"/>
  <c r="C6" i="127" s="1"/>
  <c r="C57" i="253"/>
  <c r="P3" i="233"/>
  <c r="Q3" i="127"/>
  <c r="C8" i="126"/>
  <c r="C21" i="126" s="1"/>
  <c r="C171" i="343"/>
  <c r="Q19" i="137"/>
  <c r="K9" i="86"/>
  <c r="I47" i="337"/>
  <c r="G48" i="337"/>
  <c r="F48" i="337"/>
  <c r="I18" i="88"/>
  <c r="H5" i="86"/>
  <c r="J45" i="123"/>
  <c r="G25" i="248"/>
  <c r="J74" i="126"/>
  <c r="I60" i="316"/>
  <c r="D44" i="86"/>
  <c r="E38" i="131"/>
  <c r="K36" i="131"/>
  <c r="J44" i="86" s="1"/>
  <c r="K48" i="131"/>
  <c r="K49" i="88"/>
  <c r="J45" i="131"/>
  <c r="J89" i="343"/>
  <c r="J83" i="343" s="1"/>
  <c r="Q83" i="343"/>
  <c r="Q9" i="140"/>
  <c r="P3" i="342"/>
  <c r="G74" i="351"/>
  <c r="O14" i="298"/>
  <c r="C2132" i="364"/>
  <c r="C1452" i="364"/>
  <c r="C2663" i="364"/>
  <c r="C2363" i="364"/>
  <c r="C2088" i="364"/>
  <c r="C1228" i="364"/>
  <c r="C1382" i="364"/>
  <c r="C2115" i="364"/>
  <c r="C2519" i="364"/>
  <c r="C2120" i="364"/>
  <c r="C2504" i="364"/>
  <c r="C2410" i="364"/>
  <c r="C65" i="364"/>
  <c r="C1373" i="364"/>
  <c r="C1785" i="364"/>
  <c r="C1587" i="364"/>
  <c r="C207" i="364"/>
  <c r="C2003" i="364"/>
  <c r="C525" i="364"/>
  <c r="C843" i="364"/>
  <c r="C2689" i="364"/>
  <c r="C97" i="364"/>
  <c r="C1238" i="364"/>
  <c r="C1324" i="364"/>
  <c r="C432" i="364"/>
  <c r="C984" i="364"/>
  <c r="C1450" i="364"/>
  <c r="C745" i="364"/>
  <c r="C2206" i="364"/>
  <c r="C1967" i="364"/>
  <c r="C1827" i="364"/>
  <c r="C2170" i="364"/>
  <c r="C553" i="364"/>
  <c r="C1973" i="364"/>
  <c r="C2606" i="364"/>
  <c r="C599" i="364"/>
  <c r="C1318" i="364"/>
  <c r="C2350" i="364"/>
  <c r="C1486" i="364"/>
  <c r="C591" i="364"/>
  <c r="C1767" i="364"/>
  <c r="C137" i="364"/>
  <c r="C289" i="364"/>
  <c r="C2624" i="364"/>
  <c r="C1137" i="364"/>
  <c r="C309" i="364"/>
  <c r="C1544" i="364"/>
  <c r="C604" i="364"/>
  <c r="C1840" i="364"/>
  <c r="C145" i="364"/>
  <c r="C2522" i="364"/>
  <c r="C1355" i="364"/>
  <c r="C2676" i="364"/>
  <c r="C189" i="364"/>
  <c r="C165" i="364"/>
  <c r="C2770" i="364"/>
  <c r="C2520" i="364"/>
  <c r="C1590" i="364"/>
  <c r="C2030" i="364"/>
  <c r="C2339" i="364"/>
  <c r="C303" i="364"/>
  <c r="C1117" i="364"/>
  <c r="C2700" i="364"/>
  <c r="C1235" i="364"/>
  <c r="C375" i="364"/>
  <c r="C2005" i="364"/>
  <c r="C355" i="364"/>
  <c r="C673" i="364"/>
  <c r="C2466" i="364"/>
  <c r="C148" i="364"/>
  <c r="C861" i="364"/>
  <c r="C834" i="364"/>
  <c r="A1" i="143"/>
  <c r="C1195" i="364"/>
  <c r="C1164" i="364"/>
  <c r="C1505" i="364"/>
  <c r="C1733" i="364"/>
  <c r="C2413" i="364"/>
  <c r="C2010" i="364"/>
  <c r="C2462" i="364"/>
  <c r="C1801" i="364"/>
  <c r="C2172" i="364"/>
  <c r="C743" i="364"/>
  <c r="C2041" i="364"/>
  <c r="C2529" i="364"/>
  <c r="C5" i="364"/>
  <c r="C703" i="364"/>
  <c r="C1639" i="364"/>
  <c r="C2313" i="364"/>
  <c r="C501" i="364"/>
  <c r="C394" i="364"/>
  <c r="C759" i="364"/>
  <c r="C1002" i="364"/>
  <c r="C597" i="364"/>
  <c r="C1944" i="364"/>
  <c r="C584" i="364"/>
  <c r="C692" i="364"/>
  <c r="C2684" i="364"/>
  <c r="C457" i="364"/>
  <c r="C1138" i="364"/>
  <c r="C1219" i="364"/>
  <c r="C2784" i="364"/>
  <c r="C1903" i="364"/>
  <c r="C1417" i="364"/>
  <c r="C1555" i="364"/>
  <c r="C1268" i="364"/>
  <c r="C1258" i="364"/>
  <c r="C1625" i="364"/>
  <c r="C2767" i="364"/>
  <c r="C927" i="364"/>
  <c r="C1341" i="364"/>
  <c r="C1253" i="364"/>
  <c r="C961" i="364"/>
  <c r="C1535" i="364"/>
  <c r="C2636" i="364"/>
  <c r="C2025" i="364"/>
  <c r="C1007" i="364"/>
  <c r="C1678" i="364"/>
  <c r="C1818" i="364"/>
  <c r="C74" i="364"/>
  <c r="C229" i="364"/>
  <c r="C937" i="364"/>
  <c r="C963" i="364"/>
  <c r="C2246" i="364"/>
  <c r="C2314" i="364"/>
  <c r="C1142" i="364"/>
  <c r="C21" i="364"/>
  <c r="C1442" i="364"/>
  <c r="C1084" i="364"/>
  <c r="C2860" i="364"/>
  <c r="C2188" i="364"/>
  <c r="C2023" i="364"/>
  <c r="C957" i="364"/>
  <c r="C2165" i="364"/>
  <c r="C1942" i="364"/>
  <c r="C1083" i="364"/>
  <c r="C1890" i="364"/>
  <c r="C281" i="364"/>
  <c r="C1342" i="364"/>
  <c r="C818" i="364"/>
  <c r="C1432" i="364"/>
  <c r="C2031" i="364"/>
  <c r="C972" i="364"/>
  <c r="C1719" i="364"/>
  <c r="C2790" i="364"/>
  <c r="C115" i="364"/>
  <c r="C2445" i="364"/>
  <c r="C2573" i="364"/>
  <c r="C129" i="364"/>
  <c r="C2779" i="364"/>
  <c r="C2808" i="364"/>
  <c r="C685" i="364"/>
  <c r="C2527" i="364"/>
  <c r="C2229" i="364"/>
  <c r="C1538" i="364"/>
  <c r="C2297" i="364"/>
  <c r="C2436" i="364"/>
  <c r="C2048" i="364"/>
  <c r="C695" i="364"/>
  <c r="C2500" i="364"/>
  <c r="C2693" i="364"/>
  <c r="C616" i="364"/>
  <c r="C1131" i="364"/>
  <c r="C1377" i="364"/>
  <c r="C381" i="364"/>
  <c r="C392" i="364"/>
  <c r="C2687" i="364"/>
  <c r="C419" i="364"/>
  <c r="C1825" i="364"/>
  <c r="C308" i="364"/>
  <c r="C1305" i="364"/>
  <c r="C1579" i="364"/>
  <c r="C1755" i="364"/>
  <c r="C519" i="364"/>
  <c r="C2397" i="364"/>
  <c r="C2254" i="364"/>
  <c r="C301" i="364"/>
  <c r="C2435" i="364"/>
  <c r="C1525" i="364"/>
  <c r="C2830" i="364"/>
  <c r="C1298" i="364"/>
  <c r="C1882" i="364"/>
  <c r="C1729" i="364"/>
  <c r="C2060" i="364"/>
  <c r="C2554" i="364"/>
  <c r="C2099" i="364"/>
  <c r="C2379" i="364"/>
  <c r="C1192" i="364"/>
  <c r="C2456" i="364"/>
  <c r="C2498" i="364"/>
  <c r="C1772" i="364"/>
  <c r="C496" i="364"/>
  <c r="C2851" i="364"/>
  <c r="C580" i="364"/>
  <c r="C1163" i="364"/>
  <c r="C987" i="364"/>
  <c r="C2508" i="364"/>
  <c r="C1513" i="364"/>
  <c r="C2469" i="364"/>
  <c r="C2137" i="364"/>
  <c r="C2656" i="364"/>
  <c r="C1129" i="364"/>
  <c r="C2861" i="364"/>
  <c r="C1468" i="364"/>
  <c r="C2119" i="364"/>
  <c r="C2650" i="364"/>
  <c r="C2848" i="364"/>
  <c r="C1908" i="364"/>
  <c r="C2562" i="364"/>
  <c r="C60" i="364"/>
  <c r="C2720" i="364"/>
  <c r="C1499" i="364"/>
  <c r="C1361" i="364"/>
  <c r="C2427" i="364"/>
  <c r="C548" i="364"/>
  <c r="C657" i="364"/>
  <c r="C1323" i="364"/>
  <c r="C1307" i="364"/>
  <c r="C17" i="364"/>
  <c r="C1737" i="364"/>
  <c r="C2726" i="364"/>
  <c r="C123" i="364"/>
  <c r="C2865" i="364"/>
  <c r="C1301" i="364"/>
  <c r="C2571" i="364"/>
  <c r="C1975" i="364"/>
  <c r="C1202" i="364"/>
  <c r="C2365" i="364"/>
  <c r="C1877" i="364"/>
  <c r="C1905" i="364"/>
  <c r="C2605" i="364"/>
  <c r="C2476" i="364"/>
  <c r="C884" i="364"/>
  <c r="C1062" i="364"/>
  <c r="C2683" i="364"/>
  <c r="C1306" i="364"/>
  <c r="C2718" i="364"/>
  <c r="C2725" i="364"/>
  <c r="C2681" i="364"/>
  <c r="C1518" i="364"/>
  <c r="C141" i="364"/>
  <c r="C2873" i="364"/>
  <c r="C1055" i="364"/>
  <c r="C1757" i="364"/>
  <c r="C1189" i="364"/>
  <c r="C2107" i="364"/>
  <c r="C1606" i="364"/>
  <c r="C2212" i="364"/>
  <c r="C825" i="364"/>
  <c r="C1028" i="364"/>
  <c r="C2000" i="364"/>
  <c r="C2284" i="364"/>
  <c r="G180" i="248"/>
  <c r="G182" i="248" s="1"/>
  <c r="G74" i="349"/>
  <c r="H113" i="248"/>
  <c r="H50" i="248"/>
  <c r="G88" i="248"/>
  <c r="G118" i="367"/>
  <c r="I47" i="248"/>
  <c r="I38" i="88"/>
  <c r="I13" i="253"/>
  <c r="I14" i="253" s="1"/>
  <c r="K75" i="363"/>
  <c r="K76" i="363" s="1"/>
  <c r="G19" i="233"/>
  <c r="G20" i="233" s="1"/>
  <c r="G170" i="342"/>
  <c r="K5" i="233"/>
  <c r="Q5" i="299" s="1"/>
  <c r="K170" i="342"/>
  <c r="D8" i="294"/>
  <c r="F217" i="248"/>
  <c r="F97" i="363"/>
  <c r="K38" i="233"/>
  <c r="I21" i="127"/>
  <c r="D6" i="350"/>
  <c r="P17" i="299"/>
  <c r="J20" i="233"/>
  <c r="J29" i="126"/>
  <c r="C10" i="294" s="1"/>
  <c r="J340" i="343"/>
  <c r="L160" i="343"/>
  <c r="L20" i="126" s="1"/>
  <c r="Q19" i="140" s="1"/>
  <c r="F20" i="126"/>
  <c r="F21" i="126" s="1"/>
  <c r="F171" i="343"/>
  <c r="C5" i="294"/>
  <c r="D107" i="123"/>
  <c r="E6" i="294"/>
  <c r="J28" i="133"/>
  <c r="P28" i="298" s="1"/>
  <c r="F2" i="358"/>
  <c r="H155" i="363"/>
  <c r="F26" i="233"/>
  <c r="F38" i="233" s="1"/>
  <c r="F338" i="342"/>
  <c r="E33" i="126"/>
  <c r="E39" i="126" s="1"/>
  <c r="E340" i="343"/>
  <c r="E341" i="343" s="1"/>
  <c r="U83" i="343"/>
  <c r="K93" i="343"/>
  <c r="K83" i="343" s="1"/>
  <c r="K13" i="126" s="1"/>
  <c r="D12" i="294" s="1"/>
  <c r="A29" i="126"/>
  <c r="A28" i="140" s="1"/>
  <c r="C217" i="248"/>
  <c r="E338" i="342"/>
  <c r="L53" i="123"/>
  <c r="O22" i="298"/>
  <c r="D25" i="248"/>
  <c r="F60" i="316"/>
  <c r="D2" i="136"/>
  <c r="D2" i="343"/>
  <c r="D2" i="351"/>
  <c r="D2" i="253"/>
  <c r="D2" i="142"/>
  <c r="D2" i="337"/>
  <c r="F201" i="363"/>
  <c r="D2" i="350"/>
  <c r="D2" i="237"/>
  <c r="F2" i="141"/>
  <c r="D2" i="367"/>
  <c r="C2" i="86"/>
  <c r="D2" i="248"/>
  <c r="K98" i="343"/>
  <c r="K94" i="343" s="1"/>
  <c r="K14" i="126" s="1"/>
  <c r="U94" i="343"/>
  <c r="I13" i="86"/>
  <c r="O27" i="137"/>
  <c r="C9" i="294"/>
  <c r="L2" i="139"/>
  <c r="Q15" i="140"/>
  <c r="K45" i="131"/>
  <c r="D110" i="248"/>
  <c r="A5" i="140"/>
  <c r="A5" i="294"/>
  <c r="A24" i="294" s="1"/>
  <c r="K109" i="363"/>
  <c r="I2" i="350"/>
  <c r="J2" i="88"/>
  <c r="J2" i="128"/>
  <c r="E66" i="146"/>
  <c r="E100" i="146"/>
  <c r="K2" i="314"/>
  <c r="I2" i="316"/>
  <c r="I73" i="147"/>
  <c r="I2" i="133"/>
  <c r="F39" i="126"/>
  <c r="J105" i="343"/>
  <c r="J15" i="126" s="1"/>
  <c r="I21" i="126"/>
  <c r="G107" i="363"/>
  <c r="K110" i="248"/>
  <c r="I2" i="147"/>
  <c r="I2" i="253"/>
  <c r="J2" i="305"/>
  <c r="J2" i="237"/>
  <c r="B2757" i="364"/>
  <c r="B1103" i="364"/>
  <c r="B1406" i="364"/>
  <c r="B824" i="364"/>
  <c r="B800" i="364"/>
  <c r="B2595" i="364"/>
  <c r="K160" i="343"/>
  <c r="K20" i="126" s="1"/>
  <c r="H24" i="126"/>
  <c r="H39" i="126" s="1"/>
  <c r="H340" i="343"/>
  <c r="H341" i="343" s="1"/>
  <c r="K45" i="253"/>
  <c r="K65" i="86" s="1"/>
  <c r="F76" i="363"/>
  <c r="Q38" i="140"/>
  <c r="J19" i="343"/>
  <c r="J17" i="343" s="1"/>
  <c r="J7" i="126" s="1"/>
  <c r="Q17" i="343"/>
  <c r="I2" i="142"/>
  <c r="I2" i="301"/>
  <c r="H2" i="362"/>
  <c r="I2" i="233"/>
  <c r="K48" i="136"/>
  <c r="B712" i="364"/>
  <c r="I2" i="136"/>
  <c r="K201" i="363"/>
  <c r="B2070" i="364"/>
  <c r="K63" i="126"/>
  <c r="A24" i="255"/>
  <c r="K110" i="134"/>
  <c r="J2" i="343"/>
  <c r="I2" i="134"/>
  <c r="I2" i="349"/>
  <c r="K247" i="363"/>
  <c r="B1552" i="364"/>
  <c r="K55" i="123"/>
  <c r="H84" i="123" s="1"/>
  <c r="D122" i="248"/>
  <c r="H27" i="255"/>
  <c r="H8" i="127" s="1"/>
  <c r="H56" i="253"/>
  <c r="D28" i="133"/>
  <c r="M37" i="127"/>
  <c r="D21" i="255"/>
  <c r="D7" i="127" s="1"/>
  <c r="D55" i="253"/>
  <c r="D21" i="248"/>
  <c r="D27" i="249"/>
  <c r="D47" i="249" s="1"/>
  <c r="Q38" i="299"/>
  <c r="X37" i="127"/>
  <c r="R340" i="342"/>
  <c r="E63" i="126"/>
  <c r="D27" i="86" s="1"/>
  <c r="F112" i="123" s="1"/>
  <c r="I39" i="126"/>
  <c r="E47" i="136"/>
  <c r="E48" i="136" s="1"/>
  <c r="I45" i="249"/>
  <c r="I47" i="249" s="1"/>
  <c r="F38" i="253"/>
  <c r="F39" i="253" s="1"/>
  <c r="H100" i="363"/>
  <c r="E105" i="248"/>
  <c r="Q340" i="342"/>
  <c r="H107" i="363"/>
  <c r="P37" i="127"/>
  <c r="L48" i="131"/>
  <c r="L42" i="123"/>
  <c r="J129" i="248"/>
  <c r="C105" i="248"/>
  <c r="H106" i="248"/>
  <c r="F47" i="131"/>
  <c r="F50" i="131" s="1"/>
  <c r="K39" i="129"/>
  <c r="J38" i="86" s="1"/>
  <c r="K25" i="316"/>
  <c r="F168" i="363"/>
  <c r="E45" i="249"/>
  <c r="E47" i="249" s="1"/>
  <c r="M122" i="363"/>
  <c r="I226" i="363"/>
  <c r="C126" i="248"/>
  <c r="G39" i="129"/>
  <c r="F38" i="86" s="1"/>
  <c r="F45" i="249"/>
  <c r="F47" i="249" s="1"/>
  <c r="J110" i="248"/>
  <c r="D58" i="253"/>
  <c r="H153" i="363"/>
  <c r="K180" i="363"/>
  <c r="G214" i="363"/>
  <c r="D131" i="248"/>
  <c r="I179" i="248"/>
  <c r="E104" i="248"/>
  <c r="K79" i="248"/>
  <c r="H79" i="248"/>
  <c r="H39" i="129"/>
  <c r="G129" i="248"/>
  <c r="D103" i="248"/>
  <c r="C115" i="248"/>
  <c r="G117" i="248"/>
  <c r="G128" i="248"/>
  <c r="I118" i="358"/>
  <c r="D34" i="129"/>
  <c r="K15" i="123"/>
  <c r="J67" i="144"/>
  <c r="K12" i="237" s="1"/>
  <c r="G47" i="136"/>
  <c r="G48" i="136" s="1"/>
  <c r="I30" i="146"/>
  <c r="C20" i="301"/>
  <c r="H199" i="363"/>
  <c r="F75" i="363"/>
  <c r="I113" i="248"/>
  <c r="G110" i="248"/>
  <c r="E129" i="248"/>
  <c r="E123" i="248"/>
  <c r="O12" i="143"/>
  <c r="O24" i="143" s="1"/>
  <c r="C53" i="316"/>
  <c r="C79" i="253"/>
  <c r="B60" i="86" s="1"/>
  <c r="F110" i="350"/>
  <c r="C32" i="142"/>
  <c r="K24" i="143"/>
  <c r="G48" i="146"/>
  <c r="G102" i="146" s="1"/>
  <c r="J23" i="139"/>
  <c r="J45" i="249"/>
  <c r="J47" i="249" s="1"/>
  <c r="I37" i="148"/>
  <c r="L214" i="363"/>
  <c r="E245" i="363"/>
  <c r="D107" i="248"/>
  <c r="D67" i="144"/>
  <c r="D12" i="237" s="1"/>
  <c r="K153" i="363"/>
  <c r="J59" i="253"/>
  <c r="F128" i="248"/>
  <c r="C17" i="86"/>
  <c r="G17" i="86"/>
  <c r="J17" i="86"/>
  <c r="Q39" i="137"/>
  <c r="J3" i="126"/>
  <c r="E2" i="237"/>
  <c r="E2" i="136"/>
  <c r="E2" i="88"/>
  <c r="E2" i="316"/>
  <c r="K248" i="363"/>
  <c r="O3" i="140"/>
  <c r="E2" i="233"/>
  <c r="G155" i="363"/>
  <c r="F2" i="123"/>
  <c r="E2" i="133"/>
  <c r="F3" i="294"/>
  <c r="M3" i="127"/>
  <c r="H3" i="361"/>
  <c r="K3" i="314"/>
  <c r="E2" i="147"/>
  <c r="E2" i="350"/>
  <c r="E2" i="255"/>
  <c r="E2" i="336"/>
  <c r="T3" i="343"/>
  <c r="I3" i="136"/>
  <c r="E2" i="367"/>
  <c r="D2" i="86"/>
  <c r="I2" i="363"/>
  <c r="C2" i="148"/>
  <c r="O3" i="300"/>
  <c r="E2" i="358"/>
  <c r="F2" i="361"/>
  <c r="E2" i="144"/>
  <c r="G109" i="363"/>
  <c r="P3" i="296"/>
  <c r="E2" i="253"/>
  <c r="G63" i="363"/>
  <c r="E2" i="127"/>
  <c r="E2" i="301"/>
  <c r="L3" i="233"/>
  <c r="R3" i="343"/>
  <c r="G2" i="141"/>
  <c r="E2" i="142"/>
  <c r="E2" i="131"/>
  <c r="G2" i="314"/>
  <c r="E2" i="146"/>
  <c r="E2" i="349"/>
  <c r="G2" i="315"/>
  <c r="Q7" i="140"/>
  <c r="E7" i="294"/>
  <c r="G32" i="86"/>
  <c r="I110" i="123" s="1"/>
  <c r="J32" i="133"/>
  <c r="P33" i="298"/>
  <c r="C102" i="248"/>
  <c r="C15" i="248"/>
  <c r="E109" i="248"/>
  <c r="Q14" i="298"/>
  <c r="J9" i="126"/>
  <c r="A10" i="140"/>
  <c r="P16" i="140"/>
  <c r="D16" i="294"/>
  <c r="K53" i="86"/>
  <c r="K217" i="248"/>
  <c r="H74" i="351"/>
  <c r="H17" i="133"/>
  <c r="H15" i="133" s="1"/>
  <c r="O10" i="140"/>
  <c r="Q2" i="246"/>
  <c r="A19" i="299"/>
  <c r="A37" i="299" s="1"/>
  <c r="I120" i="248"/>
  <c r="I25" i="248"/>
  <c r="K38" i="133"/>
  <c r="C18" i="294"/>
  <c r="O18" i="140"/>
  <c r="C74" i="351"/>
  <c r="C17" i="133"/>
  <c r="C15" i="133" s="1"/>
  <c r="P33" i="299"/>
  <c r="J38" i="233"/>
  <c r="I3" i="233"/>
  <c r="V3" i="343"/>
  <c r="I3" i="358"/>
  <c r="C2" i="299"/>
  <c r="J3" i="131"/>
  <c r="I3" i="142"/>
  <c r="I3" i="134"/>
  <c r="I3" i="133"/>
  <c r="C2" i="300"/>
  <c r="N3" i="95"/>
  <c r="O3" i="368"/>
  <c r="N3" i="343"/>
  <c r="J3" i="128"/>
  <c r="I3" i="351"/>
  <c r="I3" i="249"/>
  <c r="I3" i="86"/>
  <c r="K110" i="363"/>
  <c r="I3" i="147"/>
  <c r="K3" i="141"/>
  <c r="J3" i="337"/>
  <c r="I3" i="350"/>
  <c r="I74" i="147"/>
  <c r="H3" i="362"/>
  <c r="E3" i="139"/>
  <c r="I3" i="316"/>
  <c r="I3" i="253"/>
  <c r="C2" i="298"/>
  <c r="I2" i="148"/>
  <c r="O3" i="256"/>
  <c r="O3" i="137"/>
  <c r="I3" i="337"/>
  <c r="K202" i="363"/>
  <c r="K3" i="123"/>
  <c r="B2" i="95"/>
  <c r="K64" i="363"/>
  <c r="I3" i="336"/>
  <c r="J3" i="255"/>
  <c r="I3" i="342"/>
  <c r="J3" i="237"/>
  <c r="I3" i="301"/>
  <c r="J3" i="88"/>
  <c r="J3" i="343"/>
  <c r="I3" i="248"/>
  <c r="K3" i="315"/>
  <c r="C2" i="140"/>
  <c r="O3" i="299"/>
  <c r="P3" i="343"/>
  <c r="C3" i="294"/>
  <c r="A3" i="360"/>
  <c r="C2" i="137"/>
  <c r="I3" i="367"/>
  <c r="J3" i="129"/>
  <c r="I3" i="146"/>
  <c r="A25" i="126"/>
  <c r="A24" i="140" s="1"/>
  <c r="A6" i="140"/>
  <c r="J9" i="133"/>
  <c r="P9" i="298" s="1"/>
  <c r="O3" i="298"/>
  <c r="J38" i="123"/>
  <c r="A186" i="343"/>
  <c r="D2" i="126"/>
  <c r="G93" i="123"/>
  <c r="J48" i="337"/>
  <c r="H52" i="316"/>
  <c r="L39" i="126"/>
  <c r="E97" i="363"/>
  <c r="D39" i="129"/>
  <c r="K3" i="351"/>
  <c r="K74" i="147"/>
  <c r="K3" i="342"/>
  <c r="M202" i="363"/>
  <c r="Q3" i="368"/>
  <c r="D2" i="128"/>
  <c r="D170" i="342"/>
  <c r="Q31" i="137"/>
  <c r="K17" i="86"/>
  <c r="P24" i="137"/>
  <c r="J11" i="86"/>
  <c r="D2" i="301"/>
  <c r="E79" i="248"/>
  <c r="C47" i="249"/>
  <c r="G74" i="126"/>
  <c r="F28" i="86"/>
  <c r="E6" i="367"/>
  <c r="L3" i="129"/>
  <c r="K3" i="134"/>
  <c r="L3" i="343"/>
  <c r="K3" i="136"/>
  <c r="Q3" i="137"/>
  <c r="D2" i="88"/>
  <c r="K106" i="248"/>
  <c r="H109" i="248"/>
  <c r="K3" i="86"/>
  <c r="L3" i="255"/>
  <c r="M3" i="315"/>
  <c r="P3" i="95"/>
  <c r="K3" i="233"/>
  <c r="S3" i="343"/>
  <c r="D73" i="147"/>
  <c r="J338" i="342"/>
  <c r="E18" i="248"/>
  <c r="H6" i="367"/>
  <c r="C36" i="142"/>
  <c r="C5" i="86"/>
  <c r="E92" i="123"/>
  <c r="K3" i="367"/>
  <c r="Q3" i="140"/>
  <c r="J3" i="362"/>
  <c r="M3" i="314"/>
  <c r="K3" i="147"/>
  <c r="F2" i="314"/>
  <c r="G22" i="248"/>
  <c r="K6" i="367"/>
  <c r="M156" i="363"/>
  <c r="X3" i="343"/>
  <c r="K3" i="248"/>
  <c r="L3" i="127"/>
  <c r="K3" i="316"/>
  <c r="E6" i="349"/>
  <c r="K3" i="146"/>
  <c r="L3" i="126"/>
  <c r="M64" i="363"/>
  <c r="K3" i="301"/>
  <c r="B2470" i="364"/>
  <c r="B147" i="100"/>
  <c r="A1" i="350" s="1"/>
  <c r="M15" i="123"/>
  <c r="C49" i="316"/>
  <c r="B1292" i="364"/>
  <c r="C34" i="129"/>
  <c r="I39" i="129"/>
  <c r="L94" i="343"/>
  <c r="L14" i="126" s="1"/>
  <c r="L34" i="129"/>
  <c r="E17" i="86"/>
  <c r="E32" i="142"/>
  <c r="H110" i="248"/>
  <c r="F27" i="255"/>
  <c r="F8" i="127" s="1"/>
  <c r="F56" i="253"/>
  <c r="J127" i="248"/>
  <c r="C100" i="146"/>
  <c r="J117" i="248"/>
  <c r="E179" i="248"/>
  <c r="G25" i="316"/>
  <c r="D98" i="146"/>
  <c r="I55" i="145"/>
  <c r="I53" i="316"/>
  <c r="I35" i="145"/>
  <c r="M87" i="363"/>
  <c r="M88" i="363" s="1"/>
  <c r="K24" i="253"/>
  <c r="K26" i="253" s="1"/>
  <c r="I15" i="248"/>
  <c r="D27" i="136"/>
  <c r="D48" i="136" s="1"/>
  <c r="G53" i="316"/>
  <c r="A18" i="316"/>
  <c r="A23" i="316"/>
  <c r="A19" i="316"/>
  <c r="A24" i="316"/>
  <c r="E87" i="363"/>
  <c r="E88" i="363" s="1"/>
  <c r="C24" i="253"/>
  <c r="C26" i="253" s="1"/>
  <c r="D20" i="301"/>
  <c r="K83" i="363"/>
  <c r="I20" i="253"/>
  <c r="I22" i="253" s="1"/>
  <c r="F74" i="350"/>
  <c r="H118" i="350"/>
  <c r="I128" i="248"/>
  <c r="J61" i="248"/>
  <c r="E21" i="255"/>
  <c r="E7" i="127" s="1"/>
  <c r="I110" i="349"/>
  <c r="E74" i="134"/>
  <c r="H75" i="363"/>
  <c r="H76" i="363" s="1"/>
  <c r="H107" i="248"/>
  <c r="D181" i="248"/>
  <c r="D182" i="248" s="1"/>
  <c r="J74" i="358"/>
  <c r="J28" i="248"/>
  <c r="F131" i="248"/>
  <c r="H6" i="86"/>
  <c r="H2" i="363" l="1"/>
  <c r="E2" i="361"/>
  <c r="B2" i="86"/>
  <c r="D2" i="361"/>
  <c r="F18" i="337"/>
  <c r="G18" i="337"/>
  <c r="I37" i="88"/>
  <c r="D124" i="248"/>
  <c r="D125" i="248" s="1"/>
  <c r="F52" i="128"/>
  <c r="C15" i="86"/>
  <c r="K124" i="248"/>
  <c r="K125" i="248" s="1"/>
  <c r="E2" i="314"/>
  <c r="D2" i="123"/>
  <c r="N3" i="342"/>
  <c r="C2" i="126"/>
  <c r="D15" i="253"/>
  <c r="N16" i="140"/>
  <c r="H5" i="300"/>
  <c r="F124" i="248"/>
  <c r="F125" i="248" s="1"/>
  <c r="E15" i="300"/>
  <c r="K5" i="300"/>
  <c r="L5" i="300"/>
  <c r="M5" i="300"/>
  <c r="E19" i="300"/>
  <c r="I5" i="300"/>
  <c r="J5" i="300"/>
  <c r="N30" i="300"/>
  <c r="N24" i="300"/>
  <c r="E32" i="300"/>
  <c r="E36" i="300" s="1"/>
  <c r="I19" i="140"/>
  <c r="H19" i="140"/>
  <c r="G19" i="140"/>
  <c r="F19" i="140"/>
  <c r="E19" i="140"/>
  <c r="D19" i="140"/>
  <c r="C19" i="140"/>
  <c r="M19" i="140"/>
  <c r="L19" i="140"/>
  <c r="K19" i="140"/>
  <c r="J19" i="140"/>
  <c r="J3" i="133"/>
  <c r="C102" i="146"/>
  <c r="P6" i="137"/>
  <c r="O3" i="127"/>
  <c r="N44" i="137"/>
  <c r="V3" i="127"/>
  <c r="U3" i="342"/>
  <c r="F39" i="95"/>
  <c r="D39" i="95"/>
  <c r="L39" i="95"/>
  <c r="J39" i="95"/>
  <c r="B39" i="95"/>
  <c r="K39" i="95"/>
  <c r="I39" i="95"/>
  <c r="H39" i="95"/>
  <c r="G39" i="95"/>
  <c r="E39" i="95"/>
  <c r="C39" i="95"/>
  <c r="F18" i="140"/>
  <c r="D18" i="140"/>
  <c r="H18" i="140"/>
  <c r="G18" i="140"/>
  <c r="M18" i="140"/>
  <c r="E18" i="140"/>
  <c r="L18" i="140"/>
  <c r="K18" i="140"/>
  <c r="C18" i="140"/>
  <c r="J18" i="140"/>
  <c r="I18" i="140"/>
  <c r="F15" i="300"/>
  <c r="J2" i="139"/>
  <c r="H15" i="300"/>
  <c r="C15" i="140"/>
  <c r="I15" i="140"/>
  <c r="J15" i="140"/>
  <c r="G15" i="140"/>
  <c r="D15" i="140"/>
  <c r="F15" i="140"/>
  <c r="M15" i="140"/>
  <c r="L15" i="140"/>
  <c r="K15" i="140"/>
  <c r="H15" i="140"/>
  <c r="E15" i="140"/>
  <c r="L10" i="140"/>
  <c r="K10" i="140"/>
  <c r="J10" i="140"/>
  <c r="I10" i="140"/>
  <c r="H10" i="140"/>
  <c r="G10" i="140"/>
  <c r="E10" i="140"/>
  <c r="F10" i="140"/>
  <c r="D10" i="140"/>
  <c r="C10" i="140"/>
  <c r="M10" i="140"/>
  <c r="L11" i="140"/>
  <c r="K11" i="140"/>
  <c r="M11" i="140"/>
  <c r="I11" i="140"/>
  <c r="H11" i="140"/>
  <c r="G11" i="140"/>
  <c r="J11" i="140"/>
  <c r="E11" i="140"/>
  <c r="D11" i="140"/>
  <c r="C11" i="140"/>
  <c r="F11" i="140"/>
  <c r="K17" i="140"/>
  <c r="D17" i="140"/>
  <c r="L17" i="140"/>
  <c r="H17" i="140"/>
  <c r="M17" i="140"/>
  <c r="E17" i="140"/>
  <c r="J17" i="140"/>
  <c r="F17" i="140"/>
  <c r="I17" i="140"/>
  <c r="C17" i="140"/>
  <c r="G17" i="140"/>
  <c r="E9" i="300"/>
  <c r="N3" i="233"/>
  <c r="P12" i="140"/>
  <c r="N18" i="298"/>
  <c r="D49" i="146"/>
  <c r="K15" i="300"/>
  <c r="N40" i="298"/>
  <c r="G9" i="300"/>
  <c r="L15" i="300"/>
  <c r="H9" i="300"/>
  <c r="I15" i="300"/>
  <c r="M15" i="300"/>
  <c r="N24" i="298"/>
  <c r="J15" i="300"/>
  <c r="F9" i="300"/>
  <c r="I19" i="300"/>
  <c r="F32" i="300"/>
  <c r="F36" i="300" s="1"/>
  <c r="E5" i="300"/>
  <c r="F19" i="300"/>
  <c r="L9" i="300"/>
  <c r="N38" i="137"/>
  <c r="F5" i="300"/>
  <c r="M9" i="300"/>
  <c r="G15" i="300"/>
  <c r="N17" i="137"/>
  <c r="M14" i="298"/>
  <c r="M9" i="298" s="1"/>
  <c r="L14" i="298"/>
  <c r="L9" i="298" s="1"/>
  <c r="K14" i="298"/>
  <c r="K9" i="298" s="1"/>
  <c r="J14" i="298"/>
  <c r="J9" i="298" s="1"/>
  <c r="I14" i="298"/>
  <c r="I9" i="298" s="1"/>
  <c r="H14" i="298"/>
  <c r="H9" i="298" s="1"/>
  <c r="G14" i="298"/>
  <c r="G9" i="298" s="1"/>
  <c r="F14" i="298"/>
  <c r="F9" i="298" s="1"/>
  <c r="E14" i="298"/>
  <c r="E9" i="298" s="1"/>
  <c r="D14" i="298"/>
  <c r="D9" i="298" s="1"/>
  <c r="C14" i="298"/>
  <c r="C9" i="298" s="1"/>
  <c r="K32" i="300"/>
  <c r="K36" i="300" s="1"/>
  <c r="F27" i="137"/>
  <c r="E27" i="137"/>
  <c r="D27" i="137"/>
  <c r="C27" i="137"/>
  <c r="M27" i="137"/>
  <c r="K27" i="137"/>
  <c r="J27" i="137"/>
  <c r="G27" i="137"/>
  <c r="L27" i="137"/>
  <c r="I27" i="137"/>
  <c r="H27" i="137"/>
  <c r="D38" i="95"/>
  <c r="C38" i="95"/>
  <c r="B38" i="95"/>
  <c r="K38" i="95"/>
  <c r="I38" i="95"/>
  <c r="H38" i="95"/>
  <c r="L38" i="95"/>
  <c r="J38" i="95"/>
  <c r="G38" i="95"/>
  <c r="F38" i="95"/>
  <c r="E38" i="95"/>
  <c r="K9" i="300"/>
  <c r="L32" i="300"/>
  <c r="L36" i="300" s="1"/>
  <c r="C19" i="137"/>
  <c r="D19" i="137"/>
  <c r="E19" i="137"/>
  <c r="F19" i="137"/>
  <c r="H19" i="137"/>
  <c r="J19" i="137"/>
  <c r="K19" i="137"/>
  <c r="M19" i="137"/>
  <c r="I19" i="137"/>
  <c r="L19" i="137"/>
  <c r="G19" i="137"/>
  <c r="C9" i="137"/>
  <c r="D9" i="137"/>
  <c r="E9" i="137"/>
  <c r="F9" i="137"/>
  <c r="G9" i="137"/>
  <c r="H9" i="137"/>
  <c r="I9" i="137"/>
  <c r="J9" i="137"/>
  <c r="K9" i="137"/>
  <c r="L9" i="137"/>
  <c r="M9" i="137"/>
  <c r="M36" i="298"/>
  <c r="M32" i="298" s="1"/>
  <c r="L36" i="298"/>
  <c r="L32" i="298" s="1"/>
  <c r="K36" i="298"/>
  <c r="K32" i="298" s="1"/>
  <c r="J36" i="298"/>
  <c r="J32" i="298" s="1"/>
  <c r="I36" i="298"/>
  <c r="I32" i="298" s="1"/>
  <c r="H36" i="298"/>
  <c r="H32" i="298" s="1"/>
  <c r="F36" i="298"/>
  <c r="F32" i="298" s="1"/>
  <c r="D36" i="298"/>
  <c r="D32" i="298" s="1"/>
  <c r="C36" i="298"/>
  <c r="C32" i="298" s="1"/>
  <c r="G36" i="298"/>
  <c r="G32" i="298" s="1"/>
  <c r="E36" i="298"/>
  <c r="E32" i="298" s="1"/>
  <c r="I39" i="298"/>
  <c r="I38" i="298" s="1"/>
  <c r="H39" i="298"/>
  <c r="H38" i="298" s="1"/>
  <c r="G39" i="298"/>
  <c r="G38" i="298" s="1"/>
  <c r="F39" i="298"/>
  <c r="F38" i="298" s="1"/>
  <c r="E39" i="298"/>
  <c r="E38" i="298" s="1"/>
  <c r="D39" i="298"/>
  <c r="D38" i="298" s="1"/>
  <c r="C39" i="298"/>
  <c r="C38" i="298" s="1"/>
  <c r="M39" i="298"/>
  <c r="M38" i="298" s="1"/>
  <c r="K39" i="298"/>
  <c r="K38" i="298" s="1"/>
  <c r="L39" i="298"/>
  <c r="L38" i="298" s="1"/>
  <c r="J39" i="298"/>
  <c r="J38" i="298" s="1"/>
  <c r="C17" i="298"/>
  <c r="C15" i="298" s="1"/>
  <c r="K17" i="298"/>
  <c r="K15" i="298" s="1"/>
  <c r="M17" i="298"/>
  <c r="M15" i="298" s="1"/>
  <c r="L17" i="298"/>
  <c r="L15" i="298" s="1"/>
  <c r="J17" i="298"/>
  <c r="J15" i="298" s="1"/>
  <c r="H17" i="298"/>
  <c r="H15" i="298" s="1"/>
  <c r="G17" i="298"/>
  <c r="G15" i="298" s="1"/>
  <c r="E17" i="298"/>
  <c r="I17" i="298"/>
  <c r="I15" i="298" s="1"/>
  <c r="F17" i="298"/>
  <c r="F15" i="298" s="1"/>
  <c r="D17" i="298"/>
  <c r="D15" i="298" s="1"/>
  <c r="I9" i="300"/>
  <c r="M12" i="299"/>
  <c r="M20" i="299" s="1"/>
  <c r="L12" i="299"/>
  <c r="L20" i="299" s="1"/>
  <c r="K12" i="299"/>
  <c r="K20" i="299" s="1"/>
  <c r="J12" i="299"/>
  <c r="J20" i="299" s="1"/>
  <c r="I12" i="299"/>
  <c r="I20" i="299" s="1"/>
  <c r="H12" i="299"/>
  <c r="H20" i="299" s="1"/>
  <c r="G12" i="299"/>
  <c r="G20" i="299" s="1"/>
  <c r="F12" i="299"/>
  <c r="F20" i="299" s="1"/>
  <c r="E12" i="299"/>
  <c r="E20" i="299" s="1"/>
  <c r="D12" i="299"/>
  <c r="D20" i="299" s="1"/>
  <c r="C12" i="299"/>
  <c r="C20" i="299" s="1"/>
  <c r="J9" i="300"/>
  <c r="M43" i="299"/>
  <c r="L43" i="299"/>
  <c r="K43" i="299"/>
  <c r="J43" i="299"/>
  <c r="I43" i="299"/>
  <c r="H43" i="299"/>
  <c r="G43" i="299"/>
  <c r="F43" i="299"/>
  <c r="E43" i="299"/>
  <c r="C43" i="299"/>
  <c r="D43" i="299"/>
  <c r="M5" i="137"/>
  <c r="E5" i="137"/>
  <c r="F5" i="137"/>
  <c r="G5" i="137"/>
  <c r="H5" i="137"/>
  <c r="I5" i="137"/>
  <c r="J5" i="137"/>
  <c r="K5" i="137"/>
  <c r="L5" i="137"/>
  <c r="D5" i="137"/>
  <c r="C5" i="137"/>
  <c r="G5" i="300"/>
  <c r="G42" i="299"/>
  <c r="F42" i="299"/>
  <c r="E42" i="299"/>
  <c r="D42" i="299"/>
  <c r="C42" i="299"/>
  <c r="L42" i="299"/>
  <c r="K42" i="299"/>
  <c r="J42" i="299"/>
  <c r="H42" i="299"/>
  <c r="I42" i="299"/>
  <c r="M42" i="299"/>
  <c r="M22" i="298"/>
  <c r="M19" i="298" s="1"/>
  <c r="L22" i="298"/>
  <c r="L19" i="298" s="1"/>
  <c r="K22" i="298"/>
  <c r="K19" i="298" s="1"/>
  <c r="J22" i="298"/>
  <c r="J19" i="298" s="1"/>
  <c r="I22" i="298"/>
  <c r="I19" i="298" s="1"/>
  <c r="H22" i="298"/>
  <c r="H19" i="298" s="1"/>
  <c r="G22" i="298"/>
  <c r="G19" i="298" s="1"/>
  <c r="F22" i="298"/>
  <c r="F19" i="298" s="1"/>
  <c r="E22" i="298"/>
  <c r="E19" i="298" s="1"/>
  <c r="D22" i="298"/>
  <c r="D19" i="298" s="1"/>
  <c r="C22" i="298"/>
  <c r="C19" i="298" s="1"/>
  <c r="G19" i="300"/>
  <c r="M31" i="299"/>
  <c r="M38" i="299" s="1"/>
  <c r="L31" i="299"/>
  <c r="L38" i="299" s="1"/>
  <c r="K31" i="299"/>
  <c r="K38" i="299" s="1"/>
  <c r="J31" i="299"/>
  <c r="J38" i="299" s="1"/>
  <c r="I31" i="299"/>
  <c r="I38" i="299" s="1"/>
  <c r="H31" i="299"/>
  <c r="H38" i="299" s="1"/>
  <c r="G31" i="299"/>
  <c r="G38" i="299" s="1"/>
  <c r="F31" i="299"/>
  <c r="F38" i="299" s="1"/>
  <c r="E31" i="299"/>
  <c r="E38" i="299" s="1"/>
  <c r="D31" i="299"/>
  <c r="D38" i="299" s="1"/>
  <c r="C31" i="299"/>
  <c r="C38" i="299" s="1"/>
  <c r="H19" i="300"/>
  <c r="M32" i="300"/>
  <c r="M36" i="300" s="1"/>
  <c r="J19" i="300"/>
  <c r="K19" i="300"/>
  <c r="M30" i="298"/>
  <c r="M28" i="298" s="1"/>
  <c r="L30" i="298"/>
  <c r="L28" i="298" s="1"/>
  <c r="K30" i="298"/>
  <c r="K28" i="298" s="1"/>
  <c r="J30" i="298"/>
  <c r="J28" i="298" s="1"/>
  <c r="I30" i="298"/>
  <c r="I28" i="298" s="1"/>
  <c r="H30" i="298"/>
  <c r="H28" i="298" s="1"/>
  <c r="G30" i="298"/>
  <c r="G28" i="298" s="1"/>
  <c r="F30" i="298"/>
  <c r="F28" i="298" s="1"/>
  <c r="E30" i="298"/>
  <c r="E28" i="298" s="1"/>
  <c r="D30" i="298"/>
  <c r="D28" i="298" s="1"/>
  <c r="C30" i="298"/>
  <c r="C28" i="298" s="1"/>
  <c r="L19" i="300"/>
  <c r="M19" i="300"/>
  <c r="G32" i="300"/>
  <c r="G36" i="300" s="1"/>
  <c r="H32" i="300"/>
  <c r="H36" i="300" s="1"/>
  <c r="M44" i="298"/>
  <c r="M42" i="298" s="1"/>
  <c r="L44" i="298"/>
  <c r="L42" i="298" s="1"/>
  <c r="K44" i="298"/>
  <c r="K42" i="298" s="1"/>
  <c r="J44" i="298"/>
  <c r="J42" i="298" s="1"/>
  <c r="I44" i="298"/>
  <c r="I42" i="298" s="1"/>
  <c r="H44" i="298"/>
  <c r="H42" i="298" s="1"/>
  <c r="G44" i="298"/>
  <c r="G42" i="298" s="1"/>
  <c r="F44" i="298"/>
  <c r="F42" i="298" s="1"/>
  <c r="D44" i="298"/>
  <c r="D42" i="298" s="1"/>
  <c r="E44" i="298"/>
  <c r="E42" i="298" s="1"/>
  <c r="C44" i="298"/>
  <c r="I32" i="300"/>
  <c r="I36" i="300" s="1"/>
  <c r="J32" i="300"/>
  <c r="J36" i="300" s="1"/>
  <c r="N21" i="300"/>
  <c r="H41" i="123"/>
  <c r="I41" i="123"/>
  <c r="N29" i="300"/>
  <c r="N18" i="300"/>
  <c r="A9" i="233"/>
  <c r="G2" i="246" s="1"/>
  <c r="N8" i="300"/>
  <c r="N41" i="298"/>
  <c r="A15" i="126"/>
  <c r="A14" i="140" s="1"/>
  <c r="C2" i="253"/>
  <c r="C2" i="367"/>
  <c r="D2" i="362"/>
  <c r="C2" i="88"/>
  <c r="C2" i="255"/>
  <c r="E155" i="363"/>
  <c r="C2" i="351"/>
  <c r="C2" i="249"/>
  <c r="C2" i="342"/>
  <c r="E201" i="363"/>
  <c r="C2" i="147"/>
  <c r="C2" i="129"/>
  <c r="C2" i="133"/>
  <c r="C2" i="337"/>
  <c r="C2" i="305"/>
  <c r="E247" i="363"/>
  <c r="G2" i="363"/>
  <c r="E109" i="363"/>
  <c r="C2" i="134"/>
  <c r="C2" i="316"/>
  <c r="C2" i="237"/>
  <c r="C2" i="136"/>
  <c r="J3" i="351"/>
  <c r="C2" i="127"/>
  <c r="C2" i="248"/>
  <c r="C2" i="233"/>
  <c r="C2" i="343"/>
  <c r="C2" i="128"/>
  <c r="C2" i="349"/>
  <c r="C2" i="144"/>
  <c r="C2" i="146"/>
  <c r="C2" i="336"/>
  <c r="L3" i="141"/>
  <c r="E63" i="363"/>
  <c r="C2" i="131"/>
  <c r="C2" i="142"/>
  <c r="C2" i="350"/>
  <c r="C73" i="147"/>
  <c r="C2" i="301"/>
  <c r="E2" i="315"/>
  <c r="E2" i="141"/>
  <c r="C2" i="358"/>
  <c r="N7" i="300"/>
  <c r="A283" i="342"/>
  <c r="A33" i="233" s="1"/>
  <c r="N11" i="137"/>
  <c r="N17" i="300"/>
  <c r="I103" i="146"/>
  <c r="K49" i="146"/>
  <c r="H110" i="255"/>
  <c r="H32" i="127" s="1"/>
  <c r="G16" i="86" s="1"/>
  <c r="I124" i="248"/>
  <c r="I125" i="248" s="1"/>
  <c r="N21" i="298"/>
  <c r="I61" i="248"/>
  <c r="N46" i="298"/>
  <c r="H64" i="305"/>
  <c r="C110" i="255"/>
  <c r="C32" i="127" s="1"/>
  <c r="B16" i="86" s="1"/>
  <c r="B18" i="86" s="1"/>
  <c r="A14" i="126"/>
  <c r="A32" i="126" s="1"/>
  <c r="A31" i="140" s="1"/>
  <c r="N8" i="299"/>
  <c r="C57" i="248"/>
  <c r="C37" i="248" s="1"/>
  <c r="L93" i="123"/>
  <c r="N42" i="137"/>
  <c r="M93" i="123"/>
  <c r="N25" i="140"/>
  <c r="N26" i="299"/>
  <c r="N29" i="299"/>
  <c r="J49" i="146"/>
  <c r="A1" i="233"/>
  <c r="J103" i="146"/>
  <c r="N26" i="137"/>
  <c r="N31" i="298"/>
  <c r="N37" i="299"/>
  <c r="N26" i="140"/>
  <c r="N23" i="140"/>
  <c r="N5" i="140"/>
  <c r="L64" i="363"/>
  <c r="N6" i="299"/>
  <c r="N28" i="300"/>
  <c r="N30" i="140"/>
  <c r="N31" i="300"/>
  <c r="N13" i="137"/>
  <c r="N18" i="137"/>
  <c r="N25" i="299"/>
  <c r="N13" i="300"/>
  <c r="N30" i="299"/>
  <c r="E64" i="305"/>
  <c r="I49" i="146"/>
  <c r="N23" i="300"/>
  <c r="N15" i="299"/>
  <c r="N35" i="298"/>
  <c r="N16" i="299"/>
  <c r="C5" i="300"/>
  <c r="N8" i="298"/>
  <c r="N6" i="300"/>
  <c r="N34" i="298"/>
  <c r="N27" i="140"/>
  <c r="N13" i="298"/>
  <c r="N29" i="140"/>
  <c r="N23" i="298"/>
  <c r="N28" i="299"/>
  <c r="N12" i="300"/>
  <c r="N33" i="140"/>
  <c r="N11" i="298"/>
  <c r="N14" i="137"/>
  <c r="N31" i="140"/>
  <c r="N14" i="299"/>
  <c r="N15" i="137"/>
  <c r="N44" i="299"/>
  <c r="M48" i="123"/>
  <c r="M40" i="123" s="1"/>
  <c r="N45" i="298"/>
  <c r="N34" i="140"/>
  <c r="N36" i="299"/>
  <c r="N34" i="299"/>
  <c r="N32" i="140"/>
  <c r="N29" i="298"/>
  <c r="N20" i="137"/>
  <c r="N22" i="300"/>
  <c r="N16" i="137"/>
  <c r="N35" i="140"/>
  <c r="K110" i="255"/>
  <c r="K32" i="127" s="1"/>
  <c r="J16" i="86" s="1"/>
  <c r="E110" i="255"/>
  <c r="E32" i="127" s="1"/>
  <c r="E35" i="127" s="1"/>
  <c r="N37" i="140"/>
  <c r="N27" i="299"/>
  <c r="N14" i="300"/>
  <c r="N25" i="137"/>
  <c r="N34" i="137"/>
  <c r="N52" i="298"/>
  <c r="N12" i="137"/>
  <c r="N9" i="299"/>
  <c r="N10" i="299"/>
  <c r="N7" i="299"/>
  <c r="N40" i="137"/>
  <c r="N19" i="299"/>
  <c r="N12" i="298"/>
  <c r="N32" i="299"/>
  <c r="N18" i="299"/>
  <c r="N13" i="299"/>
  <c r="A329" i="343"/>
  <c r="N24" i="137"/>
  <c r="N39" i="137"/>
  <c r="N11" i="299"/>
  <c r="N47" i="298"/>
  <c r="D64" i="305"/>
  <c r="D110" i="255"/>
  <c r="D32" i="127" s="1"/>
  <c r="C16" i="86" s="1"/>
  <c r="N35" i="300"/>
  <c r="N37" i="298"/>
  <c r="N36" i="140"/>
  <c r="N11" i="300"/>
  <c r="N28" i="137"/>
  <c r="N8" i="137"/>
  <c r="N43" i="137"/>
  <c r="N35" i="299"/>
  <c r="N31" i="137"/>
  <c r="N24" i="299"/>
  <c r="N34" i="300"/>
  <c r="C19" i="300"/>
  <c r="D19" i="300"/>
  <c r="N20" i="300"/>
  <c r="N10" i="298"/>
  <c r="N33" i="298"/>
  <c r="P38" i="299"/>
  <c r="N6" i="298"/>
  <c r="P20" i="299"/>
  <c r="H116" i="248"/>
  <c r="H118" i="248" s="1"/>
  <c r="C9" i="300"/>
  <c r="D9" i="300"/>
  <c r="N10" i="300"/>
  <c r="C15" i="300"/>
  <c r="D15" i="300"/>
  <c r="A17" i="299"/>
  <c r="A35" i="299" s="1"/>
  <c r="N16" i="300"/>
  <c r="N20" i="298"/>
  <c r="Q20" i="299"/>
  <c r="Q40" i="299" s="1"/>
  <c r="Q45" i="299" s="1"/>
  <c r="N16" i="298"/>
  <c r="A305" i="342"/>
  <c r="A35" i="233" s="1"/>
  <c r="N23" i="299"/>
  <c r="N43" i="298"/>
  <c r="C32" i="300"/>
  <c r="C36" i="300" s="1"/>
  <c r="D5" i="300"/>
  <c r="D32" i="300"/>
  <c r="D36" i="300" s="1"/>
  <c r="N33" i="137"/>
  <c r="E102" i="146"/>
  <c r="F103" i="146" s="1"/>
  <c r="G64" i="305"/>
  <c r="K167" i="358"/>
  <c r="K173" i="358" s="1"/>
  <c r="L248" i="363"/>
  <c r="I64" i="305"/>
  <c r="F118" i="248"/>
  <c r="A228" i="342"/>
  <c r="A28" i="233" s="1"/>
  <c r="G102" i="248"/>
  <c r="I167" i="350"/>
  <c r="I167" i="367"/>
  <c r="D167" i="358"/>
  <c r="D168" i="248" s="1"/>
  <c r="C54" i="86" s="1"/>
  <c r="C167" i="358"/>
  <c r="C168" i="248" s="1"/>
  <c r="B54" i="86" s="1"/>
  <c r="G167" i="134"/>
  <c r="A6" i="233"/>
  <c r="A6" i="299" s="1"/>
  <c r="A24" i="299" s="1"/>
  <c r="D110" i="123"/>
  <c r="D109" i="123"/>
  <c r="A12" i="233"/>
  <c r="J2" i="246" s="1"/>
  <c r="D93" i="248"/>
  <c r="D69" i="248" s="1"/>
  <c r="E119" i="248"/>
  <c r="E121" i="248" s="1"/>
  <c r="A7" i="233"/>
  <c r="E2" i="246" s="1"/>
  <c r="K49" i="123"/>
  <c r="K41" i="123" s="1"/>
  <c r="D114" i="248"/>
  <c r="H86" i="248"/>
  <c r="H69" i="248" s="1"/>
  <c r="L3" i="123"/>
  <c r="G27" i="253"/>
  <c r="G167" i="350"/>
  <c r="G167" i="358"/>
  <c r="G173" i="358" s="1"/>
  <c r="F167" i="358"/>
  <c r="F173" i="358" s="1"/>
  <c r="E167" i="367"/>
  <c r="C167" i="367"/>
  <c r="C169" i="367" s="1"/>
  <c r="J116" i="248"/>
  <c r="J118" i="248" s="1"/>
  <c r="E167" i="349"/>
  <c r="I167" i="134"/>
  <c r="M2" i="246"/>
  <c r="H167" i="358"/>
  <c r="H168" i="248" s="1"/>
  <c r="D167" i="350"/>
  <c r="C167" i="350"/>
  <c r="A11" i="233"/>
  <c r="I2" i="246" s="1"/>
  <c r="J167" i="358"/>
  <c r="J168" i="248" s="1"/>
  <c r="E167" i="134"/>
  <c r="E167" i="350"/>
  <c r="K167" i="367"/>
  <c r="J167" i="349"/>
  <c r="G167" i="367"/>
  <c r="D167" i="367"/>
  <c r="H167" i="367"/>
  <c r="J167" i="367"/>
  <c r="E167" i="358"/>
  <c r="E168" i="248" s="1"/>
  <c r="D54" i="86" s="1"/>
  <c r="I167" i="358"/>
  <c r="I168" i="248" s="1"/>
  <c r="C167" i="349"/>
  <c r="K167" i="349"/>
  <c r="I167" i="349"/>
  <c r="G167" i="349"/>
  <c r="H167" i="349"/>
  <c r="D167" i="134"/>
  <c r="C167" i="134"/>
  <c r="G114" i="248"/>
  <c r="K167" i="134"/>
  <c r="J167" i="134"/>
  <c r="F167" i="134"/>
  <c r="C121" i="248"/>
  <c r="C32" i="86"/>
  <c r="E108" i="123" s="1"/>
  <c r="J36" i="253"/>
  <c r="J74" i="147"/>
  <c r="J121" i="248"/>
  <c r="E36" i="253"/>
  <c r="E340" i="342"/>
  <c r="J41" i="123"/>
  <c r="E114" i="248"/>
  <c r="D27" i="253"/>
  <c r="C15" i="253"/>
  <c r="H27" i="253"/>
  <c r="J15" i="253"/>
  <c r="I69" i="248"/>
  <c r="A1" i="351"/>
  <c r="E124" i="248"/>
  <c r="E125" i="248" s="1"/>
  <c r="K104" i="248"/>
  <c r="K111" i="248" s="1"/>
  <c r="B8" i="355"/>
  <c r="E60" i="253"/>
  <c r="D59" i="86" s="1"/>
  <c r="R37" i="246"/>
  <c r="R41" i="246" s="1"/>
  <c r="J109" i="123"/>
  <c r="M39" i="123"/>
  <c r="J110" i="123"/>
  <c r="P7" i="137"/>
  <c r="C341" i="343"/>
  <c r="J85" i="126"/>
  <c r="F341" i="343"/>
  <c r="J114" i="248"/>
  <c r="G169" i="248"/>
  <c r="H17" i="123" s="1"/>
  <c r="I27" i="253"/>
  <c r="J169" i="248"/>
  <c r="L17" i="123" s="1"/>
  <c r="S3" i="233"/>
  <c r="J32" i="86"/>
  <c r="L108" i="123" s="1"/>
  <c r="H38" i="123"/>
  <c r="H93" i="123"/>
  <c r="H60" i="253"/>
  <c r="G59" i="86" s="1"/>
  <c r="L37" i="123"/>
  <c r="F85" i="126"/>
  <c r="K119" i="248"/>
  <c r="K121" i="248" s="1"/>
  <c r="F109" i="123"/>
  <c r="J107" i="248"/>
  <c r="J111" i="248" s="1"/>
  <c r="D40" i="126"/>
  <c r="K21" i="127"/>
  <c r="K33" i="88" s="1"/>
  <c r="F246" i="351"/>
  <c r="H37" i="123"/>
  <c r="I93" i="123"/>
  <c r="D217" i="248"/>
  <c r="I37" i="123"/>
  <c r="D246" i="351"/>
  <c r="K246" i="351"/>
  <c r="I217" i="248"/>
  <c r="H48" i="133"/>
  <c r="E217" i="248"/>
  <c r="G246" i="351"/>
  <c r="C39" i="88"/>
  <c r="D7" i="123" s="1"/>
  <c r="D117" i="123" s="1"/>
  <c r="C40" i="126"/>
  <c r="G85" i="126"/>
  <c r="I85" i="126"/>
  <c r="K27" i="86"/>
  <c r="M112" i="123" s="1"/>
  <c r="C85" i="126"/>
  <c r="D85" i="126"/>
  <c r="G23" i="88"/>
  <c r="G5" i="237"/>
  <c r="G6" i="237" s="1"/>
  <c r="G8" i="237" s="1"/>
  <c r="G25" i="133"/>
  <c r="F45" i="86"/>
  <c r="G51" i="131"/>
  <c r="D5" i="123"/>
  <c r="K15" i="133"/>
  <c r="Q15" i="298" s="1"/>
  <c r="Q25" i="298" s="1"/>
  <c r="H124" i="351"/>
  <c r="J5" i="133"/>
  <c r="P5" i="298" s="1"/>
  <c r="P25" i="298" s="1"/>
  <c r="S3" i="342"/>
  <c r="G110" i="123"/>
  <c r="C51" i="131"/>
  <c r="F15" i="253"/>
  <c r="C113" i="248"/>
  <c r="C114" i="248" s="1"/>
  <c r="F36" i="253"/>
  <c r="E246" i="351"/>
  <c r="C246" i="351"/>
  <c r="I36" i="253"/>
  <c r="K124" i="351"/>
  <c r="I340" i="342"/>
  <c r="H340" i="342"/>
  <c r="D124" i="351"/>
  <c r="J124" i="351"/>
  <c r="K69" i="248"/>
  <c r="I64" i="86"/>
  <c r="G109" i="123"/>
  <c r="J217" i="248"/>
  <c r="C5" i="237"/>
  <c r="C6" i="237" s="1"/>
  <c r="C8" i="237" s="1"/>
  <c r="B48" i="86" s="1"/>
  <c r="C23" i="88"/>
  <c r="I114" i="248"/>
  <c r="I121" i="248"/>
  <c r="I15" i="88"/>
  <c r="K40" i="123"/>
  <c r="D25" i="133"/>
  <c r="E124" i="351"/>
  <c r="F124" i="351"/>
  <c r="P17" i="298"/>
  <c r="E15" i="88"/>
  <c r="H23" i="88"/>
  <c r="H246" i="351"/>
  <c r="G124" i="351"/>
  <c r="D51" i="131"/>
  <c r="M37" i="123"/>
  <c r="G45" i="86"/>
  <c r="F40" i="123"/>
  <c r="E40" i="123"/>
  <c r="H53" i="86"/>
  <c r="G53" i="86"/>
  <c r="H5" i="237"/>
  <c r="H6" i="237" s="1"/>
  <c r="H8" i="237" s="1"/>
  <c r="G48" i="86" s="1"/>
  <c r="H51" i="131"/>
  <c r="F51" i="131"/>
  <c r="C340" i="342"/>
  <c r="K340" i="342"/>
  <c r="G340" i="342"/>
  <c r="J39" i="233"/>
  <c r="F340" i="342"/>
  <c r="G48" i="133"/>
  <c r="I246" i="351"/>
  <c r="J246" i="351"/>
  <c r="F25" i="133"/>
  <c r="E25" i="133"/>
  <c r="C124" i="351"/>
  <c r="J6" i="86"/>
  <c r="J10" i="86" s="1"/>
  <c r="L86" i="123" s="1"/>
  <c r="L130" i="123" s="1"/>
  <c r="F38" i="123"/>
  <c r="Q5" i="140"/>
  <c r="F48" i="133"/>
  <c r="F93" i="123"/>
  <c r="C6" i="86"/>
  <c r="C10" i="86" s="1"/>
  <c r="G5" i="248"/>
  <c r="D7" i="294"/>
  <c r="E19" i="294"/>
  <c r="K18" i="88"/>
  <c r="C118" i="248"/>
  <c r="H39" i="233"/>
  <c r="H15" i="253"/>
  <c r="I39" i="233"/>
  <c r="H121" i="248"/>
  <c r="E48" i="133"/>
  <c r="J69" i="248"/>
  <c r="G3" i="294"/>
  <c r="F39" i="233"/>
  <c r="M3" i="233"/>
  <c r="M3" i="342"/>
  <c r="H169" i="248"/>
  <c r="H56" i="86" s="1"/>
  <c r="C169" i="248"/>
  <c r="D17" i="123" s="1"/>
  <c r="G40" i="126"/>
  <c r="I29" i="314" s="1"/>
  <c r="I102" i="248"/>
  <c r="I111" i="248" s="1"/>
  <c r="C69" i="248"/>
  <c r="A26" i="126"/>
  <c r="A25" i="140" s="1"/>
  <c r="A7" i="294"/>
  <c r="A26" i="294" s="1"/>
  <c r="A7" i="140"/>
  <c r="K15" i="253"/>
  <c r="H36" i="253"/>
  <c r="G21" i="127"/>
  <c r="G33" i="88" s="1"/>
  <c r="H17" i="88"/>
  <c r="I60" i="253"/>
  <c r="H59" i="86" s="1"/>
  <c r="K38" i="88"/>
  <c r="G18" i="88"/>
  <c r="L17" i="88"/>
  <c r="F6" i="86"/>
  <c r="L54" i="123"/>
  <c r="L10" i="123" s="1"/>
  <c r="L116" i="123" s="1"/>
  <c r="J60" i="253"/>
  <c r="L126" i="123" s="1"/>
  <c r="G6" i="86"/>
  <c r="J94" i="123" s="1"/>
  <c r="I59" i="127"/>
  <c r="I19" i="88"/>
  <c r="G37" i="123"/>
  <c r="K37" i="123"/>
  <c r="I32" i="88"/>
  <c r="G119" i="248"/>
  <c r="J3" i="146"/>
  <c r="J3" i="86"/>
  <c r="I65" i="86"/>
  <c r="I35" i="88"/>
  <c r="P3" i="298"/>
  <c r="K3" i="305"/>
  <c r="N2" i="246"/>
  <c r="J3" i="336"/>
  <c r="F82" i="248"/>
  <c r="F69" i="248" s="1"/>
  <c r="J3" i="136"/>
  <c r="K3" i="88"/>
  <c r="I8" i="88"/>
  <c r="E40" i="129"/>
  <c r="J3" i="350"/>
  <c r="R3" i="342"/>
  <c r="H65" i="86"/>
  <c r="J3" i="253"/>
  <c r="I48" i="133"/>
  <c r="K3" i="237"/>
  <c r="F27" i="253"/>
  <c r="I3" i="361"/>
  <c r="A15" i="140"/>
  <c r="F104" i="248"/>
  <c r="F111" i="248" s="1"/>
  <c r="G46" i="253"/>
  <c r="O3" i="95"/>
  <c r="I169" i="248"/>
  <c r="I56" i="86" s="1"/>
  <c r="K46" i="253"/>
  <c r="J3" i="147"/>
  <c r="F110" i="123"/>
  <c r="C39" i="233"/>
  <c r="E5" i="248"/>
  <c r="E69" i="248"/>
  <c r="Q3" i="296"/>
  <c r="K3" i="127"/>
  <c r="J3" i="367"/>
  <c r="F3" i="139"/>
  <c r="P3" i="300"/>
  <c r="E169" i="248"/>
  <c r="F17" i="123" s="1"/>
  <c r="J3" i="316"/>
  <c r="I40" i="126"/>
  <c r="J52" i="123" s="1"/>
  <c r="J13" i="123" s="1"/>
  <c r="J122" i="123" s="1"/>
  <c r="J27" i="253"/>
  <c r="K3" i="129"/>
  <c r="D169" i="248"/>
  <c r="K3" i="131"/>
  <c r="K3" i="128"/>
  <c r="C36" i="253"/>
  <c r="A36" i="126"/>
  <c r="A35" i="140" s="1"/>
  <c r="A17" i="294"/>
  <c r="A36" i="294" s="1"/>
  <c r="A17" i="140"/>
  <c r="H60" i="86"/>
  <c r="H2" i="246"/>
  <c r="H54" i="123"/>
  <c r="H10" i="123" s="1"/>
  <c r="G36" i="237" s="1"/>
  <c r="G29" i="237" s="1"/>
  <c r="G32" i="237" s="1"/>
  <c r="G14" i="237" s="1"/>
  <c r="G18" i="237" s="1"/>
  <c r="F49" i="86" s="1"/>
  <c r="E37" i="248"/>
  <c r="F58" i="123" s="1"/>
  <c r="A34" i="126"/>
  <c r="A33" i="140" s="1"/>
  <c r="K3" i="343"/>
  <c r="K2" i="139"/>
  <c r="E116" i="248"/>
  <c r="E118" i="248" s="1"/>
  <c r="R3" i="233"/>
  <c r="G38" i="88"/>
  <c r="O7" i="137"/>
  <c r="K47" i="123"/>
  <c r="D111" i="248"/>
  <c r="J3" i="301"/>
  <c r="J3" i="249"/>
  <c r="I39" i="123"/>
  <c r="E40" i="126"/>
  <c r="G29" i="314" s="1"/>
  <c r="H44" i="123"/>
  <c r="L156" i="363"/>
  <c r="A12" i="294"/>
  <c r="A31" i="294" s="1"/>
  <c r="D84" i="123"/>
  <c r="D55" i="123" s="1"/>
  <c r="G116" i="248"/>
  <c r="G118" i="248" s="1"/>
  <c r="A31" i="126"/>
  <c r="A30" i="140" s="1"/>
  <c r="C60" i="253"/>
  <c r="B59" i="86" s="1"/>
  <c r="P3" i="368"/>
  <c r="D36" i="253"/>
  <c r="P3" i="299"/>
  <c r="H37" i="248"/>
  <c r="I58" i="123" s="1"/>
  <c r="J3" i="134"/>
  <c r="E6" i="86"/>
  <c r="E10" i="86" s="1"/>
  <c r="S3" i="127"/>
  <c r="P3" i="137"/>
  <c r="C25" i="129"/>
  <c r="P9" i="140"/>
  <c r="N9" i="140" s="1"/>
  <c r="E27" i="253"/>
  <c r="P9" i="137"/>
  <c r="L49" i="123"/>
  <c r="H40" i="126"/>
  <c r="H48" i="88" s="1"/>
  <c r="H9" i="88" s="1"/>
  <c r="F60" i="253"/>
  <c r="E59" i="86" s="1"/>
  <c r="J3" i="248"/>
  <c r="N3" i="127"/>
  <c r="R2" i="343"/>
  <c r="J3" i="342"/>
  <c r="C48" i="133"/>
  <c r="D6" i="294"/>
  <c r="P6" i="140"/>
  <c r="H167" i="350"/>
  <c r="C111" i="248"/>
  <c r="F109" i="255"/>
  <c r="F110" i="255" s="1"/>
  <c r="F32" i="127" s="1"/>
  <c r="E16" i="86" s="1"/>
  <c r="F64" i="305"/>
  <c r="A18" i="233"/>
  <c r="A316" i="342"/>
  <c r="A36" i="233" s="1"/>
  <c r="F57" i="248"/>
  <c r="F37" i="248" s="1"/>
  <c r="F119" i="248"/>
  <c r="F121" i="248" s="1"/>
  <c r="K17" i="88"/>
  <c r="K32" i="86"/>
  <c r="M107" i="123"/>
  <c r="A19" i="126"/>
  <c r="A318" i="343"/>
  <c r="H85" i="126"/>
  <c r="K20" i="233"/>
  <c r="K39" i="233" s="1"/>
  <c r="J18" i="248"/>
  <c r="M49" i="123"/>
  <c r="J167" i="350"/>
  <c r="F167" i="367"/>
  <c r="O7" i="298"/>
  <c r="I5" i="133"/>
  <c r="O5" i="298" s="1"/>
  <c r="K60" i="253"/>
  <c r="K59" i="86" s="1"/>
  <c r="B65" i="86"/>
  <c r="C46" i="253"/>
  <c r="J46" i="253"/>
  <c r="J65" i="86"/>
  <c r="G341" i="343"/>
  <c r="A206" i="342"/>
  <c r="A26" i="233" s="1"/>
  <c r="A8" i="233"/>
  <c r="I124" i="351"/>
  <c r="G36" i="253"/>
  <c r="A208" i="343"/>
  <c r="A9" i="126"/>
  <c r="K88" i="363"/>
  <c r="F52" i="316"/>
  <c r="C64" i="305"/>
  <c r="K167" i="350"/>
  <c r="A9" i="294"/>
  <c r="A28" i="294" s="1"/>
  <c r="A9" i="140"/>
  <c r="A28" i="126"/>
  <c r="A27" i="140" s="1"/>
  <c r="K6" i="86"/>
  <c r="K10" i="86" s="1"/>
  <c r="D18" i="294"/>
  <c r="H105" i="248"/>
  <c r="H111" i="248" s="1"/>
  <c r="H15" i="248"/>
  <c r="K99" i="123"/>
  <c r="A5" i="233"/>
  <c r="A173" i="342"/>
  <c r="A23" i="233" s="1"/>
  <c r="D102" i="146"/>
  <c r="I117" i="248"/>
  <c r="I118" i="248" s="1"/>
  <c r="I54" i="248"/>
  <c r="F46" i="253"/>
  <c r="J47" i="248"/>
  <c r="J37" i="248" s="1"/>
  <c r="Q6" i="137"/>
  <c r="M46" i="123"/>
  <c r="M38" i="123" s="1"/>
  <c r="G88" i="363"/>
  <c r="M54" i="123"/>
  <c r="M10" i="123" s="1"/>
  <c r="M116" i="123" s="1"/>
  <c r="E46" i="88"/>
  <c r="L18" i="88"/>
  <c r="F167" i="350"/>
  <c r="G47" i="248"/>
  <c r="G37" i="248" s="1"/>
  <c r="G103" i="248"/>
  <c r="I40" i="131"/>
  <c r="I51" i="131"/>
  <c r="K117" i="248"/>
  <c r="K118" i="248" s="1"/>
  <c r="K54" i="248"/>
  <c r="K37" i="248" s="1"/>
  <c r="M58" i="123" s="1"/>
  <c r="K169" i="248"/>
  <c r="K56" i="86" s="1"/>
  <c r="O7" i="140"/>
  <c r="F53" i="86"/>
  <c r="D17" i="294"/>
  <c r="D119" i="248"/>
  <c r="D121" i="248" s="1"/>
  <c r="D57" i="248"/>
  <c r="D37" i="248" s="1"/>
  <c r="K18" i="248"/>
  <c r="K5" i="248" s="1"/>
  <c r="K113" i="248"/>
  <c r="K114" i="248" s="1"/>
  <c r="D65" i="86"/>
  <c r="E46" i="253"/>
  <c r="E15" i="253"/>
  <c r="J38" i="88"/>
  <c r="G93" i="248"/>
  <c r="G124" i="248"/>
  <c r="G125" i="248" s="1"/>
  <c r="P24" i="140"/>
  <c r="K39" i="126"/>
  <c r="F59" i="86"/>
  <c r="H126" i="123"/>
  <c r="L38" i="88"/>
  <c r="D46" i="88"/>
  <c r="D39" i="88" s="1"/>
  <c r="E7" i="123" s="1"/>
  <c r="E117" i="123" s="1"/>
  <c r="D10" i="294"/>
  <c r="P10" i="140"/>
  <c r="A30" i="126"/>
  <c r="A29" i="140" s="1"/>
  <c r="A11" i="140"/>
  <c r="A11" i="294"/>
  <c r="A30" i="294" s="1"/>
  <c r="D167" i="349"/>
  <c r="D179" i="255" s="1"/>
  <c r="D181" i="255" s="1"/>
  <c r="H46" i="253"/>
  <c r="E107" i="363"/>
  <c r="F169" i="248"/>
  <c r="H112" i="248"/>
  <c r="H114" i="248" s="1"/>
  <c r="H25" i="133"/>
  <c r="I6" i="86"/>
  <c r="Q171" i="343"/>
  <c r="L21" i="127"/>
  <c r="L37" i="88" s="1"/>
  <c r="F167" i="349"/>
  <c r="F179" i="255" s="1"/>
  <c r="F181" i="255" s="1"/>
  <c r="E49" i="146"/>
  <c r="F49" i="146"/>
  <c r="C17" i="294"/>
  <c r="H167" i="134"/>
  <c r="K46" i="123"/>
  <c r="K38" i="123" s="1"/>
  <c r="K64" i="305"/>
  <c r="P11" i="140"/>
  <c r="D11" i="294"/>
  <c r="L3" i="315"/>
  <c r="J3" i="358"/>
  <c r="L202" i="363"/>
  <c r="P3" i="256"/>
  <c r="D3" i="294"/>
  <c r="W3" i="343"/>
  <c r="J3" i="349"/>
  <c r="L3" i="314"/>
  <c r="K3" i="337"/>
  <c r="K3" i="126"/>
  <c r="J3" i="233"/>
  <c r="L110" i="363"/>
  <c r="J3" i="142"/>
  <c r="I3" i="362"/>
  <c r="P3" i="140"/>
  <c r="J3" i="144"/>
  <c r="Q18" i="140"/>
  <c r="E18" i="294"/>
  <c r="E111" i="248"/>
  <c r="B6" i="86"/>
  <c r="B10" i="86" s="1"/>
  <c r="D127" i="123" s="1"/>
  <c r="H29" i="248"/>
  <c r="H124" i="248"/>
  <c r="H125" i="248" s="1"/>
  <c r="F112" i="248"/>
  <c r="F114" i="248" s="1"/>
  <c r="F18" i="248"/>
  <c r="F5" i="248" s="1"/>
  <c r="D15" i="86"/>
  <c r="E24" i="128"/>
  <c r="E53" i="128" s="1"/>
  <c r="I24" i="128" s="1"/>
  <c r="G42" i="128"/>
  <c r="J61" i="128"/>
  <c r="K56" i="128" s="1"/>
  <c r="F29" i="128"/>
  <c r="F184" i="255" s="1"/>
  <c r="F186" i="255" s="1"/>
  <c r="E15" i="86" s="1"/>
  <c r="G185" i="255"/>
  <c r="H40" i="129"/>
  <c r="P29" i="137"/>
  <c r="J14" i="131"/>
  <c r="N45" i="95"/>
  <c r="N51" i="95" s="1"/>
  <c r="N53" i="95" s="1"/>
  <c r="N55" i="95" s="1"/>
  <c r="O54" i="95" s="1"/>
  <c r="O29" i="137"/>
  <c r="K114" i="128"/>
  <c r="L114" i="128" s="1"/>
  <c r="F40" i="129"/>
  <c r="C21" i="127"/>
  <c r="C37" i="88" s="1"/>
  <c r="G41" i="123"/>
  <c r="H43" i="123"/>
  <c r="H11" i="123" s="1"/>
  <c r="H103" i="123" s="1"/>
  <c r="J116" i="123"/>
  <c r="D6" i="86"/>
  <c r="G38" i="123"/>
  <c r="K93" i="123"/>
  <c r="J21" i="127"/>
  <c r="O6" i="137"/>
  <c r="K54" i="123"/>
  <c r="K10" i="123" s="1"/>
  <c r="J18" i="88"/>
  <c r="J42" i="128"/>
  <c r="K43" i="128"/>
  <c r="L43" i="128"/>
  <c r="I25" i="128"/>
  <c r="H25" i="128"/>
  <c r="L35" i="128"/>
  <c r="K35" i="128"/>
  <c r="G31" i="128"/>
  <c r="G30" i="128" s="1"/>
  <c r="G29" i="128" s="1"/>
  <c r="G184" i="255" s="1"/>
  <c r="I43" i="128"/>
  <c r="H43" i="128"/>
  <c r="J31" i="128"/>
  <c r="J30" i="128" s="1"/>
  <c r="I35" i="128"/>
  <c r="H35" i="128"/>
  <c r="L25" i="128"/>
  <c r="P39" i="95" s="1"/>
  <c r="K25" i="128"/>
  <c r="O39" i="95" s="1"/>
  <c r="J39" i="128"/>
  <c r="I46" i="128"/>
  <c r="H46" i="128"/>
  <c r="L46" i="128"/>
  <c r="K46" i="128"/>
  <c r="J40" i="129"/>
  <c r="J15" i="88"/>
  <c r="I37" i="86"/>
  <c r="D25" i="129"/>
  <c r="C35" i="86"/>
  <c r="E37" i="86"/>
  <c r="F15" i="88"/>
  <c r="I59" i="316"/>
  <c r="I52" i="316"/>
  <c r="Q12" i="140"/>
  <c r="E12" i="294"/>
  <c r="M2" i="139"/>
  <c r="Q3" i="233"/>
  <c r="R3" i="127"/>
  <c r="C25" i="133"/>
  <c r="F40" i="126"/>
  <c r="G12" i="123" s="1"/>
  <c r="H63" i="86"/>
  <c r="I63" i="86"/>
  <c r="T3" i="233"/>
  <c r="U3" i="127"/>
  <c r="T3" i="342"/>
  <c r="L108" i="255"/>
  <c r="L64" i="305"/>
  <c r="J109" i="255"/>
  <c r="J110" i="255" s="1"/>
  <c r="J32" i="127" s="1"/>
  <c r="O32" i="137" s="1"/>
  <c r="J64" i="305"/>
  <c r="W3" i="233"/>
  <c r="X3" i="127"/>
  <c r="W3" i="342"/>
  <c r="V3" i="233"/>
  <c r="W3" i="127"/>
  <c r="V3" i="342"/>
  <c r="J37" i="86"/>
  <c r="K15" i="88"/>
  <c r="G110" i="255"/>
  <c r="G32" i="127" s="1"/>
  <c r="F37" i="86"/>
  <c r="G15" i="88"/>
  <c r="E39" i="233"/>
  <c r="G37" i="86"/>
  <c r="H15" i="88"/>
  <c r="C29" i="248"/>
  <c r="C5" i="248" s="1"/>
  <c r="C124" i="248"/>
  <c r="C125" i="248" s="1"/>
  <c r="G15" i="253"/>
  <c r="O20" i="299"/>
  <c r="G38" i="86"/>
  <c r="D39" i="233"/>
  <c r="I110" i="255"/>
  <c r="I32" i="127" s="1"/>
  <c r="A296" i="343"/>
  <c r="A17" i="126"/>
  <c r="K109" i="123"/>
  <c r="K108" i="123"/>
  <c r="D60" i="253"/>
  <c r="C59" i="86" s="1"/>
  <c r="E85" i="126"/>
  <c r="E11" i="294"/>
  <c r="Q11" i="140"/>
  <c r="O3" i="233"/>
  <c r="P3" i="127"/>
  <c r="H103" i="146"/>
  <c r="G103" i="146"/>
  <c r="J13" i="126"/>
  <c r="J21" i="126" s="1"/>
  <c r="J171" i="343"/>
  <c r="J341" i="343" s="1"/>
  <c r="D13" i="294"/>
  <c r="P13" i="140"/>
  <c r="K21" i="126"/>
  <c r="K40" i="129"/>
  <c r="C6" i="294"/>
  <c r="O6" i="140"/>
  <c r="K171" i="343"/>
  <c r="K341" i="343" s="1"/>
  <c r="D14" i="88"/>
  <c r="D13" i="88"/>
  <c r="C37" i="86"/>
  <c r="D15" i="88"/>
  <c r="D19" i="294"/>
  <c r="P19" i="140"/>
  <c r="F54" i="123"/>
  <c r="F10" i="123" s="1"/>
  <c r="F116" i="123" s="1"/>
  <c r="H49" i="146"/>
  <c r="G49" i="146"/>
  <c r="G39" i="233"/>
  <c r="U171" i="343"/>
  <c r="O38" i="299"/>
  <c r="C14" i="294"/>
  <c r="O14" i="140"/>
  <c r="C38" i="88"/>
  <c r="D54" i="123"/>
  <c r="D10" i="123" s="1"/>
  <c r="D17" i="88"/>
  <c r="E93" i="123"/>
  <c r="C18" i="88"/>
  <c r="D46" i="123"/>
  <c r="E38" i="123" s="1"/>
  <c r="J27" i="86"/>
  <c r="L112" i="123" s="1"/>
  <c r="K85" i="126"/>
  <c r="I15" i="253"/>
  <c r="H62" i="86"/>
  <c r="I62" i="86"/>
  <c r="G89" i="248"/>
  <c r="G120" i="248"/>
  <c r="D22" i="248"/>
  <c r="D5" i="248" s="1"/>
  <c r="D117" i="248"/>
  <c r="D118" i="248" s="1"/>
  <c r="D48" i="133"/>
  <c r="I48" i="123"/>
  <c r="H21" i="127"/>
  <c r="I17" i="88"/>
  <c r="H38" i="88"/>
  <c r="H18" i="88"/>
  <c r="I54" i="123"/>
  <c r="I10" i="123" s="1"/>
  <c r="I57" i="145"/>
  <c r="G40" i="129"/>
  <c r="D46" i="253"/>
  <c r="O28" i="140"/>
  <c r="J39" i="126"/>
  <c r="K2" i="246"/>
  <c r="A13" i="299"/>
  <c r="A31" i="299" s="1"/>
  <c r="E47" i="123"/>
  <c r="E39" i="123" s="1"/>
  <c r="E17" i="88"/>
  <c r="D18" i="88"/>
  <c r="D21" i="127"/>
  <c r="E54" i="123"/>
  <c r="E10" i="123" s="1"/>
  <c r="D38" i="88"/>
  <c r="C13" i="294"/>
  <c r="O13" i="140"/>
  <c r="K59" i="316"/>
  <c r="K52" i="316"/>
  <c r="A19" i="140"/>
  <c r="A19" i="294"/>
  <c r="A38" i="294" s="1"/>
  <c r="A38" i="126"/>
  <c r="A37" i="140" s="1"/>
  <c r="E40" i="131"/>
  <c r="E51" i="131"/>
  <c r="J37" i="123"/>
  <c r="J43" i="123"/>
  <c r="J11" i="123" s="1"/>
  <c r="J103" i="123" s="1"/>
  <c r="J44" i="123"/>
  <c r="H10" i="86"/>
  <c r="L40" i="129"/>
  <c r="K37" i="86"/>
  <c r="L15" i="88"/>
  <c r="K103" i="146"/>
  <c r="C27" i="253"/>
  <c r="B63" i="86"/>
  <c r="J29" i="248"/>
  <c r="J124" i="248"/>
  <c r="J125" i="248" s="1"/>
  <c r="I5" i="248"/>
  <c r="E13" i="294"/>
  <c r="Q13" i="140"/>
  <c r="D340" i="342"/>
  <c r="K27" i="253"/>
  <c r="K63" i="86"/>
  <c r="O48" i="298"/>
  <c r="C13" i="88"/>
  <c r="B37" i="86"/>
  <c r="C15" i="88"/>
  <c r="C40" i="129"/>
  <c r="C14" i="88"/>
  <c r="J48" i="133"/>
  <c r="P32" i="298"/>
  <c r="P48" i="298" s="1"/>
  <c r="H38" i="86"/>
  <c r="I40" i="129"/>
  <c r="H107" i="123"/>
  <c r="F32" i="86"/>
  <c r="H110" i="123" s="1"/>
  <c r="C38" i="86"/>
  <c r="D40" i="129"/>
  <c r="K48" i="133"/>
  <c r="Q38" i="298"/>
  <c r="Q48" i="298" s="1"/>
  <c r="I108" i="123"/>
  <c r="I109" i="123"/>
  <c r="L21" i="126"/>
  <c r="L40" i="126" s="1"/>
  <c r="O8" i="140"/>
  <c r="C8" i="294"/>
  <c r="G48" i="123"/>
  <c r="F21" i="127"/>
  <c r="G17" i="88"/>
  <c r="F18" i="88"/>
  <c r="F38" i="88"/>
  <c r="G54" i="123"/>
  <c r="G10" i="123" s="1"/>
  <c r="F47" i="123"/>
  <c r="E18" i="88"/>
  <c r="F17" i="88"/>
  <c r="E38" i="88"/>
  <c r="E21" i="127"/>
  <c r="C60" i="316"/>
  <c r="C52" i="316"/>
  <c r="J340" i="342"/>
  <c r="D5" i="237"/>
  <c r="C45" i="86"/>
  <c r="E5" i="123"/>
  <c r="D23" i="88"/>
  <c r="G59" i="316"/>
  <c r="G52" i="316"/>
  <c r="M97" i="123"/>
  <c r="L97" i="123"/>
  <c r="F23" i="88"/>
  <c r="F5" i="237"/>
  <c r="G5" i="123"/>
  <c r="E45" i="86"/>
  <c r="L171" i="343"/>
  <c r="L341" i="343" s="1"/>
  <c r="H179" i="255" l="1"/>
  <c r="H181" i="255" s="1"/>
  <c r="H188" i="255" s="1"/>
  <c r="J179" i="255"/>
  <c r="J181" i="255" s="1"/>
  <c r="I175" i="349" s="1"/>
  <c r="G169" i="349"/>
  <c r="G179" i="255"/>
  <c r="G181" i="255" s="1"/>
  <c r="L188" i="255"/>
  <c r="K179" i="255"/>
  <c r="K181" i="255" s="1"/>
  <c r="J175" i="349" s="1"/>
  <c r="E169" i="349"/>
  <c r="E179" i="255"/>
  <c r="E181" i="255" s="1"/>
  <c r="C179" i="255"/>
  <c r="C181" i="255" s="1"/>
  <c r="C175" i="349" s="1"/>
  <c r="C18" i="86"/>
  <c r="E87" i="123" s="1"/>
  <c r="E131" i="123" s="1"/>
  <c r="N19" i="140"/>
  <c r="N11" i="140"/>
  <c r="N18" i="140"/>
  <c r="N10" i="140"/>
  <c r="N17" i="140"/>
  <c r="G45" i="95"/>
  <c r="G51" i="95" s="1"/>
  <c r="G53" i="95" s="1"/>
  <c r="G63" i="95" s="1"/>
  <c r="N15" i="140"/>
  <c r="H45" i="95"/>
  <c r="H51" i="95" s="1"/>
  <c r="H53" i="95" s="1"/>
  <c r="H63" i="95" s="1"/>
  <c r="F45" i="95"/>
  <c r="F62" i="95" s="1"/>
  <c r="H25" i="300"/>
  <c r="B45" i="95"/>
  <c r="B51" i="95" s="1"/>
  <c r="B53" i="95" s="1"/>
  <c r="B55" i="95" s="1"/>
  <c r="C54" i="95" s="1"/>
  <c r="J45" i="95"/>
  <c r="J62" i="95" s="1"/>
  <c r="I25" i="300"/>
  <c r="F25" i="300"/>
  <c r="I45" i="95"/>
  <c r="I51" i="95" s="1"/>
  <c r="I53" i="95" s="1"/>
  <c r="I63" i="95" s="1"/>
  <c r="E25" i="300"/>
  <c r="A13" i="140"/>
  <c r="E48" i="298"/>
  <c r="K45" i="95"/>
  <c r="K51" i="95" s="1"/>
  <c r="K53" i="95" s="1"/>
  <c r="K63" i="95" s="1"/>
  <c r="G8" i="140"/>
  <c r="M8" i="140"/>
  <c r="J8" i="140"/>
  <c r="L8" i="140"/>
  <c r="F8" i="140"/>
  <c r="E8" i="140"/>
  <c r="D8" i="140"/>
  <c r="K8" i="140"/>
  <c r="H8" i="140"/>
  <c r="C8" i="140"/>
  <c r="I8" i="140"/>
  <c r="L48" i="298"/>
  <c r="A14" i="294"/>
  <c r="A33" i="294" s="1"/>
  <c r="K13" i="140"/>
  <c r="J13" i="140"/>
  <c r="I13" i="140"/>
  <c r="H13" i="140"/>
  <c r="G13" i="140"/>
  <c r="F13" i="140"/>
  <c r="D13" i="140"/>
  <c r="E13" i="140"/>
  <c r="C13" i="140"/>
  <c r="M13" i="140"/>
  <c r="L13" i="140"/>
  <c r="A33" i="126"/>
  <c r="A32" i="140" s="1"/>
  <c r="K6" i="140"/>
  <c r="J6" i="140"/>
  <c r="H6" i="140"/>
  <c r="G6" i="140"/>
  <c r="M6" i="140"/>
  <c r="D6" i="140"/>
  <c r="C6" i="140"/>
  <c r="L6" i="140"/>
  <c r="I6" i="140"/>
  <c r="F6" i="140"/>
  <c r="E6" i="140"/>
  <c r="L45" i="95"/>
  <c r="L51" i="95" s="1"/>
  <c r="L53" i="95" s="1"/>
  <c r="L63" i="95" s="1"/>
  <c r="J14" i="140"/>
  <c r="I14" i="140"/>
  <c r="G14" i="140"/>
  <c r="L14" i="140"/>
  <c r="M14" i="140"/>
  <c r="F14" i="140"/>
  <c r="K14" i="140"/>
  <c r="D14" i="140"/>
  <c r="C14" i="140"/>
  <c r="H14" i="140"/>
  <c r="E14" i="140"/>
  <c r="M7" i="140"/>
  <c r="L7" i="140"/>
  <c r="K7" i="140"/>
  <c r="J7" i="140"/>
  <c r="I7" i="140"/>
  <c r="H7" i="140"/>
  <c r="F7" i="140"/>
  <c r="G7" i="140"/>
  <c r="E7" i="140"/>
  <c r="D7" i="140"/>
  <c r="C7" i="140"/>
  <c r="H48" i="298"/>
  <c r="E15" i="298"/>
  <c r="N15" i="298" s="1"/>
  <c r="A9" i="299"/>
  <c r="A27" i="299" s="1"/>
  <c r="M25" i="300"/>
  <c r="L25" i="300"/>
  <c r="F48" i="298"/>
  <c r="G48" i="298"/>
  <c r="H40" i="299"/>
  <c r="H45" i="299" s="1"/>
  <c r="I40" i="299"/>
  <c r="I45" i="299" s="1"/>
  <c r="I48" i="298"/>
  <c r="J40" i="299"/>
  <c r="J45" i="299" s="1"/>
  <c r="J48" i="298"/>
  <c r="K40" i="299"/>
  <c r="K45" i="299" s="1"/>
  <c r="M48" i="298"/>
  <c r="C6" i="137"/>
  <c r="D6" i="137"/>
  <c r="E6" i="137"/>
  <c r="F6" i="137"/>
  <c r="G6" i="137"/>
  <c r="H6" i="137"/>
  <c r="I6" i="137"/>
  <c r="J6" i="137"/>
  <c r="K6" i="137"/>
  <c r="L6" i="137"/>
  <c r="M6" i="137"/>
  <c r="G25" i="300"/>
  <c r="M29" i="137"/>
  <c r="L29" i="137"/>
  <c r="K29" i="137"/>
  <c r="J29" i="137"/>
  <c r="I29" i="137"/>
  <c r="H29" i="137"/>
  <c r="G29" i="137"/>
  <c r="F29" i="137"/>
  <c r="E29" i="137"/>
  <c r="D29" i="137"/>
  <c r="C29" i="137"/>
  <c r="M40" i="299"/>
  <c r="M45" i="299" s="1"/>
  <c r="F40" i="299"/>
  <c r="F45" i="299" s="1"/>
  <c r="G40" i="299"/>
  <c r="G45" i="299" s="1"/>
  <c r="M32" i="137"/>
  <c r="L32" i="137"/>
  <c r="K32" i="137"/>
  <c r="J32" i="137"/>
  <c r="I32" i="137"/>
  <c r="H32" i="137"/>
  <c r="G32" i="137"/>
  <c r="F32" i="137"/>
  <c r="E32" i="137"/>
  <c r="D32" i="137"/>
  <c r="C32" i="137"/>
  <c r="L40" i="299"/>
  <c r="L45" i="299" s="1"/>
  <c r="K25" i="300"/>
  <c r="K48" i="298"/>
  <c r="M7" i="298"/>
  <c r="M5" i="298" s="1"/>
  <c r="M25" i="298" s="1"/>
  <c r="L7" i="298"/>
  <c r="L5" i="298" s="1"/>
  <c r="L25" i="298" s="1"/>
  <c r="K7" i="298"/>
  <c r="K5" i="298" s="1"/>
  <c r="K25" i="298" s="1"/>
  <c r="J7" i="298"/>
  <c r="J5" i="298" s="1"/>
  <c r="J25" i="298" s="1"/>
  <c r="I7" i="298"/>
  <c r="I5" i="298" s="1"/>
  <c r="I25" i="298" s="1"/>
  <c r="H7" i="298"/>
  <c r="H5" i="298" s="1"/>
  <c r="H25" i="298" s="1"/>
  <c r="G7" i="298"/>
  <c r="G5" i="298" s="1"/>
  <c r="G25" i="298" s="1"/>
  <c r="G26" i="298" s="1"/>
  <c r="F7" i="298"/>
  <c r="F5" i="298" s="1"/>
  <c r="F25" i="298" s="1"/>
  <c r="F26" i="298" s="1"/>
  <c r="E7" i="298"/>
  <c r="E5" i="298" s="1"/>
  <c r="D7" i="298"/>
  <c r="D5" i="298" s="1"/>
  <c r="D25" i="298" s="1"/>
  <c r="C7" i="298"/>
  <c r="C5" i="298" s="1"/>
  <c r="C25" i="298" s="1"/>
  <c r="H28" i="140"/>
  <c r="H38" i="140" s="1"/>
  <c r="I28" i="140"/>
  <c r="I38" i="140" s="1"/>
  <c r="J28" i="140"/>
  <c r="J38" i="140" s="1"/>
  <c r="K28" i="140"/>
  <c r="K38" i="140" s="1"/>
  <c r="L28" i="140"/>
  <c r="L38" i="140" s="1"/>
  <c r="M28" i="140"/>
  <c r="M38" i="140" s="1"/>
  <c r="C28" i="140"/>
  <c r="C38" i="140" s="1"/>
  <c r="D28" i="140"/>
  <c r="D38" i="140" s="1"/>
  <c r="G28" i="140"/>
  <c r="G38" i="140" s="1"/>
  <c r="F28" i="140"/>
  <c r="F38" i="140" s="1"/>
  <c r="E28" i="140"/>
  <c r="C7" i="137"/>
  <c r="D7" i="137"/>
  <c r="E7" i="137"/>
  <c r="F7" i="137"/>
  <c r="G7" i="137"/>
  <c r="H7" i="137"/>
  <c r="I7" i="137"/>
  <c r="J7" i="137"/>
  <c r="L7" i="137"/>
  <c r="M7" i="137"/>
  <c r="K7" i="137"/>
  <c r="J25" i="300"/>
  <c r="I37" i="248"/>
  <c r="I204" i="248" s="1"/>
  <c r="C35" i="127"/>
  <c r="C347" i="342" s="1"/>
  <c r="N42" i="299"/>
  <c r="N32" i="300"/>
  <c r="N36" i="300" s="1"/>
  <c r="A13" i="294"/>
  <c r="A32" i="294" s="1"/>
  <c r="N44" i="298"/>
  <c r="P40" i="299"/>
  <c r="P45" i="299" s="1"/>
  <c r="P32" i="137"/>
  <c r="D170" i="367"/>
  <c r="N19" i="298"/>
  <c r="N31" i="299"/>
  <c r="D16" i="86"/>
  <c r="D18" i="86" s="1"/>
  <c r="E170" i="349" s="1"/>
  <c r="G111" i="248"/>
  <c r="O45" i="95"/>
  <c r="O51" i="95" s="1"/>
  <c r="O53" i="95" s="1"/>
  <c r="O55" i="95" s="1"/>
  <c r="P54" i="95" s="1"/>
  <c r="D45" i="95"/>
  <c r="D51" i="95" s="1"/>
  <c r="D53" i="95" s="1"/>
  <c r="E40" i="299"/>
  <c r="E45" i="299" s="1"/>
  <c r="E103" i="146"/>
  <c r="C45" i="95"/>
  <c r="C51" i="95" s="1"/>
  <c r="C53" i="95" s="1"/>
  <c r="P45" i="95"/>
  <c r="P51" i="95" s="1"/>
  <c r="P53" i="95" s="1"/>
  <c r="E45" i="95"/>
  <c r="K169" i="349"/>
  <c r="K175" i="349"/>
  <c r="K168" i="248"/>
  <c r="K204" i="248" s="1"/>
  <c r="N38" i="298"/>
  <c r="N14" i="298"/>
  <c r="N19" i="300"/>
  <c r="D167" i="248"/>
  <c r="D173" i="358"/>
  <c r="N5" i="137"/>
  <c r="I170" i="350"/>
  <c r="N12" i="299"/>
  <c r="C173" i="358"/>
  <c r="J173" i="358"/>
  <c r="N43" i="299"/>
  <c r="J188" i="255"/>
  <c r="I169" i="349"/>
  <c r="N19" i="137"/>
  <c r="D35" i="127"/>
  <c r="D347" i="342" s="1"/>
  <c r="D40" i="299"/>
  <c r="D45" i="299" s="1"/>
  <c r="N32" i="298"/>
  <c r="M38" i="95"/>
  <c r="N36" i="298"/>
  <c r="N22" i="298"/>
  <c r="N5" i="299"/>
  <c r="N9" i="298"/>
  <c r="D48" i="298"/>
  <c r="N27" i="137"/>
  <c r="N28" i="298"/>
  <c r="A7" i="299"/>
  <c r="A25" i="299" s="1"/>
  <c r="C40" i="299"/>
  <c r="C45" i="299" s="1"/>
  <c r="N39" i="298"/>
  <c r="N9" i="300"/>
  <c r="C25" i="300"/>
  <c r="Q21" i="137"/>
  <c r="N30" i="298"/>
  <c r="N17" i="298"/>
  <c r="P38" i="140"/>
  <c r="O70" i="256"/>
  <c r="C42" i="298"/>
  <c r="N42" i="298" s="1"/>
  <c r="D103" i="146"/>
  <c r="D25" i="300"/>
  <c r="N5" i="300"/>
  <c r="N33" i="299"/>
  <c r="N15" i="300"/>
  <c r="D2" i="246"/>
  <c r="N17" i="299"/>
  <c r="L41" i="123"/>
  <c r="N9" i="137"/>
  <c r="E175" i="349"/>
  <c r="A12" i="299"/>
  <c r="A30" i="299" s="1"/>
  <c r="C170" i="350"/>
  <c r="D170" i="350"/>
  <c r="G168" i="248"/>
  <c r="G170" i="367" s="1"/>
  <c r="E188" i="255"/>
  <c r="E173" i="358"/>
  <c r="M70" i="256"/>
  <c r="F168" i="248"/>
  <c r="E54" i="86" s="1"/>
  <c r="C170" i="367"/>
  <c r="K188" i="255"/>
  <c r="E109" i="123"/>
  <c r="J169" i="349"/>
  <c r="A11" i="299"/>
  <c r="A29" i="299" s="1"/>
  <c r="E45" i="233"/>
  <c r="E110" i="123"/>
  <c r="H173" i="358"/>
  <c r="P70" i="256"/>
  <c r="C169" i="350"/>
  <c r="H170" i="367"/>
  <c r="C188" i="255"/>
  <c r="H175" i="349"/>
  <c r="H169" i="349"/>
  <c r="D175" i="350"/>
  <c r="I173" i="358"/>
  <c r="E170" i="367"/>
  <c r="Q70" i="256"/>
  <c r="E170" i="350"/>
  <c r="G188" i="255"/>
  <c r="G175" i="349"/>
  <c r="C169" i="349"/>
  <c r="C175" i="350"/>
  <c r="F126" i="123"/>
  <c r="D247" i="351"/>
  <c r="J205" i="248"/>
  <c r="L101" i="123" s="1"/>
  <c r="F56" i="86"/>
  <c r="G205" i="248"/>
  <c r="H101" i="123" s="1"/>
  <c r="G121" i="248"/>
  <c r="J56" i="86"/>
  <c r="I126" i="123"/>
  <c r="C205" i="248"/>
  <c r="D101" i="123" s="1"/>
  <c r="C204" i="248"/>
  <c r="P21" i="137"/>
  <c r="K59" i="127"/>
  <c r="J346" i="342" s="1"/>
  <c r="K126" i="123"/>
  <c r="K25" i="133"/>
  <c r="K49" i="133" s="1"/>
  <c r="K19" i="88"/>
  <c r="K247" i="351"/>
  <c r="D173" i="134"/>
  <c r="F94" i="123"/>
  <c r="L109" i="123"/>
  <c r="D175" i="367"/>
  <c r="D12" i="123"/>
  <c r="I59" i="86"/>
  <c r="E29" i="314"/>
  <c r="H49" i="133"/>
  <c r="C48" i="88"/>
  <c r="C9" i="88" s="1"/>
  <c r="G10" i="86"/>
  <c r="J91" i="123" s="1"/>
  <c r="C173" i="134"/>
  <c r="I94" i="123"/>
  <c r="G247" i="351"/>
  <c r="C175" i="367"/>
  <c r="H247" i="351"/>
  <c r="J59" i="86"/>
  <c r="E57" i="123"/>
  <c r="K35" i="88"/>
  <c r="F247" i="351"/>
  <c r="K8" i="88"/>
  <c r="D52" i="123"/>
  <c r="D13" i="123" s="1"/>
  <c r="D122" i="123" s="1"/>
  <c r="K37" i="88"/>
  <c r="D48" i="88"/>
  <c r="D9" i="88" s="1"/>
  <c r="E52" i="123"/>
  <c r="E13" i="123" s="1"/>
  <c r="E122" i="123" s="1"/>
  <c r="F29" i="314"/>
  <c r="D57" i="123"/>
  <c r="L110" i="123"/>
  <c r="E205" i="248"/>
  <c r="F101" i="123" s="1"/>
  <c r="E12" i="123"/>
  <c r="H204" i="248"/>
  <c r="K34" i="88"/>
  <c r="K32" i="88"/>
  <c r="C35" i="88"/>
  <c r="G49" i="133"/>
  <c r="J25" i="133"/>
  <c r="J49" i="133" s="1"/>
  <c r="K94" i="123"/>
  <c r="F10" i="86"/>
  <c r="H86" i="123" s="1"/>
  <c r="I45" i="233"/>
  <c r="G45" i="233"/>
  <c r="J247" i="351"/>
  <c r="E247" i="351"/>
  <c r="C247" i="351"/>
  <c r="K45" i="233"/>
  <c r="H45" i="233"/>
  <c r="D49" i="133"/>
  <c r="I247" i="351"/>
  <c r="H170" i="350"/>
  <c r="G59" i="127"/>
  <c r="G255" i="351" s="1"/>
  <c r="C56" i="86"/>
  <c r="E17" i="123"/>
  <c r="G34" i="88"/>
  <c r="H55" i="86"/>
  <c r="J114" i="123" s="1"/>
  <c r="G35" i="88"/>
  <c r="G19" i="88"/>
  <c r="G32" i="88"/>
  <c r="F175" i="367"/>
  <c r="F175" i="350"/>
  <c r="G52" i="123"/>
  <c r="G13" i="123" s="1"/>
  <c r="G122" i="123" s="1"/>
  <c r="H29" i="314"/>
  <c r="D206" i="248"/>
  <c r="E102" i="123" s="1"/>
  <c r="G57" i="123"/>
  <c r="F48" i="88"/>
  <c r="F9" i="88" s="1"/>
  <c r="G8" i="88"/>
  <c r="D201" i="248"/>
  <c r="D205" i="248"/>
  <c r="E101" i="123" s="1"/>
  <c r="G69" i="248"/>
  <c r="G101" i="248" s="1"/>
  <c r="G55" i="86"/>
  <c r="I113" i="123" s="1"/>
  <c r="E21" i="294"/>
  <c r="E59" i="294" s="1"/>
  <c r="J45" i="233"/>
  <c r="D45" i="233"/>
  <c r="F49" i="133"/>
  <c r="P50" i="298"/>
  <c r="P53" i="298" s="1"/>
  <c r="C45" i="233"/>
  <c r="E49" i="133"/>
  <c r="F45" i="233"/>
  <c r="C49" i="133"/>
  <c r="O25" i="298"/>
  <c r="O50" i="298" s="1"/>
  <c r="O53" i="298" s="1"/>
  <c r="B56" i="86"/>
  <c r="I57" i="123"/>
  <c r="I18" i="123" s="1"/>
  <c r="C132" i="248"/>
  <c r="C203" i="248" s="1"/>
  <c r="I12" i="123"/>
  <c r="H206" i="248"/>
  <c r="I102" i="123" s="1"/>
  <c r="H57" i="123"/>
  <c r="G175" i="350"/>
  <c r="H52" i="123"/>
  <c r="H13" i="123" s="1"/>
  <c r="H122" i="123" s="1"/>
  <c r="C101" i="248"/>
  <c r="E175" i="367"/>
  <c r="F57" i="123"/>
  <c r="F18" i="123" s="1"/>
  <c r="I48" i="88"/>
  <c r="I9" i="88" s="1"/>
  <c r="G173" i="134"/>
  <c r="J29" i="314"/>
  <c r="E175" i="350"/>
  <c r="J57" i="123"/>
  <c r="J18" i="123" s="1"/>
  <c r="G175" i="367"/>
  <c r="D56" i="86"/>
  <c r="G48" i="88"/>
  <c r="G9" i="88" s="1"/>
  <c r="C201" i="248"/>
  <c r="M17" i="123"/>
  <c r="D58" i="123"/>
  <c r="E167" i="248"/>
  <c r="C167" i="248"/>
  <c r="C206" i="248"/>
  <c r="D102" i="123" s="1"/>
  <c r="B55" i="86"/>
  <c r="D113" i="123" s="1"/>
  <c r="E173" i="134"/>
  <c r="H12" i="123"/>
  <c r="H175" i="367"/>
  <c r="K132" i="248"/>
  <c r="K169" i="367" s="1"/>
  <c r="G56" i="86"/>
  <c r="E48" i="88"/>
  <c r="E9" i="88" s="1"/>
  <c r="I52" i="123"/>
  <c r="I13" i="123" s="1"/>
  <c r="I122" i="123" s="1"/>
  <c r="H205" i="248"/>
  <c r="I101" i="123" s="1"/>
  <c r="E201" i="248"/>
  <c r="E34" i="88"/>
  <c r="I17" i="123"/>
  <c r="L44" i="123"/>
  <c r="K36" i="237"/>
  <c r="K29" i="237" s="1"/>
  <c r="K32" i="237" s="1"/>
  <c r="K14" i="237" s="1"/>
  <c r="K18" i="237" s="1"/>
  <c r="J49" i="86" s="1"/>
  <c r="D86" i="123"/>
  <c r="D130" i="123" s="1"/>
  <c r="M41" i="123"/>
  <c r="G126" i="123"/>
  <c r="L43" i="123"/>
  <c r="L11" i="123" s="1"/>
  <c r="L103" i="123" s="1"/>
  <c r="E18" i="86"/>
  <c r="G87" i="123" s="1"/>
  <c r="G131" i="123" s="1"/>
  <c r="D10" i="86"/>
  <c r="F86" i="123" s="1"/>
  <c r="H94" i="123"/>
  <c r="L94" i="123"/>
  <c r="K43" i="123"/>
  <c r="K11" i="123" s="1"/>
  <c r="K103" i="123" s="1"/>
  <c r="E94" i="123"/>
  <c r="L127" i="123"/>
  <c r="L33" i="88"/>
  <c r="C170" i="349"/>
  <c r="B19" i="86"/>
  <c r="B22" i="86" s="1"/>
  <c r="B24" i="86" s="1"/>
  <c r="M126" i="123"/>
  <c r="K206" i="248"/>
  <c r="M102" i="123" s="1"/>
  <c r="M44" i="123"/>
  <c r="I205" i="248"/>
  <c r="K101" i="123" s="1"/>
  <c r="D126" i="123"/>
  <c r="I10" i="86"/>
  <c r="K86" i="123" s="1"/>
  <c r="E204" i="248"/>
  <c r="C42" i="129"/>
  <c r="C55" i="129" s="1"/>
  <c r="F52" i="123"/>
  <c r="F13" i="123" s="1"/>
  <c r="F122" i="123" s="1"/>
  <c r="F12" i="123"/>
  <c r="J5" i="248"/>
  <c r="J132" i="248" s="1"/>
  <c r="L59" i="127"/>
  <c r="L8" i="88"/>
  <c r="J17" i="123"/>
  <c r="K55" i="86"/>
  <c r="M113" i="123" s="1"/>
  <c r="L19" i="88"/>
  <c r="I167" i="248"/>
  <c r="I25" i="133"/>
  <c r="I49" i="133" s="1"/>
  <c r="L34" i="88"/>
  <c r="I170" i="367"/>
  <c r="H116" i="123"/>
  <c r="L35" i="88"/>
  <c r="K205" i="248"/>
  <c r="M101" i="123" s="1"/>
  <c r="L39" i="123"/>
  <c r="K39" i="123"/>
  <c r="E101" i="248"/>
  <c r="I201" i="248"/>
  <c r="L32" i="88"/>
  <c r="K17" i="123"/>
  <c r="J34" i="88"/>
  <c r="E132" i="248"/>
  <c r="E169" i="367" s="1"/>
  <c r="K101" i="248"/>
  <c r="M43" i="123"/>
  <c r="M11" i="123" s="1"/>
  <c r="M103" i="123" s="1"/>
  <c r="F173" i="134"/>
  <c r="Q50" i="298"/>
  <c r="Q53" i="298" s="1"/>
  <c r="D55" i="86"/>
  <c r="K44" i="123"/>
  <c r="J12" i="123"/>
  <c r="E206" i="248"/>
  <c r="F102" i="123" s="1"/>
  <c r="L38" i="123"/>
  <c r="J206" i="248"/>
  <c r="L102" i="123" s="1"/>
  <c r="L58" i="123"/>
  <c r="J55" i="86"/>
  <c r="L113" i="123" s="1"/>
  <c r="F101" i="248"/>
  <c r="G58" i="123"/>
  <c r="F206" i="248"/>
  <c r="G102" i="123" s="1"/>
  <c r="F132" i="248"/>
  <c r="F169" i="367" s="1"/>
  <c r="E55" i="86"/>
  <c r="D188" i="255"/>
  <c r="D175" i="349"/>
  <c r="D169" i="349"/>
  <c r="I23" i="88"/>
  <c r="J5" i="123"/>
  <c r="H45" i="86"/>
  <c r="I5" i="237"/>
  <c r="I6" i="237" s="1"/>
  <c r="I8" i="237" s="1"/>
  <c r="I19" i="237" s="1"/>
  <c r="F24" i="128"/>
  <c r="F53" i="128" s="1"/>
  <c r="F115" i="128" s="1"/>
  <c r="F11" i="129" s="1"/>
  <c r="F12" i="129" s="1"/>
  <c r="E35" i="86" s="1"/>
  <c r="A18" i="294"/>
  <c r="A37" i="294" s="1"/>
  <c r="A37" i="126"/>
  <c r="A36" i="140" s="1"/>
  <c r="A18" i="140"/>
  <c r="M109" i="123"/>
  <c r="M108" i="123"/>
  <c r="M110" i="123"/>
  <c r="A8" i="140"/>
  <c r="A8" i="294"/>
  <c r="A27" i="294" s="1"/>
  <c r="A27" i="126"/>
  <c r="A26" i="140" s="1"/>
  <c r="F2" i="246"/>
  <c r="A8" i="299"/>
  <c r="A26" i="299" s="1"/>
  <c r="P2" i="246"/>
  <c r="A18" i="299"/>
  <c r="A36" i="299" s="1"/>
  <c r="M94" i="123"/>
  <c r="K40" i="126"/>
  <c r="J175" i="367" s="1"/>
  <c r="H175" i="350"/>
  <c r="P20" i="140"/>
  <c r="H54" i="86"/>
  <c r="G54" i="86"/>
  <c r="G94" i="123"/>
  <c r="N70" i="256"/>
  <c r="E58" i="123"/>
  <c r="C55" i="86"/>
  <c r="D204" i="248"/>
  <c r="F175" i="349"/>
  <c r="F188" i="255"/>
  <c r="F169" i="349"/>
  <c r="Q20" i="140"/>
  <c r="Q45" i="140" s="1"/>
  <c r="H58" i="123"/>
  <c r="D87" i="123"/>
  <c r="D131" i="123" s="1"/>
  <c r="H173" i="134"/>
  <c r="O40" i="299"/>
  <c r="O45" i="299" s="1"/>
  <c r="C2" i="246"/>
  <c r="A5" i="299"/>
  <c r="A23" i="299" s="1"/>
  <c r="H167" i="248"/>
  <c r="D21" i="294"/>
  <c r="D59" i="294" s="1"/>
  <c r="H201" i="248"/>
  <c r="E56" i="86"/>
  <c r="F205" i="248"/>
  <c r="G101" i="123" s="1"/>
  <c r="G17" i="123"/>
  <c r="H5" i="248"/>
  <c r="L36" i="237"/>
  <c r="L29" i="237" s="1"/>
  <c r="L32" i="237" s="1"/>
  <c r="L14" i="237" s="1"/>
  <c r="L18" i="237" s="1"/>
  <c r="K49" i="86" s="1"/>
  <c r="E36" i="237"/>
  <c r="E29" i="237" s="1"/>
  <c r="E32" i="237" s="1"/>
  <c r="E14" i="237" s="1"/>
  <c r="E18" i="237" s="1"/>
  <c r="D49" i="86" s="1"/>
  <c r="I54" i="86"/>
  <c r="C32" i="88"/>
  <c r="C33" i="88"/>
  <c r="C19" i="88"/>
  <c r="C34" i="88"/>
  <c r="G52" i="128"/>
  <c r="H24" i="128"/>
  <c r="E115" i="128"/>
  <c r="E11" i="129" s="1"/>
  <c r="E12" i="129" s="1"/>
  <c r="E25" i="129" s="1"/>
  <c r="E42" i="129" s="1"/>
  <c r="E55" i="129" s="1"/>
  <c r="G24" i="128"/>
  <c r="K61" i="128"/>
  <c r="L56" i="128" s="1"/>
  <c r="L14" i="131"/>
  <c r="L46" i="131" s="1"/>
  <c r="L47" i="131" s="1"/>
  <c r="L50" i="131" s="1"/>
  <c r="I42" i="128"/>
  <c r="F46" i="88"/>
  <c r="F39" i="88" s="1"/>
  <c r="G7" i="123" s="1"/>
  <c r="G117" i="123" s="1"/>
  <c r="F35" i="127"/>
  <c r="F37" i="127" s="1"/>
  <c r="F41" i="127" s="1"/>
  <c r="K14" i="131"/>
  <c r="K46" i="131" s="1"/>
  <c r="K47" i="131" s="1"/>
  <c r="K50" i="131" s="1"/>
  <c r="H185" i="255"/>
  <c r="H61" i="128"/>
  <c r="L185" i="255"/>
  <c r="K185" i="255"/>
  <c r="J52" i="128"/>
  <c r="C59" i="127"/>
  <c r="C255" i="351" s="1"/>
  <c r="D34" i="88"/>
  <c r="C8" i="88"/>
  <c r="J17" i="131"/>
  <c r="J46" i="131"/>
  <c r="J47" i="131" s="1"/>
  <c r="J50" i="131" s="1"/>
  <c r="I16" i="86"/>
  <c r="E126" i="123"/>
  <c r="J36" i="237"/>
  <c r="J29" i="237" s="1"/>
  <c r="J32" i="237" s="1"/>
  <c r="J14" i="237" s="1"/>
  <c r="J18" i="237" s="1"/>
  <c r="I49" i="86" s="1"/>
  <c r="K116" i="123"/>
  <c r="O21" i="137"/>
  <c r="J59" i="127"/>
  <c r="J8" i="88"/>
  <c r="J35" i="88"/>
  <c r="J37" i="88"/>
  <c r="J32" i="88"/>
  <c r="J33" i="88"/>
  <c r="J19" i="88"/>
  <c r="G186" i="255"/>
  <c r="D42" i="129"/>
  <c r="D55" i="129" s="1"/>
  <c r="J29" i="128"/>
  <c r="L42" i="128"/>
  <c r="I39" i="128"/>
  <c r="H39" i="128"/>
  <c r="K42" i="128"/>
  <c r="I31" i="128"/>
  <c r="I30" i="128" s="1"/>
  <c r="H31" i="128"/>
  <c r="H30" i="128" s="1"/>
  <c r="L39" i="128"/>
  <c r="K39" i="128"/>
  <c r="K31" i="128"/>
  <c r="K30" i="128" s="1"/>
  <c r="L31" i="128"/>
  <c r="L30" i="128" s="1"/>
  <c r="H42" i="128"/>
  <c r="A16" i="294"/>
  <c r="A35" i="294" s="1"/>
  <c r="A16" i="140"/>
  <c r="A35" i="126"/>
  <c r="A34" i="140" s="1"/>
  <c r="H16" i="86"/>
  <c r="L110" i="255"/>
  <c r="L32" i="127" s="1"/>
  <c r="F16" i="86"/>
  <c r="O38" i="140"/>
  <c r="J40" i="123"/>
  <c r="I40" i="123"/>
  <c r="I44" i="123"/>
  <c r="I36" i="123" s="1"/>
  <c r="I9" i="123" s="1"/>
  <c r="I43" i="123"/>
  <c r="I11" i="123" s="1"/>
  <c r="I103" i="123" s="1"/>
  <c r="O12" i="140"/>
  <c r="C12" i="294"/>
  <c r="C21" i="294" s="1"/>
  <c r="D32" i="88"/>
  <c r="D19" i="88"/>
  <c r="D8" i="88"/>
  <c r="D35" i="88"/>
  <c r="D37" i="88"/>
  <c r="D59" i="127"/>
  <c r="D33" i="88"/>
  <c r="D36" i="237"/>
  <c r="D29" i="237" s="1"/>
  <c r="D32" i="237" s="1"/>
  <c r="D14" i="237" s="1"/>
  <c r="D18" i="237" s="1"/>
  <c r="C49" i="86" s="1"/>
  <c r="E116" i="123"/>
  <c r="J40" i="126"/>
  <c r="K29" i="314" s="1"/>
  <c r="D43" i="123"/>
  <c r="D11" i="123" s="1"/>
  <c r="D103" i="123" s="1"/>
  <c r="D44" i="123"/>
  <c r="E23" i="88"/>
  <c r="E5" i="237"/>
  <c r="E6" i="237" s="1"/>
  <c r="E8" i="237" s="1"/>
  <c r="D48" i="86" s="1"/>
  <c r="D45" i="86"/>
  <c r="F5" i="123"/>
  <c r="E39" i="88"/>
  <c r="F7" i="123" s="1"/>
  <c r="F117" i="123" s="1"/>
  <c r="C36" i="237"/>
  <c r="C29" i="237" s="1"/>
  <c r="C32" i="237" s="1"/>
  <c r="C14" i="237" s="1"/>
  <c r="C18" i="237" s="1"/>
  <c r="D116" i="123"/>
  <c r="E43" i="123"/>
  <c r="E11" i="123" s="1"/>
  <c r="E103" i="123" s="1"/>
  <c r="E44" i="123"/>
  <c r="I116" i="123"/>
  <c r="H36" i="237"/>
  <c r="H29" i="237" s="1"/>
  <c r="H32" i="237" s="1"/>
  <c r="H14" i="237" s="1"/>
  <c r="H18" i="237" s="1"/>
  <c r="D101" i="248"/>
  <c r="D132" i="248"/>
  <c r="H8" i="88"/>
  <c r="H19" i="88"/>
  <c r="H59" i="127"/>
  <c r="H35" i="88"/>
  <c r="H34" i="88"/>
  <c r="H32" i="88"/>
  <c r="H33" i="88"/>
  <c r="D6" i="237"/>
  <c r="D8" i="237" s="1"/>
  <c r="M52" i="123"/>
  <c r="M13" i="123" s="1"/>
  <c r="M122" i="123" s="1"/>
  <c r="M29" i="314"/>
  <c r="M12" i="123"/>
  <c r="L48" i="88"/>
  <c r="L9" i="88" s="1"/>
  <c r="M57" i="123"/>
  <c r="M18" i="123" s="1"/>
  <c r="K175" i="367"/>
  <c r="G19" i="237"/>
  <c r="F48" i="86"/>
  <c r="F50" i="86" s="1"/>
  <c r="H6" i="123"/>
  <c r="G86" i="123"/>
  <c r="G127" i="123"/>
  <c r="E32" i="88"/>
  <c r="E19" i="88"/>
  <c r="E35" i="88"/>
  <c r="E8" i="88"/>
  <c r="E33" i="88"/>
  <c r="E37" i="127"/>
  <c r="E41" i="127" s="1"/>
  <c r="E59" i="127"/>
  <c r="E37" i="88"/>
  <c r="K175" i="350"/>
  <c r="F37" i="88"/>
  <c r="G37" i="88" s="1"/>
  <c r="H37" i="88" s="1"/>
  <c r="F8" i="88"/>
  <c r="F19" i="88"/>
  <c r="F33" i="88"/>
  <c r="F35" i="88"/>
  <c r="F32" i="88"/>
  <c r="F59" i="127"/>
  <c r="F34" i="88"/>
  <c r="G40" i="123"/>
  <c r="H40" i="123"/>
  <c r="G43" i="123"/>
  <c r="G11" i="123" s="1"/>
  <c r="G103" i="123" s="1"/>
  <c r="G44" i="123"/>
  <c r="J201" i="248"/>
  <c r="J167" i="248"/>
  <c r="J54" i="86"/>
  <c r="J170" i="350"/>
  <c r="J170" i="367"/>
  <c r="E86" i="123"/>
  <c r="E127" i="123"/>
  <c r="E91" i="123"/>
  <c r="C19" i="86"/>
  <c r="C22" i="86" s="1"/>
  <c r="C24" i="86" s="1"/>
  <c r="K173" i="134"/>
  <c r="F43" i="123"/>
  <c r="F11" i="123" s="1"/>
  <c r="F103" i="123" s="1"/>
  <c r="F44" i="123"/>
  <c r="F39" i="123"/>
  <c r="G39" i="123"/>
  <c r="M86" i="123"/>
  <c r="M127" i="123"/>
  <c r="M91" i="123"/>
  <c r="H109" i="123"/>
  <c r="H108" i="123"/>
  <c r="E7" i="88"/>
  <c r="F121" i="123" s="1"/>
  <c r="E347" i="342"/>
  <c r="M42" i="368"/>
  <c r="G74" i="315"/>
  <c r="E58" i="133"/>
  <c r="E256" i="351"/>
  <c r="J204" i="248"/>
  <c r="F6" i="237"/>
  <c r="F8" i="237" s="1"/>
  <c r="G116" i="123"/>
  <c r="F36" i="237"/>
  <c r="F29" i="237" s="1"/>
  <c r="F32" i="237" s="1"/>
  <c r="F14" i="237" s="1"/>
  <c r="F18" i="237" s="1"/>
  <c r="E49" i="86" s="1"/>
  <c r="J86" i="123"/>
  <c r="D170" i="349" l="1"/>
  <c r="E96" i="123"/>
  <c r="H29" i="128"/>
  <c r="J184" i="255"/>
  <c r="J186" i="255" s="1"/>
  <c r="J30" i="127" s="1"/>
  <c r="H62" i="95"/>
  <c r="G62" i="95"/>
  <c r="C55" i="95"/>
  <c r="D54" i="95" s="1"/>
  <c r="D55" i="95" s="1"/>
  <c r="E54" i="95" s="1"/>
  <c r="N8" i="140"/>
  <c r="N14" i="140"/>
  <c r="F51" i="95"/>
  <c r="F53" i="95" s="1"/>
  <c r="F63" i="95" s="1"/>
  <c r="I101" i="248"/>
  <c r="F50" i="298"/>
  <c r="F53" i="298" s="1"/>
  <c r="I132" i="248"/>
  <c r="I203" i="248" s="1"/>
  <c r="I206" i="248"/>
  <c r="K102" i="123" s="1"/>
  <c r="I55" i="86"/>
  <c r="K113" i="123" s="1"/>
  <c r="E25" i="298"/>
  <c r="E26" i="298" s="1"/>
  <c r="I62" i="95"/>
  <c r="N13" i="140"/>
  <c r="N7" i="140"/>
  <c r="J51" i="95"/>
  <c r="J53" i="95" s="1"/>
  <c r="J63" i="95" s="1"/>
  <c r="K62" i="95"/>
  <c r="E21" i="137"/>
  <c r="L62" i="95"/>
  <c r="K58" i="123"/>
  <c r="C37" i="127"/>
  <c r="C41" i="127" s="1"/>
  <c r="D8" i="123" s="1"/>
  <c r="E74" i="315"/>
  <c r="C58" i="133"/>
  <c r="C7" i="88"/>
  <c r="D121" i="123" s="1"/>
  <c r="C256" i="351"/>
  <c r="J21" i="137"/>
  <c r="K21" i="137"/>
  <c r="H21" i="137"/>
  <c r="G21" i="137"/>
  <c r="F21" i="137"/>
  <c r="L21" i="137"/>
  <c r="M21" i="137"/>
  <c r="E12" i="140"/>
  <c r="E20" i="140" s="1"/>
  <c r="G12" i="140"/>
  <c r="G20" i="140" s="1"/>
  <c r="G39" i="140" s="1"/>
  <c r="C12" i="140"/>
  <c r="C20" i="140" s="1"/>
  <c r="C39" i="140" s="1"/>
  <c r="I12" i="140"/>
  <c r="I20" i="140" s="1"/>
  <c r="I39" i="140" s="1"/>
  <c r="F12" i="140"/>
  <c r="F20" i="140" s="1"/>
  <c r="F39" i="140" s="1"/>
  <c r="M12" i="140"/>
  <c r="M20" i="140" s="1"/>
  <c r="M39" i="140" s="1"/>
  <c r="L12" i="140"/>
  <c r="L20" i="140" s="1"/>
  <c r="L39" i="140" s="1"/>
  <c r="K12" i="140"/>
  <c r="K20" i="140" s="1"/>
  <c r="K39" i="140" s="1"/>
  <c r="J12" i="140"/>
  <c r="J20" i="140" s="1"/>
  <c r="J39" i="140" s="1"/>
  <c r="H12" i="140"/>
  <c r="H20" i="140" s="1"/>
  <c r="H39" i="140" s="1"/>
  <c r="D12" i="140"/>
  <c r="D20" i="140" s="1"/>
  <c r="D39" i="140" s="1"/>
  <c r="N6" i="140"/>
  <c r="I21" i="137"/>
  <c r="G170" i="350"/>
  <c r="D58" i="133"/>
  <c r="F74" i="315"/>
  <c r="N38" i="299"/>
  <c r="H26" i="298"/>
  <c r="H50" i="298"/>
  <c r="H53" i="298" s="1"/>
  <c r="I26" i="298"/>
  <c r="I50" i="298"/>
  <c r="I53" i="298" s="1"/>
  <c r="J26" i="298"/>
  <c r="J50" i="298"/>
  <c r="J53" i="298" s="1"/>
  <c r="K26" i="298"/>
  <c r="K50" i="298"/>
  <c r="K53" i="298" s="1"/>
  <c r="G50" i="298"/>
  <c r="G53" i="298" s="1"/>
  <c r="L50" i="298"/>
  <c r="L53" i="298" s="1"/>
  <c r="L26" i="298"/>
  <c r="M26" i="298"/>
  <c r="M50" i="298"/>
  <c r="M53" i="298" s="1"/>
  <c r="D256" i="351"/>
  <c r="D7" i="88"/>
  <c r="E121" i="123" s="1"/>
  <c r="P55" i="95"/>
  <c r="K54" i="86"/>
  <c r="K167" i="248"/>
  <c r="K201" i="248"/>
  <c r="K170" i="350"/>
  <c r="N20" i="299"/>
  <c r="K170" i="367"/>
  <c r="E51" i="95"/>
  <c r="E53" i="95" s="1"/>
  <c r="E63" i="95" s="1"/>
  <c r="E62" i="95"/>
  <c r="M39" i="95"/>
  <c r="M45" i="95" s="1"/>
  <c r="M51" i="95" s="1"/>
  <c r="M53" i="95" s="1"/>
  <c r="N28" i="140"/>
  <c r="D37" i="127"/>
  <c r="D41" i="127" s="1"/>
  <c r="D43" i="127" s="1"/>
  <c r="D45" i="127" s="1"/>
  <c r="D153" i="128" s="1"/>
  <c r="D158" i="128" s="1"/>
  <c r="D166" i="128" s="1"/>
  <c r="D183" i="128" s="1"/>
  <c r="G167" i="248"/>
  <c r="G201" i="248"/>
  <c r="C21" i="137"/>
  <c r="H127" i="123"/>
  <c r="N7" i="137"/>
  <c r="F201" i="248"/>
  <c r="D21" i="137"/>
  <c r="F167" i="248"/>
  <c r="N6" i="137"/>
  <c r="F54" i="86"/>
  <c r="D50" i="298"/>
  <c r="D53" i="298" s="1"/>
  <c r="D26" i="298"/>
  <c r="N7" i="298"/>
  <c r="N5" i="298"/>
  <c r="N25" i="298" s="1"/>
  <c r="N29" i="137"/>
  <c r="E38" i="140"/>
  <c r="N24" i="140"/>
  <c r="F170" i="367"/>
  <c r="F170" i="350"/>
  <c r="N25" i="300"/>
  <c r="F204" i="248"/>
  <c r="N48" i="298"/>
  <c r="P39" i="140"/>
  <c r="C48" i="298"/>
  <c r="C50" i="298" s="1"/>
  <c r="C53" i="298" s="1"/>
  <c r="H91" i="123"/>
  <c r="J113" i="123"/>
  <c r="L26" i="141"/>
  <c r="J255" i="351"/>
  <c r="I91" i="123"/>
  <c r="I86" i="123"/>
  <c r="I130" i="123" s="1"/>
  <c r="I127" i="123"/>
  <c r="G91" i="123"/>
  <c r="D18" i="123"/>
  <c r="E18" i="123"/>
  <c r="J57" i="133"/>
  <c r="F55" i="86"/>
  <c r="H113" i="123" s="1"/>
  <c r="G132" i="248"/>
  <c r="G169" i="367" s="1"/>
  <c r="G57" i="133"/>
  <c r="G204" i="248"/>
  <c r="L114" i="123"/>
  <c r="J101" i="248"/>
  <c r="G206" i="248"/>
  <c r="H102" i="123" s="1"/>
  <c r="G346" i="342"/>
  <c r="I26" i="141"/>
  <c r="G18" i="123"/>
  <c r="H18" i="123"/>
  <c r="E53" i="294"/>
  <c r="I114" i="123"/>
  <c r="E19" i="86"/>
  <c r="E22" i="86" s="1"/>
  <c r="E24" i="86" s="1"/>
  <c r="F87" i="123"/>
  <c r="F131" i="123" s="1"/>
  <c r="F96" i="123"/>
  <c r="J6" i="123"/>
  <c r="H48" i="86"/>
  <c r="H50" i="86" s="1"/>
  <c r="G96" i="123"/>
  <c r="E169" i="350"/>
  <c r="E203" i="248"/>
  <c r="K169" i="350"/>
  <c r="F127" i="123"/>
  <c r="L36" i="123"/>
  <c r="L9" i="123" s="1"/>
  <c r="F91" i="123"/>
  <c r="K203" i="248"/>
  <c r="D114" i="123"/>
  <c r="M36" i="123"/>
  <c r="M9" i="123" s="1"/>
  <c r="D19" i="86"/>
  <c r="D22" i="86" s="1"/>
  <c r="D24" i="86" s="1"/>
  <c r="F170" i="349"/>
  <c r="K36" i="123"/>
  <c r="K9" i="123" s="1"/>
  <c r="D50" i="86"/>
  <c r="L91" i="123"/>
  <c r="K127" i="123"/>
  <c r="K91" i="123"/>
  <c r="M26" i="141"/>
  <c r="K346" i="342"/>
  <c r="K255" i="351"/>
  <c r="F169" i="350"/>
  <c r="K57" i="133"/>
  <c r="P45" i="140"/>
  <c r="M114" i="123"/>
  <c r="F114" i="123"/>
  <c r="F113" i="123"/>
  <c r="D88" i="123"/>
  <c r="D132" i="123" s="1"/>
  <c r="D53" i="294"/>
  <c r="E26" i="141"/>
  <c r="F203" i="248"/>
  <c r="O20" i="140"/>
  <c r="O39" i="140" s="1"/>
  <c r="Q39" i="140"/>
  <c r="H132" i="248"/>
  <c r="H101" i="248"/>
  <c r="E113" i="123"/>
  <c r="E114" i="123"/>
  <c r="J175" i="350"/>
  <c r="J173" i="134"/>
  <c r="L52" i="123"/>
  <c r="L13" i="123" s="1"/>
  <c r="L122" i="123" s="1"/>
  <c r="L12" i="123"/>
  <c r="L29" i="314"/>
  <c r="K48" i="88"/>
  <c r="K9" i="88" s="1"/>
  <c r="L57" i="123"/>
  <c r="L18" i="123" s="1"/>
  <c r="G114" i="123"/>
  <c r="G113" i="123"/>
  <c r="E19" i="237"/>
  <c r="F133" i="123" s="1"/>
  <c r="F134" i="123" s="1"/>
  <c r="F135" i="123" s="1"/>
  <c r="C57" i="133"/>
  <c r="C346" i="342"/>
  <c r="F14" i="88"/>
  <c r="F25" i="129"/>
  <c r="F42" i="129" s="1"/>
  <c r="F55" i="129" s="1"/>
  <c r="F13" i="88"/>
  <c r="I52" i="128"/>
  <c r="E14" i="88"/>
  <c r="D35" i="86"/>
  <c r="E13" i="88"/>
  <c r="L17" i="131"/>
  <c r="L38" i="131" s="1"/>
  <c r="L51" i="131" s="1"/>
  <c r="L52" i="128"/>
  <c r="H52" i="128"/>
  <c r="K17" i="131"/>
  <c r="J42" i="86" s="1"/>
  <c r="H53" i="128"/>
  <c r="H115" i="128" s="1"/>
  <c r="H11" i="129" s="1"/>
  <c r="H12" i="129" s="1"/>
  <c r="H13" i="88" s="1"/>
  <c r="H184" i="255"/>
  <c r="H186" i="255" s="1"/>
  <c r="F15" i="86"/>
  <c r="F18" i="86" s="1"/>
  <c r="G46" i="88"/>
  <c r="G39" i="88" s="1"/>
  <c r="H7" i="123" s="1"/>
  <c r="H117" i="123" s="1"/>
  <c r="L61" i="128"/>
  <c r="G53" i="128"/>
  <c r="G115" i="128" s="1"/>
  <c r="G11" i="129" s="1"/>
  <c r="G12" i="129" s="1"/>
  <c r="F58" i="133"/>
  <c r="H74" i="315"/>
  <c r="F347" i="342"/>
  <c r="F256" i="351"/>
  <c r="F7" i="88"/>
  <c r="G121" i="123" s="1"/>
  <c r="K29" i="128"/>
  <c r="K184" i="255" s="1"/>
  <c r="K186" i="255" s="1"/>
  <c r="K30" i="127" s="1"/>
  <c r="I185" i="255"/>
  <c r="I61" i="128"/>
  <c r="G35" i="127"/>
  <c r="G7" i="88" s="1"/>
  <c r="H121" i="123" s="1"/>
  <c r="I42" i="86"/>
  <c r="J38" i="131"/>
  <c r="I346" i="342"/>
  <c r="K26" i="141"/>
  <c r="I255" i="351"/>
  <c r="I57" i="133"/>
  <c r="F36" i="123"/>
  <c r="F9" i="123" s="1"/>
  <c r="K52" i="128"/>
  <c r="I29" i="128"/>
  <c r="L29" i="128"/>
  <c r="L184" i="255" s="1"/>
  <c r="L186" i="255" s="1"/>
  <c r="L30" i="127" s="1"/>
  <c r="L35" i="127" s="1"/>
  <c r="C59" i="294"/>
  <c r="C53" i="294"/>
  <c r="E36" i="123"/>
  <c r="E9" i="123" s="1"/>
  <c r="K16" i="86"/>
  <c r="Q32" i="137"/>
  <c r="F6" i="123"/>
  <c r="I173" i="134"/>
  <c r="I175" i="367"/>
  <c r="D203" i="248"/>
  <c r="D169" i="367"/>
  <c r="D169" i="350"/>
  <c r="D6" i="123"/>
  <c r="C19" i="237"/>
  <c r="B49" i="86"/>
  <c r="B50" i="86" s="1"/>
  <c r="K12" i="123"/>
  <c r="H19" i="237"/>
  <c r="G49" i="86"/>
  <c r="G50" i="86" s="1"/>
  <c r="I6" i="123"/>
  <c r="F26" i="141"/>
  <c r="D346" i="342"/>
  <c r="D57" i="133"/>
  <c r="D255" i="351"/>
  <c r="K57" i="123"/>
  <c r="K52" i="123"/>
  <c r="K13" i="123" s="1"/>
  <c r="K122" i="123" s="1"/>
  <c r="J48" i="88"/>
  <c r="J9" i="88" s="1"/>
  <c r="I175" i="350"/>
  <c r="J26" i="141"/>
  <c r="H255" i="351"/>
  <c r="H346" i="342"/>
  <c r="H57" i="133"/>
  <c r="J36" i="123"/>
  <c r="J9" i="123" s="1"/>
  <c r="D19" i="237"/>
  <c r="E6" i="123"/>
  <c r="C48" i="86"/>
  <c r="C50" i="86" s="1"/>
  <c r="H130" i="123"/>
  <c r="I169" i="367"/>
  <c r="H124" i="123"/>
  <c r="H133" i="123"/>
  <c r="H134" i="123" s="1"/>
  <c r="H135" i="123" s="1"/>
  <c r="J130" i="123"/>
  <c r="G26" i="141"/>
  <c r="E255" i="351"/>
  <c r="E57" i="133"/>
  <c r="E346" i="342"/>
  <c r="E43" i="127"/>
  <c r="E45" i="127" s="1"/>
  <c r="F8" i="123"/>
  <c r="H26" i="141"/>
  <c r="F346" i="342"/>
  <c r="F255" i="351"/>
  <c r="F57" i="133"/>
  <c r="E130" i="123"/>
  <c r="E88" i="123"/>
  <c r="E132" i="123" s="1"/>
  <c r="G36" i="123"/>
  <c r="G9" i="123" s="1"/>
  <c r="H36" i="123"/>
  <c r="H9" i="123" s="1"/>
  <c r="G130" i="123"/>
  <c r="G88" i="123"/>
  <c r="G132" i="123" s="1"/>
  <c r="E48" i="86"/>
  <c r="E50" i="86" s="1"/>
  <c r="G6" i="123"/>
  <c r="F19" i="237"/>
  <c r="J169" i="367"/>
  <c r="J169" i="350"/>
  <c r="J203" i="248"/>
  <c r="F43" i="127"/>
  <c r="F45" i="127" s="1"/>
  <c r="G8" i="123"/>
  <c r="F130" i="123"/>
  <c r="M130" i="123"/>
  <c r="K130" i="123"/>
  <c r="J133" i="123"/>
  <c r="J134" i="123" s="1"/>
  <c r="J135" i="123" s="1"/>
  <c r="J124" i="123"/>
  <c r="J35" i="127" l="1"/>
  <c r="I58" i="133" s="1"/>
  <c r="J46" i="88"/>
  <c r="I15" i="86"/>
  <c r="I18" i="86" s="1"/>
  <c r="I19" i="86" s="1"/>
  <c r="I22" i="86" s="1"/>
  <c r="I24" i="86" s="1"/>
  <c r="O30" i="137"/>
  <c r="I30" i="137" s="1"/>
  <c r="I35" i="137" s="1"/>
  <c r="I37" i="137" s="1"/>
  <c r="I41" i="137" s="1"/>
  <c r="I45" i="137" s="1"/>
  <c r="I169" i="350"/>
  <c r="K114" i="123"/>
  <c r="E50" i="298"/>
  <c r="E53" i="298" s="1"/>
  <c r="K18" i="123"/>
  <c r="E39" i="140"/>
  <c r="C43" i="127"/>
  <c r="C45" i="127" s="1"/>
  <c r="C57" i="127" s="1"/>
  <c r="N21" i="137"/>
  <c r="E8" i="123"/>
  <c r="K30" i="137"/>
  <c r="K35" i="137" s="1"/>
  <c r="K37" i="137" s="1"/>
  <c r="K41" i="137" s="1"/>
  <c r="K45" i="137" s="1"/>
  <c r="J30" i="137"/>
  <c r="J35" i="137" s="1"/>
  <c r="J37" i="137" s="1"/>
  <c r="J41" i="137" s="1"/>
  <c r="J45" i="137" s="1"/>
  <c r="N40" i="299"/>
  <c r="N45" i="299" s="1"/>
  <c r="D47" i="127"/>
  <c r="D57" i="127"/>
  <c r="N38" i="140"/>
  <c r="N12" i="140"/>
  <c r="N20" i="140" s="1"/>
  <c r="E55" i="95"/>
  <c r="F54" i="95" s="1"/>
  <c r="F55" i="95" s="1"/>
  <c r="G54" i="95" s="1"/>
  <c r="G55" i="95" s="1"/>
  <c r="H54" i="95" s="1"/>
  <c r="H55" i="95" s="1"/>
  <c r="I54" i="95" s="1"/>
  <c r="I55" i="95" s="1"/>
  <c r="J54" i="95" s="1"/>
  <c r="J55" i="95" s="1"/>
  <c r="K54" i="95" s="1"/>
  <c r="K55" i="95" s="1"/>
  <c r="L54" i="95" s="1"/>
  <c r="L55" i="95" s="1"/>
  <c r="M54" i="95" s="1"/>
  <c r="M55" i="95" s="1"/>
  <c r="G203" i="248"/>
  <c r="H114" i="123"/>
  <c r="N50" i="298"/>
  <c r="N53" i="298" s="1"/>
  <c r="N32" i="137"/>
  <c r="G169" i="350"/>
  <c r="F88" i="123"/>
  <c r="F132" i="123" s="1"/>
  <c r="F124" i="123"/>
  <c r="O45" i="140"/>
  <c r="H203" i="248"/>
  <c r="H169" i="367"/>
  <c r="H169" i="350"/>
  <c r="K42" i="86"/>
  <c r="K38" i="131"/>
  <c r="K51" i="131" s="1"/>
  <c r="H14" i="88"/>
  <c r="G35" i="86"/>
  <c r="H25" i="129"/>
  <c r="H42" i="129" s="1"/>
  <c r="H55" i="129" s="1"/>
  <c r="J24" i="128"/>
  <c r="J53" i="128" s="1"/>
  <c r="J115" i="128" s="1"/>
  <c r="J11" i="129" s="1"/>
  <c r="J12" i="129" s="1"/>
  <c r="F19" i="86"/>
  <c r="F22" i="86" s="1"/>
  <c r="F24" i="86" s="1"/>
  <c r="H87" i="123"/>
  <c r="H131" i="123" s="1"/>
  <c r="H96" i="123"/>
  <c r="G170" i="349"/>
  <c r="I74" i="315"/>
  <c r="G37" i="127"/>
  <c r="G41" i="127" s="1"/>
  <c r="G43" i="127" s="1"/>
  <c r="G45" i="127" s="1"/>
  <c r="G58" i="133"/>
  <c r="Q30" i="137"/>
  <c r="K15" i="86"/>
  <c r="K18" i="86" s="1"/>
  <c r="L46" i="88"/>
  <c r="G256" i="351"/>
  <c r="O35" i="137"/>
  <c r="O37" i="137" s="1"/>
  <c r="O41" i="137" s="1"/>
  <c r="O45" i="137" s="1"/>
  <c r="P30" i="137"/>
  <c r="K46" i="88"/>
  <c r="K35" i="127"/>
  <c r="J15" i="86"/>
  <c r="J18" i="86" s="1"/>
  <c r="I53" i="128"/>
  <c r="I115" i="128" s="1"/>
  <c r="I11" i="129" s="1"/>
  <c r="I12" i="129" s="1"/>
  <c r="I14" i="88" s="1"/>
  <c r="I184" i="255"/>
  <c r="I186" i="255" s="1"/>
  <c r="G347" i="342"/>
  <c r="H35" i="127"/>
  <c r="H46" i="88"/>
  <c r="H39" i="88" s="1"/>
  <c r="I7" i="123" s="1"/>
  <c r="I117" i="123" s="1"/>
  <c r="G15" i="86"/>
  <c r="G18" i="86" s="1"/>
  <c r="J40" i="131"/>
  <c r="J51" i="131"/>
  <c r="F35" i="86"/>
  <c r="G14" i="88"/>
  <c r="G25" i="129"/>
  <c r="G42" i="129" s="1"/>
  <c r="G55" i="129" s="1"/>
  <c r="G13" i="88"/>
  <c r="K256" i="351"/>
  <c r="Q42" i="368"/>
  <c r="M74" i="315"/>
  <c r="K347" i="342"/>
  <c r="L37" i="127"/>
  <c r="L41" i="127" s="1"/>
  <c r="L7" i="88"/>
  <c r="M121" i="123" s="1"/>
  <c r="K58" i="133"/>
  <c r="D133" i="123"/>
  <c r="D134" i="123" s="1"/>
  <c r="D135" i="123" s="1"/>
  <c r="D124" i="123"/>
  <c r="I133" i="123"/>
  <c r="I134" i="123" s="1"/>
  <c r="I135" i="123" s="1"/>
  <c r="I124" i="123"/>
  <c r="E47" i="127"/>
  <c r="E57" i="127"/>
  <c r="E153" i="128"/>
  <c r="E158" i="128" s="1"/>
  <c r="E166" i="128" s="1"/>
  <c r="E183" i="128" s="1"/>
  <c r="E124" i="123"/>
  <c r="E133" i="123"/>
  <c r="E134" i="123" s="1"/>
  <c r="E135" i="123" s="1"/>
  <c r="G133" i="123"/>
  <c r="G134" i="123" s="1"/>
  <c r="G135" i="123" s="1"/>
  <c r="G124" i="123"/>
  <c r="F47" i="127"/>
  <c r="F153" i="128"/>
  <c r="F158" i="128" s="1"/>
  <c r="F166" i="128" s="1"/>
  <c r="F183" i="128" s="1"/>
  <c r="F57" i="127"/>
  <c r="M30" i="137" l="1"/>
  <c r="M35" i="137" s="1"/>
  <c r="M37" i="137" s="1"/>
  <c r="M41" i="137" s="1"/>
  <c r="M45" i="137" s="1"/>
  <c r="J170" i="349"/>
  <c r="K74" i="315"/>
  <c r="J7" i="88"/>
  <c r="K121" i="123" s="1"/>
  <c r="I347" i="342"/>
  <c r="J37" i="127"/>
  <c r="J41" i="127" s="1"/>
  <c r="R44" i="246" s="1"/>
  <c r="O42" i="368"/>
  <c r="I256" i="351"/>
  <c r="L30" i="137"/>
  <c r="L35" i="137" s="1"/>
  <c r="L37" i="137" s="1"/>
  <c r="L41" i="137" s="1"/>
  <c r="L45" i="137" s="1"/>
  <c r="K87" i="123"/>
  <c r="K131" i="123" s="1"/>
  <c r="K96" i="123"/>
  <c r="C30" i="137"/>
  <c r="C35" i="137" s="1"/>
  <c r="C37" i="137" s="1"/>
  <c r="C41" i="137" s="1"/>
  <c r="C45" i="137" s="1"/>
  <c r="D30" i="137"/>
  <c r="D35" i="137" s="1"/>
  <c r="D37" i="137" s="1"/>
  <c r="D41" i="137" s="1"/>
  <c r="D45" i="137" s="1"/>
  <c r="F30" i="137"/>
  <c r="E30" i="137"/>
  <c r="H30" i="137"/>
  <c r="H35" i="137" s="1"/>
  <c r="H37" i="137" s="1"/>
  <c r="H41" i="137" s="1"/>
  <c r="H45" i="137" s="1"/>
  <c r="G30" i="137"/>
  <c r="G35" i="137" s="1"/>
  <c r="G37" i="137" s="1"/>
  <c r="G41" i="137" s="1"/>
  <c r="G45" i="137" s="1"/>
  <c r="C47" i="127"/>
  <c r="C153" i="128"/>
  <c r="C158" i="128" s="1"/>
  <c r="C166" i="128" s="1"/>
  <c r="C183" i="128" s="1"/>
  <c r="N39" i="140"/>
  <c r="Q35" i="137"/>
  <c r="Q37" i="137" s="1"/>
  <c r="Q41" i="137" s="1"/>
  <c r="Q45" i="137" s="1"/>
  <c r="F35" i="137"/>
  <c r="F37" i="137" s="1"/>
  <c r="F41" i="137" s="1"/>
  <c r="F45" i="137" s="1"/>
  <c r="P35" i="137"/>
  <c r="P37" i="137" s="1"/>
  <c r="P41" i="137" s="1"/>
  <c r="P45" i="137" s="1"/>
  <c r="M87" i="123"/>
  <c r="M131" i="123" s="1"/>
  <c r="K19" i="86"/>
  <c r="K22" i="86" s="1"/>
  <c r="K24" i="86" s="1"/>
  <c r="K88" i="123"/>
  <c r="K132" i="123" s="1"/>
  <c r="H8" i="123"/>
  <c r="M96" i="123"/>
  <c r="K24" i="128"/>
  <c r="K53" i="128" s="1"/>
  <c r="K115" i="128" s="1"/>
  <c r="K11" i="129" s="1"/>
  <c r="K12" i="129" s="1"/>
  <c r="J43" i="127"/>
  <c r="J45" i="127" s="1"/>
  <c r="J47" i="127" s="1"/>
  <c r="L87" i="123"/>
  <c r="L96" i="123"/>
  <c r="K170" i="349"/>
  <c r="J19" i="86"/>
  <c r="J22" i="86" s="1"/>
  <c r="J24" i="86" s="1"/>
  <c r="I13" i="88"/>
  <c r="I87" i="123"/>
  <c r="H170" i="349"/>
  <c r="G19" i="86"/>
  <c r="G22" i="86" s="1"/>
  <c r="G24" i="86" s="1"/>
  <c r="I96" i="123"/>
  <c r="K7" i="88"/>
  <c r="L121" i="123" s="1"/>
  <c r="K37" i="127"/>
  <c r="K41" i="127" s="1"/>
  <c r="P42" i="368"/>
  <c r="J58" i="133"/>
  <c r="L74" i="315"/>
  <c r="J256" i="351"/>
  <c r="J347" i="342"/>
  <c r="I25" i="129"/>
  <c r="I42" i="129" s="1"/>
  <c r="I55" i="129" s="1"/>
  <c r="H15" i="86"/>
  <c r="H18" i="86" s="1"/>
  <c r="I46" i="88"/>
  <c r="I39" i="88" s="1"/>
  <c r="J7" i="123" s="1"/>
  <c r="J117" i="123" s="1"/>
  <c r="I35" i="127"/>
  <c r="I37" i="127" s="1"/>
  <c r="N42" i="368"/>
  <c r="H58" i="133"/>
  <c r="H256" i="351"/>
  <c r="H7" i="88"/>
  <c r="I121" i="123" s="1"/>
  <c r="H347" i="342"/>
  <c r="J74" i="315"/>
  <c r="H37" i="127"/>
  <c r="H41" i="127" s="1"/>
  <c r="H35" i="86"/>
  <c r="H88" i="123"/>
  <c r="H132" i="123" s="1"/>
  <c r="K5" i="123"/>
  <c r="J23" i="88"/>
  <c r="K39" i="131"/>
  <c r="K40" i="131" s="1"/>
  <c r="J39" i="88"/>
  <c r="K7" i="123" s="1"/>
  <c r="K117" i="123" s="1"/>
  <c r="J5" i="237"/>
  <c r="J6" i="237" s="1"/>
  <c r="J8" i="237" s="1"/>
  <c r="I45" i="86"/>
  <c r="K89" i="123"/>
  <c r="J25" i="129"/>
  <c r="J42" i="129" s="1"/>
  <c r="J55" i="129" s="1"/>
  <c r="I35" i="86"/>
  <c r="J14" i="88"/>
  <c r="J13" i="88"/>
  <c r="M8" i="123"/>
  <c r="L43" i="127"/>
  <c r="L45" i="127" s="1"/>
  <c r="G57" i="127"/>
  <c r="G153" i="128"/>
  <c r="G158" i="128" s="1"/>
  <c r="G166" i="128" s="1"/>
  <c r="G183" i="128" s="1"/>
  <c r="G47" i="127"/>
  <c r="K8" i="123" l="1"/>
  <c r="M88" i="123"/>
  <c r="M132" i="123" s="1"/>
  <c r="E35" i="137"/>
  <c r="E37" i="137" s="1"/>
  <c r="E41" i="137" s="1"/>
  <c r="E45" i="137" s="1"/>
  <c r="N30" i="137"/>
  <c r="N35" i="137" s="1"/>
  <c r="N37" i="137" s="1"/>
  <c r="N41" i="137" s="1"/>
  <c r="N45" i="137" s="1"/>
  <c r="L24" i="128"/>
  <c r="L53" i="128" s="1"/>
  <c r="L115" i="128" s="1"/>
  <c r="L11" i="129" s="1"/>
  <c r="L12" i="129" s="1"/>
  <c r="K35" i="86" s="1"/>
  <c r="I7" i="88"/>
  <c r="J121" i="123" s="1"/>
  <c r="I41" i="127"/>
  <c r="I43" i="127" s="1"/>
  <c r="I8" i="123"/>
  <c r="H43" i="127"/>
  <c r="H45" i="127" s="1"/>
  <c r="L131" i="123"/>
  <c r="L88" i="123"/>
  <c r="L132" i="123" s="1"/>
  <c r="K43" i="127"/>
  <c r="K45" i="127" s="1"/>
  <c r="L8" i="123"/>
  <c r="H19" i="86"/>
  <c r="H22" i="86" s="1"/>
  <c r="H24" i="86" s="1"/>
  <c r="J87" i="123"/>
  <c r="J96" i="123"/>
  <c r="I170" i="349"/>
  <c r="I131" i="123"/>
  <c r="I88" i="123"/>
  <c r="I132" i="123" s="1"/>
  <c r="J57" i="127"/>
  <c r="J153" i="128"/>
  <c r="J158" i="128" s="1"/>
  <c r="J166" i="128" s="1"/>
  <c r="J183" i="128" s="1"/>
  <c r="K6" i="123"/>
  <c r="I48" i="86"/>
  <c r="I50" i="86" s="1"/>
  <c r="J19" i="237"/>
  <c r="L5" i="123"/>
  <c r="J45" i="86"/>
  <c r="K5" i="237"/>
  <c r="K6" i="237" s="1"/>
  <c r="K8" i="237" s="1"/>
  <c r="K23" i="88"/>
  <c r="K39" i="88"/>
  <c r="L7" i="123" s="1"/>
  <c r="L117" i="123" s="1"/>
  <c r="L39" i="131"/>
  <c r="L40" i="131" s="1"/>
  <c r="J35" i="86"/>
  <c r="K13" i="88"/>
  <c r="K14" i="88"/>
  <c r="K25" i="129"/>
  <c r="K42" i="129" s="1"/>
  <c r="K55" i="129" s="1"/>
  <c r="L47" i="127"/>
  <c r="L153" i="128"/>
  <c r="L158" i="128" s="1"/>
  <c r="L166" i="128" s="1"/>
  <c r="L183" i="128" s="1"/>
  <c r="L57" i="127"/>
  <c r="L25" i="129" l="1"/>
  <c r="L42" i="129" s="1"/>
  <c r="L55" i="129" s="1"/>
  <c r="L14" i="88"/>
  <c r="L13" i="88"/>
  <c r="O48" i="137"/>
  <c r="O48" i="299"/>
  <c r="O56" i="298"/>
  <c r="K57" i="127"/>
  <c r="K153" i="128"/>
  <c r="K158" i="128" s="1"/>
  <c r="K166" i="128" s="1"/>
  <c r="K183" i="128" s="1"/>
  <c r="K47" i="127"/>
  <c r="H57" i="127"/>
  <c r="H153" i="128"/>
  <c r="H158" i="128" s="1"/>
  <c r="H166" i="128" s="1"/>
  <c r="H183" i="128" s="1"/>
  <c r="H47" i="127"/>
  <c r="J131" i="123"/>
  <c r="J88" i="123"/>
  <c r="J132" i="123" s="1"/>
  <c r="I45" i="127"/>
  <c r="J8" i="123"/>
  <c r="K133" i="123"/>
  <c r="K134" i="123" s="1"/>
  <c r="K135" i="123" s="1"/>
  <c r="K124" i="123"/>
  <c r="J48" i="86"/>
  <c r="J50" i="86" s="1"/>
  <c r="L6" i="123"/>
  <c r="K19" i="237"/>
  <c r="L5" i="237"/>
  <c r="L6" i="237" s="1"/>
  <c r="L8" i="237" s="1"/>
  <c r="L39" i="88"/>
  <c r="M7" i="123" s="1"/>
  <c r="M117" i="123" s="1"/>
  <c r="L23" i="88"/>
  <c r="K45" i="86"/>
  <c r="M5" i="123"/>
  <c r="Q56" i="298"/>
  <c r="Q48" i="299"/>
  <c r="Q48" i="137"/>
  <c r="P48" i="299" l="1"/>
  <c r="P56" i="298"/>
  <c r="P48" i="137"/>
  <c r="I153" i="128"/>
  <c r="I158" i="128" s="1"/>
  <c r="I166" i="128" s="1"/>
  <c r="I183" i="128" s="1"/>
  <c r="I47" i="127"/>
  <c r="L124" i="123"/>
  <c r="L133" i="123"/>
  <c r="L134" i="123" s="1"/>
  <c r="L135" i="123" s="1"/>
  <c r="L19" i="237"/>
  <c r="K48" i="86"/>
  <c r="K50" i="86" s="1"/>
  <c r="M6" i="123"/>
  <c r="M124" i="123" l="1"/>
  <c r="M133" i="123"/>
  <c r="M134" i="123" s="1"/>
  <c r="M135" i="123" s="1"/>
  <c r="D23" i="347" l="1"/>
  <c r="D9" i="347"/>
  <c r="D8" i="347"/>
  <c r="D31" i="347"/>
  <c r="D16" i="347"/>
  <c r="D29" i="347"/>
  <c r="D30" i="347"/>
  <c r="D5" i="347"/>
  <c r="D34" i="347"/>
  <c r="D12" i="347"/>
  <c r="D18" i="347"/>
  <c r="D17" i="347"/>
  <c r="D28" i="347"/>
  <c r="D25" i="347"/>
  <c r="D6" i="347"/>
  <c r="D19" i="347"/>
  <c r="D32" i="347"/>
  <c r="D4" i="347"/>
  <c r="D7" i="347"/>
  <c r="D20" i="347"/>
  <c r="D10" i="347"/>
  <c r="D27" i="347"/>
  <c r="D22" i="347"/>
  <c r="D14" i="347"/>
  <c r="D15" i="347"/>
  <c r="D26" i="347"/>
  <c r="D33" i="347"/>
  <c r="D21" i="347"/>
  <c r="D11" i="347"/>
  <c r="D3" i="347"/>
  <c r="A14" i="342" l="1"/>
  <c r="A182" i="342" s="1"/>
  <c r="A15" i="343"/>
  <c r="A184" i="343" s="1"/>
  <c r="A24" i="342"/>
  <c r="A192" i="342" s="1"/>
  <c r="A25" i="343"/>
  <c r="A194" i="343" s="1"/>
  <c r="A13" i="342"/>
  <c r="A181" i="342" s="1"/>
  <c r="A14" i="343"/>
  <c r="A183" i="343" s="1"/>
  <c r="A10" i="342"/>
  <c r="A178" i="342" s="1"/>
  <c r="A11" i="343"/>
  <c r="A180" i="343" s="1"/>
  <c r="A7" i="342"/>
  <c r="A175" i="342" s="1"/>
  <c r="A8" i="343"/>
  <c r="A177" i="343" s="1"/>
  <c r="A30" i="342"/>
  <c r="A198" i="342" s="1"/>
  <c r="A31" i="343"/>
  <c r="A200" i="343" s="1"/>
  <c r="A21" i="342"/>
  <c r="A189" i="342" s="1"/>
  <c r="A22" i="343"/>
  <c r="A191" i="343" s="1"/>
  <c r="A17" i="342"/>
  <c r="A185" i="342" s="1"/>
  <c r="A18" i="343"/>
  <c r="A187" i="343" s="1"/>
  <c r="A33" i="342"/>
  <c r="A201" i="342" s="1"/>
  <c r="A34" i="343"/>
  <c r="A203" i="343" s="1"/>
  <c r="A36" i="342"/>
  <c r="A204" i="342" s="1"/>
  <c r="A37" i="343"/>
  <c r="A206" i="343" s="1"/>
  <c r="A28" i="342"/>
  <c r="A196" i="342" s="1"/>
  <c r="A29" i="343"/>
  <c r="A198" i="343" s="1"/>
  <c r="A32" i="342"/>
  <c r="A200" i="342" s="1"/>
  <c r="A33" i="343"/>
  <c r="A202" i="343" s="1"/>
  <c r="A6" i="342"/>
  <c r="A174" i="342" s="1"/>
  <c r="A7" i="343"/>
  <c r="A176" i="343" s="1"/>
  <c r="A35" i="342"/>
  <c r="A203" i="342" s="1"/>
  <c r="A36" i="343"/>
  <c r="A205" i="343" s="1"/>
  <c r="A19" i="342"/>
  <c r="A187" i="342" s="1"/>
  <c r="A20" i="343"/>
  <c r="A189" i="343" s="1"/>
  <c r="A23" i="342"/>
  <c r="A191" i="342" s="1"/>
  <c r="A24" i="343"/>
  <c r="A193" i="343" s="1"/>
  <c r="A20" i="342"/>
  <c r="A188" i="342" s="1"/>
  <c r="A21" i="343"/>
  <c r="A190" i="343" s="1"/>
  <c r="A34" i="342"/>
  <c r="A202" i="342" s="1"/>
  <c r="A35" i="343"/>
  <c r="A204" i="343" s="1"/>
  <c r="A25" i="342"/>
  <c r="A193" i="342" s="1"/>
  <c r="A26" i="343"/>
  <c r="A195" i="343" s="1"/>
  <c r="A31" i="342"/>
  <c r="A199" i="342" s="1"/>
  <c r="A32" i="343"/>
  <c r="A201" i="343" s="1"/>
  <c r="A15" i="342"/>
  <c r="A183" i="342" s="1"/>
  <c r="A16" i="343"/>
  <c r="A185" i="343" s="1"/>
  <c r="A11" i="342"/>
  <c r="A179" i="342" s="1"/>
  <c r="A12" i="343"/>
  <c r="A181" i="343" s="1"/>
  <c r="A18" i="342"/>
  <c r="A186" i="342" s="1"/>
  <c r="A19" i="343"/>
  <c r="A188" i="343" s="1"/>
  <c r="A22" i="342"/>
  <c r="A190" i="342" s="1"/>
  <c r="A23" i="343"/>
  <c r="A192" i="343" s="1"/>
  <c r="A37" i="342"/>
  <c r="A205" i="342" s="1"/>
  <c r="A38" i="343"/>
  <c r="A207" i="343" s="1"/>
  <c r="A12" i="342"/>
  <c r="A180" i="342" s="1"/>
  <c r="A13" i="343"/>
  <c r="A182" i="343" s="1"/>
  <c r="A29" i="342"/>
  <c r="A197" i="342" s="1"/>
  <c r="A30" i="343"/>
  <c r="A199" i="343" s="1"/>
  <c r="A9" i="342"/>
  <c r="A177" i="342" s="1"/>
  <c r="A10" i="343"/>
  <c r="A179" i="343" s="1"/>
  <c r="A8" i="342"/>
  <c r="A176" i="342" s="1"/>
  <c r="A9" i="343"/>
  <c r="A178" i="343" s="1"/>
  <c r="A26" i="342"/>
  <c r="A194" i="342" s="1"/>
  <c r="A27" i="343"/>
  <c r="A196" i="343"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<sst xmlns="http://schemas.openxmlformats.org/spreadsheetml/2006/main" count="137607" uniqueCount="6375">
  <si>
    <t>Recreational facilities</t>
  </si>
  <si>
    <t>Community halls</t>
  </si>
  <si>
    <t>Parks &amp; gardens</t>
  </si>
  <si>
    <t>Debt impairment provision</t>
  </si>
  <si>
    <t>Balance at the beginning of the year</t>
  </si>
  <si>
    <t>Contributions to the provision</t>
  </si>
  <si>
    <t>Bad debts written off</t>
  </si>
  <si>
    <t>Balance at end of year</t>
  </si>
  <si>
    <t>Total revenue</t>
  </si>
  <si>
    <t>Supporting benchmarks</t>
  </si>
  <si>
    <t>Average annual collection rate (arrears inclusive)</t>
  </si>
  <si>
    <t>check revenue</t>
  </si>
  <si>
    <t>check expenditure</t>
  </si>
  <si>
    <t>Borrowing receipts % of capital expenditure (excl. transfers)</t>
  </si>
  <si>
    <t>Total future operational costs</t>
  </si>
  <si>
    <t>Total Parent Expenditure Implication</t>
  </si>
  <si>
    <t>Entities:</t>
  </si>
  <si>
    <t>Total Entity Expenditure Implication</t>
  </si>
  <si>
    <t>1. Total implication for all preceding years to be summed and total stated in 'Preceding Years' column</t>
  </si>
  <si>
    <t>1. Summarise the total capital cost until capital project is operational (MFMA s19(2)(a))</t>
  </si>
  <si>
    <t>2. Summary of future operational costs from when projects operational (present value until the end of each asset's useful life) (MFMA s19(2)(b))</t>
  </si>
  <si>
    <t>Generation</t>
  </si>
  <si>
    <t>Transmission &amp; Reticulation</t>
  </si>
  <si>
    <t>Dams &amp; Reservoirs</t>
  </si>
  <si>
    <t>Water purification</t>
  </si>
  <si>
    <t>Reticulation</t>
  </si>
  <si>
    <t>Sewerage purification</t>
  </si>
  <si>
    <t>Social rental housing</t>
  </si>
  <si>
    <t>R thousands</t>
  </si>
  <si>
    <t>Transfers recognised - operational</t>
  </si>
  <si>
    <t>Community wealth/Equity</t>
  </si>
  <si>
    <t xml:space="preserve">Total Capital Expenditure </t>
  </si>
  <si>
    <t>Contributed assets</t>
  </si>
  <si>
    <t>Other Expenditure By Type</t>
  </si>
  <si>
    <t xml:space="preserve">Supporting Table SA5 </t>
  </si>
  <si>
    <t xml:space="preserve">Supporting Table SA6 </t>
  </si>
  <si>
    <t>Supporting Table SA7</t>
  </si>
  <si>
    <t>Supporting Table SA8</t>
  </si>
  <si>
    <t>Supporting Table SA9</t>
  </si>
  <si>
    <t>KZN263 Abaqulusi</t>
  </si>
  <si>
    <t>KZN265 Nongoma</t>
  </si>
  <si>
    <t>KZN266 Ulundi</t>
  </si>
  <si>
    <t>KZN271 Umhlabuyalingana</t>
  </si>
  <si>
    <t>KZN272 Jozini</t>
  </si>
  <si>
    <t>KZN275 Mtubatuba</t>
  </si>
  <si>
    <t>KZN282 uMhlathuze</t>
  </si>
  <si>
    <t>KZN285 Mthonjaneni</t>
  </si>
  <si>
    <t>KZN286 Nkandla</t>
  </si>
  <si>
    <t>KZN291 Mandeni</t>
  </si>
  <si>
    <t>KZN292 KwaDukuza</t>
  </si>
  <si>
    <t>KZN293 Ndwedwe</t>
  </si>
  <si>
    <t>KZN294 Maphumulo</t>
  </si>
  <si>
    <t>KZN433 Greater Kokstad</t>
  </si>
  <si>
    <t>KZN434 Ubuhlebezwe</t>
  </si>
  <si>
    <t>KZN435 Umzimkhulu</t>
  </si>
  <si>
    <t>LIM331 Greater Giyani</t>
  </si>
  <si>
    <t>LIM332 Greater Letaba</t>
  </si>
  <si>
    <t>LIM333 Greater Tzaneen</t>
  </si>
  <si>
    <t>LIM334 Ba-Phalaborwa</t>
  </si>
  <si>
    <t>LIM335 Maruleng</t>
  </si>
  <si>
    <t>LIM341 Musina</t>
  </si>
  <si>
    <t>LIM343 Thulamela</t>
  </si>
  <si>
    <t>LIM344 Makhado</t>
  </si>
  <si>
    <t>LIM351 Blouberg</t>
  </si>
  <si>
    <t>LIM353 Molemole</t>
  </si>
  <si>
    <t>LIM354 Polokwane</t>
  </si>
  <si>
    <t>LIM355 Lepelle-Nkumpi</t>
  </si>
  <si>
    <t>LIM361 Thabazimbi</t>
  </si>
  <si>
    <t>LIM362 Lephalale</t>
  </si>
  <si>
    <t>LIM366 Bela Bela</t>
  </si>
  <si>
    <t>LIM367 Mogalakwena</t>
  </si>
  <si>
    <t>LIM472 Elias Motsoaledi</t>
  </si>
  <si>
    <t>MP316 Dr J.S. Moroka</t>
  </si>
  <si>
    <t>NW403 City Of Matlosana</t>
  </si>
  <si>
    <t>Choose name from list</t>
  </si>
  <si>
    <t>Name of Muni</t>
  </si>
  <si>
    <t>Name link</t>
  </si>
  <si>
    <t>Air Transport</t>
  </si>
  <si>
    <t>YTD budget</t>
  </si>
  <si>
    <t>Head43</t>
  </si>
  <si>
    <t>YTD variance</t>
  </si>
  <si>
    <t>R&amp;M % of Property Plant &amp; Equipment</t>
  </si>
  <si>
    <t>Cash receipts % of Ratepayer &amp; Other revenue</t>
  </si>
  <si>
    <t>Long-Term Loans (annuity/reducing balance)</t>
  </si>
  <si>
    <t>Local registered stock</t>
  </si>
  <si>
    <t>Housing Development Fund</t>
  </si>
  <si>
    <t>Finance Granted By Cap Equipment Supplier</t>
  </si>
  <si>
    <t>Marketable Bonds</t>
  </si>
  <si>
    <t>Non-Marketable Bonds</t>
  </si>
  <si>
    <t>Bankers Acceptances</t>
  </si>
  <si>
    <t>Other Securities</t>
  </si>
  <si>
    <t>Councillors</t>
  </si>
  <si>
    <t>Salary</t>
  </si>
  <si>
    <t>Allowances</t>
  </si>
  <si>
    <t>Municipal Manager (MM)</t>
  </si>
  <si>
    <t>Chief Finance Officer</t>
  </si>
  <si>
    <t>List each member of board by designation</t>
  </si>
  <si>
    <t>EC EASTERN CAPE</t>
  </si>
  <si>
    <t>Grade</t>
  </si>
  <si>
    <t>1 Grade in terms of the Remuneration of Public Office Bearers Act.</t>
  </si>
  <si>
    <t>Province</t>
  </si>
  <si>
    <t>Web Address</t>
  </si>
  <si>
    <t>12. Indicative of realistic long term arrear debtor collection targets (prior to 2003/04 revenue not available for high capacity municipalities and later for other capacity classifications)</t>
  </si>
  <si>
    <t>7. Special consideration may have to be given to including 'goodwill arising' or 'joint venture' budgets where circumstances require this (include separately under relevant notes)</t>
  </si>
  <si>
    <t>Total future revenue</t>
  </si>
  <si>
    <t>Prior year -1</t>
  </si>
  <si>
    <t>Prior year -2</t>
  </si>
  <si>
    <t>Prior year -3</t>
  </si>
  <si>
    <t>5. Must agree to the sub-total appearing on Table A1 (Employee costs)</t>
  </si>
  <si>
    <t>Males aged 5 - 14</t>
  </si>
  <si>
    <t>Males aged 15 - 34</t>
  </si>
  <si>
    <t>Using public tap (at least min.service level)</t>
  </si>
  <si>
    <t>Other water supply (at least min.service level)</t>
  </si>
  <si>
    <t>% increase/-decrease</t>
  </si>
  <si>
    <t>5. Net assets must balance with Total Community Wealth/Equity</t>
  </si>
  <si>
    <t>Street Lighting</t>
  </si>
  <si>
    <t>Gas</t>
  </si>
  <si>
    <t>sub-total</t>
  </si>
  <si>
    <t>Municipal governance and administration</t>
  </si>
  <si>
    <t>Executive and council</t>
  </si>
  <si>
    <t>Budget and treasury office</t>
  </si>
  <si>
    <t>Corporate services</t>
  </si>
  <si>
    <t>Community and public safety</t>
  </si>
  <si>
    <t>Community and social services</t>
  </si>
  <si>
    <t>Sport and recreation</t>
  </si>
  <si>
    <t>Public safety</t>
  </si>
  <si>
    <t>Economic and environmental services</t>
  </si>
  <si>
    <t>Planning and development</t>
  </si>
  <si>
    <t>Road transport</t>
  </si>
  <si>
    <t>Environmental protection</t>
  </si>
  <si>
    <t>Trading services</t>
  </si>
  <si>
    <t>check oprev balance</t>
  </si>
  <si>
    <t>Unspent borrowing</t>
  </si>
  <si>
    <t>Lists</t>
  </si>
  <si>
    <t>&lt;1</t>
  </si>
  <si>
    <t>&lt;4</t>
  </si>
  <si>
    <t>&gt;10</t>
  </si>
  <si>
    <t>Market</t>
  </si>
  <si>
    <t>Dep.Replace</t>
  </si>
  <si>
    <t>Land only</t>
  </si>
  <si>
    <t>Phasing-in properties s21 (number)</t>
  </si>
  <si>
    <t>Land &amp; impr.</t>
  </si>
  <si>
    <t>D. The original budget approved by council for the budget year.</t>
  </si>
  <si>
    <t>E. The budget for the budget year as adjusted by council resolution in terms of section 28 of the MFMA.</t>
  </si>
  <si>
    <t>F. An estimate of final actual amounts (pre audit) for the current year at the point in time of preparing the budget for the budget year. This may differ from E.</t>
  </si>
  <si>
    <t>G. The amount to be appropriated for the budget year.</t>
  </si>
  <si>
    <t>H and I. The indicative projection</t>
  </si>
  <si>
    <t>2. Total Capital Expenditure must reconcile to Budgeted Capital Expenditure</t>
  </si>
  <si>
    <t>1. Include a measurable performance objective for each revenue source (within a relevant function) and each vote (MFMA s17(3)(b))</t>
  </si>
  <si>
    <t>1. Include a measurable performance objective as agreed with the parent municipality (MFMA s87(5)(d))</t>
  </si>
  <si>
    <t>Debt impairment expense as a % of total billable revenue</t>
  </si>
  <si>
    <t>Consolidated total:</t>
  </si>
  <si>
    <t>Entities sub-total</t>
  </si>
  <si>
    <t>Municipality sub-total</t>
  </si>
  <si>
    <t>Parent municipality</t>
  </si>
  <si>
    <t>Total Expenditure by Vote</t>
  </si>
  <si>
    <t>Total Revenue by Vote</t>
  </si>
  <si>
    <t>EC135 Intsika Yethu</t>
  </si>
  <si>
    <t>EC137 Engcobo</t>
  </si>
  <si>
    <t>EC138 Sakhisizwe</t>
  </si>
  <si>
    <t>EC141 Elundini</t>
  </si>
  <si>
    <t>EC142 Senqu</t>
  </si>
  <si>
    <t>2. Must reconcile to Budgeted Financial Performance (revenue and expenditure)</t>
  </si>
  <si>
    <t>Surplus/(Deficit) attributable to municipality</t>
  </si>
  <si>
    <t>1. Classifications are revenue sources and expenditure type</t>
  </si>
  <si>
    <t>6. Contributions are funds provided by external organisations to assist with infrastructure development; e.g. developer contributions (detail to be provided in Table SA1)</t>
  </si>
  <si>
    <t>1. Municipalities may choose to appropriate for capital expenditure for three years or for one year (if one year appropriation projected expenditure required for yr2 and yr3).</t>
  </si>
  <si>
    <t>7. Total Capital Funding must balance with Total Capital Expenditure</t>
  </si>
  <si>
    <t>Capital multi-year expenditure sub-total</t>
  </si>
  <si>
    <t>Add single year stuff</t>
  </si>
  <si>
    <t>No rubbish disposal</t>
  </si>
  <si>
    <t>Households receiving Free Basic Service</t>
  </si>
  <si>
    <t>Household service targets (000)</t>
  </si>
  <si>
    <t>2007 Survey</t>
  </si>
  <si>
    <t>Financial position</t>
  </si>
  <si>
    <t>Cash flows</t>
  </si>
  <si>
    <t>Other own revenue</t>
  </si>
  <si>
    <t>NW375 Moses Kotane</t>
  </si>
  <si>
    <t>NW381 Ratlou</t>
  </si>
  <si>
    <t>NW382 Tswaing</t>
  </si>
  <si>
    <t>NW383 Mafikeng</t>
  </si>
  <si>
    <t>NW384 Ditsobotla</t>
  </si>
  <si>
    <t>NW385 Ramotshere Moiloa</t>
  </si>
  <si>
    <t>NW392 Naledi (Nw)</t>
  </si>
  <si>
    <t>NW393 Mamusa</t>
  </si>
  <si>
    <t>NW394 Greater Taung</t>
  </si>
  <si>
    <t>NW396 Lekwa-Teemane</t>
  </si>
  <si>
    <t>NW404 Maquassi Hills</t>
  </si>
  <si>
    <t>WC011 Matzikama</t>
  </si>
  <si>
    <t>WC012 Cederberg</t>
  </si>
  <si>
    <t>WC013 Bergrivier</t>
  </si>
  <si>
    <t>WC014 Saldanha Bay</t>
  </si>
  <si>
    <t>WC015 Swartland</t>
  </si>
  <si>
    <t>WC022 Witzenberg</t>
  </si>
  <si>
    <t>WC023 Drakenstein</t>
  </si>
  <si>
    <t>WC024 Stellenbosch</t>
  </si>
  <si>
    <t>WC025 Breede Valley</t>
  </si>
  <si>
    <t>WC031 Theewaterskloof</t>
  </si>
  <si>
    <t>WC032 Overstrand</t>
  </si>
  <si>
    <t>WC033 Cape Agulhas</t>
  </si>
  <si>
    <t>WC034 Swellendam</t>
  </si>
  <si>
    <t>WC041 Kannaland</t>
  </si>
  <si>
    <t>WC042 Hessequa</t>
  </si>
  <si>
    <t>WC043 Mossel Bay</t>
  </si>
  <si>
    <t>WC044 George</t>
  </si>
  <si>
    <t>WC045 Oudtshoorn</t>
  </si>
  <si>
    <t>WC047 Bitou</t>
  </si>
  <si>
    <t>WC048 Knysna</t>
  </si>
  <si>
    <t>WC051 Laingsburg</t>
  </si>
  <si>
    <t>WC052 Prince Albert</t>
  </si>
  <si>
    <t>WC053 Beaufort West</t>
  </si>
  <si>
    <t>Pit toilet (ventilated)</t>
  </si>
  <si>
    <t>Bucket toilet</t>
  </si>
  <si>
    <t>Other toilet provisions (&gt; min.service level)</t>
  </si>
  <si>
    <t>GT423 Lesedi</t>
  </si>
  <si>
    <t>NC077 Siyathemba</t>
  </si>
  <si>
    <t>NC078 Siyancuma</t>
  </si>
  <si>
    <t>NC082 !Kai! Garib</t>
  </si>
  <si>
    <t>NC084 !Kheis</t>
  </si>
  <si>
    <t>NC085 Tsantsabane</t>
  </si>
  <si>
    <t>NC086 Kgatelopele</t>
  </si>
  <si>
    <t>NC091 Sol Plaatje</t>
  </si>
  <si>
    <t>NC092 Dikgatlong</t>
  </si>
  <si>
    <t>NC093 Magareng</t>
  </si>
  <si>
    <t>NC094 Phokwane</t>
  </si>
  <si>
    <t>NC452 Ga-Segonyana</t>
  </si>
  <si>
    <t>NC453 Gamagara</t>
  </si>
  <si>
    <t>NW371 Moretele</t>
  </si>
  <si>
    <t>NW372 Madibeng</t>
  </si>
  <si>
    <t>NW373 Rustenburg</t>
  </si>
  <si>
    <t>NW374 Kgetlengrivier</t>
  </si>
  <si>
    <t>Parent Municipality</t>
  </si>
  <si>
    <t>Total payments</t>
  </si>
  <si>
    <t>Refuse landfill site rehabilitation</t>
  </si>
  <si>
    <t>Deputy Executive Mayor</t>
  </si>
  <si>
    <t>TOTAL COST OF COUNCILLOR, DIRECTOR and EXECUTIVE REMUNERATION</t>
  </si>
  <si>
    <t>DoRA capital</t>
  </si>
  <si>
    <t>Cash year end/monthly employee/supplier payments</t>
  </si>
  <si>
    <t>Senior Managers of Entities</t>
  </si>
  <si>
    <t>Sub Total - Senior Managers of Entities</t>
  </si>
  <si>
    <t>Other Staff of Entities</t>
  </si>
  <si>
    <t>Cash backing/surplus reconciliation</t>
  </si>
  <si>
    <t>2. CTBM = conditions to be met</t>
  </si>
  <si>
    <t>TOTAL TRANSFERS AND GRANTS REVENUE</t>
  </si>
  <si>
    <t>Surplus(shortfall)</t>
  </si>
  <si>
    <t>Other</t>
  </si>
  <si>
    <t>Long-Term Loans (non-annuity)</t>
  </si>
  <si>
    <t>Long Term Borrowing/ Funds &amp; Reserves</t>
  </si>
  <si>
    <t>check balance</t>
  </si>
  <si>
    <t>CASH FLOWS FROM INVESTING ACTIVITIES</t>
  </si>
  <si>
    <t>3. Council approval for policy required - include sufficient working capital (e.g. allowing for a % of current debtors &gt; 90 days as uncollectable)</t>
  </si>
  <si>
    <t>List other revenues sources if applicable</t>
  </si>
  <si>
    <t>5. Council approval required for each reserve created and basis of cash backing of reserves</t>
  </si>
  <si>
    <t>4. For example: sinking fund requirements for borrowing</t>
  </si>
  <si>
    <t>Definition of poor household (R per month)</t>
  </si>
  <si>
    <t>Total new housing dwellings</t>
  </si>
  <si>
    <t>Other Cash Flows/Payments by Type</t>
  </si>
  <si>
    <t>5. Total transfers and grants must reconcile to Budgeted Cash Flows</t>
  </si>
  <si>
    <t>1. Each transfer/grant is listed by name as gazetted together with the name of the transferring department or municipality, donor or other organisation</t>
  </si>
  <si>
    <t>EXPENDITURE:</t>
  </si>
  <si>
    <t>Capital transfers and grants:</t>
  </si>
  <si>
    <t>Operating transfers and grants:</t>
  </si>
  <si>
    <t>TOTAL TRANSFERS AND GRANTS</t>
  </si>
  <si>
    <t>Average rate</t>
  </si>
  <si>
    <t>Is balance rated by uniform rate/variable rate?</t>
  </si>
  <si>
    <t>Table A4</t>
  </si>
  <si>
    <t>Table A5</t>
  </si>
  <si>
    <t>Table A6</t>
  </si>
  <si>
    <t>Table A8</t>
  </si>
  <si>
    <t>Head5A</t>
  </si>
  <si>
    <t>Outcome</t>
  </si>
  <si>
    <t>Transportation</t>
  </si>
  <si>
    <t>Other Land</t>
  </si>
  <si>
    <t>Other Buildings</t>
  </si>
  <si>
    <t>List of each offical with packages &gt;= senior manager</t>
  </si>
  <si>
    <t>Total for municipal entities</t>
  </si>
  <si>
    <t>External mechanism</t>
  </si>
  <si>
    <t>Name of organisation</t>
  </si>
  <si>
    <t>Expiry date of service delivery agreement or contract</t>
  </si>
  <si>
    <t>Period of agreement 1.</t>
  </si>
  <si>
    <t>Service provided</t>
  </si>
  <si>
    <t>Monetary value of agreement 2.</t>
  </si>
  <si>
    <t>2. Annual value</t>
  </si>
  <si>
    <t>Disclosure of Salaries, Allowances &amp; Benefits 1.</t>
  </si>
  <si>
    <t>Mayor and Council</t>
  </si>
  <si>
    <t>Human Resources</t>
  </si>
  <si>
    <t>Information Technology</t>
  </si>
  <si>
    <t>% of Creditors Paid Within Terms (within`MFMA' s 65(e))</t>
  </si>
  <si>
    <t>Libraries</t>
  </si>
  <si>
    <t>Description of financial indicator</t>
  </si>
  <si>
    <t>Electricity Distribution Losses (2)</t>
  </si>
  <si>
    <t>Borrowings &amp; investments &amp; c.deposits</t>
  </si>
  <si>
    <t>Interest</t>
  </si>
  <si>
    <t>10. Substantiation of National/Province allocations included in budget</t>
  </si>
  <si>
    <t>Gearing</t>
  </si>
  <si>
    <t>Safety of Capital</t>
  </si>
  <si>
    <t>Liquidity</t>
  </si>
  <si>
    <t>Liquidity Ratio</t>
  </si>
  <si>
    <t>Head36</t>
  </si>
  <si>
    <t>Head37</t>
  </si>
  <si>
    <t>Head38</t>
  </si>
  <si>
    <r>
      <t>Multi-year expenditure</t>
    </r>
    <r>
      <rPr>
        <b/>
        <i/>
        <sz val="8"/>
        <rFont val="Arial Narrow"/>
        <family val="2"/>
      </rPr>
      <t xml:space="preserve"> to be appropriated</t>
    </r>
  </si>
  <si>
    <t>Total operating transfers and grants revenue</t>
  </si>
  <si>
    <t>Total operating transfers and grants - CTBM</t>
  </si>
  <si>
    <t>Total capital transfers and grants - CTBM</t>
  </si>
  <si>
    <t>Operating expenditure of Transfers and Grants</t>
  </si>
  <si>
    <t>Total operating expenditure of Transfers and Grants:</t>
  </si>
  <si>
    <t>Capital expenditure of Transfers and Grants</t>
  </si>
  <si>
    <t>Total capital expenditure of Transfers and Grants</t>
  </si>
  <si>
    <t>Operating Transfers and Grants</t>
  </si>
  <si>
    <t>Total Operating Transfers and Grants</t>
  </si>
  <si>
    <t>Capital Transfers and Grants</t>
  </si>
  <si>
    <t>Total Capital Transfers and Grants</t>
  </si>
  <si>
    <t>TOTAL RECEIPTS OF TRANSFERS &amp; GRANTS</t>
  </si>
  <si>
    <t>1. Total investments must reconcile to all items in Table SA15 for the Current Year (30 June)</t>
  </si>
  <si>
    <t>No. of objections by rate-payers</t>
  </si>
  <si>
    <t>No. of appeals by rate-payers</t>
  </si>
  <si>
    <t>No. of appeals by rate-payers finalised</t>
  </si>
  <si>
    <t>No. of objections by rate payers</t>
  </si>
  <si>
    <t>No. of appeals by rate payers</t>
  </si>
  <si>
    <t>Borrowing/Capital expenditure excl. transfers and grants and contributions</t>
  </si>
  <si>
    <t>Less: Provision for debt impairment</t>
  </si>
  <si>
    <t>Other Revenue by source</t>
  </si>
  <si>
    <t>Minimum Service Level and Above sub-total</t>
  </si>
  <si>
    <t>Sanitation (free minimum level service)</t>
  </si>
  <si>
    <t>Refuse (removed at least once a week)</t>
  </si>
  <si>
    <t>Electricity (kwh per household per month)</t>
  </si>
  <si>
    <t>Municipal Housing - rental rebates</t>
  </si>
  <si>
    <t>Housing - top structure subsidies</t>
  </si>
  <si>
    <t>Increase (decrease) in consumer deposits</t>
  </si>
  <si>
    <t>Multi-year expenditure appropriation</t>
  </si>
  <si>
    <t>Repairs and Maintenance by Asset Class</t>
  </si>
  <si>
    <t>1. Total agreement period from commencement until end</t>
  </si>
  <si>
    <t>Total sources of capital funds</t>
  </si>
  <si>
    <t>Other working capital requirements</t>
  </si>
  <si>
    <t>Long term investments committed</t>
  </si>
  <si>
    <t>Head48</t>
  </si>
  <si>
    <t>NET INCREASE/(DECREASE) IN CASH HELD</t>
  </si>
  <si>
    <t>Estimate</t>
  </si>
  <si>
    <t>Contract 1</t>
  </si>
  <si>
    <t>Contract 2</t>
  </si>
  <si>
    <t>Contract 3 etc</t>
  </si>
  <si>
    <t>Loss on disposal of PPE</t>
  </si>
  <si>
    <t>Current Year 2006/07</t>
  </si>
  <si>
    <t>Head1A</t>
  </si>
  <si>
    <t>A</t>
  </si>
  <si>
    <t>Implementation time of new valuation roll (mths)</t>
  </si>
  <si>
    <t>Rates policy accompanying budget? (Y/N)</t>
  </si>
  <si>
    <t>Municipal by-laws s6 in place? (Y/N)</t>
  </si>
  <si>
    <t>No. of properties</t>
  </si>
  <si>
    <t>No. of sectional title values</t>
  </si>
  <si>
    <t>No. of unreasonably difficult properties s7(2)</t>
  </si>
  <si>
    <t>Formal &amp; Informal Settle.</t>
  </si>
  <si>
    <t>State trust land</t>
  </si>
  <si>
    <t>National Monum/ts</t>
  </si>
  <si>
    <t>Fixed amount minimum value (R'000)</t>
  </si>
  <si>
    <t>Rebates, exemptions - indigent (R'000)</t>
  </si>
  <si>
    <t>MONTHLY CASH FLOWS</t>
  </si>
  <si>
    <t>Unit of measurement</t>
  </si>
  <si>
    <t>Nov.</t>
  </si>
  <si>
    <t>Dec.</t>
  </si>
  <si>
    <t>Feb.</t>
  </si>
  <si>
    <t>check capital balance</t>
  </si>
  <si>
    <t>Accumulated Surplus/(Deficit)</t>
  </si>
  <si>
    <t>Yes</t>
  </si>
  <si>
    <t>Ref</t>
  </si>
  <si>
    <t>Preceding Years</t>
  </si>
  <si>
    <t>Expenditure by Vote</t>
  </si>
  <si>
    <t>Revenue - Standard</t>
  </si>
  <si>
    <t>Expenditure - Standard</t>
  </si>
  <si>
    <t>Standard nomenclature</t>
  </si>
  <si>
    <t>MFMA section</t>
  </si>
  <si>
    <t>18(1)a</t>
  </si>
  <si>
    <t>18(1)c</t>
  </si>
  <si>
    <t>Surplus/(Deficit) after capital transfers &amp; contributions</t>
  </si>
  <si>
    <t>3. Assign share in 'associate' to relevant Vote</t>
  </si>
  <si>
    <t>1. Government Finance Statistics Functions and Sub-functions are standardised to assist national and international accounts and comparison</t>
  </si>
  <si>
    <t>Total Renewal of Existing Assets</t>
  </si>
  <si>
    <t>Total Property Rates</t>
  </si>
  <si>
    <t>Net Property Rates</t>
  </si>
  <si>
    <t>Repairs and Maintenance</t>
  </si>
  <si>
    <t>Positions</t>
  </si>
  <si>
    <t>Contract employees</t>
  </si>
  <si>
    <t>Municipal Council and Boards of Municipal Entities</t>
  </si>
  <si>
    <t>4. Detail to be provided in Table SA3. Includes reserves to be funded by statute.</t>
  </si>
  <si>
    <t>1. Detail of new assets provided in Table SA34a</t>
  </si>
  <si>
    <t>2. Detail of renewal of existing assets provided in Table SA34b</t>
  </si>
  <si>
    <t>3. Detail of Repairs and Maintenance by Asset Class provided in Table SA34c</t>
  </si>
  <si>
    <t>4. Must reconcile to total capital expenditure on Budgeted Capital Expenditure</t>
  </si>
  <si>
    <t>5. Must reconcile to 'Budgeted Financial Position' (written down value)</t>
  </si>
  <si>
    <t>Public contributions &amp; donations</t>
  </si>
  <si>
    <t>Share of surplus/ (deficit) of associate</t>
  </si>
  <si>
    <t xml:space="preserve">    mayor, deputy mayor, member of mayoral committee, the councillor designated to exercise powers and duties of mayor (MSA s 57)</t>
  </si>
  <si>
    <t>Executive Committee</t>
  </si>
  <si>
    <t>Total for all other councillors</t>
  </si>
  <si>
    <t>Nat. or Prov. Govt</t>
  </si>
  <si>
    <t>Multi-year capital</t>
  </si>
  <si>
    <t>Original Budget</t>
  </si>
  <si>
    <t>Growth guideline maximum</t>
  </si>
  <si>
    <t>Conditions still to be met - transferred to liabilities</t>
  </si>
  <si>
    <t>Check opex</t>
  </si>
  <si>
    <t>Check capex</t>
  </si>
  <si>
    <t>Prior Adjusted</t>
  </si>
  <si>
    <t>Interest earned - external investments</t>
  </si>
  <si>
    <t>Interest earned - outstanding debtors</t>
  </si>
  <si>
    <t>Fines</t>
  </si>
  <si>
    <t>Licences and permits</t>
  </si>
  <si>
    <t>Gains on disposal of PPE</t>
  </si>
  <si>
    <t>Employee related costs</t>
  </si>
  <si>
    <t>Collection costs</t>
  </si>
  <si>
    <t>Bulk purchases</t>
  </si>
  <si>
    <t>Contracted services</t>
  </si>
  <si>
    <t>1. Positive cash balances indicative of minimum compliance - subject to 2</t>
  </si>
  <si>
    <t>Budgeted Financial Performance</t>
  </si>
  <si>
    <t>Forecast Financial Performance</t>
  </si>
  <si>
    <t>SFPerf1</t>
  </si>
  <si>
    <t>SFPerf2</t>
  </si>
  <si>
    <t>SFPos1</t>
  </si>
  <si>
    <t>SFPos2</t>
  </si>
  <si>
    <t>Budgeted Financial Position</t>
  </si>
  <si>
    <t>DC44 Alfred Nzo</t>
  </si>
  <si>
    <t>Outstanding Debtors to Revenue</t>
  </si>
  <si>
    <t>Funded by:</t>
  </si>
  <si>
    <t>Internally generated funds</t>
  </si>
  <si>
    <t>Employee costs</t>
  </si>
  <si>
    <t>Choose</t>
  </si>
  <si>
    <t>ACT</t>
  </si>
  <si>
    <t>C</t>
  </si>
  <si>
    <t>Revenue cost of free services provided</t>
  </si>
  <si>
    <r>
      <t>Less</t>
    </r>
    <r>
      <rPr>
        <u/>
        <sz val="8"/>
        <rFont val="Arial"/>
        <family val="2"/>
      </rPr>
      <t>: Employees costs capitalised to PPE</t>
    </r>
  </si>
  <si>
    <t>Investment revenue</t>
  </si>
  <si>
    <t>Cemeteries</t>
  </si>
  <si>
    <t>Housing development</t>
  </si>
  <si>
    <t>Swimming pools</t>
  </si>
  <si>
    <t>Using public tap (&lt; min.service level)</t>
  </si>
  <si>
    <t>Other water supply (&lt; min.service level)</t>
  </si>
  <si>
    <t>Electricity - prepaid (min.service level)</t>
  </si>
  <si>
    <t>Electricity (&lt; min.service level)</t>
  </si>
  <si>
    <t>Electricity - prepaid (&lt; min. service level)</t>
  </si>
  <si>
    <t>1. Include services provided by another entity; e.g. Eskom</t>
  </si>
  <si>
    <t>2. Stand distance &lt;= 200m from dwelling</t>
  </si>
  <si>
    <t>3. Stand distance &gt; 200m from dwelling</t>
  </si>
  <si>
    <t>4. Borehole, spring, rain-water tank etc.</t>
  </si>
  <si>
    <t>6. Include value of subsidy provided by municipality above provincial subsidy level</t>
  </si>
  <si>
    <t>Capital expenditure - Vote</t>
  </si>
  <si>
    <t>Dwellings provided by province/s</t>
  </si>
  <si>
    <t>1,3</t>
  </si>
  <si>
    <t>Rebates, exemptions - pensioners (R'000)</t>
  </si>
  <si>
    <t>Rebates, exemptions - bona fide farm. (R'000)</t>
  </si>
  <si>
    <t>Rebates, exemptions - other (R'000)</t>
  </si>
  <si>
    <t>Public service infrastructure value (Rm)</t>
  </si>
  <si>
    <t>Valuation reductions-public infrastructure (Rm)</t>
  </si>
  <si>
    <t>Valuation reductions-nature reserves/park (Rm)</t>
  </si>
  <si>
    <t>Valuation reductions-mineral rights (Rm)</t>
  </si>
  <si>
    <t>Valuation reductions-R15,000 threshold (Rm)</t>
  </si>
  <si>
    <t>Valuation reductions-public worship (Rm)</t>
  </si>
  <si>
    <t>Valuation reductions-other (Rm)</t>
  </si>
  <si>
    <t>Non-residential prescribed ratio s19? (%)</t>
  </si>
  <si>
    <t>Remuneration of councillors</t>
  </si>
  <si>
    <t>1. Land &amp; Assistance Act, Restitution of Land Rights, Communual Property Associations</t>
  </si>
  <si>
    <t>2. Include value of additional reductions is 'free' value greater than MPRA minimum.</t>
  </si>
  <si>
    <t>3. Average rate - cents in  the Rand. Eg 10.26 cents in the Rand is 0.1026, expressed to 6 decimal places maximum</t>
  </si>
  <si>
    <t>4. Include arrears collections</t>
  </si>
  <si>
    <t>Roads, Pavements &amp; Bridges</t>
  </si>
  <si>
    <t>Storm water</t>
  </si>
  <si>
    <t>EXPENDITURE ITEMS:</t>
  </si>
  <si>
    <t>REVENUE ITEMS:</t>
  </si>
  <si>
    <t>Property rates</t>
  </si>
  <si>
    <t>NOTE: This sheet should not be directly amended - select headings from sheet 'S'</t>
  </si>
  <si>
    <t>Provincial Government</t>
  </si>
  <si>
    <t>District Municipality</t>
  </si>
  <si>
    <t>Column Definitions:</t>
  </si>
  <si>
    <t>D</t>
  </si>
  <si>
    <t>LTFS</t>
  </si>
  <si>
    <t>Check</t>
  </si>
  <si>
    <t>check investment balance</t>
  </si>
  <si>
    <t>Investments by Maturity</t>
  </si>
  <si>
    <t>Name of institution &amp; investment ID</t>
  </si>
  <si>
    <t>Period of Investment</t>
  </si>
  <si>
    <t>Type of Investment</t>
  </si>
  <si>
    <t>Expiry date of investment</t>
  </si>
  <si>
    <t>Interest to be realised</t>
  </si>
  <si>
    <t>check borrowing balance</t>
  </si>
  <si>
    <t>Instalment Credit</t>
  </si>
  <si>
    <t>Financial Leases</t>
  </si>
  <si>
    <t>H</t>
  </si>
  <si>
    <t>I</t>
  </si>
  <si>
    <t>Other Managers</t>
  </si>
  <si>
    <t>Debtors &gt; 12 Mths Recovered/Total Debtors &gt; 12 Months Old</t>
  </si>
  <si>
    <t>TOTAL INVESTMENTS AND INTEREST</t>
  </si>
  <si>
    <t>TOTAL EXPENDITURE OF TRANSFERS AND GRANTS</t>
  </si>
  <si>
    <t>TOTAL SALARY, ALLOWANCES &amp; BENEFITS</t>
  </si>
  <si>
    <t>Non current assets</t>
  </si>
  <si>
    <t>LIABILITIES</t>
  </si>
  <si>
    <t>Non current liabilities</t>
  </si>
  <si>
    <t>Total non current liabilities</t>
  </si>
  <si>
    <t>Total current liabilities</t>
  </si>
  <si>
    <t>Total non current assets</t>
  </si>
  <si>
    <t>Total current assets</t>
  </si>
  <si>
    <t>COMMUNITY WEALTH/EQUITY</t>
  </si>
  <si>
    <t>NET ASSETS</t>
  </si>
  <si>
    <t>TOTAL ASSETS</t>
  </si>
  <si>
    <t>3. Previously described as 'bad or doubtful debts' - amounts shown should reflect the change in the provision for debt impairment</t>
  </si>
  <si>
    <t>4. Expenditure type components previously shown under repairs and maintenance should be allocated back to the originating expenditure group/item; e.g. employee costs</t>
  </si>
  <si>
    <t>Interest - external investments</t>
  </si>
  <si>
    <t>Interest - debtors</t>
  </si>
  <si>
    <t>Revenue from agency services</t>
  </si>
  <si>
    <t>Other provisions</t>
  </si>
  <si>
    <t>Investment type</t>
  </si>
  <si>
    <t>3. Replacement of RSC levies</t>
  </si>
  <si>
    <t>Other grant providers:</t>
  </si>
  <si>
    <t>Capital Charges to Operating Expenditure</t>
  </si>
  <si>
    <t>Current Ratio</t>
  </si>
  <si>
    <t>Head51</t>
  </si>
  <si>
    <t>Head52</t>
  </si>
  <si>
    <t>Head53</t>
  </si>
  <si>
    <t>Head54</t>
  </si>
  <si>
    <t>Accum. Funds</t>
  </si>
  <si>
    <t>Other Adjusts.</t>
  </si>
  <si>
    <t>Unfore. Unavoid.</t>
  </si>
  <si>
    <t>Repairs &amp; Maintenance</t>
  </si>
  <si>
    <t>R&amp;M/(Total Revenue excluding capital revenue)</t>
  </si>
  <si>
    <t>FC&amp;D/(Total Revenue - capital revenue)</t>
  </si>
  <si>
    <t>Total Capital Expenditure</t>
  </si>
  <si>
    <t>Dividends</t>
  </si>
  <si>
    <t>Equity</t>
  </si>
  <si>
    <t>Total receipts</t>
  </si>
  <si>
    <t>2. Show the poverty analysis the municipality uses to determine its indigents policy and the provision of services</t>
  </si>
  <si>
    <t>3. Include total of all housing units within the municipality</t>
  </si>
  <si>
    <t>4. Number of subsidised dwellings to be constructed by the municipality under agency agreement with province</t>
  </si>
  <si>
    <t>5. Provide estimate based on building approval information. Include any non-subsidised dwellings constructed by the municipality</t>
  </si>
  <si>
    <t>1. Total capital transfers and grants revenue must reconcile to Budgeted Financial Performance and Financial Position; total recurrent grants revenue must reconcile to Budgeted Financial Performance</t>
  </si>
  <si>
    <t>Total capital transfers and grants revenue</t>
  </si>
  <si>
    <t>Tourism</t>
  </si>
  <si>
    <t>Ambulance</t>
  </si>
  <si>
    <t>General vehicles</t>
  </si>
  <si>
    <t>Computers - hardware/equipment</t>
  </si>
  <si>
    <t>Furniture and other office equipment</t>
  </si>
  <si>
    <t>Surplus Assets - (Investment or Inventory)</t>
  </si>
  <si>
    <t>Table A10</t>
  </si>
  <si>
    <t>Charts 1, 2, 3, 4</t>
  </si>
  <si>
    <t>Charts 5, 6</t>
  </si>
  <si>
    <t>Chts 15-19</t>
  </si>
  <si>
    <t>Charts 7, 8, 9, 10, 20</t>
  </si>
  <si>
    <t>Quarter ended 30 June</t>
  </si>
  <si>
    <t>Head35</t>
  </si>
  <si>
    <t>Quarter ended 30 September</t>
  </si>
  <si>
    <t>Quarter ended 31 December</t>
  </si>
  <si>
    <t>Quarter ended 31 March</t>
  </si>
  <si>
    <t>Description of economic indicator</t>
  </si>
  <si>
    <t>Head44</t>
  </si>
  <si>
    <t>Head45</t>
  </si>
  <si>
    <t>2001 Census</t>
  </si>
  <si>
    <t>Demographics</t>
  </si>
  <si>
    <t>4, 5</t>
  </si>
  <si>
    <t>Electricity</t>
  </si>
  <si>
    <t>Year10</t>
  </si>
  <si>
    <t>Year11</t>
  </si>
  <si>
    <t>Year12</t>
  </si>
  <si>
    <t>Year13</t>
  </si>
  <si>
    <t>Year14</t>
  </si>
  <si>
    <t>Year15</t>
  </si>
  <si>
    <t>Financial year valuation used</t>
  </si>
  <si>
    <t>Valuation appeal board established? (Y/N)</t>
  </si>
  <si>
    <t>Total rebates,exemptns,reductns,discs (R'000)</t>
  </si>
  <si>
    <t>7. Included in rate revenue budget</t>
  </si>
  <si>
    <t>Rate revenue:</t>
  </si>
  <si>
    <t>R million</t>
  </si>
  <si>
    <t>R thousand</t>
  </si>
  <si>
    <t>Refuse removal</t>
  </si>
  <si>
    <t>Revenue By Source</t>
  </si>
  <si>
    <t>Change in consumer debtors (current and non-current)</t>
  </si>
  <si>
    <t>Head5B</t>
  </si>
  <si>
    <t>Pre-audit outcome</t>
  </si>
  <si>
    <t>Trend</t>
  </si>
  <si>
    <t>7. Realistic average increase in debt impairment (doubtful debt) provision</t>
  </si>
  <si>
    <t>13. Indicative of a credible allowance for repairs &amp; maintenance of assets - functioning assets revenue protection</t>
  </si>
  <si>
    <t>14. Indicative of a credible allowance for asset renewal (requires analysis of asset renewal projects as % of total capital projects - detailed capital plan) - functioning assets revenue protection</t>
  </si>
  <si>
    <t>Combination of rating types used? (Y/N)</t>
  </si>
  <si>
    <t>Flat rate used? (Y/N)</t>
  </si>
  <si>
    <t>Entities</t>
  </si>
  <si>
    <t>TOTAL PERSONNEL NUMBERS</t>
  </si>
  <si>
    <t>2. s57 of the Systems Act</t>
  </si>
  <si>
    <t>Summary of Personnel Numbers</t>
  </si>
  <si>
    <t>Total Contract Value</t>
  </si>
  <si>
    <t>3. Indicative of sufficient liquidity to meet average monthly operating payments</t>
  </si>
  <si>
    <t>4. Indicative of funded operational requirements</t>
  </si>
  <si>
    <t>3. For municipalities with approved total revenue not exceeding R250 m - all contracts with an annual cost greater than R500 000. For municipalities with approved total revenue greater than R250 m - all contracts with an annual cost greater than R1million. For municipalities with approved total revenue greater than R500 m - all contracts with an annual cost greater than R5 million</t>
  </si>
  <si>
    <t>Sanitation (Rand per household per month)</t>
  </si>
  <si>
    <t>Energy:</t>
  </si>
  <si>
    <t>Other energy sources</t>
  </si>
  <si>
    <t>Refuse (average litres per week)</t>
  </si>
  <si>
    <t>Refuse:</t>
  </si>
  <si>
    <t>Removed less frequently than once a week</t>
  </si>
  <si>
    <t>Using communal refuse dump</t>
  </si>
  <si>
    <t>Decrease (increase) in non-current investments</t>
  </si>
  <si>
    <t>NET CASH FROM/(USED) OPERATING ACTIVITIES</t>
  </si>
  <si>
    <t>NET CASH FROM/(USED) INVESTING ACTIVITIES</t>
  </si>
  <si>
    <t>Audit fees</t>
  </si>
  <si>
    <t>Cash</t>
  </si>
  <si>
    <t>Current portion of long-term receivables</t>
  </si>
  <si>
    <t>Trade and other payables</t>
  </si>
  <si>
    <t>Short term loans (other than bank overdraft)</t>
  </si>
  <si>
    <t>November</t>
  </si>
  <si>
    <t>December</t>
  </si>
  <si>
    <t>January</t>
  </si>
  <si>
    <t>February</t>
  </si>
  <si>
    <t>March</t>
  </si>
  <si>
    <t>April</t>
  </si>
  <si>
    <t>May</t>
  </si>
  <si>
    <t>June</t>
  </si>
  <si>
    <t>Total Cash Receipts by Source</t>
  </si>
  <si>
    <t>Total Cash Payments by Type</t>
  </si>
  <si>
    <t>Grants % of Govt. legislated/gazetted allocations</t>
  </si>
  <si>
    <t>Current consumer debtors % change - incr(decr)</t>
  </si>
  <si>
    <t>APP</t>
  </si>
  <si>
    <t>ADJ</t>
  </si>
  <si>
    <t>Speaker</t>
  </si>
  <si>
    <t>Executive Mayor</t>
  </si>
  <si>
    <t>Museums &amp; Art Galleries</t>
  </si>
  <si>
    <t>July</t>
  </si>
  <si>
    <t>Remuneration</t>
  </si>
  <si>
    <t>Total remuneration/(Total Revenue - capital revenue)</t>
  </si>
  <si>
    <t>Consumption growth (electricity)</t>
  </si>
  <si>
    <t>Consumption growth (water)</t>
  </si>
  <si>
    <t>Pollution Control</t>
  </si>
  <si>
    <t>Sewerage</t>
  </si>
  <si>
    <t>Storm Water Management</t>
  </si>
  <si>
    <t>Public Toilets</t>
  </si>
  <si>
    <t>Roads</t>
  </si>
  <si>
    <t>Water Distribution</t>
  </si>
  <si>
    <t>Water Storage</t>
  </si>
  <si>
    <t>Set name on 'Instructions' sheet</t>
  </si>
  <si>
    <t>Removed at least once a week</t>
  </si>
  <si>
    <t>Total outstanding service debtors/annual revenue received for services</t>
  </si>
  <si>
    <t>No. of successful objections &gt; 10%</t>
  </si>
  <si>
    <t>No. of supplementary valuations</t>
  </si>
  <si>
    <t>No. of valuation roll amendments</t>
  </si>
  <si>
    <t>Reserves</t>
  </si>
  <si>
    <t>Head1</t>
  </si>
  <si>
    <t>Differential rates used? (Y/N)</t>
  </si>
  <si>
    <t>Limit on annual rate increase (s20)? (Y/N)</t>
  </si>
  <si>
    <t>Special rating area used? (Y/N)</t>
  </si>
  <si>
    <t>Date of valuation:</t>
  </si>
  <si>
    <t>Valuation:</t>
  </si>
  <si>
    <t>Municipal partnership s38 used? (Y/N)</t>
  </si>
  <si>
    <t>No. of successful objections</t>
  </si>
  <si>
    <t>Performance  Bonuses</t>
  </si>
  <si>
    <t>A Heading for Each Entity</t>
  </si>
  <si>
    <t>Councillors (Political Office Bearers plus Other)</t>
  </si>
  <si>
    <t>Medical Aid Contributions</t>
  </si>
  <si>
    <t>Sub Total - Councillors</t>
  </si>
  <si>
    <t>Performance Bonus</t>
  </si>
  <si>
    <t>Sub Total - Senior Managers of Municipality</t>
  </si>
  <si>
    <t>Other Municipal Staff</t>
  </si>
  <si>
    <t>Total 'Other' Expenditure</t>
  </si>
  <si>
    <t>1. Must reconcile with 'Budgeted Financial Performance (Revenue and Expenditure)</t>
  </si>
  <si>
    <t>4. Expenditure to meet any 'unfunded obligations'</t>
  </si>
  <si>
    <t>4. Borrowing must reconcile to Table A17</t>
  </si>
  <si>
    <t>Description</t>
  </si>
  <si>
    <t>Total</t>
  </si>
  <si>
    <t>YTD  Actual 31 Dec</t>
  </si>
  <si>
    <t>YTD  Budget 31 Dec</t>
  </si>
  <si>
    <t>Total billable revenue</t>
  </si>
  <si>
    <t>Rand per annum</t>
  </si>
  <si>
    <t>2</t>
  </si>
  <si>
    <t>Head2A</t>
  </si>
  <si>
    <t>Total Capital Funding</t>
  </si>
  <si>
    <t>PPP liabilities</t>
  </si>
  <si>
    <t>Financial derivatives</t>
  </si>
  <si>
    <t>Investment in Associate</t>
  </si>
  <si>
    <t>Calculation data</t>
  </si>
  <si>
    <t>5. Indicative of adherence to macro-economic targets (prior to 2003/04 revenue not available for high capacity municipalities and later for other capacity classifications)</t>
  </si>
  <si>
    <t>Transfers and grants</t>
  </si>
  <si>
    <t>2. Detail to be provided in Table SA1</t>
  </si>
  <si>
    <t>Creditors Management</t>
  </si>
  <si>
    <t>Creditors System Efficiency</t>
  </si>
  <si>
    <t>Other Indicators</t>
  </si>
  <si>
    <t>Borrowing Management</t>
  </si>
  <si>
    <t>1. Table should be completed as either Multi-Year expenditure appropriation or Budget Year and Forward Year estimates</t>
  </si>
  <si>
    <t>Civil Defence</t>
  </si>
  <si>
    <t>VAT on Services</t>
  </si>
  <si>
    <t>Rates and services charges:</t>
  </si>
  <si>
    <t>Borrowing long term/refinancing</t>
  </si>
  <si>
    <t>2007/08 Medium Term Revenue &amp; Expenditure Framework</t>
  </si>
  <si>
    <t>2008/09 Medium Term Revenue &amp; Expenditure Framework</t>
  </si>
  <si>
    <t>2009/10 Medium Term Revenue &amp; Expenditure Framework</t>
  </si>
  <si>
    <t>Forecast Financial Position</t>
  </si>
  <si>
    <t>Cash1</t>
  </si>
  <si>
    <t>Cash2</t>
  </si>
  <si>
    <t>Muni</t>
  </si>
  <si>
    <t>Head1B</t>
  </si>
  <si>
    <t>Head26</t>
  </si>
  <si>
    <t>Vote Description</t>
  </si>
  <si>
    <t>Head27</t>
  </si>
  <si>
    <t>Free services</t>
  </si>
  <si>
    <t>Households below minimum service level</t>
  </si>
  <si>
    <t>Cost of Free Basic Services provided</t>
  </si>
  <si>
    <t>Skilled agricultural and fishery workers</t>
  </si>
  <si>
    <t>Contributions recognised - capital</t>
  </si>
  <si>
    <t>Less: Accumulated depreciation</t>
  </si>
  <si>
    <t>8. Must reflect the cost to the municipality of providing the Free Basic Service</t>
  </si>
  <si>
    <t>Water: Consumption</t>
  </si>
  <si>
    <t>Total large household bill:</t>
  </si>
  <si>
    <t>Total small household bill:</t>
  </si>
  <si>
    <t>% incr.</t>
  </si>
  <si>
    <t>No</t>
  </si>
  <si>
    <t>Borrowing - Categorised by type</t>
  </si>
  <si>
    <t>NET CASH FROM/(USED) FINANCING ACTIVITIES</t>
  </si>
  <si>
    <t>Receipts</t>
  </si>
  <si>
    <t>Payments</t>
  </si>
  <si>
    <t>Repayment of borrowing</t>
  </si>
  <si>
    <t>Short term loans</t>
  </si>
  <si>
    <t>GT481 Mogale City</t>
  </si>
  <si>
    <t>MP301 Albert Luthuli</t>
  </si>
  <si>
    <t>MP302 Msukaligwa</t>
  </si>
  <si>
    <t>MP303 Mkhondo</t>
  </si>
  <si>
    <t>MP305 Lekwa</t>
  </si>
  <si>
    <t>MP306 Dipaleseng</t>
  </si>
  <si>
    <t>MP307 Govan Mbeki</t>
  </si>
  <si>
    <t>MP313 Steve Tshwete</t>
  </si>
  <si>
    <t>MP314 Emakhazeni</t>
  </si>
  <si>
    <t>MP321 Thaba Chweu</t>
  </si>
  <si>
    <t>MP324 Nkomazi</t>
  </si>
  <si>
    <t>MP325 Bushbuckridge</t>
  </si>
  <si>
    <t>NC061 Richtersveld</t>
  </si>
  <si>
    <t>NC062 Nama Khoi</t>
  </si>
  <si>
    <t>NC064 Kamiesberg</t>
  </si>
  <si>
    <t>NC065 Hantam</t>
  </si>
  <si>
    <t>NC066 Karoo Hoogland</t>
  </si>
  <si>
    <t>NC067 Khai-Ma</t>
  </si>
  <si>
    <t>EC154 Port St Johns</t>
  </si>
  <si>
    <t>EC155 Nyandeni</t>
  </si>
  <si>
    <t>EC156 Mhlontlo</t>
  </si>
  <si>
    <t>EC157 King Sabata Dalindyebo</t>
  </si>
  <si>
    <t>FS161 Letsemeng</t>
  </si>
  <si>
    <t>FS162 Kopanong</t>
  </si>
  <si>
    <t>FS163 Mohokare</t>
  </si>
  <si>
    <t>FS181 Masilonyana</t>
  </si>
  <si>
    <t>FS182 Tokologo</t>
  </si>
  <si>
    <t>FS183 Tswelopele</t>
  </si>
  <si>
    <t>FS184 Matjhabeng</t>
  </si>
  <si>
    <t>FS185 Nala</t>
  </si>
  <si>
    <t>FS191 Setsoto</t>
  </si>
  <si>
    <t>FS192 Dihlabeng</t>
  </si>
  <si>
    <t>FS193 Nketoana</t>
  </si>
  <si>
    <t>FS195 Phumelela</t>
  </si>
  <si>
    <t>FS201 Moqhaka</t>
  </si>
  <si>
    <t>FS203 Ngwathe</t>
  </si>
  <si>
    <t>check opexp balance</t>
  </si>
  <si>
    <t>Present value</t>
  </si>
  <si>
    <t>Forecasts</t>
  </si>
  <si>
    <t>Future operational costs by vote</t>
  </si>
  <si>
    <t>Future revenue by source</t>
  </si>
  <si>
    <t>Net Financial Implications</t>
  </si>
  <si>
    <t>Using own refuse dump</t>
  </si>
  <si>
    <t>Other rubbish disposal</t>
  </si>
  <si>
    <t>Municipal Entities</t>
  </si>
  <si>
    <t>Type of report:</t>
  </si>
  <si>
    <t>MTREF Range:</t>
  </si>
  <si>
    <t>Type of Entities Range:</t>
  </si>
  <si>
    <t>3. National Treasury database will require this reconciliation for each transfer/grant</t>
  </si>
  <si>
    <t xml:space="preserve">  Other capital transfers/grants [insert desc]</t>
  </si>
  <si>
    <t>Year in which budget is being prepared</t>
  </si>
  <si>
    <t>MTREF name</t>
  </si>
  <si>
    <t>Long term financial strategy</t>
  </si>
  <si>
    <t>1st year of MTREF</t>
  </si>
  <si>
    <t>2nd year of MTREF</t>
  </si>
  <si>
    <t>3rd year of MTREF</t>
  </si>
  <si>
    <t>Surplus/(Deficit) for the year</t>
  </si>
  <si>
    <t>Monetary Assets/Current Liabilities</t>
  </si>
  <si>
    <t>Revenue Management</t>
  </si>
  <si>
    <t>Annual Debtors Collection Rate (Payment Level %)</t>
  </si>
  <si>
    <t>FS204 Metsimaholo</t>
  </si>
  <si>
    <t>FS205 Mafube</t>
  </si>
  <si>
    <t>GT421 Emfuleni</t>
  </si>
  <si>
    <t>GT422 Midvaal</t>
  </si>
  <si>
    <t>8. All materials not part of 'bulk' e.g  road making materials, pipe, cable etc.</t>
  </si>
  <si>
    <t>6. Motor vehicle licensing refunds to be included under 'agency' services (Not Grant Receipts)</t>
  </si>
  <si>
    <r>
      <t xml:space="preserve">% incr </t>
    </r>
    <r>
      <rPr>
        <i/>
        <sz val="8"/>
        <rFont val="Arial"/>
        <family val="2"/>
      </rPr>
      <t>total service charges (incl prop rates)</t>
    </r>
  </si>
  <si>
    <t>% incr Property Tax</t>
  </si>
  <si>
    <t>Borrowed funding of 'own' capital expenditure</t>
  </si>
  <si>
    <t>Own capex</t>
  </si>
  <si>
    <t>Councillors (Political Office Bearers plus Other Councillors)</t>
  </si>
  <si>
    <t>Cash Receipts By Source</t>
  </si>
  <si>
    <t>Board Members of Entities</t>
  </si>
  <si>
    <t>Forecast 2014/15</t>
  </si>
  <si>
    <t>Forecast 2015/16</t>
  </si>
  <si>
    <t>Forecast 2016/17</t>
  </si>
  <si>
    <t>Forecast 2017/18</t>
  </si>
  <si>
    <t>Forecast 2020/21</t>
  </si>
  <si>
    <t>Formal</t>
  </si>
  <si>
    <t>Informal</t>
  </si>
  <si>
    <t>Head28</t>
  </si>
  <si>
    <t>Result</t>
  </si>
  <si>
    <t>Total Capital expenditure</t>
  </si>
  <si>
    <t>2. List investments in expiry date order</t>
  </si>
  <si>
    <t>% increase</t>
  </si>
  <si>
    <t>R&amp;M as a % of PPE</t>
  </si>
  <si>
    <r>
      <t>Single-year expenditure</t>
    </r>
    <r>
      <rPr>
        <b/>
        <i/>
        <sz val="8"/>
        <rFont val="Arial Narrow"/>
        <family val="2"/>
      </rPr>
      <t xml:space="preserve"> to be appropriated</t>
    </r>
  </si>
  <si>
    <t>Other Cash Flows by Source</t>
  </si>
  <si>
    <t>Total sources</t>
  </si>
  <si>
    <t>Budget Cash Flow</t>
  </si>
  <si>
    <t>Service charges - sanitation revenue</t>
  </si>
  <si>
    <t>Service charges - refuse removal</t>
  </si>
  <si>
    <t>Service charges - other</t>
  </si>
  <si>
    <t>CASH FLOW FROM OPERATING ACTIVITIES</t>
  </si>
  <si>
    <t>Cash/cash equivalents at the year begin:</t>
  </si>
  <si>
    <t>2. Cash equivalents includes investments with maturities of 3 months or less</t>
  </si>
  <si>
    <t>Goal Code</t>
  </si>
  <si>
    <t>O</t>
  </si>
  <si>
    <t>P</t>
  </si>
  <si>
    <t>Agricultural</t>
  </si>
  <si>
    <t>Biological</t>
  </si>
  <si>
    <t>Intangible</t>
  </si>
  <si>
    <r>
      <t>Expenditure by Vote</t>
    </r>
    <r>
      <rPr>
        <b/>
        <sz val="8"/>
        <rFont val="Arial Narrow"/>
        <family val="2"/>
      </rPr>
      <t xml:space="preserve"> </t>
    </r>
    <r>
      <rPr>
        <b/>
        <i/>
        <sz val="8"/>
        <rFont val="Arial Narrow"/>
        <family val="2"/>
      </rPr>
      <t>to be appropriated</t>
    </r>
  </si>
  <si>
    <t>Permanent employees</t>
  </si>
  <si>
    <r>
      <t>Balance (</t>
    </r>
    <r>
      <rPr>
        <i/>
        <sz val="8"/>
        <rFont val="Arial Narrow"/>
        <family val="2"/>
      </rPr>
      <t>Insert description; eg sinking fund)</t>
    </r>
  </si>
  <si>
    <t>Credit Rating</t>
  </si>
  <si>
    <t>Remuneration of Board Members</t>
  </si>
  <si>
    <t>Water</t>
  </si>
  <si>
    <t>Sanitation</t>
  </si>
  <si>
    <t>Other expenditure</t>
  </si>
  <si>
    <t>Lease amortisation</t>
  </si>
  <si>
    <t>Asset register summary (WDV)</t>
  </si>
  <si>
    <t>Security and policing</t>
  </si>
  <si>
    <t>Cash/cash equivalents at the month/year end:</t>
  </si>
  <si>
    <t>Cash/cash equivalents at the month/year begin:</t>
  </si>
  <si>
    <t>Heritage assets</t>
  </si>
  <si>
    <t>Investment properties</t>
  </si>
  <si>
    <t>Other assets</t>
  </si>
  <si>
    <t>1. Pension and medical aid</t>
  </si>
  <si>
    <t>In-kind benefits</t>
  </si>
  <si>
    <t>Total Package</t>
  </si>
  <si>
    <t>Computers - software &amp; programming</t>
  </si>
  <si>
    <t>No water supply</t>
  </si>
  <si>
    <t>Common sheet headings</t>
  </si>
  <si>
    <t>Strategic Objective</t>
  </si>
  <si>
    <t>Infrastructure</t>
  </si>
  <si>
    <t>Head47</t>
  </si>
  <si>
    <t>check op revenue balance</t>
  </si>
  <si>
    <t>check op expenditure balance</t>
  </si>
  <si>
    <t>Cash receipts from ratepayers</t>
  </si>
  <si>
    <t>Capital expenditure excluding capital grant funding</t>
  </si>
  <si>
    <t>Head27a</t>
  </si>
  <si>
    <t>References</t>
  </si>
  <si>
    <t>Net cash from (used) financing</t>
  </si>
  <si>
    <t>Net cash from (used) operating</t>
  </si>
  <si>
    <t>Net cash from (used) investing</t>
  </si>
  <si>
    <t>Asset renewal % of capital budget</t>
  </si>
  <si>
    <t>Parent Municipality:</t>
  </si>
  <si>
    <t>Expenditure Obligation By Contract</t>
  </si>
  <si>
    <t>Capital Expenditure Obligation By Contract</t>
  </si>
  <si>
    <t>Total Operating Expenditure Implication</t>
  </si>
  <si>
    <t>Supporting Table SA10</t>
  </si>
  <si>
    <t>Supporting Table SA11</t>
  </si>
  <si>
    <t>Supporting Table SA14</t>
  </si>
  <si>
    <t>Supporting Table SA15</t>
  </si>
  <si>
    <t>Supporting Table SA16</t>
  </si>
  <si>
    <t>Supporting Table SA17</t>
  </si>
  <si>
    <t>Supporting Table SA18</t>
  </si>
  <si>
    <t>Supporting Table SA19</t>
  </si>
  <si>
    <t>Supporting Table SA20</t>
  </si>
  <si>
    <t>Supporting Table SA21</t>
  </si>
  <si>
    <t>Supporting Table SA22</t>
  </si>
  <si>
    <t>Supporting Table SA23</t>
  </si>
  <si>
    <t>Supporting Table SA24</t>
  </si>
  <si>
    <t>Supporting Table SA25</t>
  </si>
  <si>
    <t>Supporting Table SA26</t>
  </si>
  <si>
    <t>Supporting Table SA27</t>
  </si>
  <si>
    <t>Supporting Table SA28</t>
  </si>
  <si>
    <t>Supporting Table SA29</t>
  </si>
  <si>
    <t>Supporting Table SA30</t>
  </si>
  <si>
    <t>Supporting Table SA31</t>
  </si>
  <si>
    <t>Supporting Table SA32</t>
  </si>
  <si>
    <t>Supporting Table SA33</t>
  </si>
  <si>
    <t>Supporting Table SA35</t>
  </si>
  <si>
    <t>Supporting Table SA36</t>
  </si>
  <si>
    <t>Supporting Table SA37</t>
  </si>
  <si>
    <t>R'000</t>
  </si>
  <si>
    <t>ASSETS</t>
  </si>
  <si>
    <t>Current assets</t>
  </si>
  <si>
    <t>Investments</t>
  </si>
  <si>
    <t>Current liabilities</t>
  </si>
  <si>
    <t>Provisions</t>
  </si>
  <si>
    <t>Head25</t>
  </si>
  <si>
    <t>National Government:</t>
  </si>
  <si>
    <t>Provincial Government:</t>
  </si>
  <si>
    <t>Does this municipality have entities (consolidated budget and entity budgets required)? YES/NO</t>
  </si>
  <si>
    <t>NOT REQUIRED - municipality does not have entities</t>
  </si>
  <si>
    <t>A. GENERAL INFORMATION</t>
  </si>
  <si>
    <t>Municipality</t>
  </si>
  <si>
    <t>DC1 West Coast</t>
  </si>
  <si>
    <t>WC WESTERN CAPE</t>
  </si>
  <si>
    <t>Single-year expenditure appropriation</t>
  </si>
  <si>
    <r>
      <t xml:space="preserve">Multi-year expenditure </t>
    </r>
    <r>
      <rPr>
        <b/>
        <sz val="8"/>
        <rFont val="Arial Narrow"/>
        <family val="2"/>
      </rPr>
      <t xml:space="preserve"> </t>
    </r>
    <r>
      <rPr>
        <b/>
        <i/>
        <sz val="8"/>
        <rFont val="Arial Narrow"/>
        <family val="2"/>
      </rPr>
      <t>to be appropriated</t>
    </r>
  </si>
  <si>
    <r>
      <t>Single-year expenditure</t>
    </r>
    <r>
      <rPr>
        <b/>
        <sz val="8"/>
        <rFont val="Arial Narrow"/>
        <family val="2"/>
      </rPr>
      <t xml:space="preserve"> </t>
    </r>
    <r>
      <rPr>
        <b/>
        <i/>
        <sz val="8"/>
        <rFont val="Arial Narrow"/>
        <family val="2"/>
      </rPr>
      <t>to be appropriated</t>
    </r>
  </si>
  <si>
    <t>Total Capital Expenditure - Vote</t>
  </si>
  <si>
    <t>Other transfers and grants</t>
  </si>
  <si>
    <t>2. Include capital component of PPP unitary payment. Note that capital transfers are only appropriated to municipalities for the budget year</t>
  </si>
  <si>
    <t>4. Must reconcile to supporting table SA20 and to Budgeted Financial Performance (revenue and expenditure)</t>
  </si>
  <si>
    <t>6. Include finance leases and PPP capital funding component of unitary payment - total borrowing/repayments to reconcile to changes in Table SA17</t>
  </si>
  <si>
    <t>Service charges - refuse revenue</t>
  </si>
  <si>
    <t>Total Revenue (excluding capital transfers and contributions)</t>
  </si>
  <si>
    <t>3. Leases treated as assets to be depreciated as the same as purchased/constructed assets.  Includes PPP asset element accounted for as finance leases</t>
  </si>
  <si>
    <t>Finance leases (including PPP asset element)</t>
  </si>
  <si>
    <t>Inflation/inflation outlook (CPIX)</t>
  </si>
  <si>
    <t>Taxation</t>
  </si>
  <si>
    <t>Surplus/(Deficit) after taxation</t>
  </si>
  <si>
    <t>8. Indicative of planned capital expenditure level &amp; cash payment timing</t>
  </si>
  <si>
    <t>6. Realistic average cash collection forecasts as % of annual billed revenue</t>
  </si>
  <si>
    <t xml:space="preserve">Department 10 - </t>
  </si>
  <si>
    <t xml:space="preserve">Department 11 - </t>
  </si>
  <si>
    <t xml:space="preserve">Department 12 - </t>
  </si>
  <si>
    <t xml:space="preserve">Department 13 - </t>
  </si>
  <si>
    <t>Leases recognised as PPE</t>
  </si>
  <si>
    <t>2. Include completed low cost housing to be transferred to beneficiaries within 12 months</t>
  </si>
  <si>
    <t>2005/06</t>
  </si>
  <si>
    <t>2004/05</t>
  </si>
  <si>
    <t>2003/04</t>
  </si>
  <si>
    <t>Audited Outcome</t>
  </si>
  <si>
    <t>District Municipality:</t>
  </si>
  <si>
    <t>Property Services</t>
  </si>
  <si>
    <t>Capital expenditure &amp; funds sources</t>
  </si>
  <si>
    <t>CHANGES IN NET ASSETS</t>
  </si>
  <si>
    <t>Unspent conditional transfers</t>
  </si>
  <si>
    <t>Total New Assets</t>
  </si>
  <si>
    <t>2. Must reconcile to supporting documentation on staff salaries</t>
  </si>
  <si>
    <t>Budget Charts</t>
  </si>
  <si>
    <t>Resi.</t>
  </si>
  <si>
    <t>Indust.</t>
  </si>
  <si>
    <t>Bus. &amp; Comm.</t>
  </si>
  <si>
    <t>Farm props.</t>
  </si>
  <si>
    <t>Private owned towns</t>
  </si>
  <si>
    <t>Comm. Land</t>
  </si>
  <si>
    <t>Protect. Areas</t>
  </si>
  <si>
    <t>TOTAL LIABILITIES</t>
  </si>
  <si>
    <t>TOTAL COMMUNITY WEALTH/EQUITY</t>
  </si>
  <si>
    <t>Total Reserves</t>
  </si>
  <si>
    <t>Head24</t>
  </si>
  <si>
    <t>Balance - surplus (shortfall)</t>
  </si>
  <si>
    <t>Waste Management</t>
  </si>
  <si>
    <t>Basis of calculation</t>
  </si>
  <si>
    <t>&gt;5</t>
  </si>
  <si>
    <t>6-10</t>
  </si>
  <si>
    <t>Uniform</t>
  </si>
  <si>
    <t>Overtime</t>
  </si>
  <si>
    <t>Long service awards</t>
  </si>
  <si>
    <t xml:space="preserve">  [insert description]</t>
  </si>
  <si>
    <t>Insert measure/s description</t>
  </si>
  <si>
    <t>Insert description</t>
  </si>
  <si>
    <t>Base year of forecast column selection names</t>
  </si>
  <si>
    <t>Budget approval tables</t>
  </si>
  <si>
    <t>A2</t>
  </si>
  <si>
    <t>Cross reference</t>
  </si>
  <si>
    <t>A3</t>
  </si>
  <si>
    <t>A5</t>
  </si>
  <si>
    <t>A7</t>
  </si>
  <si>
    <t>1st yr of long term forecast</t>
  </si>
  <si>
    <t>Next yr of long term forecast</t>
  </si>
  <si>
    <t>Current Year 2007/08</t>
  </si>
  <si>
    <t>2007/08</t>
  </si>
  <si>
    <t>Budget Year 2008/09</t>
  </si>
  <si>
    <t>Budget Year +1 2009/10</t>
  </si>
  <si>
    <t>Budget Year +2 2010/11</t>
  </si>
  <si>
    <t>Forecast 2022/23</t>
  </si>
  <si>
    <t>Annual target 2008/09</t>
  </si>
  <si>
    <t>Revised target 2008/09</t>
  </si>
  <si>
    <t>Current Year 2008/09</t>
  </si>
  <si>
    <t>2008/09</t>
  </si>
  <si>
    <t>Budget Year 2009/10</t>
  </si>
  <si>
    <t>Attributable to minorities</t>
  </si>
  <si>
    <t>Females aged 5 - 14</t>
  </si>
  <si>
    <t>Females aged 15 - 34</t>
  </si>
  <si>
    <t>Population</t>
  </si>
  <si>
    <t>Unemployment</t>
  </si>
  <si>
    <t>Interest rate - borrowing</t>
  </si>
  <si>
    <t>Interest rate - investment</t>
  </si>
  <si>
    <t>Remuneration increases</t>
  </si>
  <si>
    <t>Property tax/service charges</t>
  </si>
  <si>
    <t>Rental of facilities &amp; equipment</t>
  </si>
  <si>
    <t>1. Local/District municipalities to include transfers from/to District/Local Municipalities</t>
  </si>
  <si>
    <t>Application of cash and investments</t>
  </si>
  <si>
    <t>Statutory requirements</t>
  </si>
  <si>
    <t>2. For example: VAT, taxation</t>
  </si>
  <si>
    <t>Governance and administration</t>
  </si>
  <si>
    <t>1. Government Finance Statistics Functions and Sub-functions are standardised to assist the compilation of national and international accounts for comparison purposes</t>
  </si>
  <si>
    <t>Waste water management</t>
  </si>
  <si>
    <t>Waste management</t>
  </si>
  <si>
    <t>Street address</t>
  </si>
  <si>
    <t>DC21 Ugu</t>
  </si>
  <si>
    <t>Building</t>
  </si>
  <si>
    <t>DC22 uMgungundlovu</t>
  </si>
  <si>
    <t>Street No. &amp; Name</t>
  </si>
  <si>
    <t>DC23 Uthukela</t>
  </si>
  <si>
    <t>DC24 Umzinyathi</t>
  </si>
  <si>
    <t>DC25 Amajuba</t>
  </si>
  <si>
    <t>General Contacts</t>
  </si>
  <si>
    <t>DC26 Zululand</t>
  </si>
  <si>
    <t>Telephone number</t>
  </si>
  <si>
    <t>DC27 Umkhanyakude</t>
  </si>
  <si>
    <t>Fax number</t>
  </si>
  <si>
    <t>C. POLITICAL LEADERSHIP</t>
  </si>
  <si>
    <t>Speaker:</t>
  </si>
  <si>
    <t>Secretary/PA to the Speaker:</t>
  </si>
  <si>
    <t>DC29 iLembe</t>
  </si>
  <si>
    <t>Name</t>
  </si>
  <si>
    <t>DC3 Overberg</t>
  </si>
  <si>
    <t>DC30 Gert Sibande</t>
  </si>
  <si>
    <t>MP MPUMALANGA</t>
  </si>
  <si>
    <t>Cell number</t>
  </si>
  <si>
    <t>DC31 Nkangala</t>
  </si>
  <si>
    <t>DC32 Ehlanzeni</t>
  </si>
  <si>
    <t>E-mail address</t>
  </si>
  <si>
    <t>DC33 Mopani</t>
  </si>
  <si>
    <t>Mayor/Executive Mayor:</t>
  </si>
  <si>
    <t>Secretary/PA to the Mayor/Executive Mayor:</t>
  </si>
  <si>
    <t>DC34 Vhembe</t>
  </si>
  <si>
    <t>DC35 Capricorn</t>
  </si>
  <si>
    <t>DC36 Waterberg</t>
  </si>
  <si>
    <t>DC37 Bojanala Platinum</t>
  </si>
  <si>
    <t>NW NORTH WEST</t>
  </si>
  <si>
    <t>DC38 Ngaka Modiri Molema</t>
  </si>
  <si>
    <t>Deputy Mayor/Executive Mayor:</t>
  </si>
  <si>
    <t>Secretary/PA to the Deputy Mayor/Executive Mayor:</t>
  </si>
  <si>
    <t>D. MANAGEMENT LEADERSHIP</t>
  </si>
  <si>
    <t>Municipal Manager:</t>
  </si>
  <si>
    <t>Secretary/PA to the Municipal Manager:</t>
  </si>
  <si>
    <t>Chief Financial Officer</t>
  </si>
  <si>
    <t>Secretary/PA to the Chief Financial Officer</t>
  </si>
  <si>
    <t>Official responsible for submitting financial information</t>
  </si>
  <si>
    <t>DC42 Sedibeng</t>
  </si>
  <si>
    <t>GT GAUTENG</t>
  </si>
  <si>
    <t>DC48 West Rand</t>
  </si>
  <si>
    <t>DC5 Central Karoo</t>
  </si>
  <si>
    <t>DC6 Namakwa</t>
  </si>
  <si>
    <t>NC NORTHERN CAPE</t>
  </si>
  <si>
    <t>DC9 Frances Baard</t>
  </si>
  <si>
    <t>EC102 Blue Crane Route</t>
  </si>
  <si>
    <t>EC104 Makana</t>
  </si>
  <si>
    <t>EC105 Ndlambe</t>
  </si>
  <si>
    <t>EC106 Sundays River Valley</t>
  </si>
  <si>
    <t>EC108 Kouga</t>
  </si>
  <si>
    <t>EC121 Mbhashe</t>
  </si>
  <si>
    <t>EC122 Mnquma</t>
  </si>
  <si>
    <t>EC123 Great Kei</t>
  </si>
  <si>
    <t>EC124 Amahlathi</t>
  </si>
  <si>
    <t>EC126 Ngqushwa</t>
  </si>
  <si>
    <t>EC131 Inxuba Yethemba</t>
  </si>
  <si>
    <t>Surplus/ (Deficit) for the yr/period</t>
  </si>
  <si>
    <t>Total 'Other' Revenue</t>
  </si>
  <si>
    <t>Total bulk purchases</t>
  </si>
  <si>
    <t>Cash and investments available</t>
  </si>
  <si>
    <t>Cash and investments available:</t>
  </si>
  <si>
    <t>Reserves to be backed by cash/investments</t>
  </si>
  <si>
    <t>9. Indicative of compliance with borrowing 'only' for the capital budget - should not exceed 100% unless refinancing</t>
  </si>
  <si>
    <t>Total gazetted/advised national, provincial and district grants</t>
  </si>
  <si>
    <t>District Municipality grants</t>
  </si>
  <si>
    <t>Operating and Capital Grant Revenue</t>
  </si>
  <si>
    <t>Supporting indicators</t>
  </si>
  <si>
    <t>Capital expenditure - total</t>
  </si>
  <si>
    <t>Capital expenditure - renewal</t>
  </si>
  <si>
    <t>Conditions met - transferred to revenue</t>
  </si>
  <si>
    <t>Balance unspent at beginning of the year</t>
  </si>
  <si>
    <t>Current year receipts</t>
  </si>
  <si>
    <t>Repairs and maintenance expenditure by Asset Class/Sub-class</t>
  </si>
  <si>
    <t>Total Repairs and Maintenance Expenditure</t>
  </si>
  <si>
    <t>1. Total Repairs and Maintenance Expenditure by Asset Category must reconcile to total repairs and maintenance expenditure on Table SA1</t>
  </si>
  <si>
    <t>Capital expenditure on renewal of existing assets by Asset Class/Sub-class</t>
  </si>
  <si>
    <t xml:space="preserve">Total Capital Expenditure on renewal of existing assets </t>
  </si>
  <si>
    <t>Capital expenditure on new assets by Asset Class/Sub-class</t>
  </si>
  <si>
    <t>Other toilet provisions (&lt; min.service level)</t>
  </si>
  <si>
    <t>Electricity (at least min.service level)</t>
  </si>
  <si>
    <t>Provincial - capex</t>
  </si>
  <si>
    <t xml:space="preserve">  Other transfers/grants [insert description]</t>
  </si>
  <si>
    <t>Capital Expenditure - Standard</t>
  </si>
  <si>
    <t>Total Capital Expenditure - Standard</t>
  </si>
  <si>
    <t>Asset management</t>
  </si>
  <si>
    <t>Plant &amp; equipment</t>
  </si>
  <si>
    <t>Abattoirs</t>
  </si>
  <si>
    <t>Markets</t>
  </si>
  <si>
    <t xml:space="preserve">Department 1 - </t>
  </si>
  <si>
    <t xml:space="preserve">Department 2 - </t>
  </si>
  <si>
    <t xml:space="preserve">Department 3 - </t>
  </si>
  <si>
    <t xml:space="preserve">Department 4 - </t>
  </si>
  <si>
    <t xml:space="preserve">Department 5 - </t>
  </si>
  <si>
    <t xml:space="preserve">Department 6 - </t>
  </si>
  <si>
    <t xml:space="preserve">Department 7 - </t>
  </si>
  <si>
    <t xml:space="preserve">Department 8 - </t>
  </si>
  <si>
    <t xml:space="preserve">Department 9 - </t>
  </si>
  <si>
    <t>Buildings</t>
  </si>
  <si>
    <t>DoRA operating</t>
  </si>
  <si>
    <t>5. Repairs &amp; maintenance detailed in Table A9 and Table SA34c</t>
  </si>
  <si>
    <t>Forecast Cash Flow</t>
  </si>
  <si>
    <t>Entity 2</t>
  </si>
  <si>
    <t>Entity 3</t>
  </si>
  <si>
    <t>Ent2</t>
  </si>
  <si>
    <t>Ent3</t>
  </si>
  <si>
    <t>Surplus/(Deficit) excluding depreciation offsets: R'000</t>
  </si>
  <si>
    <t>Municipal/assistant valuer appointed? (Y/N)</t>
  </si>
  <si>
    <t>No. of assistant valuers (FTE)</t>
  </si>
  <si>
    <t>No. of data collectors (FTE)</t>
  </si>
  <si>
    <t>No. of internal valuers (FTE)</t>
  </si>
  <si>
    <t>No. of external valuers (FTE)</t>
  </si>
  <si>
    <t>NC071 Ubuntu</t>
  </si>
  <si>
    <t>NC072 Umsobomvu</t>
  </si>
  <si>
    <t>NC073 Emthanjeni</t>
  </si>
  <si>
    <t>NC074 Kareeberg</t>
  </si>
  <si>
    <t>NC075 Renosterberg</t>
  </si>
  <si>
    <t>NC076 Thembelihle</t>
  </si>
  <si>
    <t>1. Total investments must reconcile to Budgeted Financial Position ('current' call investment deposits plus 'non-current' investments)</t>
  </si>
  <si>
    <t>1. Total borrowing must reconcile to Budgeted Financial Position (Borrowing - non-current)</t>
  </si>
  <si>
    <t>RECEIPTS:</t>
  </si>
  <si>
    <t>Transfers and Grants</t>
  </si>
  <si>
    <t>Cash/cash equivalents at the year end:</t>
  </si>
  <si>
    <t>Borrowing</t>
  </si>
  <si>
    <t>Clinics</t>
  </si>
  <si>
    <t>5 This sub-total must agree with the total on SA22, but excluding councillor and board member items</t>
  </si>
  <si>
    <t>2. Only include if services provided by the municipality</t>
  </si>
  <si>
    <t>1. Consumer debtors &gt; 12 months old are excluded from current assets</t>
  </si>
  <si>
    <t>Water Distribution Losses (2)</t>
  </si>
  <si>
    <t>2006/07</t>
  </si>
  <si>
    <t>Refuse</t>
  </si>
  <si>
    <t>Rand/cent</t>
  </si>
  <si>
    <t>Below Minimum Service Level sub-total</t>
  </si>
  <si>
    <t>2. Insert description of each entity or external mechanism (an external mechanism may be provided with resources to ensure a minimum level of service)</t>
  </si>
  <si>
    <t>CASH FLOWS FROM FINANCING ACTIVITIES</t>
  </si>
  <si>
    <t>Bank overdraft</t>
  </si>
  <si>
    <t>Head39</t>
  </si>
  <si>
    <t>Monthly actual</t>
  </si>
  <si>
    <t>Head40</t>
  </si>
  <si>
    <t>Head41</t>
  </si>
  <si>
    <t>Head42</t>
  </si>
  <si>
    <t>Sub Total - Other Staff of Entities</t>
  </si>
  <si>
    <t>Senior Managers of the Municipality</t>
  </si>
  <si>
    <t>Basic Salaries and Wages</t>
  </si>
  <si>
    <t>Chief Whip</t>
  </si>
  <si>
    <t>Depart6</t>
  </si>
  <si>
    <t>Depart7</t>
  </si>
  <si>
    <t>Depart8</t>
  </si>
  <si>
    <t>Depart9</t>
  </si>
  <si>
    <t>Depart10</t>
  </si>
  <si>
    <t>Depart11</t>
  </si>
  <si>
    <t>Depart12</t>
  </si>
  <si>
    <t>Depart13</t>
  </si>
  <si>
    <t>Water (6 kilolitres per household per month)</t>
  </si>
  <si>
    <t>Electricity/other energy (50kwh per household per month)</t>
  </si>
  <si>
    <t>DEP10</t>
  </si>
  <si>
    <t>DEP11</t>
  </si>
  <si>
    <t>DEP12</t>
  </si>
  <si>
    <t>DEP13</t>
  </si>
  <si>
    <t>DEP14</t>
  </si>
  <si>
    <t>18(1)a,(2)</t>
  </si>
  <si>
    <t>18(1)c;19</t>
  </si>
  <si>
    <t>18(1)b</t>
  </si>
  <si>
    <t>18(1)</t>
  </si>
  <si>
    <t>20(1)(vi)</t>
  </si>
  <si>
    <t>Alternative for municipalities without entities</t>
  </si>
  <si>
    <t>Capital single-year expenditure sub-total</t>
  </si>
  <si>
    <t>Sub Total - Board Members of Entities</t>
  </si>
  <si>
    <t>Total number of households</t>
  </si>
  <si>
    <t>Sanitation/sewerage:</t>
  </si>
  <si>
    <t>Flush toilet (connected to sewerage)</t>
  </si>
  <si>
    <t>Flush toilet (with septic tank)</t>
  </si>
  <si>
    <t>1. Insert description listed by municipal name and demarcation code of recipient</t>
  </si>
  <si>
    <t>Depreciation offsets</t>
  </si>
  <si>
    <t>B</t>
  </si>
  <si>
    <t>Chart 11</t>
  </si>
  <si>
    <t>Chart 12</t>
  </si>
  <si>
    <t>Chart 13</t>
  </si>
  <si>
    <t>Chart 14</t>
  </si>
  <si>
    <t>Total Operating Revenue Implication</t>
  </si>
  <si>
    <t>Retirement benefits</t>
  </si>
  <si>
    <t>Transfers recognised - capital</t>
  </si>
  <si>
    <t>Goal</t>
  </si>
  <si>
    <t>YTD actual</t>
  </si>
  <si>
    <t>1. Total capital expenditure must reconcile to Budgeted Capital Expenditure</t>
  </si>
  <si>
    <t>3. Only include prior year comparative information for individual measures where relevant activity occurred in that year/s</t>
  </si>
  <si>
    <t>2. Only include prior year comparative information for individual measures where relevant activity occurred in that year/s</t>
  </si>
  <si>
    <t>Sch/Tab/Ch</t>
  </si>
  <si>
    <t>Chart x-ref</t>
  </si>
  <si>
    <t>Charts</t>
  </si>
  <si>
    <t>Head49</t>
  </si>
  <si>
    <t>Head50</t>
  </si>
  <si>
    <t>Total Outstanding Debtors to Annual Revenue</t>
  </si>
  <si>
    <t>Project name</t>
  </si>
  <si>
    <t>Project number</t>
  </si>
  <si>
    <t>Prior year outcomes</t>
  </si>
  <si>
    <t>Total Borrowing</t>
  </si>
  <si>
    <t>4. Housing subsidies for housing where ownership transferred to organisations or persons outside the control of the municipality</t>
  </si>
  <si>
    <t>Financial Performance</t>
  </si>
  <si>
    <t>Revenue by Vote</t>
  </si>
  <si>
    <t>Budget Year +1 2010/11</t>
  </si>
  <si>
    <t>Budget Year +2 2011/12</t>
  </si>
  <si>
    <t>Forecast 2023/24</t>
  </si>
  <si>
    <t>Annual target 2009/10</t>
  </si>
  <si>
    <t>Revised target 2009/10</t>
  </si>
  <si>
    <t>Adjustments Budget</t>
  </si>
  <si>
    <t>Supportinging Tables to the Budget Approval Tables</t>
  </si>
  <si>
    <t>Supporting Table SA1</t>
  </si>
  <si>
    <t xml:space="preserve">Supporting Table SA2 </t>
  </si>
  <si>
    <t xml:space="preserve">Supporting Table SA3 </t>
  </si>
  <si>
    <t xml:space="preserve">Supporting Table SA4 </t>
  </si>
  <si>
    <t>2. Include all Basic Services performance targets from 'Basic Service Delivery' to ensure Table SA7 represents all strategic responsibilities</t>
  </si>
  <si>
    <t>Vote 1 - vote name</t>
  </si>
  <si>
    <t>Function 1 - (name)</t>
  </si>
  <si>
    <t>Sub-function 1 - (name)</t>
  </si>
  <si>
    <t>Function 2 - (name)</t>
  </si>
  <si>
    <t>Sub-function 2 - (name)</t>
  </si>
  <si>
    <t>Sub-function 3 - (name)</t>
  </si>
  <si>
    <t>Vote 2 - vote name</t>
  </si>
  <si>
    <t>Vote 3 - vote name</t>
  </si>
  <si>
    <t>And so on for the rest of the Votes</t>
  </si>
  <si>
    <t>Entity 1 - (name of entity)</t>
  </si>
  <si>
    <t>Entity 2 - (name of entity)</t>
  </si>
  <si>
    <t>Entity 3 - (name of entity)</t>
  </si>
  <si>
    <t>And so on for the rest of the Entities</t>
  </si>
  <si>
    <t>3. Insert description of each Organ of State (e.g. transfer to electricity provider to compensate for FBS provided)</t>
  </si>
  <si>
    <t>Current assets less debtors &gt; 90 days/current liabilities</t>
  </si>
  <si>
    <t>Last 12 Mths Receipts/Last 12 Mths Billing</t>
  </si>
  <si>
    <t>Cash + investments at the yr end less applications - R'000</t>
  </si>
  <si>
    <t>2. Deduct cash and investment applications (defined) from cash balances</t>
  </si>
  <si>
    <t>No. of sectional title property values</t>
  </si>
  <si>
    <t>Supplementary valuation (Rm)</t>
  </si>
  <si>
    <t>Estimated no. of properties not valued</t>
  </si>
  <si>
    <t>Municipality owned property value (Rm)</t>
  </si>
  <si>
    <r>
      <t xml:space="preserve">2. Amounts actually </t>
    </r>
    <r>
      <rPr>
        <u/>
        <sz val="8"/>
        <rFont val="Arial"/>
        <family val="2"/>
      </rPr>
      <t>RECEIVED</t>
    </r>
    <r>
      <rPr>
        <sz val="8"/>
        <rFont val="Arial"/>
        <family val="2"/>
      </rPr>
      <t>; not revenue recognised (objective is to confirm grants transferred)</t>
    </r>
  </si>
  <si>
    <t>1. Expenditure must be separately listed for each transfer or grant received or recognised</t>
  </si>
  <si>
    <t>Chemical toilet</t>
  </si>
  <si>
    <t>Other (list)</t>
  </si>
  <si>
    <t>No toilet provisions</t>
  </si>
  <si>
    <t>Water (kilolitres per household per month)</t>
  </si>
  <si>
    <t>Sanitation (kilolitres per household per month)</t>
  </si>
  <si>
    <t>August</t>
  </si>
  <si>
    <t>Sept.</t>
  </si>
  <si>
    <t>October</t>
  </si>
  <si>
    <t>Board Members of municipal entities</t>
  </si>
  <si>
    <t>Municipal employees</t>
  </si>
  <si>
    <t>Municipal Manager and Senior Managers</t>
  </si>
  <si>
    <t>Professionals</t>
  </si>
  <si>
    <t>Spatial/town planning</t>
  </si>
  <si>
    <t>Technicians</t>
  </si>
  <si>
    <t>Clerks (Clerical and administrative)</t>
  </si>
  <si>
    <t>Service and sales workers</t>
  </si>
  <si>
    <t>Craft and related trades</t>
  </si>
  <si>
    <t>Plant and Machine Operators</t>
  </si>
  <si>
    <t>Elementary Occupations</t>
  </si>
  <si>
    <t>Total municipal employees headcount</t>
  </si>
  <si>
    <t>Finance personnel headcount</t>
  </si>
  <si>
    <t>Human Resources personnel headcount</t>
  </si>
  <si>
    <t>Total Capital Expenditure Implication</t>
  </si>
  <si>
    <t>CAPITAL EXPENDITURE</t>
  </si>
  <si>
    <t>TOTAL CAPITAL EXPENDITURE - Asset class</t>
  </si>
  <si>
    <t>EXPENDITURE OTHER ITEMS</t>
  </si>
  <si>
    <t>TOTAL EXPENDITURE OTHER ITEMS</t>
  </si>
  <si>
    <t>Renewal of Existing Assets as % of deprecn"</t>
  </si>
  <si>
    <t>ASSET REGISTER SUMMARY - PPE (WDV)</t>
  </si>
  <si>
    <t>TOTAL ASSET REGISTER SUMMARY - PPE (WDV)</t>
  </si>
  <si>
    <t>TOTAL TRANSFERS AND GRANTS - CTBM</t>
  </si>
  <si>
    <t>TOTAL MANAGERS AND STAFF</t>
  </si>
  <si>
    <t>2. List all contracts with future financial obligations beyond the three years covered by the MTREF (MFMA s33)</t>
  </si>
  <si>
    <t>Long term receivables % change - incr(decr)</t>
  </si>
  <si>
    <t>Debtors &gt; 90 days</t>
  </si>
  <si>
    <t>N.A.</t>
  </si>
  <si>
    <t>Finance charges &amp; Depreciation</t>
  </si>
  <si>
    <t>Interest &amp; Principal Paid /Operating Expenditure</t>
  </si>
  <si>
    <t>Current Ratio adjusted for aged debtors</t>
  </si>
  <si>
    <t>Monthly fixed operational expenditure</t>
  </si>
  <si>
    <t>Fixed operational expenditure % assumption</t>
  </si>
  <si>
    <t>Current assets/current liabilities</t>
  </si>
  <si>
    <t>8. Include any capitalised interest (MFMA section 46) as part of relevant capital budget</t>
  </si>
  <si>
    <t>1. Detail to be provided in Table SA3</t>
  </si>
  <si>
    <t>Residential rate used to determine rate for other categories? (Y/N)</t>
  </si>
  <si>
    <t>Total value used for rating (Rm)</t>
  </si>
  <si>
    <t>Total land value (Rm)</t>
  </si>
  <si>
    <t>Total value of improvements (Rm)</t>
  </si>
  <si>
    <t>Total market value (Rm)</t>
  </si>
  <si>
    <t>Rate revenue budget (R '000)</t>
  </si>
  <si>
    <t>Rate revenue expected to collect (R'000)</t>
  </si>
  <si>
    <t xml:space="preserve">State-owned </t>
  </si>
  <si>
    <t>Public service infra.</t>
  </si>
  <si>
    <t>Capital asset impairment</t>
  </si>
  <si>
    <t>Debt impairment</t>
  </si>
  <si>
    <t>Total contracted services</t>
  </si>
  <si>
    <t xml:space="preserve">(Pty) Ltd Example 1 - Municipal entity - </t>
  </si>
  <si>
    <t xml:space="preserve">(Pty) Ltd Example 2 - Municipal entity - </t>
  </si>
  <si>
    <t>Municipal Entity Example 3</t>
  </si>
  <si>
    <t>Expenditure includes repairs &amp; maintenance of R'000</t>
  </si>
  <si>
    <t>RandM</t>
  </si>
  <si>
    <t>Depart1</t>
  </si>
  <si>
    <t>Depart2</t>
  </si>
  <si>
    <t>Depart3</t>
  </si>
  <si>
    <t>Depart4</t>
  </si>
  <si>
    <t>Depart5</t>
  </si>
  <si>
    <t>Suppliers and employees</t>
  </si>
  <si>
    <t>Capital assets</t>
  </si>
  <si>
    <t>1. Must reconcile with Budgeted Cash Flows</t>
  </si>
  <si>
    <t>3. Summarise the future revenue from when projects are operational, including municipal tax and tariff implications, (present value until the end of asset's useful life)</t>
  </si>
  <si>
    <t>List entity summary if applicable</t>
  </si>
  <si>
    <t>Parent municipality:</t>
  </si>
  <si>
    <t>List all capital projects grouped by Entity</t>
  </si>
  <si>
    <t>Entity A</t>
  </si>
  <si>
    <t>Water project A</t>
  </si>
  <si>
    <t>Entity B</t>
  </si>
  <si>
    <t>Electricity project B</t>
  </si>
  <si>
    <t>Depreciation &amp; asset impairment</t>
  </si>
  <si>
    <t>Head55</t>
  </si>
  <si>
    <t>Phase-in reductions/discounts (R'000)</t>
  </si>
  <si>
    <t>Special rating areas (R'000)</t>
  </si>
  <si>
    <t>DoRA operating grants total MFY</t>
  </si>
  <si>
    <t>DoRA capital grants total MFY</t>
  </si>
  <si>
    <t>Provincial operating grants</t>
  </si>
  <si>
    <t>Provincial capital grants</t>
  </si>
  <si>
    <t>Revaluation</t>
  </si>
  <si>
    <t>Capital replacement</t>
  </si>
  <si>
    <t>Self-insurance</t>
  </si>
  <si>
    <t>Agency services</t>
  </si>
  <si>
    <t>Contributions to 'other' provisions</t>
  </si>
  <si>
    <t>Capital expenditure</t>
  </si>
  <si>
    <t>Variance explanation</t>
  </si>
  <si>
    <t>Consumer deposits</t>
  </si>
  <si>
    <t>VAT</t>
  </si>
  <si>
    <t>Current portion of long-term liabilities</t>
  </si>
  <si>
    <t>Property, plant and equipment</t>
  </si>
  <si>
    <t>Investment property</t>
  </si>
  <si>
    <t>Long-term receivables</t>
  </si>
  <si>
    <t>Inventory</t>
  </si>
  <si>
    <t>Consumer debtors</t>
  </si>
  <si>
    <t>Other debtors</t>
  </si>
  <si>
    <t>Call investment deposits</t>
  </si>
  <si>
    <t>check</t>
  </si>
  <si>
    <t>Civic Land and Buildings</t>
  </si>
  <si>
    <t>Buses</t>
  </si>
  <si>
    <t>Ent1</t>
  </si>
  <si>
    <t>Other materials</t>
  </si>
  <si>
    <t>Dividends received</t>
  </si>
  <si>
    <t>Proceeds on disposal of PPE</t>
  </si>
  <si>
    <t>1, 2</t>
  </si>
  <si>
    <t>Head46</t>
  </si>
  <si>
    <t xml:space="preserve"> - Adjustments Budget - January 2007</t>
  </si>
  <si>
    <t>Other benefits and allowances</t>
  </si>
  <si>
    <t>Supplementary valuation</t>
  </si>
  <si>
    <t>Valuation reductions:</t>
  </si>
  <si>
    <t>Total valuation reductions:</t>
  </si>
  <si>
    <t>Rating:</t>
  </si>
  <si>
    <t>Muni props.</t>
  </si>
  <si>
    <t>Section 8(2)(n) (note 1)</t>
  </si>
  <si>
    <t>Public benefit organs.</t>
  </si>
  <si>
    <t>Mining Props.</t>
  </si>
  <si>
    <t>9. Reflect the cost to the municipality in terms of 'revenue foregone' of providing free services (note this will not equal 'Revenue Foregone' on SA1)</t>
  </si>
  <si>
    <t>Forecast 2019/20</t>
  </si>
  <si>
    <t>Forecast 2018/19</t>
  </si>
  <si>
    <t>E</t>
  </si>
  <si>
    <t>F</t>
  </si>
  <si>
    <t>G</t>
  </si>
  <si>
    <t>National Government</t>
  </si>
  <si>
    <t>(Available cash + Investments)/monthly fixed operational expenditure</t>
  </si>
  <si>
    <t>Total Parent Municipality</t>
  </si>
  <si>
    <t>Total Municipal Entities</t>
  </si>
  <si>
    <t>Finance charges</t>
  </si>
  <si>
    <t>Other revenue</t>
  </si>
  <si>
    <t>Electricity: Basic levy</t>
  </si>
  <si>
    <t>Electricity: Consumption</t>
  </si>
  <si>
    <t>Water: Basic levy</t>
  </si>
  <si>
    <t>Other current investments  &gt; 90 days</t>
  </si>
  <si>
    <t>Total refuse removal revenue</t>
  </si>
  <si>
    <t>Total landfill revenue</t>
  </si>
  <si>
    <t>NET INCREASE/ (DECREASE) IN CASH HELD</t>
  </si>
  <si>
    <t>Securities - National Government</t>
  </si>
  <si>
    <t>Listed Corporate Bonds</t>
  </si>
  <si>
    <t>Deposits - Public Investment Commissioners</t>
  </si>
  <si>
    <t>Deposits - Bank</t>
  </si>
  <si>
    <t>Deposits - Corporation for Public Deposits</t>
  </si>
  <si>
    <t>Bankers Acceptance Certificates</t>
  </si>
  <si>
    <t>Negotiable Certificates of Deposit - Banks</t>
  </si>
  <si>
    <t>Guaranteed Endowment Policies (sinking)</t>
  </si>
  <si>
    <t>Repurchase Agreements - Banks</t>
  </si>
  <si>
    <t>Municipal Bonds</t>
  </si>
  <si>
    <t>Yrs/Months</t>
  </si>
  <si>
    <t>1. All numbers to be expressed as whole numbers except FTEs and Rates in the Rand</t>
  </si>
  <si>
    <t>Expected cash collection rate (%)</t>
  </si>
  <si>
    <t>2. To give effect to rates policy</t>
  </si>
  <si>
    <t>3. Full Time Equivalent (FTE)  should be expressed to one decimal place and takes into account full time and part time staff</t>
  </si>
  <si>
    <t>4. Required to implement new system (FTE)</t>
  </si>
  <si>
    <t>No. of additional valuers (FTE)</t>
  </si>
  <si>
    <t>Service charge rev % change - macro CPIX target exclusive</t>
  </si>
  <si>
    <t>Depreciation of Property, Plant &amp; Equipment</t>
  </si>
  <si>
    <t>Sportsfields &amp; stadia</t>
  </si>
  <si>
    <t>Fire, safety &amp; emergency</t>
  </si>
  <si>
    <t>Grants:</t>
  </si>
  <si>
    <t>National - opex</t>
  </si>
  <si>
    <t>National - capex</t>
  </si>
  <si>
    <t>Provincial - opex</t>
  </si>
  <si>
    <t>6. Insert actual or estimated % increases assumed as a basis for budget calculations</t>
  </si>
  <si>
    <t>7. Insert actual or estimated % collection rate assumed as a basis for budget calculations for each revenue group</t>
  </si>
  <si>
    <t>List capital grants</t>
  </si>
  <si>
    <t>8. In favour of the rate-payer</t>
  </si>
  <si>
    <t>5. In favour of the rate-payer</t>
  </si>
  <si>
    <t>5. Provide relevant information for historical comparisons. Must reconcile to the total of Table SA12</t>
  </si>
  <si>
    <t>6. Provide relevant information for historical comparisons.</t>
  </si>
  <si>
    <t>1. Surplus (Deficit) must reconcile with Budgeted Financial Performance</t>
  </si>
  <si>
    <t>1. Surplus (Deficit) must reconcile with Budeted Financial Performance</t>
  </si>
  <si>
    <t>Property rates - penalties &amp; collection charges</t>
  </si>
  <si>
    <t>Service charges</t>
  </si>
  <si>
    <t>Rental of facilities and equipment</t>
  </si>
  <si>
    <t>Cash Receipts by Source</t>
  </si>
  <si>
    <t>Cash Payments by Type</t>
  </si>
  <si>
    <t>Revenue Obligation By Contract</t>
  </si>
  <si>
    <t>Head2</t>
  </si>
  <si>
    <t>Head3</t>
  </si>
  <si>
    <t>Head4</t>
  </si>
  <si>
    <t>Head5</t>
  </si>
  <si>
    <t>Head6</t>
  </si>
  <si>
    <t>Head7</t>
  </si>
  <si>
    <t>Head8</t>
  </si>
  <si>
    <t>Head9</t>
  </si>
  <si>
    <t>Head10</t>
  </si>
  <si>
    <t>Forecast 2021/22</t>
  </si>
  <si>
    <t>Budget Year 2007/08</t>
  </si>
  <si>
    <t>Budget Year +1 2008/09</t>
  </si>
  <si>
    <t>Budget Year +2 2009/10</t>
  </si>
  <si>
    <t>Head11</t>
  </si>
  <si>
    <t>Other capital transfers/grants [insert description]</t>
  </si>
  <si>
    <t>Head12</t>
  </si>
  <si>
    <t>Head13</t>
  </si>
  <si>
    <t>Head14</t>
  </si>
  <si>
    <t>Head15</t>
  </si>
  <si>
    <t>Head16</t>
  </si>
  <si>
    <t>Head17</t>
  </si>
  <si>
    <t>Head18</t>
  </si>
  <si>
    <t>Head19</t>
  </si>
  <si>
    <t>Head20</t>
  </si>
  <si>
    <t>Head21</t>
  </si>
  <si>
    <t>Head22</t>
  </si>
  <si>
    <t>Head23</t>
  </si>
  <si>
    <t>Summary of Employee and Councillor remuneration</t>
  </si>
  <si>
    <t>IDP regulation financial viability indicators</t>
  </si>
  <si>
    <t>i. Debt coverage</t>
  </si>
  <si>
    <t>ii.O/S Service Debtors to Revenue</t>
  </si>
  <si>
    <t>iii. Cost coverage</t>
  </si>
  <si>
    <t>Expenditure By Type</t>
  </si>
  <si>
    <t>Total Expenditure</t>
  </si>
  <si>
    <t>Piped water inside dwelling</t>
  </si>
  <si>
    <t>Previous target year to complete</t>
  </si>
  <si>
    <t>Libraries and Archives</t>
  </si>
  <si>
    <t>Aged Care</t>
  </si>
  <si>
    <t>Police</t>
  </si>
  <si>
    <t>1. Include 'Loans and advances' where applicable if any reportable amounts until phased compliance with s164 of MFMA achieved</t>
  </si>
  <si>
    <t>4. B/A, C/B, D/C, E/C, F/C, G/D, H/D, I/D</t>
  </si>
  <si>
    <t>Employee costs/(Total Revenue - capital revenue)</t>
  </si>
  <si>
    <t>Supporting Table SA34a</t>
  </si>
  <si>
    <t>Supporting Table SA34b</t>
  </si>
  <si>
    <t>Supporting Table SA34c</t>
  </si>
  <si>
    <t>Payments in lieu of leave</t>
  </si>
  <si>
    <t>Post-retirement benefit obligations</t>
  </si>
  <si>
    <t>PPE at cost/valuation (excl. finance leases)</t>
  </si>
  <si>
    <t>Entity 1</t>
  </si>
  <si>
    <t>Head56</t>
  </si>
  <si>
    <t>Total Adjusts.</t>
  </si>
  <si>
    <r>
      <t xml:space="preserve">Years since last valuation </t>
    </r>
    <r>
      <rPr>
        <b/>
        <sz val="8"/>
        <rFont val="Arial Narrow"/>
        <family val="2"/>
      </rPr>
      <t>(select)</t>
    </r>
  </si>
  <si>
    <r>
      <t xml:space="preserve">Frequency of valuation </t>
    </r>
    <r>
      <rPr>
        <b/>
        <sz val="8"/>
        <rFont val="Arial Narrow"/>
        <family val="2"/>
      </rPr>
      <t>(select)</t>
    </r>
  </si>
  <si>
    <r>
      <t xml:space="preserve">Method of valuation used </t>
    </r>
    <r>
      <rPr>
        <b/>
        <sz val="8"/>
        <rFont val="Arial Narrow"/>
        <family val="2"/>
      </rPr>
      <t>(select)</t>
    </r>
  </si>
  <si>
    <r>
      <t xml:space="preserve">Base of valuation </t>
    </r>
    <r>
      <rPr>
        <b/>
        <sz val="8"/>
        <rFont val="Arial Narrow"/>
        <family val="2"/>
      </rPr>
      <t>(select)</t>
    </r>
  </si>
  <si>
    <t>Variable</t>
  </si>
  <si>
    <t>Yrs/ Mths</t>
  </si>
  <si>
    <t>Number</t>
  </si>
  <si>
    <t>Yrs</t>
  </si>
  <si>
    <t>Mths</t>
  </si>
  <si>
    <t>1. Departmental columns to be based on municipal organisation structure</t>
  </si>
  <si>
    <t>6. Include a note for each revenue item that is affected by 'revenue foregone'</t>
  </si>
  <si>
    <t>Other non-current assets</t>
  </si>
  <si>
    <t>GRAP adjustments</t>
  </si>
  <si>
    <t>Other adjustments</t>
  </si>
  <si>
    <t>Restated balance</t>
  </si>
  <si>
    <t>Year1</t>
  </si>
  <si>
    <t>Year2</t>
  </si>
  <si>
    <t>Year3</t>
  </si>
  <si>
    <t>Year4</t>
  </si>
  <si>
    <t>Year5</t>
  </si>
  <si>
    <t>Year6</t>
  </si>
  <si>
    <t>Year7</t>
  </si>
  <si>
    <t>Year8</t>
  </si>
  <si>
    <t>Year9</t>
  </si>
  <si>
    <t>Forecast 2010/11</t>
  </si>
  <si>
    <t>Forecast 2011/12</t>
  </si>
  <si>
    <t>Forecast 2012/13</t>
  </si>
  <si>
    <t>Forecast 2013/14</t>
  </si>
  <si>
    <t>Housing</t>
  </si>
  <si>
    <t>Surplus/(Deficit)</t>
  </si>
  <si>
    <t>Longstanding Debtors Recovered</t>
  </si>
  <si>
    <t>(Total Operating Revenue - Operating Grants)/Debt service payments due within financial year)</t>
  </si>
  <si>
    <t>Funding measures</t>
  </si>
  <si>
    <t>4. Insert description of each other organisation (e.g. charity)</t>
  </si>
  <si>
    <t>A, B and C. Audited actual as per the audited financial statements. If audited amounts are unavailable, unaudited amounts must be provided with a note stating these are unaudited</t>
  </si>
  <si>
    <t>Head29</t>
  </si>
  <si>
    <t>Head30</t>
  </si>
  <si>
    <t>Head31</t>
  </si>
  <si>
    <t>Head32</t>
  </si>
  <si>
    <t>Head33</t>
  </si>
  <si>
    <t>Head34</t>
  </si>
  <si>
    <t>Annual target 2007/08</t>
  </si>
  <si>
    <t>Revised target 2007/08</t>
  </si>
  <si>
    <t>Depart14</t>
  </si>
  <si>
    <t>DEP1</t>
  </si>
  <si>
    <t>DEP2</t>
  </si>
  <si>
    <t>DEP3</t>
  </si>
  <si>
    <t>DEP4</t>
  </si>
  <si>
    <t>DEP5</t>
  </si>
  <si>
    <t>DEP6</t>
  </si>
  <si>
    <t>DEP7</t>
  </si>
  <si>
    <t>DEP8</t>
  </si>
  <si>
    <t>DEP9</t>
  </si>
  <si>
    <t>DC13 Chris Hani</t>
  </si>
  <si>
    <t>e-mail Address</t>
  </si>
  <si>
    <t>DC15 O .R. Tambo</t>
  </si>
  <si>
    <t>DC16 Xhariep</t>
  </si>
  <si>
    <t>FS FREE STATE</t>
  </si>
  <si>
    <t>B. CONTACT INFORMATION</t>
  </si>
  <si>
    <t>Postal address:</t>
  </si>
  <si>
    <t>DC18 Lejweleputswa</t>
  </si>
  <si>
    <t>P.O. Box</t>
  </si>
  <si>
    <t>DC19 Thabo Mofutsanyana</t>
  </si>
  <si>
    <t>City / Town</t>
  </si>
  <si>
    <t>Postal Code</t>
  </si>
  <si>
    <t>DC20 Fezile Dabi</t>
  </si>
  <si>
    <t>DC12 Amathole</t>
  </si>
  <si>
    <t>DC39 Dr Ruth Segomotsi Mompati</t>
  </si>
  <si>
    <t>DC40 Dr Kenneth Kaunda</t>
  </si>
  <si>
    <t>EC153 Ngquza Hills</t>
  </si>
  <si>
    <t>EC441 Matatiele</t>
  </si>
  <si>
    <t>EC442 Umzimvubu</t>
  </si>
  <si>
    <t>FS194 Maluti-a-Phofung</t>
  </si>
  <si>
    <t>KZN212 Umdoni</t>
  </si>
  <si>
    <t>KZN213 Umzumbe</t>
  </si>
  <si>
    <t>KZN214 uMuziwabantu</t>
  </si>
  <si>
    <t>KZN221 uMshwathi</t>
  </si>
  <si>
    <t>KZN222 uMngeni</t>
  </si>
  <si>
    <t>KZN223 Mpofana</t>
  </si>
  <si>
    <t>KZN224 Impendle</t>
  </si>
  <si>
    <t>KZN225 Msunduzi</t>
  </si>
  <si>
    <t>KZN226 Mkhambathini</t>
  </si>
  <si>
    <t>KZN227 Richmond</t>
  </si>
  <si>
    <t>KZN235 Okhahlamba</t>
  </si>
  <si>
    <t>KZN241 Endumeni</t>
  </si>
  <si>
    <t>KZN242 Nquthu</t>
  </si>
  <si>
    <t>KZN244 Msinga</t>
  </si>
  <si>
    <t>KZN245 Umvoti</t>
  </si>
  <si>
    <t>KZN252 Newcastle</t>
  </si>
  <si>
    <t>KZN254 Dannhauser</t>
  </si>
  <si>
    <t>KZN261 eDumbe</t>
  </si>
  <si>
    <t>KZN262 uPhongolo</t>
  </si>
  <si>
    <t>Health</t>
  </si>
  <si>
    <t>11. Indicative of realistic current arrear debtor collection targets (prior to 2003/04 revenue not available for high capacity municipalities and later for other capacity classifications)</t>
  </si>
  <si>
    <t>Ratepayer &amp; Other revenue</t>
  </si>
  <si>
    <t>Medium Term Revenue and Expenditure Framework</t>
  </si>
  <si>
    <t>Adjusted Budget</t>
  </si>
  <si>
    <t>Full Year Forecast</t>
  </si>
  <si>
    <t>Service charges - electricity revenue</t>
  </si>
  <si>
    <t>Service charges - water revenue</t>
  </si>
  <si>
    <t>MTREF:</t>
  </si>
  <si>
    <t>Consolidated Information</t>
  </si>
  <si>
    <t>MTREF Linked:</t>
  </si>
  <si>
    <t>Fin Year:</t>
  </si>
  <si>
    <t>Sub Total - Other Municipal Staff</t>
  </si>
  <si>
    <t>Capital expenditure - Municipal Vote</t>
  </si>
  <si>
    <t xml:space="preserve">Department 14 - </t>
  </si>
  <si>
    <t>Capital payments % of capital expenditure</t>
  </si>
  <si>
    <t>2.</t>
  </si>
  <si>
    <t>Household/demographics (000)</t>
  </si>
  <si>
    <t>Number of people in municipal area</t>
  </si>
  <si>
    <t>Number of poor people in municipal area</t>
  </si>
  <si>
    <t>Number of households in municipal area</t>
  </si>
  <si>
    <t>Number of poor households in municipal area</t>
  </si>
  <si>
    <t>3. Include 'Construction-work-in-progress' (disclosed separately in annual financial statements)</t>
  </si>
  <si>
    <t>Finance</t>
  </si>
  <si>
    <t xml:space="preserve">Table A1 </t>
  </si>
  <si>
    <t xml:space="preserve">Table A2 </t>
  </si>
  <si>
    <t xml:space="preserve">Table A3 </t>
  </si>
  <si>
    <t xml:space="preserve">Table A4 </t>
  </si>
  <si>
    <t xml:space="preserve">Table A5 </t>
  </si>
  <si>
    <t xml:space="preserve">Table A6 </t>
  </si>
  <si>
    <t xml:space="preserve">Table A7 </t>
  </si>
  <si>
    <t xml:space="preserve">Table A8 </t>
  </si>
  <si>
    <t xml:space="preserve">Table A9 </t>
  </si>
  <si>
    <t xml:space="preserve">Table A10 </t>
  </si>
  <si>
    <t xml:space="preserve">Chart A1 </t>
  </si>
  <si>
    <t xml:space="preserve">Chart A2 </t>
  </si>
  <si>
    <t xml:space="preserve">Chart A3 </t>
  </si>
  <si>
    <t xml:space="preserve">Chart A4 </t>
  </si>
  <si>
    <t xml:space="preserve">Chart A5 </t>
  </si>
  <si>
    <t xml:space="preserve">Chart A6 </t>
  </si>
  <si>
    <t xml:space="preserve">Chart A7 </t>
  </si>
  <si>
    <t xml:space="preserve">Chart A8 </t>
  </si>
  <si>
    <t xml:space="preserve">Chart A9 </t>
  </si>
  <si>
    <t xml:space="preserve">Chart A10 </t>
  </si>
  <si>
    <t xml:space="preserve">Chart A11 </t>
  </si>
  <si>
    <t xml:space="preserve">Chart A12 </t>
  </si>
  <si>
    <t xml:space="preserve">Chart A13 </t>
  </si>
  <si>
    <t xml:space="preserve">Chart A14 </t>
  </si>
  <si>
    <t xml:space="preserve">Chart A15 </t>
  </si>
  <si>
    <t xml:space="preserve">Chart A16 </t>
  </si>
  <si>
    <t xml:space="preserve">Chart A17 </t>
  </si>
  <si>
    <t xml:space="preserve">Chart A18 </t>
  </si>
  <si>
    <t xml:space="preserve">Chart A19 </t>
  </si>
  <si>
    <t xml:space="preserve">Chart A20 </t>
  </si>
  <si>
    <t xml:space="preserve">Chart A21 </t>
  </si>
  <si>
    <t xml:space="preserve">Chart A22 </t>
  </si>
  <si>
    <t xml:space="preserve">Chart A23 </t>
  </si>
  <si>
    <t>Piped water inside yard (but not in dwelling)</t>
  </si>
  <si>
    <t>Water:</t>
  </si>
  <si>
    <t>Total Operating Revenue</t>
  </si>
  <si>
    <t>Total Operating Expenditure</t>
  </si>
  <si>
    <t>Operating Performance Surplus/(Deficit)</t>
  </si>
  <si>
    <t>Revenue</t>
  </si>
  <si>
    <t>% Increase in Total Operating Revenue</t>
  </si>
  <si>
    <t>% Increase in Property Rates Revenue</t>
  </si>
  <si>
    <t>% Increase in Electricity Revenue</t>
  </si>
  <si>
    <t>% Increase in Property Rates &amp; Services Charges</t>
  </si>
  <si>
    <t>Expenditure</t>
  </si>
  <si>
    <t>% Increase in Total Operating Expenditure</t>
  </si>
  <si>
    <t>% Increase in Employee Costs</t>
  </si>
  <si>
    <t>% Increase in Electricity Bulk Purchases</t>
  </si>
  <si>
    <t>Average Cost Per Councillor (Remuneration)</t>
  </si>
  <si>
    <t>R&amp;M % of PPE</t>
  </si>
  <si>
    <t>Asset Renewal and R&amp;M as a % of PPE</t>
  </si>
  <si>
    <t>Capital Revenue</t>
  </si>
  <si>
    <t>Internally Funded &amp; Other (R'000)</t>
  </si>
  <si>
    <t>Borrowing (R'000)</t>
  </si>
  <si>
    <t>Grant Funding and Other (R'000)</t>
  </si>
  <si>
    <t>Internally Generated funds % of Non Grant Funding</t>
  </si>
  <si>
    <t>Borrowing % of Non Grant Funding</t>
  </si>
  <si>
    <t>Grant Funding % of Total Funding</t>
  </si>
  <si>
    <t>Capital Expenditure</t>
  </si>
  <si>
    <t>Total Capital Programme (R'000)</t>
  </si>
  <si>
    <t>Asset Renewal</t>
  </si>
  <si>
    <t>Asset Renewal % of Total Capital Expenditure</t>
  </si>
  <si>
    <t>Cash Receipts % of Rate Payer &amp; Other</t>
  </si>
  <si>
    <t>Cash Coverage Ratio</t>
  </si>
  <si>
    <t>Credit Rating (2009/10)</t>
  </si>
  <si>
    <t>Capital Charges to Operating</t>
  </si>
  <si>
    <t>Borrowing Receipts % of Capital Expenditure</t>
  </si>
  <si>
    <t>Free Services</t>
  </si>
  <si>
    <t>Free Basic Services as a % of Equitable Share</t>
  </si>
  <si>
    <t>Free Services as a % of Operating Revenue 
(excl operational transfers)</t>
  </si>
  <si>
    <t>DC14 Joe Gqabi</t>
  </si>
  <si>
    <t>KZN KWAZULU-NATAL</t>
  </si>
  <si>
    <t>DC45 John Taolo Gaetsewe</t>
  </si>
  <si>
    <t>EC109 Kou-Kamma</t>
  </si>
  <si>
    <t>GT484 Merafong City</t>
  </si>
  <si>
    <t>KZN281 Mfolozi</t>
  </si>
  <si>
    <t>KZN284 uMlalazi</t>
  </si>
  <si>
    <t>LIM471 Ephraim Mogale</t>
  </si>
  <si>
    <t>LIM473 Makhuduthamaga</t>
  </si>
  <si>
    <t>MP304 Pixley Ka Seme (MP)</t>
  </si>
  <si>
    <t>MP311 Victor Khanye</t>
  </si>
  <si>
    <t>NC451 Joe Morolong</t>
  </si>
  <si>
    <t>WC026 Langeberg</t>
  </si>
  <si>
    <t>Property rates (R value threshold)</t>
  </si>
  <si>
    <t xml:space="preserve">Water Services Operating Subsidy </t>
  </si>
  <si>
    <t>Energy Efficiency  and Demand Management</t>
  </si>
  <si>
    <t>Integrated National Electrification Programme</t>
  </si>
  <si>
    <t xml:space="preserve">Municipal Drought Relief </t>
  </si>
  <si>
    <t>2010 FIFA World Cup Operating</t>
  </si>
  <si>
    <t>Neighbourhood Development Partnership</t>
  </si>
  <si>
    <t>2010 FIFA World Cup Stadiums Development</t>
  </si>
  <si>
    <t>Rural Transport Services and Infrastructure</t>
  </si>
  <si>
    <t xml:space="preserve">Rural Households Infrastructure </t>
  </si>
  <si>
    <t>Regional Bulk Infrastructure</t>
  </si>
  <si>
    <t>Electricity Demand Side Management</t>
  </si>
  <si>
    <t>EPWP Incentive</t>
  </si>
  <si>
    <t>Agriculture</t>
  </si>
  <si>
    <t>Education</t>
  </si>
  <si>
    <t xml:space="preserve">Housing and Local Government </t>
  </si>
  <si>
    <t>Other Departments</t>
  </si>
  <si>
    <t xml:space="preserve">Public Works, Roads, Transport </t>
  </si>
  <si>
    <t>Sport and Recreation</t>
  </si>
  <si>
    <t xml:space="preserve"> Public Transport and Systems</t>
  </si>
  <si>
    <t xml:space="preserve"> Municipal Infrastructure Grant (MIG)</t>
  </si>
  <si>
    <t>Municipal Systems Improvement</t>
  </si>
  <si>
    <t xml:space="preserve">Finance Management </t>
  </si>
  <si>
    <t xml:space="preserve">RSC Levy Replacement </t>
  </si>
  <si>
    <t>Local Government Equitable Share</t>
  </si>
  <si>
    <t>Health subsidy</t>
  </si>
  <si>
    <t>Ambulance subsidy</t>
  </si>
  <si>
    <t>High Level Outcome of Funding Compliance</t>
  </si>
  <si>
    <t>Surplus/(Deficit) Budgeted Operating Statement</t>
  </si>
  <si>
    <t>MTREF Funded (1) / Unfunded (0)</t>
  </si>
  <si>
    <t>Surplus/(Deficit) Considering Reserves and Cash Backing</t>
  </si>
  <si>
    <t>Repairs and Maintenance 
by Expenditure Item</t>
  </si>
  <si>
    <t>Contracted Services</t>
  </si>
  <si>
    <t>Other Expenditure</t>
  </si>
  <si>
    <t>Cash and Cash Equivalents (30 June 2012)</t>
  </si>
  <si>
    <t/>
  </si>
  <si>
    <t>8. Repairs and Maintenance is not a GRAP item. However to facilitate transparency, municipalities must provide a breakdown of the amounts included in the relevant GRAP items that will be spent on Repairs and Maintenance.</t>
  </si>
  <si>
    <t>9. Must reconcile with Repairs and Maintenance by Asset Class (Total Repairs and Maintenance) on Table SA34c.</t>
  </si>
  <si>
    <r>
      <t xml:space="preserve">MTREF Funded </t>
    </r>
    <r>
      <rPr>
        <b/>
        <sz val="9"/>
        <color indexed="10"/>
        <rFont val="Wingdings"/>
        <charset val="2"/>
      </rPr>
      <t>ü</t>
    </r>
    <r>
      <rPr>
        <b/>
        <sz val="9"/>
        <color indexed="10"/>
        <rFont val="Arial Narrow"/>
        <family val="2"/>
      </rPr>
      <t xml:space="preserve"> / Unfunded </t>
    </r>
    <r>
      <rPr>
        <b/>
        <sz val="9"/>
        <color indexed="10"/>
        <rFont val="Wingdings"/>
        <charset val="2"/>
      </rPr>
      <t>û</t>
    </r>
  </si>
  <si>
    <t>1,2</t>
  </si>
  <si>
    <t>1. Positions must be funded and aligned to the municipality's current organisational structure</t>
  </si>
  <si>
    <t>2. Full Time Equivalent (FTE). E.g. One full time person = 1FTE. A person working half time (say 4 hours out of 8) = 0.5FTE.</t>
  </si>
  <si>
    <t>3. s57 of the Systems Act</t>
  </si>
  <si>
    <t>4. Include only in Consolidated Statements</t>
  </si>
  <si>
    <t>5. Include municipal entity employees in Consolidated Statements</t>
  </si>
  <si>
    <t>6.  Include headcount (number fo persons, Not FTE) of managers and staff only (exclude councillors)</t>
  </si>
  <si>
    <t>7. Managers who provide the direction of a critical technical function</t>
  </si>
  <si>
    <t>8. Total number of employees working on these functions</t>
  </si>
  <si>
    <t>Average Cost Per Budgeted Employee Position (Remuneration)</t>
  </si>
  <si>
    <t>Renewal of Existing Assets as % of total capex</t>
  </si>
  <si>
    <t>DC2 Cape Winelands DM</t>
  </si>
  <si>
    <t>DC47 Sekhukhune</t>
  </si>
  <si>
    <t>DC7 Pixley Ka Seme (Nc)</t>
  </si>
  <si>
    <t>EC443 Mbizana</t>
  </si>
  <si>
    <t>EC444 Ntabankulu</t>
  </si>
  <si>
    <t>FS196 Mantsopa</t>
  </si>
  <si>
    <t>MP312 Emalahleni (Mp)</t>
  </si>
  <si>
    <t>MP315 Thembisile Hani</t>
  </si>
  <si>
    <t>Debt Impairment % of Total Billable Revenue</t>
  </si>
  <si>
    <t>Vote 1</t>
  </si>
  <si>
    <t>Vote 2</t>
  </si>
  <si>
    <t>Vote 3</t>
  </si>
  <si>
    <t>Vote 4</t>
  </si>
  <si>
    <t>Vote 5</t>
  </si>
  <si>
    <t>Vote 6</t>
  </si>
  <si>
    <t>Vote 7</t>
  </si>
  <si>
    <t>Vote 8</t>
  </si>
  <si>
    <t>Vote 9</t>
  </si>
  <si>
    <t>Vote 10</t>
  </si>
  <si>
    <t>Vote 11</t>
  </si>
  <si>
    <t>Vote 12</t>
  </si>
  <si>
    <t>Vote 13</t>
  </si>
  <si>
    <t>Vote 14</t>
  </si>
  <si>
    <t>Vote 15</t>
  </si>
  <si>
    <t>Asset Class</t>
  </si>
  <si>
    <t>Asset sub-class</t>
  </si>
  <si>
    <t>Heritage Assets</t>
  </si>
  <si>
    <t>Specialised vehicles - Refuse</t>
  </si>
  <si>
    <t>Specialised vehicles - Fire</t>
  </si>
  <si>
    <t>Specialised vehicles - Conservancy</t>
  </si>
  <si>
    <t>Specialised vehicles - Ambulances</t>
  </si>
  <si>
    <t>Other Assets</t>
  </si>
  <si>
    <t>Ref.</t>
  </si>
  <si>
    <t>Entity Capital expenditure</t>
  </si>
  <si>
    <t>Parent Capital expenditure</t>
  </si>
  <si>
    <t>1.10</t>
  </si>
  <si>
    <t>2.10</t>
  </si>
  <si>
    <t>3.10</t>
  </si>
  <si>
    <t>4.10</t>
  </si>
  <si>
    <t>5.10</t>
  </si>
  <si>
    <t>6.10</t>
  </si>
  <si>
    <t>7.10</t>
  </si>
  <si>
    <t>8.10</t>
  </si>
  <si>
    <t>9.10</t>
  </si>
  <si>
    <t>10.10</t>
  </si>
  <si>
    <t>11.10</t>
  </si>
  <si>
    <t>12.10</t>
  </si>
  <si>
    <t>13.10</t>
  </si>
  <si>
    <t>14.10</t>
  </si>
  <si>
    <t>15.10</t>
  </si>
  <si>
    <t>Organisational Structure Sub-Votes</t>
  </si>
  <si>
    <t>Organisational Structure Votes</t>
  </si>
  <si>
    <t>3.1 - [Name of sub-vote]</t>
  </si>
  <si>
    <t>4.1 - [Name of sub-vote]</t>
  </si>
  <si>
    <t>5.1 - [Name of sub-vote]</t>
  </si>
  <si>
    <t>6.1 - [Name of sub-vote]</t>
  </si>
  <si>
    <t>7.1 - [Name of sub-vote]</t>
  </si>
  <si>
    <t>8.1 - [Name of sub-vote]</t>
  </si>
  <si>
    <t>9.1 - [Name of sub-vote]</t>
  </si>
  <si>
    <t>10.1 - [Name of sub-vote]</t>
  </si>
  <si>
    <t>11.1 - [Name of sub-vote]</t>
  </si>
  <si>
    <t>12.1 - [Name of sub-vote]</t>
  </si>
  <si>
    <t>13.1 - [Name of sub-vote]</t>
  </si>
  <si>
    <t>14.1 - [Name of sub-vote]</t>
  </si>
  <si>
    <t>15.1 - [Name of sub-vote]</t>
  </si>
  <si>
    <t>Display Sub-Votes</t>
  </si>
  <si>
    <t>Groups of Individuals</t>
  </si>
  <si>
    <t>6. All descriptions should separate transfers for 'capital purposes' and 'operating purposes'</t>
  </si>
  <si>
    <t>5 Insert description of each other organisation (e.g. the aged, child-headed households)</t>
  </si>
  <si>
    <t>Cash Transfers to other municipalities</t>
  </si>
  <si>
    <t>TOTAL CASH TRANSFERS AND GRANTS</t>
  </si>
  <si>
    <t>Total Cash Transfers To Municipalities:</t>
  </si>
  <si>
    <t>Cash Transfers to Entities/Other External Mechanisms</t>
  </si>
  <si>
    <t>Total Cash Transfers To Entities/Ems'</t>
  </si>
  <si>
    <t>Cash Transfers to other Organs of State</t>
  </si>
  <si>
    <t>Total Cash Transfers To Other Organs Of State:</t>
  </si>
  <si>
    <t>Cash Transfers to Organisations</t>
  </si>
  <si>
    <t>Total Cash Transfers To Organisations</t>
  </si>
  <si>
    <t>Cash Transfers to Groups of Individuals</t>
  </si>
  <si>
    <t>Total Cash Transfers To Groups Of Individuals:</t>
  </si>
  <si>
    <t>Supporting Table SA34d</t>
  </si>
  <si>
    <t>Depreciation by Asset Class/Sub-class</t>
  </si>
  <si>
    <t>Total Depreciation</t>
  </si>
  <si>
    <t>Supporting Table SA12a</t>
  </si>
  <si>
    <t>Supporting Table SA12b</t>
  </si>
  <si>
    <t>Pension and UIF Contributions</t>
  </si>
  <si>
    <t>Cellphone Allowance</t>
  </si>
  <si>
    <t>6. Includes pension payments and employer contributions to medical aid</t>
  </si>
  <si>
    <t>Variable or Fixed interest rate</t>
  </si>
  <si>
    <t>Capital Guarantee
(Yes/ No)</t>
  </si>
  <si>
    <t>Commission Recipient</t>
  </si>
  <si>
    <t>Transfers and grants - other municipalities</t>
  </si>
  <si>
    <t>Transfers and grants - other</t>
  </si>
  <si>
    <t>Goal
Code</t>
  </si>
  <si>
    <t>Fixed</t>
  </si>
  <si>
    <t>Security</t>
  </si>
  <si>
    <t>Interest rate</t>
  </si>
  <si>
    <t>2. Goal code must be used on Table SA36</t>
  </si>
  <si>
    <t>Allocations to other priorities</t>
  </si>
  <si>
    <t>2. Balance of allocations not directly linked to an IDP strategic objective</t>
  </si>
  <si>
    <t>3. Balance of allocations not directly linked to an IDP strategic objective</t>
  </si>
  <si>
    <t>Other reserves</t>
  </si>
  <si>
    <t>Check balance to A6</t>
  </si>
  <si>
    <t>R&amp;M as % Operating Expenditure</t>
  </si>
  <si>
    <t>CPI guideline</t>
  </si>
  <si>
    <t>Housing statistics</t>
  </si>
  <si>
    <t>Dwellings provided by municipality</t>
  </si>
  <si>
    <t>Dwellings provided by private sector</t>
  </si>
  <si>
    <t>Economic</t>
  </si>
  <si>
    <t>Collection rates</t>
  </si>
  <si>
    <t>Detail on the provision of municipal services for A10</t>
  </si>
  <si>
    <t>Total municipal services</t>
  </si>
  <si>
    <t>Municipal in-house services</t>
  </si>
  <si>
    <t>Municipal entity services</t>
  </si>
  <si>
    <t>Name of municipal entity</t>
  </si>
  <si>
    <t>Services provided by 'external mechanisms'</t>
  </si>
  <si>
    <t>Names of service providers</t>
  </si>
  <si>
    <t>8. Stand distance &lt;= 200m from dwelling</t>
  </si>
  <si>
    <t>9. Stand distance &gt; 200m from dwelling</t>
  </si>
  <si>
    <t>10. Borehole, spring, rain-water tank etc.</t>
  </si>
  <si>
    <t>11. Must agree to total number of households in municipal area</t>
  </si>
  <si>
    <t>Provide description of tariff structure where appropriate</t>
  </si>
  <si>
    <r>
      <t xml:space="preserve">Property rates </t>
    </r>
    <r>
      <rPr>
        <i/>
        <sz val="8"/>
        <rFont val="Arial Narrow"/>
        <family val="2"/>
      </rPr>
      <t>(rate in the Rand)</t>
    </r>
  </si>
  <si>
    <t>Residential properties</t>
  </si>
  <si>
    <t>Residential properties - vacant land</t>
  </si>
  <si>
    <t>Formal/informal settlements</t>
  </si>
  <si>
    <t>Small holdings</t>
  </si>
  <si>
    <t>Farm properties - used</t>
  </si>
  <si>
    <t>Farm properties - not used</t>
  </si>
  <si>
    <t>Industrial properties</t>
  </si>
  <si>
    <t>Business and commercial properties</t>
  </si>
  <si>
    <t>Communal land - residential</t>
  </si>
  <si>
    <t>Communal land - small holdings</t>
  </si>
  <si>
    <t>Communal land - farm property</t>
  </si>
  <si>
    <t>Communal land - business and commercial</t>
  </si>
  <si>
    <t>Communal land - other</t>
  </si>
  <si>
    <t>State-owned properties</t>
  </si>
  <si>
    <t>Municipal properties</t>
  </si>
  <si>
    <t>Public service infrastructure</t>
  </si>
  <si>
    <t>Privately owned towns serviced by the owner</t>
  </si>
  <si>
    <t>Restitution and redistribution properties</t>
  </si>
  <si>
    <t>Protected areas</t>
  </si>
  <si>
    <t>National monuments properties</t>
  </si>
  <si>
    <r>
      <t xml:space="preserve">Exemptions, reductions and rebates </t>
    </r>
    <r>
      <rPr>
        <i/>
        <sz val="8"/>
        <rFont val="Arial Narrow"/>
        <family val="2"/>
      </rPr>
      <t>(Rands)</t>
    </r>
  </si>
  <si>
    <t>General residential rebate</t>
  </si>
  <si>
    <t>Indigent rebate or exemption</t>
  </si>
  <si>
    <t xml:space="preserve">Pensioners/social grants rebate or exemption </t>
  </si>
  <si>
    <t>Temporary relief rebate or exemption</t>
  </si>
  <si>
    <t xml:space="preserve"> Bona fide farmers rebate or exemption</t>
  </si>
  <si>
    <t>Water tariffs</t>
  </si>
  <si>
    <t>Domestic</t>
  </si>
  <si>
    <r>
      <t xml:space="preserve">Basic charge/fixed fee </t>
    </r>
    <r>
      <rPr>
        <i/>
        <sz val="8"/>
        <rFont val="Arial Narrow"/>
        <family val="2"/>
      </rPr>
      <t>(Rands/month)</t>
    </r>
  </si>
  <si>
    <r>
      <t xml:space="preserve">Service point - vacant land </t>
    </r>
    <r>
      <rPr>
        <i/>
        <sz val="8"/>
        <rFont val="Arial Narrow"/>
        <family val="2"/>
      </rPr>
      <t>(Rands/month)</t>
    </r>
  </si>
  <si>
    <r>
      <t xml:space="preserve">Water usage - flat rate tariff </t>
    </r>
    <r>
      <rPr>
        <i/>
        <sz val="8"/>
        <rFont val="Arial Narrow"/>
        <family val="2"/>
      </rPr>
      <t>(c/kl)</t>
    </r>
  </si>
  <si>
    <t>Water usage - life line tariff</t>
  </si>
  <si>
    <t>(describe structure)</t>
  </si>
  <si>
    <t>Water usage - Block 1 (c/kl)</t>
  </si>
  <si>
    <t xml:space="preserve"> (fill in thresholds)</t>
  </si>
  <si>
    <t>Water usage - Block 2 (c/kl)</t>
  </si>
  <si>
    <t>Water usage - Block 3 (c/kl)</t>
  </si>
  <si>
    <t>Water usage - Block 4 (c/kl)</t>
  </si>
  <si>
    <t>Waste water tariffs</t>
  </si>
  <si>
    <r>
      <t xml:space="preserve">Waste water - flat rate tariff </t>
    </r>
    <r>
      <rPr>
        <i/>
        <sz val="8"/>
        <rFont val="Arial Narrow"/>
        <family val="2"/>
      </rPr>
      <t>(c/kl)</t>
    </r>
  </si>
  <si>
    <t>Volumetric charge - Block 1 (c/kl)</t>
  </si>
  <si>
    <t>(fill in structure)</t>
  </si>
  <si>
    <t>Volumetric charge - Block 2 (c/kl)</t>
  </si>
  <si>
    <t>Volumetric charge - Block 3 (c/kl)</t>
  </si>
  <si>
    <t>Volumetric charge - Block 4 (c/kl)</t>
  </si>
  <si>
    <t>Electricity tariffs</t>
  </si>
  <si>
    <r>
      <t>Service point - vacant land</t>
    </r>
    <r>
      <rPr>
        <i/>
        <sz val="8"/>
        <rFont val="Arial Narrow"/>
        <family val="2"/>
      </rPr>
      <t xml:space="preserve"> (Rands/month)</t>
    </r>
  </si>
  <si>
    <t>FBE</t>
  </si>
  <si>
    <t>(how is this targeted?)</t>
  </si>
  <si>
    <t>(fill in thresholds)</t>
  </si>
  <si>
    <t>Waste management tariffs</t>
  </si>
  <si>
    <t>Street cleaning charge</t>
  </si>
  <si>
    <t>Basic charge/fixed fee</t>
  </si>
  <si>
    <t>80l bin - once a week</t>
  </si>
  <si>
    <t>250l bin - once a week</t>
  </si>
  <si>
    <t>R15 000 threshhold rebate</t>
  </si>
  <si>
    <t>Non-Cash Transfers to other municipalities</t>
  </si>
  <si>
    <t>Total Non-Cash Transfers To Municipalities:</t>
  </si>
  <si>
    <t>Non-Cash Transfers to Entities/Other External Mechanisms</t>
  </si>
  <si>
    <t>Total Non-Cash Transfers To Entities/Ems'</t>
  </si>
  <si>
    <t>Non-Cash Transfers to other Organs of State</t>
  </si>
  <si>
    <t>Total Non-Cash Transfers To Other Organs Of State:</t>
  </si>
  <si>
    <t>Non-Cash Grants to Organisations</t>
  </si>
  <si>
    <t>Total Non-Cash Grants To Organisations</t>
  </si>
  <si>
    <t>Total Non-Cash Grants To Groups Of Individuals:</t>
  </si>
  <si>
    <t>TOTAL NON-CASH TRANSFERS AND GRANTS</t>
  </si>
  <si>
    <t>No income</t>
  </si>
  <si>
    <t>1, 12</t>
  </si>
  <si>
    <t>Life-line tariff - meter</t>
  </si>
  <si>
    <t>Life-line tariff - prepaid</t>
  </si>
  <si>
    <r>
      <t>Flat rate tariff - meter</t>
    </r>
    <r>
      <rPr>
        <i/>
        <sz val="8"/>
        <rFont val="Arial Narrow"/>
        <family val="2"/>
      </rPr>
      <t xml:space="preserve"> (c/kwh)</t>
    </r>
  </si>
  <si>
    <r>
      <t>Flat rate tariff - prepaid</t>
    </r>
    <r>
      <rPr>
        <i/>
        <sz val="8"/>
        <rFont val="Arial Narrow"/>
        <family val="2"/>
      </rPr>
      <t>(c/kwh)</t>
    </r>
  </si>
  <si>
    <t>Meter - IBT Block 1 (c/kwh)</t>
  </si>
  <si>
    <t>Meter - IBT Block 2 (c/kwh)</t>
  </si>
  <si>
    <t>Meter - IBT Block 3 (c/kwh)</t>
  </si>
  <si>
    <t>Meter - IBT Block 4 (c/kwh)</t>
  </si>
  <si>
    <t>Meter - IBT Block 5 (c/kwh)</t>
  </si>
  <si>
    <t>Prepaid - IBT Block 1 (c/kwh)</t>
  </si>
  <si>
    <t>Prepaid - IBT Block 2 (c/kwh)</t>
  </si>
  <si>
    <t>Prepaid - IBT Block 3 (c/kwh)</t>
  </si>
  <si>
    <t>Prepaid - IBT Block 4 (c/kwh)</t>
  </si>
  <si>
    <t>Prepaid - IBT Block 5 (c/kwh)</t>
  </si>
  <si>
    <t>R1 - R1 600</t>
  </si>
  <si>
    <t>R1 601 - R3 200</t>
  </si>
  <si>
    <t>R3 201 - R6 400</t>
  </si>
  <si>
    <t>R6 401 - R12 800</t>
  </si>
  <si>
    <t>R12 801 - R25 600</t>
  </si>
  <si>
    <t>R25 601 - R51 200</t>
  </si>
  <si>
    <t>R52 201 - R102 400</t>
  </si>
  <si>
    <t>R102 401 - R204 800</t>
  </si>
  <si>
    <t>R204 801 - R409 600</t>
  </si>
  <si>
    <t>R409 601 - R819 200</t>
  </si>
  <si>
    <t xml:space="preserve"> &gt; R819 200</t>
  </si>
  <si>
    <t>12. Household income categories assume an average 4 person household. Stats SA - Census 2011 Questionnaire</t>
  </si>
  <si>
    <t>1. Monthly household income threshold. Should include all sources of income.</t>
  </si>
  <si>
    <t>Monthly Account for Household - 'Indigent' Household receiving free basic services</t>
  </si>
  <si>
    <t>Monthly Account for Household - 'Middle Income Range'</t>
  </si>
  <si>
    <t xml:space="preserve">Monthly Account for Household - 'Affordable Range' </t>
  </si>
  <si>
    <t>1. Use as basis property value of R700 000, 1 000 kWh electricity and 30kl water</t>
  </si>
  <si>
    <t>2. Use as basis property value  of R500 000 and R700 000, 500 kWh electricity and 25kl water</t>
  </si>
  <si>
    <t>Unspent Borrowing - Categorised by type</t>
  </si>
  <si>
    <t>Total Unspent Borrowing</t>
  </si>
  <si>
    <t>Capital Charges to Own Revenue</t>
  </si>
  <si>
    <t>Cash transfers and grants</t>
  </si>
  <si>
    <t>Non-cash transfers and grants</t>
  </si>
  <si>
    <t>Total transfers and grants</t>
  </si>
  <si>
    <t>Monthly household income (no. of households)</t>
  </si>
  <si>
    <t>Poverty profiles (no. of households)</t>
  </si>
  <si>
    <t>13. Based on National poverty line of R515 per capita per month (2008 prices), assuming an average household size of 4 persons</t>
  </si>
  <si>
    <t>&lt; R2 060 per household per month</t>
  </si>
  <si>
    <t>Motor Vehicle Allowance</t>
  </si>
  <si>
    <t>Housing Allowances</t>
  </si>
  <si>
    <t>10. Only applicable to municipalities that have adopted the 'revaluation method' in GRAP 17. The aim is to prevent overstating 'depreciation and asset impairment'</t>
  </si>
  <si>
    <t>Finance charges &amp; Repayment of borrowing /Own Revenue</t>
  </si>
  <si>
    <t>Board Fees</t>
  </si>
  <si>
    <t>Creditors to Cash and Investments</t>
  </si>
  <si>
    <t>3. If 'variable' is selected in column F, input interest rate range</t>
  </si>
  <si>
    <t>Commission Paid (Rands)</t>
  </si>
  <si>
    <t xml:space="preserve">New multi-year appropriations 
(funds for new and existing projects) </t>
  </si>
  <si>
    <t>Appropriation carried forward</t>
  </si>
  <si>
    <t>Debtors collection assumptions</t>
  </si>
  <si>
    <t>1. Depreciation based on write down values. Not including Depreciation resulting from revaluation.</t>
  </si>
  <si>
    <t>`</t>
  </si>
  <si>
    <t>Balance outstanding - debtors</t>
  </si>
  <si>
    <t>Estimate of debtors collection rate</t>
  </si>
  <si>
    <t>Creditors due</t>
  </si>
  <si>
    <t>Household service targets</t>
  </si>
  <si>
    <t>Debtors</t>
  </si>
  <si>
    <t>15. Subject to figures provided in Schedule.</t>
  </si>
  <si>
    <t>3. Use as basis property value of R 300 000, 350kWh electricity and 20kl water (50 kWh electricity and 6 kl water free)</t>
  </si>
  <si>
    <t>No.</t>
  </si>
  <si>
    <t>1.</t>
  </si>
  <si>
    <t xml:space="preserve">
Contributions
</t>
  </si>
  <si>
    <t>3. In kind benefits (e.g. provision of living quarters) must be shown as the cost (full market value) to the municipality, as part of the relevant allowance</t>
  </si>
  <si>
    <t>6,7</t>
  </si>
  <si>
    <t>2. Total package must equal the total cost to the municipality</t>
  </si>
  <si>
    <t>3. List each political office bearer by designation. Provide a total for all other councillors</t>
  </si>
  <si>
    <t>4. Political office bearer is defined in MFMA s 1: speaker, executive mayor, deputy executive mayor, member of executive committee,</t>
  </si>
  <si>
    <t>5. Also list each senior manager reporting to MM by designation and each official with package &gt;= senior manager by designation</t>
  </si>
  <si>
    <t>6. List each entity where municipality has an interest and state percentage ownership and control</t>
  </si>
  <si>
    <t>7. List each senior manager reporting to the CEO of an Entity by designation</t>
  </si>
  <si>
    <t>8. Must reconcile to relevant section of Table SA24</t>
  </si>
  <si>
    <t>9. Must reconcile to totals shown for the budget year of Table SA22</t>
  </si>
  <si>
    <t>Current Debtors Collection Rate (Cash receipts % of Ratepayer &amp; Other revenue)</t>
  </si>
  <si>
    <t>SA16 - Investments</t>
  </si>
  <si>
    <t>SA36, SA37 - Capital projects</t>
  </si>
  <si>
    <t>BUF Buffalo City</t>
  </si>
  <si>
    <t>NMA Nelson Mandela Bay</t>
  </si>
  <si>
    <t>MAN Mangaung</t>
  </si>
  <si>
    <t>JHB City Of Johannesburg</t>
  </si>
  <si>
    <t>TSH City Of Tshwane</t>
  </si>
  <si>
    <t>ETH eThekwini</t>
  </si>
  <si>
    <t>LIM LIMPOPO</t>
  </si>
  <si>
    <t>CPT Cape Town</t>
  </si>
  <si>
    <t>7. Correct as at 30 June</t>
  </si>
  <si>
    <t>5,7</t>
  </si>
  <si>
    <t>10. Correct as at 30 June</t>
  </si>
  <si>
    <t>8,10</t>
  </si>
  <si>
    <t>9. Correct as at 30 June</t>
  </si>
  <si>
    <t>1. If properties are not rated or zero rated this must be indicated as such</t>
  </si>
  <si>
    <t>Other rebates or exemptions</t>
  </si>
  <si>
    <t>[Insert blocks as applicable]</t>
  </si>
  <si>
    <t>Total Cost of Losses (Rand '000)</t>
  </si>
  <si>
    <r>
      <t>Total Volume Losses (kW</t>
    </r>
    <r>
      <rPr>
        <sz val="8"/>
        <rFont val="Arial Narrow"/>
        <family val="2"/>
      </rPr>
      <t>)</t>
    </r>
  </si>
  <si>
    <t>Total Volume Losses (kℓ)</t>
  </si>
  <si>
    <t>2.Please provide detailed descriptions on Sheet SA13b</t>
  </si>
  <si>
    <t>Supporting Table SA13a</t>
  </si>
  <si>
    <t>Supporting Table SA13b</t>
  </si>
  <si>
    <t>[Insert lines as applicable]</t>
  </si>
  <si>
    <t>10. Must account for all budgeted positions, as per the municipal organogram</t>
  </si>
  <si>
    <t>6, 10</t>
  </si>
  <si>
    <t>8, 10</t>
  </si>
  <si>
    <t>% Volume (units purchased and generated less units sold)/units purchased and generated</t>
  </si>
  <si>
    <t>2011 Census</t>
  </si>
  <si>
    <t>Opening balance</t>
  </si>
  <si>
    <t>Investment Top Up</t>
  </si>
  <si>
    <t>Closing Balance</t>
  </si>
  <si>
    <t>4. Withdrawals to be entered as negative</t>
  </si>
  <si>
    <t>Partial / Premature Withdrawal (4)</t>
  </si>
  <si>
    <t>DC43 Harry Gwala</t>
  </si>
  <si>
    <t>1. Note that this section of Table SA 30 is deliberately not linked to Table A4 because timing differences between the invoicing of clients and receiving the cash means that the cashflow will differ from budgeted revenue, and similarly for budgeted expenditure. However for the MTREF it is now directly linked to A7.</t>
  </si>
  <si>
    <t>3. The MTREF is populated directly from SA30.</t>
  </si>
  <si>
    <t>4. Note this is for a SINGLE household.</t>
  </si>
  <si>
    <r>
      <t xml:space="preserve">3. Average rate - cents in  the Rand. Eg 10.26 cents in the Rand is 0.1026, expressed to </t>
    </r>
    <r>
      <rPr>
        <i/>
        <sz val="8"/>
        <color indexed="10"/>
        <rFont val="Arial Narrow"/>
        <family val="2"/>
      </rPr>
      <t>6 decimal places maximum</t>
    </r>
  </si>
  <si>
    <t>7. Show number of households receiving at least these levels of services completely free (informal settlements must be included)</t>
  </si>
  <si>
    <t>5. Must agree to total number of households in municipal area (informal settlements receiving services must be included)</t>
  </si>
  <si>
    <t>DC10 Sarah Baartman</t>
  </si>
  <si>
    <t>Other Revenue</t>
  </si>
  <si>
    <t>Detail of Free Basic Services (FBS) provided</t>
  </si>
  <si>
    <t>Location of households for each type of FBS</t>
  </si>
  <si>
    <t>Number of HH receiving this type of FBS</t>
  </si>
  <si>
    <t>List type of FBS service</t>
  </si>
  <si>
    <t>Cost of Free Basic Services provided - Informal Formal Settlements (R'000)</t>
  </si>
  <si>
    <t>Formal settlements -  (free sanitation service to indigent households)</t>
  </si>
  <si>
    <t>Formal settlements -  (removed once a week to indigent households)</t>
  </si>
  <si>
    <t>Total cost of FBS - Water  for informal settlements</t>
  </si>
  <si>
    <t>Total cost of FBS - Sanitation for informal settlements</t>
  </si>
  <si>
    <t>Refuse Removal</t>
  </si>
  <si>
    <t>Total cost of FBS - Refuse Removal for informal settlements</t>
  </si>
  <si>
    <t>Total cost of FBS - Electricity for informal settlements</t>
  </si>
  <si>
    <t>Highest level of free service provided per household</t>
  </si>
  <si>
    <t>Cost of Free Basic Services provided - Formal Settlements (R'000)</t>
  </si>
  <si>
    <r>
      <t>Water (6 kilolitres per</t>
    </r>
    <r>
      <rPr>
        <b/>
        <sz val="8"/>
        <rFont val="Arial Narrow"/>
        <family val="2"/>
      </rPr>
      <t xml:space="preserve"> indigent</t>
    </r>
    <r>
      <rPr>
        <sz val="8"/>
        <rFont val="Arial Narrow"/>
        <family val="2"/>
      </rPr>
      <t xml:space="preserve"> household per month)</t>
    </r>
  </si>
  <si>
    <r>
      <t>Sanitation (free sanitation service to</t>
    </r>
    <r>
      <rPr>
        <b/>
        <sz val="8"/>
        <rFont val="Arial Narrow"/>
        <family val="2"/>
      </rPr>
      <t xml:space="preserve"> indigent households</t>
    </r>
    <r>
      <rPr>
        <sz val="8"/>
        <rFont val="Arial Narrow"/>
        <family val="2"/>
      </rPr>
      <t>)</t>
    </r>
  </si>
  <si>
    <r>
      <t>Electricity/other energy (50kwh per</t>
    </r>
    <r>
      <rPr>
        <b/>
        <sz val="8"/>
        <rFont val="Arial Narrow"/>
        <family val="2"/>
      </rPr>
      <t xml:space="preserve"> indigent</t>
    </r>
    <r>
      <rPr>
        <sz val="8"/>
        <rFont val="Arial Narrow"/>
        <family val="2"/>
      </rPr>
      <t xml:space="preserve"> household per month)</t>
    </r>
  </si>
  <si>
    <r>
      <t>Refuse (removed once a week</t>
    </r>
    <r>
      <rPr>
        <b/>
        <sz val="8"/>
        <rFont val="Arial Narrow"/>
        <family val="2"/>
      </rPr>
      <t xml:space="preserve"> for indigent households</t>
    </r>
    <r>
      <rPr>
        <sz val="8"/>
        <rFont val="Arial Narrow"/>
        <family val="2"/>
      </rPr>
      <t>)</t>
    </r>
  </si>
  <si>
    <r>
      <t xml:space="preserve">Total cost of FBS provided </t>
    </r>
    <r>
      <rPr>
        <b/>
        <strike/>
        <sz val="8"/>
        <color indexed="10"/>
        <rFont val="Arial Narrow"/>
        <family val="2"/>
      </rPr>
      <t xml:space="preserve"> </t>
    </r>
  </si>
  <si>
    <t>Revenue  cost of subsidised services provided (R'000)</t>
  </si>
  <si>
    <r>
      <t xml:space="preserve">Water </t>
    </r>
    <r>
      <rPr>
        <b/>
        <sz val="8"/>
        <rFont val="Arial Narrow"/>
        <family val="2"/>
      </rPr>
      <t>(in excess of 6 kilolitres per indigent household per month)</t>
    </r>
  </si>
  <si>
    <r>
      <t xml:space="preserve">Sanitation </t>
    </r>
    <r>
      <rPr>
        <b/>
        <sz val="8"/>
        <rFont val="Arial Narrow"/>
        <family val="2"/>
      </rPr>
      <t>(in excess of free sanitation service to indigent households)</t>
    </r>
  </si>
  <si>
    <r>
      <t xml:space="preserve">Electricity/other energy </t>
    </r>
    <r>
      <rPr>
        <b/>
        <sz val="8"/>
        <rFont val="Arial Narrow"/>
        <family val="2"/>
      </rPr>
      <t>(in excess of 50 kwh per indigent household per month)</t>
    </r>
  </si>
  <si>
    <r>
      <t xml:space="preserve">Refuse </t>
    </r>
    <r>
      <rPr>
        <b/>
        <sz val="8"/>
        <rFont val="Arial Narrow"/>
        <family val="2"/>
      </rPr>
      <t>(in excess of one removal a week for indigent households)</t>
    </r>
  </si>
  <si>
    <r>
      <t>Property rates</t>
    </r>
    <r>
      <rPr>
        <b/>
        <sz val="8"/>
        <rFont val="Arial Narrow"/>
        <family val="2"/>
      </rPr>
      <t xml:space="preserve"> (tariff adjustment) </t>
    </r>
    <r>
      <rPr>
        <sz val="8"/>
        <rFont val="Arial Narrow"/>
        <family val="2"/>
      </rPr>
      <t>(</t>
    </r>
    <r>
      <rPr>
        <b/>
        <sz val="8"/>
        <rFont val="Arial Narrow"/>
        <family val="2"/>
      </rPr>
      <t xml:space="preserve"> impermissable values per section 17 of MPRA</t>
    </r>
    <r>
      <rPr>
        <sz val="8"/>
        <rFont val="Arial Narrow"/>
        <family val="2"/>
      </rPr>
      <t>)</t>
    </r>
  </si>
  <si>
    <r>
      <t xml:space="preserve">Property rates </t>
    </r>
    <r>
      <rPr>
        <sz val="8"/>
        <rFont val="Arial Narrow"/>
        <family val="2"/>
      </rPr>
      <t xml:space="preserve"> exemptions, reductions and rebates </t>
    </r>
    <r>
      <rPr>
        <b/>
        <sz val="8"/>
        <rFont val="Arial Narrow"/>
        <family val="2"/>
      </rPr>
      <t>and impermissable values in excess of section 17 of MPRA)</t>
    </r>
  </si>
  <si>
    <t xml:space="preserve">Total revenue cost of subsidised services provided </t>
  </si>
  <si>
    <t>BSD</t>
  </si>
  <si>
    <t>1000</t>
  </si>
  <si>
    <t>~</t>
  </si>
  <si>
    <t>1100</t>
  </si>
  <si>
    <t>1101</t>
  </si>
  <si>
    <t>1102</t>
  </si>
  <si>
    <t>1103</t>
  </si>
  <si>
    <t>1104</t>
  </si>
  <si>
    <t>1105</t>
  </si>
  <si>
    <t>1106</t>
  </si>
  <si>
    <t>1107</t>
  </si>
  <si>
    <t>1108</t>
  </si>
  <si>
    <t>1109</t>
  </si>
  <si>
    <t>1110</t>
  </si>
  <si>
    <t>1200</t>
  </si>
  <si>
    <t>1201</t>
  </si>
  <si>
    <t>1202</t>
  </si>
  <si>
    <t>1203</t>
  </si>
  <si>
    <t>1204</t>
  </si>
  <si>
    <t>1205</t>
  </si>
  <si>
    <t>1206</t>
  </si>
  <si>
    <t>1207</t>
  </si>
  <si>
    <t>1208</t>
  </si>
  <si>
    <t>1209</t>
  </si>
  <si>
    <t>1210</t>
  </si>
  <si>
    <t>1211</t>
  </si>
  <si>
    <t>1300</t>
  </si>
  <si>
    <t>1301</t>
  </si>
  <si>
    <t>1302</t>
  </si>
  <si>
    <t>1303</t>
  </si>
  <si>
    <t>1304</t>
  </si>
  <si>
    <t>1305</t>
  </si>
  <si>
    <t>1306</t>
  </si>
  <si>
    <t>1307</t>
  </si>
  <si>
    <t>1308</t>
  </si>
  <si>
    <t>1400</t>
  </si>
  <si>
    <t>1401</t>
  </si>
  <si>
    <t>1402</t>
  </si>
  <si>
    <t>1403</t>
  </si>
  <si>
    <t>1404</t>
  </si>
  <si>
    <t>1405</t>
  </si>
  <si>
    <t>1406</t>
  </si>
  <si>
    <t>1407</t>
  </si>
  <si>
    <t>1408</t>
  </si>
  <si>
    <t>1409</t>
  </si>
  <si>
    <t>1500</t>
  </si>
  <si>
    <t>1501</t>
  </si>
  <si>
    <t>1502</t>
  </si>
  <si>
    <t>1503</t>
  </si>
  <si>
    <t>1504</t>
  </si>
  <si>
    <t>1600</t>
  </si>
  <si>
    <t>1601</t>
  </si>
  <si>
    <t>Water (6 kilolitres per indigent household per month)</t>
  </si>
  <si>
    <t>1602</t>
  </si>
  <si>
    <t>Sanitation (free sanitation service to indigent households)</t>
  </si>
  <si>
    <t>1603</t>
  </si>
  <si>
    <t>Electricity/other energy (50kwh per indigent household per month)</t>
  </si>
  <si>
    <t>1604</t>
  </si>
  <si>
    <t>Refuse (removed once a week for indigent households)</t>
  </si>
  <si>
    <t xml:space="preserve">Total cost of FBS provided  </t>
  </si>
  <si>
    <t>1700</t>
  </si>
  <si>
    <t>1701</t>
  </si>
  <si>
    <t>1702</t>
  </si>
  <si>
    <t>1703</t>
  </si>
  <si>
    <t>1704</t>
  </si>
  <si>
    <t>1705</t>
  </si>
  <si>
    <t>1706</t>
  </si>
  <si>
    <t>1707</t>
  </si>
  <si>
    <t>1708</t>
  </si>
  <si>
    <t>Property rates (tariff adjustment) ( impermissable values per section 17 of MPRA)</t>
  </si>
  <si>
    <t>1709</t>
  </si>
  <si>
    <t>Property rates  exemptions, reductions and rebates and impermissable values in excess of section 17 of MPRA)</t>
  </si>
  <si>
    <t>1710</t>
  </si>
  <si>
    <t>Water (in excess of 6 kilolitres per indigent household per month)</t>
  </si>
  <si>
    <t>1711</t>
  </si>
  <si>
    <t>Sanitation (in excess of free sanitation service to indigent households)</t>
  </si>
  <si>
    <t>1712</t>
  </si>
  <si>
    <t>Electricity/other energy (in excess of 50 kwh per indigent household per month)</t>
  </si>
  <si>
    <t>1713</t>
  </si>
  <si>
    <t>Refuse (in excess of one removal a week for indigent households)</t>
  </si>
  <si>
    <t>1714</t>
  </si>
  <si>
    <t>1715</t>
  </si>
  <si>
    <t>1716</t>
  </si>
  <si>
    <t>1717</t>
  </si>
  <si>
    <t>SA11</t>
  </si>
  <si>
    <t>T</t>
  </si>
  <si>
    <t>V</t>
  </si>
  <si>
    <t xml:space="preserve">Public service infrastructure value </t>
  </si>
  <si>
    <t xml:space="preserve">Municipality owned property value </t>
  </si>
  <si>
    <t>Valuation reductions-public infrastructure</t>
  </si>
  <si>
    <t>Valuation reductions-nature reserves/park</t>
  </si>
  <si>
    <t>Valuation reductions-mineral rights</t>
  </si>
  <si>
    <t>Valuation reductions-R15,000 threshold</t>
  </si>
  <si>
    <t xml:space="preserve">Valuation reductions-public worship </t>
  </si>
  <si>
    <t>Valuation reductions-other</t>
  </si>
  <si>
    <t>Total value used for rating</t>
  </si>
  <si>
    <t xml:space="preserve">Total land value </t>
  </si>
  <si>
    <t>Total value of improvements</t>
  </si>
  <si>
    <t>Total market value</t>
  </si>
  <si>
    <t>Fixed amount minimum value</t>
  </si>
  <si>
    <t xml:space="preserve">Rate revenue budget </t>
  </si>
  <si>
    <t>Rate revenue expected to collect</t>
  </si>
  <si>
    <t>Special rating areas</t>
  </si>
  <si>
    <t>Rebates, exemptions - indigent</t>
  </si>
  <si>
    <t>Rebates, exemptions - pensioners</t>
  </si>
  <si>
    <t>Rebates, exemptions - bona fide farm</t>
  </si>
  <si>
    <t>Rebates, exemptions - other</t>
  </si>
  <si>
    <t>Phase-in reductions/discounts</t>
  </si>
  <si>
    <t>Total rebates,exemptns,reductns,discs</t>
  </si>
  <si>
    <t>SA12</t>
  </si>
  <si>
    <t xml:space="preserve">Supplementary valuation </t>
  </si>
  <si>
    <t>Years since last valuation</t>
  </si>
  <si>
    <t xml:space="preserve">Frequency of valuation </t>
  </si>
  <si>
    <t>Method of valuation used</t>
  </si>
  <si>
    <t>Base of valuation</t>
  </si>
  <si>
    <t xml:space="preserve">Valuation reductions-R15,000 threshold </t>
  </si>
  <si>
    <t>Valuation reductions-public worship</t>
  </si>
  <si>
    <t xml:space="preserve">Total market value </t>
  </si>
  <si>
    <t xml:space="preserve">Rebates, exemptions - bona fide farm. </t>
  </si>
  <si>
    <t xml:space="preserve">Rebates, exemptions - other </t>
  </si>
  <si>
    <t xml:space="preserve">Phase-in reductions/discounts </t>
  </si>
  <si>
    <t>SA13</t>
  </si>
  <si>
    <t>Property rates (rate in the Rand)</t>
  </si>
  <si>
    <t>Exemptions, reductions and rebates (Rands)</t>
  </si>
  <si>
    <t>Basic charge/fixed fee (Rands/month)</t>
  </si>
  <si>
    <t>Service point - vacant land (Rands/month)</t>
  </si>
  <si>
    <t>Water usage - flat rate tariff (c/kl)</t>
  </si>
  <si>
    <t>Waste water - flat rate tariff (c/kl)</t>
  </si>
  <si>
    <t>Flat rate tariff - meter (c/kwh)</t>
  </si>
  <si>
    <t>Flat rate tariff - prepaid(c/kwh)</t>
  </si>
  <si>
    <t>SA14</t>
  </si>
  <si>
    <t>Monthly Account for Household - 'Indigent' HH receiving FBS</t>
  </si>
  <si>
    <t>SA22</t>
  </si>
  <si>
    <t>SA23</t>
  </si>
  <si>
    <t>SA24</t>
  </si>
  <si>
    <t>Councillors (Political Office Bearers and Other Councillors)</t>
  </si>
  <si>
    <t>OTHER</t>
  </si>
  <si>
    <t>1001</t>
  </si>
  <si>
    <t>1002</t>
  </si>
  <si>
    <t>1003</t>
  </si>
  <si>
    <t>1005</t>
  </si>
  <si>
    <t>1006</t>
  </si>
  <si>
    <t>1007</t>
  </si>
  <si>
    <t>1008</t>
  </si>
  <si>
    <t>Estimate of other debtors &gt; 90 days</t>
  </si>
  <si>
    <t>3001</t>
  </si>
  <si>
    <t>4001</t>
  </si>
  <si>
    <t>Repairs and Maintenance by Expenditure Item</t>
  </si>
  <si>
    <t>Volume Electricity Distribution Losses</t>
  </si>
  <si>
    <t>Cost Electiricty Distribution Losses</t>
  </si>
  <si>
    <t>Volume Water Distribution Losses</t>
  </si>
  <si>
    <t>Cost Water Distribution Losses</t>
  </si>
  <si>
    <t>Consultant Fees</t>
  </si>
  <si>
    <t>Audit Fees</t>
  </si>
  <si>
    <t>SA36</t>
  </si>
  <si>
    <t>SA37</t>
  </si>
  <si>
    <t>CONTACT</t>
  </si>
  <si>
    <t>SA25</t>
  </si>
  <si>
    <t>SA27</t>
  </si>
  <si>
    <t>Total Revenue - Standard</t>
  </si>
  <si>
    <t>Total Expenditure - Standard</t>
  </si>
  <si>
    <t>SA29</t>
  </si>
  <si>
    <t>FORM</t>
  </si>
  <si>
    <t>YEAR END</t>
  </si>
  <si>
    <t>MUNCDE</t>
  </si>
  <si>
    <t>ITEMCODE</t>
  </si>
  <si>
    <t>SEQ</t>
  </si>
  <si>
    <t>DESCRIPTION</t>
  </si>
  <si>
    <t>Title</t>
  </si>
  <si>
    <t>EC129 Raymond Mhlaba</t>
  </si>
  <si>
    <t>EC136 Emalahleni (Ec)</t>
  </si>
  <si>
    <t>EC139 Enoch Mgijima</t>
  </si>
  <si>
    <t>EC145 Walter Sisulu</t>
  </si>
  <si>
    <t>GT485 Rand West City</t>
  </si>
  <si>
    <t>KZN216 Ray Nkonyeni</t>
  </si>
  <si>
    <t>KZN237 Inkosi Langalibalele</t>
  </si>
  <si>
    <t>KZN238 Alfred Duma</t>
  </si>
  <si>
    <t>DC28 King Cetshwayo</t>
  </si>
  <si>
    <t>KZN436 Dr Nkosazana Dlamini Zuma</t>
  </si>
  <si>
    <t>LIM368 Modimolle-Mookgopong</t>
  </si>
  <si>
    <t>MP326 City of Mbombela</t>
  </si>
  <si>
    <t>NC087 Dawid Kruiper</t>
  </si>
  <si>
    <t>DC8 Z F Mgcawu</t>
  </si>
  <si>
    <t>NW397 Kagisano-Molopo</t>
  </si>
  <si>
    <t>ID Number</t>
  </si>
  <si>
    <t>Roads Infrastructure</t>
  </si>
  <si>
    <t>Road Structures</t>
  </si>
  <si>
    <t>Road Furniture</t>
  </si>
  <si>
    <t>Capital Spares</t>
  </si>
  <si>
    <t>Storm water Infrastructure</t>
  </si>
  <si>
    <t>Drainage Collection</t>
  </si>
  <si>
    <t>Storm water Conveyance</t>
  </si>
  <si>
    <t>Attenuation</t>
  </si>
  <si>
    <t>Power Plants</t>
  </si>
  <si>
    <t>HV Substations</t>
  </si>
  <si>
    <t>HV Switching Station</t>
  </si>
  <si>
    <t>HV Transmission Conductors</t>
  </si>
  <si>
    <t>MV Substations</t>
  </si>
  <si>
    <t>MV Switching Stations</t>
  </si>
  <si>
    <t>MV Networks</t>
  </si>
  <si>
    <t>LV Networks</t>
  </si>
  <si>
    <t>Dams and Weirs</t>
  </si>
  <si>
    <t>Boreholes</t>
  </si>
  <si>
    <t>Reservoirs</t>
  </si>
  <si>
    <t>Pump Stations</t>
  </si>
  <si>
    <t>Water Treatment Works</t>
  </si>
  <si>
    <t>Bulk Mains</t>
  </si>
  <si>
    <t>Distribution</t>
  </si>
  <si>
    <t>Distribution Points</t>
  </si>
  <si>
    <t>PRV Stations</t>
  </si>
  <si>
    <t>Pump Station</t>
  </si>
  <si>
    <t>Waste Water Treatment Works</t>
  </si>
  <si>
    <t>Outfall Sewers</t>
  </si>
  <si>
    <t>Toilet Facilities</t>
  </si>
  <si>
    <t>Solid Waste Infrastructure</t>
  </si>
  <si>
    <t>Landfill Sites</t>
  </si>
  <si>
    <t>Waste Transfer Stations</t>
  </si>
  <si>
    <t>Waste Processing Facilities</t>
  </si>
  <si>
    <t>Waste Drop-off Points</t>
  </si>
  <si>
    <t>Waste Separation Facilities</t>
  </si>
  <si>
    <t>Electricity Generation Facilities</t>
  </si>
  <si>
    <t>Information and Communication Infrastructure</t>
  </si>
  <si>
    <t>Data Centres</t>
  </si>
  <si>
    <t>Core Layers</t>
  </si>
  <si>
    <t>Distribution Layers</t>
  </si>
  <si>
    <t>Coastal Infrastructure</t>
  </si>
  <si>
    <t>Sand Pumps</t>
  </si>
  <si>
    <t>Piers</t>
  </si>
  <si>
    <t>Revetments</t>
  </si>
  <si>
    <t>Promenades</t>
  </si>
  <si>
    <t>Rail Infrastructure</t>
  </si>
  <si>
    <t>Rail Lines</t>
  </si>
  <si>
    <t>Rail Structures</t>
  </si>
  <si>
    <t>Rail Furniture</t>
  </si>
  <si>
    <t>Electrical Infrastructure</t>
  </si>
  <si>
    <t>Water Supply Infrastructure</t>
  </si>
  <si>
    <t>Sanitation Infrastructure</t>
  </si>
  <si>
    <t>Community Assets</t>
  </si>
  <si>
    <t>Community Facilities</t>
  </si>
  <si>
    <t>Halls</t>
  </si>
  <si>
    <t>Centres</t>
  </si>
  <si>
    <t>Crèches</t>
  </si>
  <si>
    <t>Clinics/Care Centres</t>
  </si>
  <si>
    <t>Fire/Ambulance Stations</t>
  </si>
  <si>
    <t>Testing Stations</t>
  </si>
  <si>
    <t>Museums</t>
  </si>
  <si>
    <t>Galleries</t>
  </si>
  <si>
    <t>Theatres</t>
  </si>
  <si>
    <t>Cemeteries/Crematoria</t>
  </si>
  <si>
    <t>Purls</t>
  </si>
  <si>
    <t>Public Open Space</t>
  </si>
  <si>
    <t>Nature Reserves</t>
  </si>
  <si>
    <t>Public Ablution Facilities</t>
  </si>
  <si>
    <t>Stalls</t>
  </si>
  <si>
    <t>Airports</t>
  </si>
  <si>
    <t>Taxi Ranks/Bus Terminals</t>
  </si>
  <si>
    <t>Sport and Recreation Facilities</t>
  </si>
  <si>
    <t>Indoor Facilities</t>
  </si>
  <si>
    <t>Outdoor Facilities</t>
  </si>
  <si>
    <t>Monuments</t>
  </si>
  <si>
    <t>Historic Buildings</t>
  </si>
  <si>
    <t>Works of Art</t>
  </si>
  <si>
    <t>Conservation Areas</t>
  </si>
  <si>
    <t>Other Heritage</t>
  </si>
  <si>
    <t>Operational Buildings</t>
  </si>
  <si>
    <t>Municipal Offices</t>
  </si>
  <si>
    <t>Pay/Enquiry Points</t>
  </si>
  <si>
    <t>Building Plan Offices</t>
  </si>
  <si>
    <t>Workshops</t>
  </si>
  <si>
    <t>Yards</t>
  </si>
  <si>
    <t>Stores</t>
  </si>
  <si>
    <t>Laboratories</t>
  </si>
  <si>
    <t>Training Centres</t>
  </si>
  <si>
    <t>Manufacturing Plant</t>
  </si>
  <si>
    <t>Depots</t>
  </si>
  <si>
    <t>Staff Housing</t>
  </si>
  <si>
    <t>Social Housing</t>
  </si>
  <si>
    <t>Biological or Cultivated Assets</t>
  </si>
  <si>
    <t>Servitudes</t>
  </si>
  <si>
    <t>Licences and Rights</t>
  </si>
  <si>
    <t>Intangible Assets</t>
  </si>
  <si>
    <t>Water Rights</t>
  </si>
  <si>
    <t>Effluent Licenses</t>
  </si>
  <si>
    <t>Solid Waste Licenses</t>
  </si>
  <si>
    <t>Computer Software and Applications</t>
  </si>
  <si>
    <t>Load Settlement Software Applications</t>
  </si>
  <si>
    <t>Unspecified</t>
  </si>
  <si>
    <t>Computer Equipment</t>
  </si>
  <si>
    <t>Furniture and Office Equipment</t>
  </si>
  <si>
    <t>Machinery and Equipment</t>
  </si>
  <si>
    <t>Transport Assets</t>
  </si>
  <si>
    <t>Zoo's, Marine and Non-biological Animals</t>
  </si>
  <si>
    <t xml:space="preserve">Total Capital Expenditure on new assets </t>
  </si>
  <si>
    <t>Revenue Generating</t>
  </si>
  <si>
    <t>Improved Property</t>
  </si>
  <si>
    <t>Unimproved Property</t>
  </si>
  <si>
    <t>Non-revenue Generating</t>
  </si>
  <si>
    <t>Transfers and subsidies</t>
  </si>
  <si>
    <t>Fines, penalties and forfeits</t>
  </si>
  <si>
    <t xml:space="preserve">Transfers and subsidies - capital (in-kind - all) </t>
  </si>
  <si>
    <t>Transfers and subsidies - capital (monetary allocations) (National / Provincial Departmental Agencies, Households, Non-profit Institutions, Private Enterprises, Public Corporatons, Higher Educational Institutions)</t>
  </si>
  <si>
    <t>Transfers and subsidies - capital (monetary allocations) (National / Provincial and District)</t>
  </si>
  <si>
    <t>7. Equity method ( Includes Joint Ventures)</t>
  </si>
  <si>
    <t>Capital expenditure on upgrading of existing assets by Asset Class/Sub-class</t>
  </si>
  <si>
    <t xml:space="preserve">Total Capital Expenditure on upgrading of existing assets </t>
  </si>
  <si>
    <t>Upgrading of Existing Assets as % of total capex</t>
  </si>
  <si>
    <t>Upgrading of Existing Assets as % of deprecn"</t>
  </si>
  <si>
    <t>1.  Total Capital Expenditure  on upgrading of existing assets (SA34e) plus Total Capital Expenditure on new assets (SA34a)  plus Total Capital Expenditure  on renewal of existing assets (SA34b) must reconcile to total capital expenditure in Budgeted Capital Expenditure</t>
  </si>
  <si>
    <t>1. Total Capital Expenditure on new assets (SA34a) plus Total Capital Expenditure on renewal of existing assets (SA34b) plus Total Capital Expenditure  on upgrading of existing assets (SA34e) must reconcile to total capital expenditure in Budgeted Capital Expenditure</t>
  </si>
  <si>
    <t>1. Total Capital Expenditure  on renewal of existing assets (SA34b) plus Total Capital Expenditure on new assets (SA34a) plus Total Capital Expenditure  on upgrading of existing assets (SA34e) must reconcile to total capital expenditure in Budgeted Capital Expenditure</t>
  </si>
  <si>
    <t>Supporting Table SA34e</t>
  </si>
  <si>
    <t>Total Upgrading of Existing Assets</t>
  </si>
  <si>
    <t>6. Detail of upgrading of existing assets provided in Table SA34e</t>
  </si>
  <si>
    <t>Renewal and upgrading and R&amp;M as a % of PPE</t>
  </si>
  <si>
    <t>Renewal and upgrading of Existing Assets as % of total capex</t>
  </si>
  <si>
    <t>Renewal and upgrading of Existing Assets as % of deprecn</t>
  </si>
  <si>
    <t>7. Detail of depreciation provided in Table SA34d</t>
  </si>
  <si>
    <t>Depreciation</t>
  </si>
  <si>
    <t>Annuity and Bullet Loans</t>
  </si>
  <si>
    <t>Internal audit</t>
  </si>
  <si>
    <t>Energy sources</t>
  </si>
  <si>
    <t>Water management</t>
  </si>
  <si>
    <t>Municipal Manager, Town Secretary and Chief Executive</t>
  </si>
  <si>
    <t>Finance and administration</t>
  </si>
  <si>
    <t>Governance Function</t>
  </si>
  <si>
    <t>Administrative and Corporate Support</t>
  </si>
  <si>
    <t>Asset Management</t>
  </si>
  <si>
    <t>Fleet Management</t>
  </si>
  <si>
    <t>Legal Services</t>
  </si>
  <si>
    <t>Marketing, Customer Relations, Publicity and Media Co-ordination</t>
  </si>
  <si>
    <t>Risk Management</t>
  </si>
  <si>
    <t>Security Services</t>
  </si>
  <si>
    <t xml:space="preserve">Supply Chain Management </t>
  </si>
  <si>
    <t>Valuation Service</t>
  </si>
  <si>
    <t>Health Services</t>
  </si>
  <si>
    <t>Laboratory Services</t>
  </si>
  <si>
    <t>Food Control</t>
  </si>
  <si>
    <t>Health Surveillance and Prevention of Communicable Diseases including immunizations</t>
  </si>
  <si>
    <t>Vector Control</t>
  </si>
  <si>
    <t>Chemical Safety</t>
  </si>
  <si>
    <t>Informal Settlements</t>
  </si>
  <si>
    <t xml:space="preserve">Beaches and Jetties </t>
  </si>
  <si>
    <t>Casinos, Racing, Gambling, Wagering</t>
  </si>
  <si>
    <t>Community Parks (including Nurseries)</t>
  </si>
  <si>
    <t>Recreational Facilities</t>
  </si>
  <si>
    <t>Sports Grounds and Stadiums</t>
  </si>
  <si>
    <t>Cleansing</t>
  </si>
  <si>
    <t>Control of Public Nuisances</t>
  </si>
  <si>
    <t xml:space="preserve">Fencing and Fences </t>
  </si>
  <si>
    <t>Fire Fighting and Protection</t>
  </si>
  <si>
    <t>Licensing and Control of Animals</t>
  </si>
  <si>
    <t>Animal Care and Diseases</t>
  </si>
  <si>
    <t>Cemeteries, Funeral Parlours and Crematoriums</t>
  </si>
  <si>
    <t>Child Care Facilities</t>
  </si>
  <si>
    <t>Community Halls and Facilities</t>
  </si>
  <si>
    <t>Consumer Protection</t>
  </si>
  <si>
    <t>Cultural Matters</t>
  </si>
  <si>
    <t>Disaster Management</t>
  </si>
  <si>
    <t>Indigenous and Customary Law</t>
  </si>
  <si>
    <t>Industrial Promotion</t>
  </si>
  <si>
    <t>Language Policy</t>
  </si>
  <si>
    <t>Literacy Programmes</t>
  </si>
  <si>
    <t>Media Services</t>
  </si>
  <si>
    <t>Museums and Art Galleries</t>
  </si>
  <si>
    <t>Population Development</t>
  </si>
  <si>
    <t>Provincial Cultural Matters</t>
  </si>
  <si>
    <t>Zoo's</t>
  </si>
  <si>
    <t>Billboards</t>
  </si>
  <si>
    <t>Corporate Wide Strategic Planning (IDPs, LEDs)</t>
  </si>
  <si>
    <t>Central City Improvement District</t>
  </si>
  <si>
    <t>Development Facilitation</t>
  </si>
  <si>
    <t>Economic Development/Planning</t>
  </si>
  <si>
    <t>Regional Planning and Development</t>
  </si>
  <si>
    <t>Town Planning, Building Regulations and Enforcement, and City Engineer</t>
  </si>
  <si>
    <t>Project Management Unit</t>
  </si>
  <si>
    <t>Provincial Planning</t>
  </si>
  <si>
    <t>Support to Local Municipalities</t>
  </si>
  <si>
    <t>Police Forces, Traffic and Street Parking Control</t>
  </si>
  <si>
    <t>Pounds</t>
  </si>
  <si>
    <t>Public Transport</t>
  </si>
  <si>
    <t>Road and Traffic Regulation</t>
  </si>
  <si>
    <t>Taxi Ranks</t>
  </si>
  <si>
    <t>Biodiversity and Landscape</t>
  </si>
  <si>
    <t>Coastal Protection</t>
  </si>
  <si>
    <t>Indigenous Forests</t>
  </si>
  <si>
    <t>Nature Conservation</t>
  </si>
  <si>
    <t>Soil Conservation</t>
  </si>
  <si>
    <t xml:space="preserve">Electricity </t>
  </si>
  <si>
    <t>Street Lighting and Signal Systems</t>
  </si>
  <si>
    <t>Nonelectric Energy</t>
  </si>
  <si>
    <t>Water Treatment</t>
  </si>
  <si>
    <t>Waste Water Treatment</t>
  </si>
  <si>
    <t>Recycling</t>
  </si>
  <si>
    <t>Solid Waste Disposal (Landfill Sites)</t>
  </si>
  <si>
    <t>Solid Waste Removal</t>
  </si>
  <si>
    <t>Street Cleaning</t>
  </si>
  <si>
    <t xml:space="preserve">Forestry </t>
  </si>
  <si>
    <t>Licensing and Regulation</t>
  </si>
  <si>
    <t>Capital Expenditure - Functional</t>
  </si>
  <si>
    <t>Total Capital Expenditure - Functional</t>
  </si>
  <si>
    <t>Revenue - Functional</t>
  </si>
  <si>
    <t>Expenditure - Functional</t>
  </si>
  <si>
    <t>2. Total Revenue by Functional Classification must reconcile to total operating revenue shown in Financial Performance (revenue and expenditure)</t>
  </si>
  <si>
    <t>3. Total Expenditure by Functional Classification must reconcile to total operating expenditure shown in Financial Performance (revenue and expenditure)</t>
  </si>
  <si>
    <t>4. All amounts must be classified under a Functional classification. The GFS function 'Other' is only for Abbatoirs, Air Transport,  Forestry, Licensing and Regulation, Markets and Tourism - and if used must be supported by footnotes. Nothing else may be placed under 'Other'. Assign associate share to relevant classification</t>
  </si>
  <si>
    <t>1. Insert 'Vote'; e.g. department, if different to functional classification structure</t>
  </si>
  <si>
    <t>3. Total Expenditure by Functional Classification must reconcile to Total Operating Expenditure shown in Budgeted Financial Performance (revenue and expenditure)</t>
  </si>
  <si>
    <t>4. All amounts must be classified under a functional classification . The GFS function 'Other' is only for Abbatoirs, Air Transport,  Forestry, Licensing and Regulation, Markets and Tourism - and if used must be supported by footnotes. Nothing else may be placed under 'Other'. Assign associate share to relevant classification.</t>
  </si>
  <si>
    <t>2. Total Revenue by functional classification must reconcile to Total Operating Revenue shown in Budgeted Financial Performance (revenue and expenditure)</t>
  </si>
  <si>
    <t>2. Must reconcile to Financial Performance ('Revenue and Expenditure by Functional Classification' and 'Revenue and Expenditure')</t>
  </si>
  <si>
    <t>1. Insert 'Vote'; e.g. Department, if different to Functional structure</t>
  </si>
  <si>
    <t>3. Capital expenditure by functional classification must reconcile to the appropriations by vote</t>
  </si>
  <si>
    <t>Supporting Table SA38</t>
  </si>
  <si>
    <t>Entity Operational expenditure</t>
  </si>
  <si>
    <t>Total Operational expenditure</t>
  </si>
  <si>
    <t>Asset sub-class old</t>
  </si>
  <si>
    <r>
      <t xml:space="preserve">Interest Rate </t>
    </r>
    <r>
      <rPr>
        <b/>
        <sz val="8"/>
        <rFont val="Calibri"/>
        <family val="2"/>
      </rPr>
      <t>ᶟ</t>
    </r>
  </si>
  <si>
    <t>Formal settlements -  (50 kwh per indigent household per month Rands)</t>
  </si>
  <si>
    <t>Informal settlements (Rands)</t>
  </si>
  <si>
    <t>Informal settlements targeted for upgrading (Rands)</t>
  </si>
  <si>
    <t>Living in informal backyard rental agreement (Rands)</t>
  </si>
  <si>
    <t>Other (Rands)</t>
  </si>
  <si>
    <t>Formal settlements -  (6 kilolitre per indigent household per month Rands)</t>
  </si>
  <si>
    <t>Parks</t>
  </si>
  <si>
    <t xml:space="preserve"> </t>
  </si>
  <si>
    <t>Land</t>
  </si>
  <si>
    <t>Function</t>
  </si>
  <si>
    <t>Project Description</t>
  </si>
  <si>
    <t>Project Number</t>
  </si>
  <si>
    <t>Type</t>
  </si>
  <si>
    <t>List all capital projects grouped by Function</t>
  </si>
  <si>
    <t>MTSF Service Outcome</t>
  </si>
  <si>
    <t>IUDF</t>
  </si>
  <si>
    <t>Own Strategic Objectives</t>
  </si>
  <si>
    <t>Ward Location</t>
  </si>
  <si>
    <t>GPS Longitude</t>
  </si>
  <si>
    <t>GPS Lattitude</t>
  </si>
  <si>
    <t>Asset Sub-Class</t>
  </si>
  <si>
    <t>Must reconcile with Budgeted Capital Expenditure</t>
  </si>
  <si>
    <t>Projects that fall above the threshold values applicable to the municipality as identified in regulation 13 of the Municipal Budget and Reporting Regulations must be listed individually. Other projects by Function</t>
  </si>
  <si>
    <t>GPS coordinates correct to seconds. Provide a logical starting point on networked infrastructure.</t>
  </si>
  <si>
    <t>Distinguish projects approved in terms of MFMA section 19(1)(b) and MRRR Regulation 13</t>
  </si>
  <si>
    <t>Spatial integration</t>
  </si>
  <si>
    <t>Inclusion and access</t>
  </si>
  <si>
    <t>Growth</t>
  </si>
  <si>
    <t>Governance</t>
  </si>
  <si>
    <t>MTSF</t>
  </si>
  <si>
    <t>Quality basic education</t>
  </si>
  <si>
    <t>A long and healthy life for all South Africans</t>
  </si>
  <si>
    <t>All people in South Africa are and feel safe</t>
  </si>
  <si>
    <t>Decent employment through inclusive growth</t>
  </si>
  <si>
    <t>A skilled and capable workforce to support an inclusive growth path</t>
  </si>
  <si>
    <t>An efficient, competitive and responsive economic infrastructure network</t>
  </si>
  <si>
    <t>Vibrant, equitable, sustainable rural communities contributing towards food security for all</t>
  </si>
  <si>
    <t>Sustainable human settlements and improved quality of household life</t>
  </si>
  <si>
    <t>Responsive, accountable, effective and efficient local government</t>
  </si>
  <si>
    <t>Protect and enhance our environmental assets and natural resources</t>
  </si>
  <si>
    <t>Create a better South Africa and contribute to a better Africa and a better world</t>
  </si>
  <si>
    <t>An efficient, effective and development-oriented public service</t>
  </si>
  <si>
    <t>A comprehensive, responsive and sustainable social protection system</t>
  </si>
  <si>
    <t>A diverse, socially cohesive society with a common national identity</t>
  </si>
  <si>
    <t>List all operational projects grouped by Function</t>
  </si>
  <si>
    <t>Parent Operational expenditure</t>
  </si>
  <si>
    <t>List all Operational projects grouped by Entity</t>
  </si>
  <si>
    <t>Asset class as per table A9 and asset sub-class as per table SA34</t>
  </si>
  <si>
    <t>List all projects with planned completion dates in current year that have been re-budgeted in the MTREF</t>
  </si>
  <si>
    <t>Project Number consists of MSCOA Project Longcode and seq No (sample PC001002006002_00002)</t>
  </si>
  <si>
    <t>Project Number consists of MSCOA Project Longcode and seq No (sample PO001001002001002001002_00066)</t>
  </si>
  <si>
    <t>Must reconcile with Budgeted Operating Expenditure</t>
  </si>
  <si>
    <t>EC101 Dr Beyers Naude</t>
  </si>
  <si>
    <t>EKU City of Ekurhuleni</t>
  </si>
  <si>
    <t>KZN253 Emadlangeni</t>
  </si>
  <si>
    <t>KZN276 Hlabisa Big Five</t>
  </si>
  <si>
    <t>LIM345 Collins Chabane</t>
  </si>
  <si>
    <t>LIM476 Tubatse Fetakgomo</t>
  </si>
  <si>
    <t>NW405 J B Marks</t>
  </si>
  <si>
    <t>Renewal and Upgrading of Existing Assets</t>
  </si>
  <si>
    <t xml:space="preserve"> Other creditors</t>
  </si>
  <si>
    <t>Trade Payables</t>
  </si>
  <si>
    <t>5. Trade Payable should only include Trade Payables from Exchance Transactions ("True Creditors")</t>
  </si>
  <si>
    <t>DC4 Garden Route</t>
  </si>
  <si>
    <t>Gains</t>
  </si>
  <si>
    <t>Losses</t>
  </si>
  <si>
    <t>Decrease (increase) in non-current receivables</t>
  </si>
  <si>
    <t>Transfers and Subsidies - Operational</t>
  </si>
  <si>
    <t>Transfers and Subsidies - Capital</t>
  </si>
  <si>
    <t>Outsourced Services</t>
  </si>
  <si>
    <t>Consultants and Professional Services</t>
  </si>
  <si>
    <t>Contractors</t>
  </si>
  <si>
    <t>Transfers to/from Reserves</t>
  </si>
  <si>
    <t>Proceeds on Disposal of Fixed and Intangible Assets</t>
  </si>
  <si>
    <t xml:space="preserve">  Opening Balance</t>
  </si>
  <si>
    <t xml:space="preserve">  System Input Volume</t>
  </si>
  <si>
    <t xml:space="preserve">      Water Treatment Works</t>
  </si>
  <si>
    <t xml:space="preserve">      Bulk Purchases</t>
  </si>
  <si>
    <t xml:space="preserve">      Natural Sources</t>
  </si>
  <si>
    <t xml:space="preserve">  Authorised Consumption</t>
  </si>
  <si>
    <t xml:space="preserve">      Billed Authorised Consumption</t>
  </si>
  <si>
    <t xml:space="preserve">         Billed Metered Consumption</t>
  </si>
  <si>
    <t xml:space="preserve">          Free Basic Water</t>
  </si>
  <si>
    <t xml:space="preserve">          Subsidised Water</t>
  </si>
  <si>
    <t xml:space="preserve">          Revenue Water</t>
  </si>
  <si>
    <t xml:space="preserve">         Billed Unmetered Consumption</t>
  </si>
  <si>
    <t xml:space="preserve">     UnBilled Authorised Consumption</t>
  </si>
  <si>
    <t xml:space="preserve">          Unbilled Metered Consumption</t>
  </si>
  <si>
    <t xml:space="preserve">          Unbilled Unmetered Consumption</t>
  </si>
  <si>
    <t xml:space="preserve">     Water Losses</t>
  </si>
  <si>
    <t xml:space="preserve">         Apparent losses</t>
  </si>
  <si>
    <t xml:space="preserve">           Unauthorised Consumption</t>
  </si>
  <si>
    <t xml:space="preserve">           Customer Meter Inaccuracies</t>
  </si>
  <si>
    <t xml:space="preserve">         Real losses</t>
  </si>
  <si>
    <t xml:space="preserve">           Leakage on Transmission and Distribution Mains</t>
  </si>
  <si>
    <t xml:space="preserve">           Leakage and Overflows at Storage Tanks/Reservoirs</t>
  </si>
  <si>
    <t xml:space="preserve">           Leakage on Service Connections up to the point of Customer Meter</t>
  </si>
  <si>
    <t xml:space="preserve">           Data Transfer and Management Errors</t>
  </si>
  <si>
    <t xml:space="preserve">           Unavoidable Annual Real Losses</t>
  </si>
  <si>
    <t xml:space="preserve">  Non-revenue Water</t>
  </si>
  <si>
    <t xml:space="preserve">  Closing Balance Water</t>
  </si>
  <si>
    <t xml:space="preserve">      Acquisitions</t>
  </si>
  <si>
    <t xml:space="preserve">      Issues</t>
  </si>
  <si>
    <t xml:space="preserve">      Adjustments</t>
  </si>
  <si>
    <t xml:space="preserve">      Write-offs</t>
  </si>
  <si>
    <t xml:space="preserve">  Closing balance - Agricultural</t>
  </si>
  <si>
    <t>Consumables</t>
  </si>
  <si>
    <t>Standard Rated</t>
  </si>
  <si>
    <t xml:space="preserve">  Closing balance - Consumables Standard Rated</t>
  </si>
  <si>
    <t>Zero Rated</t>
  </si>
  <si>
    <t xml:space="preserve">  Closing balance - Consumables Zero Rated</t>
  </si>
  <si>
    <t>Finished Goods</t>
  </si>
  <si>
    <t xml:space="preserve">  Closing balance - Finished Goods</t>
  </si>
  <si>
    <t>Materials and Supplies</t>
  </si>
  <si>
    <t xml:space="preserve">  Closing balance - Materials and Supplies</t>
  </si>
  <si>
    <t>Work-in-progress</t>
  </si>
  <si>
    <t xml:space="preserve">      Materials</t>
  </si>
  <si>
    <t xml:space="preserve">      Transfers</t>
  </si>
  <si>
    <t xml:space="preserve">  Closing balance - Work-in-progress</t>
  </si>
  <si>
    <t>Housing Stock</t>
  </si>
  <si>
    <t xml:space="preserve">      Sales</t>
  </si>
  <si>
    <t xml:space="preserve">  Closing Balance - Housing Stock</t>
  </si>
  <si>
    <t xml:space="preserve">  Closing Balance - Land</t>
  </si>
  <si>
    <t>Closing Balance - Inventory &amp; Consumables</t>
  </si>
  <si>
    <t>Electricity bulk purchases</t>
  </si>
  <si>
    <t>Inventory Consumed (Project Maintenance)</t>
  </si>
  <si>
    <t xml:space="preserve"> Inventory Consumed</t>
  </si>
  <si>
    <t>Inventory Consumed - Water</t>
  </si>
  <si>
    <t>Inventory Consumed - Other</t>
  </si>
  <si>
    <t>Total Inventory Consumed &amp; Other Material</t>
  </si>
  <si>
    <t>2. Bulk purchases - Electricity &amp; Waste Water - use detail information from Table SA1</t>
  </si>
  <si>
    <t>3. Acquisition Inventory - Water &amp; other inventory - use detail information from Table SA3</t>
  </si>
  <si>
    <t>Inventory consumed</t>
  </si>
  <si>
    <r>
      <t xml:space="preserve">Less Revenue Foregone </t>
    </r>
    <r>
      <rPr>
        <b/>
        <i/>
        <sz val="8"/>
        <rFont val="Arial Narrow"/>
        <family val="2"/>
      </rPr>
      <t>(exemptions, reductions and rebates and impermissable values in excess of section 17 of MPRA)</t>
    </r>
  </si>
  <si>
    <r>
      <t>Less Revenue Foregone</t>
    </r>
    <r>
      <rPr>
        <b/>
        <i/>
        <sz val="8"/>
        <rFont val="Arial Narrow"/>
        <family val="2"/>
      </rPr>
      <t xml:space="preserve"> (in excess of 50 kwh per indigent household per month)</t>
    </r>
  </si>
  <si>
    <t>Less Cost of Free Basis Services (50 kwh per indigent household per month)</t>
  </si>
  <si>
    <r>
      <t xml:space="preserve">Less Revenue Foregone </t>
    </r>
    <r>
      <rPr>
        <b/>
        <i/>
        <sz val="8"/>
        <rFont val="Arial Narrow"/>
        <family val="2"/>
      </rPr>
      <t>(in excess of 6 kilolitres per indigent household per month)</t>
    </r>
  </si>
  <si>
    <t>Less Cost of Free Basis Services (6 kilolitres per indigent household per month)</t>
  </si>
  <si>
    <r>
      <t xml:space="preserve">Less Revenue Foregone </t>
    </r>
    <r>
      <rPr>
        <b/>
        <i/>
        <sz val="8"/>
        <rFont val="Arial Narrow"/>
        <family val="2"/>
      </rPr>
      <t>(in excess of free sanitation service to indigent households)</t>
    </r>
  </si>
  <si>
    <t>Less Cost of Free Basis Services (free sanitation service to indigent households)</t>
  </si>
  <si>
    <r>
      <t xml:space="preserve">Less Revenue Foregone </t>
    </r>
    <r>
      <rPr>
        <b/>
        <i/>
        <sz val="8"/>
        <rFont val="Arial Narrow"/>
        <family val="2"/>
      </rPr>
      <t>(in excess of one removal a week to indigent households)</t>
    </r>
  </si>
  <si>
    <t>Less Cost of Free Basis Services  (removed once a week to indigent households)</t>
  </si>
  <si>
    <t>Inventory consumed and bulk purchases</t>
  </si>
  <si>
    <t>Bulk purchases - electricity</t>
  </si>
  <si>
    <t xml:space="preserve">Bulk purchases - electricity </t>
  </si>
  <si>
    <t xml:space="preserve">     Correction of  Prior period errors</t>
  </si>
  <si>
    <t>Acquisitions - water &amp; other inventory</t>
  </si>
  <si>
    <t>9. Inventory Write-offs (Include under losses on Table A4)</t>
  </si>
  <si>
    <t>6. Inventory Consumed - Water - included under "Inventory Consumed" on Table A4 - Detail to be submitted on Table SA1</t>
  </si>
  <si>
    <t>7. Inventry Consumed Other - included under "Inventory Consumed" on Table A4 - Detail to be submitted on Table SA1</t>
  </si>
  <si>
    <t>8. Inventory Transfers/Adjustments (Include under gains/losses on Table A4)</t>
  </si>
  <si>
    <t>Parmaters: -</t>
  </si>
  <si>
    <t>Report Info: -</t>
  </si>
  <si>
    <t>S71_Account</t>
  </si>
  <si>
    <t>S71_AccountExtAccount</t>
  </si>
  <si>
    <t>S71_AccountExtensionID</t>
  </si>
  <si>
    <t>S71_AccountLink</t>
  </si>
  <si>
    <t>S71_ItemSCOAAccount</t>
  </si>
  <si>
    <t>S71_A4Code</t>
  </si>
  <si>
    <t>S71_A4Description</t>
  </si>
  <si>
    <t>S71_A4SubCode</t>
  </si>
  <si>
    <t>S71_A4SubDescription</t>
  </si>
  <si>
    <t>S71_SA1SubCode</t>
  </si>
  <si>
    <t>S71_SA1SubDescription</t>
  </si>
  <si>
    <t>S71_A2Code</t>
  </si>
  <si>
    <t>S71_A2Description</t>
  </si>
  <si>
    <t>S71_A2SubCode</t>
  </si>
  <si>
    <t>S71_A2SubDescription</t>
  </si>
  <si>
    <t>S71_A5CapexCode</t>
  </si>
  <si>
    <t>S71_A5GCode</t>
  </si>
  <si>
    <t>S71_A5GDescription</t>
  </si>
  <si>
    <t>S71_ProjectType</t>
  </si>
  <si>
    <t>S71_ItemType</t>
  </si>
  <si>
    <t>S71_A6Code</t>
  </si>
  <si>
    <t>S71_A6Description</t>
  </si>
  <si>
    <t>S71_A6SubCode</t>
  </si>
  <si>
    <t>S71_A6SubDescription</t>
  </si>
  <si>
    <t>S71_A7Code</t>
  </si>
  <si>
    <t>S71_A7Description</t>
  </si>
  <si>
    <t>S71_A7SubCode</t>
  </si>
  <si>
    <t>S71_A7SubDescription</t>
  </si>
  <si>
    <t>S71_A7CodePayments</t>
  </si>
  <si>
    <t>S71_A7DescriptionPayments</t>
  </si>
  <si>
    <t>S71_A7SubCodePayments</t>
  </si>
  <si>
    <t>S71_A7SubDescriptionPayments</t>
  </si>
  <si>
    <t>S71_A9Code</t>
  </si>
  <si>
    <t>S71_A9Description</t>
  </si>
  <si>
    <t>S71_A9SubCode</t>
  </si>
  <si>
    <t>S71_A9SubDescription</t>
  </si>
  <si>
    <t>S71_SA3Code</t>
  </si>
  <si>
    <t>S71_SA3Description</t>
  </si>
  <si>
    <t>S71_SA3SubCode</t>
  </si>
  <si>
    <t>S71_SA3SubDescription</t>
  </si>
  <si>
    <t>S71_SA30FDSubCode</t>
  </si>
  <si>
    <t>S71_SA30FDSubDescription</t>
  </si>
  <si>
    <t>S71_CFCode</t>
  </si>
  <si>
    <t>S71_SA34aCode</t>
  </si>
  <si>
    <t>S71_SA34aCode_2</t>
  </si>
  <si>
    <t>S71_SA34aDescription</t>
  </si>
  <si>
    <t>S71_SA34aSubDescription</t>
  </si>
  <si>
    <t>S71_SA34bSubCode</t>
  </si>
  <si>
    <t>S71_SA34bSubDescription</t>
  </si>
  <si>
    <t>S71_SA34cCode</t>
  </si>
  <si>
    <t>S71_SA34cDescription</t>
  </si>
  <si>
    <t>S71_SA34Code</t>
  </si>
  <si>
    <t>S71_SA34cSubCode</t>
  </si>
  <si>
    <t>S71_SA34cSubDescription</t>
  </si>
  <si>
    <t>S71_RepMaintCode</t>
  </si>
  <si>
    <t>S71_SA34dCode</t>
  </si>
  <si>
    <t>S71_SA34dDescription</t>
  </si>
  <si>
    <t>S71_SA34Description</t>
  </si>
  <si>
    <t>S71_SA34dSubCode</t>
  </si>
  <si>
    <t>S71_SA34dSubDescription</t>
  </si>
  <si>
    <t>S71_DepCode</t>
  </si>
  <si>
    <t>S71_SA34eCode</t>
  </si>
  <si>
    <t>S71_SA34eDescription</t>
  </si>
  <si>
    <t>S71_SA34eSubCode</t>
  </si>
  <si>
    <t>S71_SA34eSubDescription</t>
  </si>
  <si>
    <t>S71_StaffCode</t>
  </si>
  <si>
    <t>S71_MasterVoteMunicipal</t>
  </si>
  <si>
    <t>S71_SubMunicipalVoteNo</t>
  </si>
  <si>
    <t>S71_FxVoteDescription</t>
  </si>
  <si>
    <t>S71_MasterVoteDescription</t>
  </si>
  <si>
    <t>S71_SA15Ref</t>
  </si>
  <si>
    <t>S71_SA17Ref</t>
  </si>
  <si>
    <t>S71_PYearAmount</t>
  </si>
  <si>
    <t>S71_PPYearAmount</t>
  </si>
  <si>
    <t>S71_PPPYearAmount</t>
  </si>
  <si>
    <t>S71_OriginalBudAmnt</t>
  </si>
  <si>
    <t>S71_AdjustmentBudAmnt</t>
  </si>
  <si>
    <t>S71_ASBudgetAmount</t>
  </si>
  <si>
    <t>S71_OY1BudgetAmount</t>
  </si>
  <si>
    <t>S71_OY2BudgetAmount</t>
  </si>
  <si>
    <t>Code</t>
  </si>
  <si>
    <t>0200</t>
  </si>
  <si>
    <t>0300</t>
  </si>
  <si>
    <t>0400</t>
  </si>
  <si>
    <t>0500</t>
  </si>
  <si>
    <t>0600</t>
  </si>
  <si>
    <t>0800</t>
  </si>
  <si>
    <t>0900</t>
  </si>
  <si>
    <t>2000</t>
  </si>
  <si>
    <t>2100</t>
  </si>
  <si>
    <t>2200</t>
  </si>
  <si>
    <t>2300</t>
  </si>
  <si>
    <t>2400</t>
  </si>
  <si>
    <t>2500</t>
  </si>
  <si>
    <t>2600</t>
  </si>
  <si>
    <t>2700</t>
  </si>
  <si>
    <t>2800</t>
  </si>
  <si>
    <t>2900</t>
  </si>
  <si>
    <t>3000</t>
  </si>
  <si>
    <t>3300</t>
  </si>
  <si>
    <t>3400</t>
  </si>
  <si>
    <t>3500</t>
  </si>
  <si>
    <t>3700</t>
  </si>
  <si>
    <t>3900</t>
  </si>
  <si>
    <t>4100</t>
  </si>
  <si>
    <t>1605</t>
  </si>
  <si>
    <t>1606</t>
  </si>
  <si>
    <t>1607</t>
  </si>
  <si>
    <t>1608</t>
  </si>
  <si>
    <t>1609</t>
  </si>
  <si>
    <t>1610</t>
  </si>
  <si>
    <t>1611</t>
  </si>
  <si>
    <t>1612</t>
  </si>
  <si>
    <t>1613</t>
  </si>
  <si>
    <t>1614</t>
  </si>
  <si>
    <t>2001</t>
  </si>
  <si>
    <t>2002</t>
  </si>
  <si>
    <t>2003</t>
  </si>
  <si>
    <t>2004</t>
  </si>
  <si>
    <t>2005</t>
  </si>
  <si>
    <t>2006</t>
  </si>
  <si>
    <t>2007</t>
  </si>
  <si>
    <t>2008</t>
  </si>
  <si>
    <t>2009</t>
  </si>
  <si>
    <t>2010</t>
  </si>
  <si>
    <t>2011</t>
  </si>
  <si>
    <t>2012</t>
  </si>
  <si>
    <t>2090</t>
  </si>
  <si>
    <t>0</t>
  </si>
  <si>
    <t>2301</t>
  </si>
  <si>
    <t>2302</t>
  </si>
  <si>
    <t>2303</t>
  </si>
  <si>
    <t>2501</t>
  </si>
  <si>
    <t>2502</t>
  </si>
  <si>
    <t>2801</t>
  </si>
  <si>
    <t>2802</t>
  </si>
  <si>
    <t>2702</t>
  </si>
  <si>
    <t>2703</t>
  </si>
  <si>
    <t>??</t>
  </si>
  <si>
    <t>IE</t>
  </si>
  <si>
    <t>0150D</t>
  </si>
  <si>
    <t>0160D</t>
  </si>
  <si>
    <t>0130D</t>
  </si>
  <si>
    <t>0140D</t>
  </si>
  <si>
    <t>IR</t>
  </si>
  <si>
    <t>030002</t>
  </si>
  <si>
    <t>3203</t>
  </si>
  <si>
    <t>3204</t>
  </si>
  <si>
    <t>3205</t>
  </si>
  <si>
    <t>3206</t>
  </si>
  <si>
    <t>0120D</t>
  </si>
  <si>
    <t>0180D</t>
  </si>
  <si>
    <t>0210</t>
  </si>
  <si>
    <t>0220</t>
  </si>
  <si>
    <t>0260</t>
  </si>
  <si>
    <t>0350</t>
  </si>
  <si>
    <t>0360</t>
  </si>
  <si>
    <t>0170I</t>
  </si>
  <si>
    <t>0120</t>
  </si>
  <si>
    <t>0130</t>
  </si>
  <si>
    <t>0140</t>
  </si>
  <si>
    <t>0150</t>
  </si>
  <si>
    <t>0160</t>
  </si>
  <si>
    <t>0170</t>
  </si>
  <si>
    <t>0230</t>
  </si>
  <si>
    <t>0240</t>
  </si>
  <si>
    <t>0270</t>
  </si>
  <si>
    <t>0280</t>
  </si>
  <si>
    <t>0330</t>
  </si>
  <si>
    <t>0340</t>
  </si>
  <si>
    <t>0370</t>
  </si>
  <si>
    <t>0410</t>
  </si>
  <si>
    <t>0460</t>
  </si>
  <si>
    <t>0470</t>
  </si>
  <si>
    <t>0110</t>
  </si>
  <si>
    <t>0480</t>
  </si>
  <si>
    <t>0560</t>
  </si>
  <si>
    <t>0660</t>
  </si>
  <si>
    <t>0720</t>
  </si>
  <si>
    <t>0770</t>
  </si>
  <si>
    <t>1050</t>
  </si>
  <si>
    <t>1180</t>
  </si>
  <si>
    <t>1360</t>
  </si>
  <si>
    <t>1370</t>
  </si>
  <si>
    <t>1470</t>
  </si>
  <si>
    <t>1490</t>
  </si>
  <si>
    <t>1510</t>
  </si>
  <si>
    <t>1530</t>
  </si>
  <si>
    <t>1550</t>
  </si>
  <si>
    <t>1570</t>
  </si>
  <si>
    <t>CE</t>
  </si>
  <si>
    <t>0390</t>
  </si>
  <si>
    <t>0420</t>
  </si>
  <si>
    <t>3100</t>
  </si>
  <si>
    <t>3200</t>
  </si>
  <si>
    <t>4200</t>
  </si>
  <si>
    <t>4300</t>
  </si>
  <si>
    <t>4400</t>
  </si>
  <si>
    <t>5000</t>
  </si>
  <si>
    <t>2020</t>
  </si>
  <si>
    <t>2030</t>
  </si>
  <si>
    <t>2040</t>
  </si>
  <si>
    <t>2070</t>
  </si>
  <si>
    <t>2080</t>
  </si>
  <si>
    <t>0260D</t>
  </si>
  <si>
    <t>RM</t>
  </si>
  <si>
    <t>DP</t>
  </si>
  <si>
    <t>1.3 - [Name of sub-vote]</t>
  </si>
  <si>
    <t>1.4 - [Name of sub-vote]</t>
  </si>
  <si>
    <t>1.5 - [Name of sub-vote]</t>
  </si>
  <si>
    <t>1.6 - [Name of sub-vote]</t>
  </si>
  <si>
    <t>2.1 - Asset Management</t>
  </si>
  <si>
    <t>1.1 - Mayor and Council</t>
  </si>
  <si>
    <t>1.2 - Municipal Manager, Town Secretary and Chief Executive</t>
  </si>
  <si>
    <t>2.2 - Finance</t>
  </si>
  <si>
    <t>0180</t>
  </si>
  <si>
    <t>0190</t>
  </si>
  <si>
    <t>0250</t>
  </si>
  <si>
    <t>0290</t>
  </si>
  <si>
    <t>0310</t>
  </si>
  <si>
    <t>0320</t>
  </si>
  <si>
    <t>0380</t>
  </si>
  <si>
    <t>0430</t>
  </si>
  <si>
    <t>0440</t>
  </si>
  <si>
    <t>0450</t>
  </si>
  <si>
    <t>0490</t>
  </si>
  <si>
    <t>0510</t>
  </si>
  <si>
    <t>0520</t>
  </si>
  <si>
    <t>0530</t>
  </si>
  <si>
    <t>0540</t>
  </si>
  <si>
    <t>0550</t>
  </si>
  <si>
    <t>0570</t>
  </si>
  <si>
    <t>0580</t>
  </si>
  <si>
    <t>0590</t>
  </si>
  <si>
    <t>0610</t>
  </si>
  <si>
    <t>0620</t>
  </si>
  <si>
    <t>0630</t>
  </si>
  <si>
    <t>0640</t>
  </si>
  <si>
    <t>0650</t>
  </si>
  <si>
    <t>0670</t>
  </si>
  <si>
    <t>0680</t>
  </si>
  <si>
    <t>0690</t>
  </si>
  <si>
    <t>0700</t>
  </si>
  <si>
    <t>0710</t>
  </si>
  <si>
    <t>0730</t>
  </si>
  <si>
    <t>0740</t>
  </si>
  <si>
    <t>0750</t>
  </si>
  <si>
    <t>0760</t>
  </si>
  <si>
    <t>0790</t>
  </si>
  <si>
    <t>0810</t>
  </si>
  <si>
    <t>0820</t>
  </si>
  <si>
    <t>0830</t>
  </si>
  <si>
    <t>0840</t>
  </si>
  <si>
    <t>0850</t>
  </si>
  <si>
    <t>0860</t>
  </si>
  <si>
    <t>0870</t>
  </si>
  <si>
    <t>0880</t>
  </si>
  <si>
    <t>0890</t>
  </si>
  <si>
    <t>0910</t>
  </si>
  <si>
    <t>0920</t>
  </si>
  <si>
    <t>0930</t>
  </si>
  <si>
    <t>0940</t>
  </si>
  <si>
    <t>0950</t>
  </si>
  <si>
    <t>0960</t>
  </si>
  <si>
    <t>0970</t>
  </si>
  <si>
    <t>0980</t>
  </si>
  <si>
    <t>0990</t>
  </si>
  <si>
    <t>1020</t>
  </si>
  <si>
    <t>1030</t>
  </si>
  <si>
    <t>1040</t>
  </si>
  <si>
    <t>1060</t>
  </si>
  <si>
    <t>1070</t>
  </si>
  <si>
    <t>1080</t>
  </si>
  <si>
    <t>1090</t>
  </si>
  <si>
    <t>1130</t>
  </si>
  <si>
    <t>1140</t>
  </si>
  <si>
    <t>4002</t>
  </si>
  <si>
    <t>1160</t>
  </si>
  <si>
    <t>1170</t>
  </si>
  <si>
    <t>1220</t>
  </si>
  <si>
    <t>1230</t>
  </si>
  <si>
    <t>1240</t>
  </si>
  <si>
    <t>1250</t>
  </si>
  <si>
    <t>1260</t>
  </si>
  <si>
    <t>1270</t>
  </si>
  <si>
    <t>1280</t>
  </si>
  <si>
    <t>1290</t>
  </si>
  <si>
    <t>1320</t>
  </si>
  <si>
    <t>1330</t>
  </si>
  <si>
    <t>1340</t>
  </si>
  <si>
    <t>1380</t>
  </si>
  <si>
    <t>1410</t>
  </si>
  <si>
    <t>1420</t>
  </si>
  <si>
    <t>1430</t>
  </si>
  <si>
    <t>1440</t>
  </si>
  <si>
    <t>1450</t>
  </si>
  <si>
    <t>Not on Chart</t>
  </si>
  <si>
    <t>0141</t>
  </si>
  <si>
    <t>0145</t>
  </si>
  <si>
    <t>0146</t>
  </si>
  <si>
    <t>0147</t>
  </si>
  <si>
    <t>MS</t>
  </si>
  <si>
    <t>SM</t>
  </si>
  <si>
    <t>28000101</t>
  </si>
  <si>
    <t>28000102</t>
  </si>
  <si>
    <t>28000103</t>
  </si>
  <si>
    <t>28000104</t>
  </si>
  <si>
    <t>28000105</t>
  </si>
  <si>
    <t>28000201</t>
  </si>
  <si>
    <t>28000202</t>
  </si>
  <si>
    <t>28000203</t>
  </si>
  <si>
    <t>28000204</t>
  </si>
  <si>
    <t>28000205</t>
  </si>
  <si>
    <t>210001</t>
  </si>
  <si>
    <t>2903</t>
  </si>
  <si>
    <t>2904</t>
  </si>
  <si>
    <t>2905</t>
  </si>
  <si>
    <t>Consultant fees</t>
  </si>
  <si>
    <t>General expenses</t>
  </si>
  <si>
    <t>0241</t>
  </si>
  <si>
    <t>0242</t>
  </si>
  <si>
    <t>0243</t>
  </si>
  <si>
    <t>0341</t>
  </si>
  <si>
    <t>0342</t>
  </si>
  <si>
    <t>0361</t>
  </si>
  <si>
    <t>0362</t>
  </si>
  <si>
    <t>0363</t>
  </si>
  <si>
    <t>0364</t>
  </si>
  <si>
    <t>0401</t>
  </si>
  <si>
    <t>0402</t>
  </si>
  <si>
    <t>0411</t>
  </si>
  <si>
    <t>0412</t>
  </si>
  <si>
    <t>0413</t>
  </si>
  <si>
    <t>0461</t>
  </si>
  <si>
    <t>0462</t>
  </si>
  <si>
    <t>0464</t>
  </si>
  <si>
    <t>0465</t>
  </si>
  <si>
    <t>0466</t>
  </si>
  <si>
    <t>0467</t>
  </si>
  <si>
    <t>0471</t>
  </si>
  <si>
    <t>0472</t>
  </si>
  <si>
    <t>0473</t>
  </si>
  <si>
    <t>0474</t>
  </si>
  <si>
    <t>0475</t>
  </si>
  <si>
    <t>Insurance Refund</t>
  </si>
  <si>
    <t>Administrative Handling Fees</t>
  </si>
  <si>
    <t>Incidental Cash Surpluses</t>
  </si>
  <si>
    <t>1616</t>
  </si>
  <si>
    <t>Bad Debts Recovered</t>
  </si>
  <si>
    <t>Breakages and Losses Recovered</t>
  </si>
  <si>
    <t>Collection Charges</t>
  </si>
  <si>
    <t>Commission</t>
  </si>
  <si>
    <t>Discounts and Early Settlements</t>
  </si>
  <si>
    <t>Inspection Fees</t>
  </si>
  <si>
    <t>Registration Fees</t>
  </si>
  <si>
    <t>Staff Recoveries</t>
  </si>
  <si>
    <t>Request for Information</t>
  </si>
  <si>
    <t>Sale of Property</t>
  </si>
  <si>
    <t>Merchandising, Jobbing and Contracts</t>
  </si>
  <si>
    <t>Bursary Repayment</t>
  </si>
  <si>
    <t>Recovery Infrastructure Maintenance</t>
  </si>
  <si>
    <t>Skills Development Levy Refund</t>
  </si>
  <si>
    <t>Arbor City Awards Competition</t>
  </si>
  <si>
    <t>1615</t>
  </si>
  <si>
    <t>1617</t>
  </si>
  <si>
    <t>1618</t>
  </si>
  <si>
    <t>0170-06-01</t>
  </si>
  <si>
    <t>0170-06-00</t>
  </si>
  <si>
    <t>0170-03-01</t>
  </si>
  <si>
    <t>0170-04-01</t>
  </si>
  <si>
    <t>0170-04-02</t>
  </si>
  <si>
    <t>0170-04-00</t>
  </si>
  <si>
    <t>0170-03-00</t>
  </si>
  <si>
    <t>0170-03-02</t>
  </si>
  <si>
    <t>0170-01-00</t>
  </si>
  <si>
    <t>0170-01-04</t>
  </si>
  <si>
    <t>0170-01-05</t>
  </si>
  <si>
    <t>0170-01-06</t>
  </si>
  <si>
    <t>0170-01-07</t>
  </si>
  <si>
    <t>0170-01-08</t>
  </si>
  <si>
    <t>0170-01-09</t>
  </si>
  <si>
    <t>0170-01-10</t>
  </si>
  <si>
    <t>0170-01-11</t>
  </si>
  <si>
    <t>0170-01-12</t>
  </si>
  <si>
    <t>0170-01-13</t>
  </si>
  <si>
    <t>0170-01-14</t>
  </si>
  <si>
    <t>0170-01-15</t>
  </si>
  <si>
    <t>0170-01-16</t>
  </si>
  <si>
    <t>0170-01-17</t>
  </si>
  <si>
    <t>0170-01-18</t>
  </si>
  <si>
    <t>0170-02-00</t>
  </si>
  <si>
    <t>0170-02-01</t>
  </si>
  <si>
    <t>0170-02-02</t>
  </si>
  <si>
    <t>0170-02-03</t>
  </si>
  <si>
    <t>0170-02-04</t>
  </si>
  <si>
    <t>0170-03-03</t>
  </si>
  <si>
    <t>0170-03-04</t>
  </si>
  <si>
    <t>0170-04-03</t>
  </si>
  <si>
    <t>0170-04-04</t>
  </si>
  <si>
    <t>0170-05-00</t>
  </si>
  <si>
    <t>0170-05-01</t>
  </si>
  <si>
    <t>0170-05-02</t>
  </si>
  <si>
    <t>0170-05-03</t>
  </si>
  <si>
    <t>0170-05-04</t>
  </si>
  <si>
    <t>0170-06-02</t>
  </si>
  <si>
    <t>0170-06-03</t>
  </si>
  <si>
    <t>0170-06-04</t>
  </si>
  <si>
    <t>0170-07-00</t>
  </si>
  <si>
    <t>0170-07-01</t>
  </si>
  <si>
    <t>0170-07-02</t>
  </si>
  <si>
    <t>0170-08-00</t>
  </si>
  <si>
    <t>0170-08-01</t>
  </si>
  <si>
    <t>0170-08-02</t>
  </si>
  <si>
    <t>0170-08-03</t>
  </si>
  <si>
    <t>0170-09-00</t>
  </si>
  <si>
    <t>0170-09-01</t>
  </si>
  <si>
    <t>0170-09-02</t>
  </si>
  <si>
    <t>0170-09-03</t>
  </si>
  <si>
    <t>0170-09-04</t>
  </si>
  <si>
    <t>S71_WIPCode</t>
  </si>
  <si>
    <t>2020/21</t>
  </si>
  <si>
    <t>2019/20</t>
  </si>
  <si>
    <t>2018/19</t>
  </si>
  <si>
    <t>Current Year 2021/22</t>
  </si>
  <si>
    <t>2021/22</t>
  </si>
  <si>
    <t>2022/23 Medium Term Revenue &amp; Expenditure Framework</t>
  </si>
  <si>
    <t>Budget Year 2022/23</t>
  </si>
  <si>
    <t>Budget Year +1 2023/24</t>
  </si>
  <si>
    <t>Budget Year +2 2024/25</t>
  </si>
  <si>
    <t>Forecast 2025/26</t>
  </si>
  <si>
    <t>Forecast 2026/27</t>
  </si>
  <si>
    <t>Forecast 2027/28</t>
  </si>
  <si>
    <t>Forecast 2028/29</t>
  </si>
  <si>
    <t>Forecast 2029/30</t>
  </si>
  <si>
    <t>Forecast 2030/31</t>
  </si>
  <si>
    <t>Forecast 2031/32</t>
  </si>
  <si>
    <t>Forecast 2032/33</t>
  </si>
  <si>
    <t>Forecast 2033/34</t>
  </si>
  <si>
    <t>Forecast 2034/35</t>
  </si>
  <si>
    <t>Forecast 2035/36</t>
  </si>
  <si>
    <t>Forecast 2036/37</t>
  </si>
  <si>
    <t>Annual target 2022/23</t>
  </si>
  <si>
    <t>Revised target 2022/23</t>
  </si>
  <si>
    <t>2022/23</t>
  </si>
  <si>
    <t>2023/24</t>
  </si>
  <si>
    <t>2024/25</t>
  </si>
  <si>
    <t>Current Year 2022/23</t>
  </si>
  <si>
    <t>Current Year 2023/24</t>
  </si>
  <si>
    <t>Current Year 2024/25</t>
  </si>
  <si>
    <t>Current Year 2025/26</t>
  </si>
  <si>
    <t>2025/26</t>
  </si>
  <si>
    <t>2023/24 Medium Term Revenue &amp; Expenditure Framework</t>
  </si>
  <si>
    <t>2024/25 Medium Term Revenue &amp; Expenditure Framework</t>
  </si>
  <si>
    <t>2025/26 Medium Term Revenue &amp; Expenditure Framework</t>
  </si>
  <si>
    <t>2026/27 Medium Term Revenue &amp; Expenditure Framework</t>
  </si>
  <si>
    <t>Budget Year 2023/24</t>
  </si>
  <si>
    <t>Budget Year 2024/25</t>
  </si>
  <si>
    <t>Budget Year 2025/26</t>
  </si>
  <si>
    <t>Budget Year 2026/27</t>
  </si>
  <si>
    <t>Budget Year +1 2024/25</t>
  </si>
  <si>
    <t>Budget Year +1 2025/26</t>
  </si>
  <si>
    <t>Budget Year +1 2026/27</t>
  </si>
  <si>
    <t>Budget Year +1 2027/28</t>
  </si>
  <si>
    <t>Budget Year +2 2025/26</t>
  </si>
  <si>
    <t>Budget Year +2 2026/27</t>
  </si>
  <si>
    <t>Budget Year +2 2027/28</t>
  </si>
  <si>
    <t>Budget Year +2 2028/29</t>
  </si>
  <si>
    <t>Forecast 2037/38</t>
  </si>
  <si>
    <t>Forecast 2038/39</t>
  </si>
  <si>
    <t>Forecast 2039/40</t>
  </si>
  <si>
    <t>Forecast 2040/41</t>
  </si>
  <si>
    <t>Annual target 2023/24</t>
  </si>
  <si>
    <t>Annual target 2024/25</t>
  </si>
  <si>
    <t>Annual target 2025/26</t>
  </si>
  <si>
    <t>Annual target 2026/27</t>
  </si>
  <si>
    <t>Revised target 2023/24</t>
  </si>
  <si>
    <t>Revised target 2024/25</t>
  </si>
  <si>
    <t>Revised target 2025/26</t>
  </si>
  <si>
    <t>Revised target 2026/27</t>
  </si>
  <si>
    <t>S71_PreAuditActual</t>
  </si>
  <si>
    <t>250</t>
  </si>
  <si>
    <t>0360D</t>
  </si>
  <si>
    <t>0170-01-01</t>
  </si>
  <si>
    <t>0170-01-02</t>
  </si>
  <si>
    <t>0170-01-03</t>
  </si>
  <si>
    <t>CDE</t>
  </si>
  <si>
    <t>NCR</t>
  </si>
  <si>
    <t>NCI</t>
  </si>
  <si>
    <t>S71_ConsDepositsCode</t>
  </si>
  <si>
    <t>S71_NonCurrentInvCode</t>
  </si>
  <si>
    <t>S71_NonCurrentRecCode</t>
  </si>
  <si>
    <t>S71_WIPOPBalance</t>
  </si>
  <si>
    <t>WIP</t>
  </si>
  <si>
    <t>_</t>
  </si>
  <si>
    <t>Expansion of Government-led job creation Programmes</t>
  </si>
  <si>
    <t>15e69c38-4e08-4877-befd-6e660e933c94</t>
  </si>
  <si>
    <t>4961ceae-f516-4ca4-8606-68cdea41b24d</t>
  </si>
  <si>
    <t>Enhancing Health of Communities and Citizens</t>
  </si>
  <si>
    <t>0e51e5d3-5805-402b-a5dc-3b94852c29c0</t>
  </si>
  <si>
    <t xml:space="preserve">Expenses </t>
  </si>
  <si>
    <t>0f52d9e5-907f-4d9f-934f-57dc012524d6</t>
  </si>
  <si>
    <t>Development of Information &amp; Communications Technology (ICT)</t>
  </si>
  <si>
    <t>Employee Related Cost</t>
  </si>
  <si>
    <t>315a0f4d-28ad-4cd2-a4a5-afb34a6a8e1f</t>
  </si>
  <si>
    <t xml:space="preserve">Strategic Infrastructure </t>
  </si>
  <si>
    <t>Promote Participative, Facilitative and Accountable Governance</t>
  </si>
  <si>
    <t>Human and Community Development</t>
  </si>
  <si>
    <t>35f914ed-b099-4a36-890d-69e60fc0e57c</t>
  </si>
  <si>
    <t>Promoting SMME, Entrepreneurial and Youth Development</t>
  </si>
  <si>
    <t>Advance Social Cohesion</t>
  </si>
  <si>
    <t>67347610-1db2-421f-a89a-f87e772911eb</t>
  </si>
  <si>
    <t>TAKE ON</t>
  </si>
  <si>
    <t>Take on Balance</t>
  </si>
  <si>
    <t>Human Resource Development</t>
  </si>
  <si>
    <t>6fa14a15-a164-42cb-a263-a0b007852bc5</t>
  </si>
  <si>
    <t>Job Creation</t>
  </si>
  <si>
    <t>85b47546-ec84-4fee-9b26-f61dc2ccdc58</t>
  </si>
  <si>
    <t>9239a3c9-0229-43e6-a0e7-de20e7cc7b18</t>
  </si>
  <si>
    <t>Early Childhood Development, Primary and Secondary Education</t>
  </si>
  <si>
    <t>Youth Skills Development and Life-Long Learning</t>
  </si>
  <si>
    <t>Skills alignment to Economic Growth (KZN HRD Strategy focus)</t>
  </si>
  <si>
    <t>be26bea6-58e3-4497-b52c-0bf597208207</t>
  </si>
  <si>
    <t>Development of Harbours and Ports</t>
  </si>
  <si>
    <t>f32673a9-748b-4c42-bd0d-50637a8477f0</t>
  </si>
  <si>
    <t>c57d4368-34c4-4b96-8470-2264a2fa849c</t>
  </si>
  <si>
    <t>Unleashing Agricultural Potential</t>
  </si>
  <si>
    <t>Poverty Alleviation &amp; Social Welfare</t>
  </si>
  <si>
    <t>Sustainable Livelihoods &amp; Food Security</t>
  </si>
  <si>
    <t>Promote Youth, Gender &amp; Disability Advocacy &amp; Women’s Advancement</t>
  </si>
  <si>
    <t>95ad41b9-a1fe-4564-9867-e94f693afeb7</t>
  </si>
  <si>
    <t>Building Policy and Strategy Coordination</t>
  </si>
  <si>
    <t>Enhance the Knowledge Economy</t>
  </si>
  <si>
    <t>Sustainable Human Settlements</t>
  </si>
  <si>
    <t>e65f548d-c3fb-4eb6-b042-e507e9eec386</t>
  </si>
  <si>
    <t>Governance and Policy</t>
  </si>
  <si>
    <t>Balance Sheet Budget</t>
  </si>
  <si>
    <t>PC001001001006001000000000000000000000_00003</t>
  </si>
  <si>
    <t xml:space="preserve">Revenue </t>
  </si>
  <si>
    <t>PC002001000000000000000000000000000000_00001</t>
  </si>
  <si>
    <t>PC002002001002001001000000000000000000_00001</t>
  </si>
  <si>
    <t>PC002002001004000000000000000000000000_00001</t>
  </si>
  <si>
    <t>PC002002001005000000000000000000000000_00001</t>
  </si>
  <si>
    <t>PC002002001008002001000000000000000000_00002</t>
  </si>
  <si>
    <t>PC002002001010000000000000000000000000_00001</t>
  </si>
  <si>
    <t>KZN226_CAP002_New Furniture &amp; Equipment</t>
  </si>
  <si>
    <t>PC002003005000000000000000000000000000_00001</t>
  </si>
  <si>
    <t>KZN226_CAP003_New Computer hardware &amp; Software</t>
  </si>
  <si>
    <t>PC002003004000000000000000000000000000_00001</t>
  </si>
  <si>
    <t>PC002002001002001003000000000000000000_00001</t>
  </si>
  <si>
    <t>PC002002001002002002000000000000000000_00001</t>
  </si>
  <si>
    <t>PC002002001007002004000000000000000000_00002</t>
  </si>
  <si>
    <t>PC002002001009000000000000000000000000_00001</t>
  </si>
  <si>
    <t>PC002003003001001000000000000000000000_00001</t>
  </si>
  <si>
    <t>PC002003005000000000000000000000000000_00002</t>
  </si>
  <si>
    <t>PC002003005000000000000000000000000000_00003</t>
  </si>
  <si>
    <t>PC002003007002004000000000000000000000_00001</t>
  </si>
  <si>
    <t>PC002003007002004000000000000000000000_00002</t>
  </si>
  <si>
    <t>PC002003005000000000000000000000000000_00004</t>
  </si>
  <si>
    <t xml:space="preserve">KZN226_CAP007_Server Room Renovations </t>
  </si>
  <si>
    <t>PC002002002003001001000000000000000000_00001</t>
  </si>
  <si>
    <t>BSD014_Manzamyama Hall</t>
  </si>
  <si>
    <t>PC002003002001001000000000000000000000_00010</t>
  </si>
  <si>
    <t>BSD015_Okhalweni Hall</t>
  </si>
  <si>
    <t>PC002003002001001000000000000000000000_00011</t>
  </si>
  <si>
    <t>1a4d77b8-f366-4822-863e-b2d39de6acf2</t>
  </si>
  <si>
    <t>Kwenzokuhle Community hall</t>
  </si>
  <si>
    <t>PC002003002001001000000000000000000000_00013</t>
  </si>
  <si>
    <t>a5ea71fb-3c11-4c79-a969-0f752bc4bc2c</t>
  </si>
  <si>
    <t>KZN226_BSD002_Construction of Camperdown Hall</t>
  </si>
  <si>
    <t>PC002003002001001000000000000000000000_00005</t>
  </si>
  <si>
    <t>PC002003002001001000000000000000000000_00007</t>
  </si>
  <si>
    <t>Banqobile Sport Ground</t>
  </si>
  <si>
    <t>PC002003002002002000000000000000000000_00002</t>
  </si>
  <si>
    <t>Maqongqo Sportfield</t>
  </si>
  <si>
    <t>PC002002002002002002000000000000000000_00001</t>
  </si>
  <si>
    <t>5082efa3-67e2-4342-b8ce-4328f3046d7c</t>
  </si>
  <si>
    <t>KZN226_BSD005_Dwengu Hall</t>
  </si>
  <si>
    <t>PC002003002001001000000000000000000000_00001</t>
  </si>
  <si>
    <t>KZN226_BSD009_Ezinembeni Creche_WARD1</t>
  </si>
  <si>
    <t>PC002003002001003000000000000000000000_00005</t>
  </si>
  <si>
    <t>Cash Flow Accounts</t>
  </si>
  <si>
    <t>PC001001002006001000000000000000000000_00006</t>
  </si>
  <si>
    <t>New Municipal Offices</t>
  </si>
  <si>
    <t>KZN226_BSD012_Nkosi Mdluli Hall_Ward 5</t>
  </si>
  <si>
    <t>PC002003002001001000000000000000000000_00006</t>
  </si>
  <si>
    <t>BSD228 Oehley Road Ward3</t>
  </si>
  <si>
    <t>PC001002006001000000000000000000000000_00012</t>
  </si>
  <si>
    <t>Cap11 Qeda Zulu</t>
  </si>
  <si>
    <t>PC001002006001000000000000000000000000_00001</t>
  </si>
  <si>
    <t>Jilafohlo Access Road</t>
  </si>
  <si>
    <t>PC001002006001000000000000000000000000_00013</t>
  </si>
  <si>
    <t>Development of Road and Rail Networks</t>
  </si>
  <si>
    <t>KZN226_BSD006_Queen Elizebeth Road</t>
  </si>
  <si>
    <t>PC001001001006001000000000000000000000_00001</t>
  </si>
  <si>
    <t>7f87fe51-d44c-418c-b03d-bd910d25d4c3</t>
  </si>
  <si>
    <t>KZN226_BSD010_Nobhala Road _Ward3</t>
  </si>
  <si>
    <t>PC001001002006001000000000000000000000_00001</t>
  </si>
  <si>
    <t>KZN226_BSD011_Mdala Road _Ward4</t>
  </si>
  <si>
    <t>PC001001002006001000000000000000000000_00002</t>
  </si>
  <si>
    <t>KZN226_CAP005_X2 Bakkie</t>
  </si>
  <si>
    <t>PC002003010000000000000000000000000000_00002</t>
  </si>
  <si>
    <t xml:space="preserve">KZN226_CAP006_Shelter for Municipal Vehicles </t>
  </si>
  <si>
    <t>PC002002001003001005000000000000000000_00001</t>
  </si>
  <si>
    <t>Makhokhoba Access Road</t>
  </si>
  <si>
    <t>PC001002006003000000000000000000000000_00001</t>
  </si>
  <si>
    <t>Mgwahumbe Greavel raod</t>
  </si>
  <si>
    <t>PC001002006001000000000000000000000000_00003</t>
  </si>
  <si>
    <t>Nonzila Gravel Road`</t>
  </si>
  <si>
    <t>PC002003002001001000000000000000000000_00012</t>
  </si>
  <si>
    <t>Ntweka access road</t>
  </si>
  <si>
    <t>PC001002006001000000000000000000000000_00004</t>
  </si>
  <si>
    <t>c227f1b8-9dd7-4990-b2d3-336fa49d5049</t>
  </si>
  <si>
    <t>Resurfacing of Alfred Storm</t>
  </si>
  <si>
    <t>PC001002006001000000000000000000000000_00007</t>
  </si>
  <si>
    <t>BSD022_1</t>
  </si>
  <si>
    <t xml:space="preserve">Resurfacing of Ascent Crescent </t>
  </si>
  <si>
    <t>PC001002006001000000000000000000000000_00005</t>
  </si>
  <si>
    <t>Resurfacing of Charton Place Road</t>
  </si>
  <si>
    <t>PC001002006001000000000000000000000000_00008</t>
  </si>
  <si>
    <t>Resurfacing of Leylands Road</t>
  </si>
  <si>
    <t>PC001002006001000000000000000000000000_00009</t>
  </si>
  <si>
    <t>Resurfacing of Victoria Road</t>
  </si>
  <si>
    <t>PC001002006001000000000000000000000000_00006</t>
  </si>
  <si>
    <t>Resurfacing of Wood Circle</t>
  </si>
  <si>
    <t>PC001002006001000000000000000000000000_00010</t>
  </si>
  <si>
    <t>KZN226_CAP001_Vehicles- 1 x Refuse truck</t>
  </si>
  <si>
    <t>PC002003010000000000000000000000000000_00001</t>
  </si>
  <si>
    <t>PC002003002001001000000000000000000000_00004</t>
  </si>
  <si>
    <t>PC002003002001003000000000000000000000_00007</t>
  </si>
  <si>
    <t>Build Government Capacity</t>
  </si>
  <si>
    <t>Capacitate staff and councillors through WSP</t>
  </si>
  <si>
    <t>To actively promote spatial concentration and coordination of development interventions.</t>
  </si>
  <si>
    <t>D0001/IA02563/F0001/X049/R1331/001/FIN</t>
  </si>
  <si>
    <t>Assets:Current Assets:Receivables from Non-exchange Transactions:Property Rates:Agricultural Properties:Impairment:Opening Balance</t>
  </si>
  <si>
    <t xml:space="preserve"> _</t>
  </si>
  <si>
    <t xml:space="preserve"> _ </t>
  </si>
  <si>
    <t>IA</t>
  </si>
  <si>
    <t>Finance and Administration</t>
  </si>
  <si>
    <t>D0001/IA02565/F0001/X049/R1331/001/FIN</t>
  </si>
  <si>
    <t>Assets:Current Assets:Receivables from Non-exchange Transactions:Property Rates:Agricultural Properties:Impairment:Reversal</t>
  </si>
  <si>
    <t>D0001/IA02128/F0001/X049/R1331/001/FIN</t>
  </si>
  <si>
    <t>Assets:Current Assets:Receivables from Non-exchange Transactions:Property Rates:Agricultural Properties:Accrued Revenue</t>
  </si>
  <si>
    <t>D0001/IA02131/F0001/X049/R1331/001/FIN</t>
  </si>
  <si>
    <t>Assets:Current Assets:Receivables from Non-exchange Transactions:Property Rates:Agricultural Properties:Debt Write-offs</t>
  </si>
  <si>
    <t>D0001/IA08405/F0001/X049/R1331/001/FIN</t>
  </si>
  <si>
    <t>Assets:Current Assets:Receivables from Non-exchange Transactions:Property Rates:Agricultural Properties:Interest Charge</t>
  </si>
  <si>
    <t>D0001/IA02134/F0001/X049/R1331/001/FIN</t>
  </si>
  <si>
    <t>Assets:Current Assets:Receivables from Non-exchange Transactions:Property Rates:Agricultural Properties:Prior Period Corrections and Adjustments</t>
  </si>
  <si>
    <t>D0001/IA02568/F0001/X049/R1331/001/FIN</t>
  </si>
  <si>
    <t>Assets:Current Assets:Receivables from Non-exchange Transactions:Property Rates:Business  and Commercial:Impairment:Recognised</t>
  </si>
  <si>
    <t>D0001/IA02569/F0001/X049/R1331/001/FIN</t>
  </si>
  <si>
    <t>Assets:Current Assets:Receivables from Non-exchange Transactions:Property Rates:Business  and Commercial:Impairment:Reversal</t>
  </si>
  <si>
    <t>D0001/IA02137/F0001/X049/R1331/001/FIN</t>
  </si>
  <si>
    <t>Assets:Current Assets:Receivables from Non-exchange Transactions:Property Rates:Business  and Commercial:Collections</t>
  </si>
  <si>
    <t>D0001/IA02138/F0001/X049/R1331/001/FIN</t>
  </si>
  <si>
    <t>Assets:Current Assets:Receivables from Non-exchange Transactions:Property Rates:Business  and Commercial:Debt Write-offs</t>
  </si>
  <si>
    <t>D0001/IA08406/F0001/X049/R1331/001/FIN</t>
  </si>
  <si>
    <t>Assets:Current Assets:Receivables from Non-exchange Transactions:Property Rates:Business  and Commercial:Interest Charge</t>
  </si>
  <si>
    <t>D0001/IA02141/F0047/X049/R1331/001/FIN</t>
  </si>
  <si>
    <t>Assets:Current Assets:Receivables from Non-exchange Transactions:Property Rates:Business  and Commercial:Prior Period Corrections and Adjustments</t>
  </si>
  <si>
    <t>D0001/IA00396/F0001/X049/R1331/001/FIN</t>
  </si>
  <si>
    <t>Assets:Current Assets:Receivables from Non-exchange Transactions:Property Rates:Communal Land:Small Holdings:Impairment:Recognised</t>
  </si>
  <si>
    <t>D0001/IA00397/F0001/X049/R1331/001/FIN</t>
  </si>
  <si>
    <t>Assets:Current Assets:Receivables from Non-exchange Transactions:Property Rates:Communal Land:Small Holdings:Impairment:Reversal</t>
  </si>
  <si>
    <t>D0001/IA02598/F0001/X049/R1331/001/FIN</t>
  </si>
  <si>
    <t>Assets:Current Assets:Receivables from Non-exchange Transactions:Property Rates:Communal Land:Small Holdings:Accrued Revenue</t>
  </si>
  <si>
    <t>D0001/IA02601/F0001/X049/R1331/001/FIN</t>
  </si>
  <si>
    <t>Assets:Current Assets:Receivables from Non-exchange Transactions:Property Rates:Communal Land:Small Holdings:Debt Write-offs</t>
  </si>
  <si>
    <t>D0001/IA09941/F0001/X049/R1331/001/FIN</t>
  </si>
  <si>
    <t>Assets:Current Assets:Receivables from Non-exchange Transactions:Property Rates:Communal Land:Small Holdings:Interest Charge</t>
  </si>
  <si>
    <t>D0001/IA02604/F0001/X049/R1331/001/FIN</t>
  </si>
  <si>
    <t>Assets:Current Assets:Receivables from Non-exchange Transactions:Property Rates:Communal Land:Small Holdings:Prior Period Corrections and Adjustments</t>
  </si>
  <si>
    <t>D0001/IA00392/F0001/X049/R1331/001/FIN</t>
  </si>
  <si>
    <t>Assets:Current Assets:Receivables from Non-exchange Transactions:Property Rates:Communal Land:Residential:Impairment:Recognised</t>
  </si>
  <si>
    <t>D0001/IA00393/F0001/X049/R1331/001/FIN</t>
  </si>
  <si>
    <t>Assets:Current Assets:Receivables from Non-exchange Transactions:Property Rates:Communal Land:Residential:Impairment:Reversal</t>
  </si>
  <si>
    <t>D0001/IA02591/F0001/X049/R1331/001/FIN</t>
  </si>
  <si>
    <t>Assets:Current Assets:Receivables from Non-exchange Transactions:Property Rates:Communal Land:Residential:Accrued Revenue</t>
  </si>
  <si>
    <t>D0001/IA02593/F0001/X049/R1331/001/FIN</t>
  </si>
  <si>
    <t>Assets:Current Assets:Receivables from Non-exchange Transactions:Property Rates:Communal Land:Residential:Collections</t>
  </si>
  <si>
    <t>D0001/IA02594/F0001/X049/R1331/001/FIN</t>
  </si>
  <si>
    <t>Assets:Current Assets:Receivables from Non-exchange Transactions:Property Rates:Communal Land:Residential:Debt Write-offs</t>
  </si>
  <si>
    <t>D0001/IA09940/F0001/X049/R1331/001/FIN</t>
  </si>
  <si>
    <t>Assets:Current Assets:Receivables from Non-exchange Transactions:Property Rates:Communal Land:Residential:Interest Charge</t>
  </si>
  <si>
    <t>D0001/IA02595/F0001/X049/R1331/001/FIN</t>
  </si>
  <si>
    <t>Assets:Current Assets:Receivables from Non-exchange Transactions:Property Rates:Communal Land:Residential:Monthly Billing</t>
  </si>
  <si>
    <t>D0001/IA02597/F0001/X049/R1331/001/FIN</t>
  </si>
  <si>
    <t>Assets:Current Assets:Receivables from Non-exchange Transactions:Property Rates:Communal Land:Residential:Prior Period Corrections and Adjustments</t>
  </si>
  <si>
    <t>D0001/IA00388/F0001/X049/R1331/001/FIN</t>
  </si>
  <si>
    <t>Assets:Current Assets:Receivables from Non-exchange Transactions:Property Rates:Communal Land:Other:Impairment:Recognised</t>
  </si>
  <si>
    <t>D0001/IA00389/F0001/X049/R1331/001/FIN</t>
  </si>
  <si>
    <t>Assets:Current Assets:Receivables from Non-exchange Transactions:Property Rates:Communal Land:Other:Impairment:Reversal</t>
  </si>
  <si>
    <t>D0001/IA02584/F0001/X049/R1331/001/FIN</t>
  </si>
  <si>
    <t>Assets:Current Assets:Receivables from Non-exchange Transactions:Property Rates:Communal Land:Other:Accrued Revenue</t>
  </si>
  <si>
    <t>D0001/IA02586/F0001/X049/R1331/001/FIN</t>
  </si>
  <si>
    <t>Assets:Current Assets:Receivables from Non-exchange Transactions:Property Rates:Communal Land:Other:Collections</t>
  </si>
  <si>
    <t>D0001/IA02587/F0001/X049/R1331/001/FIN</t>
  </si>
  <si>
    <t>Assets:Current Assets:Receivables from Non-exchange Transactions:Property Rates:Communal Land:Other:Debt Write-offs</t>
  </si>
  <si>
    <t>D0001/IA09939/F0001/X049/R1331/001/FIN</t>
  </si>
  <si>
    <t>Assets:Current Assets:Receivables from Non-exchange Transactions:Property Rates:Communal Land:Other:Interest Charge</t>
  </si>
  <si>
    <t>D0001/IA02588/F0001/X049/R1331/001/FIN</t>
  </si>
  <si>
    <t>Assets:Current Assets:Receivables from Non-exchange Transactions:Property Rates:Communal Land:Other:Monthly Billing</t>
  </si>
  <si>
    <t>D0001/IA02590/F0001/X049/R1331/001/FIN</t>
  </si>
  <si>
    <t>Assets:Current Assets:Receivables from Non-exchange Transactions:Property Rates:Communal Land:Other:Prior Period Corrections and Adjustments</t>
  </si>
  <si>
    <t>D0001/IA00384/F0001/X049/R1331/001/FIN</t>
  </si>
  <si>
    <t>Assets:Current Assets:Receivables from Non-exchange Transactions:Property Rates:Communal Land:Farm Property:Impairment:Recognised</t>
  </si>
  <si>
    <t>D0001/IA00385/F0001/X049/R1331/001/FIN</t>
  </si>
  <si>
    <t>Assets:Current Assets:Receivables from Non-exchange Transactions:Property Rates:Communal Land:Farm Property:Impairment:Reversal</t>
  </si>
  <si>
    <t>D0001/IA02577/F0001/X049/R1331/001/FIN</t>
  </si>
  <si>
    <t>Assets:Current Assets:Receivables from Non-exchange Transactions:Property Rates:Communal Land:Farm Property:Accrued Revenue</t>
  </si>
  <si>
    <t>D0001/IA02579/F0001/X049/R1331/001/FIN</t>
  </si>
  <si>
    <t>Assets:Current Assets:Receivables from Non-exchange Transactions:Property Rates:Communal Land:Farm Property:Collections</t>
  </si>
  <si>
    <t>D0001/IA02580/F0001/X049/R1331/001/FIN</t>
  </si>
  <si>
    <t>Assets:Current Assets:Receivables from Non-exchange Transactions:Property Rates:Communal Land:Farm Property:Debt Write-offs</t>
  </si>
  <si>
    <t>D0001/IA09938/F0001/X049/R1331/001/FIN</t>
  </si>
  <si>
    <t>Assets:Current Assets:Receivables from Non-exchange Transactions:Property Rates:Communal Land:Farm Property:Interest Charge</t>
  </si>
  <si>
    <t>D0001/IA02581/F0001/X049/R1331/001/FIN</t>
  </si>
  <si>
    <t>Assets:Current Assets:Receivables from Non-exchange Transactions:Property Rates:Communal Land:Farm Property:Monthly Billing</t>
  </si>
  <si>
    <t>D0001/IA02583/F0001/X049/R1331/001/FIN</t>
  </si>
  <si>
    <t>Assets:Current Assets:Receivables from Non-exchange Transactions:Property Rates:Communal Land:Farm Property:Prior Period Corrections and Adjustments</t>
  </si>
  <si>
    <t>D0001/IA00380/F0001/X049/R1331/001/FIN</t>
  </si>
  <si>
    <t>Assets:Current Assets:Receivables from Non-exchange Transactions:Property Rates:Communal Land:Business and Commercial:Impairment:Recognised</t>
  </si>
  <si>
    <t>D0001/IA00381/F0001/X049/R1331/001/FIN</t>
  </si>
  <si>
    <t>Assets:Current Assets:Receivables from Non-exchange Transactions:Property Rates:Communal Land:Business and Commercial:Impairment:Reversal</t>
  </si>
  <si>
    <t>D0001/IA02570/F0001/X049/R1331/001/FIN</t>
  </si>
  <si>
    <t>Assets:Current Assets:Receivables from Non-exchange Transactions:Property Rates:Communal Land:Business and Commercial:Accrued Revenue</t>
  </si>
  <si>
    <t>D0001/IA02572/F0001/X049/R1331/001/FIN</t>
  </si>
  <si>
    <t>Assets:Current Assets:Receivables from Non-exchange Transactions:Property Rates:Communal Land:Business and Commercial:Collections</t>
  </si>
  <si>
    <t>D0001/IA02573/F0001/X049/R1331/001/FIN</t>
  </si>
  <si>
    <t>Assets:Current Assets:Receivables from Non-exchange Transactions:Property Rates:Communal Land:Business and Commercial:Debt Write-offs</t>
  </si>
  <si>
    <t>D0001/IA09937/F0001/X049/R1331/001/FIN</t>
  </si>
  <si>
    <t>Assets:Current Assets:Receivables from Non-exchange Transactions:Property Rates:Communal Land:Business and Commercial:Interest Charge</t>
  </si>
  <si>
    <t>D0001/IA02574/F0001/X049/R1331/001/FIN</t>
  </si>
  <si>
    <t>Assets:Current Assets:Receivables from Non-exchange Transactions:Property Rates:Communal Land:Business and Commercial:Monthly Billing</t>
  </si>
  <si>
    <t>D0001/IA02576/F0001/X049/R1331/001/FIN</t>
  </si>
  <si>
    <t>Assets:Current Assets:Receivables from Non-exchange Transactions:Property Rates:Communal Land:Business and Commercial:Prior Period Corrections and Adjustments</t>
  </si>
  <si>
    <t>D0001/IA02649/F0001/X049/R1330/001/FIN</t>
  </si>
  <si>
    <t>Assets:Current Assets:Receivables from Non-exchange Transactions:Property Rates:Formal and Informal Settlements:Impairment:Recognised</t>
  </si>
  <si>
    <t>D0001/IA02650/F0001/X049/R1330/001/FIN</t>
  </si>
  <si>
    <t>Assets:Current Assets:Receivables from Non-exchange Transactions:Property Rates:Formal and Informal Settlements:Impairment:Reversal</t>
  </si>
  <si>
    <t>D0001/IA02142/F0001/X049/R1330/001/FIN</t>
  </si>
  <si>
    <t>Assets:Current Assets:Receivables from Non-exchange Transactions:Property Rates:Formal and Informal Settlements:Accrued Revenue</t>
  </si>
  <si>
    <t>D0001/IA02144/F0001/X049/R1330/001/FIN</t>
  </si>
  <si>
    <t>Assets:Current Assets:Receivables from Non-exchange Transactions:Property Rates:Formal and Informal Settlements:Collections</t>
  </si>
  <si>
    <t>D0001/IA02145/F0001/X049/R1330/001/FIN</t>
  </si>
  <si>
    <t>Assets:Current Assets:Receivables from Non-exchange Transactions:Property Rates:Formal and Informal Settlements:Debt Write-offs</t>
  </si>
  <si>
    <t>D0001/IA08407/F0001/X049/R1330/001/FIN</t>
  </si>
  <si>
    <t>Assets:Current Assets:Receivables from Non-exchange Transactions:Property Rates:Formal and Informal Settlements:Interest Charge</t>
  </si>
  <si>
    <t>D0001/IA02146/F0001/X049/R1330/001/FIN</t>
  </si>
  <si>
    <t>Assets:Current Assets:Receivables from Non-exchange Transactions:Property Rates:Formal and Informal Settlements:Monthly Billing</t>
  </si>
  <si>
    <t>D0001/IA02148/F0001/X049/R1330/001/FIN</t>
  </si>
  <si>
    <t>Assets:Current Assets:Receivables from Non-exchange Transactions:Property Rates:Formal and Informal Settlements:Prior Period Corrections and Adjustments</t>
  </si>
  <si>
    <t>D0001/IA02649/F0001/X049/R1331/001/FIN</t>
  </si>
  <si>
    <t>D0001/IA02650/F0001/X049/R1331/001/FIN</t>
  </si>
  <si>
    <t>D0001/IA02142/F0001/X049/R1331/001/FIN</t>
  </si>
  <si>
    <t>D0001/IA02144/F0001/X049/R1331/001/FIN</t>
  </si>
  <si>
    <t>D0001/IA02145/F0001/X049/R1331/001/FIN</t>
  </si>
  <si>
    <t>D0001/IA08407/F0001/X049/R1331/001/FIN</t>
  </si>
  <si>
    <t>D0001/IA02146/F0001/X049/R1331/001/FIN</t>
  </si>
  <si>
    <t>D0001/IA02148/F0001/X049/R1331/001/FIN</t>
  </si>
  <si>
    <t>D0001/IA02653/F0001/X049/R1331/001/FIN</t>
  </si>
  <si>
    <t>Assets:Current Assets:Receivables from Non-exchange Transactions:Property Rates:Industrial Properties:Impairment:Recognised</t>
  </si>
  <si>
    <t>D0001/IA02654/F0001/X049/R1331/001/FIN</t>
  </si>
  <si>
    <t>Assets:Current Assets:Receivables from Non-exchange Transactions:Property Rates:Industrial Properties:Impairment:Reversal</t>
  </si>
  <si>
    <t>D0001/IA02149/F0001/X049/R1331/001/FIN</t>
  </si>
  <si>
    <t>Assets:Current Assets:Receivables from Non-exchange Transactions:Property Rates:Industrial Properties:Accrued Revenue</t>
  </si>
  <si>
    <t>D0001/IA02152/F0001/X049/R1331/001/FIN</t>
  </si>
  <si>
    <t>Assets:Current Assets:Receivables from Non-exchange Transactions:Property Rates:Industrial Properties:Debt Write-offs</t>
  </si>
  <si>
    <t>D0001/IA08408/F0001/X049/R1331/001/FIN</t>
  </si>
  <si>
    <t>Assets:Current Assets:Receivables from Non-exchange Transactions:Property Rates:Industrial Properties:Interest Charge</t>
  </si>
  <si>
    <t>D0001/IA02155/F0001/X049/R1331/001/FIN</t>
  </si>
  <si>
    <t>Assets:Current Assets:Receivables from Non-exchange Transactions:Property Rates:Industrial Properties:Prior Period Corrections and Adjustments</t>
  </si>
  <si>
    <t>D0001/IA00420/F0001/X049/R1331/001/FIN</t>
  </si>
  <si>
    <t>Assets:Current Assets:Receivables from Non-exchange Transactions:Property Rates:Farm Properties:Residential Properties:Impairment:Recognised</t>
  </si>
  <si>
    <t>D0001/IA00421/F0001/X049/R1331/001/FIN</t>
  </si>
  <si>
    <t>Assets:Current Assets:Receivables from Non-exchange Transactions:Property Rates:Farm Properties:Residential Properties:Impairment:Reversal</t>
  </si>
  <si>
    <t>D0001/IA02640/F0001/X049/R1331/001/FIN</t>
  </si>
  <si>
    <t>Assets:Current Assets:Receivables from Non-exchange Transactions:Property Rates:Farm Properties:Residential Properties:Accrued Revenue</t>
  </si>
  <si>
    <t>D0001/IA02642/F0001/X049/R1331/001/FIN</t>
  </si>
  <si>
    <t>Assets:Current Assets:Receivables from Non-exchange Transactions:Property Rates:Farm Properties:Residential Properties:Collections</t>
  </si>
  <si>
    <t>D0001/IA02643/F0001/X049/R1331/001/FIN</t>
  </si>
  <si>
    <t>Assets:Current Assets:Receivables from Non-exchange Transactions:Property Rates:Farm Properties:Residential Properties:Debt Write-offs</t>
  </si>
  <si>
    <t>D0001/IA09947/F0001/X049/R1331/001/FIN</t>
  </si>
  <si>
    <t>Assets:Current Assets:Receivables from Non-exchange Transactions:Property Rates:Farm Properties:Residential Properties:Interest Charge</t>
  </si>
  <si>
    <t>D0001/IA02646/F0001/X049/R1331/001/FIN</t>
  </si>
  <si>
    <t>Assets:Current Assets:Receivables from Non-exchange Transactions:Property Rates:Farm Properties:Residential Properties:Prior Period Corrections and Adjustments</t>
  </si>
  <si>
    <t>D0001/IA00416/F0001/X049/R1331/001/FIN</t>
  </si>
  <si>
    <t>Assets:Current Assets:Receivables from Non-exchange Transactions:Property Rates:Farm Properties:Other Purpose than Above:Impairment:Recognised</t>
  </si>
  <si>
    <t>D0001/IA00417/F0001/X049/R1331/001/FIN</t>
  </si>
  <si>
    <t>Assets:Current Assets:Receivables from Non-exchange Transactions:Property Rates:Farm Properties:Other Purpose than Above:Impairment:Reversal</t>
  </si>
  <si>
    <t>D0001/IA02633/F0001/X049/R1331/001/FIN</t>
  </si>
  <si>
    <t>Assets:Current Assets:Receivables from Non-exchange Transactions:Property Rates:Farm Properties:Other Purpose than Above:Accrued Revenue</t>
  </si>
  <si>
    <t>D0001/IA02635/F0001/X049/R1331/001/FIN</t>
  </si>
  <si>
    <t>Assets:Current Assets:Receivables from Non-exchange Transactions:Property Rates:Farm Properties:Other Purpose than Above:Collections</t>
  </si>
  <si>
    <t>D0001/IA02636/F0001/X049/R1331/001/FIN</t>
  </si>
  <si>
    <t>Assets:Current Assets:Receivables from Non-exchange Transactions:Property Rates:Farm Properties:Other Purpose than Above:Debt Write-offs</t>
  </si>
  <si>
    <t>D0001/IA09946/F0001/X049/R1331/001/FIN</t>
  </si>
  <si>
    <t>Assets:Current Assets:Receivables from Non-exchange Transactions:Property Rates:Farm Properties:Other Purpose than Above:Interest Charge</t>
  </si>
  <si>
    <t>D0001/IA02637/F0001/X049/R1331/001/FIN</t>
  </si>
  <si>
    <t>Assets:Current Assets:Receivables from Non-exchange Transactions:Property Rates:Farm Properties:Other Purpose than Above:Monthly Billing</t>
  </si>
  <si>
    <t>D0001/IA02639/F0001/X049/R1331/001/FIN</t>
  </si>
  <si>
    <t>Assets:Current Assets:Receivables from Non-exchange Transactions:Property Rates:Farm Properties:Other Purpose than Above:Prior Period Corrections and Adjustments</t>
  </si>
  <si>
    <t>D0001/IA00412/F0001/X049/R1331/001/FIN</t>
  </si>
  <si>
    <t>Assets:Current Assets:Receivables from Non-exchange Transactions:Property Rates:Farm Properties:Industrial Purposes:Impairment:Recognised</t>
  </si>
  <si>
    <t>D0001/IA00413/F0001/X049/R1331/001/FIN</t>
  </si>
  <si>
    <t>Assets:Current Assets:Receivables from Non-exchange Transactions:Property Rates:Farm Properties:Industrial Purposes:Impairment:Reversal</t>
  </si>
  <si>
    <t>D0001/IA02626/F0001/X049/R1331/001/FIN</t>
  </si>
  <si>
    <t>Assets:Current Assets:Receivables from Non-exchange Transactions:Property Rates:Farm Properties:Industrial Purposes:Accrued Revenue</t>
  </si>
  <si>
    <t>D0001/IA02628/F0001/X049/R1331/001/FIN</t>
  </si>
  <si>
    <t>Assets:Current Assets:Receivables from Non-exchange Transactions:Property Rates:Farm Properties:Industrial Purposes:Collections</t>
  </si>
  <si>
    <t>D0001/IA02629/F0001/X049/R1331/001/FIN</t>
  </si>
  <si>
    <t>Assets:Current Assets:Receivables from Non-exchange Transactions:Property Rates:Farm Properties:Industrial Purposes:Debt Write-offs</t>
  </si>
  <si>
    <t>D0001/IA09945/F0001/X049/R1331/001/FIN</t>
  </si>
  <si>
    <t>Assets:Current Assets:Receivables from Non-exchange Transactions:Property Rates:Farm Properties:Industrial Purposes:Interest Charge</t>
  </si>
  <si>
    <t>D0001/IA02630/F0001/X049/R1331/001/FIN</t>
  </si>
  <si>
    <t>Assets:Current Assets:Receivables from Non-exchange Transactions:Property Rates:Farm Properties:Industrial Purposes:Monthly Billing</t>
  </si>
  <si>
    <t>D0001/IA02632/F0001/X049/R1331/001/FIN</t>
  </si>
  <si>
    <t>Assets:Current Assets:Receivables from Non-exchange Transactions:Property Rates:Farm Properties:Industrial Purposes:Prior Period Corrections and Adjustments</t>
  </si>
  <si>
    <t>D0001/IA00408/F0001/X049/R1331/001/FIN</t>
  </si>
  <si>
    <t>Assets:Current Assets:Receivables from Non-exchange Transactions:Property Rates:Farm Properties:Farm Properties not used for any Purpose:Impairment:Recognised</t>
  </si>
  <si>
    <t>D0001/IA00409/F0001/X049/R1331/001/FIN</t>
  </si>
  <si>
    <t>Assets:Current Assets:Receivables from Non-exchange Transactions:Property Rates:Farm Properties:Farm Properties not used for any Purpose:Impairment:Reversal</t>
  </si>
  <si>
    <t>D0001/IA02619/F0001/X049/R1331/001/FIN</t>
  </si>
  <si>
    <t>Assets:Current Assets:Receivables from Non-exchange Transactions:Property Rates:Farm Properties:Farm Properties not used for any Purpose:Accrued Revenue</t>
  </si>
  <si>
    <t>D0001/IA02621/F0001/X049/R1331/001/FIN</t>
  </si>
  <si>
    <t>Assets:Current Assets:Receivables from Non-exchange Transactions:Property Rates:Farm Properties:Farm Properties not used for any Purpose:Collections</t>
  </si>
  <si>
    <t>D0001/IA02622/F0001/X049/R1331/001/FIN</t>
  </si>
  <si>
    <t>Assets:Current Assets:Receivables from Non-exchange Transactions:Property Rates:Farm Properties:Farm Properties not used for any Purpose:Debt Write-offs</t>
  </si>
  <si>
    <t>D0001/IA09944/F0001/X049/R1331/001/FIN</t>
  </si>
  <si>
    <t>Assets:Current Assets:Receivables from Non-exchange Transactions:Property Rates:Farm Properties:Farm Properties not used for any Purpose:Interest Charge</t>
  </si>
  <si>
    <t>D0001/IA02623/F0001/X049/R1331/001/FIN</t>
  </si>
  <si>
    <t>Assets:Current Assets:Receivables from Non-exchange Transactions:Property Rates:Farm Properties:Farm Properties not used for any Purpose:Monthly Billing</t>
  </si>
  <si>
    <t>D0001/IA02625/F0001/X049/R1331/001/FIN</t>
  </si>
  <si>
    <t>Assets:Current Assets:Receivables from Non-exchange Transactions:Property Rates:Farm Properties:Farm Properties not used for any Purpose:Prior Period Corrections and Adjustments</t>
  </si>
  <si>
    <t>D0001/IA00404/F0001/X049/R1331/001/FIN</t>
  </si>
  <si>
    <t>Assets:Current Assets:Receivables from Non-exchange Transactions:Property Rates:Farm Properties:Business and Commercial Purposes:Impairment:Recognised</t>
  </si>
  <si>
    <t>D0001/IA00405/F0001/X049/R1331/001/FIN</t>
  </si>
  <si>
    <t>Assets:Current Assets:Receivables from Non-exchange Transactions:Property Rates:Farm Properties:Business and Commercial Purposes:Impairment:Reversal</t>
  </si>
  <si>
    <t>D0001/IA09943/F0001/X049/R1331/001/FIN</t>
  </si>
  <si>
    <t>Assets:Current Assets:Receivables from Non-exchange Transactions:Property Rates:Farm Properties:Business and Commercial Purposes:Interest Charge</t>
  </si>
  <si>
    <t>D0001/IA02616/F0001/X049/R1331/001/FIN</t>
  </si>
  <si>
    <t>Assets:Current Assets:Receivables from Non-exchange Transactions:Property Rates:Farm Properties:Business and Commercial Purposes:Monthly Billing</t>
  </si>
  <si>
    <t>D0001/IA02618/F0001/X049/R1331/001/FIN</t>
  </si>
  <si>
    <t>Assets:Current Assets:Receivables from Non-exchange Transactions:Property Rates:Farm Properties:Business and Commercial Purposes:Prior Period Corrections and Recognised</t>
  </si>
  <si>
    <t>D0001/IA02612/F0001/X049/R1331/001/FIN</t>
  </si>
  <si>
    <t>Assets:Current Assets:Receivables from Non-exchange Transactions:Property Rates:Farm Properties:Business and Commercial Purposes:Accrued Revenue</t>
  </si>
  <si>
    <t>D0001/IA02614/F0001/X049/R1331/001/FIN</t>
  </si>
  <si>
    <t>Assets:Current Assets:Receivables from Non-exchange Transactions:Property Rates:Farm Properties:Business and Commercial Purposes:Collections</t>
  </si>
  <si>
    <t>D0001/IA02615/F0001/X049/R1331/001/FIN</t>
  </si>
  <si>
    <t>Assets:Current Assets:Receivables from Non-exchange Transactions:Property Rates:Farm Properties:Business and Commercial Purposes:Debt Write-offs</t>
  </si>
  <si>
    <t>D0001/IA00400/F0001/X049/R1331/001/FIN</t>
  </si>
  <si>
    <t>Assets:Current Assets:Receivables from Non-exchange Transactions:Property Rates:Farm Properties:Agricultural Purposes:Impairment:Recognised</t>
  </si>
  <si>
    <t>D0001/IA00401/F0001/X049/R1331/001/FIN</t>
  </si>
  <si>
    <t>Assets:Current Assets:Receivables from Non-exchange Transactions:Property Rates:Farm Properties:Agricultural Purposes:Impairment:Reversal</t>
  </si>
  <si>
    <t>D0001/IA02605/F0001/X049/R1331/001/FIN</t>
  </si>
  <si>
    <t>Assets:Current Assets:Receivables from Non-exchange Transactions:Property Rates:Farm Properties:Agricultural Purposes:Accrued Revenue</t>
  </si>
  <si>
    <t>D0001/IA02607/F0001/X049/R1331/001/FIN</t>
  </si>
  <si>
    <t>Assets:Current Assets:Receivables from Non-exchange Transactions:Property Rates:Farm Properties:Agricultural Purposes:Collections</t>
  </si>
  <si>
    <t>D0001/IA02608/F0001/X049/R1331/001/FIN</t>
  </si>
  <si>
    <t>Assets:Current Assets:Receivables from Non-exchange Transactions:Property Rates:Farm Properties:Agricultural Purposes:Debt Write-offs</t>
  </si>
  <si>
    <t>D0001/IA09942/F0001/X049/R1331/001/FIN</t>
  </si>
  <si>
    <t>Assets:Current Assets:Receivables from Non-exchange Transactions:Property Rates:Farm Properties:Agricultural Purposes:Interest Charge</t>
  </si>
  <si>
    <t>D0001/IA02609/F0001/X049/R1331/001/FIN</t>
  </si>
  <si>
    <t>Assets:Current Assets:Receivables from Non-exchange Transactions:Property Rates:Farm Properties:Agricultural Purposes:Monthly Billing</t>
  </si>
  <si>
    <t>D0001/IA02611/F13640/X049/R1331/001/FIN</t>
  </si>
  <si>
    <t>Assets:Current Assets:Receivables from Non-exchange Transactions:Property Rates:Farm Properties:Agricultural Purposes:Prior Period Corrections and Adjustments</t>
  </si>
  <si>
    <t>D0001/IA02657/F0001/X049/R1331/001/FIN</t>
  </si>
  <si>
    <t>Assets:Current Assets:Receivables from Non-exchange Transactions:Property Rates:Mining Properties:Impairment:Recognised</t>
  </si>
  <si>
    <t>D0001/IA02658/F0001/X049/R1331/001/FIN</t>
  </si>
  <si>
    <t>Assets:Current Assets:Receivables from Non-exchange Transactions:Property Rates:Mining Properties:Impairment:Reversal</t>
  </si>
  <si>
    <t>D0001/IA02156/F0001/X049/R1331/001/FIN</t>
  </si>
  <si>
    <t>Assets:Current Assets:Receivables from Non-exchange Transactions:Property Rates:Mining Properties:Accrued Revenue</t>
  </si>
  <si>
    <t>D0001/IA02158/F0001/X049/R1331/001/FIN</t>
  </si>
  <si>
    <t>Assets:Current Assets:Receivables from Non-exchange Transactions:Property Rates:Mining Properties:Collections</t>
  </si>
  <si>
    <t>D0001/IA02159/F0001/X049/R1331/001/FIN</t>
  </si>
  <si>
    <t>Assets:Current Assets:Receivables from Non-exchange Transactions:Property Rates:Mining Properties:Debt Write-offs</t>
  </si>
  <si>
    <t>D0001/IA08409/F0001/X049/R1331/001/FIN</t>
  </si>
  <si>
    <t>Assets:Current Assets:Receivables from Non-exchange Transactions:Property Rates:Mining Properties:Interest Charge</t>
  </si>
  <si>
    <t>D0001/IA02162/F0001/X049/R1331/001/FIN</t>
  </si>
  <si>
    <t>Assets:Current Assets:Receivables from Non-exchange Transactions:Property Rates:Mining Properties:Prior Period Corrections and Adjustments</t>
  </si>
  <si>
    <t>D0001/IA00464/F0001/X049/R1331/001/FIN</t>
  </si>
  <si>
    <t>Assets:Current Assets:Receivables from Non-exchange Transactions:Property Rates:State-owned Properties:Provincial Government:Impairment:Recognised</t>
  </si>
  <si>
    <t>D0001/IA00465/F0001/X049/R1331/001/FIN</t>
  </si>
  <si>
    <t>Assets:Current Assets:Receivables from Non-exchange Transactions:Property Rates:State-owned Properties:Provincial Government:Impairment:Reversal</t>
  </si>
  <si>
    <t>D0001/IA02766/F0001/X049/R1331/001/FIN</t>
  </si>
  <si>
    <t>Assets:Current Assets:Receivables from Non-exchange Transactions:Property Rates:State-owned Properties:Provincial Government:Accrued Revenue</t>
  </si>
  <si>
    <t>D0001/IA02769/F0001/X049/R1331/001/FIN</t>
  </si>
  <si>
    <t>Assets:Current Assets:Receivables from Non-exchange Transactions:Property Rates:State-owned Properties:Provincial Government:Debt Write-offs</t>
  </si>
  <si>
    <t>D0001/IA09958/F0001/X049/R1331/001/FIN</t>
  </si>
  <si>
    <t>Assets:Current Assets:Receivables from Non-exchange Transactions:Property Rates:State-owned Properties:Provincial Government:Interest Charge</t>
  </si>
  <si>
    <t>D0001/IA02772/F0001/X049/R1331/001/FIN</t>
  </si>
  <si>
    <t>Assets:Current Assets:Receivables from Non-exchange Transactions:Property Rates:State-owned Properties:Provincial Government:Prior Period Corrections and Adjustments</t>
  </si>
  <si>
    <t>D0001/IA00460/F0001/X049/R1331/001/FIN</t>
  </si>
  <si>
    <t>Assets:Current Assets:Receivables from Non-exchange Transactions:Property Rates:State-owned Properties:National Government:Impairment:Recognised</t>
  </si>
  <si>
    <t>D0001/IA00461/F0001/X049/R1331/001/FIN</t>
  </si>
  <si>
    <t>Assets:Current Assets:Receivables from Non-exchange Transactions:Property Rates:State-owned Properties:National Government:Impairment:Reversal</t>
  </si>
  <si>
    <t>D0001/IA02759/F0001/X049/R1331/001/FIN</t>
  </si>
  <si>
    <t>Assets:Current Assets:Receivables from Non-exchange Transactions:Property Rates:State-owned Properties:National Government:Accrued Revenue</t>
  </si>
  <si>
    <t>D0001/IA02762/F0001/X049/R1331/001/FIN</t>
  </si>
  <si>
    <t>Assets:Current Assets:Receivables from Non-exchange Transactions:Property Rates:State-owned Properties:National Government:Debt Write-offs</t>
  </si>
  <si>
    <t>D0001/IA09957/F0001/X049/R1331/001/FIN</t>
  </si>
  <si>
    <t>Assets:Current Assets:Receivables from Non-exchange Transactions:Property Rates:State-owned Properties:National Government:Interest Charge</t>
  </si>
  <si>
    <t>D0001/IA02765/F0001/X049/R1331/001/FIN</t>
  </si>
  <si>
    <t>Assets:Current Assets:Receivables from Non-exchange Transactions:Property Rates:State-owned Properties:National Government:Prior Period Corrections and Adjustments</t>
  </si>
  <si>
    <t>D0001/IA02757/F0001/X049/R1331/001/FIN</t>
  </si>
  <si>
    <t>Assets:Current Assets:Receivables from Non-exchange Transactions:Property Rates:State Trust Land:Impairment:Recognised</t>
  </si>
  <si>
    <t>D0001/IA02758/F0001/X049/R1331/001/FIN</t>
  </si>
  <si>
    <t>Assets:Current Assets:Receivables from Non-exchange Transactions:Property Rates:State Trust Land:Impairment:Reversal</t>
  </si>
  <si>
    <t>D0001/IA02219/F0001/X049/R1331/001/FIN</t>
  </si>
  <si>
    <t>Assets:Current Assets:Receivables from Non-exchange Transactions:Property Rates:State Trust Land:Accrued Revenue</t>
  </si>
  <si>
    <t>D0001/IA02222/F0001/X049/R1331/001/FIN</t>
  </si>
  <si>
    <t>Assets:Current Assets:Receivables from Non-exchange Transactions:Property Rates:State Trust Land:Debt Write-offs</t>
  </si>
  <si>
    <t>D0001/IA08418/F0001/X049/R1331/001/FIN</t>
  </si>
  <si>
    <t>Assets:Current Assets:Receivables from Non-exchange Transactions:Property Rates:State Trust Land:Interest Charge</t>
  </si>
  <si>
    <t>D0001/IA02225/F0001/X049/R1331/001/FIN</t>
  </si>
  <si>
    <t>Assets:Current Assets:Receivables from Non-exchange Transactions:Property Rates:State Trust Land:Prior Period Corrections and Adjustments</t>
  </si>
  <si>
    <t>D0001/IA02753/F0001/X049/R1331/001/FIN</t>
  </si>
  <si>
    <t>Assets:Current Assets:Receivables from Non-exchange Transactions:Property Rates:Special Rating Area:Impairment:Recognised</t>
  </si>
  <si>
    <t>D0001/IA02754/F0001/X049/R1331/001/FIN</t>
  </si>
  <si>
    <t>Assets:Current Assets:Receivables from Non-exchange Transactions:Property Rates:Special Rating Area:Impairment:Reversal</t>
  </si>
  <si>
    <t>D0001/IA02212/F0001/X049/R1331/001/FIN</t>
  </si>
  <si>
    <t>Assets:Current Assets:Receivables from Non-exchange Transactions:Property Rates:Special Rating Area:Accrued Revenue</t>
  </si>
  <si>
    <t>D0001/IA02214/F0001/X049/R1331/001/FIN</t>
  </si>
  <si>
    <t>Assets:Current Assets:Receivables from Non-exchange Transactions:Property Rates:Special Rating Area:Collections</t>
  </si>
  <si>
    <t>D0001/IA02215/F0001/X049/R1331/001/FIN</t>
  </si>
  <si>
    <t>Assets:Current Assets:Receivables from Non-exchange Transactions:Property Rates:Special Rating Area:Debt Write-offs</t>
  </si>
  <si>
    <t>D0001/IA08417/F0001/X049/R1331/001/FIN</t>
  </si>
  <si>
    <t>Assets:Current Assets:Receivables from Non-exchange Transactions:Property Rates:Special Rating Area:Interest Charge</t>
  </si>
  <si>
    <t>D0001/IA02216/F0001/X049/R1331/001/FIN</t>
  </si>
  <si>
    <t>Assets:Current Assets:Receivables from Non-exchange Transactions:Property Rates:Special Rating Area:Monthly Billing</t>
  </si>
  <si>
    <t>D0001/IA02218/F0001/X049/R1331/001/FIN</t>
  </si>
  <si>
    <t>Assets:Current Assets:Receivables from Non-exchange Transactions:Property Rates:Special Rating Area:Prior Period Corrections and Adjustments</t>
  </si>
  <si>
    <t>D0001/IA00456/F0001/X049/R1331/001/FIN</t>
  </si>
  <si>
    <t>Assets:Current Assets:Receivables from Non-exchange Transactions:Property Rates:Small Holdings:Residential Purposes:Impairment:Recognised</t>
  </si>
  <si>
    <t>D0001/IA00457/F0001/X049/R1331/001/FIN</t>
  </si>
  <si>
    <t>Assets:Current Assets:Receivables from Non-exchange Transactions:Property Rates:Small Holdings:Residential Purposes:Impairment:Reversal</t>
  </si>
  <si>
    <t>D0001/IA02744/F0001/X049/R1331/001/FIN</t>
  </si>
  <si>
    <t>Assets:Current Assets:Receivables from Non-exchange Transactions:Property Rates:Small Holdings:Residential Purposes:Accrued Revenue</t>
  </si>
  <si>
    <t>D0001/IA02746/F0001/X049/R1331/001/FIN</t>
  </si>
  <si>
    <t>Assets:Current Assets:Receivables from Non-exchange Transactions:Property Rates:Small Holdings:Residential Purposes:Collections</t>
  </si>
  <si>
    <t>D0001/IA02747/F0001/X049/R1331/001/FIN</t>
  </si>
  <si>
    <t>Assets:Current Assets:Receivables from Non-exchange Transactions:Property Rates:Small Holdings:Residential Purposes:Debt Write-offs</t>
  </si>
  <si>
    <t>D0001/IA09956/F0001/X049/R1331/001/FIN</t>
  </si>
  <si>
    <t>Assets:Current Assets:Receivables from Non-exchange Transactions:Property Rates:Small Holdings:Residential Purposes:Interest Charge</t>
  </si>
  <si>
    <t>D0001/IA02748/F0001/X049/R1331/001/FIN</t>
  </si>
  <si>
    <t>Assets:Current Assets:Receivables from Non-exchange Transactions:Property Rates:Small Holdings:Residential Purposes:Monthly Billing</t>
  </si>
  <si>
    <t>D0001/IA02750/F0001/X049/R1331/001/FIN</t>
  </si>
  <si>
    <t>Assets:Current Assets:Receivables from Non-exchange Transactions:Property Rates:Small Holdings:Residential Purposes:Prior Period Corrections and Adjustments</t>
  </si>
  <si>
    <t>D0001/IA00452/F0001/X049/R1331/001/FIN</t>
  </si>
  <si>
    <t>Assets:Current Assets:Receivables from Non-exchange Transactions:Property Rates:Small Holdings:Purposes other than the Above:Impairment:Recognised</t>
  </si>
  <si>
    <t>D0001/IA00453/F0001/X049/R1331/001/FIN</t>
  </si>
  <si>
    <t>Assets:Current Assets:Receivables from Non-exchange Transactions:Property Rates:Small Holdings:Purposes other than the Above:Impairment:Reversal</t>
  </si>
  <si>
    <t>D0001/IA02737/F0001/X049/R1331/001/FIN</t>
  </si>
  <si>
    <t>Assets:Current Assets:Receivables from Non-exchange Transactions:Property Rates:Small Holdings:Purposes other than the Above:Accrued Revenue</t>
  </si>
  <si>
    <t>D0001/IA02739/F0001/X049/R1331/001/FIN</t>
  </si>
  <si>
    <t>Assets:Current Assets:Receivables from Non-exchange Transactions:Property Rates:Small Holdings:Purposes other than the Above:Collections</t>
  </si>
  <si>
    <t>D0001/IA02740/F0001/X049/R1331/001/FIN</t>
  </si>
  <si>
    <t>Assets:Current Assets:Receivables from Non-exchange Transactions:Property Rates:Small Holdings:Purposes other than the Above:Debt Write-offs</t>
  </si>
  <si>
    <t>D0001/IA09955/F0001/X049/R1331/001/FIN</t>
  </si>
  <si>
    <t>Assets:Current Assets:Receivables from Non-exchange Transactions:Property Rates:Small Holdings:Purposes other than the Above:Interest Charge</t>
  </si>
  <si>
    <t>D0001/IA02741/F0001/X049/R1331/001/FIN</t>
  </si>
  <si>
    <t>Assets:Current Assets:Receivables from Non-exchange Transactions:Property Rates:Small Holdings:Purposes other than the Above:Monthly Billing</t>
  </si>
  <si>
    <t>D0001/IA02743/F0001/X049/R1331/001/FIN</t>
  </si>
  <si>
    <t>Assets:Current Assets:Receivables from Non-exchange Transactions:Property Rates:Small Holdings:Purposes other than the Above:Prior Period Corrections and Adjustments</t>
  </si>
  <si>
    <t>D0001/IA00448/F0001/X049/R1331/001/FIN</t>
  </si>
  <si>
    <t>Assets:Current Assets:Receivables from Non-exchange Transactions:Property Rates:Small Holdings:Industrial Purposes:Impairment:Recognised</t>
  </si>
  <si>
    <t>D0001/IA00449/F0001/X049/R1331/001/FIN</t>
  </si>
  <si>
    <t>Assets:Current Assets:Receivables from Non-exchange Transactions:Property Rates:Small Holdings:Industrial Purposes:Impairment:Reversal</t>
  </si>
  <si>
    <t>D0001/IA02730/F0001/X049/R1331/001/FIN</t>
  </si>
  <si>
    <t>Assets:Current Assets:Receivables from Non-exchange Transactions:Property Rates:Small Holdings:Industrial Purposes:Accrued Revenue</t>
  </si>
  <si>
    <t>D0001/IA02732/F0001/X049/R1331/001/FIN</t>
  </si>
  <si>
    <t>Assets:Current Assets:Receivables from Non-exchange Transactions:Property Rates:Small Holdings:Industrial Purposes:Collections</t>
  </si>
  <si>
    <t>D0001/IA02733/F0001/X049/R1331/001/FIN</t>
  </si>
  <si>
    <t>Assets:Current Assets:Receivables from Non-exchange Transactions:Property Rates:Small Holdings:Industrial Purposes:Debt Write-offs</t>
  </si>
  <si>
    <t>D0001/IA09954/F0001/X049/R1331/001/FIN</t>
  </si>
  <si>
    <t>Assets:Current Assets:Receivables from Non-exchange Transactions:Property Rates:Small Holdings:Industrial Purposes:Interest Charge</t>
  </si>
  <si>
    <t>D0001/IA02734/F0001/X049/R1331/001/FIN</t>
  </si>
  <si>
    <t>Assets:Current Assets:Receivables from Non-exchange Transactions:Property Rates:Small Holdings:Industrial Purposes:Monthly Billing</t>
  </si>
  <si>
    <t>D0001/IA02736/F0001/X049/R1331/001/FIN</t>
  </si>
  <si>
    <t>Assets:Current Assets:Receivables from Non-exchange Transactions:Property Rates:Small Holdings:Industrial Purposes:Prior Period Corrections and Adjustments</t>
  </si>
  <si>
    <t>D0001/IA00444/F0001/X049/R1331/001/FIN</t>
  </si>
  <si>
    <t>Assets:Current Assets:Receivables from Non-exchange Transactions:Property Rates:Small Holdings:Business and Commercial Purposes:Impairment:Recognised</t>
  </si>
  <si>
    <t>D0001/IA00445/F0001/X049/R1331/001/FIN</t>
  </si>
  <si>
    <t>Assets:Current Assets:Receivables from Non-exchange Transactions:Property Rates:Small Holdings:Business and Commercial Purposes:Impairment:Reversal</t>
  </si>
  <si>
    <t>D0001/IA02723/F0001/X049/R1331/001/FIN</t>
  </si>
  <si>
    <t>Assets:Current Assets:Receivables from Non-exchange Transactions:Property Rates:Small Holdings:Business and Commercial Purposes:Accrued Revenue</t>
  </si>
  <si>
    <t>D0001/IA02725/F0001/X049/R1331/001/FIN</t>
  </si>
  <si>
    <t>Assets:Current Assets:Receivables from Non-exchange Transactions:Property Rates:Small Holdings:Business and Commercial Purposes:Collections</t>
  </si>
  <si>
    <t>D0001/IA02726/F0001/X049/R1331/001/FIN</t>
  </si>
  <si>
    <t>Assets:Current Assets:Receivables from Non-exchange Transactions:Property Rates:Small Holdings:Business and Commercial Purposes:Debt Write-offs</t>
  </si>
  <si>
    <t>D0001/IA09953/F0001/X049/R1331/001/FIN</t>
  </si>
  <si>
    <t>Assets:Current Assets:Receivables from Non-exchange Transactions:Property Rates:Small Holdings:Business and Commercial Purposes:Interest Charge</t>
  </si>
  <si>
    <t>D0001/IA02727/F0001/X049/R1331/001/FIN</t>
  </si>
  <si>
    <t>Assets:Current Assets:Receivables from Non-exchange Transactions:Property Rates:Small Holdings:Business and Commercial Purposes:Monthly Billing</t>
  </si>
  <si>
    <t>D0001/IA02729/F0001/X049/R1331/001/FIN</t>
  </si>
  <si>
    <t>Assets:Current Assets:Receivables from Non-exchange Transactions:Property Rates:Small Holdings:Business and Commercial Purposes:Prior Period Corrections and Adjustments</t>
  </si>
  <si>
    <t>D0001/IA00440/F0001/X049/R1331/001/FIN</t>
  </si>
  <si>
    <t>Assets:Current Assets:Receivables from Non-exchange Transactions:Property Rates:Small Holdings:Agricultural Purposes:Impairment:Recognised</t>
  </si>
  <si>
    <t>D0001/IA00441/F0001/X049/R1331/001/FIN</t>
  </si>
  <si>
    <t>Assets:Current Assets:Receivables from Non-exchange Transactions:Property Rates:Small Holdings:Agricultural Purposes:Impairment:Reversal</t>
  </si>
  <si>
    <t>D0001/IA02716/F0001/X049/R1331/001/FIN</t>
  </si>
  <si>
    <t>Assets:Current Assets:Receivables from Non-exchange Transactions:Property Rates:Small Holdings:Agricultural Purposes:Accrued Revenue</t>
  </si>
  <si>
    <t>D0001/IA02718/F0001/X049/R1331/001/FIN</t>
  </si>
  <si>
    <t>Assets:Current Assets:Receivables from Non-exchange Transactions:Property Rates:Small Holdings:Agricultural Purposes:Collections</t>
  </si>
  <si>
    <t>D0001/IA02719/F0001/X049/R1331/001/FIN</t>
  </si>
  <si>
    <t>Assets:Current Assets:Receivables from Non-exchange Transactions:Property Rates:Small Holdings:Agricultural Purposes:Debt Write-offs</t>
  </si>
  <si>
    <t>D0001/IA09952/F0001/X049/R1331/001/FIN</t>
  </si>
  <si>
    <t>Assets:Current Assets:Receivables from Non-exchange Transactions:Property Rates:Small Holdings:Agricultural Purposes:Interest Charge</t>
  </si>
  <si>
    <t>D0001/IA02722/F0001/X049/R1331/001/FIN</t>
  </si>
  <si>
    <t>Assets:Current Assets:Receivables from Non-exchange Transactions:Property Rates:Small Holdings:Agricultural Purposes:Prior Period Corrections and Adjustments</t>
  </si>
  <si>
    <t>D0001/IA00436/F0001/X049/R1331/001/FIN</t>
  </si>
  <si>
    <t>Assets:Current Assets:Receivables from Non-exchange Transactions:Property Rates:Restitution and Redistribution Properties:Land and Assistance Act or Restitution of Land Rights Act:Impairment:Recognised</t>
  </si>
  <si>
    <t>D0001/IA00437/F0001/X049/R1331/001/FIN</t>
  </si>
  <si>
    <t>Assets:Current Assets:Receivables from Non-exchange Transactions:Property Rates:Restitution and Redistribution Properties:Land and Assistance Act or Restitution of Land Rights Act:Impairment:Reversal</t>
  </si>
  <si>
    <t>D0001/IA02709/F0001/X049/R1331/001/FIN</t>
  </si>
  <si>
    <t>Assets:Current Assets:Receivables from Non-exchange Transactions:Property Rates:Restitution and Redistribution Properties:Land and Assistance Act or Restitution of Land Rights Act:Accrued Revenue</t>
  </si>
  <si>
    <t>D0001/IA02711/F0001/X049/R1331/001/FIN</t>
  </si>
  <si>
    <t>Assets:Current Assets:Receivables from Non-exchange Transactions:Property Rates:Restitution and Redistribution Properties:Land and Assistance Act or Restitution of Land Rights Act:Collections</t>
  </si>
  <si>
    <t>D0001/IA02712/F0001/X049/R1331/001/FIN</t>
  </si>
  <si>
    <t>Assets:Current Assets:Receivables from Non-exchange Transactions:Property Rates:Restitution and Redistribution Properties:Land and Assistance Act or Restitution of Land Rights Act:Debt Write-offs</t>
  </si>
  <si>
    <t>D0001/IA09951/F0001/X049/R1331/001/FIN</t>
  </si>
  <si>
    <t>Assets:Current Assets:Receivables from Non-exchange Transactions:Property Rates:Restitution and Redistribution Properties:Land and Assistance Act or Restitution of Land Rights Act:Interest Charge</t>
  </si>
  <si>
    <t>D0001/IA02713/F0001/X049/R1331/001/FIN</t>
  </si>
  <si>
    <t>Assets:Current Assets:Receivables from Non-exchange Transactions:Property Rates:Restitution and Redistribution Properties:Land and Assistance Act or Restitution of Land Rights Act:Monthly Billing</t>
  </si>
  <si>
    <t>D0001/IA02715/F0001/X049/R1331/001/FIN</t>
  </si>
  <si>
    <t>Assets:Current Assets:Receivables from Non-exchange Transactions:Property Rates:Restitution and Redistribution Properties:Land and Assistance Act or Restitution of Land Rights Act:Prior Period Corrections and Adjustments</t>
  </si>
  <si>
    <t>D0001/IA00432/F0001/X049/R1331/001/FIN</t>
  </si>
  <si>
    <t>Assets:Current Assets:Receivables from Non-exchange Transactions:Property Rates:Restitution and Redistribution Properties:Communal Property Associations Act:Impairment:Recognised</t>
  </si>
  <si>
    <t>D0001/IA00433/F0001/X049/R1331/001/FIN</t>
  </si>
  <si>
    <t>Assets:Current Assets:Receivables from Non-exchange Transactions:Property Rates:Restitution and Redistribution Properties:Communal Property Associations Act:Impairment:Reversal</t>
  </si>
  <si>
    <t>D0001/IA02702/F0001/X049/R1331/001/FIN</t>
  </si>
  <si>
    <t>Assets:Current Assets:Receivables from Non-exchange Transactions:Property Rates:Restitution and Redistribution Properties:Communal Property Associations Act:Accrued Revenue</t>
  </si>
  <si>
    <t>D0001/IA02704/F0001/X049/R1331/001/FIN</t>
  </si>
  <si>
    <t>Assets:Current Assets:Receivables from Non-exchange Transactions:Property Rates:Restitution and Redistribution Properties:Communal Property Associations Act:Collections</t>
  </si>
  <si>
    <t>D0001/IA02705/F0001/X049/R1331/001/FIN</t>
  </si>
  <si>
    <t>Assets:Current Assets:Receivables from Non-exchange Transactions:Property Rates:Restitution and Redistribution Properties:Communal Property Associations Act:Debt Write-offs</t>
  </si>
  <si>
    <t>D0001/IA09950/F0001/X049/R1331/001/FIN</t>
  </si>
  <si>
    <t>Assets:Current Assets:Receivables from Non-exchange Transactions:Property Rates:Restitution and Redistribution Properties:Communal Property Associations Act:Interest Charge</t>
  </si>
  <si>
    <t>D0001/IA02706/F0001/X049/R1331/001/FIN</t>
  </si>
  <si>
    <t>Assets:Current Assets:Receivables from Non-exchange Transactions:Property Rates:Restitution and Redistribution Properties:Communal Property Associations Act:Monthly Billing</t>
  </si>
  <si>
    <t>D0001/IA02708/F0001/X049/R1331/001/FIN</t>
  </si>
  <si>
    <t>Assets:Current Assets:Receivables from Non-exchange Transactions:Property Rates:Restitution and Redistribution Properties:Communal Property Associations Act:Prior Period Corrections and Adjustments</t>
  </si>
  <si>
    <t>D0001/IA00428/F0001/X049/R1331/001/FIN</t>
  </si>
  <si>
    <t>Assets:Current Assets:Receivables from Non-exchange Transactions:Property Rates:Residential Properties:Vacant Land:Impairment:Recognised</t>
  </si>
  <si>
    <t>D0001/IA00429/F0001/X049/R1331/001/FIN</t>
  </si>
  <si>
    <t>Assets:Current Assets:Receivables from Non-exchange Transactions:Property Rates:Residential Properties:Vacant Land:Impairment:Reversal</t>
  </si>
  <si>
    <t>D0001/IA02695/F13640/X049/R1331/001/FIN</t>
  </si>
  <si>
    <t>Assets:Current Assets:Receivables from Non-exchange Transactions:Property Rates:Residential Properties:Vacant Land:Accrued Revenue</t>
  </si>
  <si>
    <t>D0001/IA02697/F0001/X049/R1331/001/FIN</t>
  </si>
  <si>
    <t>Assets:Current Assets:Receivables from Non-exchange Transactions:Property Rates:Residential Properties:Vacant Land:Collections</t>
  </si>
  <si>
    <t>D0001/IA02698/F0001/X049/R1331/001/FIN</t>
  </si>
  <si>
    <t>Assets:Current Assets:Receivables from Non-exchange Transactions:Property Rates:Residential Properties:Vacant Land:Debt Write-offs</t>
  </si>
  <si>
    <t>D0001/IA09949/F0001/X049/R1331/001/FIN</t>
  </si>
  <si>
    <t>Assets:Current Assets:Receivables from Non-exchange Transactions:Property Rates:Residential Properties:Vacant Land:Interest Charge</t>
  </si>
  <si>
    <t>D0001/IA02699/F0001/X049/R1331/001/FIN</t>
  </si>
  <si>
    <t>Assets:Current Assets:Receivables from Non-exchange Transactions:Property Rates:Residential Properties:Vacant Land:Monthly Billing</t>
  </si>
  <si>
    <t>D0001/IA02701/F0001/X049/R1331/001/FIN</t>
  </si>
  <si>
    <t>Assets:Current Assets:Receivables from Non-exchange Transactions:Property Rates:Residential Properties:Vacant Land:Prior Period Corrections and Adjustments</t>
  </si>
  <si>
    <t>D0001/IA00424/F0001/X049/R1331/001/FIN</t>
  </si>
  <si>
    <t>Assets:Current Assets:Receivables from Non-exchange Transactions:Property Rates:Residential Properties:Developed:Impairment:Recognised</t>
  </si>
  <si>
    <t>D0001/IA00425/F0001/X049/R1331/001/FIN</t>
  </si>
  <si>
    <t>Assets:Current Assets:Receivables from Non-exchange Transactions:Property Rates:Residential Properties:Developed:Impairment:Reversal</t>
  </si>
  <si>
    <t>D0001/IA02688/F0001/X049/R1331/001/FIN</t>
  </si>
  <si>
    <t>Assets:Current Assets:Receivables from Non-exchange Transactions:Property Rates:Residential Properties:Developed:Accrued Revenue</t>
  </si>
  <si>
    <t>D0001/IA02691/F0001/X049/R1331/001/FIN</t>
  </si>
  <si>
    <t>Assets:Current Assets:Receivables from Non-exchange Transactions:Property Rates:Residential Properties:Developed:Debt Write-offs</t>
  </si>
  <si>
    <t>D0001/IA09948/F0001/X049/R1331/001/FIN</t>
  </si>
  <si>
    <t>Assets:Current Assets:Receivables from Non-exchange Transactions:Property Rates:Residential Properties:Developed:Interest Charge</t>
  </si>
  <si>
    <t>D0001/IA02694/F0001/X049/R1331/001/FIN</t>
  </si>
  <si>
    <t>Assets:Current Assets:Receivables from Non-exchange Transactions:Property Rates:Residential Properties:Developed:Prior Period Corrections and Adjustments</t>
  </si>
  <si>
    <t>D0001/IA02686/F0001/X049/R1331/001/FIN</t>
  </si>
  <si>
    <t>Assets:Current Assets:Receivables from Non-exchange Transactions:Property Rates:Public Service Infrastructure:Impairment:Recognised</t>
  </si>
  <si>
    <t>D0001/IA02687/F0001/X049/R1331/001/FIN</t>
  </si>
  <si>
    <t>Assets:Current Assets:Receivables from Non-exchange Transactions:Property Rates:Public Service Infrastructure:Impairment:Reversal</t>
  </si>
  <si>
    <t>D0001/IA02205/F0001/X049/R1331/001/FIN</t>
  </si>
  <si>
    <t>Assets:Current Assets:Receivables from Non-exchange Transactions:Property Rates:Public Service Infrastructure:Accrued Revenue</t>
  </si>
  <si>
    <t>D0001/IA02208/F0001/X049/R1331/001/FIN</t>
  </si>
  <si>
    <t>Assets:Current Assets:Receivables from Non-exchange Transactions:Property Rates:Public Service Infrastructure:Debt Write-offs</t>
  </si>
  <si>
    <t>D0001/IA08416/F0001/X049/R1331/001/FIN</t>
  </si>
  <si>
    <t>Assets:Current Assets:Receivables from Non-exchange Transactions:Property Rates:Public Service Infrastructure:Interest Charge</t>
  </si>
  <si>
    <t>D0001/IA02211/F0001/X049/R1331/001/FIN</t>
  </si>
  <si>
    <t>Assets:Current Assets:Receivables from Non-exchange Transactions:Property Rates:Public Service Infrastructure:Prior Period Corrections and Adjustments</t>
  </si>
  <si>
    <t>D0001/IA02682/F0001/X049/R1331/001/FIN</t>
  </si>
  <si>
    <t>Assets:Current Assets:Receivables from Non-exchange Transactions:Property Rates:Public Benefit Organisations:Impairment:Recognised</t>
  </si>
  <si>
    <t>D0001/IA02683/F0001/X049/R1331/001/FIN</t>
  </si>
  <si>
    <t>Assets:Current Assets:Receivables from Non-exchange Transactions:Property Rates:Public Benefit Organisations:Impairment:Reversal</t>
  </si>
  <si>
    <t>D0001/IA02198/F0001/X049/R1331/001/FIN</t>
  </si>
  <si>
    <t>Assets:Current Assets:Receivables from Non-exchange Transactions:Property Rates:Public Benefit Organisations:Accrued Revenue</t>
  </si>
  <si>
    <t>D0001/IA02200/F0001/X049/R1331/001/FIN</t>
  </si>
  <si>
    <t>Assets:Current Assets:Receivables from Non-exchange Transactions:Property Rates:Public Benefit Organisations:Collections</t>
  </si>
  <si>
    <t>D0001/IA02201/F0001/X049/R1331/001/FIN</t>
  </si>
  <si>
    <t>Assets:Current Assets:Receivables from Non-exchange Transactions:Property Rates:Public Benefit Organisations:Debt Write-offs</t>
  </si>
  <si>
    <t>D0001/IA08415/F0001/X049/R1331/001/FIN</t>
  </si>
  <si>
    <t>Assets:Current Assets:Receivables from Non-exchange Transactions:Property Rates:Public Benefit Organisations:Interest Charge</t>
  </si>
  <si>
    <t>D0001/IA02204/F0001/X049/R1331/001/FIN</t>
  </si>
  <si>
    <t>Assets:Current Assets:Receivables from Non-exchange Transactions:Property Rates:Public Benefit Organisations:Prior Period Corrections and Adjustments</t>
  </si>
  <si>
    <t>D0001/IA02678/F0001/X049/R1331/001/FIN</t>
  </si>
  <si>
    <t>Assets:Current Assets:Receivables from Non-exchange Transactions:Property Rates:Protected Areas:Impairment:Recognised</t>
  </si>
  <si>
    <t>D0001/IA02679/F0001/X049/R1331/001/FIN</t>
  </si>
  <si>
    <t>Assets:Current Assets:Receivables from Non-exchange Transactions:Property Rates:Protected Areas:Impairment:Reversal</t>
  </si>
  <si>
    <t>D0001/IA02191/F0001/X049/R1331/001/FIN</t>
  </si>
  <si>
    <t>Assets:Current Assets:Receivables from Non-exchange Transactions:Property Rates:Protected Areas:Accrued Revenue</t>
  </si>
  <si>
    <t>D0001/IA02193/F0001/X049/R1331/001/FIN</t>
  </si>
  <si>
    <t>Assets:Current Assets:Receivables from Non-exchange Transactions:Property Rates:Protected Areas:Collections</t>
  </si>
  <si>
    <t>D0001/IA02194/F0001/X049/R1331/001/FIN</t>
  </si>
  <si>
    <t>Assets:Current Assets:Receivables from Non-exchange Transactions:Property Rates:Protected Areas:Debt Write-offs</t>
  </si>
  <si>
    <t>D0001/IA08414/F0001/X049/R1331/001/FIN</t>
  </si>
  <si>
    <t>Assets:Current Assets:Receivables from Non-exchange Transactions:Property Rates:Protected Areas:Interest Charge</t>
  </si>
  <si>
    <t>D0001/IA02195/F0001/X049/R1331/001/FIN</t>
  </si>
  <si>
    <t>Assets:Current Assets:Receivables from Non-exchange Transactions:Property Rates:Protected Areas:Monthly Billing</t>
  </si>
  <si>
    <t>D0001/IA02197/F0001/X049/R1331/001/FIN</t>
  </si>
  <si>
    <t>Assets:Current Assets:Receivables from Non-exchange Transactions:Property Rates:Protected Areas:Prior Period Corrections and Adjustments</t>
  </si>
  <si>
    <t>D0001/IA02674/F0001/X049/R1331/001/FIN</t>
  </si>
  <si>
    <t>Assets:Current Assets:Receivables from Non-exchange Transactions:Property Rates:Privately Owned Towns Serviced by the Owner:Impairment:Recognised</t>
  </si>
  <si>
    <t>D0001/IA02675/F0001/X049/R1331/001/FIN</t>
  </si>
  <si>
    <t>Assets:Current Assets:Receivables from Non-exchange Transactions:Property Rates:Privately Owned Towns Serviced by the Owner:Impairment:Reversal</t>
  </si>
  <si>
    <t>D0001/IA02184/F0001/X049/R1331/001/FIN</t>
  </si>
  <si>
    <t>Assets:Current Assets:Receivables from Non-exchange Transactions:Property Rates:Privately Owned Towns Serviced by the Owner:Accrued Revenue</t>
  </si>
  <si>
    <t>D0001/IA02186/F0001/X049/R1331/001/FIN</t>
  </si>
  <si>
    <t>Assets:Current Assets:Receivables from Non-exchange Transactions:Property Rates:Privately Owned Towns Serviced by the Owner:Collections</t>
  </si>
  <si>
    <t>D0001/IA02187/F0001/X049/R1331/001/FIN</t>
  </si>
  <si>
    <t>Assets:Current Assets:Receivables from Non-exchange Transactions:Property Rates:Privately Owned Towns Serviced by the Owner:Debt Write-offs</t>
  </si>
  <si>
    <t>D0001/IA08413/F0001/X049/R1331/001/FIN</t>
  </si>
  <si>
    <t>Assets:Current Assets:Receivables from Non-exchange Transactions:Property Rates:Privately Owned Towns Serviced by the Owner:Interest Charge</t>
  </si>
  <si>
    <t>D0001/IA02188/F0001/X049/R1331/001/FIN</t>
  </si>
  <si>
    <t>Assets:Current Assets:Receivables from Non-exchange Transactions:Property Rates:Privately Owned Towns Serviced by the Owner:Monthly Billing</t>
  </si>
  <si>
    <t>D0001/IA02190/F0001/X049/R1331/001/FIN</t>
  </si>
  <si>
    <t>Assets:Current Assets:Receivables from Non-exchange Transactions:Property Rates:Privately Owned Towns Serviced by the Owner:Prior Period Corrections and Adjustments</t>
  </si>
  <si>
    <t>D0001/IA02670/F0001/X049/R1331/001/FIN</t>
  </si>
  <si>
    <t>Assets:Current Assets:Receivables from Non-exchange Transactions:Property Rates:National Monument Properties:Impairment:Recognised</t>
  </si>
  <si>
    <t>D0001/IA02671/F0001/X049/R1331/001/FIN</t>
  </si>
  <si>
    <t>Assets:Current Assets:Receivables from Non-exchange Transactions:Property Rates:National Monument Properties:Impairment:Reversal</t>
  </si>
  <si>
    <t>D0001/IA02177/F0001/X049/R1331/001/FIN</t>
  </si>
  <si>
    <t>Assets:Current Assets:Receivables from Non-exchange Transactions:Property Rates:National Monument Properties:Accrued Revenue</t>
  </si>
  <si>
    <t>D0001/IA02179/F0001/X049/R1331/001/FIN</t>
  </si>
  <si>
    <t>Assets:Current Assets:Receivables from Non-exchange Transactions:Property Rates:National Monument Properties:Collections</t>
  </si>
  <si>
    <t>D0001/IA02180/F0001/X049/R1331/001/FIN</t>
  </si>
  <si>
    <t>Assets:Current Assets:Receivables from Non-exchange Transactions:Property Rates:National Monument Properties:Debt Write-offs</t>
  </si>
  <si>
    <t>D0001/IA08412/F0001/X049/R1331/001/FIN</t>
  </si>
  <si>
    <t>Assets:Current Assets:Receivables from Non-exchange Transactions:Property Rates:National Monument Properties:Interest Charge</t>
  </si>
  <si>
    <t>D0001/IA02181/F0001/X049/R1331/001/FIN</t>
  </si>
  <si>
    <t>Assets:Current Assets:Receivables from Non-exchange Transactions:Property Rates:National Monument Properties:Monthly Billing</t>
  </si>
  <si>
    <t>D0001/IA02183/F0001/X049/R1331/001/FIN</t>
  </si>
  <si>
    <t>Assets:Current Assets:Receivables from Non-exchange Transactions:Property Rates:National Monument Properties:Prior Period Corrections and Adjustments</t>
  </si>
  <si>
    <t>D0001/IA02666/F0001/X049/R1331/001/FIN</t>
  </si>
  <si>
    <t>Assets:Current Assets:Receivables from Non-exchange Transactions:Property Rates:Municipal Properties:Impairment:Recognised</t>
  </si>
  <si>
    <t>D0001/IA02667/F0001/X049/R1331/001/FIN</t>
  </si>
  <si>
    <t>Assets:Current Assets:Receivables from Non-exchange Transactions:Property Rates:Municipal Properties:Impairment:Reversal</t>
  </si>
  <si>
    <t>D0001/IA02170/F0001/X049/R1331/001/FIN</t>
  </si>
  <si>
    <t>Assets:Current Assets:Receivables from Non-exchange Transactions:Property Rates:Municipal Properties:Accrued Revenue</t>
  </si>
  <si>
    <t>D0001/IA02173/F0001/X049/R1331/001/FIN</t>
  </si>
  <si>
    <t>Assets:Current Assets:Receivables from Non-exchange Transactions:Property Rates:Municipal Properties:Debt Write-offs</t>
  </si>
  <si>
    <t>D0001/IA08411/F0001/X049/R1331/001/FIN</t>
  </si>
  <si>
    <t>Assets:Current Assets:Receivables from Non-exchange Transactions:Property Rates:Municipal Properties:Interest Charge</t>
  </si>
  <si>
    <t>D0001/IA02176/F0001/X049/R1331/001/FIN</t>
  </si>
  <si>
    <t>Assets:Current Assets:Receivables from Non-exchange Transactions:Property Rates:Municipal Properties:Prior Period Corrections and Adjustments</t>
  </si>
  <si>
    <t>D0001/IA02807/F0001/X132/R1331/001/FIN</t>
  </si>
  <si>
    <t>Assets:Current Assets:Trade and other Receivables from Exchange Transactions:Trading Service and Customer Service Debtors:Service Charges:Impairment:Recognised</t>
  </si>
  <si>
    <t>D0001/IA02808/F0001/X132/R1331/001/FIN</t>
  </si>
  <si>
    <t>Assets:Current Assets:Trade and other Receivables from Exchange Transactions:Trading Service and Customer Service Debtors:Service Charges:Impairment:Reversal</t>
  </si>
  <si>
    <t>D0001/IA02371/F0001/X132/R1331/001/FIN</t>
  </si>
  <si>
    <t>Assets:Current Assets:Trade and other Receivables from Exchange Transactions:Trading Service and Customer Service Debtors:Service Charges:Prior Period Corrections and Adjustments</t>
  </si>
  <si>
    <t>D0001/IA02365/F0001/X132/R1331/001/FIN</t>
  </si>
  <si>
    <t>Assets:Current Assets:Trade and other Receivables from Exchange Transactions:Trading Service and Customer Service Debtors:Service Charges:Accrued Revenue</t>
  </si>
  <si>
    <t>D0001/IA02367/F0001/X132/R1331/001/FIN</t>
  </si>
  <si>
    <t>Assets:Current Assets:Trade and other Receivables from Exchange Transactions:Trading Service and Customer Service Debtors:Service Charges:Collections</t>
  </si>
  <si>
    <t>D0001/IA02368/F0001/X132/R1331/001/FIN</t>
  </si>
  <si>
    <t>Assets:Current Assets:Trade and other Receivables from Exchange Transactions:Trading Service and Customer Service Debtors:Service Charges:Debt Write-off</t>
  </si>
  <si>
    <t>D0001/IA08436/F0001/X132/R1331/001/FIN</t>
  </si>
  <si>
    <t>Assets:Current Assets:Trade and other Receivables from Exchange Transactions:Trading Service and Customer Service Debtors:Service Charges:Interest Charge</t>
  </si>
  <si>
    <t>D0001/IA02369/F0001/X132/R1331/001/FIN</t>
  </si>
  <si>
    <t>Assets:Current Assets:Trade and other Receivables from Exchange Transactions:Trading Service and Customer Service Debtors:Service Charges:Monthly Billing</t>
  </si>
  <si>
    <t>D0001/IL37833/F0001/X049/R1330/001/FIN</t>
  </si>
  <si>
    <t>Liabilities:Current Liabilities:Output VAT:  Provision for Doubtful Debt Impairment:Opening Balance</t>
  </si>
  <si>
    <t>IL</t>
  </si>
  <si>
    <t xml:space="preserve"> Trade and other payables</t>
  </si>
  <si>
    <t>D0001/IA10326/F0001/X049/R1330/001/FIN</t>
  </si>
  <si>
    <t>Assets:Current Assets:Control, Clearing and Interface Accounts:Third Party Refunds:Opening Balance</t>
  </si>
  <si>
    <t>D0001/IA10370/F0001/X049/R1330/001/FIN</t>
  </si>
  <si>
    <t>Assets:Current Assets:VAT Receivable:Input VAT Capital:Recognised</t>
  </si>
  <si>
    <t>D0001/IA10378/F0001/X055/R1330/001/FIN</t>
  </si>
  <si>
    <t>Assets:Current Assets:VAT Receivable:Input VAT General:Recognised</t>
  </si>
  <si>
    <t>D0001/IA10372/F0001/X049/R1330/001/FIN</t>
  </si>
  <si>
    <t>Assets:Current Assets:VAT Receivable:VAT Control (Receivable):Opening Balance</t>
  </si>
  <si>
    <t>D0001/IL54029/F0001/X049/R1330/001/FIN</t>
  </si>
  <si>
    <t>Liabilities:Current Liabilities:Trade and Other Payable Exchange Transactions:Long Service Award:Opening Balance</t>
  </si>
  <si>
    <t>D0001/IL54012/F0001/X049/R1330/001/FIN</t>
  </si>
  <si>
    <t>Liabilities:Current Liabilities:Trade and Other Payable Exchange Transactions:Control, Clearing and Interface Accounts:Salary Clearing and Control:Employee Deductions FICS:Opening Balance</t>
  </si>
  <si>
    <t>D0001/IL54006/F0001/X049/R1330/001/FIN</t>
  </si>
  <si>
    <t>Liabilities:Current Liabilities:Trade and Other Payable Exchange Transactions:Control, Clearing and Interface Accounts:Salary Clearing and Control:Group Life Control:Opening Balance</t>
  </si>
  <si>
    <t>D0001/IL53895/F0001/X049/R1330/001/FIN</t>
  </si>
  <si>
    <t>Liabilities:Current Liabilities:Trade and Other Payable Exchange Transactions:Control, Clearing and Interface Accounts:Salary Clearing and Control:Leave Control:Opening Balance</t>
  </si>
  <si>
    <t>D0001/IL53907/F0001/X049/R1330/001/FIN</t>
  </si>
  <si>
    <t>Liabilities:Current Liabilities:Trade and Other Payable Exchange Transactions:Control, Clearing and Interface Accounts:Salary Clearing and Control:Medical Aid Control:Opening Balance</t>
  </si>
  <si>
    <t>D0001/IL53906/F0001/X049/R1330/001/FIN</t>
  </si>
  <si>
    <t>Liabilities:Current Liabilities:Trade and Other Payable Exchange Transactions:Control, Clearing and Interface Accounts:Salary Clearing and Control:Pension Control:Opening Balance</t>
  </si>
  <si>
    <t>D0001/IL53947/F0001/X049/R1330/001/FIN</t>
  </si>
  <si>
    <t>Liabilities:Current Liabilities:Trade and Other Payable Exchange Transactions:Control, Clearing and Interface Accounts:Salary Clearing and Control:Salary Control:Opening Balance</t>
  </si>
  <si>
    <t>D0001/IL53901/F0001/X049/R1330/001/FIN</t>
  </si>
  <si>
    <t>Liabilities:Current Liabilities:Trade and Other Payable Exchange Transactions:Control, Clearing and Interface Accounts:Salary Clearing and Control:Skills Control:Opening Balance</t>
  </si>
  <si>
    <t>D0001/IL53896/F0001/X049/R1330/001/FIN</t>
  </si>
  <si>
    <t>Liabilities:Current Liabilities:Trade and Other Payable Exchange Transactions:Control, Clearing and Interface Accounts:Salary Clearing and Control:Tax Control:Opening Balance</t>
  </si>
  <si>
    <t>D0001/IL53948/F0001/X049/R1330/001/FIN</t>
  </si>
  <si>
    <t>Liabilities:Current Liabilities:Trade and Other Payable Exchange Transactions:Control, Clearing and Interface Accounts:Salary Clearing and Control:Travel Control:Opening Balance</t>
  </si>
  <si>
    <t>D0001/IL53995/F0001/X049/R1330/001/FIN</t>
  </si>
  <si>
    <t>Liabilities:Current Liabilities:Trade and Other Payable Exchange Transactions:Control, Clearing and Interface Accounts:Salary Clearing and Control:UIF Control:Deposits</t>
  </si>
  <si>
    <t>D0001/IL53714/F0001/X049/R1330/001/FIN</t>
  </si>
  <si>
    <t>Liabilities:Current Liabilities:Trade and Other Payable Exchange Transactions:Bonus:Deposits</t>
  </si>
  <si>
    <t>D0001/IL53922/F0001/X049/R1331/001/FIN</t>
  </si>
  <si>
    <t>Liabilities:Current Liabilities:Trade and Other Payable Exchange Transactions:Leave Accrual:Deposits</t>
  </si>
  <si>
    <t>D0001/IL53856/F0001/X049/R1330/001/FIN</t>
  </si>
  <si>
    <t>Liabilities:Current Liabilities:Trade and Other Payable Exchange Transactions:Overtime:Deposits</t>
  </si>
  <si>
    <t>D0001/IL53889/F0001/X049/R1330/001/FIN</t>
  </si>
  <si>
    <t>Liabilities:Current Liabilities:Trade and Other Payable Exchange Transactions:PAYE Deductions:Opening Balance</t>
  </si>
  <si>
    <t>D0001/IL53822/F0001/X049/R1330/001/FIN</t>
  </si>
  <si>
    <t>Liabilities:Current Liabilities:Trade and Other Payable Exchange Transactions:Pension and Retirement Contributions:Opening Balance</t>
  </si>
  <si>
    <t>D0001/IL53984/F0001/X049/R1330/001/FIN</t>
  </si>
  <si>
    <t>Liabilities:Current Liabilities:Trade and Other Payable Exchange Transactions:Retentions:Opening Balance</t>
  </si>
  <si>
    <t>D0001/IL54037/F0001/X049/R1330/001/FIN</t>
  </si>
  <si>
    <t>Liabilities:Current Liabilities:Trade and Other Payable Exchange Transactions:Standby:Opening Balance</t>
  </si>
  <si>
    <t>O1280-1/IE00830/F1177/X055/R1330/001/FIN</t>
  </si>
  <si>
    <t>Expenditure:Contracted Services:Consultants and Professional Services:Business and Advisory:Accounting and Auditing</t>
  </si>
  <si>
    <t>2700-002</t>
  </si>
  <si>
    <t>D0001/IR01053/F2496/X049/R1330/001/FIN</t>
  </si>
  <si>
    <t>Revenue:Non-exchange Revenue:Property Rates:Small Holdings:Agricultural Purposes</t>
  </si>
  <si>
    <t>Rates</t>
  </si>
  <si>
    <t>D0001/IR01052/F2496/X049/R1330/001/FIN</t>
  </si>
  <si>
    <t>Revenue:Non-exchange Revenue:Property Rates:Restitution and Redistribution Properties (Section 8(2)n):Land and Assistance Act or Restitution of Land Rights Act</t>
  </si>
  <si>
    <t>D0001/IR01049/F2496/X049/R1330/001/FIN</t>
  </si>
  <si>
    <t>Revenue:Non-exchange Revenue:Property Rates:Residential Properties:Developed</t>
  </si>
  <si>
    <t>D0001/IR01481/F2496/X049/R1330/001/FIN</t>
  </si>
  <si>
    <t>Revenue:Non-exchange Revenue:Property Rates:Agricultural Property</t>
  </si>
  <si>
    <t>D0001/IR01482/F2496/X049/R1330/001/FIN</t>
  </si>
  <si>
    <t>Revenue:Non-exchange Revenue:Property Rates:Business and Commercial Properties</t>
  </si>
  <si>
    <t>D0001/IR01484/F2496/X049/R1330/001/FIN</t>
  </si>
  <si>
    <t>Revenue:Non-exchange Revenue:Property Rates:Industrial Properties</t>
  </si>
  <si>
    <t>D0001/IR01485/F2496/X049/R1330/001/FIN</t>
  </si>
  <si>
    <t>Revenue:Non-exchange Revenue:Property Rates:Mining Properties</t>
  </si>
  <si>
    <t>D0001/IR01486/F2496/X049/R1330/001/FIN</t>
  </si>
  <si>
    <t>Revenue:Non-exchange Revenue:Property Rates:Multiple Purposes</t>
  </si>
  <si>
    <t>D0001/IR01487/F2496/X049/R1330/001/FIN</t>
  </si>
  <si>
    <t>Revenue:Non-exchange Revenue:Property Rates:Municipal Properties</t>
  </si>
  <si>
    <t>D0001/IR01488/F2496/X049/R1330/001/FIN</t>
  </si>
  <si>
    <t>Revenue:Non-exchange Revenue:Property Rates:National Monument Properties</t>
  </si>
  <si>
    <t>D0001/IR01489/F2496/X049/R1330/001/FIN</t>
  </si>
  <si>
    <t>Revenue:Non-exchange Revenue:Property Rates:Other Categories</t>
  </si>
  <si>
    <t>D0001/IR01492/F2496/X049/R1330/001/FIN</t>
  </si>
  <si>
    <t>Revenue:Non-exchange Revenue:Property Rates:Public Benefit Organisations</t>
  </si>
  <si>
    <t>D0001/IR01493/F2496/X049/R1330/001/FIN</t>
  </si>
  <si>
    <t>Revenue:Non-exchange Revenue:Property Rates:Public Service Infrastructure Properties</t>
  </si>
  <si>
    <t>D0001/IR01495/F2496/X049/R1330/001/FIN</t>
  </si>
  <si>
    <t>Revenue:Non-exchange Revenue:Property Rates:State Trust Land</t>
  </si>
  <si>
    <t>D0001/IR01496/F2496/X049/R1330/001/FIN</t>
  </si>
  <si>
    <t>Revenue:Non-exchange Revenue:Property Rates:State-owned Properties</t>
  </si>
  <si>
    <t>O3602/IR01053/F2496/X049/R1330/001/FIN</t>
  </si>
  <si>
    <t>O3602/IR01052/F2496/X049/R1330/001/FIN</t>
  </si>
  <si>
    <t>O3602/IR01049/F2496/X049/R1330/001/FIN</t>
  </si>
  <si>
    <t>O3602/IR01481/F2496/X049/R1330/001/FIN</t>
  </si>
  <si>
    <t>O3602/IR01482/F2496/X049/R1330/001/FIN</t>
  </si>
  <si>
    <t>O3602/IR01484/F2496/X049/R1330/001/FIN</t>
  </si>
  <si>
    <t>O3602/IR01485/F2496/X049/R1330/001/FIN</t>
  </si>
  <si>
    <t>O3602/IR01486/F2496/X049/R1330/001/FIN</t>
  </si>
  <si>
    <t>O3602/IR01487/F2496/X049/R1330/001/FIN</t>
  </si>
  <si>
    <t>O3602/IR01488/F2496/X049/R1330/001/FIN</t>
  </si>
  <si>
    <t>O3602/IR01489/F2496/X049/R1330/001/FIN</t>
  </si>
  <si>
    <t>O3602/IR01492/F2496/X049/R1330/001/FIN</t>
  </si>
  <si>
    <t>O3602/IR01493/F2496/X049/R1330/001/FIN</t>
  </si>
  <si>
    <t>O3602/IR01495/F2496/X049/R1330/001/FIN</t>
  </si>
  <si>
    <t>O3602/IR01496/F2496/X049/R1330/001/FIN</t>
  </si>
  <si>
    <t>O3615/IR01053/F2496/X049/R1330/001/FIN</t>
  </si>
  <si>
    <t>O3615/IR01052/F2496/X049/R1330/001/FIN</t>
  </si>
  <si>
    <t>O3615/IR01049/F2496/X049/R1330/001/FIN</t>
  </si>
  <si>
    <t>O3615/IR01481/F2496/X049/R1330/001/FIN</t>
  </si>
  <si>
    <t>O3615/IR01482/F2496/X049/R1330/001/FIN</t>
  </si>
  <si>
    <t>O3615/IR01484/F2496/X049/R1330/001/FIN</t>
  </si>
  <si>
    <t>O3615/IR01485/F2496/X049/R1330/001/FIN</t>
  </si>
  <si>
    <t>O3615/IR01486/F2496/X049/R1330/001/FIN</t>
  </si>
  <si>
    <t>O3615/IR01487/F2496/X049/R1330/001/FIN</t>
  </si>
  <si>
    <t>O3615/IR01488/F2496/X049/R1330/001/FIN</t>
  </si>
  <si>
    <t>O3615/IR01489/F2496/X049/R1330/001/FIN</t>
  </si>
  <si>
    <t>O3615/IR01492/F2496/X049/R1330/001/FIN</t>
  </si>
  <si>
    <t>O3615/IR01493/F2496/X049/R1330/001/FIN</t>
  </si>
  <si>
    <t>O3615/IR01495/F2496/X049/R1330/001/FIN</t>
  </si>
  <si>
    <t>O3615/IR01496/F2496/X049/R1330/001/FIN</t>
  </si>
  <si>
    <t>O3604/IR01053/F2496/X049/R1330/001/FIN</t>
  </si>
  <si>
    <t>O3604/IR01052/F2496/X049/R1330/001/FIN</t>
  </si>
  <si>
    <t>O3604/IR01049/F2496/X049/R1330/001/FIN</t>
  </si>
  <si>
    <t>O3604/IR01481/F2496/X049/R1330/001/FIN</t>
  </si>
  <si>
    <t>O3604/IR01482/F2496/X049/R1330/001/FIN</t>
  </si>
  <si>
    <t>O3604/IR01484/F2496/X049/R1330/001/FIN</t>
  </si>
  <si>
    <t>O3604/IR01485/F2496/X049/R1330/001/FIN</t>
  </si>
  <si>
    <t>O3604/IR01486/F2496/X049/R1330/001/FIN</t>
  </si>
  <si>
    <t>O3604/IR01487/F2496/X049/R1330/001/FIN</t>
  </si>
  <si>
    <t>O3604/IR01488/F2496/X049/R1330/001/FIN</t>
  </si>
  <si>
    <t>O3604/IR01489/F2496/X049/R1330/001/FIN</t>
  </si>
  <si>
    <t>O3604/IR01492/F2496/X049/R1330/001/FIN</t>
  </si>
  <si>
    <t>O3604/IR01493/F2496/X049/R1330/001/FIN</t>
  </si>
  <si>
    <t>O3604/IR01495/F2496/X049/R1330/001/FIN</t>
  </si>
  <si>
    <t>O3604/IR01496/F2496/X049/R1330/001/FIN</t>
  </si>
  <si>
    <t>O3614/IR01053/F2496/X049/R1330/001/FIN</t>
  </si>
  <si>
    <t>O3614/IR01052/F2496/X049/R1330/001/FIN</t>
  </si>
  <si>
    <t>O3614/IR01049/F2496/X049/R1330/001/FIN</t>
  </si>
  <si>
    <t>O3614/IR01481/F2496/X049/R1330/001/FIN</t>
  </si>
  <si>
    <t>O3614/IR01482/F2496/X049/R1330/001/FIN</t>
  </si>
  <si>
    <t>O3614/IR01484/F2496/X049/R1330/001/FIN</t>
  </si>
  <si>
    <t>O3614/IR01485/F2496/X055/R1330/001/FIN</t>
  </si>
  <si>
    <t>O3614/IR01486/F2496/X049/R1330/001/FIN</t>
  </si>
  <si>
    <t>O3614/IR01487/F2496/X049/R1330/001/FIN</t>
  </si>
  <si>
    <t>O3614/IR01488/F2496/X049/R1330/001/FIN</t>
  </si>
  <si>
    <t>O3614/IR01489/F2496/X049/R1330/001/FIN</t>
  </si>
  <si>
    <t>O3614/IR01492/F2496/X049/R1330/001/FIN</t>
  </si>
  <si>
    <t>O3614/IR01493/F2496/X049/R1330/001/FIN</t>
  </si>
  <si>
    <t>O3614/IR01495/F2496/X049/R1330/001/FIN</t>
  </si>
  <si>
    <t>O3614/IR01496/F2496/X049/R1330/001/FIN</t>
  </si>
  <si>
    <t>O3617/IR01053/F2496/X049/R1330/001/FIN</t>
  </si>
  <si>
    <t>O3617/IR01052/F2496/X049/R1330/001/FIN</t>
  </si>
  <si>
    <t>O3617/IR01049/F2496/X049/R1330/001/FIN</t>
  </si>
  <si>
    <t>O3617/IR01481/F2496/X049/R1330/001/FIN</t>
  </si>
  <si>
    <t>O3617/IR01482/F2496/X049/R1330/001/FIN</t>
  </si>
  <si>
    <t>O3617/IR01484/F2496/X049/R1330/001/FIN</t>
  </si>
  <si>
    <t>O3617/IR01485/F2496/X049/R1330/001/FIN</t>
  </si>
  <si>
    <t>O3617/IR01486/F2496/X049/R1330/001/FIN</t>
  </si>
  <si>
    <t>O3617/IR01487/F2496/X049/R1330/001/FIN</t>
  </si>
  <si>
    <t>O3617/IR01488/F2496/X049/R1330/001/FIN</t>
  </si>
  <si>
    <t>O3617/IR01489/F2496/X049/R1330/001/FIN</t>
  </si>
  <si>
    <t>O3617/IR01492/F2496/X049/R1330/001/FIN</t>
  </si>
  <si>
    <t>O3617/IR01493/F2496/X049/R1330/001/FIN</t>
  </si>
  <si>
    <t>O3617/IR01495/F2496/X049/R1330/001/FIN</t>
  </si>
  <si>
    <t>O3617/IR01496/F2496/X049/R1330/001/FIN</t>
  </si>
  <si>
    <t>O3603/IR01053/F2496/X049/R1330/001/FIN</t>
  </si>
  <si>
    <t>O3603/IR01052/F2496/X049/R1330/001/FIN</t>
  </si>
  <si>
    <t>O3603/IR01049/F2496/X049/R1330/001/FIN</t>
  </si>
  <si>
    <t>O3603/IR01481/F2496/X049/R1330/001/FIN</t>
  </si>
  <si>
    <t>O3603/IR01482/F2496/X049/R1330/001/FIN</t>
  </si>
  <si>
    <t>O3603/IR01484/F2496/X049/R1330/001/FIN</t>
  </si>
  <si>
    <t>O3603/IR01485/F2496/X049/R1330/001/FIN</t>
  </si>
  <si>
    <t>O3603/IR01486/F2496/X049/R1330/001/FIN</t>
  </si>
  <si>
    <t>O3603/IR01487/F2496/X049/R1330/001/FIN</t>
  </si>
  <si>
    <t>O3603/IR01488/F2496/X049/R1330/001/FIN</t>
  </si>
  <si>
    <t>O3603/IR01489/F2496/X049/R1330/001/FIN</t>
  </si>
  <si>
    <t>O3603/IR01492/F2496/X049/R1330/001/FIN</t>
  </si>
  <si>
    <t>O3603/IR01493/F2496/X049/R1330/001/FIN</t>
  </si>
  <si>
    <t>O3603/IR01495/F2496/X049/R1330/001/FIN</t>
  </si>
  <si>
    <t>O3603/IR01496/F2496/X049/R1330/001/FIN</t>
  </si>
  <si>
    <t>O3613/IR01053/F2496/X049/R1330/001/FIN</t>
  </si>
  <si>
    <t>O3613/IR01052/F2496/X049/R1330/001/FIN</t>
  </si>
  <si>
    <t>O3613/IR01049/F2496/X049/R1330/001/FIN</t>
  </si>
  <si>
    <t>O3613/IR01481/F2496/X049/R1330/001/FIN</t>
  </si>
  <si>
    <t>O3613/IR01482/F2496/X049/R1330/001/FIN</t>
  </si>
  <si>
    <t>O3613/IR01484/F2496/X049/R1330/001/FIN</t>
  </si>
  <si>
    <t>O3613/IR01485/F2496/X049/R1330/001/FIN</t>
  </si>
  <si>
    <t>O3613/IR01486/F2496/X049/R1330/001/FIN</t>
  </si>
  <si>
    <t>O3613/IR01487/F2496/X049/R1330/001/FIN</t>
  </si>
  <si>
    <t>O3613/IR01488/F2496/X049/R1330/001/FIN</t>
  </si>
  <si>
    <t>O3613/IR01489/F2496/X049/R1330/001/FIN</t>
  </si>
  <si>
    <t>O3613/IR01492/F2496/X049/R1330/001/FIN</t>
  </si>
  <si>
    <t>O3613/IR01493/F2496/X049/R1330/001/FIN</t>
  </si>
  <si>
    <t>O3613/IR01495/F2496/X049/R1330/001/FIN</t>
  </si>
  <si>
    <t>O3613/IR01496/F2496/X049/R1330/001/FIN</t>
  </si>
  <si>
    <t>O3612/IR01053/F2496/X049/R1330/001/FIN</t>
  </si>
  <si>
    <t>O3612/IR01052/F2496/X049/R1330/001/FIN</t>
  </si>
  <si>
    <t>O3612/IR01049/F2496/X049/R1330/001/FIN</t>
  </si>
  <si>
    <t>O3612/IR01481/F2496/X049/R1330/001/FIN</t>
  </si>
  <si>
    <t>O3612/IR01482/F2496/X049/R1330/001/FIN</t>
  </si>
  <si>
    <t>O3612/IR01484/F2496/X049/R1330/001/FIN</t>
  </si>
  <si>
    <t>O3612/IR01485/F2496/X049/R1330/001/FIN</t>
  </si>
  <si>
    <t>O3612/IR01486/F2496/X049/R1330/001/FIN</t>
  </si>
  <si>
    <t>O3612/IR01487/F2496/X049/R1330/001/FIN</t>
  </si>
  <si>
    <t>O3612/IR01488/F2496/X049/R1330/001/FIN</t>
  </si>
  <si>
    <t>O3612/IR01489/F2496/X049/R1330/001/FIN</t>
  </si>
  <si>
    <t>O3612/IR01492/F2496/X049/R1330/001/FIN</t>
  </si>
  <si>
    <t>O3612/IR01493/F2496/X049/R1330/001/FIN</t>
  </si>
  <si>
    <t>O3612/IR01495/F2496/X049/R1330/001/FIN</t>
  </si>
  <si>
    <t>O3612/IR01496/F2496/X049/R1330/001/FIN</t>
  </si>
  <si>
    <t>O1220-2/IE00572/F0041/X076/R1331/001/COMM</t>
  </si>
  <si>
    <t>Expenditure:Operational Cost:Honoraria (Voluntarily Workers)</t>
  </si>
  <si>
    <t>O1220-2/IE00754/F0041/X076/R1331/001/COMM</t>
  </si>
  <si>
    <t>Expenditure:Operational Cost:Advertising, Publicity and Marketing:Gifts and Promotional Items</t>
  </si>
  <si>
    <t>O1220-2/IE00534/F0041/X076/R1331/001/COMM</t>
  </si>
  <si>
    <t>Expenditure:Inventory Consumed:Materials and Supplies</t>
  </si>
  <si>
    <t>O1220-2/IE00632/F0041/X076/R1331/001/COMM</t>
  </si>
  <si>
    <t>Expenditure:Contracted Services:Contractors:Catering Services</t>
  </si>
  <si>
    <t>2700-003</t>
  </si>
  <si>
    <t>O1220-2/IE00671/F0041/X076/R1331/001/COMM</t>
  </si>
  <si>
    <t>Expenditure:Contracted Services:Contractors:Transportation</t>
  </si>
  <si>
    <t>O1220-1/IE00751/F0041/X076/R1331/001/COMM</t>
  </si>
  <si>
    <t>Expenditure:Operational Cost:Advertising, Publicity and Marketing:Corporate and Municipal Activities</t>
  </si>
  <si>
    <t>O1220-2/IE00703/F0041/X076/R1331/001/COMM</t>
  </si>
  <si>
    <t>Expenditure:Contracted Services:Outsourced Services:Transport Services</t>
  </si>
  <si>
    <t>2700-001</t>
  </si>
  <si>
    <t>O1220-2/IE00677/F0041/X076/R1330/001/COMM</t>
  </si>
  <si>
    <t>Expenditure:Contracted Services:Outsourced Services:Catering Services</t>
  </si>
  <si>
    <t>O1220-2/IE00756/F0041/X076/R1331/001/COMM</t>
  </si>
  <si>
    <t>Expenditure:Operational Cost:Advertising, Publicity and Marketing:Signs</t>
  </si>
  <si>
    <t>O1220-2/IE00571/F0041/X076/R1331/001/COMM</t>
  </si>
  <si>
    <t>Expenditure:Operational Cost:Hire Charges</t>
  </si>
  <si>
    <t>O1220-2/IE00751/F0041/X076/R1331/001/COMM</t>
  </si>
  <si>
    <t>O1305-1/IE00572/F0041/X098/R1331/001/COMM</t>
  </si>
  <si>
    <t>Planning and Development</t>
  </si>
  <si>
    <t>O1305-1/IE00583/F0041/X098/R1331/001/COMM</t>
  </si>
  <si>
    <t>Expenditure:Operational Cost:Printing, Publications and Books</t>
  </si>
  <si>
    <t>O1305-1/IE00632/F0041/X098/R1331/001/COMM</t>
  </si>
  <si>
    <t>O1305-1/IE00703/F0041/X098/R1331/001/COMM</t>
  </si>
  <si>
    <t>O1305-1/IE00571/F0041/X098/R1331/001/COMM</t>
  </si>
  <si>
    <t>O1304-2/IE00583/F0041/X098/R1331/001/COMM</t>
  </si>
  <si>
    <t>O1304-2/IE00671/F0041/X098/R1331/001/COMM</t>
  </si>
  <si>
    <t>O1305-1/IE00583/F0041/X097/R1331/001/COMM</t>
  </si>
  <si>
    <t>O1305-1/IE00671/F0041/X097/R1331/001/COMM</t>
  </si>
  <si>
    <t>O1354-1/IE00571/F0041/X022/R1331/001/COMM</t>
  </si>
  <si>
    <t>Community and Social Services</t>
  </si>
  <si>
    <t>O1354-1/IE00671/F0041/X022/R1331/001/COMM</t>
  </si>
  <si>
    <t>O1244-1/IE00143/F0041/X021/R1331/001/COMM</t>
  </si>
  <si>
    <t>Expenditure:Operational Cost:Travel and Subsistence:Domestic:Transport without Operator:Car Rental</t>
  </si>
  <si>
    <t>O1244-1/IE00142/F0041/X021/R1331/001/COMM</t>
  </si>
  <si>
    <t>Expenditure:Operational Cost:Travel and Subsistence:Domestic:Transport with Operator:Other Transport Provider</t>
  </si>
  <si>
    <t>O1244-1/IE00060/F0041/X021/R1331/001/COMM</t>
  </si>
  <si>
    <t>Expenditure:Operational Cost:Travel and Subsistence:Domestic:Accommodation</t>
  </si>
  <si>
    <t>O1244-1/IE00062/F0041/X021/R1331/001/COMM</t>
  </si>
  <si>
    <t>Expenditure:Operational Cost:Travel and Subsistence:Domestic:Food and Beverage (Served)</t>
  </si>
  <si>
    <t>O1244-1/IE00602/F0041/X021/R1331/001/COMM</t>
  </si>
  <si>
    <t>Expenditure:Operational Cost:Toll Gate Fees</t>
  </si>
  <si>
    <t>O1244-2/IE00549/F0041/X018/R1331/001/COMM</t>
  </si>
  <si>
    <t>Expenditure:Operational Cost:Achievements and Awards</t>
  </si>
  <si>
    <t>O1244-2/IE00571/F0041/X018/R1331/001/COMM</t>
  </si>
  <si>
    <t>O1244-2/IE00572/F0041/X018/R1331/001/COMM</t>
  </si>
  <si>
    <t>O1244-2/IE00677/F0041/X018/R1331/001/COMM</t>
  </si>
  <si>
    <t>O1244-2/IE00671/F0041/X018/R1331/001/COMM</t>
  </si>
  <si>
    <t>O1244-3/IE00572/F0041/X018/R1331/001/COMM</t>
  </si>
  <si>
    <t>O1244-3/IE00583/F0041/X018/R1331/001/COMM</t>
  </si>
  <si>
    <t>O1244-3/IE00632/F0041/X018/R1331/001/COMM</t>
  </si>
  <si>
    <t>O1244-3/IE00671/F0041/X018/R1331/001/COMM</t>
  </si>
  <si>
    <t>O1244-4/IE00738/F0041/X018/R1331/001/COMM</t>
  </si>
  <si>
    <t>Expenditure:Inventory Consumed:Consumables:Standard Rated</t>
  </si>
  <si>
    <t>O1217-1/IE00738/F0041/X013/R1331/001/COMM</t>
  </si>
  <si>
    <t>O1255-1/IE00754/F13636/X024/R1331/001/LIBR</t>
  </si>
  <si>
    <t>O1255-1/IE00583/F13636/X024/R1331/001/LIBR</t>
  </si>
  <si>
    <t>O1255-1/IE00632/F13636/X024/R1331/001/LIBR</t>
  </si>
  <si>
    <t>O1255-1/IE00550/F13636/X024/R1331/001/LIBR</t>
  </si>
  <si>
    <t>Expenditure:Operational Cost:Assets less than the Capitalisation Threshold</t>
  </si>
  <si>
    <t>O1255-1/IE00671/F13636/X024/R1331/001/LIBR</t>
  </si>
  <si>
    <t>O1243-1/IE00583/F13636/X024/R1331/001/LIBR</t>
  </si>
  <si>
    <t>O1243-1/IE00677/F13636/X024/R1331/001/LIBR</t>
  </si>
  <si>
    <t>O1243-1/IE00671/F13636/X024/R1331/001/LIBR</t>
  </si>
  <si>
    <t>O0001/IE00552/F13636/X024/R1330/001/LIBR</t>
  </si>
  <si>
    <t>Expenditure:Operational Cost:Bargaining Council</t>
  </si>
  <si>
    <t>O0001/IE00595/F13636/X024/R1330/001/LIBR</t>
  </si>
  <si>
    <t>Expenditure:Operational Cost:Skills Development Fund Levy</t>
  </si>
  <si>
    <t>O0001/IE00040/F13636/X024/R1330/001/LIBR</t>
  </si>
  <si>
    <t>Expenditure:Employee Related Cost:Municipal Staff:Social Contributions:Bargaining Council</t>
  </si>
  <si>
    <t>2000-009</t>
  </si>
  <si>
    <t>O0001/IE00043/F13636/X024/R1330/001/LIBR</t>
  </si>
  <si>
    <t>Expenditure:Employee Related Cost:Municipal Staff:Social Contributions:Medical</t>
  </si>
  <si>
    <t>2000-003</t>
  </si>
  <si>
    <t>O0001/IE00044/F13636/X024/R1330/001/LIBR</t>
  </si>
  <si>
    <t>Expenditure:Employee Related Cost:Municipal Staff:Social Contributions:Pension</t>
  </si>
  <si>
    <t>2000-002</t>
  </si>
  <si>
    <t>O0001/IE00045/F13636/X024/R1330/001/LIBR</t>
  </si>
  <si>
    <t>Expenditure:Employee Related Cost:Municipal Staff:Social Contributions:Unemployment Insurance</t>
  </si>
  <si>
    <t>O0001/IE03969/F13636/X024/R1330/001/LIBR</t>
  </si>
  <si>
    <t>Expenditure:Employee Related Cost:Municipal Staff:Salaries, Wages and Allowances:Allowances:Service Related Benefits:Overtime:Non Structured</t>
  </si>
  <si>
    <t>2000-004</t>
  </si>
  <si>
    <t>O0001/IE03971/F13636/X024/R1330/001/LIBR</t>
  </si>
  <si>
    <t>Expenditure:Employee Related Cost:Municipal Staff:Salaries, Wages and Allowances:Allowances:Service Related Benefits:Overtime:Structured</t>
  </si>
  <si>
    <t>O0001/IE01525/F13636/X024/R1330/001/LIBR</t>
  </si>
  <si>
    <t>Expenditure:Employee Related Cost:Municipal Staff:Salaries, Wages and Allowances:Allowances:Service Related Benefits:Acting and Post Related Allowances</t>
  </si>
  <si>
    <t>O0001/IE01526/F13636/X024/R1330/001/LIBR</t>
  </si>
  <si>
    <t>Expenditure:Employee Related Cost:Municipal Staff:Salaries, Wages and Allowances:Allowances:Service Related Benefits:Bonus</t>
  </si>
  <si>
    <t>2000-005</t>
  </si>
  <si>
    <t>O0001/IE01530/F13636/X024/R1330/001/LIBR</t>
  </si>
  <si>
    <t>Expenditure:Employee Related Cost:Municipal Staff:Salaries, Wages and Allowances:Allowances:Service Related Benefits:Leave Pay</t>
  </si>
  <si>
    <t>2000-010</t>
  </si>
  <si>
    <t>O0001/IE01521/F13636/X024/R1330/001/LIBR</t>
  </si>
  <si>
    <t>Expenditure:Employee Related Cost:Municipal Staff:Salaries, Wages and Allowances:Allowances:Housing Benefits and Incidental:Housing Benefits</t>
  </si>
  <si>
    <t>2000-008</t>
  </si>
  <si>
    <t>O0001/IE00126/F13636/X024/R1330/001/LIBR</t>
  </si>
  <si>
    <t>Expenditure:Employee Related Cost:Municipal Staff:Salaries, Wages and Allowances:Allowances:Travel or Motor Vehicle</t>
  </si>
  <si>
    <t>2000-006</t>
  </si>
  <si>
    <t>O0001/IE00036/F13636/X024/R1330/001/LIBR</t>
  </si>
  <si>
    <t>Expenditure:Employee Related Cost:Municipal Staff:Salaries, Wages and Allowances:Basic Salary and Wages</t>
  </si>
  <si>
    <t>2000-001</t>
  </si>
  <si>
    <t>O0001/IE00143/F13636/X024/R1331/001/LIBR</t>
  </si>
  <si>
    <t>O0001/IE00144/F13636/X024/R1331/001/LIBR</t>
  </si>
  <si>
    <t>Expenditure:Operational Cost:Travel and Subsistence:Domestic:Transport without Operator:Own Transport</t>
  </si>
  <si>
    <t>O0001/IE01581/F13636/X024/R1331/001/LIBR</t>
  </si>
  <si>
    <t>Expenditure:Operational Cost:Travel and Subsistence:Domestic:Transport with Operator:Public Transport:Air Transport</t>
  </si>
  <si>
    <t>O0001/IE00142/F13636/X024/R1331/001/LIBR</t>
  </si>
  <si>
    <t>O0001/IE00060/F13636/X024/R1331/001/LIBR</t>
  </si>
  <si>
    <t>O0001/IE00061/F13636/X024/R1331/001/LIBR</t>
  </si>
  <si>
    <t>Expenditure:Operational Cost:Travel and Subsistence:Domestic:Daily Allowance</t>
  </si>
  <si>
    <t>O0001/IE00062/F13636/X024/R1331/001/LIBR</t>
  </si>
  <si>
    <t>O0001/IE00063/F13636/X024/R1331/001/LIBR</t>
  </si>
  <si>
    <t>Expenditure:Operational Cost:Travel and Subsistence:Domestic:Incidental Cost</t>
  </si>
  <si>
    <t>O0001/IE00751/F13636/X024/R1331/001/LIBR</t>
  </si>
  <si>
    <t>O0001/IE00753/F13636/X024/R1331/001/LIBR</t>
  </si>
  <si>
    <t>Expenditure:Operational Cost:Advertising, Publicity and Marketing:Customer/Client Information</t>
  </si>
  <si>
    <t>O0001/IE00754/F13636/X024/R1331/001/LIBR</t>
  </si>
  <si>
    <t>O0001/IE00757/F13636/X024/R1331/001/LIBR</t>
  </si>
  <si>
    <t>Expenditure:Operational Cost:Advertising, Publicity and Marketing:Staff Recruitment</t>
  </si>
  <si>
    <t>O0001/IE00557/F13636/X024/R1331/001/LIBR</t>
  </si>
  <si>
    <t>Expenditure:Operational Cost:Copy Right Fees</t>
  </si>
  <si>
    <t>O0001/IE00583/F13636/X024/R1331/001/LIBR</t>
  </si>
  <si>
    <t>O0001/IE00609/F13636/X024/R1331/001/LIBR</t>
  </si>
  <si>
    <t>Expenditure:Operational Cost:Workmen's Compensation Fund</t>
  </si>
  <si>
    <t>O0001/IE00793/F13636/X024/R1331/001/LIBR</t>
  </si>
  <si>
    <t>Expenditure:Operational Cost:External Computer Service:Specialised Computer Service</t>
  </si>
  <si>
    <t>O0001/IE00036/F0041/X091/R1330/001/LIC</t>
  </si>
  <si>
    <t>O0001/IE00108/F0041/X091/R1330/001/LIC</t>
  </si>
  <si>
    <t>Expenditure:Employee Related Cost:Municipal Staff:Post-retirement Benefit:Medical:Past Service Cost</t>
  </si>
  <si>
    <t>2000-012</t>
  </si>
  <si>
    <t>O0001/IE01521/F0041/X091/R1330/001/LIC</t>
  </si>
  <si>
    <t>O0001/IE01526/F0041/X091/R1330/001/LIC</t>
  </si>
  <si>
    <t>O0001/IE03971/F0041/X091/R1330/001/LIC</t>
  </si>
  <si>
    <t>O0001/IE03969/F0041/X091/R1330/001/LIC</t>
  </si>
  <si>
    <t>O0001/IE00045/F0041/X091/R1330/001/LIC</t>
  </si>
  <si>
    <t>O0001/IE00044/F0041/X091/R1330/001/LIC</t>
  </si>
  <si>
    <t>O0001/IE00043/F0041/X091/R1330/001/LIC</t>
  </si>
  <si>
    <t>O0001/IE00040/F0041/X091/R1330/001/LIC</t>
  </si>
  <si>
    <t>O0001/IE00595/F0041/X091/R1330/001/LIC</t>
  </si>
  <si>
    <t>O0001/IE00552/F0041/X091/R1330/001/LIC</t>
  </si>
  <si>
    <t>O0001/IE01530/F0041/X091/R1330/001/LIC</t>
  </si>
  <si>
    <t>O1244-5/IE00036/F0041/X006/R1331/001/COMM</t>
  </si>
  <si>
    <t>Community and Social Services2</t>
  </si>
  <si>
    <t>O1244-5/IE00604/F0041/X006/R1331/001/COMM</t>
  </si>
  <si>
    <t>Expenditure:Operational Cost:Uniform and Protective Clothing</t>
  </si>
  <si>
    <t>O1244-5/IE00534/F0041/X006/R1331/001/COMM</t>
  </si>
  <si>
    <t>O1263-1/IE01581/F0041/X019/R1331/001/COMM</t>
  </si>
  <si>
    <t>O1263-1/IE00143/F0041/X019/R1331/001/COMM</t>
  </si>
  <si>
    <t>O1263-1/IE01582/F0041/X019/R1331/001/COMM</t>
  </si>
  <si>
    <t>Expenditure:Operational Cost:Travel and Subsistence:Domestic:Transport with Operator:Public Transport:Railway Transport</t>
  </si>
  <si>
    <t>O1263-1/IE00062/F0041/X019/R1331/001/COMM</t>
  </si>
  <si>
    <t>O1263-1/IE00060/F0041/X019/R1331/001/COMM</t>
  </si>
  <si>
    <t>O1263-1/IE00583/F0041/X019/R1331/001/COMM</t>
  </si>
  <si>
    <t>O1263-1/IE00677/F0041/X019/R1331/001/COMM</t>
  </si>
  <si>
    <t>O1263-1/IE00703/F0041/X019/R1331/001/COMM</t>
  </si>
  <si>
    <t>O1263-2/IE00677/F0041/X019/R1331/001/COMM</t>
  </si>
  <si>
    <t>O1263-2/IE00583/F0041/X019/R1331/001/COMM</t>
  </si>
  <si>
    <t>O1264-1/IE00583/F0041/X019/R1331/001/COMM</t>
  </si>
  <si>
    <t>O1264-1/IE00594/F0041/X019/R1331/001/COMM</t>
  </si>
  <si>
    <t>Expenditure:Operational Cost:Signage</t>
  </si>
  <si>
    <t>O1264-1/IE00677/F0041/X019/R1331/001/COMM</t>
  </si>
  <si>
    <t>O1264-1/IE00703/F0041/X019/R1331/001/COMM</t>
  </si>
  <si>
    <t>O1444-1/IE00754/F0041/X025/R1331/001/COMM</t>
  </si>
  <si>
    <t>O1444-1/IE00571/F0041/X025/R1331/001/COMM</t>
  </si>
  <si>
    <t>O1444-1/IE00583/F0041/X025/R1331/001/COMM</t>
  </si>
  <si>
    <t>O1444-1/IE00677/F0041/X025/R1331/001/COMM</t>
  </si>
  <si>
    <t>O1444-1/IE00703/F0041/X025/R1331/001/COMM</t>
  </si>
  <si>
    <t>O1444-1/IE00572/F0041/X025/R1331/001/COMM</t>
  </si>
  <si>
    <t>O1444-2/IE00060/F0041/X025/R1331/001/COMM</t>
  </si>
  <si>
    <t>O1444-2/IE00062/F0041/X025/R1331/001/COMM</t>
  </si>
  <si>
    <t>O1444-2/IE00754/F0041/X025/R1331/001/COMM</t>
  </si>
  <si>
    <t>O1444-2/IE00583/F0041/X025/R1331/001/COMM</t>
  </si>
  <si>
    <t>O1444-2/IE00703/F0041/X025/R1331/001/COMM</t>
  </si>
  <si>
    <t>O1444-3/IE00750/F0041/X025/R1331/001/COMM</t>
  </si>
  <si>
    <t>Expenditure:Operational Cost:Advertising, Publicity and Marketing:Bursaries (Non-employees)</t>
  </si>
  <si>
    <t>O1333-1/IE00143/F0041/X125/R1331/001/COMM</t>
  </si>
  <si>
    <t>O1333-1/IE00060/F0041/X125/R1331/001/COMM</t>
  </si>
  <si>
    <t>O1333-1/IE00062/F0041/X125/R1331/001/COMM</t>
  </si>
  <si>
    <t>O1333-1/IE00815/F0041/X125/R1331/001/COMM</t>
  </si>
  <si>
    <t>Expenditure:Operational Cost:Travel and Subsistence:Non-employees</t>
  </si>
  <si>
    <t>O1333-1/IE00754/F0041/X125/R1331/001/COMM</t>
  </si>
  <si>
    <t>O1333-1/IE00677/F0041/X125/R1331/001/COMM</t>
  </si>
  <si>
    <t>O1333-1/IE00703/F0041/X125/R1331/001/COMM</t>
  </si>
  <si>
    <t>O1333-1/IE00640/F0041/X125/R1331/001/COMM</t>
  </si>
  <si>
    <t>Expenditure:Contracted Services:Contractors:First Aid</t>
  </si>
  <si>
    <t>O1333-1/IE00666/F0041/X125/R1331/001/COMM</t>
  </si>
  <si>
    <t>Expenditure:Contracted Services:Contractors:Sports and Recreation</t>
  </si>
  <si>
    <t>O1333-2/IE00143/F0041/X129/R1331/001/COMM</t>
  </si>
  <si>
    <t>O1333-2/IE00060/F0041/X129/R1331/001/COMM</t>
  </si>
  <si>
    <t>O1333-2/IE00062/F0041/X129/R1331/001/COMM</t>
  </si>
  <si>
    <t>O1333-2/IE00815/F0041/X129/R1331/001/COMM</t>
  </si>
  <si>
    <t>O1333-2/IE00549/F0041/X129/R1331/001/COMM</t>
  </si>
  <si>
    <t>O1333-2/IE00677/F0041/X129/R1331/001/COMM</t>
  </si>
  <si>
    <t>O1333-2/IE00703/F0041/X129/R1331/001/COMM</t>
  </si>
  <si>
    <t>O1333-2/IE00640/F0041/X129/R1331/001/COMM</t>
  </si>
  <si>
    <t>O1333-2/IE00666/F0041/X129/R1331/001/COMM</t>
  </si>
  <si>
    <t>O0001/IE00552/F0041/X046/R1330/001/CORP</t>
  </si>
  <si>
    <t>O0001/IE00595/F0041/X046/R1330/001/CORP</t>
  </si>
  <si>
    <t>O0001/IE00040/F0041/X046/R1330/001/CORP</t>
  </si>
  <si>
    <t>O0001/IE00043/F0041/X046/R1330/001/CORP</t>
  </si>
  <si>
    <t>O0001/IE00044/F0041/X046/R1330/001/CORP</t>
  </si>
  <si>
    <t>O0001/IE00045/F0041/X046/R1330/001/CORP</t>
  </si>
  <si>
    <t>O0001/IE03969/F0041/X046/R1330/001/CORP</t>
  </si>
  <si>
    <t>O0001/IE03971/F0041/X046/R1330/001/CORP</t>
  </si>
  <si>
    <t>O0001/IE01525/F0041/X046/R1330/001/CORP</t>
  </si>
  <si>
    <t>O0001/IE01526/F0041/X046/R1330/001/CORP</t>
  </si>
  <si>
    <t>O0001/IE01521/F0041/X046/R1330/001/CORP</t>
  </si>
  <si>
    <t>O0001/IE00121/F0041/X046/R1330/001/CORP</t>
  </si>
  <si>
    <t>Expenditure:Employee Related Cost:Municipal Staff:Salaries, Wages and Allowances:Allowances:Cellular and Telephone</t>
  </si>
  <si>
    <t>2000-007</t>
  </si>
  <si>
    <t>O0001/IE00036/F0041/X046/R1330/001/CORP</t>
  </si>
  <si>
    <t>O0001/IE00108/F0041/X046/R1330/001/CORP</t>
  </si>
  <si>
    <t>O0001/IE00126/F0041/X046/R1330/001/CORP</t>
  </si>
  <si>
    <t>O0001/IE01533/F0041/X046/R1330/001/CORP</t>
  </si>
  <si>
    <t>Expenditure:Employee Related Cost:Municipal Staff:Salaries, Wages and Allowances:Allowances:Service Related Benefits:Long Service Award</t>
  </si>
  <si>
    <t>2000-011</t>
  </si>
  <si>
    <t>O0001/IE01530/F0041/X046/R1330/001/CORP</t>
  </si>
  <si>
    <t>O0001/IE00552/F0041/X116/R1330/001/TECH</t>
  </si>
  <si>
    <t>Road Transport</t>
  </si>
  <si>
    <t>O0001/IE00040/F0041/X116/R1330/001/TECH</t>
  </si>
  <si>
    <t>O0001/IE00595/F0041/X116/R1330/001/TECH</t>
  </si>
  <si>
    <t>O0001/IE00043/F0041/X116/R1330/001/TECH</t>
  </si>
  <si>
    <t>O0001/IE00044/F0041/X116/R1330/001/TECH</t>
  </si>
  <si>
    <t>O0001/IE00045/F0041/X116/R1330/001/TECH</t>
  </si>
  <si>
    <t>O0001/IE03969/F0041/X116/R1330/001/TECH</t>
  </si>
  <si>
    <t>O0001/IE03971/F0041/X116/R1330/001/TECH</t>
  </si>
  <si>
    <t>O0001/IE01525/F0041/X116/R1330/001/TECH</t>
  </si>
  <si>
    <t>O0001/IE01526/F0041/X116/R1330/001/TECH</t>
  </si>
  <si>
    <t>O0001/IE01530/F0041/X116/R1330/001/TECH</t>
  </si>
  <si>
    <t>O0001/IE01521/F0041/X116/R1330/001/TECH</t>
  </si>
  <si>
    <t>O0001/IE00121/F0041/X116/R1330/001/TECH</t>
  </si>
  <si>
    <t>O0001/IE00126/F0041/X116/R1330/001/TECH</t>
  </si>
  <si>
    <t>O0001/IE00036/F0041/X116/R1330/001/TECH</t>
  </si>
  <si>
    <t>O0001/IE00108/F0041/X116/R1330/001/TECH</t>
  </si>
  <si>
    <t>O1254-1/IE00144/F0041/X077/R1331/001/TECH</t>
  </si>
  <si>
    <t>O1254-1/IE00583/F0041/X077/R1331/001/TECH</t>
  </si>
  <si>
    <t>O1254-2/IE00583/F0041/X077/R1331/001/TECH</t>
  </si>
  <si>
    <t>O1254-2/IE00607/F0041/X077/R1331/001/TECH</t>
  </si>
  <si>
    <t>Expenditure:Operational Cost:Wet Fuel</t>
  </si>
  <si>
    <t>O0001/IE00552/F0041/X006/R1330/001/COMM</t>
  </si>
  <si>
    <t>O0001/IE00595/F0041/X006/R1330/001/COMM</t>
  </si>
  <si>
    <t>O0001/IE00040/F0041/X006/R1330/001/COMM</t>
  </si>
  <si>
    <t>O0001/IE00043/F0041/X006/R1330/001/COMM</t>
  </si>
  <si>
    <t>O0001/IE00044/F0041/X006/R1330/001/COMM</t>
  </si>
  <si>
    <t>O0001/IE00045/F0041/X006/R1330/001/COMM</t>
  </si>
  <si>
    <t>O0001/IE03969/F0041/X006/R1330/001/COMM</t>
  </si>
  <si>
    <t>O0001/IE03971/F0041/X006/R1330/001/COMM</t>
  </si>
  <si>
    <t>O0001/IE01525/F0041/X006/R1330/001/COMM</t>
  </si>
  <si>
    <t>O0001/IE01526/F0041/X006/R1330/001/COMM</t>
  </si>
  <si>
    <t>O0001/IE01530/F0041/X006/R1330/001/COMM</t>
  </si>
  <si>
    <t>O0001/IE01521/F0041/X006/R1330/001/COMM</t>
  </si>
  <si>
    <t>O0001/IE00121/F0041/X006/R1330/001/COMM</t>
  </si>
  <si>
    <t>O0001/IE00126/F0041/X006/R1330/001/COMM</t>
  </si>
  <si>
    <t>O0001/IE00036/F0041/X006/R1330/001/COMM</t>
  </si>
  <si>
    <t>O0001/IE00108/F0041/X006/R1330/001/COMM</t>
  </si>
  <si>
    <t>C0227-1/IA01952/F0791/X005/R1818/001/TECH</t>
  </si>
  <si>
    <t>Assets:Non-current Assets:Construction Work-in-progress:Acquisitions:Outsourced</t>
  </si>
  <si>
    <t xml:space="preserve"> Property, plant and equipment</t>
  </si>
  <si>
    <t>O0025-1/IE00578/F0041/X104/R1331/001/TECH</t>
  </si>
  <si>
    <t>Expenditure:Operational Cost:Management Fee</t>
  </si>
  <si>
    <t>O0025-1/IE00581/F0041/X104/R1331/001/TECH</t>
  </si>
  <si>
    <t>Expenditure:Operational Cost:Parking Fees</t>
  </si>
  <si>
    <t>O0025-1/IE00583/F0041/X104/R1331/001/TECH</t>
  </si>
  <si>
    <t>O0025-1/IE00607/F0041/X104/R1331/001/TECH</t>
  </si>
  <si>
    <t>O0001/IE00534/F0041/X133/R1331/001/COMM</t>
  </si>
  <si>
    <t>O0001/IE00534/F0041/X132/R1331/001/COMM</t>
  </si>
  <si>
    <t>O0001/IE00604/F0041/X133/R1331/001/COMM</t>
  </si>
  <si>
    <t>O0001/IE00604/F0041/X132/R1331/001/COMM</t>
  </si>
  <si>
    <t>O1244-6/IE00667/F0041/X012/R1331/001/COMM</t>
  </si>
  <si>
    <t>Expenditure:Contracted Services:Contractors:Stage and Sound Crew</t>
  </si>
  <si>
    <t>O1244-6/IE00754/F0041/X012/R1331/001/COMM</t>
  </si>
  <si>
    <t>O1244-6/IE00571/F0041/X012/R1331/001/COMM</t>
  </si>
  <si>
    <t>O1244-6/IE00677/F0041/X012/R1331/001/COMM</t>
  </si>
  <si>
    <t>O1244-6/IE00703/F0041/X012/R1331/001/COMM</t>
  </si>
  <si>
    <t>O1245-2/IE00703/F0041/X028/R1331/001/COMM</t>
  </si>
  <si>
    <t>O1245-2/IE00677/F0041/X028/R1331/001/COMM</t>
  </si>
  <si>
    <t>O1245-2/IE00754/F0041/X028/R1331/001/COMM</t>
  </si>
  <si>
    <t>O1244-8/IE00534/F0041/X028/R1331/001/COMM</t>
  </si>
  <si>
    <t>O1244-8/IE00677/F0041/X028/R1331/001/COMM</t>
  </si>
  <si>
    <t>O1244-8/IE00703/F0041/X028/R1331/001/COMM</t>
  </si>
  <si>
    <t>O1244-7/IE00534/F0041/X028/R1331/001/COMM</t>
  </si>
  <si>
    <t>O1244-7/IE00677/F0041/X028/R1331/001/COMM</t>
  </si>
  <si>
    <t>O1244-7/IE00703/F0041/X028/R1331/001/COMM</t>
  </si>
  <si>
    <t>O1244-7/IE00738/F0041/X028/R1331/001/COMM</t>
  </si>
  <si>
    <t>C0227-2/IA01952/F0791/X005/R1813/001/TECH</t>
  </si>
  <si>
    <t>C0227-4/IA01952/F0791/X005/R1815/001/TECH</t>
  </si>
  <si>
    <t>C0230-1/IA01952/F0791/X005/R1817/001/TECH</t>
  </si>
  <si>
    <t>O1242-1/IE00594/F0041/X005/R1331/001/COMM</t>
  </si>
  <si>
    <t>O1242-1/IE00534/F0041/X005/R1331/001/COMM</t>
  </si>
  <si>
    <t>O1242-1/IE00677/F0041/X005/R1331/001/COMM</t>
  </si>
  <si>
    <t>O1242-1/IE00703/F0041/X005/R1331/001/COMM</t>
  </si>
  <si>
    <t>O1305-1/IE00677/F0041/X097/R1331/001/COMM</t>
  </si>
  <si>
    <t>O1333-3/IE00677/F0041/X129/R1331/001/COMM</t>
  </si>
  <si>
    <t>O1333-3/IE00703/F0041/X129/R1331/001/COMM</t>
  </si>
  <si>
    <t>O1278-3/IE00604/F0041/X006/R1331/001/COMM</t>
  </si>
  <si>
    <t>O1278-3/IE00738/F0041/X006/R1331/001/COMM</t>
  </si>
  <si>
    <t>O1278-3/IE00534/F0041/X006/R1331/001/COMM</t>
  </si>
  <si>
    <t>O1278-3/IE00045/F0041/X006/R1331/001/COMM</t>
  </si>
  <si>
    <t>O1278-3/IE00036/F0041/X006/R1331/001/COMM</t>
  </si>
  <si>
    <t>O1278-2/IE00143/F1169/X132/R1331/001/COMM</t>
  </si>
  <si>
    <t>O1278-2/IE00060/F1169/X132/R1331/001/COMM</t>
  </si>
  <si>
    <t>O1278-2/IE00062/F1169/X132/R1331/001/COMM</t>
  </si>
  <si>
    <t>O1278-2/IE00815/F1169/X132/R1331/001/COMM</t>
  </si>
  <si>
    <t>O1278-2/IE00754/F1169/X125/R1331/001/COMM</t>
  </si>
  <si>
    <t>O1278-2/IE00604/F1169/X132/R1331/001/COMM</t>
  </si>
  <si>
    <t>O1278-2/IE00604/F1169/X133/R1331/001/COMM</t>
  </si>
  <si>
    <t>O1278-2/IE00604/F1169/X125/R1331/001/COMM</t>
  </si>
  <si>
    <t>O1278-2/IE00604/F1169/X087/R1331/001/COMM</t>
  </si>
  <si>
    <t>O1278-2/IE00534/F1169/X132/R1331/001/COMM</t>
  </si>
  <si>
    <t>O1278-2/IE00534/F1169/X133/R1331/001/COMM</t>
  </si>
  <si>
    <t>O1278-2/IE00534/F1169/X125/R1331/001/COMM</t>
  </si>
  <si>
    <t>O1278-2/IE00534/F1169/X087/R1331/001/COMM</t>
  </si>
  <si>
    <t>O1278-2/IE00045/F1169/X132/R1330/001/COMM</t>
  </si>
  <si>
    <t>O1278-2/IE00045/F1169/X133/R1330/001/COMM</t>
  </si>
  <si>
    <t>O1278-2/IE00045/F1169/X125/R1330/001/COMM</t>
  </si>
  <si>
    <t>O1278-2/IE00045/F1169/X087/R1330/001/COMM</t>
  </si>
  <si>
    <t>O1278-2/IE00036/F1169/X132/R1330/001/COMM</t>
  </si>
  <si>
    <t>O1278-2/IE00036/F1169/X133/R1330/001/COMM</t>
  </si>
  <si>
    <t>O1278-2/IE00036/F1169/X125/R1330/001/COMM</t>
  </si>
  <si>
    <t>O1278-2/IE00036/F1169/X087/R1330/001/COMM</t>
  </si>
  <si>
    <t>O1278-2/IE00673/F1169/X087/R1331/001/COMM</t>
  </si>
  <si>
    <t>Expenditure:Contracted Services:Outsourced Services:Alien Vegetation Control</t>
  </si>
  <si>
    <t>O1278-2/IE00677/F1169/X132/R1331/001/COMM</t>
  </si>
  <si>
    <t>O1278-2/IE00703/F1169/X132/R1331/001/COMM</t>
  </si>
  <si>
    <t>O1278-2/IE00640/F1169/X132/R1331/001/COMM</t>
  </si>
  <si>
    <t>O1299-1/IE00555/F0041/X051/R1330/001/CORP</t>
  </si>
  <si>
    <t>Expenditure:Operational Cost:Bursaries (Employees)</t>
  </si>
  <si>
    <t>O1223-1/IE00143/F0041/X051/R1331/001/CORP</t>
  </si>
  <si>
    <t>O1223-1/IE01581/F0041/X051/R1331/001/CORP</t>
  </si>
  <si>
    <t>O1223-1/IE00060/F0041/X051/R1331/001/CORP</t>
  </si>
  <si>
    <t>O1223-1/IE00062/F0041/X051/R1330/001/CORP</t>
  </si>
  <si>
    <t>O1223-1/IE00694/F0041/X051/R1331/001/CORP</t>
  </si>
  <si>
    <t>Expenditure:Contracted Services:Outsourced Services:Professional Staff</t>
  </si>
  <si>
    <t>O1223-1/IE00703/F0041/X051/R1331/001/CORP</t>
  </si>
  <si>
    <t>O1225-1/IE00143/F0041/X051/R1331/001/CORP</t>
  </si>
  <si>
    <t>O1225-1/IE01581/F0041/X051/R1331/001/CORP</t>
  </si>
  <si>
    <t>O1225-1/IE00060/F0041/X051/R1331/001/CORP</t>
  </si>
  <si>
    <t>O1225-1/IE00062/F0041/X051/R1331/001/CORP</t>
  </si>
  <si>
    <t>O1225-1/IE00694/F0041/X051/R1331/001/CORP</t>
  </si>
  <si>
    <t>O1225-1/IE00703/F0041/X051/R1331/001/CORP</t>
  </si>
  <si>
    <t>O1232-1/IE00143/F0041/X051/R1331/001/CORP</t>
  </si>
  <si>
    <t>O1232-1/IE01581/F0041/X051/R1331/001/CORP</t>
  </si>
  <si>
    <t>O1232-1/IE00060/F0041/X051/R1331/001/CORP</t>
  </si>
  <si>
    <t>O1232-1/IE00062/F0041/X051/R1331/001/CORP</t>
  </si>
  <si>
    <t>O1232-1/IE00694/F0041/X051/R1331/001/CORP</t>
  </si>
  <si>
    <t>O1232-1/IE00703/F0041/X051/R1331/001/CORP</t>
  </si>
  <si>
    <t>O1765-1/IE00080/F0041/X116/R1331/001/TECH</t>
  </si>
  <si>
    <t>Expenditure:Contracted Services:Consultants and Professional Services:Infrastructure and Planning:Engineering:Civil</t>
  </si>
  <si>
    <t>O2390-1/IE00080/F0041/X116/R1331/001/TECH</t>
  </si>
  <si>
    <t>O1875-1/IE00080/F0041/X140/R1331/001/TECH</t>
  </si>
  <si>
    <t>Waste Water Management</t>
  </si>
  <si>
    <t>O1876-1/IE00080/F0041/X140/R1331/001/TECH</t>
  </si>
  <si>
    <t>O2501-1/IE00080/F0041/X140/R1331/001/TECH</t>
  </si>
  <si>
    <t>O2502-1/IE00080/F0041/X140/R1331/001/TECH</t>
  </si>
  <si>
    <t>O1299-2/IE00062/F0041/X051/R1331/001/CORP</t>
  </si>
  <si>
    <t>O1299-2/IE00754/F0041/X051/R1331/001/CORP</t>
  </si>
  <si>
    <t>O1299-2/IE00694/F0041/X051/R1331/001/CORP</t>
  </si>
  <si>
    <t>O1299-2/IE00594/F0041/X051/R1331/001/CORP</t>
  </si>
  <si>
    <t>O3259-1/IE00080/F0041/X015/R1331/001/TECH</t>
  </si>
  <si>
    <t>O3259-1/IE00080/F0041/X016/R1331/001/TECH</t>
  </si>
  <si>
    <t>O3229-1/IE00080/F0041/X015/R1331/001/TECH</t>
  </si>
  <si>
    <t>O3229-1/IE00080/F0041/X016/R1331/001/TECH</t>
  </si>
  <si>
    <t>O3259-1/IE00649/F0041/X015/R1331/001/TECH</t>
  </si>
  <si>
    <t>Expenditure:Contracted Services:Contractors:Maintenance of Buildings and Facilities</t>
  </si>
  <si>
    <t>O3259-1/IE00649/F0041/X016/R1331/001/TECH</t>
  </si>
  <si>
    <t>O3229-1/IE00649/F0041/X015/R1331/001/TECH</t>
  </si>
  <si>
    <t>O3229-1/IE00649/F0041/X016/R1331/001/TECH</t>
  </si>
  <si>
    <t>O1880-1/IE00080/F0041/X140/R1331/001/TECH</t>
  </si>
  <si>
    <t>O1880-1/IE00080/F0041/X116/R1331/001/TECH</t>
  </si>
  <si>
    <t>O2392-1/IE00080/F0041/X140/R1331/001/TECH</t>
  </si>
  <si>
    <t>O2392-1/IE00080/F0041/X116/R1331/001/TECH</t>
  </si>
  <si>
    <t>O0001/IE00552/F0041/X049/R1330/001/FIN</t>
  </si>
  <si>
    <t>O0001/IE00595/F0041/X049/R1330/001/FIN</t>
  </si>
  <si>
    <t>O0001/IE00040/F0041/X049/R1330/001/FIN</t>
  </si>
  <si>
    <t>O0001/IE00043/F0041/X049/R1330/001/FIN</t>
  </si>
  <si>
    <t>O0001/IE00044/F0041/X049/R1330/001/FIN</t>
  </si>
  <si>
    <t>O0001/IE00045/F0041/X049/R1330/001/FIN</t>
  </si>
  <si>
    <t>O0001/IE03969/F0041/X049/R1330/001/FIN</t>
  </si>
  <si>
    <t>O0001/IE03971/F0041/X049/R1330/001/FIN</t>
  </si>
  <si>
    <t>O0001/IE01525/F0041/X049/R1330/001/FIN</t>
  </si>
  <si>
    <t>O0001/IE01526/F0041/X049/R1330/001/FIN</t>
  </si>
  <si>
    <t>O0001/IE01521/F0041/X049/R1330/001/FIN</t>
  </si>
  <si>
    <t>O0001/IE00121/F0041/X049/R1330/001/FIN</t>
  </si>
  <si>
    <t>O0001/IE06772/F0041/X049/R1330/001/FIN</t>
  </si>
  <si>
    <t>Expenditure:Employee Related Cost:Senior Management:Chief Financial Officer:Salaries and Allowances:Allowance:Travel or Motor Vehicle</t>
  </si>
  <si>
    <t>O0001/IE00036/F0041/X049/R1330/001/FIN</t>
  </si>
  <si>
    <t>O0001/IE00552/F0041/X045/R1330/001/MM</t>
  </si>
  <si>
    <t>Executive and Council</t>
  </si>
  <si>
    <t>O0001/IE00595/F0041/X045/R1330/001/MM</t>
  </si>
  <si>
    <t>O0001/IE00040/F0041/X045/R1330/001/MM</t>
  </si>
  <si>
    <t>O0001/IE00043/F0041/X045/R1330/001/MM</t>
  </si>
  <si>
    <t>O0001/IE00044/F0041/X045/R1330/001/MM</t>
  </si>
  <si>
    <t>O0001/IE00045/F0041/X045/R1330/001/MM</t>
  </si>
  <si>
    <t>O0001/IE03969/F0041/X045/R1330/001/MM</t>
  </si>
  <si>
    <t>O0001/IE03971/F0041/X045/R1330/001/MM</t>
  </si>
  <si>
    <t>O0001/IE01525/F0041/X045/R1330/001/MM</t>
  </si>
  <si>
    <t>O0001/IE01526/F0041/X045/R1330/001/MM</t>
  </si>
  <si>
    <t>O0001/IE01521/F0041/X045/R1330/001/MM</t>
  </si>
  <si>
    <t>O0001/IE00121/F0041/X045/R1330/001/MM</t>
  </si>
  <si>
    <t>O0001/IE00126/F0041/X045/R1330/001/MM</t>
  </si>
  <si>
    <t>O0001/IE00036/F0041/X045/R1330/001/MM</t>
  </si>
  <si>
    <t>O0001/IE00108/F0041/X045/R1330/001/MM</t>
  </si>
  <si>
    <t>C0020-1/IA01952/F0786/X035/R1331/001/TECH</t>
  </si>
  <si>
    <t>Energy Sources</t>
  </si>
  <si>
    <t>O0025-2/IE00578/F0041/X101/R1331/001/TECH</t>
  </si>
  <si>
    <t>O0025-2/IE00607/F0041/X101/R1331/001/TECH</t>
  </si>
  <si>
    <t>O0025-3/IE00001/F0041/X101/R1331/001/TECH</t>
  </si>
  <si>
    <t>Expenditure:Contracted Services:Consultants and Professional Services:Infrastructure and Planning:Town Planner</t>
  </si>
  <si>
    <t>O0001/IE01530/F0041/X044/R1330/001/EXEC</t>
  </si>
  <si>
    <t>O0001/IE00552/F0041/X044/R1330/001/EXEC</t>
  </si>
  <si>
    <t>O0001/IE00595/F0041/X044/R1330/001/EXEC</t>
  </si>
  <si>
    <t>O0001/IE00040/F0041/X044/R1330/001/EXEC</t>
  </si>
  <si>
    <t>O0001/IE00043/F0041/X044/R1330/001/EXEC</t>
  </si>
  <si>
    <t>O0001/IE00044/F0041/X044/R1330/001/EXEC</t>
  </si>
  <si>
    <t>O0001/IE00045/F0041/X044/R1330/001/EXEC</t>
  </si>
  <si>
    <t>O0001/IE03969/F0041/X044/R1330/001/EXEC</t>
  </si>
  <si>
    <t>O0001/IE03971/F0041/X044/R1330/001/EXEC</t>
  </si>
  <si>
    <t>O0001/IE01526/F0041/X044/R1330/001/EXEC</t>
  </si>
  <si>
    <t>O0001/IE01521/F0041/X044/R1330/001/EXEC</t>
  </si>
  <si>
    <t>O0001/IE00121/F0041/X044/R1330/001/EXEC</t>
  </si>
  <si>
    <t>O2734-1/IE00649/F0041/X091/R1330/001/LIC</t>
  </si>
  <si>
    <t>D0001/IR01410/F0001/X091/R1331/001/COMM</t>
  </si>
  <si>
    <t>Revenue:Exchange Revenue:Licences or Permits:Trading</t>
  </si>
  <si>
    <t>D0001/IR01523/F0001/X091/R1331/001/CORP</t>
  </si>
  <si>
    <t>Revenue:Exchange Revenue:Licences or Permits:Road and Transport:Learner Licence Application</t>
  </si>
  <si>
    <t>D0001/IR01524/F0001/X091/R1331/001/CORP</t>
  </si>
  <si>
    <t>Revenue:Exchange Revenue:Licences or Permits:Road and Transport:Learners Certificate</t>
  </si>
  <si>
    <t>D0001/IR01527/F0001/X091/R1331/001/CORP</t>
  </si>
  <si>
    <t>Revenue:Exchange Revenue:Licences or Permits:Road and Transport:Motor Vehicle Licence</t>
  </si>
  <si>
    <t>O1240-1/IE00751/F0041/X045/R1331/001/MM</t>
  </si>
  <si>
    <t>O1240-1/IE00583/F0041/X045/R1331/001/MM</t>
  </si>
  <si>
    <t>O1229-1/IE00583/F0041/X045/R1331/001/MM</t>
  </si>
  <si>
    <t>O1229-1/IE00677/F0041/X045/R1331/001/MM</t>
  </si>
  <si>
    <t>O1229-1/IE00703/F0041/X045/R1331/001/MM</t>
  </si>
  <si>
    <t>O1550-1/IE00650/F0041/X101/R1331/001/TECH</t>
  </si>
  <si>
    <t>Expenditure:Contracted Services:Contractors:Maintenance of Equipment</t>
  </si>
  <si>
    <t>O1551-1/IE00651/F0041/X061/R1330/001/CORP</t>
  </si>
  <si>
    <t>Expenditure:Contracted Services:Contractors:Maintenance of Unspecified Assets</t>
  </si>
  <si>
    <t>O2774-1/IE00649/F0041/X047/R1331/001/TECH</t>
  </si>
  <si>
    <t>O0001/IE00607/F0041/X050/R1331/001/CORP</t>
  </si>
  <si>
    <t>O0001/IE00534/F0041/X058/R1331/001/TECH</t>
  </si>
  <si>
    <t>Supply Chain Management</t>
  </si>
  <si>
    <t>Finance and Administration2</t>
  </si>
  <si>
    <t>O0001/IE00848/F0041/X049/R1331/001/FIN</t>
  </si>
  <si>
    <t>Expenditure:Contracted Services:Consultants and Professional Services:Business and Advisory:Valuer and Assessors</t>
  </si>
  <si>
    <t>O0001/IE00808/F0041/X050/R1331/001/CORP</t>
  </si>
  <si>
    <t>Expenditure:Operational Cost:Licences:Motor Vehicle Licence and Registrations</t>
  </si>
  <si>
    <t>O0001/IE00594/F0041/X101/R1331/001/TECH</t>
  </si>
  <si>
    <t>O1223-3/IE00694/F0041/X044/R1331/001/EXEC</t>
  </si>
  <si>
    <t>O1232-2/IE00059/F0041/X044/R1331/001/EXEC</t>
  </si>
  <si>
    <t>Expenditure:Operational Cost:Registration Fees:Seminars, Conferences, Workshops and Events:National</t>
  </si>
  <si>
    <t>O0001/IE00143/F0041/X044/R1331/001/EXEC</t>
  </si>
  <si>
    <t>O0001/IE00144/F0041/X044/R1331/001/EXEC</t>
  </si>
  <si>
    <t>O0001/IE00060/F0041/X044/R1331/001/EXEC</t>
  </si>
  <si>
    <t>O0001/IE00062/F0041/X044/R1331/001/EXEC</t>
  </si>
  <si>
    <t>O0001/IE00063/F0041/X044/R1331/001/EXEC</t>
  </si>
  <si>
    <t>O1338-1/IE00583/F0041/X045/R1331/001/MM</t>
  </si>
  <si>
    <t>O1338-1/IE00607/F0041/X045/R1331/001/MM</t>
  </si>
  <si>
    <t>O0001/IE00143/F0041/X006/R1331/001/COMM</t>
  </si>
  <si>
    <t>O0001/IE00144/F0041/X006/R1331/001/COMM</t>
  </si>
  <si>
    <t>O0001/IE01581/F0041/X006/R1331/001/COMM</t>
  </si>
  <si>
    <t>O0001/IE01582/F0041/X006/R1331/001/COMM</t>
  </si>
  <si>
    <t>O0001/IE00060/F0041/X006/R1331/001/COMM</t>
  </si>
  <si>
    <t>O0001/IE00061/F0041/X006/R1331/001/COMM</t>
  </si>
  <si>
    <t>O0001/IE00062/F0041/X006/R1331/001/COMM</t>
  </si>
  <si>
    <t>O0001/IE00063/F0041/X006/R1331/001/COMM</t>
  </si>
  <si>
    <t>O0011-1/IE00573/F0041/X049/R1331/001/FIN</t>
  </si>
  <si>
    <t>Expenditure:Operational Cost:Indigent Relief</t>
  </si>
  <si>
    <t>O0001/IE00562/F0041/X131/R1331/001/COMM</t>
  </si>
  <si>
    <t>Expenditure:Operational Cost:Dumping Fees (District Council)</t>
  </si>
  <si>
    <t>O0001/IE00674/F0041/X014/R1331/001/COMM</t>
  </si>
  <si>
    <t>Expenditure:Contracted Services:Outsourced Services:Animal Care</t>
  </si>
  <si>
    <t>O0001/IE00592/F0041/X046/R1331/001/CORP</t>
  </si>
  <si>
    <t>Expenditure:Operational Cost:Seating Allowance for Traditional Leaders</t>
  </si>
  <si>
    <t>O0001/IE00647/F0041/X101/R1331/001/TECH</t>
  </si>
  <si>
    <t>Expenditure:Contracted Services:Contractors:Inspection Fees</t>
  </si>
  <si>
    <t>O0001/IE00807/F0041/X091/R1331/001/LIC</t>
  </si>
  <si>
    <t>Expenditure:Operational Cost:Licences:Licence Agency Fees</t>
  </si>
  <si>
    <t>O0001/IE00751/F0041/X046/R1331/001/CORP</t>
  </si>
  <si>
    <t>O0001/IE00738/F0041/X046/R1331/001/CORP</t>
  </si>
  <si>
    <t>O0001/IE00739/F0041/X046/R1331/001/CORP</t>
  </si>
  <si>
    <t>Expenditure:Inventory Consumed:Consumables:Zero Rated</t>
  </si>
  <si>
    <t>O1344-1/IE00847/F0041/X096/R1331/001/CORP</t>
  </si>
  <si>
    <t>Expenditure:Contracted Services:Consultants and Professional Services:Business and Advisory:Research and Advisory</t>
  </si>
  <si>
    <t>O0001/IE00006/F0041/X053/R1331/001/CORP</t>
  </si>
  <si>
    <t>Expenditure:Contracted Services:Consultants and Professional Services:Legal Cost:Collection</t>
  </si>
  <si>
    <t>O0001/IE00007/F0041/X053/R1331/001/CORP</t>
  </si>
  <si>
    <t>Expenditure:Contracted Services:Consultants and Professional Services:Legal Cost:Issue of Summons</t>
  </si>
  <si>
    <t>O0001/IE00008/F0041/X053/R1331/001/CORP</t>
  </si>
  <si>
    <t>Expenditure:Contracted Services:Consultants and Professional Services:Legal Cost:Legal Advice and Litigation</t>
  </si>
  <si>
    <t>O0001/IE00571/F0041/X046/R1331/001/CORP</t>
  </si>
  <si>
    <t>O0001/IE00538/F0041/X046/R1331/001/CORP</t>
  </si>
  <si>
    <t>Expenditure:Operating Leases:Computer Equipment</t>
  </si>
  <si>
    <t>O0001/IE00545/F0041/X046/R1331/001/CORP</t>
  </si>
  <si>
    <t>Expenditure:Operating Leases:Machinery and Equipment</t>
  </si>
  <si>
    <t>O0001/IE00604/F0041/X046/R1331/001/CORP</t>
  </si>
  <si>
    <t>O0001/IE00143/F0041/X046/R1331/001/CORP</t>
  </si>
  <si>
    <t>O0001/IE00144/F0041/X046/R1331/001/CORP</t>
  </si>
  <si>
    <t>O0001/IE01581/F0041/X046/R1331/001/CORP</t>
  </si>
  <si>
    <t>O0001/IE00060/F0041/X046/R1331/001/CORP</t>
  </si>
  <si>
    <t>O0001/IE00061/F0041/X046/R1331/001/CORP</t>
  </si>
  <si>
    <t>O0001/IE00062/F0041/X046/R1331/001/CORP</t>
  </si>
  <si>
    <t>O0001/IE00063/F0041/X046/R1331/001/CORP</t>
  </si>
  <si>
    <t>O0001/IE00815/F0041/X046/R1331/001/CORP</t>
  </si>
  <si>
    <t>O0001/IE00143/F0041/X052/R1331/001/CORP</t>
  </si>
  <si>
    <t>O0001/IE01581/F0041/X052/R1331/001/CORP</t>
  </si>
  <si>
    <t>O0001/IE00060/F0041/X052/R1331/001/CORP</t>
  </si>
  <si>
    <t>O0001/IE00062/F0041/X052/R1331/001/CORP</t>
  </si>
  <si>
    <t>O0001/IE00063/F0041/X052/R1331/001/CORP</t>
  </si>
  <si>
    <t>O0001/IE00605/F0041/X050/R1331/001/CORP</t>
  </si>
  <si>
    <t>Expenditure:Operational Cost:Vehicle Tracking</t>
  </si>
  <si>
    <t>O0001/IE00586/F0041/X046/R1331/001/CORP</t>
  </si>
  <si>
    <t>Expenditure:Operational Cost:Remuneration to Ward Committees</t>
  </si>
  <si>
    <t>O0001/IE00786/F0041/X052/R1331/001/CORP</t>
  </si>
  <si>
    <t>Expenditure:Operational Cost:External Computer Service:Information Services</t>
  </si>
  <si>
    <t>O0001/IE00787/F0041/X052/R1331/001/CORP</t>
  </si>
  <si>
    <t>Expenditure:Operational Cost:External Computer Service:Internet Charge</t>
  </si>
  <si>
    <t>O0001/IE00789/F0041/X052/R1331/001/CORP</t>
  </si>
  <si>
    <t>Expenditure:Operational Cost:External Computer Service:Network Extensions</t>
  </si>
  <si>
    <t>O0001/IE00790/F0041/X052/R1331/001/CORP</t>
  </si>
  <si>
    <t>Expenditure:Operational Cost:External Computer Service:Recovery Centre Hosting Charges</t>
  </si>
  <si>
    <t>O0001/IE00534/F0041/X052/R1331/001/CORP</t>
  </si>
  <si>
    <t>O0001/IE00793/F0041/X052/R1331/001/CORP</t>
  </si>
  <si>
    <t>O0001/IE00795/F0041/X052/R1331/001/CORP</t>
  </si>
  <si>
    <t>Expenditure:Operational Cost:External Computer Service:System Development</t>
  </si>
  <si>
    <t>O0001/IE00792/F0041/X052/R1331/001/CORP</t>
  </si>
  <si>
    <t>Expenditure:Operational Cost:External Computer Service:Software Licences</t>
  </si>
  <si>
    <t>O1239-1/IE00755/F0041/X054/R1331/001/CORP</t>
  </si>
  <si>
    <t>Expenditure:Operational Cost:Advertising, Publicity and Marketing:Municipal Newsletters</t>
  </si>
  <si>
    <t>O1239-1/IE00837/F0041/X054/R1331/001/EXEC</t>
  </si>
  <si>
    <t>Expenditure:Contracted Services:Consultants and Professional Services:Business and Advisory:Communications</t>
  </si>
  <si>
    <t>O1285-1/IE00595/F1177/X049/R1330/001/FIN</t>
  </si>
  <si>
    <t>O1285-1/IE00045/F1177/X049/R1330/001/FIN</t>
  </si>
  <si>
    <t>O1285-1/IE00036/F1177/X049/R1330/001/FIN</t>
  </si>
  <si>
    <t>O1288-1/IE00694/F1177/X049/R1330/001/FIN</t>
  </si>
  <si>
    <t>O1288-1/IE00059/F1177/X049/R1330/001/FIN</t>
  </si>
  <si>
    <t>O0001/IE01581/F1177/X049/R1330/001/FIN</t>
  </si>
  <si>
    <t>O0001/IE01583/F1177/X049/R1330/001/FIN</t>
  </si>
  <si>
    <t>Expenditure:Operational Cost:Travel and Subsistence:Domestic:Transport with Operator:Public Transport:Road Transport</t>
  </si>
  <si>
    <t>O0001/IE00060/F1177/X049/R1330/001/FIN</t>
  </si>
  <si>
    <t>O0001/IE00061/F1177/X049/R1330/001/FIN</t>
  </si>
  <si>
    <t>O0001/IE00062/F1177/X049/R1330/001/FIN</t>
  </si>
  <si>
    <t>O0001/IE00063/F1177/X049/R1330/001/FIN</t>
  </si>
  <si>
    <t>D0001/IR01435/F0001/X049/R1330/001/FIN</t>
  </si>
  <si>
    <t>Revenue:Exchange Revenue:Sales of Goods and Rendering of Services:Clearance Certificates</t>
  </si>
  <si>
    <t>D0001/IR01061/F0001/X049/R1330/001/FIN</t>
  </si>
  <si>
    <t>Revenue:Exchange Revenue:Interest, Dividend and Rent on Land:Interest:Current and Non-current Assets:Short Term Investments and Call Accounts</t>
  </si>
  <si>
    <t>D0001/IR01143/F0001/X049/R1331/001/FIN</t>
  </si>
  <si>
    <t>Revenue:Non-exchange Revenue:Interest, Dividend and Rent on Land:Interest:Receivables:Property Rates</t>
  </si>
  <si>
    <t>D0001/IR01070/F0001/X049/R1331/001/FIN</t>
  </si>
  <si>
    <t>Revenue:Exchange Revenue:Interest, Dividend and Rent on Land:Interest:Receivables:Service Charges</t>
  </si>
  <si>
    <t>D0001/IR01531/F0001/X049/R1331/001/FIN</t>
  </si>
  <si>
    <t>Revenue:Exchange Revenue:Operational Revenue:Commission:Transaction Handling Fees</t>
  </si>
  <si>
    <t>D0001/IR01530/F0001/X049/R1331/001/FIN</t>
  </si>
  <si>
    <t>Revenue:Exchange Revenue:Operational Revenue:Commission:Insurance</t>
  </si>
  <si>
    <t>D0001/IR01140/F0042/X116/R1331/001/FIN</t>
  </si>
  <si>
    <t>Revenue:Non-exchange Revenue:Fines, Penalties and Forfeits:Fines:Traffic:Court Fines</t>
  </si>
  <si>
    <t>D0001/IR02344/F0041/X055/R1330/001/FIN</t>
  </si>
  <si>
    <t>Revenue:Non-exchange Revenue:Transfers and Subsidies:Operational:Monetary Allocations:National Revenue Fund:Equitable Share</t>
  </si>
  <si>
    <t>D0001/IR02318/F1177/X049/R1330/001/FIN</t>
  </si>
  <si>
    <t>Revenue:Non-exchange Revenue:Transfers and Subsidies:Operational:Monetary Allocations:National Governments:Local Government Financial Management Grant</t>
  </si>
  <si>
    <t>D0001/IR01424/F0001/X046/R1330/001/CORP</t>
  </si>
  <si>
    <t>Revenue:Exchange Revenue:Operational Revenue:Skills Development Levy Refund</t>
  </si>
  <si>
    <t>D0001/IR01425/F0001/X049/R1331/001/FIN</t>
  </si>
  <si>
    <t>Revenue:Exchange Revenue:Operational Revenue:Staff and Councillors Recoveries</t>
  </si>
  <si>
    <t>D0001/IR01193/F0001/X049/R1330/001/FIN</t>
  </si>
  <si>
    <t>Revenue:Exchange Revenue:Rental from Fixed Assets:Market Related:Property Plant and Equipment:Straight-lined Operating:Other Assets</t>
  </si>
  <si>
    <t>D0001/IR02310/F1169/X049/R1331/001/COMM</t>
  </si>
  <si>
    <t>Revenue:Non-exchange Revenue:Transfers and Subsidies:Operational:Monetary Allocations:National Governments:Expanded Public Works Programme Integrated Grant</t>
  </si>
  <si>
    <t>D0001/IR00992/F0930/X132/R1331/001/COMM</t>
  </si>
  <si>
    <t>Revenue:Exchange Revenue:Service Charges:Waste Management:Refuse Removal</t>
  </si>
  <si>
    <t>D0001/IR006986/F13636/X024/R1331/001/COMM</t>
  </si>
  <si>
    <t>Revenue:Non-exchange Revenue:Transfers and Subsidies:Operational:Monetary Allocations:Provincial Government:KwaZulu-Natal:Capacity Building and Other:Specify (Add grant description)</t>
  </si>
  <si>
    <t>D0001/IR00961/F0001/X024/R1331/001/COMM</t>
  </si>
  <si>
    <t>Revenue:Exchange Revenue:Sales of Goods and Rendering of Services:Library Fees:Membership</t>
  </si>
  <si>
    <t>D0001/IR01457/F0001/X024/R1331/001/COMM</t>
  </si>
  <si>
    <t>Revenue:Exchange Revenue:Sales of Goods and Rendering of Services:Photo copies, Faxes and Telephone charges</t>
  </si>
  <si>
    <t>D0001/IR01429/F0001/X101/R1331/001/TECH</t>
  </si>
  <si>
    <t>Revenue:Exchange Revenue:Sales of Goods and Rendering of Services:Building Plan Approval</t>
  </si>
  <si>
    <t>D0001/IR01666/F0786/X035/R1331/001/TECH</t>
  </si>
  <si>
    <t>Revenue:Non-exchange Revenue:Transfers and Subsidies:Capital:Monetary Allocations:National Government:Integrated National Electrification Programme Grant</t>
  </si>
  <si>
    <t>D0001/IR01113/F0047/X049/R1331/001/TECH</t>
  </si>
  <si>
    <t>Revenue:Exchange Revenue:Sales of Goods and Rendering of Services:Sale of Goods:Publications:Tender Documents</t>
  </si>
  <si>
    <t>D0001/IR01428/F0001/X101/R1331/001/TECH</t>
  </si>
  <si>
    <t>Revenue:Exchange Revenue:Sales of Goods and Rendering of Services:Application Fees for Land Usage</t>
  </si>
  <si>
    <t>O0001/IE00830/F0041/X049/R1330/001/FIN</t>
  </si>
  <si>
    <t>O0001/IE00609/F0041/X049/R1330/001/FIN</t>
  </si>
  <si>
    <t>O0001/IE00579/F0041/X055/R1330/001/FIN</t>
  </si>
  <si>
    <t>Expenditure:Operational Cost:Municipal Services</t>
  </si>
  <si>
    <t>O0001/IE00800/F0041/X055/R1330/001/FIN</t>
  </si>
  <si>
    <t>Expenditure:Operational Cost:Insurance Underwriting:Claims paid to Third Parties</t>
  </si>
  <si>
    <t>O0001/IE00803/F0041/X055/R1330/001/FIN</t>
  </si>
  <si>
    <t>Expenditure:Operational Cost:Insurance Underwriting:Insurance Brokers Fees</t>
  </si>
  <si>
    <t>O0001/IE00805/F0041/X055/R1330/001/FIN</t>
  </si>
  <si>
    <t>Expenditure:Operational Cost:Insurance Underwriting:Premiums</t>
  </si>
  <si>
    <t>O0001/IE00771/F0041/X055/R1330/001/FIN</t>
  </si>
  <si>
    <t>Expenditure:Operational Cost:Communication:Postage/Stamps/Franking Machines</t>
  </si>
  <si>
    <t>O0001/IE00769/F0041/X055/R1330/001/FIN</t>
  </si>
  <si>
    <t>Expenditure:Operational Cost:Communication:Cellular Expenditure</t>
  </si>
  <si>
    <t>O0001/IE00773/F0041/X055/R1330/001/FIN</t>
  </si>
  <si>
    <t>Expenditure:Operational Cost:Communication:Rent Private Bag and Postal Box</t>
  </si>
  <si>
    <t>O0001/IE00778/F0041/X046/R1330/001/CORP</t>
  </si>
  <si>
    <t>Expenditure:Operational Cost:Communication:Telephone, Fax, Telegraph and Telex</t>
  </si>
  <si>
    <t>O0001/IE00685/F0041/X055/R1330/001/MM</t>
  </si>
  <si>
    <t>Expenditure:Contracted Services:Outsourced Services:Internal Auditors</t>
  </si>
  <si>
    <t>O0001/IE00844/F0041/X055/R1330/001/FIN</t>
  </si>
  <si>
    <t>Expenditure:Contracted Services:Consultants and Professional Services:Business and Advisory:Project Management</t>
  </si>
  <si>
    <t>O0001/IE00663/F0041/X055/R1330/001/FIN</t>
  </si>
  <si>
    <t>Expenditure:Contracted Services:Contractors:Safeguard and Security</t>
  </si>
  <si>
    <t>O0001/IE00694/F1177/X049/R1330/001/FIN</t>
  </si>
  <si>
    <t>O0001/IE00677/F0041/X055/R1330/001/FIN</t>
  </si>
  <si>
    <t>O0001/IE00703/F0041/X055/R1330/001/FIN</t>
  </si>
  <si>
    <t>O0001/IE00847/F0041/X055/R1330/001/FIN</t>
  </si>
  <si>
    <t>O0001/IE00759/F0041/X049/R1330/001/FIN</t>
  </si>
  <si>
    <t>Expenditure:Operational Cost:Bank Charges, Facility and Card Fees:Bank Accounts</t>
  </si>
  <si>
    <t>O0001/IE00761/F0041/X049/R1330/001/FIN</t>
  </si>
  <si>
    <t>Expenditure:Operational Cost:Bank Charges, Facility and Card Fees:Investments</t>
  </si>
  <si>
    <t>O0001/IE00735/F0041/X049/R1330/001/FIN</t>
  </si>
  <si>
    <t>Expenditure:Interest, Dividends and Rent on Land:Interest Paid:Overdue Accounts</t>
  </si>
  <si>
    <t>O0001/IE00108/F0041/X049/R1330/001/FIN</t>
  </si>
  <si>
    <t>O0001/IE00698/F0041/X049/R1330/001/FIN</t>
  </si>
  <si>
    <t>Expenditure:Contracted Services:Outsourced Services:Security Services</t>
  </si>
  <si>
    <t>O0001/IE00516/F0001/X049/R1330/001/FIN</t>
  </si>
  <si>
    <t>Expenditure:Bad Debts Written Off</t>
  </si>
  <si>
    <t>O0001/IE00848/F1177/X059/R1330/001/FIN</t>
  </si>
  <si>
    <t>O0001/IE00794/F0041/X052/R1330/001/CORP</t>
  </si>
  <si>
    <t>Expenditure:Operational Cost:External Computer Service:System Adviser</t>
  </si>
  <si>
    <t>O0001/IE01530/F0041/X049/R1330/001/FIN</t>
  </si>
  <si>
    <t>O0001/IE00584/F0041/X049/R1330/001/FIN</t>
  </si>
  <si>
    <t>Expenditure:Operational Cost:Professional Bodies, Membership and Subscription</t>
  </si>
  <si>
    <t>O0001/IE00810/F0041/X049/R1330/001/FIN</t>
  </si>
  <si>
    <t>Expenditure:Operational Cost:Registration Fees:Professional and Regulatory Bodies</t>
  </si>
  <si>
    <t>O0001/IE07606/F0001/X047/R1330/001/FIN</t>
  </si>
  <si>
    <t>Expenditure:Depreciation and Amortisation:Depreciation:Community Assets:Community Facilities:Halls</t>
  </si>
  <si>
    <t>2300-001</t>
  </si>
  <si>
    <t>Depreciation of Property, Plant and Equipment</t>
  </si>
  <si>
    <t>O0001/IE00711/F0001/X047/R1330/001/FIN</t>
  </si>
  <si>
    <t>Expenditure:Depreciation and Amortisation:Depreciation:Furniture and Office Equipment</t>
  </si>
  <si>
    <t>O0001/IE07568/F0041/X047/R1330/001/FIN</t>
  </si>
  <si>
    <t>Expenditure:Depreciation and Amortisation:Depreciation:Investment Property:Revenue Generating:Improved Properties</t>
  </si>
  <si>
    <t>O0001/IE07615/F0041/X047/R1330/001/FIN</t>
  </si>
  <si>
    <t>Expenditure:Depreciation and Amortisation:Depreciation:Community Assets:Community Facilities:Libraries</t>
  </si>
  <si>
    <t>O0001/IE00715/F0041/X047/R1330/001/FIN</t>
  </si>
  <si>
    <t>Expenditure:Depreciation and Amortisation:Depreciation:Machinery and Equipment</t>
  </si>
  <si>
    <t>O0001/IE07625/F0001/X047/R1330/001/FIN</t>
  </si>
  <si>
    <t>Expenditure:Depreciation and Amortisation:Depreciation:Other Assets:Operational Buildings:Municipal Offices</t>
  </si>
  <si>
    <t>O0001/IE07587/F0001/X047/R1330/001/FIN</t>
  </si>
  <si>
    <t>Expenditure:Depreciation and Amortisation:Depreciation:Roads Infrastructure:Roads</t>
  </si>
  <si>
    <t>O0001/IE00562/F0041/X131/R1330/001/COMM</t>
  </si>
  <si>
    <t>O1234-2/IE00738/F0041/X132/R1331/001/COMM</t>
  </si>
  <si>
    <t>O1234-2/IE00534/F0041/X132/R1331/001/COMM</t>
  </si>
  <si>
    <t>O1234-2/IE00677/F0041/X132/R1331/001/COMM</t>
  </si>
  <si>
    <t>O0001/IE00036/F0041/X044/R1330/001/EXEC</t>
  </si>
  <si>
    <t>O0001/IE07218/F0041/X044/R1330/001/EXEC</t>
  </si>
  <si>
    <t>Expenditure:Remuneration of Councillors:Executive Mayor:Allowances and Service Related Benefits:Basic Salary</t>
  </si>
  <si>
    <t>O0001/IE07219/F0041/X044/R1330/001/EXEC</t>
  </si>
  <si>
    <t>Expenditure:Remuneration of Councillors:Executive Mayor:Allowances and Service Related Benefits:Cell phone Allowance</t>
  </si>
  <si>
    <t>O3614/IR01485/F2496/X049/R1330/001/FIN</t>
  </si>
  <si>
    <t>O0001/IE00816/F0041/X044/R1330/001/EXEC</t>
  </si>
  <si>
    <t>Expenditure:Remuneration of Councillors:Speaker:Allowances and Service Related Benefits:Basic Salary</t>
  </si>
  <si>
    <t>O0001/IE07194/F0041/X044/R1330/001/EXEC</t>
  </si>
  <si>
    <t>Expenditure:Remuneration of Councillors:Deputy Executive Mayor:Allowances and Service Related Benefits:Basic Salary</t>
  </si>
  <si>
    <t>O0001/IE07195/F0041/X044/R1330/001/EXEC</t>
  </si>
  <si>
    <t>Expenditure:Remuneration of Councillors:Deputy Executive Mayor:Allowances and Service Related Benefits:Cell phone Allowance</t>
  </si>
  <si>
    <t>O0001/IE07206/F0041/X044/R1330/001/EXEC</t>
  </si>
  <si>
    <t>Expenditure:Remuneration of Councillors:Executive Committee:Allowances and Service Related Benefits:Basic Salary</t>
  </si>
  <si>
    <t>O0001/IE07207/F0041/X044/R1330/001/EXEC</t>
  </si>
  <si>
    <t>Expenditure:Remuneration of Councillors:Executive Committee:Allowances and Service Related Benefits:Cell phone Allowance</t>
  </si>
  <si>
    <t>O0001/IE00585/F0041/X044/R1330/001/EXEC</t>
  </si>
  <si>
    <t>Expenditure:Operational Cost:Remuneration to Section 79 Committee Members</t>
  </si>
  <si>
    <t>O0001/IE07230/F0041/X044/R1330/001/EXEC</t>
  </si>
  <si>
    <t>Expenditure:Remuneration of Councillors:Total for All Other Councillors:Allowances and Service Related Benefits:Basic Salary</t>
  </si>
  <si>
    <t>O0001/IE07231/F0041/X044/R1330/001/EXEC</t>
  </si>
  <si>
    <t>Expenditure:Remuneration of Councillors:Total for All Other Councillors:Allowances and Service Related Benefits:Cell phone Allowance</t>
  </si>
  <si>
    <t>O0001/IE00698/F0041/X046/R1330/001/CORP</t>
  </si>
  <si>
    <t>O0018-2/IE00060/F0041/X046/R1330/001/MM</t>
  </si>
  <si>
    <t>O0018-2/IE00694/F0041/X046/R1330/001/CORP</t>
  </si>
  <si>
    <t>O0018-2/IE00845/F0041/X046/R1330/001/CORP</t>
  </si>
  <si>
    <t>Expenditure:Contracted Services:Consultants and Professional Services:Business and Advisory:Qualification Verification</t>
  </si>
  <si>
    <t>O0001/IE00738/F0041/X046/R1330/001/CORP</t>
  </si>
  <si>
    <t>O0001/IE00581/F0041/X099/R1331/001/TECH</t>
  </si>
  <si>
    <t>O0001/IE00578/F0041/X101/R1330/001/TECH</t>
  </si>
  <si>
    <t>O0001/IE00581/F0041/X101/R1331/001/TECH</t>
  </si>
  <si>
    <t>O0001/IE00583/F0041/X101/R1331/001/TECH</t>
  </si>
  <si>
    <t>O0001/IE00001/F0041/X101/R1331/001/TECH</t>
  </si>
  <si>
    <t>C0007-1/IA01327/F0002/X050/R1330/001/FIN</t>
  </si>
  <si>
    <t>Assets:Non-current Assets:Property, Plant and Equipment:Cost Model:Transport Assets:Future Use:Cost:Acquisitions</t>
  </si>
  <si>
    <t>C0004-1/IA06233/F0002/X006/R1330/001/COMM</t>
  </si>
  <si>
    <t>Assets:Non-current Assets:Property, Plant and Equipment:Cost Model:Furniture and Office Equipment:Future Use:Cost:Acquisitions</t>
  </si>
  <si>
    <t>C0003-1/IA06173/F0002/X047/R1330/001/TECH</t>
  </si>
  <si>
    <t>Assets:Non-current Assets:Property, Plant and Equipment:Cost Model:Computer Equipment:Future Use:Cost:Acquisitions</t>
  </si>
  <si>
    <t>C0006-1/IA06282/F0002/X006/R1330/001/COMM</t>
  </si>
  <si>
    <t>Assets:Non-current Assets:Property, Plant and Equipment:Cost Model:Machinery and Equipment:Future Use:Cost:Acquisitions</t>
  </si>
  <si>
    <t>C0120-1/IA00132/F0002/X116/R1815/001/TECH</t>
  </si>
  <si>
    <t>Assets:Non-current Assets:Property, Plant and Equipment:Cost Model:Roads Infrastructure:Cost:Acquisitions</t>
  </si>
  <si>
    <t>C0120-1/IA01952/F0002/X116/R1815/001/TECH</t>
  </si>
  <si>
    <t>C0227-5/IA01952/F0791/X015/R1812/001/TECH</t>
  </si>
  <si>
    <t>C0177-1/IA01952/F0791/X116/R1814/001/TECH</t>
  </si>
  <si>
    <t>C0177-2/IA01952/F0791/X116/R1815/001/TECH</t>
  </si>
  <si>
    <t>C0230-6/IA01952/F0791/X006/R1331/001/TECH</t>
  </si>
  <si>
    <t>C0177-3/IA01952/F0791/X116/R1817/001/TECH</t>
  </si>
  <si>
    <t>C0177-4/IA01952/F0791/X116/R1818/001/TECH</t>
  </si>
  <si>
    <t>D0001/IR01671/F0791/X049/R1330/001/TECH</t>
  </si>
  <si>
    <t>Revenue:Non-exchange Revenue:Transfers and Subsidies:Capital:Monetary Allocations:National Government:Municipal Infrastructure Grant</t>
  </si>
  <si>
    <t>C0227-6/IA01952/F0791/X016/R1812/001/TECH</t>
  </si>
  <si>
    <t>C0230-3/IA01952/F0791/X016/R1812/001/TECH</t>
  </si>
  <si>
    <t>D0001/IL43223/F0001/X049/R1330/001/FIN</t>
  </si>
  <si>
    <t>Liabilities:Current Liabilities:Trade and Other Payable Exchange Transactions:Payables and Accruals : General:Opening Balance</t>
  </si>
  <si>
    <t>C0006-1/IA06282/F0002/X049/R1330/001/FIN</t>
  </si>
  <si>
    <t>C0004-1/IA06233/F0002/X049/R1330/001/FIN</t>
  </si>
  <si>
    <t>C0003-1/IA06173/F0002/X049/R1330/001/CORP</t>
  </si>
  <si>
    <t>D0001/IA02376/F0001/X049/R1330/001/FIN</t>
  </si>
  <si>
    <t>Assets:Current Assets:Trade and other Receivables from Exchange Transactions:Trading Service and Customer Service Debtors:Waste Management:Monthly Billing</t>
  </si>
  <si>
    <t>D0001/IA02132/F0001/X049/R1330/001/FIN</t>
  </si>
  <si>
    <t>Assets:Current Assets:Receivables from Non-exchange Transactions:Property Rates:Agricultural Properties:Monthly Billing</t>
  </si>
  <si>
    <t>D0001/IA02477/F0001/X049/R1330/001/FIN</t>
  </si>
  <si>
    <t>Assets:Current Assets:Receivables from Non-exchange Transactions:Fines:Fines Issued</t>
  </si>
  <si>
    <t>D0001/IL41802/F0001/X049/R1330/001/FIN</t>
  </si>
  <si>
    <t>Liabilities:Current Liabilities:Bank Overdraft:Standard Bank:Specify (Add Institutions and Account Number):Withdrawals</t>
  </si>
  <si>
    <t xml:space="preserve"> Bank overdraft</t>
  </si>
  <si>
    <t>D0001/IA10170/F0001/X049/R1330/001/FIN</t>
  </si>
  <si>
    <t>Assets:Current Assets:Cash and Cash Equivalents:Call Deposits and Investments:Contractual Rights:Opening Balance</t>
  </si>
  <si>
    <t>Call deposits and investments</t>
  </si>
  <si>
    <t>D0001/IL37831/F0001/X049/R1330/001/FIN</t>
  </si>
  <si>
    <t>Liabilities:Current Liabilities:Output VAT:Recognised</t>
  </si>
  <si>
    <t>D0001/IA10378/F0001/X049/R1330/001/FIN</t>
  </si>
  <si>
    <t>D0001/IL53922/F0001/X049/R1330/001/FIN</t>
  </si>
  <si>
    <t>O0001/IE00132/F0041/X045/R1330/001/MM</t>
  </si>
  <si>
    <t>Expenditure:Employee Related Cost:Senior Management:Municipal Manager (MM):Social Contributions:Bargaining Council</t>
  </si>
  <si>
    <t>O0001/IE00136/F0041/X045/R1330/001/MM</t>
  </si>
  <si>
    <t>Expenditure:Employee Related Cost:Senior Management:Municipal Manager (MM):Social Contributions:Medical</t>
  </si>
  <si>
    <t>O0001/IE00138/F0041/X045/R1330/001/MM</t>
  </si>
  <si>
    <t>Expenditure:Employee Related Cost:Senior Management:Municipal Manager (MM):Social Contributions:Pension</t>
  </si>
  <si>
    <t>O0001/IE00130/F0041/X045/R1330/001/MM</t>
  </si>
  <si>
    <t>Expenditure:Employee Related Cost:Senior Management:Municipal Manager (MM):Salaries and Allowances:Bonuses</t>
  </si>
  <si>
    <t>O0001/IE01567/F0041/X045/R1330/001/MM</t>
  </si>
  <si>
    <t>Expenditure:Employee Related Cost:Senior Management:Municipal Manager (MM):Salaries and Allowances:Service Related Benefits:Acting and Post Related Allowances</t>
  </si>
  <si>
    <t>O0001/IE01573/F0041/X045/R1330/001/MM</t>
  </si>
  <si>
    <t>Expenditure:Employee Related Cost:Senior Management:Municipal Manager (MM):Salaries and Allowances:Service Related Benefits:Leave Pay</t>
  </si>
  <si>
    <t>O0001/IE01558/F0041/X045/R1330/001/MM</t>
  </si>
  <si>
    <t>Expenditure:Employee Related Cost:Senior Management:Municipal Manager (MM):Salaries and Allowances:Allowance:Cellular and Telephone</t>
  </si>
  <si>
    <t>O0001/IE01560/F0041/X045/R1330/001/MM</t>
  </si>
  <si>
    <t>Expenditure:Employee Related Cost:Senior Management:Municipal Manager (MM):Salaries and Allowances:Allowance:Housing Benefits</t>
  </si>
  <si>
    <t>O0001/IE00128/F0041/X045/R1330/001/MM</t>
  </si>
  <si>
    <t>Expenditure:Employee Related Cost:Senior Management:Municipal Manager (MM):Salaries and Allowances:Basic Salary</t>
  </si>
  <si>
    <t>O0001/IE06776/F0041/X049/R1330/001/FIN</t>
  </si>
  <si>
    <t>Expenditure:Employee Related Cost:Senior Management:Chief Financial Officer:Salaries and Allowances:Service Related Benefits:Acting and Post Related Allowances</t>
  </si>
  <si>
    <t>O0001/IE06782/F0041/X049/R1330/001/FIN</t>
  </si>
  <si>
    <t>Expenditure:Employee Related Cost:Senior Management:Chief Financial Officer:Salaries and Allowances:Service Related Benefits:Leave Pay</t>
  </si>
  <si>
    <t>O0001/IE06766/F0041/X049/R1330/001/FIN</t>
  </si>
  <si>
    <t>Expenditure:Employee Related Cost:Senior Management:Chief Financial Officer:Salaries and Allowances:Allowance:Cellular and Telephone</t>
  </si>
  <si>
    <t>O0001/IE06768/F0041/X049/R1330/001/FIN</t>
  </si>
  <si>
    <t>Expenditure:Employee Related Cost:Senior Management:Chief Financial Officer:Salaries and Allowances:Allowance:Housing Benefits</t>
  </si>
  <si>
    <t>O0001/IE06059/F0041/X049/R1330/001/FIN</t>
  </si>
  <si>
    <t>Expenditure:Employee Related Cost:Senior Management:Chief Financial Officer:Salaries and Allowances:Basic Salary</t>
  </si>
  <si>
    <t>O0001/IE06061/F0041/X049/R1330/001/FIN</t>
  </si>
  <si>
    <t>Expenditure:Employee Related Cost:Senior Management:Chief Financial Officer:Salaries and Allowances:Bonuses</t>
  </si>
  <si>
    <t>O0001/IE06071/F0041/X049/R1330/001/FIN</t>
  </si>
  <si>
    <t>Expenditure:Employee Related Cost:Senior Management:Chief Financial Officer:Social Contributions:Unemployment Insurance</t>
  </si>
  <si>
    <t>O0001/IE06067/F0041/X049/R1330/001/FIN</t>
  </si>
  <si>
    <t>Expenditure:Employee Related Cost:Senior Management:Chief Financial Officer:Social Contributions:Medical</t>
  </si>
  <si>
    <t>O0001/IE06069/F0041/X049/R1330/001/FIN</t>
  </si>
  <si>
    <t>Expenditure:Employee Related Cost:Senior Management:Chief Financial Officer:Social Contributions:Pension</t>
  </si>
  <si>
    <t>D0001/IR03195/F2766/X049/R1330/001/FIN</t>
  </si>
  <si>
    <t>Revenue:Non-exchange Revenue:Transfers and Subsidies:Operational:Monetary Allocations:Departmental Agencies and Accounts:National Departmental Agencies:Local Government, Water and Related Service SETA</t>
  </si>
  <si>
    <t>D0001/IR01014/F0042/X024/R1331/001/COMM</t>
  </si>
  <si>
    <t>Revenue:Non-exchange Revenue:Fines, Penalties and Forfeits:Fines:Overdue Books Fine</t>
  </si>
  <si>
    <t>O0001/IE06975/F0041/X116/R1330/001/TECH</t>
  </si>
  <si>
    <t>Expenditure:Employee Related Cost:Senior Management:Designation:Salaries and Allowances:Service Related Benefits:Acting and Post Related Allowances</t>
  </si>
  <si>
    <t>O0001/IE07064/F0041/X116/R1330/001/TECH</t>
  </si>
  <si>
    <t>Expenditure:Employee Related Cost:Senior Management:Designation:Salaries and Allowances:Service Related Benefits:Leave Pay</t>
  </si>
  <si>
    <t>O0001/IE06828/F0041/X116/R1330/001/TECH</t>
  </si>
  <si>
    <t>Expenditure:Employee Related Cost:Senior Management:Designation:Salaries and Allowances:Allowance:Cellular and Telephone</t>
  </si>
  <si>
    <t>O0001/IE06864/F0041/X116/R1330/001/TECH</t>
  </si>
  <si>
    <t>Expenditure:Employee Related Cost:Senior Management:Designation:Salaries and Allowances:Allowance:Housing Benefits</t>
  </si>
  <si>
    <t>O0001/IE06079/F0041/X116/R1330/001/TECH</t>
  </si>
  <si>
    <t>Expenditure:Employee Related Cost:Senior Management:Designation:Salaries and Allowances:Basic Salary</t>
  </si>
  <si>
    <t>O0001/IE06109/F0041/X116/R1330/001/TECH</t>
  </si>
  <si>
    <t>Expenditure:Employee Related Cost:Senior Management:Designation:Salaries and Allowances:Bonuses</t>
  </si>
  <si>
    <t>O0001/IE00595/F0041/X049/R1330/001/TECH</t>
  </si>
  <si>
    <t>O0001/IE00552/F0041/X049/R1330/001/TECH</t>
  </si>
  <si>
    <t>O0001/IE06146/F0041/X116/R1330/001/TECH</t>
  </si>
  <si>
    <t>Expenditure:Employee Related Cost:Senior Management:Designation:Social Contributions:Bargaining Council</t>
  </si>
  <si>
    <t>O0001/IE06194/F0041/X116/R1330/001/TECH</t>
  </si>
  <si>
    <t>Expenditure:Employee Related Cost:Senior Management:Designation:Social Contributions:Medical</t>
  </si>
  <si>
    <t>O0001/IE06223/F0041/X116/R1330/001/TECH</t>
  </si>
  <si>
    <t>Expenditure:Employee Related Cost:Senior Management:Designation:Social Contributions:Pension</t>
  </si>
  <si>
    <t>O0001/IE06253/F0041/X116/R1330/001/TECH</t>
  </si>
  <si>
    <t>Expenditure:Employee Related Cost:Senior Management:Designation:Social Contributions:Unemployment Insurance</t>
  </si>
  <si>
    <t>O1354-1/IE00751/F0041/X022/R1330/001/COMM</t>
  </si>
  <si>
    <t>O1354-1/IE00594/F0041/X022/R1330/001/COMM</t>
  </si>
  <si>
    <t>O1275-1/IE00604/F0041/X132/R1331/001/COMM</t>
  </si>
  <si>
    <t>O1275-1/IE00534/F0041/X132/R1331/001/COMM</t>
  </si>
  <si>
    <t>O1275-1/IE00677/F0041/X132/R1330/001/COMM</t>
  </si>
  <si>
    <t>O1265-1/IE00534/F0041/X019/R1331/001/COMM</t>
  </si>
  <si>
    <t>O1333-4/IE00549/F0041/X129/R1331/001/COMM</t>
  </si>
  <si>
    <t>O1333-4/IE00677/F0041/X129/R1331/001/COMM</t>
  </si>
  <si>
    <t>O1333-4/IE00703/F0041/X129/R1331/001/COMM</t>
  </si>
  <si>
    <t>O0016-1/IE00534/F0041/X076/R1331/001/CORP</t>
  </si>
  <si>
    <t>O0016-1/IE00594/F0041/X076/R1331/001/CORP</t>
  </si>
  <si>
    <t>O0016-1/IE00842/F0041/X076/R1331/001/CORP</t>
  </si>
  <si>
    <t>Expenditure:Contracted Services:Consultants and Professional Services:Business and Advisory:Occupational Health and Safety</t>
  </si>
  <si>
    <t>O1236-1/IE00751/F0041/X045/R1331/001/COMM</t>
  </si>
  <si>
    <t>O1236-1/IE00738/F0041/X045/R1331/001/MM</t>
  </si>
  <si>
    <t>O1236-1/IE00534/F0041/X045/R1331/001/MM</t>
  </si>
  <si>
    <t>O1236-1/IE00677/F0041/X045/R1331/001/COMM</t>
  </si>
  <si>
    <t>O1236-1/IE00703/F0041/X045/R1331/001/COMM</t>
  </si>
  <si>
    <t>D0001/IR03124/F2682/X101/R1331/001/FIN</t>
  </si>
  <si>
    <t>Revenue:Non-exchange Revenue:Transfers and Subsidies:Operational:Monetary Allocations:Departmental Agencies and Accounts:National Departmental Agencies:Community Schemes Ombud Service</t>
  </si>
  <si>
    <t>O0001/IE06138/F0041/X046/R1330/001/CORP</t>
  </si>
  <si>
    <t>O0001/IE06203/F0041/X046/R1330/001/CORP</t>
  </si>
  <si>
    <t>O0001/IE06227/F0041/X046/R1330/001/CORP</t>
  </si>
  <si>
    <t>O0001/IE06260/F0041/X046/R1330/001/CORP</t>
  </si>
  <si>
    <t>O0001/IE06978/F0041/X046/R1330/001/CORP</t>
  </si>
  <si>
    <t>O0001/IE07062/F0041/X046/R1330/001/CORP</t>
  </si>
  <si>
    <t>O0001/IE06821/F0041/X046/R1330/001/CORP</t>
  </si>
  <si>
    <t>O0001/IE06853/F0041/X046/R1330/001/CORP</t>
  </si>
  <si>
    <t>O0001/IE06076/F0041/X046/R1330/001/CORP</t>
  </si>
  <si>
    <t>O0001/IE06112/F0041/X046/R1330/001/CORP</t>
  </si>
  <si>
    <t>O0001/IE06984/F0041/X006/R1330/001/COMM</t>
  </si>
  <si>
    <t>O0001/IE07063/F0041/X006/R1330/001/COMM</t>
  </si>
  <si>
    <t>O0001/IE06829/F0041/X006/R1330/001/COMM</t>
  </si>
  <si>
    <t>O0001/IE06074/F0041/X006/R1330/001/COMM</t>
  </si>
  <si>
    <t>O0001/IE06107/F0041/X006/R1330/001/COMM</t>
  </si>
  <si>
    <t>O0001/IE06134/F0041/X006/R1330/001/COMM</t>
  </si>
  <si>
    <t>O0001/IE06193/F0041/X006/R1330/001/COMM</t>
  </si>
  <si>
    <t>O0001/IE06236/F0041/X006/R1330/001/COMM</t>
  </si>
  <si>
    <t>O0001/IE06266/F0041/X006/R1330/001/COMM</t>
  </si>
  <si>
    <t>D0001/IL54010/F0001/X049/R1330/001/FIN</t>
  </si>
  <si>
    <t>Liabilities:Current Liabilities:Trade and Other Payable Exchange Transactions:Control, Clearing and Interface Accounts:Salary Clearing and Control:Unions Control:Deposits</t>
  </si>
  <si>
    <t>C0292-1/IA05099/F0002/X047/R1330/001/FIN</t>
  </si>
  <si>
    <t>Assets:Non-current Assets:Intangible Assets:Cost:Other:In-use:Computer Software Accumulated Impairment:Impairment</t>
  </si>
  <si>
    <t xml:space="preserve"> Intangible</t>
  </si>
  <si>
    <t>C0292-1/IA05091/F0002/X047/R1330/001/FIN</t>
  </si>
  <si>
    <t>Assets:Non-current Assets:Intangible Assets:Cost:Other:In-use:Computer Software Accumulated Amortisation:Amortisation</t>
  </si>
  <si>
    <t>C0292-1/IA05101/F0002/X047/R1330/001/CORP</t>
  </si>
  <si>
    <t>Assets:Non-current Assets:Intangible Assets:Cost:Other:In-use:Computer Software:Acquisitions</t>
  </si>
  <si>
    <t>C0306-1/IA00082/F0002/X047/R1330/001/FIN</t>
  </si>
  <si>
    <t>Assets:Non-current Assets:Property, Plant and Equipment:Cost Model:Other Assets:Accumulated Depreciation:Depreciation</t>
  </si>
  <si>
    <t>C0306-1/IA00090/F0002/X047/R1330/001/FIN</t>
  </si>
  <si>
    <t>Assets:Non-current Assets:Property, Plant and Equipment:Cost Model:Other Assets:Accumulated Impairment:Impairment</t>
  </si>
  <si>
    <t>C0306-1/IA00092/F0002/X047/R1330/001/FIN</t>
  </si>
  <si>
    <t>Assets:Non-current Assets:Property, Plant and Equipment:Cost Model:Other Assets:Cost:Acquisitions</t>
  </si>
  <si>
    <t>C0273-1/IA00022/F0002/X047/R1330/001/FIN</t>
  </si>
  <si>
    <t>Assets:Non-current Assets:Property, Plant and Equipment:Cost Model:Community Assets:Accumulated Depreciation:Depreciation</t>
  </si>
  <si>
    <t>C0273-1/IA00030/F0002/X047/R1330/001/FIN</t>
  </si>
  <si>
    <t>Assets:Non-current Assets:Property, Plant and Equipment:Cost Model:Community Assets:Accumulated Impairment:Impairment</t>
  </si>
  <si>
    <t>C0273-1/IA00032/F0002/X047/R1330/001/FIN</t>
  </si>
  <si>
    <t>Assets:Non-current Assets:Property, Plant and Equipment:Cost Model:Community Assets:Cost:Acquisitions</t>
  </si>
  <si>
    <t>C0276-1/IA00022/F0002/X047/R1330/001/FIN</t>
  </si>
  <si>
    <t>C0276-1/IA00030/F0002/X047/R1330/001/FIN</t>
  </si>
  <si>
    <t>C0276-1/IA00032/F0002/X047/R1330/001/FIN</t>
  </si>
  <si>
    <t>C0277-1/IA00022/F0002/X047/R1330/001/FIN</t>
  </si>
  <si>
    <t>C0277-1/IA00030/F0002/X047/R1330/001/FIN</t>
  </si>
  <si>
    <t>C0277-1/IA00032/F0002/X047/R1330/001/FIN</t>
  </si>
  <si>
    <t>C0291-1/IA00022/F0002/X047/R1330/001/FIN</t>
  </si>
  <si>
    <t>C0291-1/IA00030/F0002/X047/R1330/001/FIN</t>
  </si>
  <si>
    <t>C0291-1/IA00032/F0002/X047/R1330/001/FIN</t>
  </si>
  <si>
    <t>C0072-1/IA01357/F0002/X047/R1330/001/FIN</t>
  </si>
  <si>
    <t>Assets:Non-current Assets:Property, Plant and Equipment:Cost Model:Transport Assets:Owned and In-use:Accumulated Depreciation:Depreciation</t>
  </si>
  <si>
    <t>C0072-1/IA01365/F0002/X047/R1330/001/FIN</t>
  </si>
  <si>
    <t>Assets:Non-current Assets:Property, Plant and Equipment:Cost Model:Transport Assets:Owned and In-use:Accumulated Impairment:Impairment</t>
  </si>
  <si>
    <t>C0072-1/IA01367/F0002/X047/R1330/001/FIN</t>
  </si>
  <si>
    <t>Assets:Non-current Assets:Property, Plant and Equipment:Cost Model:Transport Assets:Owned and In-use:Cost:Acquisitions</t>
  </si>
  <si>
    <t>C0068-1/IA06183/F0002/X047/R1330/001/FIN</t>
  </si>
  <si>
    <t>Assets:Non-current Assets:Property, Plant and Equipment:Cost Model:Computer Equipment:In-use:Accumulated Depreciation:Depreciation</t>
  </si>
  <si>
    <t>C0068-1/IA06191/F0002/X047/R1330/001/FIN</t>
  </si>
  <si>
    <t>Assets:Non-current Assets:Property, Plant and Equipment:Cost Model:Computer Equipment:In-use:Accumulated Impairment:Impairment</t>
  </si>
  <si>
    <t>C0068-1/IA06193/F0002/X047/R1330/001/FIN</t>
  </si>
  <si>
    <t>Assets:Non-current Assets:Property, Plant and Equipment:Cost Model:Computer Equipment:In-use:Cost:Acquisitions</t>
  </si>
  <si>
    <t>C0069-1/IA06243/F0002/X047/R1330/001/FIN</t>
  </si>
  <si>
    <t>Assets:Non-current Assets:Property, Plant and Equipment:Cost Model:Furniture and Office Equipment:In-use:Accumulated Depreciation:Depreciation</t>
  </si>
  <si>
    <t>C0069-1/IA06251/F0002/X047/R1330/001/FIN</t>
  </si>
  <si>
    <t>Assets:Non-current Assets:Property, Plant and Equipment:Cost Model:Furniture and Office Equipment:In-use:Accumulated Impairment:Impairment</t>
  </si>
  <si>
    <t>C0069-1/IA06253/F0002/X047/R1330/001/FIN</t>
  </si>
  <si>
    <t>Assets:Non-current Assets:Property, Plant and Equipment:Cost Model:Furniture and Office Equipment:In-use:Cost:Acquisitions</t>
  </si>
  <si>
    <t>C0071-1/IA06303/F0002/X047/R1330/001/FIN</t>
  </si>
  <si>
    <t>Assets:Non-current Assets:Property, Plant and Equipment:Cost Model:Machinery and Equipment:In-use:Accumulated Depreciation:Depreciation</t>
  </si>
  <si>
    <t>C0071-1/IA06311/F0002/X047/R1330/001/FIN</t>
  </si>
  <si>
    <t>Assets:Non-current Assets:Property, Plant and Equipment:Cost Model:Machinery and Equipment:In-use:Accumulated Impairment:Impairment</t>
  </si>
  <si>
    <t>C0071-1/IA06313/F0002/X047/R1330/001/FIN</t>
  </si>
  <si>
    <t>Assets:Non-current Assets:Property, Plant and Equipment:Cost Model:Machinery and Equipment:In-use:Cost:Acquisitions</t>
  </si>
  <si>
    <t>O0001/IE00114/F0041/X091/R1330/001/LIC</t>
  </si>
  <si>
    <t>Expenditure:Employee Related Cost:Municipal Staff:Post-retirement Benefit:Pension:Defined Contribution Fund Expenses</t>
  </si>
  <si>
    <t>O0001/IE01551/F0041/X006/R1330/001/COMM</t>
  </si>
  <si>
    <t>Expenditure:Employee Related Cost:Senior Management:Post-retirement Benefit:Pension:Defined Contribution Fund Expenses</t>
  </si>
  <si>
    <t>O0001/IE00114/F0041/X006/R1330/001/COMM</t>
  </si>
  <si>
    <t>O0001/IE00114/F0041/X116/R1330/001/TECH</t>
  </si>
  <si>
    <t>O0001/IE01551/F0041/X116/R1330/001/TECH</t>
  </si>
  <si>
    <t>D0001/IA02619/F0001/X049/R1330/001/FIN</t>
  </si>
  <si>
    <t>D0001/IA02621/F0001/X049/R1330/001/FIN</t>
  </si>
  <si>
    <t>D0001/IA02622/F0001/X049/R1330/001/FIN</t>
  </si>
  <si>
    <t>D0001/IA09944/F0001/X049/R1330/001/FIN</t>
  </si>
  <si>
    <t>D0001/IA02623/F0001/X049/R1330/001/FIN</t>
  </si>
  <si>
    <t>D0001/IA02625/F0001/X049/R1330/001/FIN</t>
  </si>
  <si>
    <t>D0001/IA02626/F0001/X049/R1330/001/FIN</t>
  </si>
  <si>
    <t>D0001/IA02628/F0001/X049/R1330/001/FIN</t>
  </si>
  <si>
    <t>D0001/IA02629/F0001/X049/R1330/001/FIN</t>
  </si>
  <si>
    <t>D0001/IA09945/F0001/X049/R1330/001/FIN</t>
  </si>
  <si>
    <t>D0001/IA02128/F0001/X049/R1330/001/FIN</t>
  </si>
  <si>
    <t>D0001/IA02630/F0001/X049/R1330/001/FIN</t>
  </si>
  <si>
    <t>D0001/IA02130/F0001/X049/R1330/001/FIN</t>
  </si>
  <si>
    <t>Assets:Current Assets:Receivables from Non-exchange Transactions:Property Rates:Agricultural Properties:Collections</t>
  </si>
  <si>
    <t>D0001/IA02632/F0001/X049/R1330/001/FIN</t>
  </si>
  <si>
    <t>D0001/IA02131/F0001/X049/R1330/001/FIN</t>
  </si>
  <si>
    <t>D0001/IA02633/F0001/X049/R1330/001/FIN</t>
  </si>
  <si>
    <t>D0001/IA08405/F0001/X049/R1330/001/FIN</t>
  </si>
  <si>
    <t>D0001/IA02635/F0001/X049/R1330/001/FIN</t>
  </si>
  <si>
    <t>D0001/IA02134/F0001/X049/R1330/001/FIN</t>
  </si>
  <si>
    <t>D0001/IA02636/F0001/X049/R1330/001/FIN</t>
  </si>
  <si>
    <t>D0001/IA09946/F0001/X049/R1330/001/FIN</t>
  </si>
  <si>
    <t>D0001/IA02135/F0001/X049/R1330/001/FIN</t>
  </si>
  <si>
    <t>Assets:Current Assets:Receivables from Non-exchange Transactions:Property Rates:Business  and Commercial:Accrued Revenue</t>
  </si>
  <si>
    <t>D0001/IA02637/F0001/X049/R1330/001/FIN</t>
  </si>
  <si>
    <t>D0001/IA02137/F0001/X049/R1330/001/FIN</t>
  </si>
  <si>
    <t>D0001/IA02639/F0001/X049/R1330/001/FIN</t>
  </si>
  <si>
    <t>D0001/IA02138/F0001/X049/R1330/001/FIN</t>
  </si>
  <si>
    <t>D0001/IA02640/F0001/X049/R1330/001/FIN</t>
  </si>
  <si>
    <t>D0001/IA08406/F0001/X049/R1330/001/FIN</t>
  </si>
  <si>
    <t>D0001/IA02642/F0001/X049/R1330/001/FIN</t>
  </si>
  <si>
    <t>D0001/IA02139/F0001/X049/R1330/001/FIN</t>
  </si>
  <si>
    <t>Assets:Current Assets:Receivables from Non-exchange Transactions:Property Rates:Business  and Commercial:Monthly Billing</t>
  </si>
  <si>
    <t>D0001/IA02643/F0001/X049/R1330/001/FIN</t>
  </si>
  <si>
    <t>D0001/IA02141/F0001/X049/R1330/001/FIN</t>
  </si>
  <si>
    <t>D0001/IA09947/F0001/X049/R1330/001/FIN</t>
  </si>
  <si>
    <t>D0001/IA02149/F0001/X049/R1330/001/FIN</t>
  </si>
  <si>
    <t>D0001/IA02644/F0001/X049/R1330/001/FIN</t>
  </si>
  <si>
    <t>Assets:Current Assets:Receivables from Non-exchange Transactions:Property Rates:Farm Properties:Residential Properties:Monthly Billing</t>
  </si>
  <si>
    <t>D0001/IA02151/F0001/X049/R1330/001/FIN</t>
  </si>
  <si>
    <t>Assets:Current Assets:Receivables from Non-exchange Transactions:Property Rates:Industrial Properties:Collections</t>
  </si>
  <si>
    <t>D0001/IA02646/F0001/X049/R1330/001/FIN</t>
  </si>
  <si>
    <t>D0001/IA02152/F0001/X049/R1330/001/FIN</t>
  </si>
  <si>
    <t>D0001/IA02653/F0001/X049/R1330/001/FIN</t>
  </si>
  <si>
    <t>D0001/IA08408/F0001/X049/R1330/001/FIN</t>
  </si>
  <si>
    <t>D0001/IA02654/F0001/X049/R1330/001/FIN</t>
  </si>
  <si>
    <t>D0001/IA02153/F0001/X049/R1330/001/FIN</t>
  </si>
  <si>
    <t>Assets:Current Assets:Receivables from Non-exchange Transactions:Property Rates:Industrial Properties:Monthly Billing</t>
  </si>
  <si>
    <t>D0001/IA02657/F0001/X049/R1330/001/FIN</t>
  </si>
  <si>
    <t>D0001/IA02155/F0001/X049/R1330/001/FIN</t>
  </si>
  <si>
    <t>D0001/IA02658/F0001/X049/R1330/001/FIN</t>
  </si>
  <si>
    <t>D0001/IA02156/F0001/X049/R1330/001/FIN</t>
  </si>
  <si>
    <t>D0001/IA02661/F0001/X049/R1330/001/FIN</t>
  </si>
  <si>
    <t>Assets:Current Assets:Receivables from Non-exchange Transactions:Property Rates:Multiple Purposes:Impairment:Recognised</t>
  </si>
  <si>
    <t>D0001/IA02158/F0001/X049/R1330/001/FIN</t>
  </si>
  <si>
    <t>D0001/IA02662/F0001/X049/R1330/001/FIN</t>
  </si>
  <si>
    <t>Assets:Current Assets:Receivables from Non-exchange Transactions:Property Rates:Multiple Purposes:Impairment:Reversal</t>
  </si>
  <si>
    <t>D0001/IA02159/F0001/X049/R1330/001/FIN</t>
  </si>
  <si>
    <t>D0001/IA02666/F0001/X049/R1330/001/FIN</t>
  </si>
  <si>
    <t>D0001/IA08409/F0001/X049/R1330/001/FIN</t>
  </si>
  <si>
    <t>D0001/IA02667/F0001/X049/R1330/001/FIN</t>
  </si>
  <si>
    <t>D0001/IA02160/F0001/X049/R1330/001/FIN</t>
  </si>
  <si>
    <t>Assets:Current Assets:Receivables from Non-exchange Transactions:Property Rates:Mining Properties:Monthly Billing</t>
  </si>
  <si>
    <t>D0001/IA02670/F0001/X049/R1330/001/FIN</t>
  </si>
  <si>
    <t>D0001/IA02162/F0001/X049/R1330/001/FIN</t>
  </si>
  <si>
    <t>D0001/IA02671/F0001/X049/R1330/001/FIN</t>
  </si>
  <si>
    <t>D0001/IA02163/F0001/X049/R1330/001/FIN</t>
  </si>
  <si>
    <t>Assets:Current Assets:Receivables from Non-exchange Transactions:Property Rates:Multiple Purposes:Accrued Revenue</t>
  </si>
  <si>
    <t>D0001/IA02682/F0001/X049/R1330/001/FIN</t>
  </si>
  <si>
    <t>D0001/IA02165/F0001/X049/R1330/001/FIN</t>
  </si>
  <si>
    <t>Assets:Current Assets:Receivables from Non-exchange Transactions:Property Rates:Multiple Purposes:Collections</t>
  </si>
  <si>
    <t>D0001/IA02683/F0001/X049/R1330/001/FIN</t>
  </si>
  <si>
    <t>D0001/IA02166/F0001/X049/R1330/001/FIN</t>
  </si>
  <si>
    <t>Assets:Current Assets:Receivables from Non-exchange Transactions:Property Rates:Multiple Purposes:Debt Write-offs</t>
  </si>
  <si>
    <t>D0001/IA02686/F0001/X049/R1330/001/FIN</t>
  </si>
  <si>
    <t>D0001/IA08410/F0001/X049/R1330/001/FIN</t>
  </si>
  <si>
    <t>Assets:Current Assets:Receivables from Non-exchange Transactions:Property Rates:Multiple Purposes:Interest Charge</t>
  </si>
  <si>
    <t>D0001/IA02687/F0001/X049/R1330/001/FIN</t>
  </si>
  <si>
    <t>D0001/IA02167/F0001/X049/R1330/001/FIN</t>
  </si>
  <si>
    <t>Assets:Current Assets:Receivables from Non-exchange Transactions:Property Rates:Multiple Purposes:Monthly Billing</t>
  </si>
  <si>
    <t>D0001/IA02688/F0001/X049/R1330/001/FIN</t>
  </si>
  <si>
    <t>D0001/IA02169/F0001/X049/R1330/001/FIN</t>
  </si>
  <si>
    <t>Assets:Current Assets:Receivables from Non-exchange Transactions:Property Rates:Multiple Purposes:Prior Period Corrections and Adjustments</t>
  </si>
  <si>
    <t>D0001/IA02690/F0001/X049/R1330/001/FIN</t>
  </si>
  <si>
    <t>Assets:Current Assets:Receivables from Non-exchange Transactions:Property Rates:Residential Properties:Developed:Collections</t>
  </si>
  <si>
    <t>D0001/IA02170/F0001/X049/R1330/001/FIN</t>
  </si>
  <si>
    <t>D0001/IA02691/F0001/X049/R1330/001/FIN</t>
  </si>
  <si>
    <t>D0001/IA02172/F0001/X049/R1330/001/FIN</t>
  </si>
  <si>
    <t>Assets:Current Assets:Receivables from Non-exchange Transactions:Property Rates:Municipal Properties:Collections</t>
  </si>
  <si>
    <t>D0001/IA09948/F0001/X049/R1330/001/FIN</t>
  </si>
  <si>
    <t>D0001/IA02173/F0001/X049/R1330/001/FIN</t>
  </si>
  <si>
    <t>D0001/IA02692/F0001/X049/R1330/001/FIN</t>
  </si>
  <si>
    <t>Assets:Current Assets:Receivables from Non-exchange Transactions:Property Rates:Residential Properties:Developed:Monthly Billing</t>
  </si>
  <si>
    <t>D0001/IA08411/F0001/X049/R1330/001/FIN</t>
  </si>
  <si>
    <t>D0001/IA02694/F0001/X049/R1330/001/FIN</t>
  </si>
  <si>
    <t>D0001/IA02174/F0001/X049/R1330/001/FIN</t>
  </si>
  <si>
    <t>Assets:Current Assets:Receivables from Non-exchange Transactions:Property Rates:Municipal Properties:Monthly Billing</t>
  </si>
  <si>
    <t>D0001/IA02695/F0001/X049/R1330/001/FIN</t>
  </si>
  <si>
    <t>D0001/IA02176/F0001/X049/R1330/001/FIN</t>
  </si>
  <si>
    <t>D0001/IA02697/F0001/X049/R1330/001/FIN</t>
  </si>
  <si>
    <t>D0001/IA02177/F0001/X049/R1330/001/FIN</t>
  </si>
  <si>
    <t>D0001/IA02698/F0001/X049/R1330/001/FIN</t>
  </si>
  <si>
    <t>D0001/IA02179/F0001/X049/R1330/001/FIN</t>
  </si>
  <si>
    <t>D0001/IA09949/F0001/X049/R1330/001/FIN</t>
  </si>
  <si>
    <t>D0001/IA02180/F0001/X049/R1330/001/FIN</t>
  </si>
  <si>
    <t>D0001/IA02699/F0001/X049/R1330/001/FIN</t>
  </si>
  <si>
    <t>D0001/IA08412/F0001/X049/R1330/001/FIN</t>
  </si>
  <si>
    <t>D0001/IA02701/F0001/X049/R1330/001/FIN</t>
  </si>
  <si>
    <t>D0001/IA02181/F0001/X049/R1330/001/FIN</t>
  </si>
  <si>
    <t>D0001/IA02757/F0001/X049/R1330/001/FIN</t>
  </si>
  <si>
    <t>D0001/IA02183/F0001/X049/R1330/001/FIN</t>
  </si>
  <si>
    <t>D0001/IA02758/F0001/X049/R1330/001/FIN</t>
  </si>
  <si>
    <t>D0001/IA02198/F0001/X049/R1330/001/FIN</t>
  </si>
  <si>
    <t>D0001/IA02759/F0001/X049/R1330/001/FIN</t>
  </si>
  <si>
    <t>D0001/IA02200/F0001/X049/R1330/001/FIN</t>
  </si>
  <si>
    <t>D0001/IA02761/F0001/X049/R1330/001/FIN</t>
  </si>
  <si>
    <t>Assets:Current Assets:Receivables from Non-exchange Transactions:Property Rates:State-owned Properties:National Government:Collections</t>
  </si>
  <si>
    <t>D0001/IA02201/F0001/X049/R1330/001/FIN</t>
  </si>
  <si>
    <t>D0001/IA02762/F0001/X049/R1330/001/FIN</t>
  </si>
  <si>
    <t>D0001/IA08415/F0001/X049/R1330/001/FIN</t>
  </si>
  <si>
    <t>D0001/IA09957/F0001/X049/R1330/001/FIN</t>
  </si>
  <si>
    <t>D0001/IA02202/F0001/X049/R1330/001/FIN</t>
  </si>
  <si>
    <t>Assets:Current Assets:Receivables from Non-exchange Transactions:Property Rates:Public Benefit Organisations:Monthly Billing</t>
  </si>
  <si>
    <t>D0001/IA02204/F0001/X049/R1330/001/FIN</t>
  </si>
  <si>
    <t>D0001/IA02763/F0001/X049/R1330/001/FIN</t>
  </si>
  <si>
    <t>Assets:Current Assets:Receivables from Non-exchange Transactions:Property Rates:State-owned Properties:National Government:Monthly Billing</t>
  </si>
  <si>
    <t>D0001/IA02765/F0001/X049/R1330/001/FIN</t>
  </si>
  <si>
    <t>D0001/IA02205/F0001/X049/R1330/001/FIN</t>
  </si>
  <si>
    <t>D0001/IA02766/F0001/X049/R1330/001/FIN</t>
  </si>
  <si>
    <t>D0001/IA02207/F0001/X049/R1330/001/FIN</t>
  </si>
  <si>
    <t>Assets:Current Assets:Receivables from Non-exchange Transactions:Property Rates:Public Service Infrastructure:Collections</t>
  </si>
  <si>
    <t>D0001/IA02768/F0001/X049/R1330/001/FIN</t>
  </si>
  <si>
    <t>Assets:Current Assets:Receivables from Non-exchange Transactions:Property Rates:State-owned Properties:Provincial Government:Collections</t>
  </si>
  <si>
    <t>D0001/IA02208/F0001/X049/R1330/001/FIN</t>
  </si>
  <si>
    <t>D0001/IA02769/F0001/X049/R1330/001/FIN</t>
  </si>
  <si>
    <t>D0001/IA08416/F0001/X049/R1330/001/FIN</t>
  </si>
  <si>
    <t>D0001/IA09958/F0001/X049/R1330/001/FIN</t>
  </si>
  <si>
    <t>D0001/IA02209/F0001/X049/R1330/001/FIN</t>
  </si>
  <si>
    <t>Assets:Current Assets:Receivables from Non-exchange Transactions:Property Rates:Public Service Infrastructure:Monthly Billing</t>
  </si>
  <si>
    <t>D0001/IA02770/F0001/X049/R1330/001/FIN</t>
  </si>
  <si>
    <t>Assets:Current Assets:Receivables from Non-exchange Transactions:Property Rates:State-owned Properties:Provincial Government:Monthly Billing</t>
  </si>
  <si>
    <t>D0001/IA02211/F0001/X049/R1330/001/FIN</t>
  </si>
  <si>
    <t>D0001/IA02772/F0001/X049/R1330/001/FIN</t>
  </si>
  <si>
    <t>D0001/IA02219/F0001/X049/R1330/001/FIN</t>
  </si>
  <si>
    <t>D0001/IA00392/F0001/X049/R1330/001/FIN</t>
  </si>
  <si>
    <t>D0001/IA02221/F0001/X049/R1330/001/FIN</t>
  </si>
  <si>
    <t>Assets:Current Assets:Receivables from Non-exchange Transactions:Property Rates:State Trust Land:Collections</t>
  </si>
  <si>
    <t>D0001/IA00393/F0001/X049/R1330/001/FIN</t>
  </si>
  <si>
    <t>D0001/IA02222/F0001/X049/R1330/001/FIN</t>
  </si>
  <si>
    <t>D0001/IA08418/F0001/X049/R1330/001/FIN</t>
  </si>
  <si>
    <t>D0001/IA00396/F0001/X049/R1330/001/FIN</t>
  </si>
  <si>
    <t>D0001/IA02223/F0001/X049/R1330/001/FIN</t>
  </si>
  <si>
    <t>Assets:Current Assets:Receivables from Non-exchange Transactions:Property Rates:State Trust Land:Monthly Billing</t>
  </si>
  <si>
    <t>D0001/IA00397/F0001/X049/R1330/001/FIN</t>
  </si>
  <si>
    <t>D0001/IA02225/F0001/X049/R1330/001/FIN</t>
  </si>
  <si>
    <t>D0001/IA00400/F0001/X049/R1330/001/FIN</t>
  </si>
  <si>
    <t>D0001/IA02563/F0001/X049/R1330/001/FIN</t>
  </si>
  <si>
    <t>D0001/IA00401/F0001/X049/R1330/001/FIN</t>
  </si>
  <si>
    <t>D0001/IA00404/F0001/X049/R1330/001/FIN</t>
  </si>
  <si>
    <t>D0001/IA02565/F0001/X049/R1330/001/FIN</t>
  </si>
  <si>
    <t>D0001/IA02568/F0001/X049/R1330/001/FIN</t>
  </si>
  <si>
    <t>D0001/IA00405/F0001/X049/R1330/001/FIN</t>
  </si>
  <si>
    <t>D0001/IA02569/F0001/X049/R1330/001/FIN</t>
  </si>
  <si>
    <t>D0001/IA00408/F0001/X049/R1330/001/FIN</t>
  </si>
  <si>
    <t>D0001/IA00409/F0001/X049/R1330/001/FIN</t>
  </si>
  <si>
    <t>D0001/IA02591/F0001/X049/R1330/001/FIN</t>
  </si>
  <si>
    <t>D0001/IA00412/F0001/X049/R1330/001/FIN</t>
  </si>
  <si>
    <t>D0001/IA02593/F0001/X049/R1330/001/FIN</t>
  </si>
  <si>
    <t>D0001/IA00413/F0001/X049/R1330/001/FIN</t>
  </si>
  <si>
    <t>D0001/IA02594/F0001/X049/R1330/001/FIN</t>
  </si>
  <si>
    <t>D0001/IA00416/F0001/X049/R1330/001/FIN</t>
  </si>
  <si>
    <t>D0001/IA09940/F0001/X049/R1330/001/FIN</t>
  </si>
  <si>
    <t>D0001/IA00417/F0001/X049/R1330/001/FIN</t>
  </si>
  <si>
    <t>D0001/IA02595/F0001/X049/R1330/001/FIN</t>
  </si>
  <si>
    <t>D0001/IA00420/F0001/X049/R1330/001/FIN</t>
  </si>
  <si>
    <t>D0001/IA02597/F0001/X049/R1330/001/FIN</t>
  </si>
  <si>
    <t>D0001/IA02598/F0001/X049/R1330/001/FIN</t>
  </si>
  <si>
    <t>D0001/IA00421/F0001/X049/R1330/001/FIN</t>
  </si>
  <si>
    <t>D0001/IA00424/F0001/X049/R1330/001/FIN</t>
  </si>
  <si>
    <t>D0001/IA02600/F0001/X049/R1330/001/FIN</t>
  </si>
  <si>
    <t>Assets:Current Assets:Receivables from Non-exchange Transactions:Property Rates:Communal Land:Small Holdings:Collections</t>
  </si>
  <si>
    <t>D0001/IA02601/F0001/X049/R1330/001/FIN</t>
  </si>
  <si>
    <t>D0001/IA00425/F0001/X049/R1330/001/FIN</t>
  </si>
  <si>
    <t>D0001/IA00428/F0001/X049/R1330/001/FIN</t>
  </si>
  <si>
    <t>D0001/IA09941/F0001/X049/R1330/001/FIN</t>
  </si>
  <si>
    <t>D0001/IA00429/F0001/X049/R1330/001/FIN</t>
  </si>
  <si>
    <t>D0001/IA02602/F0001/X049/R1330/001/FIN</t>
  </si>
  <si>
    <t>Assets:Current Assets:Receivables from Non-exchange Transactions:Property Rates:Communal Land:Small Holdings:Monthly Billing</t>
  </si>
  <si>
    <t>D0001/IA02604/F0001/X049/R1330/001/FIN</t>
  </si>
  <si>
    <t>D0001/IA00460/F0001/X049/R1330/001/FIN</t>
  </si>
  <si>
    <t>D0001/IA00461/F0001/X049/R1330/001/FIN</t>
  </si>
  <si>
    <t>D0001/IA02605/F0001/X049/R1330/001/FIN</t>
  </si>
  <si>
    <t>D0001/IA00464/F0001/X049/R1330/001/FIN</t>
  </si>
  <si>
    <t>D0001/IA02607/F0001/X049/R1330/001/FIN</t>
  </si>
  <si>
    <t>D0001/IA02608/F0001/X049/R1330/001/FIN</t>
  </si>
  <si>
    <t>D0001/IA00465/F0001/X049/R1330/001/FIN</t>
  </si>
  <si>
    <t>D0001/IA09942/F0001/X049/R1330/001/FIN</t>
  </si>
  <si>
    <t>D0001/IA02609/F0001/X049/R1330/001/FIN</t>
  </si>
  <si>
    <t>D0001/IA02611/F0001/X049/R1330/001/FIN</t>
  </si>
  <si>
    <t>D0001/IA02612/F0001/X049/R1330/001/FIN</t>
  </si>
  <si>
    <t>D0001/IA02614/F0001/X049/R1330/001/FIN</t>
  </si>
  <si>
    <t>D0001/IA02615/F0001/X049/R1330/001/FIN</t>
  </si>
  <si>
    <t>D0001/IA09943/F0001/X049/R1330/001/FIN</t>
  </si>
  <si>
    <t>D0001/IA02616/F0001/X049/R1330/001/FIN</t>
  </si>
  <si>
    <t>D0001/IA02618/F0001/X049/R1330/001/FIN</t>
  </si>
  <si>
    <t>D0001/IA02372/F13637/X132/R1330/001/FIN</t>
  </si>
  <si>
    <t>Assets:Current Assets:Trade and other Receivables from Exchange Transactions:Trading Service and Customer Service Debtors:Waste Management:Accrued Revenue</t>
  </si>
  <si>
    <t>D0001/IA02374/F13638/X132/R1330/001/FIN</t>
  </si>
  <si>
    <t>Assets:Current Assets:Trade and other Receivables from Exchange Transactions:Trading Service and Customer Service Debtors:Waste Management:Collections</t>
  </si>
  <si>
    <t>D0001/IA02375/F13638/X132/R1330/001/FIN</t>
  </si>
  <si>
    <t>Assets:Current Assets:Trade and other Receivables from Exchange Transactions:Trading Service and Customer Service Debtors:Waste Management:Debt Write-off</t>
  </si>
  <si>
    <t>D0001/IA08437/F13636/X132/R1330/001/FIN</t>
  </si>
  <si>
    <t>Assets:Current Assets:Trade and other Receivables from Exchange Transactions:Trading Service and Customer Service Debtors:Waste Management:Interest Charge</t>
  </si>
  <si>
    <t>D0001/IA02811/F13639/X132/R1330/001/FIN</t>
  </si>
  <si>
    <t>Assets:Current Assets:Trade and other Receivables from Exchange Transactions:Trading Service and Customer Service Debtors:Waste Management:Impairment:Recognised</t>
  </si>
  <si>
    <t>D0001/IA02812/F13639/X132/R1330/001/FIN</t>
  </si>
  <si>
    <t>Assets:Current Assets:Trade and other Receivables from Exchange Transactions:Trading Service and Customer Service Debtors:Waste Management:Impairment:Reversal</t>
  </si>
  <si>
    <t>D0001/IA02378/F13637/X132/R1330/001/FIN</t>
  </si>
  <si>
    <t>Assets:Current Assets:Trade and other Receivables from Exchange Transactions:Trading Service and Customer Service Debtors:Waste Management:Prior Period Corrections and Adjustments</t>
  </si>
  <si>
    <t>D0001/IL38614/F13636/X132/R1330/001/FIN</t>
  </si>
  <si>
    <t>Liabilities:Current Liabilities:Consumer Deposits:Refuse:Deposits</t>
  </si>
  <si>
    <t xml:space="preserve"> Consumer deposits</t>
  </si>
  <si>
    <t>D0001/IA10214/F0001/X049/R1330/001/FIN</t>
  </si>
  <si>
    <t>Assets:Current Assets:Cash and Cash Equivalents:Cash on Hand:Petty Cash:Opening Balance</t>
  </si>
  <si>
    <t>D0001/IA10211/F0001/X049/R1330/001/FIN</t>
  </si>
  <si>
    <t>Assets:Current Assets:Cash and Cash Equivalents:Cash on Hand:Cash in Transit:Opening Balance</t>
  </si>
  <si>
    <t>D0001/IL53935/F0001/X049/R1330/001/FIN</t>
  </si>
  <si>
    <t>Liabilities:Current Liabilities:Trade and Other Payable Exchange Transactions:Unallocated Deposits:Deposits</t>
  </si>
  <si>
    <t>D0001/IA10352/F0001/X049/R1330/001/FIN</t>
  </si>
  <si>
    <t>Assets:Current Assets:Inventory:Materials and Supplies:Acquisitions</t>
  </si>
  <si>
    <t>Materials and Supplies Acquisitions</t>
  </si>
  <si>
    <t>D0001/IA09591/F0001/X049/R1330/001/FIN</t>
  </si>
  <si>
    <t>Assets:Current Assets:Cash and Cash Equivalents:Cash at Bank:Bank Account:Specify (replace with account description):Deposits</t>
  </si>
  <si>
    <t>D0001/IA10337/F0001/X049/R1330/001/FIN</t>
  </si>
  <si>
    <t>Assets:Current Assets:Inventory:Consumables:Standard Rated:Acquisitions</t>
  </si>
  <si>
    <t>Standard Rated Acquisitions</t>
  </si>
  <si>
    <t>D0001/IA10342/F0001/X049/R1330/001/FIN</t>
  </si>
  <si>
    <t>Assets:Current Assets:Inventory:Consumables:Zero Rated:Acquisitions</t>
  </si>
  <si>
    <t>Zero Rated Acquisitions</t>
  </si>
  <si>
    <t>D0001/IA09327/F0001/X049/R1330/001/FIN</t>
  </si>
  <si>
    <t>Assets:Current Assets:Cash and Cash Equivalents:Call Deposits and Investments:Special Deposit for the Payment of Interest:Specify (replace with account description):Deposits</t>
  </si>
  <si>
    <t>D0001/IL37839/F0001/X049/R1330/001/FIN</t>
  </si>
  <si>
    <t>Liabilities:Current Liabilities:VAT Control (Payable):Opening Balance</t>
  </si>
  <si>
    <t>D0001/IZ00012/F0001/X049/R1330/001/FIN</t>
  </si>
  <si>
    <t>Gains and Losses:Inventory:Decrease in net-realisable Value</t>
  </si>
  <si>
    <t>D0001/IA10352/F0001/X049/R0395/001/FIN</t>
  </si>
  <si>
    <t>C0245-1/IA00022/F0002/X101/R1331/001/TECH</t>
  </si>
  <si>
    <t>C0245-1/IA00030/F0002/X101/R1331/001/TECH</t>
  </si>
  <si>
    <t>C0245-1/IA00032/F0791/X101/R1331/001/TECH</t>
  </si>
  <si>
    <t>C0227-7/IA00022/F0002/X101/R1331/001/TECH</t>
  </si>
  <si>
    <t>C0227-7/IA00030/F0002/X101/R1331/001/TECH</t>
  </si>
  <si>
    <t>C0227-7/IA01952/F0791/X101/R1331/001/TECH</t>
  </si>
  <si>
    <t>C0230-4/IA00022/F0002/X101/R1331/001/TECH</t>
  </si>
  <si>
    <t>C0230-4/IA00030/F0002/X101/R1331/001/TECH</t>
  </si>
  <si>
    <t>C0230-4/IA00032/F0791/X101/R1331/001/TECH</t>
  </si>
  <si>
    <t>C0004-2/IA06243/F0002/X047/R1330/001/TECH</t>
  </si>
  <si>
    <t>C0004-2/IA06253/F0002/X047/R1330/001/TECH</t>
  </si>
  <si>
    <t>C0001-1/IA01305/F0002/X047/R1331/001/TECH</t>
  </si>
  <si>
    <t>Assets:Non-current Assets:Property, Plant and Equipment:Cost Model:Land:General Plant:Owned and In-use:Accumulated Impairment:Impairment</t>
  </si>
  <si>
    <t>C0001-1/IA01307/F0002/X047/R1331/001/TECH</t>
  </si>
  <si>
    <t>Assets:Non-current Assets:Property, Plant and Equipment:Cost Model:Land:General Plant:Owned and In-use:Cost:Acquisitions</t>
  </si>
  <si>
    <t>C0004-3/IA00082/F0002/X047/R1330/001/FIN</t>
  </si>
  <si>
    <t>C0004-3/IA00090/F0002/X047/R1330/001/FIN</t>
  </si>
  <si>
    <t>C0004-3/IA00092/F0002/X047/R1330/001/FIN</t>
  </si>
  <si>
    <t>C0086-1/IA05091/F0002/X047/R1330/001/FIN</t>
  </si>
  <si>
    <t>C0086-2/IA05101/F0002/X047/R1330/001/FIN</t>
  </si>
  <si>
    <t>C0227-7/IA00032/F0791/X101/R1331/001/TECH</t>
  </si>
  <si>
    <t>C0040-1/IA00122/F0002/X116/R1331/001/TECH</t>
  </si>
  <si>
    <t>Assets:Non-current Assets:Property, Plant and Equipment:Cost Model:Roads Infrastructure:Accumulated Depreciation:Depreciation</t>
  </si>
  <si>
    <t>C0040-1/IA00130/F0002/X116/R1331/001/TECH</t>
  </si>
  <si>
    <t>Assets:Non-current Assets:Property, Plant and Equipment:Cost Model:Roads Infrastructure:Accumulated Impairment:Impairment</t>
  </si>
  <si>
    <t>C0040-1/IA00132/F0002/X116/R1331/001/TECH</t>
  </si>
  <si>
    <t>C0261-1/IA00082/F0002/X047/R1331/001/FIN</t>
  </si>
  <si>
    <t>C0261-1/IA00090/F0002/X047/R1331/001/FIN</t>
  </si>
  <si>
    <t>C0261-1/IA00092/F0791/X047/R1331/001/FIN</t>
  </si>
  <si>
    <t>O0001/IE01525/F0041/X044/R1330/001/EXEC</t>
  </si>
  <si>
    <t>O0001/IE01530/F0041/X045/R1330/001/MM</t>
  </si>
  <si>
    <t>D0001/IR06028/F9273/X046/R1331/001/CORP</t>
  </si>
  <si>
    <t>Revenue:Non-exchange Revenue:Transfers and Subsidies:Operational:Monetary Allocations:National Governments:Municipal Rehabilitation Grant</t>
  </si>
  <si>
    <t>O1348-1/IE00080/F0041/X006/R1330/001/TECH</t>
  </si>
  <si>
    <t>O0001/IE00567/F0041/X049/R1330/001/FIN</t>
  </si>
  <si>
    <t>Expenditure:Operational Cost:External Audit Fees</t>
  </si>
  <si>
    <t>O0001/IE00142/F0041/X044/R1330/001/EXEC</t>
  </si>
  <si>
    <t>O0001/IE00062/F0041/X045/R1330/001/MM</t>
  </si>
  <si>
    <t>O0001/IE00142/F0041/X045/R1330/001/MM</t>
  </si>
  <si>
    <t>O0001/IE00060/F0041/X045/R1330/001/MM</t>
  </si>
  <si>
    <t>O0001/IE00061/F0041/X045/R1330/001/MM</t>
  </si>
  <si>
    <t>O1232-3/IE00059/F0041/X098/R1330/001/TECH</t>
  </si>
  <si>
    <t>D0001/IZ00106/F0041/X049/R1330/001/FIN</t>
  </si>
  <si>
    <t>Gains and Losses:Disposal of Fixed and Intangible Assets:Property, Plant and Equipment:Other Assets:Gains</t>
  </si>
  <si>
    <t>D0001/IZ00107/F0041/X049/R1330/001/FIN</t>
  </si>
  <si>
    <t>Gains and Losses:Disposal of Fixed and Intangible Assets:Property, Plant and Equipment:Other Assets:Losses</t>
  </si>
  <si>
    <t>C0265-1/IA01952/F0002/X101/R1330/001/TECH</t>
  </si>
  <si>
    <t>O0001/IE00550/F0041/X047/R1330/001/FIN</t>
  </si>
  <si>
    <t>D0001/IA02368/F0001/X049/R1331/001/FIN</t>
  </si>
  <si>
    <t>D0001/IA10277/F0001/X049/R1330/001/FIN</t>
  </si>
  <si>
    <t>Assets:Current Assets:Operating Lease - Straight Lining:Opening Balance</t>
  </si>
  <si>
    <t>D0001/IA10243/F0001/X049/R1330/001/FIN</t>
  </si>
  <si>
    <t>Assets:Current Assets:Current Portion of Non-current Receivables:Staff Loans/Recoveries:Opening Balance</t>
  </si>
  <si>
    <t>D0001/IA09093/F0001/X049/R1330/001/FIN</t>
  </si>
  <si>
    <t>Assets:Current Assets:Cash and Cash Equivalents:Call Deposits and Investments:Deposit taking Institutions:Specify (replace with account description):Deposits</t>
  </si>
  <si>
    <t>D0001/IA10208/F0001/X049/R1330/001/FIN</t>
  </si>
  <si>
    <t>Assets:Current Assets:Cash and Cash Equivalents:Cash on Hand:Cashier Floats:Opening Balance</t>
  </si>
  <si>
    <t>D0001/LN00007/F0001/X049/R1330/001/FIN</t>
  </si>
  <si>
    <t>Net Assets:Accumulated Surplus/(Deficit):Transfers to/from operating revenue and expenditure</t>
  </si>
  <si>
    <t>LN</t>
  </si>
  <si>
    <t xml:space="preserve"> Accumulated Surplus/(Deficit)</t>
  </si>
  <si>
    <t>Appropriations to Reserves</t>
  </si>
  <si>
    <t>D0001/IL00790/F0001/X049/R1330/001/FIN</t>
  </si>
  <si>
    <t>Liabilities:Non-current Liabilities:Defined Benefit Obligations:Medical:Current service cost</t>
  </si>
  <si>
    <t xml:space="preserve">  Provisions</t>
  </si>
  <si>
    <t>D0001/IL00915/F0001/X049/R1330/001/FIN</t>
  </si>
  <si>
    <t>Liabilities:Non-current Liabilities:Financial Liabilities:Operating Lease Liability</t>
  </si>
  <si>
    <t>D0001/IA10298/F0001/X049/R1330/001/FIN</t>
  </si>
  <si>
    <t>Assets:Current Assets:Control, Clearing and Interface Accounts:Garnishee Payments:Opening Balance</t>
  </si>
  <si>
    <t>D0001/IA10289/F0001/X049/R1330/001/FIN</t>
  </si>
  <si>
    <t>Assets:Current Assets:Control, Clearing and Interface Accounts:Employee Net Pay and Bond Payment:Opening Balance</t>
  </si>
  <si>
    <t>D0001/IL17170/F0001/X049/R1330/001/FIN</t>
  </si>
  <si>
    <t>Liabilities:Current Liabilities:Trade and Other Payable Non-exchange Transactions:Transfers and Subsidies Unspent:Operational:Monetary Allocations:Departmental Agencies and Accounts:National Departmental Agencies:Community Schemes Ombud Service:Receipts</t>
  </si>
  <si>
    <t>D0001/IL17171/F0001/X049/R1330/001/FIN</t>
  </si>
  <si>
    <t>Liabilities:Current Liabilities:Trade and Other Payable Non-exchange Transactions:Transfers and Subsidies Unspent:Operational:Monetary Allocations:Departmental Agencies and Accounts:National Departmental Agencies:Community Schemes Ombud Service:Transferred to Revenue/Capital Expenditure</t>
  </si>
  <si>
    <t>D0001/IL092980/F0001/X049/R1330/001/FIN</t>
  </si>
  <si>
    <t>Liabilities:Current Liabilities:Trade and Other Payable Non-exchange Transactions:Transfers and Subsidies Unspent:Operational:Monetary Allocations:Provincial Government:KwaZulu-Natal:Infrastructure:Specify (Add grant description):Receipts</t>
  </si>
  <si>
    <t>D0001/IL092976/F0001/X049/R1330/001/FIN</t>
  </si>
  <si>
    <t>D0001/IL37124/F0001/X049/R1330/001/FIN</t>
  </si>
  <si>
    <t>Liabilities:Current Liabilities:Trade and Other Payable Non-exchange Transactions:Transfers and Subsidies Unspent:Operational:Monetary Allocations:National Government:Municipal Rehabilitation Grant:Receipts</t>
  </si>
  <si>
    <t>D0001/IL08833/F1177/X049/R1330/001/FIN</t>
  </si>
  <si>
    <t>Liabilities:Current Liabilities:Trade and Other Payable Non-exchange Transactions:Transfers and Subsidies Unspent:Operational:Monetary Allocations:National Government:Local Government Financial Management Grant:Receipts</t>
  </si>
  <si>
    <t>D0001/IL07028/F0786/X035/R1330/001/TECH</t>
  </si>
  <si>
    <t>Liabilities:Current Liabilities:Trade and Other Payable Non-exchange Transactions:Transfers and Subsidies Unspent:Capital:Monetary Allocations:National Government:Integrated National Electrification Programme Grant:Receipts</t>
  </si>
  <si>
    <t>D0001/IL08801/F1169/X049/R1330/001/COMM</t>
  </si>
  <si>
    <t>Liabilities:Current Liabilities:Trade and Other Payable Non-exchange Transactions:Transfers and Subsidies Unspent:Operational:Monetary Allocations:National Government:Expanded Public Works Programme Integrated Grant:Receipts</t>
  </si>
  <si>
    <t>D0001/IL093092/F13636/X024/R1330/001/LIBR</t>
  </si>
  <si>
    <t>Liabilities:Current Liabilities:Trade and Other Payable Non-exchange Transactions:Transfers and Subsidies Unspent:Operational:Monetary Allocations:Provincial Government:KwaZulu-Natal:Capacity Building and Other:Specify (Add grant description):Receipts</t>
  </si>
  <si>
    <t>D0001/IL07048/F0791/X049/R1330/001/TECH</t>
  </si>
  <si>
    <t>Liabilities:Current Liabilities:Trade and Other Payable Non-exchange Transactions:Transfers and Subsidies Unspent:Capital:Monetary Allocations:National Government:Municipal Infrastructure Grant:Receipts</t>
  </si>
  <si>
    <t>D0001/IL093033/F0791/X049/R1330/001/TECH</t>
  </si>
  <si>
    <t>Liabilities:Current Liabilities:Trade and Other Payable Non-exchange Transactions:Transfers and Subsidies Unspent:Operational:Monetary Allocations:Provincial Government:KwaZulu-Natal:Infrastructure:Specify (Add grant description):Transferred to Revenue/Capital Expenditure</t>
  </si>
  <si>
    <t>D0001/IL092976/F13621/X049/R1330/001/FIN</t>
  </si>
  <si>
    <t>D0001/IL37144/F9273/X049/R1330/001/FIN</t>
  </si>
  <si>
    <t>Liabilities:Current Liabilities:Trade and Other Payable Non-exchange Transactions:Transfers and Subsidies Unspent:Operational:Monetary Allocations:National Government:Municipal Rehabilitation Grant:Transferred to Revenue/Capital Expenditure</t>
  </si>
  <si>
    <t>D0001/IL08834/F1177/X049/R1330/001/FIN</t>
  </si>
  <si>
    <t>Liabilities:Current Liabilities:Trade and Other Payable Non-exchange Transactions:Transfers and Subsidies Unspent:Operational:Monetary Allocations:National Government:Local Government Financial Management Grant:Transferred to Revenue/Capital Expenditure</t>
  </si>
  <si>
    <t>D0001/IL07029/F0786/X035/R1330/001/TECH</t>
  </si>
  <si>
    <t>Liabilities:Current Liabilities:Trade and Other Payable Non-exchange Transactions:Transfers and Subsidies Unspent:Capital:Monetary Allocations:National Government:Integrated National Electrification Programme Grant:Transferred to Revenue/Capital Expenditure</t>
  </si>
  <si>
    <t>D0001/IL08802/F1169/X049/R1330/001/COMM</t>
  </si>
  <si>
    <t>Liabilities:Current Liabilities:Trade and Other Payable Non-exchange Transactions:Transfers and Subsidies Unspent:Operational:Monetary Allocations:National Government:Expanded Public Works Programme Integrated Grant:Transferred to Revenue/Capital Expenditure</t>
  </si>
  <si>
    <t>D0001/IL093089/F13636/X024/R1330/001/CORP</t>
  </si>
  <si>
    <t>Liabilities:Current Liabilities:Trade and Other Payable Non-exchange Transactions:Transfers and Subsidies Unspent:Operational:Monetary Allocations:Provincial Government:KwaZulu-Natal:Capacity Building and Other:Specify (Add grant description):Transferred to Revenue/Capital Expenditure</t>
  </si>
  <si>
    <t>D0001/IL07049/F0791/X049/R1330/001/TECH</t>
  </si>
  <si>
    <t>Liabilities:Current Liabilities:Trade and Other Payable Non-exchange Transactions:Transfers and Subsidies Unspent:Capital:Monetary Allocations:National Government:Municipal Infrastructure Grant:Transferred to Revenue/Capital Expenditure</t>
  </si>
  <si>
    <t>D0001/IA10375/F0001/X049/R1330/001/FIN</t>
  </si>
  <si>
    <t>Assets:Current Assets:VAT Receivable:Input Accrual:Recognised</t>
  </si>
  <si>
    <t>D0001/IL39588/F0001/X049/R1330/001/FIN</t>
  </si>
  <si>
    <t>Liabilities:Current Liabilities:VAT Credit:  Output Accrual:Recognised</t>
  </si>
  <si>
    <t>D0001/IL00212/F0001/X049/R1330/001/FIN</t>
  </si>
  <si>
    <t>Liabilities:Non-current Liabilities:Provision and Impairment:Impairment:Other Receivables from Non-exchange Transactions:Unauthorised, Irregular, Fruitless and Wasteful Expenditure:Increases</t>
  </si>
  <si>
    <t>D0001/IL38557/F0001/X049/R1330/001/FIN</t>
  </si>
  <si>
    <t>Liabilities:Current Liabilities:Consumer Deposits:Wayleave:Opening Balance</t>
  </si>
  <si>
    <t>D0001/IR01490/F2496/X049/R1330/001/FIN</t>
  </si>
  <si>
    <t>Revenue:Non-exchange Revenue:Property Rates:Privately Owned Towns Serviced by the Owner</t>
  </si>
  <si>
    <t>D0001/IR01491/F2496/X049/R1330/001/FIN</t>
  </si>
  <si>
    <t>Revenue:Non-exchange Revenue:Property Rates:Protected Areas</t>
  </si>
  <si>
    <t>D0001/IR01483/F2496/X049/R1330/001/FIN</t>
  </si>
  <si>
    <t>Revenue:Non-exchange Revenue:Property Rates:Formal and Informal Settlements</t>
  </si>
  <si>
    <t>D0001/IR01038/F2496/X049/R1330/001/FIN</t>
  </si>
  <si>
    <t>Revenue:Non-exchange Revenue:Property Rates:Communal Land:Business and Commercial</t>
  </si>
  <si>
    <t>D0001/IR01039/F2496/X049/R1330/001/FIN</t>
  </si>
  <si>
    <t>Revenue:Non-exchange Revenue:Property Rates:Communal Land:Farm Property</t>
  </si>
  <si>
    <t>D0001/IR01040/F2496/X049/R1330/001/FIN</t>
  </si>
  <si>
    <t>Revenue:Non-exchange Revenue:Property Rates:Communal Land:Other</t>
  </si>
  <si>
    <t>D0001/IR01041/F2496/X049/R1330/001/FIN</t>
  </si>
  <si>
    <t>Revenue:Non-exchange Revenue:Property Rates:Communal Land:Residential</t>
  </si>
  <si>
    <t>D0001/IR01042/F2496/X049/R1330/001/FIN</t>
  </si>
  <si>
    <t>Revenue:Non-exchange Revenue:Property Rates:Communal Land:Small Holdings</t>
  </si>
  <si>
    <t>D0001/IR01043/F2496/X049/R1330/001/FIN</t>
  </si>
  <si>
    <t>Revenue:Non-exchange Revenue:Property Rates:Farm Properties:Agricultural Purposes</t>
  </si>
  <si>
    <t>D0001/IR01044/F2496/X049/R1330/001/FIN</t>
  </si>
  <si>
    <t>Revenue:Non-exchange Revenue:Property Rates:Farm Properties:Business and Commercial</t>
  </si>
  <si>
    <t>D0001/IR01045/F2496/X049/R1330/001/FIN</t>
  </si>
  <si>
    <t>Revenue:Non-exchange Revenue:Property Rates:Farm Properties:Farm Properties not used for any purpose</t>
  </si>
  <si>
    <t>D0001/IR01046/F2496/X049/R1330/001/FIN</t>
  </si>
  <si>
    <t>Revenue:Non-exchange Revenue:Property Rates:Farm Properties:Industrial Purposes</t>
  </si>
  <si>
    <t>D0001/IR01047/F2496/X049/R1330/001/FIN</t>
  </si>
  <si>
    <t>Revenue:Non-exchange Revenue:Property Rates:Farm Properties:Other purposes than the above</t>
  </si>
  <si>
    <t>D0001/IR01048/F2496/X049/R1330/001/FIN</t>
  </si>
  <si>
    <t>Revenue:Non-exchange Revenue:Property Rates:Farm Properties:Residential Properties</t>
  </si>
  <si>
    <t>D0001/IR01050/F2496/X049/R1330/001/FIN</t>
  </si>
  <si>
    <t>Revenue:Non-exchange Revenue:Property Rates:Residential Properties:Vacant Land</t>
  </si>
  <si>
    <t>D0001/IR01051/F2496/X049/R1330/001/FIN</t>
  </si>
  <si>
    <t>Revenue:Non-exchange Revenue:Property Rates:Restitution and Redistribution Properties (Section 8(2)n):Communal Property Associations Act</t>
  </si>
  <si>
    <t>D0001/IR01054/F2496/X049/R1330/001/FIN</t>
  </si>
  <si>
    <t>Revenue:Non-exchange Revenue:Property Rates:Small Holdings:Business and Commercial Purposes</t>
  </si>
  <si>
    <t>D0001/IR01055/F2496/X049/R1330/001/FIN</t>
  </si>
  <si>
    <t>Revenue:Non-exchange Revenue:Property Rates:Small Holdings:Industrial Purposes</t>
  </si>
  <si>
    <t>D0001/IR01494/F2496/X049/R1330/001/FIN</t>
  </si>
  <si>
    <t>Revenue:Non-exchange Revenue:Property Rates:Special Rating Area</t>
  </si>
  <si>
    <t>D0001/IR01056/F2496/X049/R1330/001/FIN</t>
  </si>
  <si>
    <t>Revenue:Non-exchange Revenue:Property Rates:Small Holdings:Purposes other than the above (specify)</t>
  </si>
  <si>
    <t>D0001/IR01057/F2496/X049/R1330/001/FIN</t>
  </si>
  <si>
    <t>Revenue:Non-exchange Revenue:Property Rates:Small Holdings:Residential Purposes</t>
  </si>
  <si>
    <t>O0001/IE00758/F0041/X101/R1330/001/TECH</t>
  </si>
  <si>
    <t>Expenditure:Operational Cost:Advertising, Publicity and Marketing:Tenders</t>
  </si>
  <si>
    <t>D0001/IA02720/F0001/X049/R1331/001/FIN</t>
  </si>
  <si>
    <t>Assets:Current Assets:Receivables from Non-exchange Transactions:Property Rates:Small Holdings:Agricultural Purposes:Monthly Billing</t>
  </si>
  <si>
    <t>D0001/IL093092/F13639/X024/R1330/001/CORP</t>
  </si>
  <si>
    <t>D0001/IL093086/F13621/X049/R1330/001/TECH</t>
  </si>
  <si>
    <t>Liabilities:Current Liabilities:Trade and Other Payable Non-exchange Transactions:Transfers and Subsidies Unspent:Operational:Monetary Allocations:Provincial Government:KwaZulu-Natal:Capacity Building and Other:Specify (Add grant description):Re-payment of Unspent Grant</t>
  </si>
  <si>
    <t>Cash Payments by Type / Other expenditure</t>
  </si>
  <si>
    <t>O0001/IE00709/F0041/X047/R1330/001/FIN</t>
  </si>
  <si>
    <t>Expenditure:Depreciation and Amortisation:Depreciation:Computer Equipment</t>
  </si>
  <si>
    <t>D0001/IR01519/F0001/X091/R1331/001/CORP</t>
  </si>
  <si>
    <t>Revenue:Exchange Revenue:Licences or Permits:Road and Transport:Drivers Licence Application/Duplicate Drivers Licences</t>
  </si>
  <si>
    <t>D0001/IR01520/F0001/X091/R1331/001/CORP</t>
  </si>
  <si>
    <t>Revenue:Exchange Revenue:Licences or Permits:Road and Transport:Drivers Licence Certificate</t>
  </si>
  <si>
    <t>D0001/IA10321/F0001/X049/R1330/001/FIN</t>
  </si>
  <si>
    <t>Assets:Current Assets:Control, Clearing and Interface Accounts:Over/Under Banking:Opening Balance</t>
  </si>
  <si>
    <t>D0001/IL54016/F0001/X049/R1330/001/FIN</t>
  </si>
  <si>
    <t>Liabilities:Current Liabilities:Trade and Other Payable Exchange Transactions:Control, Clearing and Interface Accounts:Goods Received/Invoice Received:Opening Balance</t>
  </si>
  <si>
    <t>O0001/IE06856/F0041/X006/R1330/001/COMM</t>
  </si>
  <si>
    <t>O1285-1/IE00552/F1177/X049/R1330/001/FIN</t>
  </si>
  <si>
    <t>O1285-1/IE03969/F1177/X049/R1330/001/FIN</t>
  </si>
  <si>
    <t>O1285-1/IE03971/F1177/X049/R1330/001/FIN</t>
  </si>
  <si>
    <t>D0001/IA09103/F0041/X049/R1330/001/FIN</t>
  </si>
  <si>
    <t>Assets:Current Assets:Cash and Cash Equivalents:Call Deposits and Investments:Deposit taking Institutions:Specify (replace with account description):Interest Earned</t>
  </si>
  <si>
    <t>Government - operating</t>
  </si>
  <si>
    <t>D0001/IA09078/F0041/X049/R1330/001/FIN</t>
  </si>
  <si>
    <t>Assets:Current Assets:Cash and Cash Equivalents:Call Deposits and Investments:Deposit taking Institutions:Specify (replace with account description):Charges</t>
  </si>
  <si>
    <t>D0001/IA09541/F0041/X049/R1330/001/FIN</t>
  </si>
  <si>
    <t>D0001/IA09109/F0041/X049/R1330/001/FIN</t>
  </si>
  <si>
    <t>Assets:Current Assets:Cash and Cash Equivalents:Call Deposits and Investments:Deposit taking Institutions:Specify (replace with account description):Withdrawals</t>
  </si>
  <si>
    <t>0150W</t>
  </si>
  <si>
    <t>C0230-5/IA01952/F0791/X016/R1814/001/TECH</t>
  </si>
  <si>
    <t>C0358-1/IA02549/F0002/X047/R1331/001/FIN</t>
  </si>
  <si>
    <t>Assets:Non-current Assets:Investment Property:Cost Model:Accumulated Depreciation:Depreciation</t>
  </si>
  <si>
    <t xml:space="preserve"> Investment property</t>
  </si>
  <si>
    <t>D0001/IR01073/F0001/X049/R1330/001/FIN</t>
  </si>
  <si>
    <t>Revenue:Exchange Revenue:Interest, Dividend and Rent on Land:Interest:Receivables:Waste Management</t>
  </si>
  <si>
    <t>O0001/IE00649/F0041/X101/R1330/001/TECH</t>
  </si>
  <si>
    <t>C0342-1/IA01953/F0002/X049/R1331/001/FIN</t>
  </si>
  <si>
    <t>Assets:Non-current Assets:Investment Property:Cost Model:Additions</t>
  </si>
  <si>
    <t>O0001/IE00841/F0041/X051/R1330/001/CORP</t>
  </si>
  <si>
    <t>Expenditure:Contracted Services:Consultants and Professional Services:Business and Advisory:Medical Examinations</t>
  </si>
  <si>
    <t>O0001/IE00703/F0041/X046/R1331/001/CORP</t>
  </si>
  <si>
    <t>O1336-1/IE00060/F0041/X046/R1331/001/CORP</t>
  </si>
  <si>
    <t>O1336-1/IE00572/F0041/X046/R1331/001/CORP</t>
  </si>
  <si>
    <t>O1336-1/IE00571/F0041/X046/R1331/001/CORP</t>
  </si>
  <si>
    <t>O0828-1/IE00649/F0045/X101/R1331/001/CORP</t>
  </si>
  <si>
    <t>O0001/IE00758/F0041/X049/R1330/001/FIN</t>
  </si>
  <si>
    <t>O0001/IE00757/F0041/X049/R1330/001/FIN</t>
  </si>
  <si>
    <t>O0001/IE00751/F0041/X049/R1330/001/FIN</t>
  </si>
  <si>
    <t>O0001/IE00572/F0041/X046/R1330/001/CORP</t>
  </si>
  <si>
    <t>O1244-1/IE00677/F0041/X021/R1331/001/COMM</t>
  </si>
  <si>
    <t>O1220-2/IE00694/F0041/X076/R1331/001/COMM</t>
  </si>
  <si>
    <t>O1220-2/IE00677/F0041/X076/R1331/001/COMM</t>
  </si>
  <si>
    <t>O1220-2/IE00583/F0041/X076/R1331/001/COMM</t>
  </si>
  <si>
    <t>O1220-2/IE00703/F0041/X076/R1330/001/COMM</t>
  </si>
  <si>
    <t>O1220-1/IE00677/F0041/X076/R1331/001/COMM</t>
  </si>
  <si>
    <t>O1220-1/IE00738/F0041/X076/R1331/001/COMM</t>
  </si>
  <si>
    <t>O1220-1/IE00739/F0041/X076/R1331/001/COMM</t>
  </si>
  <si>
    <t>O1220-3/IE00677/F0041/X076/R1331/001/COMM</t>
  </si>
  <si>
    <t>O1220-3/IE00739/F0041/X076/R1331/001/COMM</t>
  </si>
  <si>
    <t>O1220-3/IE00738/F0041/X076/R1331/001/COMM</t>
  </si>
  <si>
    <t>O1219-1/IE00677/F0041/X076/R1331/001/COMM</t>
  </si>
  <si>
    <t>O1219-1/IE00756/F0041/X076/R1331/001/COMM</t>
  </si>
  <si>
    <t>O1219-1/IE00703/F0041/X076/R1331/001/COMM</t>
  </si>
  <si>
    <t>O1219-1/IE00738/F0041/X076/R1331/001/COMM</t>
  </si>
  <si>
    <t>O1219-1/IE00751/F0041/X076/R1331/001/COMM</t>
  </si>
  <si>
    <t>O1333-5/IE00751/F0041/X129/R1331/001/COMM</t>
  </si>
  <si>
    <t>O1333-5/IE00754/F0041/X129/R1331/001/COMM</t>
  </si>
  <si>
    <t>O1333-5/IE00703/F0041/X129/R1331/001/COMM</t>
  </si>
  <si>
    <t>O1333-5/IE00738/F0041/X129/R1331/001/COMM</t>
  </si>
  <si>
    <t>O1333-6/IE00754/F0041/X129/R1331/001/COMM</t>
  </si>
  <si>
    <t>O1333-6/IE00703/F0041/X129/R1331/001/COMM</t>
  </si>
  <si>
    <t>O1333-6/IE00751/F0041/X129/R1331/001/COMM</t>
  </si>
  <si>
    <t>O1333-6/IE00572/F0041/X129/R1331/001/COMM</t>
  </si>
  <si>
    <t>O1333-6/IE00738/F0041/X129/R1331/001/COMM</t>
  </si>
  <si>
    <t>O1333-6/IE00677/F0041/X129/R1331/001/COMM</t>
  </si>
  <si>
    <t>O1333-6/IE00640/F0041/X129/R1331/001/COMM</t>
  </si>
  <si>
    <t>O1333-4/IE00640/F0041/X129/R1331/001/COMM</t>
  </si>
  <si>
    <t>O1333-4/IE00060/F0041/X129/R1331/001/COMM</t>
  </si>
  <si>
    <t>O1444-2/IE00694/F0041/X025/R1331/001/COMM</t>
  </si>
  <si>
    <t>O1444-2/IE00738/F0041/X025/R1331/001/COMM</t>
  </si>
  <si>
    <t>O1444-2/IE00677/F0041/X025/R1331/001/COMM</t>
  </si>
  <si>
    <t>O1245-2/IE00571/F0041/X028/R1331/001/COMM</t>
  </si>
  <si>
    <t>O1244-4/IE00694/F0041/X018/R1331/001/COMM</t>
  </si>
  <si>
    <t>O1244-4/IE00677/F0041/X018/R1331/001/COMM</t>
  </si>
  <si>
    <t>O1244-4/IE00703/F0041/X018/R1331/001/COMM</t>
  </si>
  <si>
    <t>O1244-4/IE00583/F0041/X018/R1331/001/COMM</t>
  </si>
  <si>
    <t>O1305-1/IE00694/F0041/X098/R1331/001/COMM</t>
  </si>
  <si>
    <t>O1275-1/IE00571/F0041/X132/R1331/001/COMM</t>
  </si>
  <si>
    <t>O1275-1/IE00062/F0041/X132/R1331/001/COMM</t>
  </si>
  <si>
    <t>O0001/IE00550/F0041/X132/R1331/001/COMM</t>
  </si>
  <si>
    <t>O0001/IE00571/F0041/X132/R1331/001/COMM</t>
  </si>
  <si>
    <t>O0001/IE00562/F0041/X132/R1331/001/COMM</t>
  </si>
  <si>
    <t>O0001/IE00738/F0041/X132/R1331/001/COMM</t>
  </si>
  <si>
    <t>O1244-1/IE00607/F0041/X021/R1331/001/COMM</t>
  </si>
  <si>
    <t>O1354-1/IE00754/F0041/X022/R1331/001/COMM</t>
  </si>
  <si>
    <t>O1354-1/IE00583/F0041/X022/R1331/001/COMM</t>
  </si>
  <si>
    <t>O1333-7/IE00677/F0041/X129/R1331/001/COMM</t>
  </si>
  <si>
    <t>O1333-7/IE00703/F0041/X129/R1331/001/COMM</t>
  </si>
  <si>
    <t>O1333-7/IE00640/F0041/X129/R1331/001/COMM</t>
  </si>
  <si>
    <t>O1333-8/IE00640/F0041/X129/R1331/001/COMM</t>
  </si>
  <si>
    <t>O1333-8/IE00677/F0041/X129/R1331/001/COMM</t>
  </si>
  <si>
    <t>O1333-8/IE00703/F0041/X129/R1331/001/COMM</t>
  </si>
  <si>
    <t>O1333-8/IE00549/F0041/X129/R1331/001/COMM</t>
  </si>
  <si>
    <t>O1333-8/IE00143/F0041/X129/R1331/001/COMM</t>
  </si>
  <si>
    <t>O1333-8/IE00060/F0041/X129/R1331/001/COMM</t>
  </si>
  <si>
    <t>O1355-1/IE00751/F0041/X022/R1331/001/COMM</t>
  </si>
  <si>
    <t>O1355-1/IE00583/F0041/X022/R1331/001/COMM</t>
  </si>
  <si>
    <t>O1355-1/IE00694/F0041/X022/R1331/001/COMM</t>
  </si>
  <si>
    <t>O0013-1/IE00583/F0041/X028/R1331/001/COMM</t>
  </si>
  <si>
    <t>O0013-1/IE00703/F0041/X028/R1331/001/COMM</t>
  </si>
  <si>
    <t>O0013-1/IE00677/F0041/X028/R1331/001/COMM</t>
  </si>
  <si>
    <t>O1236-2/IE00751/F0041/X045/R1331/001/MM</t>
  </si>
  <si>
    <t>O1540-1/IE00534/F0041/X052/R1331/001/CORP</t>
  </si>
  <si>
    <t>O1236-2/IE00583/F0041/X045/R1331/001/MM</t>
  </si>
  <si>
    <t>O1236-2/IE00572/F0041/X045/R1331/001/MM</t>
  </si>
  <si>
    <t>O1236-2/IE00571/F0041/X045/R1331/001/MM</t>
  </si>
  <si>
    <t>O1236-2/IE00626/F0041/X045/R1331/001/MM</t>
  </si>
  <si>
    <t>Expenditure:Contracted Services:Contractors:Artists and Performers</t>
  </si>
  <si>
    <t>O1244-9/IE00572/F0041/X025/R1331/001/COMM</t>
  </si>
  <si>
    <t>O1333-9/IE00677/F0041/X129/R1331/001/COMM</t>
  </si>
  <si>
    <t>O1333-9/IE00640/F0041/X129/R1331/001/COMM</t>
  </si>
  <si>
    <t>O1333-9/IE00703/F0041/X129/R1331/001/COMM</t>
  </si>
  <si>
    <t>O0018-2/IE00846/F0041/X045/R1331/001/MM</t>
  </si>
  <si>
    <t>Expenditure:Contracted Services:Consultants and Professional Services:Business and Advisory:Quality Control</t>
  </si>
  <si>
    <t>O0018-2/IE00694/F0041/X045/R1331/001/MM</t>
  </si>
  <si>
    <t>O0018-2/IE00833/F1177/X045/R1331/001/MM</t>
  </si>
  <si>
    <t>Expenditure:Contracted Services:Consultants and Professional Services:Business and Advisory:Audit Committee</t>
  </si>
  <si>
    <t>O1333-10/IE00677/F0041/X129/R1331/001/COMM</t>
  </si>
  <si>
    <t>O1333-10/IE00549/F0041/X129/R1331/001/COMM</t>
  </si>
  <si>
    <t>O1333-10/IE00640/F0041/X129/R1331/001/COMM</t>
  </si>
  <si>
    <t>O1333-10/IE00703/F0041/X129/R1331/001/COMM</t>
  </si>
  <si>
    <t>O1333-10/IE00060/F0041/X129/R1331/001/COMM</t>
  </si>
  <si>
    <t>O0001/IE00583/F0041/X045/R1331/001/MM</t>
  </si>
  <si>
    <t>O1248-1/IE00677/F0041/X012/R1331/001/COMM</t>
  </si>
  <si>
    <t>O1248-1/IE00703/F0041/X012/R1331/001/COMM</t>
  </si>
  <si>
    <t>O0001/IE00671/F0041/X046/R1331/001/CORP</t>
  </si>
  <si>
    <t>O1337-1/IE00583/F0041/X045/R1331/001/MM</t>
  </si>
  <si>
    <t>O1762-1/IE00651/F0041/X116/R1814/001/TECH</t>
  </si>
  <si>
    <t>O1760-1/IE00651/F0041/X116/R1814/001/TECH</t>
  </si>
  <si>
    <t>O1762-1/IE00080/F0041/X116/R1814/001/TECH</t>
  </si>
  <si>
    <t>O1337-2/IE00645/F0041/X045/R1331/001/MM</t>
  </si>
  <si>
    <t>Expenditure:Contracted Services:Contractors:Graphic Designers</t>
  </si>
  <si>
    <t>O1300-1/IE00555/F0041/X051/R1331/001/CORP</t>
  </si>
  <si>
    <t>O1350-1/IE00694/F0041/X045/R1331/001/MM</t>
  </si>
  <si>
    <t>O2708-1/IE00649/F0041/X129/R1331/001/TECH</t>
  </si>
  <si>
    <t>O3399-1/IE00649/F0041/X129/R1331/001/TECH</t>
  </si>
  <si>
    <t>O1300-2/IE00810/F0041/X051/R1330/001/CORP</t>
  </si>
  <si>
    <t>O1300-2/IE00694/F0041/X051/R1330/001/FIN</t>
  </si>
  <si>
    <t>O1300-2/IE00694/F0041/X051/R1330/001/CORP</t>
  </si>
  <si>
    <t>O1300-2/IE00703/F0041/X051/R1330/001/CORP</t>
  </si>
  <si>
    <t>O1300-2/IE00703/F0041/X051/R1330/001/FIN</t>
  </si>
  <si>
    <t>O1300-2/IE00677/F0041/X051/R1330/001/CORP</t>
  </si>
  <si>
    <t>O1300-2/IE00810/F0041/X051/R1330/001/FIN</t>
  </si>
  <si>
    <t>O1300-2/IE00677/F0041/X051/R1330/001/FIN</t>
  </si>
  <si>
    <t>O1350-2/IE00834/F0041/X045/R1331/001/MM</t>
  </si>
  <si>
    <t>Expenditure:Contracted Services:Consultants and Professional Services:Business and Advisory:Board Member</t>
  </si>
  <si>
    <t>C0019-1/IA01952/F0786/X035/R1331/001/TECH</t>
  </si>
  <si>
    <t>O1350-3/IE00583/F0041/X045/R1331/001/MM</t>
  </si>
  <si>
    <t>O0001/IE00650/F0041/X046/R1331/001/CORP</t>
  </si>
  <si>
    <t>O0001/IE00769/F0041/X046/R1331/001/CORP</t>
  </si>
  <si>
    <t>O0001/IE00778/F0041/X046/R1331/001/CORP</t>
  </si>
  <si>
    <t>O0001/IE00545/F0041/X046/R1330/001/CORP</t>
  </si>
  <si>
    <t>O0016-2/IE00682/F0041/X112/R1331/001/CORP</t>
  </si>
  <si>
    <t>Expenditure:Contracted Services:Outsourced Services:Fire Services</t>
  </si>
  <si>
    <t>Public Safety</t>
  </si>
  <si>
    <t>O0016-2/IE00698/F0041/X112/R1331/001/CORP</t>
  </si>
  <si>
    <t>O0016-2/IE00001/F0041/X112/R1331/001/CORP</t>
  </si>
  <si>
    <t>O0016-2/IE00850/F0041/X112/R1331/001/CORP</t>
  </si>
  <si>
    <t>Expenditure:Contracted Services:Consultants and Professional Services:Infrastructure and Planning:Architectural</t>
  </si>
  <si>
    <t>O1240-2/IE00738/F0041/X045/R1331/001/MM</t>
  </si>
  <si>
    <t>O0022-1/IE00025/F0041/X045/R1331/001/MM</t>
  </si>
  <si>
    <t>Expenditure:Contracted Services:Outsourced Services:Business and Advisory:Research and Advisory</t>
  </si>
  <si>
    <t>O1305-2/IE00694/F0041/X045/R1331/001/MM</t>
  </si>
  <si>
    <t>O1244-10/IE00571/F0041/X020/R1331/001/COMM</t>
  </si>
  <si>
    <t>O1244-10/IE00703/F0041/X020/R1331/001/COMM</t>
  </si>
  <si>
    <t>O0001/IE00583/F0041/X046/R1330/001/CORP</t>
  </si>
  <si>
    <t>O0001/IE00534/F0041/X046/R1330/001/CORP</t>
  </si>
  <si>
    <t>O0001/IE00559/F0041/X046/R1330/001/CORP</t>
  </si>
  <si>
    <t>Expenditure:Operational Cost:Courier and Delivery Services</t>
  </si>
  <si>
    <t>O0001/IE00655/F0041/X046/R1330/001/CORP</t>
  </si>
  <si>
    <t>Expenditure:Contracted Services:Contractors:Pest Control and Fumigation</t>
  </si>
  <si>
    <t>O0001/IE00543/F0041/X046/R1330/001/CORP</t>
  </si>
  <si>
    <t>Expenditure:Operating Leases:Land</t>
  </si>
  <si>
    <t>O1244-10/IE00754/F0041/X020/R1331/001/COMM</t>
  </si>
  <si>
    <t>O1244-10/IE00677/F0041/X020/R1331/001/COMM</t>
  </si>
  <si>
    <t>O0001/IE00678/F0041/X046/R1330/001/CORP</t>
  </si>
  <si>
    <t>Expenditure:Contracted Services:Outsourced Services:Cleaning Services</t>
  </si>
  <si>
    <t>O1342-1/IE00834/F0041/X045/R1331/001/MM</t>
  </si>
  <si>
    <t>O1243-3/IE00677/F0041/X028/R1331/001/COMM</t>
  </si>
  <si>
    <t>O1243-3/IE00703/F0041/X028/R1331/001/COMM</t>
  </si>
  <si>
    <t>O1297-1/IE00571/F0041/X046/R1331/001/CORP</t>
  </si>
  <si>
    <t>O1336-2/IE00694/F0041/X052/R1331/001/CORP</t>
  </si>
  <si>
    <t>O1245-1/IE00703/F0041/X028/R1331/001/COMM</t>
  </si>
  <si>
    <t>O1245-3/IE00703/F0041/X028/R1331/001/COMM</t>
  </si>
  <si>
    <t>O1245-3/IE00677/F0041/X028/R1331/001/COMM</t>
  </si>
  <si>
    <t>O1245-3/IE00640/F0041/X028/R1331/001/COMM</t>
  </si>
  <si>
    <t>O1245-3/IE00060/F0041/X028/R1331/001/COMM</t>
  </si>
  <si>
    <t>O1252-1/IE00703/F0041/X028/R1331/001/COMM</t>
  </si>
  <si>
    <t>O1244-8/IE00571/F0041/X028/R1331/001/COMM</t>
  </si>
  <si>
    <t>O0007-1/IE00677/F0041/X028/R1331/001/COMM</t>
  </si>
  <si>
    <t>O0007-1/IE00703/F0041/X028/R1331/001/COMM</t>
  </si>
  <si>
    <t>O0007-1/IE00571/F0041/X028/R1331/001/COMM</t>
  </si>
  <si>
    <t>O1243-4/IE00703/F0041/X028/R1331/001/COMM</t>
  </si>
  <si>
    <t>O1243-4/IE00677/F0041/X028/R1331/001/COMM</t>
  </si>
  <si>
    <t>O1243-4/IE00571/F0041/X028/R1331/001/COMM</t>
  </si>
  <si>
    <t>O1243-4/IE00534/F0041/X028/R1331/001/COMM</t>
  </si>
  <si>
    <t>O1246-3/IE00844/F0041/X045/R1331/001/MM</t>
  </si>
  <si>
    <t>O1304-2/IE00677/F0041/X098/R1331/001/COMM</t>
  </si>
  <si>
    <t>O0001/IE00584/F0041/X045/R1331/001/MM</t>
  </si>
  <si>
    <t>O0001/IE00583/F0041/X046/R1331/001/LIC</t>
  </si>
  <si>
    <t>O1232-4/IE00059/F0041/X045/R1331/001/MM</t>
  </si>
  <si>
    <t>O0001/IE00143/F0041/X045/R1331/001/MM</t>
  </si>
  <si>
    <t>O0001/IE01581/F0041/X045/R1331/001/MM</t>
  </si>
  <si>
    <t>O0001/IE00060/F0041/X045/R1331/001/MM</t>
  </si>
  <si>
    <t>O1293-3/IE00549/F0041/X045/R1331/001/MM</t>
  </si>
  <si>
    <t>O1263-1/IE00694/F0041/X019/R1331/001/COMM</t>
  </si>
  <si>
    <t>O3616/IR00992/F0930/X132/R1331/001/COMM</t>
  </si>
  <si>
    <t>O1236-2/IE00703/F0041/X045/R1331/001/MM</t>
  </si>
  <si>
    <t>O1236-2/IE00677/F0041/X045/R1331/001/MM</t>
  </si>
  <si>
    <t>O1241-1/IE00573/F0041/X028/R1331/001/COMM</t>
  </si>
  <si>
    <t>O1255-1/IE00143/F13636/X024/R1331/001/LIBR</t>
  </si>
  <si>
    <t>O1255-1/IE00144/F13636/X024/R1331/001/LIBR</t>
  </si>
  <si>
    <t>O1255-1/IE00549/F13636/X024/R1331/001/LIBR</t>
  </si>
  <si>
    <t>O1255-2/IE00143/F13636/X024/R1331/001/LIBR</t>
  </si>
  <si>
    <t>O1255-2/IE00550/F13636/X024/R1331/001/LIBR</t>
  </si>
  <si>
    <t>O1255-2/IE00754/F13636/X024/R1331/001/LIBR</t>
  </si>
  <si>
    <t>O1255-2/IE00144/F13636/X024/R1331/001/LIBR</t>
  </si>
  <si>
    <t>O0024-1/IE00578/F0041/X101/R1331/001/TECH</t>
  </si>
  <si>
    <t>O1255-3/IE00677/F13636/X024/R1331/001/LIBR</t>
  </si>
  <si>
    <t>O1255-4/IE00583/F13636/X024/R1331/001/LIBR</t>
  </si>
  <si>
    <t>O1255-5/IE00583/F13636/X024/R1331/001/LIBR</t>
  </si>
  <si>
    <t>O1255-6/IE00583/F13636/X024/R1331/001/LIBR</t>
  </si>
  <si>
    <t>O0001/IE00063/F0041/X101/R1331/001/TECH</t>
  </si>
  <si>
    <t>O0001/IE00061/F0041/X049/R1331/001/TECH</t>
  </si>
  <si>
    <t>O1255-7/IE00703/F13636/X024/R1331/001/LIBR</t>
  </si>
  <si>
    <t>O1255-7/IE00583/F13636/X024/R1331/001/LIBR</t>
  </si>
  <si>
    <t>O0001/IE00023/F0041/X101/R1331/001/TECH</t>
  </si>
  <si>
    <t>Expenditure:Contracted Services:Outsourced Services:Business and Advisory:Qualification Verification</t>
  </si>
  <si>
    <t>O1255-8/IE00583/F13636/X024/R1331/001/LIBR</t>
  </si>
  <si>
    <t>O1255-8/IE00550/F13636/X024/R1331/001/LIBR</t>
  </si>
  <si>
    <t>O1255-8/IE00751/F13636/X024/R1331/001/LIBR</t>
  </si>
  <si>
    <t>O2774-2/IE00649/F0041/X108/R1331/001/TECH</t>
  </si>
  <si>
    <t>Fencing and Fences</t>
  </si>
  <si>
    <t>C0007-2/IA01327/F0002/X116/R1331/001/COMM</t>
  </si>
  <si>
    <t>C0311-1/IA00092/F0002/X116/R1330/001/TECH</t>
  </si>
  <si>
    <t>C0352-1/IA01952/F0002/X046/R1331/001/CORP</t>
  </si>
  <si>
    <t>C0018-1/IA01952/F0786/X035/R1331/001/TECH</t>
  </si>
  <si>
    <t>O0001/IE00609/F0041/X045/R1330/001/MM</t>
  </si>
  <si>
    <t>O0001/IE00609/F0041/X116/R1330/001/TECH</t>
  </si>
  <si>
    <t>O0001/IE00609/F0041/X051/R1331/001/CORP</t>
  </si>
  <si>
    <t>O0001/IE00738/F0041/X091/R1331/001/CORP</t>
  </si>
  <si>
    <t>O0029-1/IE00793/F0041/X052/R1331/001/CORP</t>
  </si>
  <si>
    <t>O0828-2/IE00631/F0041/X051/R1331/001/CORP</t>
  </si>
  <si>
    <t>Expenditure:Contracted Services:Contractors:Building</t>
  </si>
  <si>
    <t>O0001/IE00609/F0041/X006/R1330/001/COMM</t>
  </si>
  <si>
    <t>O0001/IE06917/F0041/X046/R1331/001/CORP</t>
  </si>
  <si>
    <t>Expenditure:Employee Related Cost:Senior Management:Designation:Salaries and Allowances:Allowance:Travel or Motor Vehicle</t>
  </si>
  <si>
    <t>C0004-4/IA06233/F0002/X046/R1331/001/CORP</t>
  </si>
  <si>
    <t>O0001/IE00140/F0041/X045/R1330/001/MM</t>
  </si>
  <si>
    <t>Expenditure:Employee Related Cost:Senior Management:Municipal Manager (MM):Social Contributions:Unemployment Insurance</t>
  </si>
  <si>
    <t>C0230-5/IA01952/F0002/X016/R1814/001/TECH</t>
  </si>
  <si>
    <t>D0001/IL00747/F0001/X051/R1330/001/CORP</t>
  </si>
  <si>
    <t>Liabilities:Current Liabilities:Provision and Impairment:Leave:Increases</t>
  </si>
  <si>
    <t xml:space="preserve"> Provisions</t>
  </si>
  <si>
    <t>D0001/IL00852/F0001/X051/R1330/001/CORP</t>
  </si>
  <si>
    <t>Liabilities:Non-current Liabilities:Provision and Impairment:Long-service Awards:Increases</t>
  </si>
  <si>
    <t>C0177-2/IA01952/F0002/X116/R1815/001/TECH</t>
  </si>
  <si>
    <t>O1333-9/IE00754/F0041/X129/R1331/001/COMM</t>
  </si>
  <si>
    <t>O0008-1/IE00634/F0041/X035/R1331/001/TECH</t>
  </si>
  <si>
    <t>Expenditure:Contracted Services:Contractors:Electrical</t>
  </si>
  <si>
    <t>D0001/IL43218/F0001/X049/R1331/001/FIN</t>
  </si>
  <si>
    <t>Liabilities:Current Liabilities:Trade and Other Payable Exchange Transactions:Advance Payments:Opening Balance</t>
  </si>
  <si>
    <t>D0001/IL53976/F0001/X049/R1331/001/FIN</t>
  </si>
  <si>
    <t>Liabilities:Current Liabilities:Trade and Other Payable Exchange Transactions:Advance Payments:Withdrawals</t>
  </si>
  <si>
    <t>D0001/IL53975/F0001/X049/R1331/001/FIN</t>
  </si>
  <si>
    <t>Liabilities:Current Liabilities:Trade and Other Payable Exchange Transactions:Advance Payments:Deposits</t>
  </si>
  <si>
    <t>D0001/IA10275/F0001/X049/R1331/001/FIN</t>
  </si>
  <si>
    <t>Assets:Current Assets:Receivables from Non-exchange Transactions:Accrued Income:Recognised</t>
  </si>
  <si>
    <t>D0001/IA10276/F0001/X049/R1331/001/FIN</t>
  </si>
  <si>
    <t>Assets:Current Assets:Receivables from Non-exchange Transactions:Accrued Income:Reversal</t>
  </si>
  <si>
    <t>D0001/IA10274/F0001/X049/R1331/001/FIN</t>
  </si>
  <si>
    <t>Assets:Current Assets:Receivables from Non-exchange Transactions:Accrued Income:Opening Balance</t>
  </si>
  <si>
    <t>D0001/IA10275/F2496/X049/R1331/001/FIN</t>
  </si>
  <si>
    <t>D0001/IL53975/F2496/X049/R1331/001/FIN</t>
  </si>
  <si>
    <t>O1278-2/IE00045/F1169/X006/R1331/001/COMM</t>
  </si>
  <si>
    <t>O1278-2/IE00040/F1169/X006/R1331/001/COMM</t>
  </si>
  <si>
    <t>O1278-2/IE00595/F1169/X006/R1331/001/COMM</t>
  </si>
  <si>
    <t>O1278-2/IE00582/F1169/X006/R1331/001/COMM</t>
  </si>
  <si>
    <t>Expenditure:Operational Cost:Personnel Agency Fees [Personnel Recruitment Costs]</t>
  </si>
  <si>
    <t>C0230-7/IA01952/F0002/X016/R1814/001/TECH</t>
  </si>
  <si>
    <t>C0230-8/IA01952/F0002/X006/R1331/001/TECH</t>
  </si>
  <si>
    <t>C0177-5/IA01952/F0002/X116/R1817/001/TECH</t>
  </si>
  <si>
    <t>C0230-9/IA01952/F0002/X006/R1815/001/TECH</t>
  </si>
  <si>
    <t>O1108-1/IR006971/F13650/X129/R1812/001/TECH</t>
  </si>
  <si>
    <t>Revenue:Non-exchange Revenue:Transfers and Subsidies:Operational:Monetary Allocations:Provincial Government:KwaZulu-Natal:Infrastructure:Specify (Add grant description)</t>
  </si>
  <si>
    <t>O0022-2/IE00694/F0041/X098/R1331/001/MM</t>
  </si>
  <si>
    <t>O1278-2/IE00036/F0041/X132/R1331/001/COMM</t>
  </si>
  <si>
    <t>O1244-12/IE00534/F0041/X044/R1331/001/EXEC</t>
  </si>
  <si>
    <t>O1219-1/IE00754/F0041/X076/R1331/001/COMM</t>
  </si>
  <si>
    <t>O1333-5/IE00677/F0041/X129/R1331/001/COMM</t>
  </si>
  <si>
    <t>O1333-5/IE00694/F0041/X129/R1331/001/COMM</t>
  </si>
  <si>
    <t>O1333-6/IE00549/F0041/X129/R1331/001/COMM</t>
  </si>
  <si>
    <t>O0013-1/IE00572/F0041/X028/R1331/001/COMM</t>
  </si>
  <si>
    <t>O0013-1/IE00060/F0041/X028/R1331/001/COMM</t>
  </si>
  <si>
    <t>O0013-1/IE00694/F0041/X028/R1331/001/COMM</t>
  </si>
  <si>
    <t>O0013-1/IE00534/F0041/X028/R1331/001/COMM</t>
  </si>
  <si>
    <t>O1244-9/IE00703/F0041/X025/R1331/001/COMM</t>
  </si>
  <si>
    <t>O1244-9/IE00677/F0041/X025/R1331/001/COMM</t>
  </si>
  <si>
    <t>O1244-9/IE00694/F0041/X025/R1331/001/COMM</t>
  </si>
  <si>
    <t>O1244-9/IE00571/F0041/X025/R1331/001/COMM</t>
  </si>
  <si>
    <t>O0001/IE00607/F0041/X129/R1331/001/COMM</t>
  </si>
  <si>
    <t>O0001/IE00602/F0041/X129/R1331/001/COMM</t>
  </si>
  <si>
    <t>O1243-5/IE00534/F0041/X012/R1331/001/COMM</t>
  </si>
  <si>
    <t>O1245-1/IE00677/F0041/X028/R1331/001/COMM</t>
  </si>
  <si>
    <t>O1245-1/IE00534/F0041/X028/R1331/001/COMM</t>
  </si>
  <si>
    <t>O1252-1/IE00677/F0041/X028/R1331/001/COMM</t>
  </si>
  <si>
    <t>O1252-1/IE00694/F0041/X028/R1331/001/COMM</t>
  </si>
  <si>
    <t>O1252-1/IE00677/F0041/X028/R1812/001/COMM</t>
  </si>
  <si>
    <t>O1244-1/IE00703/F0041/X021/R1331/001/COMM</t>
  </si>
  <si>
    <t>O0001/IE00060/F0041/X021/R1331/001/COMM</t>
  </si>
  <si>
    <t>O1244-4/IE00534/F0041/X018/R1331/001/COMM</t>
  </si>
  <si>
    <t>O1305-3/IE00534/F0041/X098/R1331/001/COMM</t>
  </si>
  <si>
    <t>O1444-6/IE00694/F0041/X028/R1331/001/COMM</t>
  </si>
  <si>
    <t>O1444-6/IE00703/F0041/X028/R1331/001/COMM</t>
  </si>
  <si>
    <t>O1444-6/IE00677/F0041/X028/R1331/001/COMM</t>
  </si>
  <si>
    <t>O1444-6/IE00534/F0041/X028/R1331/001/COMM</t>
  </si>
  <si>
    <t>O1444-6/IE00060/F0041/X028/R1331/001/COMM</t>
  </si>
  <si>
    <t>O1588-1/IE00534/F0041/X028/R1331/001/COMM</t>
  </si>
  <si>
    <t>O0001/IE00609/F0041/X091/R1331/001/LIC</t>
  </si>
  <si>
    <t>C0230-10/IA01952/F0791/X016/R1814/001/TECH</t>
  </si>
  <si>
    <t>O1245-1/IE00534/F0041/X028/R1812/001/COMM</t>
  </si>
  <si>
    <t>D0001/IR006973/F13637/X024/R1331/001/LIBR</t>
  </si>
  <si>
    <t>O0001/IE00598/F0041/X091/R1331/001/LIC</t>
  </si>
  <si>
    <t>Expenditure:Operational Cost:Storage of Files (Archiving)</t>
  </si>
  <si>
    <t>C0002-1/IA02842/F0041/X047/R1331/001/COMM</t>
  </si>
  <si>
    <t>Assets:Non-current Assets:Heritage Assets:Cost Model:Historic Buildings:Areas of Land of Historic Specific Significance Cost:Acquisitions</t>
  </si>
  <si>
    <t xml:space="preserve"> Other -current assets</t>
  </si>
  <si>
    <t>Other -current assets</t>
  </si>
  <si>
    <t>C0002-1/IA03762/F0041/X047/R1331/001/COMM</t>
  </si>
  <si>
    <t>Assets:Non-current Assets:Biological Assets:Cost:Consumable:Immature:Dairy Cattle:Acquisitions</t>
  </si>
  <si>
    <t xml:space="preserve"> Biological</t>
  </si>
  <si>
    <t>O0763-1/IE00666/F13637/X099/R1331/001/TECH</t>
  </si>
  <si>
    <t>O1246-4/IE00036/F0041/X046/R1330/001/CORP</t>
  </si>
  <si>
    <t>D0001/IA06319/F0001/X047/R1331/001/FIN</t>
  </si>
  <si>
    <t>Assets:Non-current Assets:Property, Plant and Equipment:Cost Model:Machinery and Equipment:In-use:Cost:Opening Balance</t>
  </si>
  <si>
    <t>D0001/IA06305/F0001/X047/R1331/001/FIN</t>
  </si>
  <si>
    <t>Assets:Non-current Assets:Property, Plant and Equipment:Cost Model:Machinery and Equipment:In-use:Accumulated Depreciation:Opening Balance</t>
  </si>
  <si>
    <t>D0001/IA06245/F0001/X047/R1331/001/FIN</t>
  </si>
  <si>
    <t>Assets:Non-current Assets:Property, Plant and Equipment:Cost Model:Furniture and Office Equipment:In-use:Accumulated Depreciation:Opening Balance</t>
  </si>
  <si>
    <t>C0072-1/IA01373/F0001/X047/R1331/001/FIN</t>
  </si>
  <si>
    <t>Assets:Non-current Assets:Property, Plant and Equipment:Cost Model:Transport Assets:Owned and In-use:Cost:Opening Balance</t>
  </si>
  <si>
    <t>C0069-1/IA06259/F0001/X047/R1331/001/FIN</t>
  </si>
  <si>
    <t>Assets:Non-current Assets:Property, Plant and Equipment:Cost Model:Furniture and Office Equipment:In-use:Cost:Opening Balance</t>
  </si>
  <si>
    <t>D0001/IA01359/F0001/X047/R1331/001/FIN</t>
  </si>
  <si>
    <t>Assets:Non-current Assets:Property, Plant and Equipment:Cost Model:Transport Assets:Owned and In-use:Accumulated Depreciation:Opening Balance</t>
  </si>
  <si>
    <t>D0001/IA00124/F0001/X047/R1331/001/FIN</t>
  </si>
  <si>
    <t>Assets:Non-current Assets:Property, Plant and Equipment:Cost Model:Roads Infrastructure:Accumulated Depreciation:Opening Balance</t>
  </si>
  <si>
    <t>C0120-3/IA00138/F0001/X047/R1331/001/FIN</t>
  </si>
  <si>
    <t>Assets:Non-current Assets:Property, Plant and Equipment:Cost Model:Roads Infrastructure:Cost:Opening Balance</t>
  </si>
  <si>
    <t>C0068-1/IA06199/F0001/X047/R1331/001/FIN</t>
  </si>
  <si>
    <t>Assets:Non-current Assets:Property, Plant and Equipment:Cost Model:Computer Equipment:In-use:Cost:Opening Balance</t>
  </si>
  <si>
    <t>D0001/IA06185/F0001/X047/R1331/001/FIN</t>
  </si>
  <si>
    <t>Assets:Non-current Assets:Property, Plant and Equipment:Cost Model:Computer Equipment:In-use:Accumulated Depreciation:Opening Balance</t>
  </si>
  <si>
    <t>C0276-1/IA00038/F0001/X047/R1331/001/FIN</t>
  </si>
  <si>
    <t>Assets:Non-current Assets:Property, Plant and Equipment:Cost Model:Community Assets:Cost:Opening Balance</t>
  </si>
  <si>
    <t>D0001/IA00024/F0001/X047/R1331/001/FIN</t>
  </si>
  <si>
    <t>Assets:Non-current Assets:Property, Plant and Equipment:Cost Model:Community Assets:Accumulated Depreciation:Opening Balance</t>
  </si>
  <si>
    <t>C0306-1/IA00098/F0001/X047/R1331/001/FIN</t>
  </si>
  <si>
    <t>Assets:Non-current Assets:Property, Plant and Equipment:Cost Model:Other Assets:Cost:Opening Balance</t>
  </si>
  <si>
    <t>D0001/IA00084/F0001/X047/R1331/001/FIN</t>
  </si>
  <si>
    <t>Assets:Non-current Assets:Property, Plant and Equipment:Cost Model:Other Assets:Accumulated Depreciation:Opening Balance</t>
  </si>
  <si>
    <t>C0358-2/IA01958/F0001/X047/R1331/001/FIN</t>
  </si>
  <si>
    <t>Assets:Non-current Assets:Investment Property:Cost Model:Opening Balance</t>
  </si>
  <si>
    <t>D0001/IA02438/F0001/X047/R1331/001/FIN</t>
  </si>
  <si>
    <t>Assets:Non-current Assets:Construction Work-in-progress:Opening Balance</t>
  </si>
  <si>
    <t>C0001-1/IA01313/F0001/X047/R1331/001/FIN</t>
  </si>
  <si>
    <t>Assets:Non-current Assets:Property, Plant and Equipment:Cost Model:Land:General Plant:Owned and In-use:Cost:Opening Balance</t>
  </si>
  <si>
    <t>C0230-11/IA01952/F0791/X016/R1818/001/TECH</t>
  </si>
  <si>
    <t>C0007-3/IA01327/F0002/X116/R1331/001/TECH</t>
  </si>
  <si>
    <t>C0006-2/IA06282/F0002/X116/R1331/001/TECH</t>
  </si>
  <si>
    <t>D0001/IL093085/F13636/X024/R1331/001/LIBR</t>
  </si>
  <si>
    <t>D0001/IL093084/F13650/X125/R1331/001/COMM</t>
  </si>
  <si>
    <t>D0001/IL093086/F13650/X125/R1331/001/COMM</t>
  </si>
  <si>
    <t>D0001/IL093083/F13650/X116/R1331/001/COMM</t>
  </si>
  <si>
    <t>Liabilities:Current Liabilities:Trade and Other Payable Non-exchange Transactions:Transfers and Subsidies Unspent:Operational:Monetary Allocations:Provincial Government:KwaZulu-Natal:Capacity Building and Other:Specify (Add grant description):Opening Balance</t>
  </si>
  <si>
    <t>D0001/IR006971/F13650/X125/R1330/001/COMM</t>
  </si>
  <si>
    <t>D0001/IR01422/F0045/X049/R1330/001/FIN</t>
  </si>
  <si>
    <t>Revenue:Exchange Revenue:Operational Revenue:Recovery Maintenance</t>
  </si>
  <si>
    <t>D0001/IL54014/F0001/X049/R1330/001/FIN</t>
  </si>
  <si>
    <t>Liabilities:Current Liabilities:Trade and Other Payable Exchange Transactions:Control, Clearing and Interface Accounts:Salary Clearing and Control:Employee Deductions FICS:Withdrawals</t>
  </si>
  <si>
    <t>D0001/IL54013/F0001/X049/R1330/001/FIN</t>
  </si>
  <si>
    <t>Liabilities:Current Liabilities:Trade and Other Payable Exchange Transactions:Control, Clearing and Interface Accounts:Salary Clearing and Control:Employee Deductions FICS:Deposits</t>
  </si>
  <si>
    <t>D0001/IL54007/F0001/X049/R1331/001/EXEC</t>
  </si>
  <si>
    <t>Liabilities:Current Liabilities:Trade and Other Payable Exchange Transactions:Control, Clearing and Interface Accounts:Salary Clearing and Control:Group Life Control:Deposits</t>
  </si>
  <si>
    <t>O0008-3/IE00566/F0041/X035/R1817/001/TECH</t>
  </si>
  <si>
    <t>Expenditure:Operational Cost:Eskom Connection Fees</t>
  </si>
  <si>
    <t>O1359-1/IE00694/F0041/X044/R1331/001/EXEC</t>
  </si>
  <si>
    <t>C0261-1/IA00092/F0002/X049/R1330/001/CORP</t>
  </si>
  <si>
    <t>D0001/IA09572/F0001/X049/R1330/001/FIN</t>
  </si>
  <si>
    <t>D0001/IA09572/F0001/X049/R1331/001/FIN</t>
  </si>
  <si>
    <t>D0001/IA10181/F0001/X049/R1330/001/FIN</t>
  </si>
  <si>
    <t>Assets:Current Assets:Cash and Cash Equivalents:Call Deposits and Investments:Short Term portion of Investments:Deposit Taking Institutions:Opening Balance</t>
  </si>
  <si>
    <t>O0001/IE00723/F0041/X047/R1331/001/FIN</t>
  </si>
  <si>
    <t>Expenditure:Depreciation and Amortisation:Depreciation:Transport Assets</t>
  </si>
  <si>
    <t>O0001/IE00030/F0041/X047/R1331/001/FIN</t>
  </si>
  <si>
    <t>Expenditure:Depreciation and Amortisation:Amortisation:Intangible Assets:Licences and Rights:Computer Software and Applications</t>
  </si>
  <si>
    <t>7eb20c30-ee1f-475f-a757-8801dc77ab2d</t>
  </si>
  <si>
    <t>C0292-2/IA00082/F0048/X047/R1331/001/FIN</t>
  </si>
  <si>
    <t>O1359-1/IE00677/F0041/X045/R1331/001/EXEC</t>
  </si>
  <si>
    <t>O1359-1/IE00813/F0041/X045/R1331/001/EXEC</t>
  </si>
  <si>
    <t>Expenditure:Operational Cost:Transport Provided as Part of Departmental Activities:Municipal Activities</t>
  </si>
  <si>
    <t>O0001/IE00792/F0041/X052/R1812/001/CORP</t>
  </si>
  <si>
    <t>O2391-1/IE00649/F0041/X116/R1331/001/TECH</t>
  </si>
  <si>
    <t>D0001/IA10384/F2496/X049/R1331/001/FIN</t>
  </si>
  <si>
    <t>Assets:Current Assets:Deposits:Deposits</t>
  </si>
  <si>
    <t>D0001/IA10384/F0930/X006/R1331/001/COMM</t>
  </si>
  <si>
    <t>D0001/IA02102/F2495/X049/R1331/001/FIN</t>
  </si>
  <si>
    <t>Assets:Current Assets:Cash and Cash Equivalents:Call Deposits and Investments:Special Deposit for the Payment of Interest:Specify (replace with account description):Withdrawals</t>
  </si>
  <si>
    <t>0170W</t>
  </si>
  <si>
    <t>D0001/IA02101/F2495/X049/R1331/001/FIN</t>
  </si>
  <si>
    <t>Assets:Current Assets:Cash and Cash Equivalents:Call Deposits and Investments:Special Deposit for the Payment of Interest:Specify (replace with account description):Opening Balance</t>
  </si>
  <si>
    <t>0170D</t>
  </si>
  <si>
    <t>D0001/IA02099/F2495/X049/R1331/001/FIN</t>
  </si>
  <si>
    <t>D0001/IA02097/F2495/X049/R1331/001/FIN</t>
  </si>
  <si>
    <t>Assets:Current Assets:Cash and Cash Equivalents:Call Deposits and Investments:Special Deposit for the Payment of Interest:Specify (replace with account description):Charges</t>
  </si>
  <si>
    <t>D0001/IA09676/F2495/X049/R1331/001/FIN</t>
  </si>
  <si>
    <t>Assets:Current Assets:Cash and Cash Equivalents:Cash at Bank:Bank Account:Specify (replace with account description):Interest Earned</t>
  </si>
  <si>
    <t>D0001/IA09572/F1169/X049/R1331/001/FIN</t>
  </si>
  <si>
    <t>D0001/IA09572/F1177/X049/R1331/001/FIN</t>
  </si>
  <si>
    <t>D0001/IA09572/F1182/X049/R1331/001/FIN</t>
  </si>
  <si>
    <t>D0001/IA09800/F1177/X049/R1331/001/FIN</t>
  </si>
  <si>
    <t>Assets:Current Assets:Cash and Cash Equivalents:Cash at Bank:Bank Account:Specify (replace with account description):Withdrawals</t>
  </si>
  <si>
    <t>W</t>
  </si>
  <si>
    <t>D0001/IA09800/F13650/X049/R1331/001/FIN</t>
  </si>
  <si>
    <t>D0001/IA09800/F1169/X049/R1331/001/FIN</t>
  </si>
  <si>
    <t>D0001/IA09800/F1182/X049/R1331/001/FIN</t>
  </si>
  <si>
    <t>D0001/IA09800/F13530/X049/R1331/001/FIN</t>
  </si>
  <si>
    <t>D0001/IA09572/F13650/X049/R1331/001/FIN</t>
  </si>
  <si>
    <t>D0001/IA09572/F13530/X049/R1331/001/FIN</t>
  </si>
  <si>
    <t>C0086-3/IA00758/F0002/X049/R1331/001/FIN</t>
  </si>
  <si>
    <t>Assets:Non-current Assets:Intangible Assets:Cost:Internally Generated:In-use:Computer Software:Acquisitions</t>
  </si>
  <si>
    <t>C0040-2/IA01952/F0002/X116/R1331/001/TECH</t>
  </si>
  <si>
    <t>O0001/IE01533/F0041/X049/R1330/001/FIN</t>
  </si>
  <si>
    <t>O0001/IE06922/F0041/X116/R1330/001/TECH</t>
  </si>
  <si>
    <t>O0001/IE01533/F0041/X044/R1330/001/EXEC</t>
  </si>
  <si>
    <t>O1766-1/IE00571/F0041/X116/R1331/001/TECH</t>
  </si>
  <si>
    <t>O1359-1/IE00703/F0041/X044/R1331/001/EXEC</t>
  </si>
  <si>
    <t>C0040-1/IA00132/F0791/X116/R1816/001/TECH</t>
  </si>
  <si>
    <t>C0040-1/IA00122/F0791/X116/R1816/001/TECH</t>
  </si>
  <si>
    <t>O2734-1/IE00679/F0041/X045/R1331/001/MM</t>
  </si>
  <si>
    <t>Expenditure:Contracted Services:Outsourced Services:Clearing and Grass Cutting Services</t>
  </si>
  <si>
    <t>O0001/IE00534/F0041/X045/R1331/001/MM</t>
  </si>
  <si>
    <t>O1264-2/IE00534/F1180/X019/R1331/001/COMM</t>
  </si>
  <si>
    <t>O1264-2/IE00738/F1180/X019/R1331/001/COMM</t>
  </si>
  <si>
    <t>D0001/IA09973/F0791/X049/R1330/001/FIN</t>
  </si>
  <si>
    <t>Assets:Current Assets:Cash and Cash Equivalents:Cash at Bank:Bank Account:Specify (replace with account description):Opening Balance</t>
  </si>
  <si>
    <t>D0001/IA09806/F0791/X049/R1330/001/FIN</t>
  </si>
  <si>
    <t>0160W</t>
  </si>
  <si>
    <t>Government - capital</t>
  </si>
  <si>
    <t>D0001/IA09401/F0791/X049/R1330/001/FIN</t>
  </si>
  <si>
    <t>Assets:Current Assets:Cash and Cash Equivalents:Cash at Bank:Bank Account:Specify (replace with account description):Charges</t>
  </si>
  <si>
    <t>D0001/IA09729/F0791/X049/R1330/001/FIN</t>
  </si>
  <si>
    <t>0160I</t>
  </si>
  <si>
    <t>D0001/IA09588/F0791/X049/R1330/001/FIN</t>
  </si>
  <si>
    <t xml:space="preserve">Transfers - National, Provincial, District Municipalities </t>
  </si>
  <si>
    <t>D0001/IA09566/F1177/X049/R1330/001/FIN</t>
  </si>
  <si>
    <t>D0001/IA09764/F1177/X049/R1330/001/FIN</t>
  </si>
  <si>
    <t>D0001/IA09421/F1177/X049/R1330/001/FIN</t>
  </si>
  <si>
    <t>D0001/IA09667/F1177/X049/R1330/001/FIN</t>
  </si>
  <si>
    <t>0150I</t>
  </si>
  <si>
    <t>D0001/IA09975/F1177/X049/R1330/001/FIN</t>
  </si>
  <si>
    <t>D0001/IA09621/F1169/X049/R1330/001/FIN</t>
  </si>
  <si>
    <t>D0001/IA09977/F1169/X049/R1330/001/FIN</t>
  </si>
  <si>
    <t>D0001/IA09422/F1169/X049/R1330/001/FIN</t>
  </si>
  <si>
    <t>D0001/IA09791/F1169/X049/R1330/001/FIN</t>
  </si>
  <si>
    <t>D0001/IA09600/F1169/X049/R1330/001/FIN</t>
  </si>
  <si>
    <t>D0001/IA09858/F13636/X049/R1330/001/FIN</t>
  </si>
  <si>
    <t>D0001/IA09599/F13636/X049/R1330/001/FIN</t>
  </si>
  <si>
    <t>D0001/IA09984/F13636/X049/R1330/001/FIN</t>
  </si>
  <si>
    <t>D0001/IA09707/F13636/X049/R1330/001/FIN</t>
  </si>
  <si>
    <t>D0001/IA09377/F13636/X049/R1330/001/FIN</t>
  </si>
  <si>
    <t>D0001/IA09980/F2496/X049/R1330/001/FIN</t>
  </si>
  <si>
    <t>D0001/IA09674/F2496/X049/R1330/001/FIN</t>
  </si>
  <si>
    <t>0120I</t>
  </si>
  <si>
    <t>D0001/IA09785/F2496/X049/R1330/001/FIN</t>
  </si>
  <si>
    <t>0120W</t>
  </si>
  <si>
    <t>D0001/IA09384/F2496/X049/R1330/001/FIN</t>
  </si>
  <si>
    <t>D0001/IA09546/F2496/X049/R1330/001/FIN</t>
  </si>
  <si>
    <t>D0001/IA09797/F0930/X049/R1330/001/FIN</t>
  </si>
  <si>
    <t>0130W</t>
  </si>
  <si>
    <t>D0001/IA09705/F0930/X049/R1330/001/FIN</t>
  </si>
  <si>
    <t>0130I</t>
  </si>
  <si>
    <t>D0001/IA09381/F0930/X049/R1330/001/FIN</t>
  </si>
  <si>
    <t>D0001/IA09579/F0930/X049/R1330/001/FIN</t>
  </si>
  <si>
    <t>D0001/IA09982/F0930/X049/R1330/001/FIN</t>
  </si>
  <si>
    <t>D0001/IR02321/F0929/X019/R1331/001/COMM</t>
  </si>
  <si>
    <t>Revenue:Non-exchange Revenue:Transfers and Subsidies:Operational:Monetary Allocations:National Governments:Municipal Disaster Relief Grant</t>
  </si>
  <si>
    <t>D0001/IA09377/F1180/X019/R1330/001/COMM</t>
  </si>
  <si>
    <t>D0001/IA09707/F1180/X019/R1330/001/COMM</t>
  </si>
  <si>
    <t>D0001/IA09599/F1180/X019/R1330/001/COMM</t>
  </si>
  <si>
    <t>D0001/IA09858/F1180/X019/R1330/001/COMM</t>
  </si>
  <si>
    <t>D0001/IA09984/F1180/X019/R1330/001/COMM</t>
  </si>
  <si>
    <t>O1293-4/IE00534/F0041/X044/R1331/001/EXEC</t>
  </si>
  <si>
    <t>D0001/IL53989/F0001/X049/R1330/001/FIN</t>
  </si>
  <si>
    <t>Liabilities:Current Liabilities:Trade and Other Payable Exchange Transactions:Control, Clearing and Interface Accounts:Salary Clearing and Control:Travel Control:Deposits</t>
  </si>
  <si>
    <t>D0001/IL53739/F0001/X049/R1330/001/FIN</t>
  </si>
  <si>
    <t>Liabilities:Current Liabilities:Trade and Other Payable Exchange Transactions:Compensation Commission (COID):Opening Balance</t>
  </si>
  <si>
    <t>D0001/IL53990/F0001/X049/R1330/001/FIN</t>
  </si>
  <si>
    <t>Liabilities:Current Liabilities:Trade and Other Payable Exchange Transactions:Control, Clearing and Interface Accounts:Salary Clearing and Control:Travel Control:Withdrawals</t>
  </si>
  <si>
    <t>D0001/IL43228/F0001/X049/R1330/001/FIN</t>
  </si>
  <si>
    <t>Liabilities:Current Liabilities:Trade and Other Payable Exchange Transactions:Compensation Commission (COID):Withdrawals</t>
  </si>
  <si>
    <t>D0001/IL53987/F0001/X049/R1330/001/FIN</t>
  </si>
  <si>
    <t>Liabilities:Current Liabilities:Trade and Other Payable Exchange Transactions:Control, Clearing and Interface Accounts:Salary Clearing and Control:Salary Control:Deposits</t>
  </si>
  <si>
    <t>D0001/IL53988/F0001/X049/R1330/001/FIN</t>
  </si>
  <si>
    <t>Liabilities:Current Liabilities:Trade and Other Payable Exchange Transactions:Control, Clearing and Interface Accounts:Salary Clearing and Control:Salary Control:Withdrawals</t>
  </si>
  <si>
    <t>D0001/IL53996/F0001/X049/R1330/001/FIN</t>
  </si>
  <si>
    <t>Liabilities:Current Liabilities:Trade and Other Payable Exchange Transactions:Control, Clearing and Interface Accounts:Salary Clearing and Control:UIF Control:Withdrawals</t>
  </si>
  <si>
    <t>D0001/IL53994/F0001/X049/R1330/001/FIN</t>
  </si>
  <si>
    <t>Liabilities:Current Liabilities:Trade and Other Payable Exchange Transactions:Control, Clearing and Interface Accounts:Salary Clearing and Control:Tax Control:Withdrawals</t>
  </si>
  <si>
    <t>D0001/IL53991/F0001/X049/R1330/001/FIN</t>
  </si>
  <si>
    <t>Liabilities:Current Liabilities:Trade and Other Payable Exchange Transactions:Control, Clearing and Interface Accounts:Salary Clearing and Control:Leave Control:Deposits</t>
  </si>
  <si>
    <t>D0001/IL53993/F0001/X049/R1330/001/FIN</t>
  </si>
  <si>
    <t>Liabilities:Current Liabilities:Trade and Other Payable Exchange Transactions:Control, Clearing and Interface Accounts:Salary Clearing and Control:Tax Control:Deposits</t>
  </si>
  <si>
    <t>D0001/IL53997/F0001/X049/R1330/001/FIN</t>
  </si>
  <si>
    <t>Liabilities:Current Liabilities:Trade and Other Payable Exchange Transactions:Control, Clearing and Interface Accounts:Salary Clearing and Control:Skills Control:Deposits</t>
  </si>
  <si>
    <t>D0001/IL53992/F0001/X049/R1330/001/FIN</t>
  </si>
  <si>
    <t>Liabilities:Current Liabilities:Trade and Other Payable Exchange Transactions:Control, Clearing and Interface Accounts:Salary Clearing and Control:Leave Control:Withdrawals</t>
  </si>
  <si>
    <t>D0001/IL53999/F0001/X049/R1330/001/FIN</t>
  </si>
  <si>
    <t>Liabilities:Current Liabilities:Trade and Other Payable Exchange Transactions:Control, Clearing and Interface Accounts:Salary Clearing and Control:Pension Control:Deposits</t>
  </si>
  <si>
    <t>D0001/IL53998/F0001/X049/R1330/001/FIN</t>
  </si>
  <si>
    <t>Liabilities:Current Liabilities:Trade and Other Payable Exchange Transactions:Control, Clearing and Interface Accounts:Salary Clearing and Control:Skills Control:Withdrawals</t>
  </si>
  <si>
    <t>D0001/IL54007/F0001/X049/R1330/001/FIN</t>
  </si>
  <si>
    <t>D0001/IL54005/F0001/X049/R1330/001/FIN</t>
  </si>
  <si>
    <t>Liabilities:Current Liabilities:Trade and Other Payable Exchange Transactions:Control, Clearing and Interface Accounts:Salary Clearing and Control:Medical Aid Control:Withdrawals</t>
  </si>
  <si>
    <t>D0001/IL54000/F0001/X049/R1330/001/FIN</t>
  </si>
  <si>
    <t>Liabilities:Current Liabilities:Trade and Other Payable Exchange Transactions:Control, Clearing and Interface Accounts:Salary Clearing and Control:Pension Control:Withdrawals</t>
  </si>
  <si>
    <t>D0001/IL54001/F0001/X049/R1330/001/FIN</t>
  </si>
  <si>
    <t>Liabilities:Current Liabilities:Trade and Other Payable Exchange Transactions:Control, Clearing and Interface Accounts:Salary Clearing and Control:Medical Aid Control:Deposits</t>
  </si>
  <si>
    <t>D0001/IL54008/F0001/X049/R1330/001/FIN</t>
  </si>
  <si>
    <t>Liabilities:Current Liabilities:Trade and Other Payable Exchange Transactions:Control, Clearing and Interface Accounts:Salary Clearing and Control:Group Life Control:Withdrawals</t>
  </si>
  <si>
    <t>D0001/IL54011/F0001/X049/R1330/001/FIN</t>
  </si>
  <si>
    <t>Liabilities:Current Liabilities:Trade and Other Payable Exchange Transactions:Control, Clearing and Interface Accounts:Salary Clearing and Control:Unions Control:Withdrawals</t>
  </si>
  <si>
    <t>D0001/IL54009/F0001/X049/R1330/001/FIN</t>
  </si>
  <si>
    <t>Liabilities:Current Liabilities:Trade and Other Payable Exchange Transactions:Control, Clearing and Interface Accounts:Salary Clearing and Control:Unions Control:Opening Balance</t>
  </si>
  <si>
    <t>D0001/IL082104/F0001/X049/R1330/001/FIN</t>
  </si>
  <si>
    <t>Liabilities:Current Liabilities:Trade and Other Payable Exchange Transactions:Control, Clearing and Interface Accounts:Salary Clearing and Control:Employee Net Pay and Bond Payment:Opening Balance</t>
  </si>
  <si>
    <t>D0001/IL082106/F0001/X049/R1330/001/FIN</t>
  </si>
  <si>
    <t>Liabilities:Current Liabilities:Trade and Other Payable Exchange Transactions:Control, Clearing and Interface Accounts:Salary Clearing and Control:Employee Net Pay and Bond Payment:Deposits</t>
  </si>
  <si>
    <t>D0001/IL082105/F0001/X049/R1330/001/FIN</t>
  </si>
  <si>
    <t>Liabilities:Current Liabilities:Trade and Other Payable Exchange Transactions:Control, Clearing and Interface Accounts:Salary Clearing and Control:Garnishee Payments:Opening Balance</t>
  </si>
  <si>
    <t>D0001/IL53900/F0001/X049/R1330/001/FIN</t>
  </si>
  <si>
    <t>Liabilities:Current Liabilities:Trade and Other Payable Exchange Transactions:Control, Clearing and Interface Accounts:Salary Clearing and Control:UIF Control:Opening Balance</t>
  </si>
  <si>
    <t>D0001/IL54041/F0001/X049/R1330/001/FIN</t>
  </si>
  <si>
    <t>Liabilities:Current Liabilities:Trade and Other Payable Exchange Transactions:Compensation Commission (COID):Deposits</t>
  </si>
  <si>
    <t>D0001/IL082108/F0001/X049/R1330/001/FIN</t>
  </si>
  <si>
    <t>Liabilities:Current Liabilities:Trade and Other Payable Exchange Transactions:Control, Clearing and Interface Accounts:Salary Clearing and Control:Garnishee Payments:Deposits</t>
  </si>
  <si>
    <t>D0001/IL082107/F0001/X049/R1330/001/FIN</t>
  </si>
  <si>
    <t>Liabilities:Current Liabilities:Trade and Other Payable Exchange Transactions:Control, Clearing and Interface Accounts:Salary Clearing and Control:Employee Net Pay and Bond Payment:Withdrawals</t>
  </si>
  <si>
    <t>D0001/IL082109/F0001/X049/R1330/001/FIN</t>
  </si>
  <si>
    <t>Liabilities:Current Liabilities:Trade and Other Payable Exchange Transactions:Control, Clearing and Interface Accounts:Salary Clearing and Control:Garnishee Payments:Withdrawals</t>
  </si>
  <si>
    <t>D0001/IA02107/F0046/X049/R1330/001/FIN</t>
  </si>
  <si>
    <t>D0001/IA02106/F0046/X049/R1330/001/FIN</t>
  </si>
  <si>
    <t>0140I</t>
  </si>
  <si>
    <t>D0001/IA02108/F0046/X049/R1330/001/FIN</t>
  </si>
  <si>
    <t>0140W</t>
  </si>
  <si>
    <t>D0001/IA02105/F0046/X049/R1330/001/FIN</t>
  </si>
  <si>
    <t>D0001/IA09630/F2494/X049/R1330/001/FIN</t>
  </si>
  <si>
    <t>D0001/IA09779/F2494/X049/R1330/001/FIN</t>
  </si>
  <si>
    <t>D0001/IA09440/F2494/X049/R1330/001/FIN</t>
  </si>
  <si>
    <t>D0001/IA09779/F2495/X049/R1330/001/FIN</t>
  </si>
  <si>
    <t>D0001/IA09630/F2495/X049/R1330/001/FIN</t>
  </si>
  <si>
    <t>D0001/IA09440/F2495/X049/R1330/001/FIN</t>
  </si>
  <si>
    <t>D0001/IA09979/F2494/X049/R1330/001/FIN</t>
  </si>
  <si>
    <t>D0001/IA09492/F2494/X049/R1330/001/FIN</t>
  </si>
  <si>
    <t>D0001/IA09979/F2495/X049/R1330/001/FIN</t>
  </si>
  <si>
    <t>D0001/IA09492/F2495/X049/R1330/001/FIN</t>
  </si>
  <si>
    <t>D0001/IA09831/F0042/X049/R1330/001/FIN</t>
  </si>
  <si>
    <t>D0001/IA09976/F0042/X049/R1330/001/FIN</t>
  </si>
  <si>
    <t>D0001/IA09434/F0042/X049/R1330/001/FIN</t>
  </si>
  <si>
    <t>D0001/IA09728/F0042/X049/R1330/001/FIN</t>
  </si>
  <si>
    <t>D0001/IA09499/F0042/X049/R1330/001/FIN</t>
  </si>
  <si>
    <t>D0001/IA09976/F0044/X049/R1330/001/FIN</t>
  </si>
  <si>
    <t>D0001/IA09728/F0044/X049/R1330/001/FIN</t>
  </si>
  <si>
    <t>D0001/IA09831/F0044/X049/R1330/001/FIN</t>
  </si>
  <si>
    <t>D0001/IA09499/F0044/X049/R1330/001/FIN</t>
  </si>
  <si>
    <t>D0001/IA09434/F0044/X049/R1330/001/FIN</t>
  </si>
  <si>
    <t>D0001/IA09782/F0041/X049/R1330/001/FIN</t>
  </si>
  <si>
    <t>D0001/IA09362/F0041/X049/R1330/001/FIN</t>
  </si>
  <si>
    <t>D0001/IA09983/F0041/X049/R1330/001/FIN</t>
  </si>
  <si>
    <t>D0001/IA09543/F0041/X049/R1330/001/FIN</t>
  </si>
  <si>
    <t>D0001/IA09636/F0041/X049/R1330/001/FIN</t>
  </si>
  <si>
    <t>D0001/IA09564/F0047/X049/R1330/001/FIN</t>
  </si>
  <si>
    <t>D0001/IR01435/F0047/X049/R1330/001/FIN</t>
  </si>
  <si>
    <t>D0001/IR01113/F0047/X049/R1330/001/FIN</t>
  </si>
  <si>
    <t>D0001/IR01457/F0047/X049/R1330/001/FIN</t>
  </si>
  <si>
    <t>D0001/IA09452/F0047/X049/R1330/001/FIN</t>
  </si>
  <si>
    <t>D0001/IA09653/F0047/X049/R1330/001/FIN</t>
  </si>
  <si>
    <t>D0001/IA09803/F0047/X049/R1330/001/FIN</t>
  </si>
  <si>
    <t>D0001/IA09590/F0047/X049/R1330/001/FIN</t>
  </si>
  <si>
    <t>D0001/IA09978/F0047/X049/R1330/001/FIN</t>
  </si>
  <si>
    <t>C0040-3/IA010610/F0791/X116/R1815/001/TECH</t>
  </si>
  <si>
    <t>Assets:Non-current Assets:Construction Work-in-progress:Transfer to PPE</t>
  </si>
  <si>
    <t>C0040-3/IA02438/F0791/X116/R1815/001/TECH</t>
  </si>
  <si>
    <t>C0040-3/IA010612/F0791/X116/R1815/001/TECH</t>
  </si>
  <si>
    <t>Assets:Non-current Assets:Construction Work-in-progress:Accumulated Impairment</t>
  </si>
  <si>
    <t>C0040-3/IA01952/F0791/X116/R1815/001/TECH</t>
  </si>
  <si>
    <t>C0040-4/IA010610/F0791/X116/R1813/001/TECH</t>
  </si>
  <si>
    <t>C0040-4/IA01952/F0791/X116/R1813/001/TECH</t>
  </si>
  <si>
    <t>C0040-4/IA02438/F0791/X116/R1813/001/TECH</t>
  </si>
  <si>
    <t>C0040-4/IA010612/F0791/X116/R1813/001/TECH</t>
  </si>
  <si>
    <t>C0230-12/IA02438/F0791/X116/R1815/001/TECH</t>
  </si>
  <si>
    <t>C0230-12/IA010612/F0791/X116/R1815/001/TECH</t>
  </si>
  <si>
    <t>C0230-12/IA01952/F0791/X116/R1815/001/TECH</t>
  </si>
  <si>
    <t>C0230-12/IA010610/F0791/X116/R1815/001/TECH</t>
  </si>
  <si>
    <t>C0230-13/IA01952/F0791/X016/R1816/001/TECH</t>
  </si>
  <si>
    <t>C0230-13/IA010610/F0791/X016/R1816/001/TECH</t>
  </si>
  <si>
    <t>C0230-13/IA02438/F0791/X016/R1816/001/TECH</t>
  </si>
  <si>
    <t>C0230-13/IA010612/F0791/X016/R1816/001/TECH</t>
  </si>
  <si>
    <t>D0001/IL53985/F0001/X049/R1330/001/FIN</t>
  </si>
  <si>
    <t>Liabilities:Current Liabilities:Trade and Other Payable Exchange Transactions:Retentions:Deposits</t>
  </si>
  <si>
    <t>D0001/IL53820/F0041/X049/R1330/001/FIN</t>
  </si>
  <si>
    <t>Liabilities:Current Liabilities:Trade and Other Payable Exchange Transactions:Payables and Accruals : General:Deposits</t>
  </si>
  <si>
    <t>D0001/IL53986/F0001/X049/R1330/001/FIN</t>
  </si>
  <si>
    <t>Liabilities:Current Liabilities:Trade and Other Payable Exchange Transactions:Retentions:Withdrawals</t>
  </si>
  <si>
    <t>D0001/IL53821/F0041/X049/R1330/001/FIN</t>
  </si>
  <si>
    <t>Liabilities:Current Liabilities:Trade and Other Payable Exchange Transactions:Payables and Accruals : General:Withdrawals</t>
  </si>
  <si>
    <t>D0001/IL00752/F0001/X049/R1330/001/FIN</t>
  </si>
  <si>
    <t>Liabilities:Current Liabilities:Provision and Impairment:Leave:Reversals</t>
  </si>
  <si>
    <t>D0001/IL00748/F0001/X049/R1330/001/FIN</t>
  </si>
  <si>
    <t>Liabilities:Current Liabilities:Provision and Impairment:Leave:Increases (Passage of Time/Discounted Rate)</t>
  </si>
  <si>
    <t>D0001/IL00747/F0001/X049/R1330/001/FIN</t>
  </si>
  <si>
    <t>D0001/IL00750/F0001/X049/R1330/001/FIN</t>
  </si>
  <si>
    <t>Liabilities:Current Liabilities:Provision and Impairment:Leave:Reductions (Outflow of Economic Benefits)</t>
  </si>
  <si>
    <t>D0001/IL00751/F0001/X049/R1330/001/FIN</t>
  </si>
  <si>
    <t>Liabilities:Current Liabilities:Provision and Impairment:Leave:Reductions (without Outflow of Economic Benefits)</t>
  </si>
  <si>
    <t>D0001/IL00749/F0001/X049/R1330/001/FIN</t>
  </si>
  <si>
    <t>Liabilities:Current Liabilities:Provision and Impairment:Leave:Opening Balance</t>
  </si>
  <si>
    <t>D0001/IL00798/F0001/X051/R1330/001/CORP</t>
  </si>
  <si>
    <t>Liabilities:Non-current Liabilities:Defined Benefit Obligations:Pension:Opening balance</t>
  </si>
  <si>
    <t>D0001/IL00791/F0001/X051/R1330/001/CORP</t>
  </si>
  <si>
    <t>Liabilities:Non-current Liabilities:Defined Benefit Obligations:Medical:Interest cost</t>
  </si>
  <si>
    <t>D0001/IL00788/F0001/X051/R1330/001/CORP</t>
  </si>
  <si>
    <t>Liabilities:Non-current Liabilities:Defined Benefit Obligations:Medical:Actuarial loss/ (gain) recognised in the year</t>
  </si>
  <si>
    <t>D0001/IL00787/F0001/X051/R1330/001/CORP</t>
  </si>
  <si>
    <t>Liabilities:Non-current Liabilities:Defined Benefit Obligations:Medical:Actual employer benefit payments</t>
  </si>
  <si>
    <t>D0001/IL00790/F0001/X051/R1330/001/CORP</t>
  </si>
  <si>
    <t>D0001/IL00794/F0001/X051/R1330/001/CORP</t>
  </si>
  <si>
    <t>Liabilities:Non-current Liabilities:Defined Benefit Obligations:Pension:Actuarial loss/ (gain) recognised in the year</t>
  </si>
  <si>
    <t>D0001/IL00797/F0001/X051/R1330/001/CORP</t>
  </si>
  <si>
    <t>Liabilities:Non-current Liabilities:Defined Benefit Obligations:Pension:Interest cost</t>
  </si>
  <si>
    <t>D0001/IL00796/F0001/X051/R1330/001/CORP</t>
  </si>
  <si>
    <t>Liabilities:Non-current Liabilities:Defined Benefit Obligations:Pension:Current service cost</t>
  </si>
  <si>
    <t>D0001/IL00792/F0001/X051/R1330/001/CORP</t>
  </si>
  <si>
    <t>Liabilities:Non-current Liabilities:Defined Benefit Obligations:Medical:Opening balance</t>
  </si>
  <si>
    <t>D0001/IL00793/F0001/X051/R1330/001/CORP</t>
  </si>
  <si>
    <t>Liabilities:Non-current Liabilities:Defined Benefit Obligations:Pension:Actual employer benefit payments</t>
  </si>
  <si>
    <t>D0001/IA02771/F0001/X049/R1331/001/FIN</t>
  </si>
  <si>
    <t>Assets:Current Assets:Receivables from Non-exchange Transactions:Property Rates:State-owned Properties:Provincial Government:Opening Balance</t>
  </si>
  <si>
    <t>D0001/IA02140/F0001/X049/R1331/001/FIN</t>
  </si>
  <si>
    <t>Assets:Current Assets:Receivables from Non-exchange Transactions:Property Rates:Business  and Commercial:Opening Balance</t>
  </si>
  <si>
    <t>D0001/IA02210/F0001/X049/R1331/001/FIN</t>
  </si>
  <si>
    <t>Assets:Current Assets:Receivables from Non-exchange Transactions:Property Rates:Public Service Infrastructure:Opening Balance</t>
  </si>
  <si>
    <t>D0001/IA02728/F0001/X049/R1331/001/FIN</t>
  </si>
  <si>
    <t>Assets:Current Assets:Receivables from Non-exchange Transactions:Property Rates:Small Holdings:Business and Commercial Purposes:Opening Balance</t>
  </si>
  <si>
    <t>D0001/IA02133/F0001/X049/R1331/001/FIN</t>
  </si>
  <si>
    <t>Assets:Current Assets:Receivables from Non-exchange Transactions:Property Rates:Agricultural Properties:Opening Balance</t>
  </si>
  <si>
    <t>D0001/IA02224/F0001/X049/R1331/001/FIN</t>
  </si>
  <si>
    <t>Assets:Current Assets:Receivables from Non-exchange Transactions:Property Rates:State Trust Land:Opening Balance</t>
  </si>
  <si>
    <t>D0001/IA02377/F0001/X132/R1331/001/COMM</t>
  </si>
  <si>
    <t>Assets:Current Assets:Trade and other Receivables from Exchange Transactions:Trading Service and Customer Service Debtors:Waste Management:Opening Balance</t>
  </si>
  <si>
    <t>O0001/IE00817/F0041/X044/R1330/001/EXEC</t>
  </si>
  <si>
    <t>Expenditure:Remuneration of Councillors:Speaker:Allowances and Service Related Benefits:Cell phone Allowance</t>
  </si>
  <si>
    <t>D0001/IA10181/F0001/X049/R1331/001/FIN</t>
  </si>
  <si>
    <t>O1351-1/IR01556-1/F0001/X047/R1331/001/FIN</t>
  </si>
  <si>
    <t>Revenue:Non-exchange Revenue:Transfers and Subsidies:Capital:Allocations In-kind:Households:Unspecified</t>
  </si>
  <si>
    <t>D0001/IA00082/F0001/X049/R1330/001/FIN</t>
  </si>
  <si>
    <t>D0001/IE07625/F0001/X049/R1330/001/FIN</t>
  </si>
  <si>
    <t>D0001/IA00084/F0001/X049/R1330/001/FIN</t>
  </si>
  <si>
    <t>D0001/IE00030/F0001/X049/R1330/001/FIN</t>
  </si>
  <si>
    <t>D0001/IA01313/F0001/X049/R1330/001/FIN</t>
  </si>
  <si>
    <t>D0001/IE00709/F0001/X049/R1330/001/FIN</t>
  </si>
  <si>
    <t>D0001/IE00715/F0001/X049/R1330/001/FIN</t>
  </si>
  <si>
    <t>D0001/IA06303/F0001/X049/R1330/001/FIN</t>
  </si>
  <si>
    <t>D0001/IA06305/F0001/X049/R1330/001/FIN</t>
  </si>
  <si>
    <t>D0001/IA06259/F0001/X049/R1330/001/FIN</t>
  </si>
  <si>
    <t>D0001/IA06245/F0001/X049/R1330/001/FIN</t>
  </si>
  <si>
    <t>D0001/IA06243/F0001/X049/R1330/001/FIN</t>
  </si>
  <si>
    <t>D0001/IA06199/F0001/X049/R1330/001/FIN</t>
  </si>
  <si>
    <t>D0001/IA06185/F0001/X049/R1330/001/FIN</t>
  </si>
  <si>
    <t>D0001/IA06183/F0001/X049/R1330/001/FIN</t>
  </si>
  <si>
    <t>D0001/IA05091/F0001/X049/R1330/001/FIN</t>
  </si>
  <si>
    <t>D0001/IA05095/F0001/X049/R1330/001/FIN</t>
  </si>
  <si>
    <t>Assets:Non-current Assets:Intangible Assets:Cost:Other:In-use:Computer Software Accumulated Amortisation:Opening Balance</t>
  </si>
  <si>
    <t>C0040-5/IA00132/F0002/X116/R1814/001/TECH</t>
  </si>
  <si>
    <t>C0040-6/IA00132/F0002/X116/R1814/001/TECH</t>
  </si>
  <si>
    <t>C0040-7/IA00132/F0002/X116/R1814/001/TECH</t>
  </si>
  <si>
    <t>C0040-8/IA00132/F0002/X116/R1814/001/TECH</t>
  </si>
  <si>
    <t>C0040-9/IA00132/F0002/X116/R1814/001/TECH</t>
  </si>
  <si>
    <t>C0040-10/IA00132/F0002/X116/R1814/001/TECH</t>
  </si>
  <si>
    <t>D0001/IA06319/F0001/X049/R1330/001/FIN</t>
  </si>
  <si>
    <t>D0001/IR01454/F0041/X055/R1331/001/FIN</t>
  </si>
  <si>
    <t>Revenue:Exchange Revenue:Sales of Goods and Rendering of Services:Objections and Appeals</t>
  </si>
  <si>
    <t>D0001/IA10355/F0041/X047/R1331/001/FIN</t>
  </si>
  <si>
    <t>Assets:Current Assets:Inventory:Materials and Supplies:Write-offs</t>
  </si>
  <si>
    <t>Materials and Supplies Write-offs</t>
  </si>
  <si>
    <t>D0001/IA10354/F0041/X047/R1331/001/FIN</t>
  </si>
  <si>
    <t>Assets:Current Assets:Inventory:Materials and Supplies:Adjustments</t>
  </si>
  <si>
    <t>Materials and Supplies Adjustments</t>
  </si>
  <si>
    <t>D0001/IA10353/F0041/X047/R1331/001/FIN</t>
  </si>
  <si>
    <t>Assets:Current Assets:Inventory:Materials and Supplies:Issues</t>
  </si>
  <si>
    <t>Materials and Supplies Issues</t>
  </si>
  <si>
    <t>D0001/IA10351/F0041/X047/R1331/001/FIN</t>
  </si>
  <si>
    <t>Assets:Current Assets:Inventory:Materials and Supplies:Opening Balance</t>
  </si>
  <si>
    <t>Materials and Supplies Opening Balance</t>
  </si>
  <si>
    <t>D0001/IA10352/F0041/X047/R1331/001/FIN</t>
  </si>
  <si>
    <t>D0001/IL092576/F15762/X046/R1330/001/COMM</t>
  </si>
  <si>
    <t>Liabilities:Current Liabilities:Trade and Other Payable Non-exchange Transactions:Transfers and Subsidies Unspent:Operational:Monetary Allocations:National Government:Municipal Disaster Recovery Grant:Receipts</t>
  </si>
  <si>
    <t>C0040-5/IA00132/F0002/X116/R1331/001/TECH</t>
  </si>
  <si>
    <t>O0001/IE06920/F0041/X006/R1331/001/COMM</t>
  </si>
  <si>
    <t>C0040-11/IA01952/F0002/X116/R1814/001/TECH</t>
  </si>
  <si>
    <t>D0001/IA10178/F0001/X049/R1330/001/FIN</t>
  </si>
  <si>
    <t>Assets:Current Assets:Cash and Cash Equivalents:Call Deposits and Investments:Deposit taking Institutions:Specify (replace with account description):Opening Balance</t>
  </si>
  <si>
    <t>D0001/IA10037/F0001/X049/R1330/001/FIN</t>
  </si>
  <si>
    <t>D0001/IA10017/F0001/X049/R1330/001/FIN</t>
  </si>
  <si>
    <t>D0001/IA09988/F0001/X049/R1330/001/FIN</t>
  </si>
  <si>
    <t>D0001/IA10116/F0001/X049/R1330/001/FIN</t>
  </si>
  <si>
    <t>D0001/IA10160/F0001/X049/R1330/001/FIN</t>
  </si>
  <si>
    <t>D0001/IA02582/F0001/X049/R1330/001/FIN</t>
  </si>
  <si>
    <t>Assets:Current Assets:Receivables from Non-exchange Transactions:Property Rates:Communal Land:Farm Property:Opening Balance</t>
  </si>
  <si>
    <t>D0001/IA02567/F0001/X049/R1330/001/FIN</t>
  </si>
  <si>
    <t>Assets:Current Assets:Receivables from Non-exchange Transactions:Property Rates:Business  and Commercial:Impairment:Opening Balance</t>
  </si>
  <si>
    <t>D0001/IA00387/F0001/X049/R1330/001/FIN</t>
  </si>
  <si>
    <t>Assets:Current Assets:Receivables from Non-exchange Transactions:Property Rates:Communal Land:Other:Impairment:Opening Balance</t>
  </si>
  <si>
    <t>D0001/IA00395/F0001/X049/R1330/001/FIN</t>
  </si>
  <si>
    <t>Assets:Current Assets:Receivables from Non-exchange Transactions:Property Rates:Communal Land:Small Holdings:Impairment:Opening Balance</t>
  </si>
  <si>
    <t>D0001/IA02478/F0001/X049/R1330/001/FIN</t>
  </si>
  <si>
    <t>Assets:Current Assets:Receivables from Non-exchange Transactions:Fines:Opening Balance</t>
  </si>
  <si>
    <t>D0001/IA02589/F0001/X049/R1330/001/FIN</t>
  </si>
  <si>
    <t>Assets:Current Assets:Receivables from Non-exchange Transactions:Property Rates:Communal Land:Other:Opening Balance</t>
  </si>
  <si>
    <t>D0001/IA00391/F0001/X049/R1330/001/FIN</t>
  </si>
  <si>
    <t>Assets:Current Assets:Receivables from Non-exchange Transactions:Property Rates:Communal Land:Residential:Impairment:Opening Balance</t>
  </si>
  <si>
    <t>D0001/IA02596/F0001/X049/R1330/001/FIN</t>
  </si>
  <si>
    <t>Assets:Current Assets:Receivables from Non-exchange Transactions:Property Rates:Communal Land:Residential:Opening Balance</t>
  </si>
  <si>
    <t>D0001/IA00379/F0001/X049/R1330/001/FIN</t>
  </si>
  <si>
    <t>Assets:Current Assets:Receivables from Non-exchange Transactions:Property Rates:Communal Land:Business and Commercial:Impairment:Opening Balance</t>
  </si>
  <si>
    <t>D0001/IA00383/F0001/X049/R1330/001/FIN</t>
  </si>
  <si>
    <t>Assets:Current Assets:Receivables from Non-exchange Transactions:Property Rates:Communal Land:Farm Property:Impairment:Opening Balance</t>
  </si>
  <si>
    <t>D0001/IA10341/F0001/X049/R1330/001/FIN</t>
  </si>
  <si>
    <t>Assets:Current Assets:Inventory:Consumables:Zero Rated:Opening Balance</t>
  </si>
  <si>
    <t>Zero Rated Opening Balance</t>
  </si>
  <si>
    <t>D0001/IA10336/F0001/X049/R1330/001/FIN</t>
  </si>
  <si>
    <t>Assets:Current Assets:Inventory:Consumables:Standard Rated:Opening Balance</t>
  </si>
  <si>
    <t>Standard Rated Opening Balance</t>
  </si>
  <si>
    <t>D0001/IA02603/F0001/X049/R1330/001/FIN</t>
  </si>
  <si>
    <t>Assets:Current Assets:Receivables from Non-exchange Transactions:Property Rates:Communal Land:Small Holdings:Opening Balance</t>
  </si>
  <si>
    <t>D0001/IA02575/F0001/X049/R1330/001/FIN</t>
  </si>
  <si>
    <t>Assets:Current Assets:Receivables from Non-exchange Transactions:Property Rates:Communal Land:Business and Commercial:Opening Balance</t>
  </si>
  <si>
    <t>D0001/IA10383/F0001/X049/R1330/001/FIN</t>
  </si>
  <si>
    <t>Assets:Current Assets:Deposits:Opening Balance</t>
  </si>
  <si>
    <t>D0001/IA02624/F0001/X049/R1330/001/FIN</t>
  </si>
  <si>
    <t>Assets:Current Assets:Receivables from Non-exchange Transactions:Property Rates:Farm Properties:Farm Properties not used for any Purpose:Opening Balance</t>
  </si>
  <si>
    <t>D0001/IA00403/F0001/X049/R1330/001/FIN</t>
  </si>
  <si>
    <t>Assets:Current Assets:Receivables from Non-exchange Transactions:Property Rates:Farm Properties:Business and Commercial Purposes:Impairment:Opening Balance</t>
  </si>
  <si>
    <t>D0001/IA00399/F0001/X049/R1330/001/FIN</t>
  </si>
  <si>
    <t>Assets:Current Assets:Receivables from Non-exchange Transactions:Property Rates:Farm Properties:Agricultural Purposes:Impairment:Opening Balance</t>
  </si>
  <si>
    <t>D0001/IA02638/F0001/X049/R1330/001/FIN</t>
  </si>
  <si>
    <t>Assets:Current Assets:Receivables from Non-exchange Transactions:Property Rates:Farm Properties:Other Purpose than Above:Opening Balance</t>
  </si>
  <si>
    <t>D0001/IA02617/F0001/X049/R1330/001/FIN</t>
  </si>
  <si>
    <t>Assets:Current Assets:Receivables from Non-exchange Transactions:Property Rates:Farm Properties:Business and Commercial Purposes:Opening Balance</t>
  </si>
  <si>
    <t>D0001/IA00415/F0001/X049/R1330/001/FIN</t>
  </si>
  <si>
    <t>Assets:Current Assets:Receivables from Non-exchange Transactions:Property Rates:Farm Properties:Other Purpose than Above:Impairment:Opening Balance</t>
  </si>
  <si>
    <t>D0001/IA02631/F0001/X049/R1330/001/FIN</t>
  </si>
  <si>
    <t>Assets:Current Assets:Receivables from Non-exchange Transactions:Property Rates:Farm Properties:Industrial Purposes:Opening Balance</t>
  </si>
  <si>
    <t>D0001/IA00407/F0001/X049/R1330/001/FIN</t>
  </si>
  <si>
    <t>Assets:Current Assets:Receivables from Non-exchange Transactions:Property Rates:Farm Properties:Farm Properties not used for any Purpose:Impairment:Opening Balance</t>
  </si>
  <si>
    <t>D0001/IA02610/F0001/X049/R1330/001/FIN</t>
  </si>
  <si>
    <t>Assets:Current Assets:Receivables from Non-exchange Transactions:Property Rates:Farm Properties:Agricultural Purposes:Opening Balance</t>
  </si>
  <si>
    <t>D0001/IA00419/F0001/X049/R1330/001/FIN</t>
  </si>
  <si>
    <t>Assets:Current Assets:Receivables from Non-exchange Transactions:Property Rates:Farm Properties:Residential Properties:Impairment:Opening Balance</t>
  </si>
  <si>
    <t>D0001/IA00411/F0001/X049/R1330/001/FIN</t>
  </si>
  <si>
    <t>Assets:Current Assets:Receivables from Non-exchange Transactions:Property Rates:Farm Properties:Industrial Purposes:Impairment:Opening Balance</t>
  </si>
  <si>
    <t>D0001/IA02645/F0001/X049/R1330/001/FIN</t>
  </si>
  <si>
    <t>Assets:Current Assets:Receivables from Non-exchange Transactions:Property Rates:Farm Properties:Residential Properties:Opening Balance</t>
  </si>
  <si>
    <t>D0001/IA02182/F0001/X049/R1330/001/FIN</t>
  </si>
  <si>
    <t>Assets:Current Assets:Receivables from Non-exchange Transactions:Property Rates:National Monument Properties:Opening Balance</t>
  </si>
  <si>
    <t>D0001/IA02685/F0001/X049/R1330/001/FIN</t>
  </si>
  <si>
    <t>Assets:Current Assets:Receivables from Non-exchange Transactions:Property Rates:Public Service Infrastructure:Impairment:Opening Balance</t>
  </si>
  <si>
    <t>D0001/IA02175/F0001/X049/R1330/001/FIN</t>
  </si>
  <si>
    <t>Assets:Current Assets:Receivables from Non-exchange Transactions:Property Rates:Municipal Properties:Opening Balance</t>
  </si>
  <si>
    <t>D0001/IA02652/F0001/X049/R1330/001/FIN</t>
  </si>
  <si>
    <t>Assets:Current Assets:Receivables from Non-exchange Transactions:Property Rates:Industrial Properties:Impairment:Opening Balance</t>
  </si>
  <si>
    <t>D0001/IA02656/F0001/X049/R1330/001/FIN</t>
  </si>
  <si>
    <t>Assets:Current Assets:Receivables from Non-exchange Transactions:Property Rates:Mining Properties:Impairment:Opening Balance</t>
  </si>
  <si>
    <t>D0001/IA02168/F0001/X049/R1330/001/FIN</t>
  </si>
  <si>
    <t>Assets:Current Assets:Receivables from Non-exchange Transactions:Property Rates:Multiple Purposes:Opening Balance</t>
  </si>
  <si>
    <t>D0001/IA02210/F0001/X049/R1330/001/FIN</t>
  </si>
  <si>
    <t>D0001/IA02648/F0001/X049/R1330/001/FIN</t>
  </si>
  <si>
    <t>Assets:Current Assets:Receivables from Non-exchange Transactions:Property Rates:Formal and Informal Settlements:Impairment:Opening Balance</t>
  </si>
  <si>
    <t>D0001/IA02664/F0001/X049/R1330/001/FIN</t>
  </si>
  <si>
    <t>Assets:Current Assets:Receivables from Non-exchange Transactions:Property Rates:Municipal Properties:Impairment:Opening Balance</t>
  </si>
  <si>
    <t>D0001/IA02189/F0001/X049/R1330/001/FIN</t>
  </si>
  <si>
    <t>Assets:Current Assets:Receivables from Non-exchange Transactions:Property Rates:Privately Owned Towns Serviced by the Owner:Opening Balance</t>
  </si>
  <si>
    <t>D0001/IA02161/F0001/X049/R1330/001/FIN</t>
  </si>
  <si>
    <t>Assets:Current Assets:Receivables from Non-exchange Transactions:Property Rates:Mining Properties:Opening Balance</t>
  </si>
  <si>
    <t>D0001/IA02154/F0001/X049/R1330/001/FIN</t>
  </si>
  <si>
    <t>Assets:Current Assets:Receivables from Non-exchange Transactions:Property Rates:Industrial Properties:Opening Balance</t>
  </si>
  <si>
    <t>D0001/IA02673/F0001/X049/R1330/001/FIN</t>
  </si>
  <si>
    <t>Assets:Current Assets:Receivables from Non-exchange Transactions:Property Rates:Privately Owned Towns Serviced by the Owner:Impairment:Opening Balance</t>
  </si>
  <si>
    <t>D0001/IA02660/F0001/X049/R1330/001/FIN</t>
  </si>
  <si>
    <t>Assets:Current Assets:Receivables from Non-exchange Transactions:Property Rates:Multiple Purposes:Impairment:Opening Balance</t>
  </si>
  <si>
    <t>D0001/IA02669/F0001/X049/R1330/001/FIN</t>
  </si>
  <si>
    <t>Assets:Current Assets:Receivables from Non-exchange Transactions:Property Rates:National Monument Properties:Impairment:Opening Balance</t>
  </si>
  <si>
    <t>D0001/IA02681/F0001/X049/R1330/001/FIN</t>
  </si>
  <si>
    <t>Assets:Current Assets:Receivables from Non-exchange Transactions:Property Rates:Public Benefit Organisations:Impairment:Opening Balance</t>
  </si>
  <si>
    <t>D0001/IA02147/F0001/X049/R1330/001/FIN</t>
  </si>
  <si>
    <t>Assets:Current Assets:Receivables from Non-exchange Transactions:Property Rates:Formal and Informal Settlements:Opening Balance</t>
  </si>
  <si>
    <t>D0001/IA02677/F0001/X049/R1330/001/FIN</t>
  </si>
  <si>
    <t>Assets:Current Assets:Receivables from Non-exchange Transactions:Property Rates:Protected Areas:Impairment:Opening Balance</t>
  </si>
  <si>
    <t>D0001/IA02196/F0001/X049/R1330/001/FIN</t>
  </si>
  <si>
    <t>Assets:Current Assets:Receivables from Non-exchange Transactions:Property Rates:Protected Areas:Opening Balance</t>
  </si>
  <si>
    <t>D0001/IA02203/F0001/X049/R1330/001/FIN</t>
  </si>
  <si>
    <t>Assets:Current Assets:Receivables from Non-exchange Transactions:Property Rates:Public Benefit Organisations:Opening Balance</t>
  </si>
  <si>
    <t>D0001/IA00435/F0001/X049/R1330/001/FIN</t>
  </si>
  <si>
    <t>Assets:Current Assets:Receivables from Non-exchange Transactions:Property Rates:Restitution and Redistribution Properties:Land and Assistance Act or Restitution of Land Rights Act:Impairment:Opening Balance</t>
  </si>
  <si>
    <t>D0001/IA00427/F0001/X049/R1330/001/FIN</t>
  </si>
  <si>
    <t>Assets:Current Assets:Receivables from Non-exchange Transactions:Property Rates:Residential Properties:Vacant Land:Impairment:Opening Balance</t>
  </si>
  <si>
    <t>D0001/IA02721/F0001/X049/R1330/001/FIN</t>
  </si>
  <si>
    <t>Assets:Current Assets:Receivables from Non-exchange Transactions:Property Rates:Small Holdings:Agricultural Purposes:Opening Balance</t>
  </si>
  <si>
    <t>D0001/IA02707/F0001/X049/R1330/001/FIN</t>
  </si>
  <si>
    <t>Assets:Current Assets:Receivables from Non-exchange Transactions:Property Rates:Restitution and Redistribution Properties:Communal Property Associations Act:Opening Balance</t>
  </si>
  <si>
    <t>D0001/IA00423/F0001/X049/R1330/001/FIN</t>
  </si>
  <si>
    <t>Assets:Current Assets:Receivables from Non-exchange Transactions:Property Rates:Residential Properties:Developed:Impairment:Opening Balance</t>
  </si>
  <si>
    <t>D0001/IA00431/F0001/X049/R1330/001/FIN</t>
  </si>
  <si>
    <t>Assets:Current Assets:Receivables from Non-exchange Transactions:Property Rates:Restitution and Redistribution Properties:Communal Property Associations Act:Impairment:Opening Balance</t>
  </si>
  <si>
    <t>D0001/IA02714/F0001/X049/R1330/001/FIN</t>
  </si>
  <si>
    <t>Assets:Current Assets:Receivables from Non-exchange Transactions:Property Rates:Restitution and Redistribution Properties:Land and Assistance Act or Restitution of Land Rights Act:Opening Balance</t>
  </si>
  <si>
    <t>D0001/IA00443/F0001/X049/R1330/001/FIN</t>
  </si>
  <si>
    <t>Assets:Current Assets:Receivables from Non-exchange Transactions:Property Rates:Small Holdings:Business and Commercial Purposes:Impairment:Opening Balance</t>
  </si>
  <si>
    <t>D0001/IA00439/F0001/X049/R1330/001/FIN</t>
  </si>
  <si>
    <t>Assets:Current Assets:Receivables from Non-exchange Transactions:Property Rates:Small Holdings:Agricultural Purposes:Impairment:Opening Balance</t>
  </si>
  <si>
    <t>D0001/IA02742/F0001/X049/R1330/001/FIN</t>
  </si>
  <si>
    <t>Assets:Current Assets:Receivables from Non-exchange Transactions:Property Rates:Small Holdings:Purposes other than the Above:Opening Balance</t>
  </si>
  <si>
    <t>D0001/IA02728/F0001/X049/R1330/001/FIN</t>
  </si>
  <si>
    <t>D0001/IA00451/F0001/X049/R1330/001/FIN</t>
  </si>
  <si>
    <t>Assets:Current Assets:Receivables from Non-exchange Transactions:Property Rates:Small Holdings:Purposes other than the Above:Impairment:Opening Balance</t>
  </si>
  <si>
    <t>D0001/IA02735/F0001/X049/R1330/001/FIN</t>
  </si>
  <si>
    <t>Assets:Current Assets:Receivables from Non-exchange Transactions:Property Rates:Small Holdings:Industrial Purposes:Opening Balance</t>
  </si>
  <si>
    <t>D0001/IA02693/F0001/X049/R1330/001/FIN</t>
  </si>
  <si>
    <t>Assets:Current Assets:Receivables from Non-exchange Transactions:Property Rates:Residential Properties:Developed:Opening Balance</t>
  </si>
  <si>
    <t>D0001/IA00447/F0001/X049/R1330/001/FIN</t>
  </si>
  <si>
    <t>Assets:Current Assets:Receivables from Non-exchange Transactions:Property Rates:Small Holdings:Industrial Purposes:Impairment:Opening Balance</t>
  </si>
  <si>
    <t>D0001/IA02749/F0001/X049/R1330/001/FIN</t>
  </si>
  <si>
    <t>Assets:Current Assets:Receivables from Non-exchange Transactions:Property Rates:Small Holdings:Residential Purposes:Opening Balance</t>
  </si>
  <si>
    <t>D0001/IA02700/F0001/X049/R1330/001/FIN</t>
  </si>
  <si>
    <t>Assets:Current Assets:Receivables from Non-exchange Transactions:Property Rates:Residential Properties:Vacant Land:Opening Balance</t>
  </si>
  <si>
    <t>D0001/IA00455/F0001/X049/R1330/001/FIN</t>
  </si>
  <si>
    <t>Assets:Current Assets:Receivables from Non-exchange Transactions:Property Rates:Small Holdings:Residential Purposes:Impairment:Opening Balance</t>
  </si>
  <si>
    <t>D0001/IA02224/F0001/X049/R1330/001/FIN</t>
  </si>
  <si>
    <t>D0001/IA00463/F0001/X049/R1330/001/FIN</t>
  </si>
  <si>
    <t>Assets:Current Assets:Receivables from Non-exchange Transactions:Property Rates:State-owned Properties:Provincial Government:Impairment:Opening Balance</t>
  </si>
  <si>
    <t>D0001/IA02752/F0001/X049/R1330/001/FIN</t>
  </si>
  <si>
    <t>Assets:Current Assets:Receivables from Non-exchange Transactions:Property Rates:Special Rating Area:Impairment:Opening Balance</t>
  </si>
  <si>
    <t>D0001/IA02771/F0001/X049/R1330/001/FIN</t>
  </si>
  <si>
    <t>D0001/IA00459/F0001/X049/R1330/001/FIN</t>
  </si>
  <si>
    <t>Assets:Current Assets:Receivables from Non-exchange Transactions:Property Rates:State-owned Properties:National Government:Impairment:Opening Balance</t>
  </si>
  <si>
    <t>D0001/IA02764/F0001/X049/R1330/001/FIN</t>
  </si>
  <si>
    <t>Assets:Current Assets:Receivables from Non-exchange Transactions:Property Rates:State-owned Properties:National Government:Opening Balance</t>
  </si>
  <si>
    <t>D0001/IA02756/F0001/X049/R1330/001/FIN</t>
  </si>
  <si>
    <t>Assets:Current Assets:Receivables from Non-exchange Transactions:Property Rates:State Trust Land:Impairment:Opening Balance</t>
  </si>
  <si>
    <t>D0001/IA02217/F0001/X049/R1330/001/FIN</t>
  </si>
  <si>
    <t>Assets:Current Assets:Receivables from Non-exchange Transactions:Property Rates:Special Rating Area:Opening Balance</t>
  </si>
  <si>
    <t>D0001/IA02806/F0001/X049/R1330/001/FIN</t>
  </si>
  <si>
    <t>Assets:Current Assets:Trade and other Receivables from Exchange Transactions:Trading Service and Customer Service Debtors:Service Charges:Impairment:Opening Balance</t>
  </si>
  <si>
    <t>D0001/IA02370/F0001/X049/R1330/001/FIN</t>
  </si>
  <si>
    <t>Assets:Current Assets:Trade and other Receivables from Exchange Transactions:Trading Service and Customer Service Debtors:Service Charges:Opening Balance</t>
  </si>
  <si>
    <t>D0001/IA02377/F0001/X049/R1330/001/FIN</t>
  </si>
  <si>
    <t>D0001/IA02810/F0001/X049/R1330/001/FIN</t>
  </si>
  <si>
    <t>Assets:Current Assets:Trade and other Receivables from Exchange Transactions:Trading Service and Customer Service Debtors:Waste Management:Impairment:Opening Balance</t>
  </si>
  <si>
    <t>D0001/IA10380/F0001/X049/R1330/001/FIN</t>
  </si>
  <si>
    <t>Assets:Current Assets:VAT Receivable:Input VAT Capital:Opening Balance</t>
  </si>
  <si>
    <t>D0001/IA10377/F0001/X049/R1330/001/FIN</t>
  </si>
  <si>
    <t>Assets:Current Assets:VAT Receivable:Input VAT General:Opening Balance</t>
  </si>
  <si>
    <t>D0001/IA10374/F0001/X049/R1330/001/FIN</t>
  </si>
  <si>
    <t>Assets:Current Assets:VAT Receivable:Input Accrual:Opening Balance</t>
  </si>
  <si>
    <t>D0001/IA03767/F0001/X049/R1330/001/FIN</t>
  </si>
  <si>
    <t>Assets:Non-current Assets:Biological Assets:Cost:Consumable:Immature:Dairy Cattle:Opening Balance</t>
  </si>
  <si>
    <t>D0001/IA06192/F0001/X049/R1330/001/FIN</t>
  </si>
  <si>
    <t>Assets:Non-current Assets:Property, Plant and Equipment:Cost Model:Computer Equipment:In-use:Accumulated Impairment:Opening Balance</t>
  </si>
  <si>
    <t>D0001/IA06179/F0001/X049/R1330/001/FIN</t>
  </si>
  <si>
    <t>Assets:Non-current Assets:Property, Plant and Equipment:Cost Model:Computer Equipment:Future Use:Cost:Opening Balance</t>
  </si>
  <si>
    <t>D0001/IA02846/F0001/X049/R1330/001/FIN</t>
  </si>
  <si>
    <t>Assets:Non-current Assets:Heritage Assets:Cost Model:Historic Buildings:Areas of Land of Historic Specific Significance Cost:Opening Balance</t>
  </si>
  <si>
    <t>D0001/IA06239/F0001/X049/R1330/001/FIN</t>
  </si>
  <si>
    <t>Assets:Non-current Assets:Property, Plant and Equipment:Cost Model:Furniture and Office Equipment:Future Use:Cost:Opening Balance</t>
  </si>
  <si>
    <t>D0001/IA05106/F0001/X049/R1330/001/FIN</t>
  </si>
  <si>
    <t>Assets:Non-current Assets:Intangible Assets:Cost:Other:In-use:Computer Software:Opening Balance</t>
  </si>
  <si>
    <t>D0001/IA00763/F0001/X049/R1330/001/FIN</t>
  </si>
  <si>
    <t>Assets:Non-current Assets:Intangible Assets:Cost:Internally Generated:In-use:Computer Software:Opening Balance</t>
  </si>
  <si>
    <t>D0001/IA05100/F0001/X049/R1330/001/FIN</t>
  </si>
  <si>
    <t>Assets:Non-current Assets:Intangible Assets:Cost:Other:In-use:Computer Software Accumulated Impairment:Opening Balance</t>
  </si>
  <si>
    <t>D0001/IA00031/F0001/X049/R1330/001/FIN</t>
  </si>
  <si>
    <t>Assets:Non-current Assets:Property, Plant and Equipment:Cost Model:Community Assets:Accumulated Impairment:Opening Balance</t>
  </si>
  <si>
    <t>D0001/IA02551/F0001/X049/R1330/001/FIN</t>
  </si>
  <si>
    <t>Assets:Non-current Assets:Investment Property:Cost Model:Accumulated Depreciation:Opening Balance</t>
  </si>
  <si>
    <t>D0001/IA00091/F0001/X049/R1330/001/FIN</t>
  </si>
  <si>
    <t>Assets:Non-current Assets:Property, Plant and Equipment:Cost Model:Other Assets:Accumulated Impairment:Opening Balance</t>
  </si>
  <si>
    <t>D0001/IA06288/F0001/X049/R1330/001/FIN</t>
  </si>
  <si>
    <t>Assets:Non-current Assets:Property, Plant and Equipment:Cost Model:Machinery and Equipment:Future Use:Cost:Opening Balance</t>
  </si>
  <si>
    <t>D0001/IA01333/F0001/X049/R1330/001/FIN</t>
  </si>
  <si>
    <t>Assets:Non-current Assets:Property, Plant and Equipment:Cost Model:Transport Assets:Future Use:Cost:Opening Balance</t>
  </si>
  <si>
    <t>D0001/IA00131/F0001/X049/R1330/001/FIN</t>
  </si>
  <si>
    <t>Assets:Non-current Assets:Property, Plant and Equipment:Cost Model:Roads Infrastructure:Accumulated Impairment:Opening Balance</t>
  </si>
  <si>
    <t>D0001/IA01366/F0001/X049/R1330/001/FIN</t>
  </si>
  <si>
    <t>Assets:Non-current Assets:Property, Plant and Equipment:Cost Model:Transport Assets:Owned and In-use:Accumulated Impairment:Opening Balance</t>
  </si>
  <si>
    <t>D0001/IA01306/F0001/X049/R1330/001/FIN</t>
  </si>
  <si>
    <t>Assets:Non-current Assets:Property, Plant and Equipment:Cost Model:Land:General Plant:Owned and In-use:Accumulated Impairment:Opening Balance</t>
  </si>
  <si>
    <t>D0001/IA06312/F0001/X049/R1330/001/FIN</t>
  </si>
  <si>
    <t>Assets:Non-current Assets:Property, Plant and Equipment:Cost Model:Machinery and Equipment:In-use:Accumulated Impairment:Opening Balance</t>
  </si>
  <si>
    <t>D0001/IL53855/F0001/X049/R1330/001/FIN</t>
  </si>
  <si>
    <t>Liabilities:Current Liabilities:Trade and Other Payable Exchange Transactions:Overtime:Opening Balance</t>
  </si>
  <si>
    <t>D0001/IL27884/F0001/X049/R1330/001/FIN</t>
  </si>
  <si>
    <t>Liabilities:Current Liabilities:Output VAT:Opening Balance</t>
  </si>
  <si>
    <t>D0001/IL53934/F0001/X049/R1330/001/FIN</t>
  </si>
  <si>
    <t>Liabilities:Current Liabilities:Trade and Other Payable Exchange Transactions:Unallocated Deposits:Opening Balance</t>
  </si>
  <si>
    <t>D0001/IL53713/F0001/X049/R1330/001/FIN</t>
  </si>
  <si>
    <t>Liabilities:Current Liabilities:Trade and Other Payable Exchange Transactions:Bonus:Opening Balance</t>
  </si>
  <si>
    <t>D0001/IL38567/F0001/X049/R1330/001/FIN</t>
  </si>
  <si>
    <t>Liabilities:Current Liabilities:Bank Overdraft:Standard Bank:Specify (Add Institutions and Account Number):Opening Balance</t>
  </si>
  <si>
    <t>D0001/IL43198/F0001/X049/R1330/001/FIN</t>
  </si>
  <si>
    <t>Liabilities:Current Liabilities:Consumer Deposits:Refuse:Opening Balance</t>
  </si>
  <si>
    <t>D0001/IL53921/F0001/X049/R1330/001/FIN</t>
  </si>
  <si>
    <t>Liabilities:Current Liabilities:Trade and Other Payable Exchange Transactions:Leave Accrual:Opening Balance</t>
  </si>
  <si>
    <t>D0001/IL41801/F0001/X049/R1330/001/FIN</t>
  </si>
  <si>
    <t>D0001/IL08800/F0001/X049/R1330/001/FIN</t>
  </si>
  <si>
    <t>Liabilities:Current Liabilities:Trade and Other Payable Non-exchange Transactions:Transfers and Subsidies Unspent:Operational:Monetary Allocations:National Government:Expanded Public Works Programme Integrated Grant:Opening Balance</t>
  </si>
  <si>
    <t>D0001/IL17169/F0001/X049/R1330/001/FIN</t>
  </si>
  <si>
    <t>Liabilities:Current Liabilities:Trade and Other Payable Non-exchange Transactions:Transfers and Subsidies Unspent:Operational:Monetary Allocations:Departmental Agencies and Accounts:National Departmental Agencies:Community Schemes Ombud Service:Opening Balance</t>
  </si>
  <si>
    <t>D0001/IL13777/F0001/X049/R1330/001/FIN</t>
  </si>
  <si>
    <t>Liabilities:Current Liabilities:Trade and Other Payable Non-exchange Transactions:Transfers and Subsidies Unspent:Capital:Monetary Allocations:Departmental Agencies and Accounts:National Departmental Agencies:Community Schemes Ombud Service:Opening Balance</t>
  </si>
  <si>
    <t>D0001/IL07047/F0001/X049/R1330/001/FIN</t>
  </si>
  <si>
    <t>Liabilities:Current Liabilities:Trade and Other Payable Non-exchange Transactions:Transfers and Subsidies Unspent:Capital:Monetary Allocations:National Government:Municipal Infrastructure Grant:Opening Balance</t>
  </si>
  <si>
    <t>D0001/IL08832/F0001/X049/R1330/001/FIN</t>
  </si>
  <si>
    <t>Liabilities:Current Liabilities:Trade and Other Payable Non-exchange Transactions:Transfers and Subsidies Unspent:Operational:Monetary Allocations:National Government:Local Government Financial Management Grant:Opening Balance</t>
  </si>
  <si>
    <t>D0001/IL37143/F0001/X049/R1330/001/FIN</t>
  </si>
  <si>
    <t>Liabilities:Current Liabilities:Trade and Other Payable Non-exchange Transactions:Transfers and Subsidies Unspent:Operational:Monetary Allocations:National Government:Municipal Rehabilitation Grant:Opening Balance</t>
  </si>
  <si>
    <t>D0001/IL092575/F0001/X049/R1330/001/FIN</t>
  </si>
  <si>
    <t>Liabilities:Current Liabilities:Trade and Other Payable Non-exchange Transactions:Transfers and Subsidies Unspent:Operational:Monetary Allocations:National Government:Municipal Disaster Recovery Grant:Opening Balance</t>
  </si>
  <si>
    <t>D0001/IL07027/F0001/X049/R1330/001/FIN</t>
  </si>
  <si>
    <t>Liabilities:Current Liabilities:Trade and Other Payable Non-exchange Transactions:Transfers and Subsidies Unspent:Capital:Monetary Allocations:National Government:Integrated National Electrification Programme Grant:Opening Balance</t>
  </si>
  <si>
    <t>D0001/IL39587/F0001/X049/R1330/001/FIN</t>
  </si>
  <si>
    <t>Liabilities:Current Liabilities:VAT Credit:  Output Accrual:Opening Balance</t>
  </si>
  <si>
    <t>D0001/IL00840/F0001/X049/R1330/001/FIN</t>
  </si>
  <si>
    <t>Liabilities:Non-current Liabilities:Provision and Impairment:Leave:Opening Balance</t>
  </si>
  <si>
    <t>D0001/IL00211/F0001/X049/R1330/001/FIN</t>
  </si>
  <si>
    <t>Liabilities:Non-current Liabilities:Provision and Impairment:Impairment:Other Receivables from Non-exchange Transactions:Unauthorised, Irregular, Fruitless and Wasteful Expenditure:Opening Balance</t>
  </si>
  <si>
    <t>D0001/LN00006/F0001/X049/R1330/001/FIN</t>
  </si>
  <si>
    <t>Net Assets:Accumulated Surplus/(Deficit):Opening Balance</t>
  </si>
  <si>
    <t>Accumulated Surplus/(Deficit) - opening balance</t>
  </si>
  <si>
    <t>D0001/IL093091/F0001/X049/R1330/001/FIN</t>
  </si>
  <si>
    <t>D0001/IL092979/F0001/X049/R1330/001/FIN</t>
  </si>
  <si>
    <t>Liabilities:Current Liabilities:Trade and Other Payable Non-exchange Transactions:Transfers and Subsidies Unspent:Operational:Monetary Allocations:Provincial Government:KwaZulu-Natal:Infrastructure:Specify (Add grant description):Opening Balance</t>
  </si>
  <si>
    <t>D0001/IL092975/F0001/X049/R1330/001/FIN</t>
  </si>
  <si>
    <t>D0001/IL093031/F0001/X049/R1330/001/FIN</t>
  </si>
  <si>
    <t>D0001/IL093087/F0001/X049/R1330/001/FIN</t>
  </si>
  <si>
    <t>D0001/IA10177/F0001/X049/R1330/001/FIN</t>
  </si>
  <si>
    <t>D0001/IA02068/F0001/X049/R1330/001/FIN</t>
  </si>
  <si>
    <t>D0001/IA10182/F0001/X049/R1330/001/FIN</t>
  </si>
  <si>
    <t>D0001/IA10185/F0001/X049/R1330/001/FIN</t>
  </si>
  <si>
    <t>D0001/IA10186/F0001/X049/R1330/001/FIN</t>
  </si>
  <si>
    <t>D0001/IA10176/F0001/X049/R1330/001/FIN</t>
  </si>
  <si>
    <t>D0001/IA10190/F0001/X049/R1330/001/FIN</t>
  </si>
  <si>
    <t>D0001/IA10184/F0001/X049/R1330/001/FIN</t>
  </si>
  <si>
    <t>D0001/IA10183/F0001/X049/R1330/001/FIN</t>
  </si>
  <si>
    <t>D0001/IA06252/F0001/X049/R1330/001/FIN</t>
  </si>
  <si>
    <t>Assets:Non-current Assets:Property, Plant and Equipment:Cost Model:Furniture and Office Equipment:In-use:Accumulated Impairment:Opening Balance</t>
  </si>
  <si>
    <t>C0040-12/IA00132/F0002/X116/R1814/001/TECH</t>
  </si>
  <si>
    <t>D0001/IA09323/F0041/X049/R1331/001/FIN</t>
  </si>
  <si>
    <t>D0001/IL53988/F0041/X049/R1330/001/FIN</t>
  </si>
  <si>
    <t>Cash Payments by Type / Employee related costs</t>
  </si>
  <si>
    <t>D0001/IL43222/F0041/X049/R1330/001/FIN</t>
  </si>
  <si>
    <t>Liabilities:Current Liabilities:Trade and Other Payable Exchange Transactions:Long Service Award:Withdrawals</t>
  </si>
  <si>
    <t>D0001/IL43220/F0041/X049/R1330/001/FIN</t>
  </si>
  <si>
    <t>Liabilities:Current Liabilities:Trade and Other Payable Exchange Transactions:Leave Accrual:Withdrawals</t>
  </si>
  <si>
    <t>D0001/IL54000/F0041/X049/R1330/001/FIN</t>
  </si>
  <si>
    <t>D0001/IL65531/F0041/X049/R1330/001/FIN</t>
  </si>
  <si>
    <t>Liabilities:Current Liabilities:Trade and Other Payable Exchange Transactions:Payables and Accruals : Contractors:Withdrawals</t>
  </si>
  <si>
    <t>Cash Payments by Type / Contracted Services</t>
  </si>
  <si>
    <t>D0001/IL43227/F0041/X049/R1330/001/FIN</t>
  </si>
  <si>
    <t>Liabilities:Current Liabilities:Trade and Other Payable Exchange Transactions:Bonus:Withdrawals</t>
  </si>
  <si>
    <t>D0001/IL53857/F0041/X049/R1330/001/FIN</t>
  </si>
  <si>
    <t>Liabilities:Current Liabilities:Trade and Other Payable Exchange Transactions:Overtime:Withdrawals</t>
  </si>
  <si>
    <t>D0001/IL54039/F0041/X049/R1330/001/FIN</t>
  </si>
  <si>
    <t>Liabilities:Current Liabilities:Trade and Other Payable Exchange Transactions:Standby:Withdrawals</t>
  </si>
  <si>
    <t>D0001/IL53996/F0041/X049/R1330/001/FIN</t>
  </si>
  <si>
    <t>D0001/IL53998/F0041/X049/R1330/001/FIN</t>
  </si>
  <si>
    <t>D0001/IL54005/F0041/X049/R1330/001/FIN</t>
  </si>
  <si>
    <t>D0001/IA09840/F0791/X049/R1331/001/FIN</t>
  </si>
  <si>
    <t>D0001/IA09982/F0001/X049/R1331/001/FIN</t>
  </si>
  <si>
    <t>C0177-6/IA09840/F0791/X049/R1331/001/FIN</t>
  </si>
  <si>
    <t>Other Cash Flows/Payments by Type / Capital assets</t>
  </si>
  <si>
    <t>C0038-1/IA00132/F0791/X116/R1814/001/TECH</t>
  </si>
  <si>
    <t>C0245-2/IA00032/F0791/X125/R1816/001/TECH</t>
  </si>
  <si>
    <t>D0001/IL53975/F0930/X049/R1331/001/FIN</t>
  </si>
  <si>
    <t>C0336-1/IA01952/F0002/X125/R1812/001/TECH</t>
  </si>
  <si>
    <t>C0040-13/IA01952/F0791/X116/R1818/001/TECH</t>
  </si>
  <si>
    <t>D0001/IR006973/F13636/X024/R1331/001/CORP</t>
  </si>
  <si>
    <t>Function 1 - Financial and Administration Management</t>
  </si>
  <si>
    <t>Sound financial management, good governance and public participation.</t>
  </si>
  <si>
    <t>Sustainable Community Services</t>
  </si>
  <si>
    <t>Ensure rural development, town planning and maintainance &amp; Repairs</t>
  </si>
  <si>
    <t>Infrastructural</t>
  </si>
  <si>
    <t>n/a</t>
  </si>
  <si>
    <t>6703035937088</t>
  </si>
  <si>
    <t>Mr</t>
  </si>
  <si>
    <t>Cllr T.A. Gwala</t>
  </si>
  <si>
    <t>031 785 9318</t>
  </si>
  <si>
    <t>0825934610</t>
  </si>
  <si>
    <t>031 785 2121</t>
  </si>
  <si>
    <t>speaker@mkhambathini.gov.za</t>
  </si>
  <si>
    <t>7310170539080</t>
  </si>
  <si>
    <t>Mrs</t>
  </si>
  <si>
    <t>Mrs. Nompumelelo Makhanya</t>
  </si>
  <si>
    <t>0317859316</t>
  </si>
  <si>
    <t>0826594155</t>
  </si>
  <si>
    <t>0317852121</t>
  </si>
  <si>
    <t>mpume.makhanya@mkhambathini.gov.za</t>
  </si>
  <si>
    <t>6011115589088</t>
  </si>
  <si>
    <t>Cllr E Ngcongo</t>
  </si>
  <si>
    <t>0317859318</t>
  </si>
  <si>
    <t>0723534647</t>
  </si>
  <si>
    <t>mayor@mkhambathini.gov.za</t>
  </si>
  <si>
    <t>7109040468086</t>
  </si>
  <si>
    <t>Cllr L.Z Lembethe</t>
  </si>
  <si>
    <t>031 785 9314</t>
  </si>
  <si>
    <t>0834667846</t>
  </si>
  <si>
    <t>deputymayor@mkhambathini.gov.za</t>
  </si>
  <si>
    <t>8503036087083</t>
  </si>
  <si>
    <t>Municipal Manager</t>
  </si>
  <si>
    <t>Mr Sanele Mngwengwe</t>
  </si>
  <si>
    <t>031 785 9520</t>
  </si>
  <si>
    <t>082 850 9555</t>
  </si>
  <si>
    <t>mm@mkhambathini.gov.za</t>
  </si>
  <si>
    <t>0317859307</t>
  </si>
  <si>
    <t>8910065413082</t>
  </si>
  <si>
    <t xml:space="preserve">Mr   </t>
  </si>
  <si>
    <t>03178593500</t>
  </si>
  <si>
    <t>0721100175</t>
  </si>
  <si>
    <t>cfo@mkhambathini.gov.za</t>
  </si>
  <si>
    <t>8105240556083</t>
  </si>
  <si>
    <t>Ms.Mpho Motsoeneng</t>
  </si>
  <si>
    <t>0317859319</t>
  </si>
  <si>
    <t>mpho.motsoeneng@mkhambathini.gov.za</t>
  </si>
  <si>
    <t>budget@mkhambathini.gov.za</t>
  </si>
  <si>
    <t>Thokozani Gambu</t>
  </si>
  <si>
    <t>Municipal Infrastructure Grant</t>
  </si>
  <si>
    <t>6710125530087</t>
  </si>
  <si>
    <t>Sipho Magcaba</t>
  </si>
  <si>
    <t>0317859354</t>
  </si>
  <si>
    <t>0822009808</t>
  </si>
  <si>
    <t>magcabas@mkhambathini.gov.za</t>
  </si>
  <si>
    <t>9406101281087</t>
  </si>
  <si>
    <t>Miss</t>
  </si>
  <si>
    <t>Nonkululeko Ngubane</t>
  </si>
  <si>
    <t>0317859326</t>
  </si>
  <si>
    <t>0791808234</t>
  </si>
  <si>
    <t>9611290379085</t>
  </si>
  <si>
    <t>Nokulunga Nkosi</t>
  </si>
  <si>
    <t>0733824086</t>
  </si>
  <si>
    <t>secretarymm@mkhambathini.gov.za</t>
  </si>
  <si>
    <t>031785 9300</t>
  </si>
  <si>
    <t>18 old main road</t>
  </si>
  <si>
    <t>Camperdown</t>
  </si>
  <si>
    <t>Private bag X04</t>
  </si>
  <si>
    <t>www.mkhambathini.gov.za</t>
  </si>
  <si>
    <t>Community Services Manager</t>
  </si>
  <si>
    <t>Technical Services Manager</t>
  </si>
  <si>
    <t>Corporate Services Manager</t>
  </si>
  <si>
    <t>Library Grant</t>
  </si>
  <si>
    <t>Standard Bank</t>
  </si>
  <si>
    <t>10 Monhs</t>
  </si>
  <si>
    <t>fixed</t>
  </si>
  <si>
    <t>no</t>
  </si>
  <si>
    <t>14/06/2021</t>
  </si>
  <si>
    <t>Municipal Infrastructure Grants</t>
  </si>
  <si>
    <t>Financial Management Grant</t>
  </si>
  <si>
    <t>Expanded Public Works Programme</t>
  </si>
  <si>
    <t>Library</t>
  </si>
  <si>
    <t>Equitable Share</t>
  </si>
  <si>
    <t>INEP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</si>
</sst>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2">
    <numFmt numFmtId="43" formatCode="_(* #,##0.00_);_(* \(#,##0.00\);_(* &quot;-&quot;??_);_(@_)"/>
    <numFmt numFmtId="164" formatCode="_ * #,##0.00_ ;_ * \-#,##0.00_ ;_ * &quot;-&quot;??_ ;_ @_ "/>
    <numFmt numFmtId="165" formatCode="_ * #,##0_ ;_ * \-#,##0_ ;_ * &quot;-&quot;??_ ;_ @_ "/>
    <numFmt numFmtId="166" formatCode="_ * #,##0.0_ ;_ * \-#,##0.0_ ;_ * &quot;-&quot;??_ ;_ @_ "/>
    <numFmt numFmtId="167" formatCode="#,###,;[Red]\(#,###,\)"/>
    <numFmt numFmtId="168" formatCode="0.0%"/>
    <numFmt numFmtId="169" formatCode="#,###,;\(#,###,\)"/>
    <numFmt numFmtId="170" formatCode="#,###,,;\(#,###,,\)"/>
    <numFmt numFmtId="171" formatCode="0.0%;[Red]\(0.0%\)"/>
    <numFmt numFmtId="172" formatCode="0.0"/>
    <numFmt numFmtId="173" formatCode="_(* #,##0,,_);_(* \(#,##0,,\);_(* &quot;–&quot;?_);_(@_)"/>
    <numFmt numFmtId="174" formatCode="_(* #,##0,_);_(* \(#,##0,\);_(* &quot;–&quot;?_);_(@_)"/>
    <numFmt numFmtId="175" formatCode="_(* #,##0_);_(* \(#,##0\);_(* &quot;–&quot;?_);_(@_)"/>
    <numFmt numFmtId="176" formatCode="_(* #,##0.0_);_(* \(#,##0.0\);_(* &quot;–&quot;?_);_(@_)"/>
    <numFmt numFmtId="177" formatCode="_(* #,##0.000000_);_(* \(#,##0.000000\);_(* &quot;–&quot;?_);_(@_)"/>
    <numFmt numFmtId="178" formatCode="_(* #,##0.00_);_(* \(#,##0.00\);_(* &quot;–&quot;?_);_(@_)"/>
    <numFmt numFmtId="179" formatCode="_(* #,##0.0%_);_(* \(#,##0.0%\);_(* &quot;–&quot;?_);_(@_)"/>
    <numFmt numFmtId="180" formatCode="[$-1C09]dd\ mmmm\ yyyy"/>
    <numFmt numFmtId="181" formatCode="_ * #,##0.0000_ ;_ * \-#,##0.0000_ ;_ * &quot;-&quot;??_ ;_ @_ "/>
    <numFmt numFmtId="182" formatCode="yyyymmdd"/>
    <numFmt numFmtId="183" formatCode="0.000000"/>
    <numFmt numFmtId="184" formatCode="0.0000"/>
  </numFmts>
  <fonts count="67"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8"/>
      <name val="Arial"/>
      <family val="2"/>
    </font>
    <font>
      <b/>
      <sz val="10"/>
      <name val="Arial"/>
      <family val="2"/>
    </font>
    <font>
      <sz val="8"/>
      <name val="Arial"/>
      <family val="2"/>
    </font>
    <font>
      <b/>
      <sz val="8"/>
      <name val="Arial"/>
      <family val="2"/>
    </font>
    <font>
      <u/>
      <sz val="10"/>
      <color indexed="12"/>
      <name val="Arial"/>
      <family val="2"/>
    </font>
    <font>
      <sz val="10"/>
      <name val="Arial Narrow"/>
      <family val="2"/>
    </font>
    <font>
      <u/>
      <sz val="8"/>
      <name val="Arial"/>
      <family val="2"/>
    </font>
    <font>
      <b/>
      <sz val="10"/>
      <name val="Arial Narrow"/>
      <family val="2"/>
    </font>
    <font>
      <b/>
      <i/>
      <sz val="8"/>
      <name val="Arial"/>
      <family val="2"/>
    </font>
    <font>
      <i/>
      <sz val="8"/>
      <name val="Arial"/>
      <family val="2"/>
    </font>
    <font>
      <sz val="8"/>
      <name val="Arial Narrow"/>
      <family val="2"/>
    </font>
    <font>
      <b/>
      <sz val="8"/>
      <color indexed="9"/>
      <name val="Arial"/>
      <family val="2"/>
    </font>
    <font>
      <b/>
      <sz val="8"/>
      <name val="Arial Narrow"/>
      <family val="2"/>
    </font>
    <font>
      <b/>
      <i/>
      <sz val="8"/>
      <name val="Arial Narrow"/>
      <family val="2"/>
    </font>
    <font>
      <b/>
      <u/>
      <sz val="8"/>
      <name val="Arial Narrow"/>
      <family val="2"/>
    </font>
    <font>
      <i/>
      <sz val="8"/>
      <name val="Arial Narrow"/>
      <family val="2"/>
    </font>
    <font>
      <i/>
      <u/>
      <sz val="8"/>
      <name val="Arial Narrow"/>
      <family val="2"/>
    </font>
    <font>
      <u/>
      <sz val="8"/>
      <name val="Arial Narrow"/>
      <family val="2"/>
    </font>
    <font>
      <b/>
      <i/>
      <u/>
      <sz val="8"/>
      <name val="Arial Narrow"/>
      <family val="2"/>
    </font>
    <font>
      <b/>
      <sz val="14"/>
      <color indexed="10"/>
      <name val="Arial"/>
      <family val="2"/>
    </font>
    <font>
      <sz val="10"/>
      <name val="Arial"/>
      <family val="2"/>
    </font>
    <font>
      <sz val="10"/>
      <name val="Arial Narrow"/>
      <family val="2"/>
    </font>
    <font>
      <sz val="8"/>
      <name val="Arial Narrow"/>
      <family val="2"/>
    </font>
    <font>
      <sz val="10"/>
      <color indexed="9"/>
      <name val="Arial"/>
      <family val="2"/>
    </font>
    <font>
      <b/>
      <sz val="11"/>
      <name val="Arial Narrow"/>
      <family val="2"/>
    </font>
    <font>
      <sz val="10"/>
      <name val="Arial"/>
      <family val="2"/>
    </font>
    <font>
      <sz val="10"/>
      <color indexed="8"/>
      <name val="Arial"/>
      <family val="2"/>
    </font>
    <font>
      <b/>
      <u/>
      <sz val="9"/>
      <name val="Arial Narrow"/>
      <family val="2"/>
    </font>
    <font>
      <sz val="9"/>
      <name val="Arial Narrow"/>
      <family val="2"/>
    </font>
    <font>
      <b/>
      <sz val="9"/>
      <name val="Arial Narrow"/>
      <family val="2"/>
    </font>
    <font>
      <sz val="9"/>
      <name val="Cambria"/>
      <family val="1"/>
    </font>
    <font>
      <b/>
      <sz val="9"/>
      <color indexed="10"/>
      <name val="Arial Narrow"/>
      <family val="2"/>
    </font>
    <font>
      <b/>
      <sz val="9"/>
      <color indexed="10"/>
      <name val="Wingdings"/>
      <charset val="2"/>
    </font>
    <font>
      <b/>
      <i/>
      <sz val="10"/>
      <name val="Arial"/>
      <family val="2"/>
    </font>
    <font>
      <u/>
      <sz val="10"/>
      <color indexed="12"/>
      <name val="Arial Narrow"/>
      <family val="2"/>
    </font>
    <font>
      <i/>
      <sz val="12"/>
      <name val="Arial Narrow"/>
      <family val="2"/>
    </font>
    <font>
      <i/>
      <sz val="8"/>
      <color indexed="10"/>
      <name val="Arial Narrow"/>
      <family val="2"/>
    </font>
    <font>
      <b/>
      <strike/>
      <sz val="8"/>
      <color indexed="10"/>
      <name val="Arial Narrow"/>
      <family val="2"/>
    </font>
    <font>
      <b/>
      <sz val="8"/>
      <name val="Calibri"/>
      <family val="2"/>
    </font>
    <font>
      <sz val="11"/>
      <color theme="1"/>
      <name val="Calibri"/>
      <family val="2"/>
      <scheme val="minor"/>
    </font>
    <font>
      <b/>
      <sz val="9"/>
      <color rgb="FFFF0000"/>
      <name val="Arial Narrow"/>
      <family val="2"/>
    </font>
    <font>
      <sz val="9"/>
      <color rgb="FFFF0000"/>
      <name val="Arial Narrow"/>
      <family val="2"/>
    </font>
    <font>
      <sz val="9"/>
      <color rgb="FFFF0000"/>
      <name val="Wingdings"/>
      <charset val="2"/>
    </font>
    <font>
      <sz val="8"/>
      <color rgb="FFFF0000"/>
      <name val="Arial Narrow"/>
      <family val="2"/>
    </font>
    <font>
      <i/>
      <sz val="8"/>
      <color theme="0"/>
      <name val="Arial"/>
      <family val="2"/>
    </font>
    <font>
      <b/>
      <i/>
      <sz val="8"/>
      <color theme="0"/>
      <name val="Arial"/>
      <family val="2"/>
    </font>
    <font>
      <sz val="10"/>
      <color rgb="FF000000"/>
      <name val="Arial"/>
      <family val="2"/>
    </font>
    <font>
      <sz val="8"/>
      <color theme="1"/>
      <name val="Arial Narrow"/>
      <family val="2"/>
    </font>
    <font>
      <sz val="8"/>
      <color theme="0"/>
      <name val="Arial Narrow"/>
      <family val="2"/>
    </font>
    <font>
      <b/>
      <sz val="8"/>
      <color rgb="FFFF0000"/>
      <name val="Arial Narrow"/>
      <family val="2"/>
    </font>
    <font>
      <b/>
      <i/>
      <sz val="8"/>
      <color theme="1"/>
      <name val="Arial Narrow"/>
      <family val="2"/>
    </font>
    <font>
      <b/>
      <sz val="8"/>
      <color theme="1"/>
      <name val="Arial Narrow"/>
      <family val="2"/>
    </font>
    <font>
      <i/>
      <sz val="10"/>
      <name val="Arial"/>
      <family val="2"/>
    </font>
    <font>
      <sz val="10"/>
      <color theme="0"/>
      <name val="Arial Narrow"/>
      <family val="2"/>
    </font>
    <font>
      <sz val="10"/>
      <color theme="0"/>
      <name val="Arial"/>
      <family val="2"/>
    </font>
    <font>
      <sz val="11"/>
      <color theme="0"/>
      <name val="Calibri"/>
      <family val="2"/>
      <scheme val="minor"/>
    </font>
    <font>
      <i/>
      <sz val="8"/>
      <color theme="0"/>
      <name val="Arial Narrow"/>
      <family val="2"/>
    </font>
    <font>
      <b/>
      <sz val="8"/>
      <color theme="0"/>
      <name val="Arial Narrow"/>
      <family val="2"/>
    </font>
    <font>
      <sz val="10"/>
      <color rgb="FFFF0000"/>
      <name val="Arial Narrow"/>
      <family val="2"/>
    </font>
    <font>
      <sz val="10"/>
      <color rgb="FFFF0000"/>
      <name val="Arial"/>
      <family val="2"/>
    </font>
  </fonts>
  <fills count="19">
    <fill>
      <patternFill patternType="none"/>
    </fill>
    <fill>
      <patternFill patternType="gray125"/>
    </fill>
    <fill>
      <patternFill patternType="solid">
        <fgColor indexed="22"/>
        <bgColor indexed="64"/>
      </patternFill>
    </fill>
    <fill>
      <patternFill patternType="solid">
        <fgColor indexed="15"/>
        <bgColor indexed="64"/>
      </patternFill>
    </fill>
    <fill>
      <patternFill patternType="solid">
        <fgColor indexed="13"/>
        <bgColor indexed="64"/>
      </patternFill>
    </fill>
    <fill>
      <patternFill patternType="solid">
        <fgColor indexed="49"/>
        <bgColor indexed="64"/>
      </patternFill>
    </fill>
    <fill>
      <patternFill patternType="solid">
        <fgColor indexed="10"/>
        <bgColor indexed="64"/>
      </patternFill>
    </fill>
    <fill>
      <patternFill patternType="solid">
        <fgColor indexed="51"/>
        <bgColor indexed="64"/>
      </patternFill>
    </fill>
    <fill>
      <patternFill patternType="solid">
        <fgColor indexed="44"/>
        <bgColor indexed="64"/>
      </patternFill>
    </fill>
    <fill>
      <patternFill patternType="solid">
        <fgColor indexed="45"/>
        <bgColor indexed="64"/>
      </patternFill>
    </fill>
    <fill>
      <patternFill patternType="solid">
        <fgColor indexed="41"/>
        <bgColor indexed="64"/>
      </patternFill>
    </fill>
    <fill>
      <patternFill patternType="solid">
        <fgColor indexed="42"/>
        <bgColor indexed="64"/>
      </patternFill>
    </fill>
    <fill>
      <patternFill patternType="solid">
        <fgColor rgb="FFFFFF99"/>
        <bgColor indexed="64"/>
      </patternFill>
    </fill>
    <fill>
      <patternFill patternType="solid">
        <fgColor theme="0" tint="-0.14999847407452621"/>
        <bgColor indexed="64"/>
      </patternFill>
    </fill>
    <fill>
      <patternFill patternType="solid">
        <fgColor rgb="FF002060"/>
        <bgColor indexed="64"/>
      </patternFill>
    </fill>
    <fill>
      <patternFill patternType="solid">
        <fgColor theme="0" tint="-0.249977111117893"/>
        <bgColor indexed="64"/>
      </patternFill>
    </fill>
    <fill>
      <patternFill patternType="solid">
        <fgColor rgb="FFFFFF9F"/>
        <bgColor indexed="64"/>
      </patternFill>
    </fill>
    <fill>
      <patternFill patternType="solid">
        <fgColor theme="0"/>
        <bgColor indexed="64"/>
      </patternFill>
    </fill>
    <fill>
      <patternFill patternType="solid">
        <fgColor rgb="FFFFFF00"/>
        <bgColor indexed="64"/>
      </patternFill>
    </fill>
  </fills>
  <borders count="103">
    <border>
      <left/>
      <right/>
      <top/>
      <bottom/>
      <diagonal/>
    </border>
    <border>
      <left style="thin">
        <color indexed="64"/>
      </left>
      <right style="thin">
        <color indexed="64"/>
      </right>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hair">
        <color indexed="64"/>
      </left>
      <right style="hair">
        <color indexed="64"/>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bottom/>
      <diagonal/>
    </border>
    <border>
      <left/>
      <right style="thin">
        <color indexed="64"/>
      </right>
      <top/>
      <bottom/>
      <diagonal/>
    </border>
    <border>
      <left/>
      <right style="thin">
        <color indexed="64"/>
      </right>
      <top/>
      <bottom style="thin">
        <color indexed="64"/>
      </bottom>
      <diagonal/>
    </border>
    <border>
      <left style="hair">
        <color indexed="64"/>
      </left>
      <right style="hair">
        <color indexed="64"/>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style="thin">
        <color indexed="64"/>
      </right>
      <top style="hair">
        <color indexed="64"/>
      </top>
      <bottom/>
      <diagonal/>
    </border>
    <border>
      <left style="thin">
        <color indexed="64"/>
      </left>
      <right style="hair">
        <color indexed="64"/>
      </right>
      <top style="thin">
        <color indexed="64"/>
      </top>
      <bottom/>
      <diagonal/>
    </border>
    <border>
      <left style="hair">
        <color indexed="64"/>
      </left>
      <right style="hair">
        <color indexed="64"/>
      </right>
      <top style="hair">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bottom/>
      <diagonal/>
    </border>
    <border>
      <left/>
      <right/>
      <top style="hair">
        <color indexed="64"/>
      </top>
      <bottom/>
      <diagonal/>
    </border>
    <border>
      <left/>
      <right style="thin">
        <color indexed="64"/>
      </right>
      <top style="hair">
        <color indexed="64"/>
      </top>
      <bottom/>
      <diagonal/>
    </border>
    <border>
      <left style="thin">
        <color indexed="64"/>
      </left>
      <right/>
      <top style="hair">
        <color indexed="64"/>
      </top>
      <bottom/>
      <diagonal/>
    </border>
    <border>
      <left style="thin">
        <color indexed="64"/>
      </left>
      <right style="hair">
        <color indexed="64"/>
      </right>
      <top style="hair">
        <color indexed="64"/>
      </top>
      <bottom/>
      <diagonal/>
    </border>
    <border>
      <left style="thin">
        <color indexed="64"/>
      </left>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bottom style="thin">
        <color indexed="64"/>
      </bottom>
      <diagonal/>
    </border>
    <border>
      <left/>
      <right/>
      <top style="thin">
        <color indexed="64"/>
      </top>
      <bottom style="double">
        <color indexed="64"/>
      </bottom>
      <diagonal/>
    </border>
    <border>
      <left style="hair">
        <color indexed="64"/>
      </left>
      <right/>
      <top style="thin">
        <color indexed="64"/>
      </top>
      <bottom/>
      <diagonal/>
    </border>
    <border>
      <left style="hair">
        <color indexed="64"/>
      </left>
      <right/>
      <top/>
      <bottom/>
      <diagonal/>
    </border>
    <border>
      <left style="thin">
        <color indexed="64"/>
      </left>
      <right/>
      <top/>
      <bottom style="hair">
        <color indexed="64"/>
      </bottom>
      <diagonal/>
    </border>
    <border>
      <left style="hair">
        <color indexed="64"/>
      </left>
      <right/>
      <top/>
      <bottom style="hair">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right style="thin">
        <color indexed="64"/>
      </right>
      <top/>
      <bottom style="hair">
        <color indexed="64"/>
      </bottom>
      <diagonal/>
    </border>
    <border>
      <left/>
      <right/>
      <top/>
      <bottom style="hair">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hair">
        <color indexed="64"/>
      </left>
      <right/>
      <top/>
      <bottom style="thin">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hair">
        <color indexed="64"/>
      </left>
      <right style="thin">
        <color indexed="64"/>
      </right>
      <top style="hair">
        <color indexed="64"/>
      </top>
      <bottom/>
      <diagonal/>
    </border>
    <border>
      <left style="hair">
        <color indexed="64"/>
      </left>
      <right/>
      <top style="hair">
        <color indexed="64"/>
      </top>
      <bottom/>
      <diagonal/>
    </border>
    <border>
      <left style="thin">
        <color indexed="64"/>
      </left>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right style="hair">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right style="hair">
        <color indexed="64"/>
      </right>
      <top/>
      <bottom style="thin">
        <color indexed="64"/>
      </bottom>
      <diagonal/>
    </border>
    <border>
      <left/>
      <right/>
      <top style="thin">
        <color indexed="64"/>
      </top>
      <bottom style="thin">
        <color indexed="64"/>
      </bottom>
      <diagonal/>
    </border>
    <border>
      <left style="hair">
        <color indexed="64"/>
      </left>
      <right style="thin">
        <color indexed="64"/>
      </right>
      <top/>
      <bottom style="hair">
        <color indexed="64"/>
      </bottom>
      <diagonal/>
    </border>
    <border>
      <left style="thin">
        <color indexed="64"/>
      </left>
      <right style="thin">
        <color indexed="64"/>
      </right>
      <top/>
      <bottom style="hair">
        <color indexed="64"/>
      </bottom>
      <diagonal/>
    </border>
    <border>
      <left/>
      <right style="hair">
        <color indexed="64"/>
      </right>
      <top/>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top style="hair">
        <color indexed="64"/>
      </top>
      <bottom style="hair">
        <color indexed="64"/>
      </bottom>
      <diagonal/>
    </border>
    <border>
      <left/>
      <right style="hair">
        <color indexed="64"/>
      </right>
      <top style="hair">
        <color indexed="64"/>
      </top>
      <bottom/>
      <diagonal/>
    </border>
    <border>
      <left/>
      <right style="thin">
        <color indexed="64"/>
      </right>
      <top style="double">
        <color indexed="64"/>
      </top>
      <bottom/>
      <diagonal/>
    </border>
    <border>
      <left/>
      <right style="hair">
        <color indexed="64"/>
      </right>
      <top style="thin">
        <color indexed="64"/>
      </top>
      <bottom/>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thin">
        <color indexed="64"/>
      </right>
      <top/>
      <bottom style="medium">
        <color indexed="64"/>
      </bottom>
      <diagonal/>
    </border>
    <border>
      <left style="thin">
        <color indexed="64"/>
      </left>
      <right style="hair">
        <color indexed="64"/>
      </right>
      <top style="medium">
        <color indexed="64"/>
      </top>
      <bottom/>
      <diagonal/>
    </border>
    <border>
      <left style="hair">
        <color indexed="64"/>
      </left>
      <right style="hair">
        <color indexed="64"/>
      </right>
      <top style="medium">
        <color indexed="64"/>
      </top>
      <bottom/>
      <diagonal/>
    </border>
    <border>
      <left style="hair">
        <color indexed="64"/>
      </left>
      <right style="thin">
        <color indexed="64"/>
      </right>
      <top style="medium">
        <color indexed="64"/>
      </top>
      <bottom/>
      <diagonal/>
    </border>
    <border>
      <left style="thin">
        <color indexed="64"/>
      </left>
      <right style="hair">
        <color indexed="64"/>
      </right>
      <top style="thin">
        <color indexed="64"/>
      </top>
      <bottom style="double">
        <color indexed="64"/>
      </bottom>
      <diagonal/>
    </border>
    <border>
      <left style="hair">
        <color indexed="64"/>
      </left>
      <right style="hair">
        <color indexed="64"/>
      </right>
      <top style="thin">
        <color indexed="64"/>
      </top>
      <bottom style="double">
        <color indexed="64"/>
      </bottom>
      <diagonal/>
    </border>
    <border>
      <left style="hair">
        <color indexed="64"/>
      </left>
      <right style="thin">
        <color indexed="64"/>
      </right>
      <top style="thin">
        <color indexed="64"/>
      </top>
      <bottom style="double">
        <color indexed="64"/>
      </bottom>
      <diagonal/>
    </border>
    <border>
      <left/>
      <right style="hair">
        <color indexed="64"/>
      </right>
      <top style="hair">
        <color indexed="64"/>
      </top>
      <bottom style="hair">
        <color indexed="64"/>
      </bottom>
      <diagonal/>
    </border>
    <border>
      <left style="hair">
        <color indexed="64"/>
      </left>
      <right/>
      <top style="thin">
        <color indexed="64"/>
      </top>
      <bottom style="hair">
        <color indexed="64"/>
      </bottom>
      <diagonal/>
    </border>
    <border>
      <left/>
      <right style="hair">
        <color indexed="64"/>
      </right>
      <top/>
      <bottom style="hair">
        <color indexed="64"/>
      </bottom>
      <diagonal/>
    </border>
    <border>
      <left style="thin">
        <color indexed="64"/>
      </left>
      <right/>
      <top style="thick">
        <color indexed="64"/>
      </top>
      <bottom/>
      <diagonal/>
    </border>
    <border>
      <left/>
      <right style="thin">
        <color indexed="64"/>
      </right>
      <top style="thick">
        <color indexed="64"/>
      </top>
      <bottom/>
      <diagonal/>
    </border>
    <border>
      <left style="thin">
        <color indexed="64"/>
      </left>
      <right style="thin">
        <color indexed="64"/>
      </right>
      <top style="thin">
        <color indexed="64"/>
      </top>
      <bottom style="thick">
        <color indexed="64"/>
      </bottom>
      <diagonal/>
    </border>
    <border>
      <left style="thin">
        <color indexed="64"/>
      </left>
      <right/>
      <top style="thin">
        <color indexed="64"/>
      </top>
      <bottom style="thick">
        <color indexed="64"/>
      </bottom>
      <diagonal/>
    </border>
    <border>
      <left/>
      <right style="thin">
        <color indexed="64"/>
      </right>
      <top style="thin">
        <color indexed="64"/>
      </top>
      <bottom style="thick">
        <color indexed="64"/>
      </bottom>
      <diagonal/>
    </border>
    <border>
      <left style="thin">
        <color indexed="64"/>
      </left>
      <right/>
      <top style="thick">
        <color indexed="64"/>
      </top>
      <bottom style="thin">
        <color indexed="64"/>
      </bottom>
      <diagonal/>
    </border>
    <border>
      <left/>
      <right style="thin">
        <color indexed="64"/>
      </right>
      <top style="thick">
        <color indexed="64"/>
      </top>
      <bottom style="thin">
        <color indexed="64"/>
      </bottom>
      <diagonal/>
    </border>
    <border>
      <left style="thin">
        <color indexed="64"/>
      </left>
      <right/>
      <top/>
      <bottom style="thick">
        <color indexed="64"/>
      </bottom>
      <diagonal/>
    </border>
    <border>
      <left/>
      <right style="thin">
        <color indexed="64"/>
      </right>
      <top/>
      <bottom style="thick">
        <color indexed="64"/>
      </bottom>
      <diagonal/>
    </border>
    <border>
      <left/>
      <right/>
      <top style="medium">
        <color indexed="64"/>
      </top>
      <bottom style="medium">
        <color indexed="64"/>
      </bottom>
      <diagonal/>
    </border>
  </borders>
  <cellStyleXfs count="45">
    <xf numFmtId="0" fontId="0" fillId="0" borderId="0"/>
    <xf numFmtId="164" fontId="6" fillId="0" borderId="0" applyFont="0" applyFill="0" applyBorder="0" applyAlignment="0" applyProtection="0"/>
    <xf numFmtId="0" fontId="11" fillId="0" borderId="0" applyNumberFormat="0" applyFill="0" applyBorder="0" applyAlignment="0" applyProtection="0">
      <alignment vertical="top"/>
      <protection locked="0"/>
    </xf>
    <xf numFmtId="0" fontId="8" fillId="0" borderId="0" applyNumberFormat="0" applyFont="0" applyFill="0" applyBorder="0" applyAlignment="0" applyProtection="0">
      <alignment vertical="top"/>
      <protection locked="0"/>
    </xf>
    <xf numFmtId="0" fontId="8" fillId="0" borderId="0" applyNumberFormat="0" applyFont="0" applyFill="0" applyBorder="0" applyAlignment="0" applyProtection="0">
      <alignment vertical="top"/>
      <protection locked="0"/>
    </xf>
    <xf numFmtId="0" fontId="27" fillId="0" borderId="0"/>
    <xf numFmtId="0" fontId="28" fillId="0" borderId="0"/>
    <xf numFmtId="9" fontId="6" fillId="0" borderId="0" applyFont="0" applyFill="0" applyBorder="0" applyAlignment="0" applyProtection="0"/>
    <xf numFmtId="9" fontId="32" fillId="0" borderId="0" applyFont="0" applyFill="0" applyBorder="0" applyAlignment="0" applyProtection="0"/>
    <xf numFmtId="0" fontId="46" fillId="0" borderId="0"/>
    <xf numFmtId="0" fontId="6" fillId="0" borderId="0"/>
    <xf numFmtId="0" fontId="6" fillId="0" borderId="0"/>
    <xf numFmtId="9" fontId="6" fillId="0" borderId="0" applyFont="0" applyFill="0" applyBorder="0" applyAlignment="0" applyProtection="0"/>
    <xf numFmtId="0" fontId="6"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3"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1" fillId="0" borderId="0"/>
  </cellStyleXfs>
  <cellXfs count="2518">
    <xf numFmtId="0" fontId="0" fillId="0" borderId="0" xfId="0"/>
    <xf numFmtId="0" fontId="9" fillId="0" borderId="0" xfId="0" applyFont="1"/>
    <xf numFmtId="0" fontId="7" fillId="0" borderId="0" xfId="0" applyFont="1"/>
    <xf numFmtId="0" fontId="10" fillId="0" borderId="0" xfId="0" applyFont="1"/>
    <xf numFmtId="0" fontId="7" fillId="0" borderId="1" xfId="0" applyFont="1" applyBorder="1" applyAlignment="1">
      <alignment horizontal="center"/>
    </xf>
    <xf numFmtId="0" fontId="7" fillId="0" borderId="0" xfId="0" applyFont="1" applyBorder="1"/>
    <xf numFmtId="0" fontId="7" fillId="0" borderId="2" xfId="0" applyFont="1" applyBorder="1"/>
    <xf numFmtId="0" fontId="7" fillId="0" borderId="3" xfId="0" applyFont="1" applyBorder="1"/>
    <xf numFmtId="0" fontId="7" fillId="0" borderId="1" xfId="0" applyFont="1" applyBorder="1"/>
    <xf numFmtId="0" fontId="7" fillId="0" borderId="4" xfId="0" applyFont="1" applyBorder="1"/>
    <xf numFmtId="0" fontId="7" fillId="0" borderId="5" xfId="0" applyFont="1" applyBorder="1"/>
    <xf numFmtId="0" fontId="7" fillId="0" borderId="6" xfId="0" applyFont="1" applyBorder="1" applyAlignment="1">
      <alignment horizontal="center"/>
    </xf>
    <xf numFmtId="0" fontId="7" fillId="0" borderId="4" xfId="0" applyFont="1" applyBorder="1" applyAlignment="1">
      <alignment horizontal="center"/>
    </xf>
    <xf numFmtId="0" fontId="7" fillId="0" borderId="7" xfId="0" applyFont="1" applyBorder="1" applyAlignment="1">
      <alignment horizontal="center"/>
    </xf>
    <xf numFmtId="0" fontId="7" fillId="0" borderId="2" xfId="0" applyFont="1" applyBorder="1" applyAlignment="1">
      <alignment horizontal="center"/>
    </xf>
    <xf numFmtId="0" fontId="7" fillId="0" borderId="3" xfId="0" applyFont="1" applyBorder="1" applyAlignment="1">
      <alignment horizontal="center"/>
    </xf>
    <xf numFmtId="0" fontId="19" fillId="0" borderId="5" xfId="0" applyFont="1" applyFill="1" applyBorder="1" applyAlignment="1">
      <alignment horizontal="centerContinuous"/>
    </xf>
    <xf numFmtId="0" fontId="17" fillId="0" borderId="0" xfId="0" applyFont="1"/>
    <xf numFmtId="0" fontId="19" fillId="0" borderId="12" xfId="0" applyFont="1" applyFill="1" applyBorder="1" applyAlignment="1">
      <alignment horizontal="center" vertical="center" wrapText="1"/>
    </xf>
    <xf numFmtId="173" fontId="17" fillId="0" borderId="2" xfId="0" applyNumberFormat="1" applyFont="1" applyBorder="1"/>
    <xf numFmtId="173" fontId="17" fillId="0" borderId="13" xfId="0" applyNumberFormat="1" applyFont="1" applyBorder="1"/>
    <xf numFmtId="173" fontId="17" fillId="0" borderId="14" xfId="0" applyNumberFormat="1" applyFont="1" applyBorder="1"/>
    <xf numFmtId="173" fontId="17" fillId="0" borderId="0" xfId="0" applyNumberFormat="1" applyFont="1" applyBorder="1"/>
    <xf numFmtId="173" fontId="17" fillId="0" borderId="2" xfId="0" applyNumberFormat="1" applyFont="1" applyFill="1" applyBorder="1"/>
    <xf numFmtId="173" fontId="17" fillId="0" borderId="13" xfId="0" applyNumberFormat="1" applyFont="1" applyFill="1" applyBorder="1"/>
    <xf numFmtId="173" fontId="17" fillId="0" borderId="14" xfId="0" applyNumberFormat="1" applyFont="1" applyFill="1" applyBorder="1"/>
    <xf numFmtId="173" fontId="17" fillId="0" borderId="7" xfId="0" applyNumberFormat="1" applyFont="1" applyBorder="1"/>
    <xf numFmtId="173" fontId="17" fillId="0" borderId="16" xfId="0" applyNumberFormat="1" applyFont="1" applyBorder="1"/>
    <xf numFmtId="173" fontId="17" fillId="0" borderId="17" xfId="0" applyNumberFormat="1" applyFont="1" applyBorder="1"/>
    <xf numFmtId="173" fontId="17" fillId="0" borderId="18" xfId="0" applyNumberFormat="1" applyFont="1" applyBorder="1"/>
    <xf numFmtId="173" fontId="19" fillId="0" borderId="2" xfId="0" applyNumberFormat="1" applyFont="1" applyBorder="1"/>
    <xf numFmtId="173" fontId="19" fillId="0" borderId="13" xfId="0" applyNumberFormat="1" applyFont="1" applyBorder="1"/>
    <xf numFmtId="173" fontId="19" fillId="0" borderId="14" xfId="0" applyNumberFormat="1" applyFont="1" applyBorder="1"/>
    <xf numFmtId="173" fontId="19" fillId="0" borderId="0" xfId="0" applyNumberFormat="1" applyFont="1" applyBorder="1"/>
    <xf numFmtId="173" fontId="17" fillId="0" borderId="3" xfId="0" applyNumberFormat="1" applyFont="1" applyBorder="1"/>
    <xf numFmtId="173" fontId="17" fillId="0" borderId="8" xfId="0" applyNumberFormat="1" applyFont="1" applyBorder="1"/>
    <xf numFmtId="173" fontId="17" fillId="0" borderId="15" xfId="0" applyNumberFormat="1" applyFont="1" applyBorder="1"/>
    <xf numFmtId="173" fontId="17" fillId="0" borderId="5" xfId="0" applyNumberFormat="1" applyFont="1" applyBorder="1"/>
    <xf numFmtId="0" fontId="17" fillId="0" borderId="0" xfId="0" applyFont="1" applyAlignment="1">
      <alignment horizontal="left" wrapText="1"/>
    </xf>
    <xf numFmtId="174" fontId="17" fillId="0" borderId="13" xfId="0" applyNumberFormat="1" applyFont="1" applyFill="1" applyBorder="1"/>
    <xf numFmtId="174" fontId="17" fillId="0" borderId="0" xfId="0" applyNumberFormat="1" applyFont="1" applyFill="1" applyBorder="1"/>
    <xf numFmtId="174" fontId="17" fillId="0" borderId="24" xfId="0" applyNumberFormat="1" applyFont="1" applyFill="1" applyBorder="1"/>
    <xf numFmtId="0" fontId="17" fillId="0" borderId="0" xfId="0" applyFont="1" applyBorder="1"/>
    <xf numFmtId="174" fontId="17" fillId="0" borderId="13" xfId="1" applyNumberFormat="1" applyFont="1" applyFill="1" applyBorder="1"/>
    <xf numFmtId="174" fontId="17" fillId="0" borderId="2" xfId="1" applyNumberFormat="1" applyFont="1" applyFill="1" applyBorder="1"/>
    <xf numFmtId="174" fontId="17" fillId="0" borderId="0" xfId="1" applyNumberFormat="1" applyFont="1" applyFill="1" applyBorder="1"/>
    <xf numFmtId="174" fontId="17" fillId="0" borderId="14" xfId="1" applyNumberFormat="1" applyFont="1" applyFill="1" applyBorder="1"/>
    <xf numFmtId="0" fontId="19" fillId="0" borderId="2" xfId="0" applyNumberFormat="1" applyFont="1" applyBorder="1" applyAlignment="1">
      <alignment horizontal="left" wrapText="1"/>
    </xf>
    <xf numFmtId="174" fontId="17" fillId="0" borderId="21" xfId="0" applyNumberFormat="1" applyFont="1" applyFill="1" applyBorder="1"/>
    <xf numFmtId="0" fontId="17" fillId="0" borderId="0" xfId="0" applyFont="1" applyFill="1"/>
    <xf numFmtId="0" fontId="19" fillId="0" borderId="5" xfId="0" applyFont="1" applyFill="1" applyBorder="1" applyAlignment="1">
      <alignment horizontal="center" vertical="center" wrapText="1"/>
    </xf>
    <xf numFmtId="0" fontId="19" fillId="0" borderId="15" xfId="0" applyFont="1" applyFill="1" applyBorder="1" applyAlignment="1">
      <alignment horizontal="center" vertical="center" wrapText="1"/>
    </xf>
    <xf numFmtId="174" fontId="17" fillId="0" borderId="44" xfId="0" applyNumberFormat="1" applyFont="1" applyFill="1" applyBorder="1"/>
    <xf numFmtId="174" fontId="17" fillId="0" borderId="53" xfId="0" applyNumberFormat="1" applyFont="1" applyFill="1" applyBorder="1"/>
    <xf numFmtId="173" fontId="17" fillId="0" borderId="0" xfId="0" applyNumberFormat="1" applyFont="1" applyFill="1" applyBorder="1"/>
    <xf numFmtId="0" fontId="17" fillId="0" borderId="0" xfId="0" applyFont="1" applyAlignment="1" applyProtection="1">
      <alignment horizontal="center"/>
    </xf>
    <xf numFmtId="4" fontId="17" fillId="0" borderId="0" xfId="0" applyNumberFormat="1" applyFont="1" applyProtection="1"/>
    <xf numFmtId="10" fontId="17" fillId="0" borderId="0" xfId="0" applyNumberFormat="1" applyFont="1" applyProtection="1"/>
    <xf numFmtId="0" fontId="17" fillId="0" borderId="0" xfId="0" applyFont="1" applyProtection="1"/>
    <xf numFmtId="0" fontId="21" fillId="0" borderId="6" xfId="0" applyNumberFormat="1" applyFont="1" applyBorder="1"/>
    <xf numFmtId="0" fontId="17" fillId="0" borderId="1" xfId="0" applyNumberFormat="1" applyFont="1" applyBorder="1" applyAlignment="1">
      <alignment horizontal="left" indent="1"/>
    </xf>
    <xf numFmtId="0" fontId="19" fillId="0" borderId="1" xfId="0" applyNumberFormat="1" applyFont="1" applyBorder="1"/>
    <xf numFmtId="173" fontId="17" fillId="0" borderId="8" xfId="0" applyNumberFormat="1" applyFont="1" applyFill="1" applyBorder="1"/>
    <xf numFmtId="173" fontId="17" fillId="0" borderId="15" xfId="0" applyNumberFormat="1" applyFont="1" applyFill="1" applyBorder="1"/>
    <xf numFmtId="173" fontId="17" fillId="0" borderId="3" xfId="0" applyNumberFormat="1" applyFont="1" applyFill="1" applyBorder="1"/>
    <xf numFmtId="173" fontId="17" fillId="0" borderId="5" xfId="0" applyNumberFormat="1" applyFont="1" applyFill="1" applyBorder="1"/>
    <xf numFmtId="0" fontId="21" fillId="0" borderId="1" xfId="0" applyNumberFormat="1" applyFont="1" applyBorder="1"/>
    <xf numFmtId="0" fontId="17" fillId="0" borderId="4" xfId="0" applyFont="1" applyBorder="1"/>
    <xf numFmtId="0" fontId="26" fillId="0" borderId="0" xfId="0" applyFont="1"/>
    <xf numFmtId="16" fontId="7" fillId="0" borderId="1" xfId="0" quotePrefix="1" applyNumberFormat="1" applyFont="1" applyBorder="1" applyAlignment="1">
      <alignment horizontal="center"/>
    </xf>
    <xf numFmtId="0" fontId="7" fillId="0" borderId="1" xfId="0" quotePrefix="1" applyFont="1" applyBorder="1" applyAlignment="1">
      <alignment horizontal="center"/>
    </xf>
    <xf numFmtId="174" fontId="17" fillId="0" borderId="13" xfId="0" applyNumberFormat="1" applyFont="1" applyFill="1" applyBorder="1" applyProtection="1"/>
    <xf numFmtId="174" fontId="17" fillId="0" borderId="14" xfId="0" applyNumberFormat="1" applyFont="1" applyFill="1" applyBorder="1" applyProtection="1"/>
    <xf numFmtId="174" fontId="17" fillId="0" borderId="2" xfId="0" applyNumberFormat="1" applyFont="1" applyFill="1" applyBorder="1" applyProtection="1"/>
    <xf numFmtId="174" fontId="17" fillId="0" borderId="0" xfId="0" applyNumberFormat="1" applyFont="1" applyFill="1" applyBorder="1" applyProtection="1"/>
    <xf numFmtId="174" fontId="17" fillId="0" borderId="24" xfId="0" applyNumberFormat="1" applyFont="1" applyFill="1" applyBorder="1" applyProtection="1"/>
    <xf numFmtId="174" fontId="17" fillId="0" borderId="13" xfId="0" applyNumberFormat="1" applyFont="1" applyFill="1" applyBorder="1" applyAlignment="1" applyProtection="1"/>
    <xf numFmtId="174" fontId="17" fillId="0" borderId="14" xfId="0" applyNumberFormat="1" applyFont="1" applyFill="1" applyBorder="1" applyAlignment="1" applyProtection="1"/>
    <xf numFmtId="174" fontId="17" fillId="0" borderId="2" xfId="0" applyNumberFormat="1" applyFont="1" applyFill="1" applyBorder="1" applyAlignment="1" applyProtection="1"/>
    <xf numFmtId="174" fontId="17" fillId="0" borderId="0" xfId="0" applyNumberFormat="1" applyFont="1" applyFill="1" applyBorder="1" applyAlignment="1" applyProtection="1"/>
    <xf numFmtId="174" fontId="17" fillId="0" borderId="24" xfId="0" applyNumberFormat="1" applyFont="1" applyFill="1" applyBorder="1" applyAlignment="1" applyProtection="1"/>
    <xf numFmtId="174" fontId="19" fillId="0" borderId="16" xfId="0" applyNumberFormat="1" applyFont="1" applyBorder="1" applyAlignment="1" applyProtection="1">
      <alignment horizontal="center"/>
    </xf>
    <xf numFmtId="174" fontId="17" fillId="0" borderId="21" xfId="0" applyNumberFormat="1" applyFont="1" applyFill="1" applyBorder="1" applyProtection="1"/>
    <xf numFmtId="174" fontId="17" fillId="0" borderId="28" xfId="0" applyNumberFormat="1" applyFont="1" applyFill="1" applyBorder="1" applyProtection="1"/>
    <xf numFmtId="0" fontId="17" fillId="0" borderId="45" xfId="0" applyNumberFormat="1" applyFont="1" applyFill="1" applyBorder="1" applyAlignment="1" applyProtection="1">
      <alignment horizontal="left" vertical="top" wrapText="1" indent="1"/>
    </xf>
    <xf numFmtId="165" fontId="17" fillId="0" borderId="72" xfId="1" applyNumberFormat="1" applyFont="1" applyFill="1" applyBorder="1" applyAlignment="1" applyProtection="1">
      <alignment horizontal="left" vertical="top" wrapText="1"/>
    </xf>
    <xf numFmtId="2" fontId="17" fillId="0" borderId="45" xfId="1" applyNumberFormat="1" applyFont="1" applyFill="1" applyBorder="1" applyAlignment="1" applyProtection="1">
      <alignment horizontal="center" vertical="top" wrapText="1"/>
    </xf>
    <xf numFmtId="2" fontId="17" fillId="0" borderId="48" xfId="1" applyNumberFormat="1" applyFont="1" applyFill="1" applyBorder="1" applyAlignment="1" applyProtection="1">
      <alignment horizontal="center" vertical="top" wrapText="1"/>
    </xf>
    <xf numFmtId="2" fontId="17" fillId="0" borderId="46" xfId="1" applyNumberFormat="1" applyFont="1" applyFill="1" applyBorder="1" applyAlignment="1" applyProtection="1">
      <alignment horizontal="center" vertical="top" wrapText="1"/>
    </xf>
    <xf numFmtId="2" fontId="17" fillId="0" borderId="73" xfId="1" applyNumberFormat="1" applyFont="1" applyFill="1" applyBorder="1" applyAlignment="1" applyProtection="1">
      <alignment horizontal="center" vertical="top" wrapText="1"/>
    </xf>
    <xf numFmtId="2" fontId="17" fillId="0" borderId="50" xfId="1" applyNumberFormat="1" applyFont="1" applyFill="1" applyBorder="1" applyAlignment="1" applyProtection="1">
      <alignment horizontal="center" vertical="top" wrapText="1"/>
    </xf>
    <xf numFmtId="2" fontId="17" fillId="0" borderId="49" xfId="1" applyNumberFormat="1" applyFont="1" applyFill="1" applyBorder="1" applyAlignment="1" applyProtection="1">
      <alignment horizontal="center" vertical="top" wrapText="1"/>
    </xf>
    <xf numFmtId="0" fontId="14" fillId="0" borderId="5" xfId="0" applyFont="1" applyFill="1" applyBorder="1" applyAlignment="1" applyProtection="1">
      <alignment horizontal="left"/>
    </xf>
    <xf numFmtId="0" fontId="12" fillId="0" borderId="0" xfId="0" applyFont="1" applyProtection="1"/>
    <xf numFmtId="0" fontId="19" fillId="0" borderId="15" xfId="0" applyFont="1" applyFill="1" applyBorder="1" applyAlignment="1" applyProtection="1">
      <alignment horizontal="center" vertical="center" wrapText="1"/>
    </xf>
    <xf numFmtId="0" fontId="19" fillId="0" borderId="3" xfId="0" applyFont="1" applyFill="1" applyBorder="1" applyAlignment="1" applyProtection="1">
      <alignment horizontal="center" vertical="center" wrapText="1"/>
    </xf>
    <xf numFmtId="0" fontId="21" fillId="0" borderId="2" xfId="0" applyNumberFormat="1" applyFont="1" applyBorder="1" applyProtection="1"/>
    <xf numFmtId="0" fontId="17" fillId="0" borderId="13" xfId="0" applyNumberFormat="1" applyFont="1" applyFill="1" applyBorder="1" applyAlignment="1" applyProtection="1">
      <alignment horizontal="center"/>
    </xf>
    <xf numFmtId="174" fontId="19" fillId="0" borderId="13" xfId="0" applyNumberFormat="1" applyFont="1" applyFill="1" applyBorder="1" applyProtection="1"/>
    <xf numFmtId="174" fontId="19" fillId="0" borderId="14" xfId="0" applyNumberFormat="1" applyFont="1" applyFill="1" applyBorder="1" applyProtection="1"/>
    <xf numFmtId="174" fontId="19" fillId="0" borderId="2" xfId="0" applyNumberFormat="1" applyFont="1" applyFill="1" applyBorder="1" applyProtection="1"/>
    <xf numFmtId="174" fontId="19" fillId="0" borderId="0" xfId="0" applyNumberFormat="1" applyFont="1" applyFill="1" applyBorder="1" applyProtection="1"/>
    <xf numFmtId="174" fontId="19" fillId="0" borderId="24" xfId="0" applyNumberFormat="1" applyFont="1" applyFill="1" applyBorder="1" applyProtection="1"/>
    <xf numFmtId="0" fontId="25" fillId="0" borderId="2" xfId="0" applyNumberFormat="1" applyFont="1" applyBorder="1" applyAlignment="1" applyProtection="1">
      <alignment horizontal="left"/>
    </xf>
    <xf numFmtId="0" fontId="17" fillId="0" borderId="2" xfId="0" applyNumberFormat="1" applyFont="1" applyBorder="1" applyAlignment="1" applyProtection="1">
      <alignment horizontal="left" indent="1"/>
    </xf>
    <xf numFmtId="0" fontId="19" fillId="0" borderId="2" xfId="0" applyNumberFormat="1" applyFont="1" applyBorder="1" applyAlignment="1" applyProtection="1">
      <alignment horizontal="left"/>
    </xf>
    <xf numFmtId="174" fontId="19" fillId="0" borderId="21" xfId="0" applyNumberFormat="1" applyFont="1" applyFill="1" applyBorder="1" applyProtection="1"/>
    <xf numFmtId="174" fontId="19" fillId="0" borderId="28" xfId="0" applyNumberFormat="1" applyFont="1" applyFill="1" applyBorder="1" applyProtection="1"/>
    <xf numFmtId="0" fontId="17" fillId="0" borderId="45" xfId="0" applyNumberFormat="1" applyFont="1" applyBorder="1" applyProtection="1"/>
    <xf numFmtId="0" fontId="17" fillId="0" borderId="48" xfId="0" applyNumberFormat="1" applyFont="1" applyFill="1" applyBorder="1" applyAlignment="1" applyProtection="1">
      <alignment horizontal="center"/>
    </xf>
    <xf numFmtId="174" fontId="17" fillId="0" borderId="48" xfId="0" applyNumberFormat="1" applyFont="1" applyFill="1" applyBorder="1" applyProtection="1"/>
    <xf numFmtId="174" fontId="17" fillId="0" borderId="49" xfId="0" applyNumberFormat="1" applyFont="1" applyFill="1" applyBorder="1" applyProtection="1"/>
    <xf numFmtId="174" fontId="17" fillId="0" borderId="45" xfId="0" applyNumberFormat="1" applyFont="1" applyFill="1" applyBorder="1" applyProtection="1"/>
    <xf numFmtId="174" fontId="17" fillId="0" borderId="50" xfId="0" applyNumberFormat="1" applyFont="1" applyFill="1" applyBorder="1" applyProtection="1"/>
    <xf numFmtId="174" fontId="17" fillId="0" borderId="47" xfId="0" applyNumberFormat="1" applyFont="1" applyFill="1" applyBorder="1" applyProtection="1"/>
    <xf numFmtId="174" fontId="17" fillId="0" borderId="58" xfId="0" applyNumberFormat="1" applyFont="1" applyFill="1" applyBorder="1" applyProtection="1"/>
    <xf numFmtId="0" fontId="17" fillId="0" borderId="2" xfId="0" applyNumberFormat="1" applyFont="1" applyBorder="1" applyProtection="1"/>
    <xf numFmtId="174" fontId="17" fillId="0" borderId="53" xfId="0" applyNumberFormat="1" applyFont="1" applyFill="1" applyBorder="1" applyProtection="1"/>
    <xf numFmtId="0" fontId="17" fillId="0" borderId="8" xfId="0" applyNumberFormat="1" applyFont="1" applyFill="1" applyBorder="1" applyAlignment="1" applyProtection="1">
      <alignment horizontal="center"/>
    </xf>
    <xf numFmtId="174" fontId="19" fillId="0" borderId="30" xfId="0" applyNumberFormat="1" applyFont="1" applyFill="1" applyBorder="1" applyProtection="1"/>
    <xf numFmtId="174" fontId="19" fillId="0" borderId="32" xfId="0" applyNumberFormat="1" applyFont="1" applyFill="1" applyBorder="1" applyProtection="1"/>
    <xf numFmtId="174" fontId="19" fillId="0" borderId="29" xfId="0" applyNumberFormat="1" applyFont="1" applyFill="1" applyBorder="1" applyProtection="1"/>
    <xf numFmtId="174" fontId="19" fillId="0" borderId="31" xfId="0" applyNumberFormat="1" applyFont="1" applyFill="1" applyBorder="1" applyProtection="1"/>
    <xf numFmtId="174" fontId="19" fillId="0" borderId="33" xfId="0" applyNumberFormat="1" applyFont="1" applyFill="1" applyBorder="1" applyProtection="1"/>
    <xf numFmtId="0" fontId="23" fillId="0" borderId="0" xfId="0" applyFont="1" applyProtection="1"/>
    <xf numFmtId="0" fontId="22" fillId="0" borderId="0" xfId="0" applyFont="1" applyFill="1" applyBorder="1" applyProtection="1"/>
    <xf numFmtId="0" fontId="17" fillId="0" borderId="0" xfId="0" applyFont="1" applyFill="1" applyBorder="1" applyProtection="1"/>
    <xf numFmtId="0" fontId="19" fillId="0" borderId="4" xfId="0" applyFont="1" applyFill="1" applyBorder="1" applyAlignment="1">
      <alignment horizontal="left" vertical="center"/>
    </xf>
    <xf numFmtId="0" fontId="19" fillId="0" borderId="1" xfId="0" applyNumberFormat="1" applyFont="1" applyBorder="1" applyAlignment="1">
      <alignment wrapText="1"/>
    </xf>
    <xf numFmtId="0" fontId="17" fillId="0" borderId="1" xfId="0" applyNumberFormat="1" applyFont="1" applyBorder="1" applyAlignment="1">
      <alignment horizontal="left" wrapText="1" indent="1"/>
    </xf>
    <xf numFmtId="0" fontId="17" fillId="0" borderId="1" xfId="0" applyNumberFormat="1" applyFont="1" applyBorder="1"/>
    <xf numFmtId="0" fontId="21" fillId="0" borderId="6" xfId="0" applyFont="1" applyBorder="1"/>
    <xf numFmtId="0" fontId="17" fillId="0" borderId="1" xfId="0" applyFont="1" applyBorder="1" applyAlignment="1">
      <alignment horizontal="left" indent="1"/>
    </xf>
    <xf numFmtId="0" fontId="17" fillId="0" borderId="4" xfId="0" applyFont="1" applyFill="1" applyBorder="1"/>
    <xf numFmtId="0" fontId="10" fillId="3" borderId="0" xfId="0" applyFont="1" applyFill="1"/>
    <xf numFmtId="0" fontId="19" fillId="0" borderId="2" xfId="0" applyFont="1" applyFill="1" applyBorder="1" applyAlignment="1" applyProtection="1">
      <alignment horizontal="left" indent="1"/>
    </xf>
    <xf numFmtId="0" fontId="17" fillId="0" borderId="2" xfId="0" applyFont="1" applyFill="1" applyBorder="1" applyAlignment="1" applyProtection="1">
      <alignment horizontal="left" indent="1"/>
    </xf>
    <xf numFmtId="0" fontId="17" fillId="0" borderId="2" xfId="0" applyNumberFormat="1" applyFont="1" applyFill="1" applyBorder="1" applyAlignment="1" applyProtection="1">
      <alignment horizontal="left" indent="1"/>
    </xf>
    <xf numFmtId="175" fontId="22" fillId="0" borderId="13" xfId="1" applyNumberFormat="1" applyFont="1" applyFill="1" applyBorder="1" applyProtection="1"/>
    <xf numFmtId="175" fontId="22" fillId="0" borderId="14" xfId="1" applyNumberFormat="1" applyFont="1" applyFill="1" applyBorder="1" applyProtection="1"/>
    <xf numFmtId="175" fontId="22" fillId="0" borderId="2" xfId="1" applyNumberFormat="1" applyFont="1" applyFill="1" applyBorder="1" applyProtection="1"/>
    <xf numFmtId="175" fontId="22" fillId="0" borderId="53" xfId="1" applyNumberFormat="1" applyFont="1" applyFill="1" applyBorder="1" applyProtection="1"/>
    <xf numFmtId="175" fontId="22" fillId="0" borderId="0" xfId="1" applyNumberFormat="1" applyFont="1" applyFill="1" applyBorder="1" applyProtection="1"/>
    <xf numFmtId="0" fontId="7" fillId="0" borderId="0" xfId="0" applyFont="1" applyProtection="1"/>
    <xf numFmtId="0" fontId="17" fillId="0" borderId="13" xfId="0" applyNumberFormat="1" applyFont="1" applyBorder="1" applyAlignment="1" applyProtection="1">
      <alignment horizontal="center"/>
    </xf>
    <xf numFmtId="0" fontId="19" fillId="0" borderId="2" xfId="0" applyNumberFormat="1" applyFont="1" applyBorder="1" applyProtection="1"/>
    <xf numFmtId="0" fontId="24" fillId="0" borderId="13" xfId="0" applyNumberFormat="1" applyFont="1" applyBorder="1" applyAlignment="1" applyProtection="1">
      <alignment horizontal="center"/>
    </xf>
    <xf numFmtId="0" fontId="19" fillId="0" borderId="29" xfId="0" applyNumberFormat="1" applyFont="1" applyBorder="1" applyProtection="1"/>
    <xf numFmtId="0" fontId="17" fillId="0" borderId="30" xfId="0" applyNumberFormat="1" applyFont="1" applyBorder="1" applyAlignment="1" applyProtection="1">
      <alignment horizontal="center"/>
    </xf>
    <xf numFmtId="0" fontId="23" fillId="0" borderId="0" xfId="0" applyFont="1" applyBorder="1" applyAlignment="1" applyProtection="1">
      <alignment horizontal="left"/>
    </xf>
    <xf numFmtId="0" fontId="22" fillId="0" borderId="0" xfId="0" applyFont="1" applyBorder="1" applyAlignment="1" applyProtection="1">
      <alignment horizontal="center"/>
    </xf>
    <xf numFmtId="0" fontId="22" fillId="0" borderId="0" xfId="0" applyFont="1" applyBorder="1" applyProtection="1"/>
    <xf numFmtId="0" fontId="20" fillId="0" borderId="0" xfId="0" applyFont="1" applyBorder="1" applyProtection="1"/>
    <xf numFmtId="169" fontId="20" fillId="0" borderId="0" xfId="0" applyNumberFormat="1" applyFont="1" applyBorder="1" applyProtection="1"/>
    <xf numFmtId="0" fontId="22" fillId="0" borderId="0" xfId="0" quotePrefix="1" applyFont="1" applyBorder="1" applyProtection="1"/>
    <xf numFmtId="0" fontId="19" fillId="0" borderId="16" xfId="0" applyFont="1" applyFill="1" applyBorder="1" applyAlignment="1" applyProtection="1">
      <alignment vertical="center"/>
    </xf>
    <xf numFmtId="0" fontId="19" fillId="0" borderId="3" xfId="0" applyFont="1" applyFill="1" applyBorder="1" applyAlignment="1" applyProtection="1">
      <alignment horizontal="left" vertical="center"/>
    </xf>
    <xf numFmtId="0" fontId="19" fillId="0" borderId="8" xfId="0" applyFont="1" applyFill="1" applyBorder="1" applyAlignment="1" applyProtection="1">
      <alignment vertical="center"/>
    </xf>
    <xf numFmtId="0" fontId="21" fillId="0" borderId="2" xfId="0" applyFont="1" applyBorder="1" applyProtection="1"/>
    <xf numFmtId="0" fontId="19" fillId="0" borderId="16" xfId="0" applyFont="1" applyBorder="1" applyAlignment="1" applyProtection="1">
      <alignment horizontal="center"/>
    </xf>
    <xf numFmtId="0" fontId="19" fillId="0" borderId="17" xfId="0" applyFont="1" applyBorder="1" applyAlignment="1" applyProtection="1">
      <alignment horizontal="center"/>
    </xf>
    <xf numFmtId="0" fontId="19" fillId="0" borderId="7" xfId="0" applyFont="1" applyBorder="1" applyAlignment="1" applyProtection="1">
      <alignment horizontal="center"/>
    </xf>
    <xf numFmtId="0" fontId="19" fillId="0" borderId="18" xfId="0" applyFont="1" applyBorder="1" applyAlignment="1" applyProtection="1">
      <alignment horizontal="center"/>
    </xf>
    <xf numFmtId="0" fontId="19" fillId="0" borderId="20" xfId="0" applyFont="1" applyBorder="1" applyAlignment="1" applyProtection="1">
      <alignment horizontal="center"/>
    </xf>
    <xf numFmtId="0" fontId="17" fillId="0" borderId="2" xfId="0" applyFont="1" applyBorder="1" applyAlignment="1" applyProtection="1">
      <alignment horizontal="left" indent="1"/>
    </xf>
    <xf numFmtId="174" fontId="17" fillId="0" borderId="13" xfId="0" applyNumberFormat="1" applyFont="1" applyBorder="1" applyAlignment="1" applyProtection="1">
      <alignment horizontal="right"/>
    </xf>
    <xf numFmtId="174" fontId="17" fillId="0" borderId="14" xfId="0" applyNumberFormat="1" applyFont="1" applyBorder="1" applyAlignment="1" applyProtection="1">
      <alignment horizontal="right"/>
    </xf>
    <xf numFmtId="174" fontId="17" fillId="0" borderId="2" xfId="0" applyNumberFormat="1" applyFont="1" applyBorder="1" applyAlignment="1" applyProtection="1">
      <alignment horizontal="right"/>
    </xf>
    <xf numFmtId="174" fontId="17" fillId="0" borderId="0" xfId="0" applyNumberFormat="1" applyFont="1" applyBorder="1" applyAlignment="1" applyProtection="1">
      <alignment horizontal="right"/>
    </xf>
    <xf numFmtId="174" fontId="17" fillId="0" borderId="24" xfId="0" applyNumberFormat="1" applyFont="1" applyBorder="1" applyAlignment="1" applyProtection="1">
      <alignment horizontal="right"/>
    </xf>
    <xf numFmtId="0" fontId="19" fillId="0" borderId="2" xfId="0" applyFont="1" applyBorder="1" applyAlignment="1" applyProtection="1">
      <alignment horizontal="left"/>
    </xf>
    <xf numFmtId="174" fontId="19" fillId="0" borderId="21" xfId="0" applyNumberFormat="1" applyFont="1" applyBorder="1" applyAlignment="1" applyProtection="1">
      <alignment horizontal="right"/>
    </xf>
    <xf numFmtId="174" fontId="19" fillId="0" borderId="26" xfId="0" applyNumberFormat="1" applyFont="1" applyBorder="1" applyAlignment="1" applyProtection="1">
      <alignment horizontal="right"/>
    </xf>
    <xf numFmtId="174" fontId="19" fillId="0" borderId="27" xfId="0" applyNumberFormat="1" applyFont="1" applyBorder="1" applyAlignment="1" applyProtection="1">
      <alignment horizontal="right"/>
    </xf>
    <xf numFmtId="174" fontId="19" fillId="0" borderId="25" xfId="0" applyNumberFormat="1" applyFont="1" applyBorder="1" applyAlignment="1" applyProtection="1">
      <alignment horizontal="right"/>
    </xf>
    <xf numFmtId="174" fontId="19" fillId="0" borderId="28" xfId="0" applyNumberFormat="1" applyFont="1" applyBorder="1" applyAlignment="1" applyProtection="1">
      <alignment horizontal="right"/>
    </xf>
    <xf numFmtId="0" fontId="17" fillId="0" borderId="2" xfId="0" applyFont="1" applyBorder="1" applyProtection="1"/>
    <xf numFmtId="174" fontId="17" fillId="0" borderId="13" xfId="0" applyNumberFormat="1" applyFont="1" applyBorder="1" applyProtection="1"/>
    <xf numFmtId="174" fontId="17" fillId="0" borderId="14" xfId="0" applyNumberFormat="1" applyFont="1" applyBorder="1" applyProtection="1"/>
    <xf numFmtId="174" fontId="17" fillId="0" borderId="2" xfId="0" applyNumberFormat="1" applyFont="1" applyBorder="1" applyProtection="1"/>
    <xf numFmtId="174" fontId="17" fillId="0" borderId="0" xfId="0" applyNumberFormat="1" applyFont="1" applyBorder="1" applyProtection="1"/>
    <xf numFmtId="174" fontId="17" fillId="0" borderId="24" xfId="0" applyNumberFormat="1" applyFont="1" applyBorder="1" applyProtection="1"/>
    <xf numFmtId="0" fontId="19" fillId="0" borderId="29" xfId="0" applyFont="1" applyBorder="1" applyProtection="1"/>
    <xf numFmtId="174" fontId="19" fillId="0" borderId="32" xfId="0" applyNumberFormat="1" applyFont="1" applyBorder="1" applyProtection="1"/>
    <xf numFmtId="174" fontId="19" fillId="0" borderId="29" xfId="0" applyNumberFormat="1" applyFont="1" applyBorder="1" applyProtection="1"/>
    <xf numFmtId="174" fontId="19" fillId="0" borderId="30" xfId="0" applyNumberFormat="1" applyFont="1" applyBorder="1" applyProtection="1"/>
    <xf numFmtId="174" fontId="19" fillId="0" borderId="31" xfId="0" applyNumberFormat="1" applyFont="1" applyBorder="1" applyProtection="1"/>
    <xf numFmtId="174" fontId="19" fillId="0" borderId="33" xfId="0" applyNumberFormat="1" applyFont="1" applyBorder="1" applyProtection="1"/>
    <xf numFmtId="0" fontId="23" fillId="0" borderId="0" xfId="0" applyFont="1" applyBorder="1" applyProtection="1"/>
    <xf numFmtId="0" fontId="17" fillId="0" borderId="0" xfId="0" applyFont="1" applyBorder="1" applyAlignment="1" applyProtection="1">
      <alignment horizontal="center"/>
    </xf>
    <xf numFmtId="0" fontId="19" fillId="0" borderId="0" xfId="0" applyFont="1" applyFill="1" applyBorder="1" applyProtection="1"/>
    <xf numFmtId="169" fontId="19" fillId="0" borderId="0" xfId="0" applyNumberFormat="1" applyFont="1" applyFill="1" applyBorder="1" applyProtection="1"/>
    <xf numFmtId="0" fontId="19" fillId="0" borderId="0" xfId="0" applyFont="1" applyBorder="1" applyProtection="1"/>
    <xf numFmtId="169" fontId="19" fillId="0" borderId="0" xfId="0" applyNumberFormat="1" applyFont="1" applyBorder="1" applyProtection="1"/>
    <xf numFmtId="0" fontId="22" fillId="0" borderId="0" xfId="0" applyFont="1" applyBorder="1" applyAlignment="1" applyProtection="1">
      <alignment horizontal="left"/>
    </xf>
    <xf numFmtId="0" fontId="22" fillId="0" borderId="0" xfId="0" applyFont="1" applyBorder="1" applyAlignment="1" applyProtection="1">
      <alignment horizontal="right"/>
    </xf>
    <xf numFmtId="165" fontId="17" fillId="0" borderId="0" xfId="1" applyNumberFormat="1" applyFont="1" applyProtection="1"/>
    <xf numFmtId="0" fontId="17" fillId="0" borderId="3" xfId="0" applyFont="1" applyBorder="1" applyProtection="1"/>
    <xf numFmtId="0" fontId="17" fillId="0" borderId="8" xfId="0" applyNumberFormat="1" applyFont="1" applyBorder="1" applyAlignment="1" applyProtection="1">
      <alignment horizontal="center"/>
    </xf>
    <xf numFmtId="174" fontId="17" fillId="0" borderId="8" xfId="0" applyNumberFormat="1" applyFont="1" applyBorder="1" applyProtection="1"/>
    <xf numFmtId="174" fontId="17" fillId="0" borderId="15" xfId="0" applyNumberFormat="1" applyFont="1" applyBorder="1" applyProtection="1"/>
    <xf numFmtId="174" fontId="17" fillId="0" borderId="3" xfId="0" applyNumberFormat="1" applyFont="1" applyBorder="1" applyProtection="1"/>
    <xf numFmtId="174" fontId="17" fillId="0" borderId="5" xfId="0" applyNumberFormat="1" applyFont="1" applyBorder="1" applyProtection="1"/>
    <xf numFmtId="174" fontId="17" fillId="0" borderId="41" xfId="0" applyNumberFormat="1" applyFont="1" applyBorder="1" applyProtection="1"/>
    <xf numFmtId="0" fontId="21" fillId="0" borderId="7" xfId="0" applyFont="1" applyBorder="1" applyProtection="1"/>
    <xf numFmtId="0" fontId="17" fillId="0" borderId="16" xfId="0" applyNumberFormat="1" applyFont="1" applyBorder="1" applyAlignment="1" applyProtection="1">
      <alignment horizontal="center"/>
    </xf>
    <xf numFmtId="174" fontId="17" fillId="0" borderId="16" xfId="0" applyNumberFormat="1" applyFont="1" applyBorder="1" applyProtection="1"/>
    <xf numFmtId="174" fontId="17" fillId="0" borderId="17" xfId="0" applyNumberFormat="1" applyFont="1" applyBorder="1" applyProtection="1"/>
    <xf numFmtId="174" fontId="17" fillId="0" borderId="7" xfId="0" applyNumberFormat="1" applyFont="1" applyBorder="1" applyProtection="1"/>
    <xf numFmtId="174" fontId="17" fillId="0" borderId="18" xfId="0" applyNumberFormat="1" applyFont="1" applyBorder="1" applyProtection="1"/>
    <xf numFmtId="174" fontId="17" fillId="0" borderId="20" xfId="0" applyNumberFormat="1" applyFont="1" applyBorder="1" applyProtection="1"/>
    <xf numFmtId="0" fontId="19" fillId="0" borderId="13" xfId="0" applyNumberFormat="1" applyFont="1" applyBorder="1" applyAlignment="1" applyProtection="1">
      <alignment horizontal="center"/>
    </xf>
    <xf numFmtId="174" fontId="19" fillId="0" borderId="13" xfId="0" applyNumberFormat="1" applyFont="1" applyBorder="1" applyAlignment="1" applyProtection="1">
      <alignment horizontal="right"/>
    </xf>
    <xf numFmtId="174" fontId="19" fillId="0" borderId="14" xfId="0" applyNumberFormat="1" applyFont="1" applyBorder="1" applyAlignment="1" applyProtection="1">
      <alignment horizontal="right"/>
    </xf>
    <xf numFmtId="174" fontId="19" fillId="0" borderId="2" xfId="0" applyNumberFormat="1" applyFont="1" applyBorder="1" applyAlignment="1" applyProtection="1">
      <alignment horizontal="right"/>
    </xf>
    <xf numFmtId="174" fontId="19" fillId="0" borderId="0" xfId="0" applyNumberFormat="1" applyFont="1" applyBorder="1" applyAlignment="1" applyProtection="1">
      <alignment horizontal="right"/>
    </xf>
    <xf numFmtId="174" fontId="19" fillId="0" borderId="24" xfId="0" applyNumberFormat="1" applyFont="1" applyBorder="1" applyAlignment="1" applyProtection="1">
      <alignment horizontal="right"/>
    </xf>
    <xf numFmtId="0" fontId="23" fillId="0" borderId="0" xfId="0" applyNumberFormat="1" applyFont="1" applyBorder="1" applyProtection="1"/>
    <xf numFmtId="0" fontId="22" fillId="0" borderId="0" xfId="0" applyNumberFormat="1" applyFont="1" applyBorder="1" applyProtection="1"/>
    <xf numFmtId="0" fontId="22" fillId="0" borderId="2" xfId="0" applyFont="1" applyBorder="1" applyAlignment="1" applyProtection="1">
      <alignment horizontal="right"/>
    </xf>
    <xf numFmtId="0" fontId="17" fillId="0" borderId="0" xfId="0" applyFont="1" applyBorder="1" applyProtection="1"/>
    <xf numFmtId="169" fontId="17" fillId="0" borderId="0" xfId="0" applyNumberFormat="1" applyFont="1" applyBorder="1" applyProtection="1"/>
    <xf numFmtId="164" fontId="17" fillId="0" borderId="0" xfId="1" applyFont="1" applyBorder="1" applyProtection="1"/>
    <xf numFmtId="174" fontId="17" fillId="0" borderId="0" xfId="1" applyNumberFormat="1" applyFont="1" applyBorder="1" applyProtection="1"/>
    <xf numFmtId="0" fontId="22" fillId="0" borderId="0" xfId="0" applyFont="1" applyFill="1" applyBorder="1" applyAlignment="1" applyProtection="1">
      <alignment horizontal="right"/>
    </xf>
    <xf numFmtId="0" fontId="20" fillId="0" borderId="2" xfId="0" applyNumberFormat="1" applyFont="1" applyFill="1" applyBorder="1" applyAlignment="1" applyProtection="1">
      <alignment horizontal="left" indent="1"/>
    </xf>
    <xf numFmtId="0" fontId="17" fillId="0" borderId="2" xfId="0" applyNumberFormat="1" applyFont="1" applyFill="1" applyBorder="1" applyAlignment="1" applyProtection="1">
      <alignment horizontal="left" indent="2"/>
    </xf>
    <xf numFmtId="174" fontId="17" fillId="0" borderId="28" xfId="0" applyNumberFormat="1" applyFont="1" applyFill="1" applyBorder="1"/>
    <xf numFmtId="174" fontId="17" fillId="0" borderId="59" xfId="0" applyNumberFormat="1" applyFont="1" applyFill="1" applyBorder="1"/>
    <xf numFmtId="174" fontId="17" fillId="0" borderId="58" xfId="0" applyNumberFormat="1" applyFont="1" applyFill="1" applyBorder="1"/>
    <xf numFmtId="174" fontId="17" fillId="0" borderId="25" xfId="0" applyNumberFormat="1" applyFont="1" applyFill="1" applyBorder="1"/>
    <xf numFmtId="174" fontId="17" fillId="0" borderId="40" xfId="0" applyNumberFormat="1" applyFont="1" applyFill="1" applyBorder="1"/>
    <xf numFmtId="174" fontId="17" fillId="0" borderId="37" xfId="0" applyNumberFormat="1" applyFont="1" applyFill="1" applyBorder="1"/>
    <xf numFmtId="174" fontId="17" fillId="0" borderId="77" xfId="0" applyNumberFormat="1" applyFont="1" applyFill="1" applyBorder="1"/>
    <xf numFmtId="174" fontId="17" fillId="0" borderId="66" xfId="0" applyNumberFormat="1" applyFont="1" applyFill="1" applyBorder="1"/>
    <xf numFmtId="174" fontId="17" fillId="0" borderId="36" xfId="0" applyNumberFormat="1" applyFont="1" applyFill="1" applyBorder="1"/>
    <xf numFmtId="174" fontId="17" fillId="0" borderId="47" xfId="0" applyNumberFormat="1" applyFont="1" applyFill="1" applyBorder="1"/>
    <xf numFmtId="174" fontId="17" fillId="0" borderId="48" xfId="0" applyNumberFormat="1" applyFont="1" applyFill="1" applyBorder="1"/>
    <xf numFmtId="174" fontId="17" fillId="0" borderId="46" xfId="0" applyNumberFormat="1" applyFont="1" applyFill="1" applyBorder="1"/>
    <xf numFmtId="174" fontId="17" fillId="0" borderId="72" xfId="0" applyNumberFormat="1" applyFont="1" applyFill="1" applyBorder="1"/>
    <xf numFmtId="174" fontId="17" fillId="0" borderId="50" xfId="0" applyNumberFormat="1" applyFont="1" applyFill="1" applyBorder="1"/>
    <xf numFmtId="0" fontId="17" fillId="0" borderId="24" xfId="0" applyNumberFormat="1" applyFont="1" applyFill="1" applyBorder="1" applyAlignment="1" applyProtection="1">
      <alignment horizontal="left" indent="2"/>
    </xf>
    <xf numFmtId="0" fontId="19" fillId="0" borderId="45" xfId="0" applyNumberFormat="1" applyFont="1" applyBorder="1" applyProtection="1"/>
    <xf numFmtId="174" fontId="19" fillId="0" borderId="37" xfId="0" applyNumberFormat="1" applyFont="1" applyFill="1" applyBorder="1" applyProtection="1"/>
    <xf numFmtId="174" fontId="19" fillId="0" borderId="40" xfId="0" applyNumberFormat="1" applyFont="1" applyFill="1" applyBorder="1" applyProtection="1"/>
    <xf numFmtId="174" fontId="17" fillId="0" borderId="40" xfId="0" applyNumberFormat="1" applyFont="1" applyFill="1" applyBorder="1" applyAlignment="1">
      <alignment vertical="top"/>
    </xf>
    <xf numFmtId="174" fontId="17" fillId="0" borderId="37" xfId="0" applyNumberFormat="1" applyFont="1" applyFill="1" applyBorder="1" applyAlignment="1">
      <alignment vertical="top"/>
    </xf>
    <xf numFmtId="174" fontId="17" fillId="0" borderId="77" xfId="0" applyNumberFormat="1" applyFont="1" applyFill="1" applyBorder="1" applyAlignment="1">
      <alignment vertical="top"/>
    </xf>
    <xf numFmtId="174" fontId="17" fillId="0" borderId="66" xfId="0" applyNumberFormat="1" applyFont="1" applyFill="1" applyBorder="1" applyAlignment="1">
      <alignment vertical="top"/>
    </xf>
    <xf numFmtId="174" fontId="17" fillId="0" borderId="36" xfId="0" applyNumberFormat="1" applyFont="1" applyFill="1" applyBorder="1" applyAlignment="1">
      <alignment vertical="top"/>
    </xf>
    <xf numFmtId="0" fontId="17" fillId="0" borderId="1" xfId="0" applyFont="1" applyFill="1" applyBorder="1" applyAlignment="1">
      <alignment horizontal="left" indent="2"/>
    </xf>
    <xf numFmtId="174" fontId="17" fillId="0" borderId="28" xfId="0" applyNumberFormat="1" applyFont="1" applyFill="1" applyBorder="1" applyAlignment="1">
      <alignment vertical="top"/>
    </xf>
    <xf numFmtId="174" fontId="17" fillId="0" borderId="21" xfId="0" applyNumberFormat="1" applyFont="1" applyFill="1" applyBorder="1" applyAlignment="1">
      <alignment vertical="top"/>
    </xf>
    <xf numFmtId="174" fontId="17" fillId="0" borderId="59" xfId="0" applyNumberFormat="1" applyFont="1" applyFill="1" applyBorder="1" applyAlignment="1">
      <alignment vertical="top"/>
    </xf>
    <xf numFmtId="174" fontId="17" fillId="0" borderId="58" xfId="0" applyNumberFormat="1" applyFont="1" applyFill="1" applyBorder="1" applyAlignment="1">
      <alignment vertical="top"/>
    </xf>
    <xf numFmtId="174" fontId="17" fillId="0" borderId="25" xfId="0" applyNumberFormat="1" applyFont="1" applyFill="1" applyBorder="1" applyAlignment="1">
      <alignment vertical="top"/>
    </xf>
    <xf numFmtId="0" fontId="19" fillId="0" borderId="39" xfId="0" applyNumberFormat="1" applyFont="1" applyBorder="1" applyProtection="1"/>
    <xf numFmtId="0" fontId="17" fillId="0" borderId="37" xfId="0" applyNumberFormat="1" applyFont="1" applyBorder="1" applyAlignment="1" applyProtection="1">
      <alignment horizontal="center"/>
    </xf>
    <xf numFmtId="0" fontId="19" fillId="0" borderId="39" xfId="0" applyFont="1" applyBorder="1" applyAlignment="1" applyProtection="1">
      <alignment horizontal="left"/>
    </xf>
    <xf numFmtId="174" fontId="19" fillId="0" borderId="37" xfId="0" applyNumberFormat="1" applyFont="1" applyBorder="1" applyAlignment="1" applyProtection="1">
      <alignment horizontal="right"/>
    </xf>
    <xf numFmtId="174" fontId="19" fillId="0" borderId="38" xfId="0" applyNumberFormat="1" applyFont="1" applyBorder="1" applyAlignment="1" applyProtection="1">
      <alignment horizontal="right"/>
    </xf>
    <xf numFmtId="174" fontId="19" fillId="0" borderId="39" xfId="0" applyNumberFormat="1" applyFont="1" applyBorder="1" applyAlignment="1" applyProtection="1">
      <alignment horizontal="right"/>
    </xf>
    <xf numFmtId="174" fontId="19" fillId="0" borderId="36" xfId="0" applyNumberFormat="1" applyFont="1" applyBorder="1" applyAlignment="1" applyProtection="1">
      <alignment horizontal="right"/>
    </xf>
    <xf numFmtId="174" fontId="19" fillId="0" borderId="40" xfId="0" applyNumberFormat="1" applyFont="1" applyBorder="1" applyAlignment="1" applyProtection="1">
      <alignment horizontal="right"/>
    </xf>
    <xf numFmtId="174" fontId="19" fillId="0" borderId="37" xfId="0" applyNumberFormat="1" applyFont="1" applyBorder="1" applyProtection="1"/>
    <xf numFmtId="174" fontId="19" fillId="0" borderId="38" xfId="0" applyNumberFormat="1" applyFont="1" applyBorder="1" applyProtection="1"/>
    <xf numFmtId="174" fontId="19" fillId="0" borderId="39" xfId="0" applyNumberFormat="1" applyFont="1" applyBorder="1" applyProtection="1"/>
    <xf numFmtId="174" fontId="19" fillId="0" borderId="36" xfId="0" applyNumberFormat="1" applyFont="1" applyBorder="1" applyProtection="1"/>
    <xf numFmtId="174" fontId="19" fillId="0" borderId="40" xfId="0" applyNumberFormat="1" applyFont="1" applyBorder="1" applyProtection="1"/>
    <xf numFmtId="0" fontId="28" fillId="0" borderId="0" xfId="6"/>
    <xf numFmtId="0" fontId="7" fillId="0" borderId="0" xfId="0" applyFont="1" applyProtection="1">
      <protection locked="0"/>
    </xf>
    <xf numFmtId="0" fontId="7" fillId="0" borderId="0" xfId="0" applyFont="1" applyAlignment="1" applyProtection="1">
      <alignment horizontal="center"/>
      <protection locked="0"/>
    </xf>
    <xf numFmtId="0" fontId="7" fillId="0" borderId="1" xfId="0" applyFont="1" applyBorder="1" applyAlignment="1" applyProtection="1">
      <alignment horizontal="center"/>
      <protection locked="0"/>
    </xf>
    <xf numFmtId="0" fontId="7" fillId="0" borderId="0" xfId="0" applyFont="1" applyBorder="1" applyProtection="1">
      <protection locked="0"/>
    </xf>
    <xf numFmtId="0" fontId="7" fillId="0" borderId="14" xfId="0" applyFont="1" applyBorder="1" applyProtection="1">
      <protection locked="0"/>
    </xf>
    <xf numFmtId="0" fontId="7" fillId="0" borderId="14" xfId="0" applyFont="1" applyBorder="1" applyAlignment="1" applyProtection="1">
      <alignment horizontal="center"/>
      <protection locked="0"/>
    </xf>
    <xf numFmtId="0" fontId="7" fillId="0" borderId="2" xfId="0" applyFont="1" applyBorder="1" applyProtection="1">
      <protection locked="0"/>
    </xf>
    <xf numFmtId="0" fontId="7" fillId="0" borderId="0" xfId="0" quotePrefix="1" applyFont="1" applyBorder="1" applyProtection="1">
      <protection locked="0"/>
    </xf>
    <xf numFmtId="0" fontId="7" fillId="0" borderId="4" xfId="0" applyFont="1" applyBorder="1" applyAlignment="1" applyProtection="1">
      <alignment horizontal="center"/>
      <protection locked="0"/>
    </xf>
    <xf numFmtId="0" fontId="7" fillId="0" borderId="3" xfId="0" applyFont="1" applyBorder="1" applyProtection="1">
      <protection locked="0"/>
    </xf>
    <xf numFmtId="0" fontId="7" fillId="0" borderId="5" xfId="0" applyFont="1" applyBorder="1" applyProtection="1">
      <protection locked="0"/>
    </xf>
    <xf numFmtId="0" fontId="7" fillId="0" borderId="15" xfId="0" applyFont="1" applyBorder="1" applyAlignment="1" applyProtection="1">
      <alignment horizontal="center"/>
      <protection locked="0"/>
    </xf>
    <xf numFmtId="0" fontId="7" fillId="0" borderId="3" xfId="0" applyFont="1" applyBorder="1" applyAlignment="1" applyProtection="1">
      <alignment horizontal="center"/>
      <protection locked="0"/>
    </xf>
    <xf numFmtId="0" fontId="7" fillId="0" borderId="0" xfId="0" applyFont="1" applyBorder="1" applyAlignment="1" applyProtection="1">
      <alignment horizontal="center"/>
      <protection locked="0"/>
    </xf>
    <xf numFmtId="0" fontId="10" fillId="0" borderId="0" xfId="0" applyFont="1" applyFill="1" applyBorder="1" applyAlignment="1" applyProtection="1">
      <alignment horizontal="center"/>
      <protection locked="0"/>
    </xf>
    <xf numFmtId="0" fontId="7" fillId="0" borderId="17" xfId="0" applyFont="1" applyBorder="1" applyProtection="1">
      <protection locked="0"/>
    </xf>
    <xf numFmtId="0" fontId="7" fillId="0" borderId="2" xfId="0" applyFont="1" applyBorder="1" applyAlignment="1" applyProtection="1">
      <alignment horizontal="center"/>
      <protection locked="0"/>
    </xf>
    <xf numFmtId="0" fontId="7" fillId="0" borderId="15" xfId="0" applyFont="1" applyBorder="1" applyProtection="1">
      <protection locked="0"/>
    </xf>
    <xf numFmtId="0" fontId="7" fillId="0" borderId="17" xfId="0" applyFont="1" applyBorder="1" applyAlignment="1" applyProtection="1">
      <alignment horizontal="center"/>
      <protection locked="0"/>
    </xf>
    <xf numFmtId="0" fontId="7" fillId="0" borderId="14" xfId="0" applyFont="1" applyBorder="1" applyAlignment="1" applyProtection="1">
      <alignment horizontal="center" wrapText="1"/>
      <protection locked="0"/>
    </xf>
    <xf numFmtId="0" fontId="7" fillId="0" borderId="18" xfId="0" applyFont="1" applyBorder="1" applyAlignment="1" applyProtection="1">
      <alignment horizontal="center"/>
      <protection locked="0"/>
    </xf>
    <xf numFmtId="174" fontId="19" fillId="0" borderId="44" xfId="0" applyNumberFormat="1" applyFont="1" applyFill="1" applyBorder="1" applyProtection="1"/>
    <xf numFmtId="174" fontId="19" fillId="0" borderId="53" xfId="0" applyNumberFormat="1" applyFont="1" applyFill="1" applyBorder="1" applyProtection="1"/>
    <xf numFmtId="174" fontId="19" fillId="0" borderId="74" xfId="0" applyNumberFormat="1" applyFont="1" applyFill="1" applyBorder="1" applyProtection="1"/>
    <xf numFmtId="174" fontId="22" fillId="0" borderId="0" xfId="0" applyNumberFormat="1" applyFont="1" applyBorder="1" applyAlignment="1" applyProtection="1">
      <alignment horizontal="right"/>
    </xf>
    <xf numFmtId="174" fontId="22" fillId="0" borderId="0" xfId="1" applyNumberFormat="1" applyFont="1" applyBorder="1" applyAlignment="1" applyProtection="1">
      <alignment horizontal="right"/>
    </xf>
    <xf numFmtId="0" fontId="22" fillId="0" borderId="0" xfId="0" applyFont="1" applyProtection="1"/>
    <xf numFmtId="0" fontId="22" fillId="0" borderId="0" xfId="0" quotePrefix="1" applyNumberFormat="1" applyFont="1" applyBorder="1" applyProtection="1"/>
    <xf numFmtId="0" fontId="22" fillId="0" borderId="0" xfId="4" applyFont="1" applyAlignment="1" applyProtection="1"/>
    <xf numFmtId="0" fontId="22" fillId="0" borderId="0" xfId="0" applyNumberFormat="1" applyFont="1" applyProtection="1"/>
    <xf numFmtId="0" fontId="23" fillId="0" borderId="0" xfId="0" applyNumberFormat="1" applyFont="1" applyProtection="1"/>
    <xf numFmtId="0" fontId="23" fillId="0" borderId="0" xfId="0" applyNumberFormat="1" applyFont="1" applyBorder="1" applyAlignment="1" applyProtection="1">
      <alignment vertical="center" wrapText="1"/>
    </xf>
    <xf numFmtId="0" fontId="23" fillId="0" borderId="0" xfId="0" applyFont="1" applyFill="1" applyBorder="1" applyAlignment="1" applyProtection="1">
      <alignment vertical="center" wrapText="1"/>
    </xf>
    <xf numFmtId="0" fontId="23" fillId="0" borderId="0" xfId="0" applyNumberFormat="1" applyFont="1" applyFill="1" applyBorder="1" applyAlignment="1" applyProtection="1">
      <alignment vertical="center" wrapText="1"/>
    </xf>
    <xf numFmtId="174" fontId="17" fillId="0" borderId="59" xfId="0" applyNumberFormat="1" applyFont="1" applyFill="1" applyBorder="1" applyProtection="1"/>
    <xf numFmtId="174" fontId="17" fillId="0" borderId="44" xfId="0" applyNumberFormat="1" applyFont="1" applyFill="1" applyBorder="1" applyProtection="1"/>
    <xf numFmtId="0" fontId="22" fillId="0" borderId="0" xfId="0" applyNumberFormat="1" applyFont="1" applyBorder="1" applyAlignment="1" applyProtection="1">
      <alignment horizontal="left" vertical="top"/>
    </xf>
    <xf numFmtId="0" fontId="22" fillId="0" borderId="2" xfId="0" applyNumberFormat="1" applyFont="1" applyFill="1" applyBorder="1" applyAlignment="1" applyProtection="1">
      <alignment horizontal="left" indent="1"/>
    </xf>
    <xf numFmtId="0" fontId="22" fillId="0" borderId="13" xfId="0" applyNumberFormat="1" applyFont="1" applyFill="1" applyBorder="1" applyAlignment="1" applyProtection="1">
      <alignment horizontal="center"/>
    </xf>
    <xf numFmtId="0" fontId="22" fillId="0" borderId="0" xfId="0" applyNumberFormat="1" applyFont="1" applyFill="1" applyBorder="1" applyAlignment="1" applyProtection="1">
      <alignment horizontal="center"/>
    </xf>
    <xf numFmtId="0" fontId="19" fillId="0" borderId="3" xfId="0" applyNumberFormat="1" applyFont="1" applyBorder="1" applyAlignment="1" applyProtection="1">
      <alignment wrapText="1"/>
    </xf>
    <xf numFmtId="0" fontId="6" fillId="0" borderId="0" xfId="0" applyFont="1" applyProtection="1">
      <protection hidden="1"/>
    </xf>
    <xf numFmtId="0" fontId="6" fillId="0" borderId="0" xfId="0" applyFont="1" applyProtection="1"/>
    <xf numFmtId="0" fontId="6" fillId="0" borderId="0" xfId="0" applyFont="1"/>
    <xf numFmtId="0" fontId="6" fillId="0" borderId="0" xfId="0" applyFont="1" applyBorder="1" applyProtection="1">
      <protection hidden="1"/>
    </xf>
    <xf numFmtId="0" fontId="32" fillId="0" borderId="0" xfId="0" applyFont="1" applyProtection="1"/>
    <xf numFmtId="0" fontId="32" fillId="0" borderId="0" xfId="0" applyNumberFormat="1" applyFont="1" applyProtection="1"/>
    <xf numFmtId="0" fontId="6" fillId="0" borderId="0" xfId="0" applyFont="1" applyAlignment="1" applyProtection="1">
      <alignment vertical="center"/>
      <protection hidden="1"/>
    </xf>
    <xf numFmtId="0" fontId="32" fillId="0" borderId="0" xfId="0" applyFont="1" applyAlignment="1" applyProtection="1">
      <alignment vertical="center"/>
    </xf>
    <xf numFmtId="0" fontId="0" fillId="0" borderId="0" xfId="0" applyProtection="1"/>
    <xf numFmtId="0" fontId="16" fillId="0" borderId="0" xfId="0" applyFont="1" applyProtection="1">
      <protection hidden="1"/>
    </xf>
    <xf numFmtId="0" fontId="0" fillId="0" borderId="0" xfId="0" applyProtection="1">
      <protection hidden="1"/>
    </xf>
    <xf numFmtId="0" fontId="17" fillId="0" borderId="0" xfId="0" applyFont="1" applyFill="1" applyProtection="1"/>
    <xf numFmtId="174" fontId="17" fillId="0" borderId="13" xfId="1" applyNumberFormat="1" applyFont="1" applyFill="1" applyBorder="1" applyProtection="1"/>
    <xf numFmtId="174" fontId="17" fillId="0" borderId="14" xfId="1" applyNumberFormat="1" applyFont="1" applyFill="1" applyBorder="1" applyProtection="1"/>
    <xf numFmtId="174" fontId="17" fillId="0" borderId="2" xfId="1" applyNumberFormat="1" applyFont="1" applyFill="1" applyBorder="1" applyProtection="1"/>
    <xf numFmtId="174" fontId="17" fillId="0" borderId="0" xfId="1" applyNumberFormat="1" applyFont="1" applyFill="1" applyBorder="1" applyProtection="1"/>
    <xf numFmtId="174" fontId="17" fillId="0" borderId="24" xfId="1" applyNumberFormat="1" applyFont="1" applyFill="1" applyBorder="1" applyProtection="1"/>
    <xf numFmtId="174" fontId="17" fillId="0" borderId="13" xfId="0" applyNumberFormat="1" applyFont="1" applyFill="1" applyBorder="1" applyAlignment="1" applyProtection="1">
      <alignment horizontal="right"/>
    </xf>
    <xf numFmtId="174" fontId="17" fillId="0" borderId="0" xfId="0" applyNumberFormat="1" applyFont="1" applyFill="1" applyBorder="1" applyAlignment="1" applyProtection="1">
      <alignment horizontal="right"/>
    </xf>
    <xf numFmtId="0" fontId="7" fillId="0" borderId="1" xfId="0" applyFont="1" applyBorder="1" applyAlignment="1" applyProtection="1">
      <alignment horizontal="center"/>
    </xf>
    <xf numFmtId="0" fontId="7" fillId="0" borderId="0" xfId="0" applyFont="1" applyBorder="1" applyProtection="1"/>
    <xf numFmtId="0" fontId="7" fillId="0" borderId="14" xfId="0" applyFont="1" applyBorder="1" applyAlignment="1" applyProtection="1">
      <alignment horizontal="center"/>
    </xf>
    <xf numFmtId="0" fontId="7" fillId="0" borderId="2" xfId="0" applyFont="1" applyBorder="1" applyProtection="1"/>
    <xf numFmtId="0" fontId="7" fillId="0" borderId="2" xfId="0" quotePrefix="1" applyFont="1" applyBorder="1" applyProtection="1"/>
    <xf numFmtId="0" fontId="7" fillId="0" borderId="7" xfId="0" applyFont="1" applyBorder="1" applyAlignment="1" applyProtection="1">
      <alignment horizontal="center"/>
    </xf>
    <xf numFmtId="0" fontId="7" fillId="0" borderId="17" xfId="0" applyFont="1" applyBorder="1" applyProtection="1"/>
    <xf numFmtId="0" fontId="7" fillId="0" borderId="14" xfId="0" applyFont="1" applyBorder="1" applyProtection="1"/>
    <xf numFmtId="0" fontId="7" fillId="0" borderId="15" xfId="0" applyFont="1" applyBorder="1" applyProtection="1"/>
    <xf numFmtId="0" fontId="7" fillId="0" borderId="0" xfId="0" applyFont="1" applyAlignment="1" applyProtection="1">
      <alignment horizontal="center"/>
    </xf>
    <xf numFmtId="0" fontId="10" fillId="4" borderId="23" xfId="0" applyFont="1" applyFill="1" applyBorder="1" applyAlignment="1" applyProtection="1">
      <alignment horizontal="center"/>
    </xf>
    <xf numFmtId="0" fontId="10" fillId="5" borderId="22" xfId="0" applyFont="1" applyFill="1" applyBorder="1" applyAlignment="1" applyProtection="1">
      <alignment horizontal="center"/>
    </xf>
    <xf numFmtId="0" fontId="10" fillId="5" borderId="23" xfId="0" applyFont="1" applyFill="1" applyBorder="1" applyAlignment="1" applyProtection="1">
      <alignment horizontal="center"/>
    </xf>
    <xf numFmtId="0" fontId="7" fillId="0" borderId="0" xfId="0" applyFont="1" applyFill="1" applyBorder="1" applyProtection="1"/>
    <xf numFmtId="0" fontId="9" fillId="0" borderId="0" xfId="0" applyFont="1" applyBorder="1" applyProtection="1"/>
    <xf numFmtId="0" fontId="7" fillId="0" borderId="5" xfId="0" applyFont="1" applyBorder="1" applyProtection="1"/>
    <xf numFmtId="0" fontId="7" fillId="0" borderId="4" xfId="0" applyFont="1" applyBorder="1" applyAlignment="1" applyProtection="1">
      <alignment horizontal="center"/>
    </xf>
    <xf numFmtId="0" fontId="10" fillId="4" borderId="22" xfId="0" applyFont="1" applyFill="1" applyBorder="1" applyAlignment="1" applyProtection="1">
      <alignment horizontal="center"/>
    </xf>
    <xf numFmtId="0" fontId="7" fillId="0" borderId="6" xfId="0" applyFont="1" applyBorder="1" applyAlignment="1" applyProtection="1">
      <alignment horizontal="center"/>
    </xf>
    <xf numFmtId="0" fontId="7" fillId="0" borderId="18" xfId="0" applyFont="1" applyBorder="1" applyProtection="1"/>
    <xf numFmtId="0" fontId="18" fillId="6" borderId="60" xfId="0" applyFont="1" applyFill="1" applyBorder="1" applyAlignment="1" applyProtection="1"/>
    <xf numFmtId="0" fontId="18" fillId="6" borderId="60" xfId="0" applyFont="1" applyFill="1" applyBorder="1" applyAlignment="1" applyProtection="1">
      <alignment horizontal="center"/>
    </xf>
    <xf numFmtId="0" fontId="18" fillId="6" borderId="23" xfId="0" applyFont="1" applyFill="1" applyBorder="1" applyAlignment="1" applyProtection="1">
      <alignment horizontal="center"/>
    </xf>
    <xf numFmtId="0" fontId="7" fillId="0" borderId="2" xfId="0" applyFont="1" applyBorder="1" applyAlignment="1" applyProtection="1">
      <alignment horizontal="center"/>
    </xf>
    <xf numFmtId="0" fontId="7" fillId="0" borderId="7" xfId="0" applyFont="1" applyBorder="1" applyAlignment="1" applyProtection="1">
      <alignment horizontal="left"/>
    </xf>
    <xf numFmtId="0" fontId="7" fillId="0" borderId="2" xfId="0" applyFont="1" applyBorder="1" applyAlignment="1" applyProtection="1">
      <alignment horizontal="left"/>
    </xf>
    <xf numFmtId="0" fontId="7" fillId="0" borderId="3" xfId="0" applyFont="1" applyBorder="1" applyAlignment="1" applyProtection="1">
      <alignment horizontal="left"/>
    </xf>
    <xf numFmtId="0" fontId="7" fillId="0" borderId="15" xfId="0" applyFont="1" applyBorder="1" applyAlignment="1" applyProtection="1">
      <alignment horizontal="center"/>
    </xf>
    <xf numFmtId="174" fontId="19" fillId="0" borderId="66" xfId="0" applyNumberFormat="1" applyFont="1" applyFill="1" applyBorder="1" applyProtection="1"/>
    <xf numFmtId="174" fontId="19" fillId="0" borderId="58" xfId="0" applyNumberFormat="1" applyFont="1" applyFill="1" applyBorder="1" applyProtection="1"/>
    <xf numFmtId="174" fontId="17" fillId="0" borderId="13" xfId="0" applyNumberFormat="1" applyFont="1" applyFill="1" applyBorder="1" applyAlignment="1" applyProtection="1">
      <alignment horizontal="center"/>
    </xf>
    <xf numFmtId="174" fontId="17" fillId="0" borderId="14" xfId="0" applyNumberFormat="1" applyFont="1" applyFill="1" applyBorder="1" applyAlignment="1" applyProtection="1">
      <alignment horizontal="right"/>
    </xf>
    <xf numFmtId="174" fontId="17" fillId="0" borderId="2" xfId="0" applyNumberFormat="1" applyFont="1" applyFill="1" applyBorder="1" applyAlignment="1" applyProtection="1">
      <alignment horizontal="right"/>
    </xf>
    <xf numFmtId="0" fontId="22" fillId="0" borderId="0" xfId="0" applyNumberFormat="1" applyFont="1" applyFill="1" applyBorder="1" applyProtection="1"/>
    <xf numFmtId="0" fontId="0" fillId="0" borderId="0" xfId="0" applyFill="1"/>
    <xf numFmtId="0" fontId="0" fillId="0" borderId="0" xfId="0" applyFill="1" applyProtection="1">
      <protection locked="0"/>
    </xf>
    <xf numFmtId="0" fontId="0" fillId="0" borderId="0" xfId="0" applyFill="1" applyProtection="1"/>
    <xf numFmtId="0" fontId="6" fillId="0" borderId="0" xfId="0" applyFont="1" applyFill="1" applyProtection="1"/>
    <xf numFmtId="0" fontId="30" fillId="0" borderId="0" xfId="0" applyFont="1" applyFill="1" applyProtection="1"/>
    <xf numFmtId="0" fontId="33" fillId="0" borderId="0" xfId="0" applyFont="1" applyAlignment="1">
      <alignment wrapText="1"/>
    </xf>
    <xf numFmtId="0" fontId="17" fillId="0" borderId="1" xfId="0" applyFont="1" applyFill="1" applyBorder="1" applyAlignment="1">
      <alignment horizontal="left" indent="1"/>
    </xf>
    <xf numFmtId="0" fontId="17" fillId="0" borderId="1" xfId="0" applyNumberFormat="1" applyFont="1" applyBorder="1" applyAlignment="1">
      <alignment horizontal="left" vertical="top" indent="1"/>
    </xf>
    <xf numFmtId="0" fontId="21" fillId="0" borderId="1" xfId="0" applyFont="1" applyFill="1" applyBorder="1" applyAlignment="1">
      <alignment horizontal="left" indent="1"/>
    </xf>
    <xf numFmtId="0" fontId="27" fillId="0" borderId="0" xfId="0" applyFont="1"/>
    <xf numFmtId="0" fontId="22" fillId="0" borderId="2" xfId="0" applyNumberFormat="1" applyFont="1" applyBorder="1" applyAlignment="1" applyProtection="1">
      <alignment horizontal="right" indent="1"/>
    </xf>
    <xf numFmtId="0" fontId="27" fillId="0" borderId="0" xfId="0" applyFont="1" applyFill="1"/>
    <xf numFmtId="10" fontId="17" fillId="0" borderId="1" xfId="8" applyNumberFormat="1" applyFont="1" applyFill="1" applyBorder="1" applyProtection="1"/>
    <xf numFmtId="0" fontId="27" fillId="0" borderId="0" xfId="0" applyFont="1" applyProtection="1"/>
    <xf numFmtId="0" fontId="0" fillId="0" borderId="0" xfId="0" applyFont="1" applyProtection="1"/>
    <xf numFmtId="0" fontId="11" fillId="0" borderId="0" xfId="2" applyAlignment="1" applyProtection="1">
      <alignment vertical="center"/>
    </xf>
    <xf numFmtId="0" fontId="11" fillId="0" borderId="0" xfId="2" applyAlignment="1" applyProtection="1"/>
    <xf numFmtId="0" fontId="22" fillId="0" borderId="0" xfId="0" applyNumberFormat="1" applyFont="1" applyBorder="1" applyAlignment="1" applyProtection="1">
      <alignment horizontal="left"/>
    </xf>
    <xf numFmtId="174" fontId="17" fillId="0" borderId="53" xfId="0" applyNumberFormat="1" applyFont="1" applyBorder="1" applyAlignment="1" applyProtection="1">
      <alignment horizontal="right"/>
    </xf>
    <xf numFmtId="174" fontId="17" fillId="0" borderId="24" xfId="0" applyNumberFormat="1" applyFont="1" applyFill="1" applyBorder="1" applyAlignment="1" applyProtection="1">
      <alignment horizontal="right"/>
    </xf>
    <xf numFmtId="174" fontId="19" fillId="0" borderId="66" xfId="0" applyNumberFormat="1" applyFont="1" applyBorder="1" applyProtection="1"/>
    <xf numFmtId="174" fontId="17" fillId="0" borderId="74" xfId="0" applyNumberFormat="1" applyFont="1" applyBorder="1" applyAlignment="1" applyProtection="1">
      <alignment horizontal="right"/>
    </xf>
    <xf numFmtId="0" fontId="19" fillId="0" borderId="52" xfId="0" applyFont="1" applyBorder="1" applyAlignment="1" applyProtection="1">
      <alignment horizontal="center"/>
    </xf>
    <xf numFmtId="174" fontId="19" fillId="0" borderId="66" xfId="0" applyNumberFormat="1" applyFont="1" applyBorder="1" applyAlignment="1" applyProtection="1">
      <alignment horizontal="right"/>
    </xf>
    <xf numFmtId="174" fontId="17" fillId="0" borderId="53" xfId="0" applyNumberFormat="1" applyFont="1" applyBorder="1" applyProtection="1"/>
    <xf numFmtId="174" fontId="17" fillId="0" borderId="53" xfId="0" applyNumberFormat="1" applyFont="1" applyFill="1" applyBorder="1" applyAlignment="1" applyProtection="1">
      <alignment horizontal="right"/>
    </xf>
    <xf numFmtId="174" fontId="19" fillId="0" borderId="64" xfId="0" applyNumberFormat="1" applyFont="1" applyBorder="1" applyProtection="1"/>
    <xf numFmtId="0" fontId="12" fillId="0" borderId="0" xfId="6" applyFont="1"/>
    <xf numFmtId="0" fontId="19" fillId="0" borderId="24" xfId="0" applyFont="1" applyFill="1" applyBorder="1" applyAlignment="1" applyProtection="1">
      <alignment horizontal="left" indent="1"/>
    </xf>
    <xf numFmtId="0" fontId="51" fillId="14" borderId="0" xfId="0" applyFont="1" applyFill="1" applyProtection="1"/>
    <xf numFmtId="0" fontId="52" fillId="14" borderId="0" xfId="0" applyFont="1" applyFill="1" applyAlignment="1" applyProtection="1">
      <alignment horizontal="right"/>
    </xf>
    <xf numFmtId="49" fontId="51" fillId="14" borderId="0" xfId="0" applyNumberFormat="1" applyFont="1" applyFill="1" applyAlignment="1" applyProtection="1">
      <alignment horizontal="right"/>
    </xf>
    <xf numFmtId="49" fontId="52" fillId="14" borderId="0" xfId="0" applyNumberFormat="1" applyFont="1" applyFill="1" applyAlignment="1" applyProtection="1">
      <alignment horizontal="right"/>
    </xf>
    <xf numFmtId="0" fontId="51" fillId="14" borderId="0" xfId="0" applyFont="1" applyFill="1" applyAlignment="1" applyProtection="1">
      <alignment horizontal="right"/>
    </xf>
    <xf numFmtId="0" fontId="23" fillId="0" borderId="0" xfId="0" applyNumberFormat="1" applyFont="1" applyFill="1" applyBorder="1" applyProtection="1"/>
    <xf numFmtId="0" fontId="22" fillId="0" borderId="0" xfId="0" quotePrefix="1" applyNumberFormat="1" applyFont="1" applyFill="1" applyBorder="1" applyProtection="1"/>
    <xf numFmtId="0" fontId="10" fillId="3" borderId="0" xfId="0" applyFont="1" applyFill="1" applyAlignment="1">
      <alignment horizontal="left" indent="1"/>
    </xf>
    <xf numFmtId="0" fontId="7" fillId="0" borderId="0" xfId="0" applyFont="1" applyAlignment="1">
      <alignment horizontal="left" indent="1"/>
    </xf>
    <xf numFmtId="0" fontId="22" fillId="0" borderId="53" xfId="0" applyNumberFormat="1" applyFont="1" applyFill="1" applyBorder="1" applyAlignment="1" applyProtection="1">
      <alignment horizontal="center"/>
    </xf>
    <xf numFmtId="0" fontId="17" fillId="0" borderId="73" xfId="0" applyNumberFormat="1" applyFont="1" applyFill="1" applyBorder="1" applyAlignment="1" applyProtection="1">
      <alignment horizontal="center" vertical="top" wrapText="1"/>
    </xf>
    <xf numFmtId="0" fontId="17" fillId="0" borderId="49" xfId="0" applyNumberFormat="1" applyFont="1" applyFill="1" applyBorder="1" applyAlignment="1" applyProtection="1">
      <alignment horizontal="left" vertical="top" wrapText="1"/>
    </xf>
    <xf numFmtId="165" fontId="17" fillId="0" borderId="53" xfId="1" applyNumberFormat="1" applyFont="1" applyFill="1" applyBorder="1" applyAlignment="1" applyProtection="1">
      <alignment horizontal="left" vertical="top" wrapText="1"/>
    </xf>
    <xf numFmtId="165" fontId="17" fillId="0" borderId="2" xfId="1" applyNumberFormat="1" applyFont="1" applyFill="1" applyBorder="1" applyAlignment="1" applyProtection="1">
      <alignment horizontal="center" vertical="top" wrapText="1"/>
    </xf>
    <xf numFmtId="165" fontId="17" fillId="0" borderId="13" xfId="1" applyNumberFormat="1" applyFont="1" applyFill="1" applyBorder="1" applyAlignment="1" applyProtection="1">
      <alignment horizontal="center" vertical="top" wrapText="1"/>
    </xf>
    <xf numFmtId="165" fontId="17" fillId="0" borderId="44" xfId="1" applyNumberFormat="1" applyFont="1" applyFill="1" applyBorder="1" applyAlignment="1" applyProtection="1">
      <alignment horizontal="center" vertical="top" wrapText="1"/>
    </xf>
    <xf numFmtId="165" fontId="17" fillId="0" borderId="1" xfId="1" applyNumberFormat="1" applyFont="1" applyFill="1" applyBorder="1" applyAlignment="1" applyProtection="1">
      <alignment horizontal="center" vertical="top" wrapText="1"/>
    </xf>
    <xf numFmtId="165" fontId="17" fillId="0" borderId="0" xfId="1" applyNumberFormat="1" applyFont="1" applyFill="1" applyBorder="1" applyAlignment="1" applyProtection="1">
      <alignment horizontal="center" vertical="top" wrapText="1"/>
    </xf>
    <xf numFmtId="165" fontId="17" fillId="0" borderId="14" xfId="1" applyNumberFormat="1" applyFont="1" applyFill="1" applyBorder="1" applyAlignment="1" applyProtection="1">
      <alignment horizontal="center" vertical="top" wrapText="1"/>
    </xf>
    <xf numFmtId="165" fontId="17" fillId="0" borderId="67" xfId="1" applyNumberFormat="1" applyFont="1" applyFill="1" applyBorder="1" applyAlignment="1" applyProtection="1">
      <alignment horizontal="left" vertical="top" wrapText="1"/>
    </xf>
    <xf numFmtId="165" fontId="17" fillId="0" borderId="66" xfId="1" applyNumberFormat="1" applyFont="1" applyFill="1" applyBorder="1" applyAlignment="1" applyProtection="1">
      <alignment horizontal="left" vertical="top" wrapText="1"/>
    </xf>
    <xf numFmtId="165" fontId="17" fillId="0" borderId="39" xfId="1" applyNumberFormat="1" applyFont="1" applyFill="1" applyBorder="1" applyAlignment="1" applyProtection="1">
      <alignment horizontal="center" vertical="top" wrapText="1"/>
    </xf>
    <xf numFmtId="165" fontId="17" fillId="0" borderId="37" xfId="1" applyNumberFormat="1" applyFont="1" applyFill="1" applyBorder="1" applyAlignment="1" applyProtection="1">
      <alignment horizontal="center" vertical="top" wrapText="1"/>
    </xf>
    <xf numFmtId="165" fontId="17" fillId="0" borderId="77" xfId="1" applyNumberFormat="1" applyFont="1" applyFill="1" applyBorder="1" applyAlignment="1" applyProtection="1">
      <alignment horizontal="center" vertical="top" wrapText="1"/>
    </xf>
    <xf numFmtId="165" fontId="17" fillId="0" borderId="67" xfId="1" applyNumberFormat="1" applyFont="1" applyFill="1" applyBorder="1" applyAlignment="1" applyProtection="1">
      <alignment horizontal="center" vertical="top" wrapText="1"/>
    </xf>
    <xf numFmtId="165" fontId="17" fillId="0" borderId="36" xfId="1" applyNumberFormat="1" applyFont="1" applyFill="1" applyBorder="1" applyAlignment="1" applyProtection="1">
      <alignment horizontal="center" vertical="top" wrapText="1"/>
    </xf>
    <xf numFmtId="165" fontId="17" fillId="0" borderId="38" xfId="1" applyNumberFormat="1" applyFont="1" applyFill="1" applyBorder="1" applyAlignment="1" applyProtection="1">
      <alignment horizontal="center" vertical="top" wrapText="1"/>
    </xf>
    <xf numFmtId="0" fontId="19" fillId="0" borderId="24" xfId="0" applyFont="1" applyFill="1" applyBorder="1" applyAlignment="1" applyProtection="1">
      <alignment horizontal="center" vertical="center" wrapText="1"/>
    </xf>
    <xf numFmtId="0" fontId="19" fillId="0" borderId="13" xfId="0" applyFont="1" applyFill="1" applyBorder="1" applyAlignment="1" applyProtection="1">
      <alignment horizontal="center" vertical="center" wrapText="1"/>
    </xf>
    <xf numFmtId="0" fontId="19" fillId="0" borderId="14" xfId="0" applyFont="1" applyFill="1" applyBorder="1" applyAlignment="1" applyProtection="1">
      <alignment horizontal="center" vertical="center" wrapText="1"/>
    </xf>
    <xf numFmtId="0" fontId="19" fillId="0" borderId="2" xfId="0" applyFont="1" applyFill="1" applyBorder="1" applyAlignment="1" applyProtection="1">
      <alignment horizontal="center" vertical="center" wrapText="1"/>
    </xf>
    <xf numFmtId="0" fontId="21" fillId="0" borderId="0" xfId="0" applyNumberFormat="1" applyFont="1" applyBorder="1" applyProtection="1"/>
    <xf numFmtId="174" fontId="19" fillId="0" borderId="7" xfId="0" applyNumberFormat="1" applyFont="1" applyFill="1" applyBorder="1" applyProtection="1"/>
    <xf numFmtId="174" fontId="19" fillId="0" borderId="16" xfId="0" applyNumberFormat="1" applyFont="1" applyFill="1" applyBorder="1" applyProtection="1"/>
    <xf numFmtId="174" fontId="19" fillId="0" borderId="18" xfId="0" applyNumberFormat="1" applyFont="1" applyFill="1" applyBorder="1" applyProtection="1"/>
    <xf numFmtId="174" fontId="19" fillId="0" borderId="20" xfId="0" applyNumberFormat="1" applyFont="1" applyFill="1" applyBorder="1" applyProtection="1"/>
    <xf numFmtId="174" fontId="19" fillId="0" borderId="17" xfId="0" applyNumberFormat="1" applyFont="1" applyFill="1" applyBorder="1" applyProtection="1"/>
    <xf numFmtId="0" fontId="25" fillId="0" borderId="0" xfId="0" applyNumberFormat="1" applyFont="1" applyBorder="1" applyAlignment="1" applyProtection="1">
      <alignment horizontal="left"/>
    </xf>
    <xf numFmtId="0" fontId="17" fillId="0" borderId="0" xfId="0" applyNumberFormat="1" applyFont="1" applyBorder="1" applyAlignment="1" applyProtection="1">
      <alignment horizontal="left" indent="1"/>
    </xf>
    <xf numFmtId="0" fontId="17" fillId="0" borderId="1" xfId="0" applyNumberFormat="1" applyFont="1" applyFill="1" applyBorder="1" applyAlignment="1" applyProtection="1">
      <alignment horizontal="center"/>
    </xf>
    <xf numFmtId="0" fontId="22" fillId="0" borderId="0" xfId="0" applyNumberFormat="1" applyFont="1" applyBorder="1" applyAlignment="1" applyProtection="1">
      <alignment horizontal="right" indent="1"/>
    </xf>
    <xf numFmtId="0" fontId="19" fillId="0" borderId="0" xfId="0" applyNumberFormat="1" applyFont="1" applyBorder="1" applyAlignment="1" applyProtection="1">
      <alignment horizontal="left"/>
    </xf>
    <xf numFmtId="0" fontId="17" fillId="0" borderId="50" xfId="0" applyNumberFormat="1" applyFont="1" applyBorder="1" applyProtection="1"/>
    <xf numFmtId="174" fontId="17" fillId="0" borderId="41" xfId="0" applyNumberFormat="1" applyFont="1" applyFill="1" applyBorder="1" applyProtection="1"/>
    <xf numFmtId="174" fontId="17" fillId="0" borderId="8" xfId="0" applyNumberFormat="1" applyFont="1" applyFill="1" applyBorder="1" applyProtection="1"/>
    <xf numFmtId="174" fontId="17" fillId="0" borderId="15" xfId="0" applyNumberFormat="1" applyFont="1" applyFill="1" applyBorder="1" applyProtection="1"/>
    <xf numFmtId="174" fontId="17" fillId="0" borderId="3" xfId="0" applyNumberFormat="1" applyFont="1" applyFill="1" applyBorder="1" applyProtection="1"/>
    <xf numFmtId="174" fontId="17" fillId="0" borderId="5" xfId="0" applyNumberFormat="1" applyFont="1" applyFill="1" applyBorder="1" applyProtection="1"/>
    <xf numFmtId="0" fontId="22" fillId="0" borderId="0" xfId="0" applyFont="1" applyAlignment="1" applyProtection="1">
      <alignment horizontal="center"/>
    </xf>
    <xf numFmtId="0" fontId="17" fillId="0" borderId="17" xfId="0" applyNumberFormat="1" applyFont="1" applyFill="1" applyBorder="1" applyAlignment="1" applyProtection="1">
      <alignment horizontal="center"/>
    </xf>
    <xf numFmtId="0" fontId="17" fillId="0" borderId="14" xfId="0" applyNumberFormat="1" applyFont="1" applyFill="1" applyBorder="1" applyAlignment="1" applyProtection="1">
      <alignment horizontal="center"/>
    </xf>
    <xf numFmtId="0" fontId="17" fillId="0" borderId="49" xfId="0" applyNumberFormat="1" applyFont="1" applyFill="1" applyBorder="1" applyAlignment="1" applyProtection="1">
      <alignment horizontal="center"/>
    </xf>
    <xf numFmtId="0" fontId="17" fillId="0" borderId="15" xfId="0" applyNumberFormat="1" applyFont="1" applyFill="1" applyBorder="1" applyAlignment="1" applyProtection="1">
      <alignment horizontal="center"/>
    </xf>
    <xf numFmtId="0" fontId="17" fillId="0" borderId="13" xfId="0" applyNumberFormat="1" applyFont="1" applyFill="1" applyBorder="1" applyProtection="1"/>
    <xf numFmtId="0" fontId="17" fillId="0" borderId="14" xfId="0" applyNumberFormat="1" applyFont="1" applyFill="1" applyBorder="1" applyProtection="1"/>
    <xf numFmtId="0" fontId="17" fillId="0" borderId="2" xfId="0" applyNumberFormat="1" applyFont="1" applyFill="1" applyBorder="1" applyProtection="1"/>
    <xf numFmtId="0" fontId="17" fillId="0" borderId="0" xfId="0" applyNumberFormat="1" applyFont="1" applyFill="1" applyBorder="1" applyProtection="1"/>
    <xf numFmtId="0" fontId="17" fillId="0" borderId="24" xfId="0" applyNumberFormat="1" applyFont="1" applyFill="1" applyBorder="1" applyProtection="1"/>
    <xf numFmtId="175" fontId="17" fillId="0" borderId="21" xfId="0" applyNumberFormat="1" applyFont="1" applyFill="1" applyBorder="1" applyProtection="1"/>
    <xf numFmtId="175" fontId="17" fillId="0" borderId="26" xfId="0" applyNumberFormat="1" applyFont="1" applyFill="1" applyBorder="1" applyProtection="1"/>
    <xf numFmtId="175" fontId="17" fillId="0" borderId="27" xfId="0" applyNumberFormat="1" applyFont="1" applyFill="1" applyBorder="1" applyProtection="1"/>
    <xf numFmtId="175" fontId="17" fillId="0" borderId="25" xfId="0" applyNumberFormat="1" applyFont="1" applyFill="1" applyBorder="1" applyProtection="1"/>
    <xf numFmtId="175" fontId="17" fillId="0" borderId="28" xfId="0" applyNumberFormat="1" applyFont="1" applyFill="1" applyBorder="1" applyProtection="1"/>
    <xf numFmtId="175" fontId="17" fillId="0" borderId="37" xfId="0" applyNumberFormat="1" applyFont="1" applyFill="1" applyBorder="1" applyProtection="1"/>
    <xf numFmtId="175" fontId="17" fillId="0" borderId="38" xfId="0" applyNumberFormat="1" applyFont="1" applyFill="1" applyBorder="1" applyProtection="1"/>
    <xf numFmtId="175" fontId="17" fillId="0" borderId="39" xfId="0" applyNumberFormat="1" applyFont="1" applyFill="1" applyBorder="1" applyProtection="1"/>
    <xf numFmtId="175" fontId="17" fillId="0" borderId="36" xfId="0" applyNumberFormat="1" applyFont="1" applyFill="1" applyBorder="1" applyProtection="1"/>
    <xf numFmtId="175" fontId="17" fillId="0" borderId="40" xfId="0" applyNumberFormat="1" applyFont="1" applyFill="1" applyBorder="1" applyProtection="1"/>
    <xf numFmtId="175" fontId="19" fillId="0" borderId="21" xfId="0" applyNumberFormat="1" applyFont="1" applyFill="1" applyBorder="1" applyProtection="1"/>
    <xf numFmtId="175" fontId="19" fillId="0" borderId="26" xfId="0" applyNumberFormat="1" applyFont="1" applyFill="1" applyBorder="1" applyProtection="1"/>
    <xf numFmtId="175" fontId="19" fillId="0" borderId="27" xfId="0" applyNumberFormat="1" applyFont="1" applyFill="1" applyBorder="1" applyProtection="1"/>
    <xf numFmtId="175" fontId="19" fillId="0" borderId="25" xfId="0" applyNumberFormat="1" applyFont="1" applyFill="1" applyBorder="1" applyProtection="1"/>
    <xf numFmtId="175" fontId="19" fillId="0" borderId="28" xfId="0" applyNumberFormat="1" applyFont="1" applyFill="1" applyBorder="1" applyProtection="1"/>
    <xf numFmtId="175" fontId="17" fillId="0" borderId="13" xfId="0" applyNumberFormat="1" applyFont="1" applyFill="1" applyBorder="1" applyProtection="1"/>
    <xf numFmtId="175" fontId="17" fillId="0" borderId="14" xfId="0" applyNumberFormat="1" applyFont="1" applyFill="1" applyBorder="1" applyProtection="1"/>
    <xf numFmtId="175" fontId="17" fillId="0" borderId="2" xfId="0" applyNumberFormat="1" applyFont="1" applyFill="1" applyBorder="1" applyProtection="1"/>
    <xf numFmtId="175" fontId="17" fillId="0" borderId="0" xfId="0" applyNumberFormat="1" applyFont="1" applyFill="1" applyBorder="1" applyProtection="1"/>
    <xf numFmtId="175" fontId="17" fillId="0" borderId="24" xfId="0" applyNumberFormat="1" applyFont="1" applyFill="1" applyBorder="1" applyProtection="1"/>
    <xf numFmtId="0" fontId="17" fillId="0" borderId="0" xfId="0" applyNumberFormat="1" applyFont="1" applyFill="1" applyProtection="1"/>
    <xf numFmtId="0" fontId="17" fillId="0" borderId="0" xfId="0" applyNumberFormat="1" applyFont="1" applyProtection="1"/>
    <xf numFmtId="0" fontId="19" fillId="0" borderId="13" xfId="0" applyNumberFormat="1" applyFont="1" applyFill="1" applyBorder="1" applyProtection="1"/>
    <xf numFmtId="0" fontId="19" fillId="0" borderId="14" xfId="0" applyNumberFormat="1" applyFont="1" applyFill="1" applyBorder="1" applyProtection="1"/>
    <xf numFmtId="0" fontId="19" fillId="0" borderId="2" xfId="0" applyNumberFormat="1" applyFont="1" applyFill="1" applyBorder="1" applyProtection="1"/>
    <xf numFmtId="0" fontId="19" fillId="0" borderId="0" xfId="0" applyNumberFormat="1" applyFont="1" applyFill="1" applyBorder="1" applyProtection="1"/>
    <xf numFmtId="0" fontId="19" fillId="0" borderId="24" xfId="0" applyNumberFormat="1" applyFont="1" applyFill="1" applyBorder="1" applyProtection="1"/>
    <xf numFmtId="0" fontId="17" fillId="0" borderId="2" xfId="0" applyNumberFormat="1" applyFont="1" applyBorder="1" applyAlignment="1" applyProtection="1">
      <alignment horizontal="left" wrapText="1" indent="1"/>
    </xf>
    <xf numFmtId="0" fontId="17" fillId="0" borderId="0" xfId="0" applyFont="1" applyFill="1" applyBorder="1" applyAlignment="1" applyProtection="1">
      <alignment horizontal="left"/>
    </xf>
    <xf numFmtId="0" fontId="17" fillId="0" borderId="0" xfId="0" applyFont="1" applyFill="1" applyBorder="1" applyAlignment="1" applyProtection="1">
      <alignment horizontal="left" indent="2"/>
    </xf>
    <xf numFmtId="0" fontId="22" fillId="0" borderId="0" xfId="0" applyNumberFormat="1" applyFont="1" applyFill="1" applyProtection="1"/>
    <xf numFmtId="0" fontId="14" fillId="0" borderId="3" xfId="0" applyFont="1" applyFill="1" applyBorder="1" applyAlignment="1" applyProtection="1">
      <alignment horizontal="left"/>
    </xf>
    <xf numFmtId="0" fontId="19" fillId="0" borderId="9" xfId="0" applyFont="1" applyFill="1" applyBorder="1" applyAlignment="1" applyProtection="1">
      <alignment horizontal="centerContinuous" vertical="center" wrapText="1"/>
    </xf>
    <xf numFmtId="0" fontId="19" fillId="0" borderId="11" xfId="0" applyFont="1" applyFill="1" applyBorder="1" applyAlignment="1" applyProtection="1">
      <alignment horizontal="centerContinuous" vertical="center" wrapText="1"/>
    </xf>
    <xf numFmtId="0" fontId="19" fillId="0" borderId="62" xfId="0" applyFont="1" applyFill="1" applyBorder="1" applyAlignment="1" applyProtection="1">
      <alignment horizontal="centerContinuous" vertical="center" wrapText="1"/>
    </xf>
    <xf numFmtId="0" fontId="19" fillId="0" borderId="21" xfId="0" applyFont="1" applyFill="1" applyBorder="1" applyAlignment="1" applyProtection="1">
      <alignment horizontal="center" vertical="center" wrapText="1"/>
    </xf>
    <xf numFmtId="0" fontId="21" fillId="0" borderId="2" xfId="0" applyNumberFormat="1" applyFont="1" applyBorder="1" applyAlignment="1" applyProtection="1">
      <alignment horizontal="left" wrapText="1"/>
    </xf>
    <xf numFmtId="0" fontId="17" fillId="0" borderId="16" xfId="0" applyNumberFormat="1" applyFont="1" applyBorder="1" applyAlignment="1" applyProtection="1">
      <alignment horizontal="center" vertical="top" wrapText="1"/>
    </xf>
    <xf numFmtId="165" fontId="17" fillId="0" borderId="16" xfId="1" applyNumberFormat="1" applyFont="1" applyBorder="1" applyAlignment="1" applyProtection="1">
      <alignment vertical="top" wrapText="1"/>
    </xf>
    <xf numFmtId="165" fontId="17" fillId="0" borderId="17" xfId="1" applyNumberFormat="1" applyFont="1" applyBorder="1" applyAlignment="1" applyProtection="1">
      <alignment vertical="top" wrapText="1"/>
    </xf>
    <xf numFmtId="165" fontId="17" fillId="0" borderId="7" xfId="1" applyNumberFormat="1" applyFont="1" applyBorder="1" applyAlignment="1" applyProtection="1">
      <alignment vertical="top" wrapText="1"/>
    </xf>
    <xf numFmtId="0" fontId="17" fillId="0" borderId="2" xfId="0" applyNumberFormat="1" applyFont="1" applyBorder="1" applyAlignment="1" applyProtection="1">
      <alignment horizontal="left" wrapText="1" indent="2"/>
    </xf>
    <xf numFmtId="0" fontId="17" fillId="0" borderId="13" xfId="0" applyNumberFormat="1" applyFont="1" applyBorder="1" applyAlignment="1" applyProtection="1">
      <alignment horizontal="center" vertical="top" wrapText="1"/>
    </xf>
    <xf numFmtId="0" fontId="17" fillId="0" borderId="13" xfId="0" applyNumberFormat="1" applyFont="1" applyFill="1" applyBorder="1" applyAlignment="1" applyProtection="1">
      <alignment horizontal="center" vertical="top" wrapText="1"/>
    </xf>
    <xf numFmtId="165" fontId="17" fillId="0" borderId="13" xfId="1" applyNumberFormat="1" applyFont="1" applyFill="1" applyBorder="1" applyAlignment="1" applyProtection="1">
      <alignment vertical="top" wrapText="1"/>
    </xf>
    <xf numFmtId="165" fontId="17" fillId="0" borderId="14" xfId="1" applyNumberFormat="1" applyFont="1" applyFill="1" applyBorder="1" applyAlignment="1" applyProtection="1">
      <alignment vertical="top" wrapText="1"/>
    </xf>
    <xf numFmtId="165" fontId="17" fillId="0" borderId="2" xfId="1" applyNumberFormat="1" applyFont="1" applyFill="1" applyBorder="1" applyAlignment="1" applyProtection="1">
      <alignment vertical="top" wrapText="1"/>
    </xf>
    <xf numFmtId="0" fontId="20" fillId="0" borderId="2" xfId="0" applyNumberFormat="1" applyFont="1" applyBorder="1" applyAlignment="1" applyProtection="1">
      <alignment horizontal="left" wrapText="1" indent="1"/>
    </xf>
    <xf numFmtId="0" fontId="17" fillId="0" borderId="2" xfId="0" applyFont="1" applyBorder="1" applyAlignment="1" applyProtection="1">
      <alignment horizontal="left" indent="2"/>
    </xf>
    <xf numFmtId="178" fontId="17" fillId="0" borderId="24" xfId="1" applyNumberFormat="1" applyFont="1" applyFill="1" applyBorder="1" applyAlignment="1" applyProtection="1">
      <alignment vertical="top" wrapText="1"/>
    </xf>
    <xf numFmtId="165" fontId="19" fillId="0" borderId="13" xfId="1" applyNumberFormat="1" applyFont="1" applyFill="1" applyBorder="1" applyAlignment="1" applyProtection="1">
      <alignment vertical="top" wrapText="1"/>
    </xf>
    <xf numFmtId="165" fontId="19" fillId="0" borderId="14" xfId="1" applyNumberFormat="1" applyFont="1" applyFill="1" applyBorder="1" applyAlignment="1" applyProtection="1">
      <alignment vertical="top" wrapText="1"/>
    </xf>
    <xf numFmtId="165" fontId="19" fillId="0" borderId="2" xfId="1" applyNumberFormat="1" applyFont="1" applyFill="1" applyBorder="1" applyAlignment="1" applyProtection="1">
      <alignment vertical="top" wrapText="1"/>
    </xf>
    <xf numFmtId="0" fontId="17" fillId="0" borderId="2" xfId="0" applyNumberFormat="1" applyFont="1" applyFill="1" applyBorder="1" applyAlignment="1" applyProtection="1">
      <alignment horizontal="left" wrapText="1" indent="2"/>
    </xf>
    <xf numFmtId="0" fontId="17" fillId="0" borderId="2" xfId="0" applyNumberFormat="1" applyFont="1" applyBorder="1" applyAlignment="1" applyProtection="1">
      <alignment horizontal="left" vertical="top" wrapText="1" indent="2"/>
    </xf>
    <xf numFmtId="0" fontId="21" fillId="0" borderId="3" xfId="0" applyNumberFormat="1" applyFont="1" applyBorder="1" applyAlignment="1" applyProtection="1">
      <alignment horizontal="left" wrapText="1"/>
    </xf>
    <xf numFmtId="0" fontId="17" fillId="0" borderId="8" xfId="0" applyFont="1" applyBorder="1" applyAlignment="1" applyProtection="1">
      <alignment horizontal="center" vertical="top" wrapText="1"/>
    </xf>
    <xf numFmtId="165" fontId="17" fillId="0" borderId="8" xfId="1" applyNumberFormat="1" applyFont="1" applyBorder="1" applyAlignment="1" applyProtection="1">
      <alignment horizontal="center" vertical="top" wrapText="1"/>
    </xf>
    <xf numFmtId="165" fontId="17" fillId="0" borderId="15" xfId="1" applyNumberFormat="1" applyFont="1" applyBorder="1" applyAlignment="1" applyProtection="1">
      <alignment horizontal="center" vertical="top" wrapText="1"/>
    </xf>
    <xf numFmtId="165" fontId="17" fillId="0" borderId="3" xfId="1" applyNumberFormat="1" applyFont="1" applyBorder="1" applyAlignment="1" applyProtection="1">
      <alignment horizontal="center" vertical="top" wrapText="1"/>
    </xf>
    <xf numFmtId="0" fontId="22" fillId="0" borderId="0" xfId="4" applyFont="1" applyAlignment="1" applyProtection="1">
      <alignment horizontal="center"/>
    </xf>
    <xf numFmtId="0" fontId="17" fillId="0" borderId="0" xfId="0" applyNumberFormat="1" applyFont="1" applyFill="1" applyBorder="1" applyAlignment="1" applyProtection="1">
      <alignment horizontal="left" indent="1"/>
    </xf>
    <xf numFmtId="0" fontId="17" fillId="0" borderId="0" xfId="0" applyNumberFormat="1" applyFont="1" applyFill="1" applyBorder="1" applyAlignment="1" applyProtection="1">
      <alignment horizontal="center"/>
    </xf>
    <xf numFmtId="173" fontId="17" fillId="0" borderId="0" xfId="1" applyNumberFormat="1" applyFont="1" applyFill="1" applyBorder="1" applyProtection="1"/>
    <xf numFmtId="0" fontId="17" fillId="0" borderId="0" xfId="0" applyNumberFormat="1" applyFont="1" applyFill="1" applyBorder="1" applyAlignment="1" applyProtection="1">
      <alignment horizontal="left" wrapText="1" indent="2"/>
    </xf>
    <xf numFmtId="0" fontId="17" fillId="0" borderId="0" xfId="0" applyNumberFormat="1" applyFont="1" applyFill="1" applyBorder="1" applyAlignment="1" applyProtection="1">
      <alignment horizontal="center" vertical="top" wrapText="1"/>
    </xf>
    <xf numFmtId="165" fontId="17" fillId="0" borderId="0" xfId="1" applyNumberFormat="1" applyFont="1" applyFill="1" applyBorder="1" applyAlignment="1" applyProtection="1">
      <alignment vertical="top" wrapText="1"/>
    </xf>
    <xf numFmtId="0" fontId="20" fillId="0" borderId="0" xfId="0" applyNumberFormat="1" applyFont="1" applyFill="1" applyBorder="1" applyAlignment="1" applyProtection="1">
      <alignment horizontal="left" indent="1"/>
    </xf>
    <xf numFmtId="0" fontId="20" fillId="0" borderId="0" xfId="0" applyNumberFormat="1" applyFont="1" applyFill="1" applyBorder="1" applyAlignment="1" applyProtection="1">
      <alignment horizontal="left" wrapText="1" indent="1"/>
    </xf>
    <xf numFmtId="0" fontId="21" fillId="0" borderId="0" xfId="0" applyNumberFormat="1" applyFont="1" applyFill="1" applyBorder="1" applyAlignment="1" applyProtection="1">
      <alignment horizontal="left" wrapText="1"/>
    </xf>
    <xf numFmtId="0" fontId="17" fillId="0" borderId="0" xfId="0" applyFont="1" applyFill="1" applyBorder="1" applyAlignment="1" applyProtection="1">
      <alignment horizontal="center" vertical="top" wrapText="1"/>
    </xf>
    <xf numFmtId="0" fontId="17" fillId="0" borderId="8" xfId="0" applyNumberFormat="1" applyFont="1" applyFill="1" applyBorder="1" applyAlignment="1" applyProtection="1">
      <alignment horizontal="center" vertical="top" wrapText="1"/>
    </xf>
    <xf numFmtId="165" fontId="17" fillId="0" borderId="8" xfId="1" applyNumberFormat="1" applyFont="1" applyFill="1" applyBorder="1" applyAlignment="1" applyProtection="1">
      <alignment vertical="top" wrapText="1"/>
    </xf>
    <xf numFmtId="165" fontId="17" fillId="0" borderId="15" xfId="1" applyNumberFormat="1" applyFont="1" applyFill="1" applyBorder="1" applyAlignment="1" applyProtection="1">
      <alignment vertical="top" wrapText="1"/>
    </xf>
    <xf numFmtId="165" fontId="17" fillId="0" borderId="3" xfId="1" applyNumberFormat="1" applyFont="1" applyFill="1" applyBorder="1" applyAlignment="1" applyProtection="1">
      <alignment vertical="top" wrapText="1"/>
    </xf>
    <xf numFmtId="0" fontId="19" fillId="0" borderId="29" xfId="0" applyFont="1" applyFill="1" applyBorder="1" applyAlignment="1" applyProtection="1">
      <alignment horizontal="center" vertical="center" wrapText="1"/>
    </xf>
    <xf numFmtId="0" fontId="19" fillId="0" borderId="30" xfId="0" applyFont="1" applyFill="1" applyBorder="1" applyAlignment="1" applyProtection="1">
      <alignment horizontal="center" vertical="center" wrapText="1"/>
    </xf>
    <xf numFmtId="0" fontId="19" fillId="0" borderId="32" xfId="0" applyFont="1" applyFill="1" applyBorder="1" applyAlignment="1" applyProtection="1">
      <alignment horizontal="center" vertical="center" wrapText="1"/>
    </xf>
    <xf numFmtId="174" fontId="17" fillId="0" borderId="44" xfId="0" applyNumberFormat="1" applyFont="1" applyBorder="1" applyProtection="1"/>
    <xf numFmtId="174" fontId="17" fillId="0" borderId="24" xfId="1" applyNumberFormat="1" applyFont="1" applyBorder="1" applyProtection="1"/>
    <xf numFmtId="174" fontId="17" fillId="0" borderId="13" xfId="1" applyNumberFormat="1" applyFont="1" applyBorder="1" applyProtection="1"/>
    <xf numFmtId="174" fontId="17" fillId="0" borderId="53" xfId="1" applyNumberFormat="1" applyFont="1" applyBorder="1" applyProtection="1"/>
    <xf numFmtId="174" fontId="19" fillId="0" borderId="58" xfId="0" applyNumberFormat="1" applyFont="1" applyBorder="1" applyProtection="1"/>
    <xf numFmtId="174" fontId="19" fillId="0" borderId="78" xfId="0" applyNumberFormat="1" applyFont="1" applyBorder="1" applyProtection="1"/>
    <xf numFmtId="174" fontId="19" fillId="0" borderId="21" xfId="0" applyNumberFormat="1" applyFont="1" applyBorder="1" applyProtection="1"/>
    <xf numFmtId="174" fontId="17" fillId="0" borderId="75" xfId="0" applyNumberFormat="1" applyFont="1" applyBorder="1" applyProtection="1"/>
    <xf numFmtId="174" fontId="17" fillId="0" borderId="33" xfId="0" applyNumberFormat="1" applyFont="1" applyBorder="1" applyProtection="1"/>
    <xf numFmtId="174" fontId="17" fillId="0" borderId="30" xfId="0" applyNumberFormat="1" applyFont="1" applyBorder="1" applyProtection="1"/>
    <xf numFmtId="174" fontId="17" fillId="0" borderId="64" xfId="0" applyNumberFormat="1" applyFont="1" applyBorder="1" applyProtection="1"/>
    <xf numFmtId="174" fontId="19" fillId="0" borderId="53" xfId="0" applyNumberFormat="1" applyFont="1" applyBorder="1" applyAlignment="1" applyProtection="1"/>
    <xf numFmtId="174" fontId="19" fillId="0" borderId="72" xfId="0" applyNumberFormat="1" applyFont="1" applyBorder="1" applyAlignment="1" applyProtection="1"/>
    <xf numFmtId="0" fontId="22" fillId="0" borderId="2" xfId="0" applyFont="1" applyBorder="1" applyAlignment="1" applyProtection="1">
      <alignment horizontal="left"/>
    </xf>
    <xf numFmtId="174" fontId="17" fillId="0" borderId="72" xfId="0" applyNumberFormat="1" applyFont="1" applyFill="1" applyBorder="1" applyProtection="1"/>
    <xf numFmtId="174" fontId="19" fillId="0" borderId="24" xfId="0" applyNumberFormat="1" applyFont="1" applyBorder="1" applyProtection="1"/>
    <xf numFmtId="174" fontId="19" fillId="0" borderId="13" xfId="0" applyNumberFormat="1" applyFont="1" applyBorder="1" applyProtection="1"/>
    <xf numFmtId="174" fontId="19" fillId="0" borderId="53" xfId="0" applyNumberFormat="1" applyFont="1" applyBorder="1" applyProtection="1"/>
    <xf numFmtId="174" fontId="17" fillId="0" borderId="53" xfId="1" applyNumberFormat="1" applyFont="1" applyFill="1" applyBorder="1" applyProtection="1"/>
    <xf numFmtId="174" fontId="19" fillId="0" borderId="41" xfId="0" applyNumberFormat="1" applyFont="1" applyFill="1" applyBorder="1" applyProtection="1"/>
    <xf numFmtId="174" fontId="19" fillId="0" borderId="8" xfId="0" applyNumberFormat="1" applyFont="1" applyBorder="1" applyProtection="1"/>
    <xf numFmtId="174" fontId="19" fillId="0" borderId="54" xfId="0" applyNumberFormat="1" applyFont="1" applyBorder="1" applyProtection="1"/>
    <xf numFmtId="0" fontId="7" fillId="12" borderId="6" xfId="0" applyFont="1" applyFill="1" applyBorder="1" applyAlignment="1" applyProtection="1">
      <alignment horizontal="center"/>
      <protection locked="0"/>
    </xf>
    <xf numFmtId="0" fontId="7" fillId="12" borderId="18" xfId="0" applyFont="1" applyFill="1" applyBorder="1" applyProtection="1">
      <protection locked="0"/>
    </xf>
    <xf numFmtId="0" fontId="7" fillId="12" borderId="17" xfId="0" applyFont="1" applyFill="1" applyBorder="1" applyProtection="1">
      <protection locked="0"/>
    </xf>
    <xf numFmtId="0" fontId="7" fillId="12" borderId="1" xfId="0" applyFont="1" applyFill="1" applyBorder="1" applyAlignment="1" applyProtection="1">
      <alignment horizontal="center"/>
      <protection locked="0"/>
    </xf>
    <xf numFmtId="0" fontId="7" fillId="12" borderId="0" xfId="0" applyFont="1" applyFill="1" applyBorder="1" applyProtection="1">
      <protection locked="0"/>
    </xf>
    <xf numFmtId="0" fontId="7" fillId="12" borderId="14" xfId="0" applyFont="1" applyFill="1" applyBorder="1" applyProtection="1">
      <protection locked="0"/>
    </xf>
    <xf numFmtId="0" fontId="7" fillId="12" borderId="0" xfId="0" applyFont="1" applyFill="1" applyAlignment="1" applyProtection="1">
      <alignment horizontal="center"/>
      <protection locked="0"/>
    </xf>
    <xf numFmtId="0" fontId="7" fillId="12" borderId="0" xfId="0" applyFont="1" applyFill="1" applyProtection="1">
      <protection locked="0"/>
    </xf>
    <xf numFmtId="0" fontId="7" fillId="12" borderId="0" xfId="0" applyFont="1" applyFill="1" applyAlignment="1" applyProtection="1">
      <alignment horizontal="left"/>
      <protection locked="0"/>
    </xf>
    <xf numFmtId="0" fontId="17" fillId="0" borderId="0" xfId="0" applyNumberFormat="1" applyFont="1" applyBorder="1" applyProtection="1"/>
    <xf numFmtId="0" fontId="19" fillId="0" borderId="65" xfId="0" applyFont="1" applyFill="1" applyBorder="1" applyAlignment="1" applyProtection="1">
      <alignment horizontal="center" vertical="center" wrapText="1"/>
    </xf>
    <xf numFmtId="0" fontId="19" fillId="0" borderId="70" xfId="0" applyFont="1" applyFill="1" applyBorder="1" applyAlignment="1" applyProtection="1">
      <alignment horizontal="center" vertical="center" wrapText="1"/>
    </xf>
    <xf numFmtId="0" fontId="17" fillId="0" borderId="15" xfId="0" applyNumberFormat="1" applyFont="1" applyBorder="1" applyAlignment="1" applyProtection="1">
      <alignment vertical="top" wrapText="1"/>
    </xf>
    <xf numFmtId="174" fontId="17" fillId="0" borderId="17" xfId="0" applyNumberFormat="1" applyFont="1" applyFill="1" applyBorder="1" applyProtection="1"/>
    <xf numFmtId="175" fontId="17" fillId="0" borderId="33" xfId="0" applyNumberFormat="1" applyFont="1" applyFill="1" applyBorder="1" applyProtection="1"/>
    <xf numFmtId="175" fontId="17" fillId="0" borderId="30" xfId="0" applyNumberFormat="1" applyFont="1" applyFill="1" applyBorder="1" applyProtection="1"/>
    <xf numFmtId="175" fontId="17" fillId="0" borderId="32" xfId="0" applyNumberFormat="1" applyFont="1" applyFill="1" applyBorder="1" applyProtection="1"/>
    <xf numFmtId="175" fontId="17" fillId="0" borderId="29" xfId="0" applyNumberFormat="1" applyFont="1" applyFill="1" applyBorder="1" applyProtection="1"/>
    <xf numFmtId="175" fontId="17" fillId="0" borderId="31" xfId="0" applyNumberFormat="1" applyFont="1" applyFill="1" applyBorder="1" applyProtection="1"/>
    <xf numFmtId="175" fontId="17" fillId="0" borderId="76" xfId="0" applyNumberFormat="1" applyFont="1" applyFill="1" applyBorder="1" applyProtection="1"/>
    <xf numFmtId="0" fontId="19" fillId="0" borderId="3" xfId="0" applyNumberFormat="1" applyFont="1" applyBorder="1" applyProtection="1"/>
    <xf numFmtId="0" fontId="22" fillId="0" borderId="2" xfId="0" applyNumberFormat="1" applyFont="1" applyFill="1" applyBorder="1" applyAlignment="1" applyProtection="1">
      <alignment vertical="top" wrapText="1"/>
    </xf>
    <xf numFmtId="0" fontId="22" fillId="0" borderId="45" xfId="0" applyNumberFormat="1" applyFont="1" applyFill="1" applyBorder="1" applyAlignment="1" applyProtection="1">
      <alignment vertical="top" wrapText="1"/>
    </xf>
    <xf numFmtId="0" fontId="21" fillId="0" borderId="2" xfId="0" applyNumberFormat="1" applyFont="1" applyFill="1" applyBorder="1" applyProtection="1"/>
    <xf numFmtId="0" fontId="17" fillId="0" borderId="47" xfId="0" applyNumberFormat="1" applyFont="1" applyFill="1" applyBorder="1" applyAlignment="1" applyProtection="1">
      <alignment horizontal="left" indent="1"/>
    </xf>
    <xf numFmtId="0" fontId="17" fillId="0" borderId="45" xfId="0" applyNumberFormat="1" applyFont="1" applyFill="1" applyBorder="1" applyAlignment="1" applyProtection="1">
      <alignment horizontal="left" indent="1"/>
    </xf>
    <xf numFmtId="175" fontId="17" fillId="0" borderId="53" xfId="0" applyNumberFormat="1" applyFont="1" applyFill="1" applyBorder="1" applyProtection="1"/>
    <xf numFmtId="175" fontId="17" fillId="0" borderId="48" xfId="0" applyNumberFormat="1" applyFont="1" applyFill="1" applyBorder="1" applyProtection="1"/>
    <xf numFmtId="175" fontId="17" fillId="0" borderId="72" xfId="0" applyNumberFormat="1" applyFont="1" applyFill="1" applyBorder="1" applyProtection="1"/>
    <xf numFmtId="175" fontId="17" fillId="0" borderId="47" xfId="0" applyNumberFormat="1" applyFont="1" applyFill="1" applyBorder="1" applyProtection="1"/>
    <xf numFmtId="174" fontId="19" fillId="0" borderId="38" xfId="0" applyNumberFormat="1" applyFont="1" applyFill="1" applyBorder="1" applyProtection="1"/>
    <xf numFmtId="174" fontId="19" fillId="0" borderId="39" xfId="0" applyNumberFormat="1" applyFont="1" applyFill="1" applyBorder="1" applyProtection="1"/>
    <xf numFmtId="174" fontId="19" fillId="0" borderId="36" xfId="0" applyNumberFormat="1" applyFont="1" applyFill="1" applyBorder="1" applyProtection="1"/>
    <xf numFmtId="175" fontId="17" fillId="0" borderId="49" xfId="0" applyNumberFormat="1" applyFont="1" applyFill="1" applyBorder="1" applyProtection="1"/>
    <xf numFmtId="175" fontId="17" fillId="0" borderId="45" xfId="0" applyNumberFormat="1" applyFont="1" applyFill="1" applyBorder="1" applyProtection="1"/>
    <xf numFmtId="175" fontId="17" fillId="0" borderId="50" xfId="0" applyNumberFormat="1" applyFont="1" applyFill="1" applyBorder="1" applyProtection="1"/>
    <xf numFmtId="0" fontId="21" fillId="0" borderId="24" xfId="0" applyNumberFormat="1" applyFont="1" applyFill="1" applyBorder="1" applyProtection="1"/>
    <xf numFmtId="0" fontId="7" fillId="0" borderId="0" xfId="0" quotePrefix="1" applyFont="1" applyAlignment="1">
      <alignment horizontal="left"/>
    </xf>
    <xf numFmtId="1" fontId="7" fillId="0" borderId="0" xfId="0" applyNumberFormat="1" applyFont="1"/>
    <xf numFmtId="0" fontId="17" fillId="0" borderId="0" xfId="0" applyNumberFormat="1" applyFont="1" applyBorder="1" applyAlignment="1" applyProtection="1">
      <alignment horizontal="left" vertical="center"/>
    </xf>
    <xf numFmtId="0" fontId="7" fillId="0" borderId="0" xfId="0" applyFont="1" applyAlignment="1">
      <alignment horizontal="left"/>
    </xf>
    <xf numFmtId="0" fontId="13" fillId="0" borderId="0" xfId="0" applyFont="1" applyBorder="1"/>
    <xf numFmtId="0" fontId="7" fillId="0" borderId="0" xfId="0" applyFont="1" applyBorder="1" applyAlignment="1">
      <alignment horizontal="left" indent="1"/>
    </xf>
    <xf numFmtId="182" fontId="7" fillId="0" borderId="0" xfId="0" applyNumberFormat="1" applyFont="1" applyAlignment="1">
      <alignment horizontal="left"/>
    </xf>
    <xf numFmtId="0" fontId="7" fillId="0" borderId="0" xfId="0" applyNumberFormat="1" applyFont="1" applyAlignment="1">
      <alignment horizontal="left"/>
    </xf>
    <xf numFmtId="0" fontId="7" fillId="0" borderId="0" xfId="0" applyNumberFormat="1" applyFont="1"/>
    <xf numFmtId="172" fontId="7" fillId="0" borderId="0" xfId="0" applyNumberFormat="1" applyFont="1"/>
    <xf numFmtId="0" fontId="7" fillId="0" borderId="0" xfId="0" applyFont="1" applyFill="1" applyBorder="1" applyAlignment="1">
      <alignment horizontal="left" indent="1"/>
    </xf>
    <xf numFmtId="0" fontId="7" fillId="0" borderId="0" xfId="0" applyFont="1" applyFill="1" applyBorder="1"/>
    <xf numFmtId="0" fontId="7" fillId="0" borderId="0" xfId="0" applyFont="1" applyBorder="1" applyAlignment="1">
      <alignment horizontal="left" vertical="top" wrapText="1" indent="1"/>
    </xf>
    <xf numFmtId="168" fontId="7" fillId="0" borderId="0" xfId="0" applyNumberFormat="1" applyFont="1"/>
    <xf numFmtId="0" fontId="13" fillId="0" borderId="0" xfId="0" applyNumberFormat="1" applyFont="1" applyBorder="1"/>
    <xf numFmtId="0" fontId="7" fillId="0" borderId="0" xfId="0" applyNumberFormat="1" applyFont="1" applyBorder="1" applyAlignment="1">
      <alignment horizontal="left" indent="1"/>
    </xf>
    <xf numFmtId="0" fontId="7" fillId="0" borderId="0" xfId="0" applyNumberFormat="1" applyFont="1" applyFill="1" applyBorder="1" applyAlignment="1">
      <alignment horizontal="left" indent="1"/>
    </xf>
    <xf numFmtId="1" fontId="7" fillId="0" borderId="0" xfId="0" applyNumberFormat="1" applyFont="1" applyAlignment="1">
      <alignment horizontal="left"/>
    </xf>
    <xf numFmtId="0" fontId="7" fillId="0" borderId="0" xfId="0" applyNumberFormat="1" applyFont="1" applyBorder="1"/>
    <xf numFmtId="183" fontId="7" fillId="0" borderId="0" xfId="0" applyNumberFormat="1" applyFont="1"/>
    <xf numFmtId="0" fontId="7" fillId="0" borderId="0" xfId="0" applyNumberFormat="1" applyFont="1" applyFill="1" applyBorder="1"/>
    <xf numFmtId="0" fontId="13" fillId="0" borderId="0" xfId="0" applyNumberFormat="1" applyFont="1" applyBorder="1" applyAlignment="1" applyProtection="1">
      <alignment horizontal="left" wrapText="1"/>
    </xf>
    <xf numFmtId="0" fontId="7" fillId="0" borderId="0" xfId="0" applyNumberFormat="1" applyFont="1" applyBorder="1" applyAlignment="1" applyProtection="1">
      <alignment horizontal="left" wrapText="1" indent="2"/>
    </xf>
    <xf numFmtId="2" fontId="7" fillId="0" borderId="0" xfId="0" applyNumberFormat="1" applyFont="1"/>
    <xf numFmtId="0" fontId="7" fillId="0" borderId="0" xfId="0" applyFont="1" applyBorder="1" applyAlignment="1">
      <alignment horizontal="left"/>
    </xf>
    <xf numFmtId="0" fontId="7" fillId="0" borderId="0" xfId="0" applyNumberFormat="1" applyFont="1" applyBorder="1" applyAlignment="1" applyProtection="1">
      <alignment horizontal="left" wrapText="1" indent="1"/>
    </xf>
    <xf numFmtId="0" fontId="7" fillId="0" borderId="0" xfId="0" applyFont="1" applyBorder="1" applyAlignment="1" applyProtection="1">
      <alignment horizontal="left" indent="2"/>
    </xf>
    <xf numFmtId="0" fontId="7" fillId="0" borderId="0" xfId="0" applyFont="1" applyFill="1" applyBorder="1" applyAlignment="1">
      <alignment horizontal="left"/>
    </xf>
    <xf numFmtId="0" fontId="7" fillId="0" borderId="0" xfId="0" applyNumberFormat="1" applyFont="1" applyFill="1" applyBorder="1" applyAlignment="1" applyProtection="1">
      <alignment horizontal="left" indent="2"/>
    </xf>
    <xf numFmtId="0" fontId="7" fillId="0" borderId="0" xfId="0" applyNumberFormat="1" applyFont="1" applyFill="1" applyBorder="1" applyAlignment="1" applyProtection="1">
      <alignment horizontal="left" indent="1"/>
    </xf>
    <xf numFmtId="178" fontId="7" fillId="0" borderId="0" xfId="1" applyNumberFormat="1" applyFont="1" applyFill="1" applyBorder="1" applyAlignment="1" applyProtection="1">
      <alignment vertical="top" wrapText="1"/>
    </xf>
    <xf numFmtId="0" fontId="7" fillId="0" borderId="0" xfId="0" applyNumberFormat="1" applyFont="1" applyFill="1" applyBorder="1" applyAlignment="1" applyProtection="1">
      <alignment horizontal="left" wrapText="1" indent="2"/>
    </xf>
    <xf numFmtId="0" fontId="7" fillId="0" borderId="0" xfId="0" applyNumberFormat="1" applyFont="1" applyBorder="1" applyAlignment="1" applyProtection="1">
      <alignment horizontal="left" vertical="top" wrapText="1" indent="2"/>
    </xf>
    <xf numFmtId="184" fontId="7" fillId="0" borderId="0" xfId="0" applyNumberFormat="1" applyFont="1"/>
    <xf numFmtId="0" fontId="7" fillId="0" borderId="0" xfId="0" applyNumberFormat="1" applyFont="1" applyFill="1" applyBorder="1" applyAlignment="1">
      <alignment horizontal="left" vertical="center"/>
    </xf>
    <xf numFmtId="0" fontId="7" fillId="0" borderId="0" xfId="0" applyFont="1" applyFill="1" applyBorder="1" applyAlignment="1">
      <alignment horizontal="left" vertical="center"/>
    </xf>
    <xf numFmtId="0" fontId="7" fillId="0" borderId="0" xfId="0" applyNumberFormat="1" applyFont="1" applyBorder="1" applyAlignment="1">
      <alignment horizontal="left" vertical="center"/>
    </xf>
    <xf numFmtId="0" fontId="0" fillId="0" borderId="0" xfId="0" applyAlignment="1">
      <alignment horizontal="left" vertical="center"/>
    </xf>
    <xf numFmtId="1" fontId="0" fillId="0" borderId="0" xfId="0" applyNumberFormat="1" applyAlignment="1">
      <alignment horizontal="right" vertical="center"/>
    </xf>
    <xf numFmtId="0" fontId="0" fillId="0" borderId="0" xfId="0" applyAlignment="1">
      <alignment horizontal="right" vertical="center"/>
    </xf>
    <xf numFmtId="0" fontId="7" fillId="0" borderId="0" xfId="0" applyNumberFormat="1" applyFont="1" applyFill="1" applyBorder="1" applyAlignment="1" applyProtection="1">
      <alignment horizontal="left" vertical="center"/>
    </xf>
    <xf numFmtId="0" fontId="17" fillId="0" borderId="0" xfId="0" applyFont="1" applyBorder="1" applyAlignment="1">
      <alignment horizontal="left"/>
    </xf>
    <xf numFmtId="0" fontId="17" fillId="0" borderId="0" xfId="0" applyFont="1" applyFill="1" applyBorder="1" applyAlignment="1">
      <alignment horizontal="left"/>
    </xf>
    <xf numFmtId="0" fontId="27" fillId="0" borderId="0" xfId="0" applyNumberFormat="1" applyFont="1" applyProtection="1"/>
    <xf numFmtId="0" fontId="27" fillId="0" borderId="0" xfId="0" applyFont="1" applyAlignment="1" applyProtection="1">
      <alignment vertical="center"/>
    </xf>
    <xf numFmtId="49" fontId="0" fillId="0" borderId="0" xfId="0" applyNumberFormat="1"/>
    <xf numFmtId="49" fontId="12" fillId="0" borderId="0" xfId="0" applyNumberFormat="1" applyFont="1" applyProtection="1">
      <protection hidden="1"/>
    </xf>
    <xf numFmtId="49" fontId="12" fillId="0" borderId="0" xfId="0" applyNumberFormat="1" applyFont="1" applyBorder="1" applyProtection="1">
      <protection hidden="1"/>
    </xf>
    <xf numFmtId="49" fontId="12" fillId="0" borderId="14" xfId="0" applyNumberFormat="1" applyFont="1" applyBorder="1" applyProtection="1">
      <protection hidden="1"/>
    </xf>
    <xf numFmtId="49" fontId="36" fillId="0" borderId="0" xfId="0" applyNumberFormat="1" applyFont="1" applyBorder="1" applyProtection="1">
      <protection hidden="1"/>
    </xf>
    <xf numFmtId="49" fontId="35" fillId="0" borderId="14" xfId="0" applyNumberFormat="1" applyFont="1" applyBorder="1" applyProtection="1">
      <protection hidden="1"/>
    </xf>
    <xf numFmtId="49" fontId="12" fillId="0" borderId="0" xfId="0" applyNumberFormat="1" applyFont="1" applyAlignment="1" applyProtection="1">
      <alignment vertical="center"/>
      <protection hidden="1"/>
    </xf>
    <xf numFmtId="49" fontId="12" fillId="0" borderId="0" xfId="3" applyNumberFormat="1" applyFont="1" applyAlignment="1" applyProtection="1">
      <protection hidden="1"/>
    </xf>
    <xf numFmtId="49" fontId="41" fillId="0" borderId="0" xfId="3" applyNumberFormat="1" applyFont="1" applyAlignment="1" applyProtection="1">
      <protection hidden="1"/>
    </xf>
    <xf numFmtId="174" fontId="20" fillId="0" borderId="21" xfId="0" applyNumberFormat="1" applyFont="1" applyFill="1" applyBorder="1" applyProtection="1"/>
    <xf numFmtId="174" fontId="20" fillId="0" borderId="26" xfId="0" applyNumberFormat="1" applyFont="1" applyFill="1" applyBorder="1" applyProtection="1"/>
    <xf numFmtId="174" fontId="20" fillId="0" borderId="27" xfId="0" applyNumberFormat="1" applyFont="1" applyFill="1" applyBorder="1" applyProtection="1"/>
    <xf numFmtId="174" fontId="20" fillId="0" borderId="25" xfId="0" applyNumberFormat="1" applyFont="1" applyFill="1" applyBorder="1" applyProtection="1"/>
    <xf numFmtId="174" fontId="20" fillId="0" borderId="28" xfId="0" applyNumberFormat="1" applyFont="1" applyFill="1" applyBorder="1" applyProtection="1"/>
    <xf numFmtId="17" fontId="7" fillId="12" borderId="18" xfId="0" quotePrefix="1" applyNumberFormat="1" applyFont="1" applyFill="1" applyBorder="1" applyProtection="1">
      <protection locked="0"/>
    </xf>
    <xf numFmtId="0" fontId="7" fillId="12" borderId="0" xfId="0" quotePrefix="1" applyFont="1" applyFill="1" applyBorder="1" applyProtection="1">
      <protection locked="0"/>
    </xf>
    <xf numFmtId="0" fontId="7" fillId="12" borderId="0" xfId="0" applyFont="1" applyFill="1" applyAlignment="1" applyProtection="1">
      <alignment wrapText="1"/>
      <protection locked="0"/>
    </xf>
    <xf numFmtId="174" fontId="19" fillId="0" borderId="48" xfId="0" applyNumberFormat="1" applyFont="1" applyFill="1" applyBorder="1" applyProtection="1"/>
    <xf numFmtId="174" fontId="19" fillId="0" borderId="49" xfId="0" applyNumberFormat="1" applyFont="1" applyFill="1" applyBorder="1" applyProtection="1"/>
    <xf numFmtId="174" fontId="19" fillId="0" borderId="45" xfId="0" applyNumberFormat="1" applyFont="1" applyFill="1" applyBorder="1" applyProtection="1"/>
    <xf numFmtId="174" fontId="19" fillId="0" borderId="50" xfId="0" applyNumberFormat="1" applyFont="1" applyFill="1" applyBorder="1" applyProtection="1"/>
    <xf numFmtId="174" fontId="19" fillId="0" borderId="47" xfId="0" applyNumberFormat="1" applyFont="1" applyFill="1" applyBorder="1" applyProtection="1"/>
    <xf numFmtId="0" fontId="22" fillId="0" borderId="44" xfId="0" applyNumberFormat="1" applyFont="1" applyFill="1" applyBorder="1" applyAlignment="1" applyProtection="1">
      <alignment horizontal="center"/>
    </xf>
    <xf numFmtId="174" fontId="17" fillId="0" borderId="74" xfId="0" applyNumberFormat="1" applyFont="1" applyFill="1" applyBorder="1" applyProtection="1"/>
    <xf numFmtId="174" fontId="19" fillId="0" borderId="1" xfId="0" applyNumberFormat="1" applyFont="1" applyFill="1" applyBorder="1" applyProtection="1"/>
    <xf numFmtId="173" fontId="17" fillId="0" borderId="24" xfId="0" applyNumberFormat="1" applyFont="1" applyFill="1" applyBorder="1" applyProtection="1"/>
    <xf numFmtId="173" fontId="17" fillId="0" borderId="13" xfId="0" applyNumberFormat="1" applyFont="1" applyFill="1" applyBorder="1" applyProtection="1"/>
    <xf numFmtId="173" fontId="17" fillId="0" borderId="14" xfId="0" applyNumberFormat="1" applyFont="1" applyFill="1" applyBorder="1" applyProtection="1"/>
    <xf numFmtId="173" fontId="17" fillId="0" borderId="2" xfId="0" applyNumberFormat="1" applyFont="1" applyFill="1" applyBorder="1" applyProtection="1"/>
    <xf numFmtId="173" fontId="17" fillId="0" borderId="0" xfId="0" applyNumberFormat="1" applyFont="1" applyFill="1" applyBorder="1" applyProtection="1"/>
    <xf numFmtId="0" fontId="22" fillId="0" borderId="2" xfId="0" applyFont="1" applyFill="1" applyBorder="1" applyAlignment="1" applyProtection="1">
      <alignment horizontal="left" indent="1"/>
    </xf>
    <xf numFmtId="0" fontId="19" fillId="0" borderId="2" xfId="0" applyFont="1" applyFill="1" applyBorder="1" applyProtection="1"/>
    <xf numFmtId="174" fontId="19" fillId="0" borderId="26" xfId="0" applyNumberFormat="1" applyFont="1" applyBorder="1" applyProtection="1"/>
    <xf numFmtId="174" fontId="19" fillId="0" borderId="27" xfId="0" applyNumberFormat="1" applyFont="1" applyBorder="1" applyProtection="1"/>
    <xf numFmtId="174" fontId="19" fillId="0" borderId="25" xfId="0" applyNumberFormat="1" applyFont="1" applyBorder="1" applyProtection="1"/>
    <xf numFmtId="174" fontId="19" fillId="0" borderId="28" xfId="0" applyNumberFormat="1" applyFont="1" applyBorder="1" applyProtection="1"/>
    <xf numFmtId="0" fontId="17" fillId="0" borderId="2" xfId="0" applyFont="1" applyFill="1" applyBorder="1" applyAlignment="1" applyProtection="1">
      <alignment horizontal="left" indent="2"/>
    </xf>
    <xf numFmtId="0" fontId="17" fillId="0" borderId="0" xfId="0" applyFont="1" applyFill="1" applyBorder="1" applyAlignment="1" applyProtection="1">
      <alignment horizontal="center"/>
    </xf>
    <xf numFmtId="0" fontId="14" fillId="0" borderId="0" xfId="0" applyFont="1" applyFill="1" applyBorder="1" applyAlignment="1" applyProtection="1">
      <alignment horizontal="left"/>
    </xf>
    <xf numFmtId="0" fontId="17" fillId="0" borderId="1" xfId="0" applyNumberFormat="1" applyFont="1" applyFill="1" applyBorder="1" applyAlignment="1">
      <alignment horizontal="left" wrapText="1" indent="1"/>
    </xf>
    <xf numFmtId="0" fontId="17" fillId="0" borderId="1" xfId="0" applyNumberFormat="1" applyFont="1" applyFill="1" applyBorder="1" applyAlignment="1">
      <alignment horizontal="left" indent="1"/>
    </xf>
    <xf numFmtId="174" fontId="17" fillId="0" borderId="0" xfId="0" applyNumberFormat="1" applyFont="1" applyFill="1" applyProtection="1"/>
    <xf numFmtId="0" fontId="17" fillId="0" borderId="13" xfId="0" applyFont="1" applyFill="1" applyBorder="1" applyAlignment="1" applyProtection="1">
      <alignment horizontal="center"/>
    </xf>
    <xf numFmtId="174" fontId="19" fillId="0" borderId="70" xfId="0" applyNumberFormat="1" applyFont="1" applyFill="1" applyBorder="1" applyProtection="1"/>
    <xf numFmtId="174" fontId="19" fillId="0" borderId="8" xfId="0" applyNumberFormat="1" applyFont="1" applyFill="1" applyBorder="1" applyProtection="1"/>
    <xf numFmtId="174" fontId="19" fillId="0" borderId="54" xfId="0" applyNumberFormat="1" applyFont="1" applyFill="1" applyBorder="1" applyProtection="1"/>
    <xf numFmtId="174" fontId="19" fillId="0" borderId="3" xfId="0" applyNumberFormat="1" applyFont="1" applyFill="1" applyBorder="1" applyProtection="1"/>
    <xf numFmtId="0" fontId="19" fillId="0" borderId="9" xfId="0" applyFont="1" applyFill="1" applyBorder="1" applyAlignment="1">
      <alignment horizontal="center" vertical="center" wrapText="1"/>
    </xf>
    <xf numFmtId="0" fontId="19" fillId="0" borderId="11" xfId="0" applyFont="1" applyFill="1" applyBorder="1" applyAlignment="1">
      <alignment horizontal="center" vertical="center" wrapText="1"/>
    </xf>
    <xf numFmtId="0" fontId="19" fillId="0" borderId="9" xfId="0" applyFont="1" applyFill="1" applyBorder="1" applyAlignment="1" applyProtection="1">
      <alignment horizontal="center" vertical="center" wrapText="1"/>
    </xf>
    <xf numFmtId="0" fontId="19" fillId="0" borderId="10" xfId="0" applyFont="1" applyFill="1" applyBorder="1" applyAlignment="1" applyProtection="1">
      <alignment horizontal="center" vertical="center" wrapText="1"/>
    </xf>
    <xf numFmtId="0" fontId="19" fillId="0" borderId="11" xfId="0" applyFont="1" applyFill="1" applyBorder="1" applyAlignment="1" applyProtection="1">
      <alignment horizontal="center" vertical="center" wrapText="1"/>
    </xf>
    <xf numFmtId="0" fontId="22" fillId="0" borderId="0" xfId="0" applyFont="1" applyFill="1" applyBorder="1" applyAlignment="1" applyProtection="1">
      <alignment horizontal="left"/>
    </xf>
    <xf numFmtId="0" fontId="22" fillId="0" borderId="0" xfId="0" quotePrefix="1" applyFont="1" applyBorder="1" applyAlignment="1" applyProtection="1">
      <alignment horizontal="left" wrapText="1"/>
    </xf>
    <xf numFmtId="0" fontId="19" fillId="0" borderId="7" xfId="0" applyFont="1" applyFill="1" applyBorder="1" applyAlignment="1" applyProtection="1">
      <alignment horizontal="center" vertical="center"/>
    </xf>
    <xf numFmtId="0" fontId="19" fillId="0" borderId="3" xfId="0" applyFont="1" applyFill="1" applyBorder="1" applyAlignment="1" applyProtection="1">
      <alignment horizontal="center" vertical="center"/>
    </xf>
    <xf numFmtId="0" fontId="19" fillId="0" borderId="16" xfId="0" applyFont="1" applyFill="1" applyBorder="1" applyAlignment="1" applyProtection="1">
      <alignment horizontal="center" vertical="center"/>
    </xf>
    <xf numFmtId="0" fontId="19" fillId="0" borderId="8" xfId="0" applyFont="1" applyFill="1" applyBorder="1" applyAlignment="1" applyProtection="1">
      <alignment horizontal="center" vertical="center"/>
    </xf>
    <xf numFmtId="0" fontId="19" fillId="0" borderId="8" xfId="0" applyFont="1" applyFill="1" applyBorder="1" applyAlignment="1" applyProtection="1">
      <alignment horizontal="center" vertical="top" wrapText="1"/>
    </xf>
    <xf numFmtId="0" fontId="19" fillId="0" borderId="3"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6" xfId="0" applyFont="1" applyFill="1" applyBorder="1" applyAlignment="1" applyProtection="1">
      <alignment horizontal="center" vertical="center" wrapText="1"/>
    </xf>
    <xf numFmtId="0" fontId="19" fillId="0" borderId="4" xfId="0" applyFont="1" applyFill="1" applyBorder="1" applyAlignment="1" applyProtection="1">
      <alignment horizontal="center" vertical="center" wrapText="1"/>
    </xf>
    <xf numFmtId="0" fontId="19" fillId="0" borderId="20" xfId="0" applyFont="1" applyFill="1" applyBorder="1" applyAlignment="1" applyProtection="1">
      <alignment horizontal="center" vertical="center"/>
    </xf>
    <xf numFmtId="0" fontId="19" fillId="0" borderId="16" xfId="0" applyFont="1" applyFill="1" applyBorder="1" applyAlignment="1" applyProtection="1">
      <alignment horizontal="center" vertical="center" wrapText="1"/>
    </xf>
    <xf numFmtId="0" fontId="19" fillId="0" borderId="8" xfId="0" applyFont="1" applyFill="1" applyBorder="1" applyAlignment="1" applyProtection="1">
      <alignment horizontal="center" vertical="center" wrapText="1"/>
    </xf>
    <xf numFmtId="0" fontId="19" fillId="0" borderId="54" xfId="0" applyFont="1" applyFill="1" applyBorder="1" applyAlignment="1" applyProtection="1">
      <alignment horizontal="center" vertical="center" wrapText="1"/>
    </xf>
    <xf numFmtId="0" fontId="19" fillId="0" borderId="6" xfId="0" applyFont="1" applyFill="1" applyBorder="1" applyAlignment="1">
      <alignment horizontal="center" vertical="center"/>
    </xf>
    <xf numFmtId="0" fontId="17" fillId="0" borderId="8" xfId="0" applyFont="1" applyFill="1" applyBorder="1" applyAlignment="1" applyProtection="1">
      <alignment horizontal="center" vertical="center"/>
    </xf>
    <xf numFmtId="0" fontId="19" fillId="0" borderId="5" xfId="0" applyFont="1" applyFill="1" applyBorder="1" applyAlignment="1" applyProtection="1">
      <alignment horizontal="center" vertical="center" wrapText="1"/>
    </xf>
    <xf numFmtId="0" fontId="19" fillId="10" borderId="17" xfId="0" applyFont="1" applyFill="1" applyBorder="1" applyAlignment="1" applyProtection="1">
      <alignment horizontal="center" vertical="top" wrapText="1"/>
    </xf>
    <xf numFmtId="0" fontId="19" fillId="10" borderId="6" xfId="0" applyFont="1" applyFill="1" applyBorder="1" applyAlignment="1" applyProtection="1">
      <alignment horizontal="center" vertical="top" wrapText="1"/>
    </xf>
    <xf numFmtId="0" fontId="17" fillId="0" borderId="16" xfId="0" applyFont="1" applyBorder="1" applyAlignment="1" applyProtection="1">
      <alignment horizontal="center"/>
    </xf>
    <xf numFmtId="169" fontId="19" fillId="0" borderId="17" xfId="0" applyNumberFormat="1" applyFont="1" applyBorder="1" applyAlignment="1" applyProtection="1">
      <alignment horizontal="center"/>
    </xf>
    <xf numFmtId="0" fontId="19" fillId="0" borderId="14" xfId="0" applyFont="1" applyBorder="1" applyAlignment="1" applyProtection="1">
      <alignment horizontal="center"/>
    </xf>
    <xf numFmtId="0" fontId="19" fillId="0" borderId="1" xfId="0" applyFont="1" applyBorder="1" applyAlignment="1" applyProtection="1">
      <alignment horizontal="center"/>
    </xf>
    <xf numFmtId="169" fontId="17" fillId="0" borderId="14" xfId="0" applyNumberFormat="1" applyFont="1" applyBorder="1" applyProtection="1"/>
    <xf numFmtId="169" fontId="17" fillId="0" borderId="1" xfId="0" applyNumberFormat="1" applyFont="1" applyBorder="1" applyProtection="1"/>
    <xf numFmtId="0" fontId="17" fillId="0" borderId="13" xfId="0" applyFont="1" applyBorder="1" applyAlignment="1" applyProtection="1">
      <alignment horizontal="center"/>
    </xf>
    <xf numFmtId="174" fontId="17" fillId="12" borderId="13" xfId="0" applyNumberFormat="1" applyFont="1" applyFill="1" applyBorder="1" applyProtection="1"/>
    <xf numFmtId="174" fontId="17" fillId="12" borderId="53" xfId="0" applyNumberFormat="1" applyFont="1" applyFill="1" applyBorder="1" applyProtection="1"/>
    <xf numFmtId="174" fontId="17" fillId="12" borderId="74" xfId="0" applyNumberFormat="1" applyFont="1" applyFill="1" applyBorder="1" applyProtection="1"/>
    <xf numFmtId="174" fontId="17" fillId="12" borderId="44" xfId="0" applyNumberFormat="1" applyFont="1" applyFill="1" applyBorder="1" applyProtection="1"/>
    <xf numFmtId="174" fontId="17" fillId="12" borderId="1" xfId="0" applyNumberFormat="1" applyFont="1" applyFill="1" applyBorder="1" applyProtection="1"/>
    <xf numFmtId="174" fontId="17" fillId="12" borderId="14" xfId="0" applyNumberFormat="1" applyFont="1" applyFill="1" applyBorder="1" applyProtection="1"/>
    <xf numFmtId="174" fontId="17" fillId="12" borderId="2" xfId="0" applyNumberFormat="1" applyFont="1" applyFill="1" applyBorder="1" applyProtection="1"/>
    <xf numFmtId="174" fontId="17" fillId="12" borderId="0" xfId="0" applyNumberFormat="1" applyFont="1" applyFill="1" applyBorder="1" applyProtection="1"/>
    <xf numFmtId="174" fontId="17" fillId="12" borderId="13" xfId="1" applyNumberFormat="1" applyFont="1" applyFill="1" applyBorder="1" applyProtection="1"/>
    <xf numFmtId="174" fontId="17" fillId="12" borderId="53" xfId="1" applyNumberFormat="1" applyFont="1" applyFill="1" applyBorder="1" applyProtection="1"/>
    <xf numFmtId="174" fontId="17" fillId="12" borderId="14" xfId="1" applyNumberFormat="1" applyFont="1" applyFill="1" applyBorder="1" applyProtection="1"/>
    <xf numFmtId="169" fontId="17" fillId="0" borderId="14" xfId="0" applyNumberFormat="1" applyFont="1" applyFill="1" applyBorder="1" applyProtection="1"/>
    <xf numFmtId="174" fontId="17" fillId="0" borderId="74" xfId="0" applyNumberFormat="1" applyFont="1" applyBorder="1" applyProtection="1"/>
    <xf numFmtId="174" fontId="17" fillId="12" borderId="24" xfId="0" applyNumberFormat="1" applyFont="1" applyFill="1" applyBorder="1" applyProtection="1"/>
    <xf numFmtId="0" fontId="19" fillId="0" borderId="39" xfId="0" applyNumberFormat="1" applyFont="1" applyBorder="1" applyAlignment="1" applyProtection="1">
      <alignment horizontal="left" vertical="top" wrapText="1"/>
    </xf>
    <xf numFmtId="0" fontId="17" fillId="0" borderId="37" xfId="0" applyFont="1" applyBorder="1" applyAlignment="1" applyProtection="1">
      <alignment horizontal="center" vertical="top"/>
    </xf>
    <xf numFmtId="174" fontId="19" fillId="0" borderId="37" xfId="0" applyNumberFormat="1" applyFont="1" applyBorder="1" applyAlignment="1" applyProtection="1">
      <alignment vertical="top"/>
    </xf>
    <xf numFmtId="174" fontId="19" fillId="0" borderId="38" xfId="0" applyNumberFormat="1" applyFont="1" applyBorder="1" applyAlignment="1" applyProtection="1">
      <alignment vertical="top"/>
    </xf>
    <xf numFmtId="174" fontId="19" fillId="0" borderId="39" xfId="0" applyNumberFormat="1" applyFont="1" applyBorder="1" applyAlignment="1" applyProtection="1">
      <alignment vertical="top"/>
    </xf>
    <xf numFmtId="174" fontId="19" fillId="0" borderId="40" xfId="0" applyNumberFormat="1" applyFont="1" applyBorder="1" applyAlignment="1" applyProtection="1">
      <alignment vertical="top"/>
    </xf>
    <xf numFmtId="169" fontId="19" fillId="0" borderId="22" xfId="0" applyNumberFormat="1" applyFont="1" applyBorder="1" applyProtection="1"/>
    <xf numFmtId="169" fontId="19" fillId="0" borderId="23" xfId="0" applyNumberFormat="1" applyFont="1" applyBorder="1" applyProtection="1"/>
    <xf numFmtId="0" fontId="24" fillId="0" borderId="13" xfId="0" applyFont="1" applyBorder="1" applyAlignment="1" applyProtection="1">
      <alignment horizontal="center"/>
    </xf>
    <xf numFmtId="169" fontId="17" fillId="0" borderId="1" xfId="0" applyNumberFormat="1" applyFont="1" applyFill="1" applyBorder="1" applyProtection="1"/>
    <xf numFmtId="0" fontId="56" fillId="0" borderId="0" xfId="0" applyFont="1" applyFill="1" applyProtection="1"/>
    <xf numFmtId="174" fontId="17" fillId="12" borderId="2" xfId="1" applyNumberFormat="1" applyFont="1" applyFill="1" applyBorder="1" applyProtection="1"/>
    <xf numFmtId="174" fontId="17" fillId="12" borderId="24" xfId="1" applyNumberFormat="1" applyFont="1" applyFill="1" applyBorder="1" applyProtection="1"/>
    <xf numFmtId="0" fontId="19" fillId="0" borderId="39" xfId="0" applyNumberFormat="1" applyFont="1" applyBorder="1" applyAlignment="1" applyProtection="1">
      <alignment vertical="top"/>
    </xf>
    <xf numFmtId="169" fontId="19" fillId="0" borderId="14" xfId="0" applyNumberFormat="1" applyFont="1" applyBorder="1" applyProtection="1"/>
    <xf numFmtId="169" fontId="19" fillId="0" borderId="1" xfId="0" applyNumberFormat="1" applyFont="1" applyBorder="1" applyProtection="1"/>
    <xf numFmtId="174" fontId="19" fillId="0" borderId="14" xfId="0" applyNumberFormat="1" applyFont="1" applyBorder="1" applyProtection="1"/>
    <xf numFmtId="174" fontId="19" fillId="0" borderId="2" xfId="0" applyNumberFormat="1" applyFont="1" applyBorder="1" applyProtection="1"/>
    <xf numFmtId="0" fontId="19" fillId="0" borderId="2" xfId="0" applyNumberFormat="1" applyFont="1" applyBorder="1" applyAlignment="1" applyProtection="1">
      <alignment horizontal="left" wrapText="1"/>
    </xf>
    <xf numFmtId="174" fontId="19" fillId="0" borderId="21" xfId="0" applyNumberFormat="1" applyFont="1" applyBorder="1" applyAlignment="1" applyProtection="1">
      <alignment vertical="top"/>
    </xf>
    <xf numFmtId="174" fontId="19" fillId="0" borderId="26" xfId="0" applyNumberFormat="1" applyFont="1" applyBorder="1" applyAlignment="1" applyProtection="1">
      <alignment vertical="top"/>
    </xf>
    <xf numFmtId="174" fontId="19" fillId="0" borderId="27" xfId="0" applyNumberFormat="1" applyFont="1" applyBorder="1" applyAlignment="1" applyProtection="1">
      <alignment vertical="top"/>
    </xf>
    <xf numFmtId="174" fontId="19" fillId="0" borderId="28" xfId="0" applyNumberFormat="1" applyFont="1" applyBorder="1" applyAlignment="1" applyProtection="1">
      <alignment vertical="top"/>
    </xf>
    <xf numFmtId="0" fontId="19" fillId="0" borderId="2" xfId="0" applyNumberFormat="1" applyFont="1" applyBorder="1" applyAlignment="1" applyProtection="1">
      <alignment wrapText="1"/>
    </xf>
    <xf numFmtId="0" fontId="19" fillId="0" borderId="33" xfId="0" applyNumberFormat="1" applyFont="1" applyBorder="1" applyProtection="1"/>
    <xf numFmtId="0" fontId="17" fillId="0" borderId="30" xfId="0" applyFont="1" applyBorder="1" applyAlignment="1" applyProtection="1">
      <alignment horizontal="center"/>
    </xf>
    <xf numFmtId="169" fontId="19" fillId="0" borderId="34" xfId="0" applyNumberFormat="1" applyFont="1" applyBorder="1" applyProtection="1"/>
    <xf numFmtId="169" fontId="19" fillId="0" borderId="35" xfId="0" applyNumberFormat="1" applyFont="1" applyBorder="1" applyProtection="1"/>
    <xf numFmtId="169" fontId="17" fillId="0" borderId="0" xfId="0" applyNumberFormat="1" applyFont="1" applyProtection="1"/>
    <xf numFmtId="0" fontId="19" fillId="0" borderId="68" xfId="0" applyFont="1" applyFill="1" applyBorder="1" applyAlignment="1" applyProtection="1">
      <alignment horizontal="center" vertical="center" wrapText="1"/>
    </xf>
    <xf numFmtId="174" fontId="19" fillId="0" borderId="18" xfId="0" applyNumberFormat="1" applyFont="1" applyBorder="1" applyAlignment="1" applyProtection="1">
      <alignment horizontal="center"/>
    </xf>
    <xf numFmtId="174" fontId="19" fillId="0" borderId="7" xfId="0" applyNumberFormat="1" applyFont="1" applyBorder="1" applyAlignment="1" applyProtection="1">
      <alignment horizontal="center"/>
    </xf>
    <xf numFmtId="174" fontId="19" fillId="0" borderId="17" xfId="0" applyNumberFormat="1" applyFont="1" applyBorder="1" applyAlignment="1" applyProtection="1">
      <alignment horizontal="center"/>
    </xf>
    <xf numFmtId="174" fontId="19" fillId="0" borderId="20" xfId="0" applyNumberFormat="1" applyFont="1" applyBorder="1" applyAlignment="1" applyProtection="1">
      <alignment horizontal="center"/>
    </xf>
    <xf numFmtId="174" fontId="19" fillId="0" borderId="52" xfId="0" applyNumberFormat="1" applyFont="1" applyBorder="1" applyAlignment="1" applyProtection="1">
      <alignment horizontal="center"/>
    </xf>
    <xf numFmtId="174" fontId="19" fillId="0" borderId="6" xfId="0" applyNumberFormat="1" applyFont="1" applyBorder="1" applyAlignment="1" applyProtection="1">
      <alignment horizontal="center"/>
    </xf>
    <xf numFmtId="174" fontId="19" fillId="0" borderId="13" xfId="0" applyNumberFormat="1" applyFont="1" applyBorder="1" applyAlignment="1" applyProtection="1">
      <alignment horizontal="center"/>
    </xf>
    <xf numFmtId="174" fontId="19" fillId="0" borderId="0" xfId="0" applyNumberFormat="1" applyFont="1" applyBorder="1" applyAlignment="1" applyProtection="1">
      <alignment horizontal="center"/>
    </xf>
    <xf numFmtId="174" fontId="19" fillId="0" borderId="2" xfId="0" applyNumberFormat="1" applyFont="1" applyBorder="1" applyAlignment="1" applyProtection="1">
      <alignment horizontal="center"/>
    </xf>
    <xf numFmtId="174" fontId="19" fillId="0" borderId="14" xfId="0" applyNumberFormat="1" applyFont="1" applyBorder="1" applyAlignment="1" applyProtection="1">
      <alignment horizontal="center"/>
    </xf>
    <xf numFmtId="174" fontId="19" fillId="0" borderId="24" xfId="0" applyNumberFormat="1" applyFont="1" applyBorder="1" applyAlignment="1" applyProtection="1">
      <alignment horizontal="center"/>
    </xf>
    <xf numFmtId="174" fontId="19" fillId="0" borderId="53" xfId="0" applyNumberFormat="1" applyFont="1" applyBorder="1" applyAlignment="1" applyProtection="1">
      <alignment horizontal="center"/>
    </xf>
    <xf numFmtId="174" fontId="19" fillId="0" borderId="1" xfId="0" applyNumberFormat="1" applyFont="1" applyBorder="1" applyAlignment="1" applyProtection="1">
      <alignment horizontal="center"/>
    </xf>
    <xf numFmtId="0" fontId="19" fillId="0" borderId="13" xfId="0" applyFont="1" applyBorder="1" applyAlignment="1" applyProtection="1">
      <alignment horizontal="center"/>
    </xf>
    <xf numFmtId="174" fontId="19" fillId="0" borderId="0" xfId="0" applyNumberFormat="1" applyFont="1" applyFill="1" applyBorder="1" applyAlignment="1" applyProtection="1">
      <alignment horizontal="right"/>
    </xf>
    <xf numFmtId="174" fontId="19" fillId="0" borderId="53" xfId="0" applyNumberFormat="1" applyFont="1" applyBorder="1" applyAlignment="1" applyProtection="1">
      <alignment horizontal="right"/>
    </xf>
    <xf numFmtId="164" fontId="17" fillId="0" borderId="0" xfId="1" applyFont="1" applyFill="1" applyBorder="1" applyAlignment="1" applyProtection="1">
      <alignment horizontal="left"/>
    </xf>
    <xf numFmtId="174" fontId="19" fillId="0" borderId="44" xfId="0" applyNumberFormat="1" applyFont="1" applyBorder="1" applyAlignment="1" applyProtection="1">
      <alignment horizontal="right"/>
    </xf>
    <xf numFmtId="174" fontId="19" fillId="0" borderId="1" xfId="0" applyNumberFormat="1" applyFont="1" applyBorder="1" applyAlignment="1" applyProtection="1">
      <alignment horizontal="right"/>
    </xf>
    <xf numFmtId="174" fontId="17" fillId="12" borderId="13" xfId="0" applyNumberFormat="1" applyFont="1" applyFill="1" applyBorder="1" applyAlignment="1" applyProtection="1">
      <alignment horizontal="right"/>
    </xf>
    <xf numFmtId="174" fontId="17" fillId="12" borderId="2" xfId="0" applyNumberFormat="1" applyFont="1" applyFill="1" applyBorder="1" applyAlignment="1" applyProtection="1">
      <alignment horizontal="right"/>
    </xf>
    <xf numFmtId="174" fontId="17" fillId="12" borderId="14" xfId="0" applyNumberFormat="1" applyFont="1" applyFill="1" applyBorder="1" applyAlignment="1" applyProtection="1">
      <alignment horizontal="right"/>
    </xf>
    <xf numFmtId="174" fontId="17" fillId="12" borderId="0" xfId="0" applyNumberFormat="1" applyFont="1" applyFill="1" applyBorder="1" applyAlignment="1" applyProtection="1">
      <alignment horizontal="right"/>
    </xf>
    <xf numFmtId="174" fontId="19" fillId="0" borderId="24" xfId="0" applyNumberFormat="1" applyFont="1" applyFill="1" applyBorder="1" applyAlignment="1" applyProtection="1">
      <alignment horizontal="right"/>
    </xf>
    <xf numFmtId="174" fontId="19" fillId="0" borderId="13" xfId="0" applyNumberFormat="1" applyFont="1" applyFill="1" applyBorder="1" applyAlignment="1" applyProtection="1">
      <alignment horizontal="right"/>
    </xf>
    <xf numFmtId="174" fontId="19" fillId="0" borderId="53" xfId="0" applyNumberFormat="1" applyFont="1" applyFill="1" applyBorder="1" applyAlignment="1" applyProtection="1">
      <alignment horizontal="right"/>
    </xf>
    <xf numFmtId="0" fontId="17" fillId="0" borderId="0" xfId="0" applyFont="1" applyAlignment="1" applyProtection="1">
      <alignment horizontal="left"/>
    </xf>
    <xf numFmtId="174" fontId="17" fillId="12" borderId="53" xfId="0" applyNumberFormat="1" applyFont="1" applyFill="1" applyBorder="1" applyAlignment="1" applyProtection="1">
      <alignment horizontal="right"/>
    </xf>
    <xf numFmtId="0" fontId="17" fillId="0" borderId="0" xfId="0" applyFont="1" applyAlignment="1" applyProtection="1">
      <alignment horizontal="right"/>
    </xf>
    <xf numFmtId="164" fontId="17" fillId="0" borderId="0" xfId="0" applyNumberFormat="1" applyFont="1" applyAlignment="1" applyProtection="1">
      <alignment horizontal="left"/>
    </xf>
    <xf numFmtId="174" fontId="19" fillId="0" borderId="74" xfId="0" applyNumberFormat="1" applyFont="1" applyBorder="1" applyAlignment="1" applyProtection="1">
      <alignment horizontal="right"/>
    </xf>
    <xf numFmtId="174" fontId="19" fillId="0" borderId="2" xfId="1" applyNumberFormat="1" applyFont="1" applyBorder="1" applyAlignment="1" applyProtection="1">
      <alignment horizontal="right"/>
    </xf>
    <xf numFmtId="174" fontId="19" fillId="0" borderId="14" xfId="1" applyNumberFormat="1" applyFont="1" applyBorder="1" applyAlignment="1" applyProtection="1">
      <alignment horizontal="right"/>
    </xf>
    <xf numFmtId="174" fontId="19" fillId="0" borderId="58" xfId="0" applyNumberFormat="1" applyFont="1" applyBorder="1" applyAlignment="1" applyProtection="1">
      <alignment horizontal="right"/>
    </xf>
    <xf numFmtId="174" fontId="19" fillId="0" borderId="78" xfId="0" applyNumberFormat="1" applyFont="1" applyBorder="1" applyAlignment="1" applyProtection="1">
      <alignment horizontal="right"/>
    </xf>
    <xf numFmtId="174" fontId="19" fillId="0" borderId="28" xfId="0" applyNumberFormat="1" applyFont="1" applyFill="1" applyBorder="1" applyAlignment="1" applyProtection="1">
      <alignment horizontal="right"/>
    </xf>
    <xf numFmtId="174" fontId="19" fillId="0" borderId="21" xfId="0" applyNumberFormat="1" applyFont="1" applyFill="1" applyBorder="1" applyAlignment="1" applyProtection="1">
      <alignment horizontal="right"/>
    </xf>
    <xf numFmtId="174" fontId="19" fillId="0" borderId="58" xfId="0" applyNumberFormat="1" applyFont="1" applyFill="1" applyBorder="1" applyAlignment="1" applyProtection="1">
      <alignment horizontal="right"/>
    </xf>
    <xf numFmtId="174" fontId="19" fillId="0" borderId="59" xfId="0" applyNumberFormat="1" applyFont="1" applyBorder="1" applyAlignment="1" applyProtection="1">
      <alignment horizontal="right"/>
    </xf>
    <xf numFmtId="174" fontId="19" fillId="0" borderId="19" xfId="0" applyNumberFormat="1" applyFont="1" applyBorder="1" applyAlignment="1" applyProtection="1">
      <alignment horizontal="right"/>
    </xf>
    <xf numFmtId="0" fontId="17" fillId="0" borderId="8" xfId="0" applyFont="1" applyBorder="1" applyAlignment="1" applyProtection="1">
      <alignment horizontal="center"/>
    </xf>
    <xf numFmtId="174" fontId="17" fillId="0" borderId="8" xfId="1" applyNumberFormat="1" applyFont="1" applyBorder="1" applyProtection="1"/>
    <xf numFmtId="174" fontId="17" fillId="0" borderId="4" xfId="0" applyNumberFormat="1" applyFont="1" applyBorder="1" applyProtection="1"/>
    <xf numFmtId="0" fontId="27" fillId="0" borderId="0" xfId="0" applyFont="1" applyFill="1" applyProtection="1"/>
    <xf numFmtId="0" fontId="17" fillId="0" borderId="0" xfId="0" applyFont="1" applyBorder="1" applyAlignment="1" applyProtection="1"/>
    <xf numFmtId="0" fontId="19" fillId="0" borderId="2" xfId="0" applyFont="1" applyBorder="1" applyProtection="1"/>
    <xf numFmtId="174" fontId="19" fillId="0" borderId="64" xfId="0" applyNumberFormat="1" applyFont="1" applyBorder="1" applyAlignment="1" applyProtection="1">
      <alignment horizontal="right"/>
    </xf>
    <xf numFmtId="174" fontId="19" fillId="0" borderId="68" xfId="0" applyNumberFormat="1" applyFont="1" applyBorder="1" applyAlignment="1" applyProtection="1">
      <alignment horizontal="right"/>
    </xf>
    <xf numFmtId="0" fontId="19" fillId="0" borderId="60" xfId="0" applyFont="1" applyBorder="1" applyProtection="1"/>
    <xf numFmtId="0" fontId="17" fillId="0" borderId="51" xfId="0" applyFont="1" applyBorder="1" applyAlignment="1" applyProtection="1">
      <alignment horizontal="center"/>
    </xf>
    <xf numFmtId="174" fontId="19" fillId="0" borderId="51" xfId="0" applyNumberFormat="1" applyFont="1" applyBorder="1" applyAlignment="1" applyProtection="1">
      <alignment horizontal="right"/>
    </xf>
    <xf numFmtId="174" fontId="19" fillId="0" borderId="71" xfId="0" applyNumberFormat="1" applyFont="1" applyBorder="1" applyProtection="1"/>
    <xf numFmtId="174" fontId="19" fillId="0" borderId="60" xfId="0" applyNumberFormat="1" applyFont="1" applyBorder="1" applyProtection="1"/>
    <xf numFmtId="174" fontId="19" fillId="0" borderId="51" xfId="0" applyNumberFormat="1" applyFont="1" applyBorder="1" applyProtection="1"/>
    <xf numFmtId="174" fontId="19" fillId="0" borderId="22" xfId="0" applyNumberFormat="1" applyFont="1" applyBorder="1" applyProtection="1"/>
    <xf numFmtId="0" fontId="19" fillId="0" borderId="39" xfId="0" applyFont="1" applyBorder="1" applyProtection="1"/>
    <xf numFmtId="0" fontId="17" fillId="0" borderId="37" xfId="0" applyFont="1" applyBorder="1" applyAlignment="1" applyProtection="1">
      <alignment horizontal="center"/>
    </xf>
    <xf numFmtId="174" fontId="19" fillId="0" borderId="90" xfId="0" applyNumberFormat="1" applyFont="1" applyBorder="1" applyProtection="1"/>
    <xf numFmtId="164" fontId="17" fillId="12" borderId="14" xfId="1" applyFont="1" applyFill="1" applyBorder="1" applyProtection="1"/>
    <xf numFmtId="0" fontId="17" fillId="0" borderId="66" xfId="0" applyFont="1" applyBorder="1" applyAlignment="1" applyProtection="1">
      <alignment horizontal="center"/>
    </xf>
    <xf numFmtId="0" fontId="19" fillId="0" borderId="3" xfId="0" applyFont="1" applyBorder="1" applyProtection="1"/>
    <xf numFmtId="174" fontId="19" fillId="0" borderId="15" xfId="0" applyNumberFormat="1" applyFont="1" applyBorder="1" applyProtection="1"/>
    <xf numFmtId="174" fontId="19" fillId="0" borderId="3" xfId="0" applyNumberFormat="1" applyFont="1" applyBorder="1" applyProtection="1"/>
    <xf numFmtId="174" fontId="19" fillId="0" borderId="5" xfId="0" applyNumberFormat="1" applyFont="1" applyBorder="1" applyProtection="1"/>
    <xf numFmtId="174" fontId="19" fillId="0" borderId="41" xfId="0" applyNumberFormat="1" applyFont="1" applyBorder="1" applyProtection="1"/>
    <xf numFmtId="174" fontId="19" fillId="0" borderId="70" xfId="0" applyNumberFormat="1" applyFont="1" applyBorder="1" applyProtection="1"/>
    <xf numFmtId="174" fontId="19" fillId="0" borderId="76" xfId="0" applyNumberFormat="1" applyFont="1" applyBorder="1" applyProtection="1"/>
    <xf numFmtId="174" fontId="22" fillId="0" borderId="44" xfId="0" applyNumberFormat="1" applyFont="1" applyBorder="1" applyProtection="1"/>
    <xf numFmtId="174" fontId="22" fillId="0" borderId="0" xfId="0" applyNumberFormat="1" applyFont="1" applyBorder="1" applyProtection="1"/>
    <xf numFmtId="0" fontId="19" fillId="0" borderId="33" xfId="0" applyFont="1" applyFill="1" applyBorder="1" applyAlignment="1" applyProtection="1">
      <alignment horizontal="center" vertical="center" wrapText="1"/>
    </xf>
    <xf numFmtId="0" fontId="19" fillId="0" borderId="64" xfId="0" applyFont="1" applyFill="1" applyBorder="1" applyAlignment="1" applyProtection="1">
      <alignment horizontal="center" vertical="center" wrapText="1"/>
    </xf>
    <xf numFmtId="174" fontId="17" fillId="12" borderId="48" xfId="0" applyNumberFormat="1" applyFont="1" applyFill="1" applyBorder="1" applyProtection="1"/>
    <xf numFmtId="174" fontId="17" fillId="12" borderId="72" xfId="0" applyNumberFormat="1" applyFont="1" applyFill="1" applyBorder="1" applyProtection="1"/>
    <xf numFmtId="174" fontId="17" fillId="12" borderId="47" xfId="0" applyNumberFormat="1" applyFont="1" applyFill="1" applyBorder="1" applyProtection="1"/>
    <xf numFmtId="174" fontId="17" fillId="12" borderId="49" xfId="0" applyNumberFormat="1" applyFont="1" applyFill="1" applyBorder="1" applyProtection="1"/>
    <xf numFmtId="174" fontId="19" fillId="0" borderId="0" xfId="0" applyNumberFormat="1" applyFont="1" applyBorder="1" applyProtection="1"/>
    <xf numFmtId="174" fontId="17" fillId="12" borderId="0" xfId="1" applyNumberFormat="1" applyFont="1" applyFill="1" applyBorder="1" applyProtection="1"/>
    <xf numFmtId="174" fontId="19" fillId="12" borderId="13" xfId="0" applyNumberFormat="1" applyFont="1" applyFill="1" applyBorder="1" applyProtection="1"/>
    <xf numFmtId="0" fontId="17" fillId="0" borderId="3" xfId="0" applyFont="1" applyBorder="1" applyAlignment="1" applyProtection="1">
      <alignment horizontal="left" indent="1"/>
    </xf>
    <xf numFmtId="174" fontId="19" fillId="0" borderId="5" xfId="0" applyNumberFormat="1" applyFont="1" applyFill="1" applyBorder="1" applyProtection="1"/>
    <xf numFmtId="0" fontId="19" fillId="0" borderId="69" xfId="0" applyFont="1" applyFill="1" applyBorder="1" applyAlignment="1" applyProtection="1">
      <alignment horizontal="center" vertical="center" wrapText="1"/>
    </xf>
    <xf numFmtId="0" fontId="19" fillId="0" borderId="12" xfId="0" applyFont="1" applyFill="1" applyBorder="1" applyAlignment="1" applyProtection="1">
      <alignment horizontal="center" vertical="center" wrapText="1"/>
    </xf>
    <xf numFmtId="0" fontId="19" fillId="0" borderId="63" xfId="0" applyFont="1" applyFill="1" applyBorder="1" applyAlignment="1" applyProtection="1">
      <alignment horizontal="center" vertical="center" wrapText="1"/>
    </xf>
    <xf numFmtId="0" fontId="19" fillId="0" borderId="41" xfId="0" applyFont="1" applyFill="1" applyBorder="1" applyAlignment="1" applyProtection="1">
      <alignment horizontal="center" vertical="center" wrapText="1"/>
    </xf>
    <xf numFmtId="174" fontId="17" fillId="0" borderId="20" xfId="0" applyNumberFormat="1" applyFont="1" applyFill="1" applyBorder="1" applyProtection="1"/>
    <xf numFmtId="0" fontId="17" fillId="0" borderId="37" xfId="0" applyNumberFormat="1" applyFont="1" applyFill="1" applyBorder="1" applyAlignment="1" applyProtection="1">
      <alignment horizontal="center"/>
    </xf>
    <xf numFmtId="0" fontId="17" fillId="0" borderId="0" xfId="0" applyFont="1" applyAlignment="1" applyProtection="1">
      <alignment horizontal="center" vertical="center" wrapText="1"/>
    </xf>
    <xf numFmtId="174" fontId="19" fillId="0" borderId="15" xfId="0" applyNumberFormat="1" applyFont="1" applyFill="1" applyBorder="1" applyProtection="1"/>
    <xf numFmtId="0" fontId="22" fillId="0" borderId="0" xfId="0" quotePrefix="1" applyFont="1" applyFill="1" applyBorder="1" applyProtection="1"/>
    <xf numFmtId="0" fontId="25" fillId="0" borderId="0" xfId="0" applyFont="1" applyProtection="1"/>
    <xf numFmtId="0" fontId="24" fillId="0" borderId="0" xfId="0" applyFont="1" applyFill="1" applyBorder="1" applyProtection="1"/>
    <xf numFmtId="174" fontId="17" fillId="0" borderId="71" xfId="0" applyNumberFormat="1" applyFont="1" applyFill="1" applyBorder="1" applyProtection="1"/>
    <xf numFmtId="168" fontId="17" fillId="0" borderId="0" xfId="7" applyNumberFormat="1" applyFont="1" applyFill="1" applyAlignment="1" applyProtection="1">
      <alignment horizontal="center"/>
    </xf>
    <xf numFmtId="9" fontId="17" fillId="0" borderId="0" xfId="7" applyFont="1" applyFill="1" applyAlignment="1" applyProtection="1">
      <alignment horizontal="center"/>
    </xf>
    <xf numFmtId="0" fontId="24" fillId="0" borderId="0" xfId="0" applyFont="1" applyProtection="1"/>
    <xf numFmtId="169" fontId="17" fillId="0" borderId="0" xfId="0" applyNumberFormat="1" applyFont="1" applyFill="1" applyBorder="1" applyProtection="1"/>
    <xf numFmtId="0" fontId="17" fillId="12" borderId="0" xfId="0" applyFont="1" applyFill="1" applyProtection="1"/>
    <xf numFmtId="0" fontId="24" fillId="12" borderId="0" xfId="0" applyFont="1" applyFill="1" applyProtection="1"/>
    <xf numFmtId="174" fontId="17" fillId="0" borderId="42" xfId="0" applyNumberFormat="1" applyFont="1" applyFill="1" applyBorder="1" applyProtection="1"/>
    <xf numFmtId="0" fontId="19" fillId="0" borderId="41" xfId="0" applyFont="1" applyFill="1" applyBorder="1" applyAlignment="1" applyProtection="1">
      <alignment horizontal="left" vertical="center"/>
    </xf>
    <xf numFmtId="0" fontId="19" fillId="0" borderId="24" xfId="0" applyNumberFormat="1" applyFont="1" applyBorder="1" applyProtection="1"/>
    <xf numFmtId="0" fontId="21" fillId="0" borderId="24" xfId="0" applyNumberFormat="1" applyFont="1" applyBorder="1" applyAlignment="1" applyProtection="1">
      <alignment horizontal="left" indent="1"/>
    </xf>
    <xf numFmtId="0" fontId="22" fillId="0" borderId="24" xfId="0" applyNumberFormat="1" applyFont="1" applyFill="1" applyBorder="1" applyAlignment="1" applyProtection="1">
      <alignment horizontal="left" indent="3"/>
    </xf>
    <xf numFmtId="0" fontId="19" fillId="0" borderId="24" xfId="0" applyNumberFormat="1" applyFont="1" applyFill="1" applyBorder="1" applyAlignment="1" applyProtection="1">
      <alignment horizontal="left" indent="2"/>
    </xf>
    <xf numFmtId="0" fontId="19" fillId="0" borderId="13" xfId="0" applyNumberFormat="1" applyFont="1" applyFill="1" applyBorder="1" applyAlignment="1" applyProtection="1">
      <alignment horizontal="center"/>
    </xf>
    <xf numFmtId="0" fontId="17" fillId="0" borderId="24" xfId="0" applyNumberFormat="1" applyFont="1" applyBorder="1" applyAlignment="1" applyProtection="1">
      <alignment horizontal="left" indent="3"/>
    </xf>
    <xf numFmtId="0" fontId="19" fillId="0" borderId="24" xfId="0" applyNumberFormat="1" applyFont="1" applyBorder="1" applyAlignment="1" applyProtection="1">
      <alignment horizontal="left" indent="2"/>
    </xf>
    <xf numFmtId="0" fontId="19" fillId="0" borderId="24" xfId="0" applyFont="1" applyBorder="1" applyAlignment="1" applyProtection="1">
      <alignment horizontal="left" indent="2"/>
    </xf>
    <xf numFmtId="0" fontId="17" fillId="0" borderId="44" xfId="0" applyFont="1" applyBorder="1" applyAlignment="1" applyProtection="1">
      <alignment horizontal="center"/>
    </xf>
    <xf numFmtId="0" fontId="17" fillId="0" borderId="24" xfId="0" applyFont="1" applyBorder="1" applyProtection="1"/>
    <xf numFmtId="0" fontId="19" fillId="0" borderId="33" xfId="0" applyFont="1" applyBorder="1" applyProtection="1"/>
    <xf numFmtId="174" fontId="19" fillId="12" borderId="14" xfId="0" applyNumberFormat="1" applyFont="1" applyFill="1" applyBorder="1" applyProtection="1"/>
    <xf numFmtId="174" fontId="19" fillId="12" borderId="2" xfId="0" applyNumberFormat="1" applyFont="1" applyFill="1" applyBorder="1" applyProtection="1"/>
    <xf numFmtId="174" fontId="19" fillId="12" borderId="0" xfId="0" applyNumberFormat="1" applyFont="1" applyFill="1" applyBorder="1" applyProtection="1"/>
    <xf numFmtId="0" fontId="19" fillId="0" borderId="2" xfId="0" applyNumberFormat="1" applyFont="1" applyFill="1" applyBorder="1" applyAlignment="1" applyProtection="1">
      <alignment horizontal="left"/>
    </xf>
    <xf numFmtId="0" fontId="21" fillId="0" borderId="2" xfId="0" applyNumberFormat="1" applyFont="1" applyFill="1" applyBorder="1" applyAlignment="1" applyProtection="1">
      <alignment horizontal="left" indent="1"/>
    </xf>
    <xf numFmtId="0" fontId="19" fillId="0" borderId="7" xfId="0" applyFont="1" applyBorder="1" applyProtection="1"/>
    <xf numFmtId="174" fontId="19" fillId="0" borderId="16" xfId="0" applyNumberFormat="1" applyFont="1" applyBorder="1" applyProtection="1"/>
    <xf numFmtId="174" fontId="19" fillId="0" borderId="17" xfId="0" applyNumberFormat="1" applyFont="1" applyBorder="1" applyProtection="1"/>
    <xf numFmtId="174" fontId="19" fillId="0" borderId="7" xfId="0" applyNumberFormat="1" applyFont="1" applyBorder="1" applyProtection="1"/>
    <xf numFmtId="174" fontId="19" fillId="0" borderId="18" xfId="0" applyNumberFormat="1" applyFont="1" applyBorder="1" applyProtection="1"/>
    <xf numFmtId="174" fontId="19" fillId="0" borderId="20" xfId="0" applyNumberFormat="1" applyFont="1" applyBorder="1" applyProtection="1"/>
    <xf numFmtId="0" fontId="20" fillId="0" borderId="2" xfId="0" applyNumberFormat="1" applyFont="1" applyBorder="1" applyProtection="1"/>
    <xf numFmtId="0" fontId="22" fillId="0" borderId="13" xfId="0" applyNumberFormat="1" applyFont="1" applyBorder="1" applyAlignment="1" applyProtection="1">
      <alignment horizontal="center"/>
    </xf>
    <xf numFmtId="168" fontId="22" fillId="0" borderId="13" xfId="7" applyNumberFormat="1" applyFont="1" applyFill="1" applyBorder="1" applyAlignment="1" applyProtection="1">
      <alignment horizontal="center"/>
    </xf>
    <xf numFmtId="168" fontId="22" fillId="0" borderId="14" xfId="7" applyNumberFormat="1" applyFont="1" applyFill="1" applyBorder="1" applyAlignment="1" applyProtection="1">
      <alignment horizontal="center"/>
    </xf>
    <xf numFmtId="168" fontId="22" fillId="0" borderId="2" xfId="7" applyNumberFormat="1" applyFont="1" applyFill="1" applyBorder="1" applyAlignment="1" applyProtection="1">
      <alignment horizontal="center"/>
    </xf>
    <xf numFmtId="168" fontId="22" fillId="0" borderId="0" xfId="7" applyNumberFormat="1" applyFont="1" applyFill="1" applyBorder="1" applyAlignment="1" applyProtection="1">
      <alignment horizontal="center"/>
    </xf>
    <xf numFmtId="168" fontId="22" fillId="0" borderId="24" xfId="7" applyNumberFormat="1" applyFont="1" applyFill="1" applyBorder="1" applyAlignment="1" applyProtection="1">
      <alignment horizontal="center"/>
    </xf>
    <xf numFmtId="0" fontId="17" fillId="0" borderId="3" xfId="0" applyNumberFormat="1" applyFont="1" applyBorder="1" applyProtection="1"/>
    <xf numFmtId="169" fontId="19" fillId="0" borderId="8" xfId="0" applyNumberFormat="1" applyFont="1" applyBorder="1" applyProtection="1"/>
    <xf numFmtId="169" fontId="19" fillId="0" borderId="15" xfId="0" applyNumberFormat="1" applyFont="1" applyBorder="1" applyProtection="1"/>
    <xf numFmtId="169" fontId="19" fillId="0" borderId="3" xfId="0" applyNumberFormat="1" applyFont="1" applyBorder="1" applyProtection="1"/>
    <xf numFmtId="169" fontId="19" fillId="0" borderId="5" xfId="0" applyNumberFormat="1" applyFont="1" applyBorder="1" applyProtection="1"/>
    <xf numFmtId="169" fontId="19" fillId="0" borderId="41" xfId="0" applyNumberFormat="1" applyFont="1" applyBorder="1" applyProtection="1"/>
    <xf numFmtId="175" fontId="17" fillId="12" borderId="13" xfId="0" applyNumberFormat="1" applyFont="1" applyFill="1" applyBorder="1" applyProtection="1"/>
    <xf numFmtId="175" fontId="17" fillId="12" borderId="14" xfId="0" applyNumberFormat="1" applyFont="1" applyFill="1" applyBorder="1" applyProtection="1"/>
    <xf numFmtId="175" fontId="17" fillId="12" borderId="2" xfId="1" applyNumberFormat="1" applyFont="1" applyFill="1" applyBorder="1" applyProtection="1"/>
    <xf numFmtId="175" fontId="17" fillId="12" borderId="0" xfId="0" applyNumberFormat="1" applyFont="1" applyFill="1" applyBorder="1" applyProtection="1"/>
    <xf numFmtId="175" fontId="17" fillId="12" borderId="24" xfId="0" applyNumberFormat="1" applyFont="1" applyFill="1" applyBorder="1" applyProtection="1"/>
    <xf numFmtId="175" fontId="17" fillId="12" borderId="13" xfId="1" applyNumberFormat="1" applyFont="1" applyFill="1" applyBorder="1" applyProtection="1"/>
    <xf numFmtId="175" fontId="17" fillId="12" borderId="14" xfId="1" applyNumberFormat="1" applyFont="1" applyFill="1" applyBorder="1" applyProtection="1"/>
    <xf numFmtId="175" fontId="17" fillId="12" borderId="0" xfId="1" applyNumberFormat="1" applyFont="1" applyFill="1" applyBorder="1" applyProtection="1"/>
    <xf numFmtId="175" fontId="17" fillId="12" borderId="24" xfId="1" applyNumberFormat="1" applyFont="1" applyFill="1" applyBorder="1" applyProtection="1"/>
    <xf numFmtId="175" fontId="17" fillId="12" borderId="48" xfId="0" applyNumberFormat="1" applyFont="1" applyFill="1" applyBorder="1" applyProtection="1"/>
    <xf numFmtId="175" fontId="17" fillId="12" borderId="49" xfId="0" applyNumberFormat="1" applyFont="1" applyFill="1" applyBorder="1" applyProtection="1"/>
    <xf numFmtId="175" fontId="17" fillId="12" borderId="45" xfId="1" applyNumberFormat="1" applyFont="1" applyFill="1" applyBorder="1" applyProtection="1"/>
    <xf numFmtId="175" fontId="17" fillId="12" borderId="48" xfId="1" applyNumberFormat="1" applyFont="1" applyFill="1" applyBorder="1" applyProtection="1"/>
    <xf numFmtId="175" fontId="17" fillId="12" borderId="50" xfId="1" applyNumberFormat="1" applyFont="1" applyFill="1" applyBorder="1" applyProtection="1"/>
    <xf numFmtId="175" fontId="17" fillId="12" borderId="47" xfId="0" applyNumberFormat="1" applyFont="1" applyFill="1" applyBorder="1" applyProtection="1"/>
    <xf numFmtId="0" fontId="19" fillId="0" borderId="0" xfId="0" applyFont="1" applyFill="1" applyBorder="1" applyAlignment="1" applyProtection="1">
      <alignment horizontal="center" vertical="center" wrapText="1"/>
    </xf>
    <xf numFmtId="0" fontId="19" fillId="0" borderId="15" xfId="0" applyFont="1" applyFill="1" applyBorder="1" applyAlignment="1" applyProtection="1">
      <alignment horizontal="center" vertical="top" wrapText="1"/>
    </xf>
    <xf numFmtId="0" fontId="19" fillId="0" borderId="3" xfId="0" applyFont="1" applyFill="1" applyBorder="1" applyAlignment="1" applyProtection="1">
      <alignment horizontal="center" vertical="top" wrapText="1"/>
    </xf>
    <xf numFmtId="0" fontId="19" fillId="0" borderId="5" xfId="0" applyFont="1" applyFill="1" applyBorder="1" applyAlignment="1" applyProtection="1">
      <alignment horizontal="center" vertical="top" wrapText="1"/>
    </xf>
    <xf numFmtId="169" fontId="17" fillId="0" borderId="16" xfId="0" applyNumberFormat="1" applyFont="1" applyBorder="1" applyProtection="1"/>
    <xf numFmtId="169" fontId="17" fillId="0" borderId="2" xfId="0" applyNumberFormat="1" applyFont="1" applyBorder="1" applyProtection="1"/>
    <xf numFmtId="169" fontId="17" fillId="0" borderId="20" xfId="0" applyNumberFormat="1" applyFont="1" applyBorder="1" applyProtection="1"/>
    <xf numFmtId="0" fontId="21" fillId="0" borderId="2" xfId="0" applyFont="1" applyFill="1" applyBorder="1" applyProtection="1"/>
    <xf numFmtId="169" fontId="17" fillId="0" borderId="13" xfId="0" applyNumberFormat="1" applyFont="1" applyBorder="1" applyProtection="1"/>
    <xf numFmtId="169" fontId="17" fillId="0" borderId="24" xfId="0" applyNumberFormat="1" applyFont="1" applyBorder="1" applyProtection="1"/>
    <xf numFmtId="169" fontId="17" fillId="12" borderId="13" xfId="0" applyNumberFormat="1" applyFont="1" applyFill="1" applyBorder="1" applyProtection="1"/>
    <xf numFmtId="169" fontId="17" fillId="12" borderId="14" xfId="0" applyNumberFormat="1" applyFont="1" applyFill="1" applyBorder="1" applyProtection="1"/>
    <xf numFmtId="169" fontId="17" fillId="12" borderId="2" xfId="0" applyNumberFormat="1" applyFont="1" applyFill="1" applyBorder="1" applyProtection="1"/>
    <xf numFmtId="169" fontId="17" fillId="12" borderId="0" xfId="0" applyNumberFormat="1" applyFont="1" applyFill="1" applyBorder="1" applyProtection="1"/>
    <xf numFmtId="169" fontId="17" fillId="12" borderId="24" xfId="0" applyNumberFormat="1" applyFont="1" applyFill="1" applyBorder="1" applyProtection="1"/>
    <xf numFmtId="0" fontId="22" fillId="0" borderId="2" xfId="0" applyFont="1" applyFill="1" applyBorder="1" applyAlignment="1" applyProtection="1">
      <alignment horizontal="left" wrapText="1" indent="2"/>
    </xf>
    <xf numFmtId="0" fontId="19" fillId="0" borderId="2" xfId="0" applyFont="1" applyBorder="1" applyAlignment="1" applyProtection="1">
      <alignment horizontal="left" indent="1"/>
    </xf>
    <xf numFmtId="174" fontId="19" fillId="0" borderId="26" xfId="0" applyNumberFormat="1" applyFont="1" applyFill="1" applyBorder="1" applyProtection="1"/>
    <xf numFmtId="174" fontId="19" fillId="0" borderId="27" xfId="0" applyNumberFormat="1" applyFont="1" applyFill="1" applyBorder="1" applyProtection="1"/>
    <xf numFmtId="174" fontId="19" fillId="0" borderId="25" xfId="0" applyNumberFormat="1" applyFont="1" applyFill="1" applyBorder="1" applyProtection="1"/>
    <xf numFmtId="0" fontId="20" fillId="0" borderId="2" xfId="0" applyFont="1" applyFill="1" applyBorder="1" applyAlignment="1" applyProtection="1">
      <alignment horizontal="left" wrapText="1" indent="2"/>
    </xf>
    <xf numFmtId="169" fontId="19" fillId="0" borderId="13" xfId="0" applyNumberFormat="1" applyFont="1" applyBorder="1" applyProtection="1"/>
    <xf numFmtId="169" fontId="19" fillId="0" borderId="2" xfId="0" applyNumberFormat="1" applyFont="1" applyBorder="1" applyProtection="1"/>
    <xf numFmtId="169" fontId="19" fillId="0" borderId="24" xfId="0" applyNumberFormat="1" applyFont="1" applyBorder="1" applyProtection="1"/>
    <xf numFmtId="0" fontId="21" fillId="0" borderId="2" xfId="0" applyFont="1" applyFill="1" applyBorder="1" applyAlignment="1" applyProtection="1">
      <alignment horizontal="left"/>
    </xf>
    <xf numFmtId="0" fontId="17" fillId="0" borderId="2" xfId="0" applyFont="1" applyFill="1" applyBorder="1" applyProtection="1"/>
    <xf numFmtId="0" fontId="19" fillId="0" borderId="27" xfId="0" applyFont="1" applyBorder="1" applyProtection="1"/>
    <xf numFmtId="0" fontId="17" fillId="0" borderId="21" xfId="0" applyFont="1" applyBorder="1" applyAlignment="1" applyProtection="1">
      <alignment horizontal="center"/>
    </xf>
    <xf numFmtId="174" fontId="17" fillId="0" borderId="21" xfId="0" applyNumberFormat="1" applyFont="1" applyBorder="1" applyProtection="1"/>
    <xf numFmtId="174" fontId="17" fillId="0" borderId="26" xfId="0" applyNumberFormat="1" applyFont="1" applyBorder="1" applyProtection="1"/>
    <xf numFmtId="174" fontId="17" fillId="0" borderId="27" xfId="0" applyNumberFormat="1" applyFont="1" applyBorder="1" applyProtection="1"/>
    <xf numFmtId="174" fontId="17" fillId="0" borderId="25" xfId="0" applyNumberFormat="1" applyFont="1" applyBorder="1" applyProtection="1"/>
    <xf numFmtId="174" fontId="17" fillId="0" borderId="28" xfId="0" applyNumberFormat="1" applyFont="1" applyBorder="1" applyProtection="1"/>
    <xf numFmtId="0" fontId="20" fillId="0" borderId="2" xfId="0" applyFont="1" applyBorder="1" applyAlignment="1" applyProtection="1">
      <alignment horizontal="right"/>
    </xf>
    <xf numFmtId="0" fontId="24" fillId="0" borderId="2" xfId="0" applyFont="1" applyBorder="1" applyAlignment="1" applyProtection="1">
      <alignment horizontal="left" indent="1"/>
    </xf>
    <xf numFmtId="0" fontId="20" fillId="0" borderId="2" xfId="0" applyFont="1" applyFill="1" applyBorder="1" applyAlignment="1" applyProtection="1">
      <alignment horizontal="right" indent="1"/>
    </xf>
    <xf numFmtId="0" fontId="19" fillId="0" borderId="2" xfId="0" applyFont="1" applyFill="1" applyBorder="1" applyAlignment="1" applyProtection="1"/>
    <xf numFmtId="0" fontId="19" fillId="0" borderId="3" xfId="0" applyFont="1" applyFill="1" applyBorder="1" applyProtection="1"/>
    <xf numFmtId="0" fontId="19" fillId="0" borderId="7" xfId="0" applyFont="1" applyBorder="1" applyAlignment="1" applyProtection="1">
      <alignment wrapText="1"/>
    </xf>
    <xf numFmtId="0" fontId="17" fillId="0" borderId="80" xfId="0" applyFont="1" applyBorder="1" applyAlignment="1" applyProtection="1">
      <alignment horizontal="center"/>
    </xf>
    <xf numFmtId="0" fontId="17" fillId="0" borderId="80" xfId="0" applyFont="1" applyBorder="1" applyProtection="1"/>
    <xf numFmtId="0" fontId="17" fillId="0" borderId="16" xfId="0" applyFont="1" applyBorder="1" applyProtection="1"/>
    <xf numFmtId="0" fontId="17" fillId="0" borderId="52" xfId="0" applyFont="1" applyBorder="1" applyProtection="1"/>
    <xf numFmtId="0" fontId="17" fillId="0" borderId="7" xfId="0" applyFont="1" applyBorder="1" applyProtection="1"/>
    <xf numFmtId="0" fontId="17" fillId="0" borderId="20" xfId="0" applyFont="1" applyBorder="1" applyProtection="1"/>
    <xf numFmtId="0" fontId="17" fillId="0" borderId="74" xfId="0" applyFont="1" applyBorder="1" applyProtection="1"/>
    <xf numFmtId="174" fontId="17" fillId="12" borderId="92" xfId="0" applyNumberFormat="1" applyFont="1" applyFill="1" applyBorder="1" applyProtection="1"/>
    <xf numFmtId="174" fontId="17" fillId="12" borderId="45" xfId="0" applyNumberFormat="1" applyFont="1" applyFill="1" applyBorder="1" applyProtection="1"/>
    <xf numFmtId="0" fontId="17" fillId="0" borderId="70" xfId="0" applyFont="1" applyBorder="1" applyAlignment="1" applyProtection="1">
      <alignment horizontal="center"/>
    </xf>
    <xf numFmtId="174" fontId="17" fillId="0" borderId="70" xfId="0" applyNumberFormat="1" applyFont="1" applyBorder="1" applyProtection="1"/>
    <xf numFmtId="174" fontId="17" fillId="0" borderId="54" xfId="0" applyNumberFormat="1" applyFont="1" applyBorder="1" applyProtection="1"/>
    <xf numFmtId="0" fontId="19" fillId="0" borderId="7" xfId="0" applyFont="1" applyFill="1" applyBorder="1" applyAlignment="1" applyProtection="1">
      <alignment wrapText="1"/>
    </xf>
    <xf numFmtId="0" fontId="17" fillId="0" borderId="80" xfId="0" applyFont="1" applyFill="1" applyBorder="1" applyAlignment="1" applyProtection="1">
      <alignment horizontal="center"/>
    </xf>
    <xf numFmtId="0" fontId="17" fillId="0" borderId="80" xfId="0" applyFont="1" applyFill="1" applyBorder="1" applyProtection="1"/>
    <xf numFmtId="0" fontId="17" fillId="0" borderId="16" xfId="0" applyFont="1" applyFill="1" applyBorder="1" applyProtection="1"/>
    <xf numFmtId="0" fontId="17" fillId="0" borderId="52" xfId="0" applyFont="1" applyFill="1" applyBorder="1" applyProtection="1"/>
    <xf numFmtId="0" fontId="17" fillId="0" borderId="7" xfId="0" applyFont="1" applyFill="1" applyBorder="1" applyProtection="1"/>
    <xf numFmtId="0" fontId="17" fillId="0" borderId="20" xfId="0" applyFont="1" applyFill="1" applyBorder="1" applyProtection="1"/>
    <xf numFmtId="0" fontId="17" fillId="0" borderId="74" xfId="0" applyFont="1" applyFill="1" applyBorder="1" applyProtection="1"/>
    <xf numFmtId="0" fontId="17" fillId="0" borderId="70" xfId="0" applyFont="1" applyFill="1" applyBorder="1" applyAlignment="1" applyProtection="1">
      <alignment horizontal="center"/>
    </xf>
    <xf numFmtId="0" fontId="17" fillId="0" borderId="0" xfId="0" applyFont="1" applyFill="1" applyAlignment="1" applyProtection="1">
      <alignment vertical="top"/>
    </xf>
    <xf numFmtId="0" fontId="19" fillId="0" borderId="4" xfId="0" applyFont="1" applyFill="1" applyBorder="1" applyAlignment="1" applyProtection="1">
      <alignment horizontal="center" vertical="top" wrapText="1"/>
    </xf>
    <xf numFmtId="174" fontId="19" fillId="0" borderId="1" xfId="0" applyNumberFormat="1" applyFont="1" applyBorder="1" applyProtection="1"/>
    <xf numFmtId="174" fontId="19" fillId="0" borderId="19" xfId="0" applyNumberFormat="1" applyFont="1" applyBorder="1" applyProtection="1"/>
    <xf numFmtId="0" fontId="17" fillId="0" borderId="2" xfId="0" applyFont="1" applyBorder="1" applyAlignment="1" applyProtection="1">
      <alignment horizontal="left" wrapText="1"/>
    </xf>
    <xf numFmtId="0" fontId="17" fillId="0" borderId="13" xfId="0" applyFont="1" applyBorder="1" applyAlignment="1" applyProtection="1">
      <alignment horizontal="center" wrapText="1"/>
    </xf>
    <xf numFmtId="174" fontId="19" fillId="0" borderId="1" xfId="0" applyNumberFormat="1" applyFont="1" applyBorder="1" applyAlignment="1" applyProtection="1">
      <alignment wrapText="1"/>
    </xf>
    <xf numFmtId="0" fontId="17" fillId="0" borderId="0" xfId="0" applyFont="1" applyAlignment="1" applyProtection="1">
      <alignment wrapText="1"/>
    </xf>
    <xf numFmtId="0" fontId="19" fillId="0" borderId="29" xfId="0" applyFont="1" applyBorder="1" applyAlignment="1" applyProtection="1">
      <alignment vertical="top" wrapText="1"/>
    </xf>
    <xf numFmtId="174" fontId="19" fillId="0" borderId="30" xfId="0" applyNumberFormat="1" applyFont="1" applyBorder="1" applyAlignment="1" applyProtection="1">
      <alignment vertical="top"/>
    </xf>
    <xf numFmtId="174" fontId="19" fillId="0" borderId="68" xfId="0" applyNumberFormat="1" applyFont="1" applyBorder="1" applyAlignment="1" applyProtection="1">
      <alignment vertical="top"/>
    </xf>
    <xf numFmtId="165" fontId="17" fillId="0" borderId="23" xfId="1" applyNumberFormat="1" applyFont="1" applyBorder="1" applyProtection="1"/>
    <xf numFmtId="17" fontId="20" fillId="0" borderId="0" xfId="0" quotePrefix="1" applyNumberFormat="1" applyFont="1" applyAlignment="1" applyProtection="1">
      <alignment horizontal="center"/>
    </xf>
    <xf numFmtId="174" fontId="17" fillId="0" borderId="80" xfId="0" applyNumberFormat="1" applyFont="1" applyBorder="1" applyProtection="1"/>
    <xf numFmtId="0" fontId="24" fillId="0" borderId="2" xfId="0" applyFont="1" applyFill="1" applyBorder="1" applyAlignment="1" applyProtection="1">
      <alignment horizontal="left" indent="1"/>
    </xf>
    <xf numFmtId="0" fontId="21" fillId="0" borderId="2" xfId="0" applyFont="1" applyFill="1" applyBorder="1" applyAlignment="1" applyProtection="1"/>
    <xf numFmtId="174" fontId="17" fillId="0" borderId="0" xfId="0" applyNumberFormat="1" applyFont="1" applyProtection="1"/>
    <xf numFmtId="174" fontId="17" fillId="16" borderId="13" xfId="0" applyNumberFormat="1" applyFont="1" applyFill="1" applyBorder="1" applyProtection="1"/>
    <xf numFmtId="174" fontId="19" fillId="0" borderId="0" xfId="0" applyNumberFormat="1" applyFont="1" applyFill="1" applyProtection="1"/>
    <xf numFmtId="174" fontId="17" fillId="16" borderId="14" xfId="0" applyNumberFormat="1" applyFont="1" applyFill="1" applyBorder="1" applyProtection="1"/>
    <xf numFmtId="174" fontId="17" fillId="16" borderId="2" xfId="0" applyNumberFormat="1" applyFont="1" applyFill="1" applyBorder="1" applyProtection="1"/>
    <xf numFmtId="174" fontId="17" fillId="16" borderId="0" xfId="0" applyNumberFormat="1" applyFont="1" applyFill="1" applyProtection="1"/>
    <xf numFmtId="174" fontId="17" fillId="16" borderId="24" xfId="0" applyNumberFormat="1" applyFont="1" applyFill="1" applyBorder="1" applyProtection="1"/>
    <xf numFmtId="174" fontId="17" fillId="16" borderId="74" xfId="0" applyNumberFormat="1" applyFont="1" applyFill="1" applyBorder="1" applyProtection="1"/>
    <xf numFmtId="0" fontId="19" fillId="0" borderId="13" xfId="0" applyFont="1" applyFill="1" applyBorder="1" applyAlignment="1" applyProtection="1">
      <alignment horizontal="center"/>
    </xf>
    <xf numFmtId="174" fontId="19" fillId="0" borderId="92" xfId="0" applyNumberFormat="1" applyFont="1" applyFill="1" applyBorder="1" applyProtection="1"/>
    <xf numFmtId="0" fontId="55" fillId="0" borderId="13" xfId="0" applyFont="1" applyBorder="1" applyAlignment="1" applyProtection="1">
      <alignment horizontal="center"/>
    </xf>
    <xf numFmtId="174" fontId="19" fillId="16" borderId="13" xfId="0" applyNumberFormat="1" applyFont="1" applyFill="1" applyBorder="1" applyProtection="1"/>
    <xf numFmtId="174" fontId="17" fillId="16" borderId="48" xfId="0" applyNumberFormat="1" applyFont="1" applyFill="1" applyBorder="1" applyProtection="1"/>
    <xf numFmtId="174" fontId="17" fillId="16" borderId="49" xfId="0" applyNumberFormat="1" applyFont="1" applyFill="1" applyBorder="1" applyProtection="1"/>
    <xf numFmtId="174" fontId="17" fillId="16" borderId="45" xfId="0" applyNumberFormat="1" applyFont="1" applyFill="1" applyBorder="1" applyProtection="1"/>
    <xf numFmtId="174" fontId="17" fillId="16" borderId="47" xfId="0" applyNumberFormat="1" applyFont="1" applyFill="1" applyBorder="1" applyProtection="1"/>
    <xf numFmtId="174" fontId="17" fillId="16" borderId="92" xfId="0" applyNumberFormat="1" applyFont="1" applyFill="1" applyBorder="1" applyProtection="1"/>
    <xf numFmtId="174" fontId="19" fillId="0" borderId="0" xfId="0" applyNumberFormat="1" applyFont="1" applyProtection="1"/>
    <xf numFmtId="174" fontId="19" fillId="0" borderId="74" xfId="0" applyNumberFormat="1" applyFont="1" applyBorder="1" applyProtection="1"/>
    <xf numFmtId="0" fontId="54" fillId="0" borderId="2" xfId="0" applyFont="1" applyFill="1" applyBorder="1" applyProtection="1"/>
    <xf numFmtId="174" fontId="19" fillId="0" borderId="90" xfId="0" applyNumberFormat="1" applyFont="1" applyFill="1" applyBorder="1" applyProtection="1"/>
    <xf numFmtId="0" fontId="19" fillId="0" borderId="27" xfId="0" applyFont="1" applyFill="1" applyBorder="1" applyProtection="1"/>
    <xf numFmtId="174" fontId="17" fillId="0" borderId="78" xfId="0" applyNumberFormat="1" applyFont="1" applyBorder="1" applyProtection="1"/>
    <xf numFmtId="174" fontId="19" fillId="0" borderId="74" xfId="0" applyNumberFormat="1" applyFont="1" applyBorder="1" applyAlignment="1" applyProtection="1">
      <alignment horizontal="center"/>
    </xf>
    <xf numFmtId="0" fontId="17" fillId="0" borderId="24" xfId="9" applyFont="1" applyFill="1" applyBorder="1" applyAlignment="1" applyProtection="1">
      <alignment horizontal="left" indent="1"/>
    </xf>
    <xf numFmtId="0" fontId="19" fillId="0" borderId="24" xfId="0" applyFont="1" applyFill="1" applyBorder="1" applyProtection="1"/>
    <xf numFmtId="0" fontId="19" fillId="0" borderId="29" xfId="0" applyFont="1" applyFill="1" applyBorder="1" applyProtection="1"/>
    <xf numFmtId="0" fontId="23" fillId="0" borderId="0" xfId="0" applyFont="1" applyFill="1" applyBorder="1" applyProtection="1"/>
    <xf numFmtId="0" fontId="17" fillId="0" borderId="0" xfId="0" applyFont="1" applyFill="1" applyAlignment="1" applyProtection="1">
      <alignment horizontal="center"/>
    </xf>
    <xf numFmtId="0" fontId="57" fillId="0" borderId="0" xfId="0" applyFont="1" applyFill="1" applyProtection="1"/>
    <xf numFmtId="0" fontId="58" fillId="0" borderId="0" xfId="0" applyFont="1" applyFill="1" applyAlignment="1" applyProtection="1">
      <alignment horizontal="center"/>
    </xf>
    <xf numFmtId="0" fontId="58" fillId="0" borderId="0" xfId="0" applyFont="1" applyFill="1" applyProtection="1"/>
    <xf numFmtId="0" fontId="54" fillId="0" borderId="0" xfId="0" applyFont="1" applyFill="1" applyProtection="1"/>
    <xf numFmtId="0" fontId="22" fillId="0" borderId="0" xfId="0" applyFont="1" applyFill="1" applyAlignment="1" applyProtection="1">
      <alignment horizontal="right"/>
    </xf>
    <xf numFmtId="0" fontId="19" fillId="0" borderId="41" xfId="0" applyFont="1" applyFill="1" applyBorder="1" applyAlignment="1" applyProtection="1"/>
    <xf numFmtId="0" fontId="17" fillId="12" borderId="2" xfId="0" applyFont="1" applyFill="1" applyBorder="1" applyAlignment="1" applyProtection="1">
      <alignment vertical="top" wrapText="1"/>
    </xf>
    <xf numFmtId="0" fontId="17" fillId="12" borderId="13" xfId="0" applyFont="1" applyFill="1" applyBorder="1" applyAlignment="1" applyProtection="1">
      <alignment vertical="top" wrapText="1"/>
    </xf>
    <xf numFmtId="0" fontId="17" fillId="0" borderId="13" xfId="0" applyFont="1" applyBorder="1" applyAlignment="1" applyProtection="1">
      <alignment horizontal="center" vertical="top" wrapText="1"/>
    </xf>
    <xf numFmtId="174" fontId="17" fillId="12" borderId="13" xfId="0" applyNumberFormat="1" applyFont="1" applyFill="1" applyBorder="1" applyAlignment="1" applyProtection="1">
      <alignment vertical="top" wrapText="1"/>
    </xf>
    <xf numFmtId="174" fontId="17" fillId="12" borderId="14" xfId="0" applyNumberFormat="1" applyFont="1" applyFill="1" applyBorder="1" applyAlignment="1" applyProtection="1">
      <alignment vertical="top" wrapText="1"/>
    </xf>
    <xf numFmtId="174" fontId="17" fillId="12" borderId="2" xfId="0" applyNumberFormat="1" applyFont="1" applyFill="1" applyBorder="1" applyAlignment="1" applyProtection="1">
      <alignment vertical="top" wrapText="1"/>
    </xf>
    <xf numFmtId="174" fontId="17" fillId="12" borderId="0" xfId="0" applyNumberFormat="1" applyFont="1" applyFill="1" applyBorder="1" applyAlignment="1" applyProtection="1">
      <alignment vertical="top" wrapText="1"/>
    </xf>
    <xf numFmtId="174" fontId="17" fillId="12" borderId="24" xfId="0" applyNumberFormat="1" applyFont="1" applyFill="1" applyBorder="1" applyAlignment="1" applyProtection="1">
      <alignment vertical="top" wrapText="1"/>
    </xf>
    <xf numFmtId="165" fontId="17" fillId="0" borderId="0" xfId="1" applyNumberFormat="1" applyFont="1" applyBorder="1" applyAlignment="1" applyProtection="1">
      <alignment horizontal="left"/>
    </xf>
    <xf numFmtId="169" fontId="17" fillId="0" borderId="0" xfId="1" applyNumberFormat="1" applyFont="1" applyBorder="1" applyProtection="1"/>
    <xf numFmtId="168" fontId="17" fillId="0" borderId="0" xfId="7" applyNumberFormat="1" applyFont="1" applyBorder="1" applyProtection="1"/>
    <xf numFmtId="165" fontId="17" fillId="0" borderId="0" xfId="1" applyNumberFormat="1" applyFont="1" applyBorder="1" applyProtection="1"/>
    <xf numFmtId="0" fontId="19" fillId="0" borderId="39" xfId="0" applyFont="1" applyFill="1" applyBorder="1" applyAlignment="1" applyProtection="1">
      <alignment vertical="top"/>
    </xf>
    <xf numFmtId="0" fontId="17" fillId="0" borderId="36" xfId="0" applyFont="1" applyFill="1" applyBorder="1" applyAlignment="1" applyProtection="1">
      <alignment vertical="top" wrapText="1"/>
    </xf>
    <xf numFmtId="0" fontId="17" fillId="0" borderId="90" xfId="0" applyFont="1" applyFill="1" applyBorder="1" applyAlignment="1" applyProtection="1">
      <alignment vertical="top" wrapText="1"/>
    </xf>
    <xf numFmtId="174" fontId="17" fillId="12" borderId="37" xfId="0" applyNumberFormat="1" applyFont="1" applyFill="1" applyBorder="1" applyAlignment="1" applyProtection="1">
      <alignment vertical="top" wrapText="1"/>
    </xf>
    <xf numFmtId="174" fontId="17" fillId="12" borderId="38" xfId="0" applyNumberFormat="1" applyFont="1" applyFill="1" applyBorder="1" applyAlignment="1" applyProtection="1">
      <alignment vertical="top" wrapText="1"/>
    </xf>
    <xf numFmtId="174" fontId="17" fillId="12" borderId="39" xfId="0" applyNumberFormat="1" applyFont="1" applyFill="1" applyBorder="1" applyAlignment="1" applyProtection="1">
      <alignment vertical="top" wrapText="1"/>
    </xf>
    <xf numFmtId="174" fontId="17" fillId="12" borderId="36" xfId="0" applyNumberFormat="1" applyFont="1" applyFill="1" applyBorder="1" applyAlignment="1" applyProtection="1">
      <alignment vertical="top" wrapText="1"/>
    </xf>
    <xf numFmtId="174" fontId="17" fillId="12" borderId="40" xfId="0" applyNumberFormat="1" applyFont="1" applyFill="1" applyBorder="1" applyAlignment="1" applyProtection="1">
      <alignment vertical="top" wrapText="1"/>
    </xf>
    <xf numFmtId="0" fontId="19" fillId="0" borderId="5" xfId="0" applyFont="1" applyBorder="1" applyProtection="1"/>
    <xf numFmtId="0" fontId="19" fillId="0" borderId="70" xfId="0" applyFont="1" applyBorder="1" applyProtection="1"/>
    <xf numFmtId="0" fontId="24" fillId="0" borderId="0" xfId="0" applyFont="1" applyBorder="1" applyProtection="1"/>
    <xf numFmtId="169" fontId="22" fillId="0" borderId="0" xfId="0" applyNumberFormat="1" applyFont="1" applyBorder="1" applyAlignment="1" applyProtection="1">
      <alignment horizontal="right"/>
    </xf>
    <xf numFmtId="168" fontId="17" fillId="0" borderId="0" xfId="7" applyNumberFormat="1" applyFont="1" applyProtection="1"/>
    <xf numFmtId="0" fontId="19" fillId="0" borderId="36" xfId="0" applyFont="1" applyFill="1" applyBorder="1" applyAlignment="1" applyProtection="1">
      <alignment vertical="top"/>
    </xf>
    <xf numFmtId="0" fontId="19" fillId="0" borderId="8" xfId="0" applyFont="1" applyBorder="1" applyProtection="1"/>
    <xf numFmtId="0" fontId="19" fillId="12" borderId="13" xfId="0" applyFont="1" applyFill="1" applyBorder="1" applyAlignment="1" applyProtection="1">
      <alignment horizontal="center" vertical="top" wrapText="1"/>
    </xf>
    <xf numFmtId="0" fontId="19" fillId="0" borderId="90" xfId="0" applyFont="1" applyFill="1" applyBorder="1" applyAlignment="1" applyProtection="1">
      <alignment horizontal="center" vertical="top" wrapText="1"/>
    </xf>
    <xf numFmtId="0" fontId="19" fillId="7" borderId="4" xfId="0" applyFont="1" applyFill="1" applyBorder="1" applyAlignment="1" applyProtection="1">
      <alignment horizontal="left" vertical="top" wrapText="1"/>
    </xf>
    <xf numFmtId="0" fontId="19" fillId="12" borderId="14" xfId="0" applyFont="1" applyFill="1" applyBorder="1" applyAlignment="1" applyProtection="1">
      <alignment horizontal="left" vertical="top" wrapText="1"/>
    </xf>
    <xf numFmtId="168" fontId="17" fillId="12" borderId="14" xfId="7" applyNumberFormat="1" applyFont="1" applyFill="1" applyBorder="1" applyAlignment="1" applyProtection="1">
      <alignment horizontal="center" vertical="top" wrapText="1"/>
    </xf>
    <xf numFmtId="168" fontId="17" fillId="12" borderId="1" xfId="7" applyNumberFormat="1" applyFont="1" applyFill="1" applyBorder="1" applyAlignment="1" applyProtection="1">
      <alignment horizontal="center" vertical="top" wrapText="1"/>
    </xf>
    <xf numFmtId="168" fontId="17" fillId="12" borderId="6" xfId="7" applyNumberFormat="1" applyFont="1" applyFill="1" applyBorder="1" applyAlignment="1" applyProtection="1">
      <alignment horizontal="center" vertical="top" wrapText="1"/>
    </xf>
    <xf numFmtId="0" fontId="19" fillId="8" borderId="23" xfId="0" applyFont="1" applyFill="1" applyBorder="1" applyAlignment="1" applyProtection="1">
      <alignment horizontal="left" vertical="top" wrapText="1" indent="1"/>
    </xf>
    <xf numFmtId="0" fontId="17" fillId="12" borderId="1" xfId="0" applyFont="1" applyFill="1" applyBorder="1" applyAlignment="1" applyProtection="1">
      <alignment horizontal="left" vertical="top" wrapText="1"/>
    </xf>
    <xf numFmtId="0" fontId="19" fillId="9" borderId="23" xfId="0" applyFont="1" applyFill="1" applyBorder="1" applyAlignment="1" applyProtection="1">
      <alignment horizontal="left" vertical="top" wrapText="1" indent="2"/>
    </xf>
    <xf numFmtId="0" fontId="17" fillId="12" borderId="14" xfId="0" applyFont="1" applyFill="1" applyBorder="1" applyAlignment="1" applyProtection="1">
      <alignment horizontal="left" vertical="top" wrapText="1"/>
    </xf>
    <xf numFmtId="0" fontId="22" fillId="12" borderId="4" xfId="0" applyFont="1" applyFill="1" applyBorder="1" applyAlignment="1" applyProtection="1">
      <alignment horizontal="left" wrapText="1"/>
    </xf>
    <xf numFmtId="0" fontId="19" fillId="12" borderId="4" xfId="0" applyFont="1" applyFill="1" applyBorder="1" applyAlignment="1" applyProtection="1">
      <alignment horizontal="left" vertical="top" wrapText="1"/>
    </xf>
    <xf numFmtId="0" fontId="17" fillId="12" borderId="19" xfId="0" applyFont="1" applyFill="1" applyBorder="1" applyAlignment="1" applyProtection="1">
      <alignment horizontal="left" vertical="top" wrapText="1"/>
    </xf>
    <xf numFmtId="168" fontId="17" fillId="12" borderId="26" xfId="7" applyNumberFormat="1" applyFont="1" applyFill="1" applyBorder="1" applyAlignment="1" applyProtection="1">
      <alignment horizontal="center" vertical="top" wrapText="1"/>
    </xf>
    <xf numFmtId="168" fontId="17" fillId="12" borderId="19" xfId="7" applyNumberFormat="1" applyFont="1" applyFill="1" applyBorder="1" applyAlignment="1" applyProtection="1">
      <alignment horizontal="center" vertical="top" wrapText="1"/>
    </xf>
    <xf numFmtId="0" fontId="19" fillId="12" borderId="19" xfId="0" applyFont="1" applyFill="1" applyBorder="1" applyAlignment="1" applyProtection="1">
      <alignment horizontal="left" vertical="top" wrapText="1"/>
    </xf>
    <xf numFmtId="0" fontId="19" fillId="12" borderId="23" xfId="0" applyFont="1" applyFill="1" applyBorder="1" applyAlignment="1" applyProtection="1">
      <alignment horizontal="left" vertical="top" wrapText="1"/>
    </xf>
    <xf numFmtId="0" fontId="17" fillId="12" borderId="4" xfId="0" applyFont="1" applyFill="1" applyBorder="1" applyAlignment="1" applyProtection="1">
      <alignment horizontal="left" vertical="top" wrapText="1"/>
    </xf>
    <xf numFmtId="168" fontId="17" fillId="12" borderId="15" xfId="7" applyNumberFormat="1" applyFont="1" applyFill="1" applyBorder="1" applyAlignment="1" applyProtection="1">
      <alignment horizontal="center" vertical="top" wrapText="1"/>
    </xf>
    <xf numFmtId="168" fontId="17" fillId="12" borderId="4" xfId="7" applyNumberFormat="1" applyFont="1" applyFill="1" applyBorder="1" applyAlignment="1" applyProtection="1">
      <alignment horizontal="center" vertical="top" wrapText="1"/>
    </xf>
    <xf numFmtId="0" fontId="19" fillId="12" borderId="23" xfId="0" applyFont="1" applyFill="1" applyBorder="1" applyAlignment="1" applyProtection="1">
      <alignment horizontal="left" wrapText="1" indent="1"/>
    </xf>
    <xf numFmtId="0" fontId="22" fillId="0" borderId="0" xfId="0" applyFont="1" applyBorder="1" applyAlignment="1" applyProtection="1">
      <alignment horizontal="left" vertical="top" wrapText="1"/>
    </xf>
    <xf numFmtId="166" fontId="22" fillId="0" borderId="0" xfId="1" applyNumberFormat="1" applyFont="1" applyBorder="1" applyAlignment="1" applyProtection="1">
      <alignment vertical="top" wrapText="1"/>
    </xf>
    <xf numFmtId="166" fontId="22" fillId="0" borderId="0" xfId="1" applyNumberFormat="1" applyFont="1" applyFill="1" applyBorder="1" applyAlignment="1" applyProtection="1">
      <alignment vertical="top" wrapText="1"/>
    </xf>
    <xf numFmtId="0" fontId="19" fillId="7" borderId="23" xfId="0" applyFont="1" applyFill="1" applyBorder="1" applyAlignment="1" applyProtection="1">
      <alignment horizontal="left" vertical="top" wrapText="1"/>
    </xf>
    <xf numFmtId="175" fontId="17" fillId="12" borderId="74" xfId="7" applyNumberFormat="1" applyFont="1" applyFill="1" applyBorder="1" applyAlignment="1" applyProtection="1">
      <alignment horizontal="center" vertical="top" wrapText="1"/>
    </xf>
    <xf numFmtId="175" fontId="17" fillId="12" borderId="13" xfId="7" applyNumberFormat="1" applyFont="1" applyFill="1" applyBorder="1" applyAlignment="1" applyProtection="1">
      <alignment horizontal="center" vertical="top" wrapText="1"/>
    </xf>
    <xf numFmtId="175" fontId="17" fillId="12" borderId="14" xfId="7" applyNumberFormat="1" applyFont="1" applyFill="1" applyBorder="1" applyAlignment="1" applyProtection="1">
      <alignment horizontal="center" vertical="top" wrapText="1"/>
    </xf>
    <xf numFmtId="175" fontId="17" fillId="12" borderId="2" xfId="7" applyNumberFormat="1" applyFont="1" applyFill="1" applyBorder="1" applyAlignment="1" applyProtection="1">
      <alignment horizontal="center" vertical="top" wrapText="1"/>
    </xf>
    <xf numFmtId="175" fontId="17" fillId="12" borderId="0" xfId="7" applyNumberFormat="1" applyFont="1" applyFill="1" applyBorder="1" applyAlignment="1" applyProtection="1">
      <alignment horizontal="center" vertical="top" wrapText="1"/>
    </xf>
    <xf numFmtId="175" fontId="17" fillId="12" borderId="20" xfId="7" applyNumberFormat="1" applyFont="1" applyFill="1" applyBorder="1" applyAlignment="1" applyProtection="1">
      <alignment horizontal="center" vertical="top" wrapText="1"/>
    </xf>
    <xf numFmtId="0" fontId="22" fillId="12" borderId="23" xfId="0" applyFont="1" applyFill="1" applyBorder="1" applyAlignment="1" applyProtection="1">
      <alignment horizontal="left" wrapText="1" indent="1"/>
    </xf>
    <xf numFmtId="175" fontId="17" fillId="12" borderId="24" xfId="7" applyNumberFormat="1" applyFont="1" applyFill="1" applyBorder="1" applyAlignment="1" applyProtection="1">
      <alignment horizontal="center" vertical="top" wrapText="1"/>
    </xf>
    <xf numFmtId="0" fontId="22" fillId="12" borderId="6" xfId="0" applyFont="1" applyFill="1" applyBorder="1" applyAlignment="1" applyProtection="1">
      <alignment horizontal="left" wrapText="1" indent="1"/>
    </xf>
    <xf numFmtId="0" fontId="17" fillId="12" borderId="17" xfId="0" applyFont="1" applyFill="1" applyBorder="1" applyAlignment="1" applyProtection="1">
      <alignment horizontal="left" vertical="top" wrapText="1"/>
    </xf>
    <xf numFmtId="175" fontId="17" fillId="12" borderId="80" xfId="7" applyNumberFormat="1" applyFont="1" applyFill="1" applyBorder="1" applyAlignment="1" applyProtection="1">
      <alignment horizontal="center" vertical="top" wrapText="1"/>
    </xf>
    <xf numFmtId="175" fontId="17" fillId="12" borderId="16" xfId="7" applyNumberFormat="1" applyFont="1" applyFill="1" applyBorder="1" applyAlignment="1" applyProtection="1">
      <alignment horizontal="center" vertical="top" wrapText="1"/>
    </xf>
    <xf numFmtId="175" fontId="17" fillId="12" borderId="17" xfId="7" applyNumberFormat="1" applyFont="1" applyFill="1" applyBorder="1" applyAlignment="1" applyProtection="1">
      <alignment horizontal="center" vertical="top" wrapText="1"/>
    </xf>
    <xf numFmtId="175" fontId="17" fillId="12" borderId="7" xfId="7" applyNumberFormat="1" applyFont="1" applyFill="1" applyBorder="1" applyAlignment="1" applyProtection="1">
      <alignment horizontal="center" vertical="top" wrapText="1"/>
    </xf>
    <xf numFmtId="175" fontId="17" fillId="12" borderId="18" xfId="7" applyNumberFormat="1" applyFont="1" applyFill="1" applyBorder="1" applyAlignment="1" applyProtection="1">
      <alignment horizontal="center" vertical="top" wrapText="1"/>
    </xf>
    <xf numFmtId="0" fontId="17" fillId="12" borderId="14" xfId="0" applyFont="1" applyFill="1" applyBorder="1" applyAlignment="1" applyProtection="1">
      <alignment horizontal="left" wrapText="1"/>
    </xf>
    <xf numFmtId="175" fontId="17" fillId="12" borderId="74" xfId="0" applyNumberFormat="1" applyFont="1" applyFill="1" applyBorder="1" applyAlignment="1" applyProtection="1">
      <alignment horizontal="center" vertical="top" wrapText="1"/>
    </xf>
    <xf numFmtId="175" fontId="17" fillId="12" borderId="13" xfId="0" applyNumberFormat="1" applyFont="1" applyFill="1" applyBorder="1" applyAlignment="1" applyProtection="1">
      <alignment horizontal="center" vertical="top" wrapText="1"/>
    </xf>
    <xf numFmtId="175" fontId="17" fillId="12" borderId="14" xfId="0" applyNumberFormat="1" applyFont="1" applyFill="1" applyBorder="1" applyAlignment="1" applyProtection="1">
      <alignment horizontal="center" vertical="top" wrapText="1"/>
    </xf>
    <xf numFmtId="175" fontId="17" fillId="12" borderId="2" xfId="0" applyNumberFormat="1" applyFont="1" applyFill="1" applyBorder="1" applyAlignment="1" applyProtection="1">
      <alignment horizontal="center" vertical="top" wrapText="1"/>
    </xf>
    <xf numFmtId="175" fontId="17" fillId="12" borderId="0" xfId="0" applyNumberFormat="1" applyFont="1" applyFill="1" applyBorder="1" applyAlignment="1" applyProtection="1">
      <alignment horizontal="center" vertical="top" wrapText="1"/>
    </xf>
    <xf numFmtId="175" fontId="17" fillId="12" borderId="24" xfId="0" applyNumberFormat="1" applyFont="1" applyFill="1" applyBorder="1" applyAlignment="1" applyProtection="1">
      <alignment horizontal="center" vertical="top" wrapText="1"/>
    </xf>
    <xf numFmtId="0" fontId="19" fillId="12" borderId="6" xfId="0" applyFont="1" applyFill="1" applyBorder="1" applyAlignment="1" applyProtection="1">
      <alignment horizontal="left" vertical="top" wrapText="1"/>
    </xf>
    <xf numFmtId="175" fontId="17" fillId="12" borderId="80" xfId="1" applyNumberFormat="1" applyFont="1" applyFill="1" applyBorder="1" applyAlignment="1" applyProtection="1">
      <alignment horizontal="center" vertical="top" wrapText="1"/>
    </xf>
    <xf numFmtId="175" fontId="17" fillId="12" borderId="16" xfId="1" applyNumberFormat="1" applyFont="1" applyFill="1" applyBorder="1" applyAlignment="1" applyProtection="1">
      <alignment horizontal="center" vertical="top" wrapText="1"/>
    </xf>
    <xf numFmtId="175" fontId="17" fillId="12" borderId="17" xfId="1" applyNumberFormat="1" applyFont="1" applyFill="1" applyBorder="1" applyAlignment="1" applyProtection="1">
      <alignment horizontal="center" vertical="top" wrapText="1"/>
    </xf>
    <xf numFmtId="175" fontId="17" fillId="12" borderId="7" xfId="1" applyNumberFormat="1" applyFont="1" applyFill="1" applyBorder="1" applyAlignment="1" applyProtection="1">
      <alignment horizontal="center" vertical="top" wrapText="1"/>
    </xf>
    <xf numFmtId="175" fontId="17" fillId="12" borderId="18" xfId="1" applyNumberFormat="1" applyFont="1" applyFill="1" applyBorder="1" applyAlignment="1" applyProtection="1">
      <alignment horizontal="center" vertical="top" wrapText="1"/>
    </xf>
    <xf numFmtId="175" fontId="17" fillId="12" borderId="20" xfId="1" applyNumberFormat="1" applyFont="1" applyFill="1" applyBorder="1" applyAlignment="1" applyProtection="1">
      <alignment horizontal="center" vertical="top" wrapText="1"/>
    </xf>
    <xf numFmtId="175" fontId="17" fillId="12" borderId="74" xfId="1" applyNumberFormat="1" applyFont="1" applyFill="1" applyBorder="1" applyAlignment="1" applyProtection="1">
      <alignment horizontal="center" vertical="top" wrapText="1"/>
    </xf>
    <xf numFmtId="175" fontId="17" fillId="12" borderId="13" xfId="1" applyNumberFormat="1" applyFont="1" applyFill="1" applyBorder="1" applyAlignment="1" applyProtection="1">
      <alignment horizontal="center" vertical="top" wrapText="1"/>
    </xf>
    <xf numFmtId="175" fontId="17" fillId="12" borderId="14" xfId="1" applyNumberFormat="1" applyFont="1" applyFill="1" applyBorder="1" applyAlignment="1" applyProtection="1">
      <alignment horizontal="center" vertical="top" wrapText="1"/>
    </xf>
    <xf numFmtId="175" fontId="17" fillId="12" borderId="2" xfId="1" applyNumberFormat="1" applyFont="1" applyFill="1" applyBorder="1" applyAlignment="1" applyProtection="1">
      <alignment horizontal="center" vertical="top" wrapText="1"/>
    </xf>
    <xf numFmtId="175" fontId="17" fillId="12" borderId="0" xfId="1" applyNumberFormat="1" applyFont="1" applyFill="1" applyBorder="1" applyAlignment="1" applyProtection="1">
      <alignment horizontal="center" vertical="top" wrapText="1"/>
    </xf>
    <xf numFmtId="175" fontId="17" fillId="12" borderId="24" xfId="1" applyNumberFormat="1" applyFont="1" applyFill="1" applyBorder="1" applyAlignment="1" applyProtection="1">
      <alignment horizontal="center" vertical="top" wrapText="1"/>
    </xf>
    <xf numFmtId="0" fontId="17" fillId="12" borderId="15" xfId="0" applyFont="1" applyFill="1" applyBorder="1" applyAlignment="1" applyProtection="1">
      <alignment horizontal="left" vertical="top" wrapText="1"/>
    </xf>
    <xf numFmtId="175" fontId="17" fillId="12" borderId="70" xfId="0" applyNumberFormat="1" applyFont="1" applyFill="1" applyBorder="1" applyAlignment="1" applyProtection="1">
      <alignment horizontal="center" vertical="top" wrapText="1"/>
    </xf>
    <xf numFmtId="175" fontId="17" fillId="12" borderId="8" xfId="0" applyNumberFormat="1" applyFont="1" applyFill="1" applyBorder="1" applyAlignment="1" applyProtection="1">
      <alignment horizontal="center" vertical="top" wrapText="1"/>
    </xf>
    <xf numFmtId="175" fontId="17" fillId="12" borderId="15" xfId="0" applyNumberFormat="1" applyFont="1" applyFill="1" applyBorder="1" applyAlignment="1" applyProtection="1">
      <alignment horizontal="center" vertical="top" wrapText="1"/>
    </xf>
    <xf numFmtId="175" fontId="17" fillId="12" borderId="3" xfId="0" applyNumberFormat="1" applyFont="1" applyFill="1" applyBorder="1" applyAlignment="1" applyProtection="1">
      <alignment horizontal="center" vertical="top" wrapText="1"/>
    </xf>
    <xf numFmtId="175" fontId="17" fillId="12" borderId="5" xfId="0" applyNumberFormat="1" applyFont="1" applyFill="1" applyBorder="1" applyAlignment="1" applyProtection="1">
      <alignment horizontal="center" vertical="top" wrapText="1"/>
    </xf>
    <xf numFmtId="175" fontId="17" fillId="12" borderId="41" xfId="0" applyNumberFormat="1" applyFont="1" applyFill="1" applyBorder="1" applyAlignment="1" applyProtection="1">
      <alignment horizontal="center" vertical="top" wrapText="1"/>
    </xf>
    <xf numFmtId="0" fontId="21" fillId="0" borderId="7" xfId="0" applyFont="1" applyBorder="1" applyAlignment="1" applyProtection="1">
      <alignment horizontal="left" wrapText="1"/>
    </xf>
    <xf numFmtId="0" fontId="17" fillId="0" borderId="43" xfId="0" applyFont="1" applyBorder="1" applyAlignment="1" applyProtection="1">
      <alignment horizontal="left" vertical="top" wrapText="1"/>
    </xf>
    <xf numFmtId="0" fontId="17" fillId="0" borderId="20" xfId="0" applyFont="1" applyBorder="1" applyAlignment="1" applyProtection="1">
      <alignment horizontal="center" vertical="top" wrapText="1"/>
    </xf>
    <xf numFmtId="0" fontId="17" fillId="0" borderId="16" xfId="0" applyFont="1" applyBorder="1" applyAlignment="1" applyProtection="1">
      <alignment horizontal="center" vertical="top" wrapText="1"/>
    </xf>
    <xf numFmtId="0" fontId="17" fillId="0" borderId="17" xfId="0" applyFont="1" applyBorder="1" applyAlignment="1" applyProtection="1">
      <alignment horizontal="center" vertical="top" wrapText="1"/>
    </xf>
    <xf numFmtId="0" fontId="17" fillId="0" borderId="7" xfId="0" applyFont="1" applyBorder="1" applyAlignment="1" applyProtection="1">
      <alignment horizontal="center" vertical="top" wrapText="1"/>
    </xf>
    <xf numFmtId="0" fontId="17" fillId="0" borderId="18" xfId="0" applyFont="1" applyBorder="1" applyAlignment="1" applyProtection="1">
      <alignment horizontal="center" vertical="top" wrapText="1"/>
    </xf>
    <xf numFmtId="0" fontId="17" fillId="0" borderId="2" xfId="0" applyFont="1" applyBorder="1" applyAlignment="1" applyProtection="1">
      <alignment horizontal="left" vertical="top" wrapText="1" indent="1"/>
    </xf>
    <xf numFmtId="0" fontId="17" fillId="0" borderId="44" xfId="0" applyFont="1" applyBorder="1" applyAlignment="1" applyProtection="1">
      <alignment horizontal="left" vertical="top" wrapText="1"/>
    </xf>
    <xf numFmtId="168" fontId="17" fillId="0" borderId="24" xfId="7" applyNumberFormat="1" applyFont="1" applyFill="1" applyBorder="1" applyAlignment="1" applyProtection="1">
      <alignment horizontal="center" vertical="top" wrapText="1"/>
    </xf>
    <xf numFmtId="168" fontId="17" fillId="0" borderId="13" xfId="7" applyNumberFormat="1" applyFont="1" applyFill="1" applyBorder="1" applyAlignment="1" applyProtection="1">
      <alignment horizontal="center" vertical="top" wrapText="1"/>
    </xf>
    <xf numFmtId="168" fontId="17" fillId="0" borderId="14" xfId="7" applyNumberFormat="1" applyFont="1" applyFill="1" applyBorder="1" applyAlignment="1" applyProtection="1">
      <alignment horizontal="center" vertical="top" wrapText="1"/>
    </xf>
    <xf numFmtId="168" fontId="17" fillId="0" borderId="2" xfId="7" applyNumberFormat="1" applyFont="1" applyFill="1" applyBorder="1" applyAlignment="1" applyProtection="1">
      <alignment horizontal="center" vertical="top" wrapText="1"/>
    </xf>
    <xf numFmtId="168" fontId="17" fillId="0" borderId="0" xfId="7" applyNumberFormat="1" applyFont="1" applyFill="1" applyBorder="1" applyAlignment="1" applyProtection="1">
      <alignment horizontal="center" vertical="top" wrapText="1"/>
    </xf>
    <xf numFmtId="0" fontId="17" fillId="0" borderId="2" xfId="0" applyFont="1" applyFill="1" applyBorder="1" applyAlignment="1" applyProtection="1">
      <alignment horizontal="left" vertical="top" wrapText="1" indent="1"/>
    </xf>
    <xf numFmtId="0" fontId="17" fillId="12" borderId="24" xfId="7" applyNumberFormat="1" applyFont="1" applyFill="1" applyBorder="1" applyAlignment="1" applyProtection="1">
      <alignment horizontal="center" vertical="top" wrapText="1"/>
    </xf>
    <xf numFmtId="0" fontId="17" fillId="12" borderId="13" xfId="0" applyNumberFormat="1" applyFont="1" applyFill="1" applyBorder="1" applyAlignment="1" applyProtection="1">
      <alignment horizontal="center" vertical="top" wrapText="1"/>
    </xf>
    <xf numFmtId="0" fontId="17" fillId="12" borderId="14" xfId="0" applyNumberFormat="1" applyFont="1" applyFill="1" applyBorder="1" applyAlignment="1" applyProtection="1">
      <alignment horizontal="center" vertical="top" wrapText="1"/>
    </xf>
    <xf numFmtId="0" fontId="17" fillId="12" borderId="2" xfId="0" applyNumberFormat="1" applyFont="1" applyFill="1" applyBorder="1" applyAlignment="1" applyProtection="1">
      <alignment horizontal="center" vertical="top" wrapText="1"/>
    </xf>
    <xf numFmtId="0" fontId="17" fillId="12" borderId="0" xfId="0" applyNumberFormat="1" applyFont="1" applyFill="1" applyBorder="1" applyAlignment="1" applyProtection="1">
      <alignment horizontal="center" vertical="top" wrapText="1"/>
    </xf>
    <xf numFmtId="0" fontId="17" fillId="0" borderId="24" xfId="7" applyNumberFormat="1" applyFont="1" applyFill="1" applyBorder="1" applyAlignment="1" applyProtection="1">
      <alignment horizontal="center" vertical="top" wrapText="1"/>
    </xf>
    <xf numFmtId="0" fontId="17" fillId="0" borderId="13" xfId="7" applyNumberFormat="1" applyFont="1" applyFill="1" applyBorder="1" applyAlignment="1" applyProtection="1">
      <alignment horizontal="center" vertical="top" wrapText="1"/>
    </xf>
    <xf numFmtId="0" fontId="17" fillId="0" borderId="14" xfId="7" applyNumberFormat="1" applyFont="1" applyFill="1" applyBorder="1" applyAlignment="1" applyProtection="1">
      <alignment horizontal="center" vertical="top" wrapText="1"/>
    </xf>
    <xf numFmtId="0" fontId="21" fillId="0" borderId="2" xfId="0" applyFont="1" applyBorder="1" applyAlignment="1" applyProtection="1">
      <alignment horizontal="left" wrapText="1"/>
    </xf>
    <xf numFmtId="0" fontId="17" fillId="0" borderId="24" xfId="0" applyFont="1" applyFill="1" applyBorder="1" applyAlignment="1" applyProtection="1">
      <alignment horizontal="center" vertical="top" wrapText="1"/>
    </xf>
    <xf numFmtId="0" fontId="17" fillId="0" borderId="13" xfId="0" applyFont="1" applyFill="1" applyBorder="1" applyAlignment="1" applyProtection="1">
      <alignment horizontal="center" vertical="top" wrapText="1"/>
    </xf>
    <xf numFmtId="0" fontId="17" fillId="0" borderId="14" xfId="0" applyFont="1" applyFill="1" applyBorder="1" applyAlignment="1" applyProtection="1">
      <alignment horizontal="center" vertical="top" wrapText="1"/>
    </xf>
    <xf numFmtId="0" fontId="17" fillId="0" borderId="2" xfId="0" applyFont="1" applyFill="1" applyBorder="1" applyAlignment="1" applyProtection="1">
      <alignment horizontal="center" vertical="top" wrapText="1"/>
    </xf>
    <xf numFmtId="176" fontId="17" fillId="0" borderId="24" xfId="1" applyNumberFormat="1" applyFont="1" applyFill="1" applyBorder="1" applyAlignment="1" applyProtection="1">
      <alignment vertical="top" wrapText="1"/>
    </xf>
    <xf numFmtId="176" fontId="17" fillId="0" borderId="13" xfId="1" applyNumberFormat="1" applyFont="1" applyFill="1" applyBorder="1" applyAlignment="1" applyProtection="1">
      <alignment vertical="top" wrapText="1"/>
    </xf>
    <xf numFmtId="176" fontId="17" fillId="0" borderId="14" xfId="1" applyNumberFormat="1" applyFont="1" applyFill="1" applyBorder="1" applyAlignment="1" applyProtection="1">
      <alignment vertical="top" wrapText="1"/>
    </xf>
    <xf numFmtId="176" fontId="17" fillId="0" borderId="2" xfId="1" applyNumberFormat="1" applyFont="1" applyFill="1" applyBorder="1" applyAlignment="1" applyProtection="1">
      <alignment vertical="top" wrapText="1"/>
    </xf>
    <xf numFmtId="176" fontId="17" fillId="0" borderId="0" xfId="1" applyNumberFormat="1" applyFont="1" applyFill="1" applyBorder="1" applyAlignment="1" applyProtection="1">
      <alignment vertical="top" wrapText="1"/>
    </xf>
    <xf numFmtId="176" fontId="17" fillId="0" borderId="24" xfId="0" applyNumberFormat="1" applyFont="1" applyFill="1" applyBorder="1" applyAlignment="1" applyProtection="1">
      <alignment horizontal="center" vertical="top" wrapText="1"/>
    </xf>
    <xf numFmtId="176" fontId="17" fillId="0" borderId="13" xfId="0" applyNumberFormat="1" applyFont="1" applyFill="1" applyBorder="1" applyAlignment="1" applyProtection="1">
      <alignment horizontal="center" vertical="top" wrapText="1"/>
    </xf>
    <xf numFmtId="176" fontId="17" fillId="0" borderId="14" xfId="0" applyNumberFormat="1" applyFont="1" applyFill="1" applyBorder="1" applyAlignment="1" applyProtection="1">
      <alignment horizontal="center" vertical="top" wrapText="1"/>
    </xf>
    <xf numFmtId="176" fontId="17" fillId="0" borderId="2" xfId="0" applyNumberFormat="1" applyFont="1" applyFill="1" applyBorder="1" applyAlignment="1" applyProtection="1">
      <alignment horizontal="center" vertical="top" wrapText="1"/>
    </xf>
    <xf numFmtId="176" fontId="17" fillId="0" borderId="0" xfId="0" applyNumberFormat="1" applyFont="1" applyFill="1" applyBorder="1" applyAlignment="1" applyProtection="1">
      <alignment horizontal="center" vertical="top" wrapText="1"/>
    </xf>
    <xf numFmtId="168" fontId="17" fillId="0" borderId="24" xfId="0" applyNumberFormat="1" applyFont="1" applyFill="1" applyBorder="1" applyAlignment="1" applyProtection="1">
      <alignment horizontal="center" vertical="top" wrapText="1"/>
    </xf>
    <xf numFmtId="168" fontId="17" fillId="0" borderId="13" xfId="0" applyNumberFormat="1" applyFont="1" applyFill="1" applyBorder="1" applyAlignment="1" applyProtection="1">
      <alignment horizontal="center" vertical="top" wrapText="1"/>
    </xf>
    <xf numFmtId="168" fontId="17" fillId="0" borderId="2" xfId="0" applyNumberFormat="1" applyFont="1" applyFill="1" applyBorder="1" applyAlignment="1" applyProtection="1">
      <alignment horizontal="center" vertical="top" wrapText="1"/>
    </xf>
    <xf numFmtId="168" fontId="17" fillId="0" borderId="14" xfId="0" applyNumberFormat="1" applyFont="1" applyFill="1" applyBorder="1" applyAlignment="1" applyProtection="1">
      <alignment horizontal="center" vertical="top" wrapText="1"/>
    </xf>
    <xf numFmtId="168" fontId="17" fillId="0" borderId="0" xfId="0" applyNumberFormat="1" applyFont="1" applyFill="1" applyBorder="1" applyAlignment="1" applyProtection="1">
      <alignment horizontal="center" vertical="top" wrapText="1"/>
    </xf>
    <xf numFmtId="168" fontId="17" fillId="12" borderId="24" xfId="7" applyNumberFormat="1" applyFont="1" applyFill="1" applyBorder="1" applyAlignment="1" applyProtection="1">
      <alignment horizontal="center" vertical="top" wrapText="1"/>
    </xf>
    <xf numFmtId="168" fontId="17" fillId="12" borderId="13" xfId="7" applyNumberFormat="1" applyFont="1" applyFill="1" applyBorder="1" applyAlignment="1" applyProtection="1">
      <alignment horizontal="center" vertical="top" wrapText="1"/>
    </xf>
    <xf numFmtId="168" fontId="17" fillId="12" borderId="2" xfId="7" applyNumberFormat="1" applyFont="1" applyFill="1" applyBorder="1" applyAlignment="1" applyProtection="1">
      <alignment horizontal="center" vertical="top" wrapText="1"/>
    </xf>
    <xf numFmtId="168" fontId="17" fillId="12" borderId="0" xfId="7" applyNumberFormat="1" applyFont="1" applyFill="1" applyBorder="1" applyAlignment="1" applyProtection="1">
      <alignment horizontal="center" vertical="top" wrapText="1"/>
    </xf>
    <xf numFmtId="168" fontId="17" fillId="12" borderId="24" xfId="0" applyNumberFormat="1" applyFont="1" applyFill="1" applyBorder="1" applyAlignment="1" applyProtection="1">
      <alignment horizontal="center" vertical="top" wrapText="1"/>
    </xf>
    <xf numFmtId="168" fontId="17" fillId="12" borderId="13" xfId="0" applyNumberFormat="1" applyFont="1" applyFill="1" applyBorder="1" applyAlignment="1" applyProtection="1">
      <alignment horizontal="center" vertical="top" wrapText="1"/>
    </xf>
    <xf numFmtId="168" fontId="17" fillId="12" borderId="14" xfId="0" applyNumberFormat="1" applyFont="1" applyFill="1" applyBorder="1" applyAlignment="1" applyProtection="1">
      <alignment horizontal="center" vertical="top" wrapText="1"/>
    </xf>
    <xf numFmtId="168" fontId="17" fillId="12" borderId="2" xfId="0" applyNumberFormat="1" applyFont="1" applyFill="1" applyBorder="1" applyAlignment="1" applyProtection="1">
      <alignment horizontal="center" vertical="top" wrapText="1"/>
    </xf>
    <xf numFmtId="168" fontId="17" fillId="12" borderId="0" xfId="0" applyNumberFormat="1" applyFont="1" applyFill="1" applyBorder="1" applyAlignment="1" applyProtection="1">
      <alignment horizontal="center" vertical="top" wrapText="1"/>
    </xf>
    <xf numFmtId="0" fontId="17" fillId="0" borderId="44" xfId="0" applyFont="1" applyFill="1" applyBorder="1" applyAlignment="1" applyProtection="1">
      <alignment horizontal="left" vertical="top" wrapText="1"/>
    </xf>
    <xf numFmtId="0" fontId="17" fillId="12" borderId="24" xfId="0" applyNumberFormat="1" applyFont="1" applyFill="1" applyBorder="1" applyAlignment="1" applyProtection="1">
      <alignment horizontal="right" wrapText="1"/>
    </xf>
    <xf numFmtId="0" fontId="17" fillId="12" borderId="13" xfId="0" applyNumberFormat="1" applyFont="1" applyFill="1" applyBorder="1" applyAlignment="1" applyProtection="1">
      <alignment horizontal="right" wrapText="1"/>
    </xf>
    <xf numFmtId="0" fontId="17" fillId="12" borderId="14" xfId="0" applyNumberFormat="1" applyFont="1" applyFill="1" applyBorder="1" applyAlignment="1" applyProtection="1">
      <alignment horizontal="right" wrapText="1"/>
    </xf>
    <xf numFmtId="0" fontId="17" fillId="12" borderId="0" xfId="0" applyNumberFormat="1" applyFont="1" applyFill="1" applyBorder="1" applyAlignment="1" applyProtection="1">
      <alignment horizontal="right" wrapText="1"/>
    </xf>
    <xf numFmtId="0" fontId="17" fillId="12" borderId="74" xfId="0" applyNumberFormat="1" applyFont="1" applyFill="1" applyBorder="1" applyAlignment="1" applyProtection="1">
      <alignment horizontal="right" wrapText="1"/>
    </xf>
    <xf numFmtId="174" fontId="17" fillId="12" borderId="74" xfId="0" applyNumberFormat="1" applyFont="1" applyFill="1" applyBorder="1" applyAlignment="1" applyProtection="1">
      <alignment horizontal="right"/>
    </xf>
    <xf numFmtId="0" fontId="17" fillId="0" borderId="46" xfId="0" applyFont="1" applyFill="1" applyBorder="1" applyAlignment="1" applyProtection="1">
      <alignment horizontal="left" vertical="top" wrapText="1"/>
    </xf>
    <xf numFmtId="168" fontId="17" fillId="12" borderId="13" xfId="0" applyNumberFormat="1" applyFont="1" applyFill="1" applyBorder="1" applyAlignment="1" applyProtection="1">
      <alignment horizontal="right"/>
    </xf>
    <xf numFmtId="168" fontId="17" fillId="12" borderId="14" xfId="0" applyNumberFormat="1" applyFont="1" applyFill="1" applyBorder="1" applyAlignment="1" applyProtection="1">
      <alignment horizontal="right"/>
    </xf>
    <xf numFmtId="168" fontId="17" fillId="12" borderId="0" xfId="0" applyNumberFormat="1" applyFont="1" applyFill="1" applyBorder="1" applyAlignment="1" applyProtection="1">
      <alignment horizontal="right"/>
    </xf>
    <xf numFmtId="168" fontId="17" fillId="12" borderId="74" xfId="0" applyNumberFormat="1" applyFont="1" applyFill="1" applyBorder="1" applyAlignment="1" applyProtection="1">
      <alignment horizontal="right"/>
    </xf>
    <xf numFmtId="0" fontId="17" fillId="0" borderId="59" xfId="0" applyFont="1" applyFill="1" applyBorder="1" applyAlignment="1" applyProtection="1">
      <alignment horizontal="left" vertical="top" wrapText="1"/>
    </xf>
    <xf numFmtId="168" fontId="17" fillId="12" borderId="53" xfId="0" applyNumberFormat="1" applyFont="1" applyFill="1" applyBorder="1" applyAlignment="1" applyProtection="1">
      <alignment horizontal="right"/>
    </xf>
    <xf numFmtId="168" fontId="17" fillId="0" borderId="53" xfId="0" applyNumberFormat="1" applyFont="1" applyFill="1" applyBorder="1" applyAlignment="1" applyProtection="1">
      <alignment horizontal="center" vertical="top" wrapText="1"/>
    </xf>
    <xf numFmtId="0" fontId="21" fillId="0" borderId="2" xfId="0" applyFont="1" applyBorder="1" applyAlignment="1" applyProtection="1">
      <alignment horizontal="left" vertical="top" wrapText="1"/>
    </xf>
    <xf numFmtId="0" fontId="21" fillId="0" borderId="44" xfId="0" applyFont="1" applyBorder="1" applyAlignment="1" applyProtection="1">
      <alignment horizontal="left" vertical="top" wrapText="1"/>
    </xf>
    <xf numFmtId="9" fontId="17" fillId="0" borderId="24" xfId="0" applyNumberFormat="1" applyFont="1" applyFill="1" applyBorder="1" applyAlignment="1" applyProtection="1">
      <alignment horizontal="center" vertical="top" wrapText="1"/>
    </xf>
    <xf numFmtId="9" fontId="17" fillId="0" borderId="13" xfId="0" applyNumberFormat="1" applyFont="1" applyFill="1" applyBorder="1" applyAlignment="1" applyProtection="1">
      <alignment horizontal="center" vertical="top" wrapText="1"/>
    </xf>
    <xf numFmtId="9" fontId="17" fillId="0" borderId="14" xfId="0" applyNumberFormat="1" applyFont="1" applyFill="1" applyBorder="1" applyAlignment="1" applyProtection="1">
      <alignment horizontal="center" vertical="top" wrapText="1"/>
    </xf>
    <xf numFmtId="9" fontId="17" fillId="0" borderId="2" xfId="0" applyNumberFormat="1" applyFont="1" applyFill="1" applyBorder="1" applyAlignment="1" applyProtection="1">
      <alignment horizontal="center" vertical="top" wrapText="1"/>
    </xf>
    <xf numFmtId="9" fontId="17" fillId="0" borderId="0" xfId="0" applyNumberFormat="1" applyFont="1" applyFill="1" applyBorder="1" applyAlignment="1" applyProtection="1">
      <alignment horizontal="center" vertical="top" wrapText="1"/>
    </xf>
    <xf numFmtId="0" fontId="17" fillId="0" borderId="45" xfId="0" applyFont="1" applyBorder="1" applyAlignment="1" applyProtection="1">
      <alignment horizontal="left" vertical="top" wrapText="1" indent="1"/>
    </xf>
    <xf numFmtId="0" fontId="17" fillId="0" borderId="46" xfId="0" applyFont="1" applyBorder="1" applyAlignment="1" applyProtection="1">
      <alignment horizontal="left" vertical="top" wrapText="1"/>
    </xf>
    <xf numFmtId="176" fontId="17" fillId="0" borderId="47" xfId="1" applyNumberFormat="1" applyFont="1" applyFill="1" applyBorder="1" applyAlignment="1" applyProtection="1">
      <alignment vertical="top" wrapText="1"/>
    </xf>
    <xf numFmtId="176" fontId="17" fillId="0" borderId="48" xfId="1" applyNumberFormat="1" applyFont="1" applyFill="1" applyBorder="1" applyAlignment="1" applyProtection="1">
      <alignment vertical="top" wrapText="1"/>
    </xf>
    <xf numFmtId="176" fontId="17" fillId="0" borderId="49" xfId="1" applyNumberFormat="1" applyFont="1" applyFill="1" applyBorder="1" applyAlignment="1" applyProtection="1">
      <alignment vertical="top" wrapText="1"/>
    </xf>
    <xf numFmtId="176" fontId="17" fillId="0" borderId="45" xfId="1" applyNumberFormat="1" applyFont="1" applyFill="1" applyBorder="1" applyAlignment="1" applyProtection="1">
      <alignment vertical="top" wrapText="1"/>
    </xf>
    <xf numFmtId="176" fontId="17" fillId="0" borderId="50" xfId="1" applyNumberFormat="1" applyFont="1" applyFill="1" applyBorder="1" applyAlignment="1" applyProtection="1">
      <alignment vertical="top" wrapText="1"/>
    </xf>
    <xf numFmtId="168" fontId="17" fillId="12" borderId="23" xfId="0" applyNumberFormat="1" applyFont="1" applyFill="1" applyBorder="1" applyAlignment="1" applyProtection="1">
      <alignment horizontal="center"/>
    </xf>
    <xf numFmtId="168" fontId="17" fillId="0" borderId="0" xfId="0" applyNumberFormat="1" applyFont="1" applyFill="1" applyAlignment="1" applyProtection="1">
      <alignment horizontal="center"/>
    </xf>
    <xf numFmtId="174" fontId="17" fillId="0" borderId="0" xfId="1" applyNumberFormat="1" applyFont="1" applyProtection="1"/>
    <xf numFmtId="0" fontId="12" fillId="0" borderId="5" xfId="0" applyFont="1" applyFill="1" applyBorder="1" applyAlignment="1" applyProtection="1">
      <alignment horizontal="center"/>
    </xf>
    <xf numFmtId="0" fontId="19" fillId="0" borderId="9" xfId="0" applyFont="1" applyFill="1" applyBorder="1" applyAlignment="1" applyProtection="1">
      <alignment horizontal="center" vertical="top" wrapText="1"/>
    </xf>
    <xf numFmtId="0" fontId="19" fillId="0" borderId="12" xfId="0" applyFont="1" applyFill="1" applyBorder="1" applyAlignment="1" applyProtection="1">
      <alignment horizontal="center" vertical="top" wrapText="1"/>
    </xf>
    <xf numFmtId="0" fontId="19" fillId="0" borderId="91" xfId="0" applyFont="1" applyFill="1" applyBorder="1" applyAlignment="1" applyProtection="1">
      <alignment horizontal="center" vertical="top" wrapText="1"/>
    </xf>
    <xf numFmtId="0" fontId="19" fillId="0" borderId="62" xfId="0" applyFont="1" applyFill="1" applyBorder="1" applyAlignment="1" applyProtection="1">
      <alignment horizontal="center" vertical="top" wrapText="1"/>
    </xf>
    <xf numFmtId="0" fontId="19" fillId="0" borderId="29" xfId="0" applyFont="1" applyFill="1" applyBorder="1" applyAlignment="1" applyProtection="1">
      <alignment horizontal="center" vertical="top" wrapText="1"/>
    </xf>
    <xf numFmtId="0" fontId="19" fillId="0" borderId="30" xfId="0" applyFont="1" applyFill="1" applyBorder="1" applyAlignment="1" applyProtection="1">
      <alignment horizontal="center" vertical="top" wrapText="1"/>
    </xf>
    <xf numFmtId="0" fontId="19" fillId="0" borderId="75" xfId="0" applyFont="1" applyFill="1" applyBorder="1" applyAlignment="1" applyProtection="1">
      <alignment horizontal="center" vertical="top" wrapText="1"/>
    </xf>
    <xf numFmtId="0" fontId="19" fillId="0" borderId="68" xfId="0" applyFont="1" applyFill="1" applyBorder="1" applyAlignment="1" applyProtection="1">
      <alignment horizontal="center" vertical="top" wrapText="1"/>
    </xf>
    <xf numFmtId="0" fontId="19" fillId="0" borderId="33" xfId="0" applyFont="1" applyFill="1" applyBorder="1" applyAlignment="1" applyProtection="1">
      <alignment horizontal="center" vertical="top" wrapText="1"/>
    </xf>
    <xf numFmtId="0" fontId="19" fillId="0" borderId="64" xfId="0" applyFont="1" applyFill="1" applyBorder="1" applyAlignment="1" applyProtection="1">
      <alignment horizontal="center" vertical="top" wrapText="1"/>
    </xf>
    <xf numFmtId="0" fontId="21" fillId="0" borderId="7" xfId="0" applyNumberFormat="1" applyFont="1" applyBorder="1" applyAlignment="1" applyProtection="1">
      <alignment horizontal="left" wrapText="1"/>
    </xf>
    <xf numFmtId="0" fontId="17" fillId="0" borderId="6" xfId="0" applyNumberFormat="1" applyFont="1" applyFill="1" applyBorder="1" applyAlignment="1" applyProtection="1">
      <alignment horizontal="center" wrapText="1"/>
    </xf>
    <xf numFmtId="0" fontId="17" fillId="0" borderId="17" xfId="0" applyNumberFormat="1" applyFont="1" applyBorder="1" applyAlignment="1" applyProtection="1">
      <alignment horizontal="left" vertical="top" wrapText="1"/>
    </xf>
    <xf numFmtId="0" fontId="17" fillId="0" borderId="52" xfId="0" applyFont="1" applyBorder="1" applyAlignment="1" applyProtection="1">
      <alignment horizontal="left" vertical="top" wrapText="1"/>
    </xf>
    <xf numFmtId="0" fontId="17" fillId="0" borderId="43" xfId="0" applyFont="1" applyBorder="1" applyAlignment="1" applyProtection="1">
      <alignment horizontal="center" vertical="top" wrapText="1"/>
    </xf>
    <xf numFmtId="0" fontId="17" fillId="0" borderId="6" xfId="0" applyFont="1" applyBorder="1" applyAlignment="1" applyProtection="1">
      <alignment horizontal="center" vertical="top" wrapText="1"/>
    </xf>
    <xf numFmtId="0" fontId="17" fillId="0" borderId="1" xfId="0" applyNumberFormat="1" applyFont="1" applyFill="1" applyBorder="1" applyAlignment="1" applyProtection="1">
      <alignment horizontal="center" wrapText="1"/>
    </xf>
    <xf numFmtId="0" fontId="17" fillId="12" borderId="14" xfId="0" applyNumberFormat="1" applyFont="1" applyFill="1" applyBorder="1" applyAlignment="1" applyProtection="1">
      <alignment horizontal="left" vertical="top" wrapText="1"/>
    </xf>
    <xf numFmtId="174" fontId="17" fillId="12" borderId="53" xfId="1" applyNumberFormat="1" applyFont="1" applyFill="1" applyBorder="1" applyAlignment="1" applyProtection="1">
      <alignment horizontal="left" vertical="top" wrapText="1"/>
    </xf>
    <xf numFmtId="174" fontId="17" fillId="12" borderId="2" xfId="0" applyNumberFormat="1" applyFont="1" applyFill="1" applyBorder="1" applyAlignment="1" applyProtection="1">
      <alignment horizontal="center" vertical="top" wrapText="1"/>
    </xf>
    <xf numFmtId="0" fontId="17" fillId="0" borderId="2" xfId="0" applyNumberFormat="1" applyFont="1" applyBorder="1" applyAlignment="1" applyProtection="1">
      <alignment horizontal="left" vertical="top" wrapText="1" indent="1"/>
    </xf>
    <xf numFmtId="0" fontId="17" fillId="0" borderId="1" xfId="0" applyNumberFormat="1" applyFont="1" applyFill="1" applyBorder="1" applyAlignment="1" applyProtection="1">
      <alignment horizontal="center" vertical="top" wrapText="1"/>
    </xf>
    <xf numFmtId="174" fontId="17" fillId="12" borderId="2" xfId="7" applyNumberFormat="1" applyFont="1" applyFill="1" applyBorder="1" applyAlignment="1" applyProtection="1">
      <alignment horizontal="center" vertical="top" wrapText="1"/>
    </xf>
    <xf numFmtId="174" fontId="17" fillId="12" borderId="13" xfId="7" applyNumberFormat="1" applyFont="1" applyFill="1" applyBorder="1" applyAlignment="1" applyProtection="1">
      <alignment horizontal="center" vertical="top" wrapText="1"/>
    </xf>
    <xf numFmtId="174" fontId="17" fillId="12" borderId="44" xfId="7" applyNumberFormat="1" applyFont="1" applyFill="1" applyBorder="1" applyAlignment="1" applyProtection="1">
      <alignment horizontal="center" vertical="top" wrapText="1"/>
    </xf>
    <xf numFmtId="174" fontId="17" fillId="12" borderId="1" xfId="7" applyNumberFormat="1" applyFont="1" applyFill="1" applyBorder="1" applyAlignment="1" applyProtection="1">
      <alignment horizontal="center" vertical="top" wrapText="1"/>
    </xf>
    <xf numFmtId="174" fontId="17" fillId="12" borderId="0" xfId="7" applyNumberFormat="1" applyFont="1" applyFill="1" applyBorder="1" applyAlignment="1" applyProtection="1">
      <alignment horizontal="center" vertical="top" wrapText="1"/>
    </xf>
    <xf numFmtId="174" fontId="17" fillId="12" borderId="14" xfId="7" applyNumberFormat="1" applyFont="1" applyFill="1" applyBorder="1" applyAlignment="1" applyProtection="1">
      <alignment horizontal="center" vertical="top" wrapText="1"/>
    </xf>
    <xf numFmtId="0" fontId="17" fillId="0" borderId="45" xfId="0" applyNumberFormat="1" applyFont="1" applyBorder="1" applyAlignment="1" applyProtection="1">
      <alignment horizontal="left" vertical="top" wrapText="1" indent="1"/>
    </xf>
    <xf numFmtId="0" fontId="17" fillId="12" borderId="49" xfId="0" applyNumberFormat="1" applyFont="1" applyFill="1" applyBorder="1" applyAlignment="1" applyProtection="1">
      <alignment horizontal="left" vertical="top" wrapText="1"/>
    </xf>
    <xf numFmtId="174" fontId="17" fillId="12" borderId="72" xfId="7" applyNumberFormat="1" applyFont="1" applyFill="1" applyBorder="1" applyAlignment="1" applyProtection="1">
      <alignment horizontal="center" vertical="top" wrapText="1"/>
    </xf>
    <xf numFmtId="174" fontId="17" fillId="12" borderId="45" xfId="7" applyNumberFormat="1" applyFont="1" applyFill="1" applyBorder="1" applyAlignment="1" applyProtection="1">
      <alignment horizontal="center" vertical="top" wrapText="1"/>
    </xf>
    <xf numFmtId="174" fontId="17" fillId="12" borderId="48" xfId="7" applyNumberFormat="1" applyFont="1" applyFill="1" applyBorder="1" applyAlignment="1" applyProtection="1">
      <alignment horizontal="center" vertical="top" wrapText="1"/>
    </xf>
    <xf numFmtId="174" fontId="17" fillId="12" borderId="46" xfId="7" applyNumberFormat="1" applyFont="1" applyFill="1" applyBorder="1" applyAlignment="1" applyProtection="1">
      <alignment horizontal="center" vertical="top" wrapText="1"/>
    </xf>
    <xf numFmtId="174" fontId="17" fillId="12" borderId="73" xfId="7" applyNumberFormat="1" applyFont="1" applyFill="1" applyBorder="1" applyAlignment="1" applyProtection="1">
      <alignment horizontal="center" vertical="top" wrapText="1"/>
    </xf>
    <xf numFmtId="174" fontId="17" fillId="12" borderId="50" xfId="7" applyNumberFormat="1" applyFont="1" applyFill="1" applyBorder="1" applyAlignment="1" applyProtection="1">
      <alignment horizontal="center" vertical="top" wrapText="1"/>
    </xf>
    <xf numFmtId="174" fontId="17" fillId="12" borderId="49" xfId="7" applyNumberFormat="1" applyFont="1" applyFill="1" applyBorder="1" applyAlignment="1" applyProtection="1">
      <alignment horizontal="center" vertical="top" wrapText="1"/>
    </xf>
    <xf numFmtId="0" fontId="21" fillId="0" borderId="14" xfId="0" applyNumberFormat="1" applyFont="1" applyBorder="1" applyAlignment="1" applyProtection="1">
      <alignment horizontal="left" wrapText="1"/>
    </xf>
    <xf numFmtId="0" fontId="17" fillId="0" borderId="2" xfId="0" applyFont="1" applyBorder="1" applyAlignment="1" applyProtection="1">
      <alignment horizontal="center" vertical="top" wrapText="1"/>
    </xf>
    <xf numFmtId="0" fontId="17" fillId="0" borderId="44" xfId="0" applyFont="1" applyBorder="1" applyAlignment="1" applyProtection="1">
      <alignment horizontal="center" vertical="top" wrapText="1"/>
    </xf>
    <xf numFmtId="0" fontId="17" fillId="0" borderId="1" xfId="0" applyFont="1" applyBorder="1" applyAlignment="1" applyProtection="1">
      <alignment horizontal="center" vertical="top" wrapText="1"/>
    </xf>
    <xf numFmtId="0" fontId="17" fillId="0" borderId="0" xfId="0" applyFont="1" applyBorder="1" applyAlignment="1" applyProtection="1">
      <alignment horizontal="center" vertical="top" wrapText="1"/>
    </xf>
    <xf numFmtId="0" fontId="17" fillId="0" borderId="14" xfId="0" applyFont="1" applyBorder="1" applyAlignment="1" applyProtection="1">
      <alignment horizontal="center" vertical="top" wrapText="1"/>
    </xf>
    <xf numFmtId="0" fontId="17" fillId="0" borderId="2" xfId="0" applyNumberFormat="1" applyFont="1" applyFill="1" applyBorder="1" applyAlignment="1" applyProtection="1">
      <alignment horizontal="left" vertical="top" wrapText="1" indent="1"/>
    </xf>
    <xf numFmtId="175" fontId="17" fillId="12" borderId="53" xfId="1" applyNumberFormat="1" applyFont="1" applyFill="1" applyBorder="1" applyAlignment="1" applyProtection="1">
      <alignment horizontal="left" vertical="top" wrapText="1"/>
    </xf>
    <xf numFmtId="175" fontId="17" fillId="12" borderId="44" xfId="7" applyNumberFormat="1" applyFont="1" applyFill="1" applyBorder="1" applyAlignment="1" applyProtection="1">
      <alignment horizontal="center" vertical="top" wrapText="1"/>
    </xf>
    <xf numFmtId="175" fontId="17" fillId="12" borderId="1" xfId="7" applyNumberFormat="1" applyFont="1" applyFill="1" applyBorder="1" applyAlignment="1" applyProtection="1">
      <alignment horizontal="center" vertical="top" wrapText="1"/>
    </xf>
    <xf numFmtId="0" fontId="22" fillId="0" borderId="45" xfId="0" applyNumberFormat="1" applyFont="1" applyFill="1" applyBorder="1" applyAlignment="1" applyProtection="1">
      <alignment horizontal="left" vertical="top" wrapText="1" indent="1"/>
    </xf>
    <xf numFmtId="175" fontId="17" fillId="12" borderId="72" xfId="1" applyNumberFormat="1" applyFont="1" applyFill="1" applyBorder="1" applyAlignment="1" applyProtection="1">
      <alignment horizontal="left" vertical="top" wrapText="1"/>
    </xf>
    <xf numFmtId="175" fontId="17" fillId="12" borderId="45" xfId="0" applyNumberFormat="1" applyFont="1" applyFill="1" applyBorder="1" applyAlignment="1" applyProtection="1">
      <alignment horizontal="center" vertical="top" wrapText="1"/>
    </xf>
    <xf numFmtId="175" fontId="17" fillId="12" borderId="48" xfId="0" applyNumberFormat="1" applyFont="1" applyFill="1" applyBorder="1" applyAlignment="1" applyProtection="1">
      <alignment horizontal="center" vertical="top" wrapText="1"/>
    </xf>
    <xf numFmtId="175" fontId="17" fillId="12" borderId="46" xfId="0" applyNumberFormat="1" applyFont="1" applyFill="1" applyBorder="1" applyAlignment="1" applyProtection="1">
      <alignment horizontal="center" vertical="top" wrapText="1"/>
    </xf>
    <xf numFmtId="175" fontId="17" fillId="12" borderId="73" xfId="0" applyNumberFormat="1" applyFont="1" applyFill="1" applyBorder="1" applyAlignment="1" applyProtection="1">
      <alignment horizontal="center" vertical="top" wrapText="1"/>
    </xf>
    <xf numFmtId="175" fontId="17" fillId="12" borderId="50" xfId="0" applyNumberFormat="1" applyFont="1" applyFill="1" applyBorder="1" applyAlignment="1" applyProtection="1">
      <alignment horizontal="center" vertical="top" wrapText="1"/>
    </xf>
    <xf numFmtId="175" fontId="17" fillId="12" borderId="49" xfId="0" applyNumberFormat="1" applyFont="1" applyFill="1" applyBorder="1" applyAlignment="1" applyProtection="1">
      <alignment horizontal="center" vertical="top" wrapText="1"/>
    </xf>
    <xf numFmtId="0" fontId="17" fillId="0" borderId="14" xfId="0" applyNumberFormat="1" applyFont="1" applyBorder="1" applyAlignment="1" applyProtection="1">
      <alignment horizontal="left" vertical="top" wrapText="1"/>
    </xf>
    <xf numFmtId="175" fontId="17" fillId="0" borderId="53" xfId="1" applyNumberFormat="1" applyFont="1" applyFill="1" applyBorder="1" applyAlignment="1" applyProtection="1">
      <alignment horizontal="left" vertical="top" wrapText="1"/>
    </xf>
    <xf numFmtId="175" fontId="17" fillId="0" borderId="2" xfId="0" applyNumberFormat="1" applyFont="1" applyBorder="1" applyAlignment="1" applyProtection="1">
      <alignment horizontal="center" vertical="top" wrapText="1"/>
    </xf>
    <xf numFmtId="175" fontId="17" fillId="0" borderId="13" xfId="0" applyNumberFormat="1" applyFont="1" applyBorder="1" applyAlignment="1" applyProtection="1">
      <alignment horizontal="center" vertical="top" wrapText="1"/>
    </xf>
    <xf numFmtId="175" fontId="17" fillId="0" borderId="44" xfId="0" applyNumberFormat="1" applyFont="1" applyBorder="1" applyAlignment="1" applyProtection="1">
      <alignment horizontal="center" vertical="top" wrapText="1"/>
    </xf>
    <xf numFmtId="175" fontId="17" fillId="0" borderId="1" xfId="0" applyNumberFormat="1" applyFont="1" applyBorder="1" applyAlignment="1" applyProtection="1">
      <alignment horizontal="center" vertical="top" wrapText="1"/>
    </xf>
    <xf numFmtId="175" fontId="17" fillId="0" borderId="0" xfId="0" applyNumberFormat="1" applyFont="1" applyBorder="1" applyAlignment="1" applyProtection="1">
      <alignment horizontal="center" vertical="top" wrapText="1"/>
    </xf>
    <xf numFmtId="175" fontId="17" fillId="0" borderId="14" xfId="0" applyNumberFormat="1" applyFont="1" applyBorder="1" applyAlignment="1" applyProtection="1">
      <alignment horizontal="center" vertical="top" wrapText="1"/>
    </xf>
    <xf numFmtId="165" fontId="17" fillId="12" borderId="53" xfId="1" applyNumberFormat="1" applyFont="1" applyFill="1" applyBorder="1" applyAlignment="1" applyProtection="1">
      <alignment horizontal="left" vertical="top" wrapText="1"/>
    </xf>
    <xf numFmtId="2" fontId="17" fillId="12" borderId="2" xfId="1" applyNumberFormat="1" applyFont="1" applyFill="1" applyBorder="1" applyAlignment="1" applyProtection="1">
      <alignment horizontal="center" vertical="top" wrapText="1"/>
    </xf>
    <xf numFmtId="2" fontId="17" fillId="12" borderId="13" xfId="1" applyNumberFormat="1" applyFont="1" applyFill="1" applyBorder="1" applyAlignment="1" applyProtection="1">
      <alignment horizontal="center" vertical="top" wrapText="1"/>
    </xf>
    <xf numFmtId="2" fontId="17" fillId="12" borderId="44" xfId="1" applyNumberFormat="1" applyFont="1" applyFill="1" applyBorder="1" applyAlignment="1" applyProtection="1">
      <alignment horizontal="center" vertical="top" wrapText="1"/>
    </xf>
    <xf numFmtId="2" fontId="17" fillId="12" borderId="1" xfId="1" applyNumberFormat="1" applyFont="1" applyFill="1" applyBorder="1" applyAlignment="1" applyProtection="1">
      <alignment horizontal="center" vertical="top" wrapText="1"/>
    </xf>
    <xf numFmtId="2" fontId="17" fillId="12" borderId="0" xfId="1" applyNumberFormat="1" applyFont="1" applyFill="1" applyBorder="1" applyAlignment="1" applyProtection="1">
      <alignment horizontal="center" vertical="top" wrapText="1"/>
    </xf>
    <xf numFmtId="2" fontId="17" fillId="12" borderId="14" xfId="1" applyNumberFormat="1" applyFont="1" applyFill="1" applyBorder="1" applyAlignment="1" applyProtection="1">
      <alignment horizontal="center" vertical="top" wrapText="1"/>
    </xf>
    <xf numFmtId="0" fontId="17" fillId="12" borderId="2" xfId="0" applyNumberFormat="1" applyFont="1" applyFill="1" applyBorder="1" applyAlignment="1" applyProtection="1">
      <alignment horizontal="left" vertical="top" wrapText="1" indent="1"/>
    </xf>
    <xf numFmtId="0" fontId="17" fillId="12" borderId="45" xfId="0" applyNumberFormat="1" applyFont="1" applyFill="1" applyBorder="1" applyAlignment="1" applyProtection="1">
      <alignment horizontal="left" vertical="top" wrapText="1" indent="1"/>
    </xf>
    <xf numFmtId="165" fontId="17" fillId="12" borderId="72" xfId="1" applyNumberFormat="1" applyFont="1" applyFill="1" applyBorder="1" applyAlignment="1" applyProtection="1">
      <alignment horizontal="left" vertical="top" wrapText="1"/>
    </xf>
    <xf numFmtId="165" fontId="17" fillId="12" borderId="48" xfId="1" applyNumberFormat="1" applyFont="1" applyFill="1" applyBorder="1" applyProtection="1"/>
    <xf numFmtId="165" fontId="17" fillId="12" borderId="46" xfId="1" applyNumberFormat="1" applyFont="1" applyFill="1" applyBorder="1" applyProtection="1"/>
    <xf numFmtId="165" fontId="17" fillId="12" borderId="73" xfId="1" applyNumberFormat="1" applyFont="1" applyFill="1" applyBorder="1" applyProtection="1"/>
    <xf numFmtId="165" fontId="17" fillId="12" borderId="92" xfId="1" applyNumberFormat="1" applyFont="1" applyFill="1" applyBorder="1" applyProtection="1"/>
    <xf numFmtId="165" fontId="17" fillId="12" borderId="72" xfId="1" applyNumberFormat="1" applyFont="1" applyFill="1" applyBorder="1" applyProtection="1"/>
    <xf numFmtId="165" fontId="17" fillId="12" borderId="2" xfId="1" applyNumberFormat="1" applyFont="1" applyFill="1" applyBorder="1" applyAlignment="1" applyProtection="1">
      <alignment horizontal="center" vertical="top" wrapText="1"/>
    </xf>
    <xf numFmtId="165" fontId="17" fillId="12" borderId="13" xfId="1" applyNumberFormat="1" applyFont="1" applyFill="1" applyBorder="1" applyAlignment="1" applyProtection="1">
      <alignment horizontal="center" vertical="top" wrapText="1"/>
    </xf>
    <xf numFmtId="165" fontId="17" fillId="12" borderId="44" xfId="1" applyNumberFormat="1" applyFont="1" applyFill="1" applyBorder="1" applyAlignment="1" applyProtection="1">
      <alignment horizontal="center" vertical="top" wrapText="1"/>
    </xf>
    <xf numFmtId="165" fontId="17" fillId="12" borderId="1" xfId="1" applyNumberFormat="1" applyFont="1" applyFill="1" applyBorder="1" applyAlignment="1" applyProtection="1">
      <alignment horizontal="center" vertical="top" wrapText="1"/>
    </xf>
    <xf numFmtId="165" fontId="17" fillId="12" borderId="0" xfId="1" applyNumberFormat="1" applyFont="1" applyFill="1" applyBorder="1" applyAlignment="1" applyProtection="1">
      <alignment horizontal="center" vertical="top" wrapText="1"/>
    </xf>
    <xf numFmtId="165" fontId="17" fillId="12" borderId="14" xfId="1" applyNumberFormat="1" applyFont="1" applyFill="1" applyBorder="1" applyAlignment="1" applyProtection="1">
      <alignment horizontal="center" vertical="top" wrapText="1"/>
    </xf>
    <xf numFmtId="165" fontId="17" fillId="12" borderId="73" xfId="1" applyNumberFormat="1" applyFont="1" applyFill="1" applyBorder="1" applyAlignment="1" applyProtection="1">
      <alignment horizontal="left" vertical="top" wrapText="1"/>
    </xf>
    <xf numFmtId="165" fontId="17" fillId="12" borderId="45" xfId="1" applyNumberFormat="1" applyFont="1" applyFill="1" applyBorder="1" applyAlignment="1" applyProtection="1">
      <alignment horizontal="center" vertical="top" wrapText="1"/>
    </xf>
    <xf numFmtId="0" fontId="19" fillId="0" borderId="2" xfId="0" applyNumberFormat="1" applyFont="1" applyFill="1" applyBorder="1" applyAlignment="1" applyProtection="1">
      <alignment horizontal="left" vertical="top" wrapText="1" indent="1"/>
    </xf>
    <xf numFmtId="0" fontId="17" fillId="0" borderId="14" xfId="0" applyNumberFormat="1" applyFont="1" applyFill="1" applyBorder="1" applyAlignment="1" applyProtection="1">
      <alignment horizontal="left" vertical="top" wrapText="1"/>
    </xf>
    <xf numFmtId="165" fontId="17" fillId="12" borderId="1" xfId="1" applyNumberFormat="1" applyFont="1" applyFill="1" applyBorder="1" applyAlignment="1" applyProtection="1">
      <alignment horizontal="left" vertical="top" wrapText="1"/>
    </xf>
    <xf numFmtId="0" fontId="19" fillId="0" borderId="45" xfId="0" applyNumberFormat="1" applyFont="1" applyFill="1" applyBorder="1" applyAlignment="1" applyProtection="1">
      <alignment horizontal="left" vertical="top" wrapText="1" indent="1"/>
    </xf>
    <xf numFmtId="2" fontId="17" fillId="0" borderId="2" xfId="1" applyNumberFormat="1" applyFont="1" applyBorder="1" applyAlignment="1" applyProtection="1">
      <alignment horizontal="center" vertical="top" wrapText="1"/>
    </xf>
    <xf numFmtId="2" fontId="17" fillId="0" borderId="13" xfId="1" applyNumberFormat="1" applyFont="1" applyBorder="1" applyAlignment="1" applyProtection="1">
      <alignment horizontal="center" vertical="top" wrapText="1"/>
    </xf>
    <xf numFmtId="2" fontId="17" fillId="0" borderId="44" xfId="1" applyNumberFormat="1" applyFont="1" applyBorder="1" applyAlignment="1" applyProtection="1">
      <alignment horizontal="center" vertical="top" wrapText="1"/>
    </xf>
    <xf numFmtId="2" fontId="17" fillId="0" borderId="1" xfId="1" applyNumberFormat="1" applyFont="1" applyBorder="1" applyAlignment="1" applyProtection="1">
      <alignment horizontal="center" vertical="top" wrapText="1"/>
    </xf>
    <xf numFmtId="2" fontId="17" fillId="0" borderId="0" xfId="1" applyNumberFormat="1" applyFont="1" applyBorder="1" applyAlignment="1" applyProtection="1">
      <alignment horizontal="center" vertical="top" wrapText="1"/>
    </xf>
    <xf numFmtId="2" fontId="17" fillId="0" borderId="14" xfId="1" applyNumberFormat="1" applyFont="1" applyBorder="1" applyAlignment="1" applyProtection="1">
      <alignment horizontal="center" vertical="top" wrapText="1"/>
    </xf>
    <xf numFmtId="0" fontId="21" fillId="0" borderId="2" xfId="0" applyNumberFormat="1" applyFont="1" applyBorder="1" applyAlignment="1" applyProtection="1">
      <alignment horizontal="left" vertical="top" wrapText="1"/>
    </xf>
    <xf numFmtId="165" fontId="17" fillId="0" borderId="53" xfId="1" applyNumberFormat="1" applyFont="1" applyBorder="1" applyAlignment="1" applyProtection="1">
      <alignment horizontal="left" vertical="top" wrapText="1"/>
    </xf>
    <xf numFmtId="168" fontId="17" fillId="0" borderId="44" xfId="0" applyNumberFormat="1" applyFont="1" applyBorder="1" applyAlignment="1" applyProtection="1">
      <alignment horizontal="center" vertical="top" wrapText="1"/>
    </xf>
    <xf numFmtId="9" fontId="17" fillId="0" borderId="1" xfId="0" applyNumberFormat="1" applyFont="1" applyFill="1" applyBorder="1" applyAlignment="1" applyProtection="1">
      <alignment horizontal="center" vertical="top" wrapText="1"/>
    </xf>
    <xf numFmtId="165" fontId="17" fillId="2" borderId="53" xfId="1" applyNumberFormat="1" applyFont="1" applyFill="1" applyBorder="1" applyAlignment="1" applyProtection="1">
      <alignment horizontal="left" vertical="top" wrapText="1"/>
    </xf>
    <xf numFmtId="165" fontId="17" fillId="13" borderId="53" xfId="1" applyNumberFormat="1" applyFont="1" applyFill="1" applyBorder="1" applyAlignment="1" applyProtection="1">
      <alignment horizontal="left" vertical="top" wrapText="1"/>
    </xf>
    <xf numFmtId="168" fontId="17" fillId="12" borderId="44" xfId="0" applyNumberFormat="1" applyFont="1" applyFill="1" applyBorder="1" applyAlignment="1" applyProtection="1">
      <alignment horizontal="center" vertical="top" wrapText="1"/>
    </xf>
    <xf numFmtId="168" fontId="17" fillId="12" borderId="1" xfId="0" applyNumberFormat="1" applyFont="1" applyFill="1" applyBorder="1" applyAlignment="1" applyProtection="1">
      <alignment horizontal="center" vertical="top" wrapText="1"/>
    </xf>
    <xf numFmtId="165" fontId="21" fillId="2" borderId="53" xfId="1" applyNumberFormat="1" applyFont="1" applyFill="1" applyBorder="1" applyAlignment="1" applyProtection="1">
      <alignment horizontal="left" vertical="top" wrapText="1"/>
    </xf>
    <xf numFmtId="165" fontId="21" fillId="13" borderId="53" xfId="1" applyNumberFormat="1" applyFont="1" applyFill="1" applyBorder="1" applyAlignment="1" applyProtection="1">
      <alignment horizontal="left" vertical="top" wrapText="1"/>
    </xf>
    <xf numFmtId="168" fontId="17" fillId="12" borderId="2" xfId="1" applyNumberFormat="1" applyFont="1" applyFill="1" applyBorder="1" applyAlignment="1" applyProtection="1">
      <alignment horizontal="center" vertical="top" wrapText="1"/>
    </xf>
    <xf numFmtId="168" fontId="17" fillId="12" borderId="13" xfId="1" applyNumberFormat="1" applyFont="1" applyFill="1" applyBorder="1" applyAlignment="1" applyProtection="1">
      <alignment horizontal="center" vertical="top" wrapText="1"/>
    </xf>
    <xf numFmtId="168" fontId="17" fillId="12" borderId="44" xfId="1" applyNumberFormat="1" applyFont="1" applyFill="1" applyBorder="1" applyAlignment="1" applyProtection="1">
      <alignment horizontal="center" vertical="top" wrapText="1"/>
    </xf>
    <xf numFmtId="168" fontId="17" fillId="12" borderId="0" xfId="1" applyNumberFormat="1" applyFont="1" applyFill="1" applyBorder="1" applyAlignment="1" applyProtection="1">
      <alignment horizontal="center" vertical="top" wrapText="1"/>
    </xf>
    <xf numFmtId="168" fontId="17" fillId="12" borderId="14" xfId="1" applyNumberFormat="1" applyFont="1" applyFill="1" applyBorder="1" applyAlignment="1" applyProtection="1">
      <alignment horizontal="center" vertical="top" wrapText="1"/>
    </xf>
    <xf numFmtId="0" fontId="17" fillId="0" borderId="2" xfId="0" applyNumberFormat="1" applyFont="1" applyBorder="1" applyAlignment="1" applyProtection="1">
      <alignment horizontal="left" vertical="top" wrapText="1"/>
    </xf>
    <xf numFmtId="168" fontId="17" fillId="0" borderId="2" xfId="0" applyNumberFormat="1" applyFont="1" applyBorder="1" applyAlignment="1" applyProtection="1">
      <alignment horizontal="center" vertical="top" wrapText="1"/>
    </xf>
    <xf numFmtId="168" fontId="17" fillId="0" borderId="13" xfId="0" applyNumberFormat="1" applyFont="1" applyBorder="1" applyAlignment="1" applyProtection="1">
      <alignment horizontal="center" vertical="top" wrapText="1"/>
    </xf>
    <xf numFmtId="168" fontId="17" fillId="0" borderId="1" xfId="0" applyNumberFormat="1" applyFont="1" applyFill="1" applyBorder="1" applyAlignment="1" applyProtection="1">
      <alignment horizontal="center" vertical="top" wrapText="1"/>
    </xf>
    <xf numFmtId="0" fontId="17" fillId="0" borderId="3" xfId="0" applyFont="1" applyBorder="1" applyAlignment="1" applyProtection="1">
      <alignment horizontal="left" vertical="top" wrapText="1"/>
    </xf>
    <xf numFmtId="0" fontId="17" fillId="0" borderId="4" xfId="0" applyFont="1" applyBorder="1" applyAlignment="1" applyProtection="1">
      <alignment horizontal="center" vertical="top" wrapText="1"/>
    </xf>
    <xf numFmtId="0" fontId="17" fillId="0" borderId="15" xfId="0" applyFont="1" applyBorder="1" applyAlignment="1" applyProtection="1">
      <alignment horizontal="left" vertical="top" wrapText="1"/>
    </xf>
    <xf numFmtId="165" fontId="17" fillId="0" borderId="54" xfId="1" applyNumberFormat="1" applyFont="1" applyBorder="1" applyAlignment="1" applyProtection="1">
      <alignment horizontal="left" vertical="top" wrapText="1"/>
    </xf>
    <xf numFmtId="166" fontId="17" fillId="0" borderId="3" xfId="1" applyNumberFormat="1" applyFont="1" applyBorder="1" applyAlignment="1" applyProtection="1">
      <alignment vertical="top" wrapText="1"/>
    </xf>
    <xf numFmtId="166" fontId="17" fillId="0" borderId="8" xfId="1" applyNumberFormat="1" applyFont="1" applyBorder="1" applyAlignment="1" applyProtection="1">
      <alignment vertical="top" wrapText="1"/>
    </xf>
    <xf numFmtId="166" fontId="17" fillId="0" borderId="55" xfId="1" applyNumberFormat="1" applyFont="1" applyBorder="1" applyAlignment="1" applyProtection="1">
      <alignment vertical="top" wrapText="1"/>
    </xf>
    <xf numFmtId="166" fontId="17" fillId="0" borderId="4" xfId="1" applyNumberFormat="1" applyFont="1" applyFill="1" applyBorder="1" applyAlignment="1" applyProtection="1">
      <alignment vertical="top" wrapText="1"/>
    </xf>
    <xf numFmtId="166" fontId="17" fillId="0" borderId="5" xfId="1" applyNumberFormat="1" applyFont="1" applyFill="1" applyBorder="1" applyAlignment="1" applyProtection="1">
      <alignment vertical="top" wrapText="1"/>
    </xf>
    <xf numFmtId="166" fontId="17" fillId="0" borderId="8" xfId="1" applyNumberFormat="1" applyFont="1" applyFill="1" applyBorder="1" applyAlignment="1" applyProtection="1">
      <alignment vertical="top" wrapText="1"/>
    </xf>
    <xf numFmtId="166" fontId="17" fillId="0" borderId="15" xfId="1" applyNumberFormat="1" applyFont="1" applyFill="1" applyBorder="1" applyAlignment="1" applyProtection="1">
      <alignment vertical="top" wrapText="1"/>
    </xf>
    <xf numFmtId="0" fontId="31" fillId="0" borderId="0" xfId="0" applyFont="1" applyProtection="1"/>
    <xf numFmtId="174" fontId="12" fillId="0" borderId="6" xfId="0" applyNumberFormat="1" applyFont="1" applyFill="1" applyBorder="1" applyAlignment="1" applyProtection="1">
      <alignment horizontal="center"/>
    </xf>
    <xf numFmtId="0" fontId="17" fillId="0" borderId="18" xfId="0" applyFont="1" applyBorder="1" applyProtection="1"/>
    <xf numFmtId="0" fontId="17" fillId="0" borderId="17" xfId="0" applyFont="1" applyBorder="1" applyProtection="1"/>
    <xf numFmtId="0" fontId="17" fillId="0" borderId="4" xfId="0" applyFont="1" applyFill="1" applyBorder="1" applyAlignment="1" applyProtection="1">
      <alignment horizontal="center"/>
    </xf>
    <xf numFmtId="0" fontId="17" fillId="0" borderId="5" xfId="0" applyFont="1" applyBorder="1" applyProtection="1"/>
    <xf numFmtId="0" fontId="17" fillId="0" borderId="15" xfId="0" applyFont="1" applyBorder="1" applyProtection="1"/>
    <xf numFmtId="0" fontId="17" fillId="0" borderId="1" xfId="0" applyFont="1" applyFill="1" applyBorder="1" applyAlignment="1" applyProtection="1">
      <alignment horizontal="center"/>
    </xf>
    <xf numFmtId="174" fontId="12" fillId="0" borderId="16" xfId="0" applyNumberFormat="1" applyFont="1" applyFill="1" applyBorder="1" applyProtection="1"/>
    <xf numFmtId="174" fontId="12" fillId="0" borderId="52" xfId="0" applyNumberFormat="1" applyFont="1" applyFill="1" applyBorder="1" applyProtection="1"/>
    <xf numFmtId="175" fontId="17" fillId="12" borderId="2" xfId="0" applyNumberFormat="1" applyFont="1" applyFill="1" applyBorder="1" applyProtection="1"/>
    <xf numFmtId="175" fontId="17" fillId="12" borderId="45" xfId="0" applyNumberFormat="1" applyFont="1" applyFill="1" applyBorder="1" applyProtection="1"/>
    <xf numFmtId="175" fontId="17" fillId="12" borderId="50" xfId="0" applyNumberFormat="1" applyFont="1" applyFill="1" applyBorder="1" applyProtection="1"/>
    <xf numFmtId="174" fontId="19" fillId="12" borderId="1" xfId="0" applyNumberFormat="1" applyFont="1" applyFill="1" applyBorder="1" applyProtection="1"/>
    <xf numFmtId="174" fontId="19" fillId="12" borderId="5" xfId="0" applyNumberFormat="1" applyFont="1" applyFill="1" applyBorder="1" applyProtection="1"/>
    <xf numFmtId="0" fontId="14" fillId="0" borderId="7" xfId="0" applyFont="1" applyFill="1" applyBorder="1" applyAlignment="1" applyProtection="1">
      <alignment vertical="top"/>
    </xf>
    <xf numFmtId="0" fontId="14" fillId="0" borderId="18" xfId="0" applyFont="1" applyFill="1" applyBorder="1" applyAlignment="1" applyProtection="1">
      <alignment vertical="top"/>
    </xf>
    <xf numFmtId="0" fontId="14" fillId="0" borderId="17" xfId="0" applyFont="1" applyFill="1" applyBorder="1" applyAlignment="1" applyProtection="1">
      <alignment vertical="top"/>
    </xf>
    <xf numFmtId="0" fontId="17" fillId="0" borderId="3" xfId="0" applyFont="1" applyFill="1" applyBorder="1" applyAlignment="1" applyProtection="1">
      <alignment horizontal="center"/>
    </xf>
    <xf numFmtId="0" fontId="17" fillId="0" borderId="5" xfId="0" applyFont="1" applyBorder="1" applyAlignment="1" applyProtection="1">
      <alignment vertical="top"/>
    </xf>
    <xf numFmtId="0" fontId="19" fillId="0" borderId="18" xfId="0" applyFont="1" applyBorder="1" applyAlignment="1" applyProtection="1">
      <alignment vertical="top"/>
    </xf>
    <xf numFmtId="0" fontId="17" fillId="0" borderId="17" xfId="0" applyFont="1" applyFill="1" applyBorder="1" applyAlignment="1" applyProtection="1">
      <alignment horizontal="center"/>
    </xf>
    <xf numFmtId="0" fontId="25" fillId="0" borderId="7" xfId="0" applyFont="1" applyFill="1" applyBorder="1" applyAlignment="1" applyProtection="1">
      <alignment wrapText="1"/>
    </xf>
    <xf numFmtId="175" fontId="17" fillId="0" borderId="80" xfId="0" applyNumberFormat="1" applyFont="1" applyFill="1" applyBorder="1" applyProtection="1"/>
    <xf numFmtId="175" fontId="17" fillId="0" borderId="16" xfId="0" applyNumberFormat="1" applyFont="1" applyFill="1" applyBorder="1" applyProtection="1"/>
    <xf numFmtId="175" fontId="17" fillId="0" borderId="17" xfId="0" applyNumberFormat="1" applyFont="1" applyFill="1" applyBorder="1" applyProtection="1"/>
    <xf numFmtId="175" fontId="17" fillId="0" borderId="7" xfId="0" applyNumberFormat="1" applyFont="1" applyFill="1" applyBorder="1" applyProtection="1"/>
    <xf numFmtId="175" fontId="17" fillId="0" borderId="18" xfId="0" applyNumberFormat="1" applyFont="1" applyFill="1" applyBorder="1" applyProtection="1"/>
    <xf numFmtId="175" fontId="17" fillId="0" borderId="20" xfId="0" applyNumberFormat="1" applyFont="1" applyFill="1" applyBorder="1" applyProtection="1"/>
    <xf numFmtId="0" fontId="17" fillId="12" borderId="2" xfId="0" applyFont="1" applyFill="1" applyBorder="1" applyAlignment="1" applyProtection="1">
      <alignment horizontal="left" indent="1"/>
    </xf>
    <xf numFmtId="0" fontId="19" fillId="0" borderId="2" xfId="0" applyFont="1" applyFill="1" applyBorder="1" applyAlignment="1" applyProtection="1">
      <alignment wrapText="1"/>
    </xf>
    <xf numFmtId="175" fontId="17" fillId="12" borderId="74" xfId="0" applyNumberFormat="1" applyFont="1" applyFill="1" applyBorder="1" applyProtection="1"/>
    <xf numFmtId="0" fontId="17" fillId="0" borderId="29" xfId="0" applyFont="1" applyBorder="1" applyProtection="1"/>
    <xf numFmtId="0" fontId="17" fillId="0" borderId="32" xfId="0" applyFont="1" applyFill="1" applyBorder="1" applyAlignment="1" applyProtection="1">
      <alignment horizontal="center"/>
    </xf>
    <xf numFmtId="0" fontId="22" fillId="0" borderId="0" xfId="0" applyFont="1" applyAlignment="1" applyProtection="1">
      <alignment horizontal="left"/>
    </xf>
    <xf numFmtId="0" fontId="19" fillId="0" borderId="75" xfId="0" applyFont="1" applyFill="1" applyBorder="1" applyAlignment="1" applyProtection="1">
      <alignment horizontal="center" vertical="center" wrapText="1"/>
    </xf>
    <xf numFmtId="0" fontId="21" fillId="0" borderId="43" xfId="0" applyFont="1" applyBorder="1" applyAlignment="1" applyProtection="1">
      <alignment horizontal="center"/>
    </xf>
    <xf numFmtId="0" fontId="21" fillId="0" borderId="13" xfId="0" applyFont="1" applyBorder="1" applyAlignment="1" applyProtection="1">
      <alignment horizontal="center"/>
    </xf>
    <xf numFmtId="0" fontId="17" fillId="0" borderId="13" xfId="0" applyFont="1" applyBorder="1" applyProtection="1"/>
    <xf numFmtId="0" fontId="17" fillId="0" borderId="43" xfId="0" applyFont="1" applyBorder="1" applyProtection="1"/>
    <xf numFmtId="176" fontId="17" fillId="0" borderId="13" xfId="1" applyNumberFormat="1" applyFont="1" applyFill="1" applyBorder="1" applyAlignment="1" applyProtection="1"/>
    <xf numFmtId="176" fontId="17" fillId="0" borderId="44" xfId="1" applyNumberFormat="1" applyFont="1" applyFill="1" applyBorder="1" applyAlignment="1" applyProtection="1"/>
    <xf numFmtId="176" fontId="17" fillId="0" borderId="53" xfId="1" applyNumberFormat="1" applyFont="1" applyFill="1" applyBorder="1" applyAlignment="1" applyProtection="1"/>
    <xf numFmtId="176" fontId="17" fillId="0" borderId="2" xfId="1" applyNumberFormat="1" applyFont="1" applyFill="1" applyBorder="1" applyAlignment="1" applyProtection="1"/>
    <xf numFmtId="176" fontId="17" fillId="0" borderId="0" xfId="1" applyNumberFormat="1" applyFont="1" applyFill="1" applyBorder="1" applyAlignment="1" applyProtection="1"/>
    <xf numFmtId="176" fontId="17" fillId="0" borderId="24" xfId="1" applyNumberFormat="1" applyFont="1" applyFill="1" applyBorder="1" applyAlignment="1" applyProtection="1"/>
    <xf numFmtId="0" fontId="17" fillId="0" borderId="44" xfId="0" applyFont="1" applyFill="1" applyBorder="1" applyAlignment="1" applyProtection="1">
      <alignment horizontal="center"/>
    </xf>
    <xf numFmtId="171" fontId="17" fillId="0" borderId="13" xfId="0" applyNumberFormat="1" applyFont="1" applyFill="1" applyBorder="1" applyAlignment="1" applyProtection="1">
      <alignment horizontal="center"/>
    </xf>
    <xf numFmtId="171" fontId="17" fillId="0" borderId="44" xfId="0" applyNumberFormat="1" applyFont="1" applyFill="1" applyBorder="1" applyAlignment="1" applyProtection="1">
      <alignment horizontal="center"/>
    </xf>
    <xf numFmtId="171" fontId="17" fillId="0" borderId="53" xfId="7" applyNumberFormat="1" applyFont="1" applyFill="1" applyBorder="1" applyAlignment="1" applyProtection="1">
      <alignment horizontal="center"/>
    </xf>
    <xf numFmtId="171" fontId="17" fillId="0" borderId="0" xfId="7" applyNumberFormat="1" applyFont="1" applyFill="1" applyBorder="1" applyAlignment="1" applyProtection="1">
      <alignment horizontal="center"/>
    </xf>
    <xf numFmtId="171" fontId="17" fillId="0" borderId="44" xfId="7" applyNumberFormat="1" applyFont="1" applyFill="1" applyBorder="1" applyAlignment="1" applyProtection="1">
      <alignment horizontal="center"/>
    </xf>
    <xf numFmtId="171" fontId="17" fillId="0" borderId="24" xfId="7" applyNumberFormat="1" applyFont="1" applyFill="1" applyBorder="1" applyAlignment="1" applyProtection="1">
      <alignment horizontal="center"/>
    </xf>
    <xf numFmtId="171" fontId="17" fillId="0" borderId="13" xfId="7" applyNumberFormat="1" applyFont="1" applyFill="1" applyBorder="1" applyAlignment="1" applyProtection="1">
      <alignment horizontal="center"/>
    </xf>
    <xf numFmtId="171" fontId="17" fillId="0" borderId="74" xfId="7" applyNumberFormat="1" applyFont="1" applyFill="1" applyBorder="1" applyAlignment="1" applyProtection="1">
      <alignment horizontal="center"/>
    </xf>
    <xf numFmtId="171" fontId="17" fillId="0" borderId="1" xfId="7" applyNumberFormat="1" applyFont="1" applyFill="1" applyBorder="1" applyAlignment="1" applyProtection="1">
      <alignment horizontal="center"/>
    </xf>
    <xf numFmtId="171" fontId="17" fillId="13" borderId="13" xfId="1" applyNumberFormat="1" applyFont="1" applyFill="1" applyBorder="1" applyAlignment="1" applyProtection="1">
      <alignment horizontal="center"/>
    </xf>
    <xf numFmtId="171" fontId="17" fillId="13" borderId="44" xfId="1" applyNumberFormat="1" applyFont="1" applyFill="1" applyBorder="1" applyAlignment="1" applyProtection="1">
      <alignment horizontal="center"/>
    </xf>
    <xf numFmtId="171" fontId="17" fillId="13" borderId="53" xfId="1" applyNumberFormat="1" applyFont="1" applyFill="1" applyBorder="1" applyAlignment="1" applyProtection="1">
      <alignment horizontal="center"/>
    </xf>
    <xf numFmtId="171" fontId="17" fillId="13" borderId="0" xfId="1" applyNumberFormat="1" applyFont="1" applyFill="1" applyBorder="1" applyAlignment="1" applyProtection="1">
      <alignment horizontal="center"/>
    </xf>
    <xf numFmtId="9" fontId="17" fillId="0" borderId="44" xfId="7" applyFont="1" applyBorder="1" applyAlignment="1" applyProtection="1">
      <alignment horizontal="center"/>
    </xf>
    <xf numFmtId="171" fontId="17" fillId="0" borderId="14" xfId="7" applyNumberFormat="1" applyFont="1" applyFill="1" applyBorder="1" applyAlignment="1" applyProtection="1">
      <alignment horizontal="center"/>
    </xf>
    <xf numFmtId="171" fontId="17" fillId="0" borderId="2" xfId="7" applyNumberFormat="1" applyFont="1" applyFill="1" applyBorder="1" applyAlignment="1" applyProtection="1">
      <alignment horizontal="center"/>
    </xf>
    <xf numFmtId="9" fontId="17" fillId="0" borderId="55" xfId="7" applyFont="1" applyBorder="1" applyAlignment="1" applyProtection="1">
      <alignment horizontal="center"/>
    </xf>
    <xf numFmtId="9" fontId="17" fillId="0" borderId="8" xfId="7" applyFont="1" applyBorder="1" applyAlignment="1" applyProtection="1">
      <alignment horizontal="center"/>
    </xf>
    <xf numFmtId="9" fontId="17" fillId="0" borderId="54" xfId="7" applyFont="1" applyBorder="1" applyAlignment="1" applyProtection="1">
      <alignment horizontal="center"/>
    </xf>
    <xf numFmtId="9" fontId="17" fillId="0" borderId="3" xfId="7" applyFont="1" applyBorder="1" applyAlignment="1" applyProtection="1">
      <alignment horizontal="center"/>
    </xf>
    <xf numFmtId="9" fontId="17" fillId="0" borderId="5" xfId="7" applyFont="1" applyBorder="1" applyAlignment="1" applyProtection="1">
      <alignment horizontal="center"/>
    </xf>
    <xf numFmtId="9" fontId="17" fillId="0" borderId="41" xfId="7" applyFont="1" applyBorder="1" applyAlignment="1" applyProtection="1">
      <alignment horizontal="center"/>
    </xf>
    <xf numFmtId="0" fontId="23" fillId="0" borderId="18" xfId="0" applyFont="1" applyBorder="1" applyProtection="1"/>
    <xf numFmtId="9" fontId="17" fillId="0" borderId="18" xfId="7" applyFont="1" applyBorder="1" applyAlignment="1" applyProtection="1">
      <alignment horizontal="center"/>
    </xf>
    <xf numFmtId="9" fontId="17" fillId="0" borderId="0" xfId="7" applyFont="1" applyBorder="1" applyAlignment="1" applyProtection="1">
      <alignment horizontal="center"/>
    </xf>
    <xf numFmtId="0" fontId="21" fillId="0" borderId="6" xfId="0" applyFont="1" applyBorder="1" applyAlignment="1" applyProtection="1">
      <alignment horizontal="left"/>
    </xf>
    <xf numFmtId="0" fontId="21" fillId="0" borderId="17" xfId="0" applyFont="1" applyBorder="1" applyAlignment="1" applyProtection="1">
      <alignment horizontal="center"/>
    </xf>
    <xf numFmtId="0" fontId="21" fillId="0" borderId="20" xfId="0" applyFont="1" applyBorder="1" applyAlignment="1" applyProtection="1">
      <alignment horizontal="center"/>
    </xf>
    <xf numFmtId="0" fontId="21" fillId="0" borderId="16" xfId="0" applyFont="1" applyBorder="1" applyAlignment="1" applyProtection="1">
      <alignment horizontal="center"/>
    </xf>
    <xf numFmtId="169" fontId="17" fillId="0" borderId="52" xfId="0" applyNumberFormat="1" applyFont="1" applyBorder="1" applyProtection="1"/>
    <xf numFmtId="0" fontId="17" fillId="0" borderId="1" xfId="0" applyFont="1" applyBorder="1" applyAlignment="1" applyProtection="1"/>
    <xf numFmtId="0" fontId="17" fillId="0" borderId="14" xfId="0" applyFont="1" applyBorder="1" applyAlignment="1" applyProtection="1">
      <alignment horizontal="center"/>
    </xf>
    <xf numFmtId="171" fontId="17" fillId="0" borderId="24" xfId="0" applyNumberFormat="1" applyFont="1" applyBorder="1" applyAlignment="1" applyProtection="1">
      <alignment horizontal="center"/>
    </xf>
    <xf numFmtId="171" fontId="17" fillId="0" borderId="13" xfId="7" applyNumberFormat="1" applyFont="1" applyBorder="1" applyAlignment="1" applyProtection="1">
      <alignment horizontal="center"/>
    </xf>
    <xf numFmtId="171" fontId="17" fillId="0" borderId="24" xfId="7" applyNumberFormat="1" applyFont="1" applyBorder="1" applyAlignment="1" applyProtection="1">
      <alignment horizontal="center"/>
    </xf>
    <xf numFmtId="171" fontId="17" fillId="0" borderId="53" xfId="7" applyNumberFormat="1" applyFont="1" applyBorder="1" applyAlignment="1" applyProtection="1">
      <alignment horizontal="center"/>
    </xf>
    <xf numFmtId="0" fontId="17" fillId="0" borderId="1" xfId="0" applyFont="1" applyBorder="1" applyAlignment="1" applyProtection="1">
      <alignment horizontal="left"/>
    </xf>
    <xf numFmtId="9" fontId="17" fillId="0" borderId="14" xfId="0" applyNumberFormat="1" applyFont="1" applyBorder="1" applyAlignment="1" applyProtection="1">
      <alignment horizontal="center"/>
    </xf>
    <xf numFmtId="0" fontId="17" fillId="0" borderId="24" xfId="0" applyFont="1" applyBorder="1" applyAlignment="1" applyProtection="1">
      <alignment horizontal="center"/>
    </xf>
    <xf numFmtId="169" fontId="17" fillId="0" borderId="53" xfId="0" applyNumberFormat="1" applyFont="1" applyBorder="1" applyProtection="1"/>
    <xf numFmtId="0" fontId="21" fillId="0" borderId="1" xfId="0" applyFont="1" applyBorder="1" applyAlignment="1" applyProtection="1">
      <alignment horizontal="left"/>
    </xf>
    <xf numFmtId="174" fontId="17" fillId="13" borderId="24" xfId="0" applyNumberFormat="1" applyFont="1" applyFill="1" applyBorder="1" applyAlignment="1" applyProtection="1">
      <alignment horizontal="center"/>
    </xf>
    <xf numFmtId="174" fontId="17" fillId="13" borderId="13" xfId="0" applyNumberFormat="1" applyFont="1" applyFill="1" applyBorder="1" applyAlignment="1" applyProtection="1">
      <alignment horizontal="center"/>
    </xf>
    <xf numFmtId="174" fontId="17" fillId="13" borderId="53" xfId="0" applyNumberFormat="1" applyFont="1" applyFill="1" applyBorder="1" applyProtection="1"/>
    <xf numFmtId="174" fontId="17" fillId="13" borderId="24" xfId="0" applyNumberFormat="1" applyFont="1" applyFill="1" applyBorder="1" applyProtection="1"/>
    <xf numFmtId="174" fontId="17" fillId="13" borderId="13" xfId="0" applyNumberFormat="1" applyFont="1" applyFill="1" applyBorder="1" applyProtection="1"/>
    <xf numFmtId="171" fontId="17" fillId="0" borderId="13" xfId="0" applyNumberFormat="1" applyFont="1" applyBorder="1" applyAlignment="1" applyProtection="1">
      <alignment horizontal="center"/>
    </xf>
    <xf numFmtId="0" fontId="17" fillId="0" borderId="56" xfId="0" applyFont="1" applyBorder="1" applyAlignment="1" applyProtection="1">
      <alignment horizontal="left"/>
    </xf>
    <xf numFmtId="0" fontId="17" fillId="0" borderId="57" xfId="0" applyFont="1" applyBorder="1" applyAlignment="1" applyProtection="1">
      <alignment horizontal="center"/>
    </xf>
    <xf numFmtId="0" fontId="17" fillId="0" borderId="81" xfId="0" applyFont="1" applyBorder="1" applyAlignment="1" applyProtection="1">
      <alignment horizontal="center"/>
    </xf>
    <xf numFmtId="0" fontId="17" fillId="0" borderId="82" xfId="0" applyFont="1" applyBorder="1" applyAlignment="1" applyProtection="1">
      <alignment horizontal="center"/>
    </xf>
    <xf numFmtId="169" fontId="17" fillId="0" borderId="83" xfId="0" applyNumberFormat="1" applyFont="1" applyBorder="1" applyProtection="1"/>
    <xf numFmtId="169" fontId="17" fillId="0" borderId="81" xfId="0" applyNumberFormat="1" applyFont="1" applyBorder="1" applyProtection="1"/>
    <xf numFmtId="169" fontId="17" fillId="0" borderId="82" xfId="0" applyNumberFormat="1" applyFont="1" applyBorder="1" applyProtection="1"/>
    <xf numFmtId="0" fontId="21" fillId="0" borderId="0" xfId="0" applyFont="1" applyProtection="1"/>
    <xf numFmtId="0" fontId="17" fillId="0" borderId="14" xfId="0" applyFont="1" applyBorder="1" applyProtection="1"/>
    <xf numFmtId="169" fontId="17" fillId="0" borderId="84" xfId="0" applyNumberFormat="1" applyFont="1" applyBorder="1" applyProtection="1"/>
    <xf numFmtId="169" fontId="17" fillId="0" borderId="85" xfId="0" applyNumberFormat="1" applyFont="1" applyBorder="1" applyProtection="1"/>
    <xf numFmtId="169" fontId="17" fillId="0" borderId="86" xfId="0" applyNumberFormat="1" applyFont="1" applyBorder="1" applyProtection="1"/>
    <xf numFmtId="0" fontId="22" fillId="12" borderId="0" xfId="0" applyFont="1" applyFill="1" applyProtection="1"/>
    <xf numFmtId="0" fontId="17" fillId="13" borderId="0" xfId="0" applyFont="1" applyFill="1" applyAlignment="1" applyProtection="1">
      <alignment horizontal="center"/>
    </xf>
    <xf numFmtId="0" fontId="17" fillId="13" borderId="0" xfId="0" applyFont="1" applyFill="1" applyProtection="1"/>
    <xf numFmtId="0" fontId="17" fillId="13" borderId="14" xfId="0" applyFont="1" applyFill="1" applyBorder="1" applyProtection="1"/>
    <xf numFmtId="174" fontId="19" fillId="0" borderId="87" xfId="0" applyNumberFormat="1" applyFont="1" applyBorder="1" applyProtection="1"/>
    <xf numFmtId="174" fontId="19" fillId="0" borderId="88" xfId="0" applyNumberFormat="1" applyFont="1" applyBorder="1" applyProtection="1"/>
    <xf numFmtId="174" fontId="19" fillId="0" borderId="89" xfId="0" applyNumberFormat="1" applyFont="1" applyBorder="1" applyProtection="1"/>
    <xf numFmtId="0" fontId="17" fillId="0" borderId="5" xfId="0" applyFont="1" applyBorder="1" applyAlignment="1" applyProtection="1">
      <alignment horizontal="center"/>
    </xf>
    <xf numFmtId="0" fontId="17" fillId="13" borderId="5" xfId="0" applyFont="1" applyFill="1" applyBorder="1" applyAlignment="1" applyProtection="1">
      <alignment horizontal="center"/>
    </xf>
    <xf numFmtId="0" fontId="17" fillId="13" borderId="5" xfId="0" applyFont="1" applyFill="1" applyBorder="1" applyProtection="1"/>
    <xf numFmtId="0" fontId="17" fillId="13" borderId="15" xfId="0" applyFont="1" applyFill="1" applyBorder="1" applyProtection="1"/>
    <xf numFmtId="0" fontId="17" fillId="0" borderId="79" xfId="0" applyFont="1" applyBorder="1" applyProtection="1"/>
    <xf numFmtId="174" fontId="17" fillId="0" borderId="0" xfId="0" applyNumberFormat="1" applyFont="1" applyAlignment="1" applyProtection="1">
      <alignment horizontal="center"/>
    </xf>
    <xf numFmtId="0" fontId="21" fillId="0" borderId="17" xfId="0" applyFont="1" applyBorder="1" applyProtection="1"/>
    <xf numFmtId="174" fontId="17" fillId="0" borderId="6" xfId="0" applyNumberFormat="1" applyFont="1" applyBorder="1" applyAlignment="1" applyProtection="1">
      <alignment horizontal="left" wrapText="1"/>
    </xf>
    <xf numFmtId="0" fontId="17" fillId="0" borderId="17" xfId="0" applyFont="1" applyBorder="1" applyAlignment="1" applyProtection="1">
      <alignment horizontal="center"/>
    </xf>
    <xf numFmtId="174" fontId="17" fillId="0" borderId="20" xfId="0" applyNumberFormat="1" applyFont="1" applyBorder="1" applyAlignment="1" applyProtection="1">
      <alignment horizontal="center"/>
    </xf>
    <xf numFmtId="174" fontId="17" fillId="0" borderId="16" xfId="0" applyNumberFormat="1" applyFont="1" applyBorder="1" applyAlignment="1" applyProtection="1">
      <alignment horizontal="center"/>
    </xf>
    <xf numFmtId="174" fontId="17" fillId="0" borderId="43" xfId="0" applyNumberFormat="1" applyFont="1" applyBorder="1" applyAlignment="1" applyProtection="1">
      <alignment horizontal="center"/>
    </xf>
    <xf numFmtId="174" fontId="17" fillId="0" borderId="52" xfId="0" applyNumberFormat="1" applyFont="1" applyBorder="1" applyAlignment="1" applyProtection="1">
      <alignment horizontal="center"/>
    </xf>
    <xf numFmtId="0" fontId="21" fillId="0" borderId="0" xfId="0" applyFont="1" applyBorder="1" applyProtection="1"/>
    <xf numFmtId="174" fontId="17" fillId="0" borderId="1" xfId="0" applyNumberFormat="1" applyFont="1" applyBorder="1" applyAlignment="1" applyProtection="1">
      <alignment horizontal="left" wrapText="1"/>
    </xf>
    <xf numFmtId="174" fontId="17" fillId="0" borderId="24" xfId="0" applyNumberFormat="1" applyFont="1" applyBorder="1" applyAlignment="1" applyProtection="1">
      <alignment horizontal="center"/>
    </xf>
    <xf numFmtId="174" fontId="17" fillId="0" borderId="13" xfId="0" applyNumberFormat="1" applyFont="1" applyBorder="1" applyAlignment="1" applyProtection="1">
      <alignment horizontal="center"/>
    </xf>
    <xf numFmtId="174" fontId="17" fillId="0" borderId="44" xfId="0" applyNumberFormat="1" applyFont="1" applyBorder="1" applyAlignment="1" applyProtection="1">
      <alignment horizontal="center"/>
    </xf>
    <xf numFmtId="174" fontId="17" fillId="0" borderId="53" xfId="0" applyNumberFormat="1" applyFont="1" applyBorder="1" applyAlignment="1" applyProtection="1">
      <alignment horizontal="center"/>
    </xf>
    <xf numFmtId="174" fontId="17" fillId="0" borderId="41" xfId="0" applyNumberFormat="1" applyFont="1" applyBorder="1" applyAlignment="1" applyProtection="1">
      <alignment horizontal="center"/>
    </xf>
    <xf numFmtId="174" fontId="17" fillId="0" borderId="8" xfId="0" applyNumberFormat="1" applyFont="1" applyBorder="1" applyAlignment="1" applyProtection="1">
      <alignment horizontal="center"/>
    </xf>
    <xf numFmtId="174" fontId="17" fillId="0" borderId="55" xfId="0" applyNumberFormat="1" applyFont="1" applyBorder="1" applyProtection="1"/>
    <xf numFmtId="0" fontId="17" fillId="0" borderId="6" xfId="0" applyFont="1" applyBorder="1" applyProtection="1"/>
    <xf numFmtId="0" fontId="17" fillId="0" borderId="18" xfId="0" applyFont="1" applyBorder="1" applyAlignment="1" applyProtection="1">
      <alignment horizontal="center"/>
    </xf>
    <xf numFmtId="0" fontId="17" fillId="0" borderId="1" xfId="0" applyFont="1" applyBorder="1" applyProtection="1"/>
    <xf numFmtId="171" fontId="17" fillId="0" borderId="44" xfId="0" applyNumberFormat="1" applyFont="1" applyBorder="1" applyAlignment="1" applyProtection="1">
      <alignment horizontal="center"/>
    </xf>
    <xf numFmtId="171" fontId="17" fillId="0" borderId="53" xfId="0" applyNumberFormat="1" applyFont="1" applyBorder="1" applyAlignment="1" applyProtection="1">
      <alignment horizontal="center"/>
    </xf>
    <xf numFmtId="0" fontId="17" fillId="0" borderId="4" xfId="0" applyFont="1" applyBorder="1" applyProtection="1"/>
    <xf numFmtId="171" fontId="17" fillId="0" borderId="8" xfId="0" applyNumberFormat="1" applyFont="1" applyBorder="1" applyAlignment="1" applyProtection="1">
      <alignment horizontal="center"/>
    </xf>
    <xf numFmtId="171" fontId="17" fillId="0" borderId="55" xfId="0" applyNumberFormat="1" applyFont="1" applyBorder="1" applyAlignment="1" applyProtection="1">
      <alignment horizontal="center"/>
    </xf>
    <xf numFmtId="171" fontId="17" fillId="0" borderId="41" xfId="0" applyNumberFormat="1" applyFont="1" applyBorder="1" applyAlignment="1" applyProtection="1">
      <alignment horizontal="center"/>
    </xf>
    <xf numFmtId="171" fontId="17" fillId="0" borderId="54" xfId="0" applyNumberFormat="1" applyFont="1" applyBorder="1" applyAlignment="1" applyProtection="1">
      <alignment horizontal="center"/>
    </xf>
    <xf numFmtId="0" fontId="17" fillId="0" borderId="44" xfId="0" applyFont="1" applyBorder="1" applyProtection="1"/>
    <xf numFmtId="0" fontId="17" fillId="0" borderId="53" xfId="0" applyFont="1" applyBorder="1" applyProtection="1"/>
    <xf numFmtId="168" fontId="17" fillId="0" borderId="1" xfId="8" applyNumberFormat="1" applyFont="1" applyBorder="1" applyAlignment="1" applyProtection="1"/>
    <xf numFmtId="168" fontId="17" fillId="0" borderId="4" xfId="8" applyNumberFormat="1" applyFont="1" applyBorder="1" applyProtection="1"/>
    <xf numFmtId="174" fontId="17" fillId="0" borderId="1" xfId="0" applyNumberFormat="1" applyFont="1" applyBorder="1" applyProtection="1"/>
    <xf numFmtId="168" fontId="17" fillId="0" borderId="1" xfId="8" applyNumberFormat="1" applyFont="1" applyBorder="1" applyProtection="1"/>
    <xf numFmtId="171" fontId="17" fillId="0" borderId="13" xfId="0" quotePrefix="1" applyNumberFormat="1" applyFont="1" applyBorder="1" applyAlignment="1" applyProtection="1">
      <alignment horizontal="center"/>
    </xf>
    <xf numFmtId="171" fontId="17" fillId="0" borderId="44" xfId="0" quotePrefix="1" applyNumberFormat="1" applyFont="1" applyBorder="1" applyAlignment="1" applyProtection="1">
      <alignment horizontal="center"/>
    </xf>
    <xf numFmtId="171" fontId="17" fillId="0" borderId="24" xfId="0" quotePrefix="1" applyNumberFormat="1" applyFont="1" applyBorder="1" applyAlignment="1" applyProtection="1">
      <alignment horizontal="center"/>
    </xf>
    <xf numFmtId="171" fontId="17" fillId="0" borderId="53" xfId="0" quotePrefix="1" applyNumberFormat="1" applyFont="1" applyBorder="1" applyAlignment="1" applyProtection="1">
      <alignment horizontal="center"/>
    </xf>
    <xf numFmtId="171" fontId="17" fillId="0" borderId="8" xfId="0" quotePrefix="1" applyNumberFormat="1" applyFont="1" applyBorder="1" applyAlignment="1" applyProtection="1">
      <alignment horizontal="center"/>
    </xf>
    <xf numFmtId="171" fontId="17" fillId="0" borderId="55" xfId="0" quotePrefix="1" applyNumberFormat="1" applyFont="1" applyBorder="1" applyAlignment="1" applyProtection="1">
      <alignment horizontal="center"/>
    </xf>
    <xf numFmtId="171" fontId="17" fillId="0" borderId="41" xfId="0" quotePrefix="1" applyNumberFormat="1" applyFont="1" applyBorder="1" applyAlignment="1" applyProtection="1">
      <alignment horizontal="center"/>
    </xf>
    <xf numFmtId="171" fontId="17" fillId="0" borderId="54" xfId="0" quotePrefix="1" applyNumberFormat="1" applyFont="1" applyBorder="1" applyAlignment="1" applyProtection="1">
      <alignment horizontal="center"/>
    </xf>
    <xf numFmtId="171" fontId="17" fillId="0" borderId="70" xfId="0" applyNumberFormat="1" applyFont="1" applyBorder="1" applyAlignment="1" applyProtection="1">
      <alignment horizontal="center"/>
    </xf>
    <xf numFmtId="172" fontId="17" fillId="0" borderId="4" xfId="0" applyNumberFormat="1" applyFont="1" applyBorder="1" applyProtection="1"/>
    <xf numFmtId="174" fontId="17" fillId="0" borderId="8" xfId="0" quotePrefix="1" applyNumberFormat="1" applyFont="1" applyBorder="1" applyAlignment="1" applyProtection="1">
      <alignment horizontal="center"/>
    </xf>
    <xf numFmtId="174" fontId="17" fillId="0" borderId="55" xfId="0" quotePrefix="1" applyNumberFormat="1" applyFont="1" applyBorder="1" applyAlignment="1" applyProtection="1">
      <alignment horizontal="center"/>
    </xf>
    <xf numFmtId="174" fontId="17" fillId="0" borderId="41" xfId="0" quotePrefix="1" applyNumberFormat="1" applyFont="1" applyBorder="1" applyAlignment="1" applyProtection="1">
      <alignment horizontal="center"/>
    </xf>
    <xf numFmtId="174" fontId="17" fillId="0" borderId="54" xfId="0" quotePrefix="1" applyNumberFormat="1" applyFont="1" applyBorder="1" applyAlignment="1" applyProtection="1">
      <alignment horizontal="center"/>
    </xf>
    <xf numFmtId="0" fontId="17" fillId="0" borderId="0" xfId="0" applyFont="1" applyFill="1" applyBorder="1" applyAlignment="1" applyProtection="1"/>
    <xf numFmtId="0" fontId="17" fillId="0" borderId="5" xfId="0" applyFont="1" applyFill="1" applyBorder="1" applyAlignment="1" applyProtection="1"/>
    <xf numFmtId="174" fontId="17" fillId="0" borderId="4" xfId="0" applyNumberFormat="1" applyFont="1" applyFill="1" applyBorder="1" applyProtection="1"/>
    <xf numFmtId="171" fontId="17" fillId="0" borderId="74" xfId="0" applyNumberFormat="1" applyFont="1" applyBorder="1" applyAlignment="1" applyProtection="1">
      <alignment horizontal="center"/>
    </xf>
    <xf numFmtId="0" fontId="17" fillId="0" borderId="0" xfId="0" applyFont="1" applyBorder="1" applyAlignment="1" applyProtection="1">
      <alignment wrapText="1"/>
    </xf>
    <xf numFmtId="0" fontId="34" fillId="0" borderId="7" xfId="0" applyFont="1" applyBorder="1" applyProtection="1"/>
    <xf numFmtId="0" fontId="35" fillId="0" borderId="6" xfId="0" applyFont="1" applyBorder="1" applyAlignment="1" applyProtection="1">
      <alignment horizontal="center"/>
    </xf>
    <xf numFmtId="0" fontId="35" fillId="0" borderId="18" xfId="0" applyFont="1" applyBorder="1" applyAlignment="1" applyProtection="1">
      <alignment horizontal="center"/>
    </xf>
    <xf numFmtId="0" fontId="35" fillId="0" borderId="80" xfId="0" applyFont="1" applyBorder="1" applyAlignment="1" applyProtection="1">
      <alignment horizontal="center"/>
    </xf>
    <xf numFmtId="0" fontId="35" fillId="0" borderId="16" xfId="0" applyFont="1" applyBorder="1" applyAlignment="1" applyProtection="1">
      <alignment horizontal="center"/>
    </xf>
    <xf numFmtId="0" fontId="35" fillId="0" borderId="52" xfId="0" applyFont="1" applyBorder="1" applyProtection="1"/>
    <xf numFmtId="0" fontId="35" fillId="0" borderId="80" xfId="0" applyFont="1" applyBorder="1" applyProtection="1"/>
    <xf numFmtId="0" fontId="35" fillId="0" borderId="16" xfId="0" applyFont="1" applyBorder="1" applyProtection="1"/>
    <xf numFmtId="0" fontId="35" fillId="0" borderId="2" xfId="0" applyFont="1" applyBorder="1" applyProtection="1"/>
    <xf numFmtId="0" fontId="35" fillId="0" borderId="1" xfId="0" applyFont="1" applyBorder="1" applyAlignment="1" applyProtection="1">
      <alignment horizontal="center"/>
    </xf>
    <xf numFmtId="0" fontId="35" fillId="0" borderId="0" xfId="0" applyFont="1" applyBorder="1" applyAlignment="1" applyProtection="1">
      <alignment horizontal="center"/>
    </xf>
    <xf numFmtId="174" fontId="35" fillId="0" borderId="74" xfId="0" applyNumberFormat="1" applyFont="1" applyBorder="1" applyAlignment="1" applyProtection="1">
      <alignment horizontal="center"/>
    </xf>
    <xf numFmtId="174" fontId="35" fillId="0" borderId="53" xfId="0" applyNumberFormat="1" applyFont="1" applyBorder="1" applyAlignment="1" applyProtection="1">
      <alignment horizontal="center"/>
    </xf>
    <xf numFmtId="0" fontId="36" fillId="0" borderId="2" xfId="0" applyFont="1" applyBorder="1" applyProtection="1"/>
    <xf numFmtId="0" fontId="35" fillId="0" borderId="2" xfId="0" applyFont="1" applyBorder="1" applyAlignment="1" applyProtection="1">
      <alignment horizontal="center"/>
    </xf>
    <xf numFmtId="0" fontId="37" fillId="0" borderId="74" xfId="0" applyFont="1" applyBorder="1" applyAlignment="1" applyProtection="1">
      <alignment horizontal="center"/>
    </xf>
    <xf numFmtId="0" fontId="37" fillId="0" borderId="53" xfId="0" applyFont="1" applyBorder="1" applyAlignment="1" applyProtection="1">
      <alignment horizontal="center"/>
    </xf>
    <xf numFmtId="0" fontId="47" fillId="0" borderId="2" xfId="0" applyFont="1" applyBorder="1" applyProtection="1"/>
    <xf numFmtId="0" fontId="48" fillId="0" borderId="1" xfId="0" applyFont="1" applyBorder="1" applyAlignment="1" applyProtection="1">
      <alignment horizontal="center"/>
    </xf>
    <xf numFmtId="0" fontId="49" fillId="0" borderId="74" xfId="0" applyFont="1" applyBorder="1" applyAlignment="1" applyProtection="1">
      <alignment horizontal="center"/>
    </xf>
    <xf numFmtId="0" fontId="49" fillId="0" borderId="53" xfId="0" applyFont="1" applyBorder="1" applyAlignment="1" applyProtection="1">
      <alignment horizontal="center"/>
    </xf>
    <xf numFmtId="0" fontId="50" fillId="0" borderId="0" xfId="0" applyFont="1" applyProtection="1"/>
    <xf numFmtId="0" fontId="35" fillId="0" borderId="3" xfId="0" applyFont="1" applyBorder="1" applyProtection="1"/>
    <xf numFmtId="0" fontId="35" fillId="0" borderId="4" xfId="0" applyFont="1" applyBorder="1" applyAlignment="1" applyProtection="1">
      <alignment horizontal="center"/>
    </xf>
    <xf numFmtId="0" fontId="35" fillId="0" borderId="5" xfId="0" applyFont="1" applyBorder="1" applyAlignment="1" applyProtection="1">
      <alignment horizontal="center"/>
    </xf>
    <xf numFmtId="0" fontId="35" fillId="0" borderId="70" xfId="0" applyFont="1" applyBorder="1" applyAlignment="1" applyProtection="1">
      <alignment horizontal="center"/>
    </xf>
    <xf numFmtId="0" fontId="35" fillId="0" borderId="8" xfId="0" applyFont="1" applyBorder="1" applyAlignment="1" applyProtection="1">
      <alignment horizontal="center"/>
    </xf>
    <xf numFmtId="0" fontId="35" fillId="0" borderId="54" xfId="0" applyFont="1" applyBorder="1" applyProtection="1"/>
    <xf numFmtId="0" fontId="35" fillId="0" borderId="70" xfId="0" applyFont="1" applyBorder="1" applyProtection="1"/>
    <xf numFmtId="0" fontId="35" fillId="0" borderId="8" xfId="0" applyFont="1" applyBorder="1" applyProtection="1"/>
    <xf numFmtId="0" fontId="23" fillId="0" borderId="0" xfId="0" applyFont="1" applyAlignment="1" applyProtection="1">
      <alignment horizontal="left"/>
    </xf>
    <xf numFmtId="0" fontId="17" fillId="0" borderId="43" xfId="0" applyFont="1" applyBorder="1" applyAlignment="1" applyProtection="1">
      <alignment horizontal="center"/>
    </xf>
    <xf numFmtId="169" fontId="19" fillId="0" borderId="16" xfId="0" applyNumberFormat="1" applyFont="1" applyBorder="1" applyProtection="1"/>
    <xf numFmtId="169" fontId="19" fillId="13" borderId="16" xfId="0" applyNumberFormat="1" applyFont="1" applyFill="1" applyBorder="1" applyProtection="1"/>
    <xf numFmtId="169" fontId="19" fillId="13" borderId="52" xfId="0" applyNumberFormat="1" applyFont="1" applyFill="1" applyBorder="1" applyProtection="1"/>
    <xf numFmtId="169" fontId="19" fillId="13" borderId="0" xfId="0" applyNumberFormat="1" applyFont="1" applyFill="1" applyBorder="1" applyAlignment="1" applyProtection="1">
      <alignment horizontal="center"/>
    </xf>
    <xf numFmtId="169" fontId="19" fillId="13" borderId="14" xfId="0" applyNumberFormat="1" applyFont="1" applyFill="1" applyBorder="1" applyProtection="1"/>
    <xf numFmtId="14" fontId="17" fillId="12" borderId="13" xfId="0" applyNumberFormat="1" applyFont="1" applyFill="1" applyBorder="1" applyAlignment="1" applyProtection="1">
      <alignment horizontal="center"/>
    </xf>
    <xf numFmtId="14" fontId="17" fillId="12" borderId="14" xfId="0" applyNumberFormat="1" applyFont="1" applyFill="1" applyBorder="1" applyAlignment="1" applyProtection="1">
      <alignment horizontal="center"/>
    </xf>
    <xf numFmtId="14" fontId="17" fillId="12" borderId="2" xfId="0" applyNumberFormat="1" applyFont="1" applyFill="1" applyBorder="1" applyAlignment="1" applyProtection="1">
      <alignment horizontal="center"/>
    </xf>
    <xf numFmtId="14" fontId="17" fillId="13" borderId="13" xfId="0" applyNumberFormat="1" applyFont="1" applyFill="1" applyBorder="1" applyAlignment="1" applyProtection="1">
      <alignment horizontal="center"/>
    </xf>
    <xf numFmtId="14" fontId="17" fillId="13" borderId="53" xfId="0" applyNumberFormat="1" applyFont="1" applyFill="1" applyBorder="1" applyAlignment="1" applyProtection="1">
      <alignment horizontal="center"/>
    </xf>
    <xf numFmtId="14" fontId="17" fillId="13" borderId="0" xfId="0" applyNumberFormat="1" applyFont="1" applyFill="1" applyBorder="1" applyAlignment="1" applyProtection="1">
      <alignment horizontal="center"/>
    </xf>
    <xf numFmtId="14" fontId="17" fillId="13" borderId="14" xfId="0" applyNumberFormat="1" applyFont="1" applyFill="1" applyBorder="1" applyAlignment="1" applyProtection="1">
      <alignment horizontal="center"/>
    </xf>
    <xf numFmtId="0" fontId="19" fillId="12" borderId="13" xfId="0" applyNumberFormat="1" applyFont="1" applyFill="1" applyBorder="1" applyAlignment="1" applyProtection="1">
      <alignment horizontal="center"/>
    </xf>
    <xf numFmtId="0" fontId="19" fillId="12" borderId="14" xfId="0" applyNumberFormat="1" applyFont="1" applyFill="1" applyBorder="1" applyAlignment="1" applyProtection="1">
      <alignment horizontal="center"/>
    </xf>
    <xf numFmtId="0" fontId="19" fillId="12" borderId="2" xfId="0" applyNumberFormat="1" applyFont="1" applyFill="1" applyBorder="1" applyAlignment="1" applyProtection="1">
      <alignment horizontal="center"/>
    </xf>
    <xf numFmtId="169" fontId="19" fillId="13" borderId="13" xfId="0" applyNumberFormat="1" applyFont="1" applyFill="1" applyBorder="1" applyProtection="1"/>
    <xf numFmtId="169" fontId="19" fillId="13" borderId="53" xfId="0" applyNumberFormat="1" applyFont="1" applyFill="1" applyBorder="1" applyProtection="1"/>
    <xf numFmtId="0" fontId="19" fillId="12" borderId="0" xfId="0" applyNumberFormat="1" applyFont="1" applyFill="1" applyBorder="1" applyAlignment="1" applyProtection="1">
      <alignment horizontal="center"/>
    </xf>
    <xf numFmtId="0" fontId="19" fillId="13" borderId="13" xfId="0" applyNumberFormat="1" applyFont="1" applyFill="1" applyBorder="1" applyAlignment="1" applyProtection="1">
      <alignment horizontal="center"/>
    </xf>
    <xf numFmtId="0" fontId="19" fillId="13" borderId="14" xfId="0" applyNumberFormat="1" applyFont="1" applyFill="1" applyBorder="1" applyAlignment="1" applyProtection="1">
      <alignment horizontal="center"/>
    </xf>
    <xf numFmtId="0" fontId="17" fillId="0" borderId="44" xfId="0" quotePrefix="1" applyFont="1" applyBorder="1" applyAlignment="1" applyProtection="1">
      <alignment horizontal="center"/>
    </xf>
    <xf numFmtId="0" fontId="17" fillId="12" borderId="13" xfId="0" applyNumberFormat="1" applyFont="1" applyFill="1" applyBorder="1" applyAlignment="1" applyProtection="1">
      <alignment horizontal="center"/>
    </xf>
    <xf numFmtId="0" fontId="17" fillId="12" borderId="14" xfId="0" applyNumberFormat="1" applyFont="1" applyFill="1" applyBorder="1" applyAlignment="1" applyProtection="1">
      <alignment horizontal="center"/>
    </xf>
    <xf numFmtId="0" fontId="17" fillId="12" borderId="2" xfId="0" applyNumberFormat="1" applyFont="1" applyFill="1" applyBorder="1" applyAlignment="1" applyProtection="1">
      <alignment horizontal="center"/>
    </xf>
    <xf numFmtId="169" fontId="19" fillId="13" borderId="13" xfId="0" applyNumberFormat="1" applyFont="1" applyFill="1" applyBorder="1" applyAlignment="1" applyProtection="1">
      <alignment horizontal="center"/>
    </xf>
    <xf numFmtId="169" fontId="19" fillId="13" borderId="53" xfId="0" applyNumberFormat="1" applyFont="1" applyFill="1" applyBorder="1" applyAlignment="1" applyProtection="1">
      <alignment horizontal="center"/>
    </xf>
    <xf numFmtId="0" fontId="17" fillId="12" borderId="0" xfId="0" applyNumberFormat="1" applyFont="1" applyFill="1" applyBorder="1" applyAlignment="1" applyProtection="1">
      <alignment horizontal="center"/>
    </xf>
    <xf numFmtId="169" fontId="17" fillId="13" borderId="13" xfId="0" applyNumberFormat="1" applyFont="1" applyFill="1" applyBorder="1" applyAlignment="1" applyProtection="1">
      <alignment horizontal="center"/>
    </xf>
    <xf numFmtId="169" fontId="17" fillId="13" borderId="53" xfId="0" applyNumberFormat="1" applyFont="1" applyFill="1" applyBorder="1" applyAlignment="1" applyProtection="1">
      <alignment horizontal="center"/>
    </xf>
    <xf numFmtId="0" fontId="17" fillId="13" borderId="13" xfId="0" applyNumberFormat="1" applyFont="1" applyFill="1" applyBorder="1" applyAlignment="1" applyProtection="1">
      <alignment horizontal="center"/>
    </xf>
    <xf numFmtId="0" fontId="17" fillId="13" borderId="14" xfId="0" applyNumberFormat="1" applyFont="1" applyFill="1" applyBorder="1" applyAlignment="1" applyProtection="1">
      <alignment horizontal="center"/>
    </xf>
    <xf numFmtId="0" fontId="17" fillId="12" borderId="53" xfId="0" applyNumberFormat="1" applyFont="1" applyFill="1" applyBorder="1" applyAlignment="1" applyProtection="1">
      <alignment horizontal="center"/>
    </xf>
    <xf numFmtId="175" fontId="19" fillId="12" borderId="13" xfId="0" applyNumberFormat="1" applyFont="1" applyFill="1" applyBorder="1" applyAlignment="1" applyProtection="1"/>
    <xf numFmtId="175" fontId="19" fillId="12" borderId="13" xfId="1" applyNumberFormat="1" applyFont="1" applyFill="1" applyBorder="1" applyAlignment="1" applyProtection="1"/>
    <xf numFmtId="175" fontId="19" fillId="12" borderId="14" xfId="1" applyNumberFormat="1" applyFont="1" applyFill="1" applyBorder="1" applyAlignment="1" applyProtection="1"/>
    <xf numFmtId="175" fontId="17" fillId="12" borderId="2" xfId="1" applyNumberFormat="1" applyFont="1" applyFill="1" applyBorder="1" applyAlignment="1" applyProtection="1"/>
    <xf numFmtId="175" fontId="19" fillId="12" borderId="53" xfId="0" applyNumberFormat="1" applyFont="1" applyFill="1" applyBorder="1" applyAlignment="1" applyProtection="1"/>
    <xf numFmtId="175" fontId="17" fillId="12" borderId="0" xfId="1" applyNumberFormat="1" applyFont="1" applyFill="1" applyBorder="1" applyAlignment="1" applyProtection="1"/>
    <xf numFmtId="175" fontId="19" fillId="12" borderId="14" xfId="0" applyNumberFormat="1" applyFont="1" applyFill="1" applyBorder="1" applyAlignment="1" applyProtection="1"/>
    <xf numFmtId="175" fontId="17" fillId="12" borderId="13" xfId="0" applyNumberFormat="1" applyFont="1" applyFill="1" applyBorder="1" applyAlignment="1" applyProtection="1"/>
    <xf numFmtId="175" fontId="17" fillId="12" borderId="13" xfId="1" applyNumberFormat="1" applyFont="1" applyFill="1" applyBorder="1" applyAlignment="1" applyProtection="1"/>
    <xf numFmtId="175" fontId="17" fillId="12" borderId="14" xfId="1" applyNumberFormat="1" applyFont="1" applyFill="1" applyBorder="1" applyAlignment="1" applyProtection="1"/>
    <xf numFmtId="175" fontId="17" fillId="12" borderId="53" xfId="0" applyNumberFormat="1" applyFont="1" applyFill="1" applyBorder="1" applyAlignment="1" applyProtection="1"/>
    <xf numFmtId="175" fontId="17" fillId="12" borderId="14" xfId="0" applyNumberFormat="1" applyFont="1" applyFill="1" applyBorder="1" applyAlignment="1" applyProtection="1"/>
    <xf numFmtId="0" fontId="17" fillId="0" borderId="44" xfId="0" quotePrefix="1" applyFont="1" applyFill="1" applyBorder="1" applyAlignment="1" applyProtection="1">
      <alignment horizontal="center"/>
    </xf>
    <xf numFmtId="175" fontId="17" fillId="13" borderId="13" xfId="0" applyNumberFormat="1" applyFont="1" applyFill="1" applyBorder="1" applyAlignment="1" applyProtection="1"/>
    <xf numFmtId="175" fontId="17" fillId="13" borderId="14" xfId="0" applyNumberFormat="1" applyFont="1" applyFill="1" applyBorder="1" applyAlignment="1" applyProtection="1"/>
    <xf numFmtId="175" fontId="17" fillId="12" borderId="53" xfId="1" applyNumberFormat="1" applyFont="1" applyFill="1" applyBorder="1" applyAlignment="1" applyProtection="1"/>
    <xf numFmtId="173" fontId="17" fillId="12" borderId="13" xfId="1" applyNumberFormat="1" applyFont="1" applyFill="1" applyBorder="1" applyProtection="1"/>
    <xf numFmtId="173" fontId="17" fillId="12" borderId="14" xfId="1" applyNumberFormat="1" applyFont="1" applyFill="1" applyBorder="1" applyProtection="1"/>
    <xf numFmtId="173" fontId="17" fillId="12" borderId="2" xfId="1" applyNumberFormat="1" applyFont="1" applyFill="1" applyBorder="1" applyProtection="1"/>
    <xf numFmtId="173" fontId="17" fillId="12" borderId="53" xfId="1" applyNumberFormat="1" applyFont="1" applyFill="1" applyBorder="1" applyProtection="1"/>
    <xf numFmtId="173" fontId="17" fillId="12" borderId="0" xfId="1" applyNumberFormat="1" applyFont="1" applyFill="1" applyBorder="1" applyProtection="1"/>
    <xf numFmtId="173" fontId="17" fillId="12" borderId="13" xfId="0" applyNumberFormat="1" applyFont="1" applyFill="1" applyBorder="1" applyProtection="1"/>
    <xf numFmtId="173" fontId="17" fillId="12" borderId="14" xfId="0" applyNumberFormat="1" applyFont="1" applyFill="1" applyBorder="1" applyProtection="1"/>
    <xf numFmtId="165" fontId="17" fillId="0" borderId="13" xfId="1" applyNumberFormat="1" applyFont="1" applyFill="1" applyBorder="1" applyProtection="1"/>
    <xf numFmtId="165" fontId="17" fillId="0" borderId="14" xfId="1" applyNumberFormat="1" applyFont="1" applyFill="1" applyBorder="1" applyProtection="1"/>
    <xf numFmtId="165" fontId="17" fillId="0" borderId="2" xfId="1" applyNumberFormat="1" applyFont="1" applyFill="1" applyBorder="1" applyProtection="1"/>
    <xf numFmtId="165" fontId="17" fillId="0" borderId="53" xfId="1" applyNumberFormat="1" applyFont="1" applyFill="1" applyBorder="1" applyProtection="1"/>
    <xf numFmtId="165" fontId="17" fillId="0" borderId="0" xfId="1" applyNumberFormat="1" applyFont="1" applyFill="1" applyBorder="1" applyProtection="1"/>
    <xf numFmtId="169" fontId="17" fillId="0" borderId="13" xfId="0" applyNumberFormat="1" applyFont="1" applyFill="1" applyBorder="1" applyProtection="1"/>
    <xf numFmtId="173" fontId="19" fillId="0" borderId="21" xfId="1" applyNumberFormat="1" applyFont="1" applyFill="1" applyBorder="1" applyProtection="1"/>
    <xf numFmtId="173" fontId="19" fillId="0" borderId="26" xfId="1" applyNumberFormat="1" applyFont="1" applyFill="1" applyBorder="1" applyProtection="1"/>
    <xf numFmtId="173" fontId="19" fillId="0" borderId="27" xfId="1" applyNumberFormat="1" applyFont="1" applyFill="1" applyBorder="1" applyProtection="1"/>
    <xf numFmtId="173" fontId="19" fillId="0" borderId="58" xfId="1" applyNumberFormat="1" applyFont="1" applyFill="1" applyBorder="1" applyProtection="1"/>
    <xf numFmtId="173" fontId="19" fillId="0" borderId="25" xfId="1" applyNumberFormat="1" applyFont="1" applyFill="1" applyBorder="1" applyProtection="1"/>
    <xf numFmtId="173" fontId="19" fillId="0" borderId="21" xfId="0" applyNumberFormat="1" applyFont="1" applyFill="1" applyBorder="1" applyProtection="1"/>
    <xf numFmtId="173" fontId="19" fillId="0" borderId="26" xfId="0" applyNumberFormat="1" applyFont="1" applyFill="1" applyBorder="1" applyProtection="1"/>
    <xf numFmtId="173" fontId="17" fillId="12" borderId="2" xfId="0" applyNumberFormat="1" applyFont="1" applyFill="1" applyBorder="1" applyProtection="1"/>
    <xf numFmtId="173" fontId="17" fillId="12" borderId="53" xfId="0" applyNumberFormat="1" applyFont="1" applyFill="1" applyBorder="1" applyProtection="1"/>
    <xf numFmtId="173" fontId="17" fillId="12" borderId="0" xfId="0" applyNumberFormat="1" applyFont="1" applyFill="1" applyBorder="1" applyProtection="1"/>
    <xf numFmtId="173" fontId="19" fillId="12" borderId="13" xfId="0" applyNumberFormat="1" applyFont="1" applyFill="1" applyBorder="1" applyProtection="1"/>
    <xf numFmtId="173" fontId="19" fillId="12" borderId="14" xfId="0" applyNumberFormat="1" applyFont="1" applyFill="1" applyBorder="1" applyProtection="1"/>
    <xf numFmtId="164" fontId="17" fillId="12" borderId="13" xfId="1" applyFont="1" applyFill="1" applyBorder="1" applyProtection="1"/>
    <xf numFmtId="164" fontId="17" fillId="12" borderId="2" xfId="1" applyFont="1" applyFill="1" applyBorder="1" applyProtection="1"/>
    <xf numFmtId="164" fontId="17" fillId="12" borderId="53" xfId="1" applyFont="1" applyFill="1" applyBorder="1" applyProtection="1"/>
    <xf numFmtId="164" fontId="17" fillId="12" borderId="0" xfId="1" applyFont="1" applyFill="1" applyBorder="1" applyProtection="1"/>
    <xf numFmtId="0" fontId="21" fillId="0" borderId="27" xfId="0" applyFont="1" applyBorder="1" applyProtection="1"/>
    <xf numFmtId="0" fontId="17" fillId="0" borderId="59" xfId="0" applyFont="1" applyBorder="1" applyAlignment="1" applyProtection="1">
      <alignment horizontal="center"/>
    </xf>
    <xf numFmtId="169" fontId="17" fillId="0" borderId="21" xfId="0" applyNumberFormat="1" applyFont="1" applyFill="1" applyBorder="1" applyProtection="1"/>
    <xf numFmtId="169" fontId="17" fillId="0" borderId="26" xfId="0" applyNumberFormat="1" applyFont="1" applyFill="1" applyBorder="1" applyProtection="1"/>
    <xf numFmtId="169" fontId="17" fillId="0" borderId="27" xfId="0" applyNumberFormat="1" applyFont="1" applyFill="1" applyBorder="1" applyProtection="1"/>
    <xf numFmtId="169" fontId="17" fillId="0" borderId="58" xfId="0" applyNumberFormat="1" applyFont="1" applyFill="1" applyBorder="1" applyProtection="1"/>
    <xf numFmtId="169" fontId="17" fillId="0" borderId="25" xfId="0" applyNumberFormat="1" applyFont="1" applyFill="1" applyBorder="1" applyProtection="1"/>
    <xf numFmtId="0" fontId="17" fillId="12" borderId="14" xfId="1" applyNumberFormat="1" applyFont="1" applyFill="1" applyBorder="1" applyAlignment="1" applyProtection="1">
      <alignment horizontal="center"/>
    </xf>
    <xf numFmtId="0" fontId="17" fillId="12" borderId="2" xfId="1" applyNumberFormat="1" applyFont="1" applyFill="1" applyBorder="1" applyAlignment="1" applyProtection="1">
      <alignment horizontal="center"/>
    </xf>
    <xf numFmtId="164" fontId="17" fillId="13" borderId="13" xfId="1" applyFont="1" applyFill="1" applyBorder="1" applyAlignment="1" applyProtection="1">
      <alignment horizontal="center"/>
    </xf>
    <xf numFmtId="164" fontId="17" fillId="13" borderId="53" xfId="1" applyFont="1" applyFill="1" applyBorder="1" applyAlignment="1" applyProtection="1">
      <alignment horizontal="center"/>
    </xf>
    <xf numFmtId="0" fontId="17" fillId="12" borderId="0" xfId="1" applyNumberFormat="1" applyFont="1" applyFill="1" applyBorder="1" applyAlignment="1" applyProtection="1">
      <alignment horizontal="center"/>
    </xf>
    <xf numFmtId="164" fontId="17" fillId="13" borderId="14" xfId="1" applyFont="1" applyFill="1" applyBorder="1" applyAlignment="1" applyProtection="1">
      <alignment horizontal="center"/>
    </xf>
    <xf numFmtId="169" fontId="17" fillId="13" borderId="13" xfId="0" applyNumberFormat="1" applyFont="1" applyFill="1" applyBorder="1" applyProtection="1"/>
    <xf numFmtId="169" fontId="17" fillId="13" borderId="53" xfId="0" applyNumberFormat="1" applyFont="1" applyFill="1" applyBorder="1" applyProtection="1"/>
    <xf numFmtId="169" fontId="17" fillId="13" borderId="14" xfId="0" applyNumberFormat="1" applyFont="1" applyFill="1" applyBorder="1" applyProtection="1"/>
    <xf numFmtId="171" fontId="17" fillId="12" borderId="13" xfId="0" applyNumberFormat="1" applyFont="1" applyFill="1" applyBorder="1" applyAlignment="1" applyProtection="1">
      <alignment horizontal="center"/>
    </xf>
    <xf numFmtId="171" fontId="17" fillId="12" borderId="14" xfId="0" applyNumberFormat="1" applyFont="1" applyFill="1" applyBorder="1" applyAlignment="1" applyProtection="1">
      <alignment horizontal="center"/>
    </xf>
    <xf numFmtId="171" fontId="17" fillId="12" borderId="2" xfId="0" applyNumberFormat="1" applyFont="1" applyFill="1" applyBorder="1" applyAlignment="1" applyProtection="1">
      <alignment horizontal="center"/>
    </xf>
    <xf numFmtId="171" fontId="17" fillId="12" borderId="0" xfId="0" applyNumberFormat="1" applyFont="1" applyFill="1" applyBorder="1" applyAlignment="1" applyProtection="1">
      <alignment horizontal="center"/>
    </xf>
    <xf numFmtId="169" fontId="17" fillId="0" borderId="2" xfId="0" applyNumberFormat="1" applyFont="1" applyFill="1" applyBorder="1" applyProtection="1"/>
    <xf numFmtId="171" fontId="17" fillId="12" borderId="13" xfId="7" applyNumberFormat="1" applyFont="1" applyFill="1" applyBorder="1" applyAlignment="1" applyProtection="1">
      <alignment horizontal="center"/>
    </xf>
    <xf numFmtId="171" fontId="17" fillId="12" borderId="14" xfId="7" applyNumberFormat="1" applyFont="1" applyFill="1" applyBorder="1" applyAlignment="1" applyProtection="1">
      <alignment horizontal="center"/>
    </xf>
    <xf numFmtId="171" fontId="17" fillId="12" borderId="2" xfId="7" applyNumberFormat="1" applyFont="1" applyFill="1" applyBorder="1" applyAlignment="1" applyProtection="1">
      <alignment horizontal="center"/>
    </xf>
    <xf numFmtId="171" fontId="17" fillId="12" borderId="53" xfId="7" applyNumberFormat="1" applyFont="1" applyFill="1" applyBorder="1" applyAlignment="1" applyProtection="1">
      <alignment horizontal="center"/>
    </xf>
    <xf numFmtId="174" fontId="17" fillId="12" borderId="13" xfId="7" applyNumberFormat="1" applyFont="1" applyFill="1" applyBorder="1" applyAlignment="1" applyProtection="1">
      <alignment horizontal="center"/>
    </xf>
    <xf numFmtId="174" fontId="17" fillId="12" borderId="14" xfId="7" applyNumberFormat="1" applyFont="1" applyFill="1" applyBorder="1" applyAlignment="1" applyProtection="1">
      <alignment horizontal="center"/>
    </xf>
    <xf numFmtId="174" fontId="17" fillId="12" borderId="2" xfId="7" applyNumberFormat="1" applyFont="1" applyFill="1" applyBorder="1" applyAlignment="1" applyProtection="1">
      <alignment horizontal="center"/>
    </xf>
    <xf numFmtId="174" fontId="17" fillId="12" borderId="53" xfId="7" applyNumberFormat="1" applyFont="1" applyFill="1" applyBorder="1" applyAlignment="1" applyProtection="1">
      <alignment horizontal="center"/>
    </xf>
    <xf numFmtId="174" fontId="17" fillId="12" borderId="0" xfId="7" applyNumberFormat="1" applyFont="1" applyFill="1" applyBorder="1" applyAlignment="1" applyProtection="1">
      <alignment horizontal="center"/>
    </xf>
    <xf numFmtId="174" fontId="17" fillId="12" borderId="21" xfId="7" applyNumberFormat="1" applyFont="1" applyFill="1" applyBorder="1" applyAlignment="1" applyProtection="1">
      <alignment horizontal="center"/>
    </xf>
    <xf numFmtId="174" fontId="17" fillId="12" borderId="26" xfId="7" applyNumberFormat="1" applyFont="1" applyFill="1" applyBorder="1" applyAlignment="1" applyProtection="1">
      <alignment horizontal="center"/>
    </xf>
    <xf numFmtId="174" fontId="17" fillId="12" borderId="27" xfId="7" applyNumberFormat="1" applyFont="1" applyFill="1" applyBorder="1" applyAlignment="1" applyProtection="1">
      <alignment horizontal="center"/>
    </xf>
    <xf numFmtId="174" fontId="17" fillId="12" borderId="58" xfId="7" applyNumberFormat="1" applyFont="1" applyFill="1" applyBorder="1" applyAlignment="1" applyProtection="1">
      <alignment horizontal="center"/>
    </xf>
    <xf numFmtId="174" fontId="17" fillId="12" borderId="25" xfId="7" applyNumberFormat="1" applyFont="1" applyFill="1" applyBorder="1" applyAlignment="1" applyProtection="1">
      <alignment horizontal="center"/>
    </xf>
    <xf numFmtId="174" fontId="17" fillId="12" borderId="21" xfId="0" applyNumberFormat="1" applyFont="1" applyFill="1" applyBorder="1" applyProtection="1"/>
    <xf numFmtId="174" fontId="17" fillId="12" borderId="26" xfId="0" applyNumberFormat="1" applyFont="1" applyFill="1" applyBorder="1" applyProtection="1"/>
    <xf numFmtId="174" fontId="17" fillId="12" borderId="48" xfId="7" applyNumberFormat="1" applyFont="1" applyFill="1" applyBorder="1" applyAlignment="1" applyProtection="1">
      <alignment horizontal="center"/>
    </xf>
    <xf numFmtId="174" fontId="17" fillId="12" borderId="49" xfId="7" applyNumberFormat="1" applyFont="1" applyFill="1" applyBorder="1" applyAlignment="1" applyProtection="1">
      <alignment horizontal="center"/>
    </xf>
    <xf numFmtId="174" fontId="17" fillId="12" borderId="45" xfId="7" applyNumberFormat="1" applyFont="1" applyFill="1" applyBorder="1" applyAlignment="1" applyProtection="1">
      <alignment horizontal="center"/>
    </xf>
    <xf numFmtId="174" fontId="17" fillId="12" borderId="72" xfId="7" applyNumberFormat="1" applyFont="1" applyFill="1" applyBorder="1" applyAlignment="1" applyProtection="1">
      <alignment horizontal="center"/>
    </xf>
    <xf numFmtId="174" fontId="17" fillId="12" borderId="50" xfId="7" applyNumberFormat="1" applyFont="1" applyFill="1" applyBorder="1" applyAlignment="1" applyProtection="1">
      <alignment horizontal="center"/>
    </xf>
    <xf numFmtId="0" fontId="17" fillId="0" borderId="55" xfId="0" applyFont="1" applyBorder="1" applyAlignment="1" applyProtection="1">
      <alignment horizontal="center"/>
    </xf>
    <xf numFmtId="169" fontId="17" fillId="0" borderId="8" xfId="0" applyNumberFormat="1" applyFont="1" applyBorder="1" applyProtection="1"/>
    <xf numFmtId="169" fontId="17" fillId="0" borderId="15" xfId="0" applyNumberFormat="1" applyFont="1" applyBorder="1" applyProtection="1"/>
    <xf numFmtId="169" fontId="17" fillId="0" borderId="3" xfId="0" applyNumberFormat="1" applyFont="1" applyBorder="1" applyProtection="1"/>
    <xf numFmtId="169" fontId="17" fillId="0" borderId="8" xfId="0" applyNumberFormat="1" applyFont="1" applyFill="1" applyBorder="1" applyProtection="1"/>
    <xf numFmtId="169" fontId="17" fillId="0" borderId="54" xfId="0" applyNumberFormat="1" applyFont="1" applyFill="1" applyBorder="1" applyProtection="1"/>
    <xf numFmtId="169" fontId="17" fillId="0" borderId="5" xfId="0" applyNumberFormat="1" applyFont="1" applyBorder="1" applyProtection="1"/>
    <xf numFmtId="0" fontId="14" fillId="0" borderId="5" xfId="0" applyNumberFormat="1" applyFont="1" applyFill="1" applyBorder="1" applyAlignment="1" applyProtection="1">
      <alignment horizontal="left"/>
    </xf>
    <xf numFmtId="0" fontId="19" fillId="0" borderId="60" xfId="0" applyFont="1" applyFill="1" applyBorder="1" applyAlignment="1" applyProtection="1">
      <alignment horizontal="center" vertical="center"/>
    </xf>
    <xf numFmtId="0" fontId="19" fillId="0" borderId="51" xfId="0" applyNumberFormat="1" applyFont="1" applyFill="1" applyBorder="1" applyAlignment="1" applyProtection="1">
      <alignment horizontal="center" vertical="center"/>
    </xf>
    <xf numFmtId="0" fontId="19" fillId="0" borderId="51" xfId="0" applyFont="1" applyFill="1" applyBorder="1" applyAlignment="1" applyProtection="1">
      <alignment horizontal="center" vertical="top" wrapText="1"/>
    </xf>
    <xf numFmtId="0" fontId="19" fillId="0" borderId="61" xfId="0" applyFont="1" applyFill="1" applyBorder="1" applyAlignment="1" applyProtection="1">
      <alignment horizontal="center" vertical="top" wrapText="1"/>
    </xf>
    <xf numFmtId="169" fontId="19" fillId="0" borderId="13" xfId="0" applyNumberFormat="1" applyFont="1" applyFill="1" applyBorder="1" applyProtection="1"/>
    <xf numFmtId="169" fontId="19" fillId="0" borderId="53" xfId="0" applyNumberFormat="1" applyFont="1" applyFill="1" applyBorder="1" applyProtection="1"/>
    <xf numFmtId="175" fontId="17" fillId="12" borderId="53" xfId="1" applyNumberFormat="1" applyFont="1" applyFill="1" applyBorder="1" applyProtection="1"/>
    <xf numFmtId="175" fontId="17" fillId="12" borderId="53" xfId="0" applyNumberFormat="1" applyFont="1" applyFill="1" applyBorder="1" applyProtection="1"/>
    <xf numFmtId="0" fontId="17" fillId="12" borderId="13" xfId="1" applyNumberFormat="1" applyFont="1" applyFill="1" applyBorder="1" applyAlignment="1" applyProtection="1">
      <alignment horizontal="center"/>
    </xf>
    <xf numFmtId="0" fontId="17" fillId="12" borderId="53" xfId="1" applyNumberFormat="1" applyFont="1" applyFill="1" applyBorder="1" applyAlignment="1" applyProtection="1">
      <alignment horizontal="center"/>
    </xf>
    <xf numFmtId="0" fontId="17" fillId="0" borderId="13" xfId="0" quotePrefix="1" applyNumberFormat="1" applyFont="1" applyBorder="1" applyAlignment="1" applyProtection="1">
      <alignment horizontal="center"/>
    </xf>
    <xf numFmtId="173" fontId="17" fillId="0" borderId="21" xfId="1" applyNumberFormat="1" applyFont="1" applyFill="1" applyBorder="1" applyProtection="1"/>
    <xf numFmtId="173" fontId="17" fillId="0" borderId="58" xfId="1" applyNumberFormat="1" applyFont="1" applyFill="1" applyBorder="1" applyProtection="1"/>
    <xf numFmtId="173" fontId="19" fillId="12" borderId="53" xfId="0" applyNumberFormat="1" applyFont="1" applyFill="1" applyBorder="1" applyProtection="1"/>
    <xf numFmtId="0" fontId="21" fillId="0" borderId="27" xfId="0" applyNumberFormat="1" applyFont="1" applyBorder="1" applyProtection="1"/>
    <xf numFmtId="0" fontId="19" fillId="0" borderId="21" xfId="0" applyNumberFormat="1" applyFont="1" applyBorder="1" applyAlignment="1" applyProtection="1">
      <alignment horizontal="center"/>
    </xf>
    <xf numFmtId="170" fontId="19" fillId="0" borderId="21" xfId="0" applyNumberFormat="1" applyFont="1" applyFill="1" applyBorder="1" applyProtection="1"/>
    <xf numFmtId="170" fontId="19" fillId="0" borderId="58" xfId="0" applyNumberFormat="1" applyFont="1" applyFill="1" applyBorder="1" applyProtection="1"/>
    <xf numFmtId="0" fontId="17" fillId="0" borderId="13" xfId="0" quotePrefix="1" applyNumberFormat="1" applyFont="1" applyFill="1" applyBorder="1" applyAlignment="1" applyProtection="1">
      <alignment horizontal="center"/>
    </xf>
    <xf numFmtId="177" fontId="17" fillId="12" borderId="13" xfId="1" applyNumberFormat="1" applyFont="1" applyFill="1" applyBorder="1" applyProtection="1"/>
    <xf numFmtId="177" fontId="17" fillId="12" borderId="53" xfId="1" applyNumberFormat="1" applyFont="1" applyFill="1" applyBorder="1" applyProtection="1"/>
    <xf numFmtId="174" fontId="17" fillId="0" borderId="22" xfId="0" applyNumberFormat="1" applyFont="1" applyBorder="1" applyProtection="1"/>
    <xf numFmtId="174" fontId="17" fillId="12" borderId="21" xfId="1" applyNumberFormat="1" applyFont="1" applyFill="1" applyBorder="1" applyProtection="1"/>
    <xf numFmtId="174" fontId="17" fillId="12" borderId="58" xfId="1" applyNumberFormat="1" applyFont="1" applyFill="1" applyBorder="1" applyProtection="1"/>
    <xf numFmtId="174" fontId="17" fillId="0" borderId="21" xfId="1" applyNumberFormat="1" applyFont="1" applyFill="1" applyBorder="1" applyProtection="1"/>
    <xf numFmtId="174" fontId="17" fillId="0" borderId="58" xfId="1" applyNumberFormat="1" applyFont="1" applyFill="1" applyBorder="1" applyProtection="1"/>
    <xf numFmtId="0" fontId="17" fillId="0" borderId="3" xfId="0" applyNumberFormat="1" applyFont="1" applyFill="1" applyBorder="1" applyProtection="1"/>
    <xf numFmtId="0" fontId="17" fillId="0" borderId="0" xfId="0" applyNumberFormat="1" applyFont="1" applyBorder="1" applyAlignment="1" applyProtection="1">
      <alignment horizontal="center"/>
    </xf>
    <xf numFmtId="0" fontId="14" fillId="0" borderId="0" xfId="0" applyNumberFormat="1" applyFont="1" applyFill="1" applyBorder="1" applyAlignment="1" applyProtection="1">
      <alignment horizontal="left"/>
    </xf>
    <xf numFmtId="0" fontId="19" fillId="0" borderId="0" xfId="0" applyFont="1" applyFill="1" applyBorder="1" applyAlignment="1" applyProtection="1">
      <alignment horizontal="center" vertical="center"/>
    </xf>
    <xf numFmtId="0" fontId="19" fillId="0" borderId="0" xfId="0" applyNumberFormat="1" applyFont="1" applyFill="1" applyBorder="1" applyAlignment="1" applyProtection="1">
      <alignment horizontal="center" vertical="center"/>
    </xf>
    <xf numFmtId="0" fontId="19" fillId="0" borderId="0" xfId="0" applyFont="1" applyFill="1" applyBorder="1" applyAlignment="1" applyProtection="1">
      <alignment horizontal="center" vertical="top" wrapText="1"/>
    </xf>
    <xf numFmtId="0" fontId="21" fillId="0" borderId="0" xfId="0" applyNumberFormat="1" applyFont="1" applyFill="1" applyBorder="1" applyProtection="1"/>
    <xf numFmtId="175" fontId="17" fillId="0" borderId="0" xfId="1" applyNumberFormat="1" applyFont="1" applyFill="1" applyBorder="1" applyProtection="1"/>
    <xf numFmtId="0" fontId="17" fillId="0" borderId="0" xfId="1" applyNumberFormat="1" applyFont="1" applyFill="1" applyBorder="1" applyAlignment="1" applyProtection="1">
      <alignment horizontal="center"/>
    </xf>
    <xf numFmtId="0" fontId="17" fillId="0" borderId="0" xfId="0" quotePrefix="1" applyNumberFormat="1" applyFont="1" applyFill="1" applyBorder="1" applyAlignment="1" applyProtection="1">
      <alignment horizontal="center"/>
    </xf>
    <xf numFmtId="0" fontId="19" fillId="0" borderId="0" xfId="0" applyNumberFormat="1" applyFont="1" applyFill="1" applyBorder="1" applyAlignment="1" applyProtection="1">
      <alignment horizontal="center"/>
    </xf>
    <xf numFmtId="173" fontId="19" fillId="0" borderId="0" xfId="0" applyNumberFormat="1" applyFont="1" applyFill="1" applyBorder="1" applyProtection="1"/>
    <xf numFmtId="170" fontId="19" fillId="0" borderId="0" xfId="0" applyNumberFormat="1" applyFont="1" applyFill="1" applyBorder="1" applyProtection="1"/>
    <xf numFmtId="177" fontId="17" fillId="0" borderId="0" xfId="1" applyNumberFormat="1" applyFont="1" applyFill="1" applyBorder="1" applyProtection="1"/>
    <xf numFmtId="0" fontId="17" fillId="0" borderId="0" xfId="0" applyNumberFormat="1" applyFont="1" applyAlignment="1" applyProtection="1">
      <alignment horizontal="center"/>
    </xf>
    <xf numFmtId="165" fontId="17" fillId="12" borderId="13" xfId="1" applyNumberFormat="1" applyFont="1" applyFill="1" applyBorder="1" applyAlignment="1" applyProtection="1">
      <alignment vertical="top" wrapText="1"/>
    </xf>
    <xf numFmtId="181" fontId="17" fillId="12" borderId="13" xfId="1" applyNumberFormat="1" applyFont="1" applyFill="1" applyBorder="1" applyAlignment="1" applyProtection="1">
      <alignment vertical="top" wrapText="1"/>
    </xf>
    <xf numFmtId="181" fontId="17" fillId="12" borderId="14" xfId="1" applyNumberFormat="1" applyFont="1" applyFill="1" applyBorder="1" applyAlignment="1" applyProtection="1">
      <alignment vertical="top" wrapText="1"/>
    </xf>
    <xf numFmtId="181" fontId="17" fillId="12" borderId="2" xfId="1" applyNumberFormat="1" applyFont="1" applyFill="1" applyBorder="1" applyAlignment="1" applyProtection="1">
      <alignment vertical="top" wrapText="1"/>
    </xf>
    <xf numFmtId="165" fontId="17" fillId="12" borderId="14" xfId="1" applyNumberFormat="1" applyFont="1" applyFill="1" applyBorder="1" applyAlignment="1" applyProtection="1">
      <alignment vertical="top" wrapText="1"/>
    </xf>
    <xf numFmtId="165" fontId="17" fillId="12" borderId="2" xfId="1" applyNumberFormat="1" applyFont="1" applyFill="1" applyBorder="1" applyAlignment="1" applyProtection="1">
      <alignment vertical="top" wrapText="1"/>
    </xf>
    <xf numFmtId="0" fontId="24" fillId="0" borderId="0" xfId="0" applyNumberFormat="1" applyFont="1" applyFill="1" applyBorder="1" applyProtection="1"/>
    <xf numFmtId="0" fontId="17" fillId="0" borderId="0" xfId="1" applyNumberFormat="1" applyFont="1" applyFill="1" applyBorder="1" applyProtection="1"/>
    <xf numFmtId="0" fontId="19" fillId="0" borderId="0" xfId="0" applyNumberFormat="1" applyFont="1" applyFill="1" applyBorder="1" applyAlignment="1" applyProtection="1">
      <alignment horizontal="centerContinuous" vertical="center" wrapText="1"/>
    </xf>
    <xf numFmtId="0" fontId="19" fillId="0" borderId="0" xfId="0" applyNumberFormat="1" applyFont="1" applyFill="1" applyBorder="1" applyAlignment="1" applyProtection="1">
      <alignment horizontal="center" vertical="center" wrapText="1"/>
    </xf>
    <xf numFmtId="0" fontId="17" fillId="0" borderId="0" xfId="1" applyNumberFormat="1" applyFont="1" applyFill="1" applyBorder="1" applyAlignment="1" applyProtection="1">
      <alignment vertical="top" wrapText="1"/>
    </xf>
    <xf numFmtId="0" fontId="22" fillId="0" borderId="0" xfId="1" applyNumberFormat="1" applyFont="1" applyFill="1" applyBorder="1" applyAlignment="1" applyProtection="1">
      <alignment vertical="top" wrapText="1"/>
    </xf>
    <xf numFmtId="0" fontId="17" fillId="0" borderId="0" xfId="7" applyNumberFormat="1" applyFont="1" applyFill="1" applyBorder="1" applyAlignment="1" applyProtection="1">
      <alignment horizontal="center"/>
    </xf>
    <xf numFmtId="0" fontId="22" fillId="12" borderId="13" xfId="1" applyNumberFormat="1" applyFont="1" applyFill="1" applyBorder="1" applyAlignment="1" applyProtection="1">
      <alignment vertical="top" wrapText="1"/>
    </xf>
    <xf numFmtId="0" fontId="22" fillId="0" borderId="8" xfId="1" applyNumberFormat="1" applyFont="1" applyFill="1" applyBorder="1" applyAlignment="1" applyProtection="1">
      <alignment vertical="top" wrapText="1"/>
    </xf>
    <xf numFmtId="0" fontId="19" fillId="0" borderId="0" xfId="0" applyFont="1" applyFill="1" applyBorder="1" applyAlignment="1" applyProtection="1">
      <alignment horizontal="centerContinuous" vertical="center" wrapText="1"/>
    </xf>
    <xf numFmtId="0" fontId="19" fillId="0" borderId="7" xfId="0" applyFont="1" applyFill="1" applyBorder="1" applyAlignment="1" applyProtection="1">
      <alignment horizontal="centerContinuous" vertical="center" wrapText="1"/>
    </xf>
    <xf numFmtId="0" fontId="19" fillId="0" borderId="10" xfId="0" applyFont="1" applyFill="1" applyBorder="1" applyAlignment="1" applyProtection="1">
      <alignment horizontal="centerContinuous" vertical="center" wrapText="1"/>
    </xf>
    <xf numFmtId="178" fontId="17" fillId="0" borderId="16" xfId="0" applyNumberFormat="1" applyFont="1" applyBorder="1" applyAlignment="1" applyProtection="1">
      <alignment vertical="top" wrapText="1"/>
    </xf>
    <xf numFmtId="178" fontId="17" fillId="0" borderId="17" xfId="0" applyNumberFormat="1" applyFont="1" applyBorder="1" applyAlignment="1" applyProtection="1">
      <alignment vertical="top" wrapText="1"/>
    </xf>
    <xf numFmtId="178" fontId="17" fillId="0" borderId="7" xfId="0" applyNumberFormat="1" applyFont="1" applyBorder="1" applyAlignment="1" applyProtection="1">
      <alignment vertical="top" wrapText="1"/>
    </xf>
    <xf numFmtId="178" fontId="17" fillId="0" borderId="18" xfId="0" applyNumberFormat="1" applyFont="1" applyBorder="1" applyAlignment="1" applyProtection="1">
      <alignment vertical="top" wrapText="1"/>
    </xf>
    <xf numFmtId="179" fontId="17" fillId="0" borderId="6" xfId="0" applyNumberFormat="1" applyFont="1" applyBorder="1" applyAlignment="1" applyProtection="1">
      <alignment vertical="top" wrapText="1"/>
    </xf>
    <xf numFmtId="178" fontId="17" fillId="0" borderId="13" xfId="1" applyNumberFormat="1" applyFont="1" applyBorder="1" applyAlignment="1" applyProtection="1">
      <alignment vertical="top" wrapText="1"/>
    </xf>
    <xf numFmtId="178" fontId="17" fillId="0" borderId="14" xfId="1" applyNumberFormat="1" applyFont="1" applyBorder="1" applyAlignment="1" applyProtection="1">
      <alignment vertical="top" wrapText="1"/>
    </xf>
    <xf numFmtId="178" fontId="17" fillId="0" borderId="2" xfId="1" applyNumberFormat="1" applyFont="1" applyBorder="1" applyAlignment="1" applyProtection="1">
      <alignment vertical="top" wrapText="1"/>
    </xf>
    <xf numFmtId="178" fontId="17" fillId="0" borderId="0" xfId="1" applyNumberFormat="1" applyFont="1" applyBorder="1" applyAlignment="1" applyProtection="1">
      <alignment vertical="top" wrapText="1"/>
    </xf>
    <xf numFmtId="179" fontId="17" fillId="0" borderId="1" xfId="1" applyNumberFormat="1" applyFont="1" applyBorder="1" applyAlignment="1" applyProtection="1">
      <alignment vertical="top" wrapText="1"/>
    </xf>
    <xf numFmtId="178" fontId="17" fillId="12" borderId="13" xfId="1" applyNumberFormat="1" applyFont="1" applyFill="1" applyBorder="1" applyAlignment="1" applyProtection="1">
      <alignment vertical="top" wrapText="1"/>
    </xf>
    <xf numFmtId="178" fontId="17" fillId="12" borderId="14" xfId="1" applyNumberFormat="1" applyFont="1" applyFill="1" applyBorder="1" applyAlignment="1" applyProtection="1">
      <alignment vertical="top" wrapText="1"/>
    </xf>
    <xf numFmtId="178" fontId="17" fillId="12" borderId="2" xfId="1" applyNumberFormat="1" applyFont="1" applyFill="1" applyBorder="1" applyAlignment="1" applyProtection="1">
      <alignment vertical="top" wrapText="1"/>
    </xf>
    <xf numFmtId="178" fontId="17" fillId="12" borderId="0" xfId="1" applyNumberFormat="1" applyFont="1" applyFill="1" applyBorder="1" applyAlignment="1" applyProtection="1">
      <alignment vertical="top" wrapText="1"/>
    </xf>
    <xf numFmtId="179" fontId="17" fillId="12" borderId="1" xfId="7" applyNumberFormat="1" applyFont="1" applyFill="1" applyBorder="1" applyAlignment="1" applyProtection="1">
      <alignment vertical="top" wrapText="1"/>
    </xf>
    <xf numFmtId="0" fontId="19" fillId="0" borderId="2" xfId="0" applyNumberFormat="1" applyFont="1" applyBorder="1" applyAlignment="1" applyProtection="1">
      <alignment horizontal="right" wrapText="1"/>
    </xf>
    <xf numFmtId="178" fontId="19" fillId="0" borderId="21" xfId="1" applyNumberFormat="1" applyFont="1" applyBorder="1" applyAlignment="1" applyProtection="1">
      <alignment vertical="top" wrapText="1"/>
    </xf>
    <xf numFmtId="178" fontId="19" fillId="0" borderId="26" xfId="1" applyNumberFormat="1" applyFont="1" applyBorder="1" applyAlignment="1" applyProtection="1">
      <alignment vertical="top" wrapText="1"/>
    </xf>
    <xf numFmtId="178" fontId="19" fillId="0" borderId="27" xfId="1" applyNumberFormat="1" applyFont="1" applyBorder="1" applyAlignment="1" applyProtection="1">
      <alignment vertical="top" wrapText="1"/>
    </xf>
    <xf numFmtId="178" fontId="19" fillId="0" borderId="25" xfId="1" applyNumberFormat="1" applyFont="1" applyBorder="1" applyAlignment="1" applyProtection="1">
      <alignment vertical="top" wrapText="1"/>
    </xf>
    <xf numFmtId="179" fontId="19" fillId="0" borderId="19" xfId="7" applyNumberFormat="1" applyFont="1" applyBorder="1" applyAlignment="1" applyProtection="1">
      <alignment vertical="top" wrapText="1"/>
    </xf>
    <xf numFmtId="0" fontId="19" fillId="0" borderId="2" xfId="0" applyNumberFormat="1" applyFont="1" applyBorder="1" applyAlignment="1" applyProtection="1">
      <alignment horizontal="left" wrapText="1" indent="1"/>
    </xf>
    <xf numFmtId="179" fontId="19" fillId="0" borderId="13" xfId="1" applyNumberFormat="1" applyFont="1" applyBorder="1" applyAlignment="1" applyProtection="1">
      <alignment vertical="top" wrapText="1"/>
    </xf>
    <xf numFmtId="179" fontId="19" fillId="0" borderId="13" xfId="7" applyNumberFormat="1" applyFont="1" applyBorder="1" applyAlignment="1" applyProtection="1">
      <alignment vertical="top" wrapText="1"/>
    </xf>
    <xf numFmtId="179" fontId="19" fillId="0" borderId="14" xfId="7" applyNumberFormat="1" applyFont="1" applyBorder="1" applyAlignment="1" applyProtection="1">
      <alignment vertical="top" wrapText="1"/>
    </xf>
    <xf numFmtId="179" fontId="19" fillId="0" borderId="2" xfId="7" applyNumberFormat="1" applyFont="1" applyBorder="1" applyAlignment="1" applyProtection="1">
      <alignment vertical="top" wrapText="1"/>
    </xf>
    <xf numFmtId="179" fontId="19" fillId="0" borderId="0" xfId="7" applyNumberFormat="1" applyFont="1" applyBorder="1" applyAlignment="1" applyProtection="1">
      <alignment vertical="top" wrapText="1"/>
    </xf>
    <xf numFmtId="179" fontId="19" fillId="0" borderId="1" xfId="7" applyNumberFormat="1" applyFont="1" applyBorder="1" applyAlignment="1" applyProtection="1">
      <alignment vertical="top" wrapText="1"/>
    </xf>
    <xf numFmtId="164" fontId="17" fillId="0" borderId="13" xfId="1" applyFont="1" applyBorder="1" applyAlignment="1" applyProtection="1">
      <alignment horizontal="center" vertical="top" wrapText="1"/>
    </xf>
    <xf numFmtId="164" fontId="17" fillId="0" borderId="14" xfId="1" applyFont="1" applyBorder="1" applyAlignment="1" applyProtection="1">
      <alignment horizontal="center" vertical="top" wrapText="1"/>
    </xf>
    <xf numFmtId="164" fontId="17" fillId="0" borderId="2" xfId="1" applyFont="1" applyBorder="1" applyAlignment="1" applyProtection="1">
      <alignment horizontal="center" vertical="top" wrapText="1"/>
    </xf>
    <xf numFmtId="164" fontId="17" fillId="0" borderId="0" xfId="1" applyFont="1" applyBorder="1" applyAlignment="1" applyProtection="1">
      <alignment horizontal="center" vertical="top" wrapText="1"/>
    </xf>
    <xf numFmtId="0" fontId="21" fillId="0" borderId="27" xfId="0" applyNumberFormat="1" applyFont="1" applyBorder="1" applyAlignment="1" applyProtection="1">
      <alignment horizontal="left" wrapText="1"/>
    </xf>
    <xf numFmtId="0" fontId="17" fillId="0" borderId="21" xfId="0" applyNumberFormat="1" applyFont="1" applyBorder="1" applyAlignment="1" applyProtection="1">
      <alignment horizontal="center" vertical="top" wrapText="1"/>
    </xf>
    <xf numFmtId="178" fontId="17" fillId="0" borderId="21" xfId="1" applyNumberFormat="1" applyFont="1" applyBorder="1" applyAlignment="1" applyProtection="1">
      <alignment vertical="top" wrapText="1"/>
    </xf>
    <xf numFmtId="178" fontId="17" fillId="0" borderId="26" xfId="1" applyNumberFormat="1" applyFont="1" applyBorder="1" applyAlignment="1" applyProtection="1">
      <alignment vertical="top" wrapText="1"/>
    </xf>
    <xf numFmtId="178" fontId="17" fillId="0" borderId="27" xfId="1" applyNumberFormat="1" applyFont="1" applyBorder="1" applyAlignment="1" applyProtection="1">
      <alignment vertical="top" wrapText="1"/>
    </xf>
    <xf numFmtId="178" fontId="17" fillId="0" borderId="25" xfId="1" applyNumberFormat="1" applyFont="1" applyBorder="1" applyAlignment="1" applyProtection="1">
      <alignment vertical="top" wrapText="1"/>
    </xf>
    <xf numFmtId="179" fontId="17" fillId="0" borderId="19" xfId="1" applyNumberFormat="1" applyFont="1" applyBorder="1" applyAlignment="1" applyProtection="1">
      <alignment vertical="top" wrapText="1"/>
    </xf>
    <xf numFmtId="0" fontId="19" fillId="0" borderId="13" xfId="0" applyNumberFormat="1" applyFont="1" applyBorder="1" applyAlignment="1" applyProtection="1">
      <alignment horizontal="center" vertical="top" wrapText="1"/>
    </xf>
    <xf numFmtId="0" fontId="17" fillId="0" borderId="15" xfId="0" applyFont="1" applyBorder="1" applyAlignment="1" applyProtection="1">
      <alignment horizontal="center" vertical="top" wrapText="1"/>
    </xf>
    <xf numFmtId="0" fontId="17" fillId="0" borderId="3" xfId="0" applyFont="1" applyBorder="1" applyAlignment="1" applyProtection="1">
      <alignment horizontal="center" vertical="top" wrapText="1"/>
    </xf>
    <xf numFmtId="0" fontId="17" fillId="0" borderId="5" xfId="0" applyFont="1" applyBorder="1" applyAlignment="1" applyProtection="1">
      <alignment horizontal="center" vertical="top" wrapText="1"/>
    </xf>
    <xf numFmtId="179" fontId="17" fillId="0" borderId="4" xfId="0" applyNumberFormat="1" applyFont="1" applyBorder="1" applyAlignment="1" applyProtection="1">
      <alignment vertical="top" wrapText="1"/>
    </xf>
    <xf numFmtId="174" fontId="17" fillId="0" borderId="16" xfId="0" applyNumberFormat="1" applyFont="1" applyBorder="1" applyAlignment="1" applyProtection="1"/>
    <xf numFmtId="174" fontId="17" fillId="0" borderId="14" xfId="0" applyNumberFormat="1" applyFont="1" applyBorder="1" applyAlignment="1" applyProtection="1"/>
    <xf numFmtId="174" fontId="17" fillId="0" borderId="2" xfId="0" applyNumberFormat="1" applyFont="1" applyBorder="1" applyAlignment="1" applyProtection="1"/>
    <xf numFmtId="174" fontId="17" fillId="0" borderId="0" xfId="0" applyNumberFormat="1" applyFont="1" applyBorder="1" applyAlignment="1" applyProtection="1"/>
    <xf numFmtId="174" fontId="17" fillId="0" borderId="20" xfId="0" applyNumberFormat="1" applyFont="1" applyBorder="1" applyAlignment="1" applyProtection="1"/>
    <xf numFmtId="174" fontId="17" fillId="12" borderId="13" xfId="0" applyNumberFormat="1" applyFont="1" applyFill="1" applyBorder="1" applyAlignment="1" applyProtection="1"/>
    <xf numFmtId="174" fontId="17" fillId="12" borderId="14" xfId="0" applyNumberFormat="1" applyFont="1" applyFill="1" applyBorder="1" applyAlignment="1" applyProtection="1"/>
    <xf numFmtId="174" fontId="17" fillId="12" borderId="2" xfId="0" applyNumberFormat="1" applyFont="1" applyFill="1" applyBorder="1" applyAlignment="1" applyProtection="1"/>
    <xf numFmtId="174" fontId="17" fillId="12" borderId="0" xfId="0" applyNumberFormat="1" applyFont="1" applyFill="1" applyBorder="1" applyAlignment="1" applyProtection="1"/>
    <xf numFmtId="174" fontId="17" fillId="12" borderId="24" xfId="0" applyNumberFormat="1" applyFont="1" applyFill="1" applyBorder="1" applyAlignment="1" applyProtection="1"/>
    <xf numFmtId="174" fontId="19" fillId="0" borderId="21" xfId="0" applyNumberFormat="1" applyFont="1" applyBorder="1" applyAlignment="1" applyProtection="1"/>
    <xf numFmtId="174" fontId="19" fillId="0" borderId="26" xfId="0" applyNumberFormat="1" applyFont="1" applyBorder="1" applyAlignment="1" applyProtection="1"/>
    <xf numFmtId="174" fontId="19" fillId="0" borderId="27" xfId="0" applyNumberFormat="1" applyFont="1" applyBorder="1" applyAlignment="1" applyProtection="1"/>
    <xf numFmtId="174" fontId="19" fillId="0" borderId="25" xfId="0" applyNumberFormat="1" applyFont="1" applyBorder="1" applyAlignment="1" applyProtection="1"/>
    <xf numFmtId="174" fontId="19" fillId="0" borderId="28" xfId="0" applyNumberFormat="1" applyFont="1" applyBorder="1" applyAlignment="1" applyProtection="1"/>
    <xf numFmtId="174" fontId="17" fillId="0" borderId="13" xfId="0" applyNumberFormat="1" applyFont="1" applyBorder="1" applyAlignment="1" applyProtection="1"/>
    <xf numFmtId="174" fontId="17" fillId="0" borderId="24" xfId="0" applyNumberFormat="1" applyFont="1" applyBorder="1" applyAlignment="1" applyProtection="1"/>
    <xf numFmtId="174" fontId="17" fillId="0" borderId="21" xfId="0" applyNumberFormat="1" applyFont="1" applyBorder="1" applyAlignment="1" applyProtection="1"/>
    <xf numFmtId="174" fontId="17" fillId="0" borderId="26" xfId="0" applyNumberFormat="1" applyFont="1" applyBorder="1" applyAlignment="1" applyProtection="1"/>
    <xf numFmtId="174" fontId="17" fillId="0" borderId="27" xfId="0" applyNumberFormat="1" applyFont="1" applyBorder="1" applyAlignment="1" applyProtection="1"/>
    <xf numFmtId="174" fontId="17" fillId="0" borderId="25" xfId="0" applyNumberFormat="1" applyFont="1" applyBorder="1" applyAlignment="1" applyProtection="1"/>
    <xf numFmtId="174" fontId="17" fillId="0" borderId="28" xfId="0" applyNumberFormat="1" applyFont="1" applyBorder="1" applyAlignment="1" applyProtection="1"/>
    <xf numFmtId="0" fontId="17" fillId="0" borderId="30" xfId="0" applyFont="1" applyBorder="1" applyProtection="1"/>
    <xf numFmtId="174" fontId="19" fillId="0" borderId="30" xfId="0" applyNumberFormat="1" applyFont="1" applyBorder="1" applyAlignment="1" applyProtection="1"/>
    <xf numFmtId="174" fontId="19" fillId="0" borderId="32" xfId="0" applyNumberFormat="1" applyFont="1" applyBorder="1" applyAlignment="1" applyProtection="1"/>
    <xf numFmtId="174" fontId="19" fillId="0" borderId="29" xfId="0" applyNumberFormat="1" applyFont="1" applyBorder="1" applyAlignment="1" applyProtection="1"/>
    <xf numFmtId="174" fontId="19" fillId="0" borderId="31" xfId="0" applyNumberFormat="1" applyFont="1" applyBorder="1" applyAlignment="1" applyProtection="1"/>
    <xf numFmtId="174" fontId="19" fillId="0" borderId="33" xfId="0" applyNumberFormat="1" applyFont="1" applyBorder="1" applyAlignment="1" applyProtection="1"/>
    <xf numFmtId="0" fontId="19" fillId="0" borderId="43" xfId="0" applyFont="1" applyFill="1" applyBorder="1" applyAlignment="1" applyProtection="1">
      <alignment horizontal="center" vertical="center"/>
    </xf>
    <xf numFmtId="0" fontId="19" fillId="0" borderId="43" xfId="0" applyFont="1" applyFill="1" applyBorder="1" applyAlignment="1" applyProtection="1">
      <alignment horizontal="center" vertical="center" wrapText="1"/>
    </xf>
    <xf numFmtId="0" fontId="19" fillId="0" borderId="55" xfId="0" applyFont="1" applyFill="1" applyBorder="1" applyAlignment="1" applyProtection="1">
      <alignment horizontal="center" vertical="center"/>
    </xf>
    <xf numFmtId="0" fontId="19" fillId="0" borderId="55" xfId="0" applyFont="1" applyFill="1" applyBorder="1" applyAlignment="1" applyProtection="1">
      <alignment horizontal="center" vertical="center" wrapText="1"/>
    </xf>
    <xf numFmtId="0" fontId="17" fillId="0" borderId="44" xfId="0" applyNumberFormat="1" applyFont="1" applyFill="1" applyBorder="1" applyAlignment="1" applyProtection="1">
      <alignment horizontal="center"/>
    </xf>
    <xf numFmtId="0" fontId="17" fillId="0" borderId="44" xfId="0" applyNumberFormat="1" applyFont="1" applyBorder="1" applyAlignment="1" applyProtection="1">
      <alignment horizontal="center"/>
    </xf>
    <xf numFmtId="169" fontId="17" fillId="0" borderId="53" xfId="0" applyNumberFormat="1" applyFont="1" applyBorder="1" applyAlignment="1" applyProtection="1">
      <alignment horizontal="center"/>
    </xf>
    <xf numFmtId="169" fontId="17" fillId="0" borderId="24" xfId="0" applyNumberFormat="1" applyFont="1" applyBorder="1" applyAlignment="1" applyProtection="1"/>
    <xf numFmtId="169" fontId="17" fillId="0" borderId="74" xfId="0" applyNumberFormat="1" applyFont="1" applyBorder="1" applyAlignment="1" applyProtection="1"/>
    <xf numFmtId="169" fontId="17" fillId="0" borderId="13" xfId="0" applyNumberFormat="1" applyFont="1" applyBorder="1" applyAlignment="1" applyProtection="1"/>
    <xf numFmtId="169" fontId="17" fillId="0" borderId="53" xfId="0" applyNumberFormat="1" applyFont="1" applyBorder="1" applyAlignment="1" applyProtection="1"/>
    <xf numFmtId="0" fontId="17" fillId="12" borderId="2" xfId="0" applyNumberFormat="1" applyFont="1" applyFill="1" applyBorder="1" applyAlignment="1" applyProtection="1">
      <alignment horizontal="left" indent="1"/>
    </xf>
    <xf numFmtId="0" fontId="17" fillId="12" borderId="44" xfId="0" applyNumberFormat="1" applyFont="1" applyFill="1" applyBorder="1" applyAlignment="1" applyProtection="1">
      <alignment horizontal="center"/>
    </xf>
    <xf numFmtId="180" fontId="17" fillId="12" borderId="53" xfId="0" applyNumberFormat="1" applyFont="1" applyFill="1" applyBorder="1" applyAlignment="1" applyProtection="1">
      <alignment horizontal="center"/>
    </xf>
    <xf numFmtId="174" fontId="17" fillId="12" borderId="74" xfId="0" applyNumberFormat="1" applyFont="1" applyFill="1" applyBorder="1" applyAlignment="1" applyProtection="1"/>
    <xf numFmtId="0" fontId="17" fillId="0" borderId="28" xfId="0" applyNumberFormat="1" applyFont="1" applyBorder="1" applyAlignment="1" applyProtection="1">
      <alignment horizontal="center"/>
    </xf>
    <xf numFmtId="0" fontId="17" fillId="0" borderId="59" xfId="0" applyNumberFormat="1" applyFont="1" applyBorder="1" applyAlignment="1" applyProtection="1">
      <alignment horizontal="center"/>
    </xf>
    <xf numFmtId="180" fontId="17" fillId="0" borderId="58" xfId="0" applyNumberFormat="1" applyFont="1" applyBorder="1" applyAlignment="1" applyProtection="1">
      <alignment horizontal="center"/>
    </xf>
    <xf numFmtId="174" fontId="19" fillId="0" borderId="78" xfId="0" applyNumberFormat="1" applyFont="1" applyBorder="1" applyAlignment="1" applyProtection="1"/>
    <xf numFmtId="174" fontId="19" fillId="0" borderId="58" xfId="0" applyNumberFormat="1" applyFont="1" applyBorder="1" applyAlignment="1" applyProtection="1"/>
    <xf numFmtId="180" fontId="17" fillId="0" borderId="53" xfId="0" applyNumberFormat="1" applyFont="1" applyBorder="1" applyAlignment="1" applyProtection="1">
      <alignment horizontal="center"/>
    </xf>
    <xf numFmtId="174" fontId="17" fillId="0" borderId="74" xfId="0" applyNumberFormat="1" applyFont="1" applyBorder="1" applyAlignment="1" applyProtection="1"/>
    <xf numFmtId="174" fontId="17" fillId="0" borderId="53" xfId="0" applyNumberFormat="1" applyFont="1" applyBorder="1" applyAlignment="1" applyProtection="1"/>
    <xf numFmtId="174" fontId="19" fillId="0" borderId="24" xfId="0" applyNumberFormat="1" applyFont="1" applyBorder="1" applyAlignment="1" applyProtection="1"/>
    <xf numFmtId="174" fontId="19" fillId="0" borderId="74" xfId="0" applyNumberFormat="1" applyFont="1" applyBorder="1" applyAlignment="1" applyProtection="1"/>
    <xf numFmtId="174" fontId="19" fillId="0" borderId="13" xfId="0" applyNumberFormat="1" applyFont="1" applyBorder="1" applyAlignment="1" applyProtection="1"/>
    <xf numFmtId="0" fontId="17" fillId="0" borderId="55" xfId="0" applyNumberFormat="1" applyFont="1" applyFill="1" applyBorder="1" applyAlignment="1" applyProtection="1">
      <alignment horizontal="center"/>
    </xf>
    <xf numFmtId="0" fontId="17" fillId="0" borderId="55" xfId="0" applyNumberFormat="1" applyFont="1" applyBorder="1" applyAlignment="1" applyProtection="1">
      <alignment horizontal="center"/>
    </xf>
    <xf numFmtId="180" fontId="17" fillId="0" borderId="54" xfId="0" applyNumberFormat="1" applyFont="1" applyBorder="1" applyAlignment="1" applyProtection="1">
      <alignment horizontal="center"/>
    </xf>
    <xf numFmtId="174" fontId="19" fillId="0" borderId="76" xfId="0" applyNumberFormat="1" applyFont="1" applyBorder="1" applyAlignment="1" applyProtection="1"/>
    <xf numFmtId="174" fontId="19" fillId="0" borderId="64" xfId="0" applyNumberFormat="1" applyFont="1" applyBorder="1" applyAlignment="1" applyProtection="1"/>
    <xf numFmtId="169" fontId="17" fillId="0" borderId="18" xfId="0" applyNumberFormat="1" applyFont="1" applyBorder="1" applyProtection="1"/>
    <xf numFmtId="0" fontId="22" fillId="0" borderId="0" xfId="0" applyFont="1" applyAlignment="1" applyProtection="1">
      <alignment horizontal="right"/>
    </xf>
    <xf numFmtId="49" fontId="19" fillId="0" borderId="20" xfId="0" applyNumberFormat="1" applyFont="1" applyFill="1" applyBorder="1" applyAlignment="1" applyProtection="1">
      <alignment vertical="center" wrapText="1"/>
    </xf>
    <xf numFmtId="174" fontId="17" fillId="12" borderId="44" xfId="0" applyNumberFormat="1" applyFont="1" applyFill="1" applyBorder="1" applyAlignment="1" applyProtection="1"/>
    <xf numFmtId="174" fontId="17" fillId="12" borderId="53" xfId="0" applyNumberFormat="1" applyFont="1" applyFill="1" applyBorder="1" applyAlignment="1" applyProtection="1"/>
    <xf numFmtId="174" fontId="19" fillId="0" borderId="0" xfId="0" applyNumberFormat="1" applyFont="1" applyBorder="1" applyAlignment="1" applyProtection="1"/>
    <xf numFmtId="174" fontId="19" fillId="0" borderId="2" xfId="0" applyNumberFormat="1" applyFont="1" applyBorder="1" applyAlignment="1" applyProtection="1"/>
    <xf numFmtId="174" fontId="19" fillId="0" borderId="14" xfId="0" applyNumberFormat="1" applyFont="1" applyBorder="1" applyAlignment="1" applyProtection="1"/>
    <xf numFmtId="0" fontId="19" fillId="0" borderId="0" xfId="0" applyNumberFormat="1" applyFont="1" applyBorder="1" applyProtection="1"/>
    <xf numFmtId="0" fontId="19" fillId="0" borderId="18" xfId="0" applyFont="1" applyFill="1" applyBorder="1" applyAlignment="1" applyProtection="1">
      <alignment horizontal="center" vertical="center" wrapText="1"/>
    </xf>
    <xf numFmtId="0" fontId="19" fillId="0" borderId="20" xfId="0" applyFont="1" applyFill="1" applyBorder="1" applyAlignment="1" applyProtection="1">
      <alignment vertical="center"/>
    </xf>
    <xf numFmtId="0" fontId="19" fillId="0" borderId="52" xfId="0" applyFont="1" applyFill="1" applyBorder="1" applyAlignment="1" applyProtection="1">
      <alignment vertical="center"/>
    </xf>
    <xf numFmtId="0" fontId="19" fillId="0" borderId="80" xfId="0" applyFont="1" applyFill="1" applyBorder="1" applyAlignment="1" applyProtection="1">
      <alignment vertical="center" wrapText="1"/>
    </xf>
    <xf numFmtId="0" fontId="19" fillId="0" borderId="16" xfId="0" applyFont="1" applyFill="1" applyBorder="1" applyAlignment="1" applyProtection="1">
      <alignment vertical="center" wrapText="1"/>
    </xf>
    <xf numFmtId="0" fontId="19" fillId="0" borderId="52" xfId="0" applyFont="1" applyFill="1" applyBorder="1" applyAlignment="1" applyProtection="1">
      <alignment vertical="center" wrapText="1"/>
    </xf>
    <xf numFmtId="49" fontId="19" fillId="0" borderId="20" xfId="0" applyNumberFormat="1" applyFont="1" applyFill="1" applyBorder="1" applyAlignment="1" applyProtection="1">
      <alignment horizontal="center" vertical="center" wrapText="1"/>
    </xf>
    <xf numFmtId="174" fontId="19" fillId="0" borderId="16" xfId="0" applyNumberFormat="1" applyFont="1" applyBorder="1" applyAlignment="1" applyProtection="1"/>
    <xf numFmtId="174" fontId="19" fillId="0" borderId="17" xfId="0" applyNumberFormat="1" applyFont="1" applyBorder="1" applyAlignment="1" applyProtection="1"/>
    <xf numFmtId="174" fontId="19" fillId="0" borderId="7" xfId="0" applyNumberFormat="1" applyFont="1" applyBorder="1" applyAlignment="1" applyProtection="1"/>
    <xf numFmtId="174" fontId="19" fillId="0" borderId="18" xfId="0" applyNumberFormat="1" applyFont="1" applyBorder="1" applyAlignment="1" applyProtection="1"/>
    <xf numFmtId="174" fontId="19" fillId="0" borderId="20" xfId="0" applyNumberFormat="1" applyFont="1" applyBorder="1" applyAlignment="1" applyProtection="1"/>
    <xf numFmtId="0" fontId="19" fillId="0" borderId="2" xfId="0" applyNumberFormat="1" applyFont="1" applyBorder="1" applyAlignment="1" applyProtection="1">
      <alignment horizontal="left" indent="1"/>
    </xf>
    <xf numFmtId="174" fontId="17" fillId="12" borderId="21" xfId="0" applyNumberFormat="1" applyFont="1" applyFill="1" applyBorder="1" applyAlignment="1" applyProtection="1"/>
    <xf numFmtId="174" fontId="17" fillId="12" borderId="26" xfId="0" applyNumberFormat="1" applyFont="1" applyFill="1" applyBorder="1" applyAlignment="1" applyProtection="1"/>
    <xf numFmtId="174" fontId="17" fillId="12" borderId="27" xfId="0" applyNumberFormat="1" applyFont="1" applyFill="1" applyBorder="1" applyAlignment="1" applyProtection="1"/>
    <xf numFmtId="174" fontId="17" fillId="12" borderId="25" xfId="0" applyNumberFormat="1" applyFont="1" applyFill="1" applyBorder="1" applyAlignment="1" applyProtection="1"/>
    <xf numFmtId="174" fontId="17" fillId="12" borderId="28" xfId="0" applyNumberFormat="1" applyFont="1" applyFill="1" applyBorder="1" applyAlignment="1" applyProtection="1"/>
    <xf numFmtId="0" fontId="17" fillId="12" borderId="2" xfId="0" applyNumberFormat="1" applyFont="1" applyFill="1" applyBorder="1" applyAlignment="1" applyProtection="1">
      <alignment horizontal="left" indent="2"/>
    </xf>
    <xf numFmtId="174" fontId="17" fillId="12" borderId="48" xfId="0" applyNumberFormat="1" applyFont="1" applyFill="1" applyBorder="1" applyAlignment="1" applyProtection="1"/>
    <xf numFmtId="174" fontId="17" fillId="12" borderId="49" xfId="0" applyNumberFormat="1" applyFont="1" applyFill="1" applyBorder="1" applyAlignment="1" applyProtection="1"/>
    <xf numFmtId="174" fontId="17" fillId="12" borderId="45" xfId="0" applyNumberFormat="1" applyFont="1" applyFill="1" applyBorder="1" applyAlignment="1" applyProtection="1"/>
    <xf numFmtId="174" fontId="17" fillId="12" borderId="50" xfId="0" applyNumberFormat="1" applyFont="1" applyFill="1" applyBorder="1" applyAlignment="1" applyProtection="1"/>
    <xf numFmtId="174" fontId="17" fillId="12" borderId="47" xfId="0" applyNumberFormat="1" applyFont="1" applyFill="1" applyBorder="1" applyAlignment="1" applyProtection="1"/>
    <xf numFmtId="0" fontId="22" fillId="12" borderId="2" xfId="0" applyNumberFormat="1" applyFont="1" applyFill="1" applyBorder="1" applyAlignment="1" applyProtection="1">
      <alignment horizontal="left" indent="2"/>
    </xf>
    <xf numFmtId="0" fontId="19" fillId="0" borderId="39" xfId="0" applyNumberFormat="1" applyFont="1" applyBorder="1" applyAlignment="1" applyProtection="1">
      <alignment vertical="center"/>
    </xf>
    <xf numFmtId="0" fontId="17" fillId="0" borderId="37" xfId="0" applyNumberFormat="1" applyFont="1" applyBorder="1" applyAlignment="1" applyProtection="1">
      <alignment horizontal="center" vertical="center"/>
    </xf>
    <xf numFmtId="174" fontId="19" fillId="0" borderId="37" xfId="0" applyNumberFormat="1" applyFont="1" applyBorder="1" applyAlignment="1" applyProtection="1">
      <alignment vertical="center"/>
    </xf>
    <xf numFmtId="174" fontId="19" fillId="0" borderId="38" xfId="0" applyNumberFormat="1" applyFont="1" applyBorder="1" applyAlignment="1" applyProtection="1">
      <alignment vertical="center"/>
    </xf>
    <xf numFmtId="174" fontId="19" fillId="0" borderId="39" xfId="0" applyNumberFormat="1" applyFont="1" applyBorder="1" applyAlignment="1" applyProtection="1">
      <alignment vertical="center"/>
    </xf>
    <xf numFmtId="174" fontId="19" fillId="0" borderId="36" xfId="0" applyNumberFormat="1" applyFont="1" applyBorder="1" applyAlignment="1" applyProtection="1">
      <alignment vertical="center"/>
    </xf>
    <xf numFmtId="174" fontId="19" fillId="0" borderId="40" xfId="0" applyNumberFormat="1" applyFont="1" applyBorder="1" applyAlignment="1" applyProtection="1">
      <alignment vertical="center"/>
    </xf>
    <xf numFmtId="0" fontId="17" fillId="0" borderId="0" xfId="0" applyFont="1" applyFill="1" applyAlignment="1" applyProtection="1">
      <alignment vertical="center"/>
    </xf>
    <xf numFmtId="0" fontId="17" fillId="0" borderId="0" xfId="0" applyFont="1" applyAlignment="1" applyProtection="1">
      <alignment vertical="center"/>
    </xf>
    <xf numFmtId="0" fontId="19" fillId="0" borderId="2" xfId="0" quotePrefix="1" applyNumberFormat="1" applyFont="1" applyBorder="1" applyAlignment="1" applyProtection="1">
      <alignment horizontal="left" indent="1"/>
    </xf>
    <xf numFmtId="0" fontId="17" fillId="12" borderId="2" xfId="0" applyNumberFormat="1" applyFont="1" applyFill="1" applyBorder="1" applyAlignment="1" applyProtection="1">
      <alignment horizontal="left" wrapText="1" indent="2"/>
    </xf>
    <xf numFmtId="174" fontId="17" fillId="12" borderId="37" xfId="0" applyNumberFormat="1" applyFont="1" applyFill="1" applyBorder="1" applyAlignment="1" applyProtection="1"/>
    <xf numFmtId="174" fontId="17" fillId="12" borderId="38" xfId="0" applyNumberFormat="1" applyFont="1" applyFill="1" applyBorder="1" applyAlignment="1" applyProtection="1"/>
    <xf numFmtId="174" fontId="17" fillId="12" borderId="39" xfId="0" applyNumberFormat="1" applyFont="1" applyFill="1" applyBorder="1" applyAlignment="1" applyProtection="1"/>
    <xf numFmtId="174" fontId="17" fillId="12" borderId="36" xfId="0" applyNumberFormat="1" applyFont="1" applyFill="1" applyBorder="1" applyAlignment="1" applyProtection="1"/>
    <xf numFmtId="174" fontId="17" fillId="12" borderId="40" xfId="0" applyNumberFormat="1" applyFont="1" applyFill="1" applyBorder="1" applyAlignment="1" applyProtection="1"/>
    <xf numFmtId="0" fontId="19" fillId="0" borderId="27" xfId="0" applyNumberFormat="1" applyFont="1" applyBorder="1" applyAlignment="1" applyProtection="1">
      <alignment horizontal="left"/>
    </xf>
    <xf numFmtId="0" fontId="17" fillId="0" borderId="21" xfId="0" applyNumberFormat="1" applyFont="1" applyBorder="1" applyAlignment="1" applyProtection="1">
      <alignment horizontal="center"/>
    </xf>
    <xf numFmtId="0" fontId="19" fillId="0" borderId="29" xfId="0" applyNumberFormat="1" applyFont="1" applyBorder="1" applyAlignment="1" applyProtection="1">
      <alignment vertical="center"/>
    </xf>
    <xf numFmtId="0" fontId="17" fillId="0" borderId="30" xfId="0" applyNumberFormat="1" applyFont="1" applyBorder="1" applyAlignment="1" applyProtection="1">
      <alignment horizontal="center" vertical="center"/>
    </xf>
    <xf numFmtId="174" fontId="19" fillId="0" borderId="30" xfId="0" applyNumberFormat="1" applyFont="1" applyBorder="1" applyAlignment="1" applyProtection="1">
      <alignment vertical="center"/>
    </xf>
    <xf numFmtId="174" fontId="19" fillId="0" borderId="32" xfId="0" applyNumberFormat="1" applyFont="1" applyBorder="1" applyAlignment="1" applyProtection="1">
      <alignment vertical="center"/>
    </xf>
    <xf numFmtId="174" fontId="19" fillId="0" borderId="29" xfId="0" applyNumberFormat="1" applyFont="1" applyBorder="1" applyAlignment="1" applyProtection="1">
      <alignment vertical="center"/>
    </xf>
    <xf numFmtId="174" fontId="19" fillId="0" borderId="31" xfId="0" applyNumberFormat="1" applyFont="1" applyBorder="1" applyAlignment="1" applyProtection="1">
      <alignment vertical="center"/>
    </xf>
    <xf numFmtId="174" fontId="19" fillId="0" borderId="33" xfId="0" applyNumberFormat="1" applyFont="1" applyBorder="1" applyAlignment="1" applyProtection="1">
      <alignment vertical="center"/>
    </xf>
    <xf numFmtId="0" fontId="17" fillId="0" borderId="2" xfId="0" applyNumberFormat="1" applyFont="1" applyBorder="1" applyAlignment="1" applyProtection="1">
      <alignment horizontal="left" indent="2"/>
    </xf>
    <xf numFmtId="0" fontId="19" fillId="0" borderId="68" xfId="0" applyNumberFormat="1" applyFont="1" applyBorder="1" applyAlignment="1" applyProtection="1">
      <alignment horizontal="left"/>
    </xf>
    <xf numFmtId="0" fontId="17" fillId="0" borderId="76" xfId="0" applyNumberFormat="1" applyFont="1" applyBorder="1" applyAlignment="1" applyProtection="1">
      <alignment horizontal="center" vertical="center"/>
    </xf>
    <xf numFmtId="174" fontId="17" fillId="12" borderId="13" xfId="1" applyNumberFormat="1" applyFont="1" applyFill="1" applyBorder="1" applyAlignment="1" applyProtection="1"/>
    <xf numFmtId="174" fontId="17" fillId="12" borderId="0" xfId="1" applyNumberFormat="1" applyFont="1" applyFill="1" applyBorder="1" applyAlignment="1" applyProtection="1"/>
    <xf numFmtId="174" fontId="17" fillId="12" borderId="2" xfId="1" applyNumberFormat="1" applyFont="1" applyFill="1" applyBorder="1" applyAlignment="1" applyProtection="1"/>
    <xf numFmtId="174" fontId="17" fillId="12" borderId="24" xfId="1" applyNumberFormat="1" applyFont="1" applyFill="1" applyBorder="1" applyAlignment="1" applyProtection="1"/>
    <xf numFmtId="174" fontId="17" fillId="12" borderId="14" xfId="1" applyNumberFormat="1" applyFont="1" applyFill="1" applyBorder="1" applyAlignment="1" applyProtection="1"/>
    <xf numFmtId="0" fontId="19" fillId="0" borderId="2" xfId="0" applyNumberFormat="1" applyFont="1" applyBorder="1" applyAlignment="1" applyProtection="1">
      <alignment horizontal="left" indent="2"/>
    </xf>
    <xf numFmtId="174" fontId="19" fillId="0" borderId="37" xfId="1" applyNumberFormat="1" applyFont="1" applyFill="1" applyBorder="1" applyAlignment="1" applyProtection="1"/>
    <xf numFmtId="174" fontId="19" fillId="0" borderId="37" xfId="1" applyNumberFormat="1" applyFont="1" applyBorder="1" applyAlignment="1" applyProtection="1"/>
    <xf numFmtId="174" fontId="19" fillId="0" borderId="38" xfId="1" applyNumberFormat="1" applyFont="1" applyBorder="1" applyAlignment="1" applyProtection="1"/>
    <xf numFmtId="174" fontId="19" fillId="0" borderId="39" xfId="1" applyNumberFormat="1" applyFont="1" applyBorder="1" applyAlignment="1" applyProtection="1"/>
    <xf numFmtId="174" fontId="19" fillId="0" borderId="36" xfId="1" applyNumberFormat="1" applyFont="1" applyBorder="1" applyAlignment="1" applyProtection="1"/>
    <xf numFmtId="174" fontId="19" fillId="0" borderId="40" xfId="1" applyNumberFormat="1" applyFont="1" applyBorder="1" applyAlignment="1" applyProtection="1"/>
    <xf numFmtId="174" fontId="19" fillId="0" borderId="13" xfId="0" applyNumberFormat="1" applyFont="1" applyFill="1" applyBorder="1" applyAlignment="1" applyProtection="1"/>
    <xf numFmtId="0" fontId="17" fillId="0" borderId="2" xfId="0" quotePrefix="1" applyNumberFormat="1" applyFont="1" applyBorder="1" applyAlignment="1" applyProtection="1">
      <alignment horizontal="left" indent="2"/>
    </xf>
    <xf numFmtId="0" fontId="19" fillId="0" borderId="2" xfId="0" quotePrefix="1" applyNumberFormat="1" applyFont="1" applyBorder="1" applyAlignment="1" applyProtection="1">
      <alignment horizontal="left" indent="2"/>
    </xf>
    <xf numFmtId="174" fontId="17" fillId="0" borderId="13" xfId="1" applyNumberFormat="1" applyFont="1" applyFill="1" applyBorder="1" applyAlignment="1" applyProtection="1"/>
    <xf numFmtId="174" fontId="17" fillId="0" borderId="0" xfId="1" applyNumberFormat="1" applyFont="1" applyFill="1" applyBorder="1" applyAlignment="1" applyProtection="1"/>
    <xf numFmtId="174" fontId="17" fillId="0" borderId="2" xfId="1" applyNumberFormat="1" applyFont="1" applyBorder="1" applyAlignment="1" applyProtection="1"/>
    <xf numFmtId="174" fontId="17" fillId="0" borderId="13" xfId="1" applyNumberFormat="1" applyFont="1" applyBorder="1" applyAlignment="1" applyProtection="1"/>
    <xf numFmtId="174" fontId="17" fillId="0" borderId="0" xfId="1" applyNumberFormat="1" applyFont="1" applyBorder="1" applyAlignment="1" applyProtection="1"/>
    <xf numFmtId="174" fontId="17" fillId="0" borderId="24" xfId="1" applyNumberFormat="1" applyFont="1" applyBorder="1" applyAlignment="1" applyProtection="1"/>
    <xf numFmtId="174" fontId="17" fillId="0" borderId="14" xfId="1" applyNumberFormat="1" applyFont="1" applyBorder="1" applyAlignment="1" applyProtection="1"/>
    <xf numFmtId="174" fontId="19" fillId="0" borderId="37" xfId="0" applyNumberFormat="1" applyFont="1" applyBorder="1" applyAlignment="1" applyProtection="1"/>
    <xf numFmtId="174" fontId="19" fillId="0" borderId="38" xfId="0" applyNumberFormat="1" applyFont="1" applyBorder="1" applyAlignment="1" applyProtection="1"/>
    <xf numFmtId="174" fontId="19" fillId="0" borderId="39" xfId="0" applyNumberFormat="1" applyFont="1" applyBorder="1" applyAlignment="1" applyProtection="1"/>
    <xf numFmtId="174" fontId="19" fillId="0" borderId="36" xfId="0" applyNumberFormat="1" applyFont="1" applyBorder="1" applyAlignment="1" applyProtection="1"/>
    <xf numFmtId="174" fontId="19" fillId="0" borderId="40" xfId="0" applyNumberFormat="1" applyFont="1" applyBorder="1" applyAlignment="1" applyProtection="1"/>
    <xf numFmtId="0" fontId="19" fillId="0" borderId="2" xfId="0" quotePrefix="1" applyNumberFormat="1" applyFont="1" applyBorder="1" applyProtection="1"/>
    <xf numFmtId="0" fontId="17" fillId="0" borderId="48" xfId="0" applyNumberFormat="1" applyFont="1" applyBorder="1" applyAlignment="1" applyProtection="1">
      <alignment horizontal="center"/>
    </xf>
    <xf numFmtId="174" fontId="19" fillId="0" borderId="48" xfId="0" applyNumberFormat="1" applyFont="1" applyBorder="1" applyAlignment="1" applyProtection="1"/>
    <xf numFmtId="174" fontId="19" fillId="0" borderId="49" xfId="0" applyNumberFormat="1" applyFont="1" applyBorder="1" applyAlignment="1" applyProtection="1"/>
    <xf numFmtId="174" fontId="19" fillId="0" borderId="45" xfId="0" applyNumberFormat="1" applyFont="1" applyBorder="1" applyAlignment="1" applyProtection="1"/>
    <xf numFmtId="174" fontId="19" fillId="0" borderId="50" xfId="0" applyNumberFormat="1" applyFont="1" applyBorder="1" applyAlignment="1" applyProtection="1"/>
    <xf numFmtId="174" fontId="19" fillId="0" borderId="47" xfId="0" applyNumberFormat="1" applyFont="1" applyBorder="1" applyAlignment="1" applyProtection="1"/>
    <xf numFmtId="0" fontId="17" fillId="0" borderId="0" xfId="0" applyFont="1" applyBorder="1" applyAlignment="1" applyProtection="1">
      <alignment horizontal="left" wrapText="1"/>
    </xf>
    <xf numFmtId="49" fontId="19" fillId="0" borderId="7" xfId="0" applyNumberFormat="1" applyFont="1" applyFill="1" applyBorder="1" applyAlignment="1" applyProtection="1">
      <alignment horizontal="center" vertical="center" wrapText="1"/>
    </xf>
    <xf numFmtId="0" fontId="19" fillId="0" borderId="41" xfId="0" applyFont="1" applyFill="1" applyBorder="1" applyAlignment="1" applyProtection="1">
      <alignment vertical="center"/>
    </xf>
    <xf numFmtId="0" fontId="19" fillId="0" borderId="2" xfId="0" applyFont="1" applyFill="1" applyBorder="1" applyAlignment="1" applyProtection="1">
      <alignment horizontal="left" vertical="center"/>
    </xf>
    <xf numFmtId="0" fontId="19" fillId="0" borderId="24" xfId="0" applyFont="1" applyFill="1" applyBorder="1" applyAlignment="1" applyProtection="1">
      <alignment vertical="center"/>
    </xf>
    <xf numFmtId="0" fontId="19" fillId="0" borderId="74" xfId="0" applyFont="1" applyFill="1" applyBorder="1" applyAlignment="1" applyProtection="1">
      <alignment horizontal="center" vertical="center" wrapText="1"/>
    </xf>
    <xf numFmtId="0" fontId="17" fillId="0" borderId="24" xfId="0" applyNumberFormat="1" applyFont="1" applyBorder="1" applyAlignment="1" applyProtection="1">
      <alignment horizontal="center"/>
    </xf>
    <xf numFmtId="0" fontId="22" fillId="12" borderId="2" xfId="0" applyNumberFormat="1" applyFont="1" applyFill="1" applyBorder="1" applyAlignment="1" applyProtection="1">
      <alignment horizontal="left" indent="1"/>
    </xf>
    <xf numFmtId="0" fontId="19" fillId="12" borderId="2" xfId="0" applyNumberFormat="1" applyFont="1" applyFill="1" applyBorder="1" applyAlignment="1" applyProtection="1">
      <alignment horizontal="left" indent="1"/>
    </xf>
    <xf numFmtId="0" fontId="17" fillId="0" borderId="40" xfId="0" applyNumberFormat="1" applyFont="1" applyBorder="1" applyAlignment="1" applyProtection="1">
      <alignment horizontal="center"/>
    </xf>
    <xf numFmtId="174" fontId="19" fillId="0" borderId="77" xfId="0" applyNumberFormat="1" applyFont="1" applyBorder="1" applyProtection="1"/>
    <xf numFmtId="174" fontId="19" fillId="0" borderId="67" xfId="0" applyNumberFormat="1" applyFont="1" applyBorder="1" applyProtection="1"/>
    <xf numFmtId="0" fontId="17" fillId="0" borderId="24" xfId="0" applyNumberFormat="1" applyFont="1" applyFill="1" applyBorder="1" applyAlignment="1" applyProtection="1">
      <alignment horizontal="center"/>
    </xf>
    <xf numFmtId="174" fontId="17" fillId="0" borderId="1" xfId="0" applyNumberFormat="1" applyFont="1" applyFill="1" applyBorder="1" applyProtection="1"/>
    <xf numFmtId="0" fontId="19" fillId="0" borderId="39" xfId="0" applyNumberFormat="1" applyFont="1" applyFill="1" applyBorder="1" applyProtection="1"/>
    <xf numFmtId="0" fontId="17" fillId="0" borderId="40" xfId="0" applyNumberFormat="1" applyFont="1" applyFill="1" applyBorder="1" applyAlignment="1" applyProtection="1">
      <alignment horizontal="center"/>
    </xf>
    <xf numFmtId="174" fontId="19" fillId="0" borderId="77" xfId="0" applyNumberFormat="1" applyFont="1" applyFill="1" applyBorder="1" applyProtection="1"/>
    <xf numFmtId="174" fontId="19" fillId="0" borderId="67" xfId="0" applyNumberFormat="1" applyFont="1" applyFill="1" applyBorder="1" applyProtection="1"/>
    <xf numFmtId="0" fontId="19" fillId="0" borderId="39" xfId="0" applyNumberFormat="1" applyFont="1" applyFill="1" applyBorder="1" applyAlignment="1" applyProtection="1">
      <alignment wrapText="1"/>
    </xf>
    <xf numFmtId="0" fontId="19" fillId="0" borderId="2" xfId="0" applyNumberFormat="1" applyFont="1" applyFill="1" applyBorder="1" applyAlignment="1" applyProtection="1">
      <alignment wrapText="1"/>
    </xf>
    <xf numFmtId="0" fontId="19" fillId="0" borderId="29" xfId="0" applyNumberFormat="1" applyFont="1" applyFill="1" applyBorder="1" applyProtection="1"/>
    <xf numFmtId="0" fontId="17" fillId="0" borderId="33" xfId="0" applyNumberFormat="1" applyFont="1" applyFill="1" applyBorder="1" applyAlignment="1" applyProtection="1">
      <alignment horizontal="center"/>
    </xf>
    <xf numFmtId="174" fontId="19" fillId="0" borderId="75" xfId="0" applyNumberFormat="1" applyFont="1" applyFill="1" applyBorder="1" applyProtection="1"/>
    <xf numFmtId="174" fontId="19" fillId="0" borderId="68" xfId="0" applyNumberFormat="1" applyFont="1" applyFill="1" applyBorder="1" applyProtection="1"/>
    <xf numFmtId="0" fontId="19" fillId="0" borderId="18" xfId="0" applyFont="1" applyFill="1" applyBorder="1" applyAlignment="1" applyProtection="1">
      <alignment horizontal="left" vertical="center"/>
    </xf>
    <xf numFmtId="0" fontId="17" fillId="0" borderId="18" xfId="0" applyNumberFormat="1" applyFont="1" applyFill="1" applyBorder="1" applyAlignment="1" applyProtection="1">
      <alignment horizontal="center"/>
    </xf>
    <xf numFmtId="174" fontId="19" fillId="0" borderId="6" xfId="0" applyNumberFormat="1" applyFont="1" applyFill="1" applyBorder="1" applyProtection="1"/>
    <xf numFmtId="0" fontId="21" fillId="0" borderId="6" xfId="0" applyNumberFormat="1" applyFont="1" applyBorder="1" applyProtection="1"/>
    <xf numFmtId="0" fontId="17" fillId="0" borderId="20" xfId="0" applyNumberFormat="1" applyFont="1" applyBorder="1" applyAlignment="1" applyProtection="1">
      <alignment horizontal="center"/>
    </xf>
    <xf numFmtId="174" fontId="17" fillId="0" borderId="43" xfId="0" applyNumberFormat="1" applyFont="1" applyBorder="1" applyProtection="1"/>
    <xf numFmtId="174" fontId="17" fillId="0" borderId="6" xfId="0" applyNumberFormat="1" applyFont="1" applyBorder="1" applyProtection="1"/>
    <xf numFmtId="0" fontId="17" fillId="0" borderId="14" xfId="0" applyNumberFormat="1" applyFont="1" applyBorder="1" applyAlignment="1" applyProtection="1">
      <alignment horizontal="center"/>
    </xf>
    <xf numFmtId="0" fontId="17" fillId="0" borderId="2" xfId="0" applyNumberFormat="1" applyFont="1" applyBorder="1" applyAlignment="1" applyProtection="1">
      <alignment horizontal="center"/>
    </xf>
    <xf numFmtId="179" fontId="19" fillId="0" borderId="13" xfId="0" applyNumberFormat="1" applyFont="1" applyFill="1" applyBorder="1" applyProtection="1"/>
    <xf numFmtId="179" fontId="19" fillId="0" borderId="13" xfId="7" applyNumberFormat="1" applyFont="1" applyBorder="1" applyAlignment="1" applyProtection="1">
      <alignment horizontal="center"/>
    </xf>
    <xf numFmtId="179" fontId="19" fillId="0" borderId="53" xfId="7" applyNumberFormat="1" applyFont="1" applyBorder="1" applyAlignment="1" applyProtection="1">
      <alignment horizontal="center"/>
    </xf>
    <xf numFmtId="179" fontId="19" fillId="0" borderId="74" xfId="7" applyNumberFormat="1" applyFont="1" applyBorder="1" applyAlignment="1" applyProtection="1">
      <alignment horizontal="center"/>
    </xf>
    <xf numFmtId="179" fontId="19" fillId="0" borderId="14" xfId="7" applyNumberFormat="1" applyFont="1" applyBorder="1" applyAlignment="1" applyProtection="1">
      <alignment horizontal="center"/>
    </xf>
    <xf numFmtId="179" fontId="19" fillId="0" borderId="2" xfId="7" applyNumberFormat="1" applyFont="1" applyBorder="1" applyAlignment="1" applyProtection="1">
      <alignment horizontal="center"/>
    </xf>
    <xf numFmtId="179" fontId="19" fillId="0" borderId="0" xfId="7" applyNumberFormat="1" applyFont="1" applyBorder="1" applyAlignment="1" applyProtection="1">
      <alignment horizontal="center"/>
    </xf>
    <xf numFmtId="179" fontId="19" fillId="0" borderId="13" xfId="0" applyNumberFormat="1" applyFont="1" applyBorder="1" applyProtection="1"/>
    <xf numFmtId="179" fontId="17" fillId="0" borderId="13" xfId="0" applyNumberFormat="1" applyFont="1" applyBorder="1" applyProtection="1"/>
    <xf numFmtId="9" fontId="19" fillId="0" borderId="13" xfId="7" applyFont="1" applyBorder="1" applyAlignment="1" applyProtection="1">
      <alignment horizontal="center"/>
    </xf>
    <xf numFmtId="9" fontId="19" fillId="0" borderId="14" xfId="7" applyFont="1" applyBorder="1" applyAlignment="1" applyProtection="1">
      <alignment horizontal="center"/>
    </xf>
    <xf numFmtId="9" fontId="19" fillId="0" borderId="2" xfId="7" applyFont="1" applyBorder="1" applyAlignment="1" applyProtection="1">
      <alignment horizontal="center"/>
    </xf>
    <xf numFmtId="9" fontId="19" fillId="0" borderId="0" xfId="7" applyFont="1" applyBorder="1" applyAlignment="1" applyProtection="1">
      <alignment horizontal="center"/>
    </xf>
    <xf numFmtId="0" fontId="19" fillId="0" borderId="41" xfId="0" applyFont="1" applyBorder="1" applyAlignment="1" applyProtection="1">
      <alignment vertical="center" wrapText="1"/>
    </xf>
    <xf numFmtId="169" fontId="17" fillId="0" borderId="0" xfId="0" applyNumberFormat="1" applyFont="1" applyFill="1" applyProtection="1"/>
    <xf numFmtId="0" fontId="19" fillId="0" borderId="16" xfId="0" applyFont="1" applyFill="1" applyBorder="1" applyAlignment="1" applyProtection="1">
      <alignment horizontal="right" wrapText="1"/>
    </xf>
    <xf numFmtId="0" fontId="19" fillId="0" borderId="17" xfId="0" applyFont="1" applyFill="1" applyBorder="1" applyAlignment="1" applyProtection="1">
      <alignment horizontal="center" vertical="top" wrapText="1"/>
    </xf>
    <xf numFmtId="0" fontId="27" fillId="0" borderId="8" xfId="0" applyFont="1" applyBorder="1" applyAlignment="1" applyProtection="1"/>
    <xf numFmtId="0" fontId="19" fillId="0" borderId="8" xfId="0" quotePrefix="1" applyFont="1" applyFill="1" applyBorder="1" applyAlignment="1" applyProtection="1">
      <alignment horizontal="center" vertical="center" wrapText="1"/>
    </xf>
    <xf numFmtId="0" fontId="19" fillId="0" borderId="15" xfId="0" quotePrefix="1" applyFont="1" applyFill="1" applyBorder="1" applyAlignment="1" applyProtection="1">
      <alignment horizontal="center" vertical="center" wrapText="1"/>
    </xf>
    <xf numFmtId="175" fontId="17" fillId="0" borderId="13" xfId="1" applyNumberFormat="1" applyFont="1" applyBorder="1" applyAlignment="1" applyProtection="1">
      <alignment horizontal="center"/>
    </xf>
    <xf numFmtId="175" fontId="17" fillId="0" borderId="13" xfId="1" applyNumberFormat="1" applyFont="1" applyBorder="1" applyProtection="1"/>
    <xf numFmtId="175" fontId="17" fillId="0" borderId="13" xfId="1" applyNumberFormat="1" applyFont="1" applyFill="1" applyBorder="1" applyProtection="1"/>
    <xf numFmtId="175" fontId="17" fillId="0" borderId="1" xfId="1" applyNumberFormat="1" applyFont="1" applyBorder="1" applyProtection="1"/>
    <xf numFmtId="175" fontId="17" fillId="12" borderId="13" xfId="1" applyNumberFormat="1" applyFont="1" applyFill="1" applyBorder="1" applyAlignment="1" applyProtection="1">
      <alignment horizontal="center"/>
    </xf>
    <xf numFmtId="175" fontId="17" fillId="13" borderId="13" xfId="1" applyNumberFormat="1" applyFont="1" applyFill="1" applyBorder="1" applyProtection="1"/>
    <xf numFmtId="175" fontId="17" fillId="13" borderId="0" xfId="1" applyNumberFormat="1" applyFont="1" applyFill="1" applyBorder="1" applyProtection="1"/>
    <xf numFmtId="175" fontId="19" fillId="0" borderId="37" xfId="1" applyNumberFormat="1" applyFont="1" applyFill="1" applyBorder="1" applyAlignment="1" applyProtection="1">
      <alignment horizontal="center"/>
    </xf>
    <xf numFmtId="175" fontId="19" fillId="0" borderId="37" xfId="1" applyNumberFormat="1" applyFont="1" applyFill="1" applyBorder="1" applyProtection="1"/>
    <xf numFmtId="175" fontId="19" fillId="0" borderId="37" xfId="1" applyNumberFormat="1" applyFont="1" applyBorder="1" applyProtection="1"/>
    <xf numFmtId="175" fontId="19" fillId="0" borderId="38" xfId="1" applyNumberFormat="1" applyFont="1" applyFill="1" applyBorder="1" applyProtection="1"/>
    <xf numFmtId="175" fontId="19" fillId="0" borderId="67" xfId="1" applyNumberFormat="1" applyFont="1" applyBorder="1" applyProtection="1"/>
    <xf numFmtId="0" fontId="22" fillId="0" borderId="2" xfId="0" applyNumberFormat="1" applyFont="1" applyFill="1" applyBorder="1" applyProtection="1"/>
    <xf numFmtId="175" fontId="19" fillId="0" borderId="37" xfId="1" applyNumberFormat="1" applyFont="1" applyBorder="1" applyAlignment="1" applyProtection="1">
      <alignment horizontal="center"/>
    </xf>
    <xf numFmtId="175" fontId="17" fillId="0" borderId="13" xfId="1" applyNumberFormat="1" applyFont="1" applyFill="1" applyBorder="1" applyAlignment="1" applyProtection="1">
      <alignment horizontal="center"/>
    </xf>
    <xf numFmtId="175" fontId="17" fillId="0" borderId="1" xfId="1" applyNumberFormat="1" applyFont="1" applyFill="1" applyBorder="1" applyProtection="1"/>
    <xf numFmtId="175" fontId="17" fillId="0" borderId="0" xfId="1" applyNumberFormat="1" applyFont="1" applyBorder="1" applyProtection="1"/>
    <xf numFmtId="0" fontId="19" fillId="0" borderId="29" xfId="0" applyNumberFormat="1" applyFont="1" applyBorder="1" applyAlignment="1" applyProtection="1">
      <alignment vertical="center" wrapText="1"/>
    </xf>
    <xf numFmtId="175" fontId="19" fillId="0" borderId="30" xfId="1" applyNumberFormat="1" applyFont="1" applyBorder="1" applyAlignment="1" applyProtection="1">
      <alignment horizontal="center" vertical="center"/>
    </xf>
    <xf numFmtId="175" fontId="19" fillId="0" borderId="30" xfId="1" applyNumberFormat="1" applyFont="1" applyBorder="1" applyAlignment="1" applyProtection="1">
      <alignment vertical="center"/>
    </xf>
    <xf numFmtId="175" fontId="19" fillId="0" borderId="32" xfId="1" applyNumberFormat="1" applyFont="1" applyBorder="1" applyAlignment="1" applyProtection="1">
      <alignment vertical="center"/>
    </xf>
    <xf numFmtId="175" fontId="19" fillId="0" borderId="68" xfId="1" applyNumberFormat="1" applyFont="1" applyBorder="1" applyAlignment="1" applyProtection="1">
      <alignment vertical="center"/>
    </xf>
    <xf numFmtId="175" fontId="17" fillId="0" borderId="14" xfId="1" applyNumberFormat="1" applyFont="1" applyBorder="1" applyProtection="1"/>
    <xf numFmtId="175" fontId="17" fillId="0" borderId="2" xfId="1" applyNumberFormat="1" applyFont="1" applyBorder="1" applyProtection="1"/>
    <xf numFmtId="175" fontId="17" fillId="0" borderId="53" xfId="1" applyNumberFormat="1" applyFont="1" applyBorder="1" applyProtection="1"/>
    <xf numFmtId="0" fontId="22" fillId="0" borderId="2" xfId="0" applyNumberFormat="1" applyFont="1" applyFill="1" applyBorder="1" applyAlignment="1" applyProtection="1">
      <alignment horizontal="left" indent="2"/>
    </xf>
    <xf numFmtId="175" fontId="19" fillId="0" borderId="30" xfId="1" applyNumberFormat="1" applyFont="1" applyBorder="1" applyProtection="1"/>
    <xf numFmtId="175" fontId="19" fillId="0" borderId="75" xfId="1" applyNumberFormat="1" applyFont="1" applyBorder="1" applyProtection="1"/>
    <xf numFmtId="175" fontId="19" fillId="0" borderId="33" xfId="1" applyNumberFormat="1" applyFont="1" applyBorder="1" applyProtection="1"/>
    <xf numFmtId="175" fontId="19" fillId="0" borderId="64" xfId="1" applyNumberFormat="1" applyFont="1" applyBorder="1" applyProtection="1"/>
    <xf numFmtId="175" fontId="19" fillId="0" borderId="76" xfId="1" applyNumberFormat="1" applyFont="1" applyBorder="1" applyProtection="1"/>
    <xf numFmtId="0" fontId="19" fillId="0" borderId="2" xfId="0" applyNumberFormat="1" applyFont="1" applyFill="1" applyBorder="1" applyAlignment="1" applyProtection="1">
      <alignment horizontal="left" indent="1"/>
    </xf>
    <xf numFmtId="179" fontId="19" fillId="0" borderId="13" xfId="1" applyNumberFormat="1" applyFont="1" applyBorder="1" applyProtection="1"/>
    <xf numFmtId="179" fontId="17" fillId="0" borderId="16" xfId="7" applyNumberFormat="1" applyFont="1" applyBorder="1" applyAlignment="1" applyProtection="1">
      <alignment horizontal="center"/>
    </xf>
    <xf numFmtId="179" fontId="17" fillId="0" borderId="52" xfId="7" applyNumberFormat="1" applyFont="1" applyBorder="1" applyAlignment="1" applyProtection="1">
      <alignment horizontal="center"/>
    </xf>
    <xf numFmtId="179" fontId="17" fillId="0" borderId="2" xfId="7" applyNumberFormat="1" applyFont="1" applyBorder="1" applyAlignment="1" applyProtection="1">
      <alignment horizontal="center"/>
    </xf>
    <xf numFmtId="179" fontId="17" fillId="0" borderId="13" xfId="7" applyNumberFormat="1" applyFont="1" applyBorder="1" applyAlignment="1" applyProtection="1">
      <alignment horizontal="center"/>
    </xf>
    <xf numFmtId="179" fontId="17" fillId="0" borderId="53" xfId="7" applyNumberFormat="1" applyFont="1" applyBorder="1" applyAlignment="1" applyProtection="1">
      <alignment horizontal="center"/>
    </xf>
    <xf numFmtId="179" fontId="17" fillId="0" borderId="0" xfId="7" applyNumberFormat="1" applyFont="1" applyBorder="1" applyAlignment="1" applyProtection="1">
      <alignment horizontal="center"/>
    </xf>
    <xf numFmtId="179" fontId="17" fillId="0" borderId="14" xfId="7" applyNumberFormat="1" applyFont="1" applyBorder="1" applyAlignment="1" applyProtection="1">
      <alignment horizontal="center"/>
    </xf>
    <xf numFmtId="175" fontId="19" fillId="12" borderId="13" xfId="1" applyNumberFormat="1" applyFont="1" applyFill="1" applyBorder="1" applyProtection="1"/>
    <xf numFmtId="175" fontId="19" fillId="12" borderId="13" xfId="1" applyNumberFormat="1" applyFont="1" applyFill="1" applyBorder="1" applyAlignment="1" applyProtection="1">
      <alignment horizontal="center"/>
    </xf>
    <xf numFmtId="175" fontId="19" fillId="12" borderId="14" xfId="1" applyNumberFormat="1" applyFont="1" applyFill="1" applyBorder="1" applyAlignment="1" applyProtection="1">
      <alignment horizontal="center"/>
    </xf>
    <xf numFmtId="175" fontId="19" fillId="12" borderId="2" xfId="7" applyNumberFormat="1" applyFont="1" applyFill="1" applyBorder="1" applyAlignment="1" applyProtection="1">
      <alignment horizontal="center"/>
    </xf>
    <xf numFmtId="175" fontId="19" fillId="12" borderId="13" xfId="7" applyNumberFormat="1" applyFont="1" applyFill="1" applyBorder="1" applyAlignment="1" applyProtection="1">
      <alignment horizontal="center"/>
    </xf>
    <xf numFmtId="175" fontId="19" fillId="12" borderId="53" xfId="7" applyNumberFormat="1" applyFont="1" applyFill="1" applyBorder="1" applyAlignment="1" applyProtection="1">
      <alignment horizontal="center"/>
    </xf>
    <xf numFmtId="175" fontId="19" fillId="12" borderId="0" xfId="7" applyNumberFormat="1" applyFont="1" applyFill="1" applyBorder="1" applyAlignment="1" applyProtection="1">
      <alignment horizontal="center"/>
    </xf>
    <xf numFmtId="175" fontId="19" fillId="12" borderId="14" xfId="7" applyNumberFormat="1" applyFont="1" applyFill="1" applyBorder="1" applyAlignment="1" applyProtection="1">
      <alignment horizontal="center"/>
    </xf>
    <xf numFmtId="0" fontId="17" fillId="0" borderId="3" xfId="0" applyNumberFormat="1" applyFont="1" applyBorder="1" applyAlignment="1" applyProtection="1">
      <alignment horizontal="left" indent="1"/>
    </xf>
    <xf numFmtId="175" fontId="19" fillId="12" borderId="8" xfId="1" applyNumberFormat="1" applyFont="1" applyFill="1" applyBorder="1" applyProtection="1"/>
    <xf numFmtId="175" fontId="19" fillId="12" borderId="8" xfId="1" applyNumberFormat="1" applyFont="1" applyFill="1" applyBorder="1" applyAlignment="1" applyProtection="1">
      <alignment horizontal="center"/>
    </xf>
    <xf numFmtId="175" fontId="19" fillId="12" borderId="15" xfId="1" applyNumberFormat="1" applyFont="1" applyFill="1" applyBorder="1" applyAlignment="1" applyProtection="1">
      <alignment horizontal="center"/>
    </xf>
    <xf numFmtId="175" fontId="19" fillId="12" borderId="3" xfId="7" applyNumberFormat="1" applyFont="1" applyFill="1" applyBorder="1" applyAlignment="1" applyProtection="1">
      <alignment horizontal="center"/>
    </xf>
    <xf numFmtId="175" fontId="19" fillId="12" borderId="8" xfId="7" applyNumberFormat="1" applyFont="1" applyFill="1" applyBorder="1" applyAlignment="1" applyProtection="1">
      <alignment horizontal="center"/>
    </xf>
    <xf numFmtId="175" fontId="19" fillId="12" borderId="54" xfId="7" applyNumberFormat="1" applyFont="1" applyFill="1" applyBorder="1" applyAlignment="1" applyProtection="1">
      <alignment horizontal="center"/>
    </xf>
    <xf numFmtId="175" fontId="19" fillId="12" borderId="5" xfId="7" applyNumberFormat="1" applyFont="1" applyFill="1" applyBorder="1" applyAlignment="1" applyProtection="1">
      <alignment horizontal="center"/>
    </xf>
    <xf numFmtId="175" fontId="19" fillId="12" borderId="15" xfId="7" applyNumberFormat="1" applyFont="1" applyFill="1" applyBorder="1" applyAlignment="1" applyProtection="1">
      <alignment horizontal="center"/>
    </xf>
    <xf numFmtId="49" fontId="19" fillId="0" borderId="41" xfId="0" applyNumberFormat="1" applyFont="1" applyFill="1" applyBorder="1" applyAlignment="1" applyProtection="1">
      <alignment vertical="center" wrapText="1"/>
    </xf>
    <xf numFmtId="0" fontId="19" fillId="0" borderId="54" xfId="0" applyFont="1" applyFill="1" applyBorder="1" applyAlignment="1" applyProtection="1">
      <alignment vertical="center"/>
    </xf>
    <xf numFmtId="0" fontId="21" fillId="0" borderId="7" xfId="0" applyNumberFormat="1" applyFont="1" applyBorder="1" applyProtection="1"/>
    <xf numFmtId="0" fontId="21" fillId="0" borderId="52" xfId="0" applyNumberFormat="1" applyFont="1" applyBorder="1" applyAlignment="1" applyProtection="1">
      <alignment horizontal="center"/>
    </xf>
    <xf numFmtId="0" fontId="17" fillId="0" borderId="53" xfId="0" applyNumberFormat="1" applyFont="1" applyBorder="1" applyAlignment="1" applyProtection="1">
      <alignment horizontal="center"/>
    </xf>
    <xf numFmtId="0" fontId="19" fillId="0" borderId="53" xfId="0" applyNumberFormat="1" applyFont="1" applyBorder="1" applyAlignment="1" applyProtection="1">
      <alignment horizontal="center"/>
    </xf>
    <xf numFmtId="0" fontId="21" fillId="0" borderId="53" xfId="0" applyNumberFormat="1" applyFont="1" applyBorder="1" applyAlignment="1" applyProtection="1">
      <alignment horizontal="center"/>
    </xf>
    <xf numFmtId="0" fontId="19" fillId="0" borderId="27" xfId="0" applyNumberFormat="1" applyFont="1" applyBorder="1" applyProtection="1"/>
    <xf numFmtId="0" fontId="19" fillId="0" borderId="58" xfId="0" applyNumberFormat="1" applyFont="1" applyBorder="1" applyAlignment="1" applyProtection="1">
      <alignment horizontal="center"/>
    </xf>
    <xf numFmtId="0" fontId="17" fillId="0" borderId="2" xfId="0" applyNumberFormat="1" applyFont="1" applyFill="1" applyBorder="1" applyAlignment="1" applyProtection="1">
      <alignment horizontal="left" wrapText="1" indent="1"/>
    </xf>
    <xf numFmtId="0" fontId="19" fillId="0" borderId="27" xfId="0" applyNumberFormat="1" applyFont="1" applyBorder="1" applyAlignment="1" applyProtection="1">
      <alignment vertical="center" wrapText="1"/>
    </xf>
    <xf numFmtId="0" fontId="19" fillId="0" borderId="58" xfId="0" applyNumberFormat="1" applyFont="1" applyBorder="1" applyAlignment="1" applyProtection="1">
      <alignment horizontal="center" vertical="center" wrapText="1"/>
    </xf>
    <xf numFmtId="174" fontId="19" fillId="0" borderId="28" xfId="0" applyNumberFormat="1" applyFont="1" applyBorder="1" applyAlignment="1" applyProtection="1">
      <alignment vertical="center"/>
    </xf>
    <xf numFmtId="174" fontId="19" fillId="0" borderId="21" xfId="0" applyNumberFormat="1" applyFont="1" applyBorder="1" applyAlignment="1" applyProtection="1">
      <alignment vertical="center"/>
    </xf>
    <xf numFmtId="174" fontId="19" fillId="0" borderId="58" xfId="0" applyNumberFormat="1" applyFont="1" applyBorder="1" applyAlignment="1" applyProtection="1">
      <alignment vertical="center"/>
    </xf>
    <xf numFmtId="174" fontId="19" fillId="0" borderId="27" xfId="0" applyNumberFormat="1" applyFont="1" applyBorder="1" applyAlignment="1" applyProtection="1">
      <alignment vertical="center"/>
    </xf>
    <xf numFmtId="174" fontId="19" fillId="0" borderId="26" xfId="0" applyNumberFormat="1" applyFont="1" applyBorder="1" applyAlignment="1" applyProtection="1">
      <alignment vertical="center"/>
    </xf>
    <xf numFmtId="0" fontId="17" fillId="0" borderId="53" xfId="0" applyNumberFormat="1" applyFont="1" applyBorder="1" applyAlignment="1" applyProtection="1">
      <alignment horizontal="center" vertical="top" wrapText="1"/>
    </xf>
    <xf numFmtId="0" fontId="19" fillId="0" borderId="64" xfId="0" quotePrefix="1" applyNumberFormat="1" applyFont="1" applyBorder="1" applyAlignment="1" applyProtection="1">
      <alignment horizontal="center" vertical="center" wrapText="1"/>
    </xf>
    <xf numFmtId="174" fontId="19" fillId="0" borderId="64" xfId="0" applyNumberFormat="1" applyFont="1" applyFill="1" applyBorder="1" applyProtection="1"/>
    <xf numFmtId="0" fontId="24" fillId="0" borderId="0" xfId="0" applyFont="1" applyBorder="1" applyAlignment="1" applyProtection="1">
      <alignment vertical="center" wrapText="1"/>
    </xf>
    <xf numFmtId="165" fontId="22" fillId="0" borderId="0" xfId="1" applyNumberFormat="1" applyFont="1" applyProtection="1"/>
    <xf numFmtId="0" fontId="24" fillId="0" borderId="0" xfId="0" applyFont="1" applyBorder="1" applyAlignment="1" applyProtection="1">
      <alignment horizontal="center" vertical="center" wrapText="1"/>
    </xf>
    <xf numFmtId="0" fontId="17" fillId="0" borderId="53" xfId="0" quotePrefix="1" applyNumberFormat="1" applyFont="1" applyBorder="1" applyAlignment="1" applyProtection="1">
      <alignment horizontal="center"/>
    </xf>
    <xf numFmtId="0" fontId="17" fillId="0" borderId="58" xfId="0" quotePrefix="1" applyNumberFormat="1" applyFont="1" applyBorder="1" applyAlignment="1" applyProtection="1">
      <alignment horizontal="center" vertical="center" wrapText="1"/>
    </xf>
    <xf numFmtId="0" fontId="19" fillId="0" borderId="2" xfId="0" applyNumberFormat="1" applyFont="1" applyBorder="1" applyAlignment="1" applyProtection="1">
      <alignment vertical="center" wrapText="1"/>
    </xf>
    <xf numFmtId="0" fontId="17" fillId="0" borderId="53" xfId="0" quotePrefix="1" applyNumberFormat="1" applyFont="1" applyBorder="1" applyAlignment="1" applyProtection="1">
      <alignment horizontal="center" vertical="center" wrapText="1"/>
    </xf>
    <xf numFmtId="0" fontId="17" fillId="0" borderId="64" xfId="0" quotePrefix="1" applyNumberFormat="1" applyFont="1" applyBorder="1" applyAlignment="1" applyProtection="1">
      <alignment horizontal="center" vertical="center" wrapText="1"/>
    </xf>
    <xf numFmtId="0" fontId="19" fillId="0" borderId="0" xfId="0" applyNumberFormat="1" applyFont="1" applyBorder="1" applyAlignment="1" applyProtection="1">
      <alignment vertical="center" wrapText="1"/>
    </xf>
    <xf numFmtId="0" fontId="17" fillId="0" borderId="0" xfId="0" quotePrefix="1" applyNumberFormat="1" applyFont="1" applyBorder="1" applyAlignment="1" applyProtection="1">
      <alignment horizontal="center" vertical="center" wrapText="1"/>
    </xf>
    <xf numFmtId="0" fontId="24" fillId="0" borderId="0" xfId="0" applyFont="1" applyFill="1" applyBorder="1" applyAlignment="1" applyProtection="1">
      <alignment horizontal="center" vertical="center" wrapText="1"/>
    </xf>
    <xf numFmtId="164" fontId="17" fillId="0" borderId="0" xfId="1" applyFont="1" applyProtection="1"/>
    <xf numFmtId="0" fontId="17" fillId="0" borderId="44" xfId="0" quotePrefix="1" applyNumberFormat="1" applyFont="1" applyBorder="1" applyAlignment="1" applyProtection="1">
      <alignment horizontal="center" vertical="center" wrapText="1"/>
    </xf>
    <xf numFmtId="169" fontId="19" fillId="0" borderId="44" xfId="0" applyNumberFormat="1" applyFont="1" applyFill="1" applyBorder="1" applyProtection="1"/>
    <xf numFmtId="169" fontId="19" fillId="0" borderId="24" xfId="0" applyNumberFormat="1" applyFont="1" applyFill="1" applyBorder="1" applyProtection="1"/>
    <xf numFmtId="0" fontId="17" fillId="0" borderId="2" xfId="0" applyFont="1" applyFill="1" applyBorder="1" applyAlignment="1" applyProtection="1">
      <alignment horizontal="left" wrapText="1" indent="2"/>
    </xf>
    <xf numFmtId="0" fontId="24" fillId="0" borderId="0" xfId="0" applyFont="1" applyFill="1" applyBorder="1" applyAlignment="1" applyProtection="1">
      <alignment vertical="center" wrapText="1"/>
    </xf>
    <xf numFmtId="49" fontId="19" fillId="0" borderId="6" xfId="0" applyNumberFormat="1" applyFont="1" applyFill="1" applyBorder="1" applyAlignment="1" applyProtection="1">
      <alignment vertical="center" wrapText="1"/>
    </xf>
    <xf numFmtId="0" fontId="17" fillId="0" borderId="2" xfId="0" applyFont="1" applyFill="1" applyBorder="1" applyAlignment="1" applyProtection="1">
      <alignment horizontal="left" wrapText="1" indent="1"/>
    </xf>
    <xf numFmtId="0" fontId="17" fillId="0" borderId="2" xfId="0" applyNumberFormat="1" applyFont="1" applyFill="1" applyBorder="1" applyAlignment="1" applyProtection="1"/>
    <xf numFmtId="0" fontId="19" fillId="0" borderId="45" xfId="0" applyNumberFormat="1" applyFont="1" applyFill="1" applyBorder="1" applyAlignment="1" applyProtection="1">
      <alignment vertical="center" wrapText="1"/>
    </xf>
    <xf numFmtId="174" fontId="19" fillId="0" borderId="47" xfId="0" applyNumberFormat="1" applyFont="1" applyFill="1" applyBorder="1" applyAlignment="1" applyProtection="1">
      <alignment vertical="center"/>
    </xf>
    <xf numFmtId="174" fontId="19" fillId="0" borderId="48" xfId="0" applyNumberFormat="1" applyFont="1" applyFill="1" applyBorder="1" applyAlignment="1" applyProtection="1">
      <alignment vertical="center"/>
    </xf>
    <xf numFmtId="174" fontId="19" fillId="0" borderId="49" xfId="0" applyNumberFormat="1" applyFont="1" applyFill="1" applyBorder="1" applyAlignment="1" applyProtection="1">
      <alignment vertical="center"/>
    </xf>
    <xf numFmtId="174" fontId="17" fillId="12" borderId="27" xfId="0" applyNumberFormat="1" applyFont="1" applyFill="1" applyBorder="1" applyProtection="1"/>
    <xf numFmtId="174" fontId="17" fillId="0" borderId="26" xfId="0" applyNumberFormat="1" applyFont="1" applyFill="1" applyBorder="1" applyProtection="1"/>
    <xf numFmtId="0" fontId="17" fillId="0" borderId="4" xfId="0" applyNumberFormat="1" applyFont="1" applyFill="1" applyBorder="1" applyProtection="1"/>
    <xf numFmtId="174" fontId="17" fillId="0" borderId="54" xfId="0" applyNumberFormat="1" applyFont="1" applyFill="1" applyBorder="1" applyProtection="1"/>
    <xf numFmtId="0" fontId="22" fillId="0" borderId="0" xfId="0" applyFont="1" applyFill="1" applyProtection="1"/>
    <xf numFmtId="0" fontId="19" fillId="0" borderId="6" xfId="0" applyFont="1" applyFill="1" applyBorder="1" applyAlignment="1" applyProtection="1">
      <alignment horizontal="center" vertical="center"/>
    </xf>
    <xf numFmtId="0" fontId="21" fillId="0" borderId="1" xfId="0" applyNumberFormat="1" applyFont="1" applyBorder="1" applyProtection="1"/>
    <xf numFmtId="0" fontId="17" fillId="0" borderId="1" xfId="0" applyNumberFormat="1" applyFont="1" applyBorder="1" applyAlignment="1" applyProtection="1">
      <alignment horizontal="left" indent="1"/>
    </xf>
    <xf numFmtId="173" fontId="17" fillId="12" borderId="24" xfId="0" applyNumberFormat="1" applyFont="1" applyFill="1" applyBorder="1" applyProtection="1"/>
    <xf numFmtId="0" fontId="17" fillId="0" borderId="1" xfId="0" applyNumberFormat="1" applyFont="1" applyBorder="1" applyAlignment="1" applyProtection="1">
      <alignment horizontal="left" wrapText="1" indent="1"/>
    </xf>
    <xf numFmtId="0" fontId="19" fillId="0" borderId="1" xfId="0" applyNumberFormat="1" applyFont="1" applyBorder="1" applyProtection="1"/>
    <xf numFmtId="173" fontId="19" fillId="0" borderId="28" xfId="0" applyNumberFormat="1" applyFont="1" applyFill="1" applyBorder="1" applyProtection="1"/>
    <xf numFmtId="173" fontId="19" fillId="0" borderId="27" xfId="0" applyNumberFormat="1" applyFont="1" applyFill="1" applyBorder="1" applyProtection="1"/>
    <xf numFmtId="173" fontId="19" fillId="0" borderId="25" xfId="0" applyNumberFormat="1" applyFont="1" applyFill="1" applyBorder="1" applyProtection="1"/>
    <xf numFmtId="173" fontId="19" fillId="0" borderId="40" xfId="0" applyNumberFormat="1" applyFont="1" applyFill="1" applyBorder="1" applyProtection="1"/>
    <xf numFmtId="173" fontId="19" fillId="0" borderId="37" xfId="0" applyNumberFormat="1" applyFont="1" applyFill="1" applyBorder="1" applyProtection="1"/>
    <xf numFmtId="173" fontId="19" fillId="0" borderId="38" xfId="0" applyNumberFormat="1" applyFont="1" applyFill="1" applyBorder="1" applyProtection="1"/>
    <xf numFmtId="173" fontId="19" fillId="0" borderId="39" xfId="0" applyNumberFormat="1" applyFont="1" applyFill="1" applyBorder="1" applyProtection="1"/>
    <xf numFmtId="173" fontId="19" fillId="0" borderId="36" xfId="0" applyNumberFormat="1" applyFont="1" applyFill="1" applyBorder="1" applyProtection="1"/>
    <xf numFmtId="173" fontId="19" fillId="0" borderId="24" xfId="0" applyNumberFormat="1" applyFont="1" applyFill="1" applyBorder="1" applyProtection="1"/>
    <xf numFmtId="173" fontId="19" fillId="0" borderId="13" xfId="0" applyNumberFormat="1" applyFont="1" applyFill="1" applyBorder="1" applyProtection="1"/>
    <xf numFmtId="173" fontId="19" fillId="0" borderId="14" xfId="0" applyNumberFormat="1" applyFont="1" applyFill="1" applyBorder="1" applyProtection="1"/>
    <xf numFmtId="173" fontId="19" fillId="0" borderId="2" xfId="0" applyNumberFormat="1" applyFont="1" applyFill="1" applyBorder="1" applyProtection="1"/>
    <xf numFmtId="0" fontId="17" fillId="0" borderId="4" xfId="0" applyNumberFormat="1" applyFont="1" applyBorder="1" applyProtection="1"/>
    <xf numFmtId="173" fontId="17" fillId="0" borderId="41" xfId="0" applyNumberFormat="1" applyFont="1" applyFill="1" applyBorder="1" applyProtection="1"/>
    <xf numFmtId="173" fontId="17" fillId="0" borderId="8" xfId="0" applyNumberFormat="1" applyFont="1" applyFill="1" applyBorder="1" applyProtection="1"/>
    <xf numFmtId="173" fontId="17" fillId="0" borderId="15" xfId="0" applyNumberFormat="1" applyFont="1" applyFill="1" applyBorder="1" applyProtection="1"/>
    <xf numFmtId="173" fontId="17" fillId="0" borderId="3" xfId="0" applyNumberFormat="1" applyFont="1" applyFill="1" applyBorder="1" applyProtection="1"/>
    <xf numFmtId="173" fontId="17" fillId="0" borderId="5" xfId="0" applyNumberFormat="1" applyFont="1" applyFill="1" applyBorder="1" applyProtection="1"/>
    <xf numFmtId="0" fontId="20" fillId="0" borderId="1" xfId="0" applyNumberFormat="1" applyFont="1" applyBorder="1" applyProtection="1"/>
    <xf numFmtId="173" fontId="19" fillId="12" borderId="47" xfId="0" applyNumberFormat="1" applyFont="1" applyFill="1" applyBorder="1" applyProtection="1"/>
    <xf numFmtId="173" fontId="19" fillId="12" borderId="48" xfId="0" applyNumberFormat="1" applyFont="1" applyFill="1" applyBorder="1" applyProtection="1"/>
    <xf numFmtId="173" fontId="19" fillId="12" borderId="49" xfId="0" applyNumberFormat="1" applyFont="1" applyFill="1" applyBorder="1" applyProtection="1"/>
    <xf numFmtId="173" fontId="19" fillId="12" borderId="45" xfId="0" applyNumberFormat="1" applyFont="1" applyFill="1" applyBorder="1" applyProtection="1"/>
    <xf numFmtId="173" fontId="19" fillId="12" borderId="50" xfId="0" applyNumberFormat="1" applyFont="1" applyFill="1" applyBorder="1" applyProtection="1"/>
    <xf numFmtId="170" fontId="17" fillId="0" borderId="0" xfId="0" applyNumberFormat="1" applyFont="1" applyProtection="1"/>
    <xf numFmtId="0" fontId="19" fillId="0" borderId="19" xfId="0" applyNumberFormat="1" applyFont="1" applyBorder="1" applyProtection="1"/>
    <xf numFmtId="173" fontId="17" fillId="0" borderId="20" xfId="0" applyNumberFormat="1" applyFont="1" applyFill="1" applyBorder="1" applyProtection="1"/>
    <xf numFmtId="173" fontId="17" fillId="0" borderId="16" xfId="0" applyNumberFormat="1" applyFont="1" applyFill="1" applyBorder="1" applyProtection="1"/>
    <xf numFmtId="173" fontId="17" fillId="0" borderId="17" xfId="0" applyNumberFormat="1" applyFont="1" applyFill="1" applyBorder="1" applyProtection="1"/>
    <xf numFmtId="173" fontId="17" fillId="0" borderId="7" xfId="0" applyNumberFormat="1" applyFont="1" applyFill="1" applyBorder="1" applyProtection="1"/>
    <xf numFmtId="173" fontId="17" fillId="0" borderId="18" xfId="0" applyNumberFormat="1" applyFont="1" applyFill="1" applyBorder="1" applyProtection="1"/>
    <xf numFmtId="0" fontId="19" fillId="0" borderId="17" xfId="0" applyFont="1" applyFill="1" applyBorder="1" applyAlignment="1" applyProtection="1">
      <alignment horizontal="center" vertical="center" wrapText="1"/>
    </xf>
    <xf numFmtId="0" fontId="17" fillId="12" borderId="2" xfId="0" applyNumberFormat="1" applyFont="1" applyFill="1" applyBorder="1" applyAlignment="1" applyProtection="1"/>
    <xf numFmtId="0" fontId="17" fillId="12" borderId="13" xfId="0" applyNumberFormat="1" applyFont="1" applyFill="1" applyBorder="1" applyAlignment="1" applyProtection="1"/>
    <xf numFmtId="180" fontId="17" fillId="12" borderId="13" xfId="0" applyNumberFormat="1" applyFont="1" applyFill="1" applyBorder="1" applyAlignment="1" applyProtection="1">
      <alignment horizontal="center"/>
    </xf>
    <xf numFmtId="180" fontId="17" fillId="12" borderId="13" xfId="0" quotePrefix="1" applyNumberFormat="1" applyFont="1" applyFill="1" applyBorder="1" applyAlignment="1" applyProtection="1">
      <alignment horizontal="center"/>
    </xf>
    <xf numFmtId="0" fontId="19" fillId="12" borderId="3" xfId="0" applyNumberFormat="1" applyFont="1" applyFill="1" applyBorder="1" applyAlignment="1" applyProtection="1"/>
    <xf numFmtId="0" fontId="17" fillId="12" borderId="8" xfId="0" applyNumberFormat="1" applyFont="1" applyFill="1" applyBorder="1" applyAlignment="1" applyProtection="1">
      <alignment horizontal="center"/>
    </xf>
    <xf numFmtId="0" fontId="17" fillId="12" borderId="8" xfId="0" applyNumberFormat="1" applyFont="1" applyFill="1" applyBorder="1" applyAlignment="1" applyProtection="1"/>
    <xf numFmtId="0" fontId="17" fillId="12" borderId="8" xfId="0" applyFont="1" applyFill="1" applyBorder="1" applyAlignment="1" applyProtection="1">
      <alignment horizontal="center"/>
    </xf>
    <xf numFmtId="174" fontId="19" fillId="12" borderId="15" xfId="0" applyNumberFormat="1" applyFont="1" applyFill="1" applyBorder="1" applyProtection="1"/>
    <xf numFmtId="0" fontId="19" fillId="0" borderId="62" xfId="0" applyFont="1" applyFill="1" applyBorder="1" applyAlignment="1" applyProtection="1">
      <alignment horizontal="center" vertical="center" wrapText="1"/>
    </xf>
    <xf numFmtId="0" fontId="17" fillId="0" borderId="8" xfId="0" applyNumberFormat="1" applyFont="1" applyFill="1" applyBorder="1" applyAlignment="1" applyProtection="1">
      <alignment horizontal="center" vertical="center"/>
    </xf>
    <xf numFmtId="174" fontId="19" fillId="12" borderId="13" xfId="0" applyNumberFormat="1" applyFont="1" applyFill="1" applyBorder="1" applyAlignment="1" applyProtection="1">
      <alignment horizontal="center"/>
    </xf>
    <xf numFmtId="174" fontId="19" fillId="12" borderId="0" xfId="0" applyNumberFormat="1" applyFont="1" applyFill="1" applyBorder="1" applyAlignment="1" applyProtection="1">
      <alignment horizontal="center"/>
    </xf>
    <xf numFmtId="174" fontId="19" fillId="12" borderId="2" xfId="0" applyNumberFormat="1" applyFont="1" applyFill="1" applyBorder="1" applyAlignment="1" applyProtection="1">
      <alignment horizontal="center"/>
    </xf>
    <xf numFmtId="174" fontId="19" fillId="12" borderId="14" xfId="0" applyNumberFormat="1" applyFont="1" applyFill="1" applyBorder="1" applyAlignment="1" applyProtection="1">
      <alignment horizontal="center"/>
    </xf>
    <xf numFmtId="174" fontId="17" fillId="0" borderId="19" xfId="0" applyNumberFormat="1" applyFont="1" applyBorder="1" applyProtection="1"/>
    <xf numFmtId="174" fontId="17" fillId="0" borderId="68" xfId="0" applyNumberFormat="1" applyFont="1" applyBorder="1" applyProtection="1"/>
    <xf numFmtId="0" fontId="17" fillId="0" borderId="0" xfId="0" applyFont="1" applyFill="1" applyAlignment="1" applyProtection="1"/>
    <xf numFmtId="0" fontId="22" fillId="0" borderId="2" xfId="0" applyNumberFormat="1" applyFont="1" applyBorder="1" applyAlignment="1" applyProtection="1">
      <alignment horizontal="left" indent="2"/>
    </xf>
    <xf numFmtId="0" fontId="17" fillId="0" borderId="0" xfId="0" applyFont="1" applyFill="1" applyAlignment="1" applyProtection="1">
      <alignment wrapText="1"/>
    </xf>
    <xf numFmtId="0" fontId="22" fillId="0" borderId="2" xfId="0" applyNumberFormat="1" applyFont="1" applyBorder="1" applyProtection="1"/>
    <xf numFmtId="0" fontId="20" fillId="0" borderId="7" xfId="0" applyNumberFormat="1" applyFont="1" applyBorder="1" applyProtection="1"/>
    <xf numFmtId="0" fontId="22" fillId="0" borderId="16" xfId="0" applyNumberFormat="1" applyFont="1" applyBorder="1" applyAlignment="1" applyProtection="1">
      <alignment horizontal="center"/>
    </xf>
    <xf numFmtId="168" fontId="22" fillId="0" borderId="16" xfId="7" applyNumberFormat="1" applyFont="1" applyFill="1" applyBorder="1" applyAlignment="1" applyProtection="1">
      <alignment horizontal="center"/>
    </xf>
    <xf numFmtId="168" fontId="22" fillId="0" borderId="18" xfId="7" applyNumberFormat="1" applyFont="1" applyFill="1" applyBorder="1" applyAlignment="1" applyProtection="1">
      <alignment horizontal="center"/>
    </xf>
    <xf numFmtId="168" fontId="22" fillId="0" borderId="7" xfId="7" applyNumberFormat="1" applyFont="1" applyFill="1" applyBorder="1" applyAlignment="1" applyProtection="1">
      <alignment horizontal="center"/>
    </xf>
    <xf numFmtId="168" fontId="22" fillId="0" borderId="17" xfId="7" applyNumberFormat="1" applyFont="1" applyFill="1" applyBorder="1" applyAlignment="1" applyProtection="1">
      <alignment horizontal="center"/>
    </xf>
    <xf numFmtId="168" fontId="22" fillId="0" borderId="20" xfId="7" applyNumberFormat="1" applyFont="1" applyFill="1" applyBorder="1" applyAlignment="1" applyProtection="1">
      <alignment horizontal="center"/>
    </xf>
    <xf numFmtId="0" fontId="20" fillId="0" borderId="3" xfId="0" applyNumberFormat="1" applyFont="1" applyBorder="1" applyProtection="1"/>
    <xf numFmtId="0" fontId="22" fillId="0" borderId="8" xfId="0" applyNumberFormat="1" applyFont="1" applyBorder="1" applyAlignment="1" applyProtection="1">
      <alignment horizontal="center"/>
    </xf>
    <xf numFmtId="168" fontId="22" fillId="0" borderId="8" xfId="7" applyNumberFormat="1" applyFont="1" applyFill="1" applyBorder="1" applyAlignment="1" applyProtection="1">
      <alignment horizontal="center"/>
    </xf>
    <xf numFmtId="168" fontId="22" fillId="0" borderId="5" xfId="7" applyNumberFormat="1" applyFont="1" applyFill="1" applyBorder="1" applyAlignment="1" applyProtection="1">
      <alignment horizontal="center"/>
    </xf>
    <xf numFmtId="168" fontId="22" fillId="0" borderId="3" xfId="7" applyNumberFormat="1" applyFont="1" applyFill="1" applyBorder="1" applyAlignment="1" applyProtection="1">
      <alignment horizontal="center"/>
    </xf>
    <xf numFmtId="168" fontId="22" fillId="0" borderId="15" xfId="7" applyNumberFormat="1" applyFont="1" applyFill="1" applyBorder="1" applyAlignment="1" applyProtection="1">
      <alignment horizontal="center"/>
    </xf>
    <xf numFmtId="168" fontId="22" fillId="0" borderId="41" xfId="7" applyNumberFormat="1" applyFont="1" applyFill="1" applyBorder="1" applyAlignment="1" applyProtection="1">
      <alignment horizontal="center"/>
    </xf>
    <xf numFmtId="0" fontId="19" fillId="0" borderId="32" xfId="0" applyFont="1" applyFill="1" applyBorder="1" applyAlignment="1" applyProtection="1">
      <alignment horizontal="center" vertical="top" wrapText="1"/>
    </xf>
    <xf numFmtId="174" fontId="19" fillId="0" borderId="16" xfId="0" applyNumberFormat="1" applyFont="1" applyFill="1" applyBorder="1" applyAlignment="1" applyProtection="1">
      <alignment horizontal="center"/>
    </xf>
    <xf numFmtId="174" fontId="19" fillId="0" borderId="18" xfId="0" applyNumberFormat="1" applyFont="1" applyFill="1" applyBorder="1" applyAlignment="1" applyProtection="1">
      <alignment horizontal="center"/>
    </xf>
    <xf numFmtId="0" fontId="19" fillId="0" borderId="24" xfId="0" applyFont="1" applyBorder="1" applyProtection="1"/>
    <xf numFmtId="174" fontId="19" fillId="0" borderId="25" xfId="0" applyNumberFormat="1" applyFont="1" applyFill="1" applyBorder="1" applyAlignment="1" applyProtection="1">
      <alignment horizontal="right"/>
    </xf>
    <xf numFmtId="174" fontId="19" fillId="0" borderId="27" xfId="0" applyNumberFormat="1" applyFont="1" applyFill="1" applyBorder="1" applyAlignment="1" applyProtection="1">
      <alignment horizontal="right"/>
    </xf>
    <xf numFmtId="174" fontId="19" fillId="0" borderId="26" xfId="0" applyNumberFormat="1" applyFont="1" applyFill="1" applyBorder="1" applyAlignment="1" applyProtection="1">
      <alignment horizontal="right"/>
    </xf>
    <xf numFmtId="174" fontId="19" fillId="0" borderId="2" xfId="0" applyNumberFormat="1" applyFont="1" applyFill="1" applyBorder="1" applyAlignment="1" applyProtection="1">
      <alignment horizontal="right"/>
    </xf>
    <xf numFmtId="174" fontId="19" fillId="0" borderId="14" xfId="0" applyNumberFormat="1" applyFont="1" applyFill="1" applyBorder="1" applyAlignment="1" applyProtection="1">
      <alignment horizontal="right"/>
    </xf>
    <xf numFmtId="174" fontId="17" fillId="0" borderId="21" xfId="0" applyNumberFormat="1" applyFont="1" applyFill="1" applyBorder="1" applyAlignment="1" applyProtection="1">
      <alignment horizontal="right"/>
    </xf>
    <xf numFmtId="174" fontId="17" fillId="0" borderId="25" xfId="0" applyNumberFormat="1" applyFont="1" applyFill="1" applyBorder="1" applyAlignment="1" applyProtection="1">
      <alignment horizontal="right"/>
    </xf>
    <xf numFmtId="174" fontId="17" fillId="0" borderId="27" xfId="0" applyNumberFormat="1" applyFont="1" applyFill="1" applyBorder="1" applyAlignment="1" applyProtection="1">
      <alignment horizontal="right"/>
    </xf>
    <xf numFmtId="174" fontId="17" fillId="0" borderId="26" xfId="0" applyNumberFormat="1" applyFont="1" applyFill="1" applyBorder="1" applyAlignment="1" applyProtection="1">
      <alignment horizontal="right"/>
    </xf>
    <xf numFmtId="0" fontId="22" fillId="0" borderId="0" xfId="0" applyFont="1" applyBorder="1" applyAlignment="1" applyProtection="1">
      <alignment horizontal="left" vertical="top"/>
    </xf>
    <xf numFmtId="167" fontId="17" fillId="0" borderId="0" xfId="0" applyNumberFormat="1" applyFont="1" applyProtection="1"/>
    <xf numFmtId="0" fontId="19" fillId="0" borderId="20" xfId="0" applyFont="1" applyFill="1" applyBorder="1" applyAlignment="1" applyProtection="1">
      <alignment horizontal="left" vertical="center"/>
    </xf>
    <xf numFmtId="0" fontId="19" fillId="0" borderId="16" xfId="0" applyFont="1" applyFill="1" applyBorder="1" applyAlignment="1" applyProtection="1">
      <alignment horizontal="center" wrapText="1"/>
    </xf>
    <xf numFmtId="0" fontId="19" fillId="0" borderId="43" xfId="0" applyFont="1" applyFill="1" applyBorder="1" applyAlignment="1" applyProtection="1">
      <alignment horizontal="center" wrapText="1"/>
    </xf>
    <xf numFmtId="0" fontId="19" fillId="0" borderId="0" xfId="0" applyFont="1" applyAlignment="1" applyProtection="1">
      <alignment horizontal="center" vertical="center"/>
    </xf>
    <xf numFmtId="0" fontId="17" fillId="0" borderId="0" xfId="0" applyFont="1" applyAlignment="1" applyProtection="1">
      <alignment horizontal="center" vertical="center"/>
    </xf>
    <xf numFmtId="0" fontId="19" fillId="0" borderId="7" xfId="0" applyNumberFormat="1" applyFont="1" applyFill="1" applyBorder="1" applyProtection="1"/>
    <xf numFmtId="0" fontId="19" fillId="0" borderId="16" xfId="0" applyNumberFormat="1" applyFont="1" applyFill="1" applyBorder="1" applyAlignment="1" applyProtection="1">
      <alignment horizontal="center"/>
    </xf>
    <xf numFmtId="175" fontId="19" fillId="0" borderId="16" xfId="1" applyNumberFormat="1" applyFont="1" applyFill="1" applyBorder="1" applyAlignment="1" applyProtection="1">
      <alignment horizontal="center"/>
    </xf>
    <xf numFmtId="0" fontId="22" fillId="0" borderId="16" xfId="0" applyNumberFormat="1" applyFont="1" applyFill="1" applyBorder="1" applyAlignment="1" applyProtection="1">
      <alignment horizontal="center"/>
    </xf>
    <xf numFmtId="0" fontId="22" fillId="0" borderId="18" xfId="0" applyNumberFormat="1" applyFont="1" applyFill="1" applyBorder="1" applyAlignment="1" applyProtection="1">
      <alignment horizontal="center"/>
    </xf>
    <xf numFmtId="0" fontId="22" fillId="0" borderId="43" xfId="0" applyNumberFormat="1" applyFont="1" applyFill="1" applyBorder="1" applyAlignment="1" applyProtection="1">
      <alignment horizontal="center"/>
    </xf>
    <xf numFmtId="0" fontId="22" fillId="0" borderId="52" xfId="0" applyNumberFormat="1" applyFont="1" applyFill="1" applyBorder="1" applyAlignment="1" applyProtection="1">
      <alignment horizontal="center"/>
    </xf>
    <xf numFmtId="175" fontId="19" fillId="0" borderId="13" xfId="1" applyNumberFormat="1" applyFont="1" applyFill="1" applyBorder="1" applyAlignment="1" applyProtection="1">
      <alignment horizontal="center"/>
    </xf>
    <xf numFmtId="0" fontId="19" fillId="12" borderId="2" xfId="0" applyNumberFormat="1" applyFont="1" applyFill="1" applyBorder="1" applyAlignment="1" applyProtection="1">
      <alignment horizontal="left"/>
    </xf>
    <xf numFmtId="0" fontId="22" fillId="12" borderId="13" xfId="0" applyNumberFormat="1" applyFont="1" applyFill="1" applyBorder="1" applyAlignment="1" applyProtection="1">
      <alignment horizontal="center"/>
    </xf>
    <xf numFmtId="0" fontId="22" fillId="12" borderId="0" xfId="0" applyNumberFormat="1" applyFont="1" applyFill="1" applyBorder="1" applyAlignment="1" applyProtection="1">
      <alignment horizontal="center"/>
    </xf>
    <xf numFmtId="0" fontId="17" fillId="12" borderId="13" xfId="0" applyNumberFormat="1" applyFont="1" applyFill="1" applyBorder="1" applyProtection="1"/>
    <xf numFmtId="0" fontId="22" fillId="12" borderId="53" xfId="0" applyNumberFormat="1" applyFont="1" applyFill="1" applyBorder="1" applyAlignment="1" applyProtection="1">
      <alignment horizontal="center"/>
    </xf>
    <xf numFmtId="0" fontId="17" fillId="12" borderId="2" xfId="0" applyNumberFormat="1" applyFont="1" applyFill="1" applyBorder="1" applyProtection="1"/>
    <xf numFmtId="0" fontId="19" fillId="12" borderId="2" xfId="0" applyNumberFormat="1" applyFont="1" applyFill="1" applyBorder="1" applyProtection="1"/>
    <xf numFmtId="169" fontId="19" fillId="0" borderId="37" xfId="0" applyNumberFormat="1" applyFont="1" applyBorder="1" applyProtection="1"/>
    <xf numFmtId="175" fontId="19" fillId="0" borderId="37" xfId="0" applyNumberFormat="1" applyFont="1" applyBorder="1" applyProtection="1"/>
    <xf numFmtId="0" fontId="19" fillId="0" borderId="37" xfId="0" applyNumberFormat="1" applyFont="1" applyBorder="1" applyProtection="1"/>
    <xf numFmtId="0" fontId="19" fillId="0" borderId="36" xfId="0" applyNumberFormat="1" applyFont="1" applyBorder="1" applyProtection="1"/>
    <xf numFmtId="169" fontId="19" fillId="0" borderId="36" xfId="0" applyNumberFormat="1" applyFont="1" applyBorder="1" applyProtection="1"/>
    <xf numFmtId="0" fontId="19" fillId="0" borderId="38" xfId="0" applyNumberFormat="1" applyFont="1" applyBorder="1" applyProtection="1"/>
    <xf numFmtId="0" fontId="22" fillId="0" borderId="21" xfId="0" applyNumberFormat="1" applyFont="1" applyFill="1" applyBorder="1" applyAlignment="1" applyProtection="1">
      <alignment horizontal="center"/>
    </xf>
    <xf numFmtId="169" fontId="19" fillId="0" borderId="77" xfId="0" applyNumberFormat="1" applyFont="1" applyBorder="1" applyProtection="1"/>
    <xf numFmtId="169" fontId="19" fillId="0" borderId="38" xfId="0" applyNumberFormat="1" applyFont="1" applyBorder="1" applyProtection="1"/>
    <xf numFmtId="0" fontId="19" fillId="0" borderId="59" xfId="0" applyFont="1" applyFill="1" applyBorder="1" applyAlignment="1" applyProtection="1">
      <alignment horizontal="center" vertical="center" wrapText="1"/>
    </xf>
    <xf numFmtId="0" fontId="19" fillId="0" borderId="80" xfId="0" applyNumberFormat="1" applyFont="1" applyFill="1" applyBorder="1" applyAlignment="1" applyProtection="1">
      <alignment horizontal="center"/>
    </xf>
    <xf numFmtId="0" fontId="19" fillId="0" borderId="18" xfId="1" applyNumberFormat="1" applyFont="1" applyFill="1" applyBorder="1" applyAlignment="1" applyProtection="1">
      <alignment horizontal="center"/>
    </xf>
    <xf numFmtId="174" fontId="19" fillId="0" borderId="43" xfId="0" applyNumberFormat="1" applyFont="1" applyFill="1" applyBorder="1" applyAlignment="1" applyProtection="1">
      <alignment horizontal="center"/>
    </xf>
    <xf numFmtId="174" fontId="19" fillId="0" borderId="7" xfId="0" applyNumberFormat="1" applyFont="1" applyFill="1" applyBorder="1" applyAlignment="1" applyProtection="1">
      <alignment horizontal="center"/>
    </xf>
    <xf numFmtId="174" fontId="19" fillId="0" borderId="17" xfId="0" applyNumberFormat="1" applyFont="1" applyFill="1" applyBorder="1" applyAlignment="1" applyProtection="1">
      <alignment horizontal="center"/>
    </xf>
    <xf numFmtId="0" fontId="19" fillId="0" borderId="74" xfId="0" applyNumberFormat="1" applyFont="1" applyFill="1" applyBorder="1" applyAlignment="1" applyProtection="1">
      <alignment horizontal="center"/>
    </xf>
    <xf numFmtId="0" fontId="19" fillId="0" borderId="0" xfId="1" applyNumberFormat="1" applyFont="1" applyFill="1" applyBorder="1" applyAlignment="1" applyProtection="1">
      <alignment horizontal="center"/>
    </xf>
    <xf numFmtId="174" fontId="19" fillId="0" borderId="13" xfId="0" applyNumberFormat="1" applyFont="1" applyFill="1" applyBorder="1" applyAlignment="1" applyProtection="1">
      <alignment horizontal="center"/>
    </xf>
    <xf numFmtId="174" fontId="19" fillId="0" borderId="44" xfId="0" applyNumberFormat="1" applyFont="1" applyFill="1" applyBorder="1" applyAlignment="1" applyProtection="1">
      <alignment horizontal="center"/>
    </xf>
    <xf numFmtId="174" fontId="19" fillId="0" borderId="2" xfId="0" applyNumberFormat="1" applyFont="1" applyFill="1" applyBorder="1" applyAlignment="1" applyProtection="1">
      <alignment horizontal="center"/>
    </xf>
    <xf numFmtId="174" fontId="19" fillId="0" borderId="14" xfId="0" applyNumberFormat="1" applyFont="1" applyFill="1" applyBorder="1" applyAlignment="1" applyProtection="1">
      <alignment horizontal="center"/>
    </xf>
    <xf numFmtId="0" fontId="19" fillId="12" borderId="0" xfId="1" applyNumberFormat="1" applyFont="1" applyFill="1" applyBorder="1" applyAlignment="1" applyProtection="1">
      <alignment horizontal="center"/>
    </xf>
    <xf numFmtId="174" fontId="19" fillId="12" borderId="44" xfId="0" applyNumberFormat="1" applyFont="1" applyFill="1" applyBorder="1" applyAlignment="1" applyProtection="1">
      <alignment horizontal="center"/>
    </xf>
    <xf numFmtId="0" fontId="42" fillId="12" borderId="13" xfId="0" applyNumberFormat="1" applyFont="1" applyFill="1" applyBorder="1" applyAlignment="1" applyProtection="1">
      <alignment horizontal="center"/>
    </xf>
    <xf numFmtId="0" fontId="42" fillId="12" borderId="53" xfId="0" applyNumberFormat="1" applyFont="1" applyFill="1" applyBorder="1" applyAlignment="1" applyProtection="1">
      <alignment horizontal="center"/>
    </xf>
    <xf numFmtId="174" fontId="17" fillId="12" borderId="44" xfId="1" applyNumberFormat="1" applyFont="1" applyFill="1" applyBorder="1" applyProtection="1"/>
    <xf numFmtId="0" fontId="19" fillId="12" borderId="45" xfId="0" applyNumberFormat="1" applyFont="1" applyFill="1" applyBorder="1" applyAlignment="1" applyProtection="1">
      <alignment horizontal="left" indent="1"/>
    </xf>
    <xf numFmtId="0" fontId="17" fillId="12" borderId="48" xfId="0" applyNumberFormat="1" applyFont="1" applyFill="1" applyBorder="1" applyProtection="1"/>
    <xf numFmtId="175" fontId="17" fillId="12" borderId="48" xfId="1" applyNumberFormat="1" applyFont="1" applyFill="1" applyBorder="1" applyAlignment="1" applyProtection="1">
      <alignment horizontal="center"/>
    </xf>
    <xf numFmtId="175" fontId="19" fillId="12" borderId="48" xfId="1" applyNumberFormat="1" applyFont="1" applyFill="1" applyBorder="1" applyAlignment="1" applyProtection="1">
      <alignment horizontal="center"/>
    </xf>
    <xf numFmtId="0" fontId="22" fillId="12" borderId="48" xfId="0" applyNumberFormat="1" applyFont="1" applyFill="1" applyBorder="1" applyAlignment="1" applyProtection="1">
      <alignment horizontal="center"/>
    </xf>
    <xf numFmtId="0" fontId="22" fillId="12" borderId="72" xfId="0" applyNumberFormat="1" applyFont="1" applyFill="1" applyBorder="1" applyAlignment="1" applyProtection="1">
      <alignment horizontal="center"/>
    </xf>
    <xf numFmtId="0" fontId="17" fillId="12" borderId="50" xfId="1" applyNumberFormat="1" applyFont="1" applyFill="1" applyBorder="1" applyAlignment="1" applyProtection="1">
      <alignment horizontal="center"/>
    </xf>
    <xf numFmtId="174" fontId="17" fillId="12" borderId="46" xfId="0" applyNumberFormat="1" applyFont="1" applyFill="1" applyBorder="1" applyProtection="1"/>
    <xf numFmtId="0" fontId="17" fillId="0" borderId="74" xfId="0" applyNumberFormat="1" applyFont="1" applyFill="1" applyBorder="1" applyProtection="1"/>
    <xf numFmtId="0" fontId="17" fillId="0" borderId="53" xfId="0" applyNumberFormat="1" applyFont="1" applyFill="1" applyBorder="1" applyProtection="1"/>
    <xf numFmtId="0" fontId="20" fillId="12" borderId="2" xfId="0" applyNumberFormat="1" applyFont="1" applyFill="1" applyBorder="1" applyProtection="1"/>
    <xf numFmtId="0" fontId="17" fillId="12" borderId="45" xfId="0" applyNumberFormat="1" applyFont="1" applyFill="1" applyBorder="1" applyAlignment="1" applyProtection="1">
      <alignment horizontal="left" indent="1"/>
    </xf>
    <xf numFmtId="164" fontId="17" fillId="0" borderId="0" xfId="1" applyFont="1" applyFill="1" applyBorder="1" applyAlignment="1" applyProtection="1">
      <alignment horizontal="right"/>
    </xf>
    <xf numFmtId="164" fontId="17" fillId="0" borderId="0" xfId="0" applyNumberFormat="1" applyFont="1" applyAlignment="1" applyProtection="1">
      <alignment horizontal="right"/>
    </xf>
    <xf numFmtId="174" fontId="17" fillId="0" borderId="2" xfId="1" applyNumberFormat="1" applyFont="1" applyBorder="1" applyAlignment="1" applyProtection="1">
      <alignment horizontal="right"/>
    </xf>
    <xf numFmtId="174" fontId="17" fillId="0" borderId="14" xfId="1" applyNumberFormat="1" applyFont="1" applyBorder="1" applyAlignment="1" applyProtection="1">
      <alignment horizontal="right"/>
    </xf>
    <xf numFmtId="0" fontId="17" fillId="0" borderId="0" xfId="0" applyFont="1" applyFill="1" applyAlignment="1" applyProtection="1">
      <alignment horizontal="right"/>
    </xf>
    <xf numFmtId="174" fontId="19" fillId="0" borderId="21" xfId="0" applyNumberFormat="1" applyFont="1" applyFill="1" applyBorder="1" applyAlignment="1" applyProtection="1">
      <alignment horizontal="center"/>
    </xf>
    <xf numFmtId="174" fontId="19" fillId="0" borderId="30" xfId="0" applyNumberFormat="1" applyFont="1" applyBorder="1" applyAlignment="1" applyProtection="1">
      <alignment horizontal="center"/>
    </xf>
    <xf numFmtId="174" fontId="19" fillId="0" borderId="32" xfId="0" applyNumberFormat="1" applyFont="1" applyBorder="1" applyAlignment="1" applyProtection="1">
      <alignment horizontal="right"/>
    </xf>
    <xf numFmtId="174" fontId="19" fillId="0" borderId="29" xfId="0" applyNumberFormat="1" applyFont="1" applyBorder="1" applyAlignment="1" applyProtection="1">
      <alignment horizontal="right"/>
    </xf>
    <xf numFmtId="174" fontId="19" fillId="0" borderId="30" xfId="0" applyNumberFormat="1" applyFont="1" applyBorder="1" applyAlignment="1" applyProtection="1">
      <alignment horizontal="right"/>
    </xf>
    <xf numFmtId="174" fontId="19" fillId="0" borderId="31" xfId="0" applyNumberFormat="1" applyFont="1" applyBorder="1" applyAlignment="1" applyProtection="1">
      <alignment horizontal="right"/>
    </xf>
    <xf numFmtId="165" fontId="17" fillId="0" borderId="0" xfId="1" applyNumberFormat="1" applyFont="1" applyAlignment="1" applyProtection="1">
      <alignment horizontal="center"/>
    </xf>
    <xf numFmtId="168" fontId="17" fillId="0" borderId="0" xfId="7" applyNumberFormat="1" applyFont="1" applyAlignment="1" applyProtection="1">
      <alignment horizontal="center"/>
    </xf>
    <xf numFmtId="0" fontId="19" fillId="0" borderId="29" xfId="0" applyFont="1" applyBorder="1" applyAlignment="1" applyProtection="1">
      <alignment horizontal="left"/>
    </xf>
    <xf numFmtId="167" fontId="17" fillId="0" borderId="0" xfId="0" applyNumberFormat="1" applyFont="1" applyFill="1" applyProtection="1"/>
    <xf numFmtId="166" fontId="22" fillId="0" borderId="0" xfId="1" applyNumberFormat="1" applyFont="1" applyBorder="1" applyAlignment="1" applyProtection="1">
      <alignment horizontal="right"/>
    </xf>
    <xf numFmtId="166" fontId="17" fillId="0" borderId="0" xfId="1" applyNumberFormat="1" applyFont="1" applyProtection="1"/>
    <xf numFmtId="166" fontId="17" fillId="0" borderId="0" xfId="1" applyNumberFormat="1" applyFont="1" applyFill="1" applyProtection="1"/>
    <xf numFmtId="174" fontId="17" fillId="0" borderId="47" xfId="0" applyNumberFormat="1" applyFont="1" applyBorder="1" applyAlignment="1" applyProtection="1">
      <alignment horizontal="right"/>
    </xf>
    <xf numFmtId="0" fontId="19" fillId="0" borderId="5" xfId="0" applyFont="1" applyFill="1" applyBorder="1" applyAlignment="1" applyProtection="1">
      <alignment horizontal="left"/>
    </xf>
    <xf numFmtId="0" fontId="16" fillId="0" borderId="24" xfId="0" applyFont="1" applyFill="1" applyBorder="1" applyAlignment="1" applyProtection="1">
      <alignment horizontal="left" vertical="top" wrapText="1" indent="3"/>
    </xf>
    <xf numFmtId="165" fontId="17" fillId="0" borderId="0" xfId="0" applyNumberFormat="1" applyFont="1" applyProtection="1"/>
    <xf numFmtId="168" fontId="17" fillId="0" borderId="0" xfId="0" applyNumberFormat="1" applyFont="1" applyProtection="1"/>
    <xf numFmtId="168" fontId="17" fillId="0" borderId="0" xfId="0" applyNumberFormat="1" applyFont="1" applyAlignment="1" applyProtection="1">
      <alignment horizontal="center"/>
    </xf>
    <xf numFmtId="165" fontId="22" fillId="0" borderId="0" xfId="1" applyNumberFormat="1" applyFont="1" applyBorder="1" applyAlignment="1" applyProtection="1">
      <alignment horizontal="right"/>
    </xf>
    <xf numFmtId="165" fontId="22" fillId="0" borderId="0" xfId="1" applyNumberFormat="1" applyFont="1" applyFill="1" applyBorder="1" applyAlignment="1" applyProtection="1">
      <alignment horizontal="right"/>
    </xf>
    <xf numFmtId="49" fontId="14" fillId="0" borderId="93" xfId="0" applyNumberFormat="1" applyFont="1" applyBorder="1" applyAlignment="1" applyProtection="1">
      <alignment horizontal="left" vertical="top" wrapText="1"/>
      <protection hidden="1"/>
    </xf>
    <xf numFmtId="49" fontId="14" fillId="12" borderId="94" xfId="0" applyNumberFormat="1" applyFont="1" applyFill="1" applyBorder="1" applyAlignment="1" applyProtection="1">
      <alignment horizontal="justify" vertical="center" wrapText="1"/>
      <protection hidden="1"/>
    </xf>
    <xf numFmtId="49" fontId="12" fillId="0" borderId="0" xfId="0" applyNumberFormat="1" applyFont="1" applyBorder="1" applyAlignment="1" applyProtection="1">
      <alignment horizontal="left" vertical="center"/>
      <protection hidden="1"/>
    </xf>
    <xf numFmtId="49" fontId="12" fillId="0" borderId="0" xfId="0" applyNumberFormat="1" applyFont="1" applyBorder="1" applyAlignment="1" applyProtection="1">
      <alignment horizontal="center" vertical="center" wrapText="1"/>
      <protection hidden="1"/>
    </xf>
    <xf numFmtId="0" fontId="8" fillId="0" borderId="0" xfId="0" applyFont="1" applyBorder="1" applyAlignment="1" applyProtection="1">
      <alignment horizontal="left" vertical="center" wrapText="1"/>
      <protection hidden="1"/>
    </xf>
    <xf numFmtId="0" fontId="8" fillId="0" borderId="0" xfId="0" applyFont="1" applyFill="1" applyBorder="1" applyAlignment="1" applyProtection="1">
      <alignment horizontal="left" vertical="center" wrapText="1"/>
      <protection hidden="1"/>
    </xf>
    <xf numFmtId="0" fontId="8" fillId="0" borderId="0" xfId="0" quotePrefix="1" applyNumberFormat="1" applyFont="1" applyProtection="1">
      <protection hidden="1"/>
    </xf>
    <xf numFmtId="0" fontId="33" fillId="0" borderId="0" xfId="0" applyFont="1" applyAlignment="1" applyProtection="1">
      <alignment wrapText="1"/>
      <protection hidden="1"/>
    </xf>
    <xf numFmtId="0" fontId="32" fillId="0" borderId="0" xfId="0" applyNumberFormat="1" applyFont="1" applyProtection="1">
      <protection hidden="1"/>
    </xf>
    <xf numFmtId="49" fontId="14" fillId="0" borderId="3" xfId="0" applyNumberFormat="1" applyFont="1" applyFill="1" applyBorder="1" applyAlignment="1" applyProtection="1">
      <alignment horizontal="left" vertical="top" wrapText="1"/>
      <protection hidden="1"/>
    </xf>
    <xf numFmtId="49" fontId="14" fillId="0" borderId="15" xfId="0" applyNumberFormat="1" applyFont="1" applyFill="1" applyBorder="1" applyAlignment="1" applyProtection="1">
      <alignment horizontal="justify" vertical="center" wrapText="1"/>
      <protection hidden="1"/>
    </xf>
    <xf numFmtId="0" fontId="32" fillId="0" borderId="0" xfId="0" applyFont="1" applyAlignment="1" applyProtection="1">
      <alignment vertical="center"/>
      <protection hidden="1"/>
    </xf>
    <xf numFmtId="49" fontId="14" fillId="0" borderId="7" xfId="0" applyNumberFormat="1" applyFont="1" applyBorder="1" applyAlignment="1" applyProtection="1">
      <alignment vertical="center"/>
      <protection hidden="1"/>
    </xf>
    <xf numFmtId="49" fontId="12" fillId="12" borderId="17" xfId="0" applyNumberFormat="1" applyFont="1" applyFill="1" applyBorder="1" applyAlignment="1" applyProtection="1">
      <alignment vertical="center"/>
      <protection hidden="1"/>
    </xf>
    <xf numFmtId="49" fontId="22" fillId="0" borderId="0" xfId="3" applyNumberFormat="1" applyFont="1" applyAlignment="1" applyProtection="1">
      <protection hidden="1"/>
    </xf>
    <xf numFmtId="49" fontId="12" fillId="0" borderId="0" xfId="0" applyNumberFormat="1" applyFont="1" applyBorder="1" applyAlignment="1" applyProtection="1">
      <alignment vertical="center"/>
      <protection hidden="1"/>
    </xf>
    <xf numFmtId="49" fontId="12" fillId="0" borderId="3" xfId="0" applyNumberFormat="1" applyFont="1" applyBorder="1" applyAlignment="1" applyProtection="1">
      <alignment vertical="center"/>
      <protection hidden="1"/>
    </xf>
    <xf numFmtId="49" fontId="12" fillId="0" borderId="15" xfId="0" applyNumberFormat="1" applyFont="1" applyBorder="1" applyAlignment="1" applyProtection="1">
      <alignment vertical="center"/>
      <protection hidden="1"/>
    </xf>
    <xf numFmtId="49" fontId="14" fillId="0" borderId="2" xfId="0" applyNumberFormat="1" applyFont="1" applyFill="1" applyBorder="1" applyAlignment="1" applyProtection="1">
      <alignment horizontal="justify" vertical="center" wrapText="1"/>
      <protection hidden="1"/>
    </xf>
    <xf numFmtId="49" fontId="14" fillId="0" borderId="14" xfId="0" applyNumberFormat="1" applyFont="1" applyFill="1" applyBorder="1" applyAlignment="1" applyProtection="1">
      <alignment horizontal="justify" vertical="center" wrapText="1"/>
      <protection hidden="1"/>
    </xf>
    <xf numFmtId="49" fontId="14" fillId="0" borderId="3" xfId="0" applyNumberFormat="1" applyFont="1" applyFill="1" applyBorder="1" applyAlignment="1" applyProtection="1">
      <alignment horizontal="justify" vertical="center" wrapText="1"/>
      <protection hidden="1"/>
    </xf>
    <xf numFmtId="49" fontId="14" fillId="0" borderId="0" xfId="0" applyNumberFormat="1" applyFont="1" applyBorder="1" applyAlignment="1" applyProtection="1">
      <alignment horizontal="justify" vertical="top" wrapText="1"/>
      <protection hidden="1"/>
    </xf>
    <xf numFmtId="49" fontId="14" fillId="0" borderId="2" xfId="0" applyNumberFormat="1" applyFont="1" applyFill="1" applyBorder="1" applyAlignment="1" applyProtection="1">
      <alignment horizontal="left" vertical="top" wrapText="1"/>
      <protection hidden="1"/>
    </xf>
    <xf numFmtId="49" fontId="12" fillId="0" borderId="0" xfId="3" applyNumberFormat="1" applyFont="1" applyBorder="1" applyAlignment="1" applyProtection="1">
      <protection hidden="1"/>
    </xf>
    <xf numFmtId="49" fontId="14" fillId="0" borderId="0" xfId="0" applyNumberFormat="1" applyFont="1" applyFill="1" applyBorder="1" applyAlignment="1" applyProtection="1">
      <alignment horizontal="left" vertical="top" wrapText="1"/>
      <protection hidden="1"/>
    </xf>
    <xf numFmtId="49" fontId="14" fillId="0" borderId="3" xfId="0" applyNumberFormat="1" applyFont="1" applyFill="1" applyBorder="1" applyAlignment="1" applyProtection="1">
      <alignment horizontal="justify" vertical="top" wrapText="1"/>
      <protection hidden="1"/>
    </xf>
    <xf numFmtId="49" fontId="14" fillId="0" borderId="15" xfId="0" applyNumberFormat="1" applyFont="1" applyBorder="1" applyAlignment="1" applyProtection="1">
      <alignment horizontal="justify" vertical="top" wrapText="1"/>
      <protection hidden="1"/>
    </xf>
    <xf numFmtId="49" fontId="14" fillId="0" borderId="0" xfId="0" applyNumberFormat="1" applyFont="1" applyFill="1" applyBorder="1" applyAlignment="1" applyProtection="1">
      <alignment horizontal="justify" vertical="top" wrapText="1"/>
      <protection hidden="1"/>
    </xf>
    <xf numFmtId="49" fontId="12" fillId="0" borderId="3" xfId="0" applyNumberFormat="1" applyFont="1" applyBorder="1" applyAlignment="1" applyProtection="1">
      <alignment horizontal="justify" vertical="top" wrapText="1"/>
      <protection hidden="1"/>
    </xf>
    <xf numFmtId="49" fontId="12" fillId="0" borderId="15" xfId="0" applyNumberFormat="1" applyFont="1" applyBorder="1" applyAlignment="1" applyProtection="1">
      <alignment horizontal="justify" vertical="top" wrapText="1"/>
      <protection hidden="1"/>
    </xf>
    <xf numFmtId="0" fontId="8" fillId="0" borderId="0" xfId="0" applyFont="1" applyAlignment="1" applyProtection="1">
      <alignment vertical="center"/>
      <protection hidden="1"/>
    </xf>
    <xf numFmtId="0" fontId="8" fillId="0" borderId="0" xfId="0" applyFont="1" applyProtection="1">
      <protection hidden="1"/>
    </xf>
    <xf numFmtId="49" fontId="14" fillId="0" borderId="93" xfId="0" applyNumberFormat="1" applyFont="1" applyBorder="1" applyAlignment="1" applyProtection="1">
      <alignment horizontal="justify" wrapText="1"/>
      <protection hidden="1"/>
    </xf>
    <xf numFmtId="49" fontId="12" fillId="0" borderId="94" xfId="0" applyNumberFormat="1" applyFont="1" applyBorder="1" applyAlignment="1" applyProtection="1">
      <alignment horizontal="justify" wrapText="1"/>
      <protection hidden="1"/>
    </xf>
    <xf numFmtId="49" fontId="12" fillId="0" borderId="60" xfId="0" applyNumberFormat="1" applyFont="1" applyBorder="1" applyAlignment="1" applyProtection="1">
      <alignment horizontal="justify" wrapText="1"/>
      <protection hidden="1"/>
    </xf>
    <xf numFmtId="49" fontId="12" fillId="12" borderId="22" xfId="0" applyNumberFormat="1" applyFont="1" applyFill="1" applyBorder="1" applyAlignment="1" applyProtection="1">
      <alignment horizontal="justify" wrapText="1"/>
      <protection hidden="1"/>
    </xf>
    <xf numFmtId="49" fontId="12" fillId="0" borderId="7" xfId="0" applyNumberFormat="1" applyFont="1" applyBorder="1" applyAlignment="1" applyProtection="1">
      <alignment horizontal="justify" wrapText="1"/>
      <protection hidden="1"/>
    </xf>
    <xf numFmtId="49" fontId="12" fillId="12" borderId="17" xfId="0" applyNumberFormat="1" applyFont="1" applyFill="1" applyBorder="1" applyAlignment="1" applyProtection="1">
      <alignment horizontal="justify" wrapText="1"/>
      <protection hidden="1"/>
    </xf>
    <xf numFmtId="49" fontId="12" fillId="0" borderId="3" xfId="0" applyNumberFormat="1" applyFont="1" applyFill="1" applyBorder="1" applyAlignment="1" applyProtection="1">
      <alignment horizontal="justify" wrapText="1"/>
      <protection hidden="1"/>
    </xf>
    <xf numFmtId="49" fontId="12" fillId="0" borderId="15" xfId="0" applyNumberFormat="1" applyFont="1" applyFill="1" applyBorder="1" applyAlignment="1" applyProtection="1">
      <alignment horizontal="justify" wrapText="1"/>
      <protection hidden="1"/>
    </xf>
    <xf numFmtId="49" fontId="14" fillId="0" borderId="60" xfId="0" applyNumberFormat="1" applyFont="1" applyBorder="1" applyAlignment="1" applyProtection="1">
      <alignment horizontal="justify" wrapText="1"/>
      <protection hidden="1"/>
    </xf>
    <xf numFmtId="49" fontId="12" fillId="0" borderId="22" xfId="0" applyNumberFormat="1" applyFont="1" applyBorder="1" applyAlignment="1" applyProtection="1">
      <alignment horizontal="justify" wrapText="1"/>
      <protection hidden="1"/>
    </xf>
    <xf numFmtId="49" fontId="12" fillId="0" borderId="22" xfId="0" applyNumberFormat="1" applyFont="1" applyFill="1" applyBorder="1" applyAlignment="1" applyProtection="1">
      <alignment horizontal="justify" wrapText="1"/>
      <protection hidden="1"/>
    </xf>
    <xf numFmtId="0" fontId="32" fillId="0" borderId="0" xfId="0" applyFont="1" applyProtection="1">
      <protection hidden="1"/>
    </xf>
    <xf numFmtId="49" fontId="12" fillId="0" borderId="2" xfId="0" applyNumberFormat="1" applyFont="1" applyBorder="1" applyAlignment="1" applyProtection="1">
      <alignment horizontal="justify" wrapText="1"/>
      <protection hidden="1"/>
    </xf>
    <xf numFmtId="49" fontId="12" fillId="12" borderId="14" xfId="0" applyNumberFormat="1" applyFont="1" applyFill="1" applyBorder="1" applyAlignment="1" applyProtection="1">
      <alignment horizontal="justify" wrapText="1"/>
      <protection hidden="1"/>
    </xf>
    <xf numFmtId="0" fontId="8" fillId="0" borderId="0" xfId="0" applyFont="1" applyBorder="1" applyProtection="1">
      <protection hidden="1"/>
    </xf>
    <xf numFmtId="0" fontId="8" fillId="0" borderId="0" xfId="0" quotePrefix="1" applyNumberFormat="1" applyFont="1" applyBorder="1" applyProtection="1">
      <protection hidden="1"/>
    </xf>
    <xf numFmtId="0" fontId="0" fillId="0" borderId="0" xfId="0" applyBorder="1" applyProtection="1">
      <protection hidden="1"/>
    </xf>
    <xf numFmtId="49" fontId="41" fillId="12" borderId="17" xfId="2" applyNumberFormat="1" applyFont="1" applyFill="1" applyBorder="1" applyAlignment="1" applyProtection="1">
      <alignment horizontal="justify" wrapText="1"/>
      <protection hidden="1"/>
    </xf>
    <xf numFmtId="49" fontId="14" fillId="0" borderId="60" xfId="0" applyNumberFormat="1" applyFont="1" applyBorder="1" applyAlignment="1" applyProtection="1">
      <alignment horizontal="left"/>
      <protection hidden="1"/>
    </xf>
    <xf numFmtId="49" fontId="12" fillId="0" borderId="0" xfId="0" applyNumberFormat="1" applyFont="1" applyFill="1" applyBorder="1" applyAlignment="1" applyProtection="1">
      <alignment horizontal="justify" wrapText="1"/>
      <protection hidden="1"/>
    </xf>
    <xf numFmtId="49" fontId="22" fillId="0" borderId="0" xfId="0" applyNumberFormat="1" applyFont="1" applyProtection="1">
      <protection hidden="1"/>
    </xf>
    <xf numFmtId="0" fontId="32" fillId="0" borderId="0" xfId="0" applyFont="1" applyFill="1" applyProtection="1">
      <protection hidden="1"/>
    </xf>
    <xf numFmtId="0" fontId="15" fillId="12" borderId="23" xfId="0" applyFont="1" applyFill="1" applyBorder="1" applyProtection="1"/>
    <xf numFmtId="0" fontId="16" fillId="12" borderId="0" xfId="0" applyFont="1" applyFill="1" applyAlignment="1" applyProtection="1">
      <alignment horizontal="left" indent="1"/>
    </xf>
    <xf numFmtId="0" fontId="51" fillId="14" borderId="2" xfId="0" applyFont="1" applyFill="1" applyBorder="1" applyAlignment="1" applyProtection="1">
      <alignment horizontal="left" indent="1"/>
    </xf>
    <xf numFmtId="0" fontId="16" fillId="14" borderId="0" xfId="0" applyFont="1" applyFill="1" applyProtection="1"/>
    <xf numFmtId="22" fontId="0" fillId="0" borderId="0" xfId="0" applyNumberFormat="1"/>
    <xf numFmtId="0" fontId="59" fillId="0" borderId="102" xfId="0" applyFont="1" applyFill="1" applyBorder="1" applyAlignment="1">
      <alignment horizontal="center"/>
    </xf>
    <xf numFmtId="174" fontId="17" fillId="12" borderId="13" xfId="10" applyNumberFormat="1" applyFont="1" applyFill="1" applyBorder="1" applyProtection="1">
      <protection locked="0" hidden="1"/>
    </xf>
    <xf numFmtId="174" fontId="17" fillId="12" borderId="53" xfId="10" applyNumberFormat="1" applyFont="1" applyFill="1" applyBorder="1" applyProtection="1">
      <protection locked="0" hidden="1"/>
    </xf>
    <xf numFmtId="174" fontId="17" fillId="12" borderId="74" xfId="10" applyNumberFormat="1" applyFont="1" applyFill="1" applyBorder="1" applyProtection="1">
      <protection locked="0" hidden="1"/>
    </xf>
    <xf numFmtId="174" fontId="17" fillId="12" borderId="1" xfId="10" applyNumberFormat="1" applyFont="1" applyFill="1" applyBorder="1" applyProtection="1">
      <protection locked="0" hidden="1"/>
    </xf>
    <xf numFmtId="0" fontId="6" fillId="0" borderId="0" xfId="10"/>
    <xf numFmtId="0" fontId="17" fillId="0" borderId="0" xfId="10" applyFont="1"/>
    <xf numFmtId="0" fontId="12" fillId="0" borderId="0" xfId="10" applyFont="1"/>
    <xf numFmtId="0" fontId="51" fillId="14" borderId="0" xfId="0" applyFont="1" applyFill="1"/>
    <xf numFmtId="0" fontId="6" fillId="0" borderId="0" xfId="10"/>
    <xf numFmtId="49" fontId="17" fillId="17" borderId="0" xfId="10" applyNumberFormat="1" applyFont="1" applyFill="1"/>
    <xf numFmtId="0" fontId="17" fillId="0" borderId="0" xfId="0" applyFont="1"/>
    <xf numFmtId="0" fontId="55" fillId="0" borderId="0" xfId="0" applyFont="1" applyProtection="1"/>
    <xf numFmtId="0" fontId="60" fillId="0" borderId="0" xfId="0" applyFont="1" applyProtection="1"/>
    <xf numFmtId="0" fontId="55" fillId="0" borderId="0" xfId="0" applyFont="1" applyBorder="1" applyAlignment="1" applyProtection="1"/>
    <xf numFmtId="0" fontId="61" fillId="0" borderId="0" xfId="10" applyFont="1"/>
    <xf numFmtId="0" fontId="6" fillId="0" borderId="0" xfId="10"/>
    <xf numFmtId="0" fontId="17" fillId="0" borderId="0" xfId="10" applyFont="1"/>
    <xf numFmtId="0" fontId="55" fillId="0" borderId="0" xfId="10" applyFont="1"/>
    <xf numFmtId="49" fontId="55" fillId="0" borderId="0" xfId="10" applyNumberFormat="1" applyFont="1"/>
    <xf numFmtId="49" fontId="17" fillId="0" borderId="0" xfId="0" applyNumberFormat="1" applyFont="1"/>
    <xf numFmtId="0" fontId="17" fillId="0" borderId="0" xfId="0" applyFont="1" applyProtection="1">
      <protection locked="0"/>
    </xf>
    <xf numFmtId="0" fontId="17" fillId="0" borderId="2" xfId="0" applyFont="1" applyBorder="1" applyAlignment="1">
      <alignment horizontal="left" indent="1"/>
    </xf>
    <xf numFmtId="0" fontId="22" fillId="0" borderId="2" xfId="0" applyFont="1" applyBorder="1" applyAlignment="1" applyProtection="1">
      <alignment horizontal="left" indent="1"/>
      <protection locked="0"/>
    </xf>
    <xf numFmtId="0" fontId="6" fillId="0" borderId="0" xfId="10"/>
    <xf numFmtId="0" fontId="7" fillId="0" borderId="1" xfId="10" applyFont="1" applyBorder="1"/>
    <xf numFmtId="0" fontId="7" fillId="0" borderId="4" xfId="10" applyFont="1" applyBorder="1"/>
    <xf numFmtId="0" fontId="6" fillId="0" borderId="0" xfId="10"/>
    <xf numFmtId="0" fontId="7" fillId="0" borderId="1" xfId="10" applyFont="1" applyBorder="1"/>
    <xf numFmtId="0" fontId="7" fillId="0" borderId="4" xfId="10" applyFont="1" applyBorder="1"/>
    <xf numFmtId="0" fontId="60" fillId="0" borderId="0" xfId="10" applyNumberFormat="1" applyFont="1" applyFill="1" applyBorder="1" applyAlignment="1" applyProtection="1"/>
    <xf numFmtId="0" fontId="55" fillId="0" borderId="0" xfId="10" applyNumberFormat="1" applyFont="1" applyFill="1" applyBorder="1" applyAlignment="1" applyProtection="1">
      <alignment horizontal="left"/>
    </xf>
    <xf numFmtId="0" fontId="55" fillId="0" borderId="0" xfId="10" applyNumberFormat="1" applyFont="1" applyFill="1" applyBorder="1" applyAlignment="1" applyProtection="1"/>
    <xf numFmtId="0" fontId="55" fillId="0" borderId="0" xfId="10" quotePrefix="1" applyNumberFormat="1" applyFont="1" applyFill="1" applyBorder="1" applyAlignment="1" applyProtection="1"/>
    <xf numFmtId="0" fontId="60" fillId="17" borderId="0" xfId="10" applyFont="1" applyFill="1" applyAlignment="1">
      <alignment horizontal="center"/>
    </xf>
    <xf numFmtId="0" fontId="55" fillId="17" borderId="0" xfId="10" applyFont="1" applyFill="1"/>
    <xf numFmtId="0" fontId="55" fillId="17" borderId="0" xfId="10" applyFont="1" applyFill="1" applyBorder="1" applyAlignment="1">
      <alignment horizontal="center"/>
    </xf>
    <xf numFmtId="0" fontId="55" fillId="17" borderId="0" xfId="10" quotePrefix="1" applyFont="1" applyFill="1" applyBorder="1" applyAlignment="1">
      <alignment horizontal="center"/>
    </xf>
    <xf numFmtId="0" fontId="55" fillId="17" borderId="0" xfId="10" applyFont="1" applyFill="1" applyBorder="1" applyAlignment="1" applyProtection="1">
      <alignment horizontal="center"/>
      <protection locked="0"/>
    </xf>
    <xf numFmtId="0" fontId="55" fillId="17" borderId="0" xfId="10" applyFont="1" applyFill="1" applyAlignment="1" applyProtection="1">
      <alignment horizontal="center"/>
      <protection locked="0"/>
    </xf>
    <xf numFmtId="0" fontId="61" fillId="17" borderId="0" xfId="10" applyFont="1" applyFill="1"/>
    <xf numFmtId="0" fontId="63" fillId="17" borderId="0" xfId="10" applyFont="1" applyFill="1" applyAlignment="1">
      <alignment horizontal="center"/>
    </xf>
    <xf numFmtId="0" fontId="55" fillId="17" borderId="0" xfId="0" applyFont="1" applyFill="1" applyProtection="1"/>
    <xf numFmtId="0" fontId="55" fillId="0" borderId="0" xfId="0" applyFont="1"/>
    <xf numFmtId="0" fontId="55" fillId="0" borderId="0" xfId="0" quotePrefix="1" applyFont="1"/>
    <xf numFmtId="0" fontId="55" fillId="0" borderId="0" xfId="13" applyFont="1"/>
    <xf numFmtId="49" fontId="60" fillId="0" borderId="0" xfId="10" applyNumberFormat="1" applyFont="1" applyFill="1" applyBorder="1" applyAlignment="1" applyProtection="1"/>
    <xf numFmtId="49" fontId="55" fillId="0" borderId="0" xfId="10" applyNumberFormat="1" applyFont="1" applyFill="1" applyBorder="1" applyAlignment="1" applyProtection="1">
      <alignment horizontal="center"/>
    </xf>
    <xf numFmtId="49" fontId="55" fillId="0" borderId="0" xfId="10" quotePrefix="1" applyNumberFormat="1" applyFont="1" applyFill="1" applyBorder="1" applyAlignment="1" applyProtection="1"/>
    <xf numFmtId="49" fontId="55" fillId="0" borderId="0" xfId="10" applyNumberFormat="1" applyFont="1" applyFill="1" applyBorder="1" applyAlignment="1" applyProtection="1"/>
    <xf numFmtId="49" fontId="55" fillId="0" borderId="0" xfId="10" applyNumberFormat="1" applyFont="1" applyFill="1" applyBorder="1" applyAlignment="1" applyProtection="1">
      <protection locked="0"/>
    </xf>
    <xf numFmtId="49" fontId="60" fillId="17" borderId="0" xfId="10" applyNumberFormat="1" applyFont="1" applyFill="1"/>
    <xf numFmtId="49" fontId="55" fillId="17" borderId="0" xfId="10" quotePrefix="1" applyNumberFormat="1" applyFont="1" applyFill="1"/>
    <xf numFmtId="49" fontId="55" fillId="17" borderId="0" xfId="10" applyNumberFormat="1" applyFont="1" applyFill="1"/>
    <xf numFmtId="0" fontId="55" fillId="17" borderId="0" xfId="10" applyNumberFormat="1" applyFont="1" applyFill="1" applyBorder="1" applyAlignment="1" applyProtection="1"/>
    <xf numFmtId="0" fontId="60" fillId="17" borderId="0" xfId="0" applyFont="1" applyFill="1" applyAlignment="1">
      <alignment horizontal="center"/>
    </xf>
    <xf numFmtId="0" fontId="55" fillId="17" borderId="0" xfId="0" applyFont="1" applyFill="1" applyAlignment="1">
      <alignment horizontal="center"/>
    </xf>
    <xf numFmtId="0" fontId="64" fillId="0" borderId="0" xfId="0" applyFont="1" applyAlignment="1">
      <alignment horizontal="center" vertical="center"/>
    </xf>
    <xf numFmtId="0" fontId="64" fillId="0" borderId="0" xfId="0" applyFont="1" applyAlignment="1">
      <alignment horizontal="center" wrapText="1"/>
    </xf>
    <xf numFmtId="0" fontId="55" fillId="17" borderId="0" xfId="0" quotePrefix="1" applyFont="1" applyFill="1" applyAlignment="1">
      <alignment horizontal="center"/>
    </xf>
    <xf numFmtId="2" fontId="55" fillId="17" borderId="0" xfId="42" quotePrefix="1" applyNumberFormat="1" applyFont="1" applyFill="1" applyAlignment="1">
      <alignment horizontal="center"/>
    </xf>
    <xf numFmtId="2" fontId="55" fillId="17" borderId="0" xfId="42" applyNumberFormat="1" applyFont="1" applyFill="1" applyAlignment="1">
      <alignment horizontal="center"/>
    </xf>
    <xf numFmtId="0" fontId="62" fillId="0" borderId="0" xfId="42" applyFont="1"/>
    <xf numFmtId="2" fontId="55" fillId="18" borderId="0" xfId="42" applyNumberFormat="1" applyFont="1" applyFill="1" applyAlignment="1">
      <alignment horizontal="center"/>
    </xf>
    <xf numFmtId="49" fontId="61" fillId="0" borderId="0" xfId="13" applyNumberFormat="1" applyFont="1"/>
    <xf numFmtId="49" fontId="55" fillId="0" borderId="0" xfId="0" applyNumberFormat="1" applyFont="1"/>
    <xf numFmtId="49" fontId="55" fillId="0" borderId="0" xfId="13" applyNumberFormat="1" applyFont="1"/>
    <xf numFmtId="49" fontId="55" fillId="0" borderId="0" xfId="13" applyNumberFormat="1" applyFont="1" applyProtection="1">
      <protection locked="0"/>
    </xf>
    <xf numFmtId="49" fontId="55" fillId="0" borderId="0" xfId="0" applyNumberFormat="1" applyFont="1" applyProtection="1">
      <protection locked="0"/>
    </xf>
    <xf numFmtId="0" fontId="61" fillId="0" borderId="0" xfId="0" applyFont="1" applyProtection="1"/>
    <xf numFmtId="0" fontId="55" fillId="0" borderId="0" xfId="0" applyFont="1" applyFill="1" applyBorder="1" applyProtection="1"/>
    <xf numFmtId="0" fontId="60" fillId="0" borderId="0" xfId="10" applyFont="1"/>
    <xf numFmtId="0" fontId="55" fillId="0" borderId="0" xfId="10" applyFont="1" applyProtection="1">
      <protection locked="0"/>
    </xf>
    <xf numFmtId="0" fontId="65" fillId="0" borderId="0" xfId="0" applyFont="1" applyProtection="1"/>
    <xf numFmtId="0" fontId="50" fillId="0" borderId="0" xfId="0" applyFont="1"/>
    <xf numFmtId="0" fontId="60" fillId="0" borderId="0" xfId="0" applyFont="1"/>
    <xf numFmtId="0" fontId="61" fillId="0" borderId="0" xfId="0" applyFont="1"/>
    <xf numFmtId="0" fontId="50" fillId="0" borderId="0" xfId="0" applyFont="1" applyAlignment="1" applyProtection="1">
      <alignment vertical="center"/>
    </xf>
    <xf numFmtId="174" fontId="19" fillId="0" borderId="46" xfId="0" applyNumberFormat="1" applyFont="1" applyFill="1" applyBorder="1" applyAlignment="1" applyProtection="1">
      <alignment vertical="center"/>
    </xf>
    <xf numFmtId="169" fontId="19" fillId="0" borderId="0" xfId="0" applyNumberFormat="1" applyFont="1" applyFill="1" applyBorder="1" applyAlignment="1" applyProtection="1">
      <alignment vertical="center"/>
    </xf>
    <xf numFmtId="0" fontId="63" fillId="0" borderId="0" xfId="0" applyFont="1" applyFill="1" applyBorder="1" applyAlignment="1" applyProtection="1">
      <alignment horizontal="center"/>
    </xf>
    <xf numFmtId="169" fontId="55" fillId="0" borderId="0" xfId="0" applyNumberFormat="1" applyFont="1" applyBorder="1" applyProtection="1"/>
    <xf numFmtId="0" fontId="66" fillId="0" borderId="0" xfId="0" applyFont="1" applyProtection="1"/>
    <xf numFmtId="0" fontId="50" fillId="0" borderId="0" xfId="0" applyFont="1" applyFill="1" applyBorder="1" applyProtection="1"/>
    <xf numFmtId="174" fontId="19" fillId="17" borderId="3" xfId="0" applyNumberFormat="1" applyFont="1" applyFill="1" applyBorder="1" applyProtection="1"/>
    <xf numFmtId="174" fontId="19" fillId="17" borderId="8" xfId="0" applyNumberFormat="1" applyFont="1" applyFill="1" applyBorder="1" applyProtection="1"/>
    <xf numFmtId="174" fontId="19" fillId="17" borderId="5" xfId="0" applyNumberFormat="1" applyFont="1" applyFill="1" applyBorder="1" applyProtection="1"/>
    <xf numFmtId="174" fontId="19" fillId="17" borderId="41" xfId="0" applyNumberFormat="1" applyFont="1" applyFill="1" applyBorder="1" applyProtection="1"/>
    <xf numFmtId="49" fontId="55" fillId="0" borderId="0" xfId="0" quotePrefix="1" applyNumberFormat="1" applyFont="1" applyFill="1" applyBorder="1" applyAlignment="1" applyProtection="1">
      <alignment vertical="top"/>
    </xf>
    <xf numFmtId="49" fontId="55" fillId="0" borderId="0" xfId="0" quotePrefix="1" applyNumberFormat="1" applyFont="1" applyFill="1" applyBorder="1" applyAlignment="1" applyProtection="1"/>
    <xf numFmtId="49" fontId="55" fillId="0" borderId="0" xfId="0" applyNumberFormat="1" applyFont="1" applyFill="1" applyBorder="1" applyAlignment="1" applyProtection="1"/>
    <xf numFmtId="0" fontId="55" fillId="0" borderId="0" xfId="0" applyFont="1" applyAlignment="1" applyProtection="1">
      <alignment vertical="center"/>
    </xf>
    <xf numFmtId="49" fontId="55" fillId="0" borderId="0" xfId="0" applyNumberFormat="1" applyFont="1" applyFill="1" applyBorder="1" applyAlignment="1" applyProtection="1">
      <alignment vertical="center"/>
    </xf>
    <xf numFmtId="169" fontId="55" fillId="0" borderId="0" xfId="0" applyNumberFormat="1" applyFont="1" applyProtection="1"/>
    <xf numFmtId="0" fontId="55" fillId="0" borderId="0" xfId="0" applyFont="1" applyFill="1" applyProtection="1"/>
    <xf numFmtId="0" fontId="55" fillId="0" borderId="0" xfId="0" applyFont="1" applyAlignment="1" applyProtection="1">
      <alignment wrapText="1"/>
    </xf>
    <xf numFmtId="49" fontId="59" fillId="0" borderId="102" xfId="0" applyNumberFormat="1" applyFont="1" applyFill="1" applyBorder="1" applyAlignment="1" applyProtection="1">
      <alignment horizontal="centerContinuous"/>
      <protection hidden="1"/>
    </xf>
    <xf numFmtId="0" fontId="59" fillId="0" borderId="102" xfId="0" applyFont="1" applyFill="1" applyBorder="1" applyAlignment="1" applyProtection="1">
      <alignment horizontal="centerContinuous"/>
      <protection hidden="1"/>
    </xf>
    <xf numFmtId="0" fontId="59" fillId="0" borderId="102" xfId="0" applyFont="1" applyFill="1" applyBorder="1" applyAlignment="1" applyProtection="1">
      <alignment horizontal="center"/>
    </xf>
    <xf numFmtId="0" fontId="40" fillId="0" borderId="102" xfId="10" applyFont="1" applyFill="1" applyBorder="1" applyAlignment="1">
      <alignment horizontal="center"/>
    </xf>
    <xf numFmtId="0" fontId="59" fillId="0" borderId="102" xfId="0" applyFont="1" applyFill="1" applyBorder="1" applyAlignment="1" applyProtection="1">
      <alignment horizontal="centerContinuous"/>
      <protection locked="0"/>
    </xf>
    <xf numFmtId="0" fontId="17" fillId="12" borderId="13" xfId="0" applyFont="1" applyFill="1" applyBorder="1" applyAlignment="1" applyProtection="1">
      <alignment vertical="top" wrapText="1"/>
      <protection locked="0"/>
    </xf>
    <xf numFmtId="178" fontId="17" fillId="12" borderId="13" xfId="1" applyNumberFormat="1" applyFont="1" applyFill="1" applyBorder="1" applyAlignment="1" applyProtection="1">
      <alignment vertical="top" wrapText="1"/>
      <protection locked="0"/>
    </xf>
    <xf numFmtId="178" fontId="17" fillId="12" borderId="0" xfId="1" applyNumberFormat="1" applyFont="1" applyFill="1" applyBorder="1" applyAlignment="1" applyProtection="1">
      <alignment vertical="top" wrapText="1"/>
      <protection locked="0"/>
    </xf>
    <xf numFmtId="0" fontId="17" fillId="0" borderId="2" xfId="0" applyFont="1" applyBorder="1" applyAlignment="1">
      <alignment horizontal="left" indent="2"/>
    </xf>
    <xf numFmtId="174" fontId="17" fillId="12" borderId="26" xfId="0" applyNumberFormat="1" applyFont="1" applyFill="1" applyBorder="1" applyProtection="1">
      <protection locked="0"/>
    </xf>
    <xf numFmtId="49" fontId="12" fillId="12" borderId="22" xfId="0" quotePrefix="1" applyNumberFormat="1" applyFont="1" applyFill="1" applyBorder="1" applyAlignment="1" applyProtection="1">
      <alignment horizontal="justify" wrapText="1"/>
      <protection hidden="1"/>
    </xf>
    <xf numFmtId="49" fontId="11" fillId="12" borderId="14" xfId="2" applyNumberFormat="1" applyFill="1" applyBorder="1" applyAlignment="1" applyProtection="1">
      <alignment horizontal="justify" vertical="top" wrapText="1"/>
      <protection hidden="1"/>
    </xf>
    <xf numFmtId="49" fontId="11" fillId="12" borderId="14" xfId="2" applyNumberFormat="1" applyFill="1" applyBorder="1" applyAlignment="1" applyProtection="1">
      <alignment horizontal="left" vertical="top" wrapText="1"/>
      <protection hidden="1"/>
    </xf>
    <xf numFmtId="0" fontId="17" fillId="12" borderId="13" xfId="0" applyFont="1" applyFill="1" applyBorder="1" applyAlignment="1" applyProtection="1">
      <alignment horizontal="center"/>
      <protection locked="0"/>
    </xf>
    <xf numFmtId="0" fontId="17" fillId="12" borderId="44" xfId="0" applyFont="1" applyFill="1" applyBorder="1" applyAlignment="1" applyProtection="1">
      <alignment horizontal="center"/>
      <protection locked="0"/>
    </xf>
    <xf numFmtId="0" fontId="59" fillId="0" borderId="102" xfId="0" applyFont="1" applyFill="1" applyBorder="1" applyAlignment="1" applyProtection="1">
      <alignment horizontal="center"/>
    </xf>
    <xf numFmtId="0" fontId="10" fillId="11" borderId="60" xfId="0" applyFont="1" applyFill="1" applyBorder="1" applyAlignment="1" applyProtection="1">
      <alignment horizontal="left"/>
    </xf>
    <xf numFmtId="0" fontId="10" fillId="11" borderId="22" xfId="0" applyFont="1" applyFill="1" applyBorder="1" applyAlignment="1" applyProtection="1">
      <alignment horizontal="left"/>
    </xf>
    <xf numFmtId="0" fontId="10" fillId="4" borderId="60" xfId="0" applyFont="1" applyFill="1" applyBorder="1" applyAlignment="1" applyProtection="1">
      <alignment horizontal="center"/>
    </xf>
    <xf numFmtId="0" fontId="10" fillId="4" borderId="22" xfId="0" applyFont="1" applyFill="1" applyBorder="1" applyAlignment="1" applyProtection="1">
      <alignment horizontal="center"/>
    </xf>
    <xf numFmtId="0" fontId="10" fillId="5" borderId="60" xfId="0" applyFont="1" applyFill="1" applyBorder="1" applyAlignment="1" applyProtection="1">
      <alignment horizontal="center"/>
    </xf>
    <xf numFmtId="0" fontId="10" fillId="5" borderId="22" xfId="0" applyFont="1" applyFill="1" applyBorder="1" applyAlignment="1" applyProtection="1">
      <alignment horizontal="center"/>
    </xf>
    <xf numFmtId="0" fontId="10" fillId="11" borderId="71" xfId="0" applyFont="1" applyFill="1" applyBorder="1" applyAlignment="1" applyProtection="1">
      <alignment horizontal="left"/>
    </xf>
    <xf numFmtId="49" fontId="14" fillId="0" borderId="60" xfId="0" applyNumberFormat="1" applyFont="1" applyBorder="1" applyAlignment="1" applyProtection="1">
      <alignment horizontal="justify" wrapText="1"/>
      <protection hidden="1"/>
    </xf>
    <xf numFmtId="49" fontId="12" fillId="0" borderId="22" xfId="0" applyNumberFormat="1" applyFont="1" applyBorder="1" applyAlignment="1" applyProtection="1">
      <alignment horizontal="justify" wrapText="1"/>
      <protection hidden="1"/>
    </xf>
    <xf numFmtId="49" fontId="14" fillId="0" borderId="0" xfId="0" applyNumberFormat="1" applyFont="1" applyFill="1" applyBorder="1" applyAlignment="1" applyProtection="1">
      <alignment horizontal="justify" wrapText="1"/>
      <protection hidden="1"/>
    </xf>
    <xf numFmtId="49" fontId="12" fillId="0" borderId="0" xfId="0" applyNumberFormat="1" applyFont="1" applyFill="1" applyBorder="1" applyAlignment="1" applyProtection="1">
      <alignment horizontal="justify" wrapText="1"/>
      <protection hidden="1"/>
    </xf>
    <xf numFmtId="49" fontId="36" fillId="0" borderId="100" xfId="0" applyNumberFormat="1" applyFont="1" applyBorder="1" applyAlignment="1" applyProtection="1">
      <alignment horizontal="justify" vertical="center" wrapText="1"/>
      <protection hidden="1"/>
    </xf>
    <xf numFmtId="49" fontId="35" fillId="0" borderId="101" xfId="0" applyNumberFormat="1" applyFont="1" applyBorder="1" applyAlignment="1" applyProtection="1">
      <alignment horizontal="justify" vertical="center" wrapText="1"/>
      <protection hidden="1"/>
    </xf>
    <xf numFmtId="49" fontId="14" fillId="0" borderId="98" xfId="0" applyNumberFormat="1" applyFont="1" applyBorder="1" applyAlignment="1" applyProtection="1">
      <alignment horizontal="justify" wrapText="1"/>
      <protection hidden="1"/>
    </xf>
    <xf numFmtId="49" fontId="12" fillId="0" borderId="99" xfId="0" applyNumberFormat="1" applyFont="1" applyBorder="1" applyAlignment="1" applyProtection="1">
      <alignment horizontal="justify" wrapText="1"/>
      <protection hidden="1"/>
    </xf>
    <xf numFmtId="49" fontId="14" fillId="0" borderId="96" xfId="0" applyNumberFormat="1" applyFont="1" applyBorder="1" applyAlignment="1" applyProtection="1">
      <alignment horizontal="justify" vertical="center" wrapText="1"/>
      <protection hidden="1"/>
    </xf>
    <xf numFmtId="49" fontId="12" fillId="0" borderId="97" xfId="0" applyNumberFormat="1" applyFont="1" applyBorder="1" applyAlignment="1" applyProtection="1">
      <alignment horizontal="justify" vertical="center" wrapText="1"/>
      <protection hidden="1"/>
    </xf>
    <xf numFmtId="49" fontId="14" fillId="0" borderId="100" xfId="0" applyNumberFormat="1" applyFont="1" applyBorder="1" applyAlignment="1" applyProtection="1">
      <alignment horizontal="justify" vertical="center" wrapText="1"/>
      <protection hidden="1"/>
    </xf>
    <xf numFmtId="49" fontId="12" fillId="0" borderId="101" xfId="0" applyNumberFormat="1" applyFont="1" applyBorder="1" applyAlignment="1" applyProtection="1">
      <alignment horizontal="justify" vertical="center" wrapText="1"/>
      <protection hidden="1"/>
    </xf>
    <xf numFmtId="49" fontId="14" fillId="0" borderId="0" xfId="0" applyNumberFormat="1" applyFont="1" applyBorder="1" applyAlignment="1" applyProtection="1">
      <alignment horizontal="justify" vertical="top" wrapText="1"/>
      <protection hidden="1"/>
    </xf>
    <xf numFmtId="49" fontId="36" fillId="0" borderId="95" xfId="0" applyNumberFormat="1" applyFont="1" applyBorder="1" applyAlignment="1" applyProtection="1">
      <alignment horizontal="justify" vertical="center" wrapText="1"/>
      <protection hidden="1"/>
    </xf>
    <xf numFmtId="49" fontId="35" fillId="0" borderId="95" xfId="0" applyNumberFormat="1" applyFont="1" applyBorder="1" applyAlignment="1" applyProtection="1">
      <alignment horizontal="justify" vertical="center" wrapText="1"/>
      <protection hidden="1"/>
    </xf>
    <xf numFmtId="49" fontId="36" fillId="0" borderId="96" xfId="0" applyNumberFormat="1" applyFont="1" applyBorder="1" applyAlignment="1" applyProtection="1">
      <alignment horizontal="justify" vertical="center"/>
      <protection hidden="1"/>
    </xf>
    <xf numFmtId="49" fontId="12" fillId="0" borderId="97" xfId="0" applyNumberFormat="1" applyFont="1" applyBorder="1" applyAlignment="1" applyProtection="1">
      <alignment horizontal="justify" vertical="center"/>
      <protection hidden="1"/>
    </xf>
    <xf numFmtId="49" fontId="22" fillId="0" borderId="0" xfId="0" applyNumberFormat="1" applyFont="1" applyBorder="1" applyAlignment="1" applyProtection="1">
      <alignment horizontal="left" vertical="top" wrapText="1"/>
      <protection hidden="1"/>
    </xf>
    <xf numFmtId="49" fontId="12" fillId="0" borderId="0" xfId="0" applyNumberFormat="1" applyFont="1" applyBorder="1" applyAlignment="1" applyProtection="1">
      <alignment horizontal="left" vertical="top" wrapText="1"/>
      <protection hidden="1"/>
    </xf>
    <xf numFmtId="49" fontId="12" fillId="0" borderId="0" xfId="0" applyNumberFormat="1" applyFont="1" applyBorder="1" applyAlignment="1" applyProtection="1">
      <alignment horizontal="justify" vertical="top" wrapText="1"/>
      <protection hidden="1"/>
    </xf>
    <xf numFmtId="0" fontId="19" fillId="0" borderId="9" xfId="0" applyFont="1" applyFill="1" applyBorder="1" applyAlignment="1">
      <alignment horizontal="center" vertical="center" wrapText="1"/>
    </xf>
    <xf numFmtId="0" fontId="19" fillId="0" borderId="10" xfId="0" applyFont="1" applyFill="1" applyBorder="1" applyAlignment="1">
      <alignment horizontal="center" vertical="center" wrapText="1"/>
    </xf>
    <xf numFmtId="0" fontId="19" fillId="0" borderId="11" xfId="0" applyFont="1" applyFill="1" applyBorder="1" applyAlignment="1">
      <alignment horizontal="center" vertical="center" wrapText="1"/>
    </xf>
    <xf numFmtId="0" fontId="19" fillId="0" borderId="9" xfId="0" applyFont="1" applyFill="1" applyBorder="1" applyAlignment="1">
      <alignment horizontal="center" vertical="center"/>
    </xf>
    <xf numFmtId="0" fontId="19" fillId="0" borderId="10" xfId="0" applyFont="1" applyFill="1" applyBorder="1" applyAlignment="1">
      <alignment horizontal="center" vertical="center"/>
    </xf>
    <xf numFmtId="0" fontId="14" fillId="0" borderId="5" xfId="0" applyFont="1" applyFill="1" applyBorder="1" applyAlignment="1">
      <alignment horizontal="left"/>
    </xf>
    <xf numFmtId="0" fontId="27" fillId="0" borderId="5" xfId="0" applyFont="1" applyBorder="1" applyAlignment="1"/>
    <xf numFmtId="0" fontId="22" fillId="0" borderId="0" xfId="0" applyFont="1" applyFill="1" applyBorder="1" applyAlignment="1" applyProtection="1">
      <alignment horizontal="left" vertical="top" wrapText="1"/>
    </xf>
    <xf numFmtId="0" fontId="19" fillId="0" borderId="9" xfId="0" applyFont="1" applyFill="1" applyBorder="1" applyAlignment="1" applyProtection="1">
      <alignment horizontal="center" vertical="center"/>
    </xf>
    <xf numFmtId="0" fontId="19" fillId="0" borderId="10" xfId="0" applyFont="1" applyFill="1" applyBorder="1" applyAlignment="1" applyProtection="1">
      <alignment horizontal="center" vertical="center"/>
    </xf>
    <xf numFmtId="0" fontId="19" fillId="0" borderId="11" xfId="0" applyFont="1" applyFill="1" applyBorder="1" applyAlignment="1" applyProtection="1">
      <alignment horizontal="center" vertical="center"/>
    </xf>
    <xf numFmtId="0" fontId="19" fillId="0" borderId="9" xfId="0" applyFont="1" applyFill="1" applyBorder="1" applyAlignment="1" applyProtection="1">
      <alignment horizontal="center" vertical="center" wrapText="1"/>
    </xf>
    <xf numFmtId="0" fontId="19" fillId="0" borderId="10" xfId="0" applyFont="1" applyFill="1" applyBorder="1" applyAlignment="1" applyProtection="1">
      <alignment horizontal="center" vertical="center" wrapText="1"/>
    </xf>
    <xf numFmtId="0" fontId="19" fillId="0" borderId="11" xfId="0" applyFont="1" applyFill="1" applyBorder="1" applyAlignment="1" applyProtection="1">
      <alignment horizontal="center" vertical="center" wrapText="1"/>
    </xf>
    <xf numFmtId="0" fontId="19" fillId="0" borderId="69" xfId="0" applyFont="1" applyFill="1" applyBorder="1" applyAlignment="1" applyProtection="1">
      <alignment horizontal="center" vertical="center"/>
    </xf>
    <xf numFmtId="0" fontId="19" fillId="0" borderId="12" xfId="0" applyFont="1" applyFill="1" applyBorder="1" applyAlignment="1" applyProtection="1">
      <alignment horizontal="center" vertical="center"/>
    </xf>
    <xf numFmtId="0" fontId="19" fillId="0" borderId="63" xfId="0" applyFont="1" applyFill="1" applyBorder="1" applyAlignment="1" applyProtection="1">
      <alignment horizontal="center" vertical="center"/>
    </xf>
    <xf numFmtId="0" fontId="19" fillId="10" borderId="60" xfId="0" applyFont="1" applyFill="1" applyBorder="1" applyAlignment="1" applyProtection="1">
      <alignment horizontal="center" vertical="center" wrapText="1"/>
    </xf>
    <xf numFmtId="0" fontId="27" fillId="0" borderId="71" xfId="0" applyFont="1" applyBorder="1" applyProtection="1"/>
    <xf numFmtId="0" fontId="27" fillId="0" borderId="22" xfId="0" applyFont="1" applyBorder="1" applyProtection="1"/>
    <xf numFmtId="0" fontId="19" fillId="10" borderId="71" xfId="0" applyFont="1" applyFill="1" applyBorder="1" applyAlignment="1" applyProtection="1">
      <alignment horizontal="center" vertical="center" wrapText="1"/>
    </xf>
    <xf numFmtId="0" fontId="19" fillId="10" borderId="22" xfId="0" applyFont="1" applyFill="1" applyBorder="1" applyAlignment="1" applyProtection="1">
      <alignment horizontal="center" vertical="center" wrapText="1"/>
    </xf>
    <xf numFmtId="0" fontId="22" fillId="0" borderId="0" xfId="0" applyFont="1" applyFill="1" applyBorder="1" applyAlignment="1" applyProtection="1">
      <alignment horizontal="left"/>
    </xf>
    <xf numFmtId="0" fontId="22" fillId="0" borderId="0" xfId="0" quotePrefix="1" applyFont="1" applyBorder="1" applyAlignment="1" applyProtection="1">
      <alignment horizontal="left" wrapText="1"/>
    </xf>
    <xf numFmtId="0" fontId="22" fillId="0" borderId="0" xfId="0" applyFont="1" applyBorder="1" applyAlignment="1" applyProtection="1">
      <alignment horizontal="left" wrapText="1"/>
    </xf>
    <xf numFmtId="0" fontId="19" fillId="0" borderId="9" xfId="0" quotePrefix="1" applyFont="1" applyFill="1" applyBorder="1" applyAlignment="1" applyProtection="1">
      <alignment horizontal="center" vertical="center" wrapText="1"/>
    </xf>
    <xf numFmtId="0" fontId="19" fillId="0" borderId="69" xfId="0" applyFont="1" applyFill="1" applyBorder="1" applyAlignment="1" applyProtection="1">
      <alignment horizontal="center" vertical="center" wrapText="1"/>
    </xf>
    <xf numFmtId="0" fontId="19" fillId="0" borderId="12" xfId="0" applyFont="1" applyFill="1" applyBorder="1" applyAlignment="1" applyProtection="1">
      <alignment horizontal="center" vertical="center" wrapText="1"/>
    </xf>
    <xf numFmtId="0" fontId="19" fillId="0" borderId="63" xfId="0" applyFont="1" applyFill="1" applyBorder="1" applyAlignment="1" applyProtection="1">
      <alignment horizontal="center" vertical="center" wrapText="1"/>
    </xf>
    <xf numFmtId="0" fontId="19" fillId="0" borderId="7" xfId="0" applyFont="1" applyFill="1" applyBorder="1" applyAlignment="1" applyProtection="1">
      <alignment horizontal="center" vertical="center"/>
    </xf>
    <xf numFmtId="0" fontId="19" fillId="0" borderId="3" xfId="0" applyFont="1" applyFill="1" applyBorder="1" applyAlignment="1" applyProtection="1">
      <alignment horizontal="center" vertical="center"/>
    </xf>
    <xf numFmtId="0" fontId="19" fillId="0" borderId="16" xfId="0" applyFont="1" applyFill="1" applyBorder="1" applyAlignment="1" applyProtection="1">
      <alignment horizontal="center" vertical="center"/>
    </xf>
    <xf numFmtId="0" fontId="19" fillId="0" borderId="8" xfId="0" applyFont="1" applyFill="1" applyBorder="1" applyAlignment="1" applyProtection="1">
      <alignment horizontal="center" vertical="center"/>
    </xf>
    <xf numFmtId="0" fontId="19" fillId="0" borderId="2" xfId="0" applyFont="1" applyFill="1" applyBorder="1" applyAlignment="1" applyProtection="1">
      <alignment horizontal="center" vertical="center"/>
    </xf>
    <xf numFmtId="0" fontId="19" fillId="0" borderId="13" xfId="0" applyFont="1" applyFill="1" applyBorder="1" applyAlignment="1" applyProtection="1">
      <alignment horizontal="center" vertical="center"/>
    </xf>
    <xf numFmtId="0" fontId="19" fillId="0" borderId="16" xfId="0" applyFont="1" applyFill="1" applyBorder="1" applyAlignment="1" applyProtection="1">
      <alignment horizontal="center" vertical="top" wrapText="1"/>
    </xf>
    <xf numFmtId="0" fontId="19" fillId="0" borderId="8" xfId="0" applyFont="1" applyFill="1" applyBorder="1" applyAlignment="1" applyProtection="1">
      <alignment horizontal="center" vertical="top" wrapText="1"/>
    </xf>
    <xf numFmtId="0" fontId="19" fillId="0" borderId="6" xfId="0" applyFont="1" applyFill="1" applyBorder="1" applyAlignment="1" applyProtection="1">
      <alignment horizontal="center" vertical="top" wrapText="1"/>
    </xf>
    <xf numFmtId="0" fontId="19" fillId="0" borderId="4" xfId="0" applyFont="1" applyFill="1" applyBorder="1" applyAlignment="1" applyProtection="1">
      <alignment horizontal="center" vertical="top" wrapText="1"/>
    </xf>
    <xf numFmtId="0" fontId="19" fillId="0" borderId="52" xfId="0" applyFont="1" applyFill="1" applyBorder="1" applyAlignment="1" applyProtection="1">
      <alignment horizontal="center" vertical="center" wrapText="1"/>
    </xf>
    <xf numFmtId="0" fontId="19" fillId="0" borderId="54" xfId="0" applyFont="1" applyFill="1" applyBorder="1" applyAlignment="1" applyProtection="1">
      <alignment horizontal="center" vertical="center" wrapText="1"/>
    </xf>
    <xf numFmtId="0" fontId="19" fillId="0" borderId="7" xfId="0" applyFont="1" applyFill="1" applyBorder="1" applyAlignment="1" applyProtection="1">
      <alignment horizontal="center" vertical="center" wrapText="1"/>
    </xf>
    <xf numFmtId="0" fontId="19" fillId="0" borderId="3" xfId="0" applyFont="1" applyFill="1" applyBorder="1" applyAlignment="1" applyProtection="1">
      <alignment horizontal="center" vertical="center" wrapText="1"/>
    </xf>
    <xf numFmtId="0" fontId="22" fillId="0" borderId="0" xfId="0" applyFont="1" applyBorder="1" applyAlignment="1" applyProtection="1">
      <alignment horizontal="left" vertical="top" wrapText="1"/>
    </xf>
    <xf numFmtId="0" fontId="17" fillId="0" borderId="28" xfId="0" applyFont="1" applyBorder="1" applyAlignment="1" applyProtection="1">
      <alignment horizontal="left" vertical="center" wrapText="1" indent="1"/>
    </xf>
    <xf numFmtId="0" fontId="17" fillId="0" borderId="24" xfId="0" applyFont="1" applyBorder="1" applyAlignment="1" applyProtection="1">
      <alignment horizontal="left" vertical="center" wrapText="1" indent="1"/>
    </xf>
    <xf numFmtId="0" fontId="17" fillId="0" borderId="47" xfId="0" applyFont="1" applyBorder="1" applyAlignment="1" applyProtection="1">
      <alignment horizontal="left" vertical="center" wrapText="1" indent="1"/>
    </xf>
    <xf numFmtId="0" fontId="14" fillId="15" borderId="17" xfId="0" applyFont="1" applyFill="1" applyBorder="1" applyAlignment="1" applyProtection="1">
      <alignment horizontal="center" vertical="center"/>
    </xf>
    <xf numFmtId="0" fontId="14" fillId="15" borderId="15" xfId="0" applyFont="1" applyFill="1" applyBorder="1" applyAlignment="1" applyProtection="1">
      <alignment horizontal="center" vertical="center"/>
    </xf>
    <xf numFmtId="174" fontId="14" fillId="15" borderId="23" xfId="0" applyNumberFormat="1" applyFont="1" applyFill="1" applyBorder="1" applyAlignment="1" applyProtection="1">
      <alignment horizontal="center" vertical="center"/>
    </xf>
    <xf numFmtId="0" fontId="19" fillId="0" borderId="6" xfId="0" applyFont="1" applyFill="1" applyBorder="1" applyAlignment="1" applyProtection="1">
      <alignment horizontal="center" vertical="center" wrapText="1"/>
    </xf>
    <xf numFmtId="0" fontId="19" fillId="0" borderId="4" xfId="0" applyFont="1" applyFill="1" applyBorder="1" applyAlignment="1" applyProtection="1">
      <alignment horizontal="center" vertical="center" wrapText="1"/>
    </xf>
    <xf numFmtId="0" fontId="19" fillId="0" borderId="10" xfId="0" applyFont="1" applyFill="1" applyBorder="1" applyAlignment="1" applyProtection="1">
      <alignment horizontal="center" vertical="top" wrapText="1"/>
    </xf>
    <xf numFmtId="0" fontId="19" fillId="0" borderId="11" xfId="0" applyFont="1" applyFill="1" applyBorder="1" applyAlignment="1" applyProtection="1">
      <alignment horizontal="center" vertical="top" wrapText="1"/>
    </xf>
    <xf numFmtId="0" fontId="17" fillId="0" borderId="6" xfId="0" applyFont="1" applyFill="1" applyBorder="1" applyAlignment="1" applyProtection="1">
      <alignment horizontal="center" wrapText="1"/>
    </xf>
    <xf numFmtId="0" fontId="17" fillId="0" borderId="4" xfId="0" applyFont="1" applyFill="1" applyBorder="1" applyAlignment="1" applyProtection="1">
      <alignment horizontal="center" wrapText="1"/>
    </xf>
    <xf numFmtId="0" fontId="19" fillId="0" borderId="43" xfId="0" applyFont="1" applyFill="1" applyBorder="1" applyAlignment="1" applyProtection="1">
      <alignment horizontal="center" vertical="center" wrapText="1"/>
    </xf>
    <xf numFmtId="0" fontId="19" fillId="0" borderId="55" xfId="0" applyFont="1" applyFill="1" applyBorder="1" applyAlignment="1" applyProtection="1">
      <alignment horizontal="center" vertical="center" wrapText="1"/>
    </xf>
    <xf numFmtId="0" fontId="19" fillId="0" borderId="16" xfId="0" applyFont="1" applyFill="1" applyBorder="1" applyAlignment="1" applyProtection="1">
      <alignment horizontal="center" vertical="center" wrapText="1"/>
    </xf>
    <xf numFmtId="0" fontId="19" fillId="0" borderId="8" xfId="0" applyFont="1" applyFill="1" applyBorder="1" applyAlignment="1" applyProtection="1">
      <alignment horizontal="center" vertical="center" wrapText="1"/>
    </xf>
    <xf numFmtId="0" fontId="19" fillId="0" borderId="20" xfId="0" applyFont="1" applyFill="1" applyBorder="1" applyAlignment="1" applyProtection="1">
      <alignment horizontal="center" vertical="center"/>
    </xf>
    <xf numFmtId="0" fontId="19" fillId="0" borderId="24" xfId="0" applyFont="1" applyFill="1" applyBorder="1" applyAlignment="1" applyProtection="1">
      <alignment horizontal="center" vertical="center"/>
    </xf>
    <xf numFmtId="0" fontId="19" fillId="0" borderId="41" xfId="0" applyFont="1" applyFill="1" applyBorder="1" applyAlignment="1" applyProtection="1">
      <alignment horizontal="center" vertical="center"/>
    </xf>
    <xf numFmtId="0" fontId="19" fillId="0" borderId="0" xfId="0" applyNumberFormat="1" applyFont="1" applyFill="1" applyBorder="1" applyAlignment="1" applyProtection="1">
      <alignment horizontal="center" vertical="center" wrapText="1"/>
    </xf>
    <xf numFmtId="0" fontId="19" fillId="0" borderId="0" xfId="0" applyNumberFormat="1" applyFont="1" applyFill="1" applyBorder="1" applyAlignment="1" applyProtection="1">
      <alignment horizontal="center" vertical="center"/>
    </xf>
    <xf numFmtId="0" fontId="19" fillId="0" borderId="0" xfId="0" applyFont="1" applyFill="1" applyBorder="1" applyAlignment="1" applyProtection="1">
      <alignment horizontal="center" vertical="center" wrapText="1"/>
    </xf>
    <xf numFmtId="0" fontId="19" fillId="0" borderId="0" xfId="0" applyFont="1" applyFill="1" applyBorder="1" applyAlignment="1" applyProtection="1">
      <alignment horizontal="center" vertical="center"/>
    </xf>
    <xf numFmtId="0" fontId="19" fillId="0" borderId="25" xfId="0" applyFont="1" applyFill="1" applyBorder="1" applyAlignment="1" applyProtection="1">
      <alignment horizontal="center" vertical="top" wrapText="1"/>
    </xf>
    <xf numFmtId="0" fontId="19" fillId="0" borderId="26" xfId="0" applyFont="1" applyFill="1" applyBorder="1" applyAlignment="1" applyProtection="1">
      <alignment horizontal="center" vertical="top" wrapText="1"/>
    </xf>
    <xf numFmtId="0" fontId="19" fillId="0" borderId="91" xfId="0" applyFont="1" applyFill="1" applyBorder="1" applyAlignment="1" applyProtection="1">
      <alignment horizontal="center" vertical="center" wrapText="1"/>
    </xf>
    <xf numFmtId="0" fontId="27" fillId="0" borderId="10" xfId="0" applyFont="1" applyFill="1" applyBorder="1" applyAlignment="1" applyProtection="1">
      <alignment horizontal="center" vertical="center" wrapText="1"/>
    </xf>
    <xf numFmtId="0" fontId="27" fillId="0" borderId="11" xfId="0" applyFont="1" applyFill="1" applyBorder="1" applyAlignment="1" applyProtection="1">
      <alignment horizontal="center" vertical="center" wrapText="1"/>
    </xf>
    <xf numFmtId="0" fontId="19" fillId="0" borderId="6" xfId="0" applyFont="1" applyFill="1" applyBorder="1" applyAlignment="1" applyProtection="1">
      <alignment horizontal="center" vertical="center"/>
    </xf>
    <xf numFmtId="0" fontId="19" fillId="0" borderId="1" xfId="0" applyFont="1" applyFill="1" applyBorder="1" applyAlignment="1" applyProtection="1">
      <alignment horizontal="center" vertical="center"/>
    </xf>
    <xf numFmtId="0" fontId="22" fillId="0" borderId="0" xfId="0" applyNumberFormat="1" applyFont="1" applyBorder="1" applyAlignment="1" applyProtection="1">
      <alignment wrapText="1"/>
    </xf>
    <xf numFmtId="0" fontId="27" fillId="0" borderId="0" xfId="0" applyFont="1" applyAlignment="1" applyProtection="1">
      <alignment wrapText="1"/>
    </xf>
    <xf numFmtId="0" fontId="19" fillId="0" borderId="18" xfId="0" applyFont="1" applyFill="1" applyBorder="1" applyAlignment="1" applyProtection="1">
      <alignment horizontal="center" vertical="center" wrapText="1"/>
    </xf>
    <xf numFmtId="0" fontId="19" fillId="0" borderId="17" xfId="0" applyFont="1" applyFill="1" applyBorder="1" applyAlignment="1" applyProtection="1">
      <alignment horizontal="center" vertical="center" wrapText="1"/>
    </xf>
    <xf numFmtId="0" fontId="19" fillId="0" borderId="20" xfId="0" applyFont="1" applyFill="1" applyBorder="1" applyAlignment="1" applyProtection="1">
      <alignment horizontal="center" vertical="center" wrapText="1"/>
    </xf>
  </cellXfs>
  <cellStyles count="45">
    <cellStyle name="Comma" xfId="1" builtinId="3"/>
    <cellStyle name="Comma 2" xfId="15" xr:uid="{05810C63-2767-498D-8F35-CA04AC29FE02}"/>
    <cellStyle name="Comma 2 2" xfId="25" xr:uid="{7887E059-DC9B-4EAB-A3A1-7B41B1E94052}"/>
    <cellStyle name="Comma 2 3" xfId="34" xr:uid="{72BCBF6E-DF70-4F4A-A01A-CFA2FCE1EFBA}"/>
    <cellStyle name="Hyperlink" xfId="2" builtinId="8"/>
    <cellStyle name="Hyperlink_AppA_Muncde_2010" xfId="3" xr:uid="{00000000-0005-0000-0000-000002000000}"/>
    <cellStyle name="Hyperlink_Bills" xfId="4" xr:uid="{00000000-0005-0000-0000-000003000000}"/>
    <cellStyle name="Normal" xfId="0" builtinId="0"/>
    <cellStyle name="Normal 10" xfId="22" xr:uid="{79F5356E-B543-44D1-94CD-19CD6A33752C}"/>
    <cellStyle name="Normal 10 2" xfId="32" xr:uid="{B5CD73CD-29E4-4594-A2A7-BE24E478F8C9}"/>
    <cellStyle name="Normal 10 3" xfId="41" xr:uid="{89A7524C-7AC3-4D0D-9EFE-F65DE1C6E160}"/>
    <cellStyle name="Normal 11" xfId="10" xr:uid="{7E155373-631D-4856-B39F-6862F0D07D53}"/>
    <cellStyle name="Normal 12" xfId="42" xr:uid="{C436532A-F3EF-43D4-A88C-422A581D41C9}"/>
    <cellStyle name="Normal 2" xfId="13" xr:uid="{19A0507E-BD24-44AD-9DCC-1924EFBA2A2F}"/>
    <cellStyle name="Normal 2 2" xfId="9" xr:uid="{00000000-0005-0000-0000-000005000000}"/>
    <cellStyle name="Normal 2 2 2" xfId="23" xr:uid="{84EA1F4A-20ED-4820-9610-8A828D5BB970}"/>
    <cellStyle name="Normal 2 2 3" xfId="43" xr:uid="{F8DFD838-DCB6-48A6-8DF2-BD729E566AD5}"/>
    <cellStyle name="Normal 2 2 4" xfId="44" xr:uid="{903FA3A6-9E50-48E0-B31C-B0686C828179}"/>
    <cellStyle name="Normal 3" xfId="14" xr:uid="{06498440-EB04-406D-B68B-7175C0F6D011}"/>
    <cellStyle name="Normal 3 2" xfId="24" xr:uid="{26B288D0-750B-4740-8233-D91F177803B6}"/>
    <cellStyle name="Normal 3 3" xfId="33" xr:uid="{E90ED4BE-3F43-4A1E-B2FD-3F47BB6F14E4}"/>
    <cellStyle name="Normal 4" xfId="5" xr:uid="{00000000-0005-0000-0000-000006000000}"/>
    <cellStyle name="Normal 4 2" xfId="11" xr:uid="{076A53AD-5A4E-413C-8102-8BBA07C36603}"/>
    <cellStyle name="Normal 5" xfId="17" xr:uid="{C6834503-7766-41BA-B569-B21B1EDD3FEF}"/>
    <cellStyle name="Normal 5 2" xfId="27" xr:uid="{9199506C-3D6E-4841-975C-AC8DB4BA834F}"/>
    <cellStyle name="Normal 5 3" xfId="36" xr:uid="{458E6479-5882-4FA0-9E28-A19EC4199A6A}"/>
    <cellStyle name="Normal 6" xfId="18" xr:uid="{927249F5-D90E-4404-AA74-2CC0C69589E8}"/>
    <cellStyle name="Normal 6 2" xfId="28" xr:uid="{70FEEFA3-3471-437C-AB71-A5B1775851D3}"/>
    <cellStyle name="Normal 6 3" xfId="37" xr:uid="{A8FF4401-9B0E-402C-8549-7D5D7E2EB031}"/>
    <cellStyle name="Normal 7" xfId="19" xr:uid="{D7A65A57-DFA8-477E-94EB-A224DE329057}"/>
    <cellStyle name="Normal 7 2" xfId="29" xr:uid="{1423972A-4578-49CA-8578-F4F52FDFE587}"/>
    <cellStyle name="Normal 7 3" xfId="38" xr:uid="{E2DE2287-9DE4-4EC8-B0F2-DFD8667E0500}"/>
    <cellStyle name="Normal 8" xfId="20" xr:uid="{442A998D-0CD3-41DB-9279-68A252DAFAD5}"/>
    <cellStyle name="Normal 8 2" xfId="30" xr:uid="{D327594A-6572-4579-8079-7B79BDBC6372}"/>
    <cellStyle name="Normal 8 3" xfId="39" xr:uid="{95EA6B67-E3C9-407A-A55A-32746C14EFA5}"/>
    <cellStyle name="Normal 9" xfId="21" xr:uid="{DD01A8E9-0CD4-4D85-A0CF-76363A2CAD70}"/>
    <cellStyle name="Normal 9 2" xfId="31" xr:uid="{15FC2B35-E020-4BCC-844E-BA5C3FCFE7E5}"/>
    <cellStyle name="Normal 9 3" xfId="40" xr:uid="{7B73F0BC-041F-4853-95BB-67E590154285}"/>
    <cellStyle name="Normal_Final cover - LG Reporting" xfId="6" xr:uid="{00000000-0005-0000-0000-000007000000}"/>
    <cellStyle name="Percent" xfId="7" builtinId="5"/>
    <cellStyle name="Percent 10 2" xfId="8" xr:uid="{00000000-0005-0000-0000-000009000000}"/>
    <cellStyle name="Percent 10 2 2" xfId="12" xr:uid="{BF2938D3-6E8A-409E-B6E7-0C09BC0B8279}"/>
    <cellStyle name="Percent 2" xfId="16" xr:uid="{A3C8E5FA-699B-45B9-8A1E-14CFFB77BB0F}"/>
    <cellStyle name="Percent 2 2" xfId="26" xr:uid="{CDCB89BA-D956-4CD7-826F-FD38F0F666D2}"/>
    <cellStyle name="Percent 2 3" xfId="35" xr:uid="{F04D9246-820B-42B0-8D8D-FF9FC9183980}"/>
  </cellStyles>
  <dxfs count="4">
    <dxf>
      <font>
        <b/>
        <i val="0"/>
        <color rgb="FFFF0000"/>
      </font>
    </dxf>
    <dxf>
      <font>
        <color rgb="FF9C0006"/>
      </font>
    </dxf>
    <dxf>
      <font>
        <b/>
        <i val="0"/>
        <color rgb="FFFF0000"/>
      </font>
    </dxf>
    <dxf>
      <font>
        <b/>
        <i val="0"/>
        <color rgb="FFFF0000"/>
      </font>
    </dxf>
  </dxfs>
  <tableStyles count="0" defaultTableStyle="TableStyleMedium9" defaultPivotStyle="PivotStyleLight16"/>
  <colors>
    <mruColors>
      <color rgb="FFFF696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externalLink" Target="externalLinks/externalLink2.xml"/><Relationship Id="rId76" Type="http://schemas.openxmlformats.org/officeDocument/2006/relationships/customXml" Target="../customXml/item1.xml"/><Relationship Id="rId7" Type="http://schemas.openxmlformats.org/officeDocument/2006/relationships/worksheet" Target="worksheets/sheet7.xml"/><Relationship Id="rId71"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sheetMetadata" Target="metadata.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sharedStrings" Target="sharedStrings.xml"/><Relationship Id="rId78"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externalLink" Target="externalLinks/externalLink3.xml"/><Relationship Id="rId77" Type="http://schemas.openxmlformats.org/officeDocument/2006/relationships/customXml" Target="../customXml/item2.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externalLink" Target="externalLinks/externalLink1.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externalLink" Target="externalLinks/externalLink4.xml"/><Relationship Id="rId75"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s>
</file>

<file path=xl/ctrlProps/ctrlProp1.xml><?xml version="1.0" encoding="utf-8"?>
<formControlPr xmlns="http://schemas.microsoft.com/office/spreadsheetml/2009/9/main" objectType="Drop" dropLines="2" dropStyle="combo" dx="26" fmlaLink="MuniEntities" fmlaRange="$X$4:$X$5" noThreeD="1" sel="2" val="0"/>
</file>

<file path=xl/ctrlProps/ctrlProp2.xml><?xml version="1.0" encoding="utf-8"?>
<formControlPr xmlns="http://schemas.microsoft.com/office/spreadsheetml/2009/9/main" objectType="Drop" dropLines="2" dropStyle="combo" dx="26" fmlaLink="MuniType" fmlaRange="$X$8:$X$9" noThreeD="1" sel="2" val="0"/>
</file>

<file path=xl/ctrlProps/ctrlProp3.xml><?xml version="1.0" encoding="utf-8"?>
<formControlPr xmlns="http://schemas.microsoft.com/office/spreadsheetml/2009/9/main" objectType="Drop" dropLines="6" dropStyle="combo" dx="26" fmlaLink="$X$33" fmlaRange="$X$17:$X$31" noThreeD="1" sel="15" val="9"/>
</file>

<file path=xl/ctrlProps/ctrlProp4.xml><?xml version="1.0" encoding="utf-8"?>
<formControlPr xmlns="http://schemas.microsoft.com/office/spreadsheetml/2009/9/main" objectType="Drop" dropLines="10" dropStyle="combo" dx="26" fmlaLink="'Lookup and lists'!$B$27" fmlaRange="'Lookup and lists'!$B$29:$C$307" noThreeD="1" sel="86" val="85"/>
</file>

<file path=xl/ctrlProps/ctrlProp5.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8" Type="http://schemas.openxmlformats.org/officeDocument/2006/relationships/image" Target="../media/image7.jpeg"/><Relationship Id="rId3" Type="http://schemas.openxmlformats.org/officeDocument/2006/relationships/image" Target="../media/image3.jpeg"/><Relationship Id="rId7" Type="http://schemas.openxmlformats.org/officeDocument/2006/relationships/image" Target="../media/image6.jpeg"/><Relationship Id="rId2" Type="http://schemas.openxmlformats.org/officeDocument/2006/relationships/image" Target="../media/image2.jpeg"/><Relationship Id="rId1" Type="http://schemas.openxmlformats.org/officeDocument/2006/relationships/image" Target="../media/image1.jpeg"/><Relationship Id="rId6" Type="http://schemas.openxmlformats.org/officeDocument/2006/relationships/image" Target="../media/image5.jpeg"/><Relationship Id="rId5" Type="http://schemas.openxmlformats.org/officeDocument/2006/relationships/hyperlink" Target="https://portals.treasury.gov.za/sites/lguploadportal/SitePages/Home.aspx" TargetMode="External"/><Relationship Id="rId4" Type="http://schemas.openxmlformats.org/officeDocument/2006/relationships/image" Target="../media/image4.jpeg"/><Relationship Id="rId9" Type="http://schemas.openxmlformats.org/officeDocument/2006/relationships/image" Target="../media/image8.jpeg"/></Relationships>
</file>

<file path=xl/drawings/_rels/drawing2.xml.rels><?xml version="1.0" encoding="UTF-8" standalone="yes"?>
<Relationships xmlns="http://schemas.openxmlformats.org/package/2006/relationships"><Relationship Id="rId8" Type="http://schemas.openxmlformats.org/officeDocument/2006/relationships/hyperlink" Target="http://mfma.treasury.gov.za/MFMA/Guidelines/MFMA%20Funding%20compliance/MFMA%20Funding%20compliance%20guideline%20-%2010%20March%202008.pdf" TargetMode="External"/><Relationship Id="rId13" Type="http://schemas.openxmlformats.org/officeDocument/2006/relationships/image" Target="../media/image14.emf"/><Relationship Id="rId3" Type="http://schemas.openxmlformats.org/officeDocument/2006/relationships/image" Target="../media/image9.emf"/><Relationship Id="rId7" Type="http://schemas.openxmlformats.org/officeDocument/2006/relationships/hyperlink" Target="http://mfma.treasury.gov.za/RegulationsandGazettes/Municipal%20Budget%20and%20Reporting%20Regulations/regulation2012-2013/Documents/Budget%20Format%20Guidelines_%202012_13.pdf" TargetMode="External"/><Relationship Id="rId12" Type="http://schemas.openxmlformats.org/officeDocument/2006/relationships/image" Target="../media/image13.emf"/><Relationship Id="rId2" Type="http://schemas.openxmlformats.org/officeDocument/2006/relationships/image" Target="../media/image2.jpeg"/><Relationship Id="rId1" Type="http://schemas.openxmlformats.org/officeDocument/2006/relationships/image" Target="../media/image1.jpeg"/><Relationship Id="rId6" Type="http://schemas.openxmlformats.org/officeDocument/2006/relationships/hyperlink" Target="http://mfma.treasury.gov.za/Guidelines/Pages/DummyBudgetGuide.aspx" TargetMode="External"/><Relationship Id="rId11" Type="http://schemas.openxmlformats.org/officeDocument/2006/relationships/image" Target="../media/image12.emf"/><Relationship Id="rId5" Type="http://schemas.openxmlformats.org/officeDocument/2006/relationships/hyperlink" Target="http://mfma.treasury.gov.za/Return_Forms/Pages/default.aspx" TargetMode="External"/><Relationship Id="rId10" Type="http://schemas.openxmlformats.org/officeDocument/2006/relationships/image" Target="../media/image11.emf"/><Relationship Id="rId4" Type="http://schemas.openxmlformats.org/officeDocument/2006/relationships/hyperlink" Target="http://mfma.treasury.gov.za/Circulars/Pages/default.aspx" TargetMode="External"/><Relationship Id="rId9" Type="http://schemas.openxmlformats.org/officeDocument/2006/relationships/image" Target="../media/image10.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15.emf"/></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14</xdr:col>
      <xdr:colOff>68580</xdr:colOff>
      <xdr:row>39</xdr:row>
      <xdr:rowOff>91440</xdr:rowOff>
    </xdr:to>
    <xdr:grpSp>
      <xdr:nvGrpSpPr>
        <xdr:cNvPr id="1169" name="Group 316">
          <a:extLst>
            <a:ext uri="{FF2B5EF4-FFF2-40B4-BE49-F238E27FC236}">
              <a16:creationId xmlns:a16="http://schemas.microsoft.com/office/drawing/2014/main" id="{00000000-0008-0000-0200-000091040000}"/>
            </a:ext>
          </a:extLst>
        </xdr:cNvPr>
        <xdr:cNvGrpSpPr>
          <a:grpSpLocks/>
        </xdr:cNvGrpSpPr>
      </xdr:nvGrpSpPr>
      <xdr:grpSpPr bwMode="auto">
        <a:xfrm>
          <a:off x="0" y="0"/>
          <a:ext cx="7536180" cy="6406515"/>
          <a:chOff x="0" y="0"/>
          <a:chExt cx="791" cy="672"/>
        </a:xfrm>
      </xdr:grpSpPr>
      <xdr:grpSp>
        <xdr:nvGrpSpPr>
          <xdr:cNvPr id="1171" name="Group 11">
            <a:extLst>
              <a:ext uri="{FF2B5EF4-FFF2-40B4-BE49-F238E27FC236}">
                <a16:creationId xmlns:a16="http://schemas.microsoft.com/office/drawing/2014/main" id="{00000000-0008-0000-0200-000093040000}"/>
              </a:ext>
            </a:extLst>
          </xdr:cNvPr>
          <xdr:cNvGrpSpPr>
            <a:grpSpLocks/>
          </xdr:cNvGrpSpPr>
        </xdr:nvGrpSpPr>
        <xdr:grpSpPr bwMode="auto">
          <a:xfrm>
            <a:off x="0" y="0"/>
            <a:ext cx="791" cy="672"/>
            <a:chOff x="0" y="0"/>
            <a:chExt cx="791" cy="672"/>
          </a:xfrm>
        </xdr:grpSpPr>
        <xdr:grpSp>
          <xdr:nvGrpSpPr>
            <xdr:cNvPr id="1173" name="Group 12">
              <a:extLst>
                <a:ext uri="{FF2B5EF4-FFF2-40B4-BE49-F238E27FC236}">
                  <a16:creationId xmlns:a16="http://schemas.microsoft.com/office/drawing/2014/main" id="{00000000-0008-0000-0200-000095040000}"/>
                </a:ext>
              </a:extLst>
            </xdr:cNvPr>
            <xdr:cNvGrpSpPr>
              <a:grpSpLocks/>
            </xdr:cNvGrpSpPr>
          </xdr:nvGrpSpPr>
          <xdr:grpSpPr bwMode="auto">
            <a:xfrm>
              <a:off x="0" y="0"/>
              <a:ext cx="791" cy="672"/>
              <a:chOff x="12" y="17"/>
              <a:chExt cx="791" cy="672"/>
            </a:xfrm>
          </xdr:grpSpPr>
          <xdr:pic>
            <xdr:nvPicPr>
              <xdr:cNvPr id="1175" name="Picture 13" descr="Untitled-1 copy">
                <a:extLst>
                  <a:ext uri="{FF2B5EF4-FFF2-40B4-BE49-F238E27FC236}">
                    <a16:creationId xmlns:a16="http://schemas.microsoft.com/office/drawing/2014/main" id="{00000000-0008-0000-0200-00009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 y="17"/>
                <a:ext cx="791" cy="6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176" name="Picture 14" descr="1 copy">
                <a:extLst>
                  <a:ext uri="{FF2B5EF4-FFF2-40B4-BE49-F238E27FC236}">
                    <a16:creationId xmlns:a16="http://schemas.microsoft.com/office/drawing/2014/main" id="{00000000-0008-0000-0200-0000980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3" y="249"/>
                <a:ext cx="770" cy="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nvGrpSpPr>
              <xdr:cNvPr id="1177" name="Group 15">
                <a:extLst>
                  <a:ext uri="{FF2B5EF4-FFF2-40B4-BE49-F238E27FC236}">
                    <a16:creationId xmlns:a16="http://schemas.microsoft.com/office/drawing/2014/main" id="{00000000-0008-0000-0200-000099040000}"/>
                  </a:ext>
                </a:extLst>
              </xdr:cNvPr>
              <xdr:cNvGrpSpPr>
                <a:grpSpLocks/>
              </xdr:cNvGrpSpPr>
            </xdr:nvGrpSpPr>
            <xdr:grpSpPr bwMode="auto">
              <a:xfrm>
                <a:off x="416" y="255"/>
                <a:ext cx="367" cy="413"/>
                <a:chOff x="416" y="255"/>
                <a:chExt cx="367" cy="413"/>
              </a:xfrm>
            </xdr:grpSpPr>
            <xdr:pic>
              <xdr:nvPicPr>
                <xdr:cNvPr id="1182" name="Picture 48" descr="Untitled-4-2">
                  <a:extLst>
                    <a:ext uri="{FF2B5EF4-FFF2-40B4-BE49-F238E27FC236}">
                      <a16:creationId xmlns:a16="http://schemas.microsoft.com/office/drawing/2014/main" id="{00000000-0008-0000-0200-00009E040000}"/>
                    </a:ext>
                  </a:extLst>
                </xdr:cNvPr>
                <xdr:cNvPicPr>
                  <a:picLocks noChangeAspect="1" noChangeArrowheads="1"/>
                </xdr:cNvPicPr>
              </xdr:nvPicPr>
              <xdr:blipFill>
                <a:blip xmlns:r="http://schemas.openxmlformats.org/officeDocument/2006/relationships" r:embed="rId3">
                  <a:clrChange>
                    <a:clrFrom>
                      <a:srgbClr val="FFFFFF"/>
                    </a:clrFrom>
                    <a:clrTo>
                      <a:srgbClr val="FFFFFF">
                        <a:alpha val="0"/>
                      </a:srgbClr>
                    </a:clrTo>
                  </a:clrChange>
                  <a:lum bright="54000" contrast="-18000"/>
                  <a:extLst>
                    <a:ext uri="{28A0092B-C50C-407E-A947-70E740481C1C}">
                      <a14:useLocalDpi xmlns:a14="http://schemas.microsoft.com/office/drawing/2010/main" val="0"/>
                    </a:ext>
                  </a:extLst>
                </a:blip>
                <a:srcRect l="3902" t="4648" r="53714" b="11395"/>
                <a:stretch>
                  <a:fillRect/>
                </a:stretch>
              </xdr:blipFill>
              <xdr:spPr bwMode="auto">
                <a:xfrm>
                  <a:off x="416" y="255"/>
                  <a:ext cx="367" cy="4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nvGrpSpPr>
                <xdr:cNvPr id="1183" name="Group 17">
                  <a:extLst>
                    <a:ext uri="{FF2B5EF4-FFF2-40B4-BE49-F238E27FC236}">
                      <a16:creationId xmlns:a16="http://schemas.microsoft.com/office/drawing/2014/main" id="{00000000-0008-0000-0200-00009F040000}"/>
                    </a:ext>
                  </a:extLst>
                </xdr:cNvPr>
                <xdr:cNvGrpSpPr>
                  <a:grpSpLocks/>
                </xdr:cNvGrpSpPr>
              </xdr:nvGrpSpPr>
              <xdr:grpSpPr bwMode="auto">
                <a:xfrm>
                  <a:off x="432" y="264"/>
                  <a:ext cx="286" cy="128"/>
                  <a:chOff x="426" y="263"/>
                  <a:chExt cx="290" cy="130"/>
                </a:xfrm>
              </xdr:grpSpPr>
              <xdr:pic>
                <xdr:nvPicPr>
                  <xdr:cNvPr id="1185" name="Picture 52" descr="Letter Head">
                    <a:extLst>
                      <a:ext uri="{FF2B5EF4-FFF2-40B4-BE49-F238E27FC236}">
                        <a16:creationId xmlns:a16="http://schemas.microsoft.com/office/drawing/2014/main" id="{00000000-0008-0000-0200-0000A1040000}"/>
                      </a:ext>
                    </a:extLst>
                  </xdr:cNvPr>
                  <xdr:cNvPicPr>
                    <a:picLocks noChangeAspect="1" noChangeArrowheads="1"/>
                  </xdr:cNvPicPr>
                </xdr:nvPicPr>
                <xdr:blipFill>
                  <a:blip xmlns:r="http://schemas.openxmlformats.org/officeDocument/2006/relationships" r:embed="rId4" cstate="print">
                    <a:clrChange>
                      <a:clrFrom>
                        <a:srgbClr val="FFFFFF"/>
                      </a:clrFrom>
                      <a:clrTo>
                        <a:srgbClr val="FFFFFF">
                          <a:alpha val="0"/>
                        </a:srgbClr>
                      </a:clrTo>
                    </a:clrChange>
                    <a:lum bright="-6000" contrast="12000"/>
                    <a:extLst>
                      <a:ext uri="{28A0092B-C50C-407E-A947-70E740481C1C}">
                        <a14:useLocalDpi xmlns:a14="http://schemas.microsoft.com/office/drawing/2010/main" val="0"/>
                      </a:ext>
                    </a:extLst>
                  </a:blip>
                  <a:srcRect l="7806" t="23810" r="4646" b="24339"/>
                  <a:stretch>
                    <a:fillRect/>
                  </a:stretch>
                </xdr:blipFill>
                <xdr:spPr bwMode="auto">
                  <a:xfrm>
                    <a:off x="426" y="263"/>
                    <a:ext cx="290" cy="1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1186" name="Line 53">
                    <a:extLst>
                      <a:ext uri="{FF2B5EF4-FFF2-40B4-BE49-F238E27FC236}">
                        <a16:creationId xmlns:a16="http://schemas.microsoft.com/office/drawing/2014/main" id="{00000000-0008-0000-0200-0000A2040000}"/>
                      </a:ext>
                    </a:extLst>
                  </xdr:cNvPr>
                  <xdr:cNvSpPr>
                    <a:spLocks noChangeShapeType="1"/>
                  </xdr:cNvSpPr>
                </xdr:nvSpPr>
                <xdr:spPr bwMode="auto">
                  <a:xfrm>
                    <a:off x="515" y="325"/>
                    <a:ext cx="187" cy="0"/>
                  </a:xfrm>
                  <a:prstGeom prst="line">
                    <a:avLst/>
                  </a:prstGeom>
                  <a:noFill/>
                  <a:ln w="12700">
                    <a:solidFill>
                      <a:srgbClr val="000000"/>
                    </a:solidFill>
                    <a:round/>
                    <a:headEnd/>
                    <a:tailEnd/>
                  </a:ln>
                  <a:extLst>
                    <a:ext uri="{909E8E84-426E-40DD-AFC4-6F175D3DCCD1}">
                      <a14:hiddenFill xmlns:a14="http://schemas.microsoft.com/office/drawing/2010/main">
                        <a:noFill/>
                      </a14:hiddenFill>
                    </a:ext>
                  </a:extLst>
                </xdr:spPr>
              </xdr:sp>
            </xdr:grpSp>
            <xdr:sp macro="" textlink="">
              <xdr:nvSpPr>
                <xdr:cNvPr id="122900" name="Text Box 20">
                  <a:hlinkClick xmlns:r="http://schemas.openxmlformats.org/officeDocument/2006/relationships" r:id="rId5"/>
                  <a:extLst>
                    <a:ext uri="{FF2B5EF4-FFF2-40B4-BE49-F238E27FC236}">
                      <a16:creationId xmlns:a16="http://schemas.microsoft.com/office/drawing/2014/main" id="{00000000-0008-0000-0200-000014E00100}"/>
                    </a:ext>
                  </a:extLst>
                </xdr:cNvPr>
                <xdr:cNvSpPr txBox="1">
                  <a:spLocks noChangeArrowheads="1"/>
                </xdr:cNvSpPr>
              </xdr:nvSpPr>
              <xdr:spPr bwMode="auto">
                <a:xfrm>
                  <a:off x="433" y="394"/>
                  <a:ext cx="335" cy="255"/>
                </a:xfrm>
                <a:prstGeom prst="rect">
                  <a:avLst/>
                </a:prstGeom>
                <a:noFill/>
                <a:ln w="9525">
                  <a:noFill/>
                  <a:miter lim="800000"/>
                  <a:headEnd/>
                  <a:tailEnd/>
                </a:ln>
              </xdr:spPr>
              <xdr:txBody>
                <a:bodyPr vertOverflow="clip" wrap="square" lIns="27432" tIns="27432" rIns="0" bIns="0" anchor="t" upright="1"/>
                <a:lstStyle/>
                <a:p>
                  <a:pPr algn="l" rtl="1">
                    <a:lnSpc>
                      <a:spcPts val="1400"/>
                    </a:lnSpc>
                    <a:defRPr sz="1000"/>
                  </a:pPr>
                  <a:endParaRPr lang="en-US" sz="1200" b="1" i="0" u="sng" strike="noStrike">
                    <a:solidFill>
                      <a:srgbClr val="000000"/>
                    </a:solidFill>
                    <a:latin typeface="Calibri"/>
                  </a:endParaRPr>
                </a:p>
                <a:p>
                  <a:pPr algn="l" rtl="1">
                    <a:lnSpc>
                      <a:spcPts val="1400"/>
                    </a:lnSpc>
                    <a:defRPr sz="1000"/>
                  </a:pPr>
                  <a:r>
                    <a:rPr lang="en-US" sz="1200" b="1" i="0" u="sng" strike="noStrike">
                      <a:solidFill>
                        <a:srgbClr val="000000"/>
                      </a:solidFill>
                      <a:latin typeface="Calibri"/>
                    </a:rPr>
                    <a:t>Contact details:</a:t>
                  </a:r>
                  <a:endParaRPr lang="en-US" sz="1200" b="0" i="0" strike="noStrike">
                    <a:solidFill>
                      <a:srgbClr val="000000"/>
                    </a:solidFill>
                    <a:latin typeface="Calibri"/>
                  </a:endParaRPr>
                </a:p>
                <a:p>
                  <a:pPr algn="l" rtl="1">
                    <a:lnSpc>
                      <a:spcPts val="1400"/>
                    </a:lnSpc>
                    <a:defRPr sz="1000"/>
                  </a:pPr>
                  <a:endParaRPr lang="en-US" sz="1200" b="0" i="0" strike="noStrike">
                    <a:solidFill>
                      <a:srgbClr val="000000"/>
                    </a:solidFill>
                    <a:latin typeface="Calibri"/>
                  </a:endParaRPr>
                </a:p>
                <a:p>
                  <a:pPr algn="l" rtl="1">
                    <a:defRPr sz="1000"/>
                  </a:pPr>
                  <a:r>
                    <a:rPr lang="en-US" sz="1000" b="0" i="0" strike="noStrike">
                      <a:solidFill>
                        <a:srgbClr val="000000"/>
                      </a:solidFill>
                      <a:latin typeface="Calibri"/>
                    </a:rPr>
                    <a:t>Elsabé Rossouw</a:t>
                  </a:r>
                </a:p>
                <a:p>
                  <a:pPr algn="l" rtl="1">
                    <a:defRPr sz="1000"/>
                  </a:pPr>
                  <a:r>
                    <a:rPr lang="en-US" sz="1000" b="0" i="0" strike="noStrike">
                      <a:solidFill>
                        <a:srgbClr val="000000"/>
                      </a:solidFill>
                      <a:latin typeface="Calibri"/>
                    </a:rPr>
                    <a:t>National Treasury </a:t>
                  </a:r>
                </a:p>
                <a:p>
                  <a:pPr algn="l" rtl="1">
                    <a:defRPr sz="1000"/>
                  </a:pPr>
                  <a:r>
                    <a:rPr lang="en-US" sz="1000" b="0" i="0" strike="noStrike">
                      <a:solidFill>
                        <a:srgbClr val="000000"/>
                      </a:solidFill>
                      <a:latin typeface="Calibri"/>
                    </a:rPr>
                    <a:t>Tel: (012) 315-5534 </a:t>
                  </a:r>
                </a:p>
                <a:p>
                  <a:pPr algn="l" rtl="1">
                    <a:defRPr sz="1000"/>
                  </a:pPr>
                  <a:r>
                    <a:rPr lang="en-US" sz="1000" b="0" i="0" strike="noStrike">
                      <a:solidFill>
                        <a:srgbClr val="000000"/>
                      </a:solidFill>
                      <a:latin typeface="Calibri"/>
                    </a:rPr>
                    <a:t>Electronic submissions: </a:t>
                  </a:r>
                </a:p>
                <a:p>
                  <a:pPr algn="l" rtl="1">
                    <a:defRPr sz="1000"/>
                  </a:pPr>
                  <a:r>
                    <a:rPr lang="en-US" sz="1000" b="0" i="0" strike="noStrike">
                      <a:solidFill>
                        <a:srgbClr val="000000"/>
                      </a:solidFill>
                      <a:latin typeface="Calibri"/>
                    </a:rPr>
                    <a:t>                           LG Upload Portal</a:t>
                  </a:r>
                </a:p>
                <a:p>
                  <a:pPr algn="l" rtl="1">
                    <a:lnSpc>
                      <a:spcPts val="1100"/>
                    </a:lnSpc>
                    <a:defRPr sz="1000"/>
                  </a:pPr>
                  <a:r>
                    <a:rPr lang="en-US" sz="1000" b="0" i="0" strike="noStrike">
                      <a:solidFill>
                        <a:srgbClr val="000000"/>
                      </a:solidFill>
                      <a:latin typeface="+mn-lt"/>
                    </a:rPr>
                    <a:t>		</a:t>
                  </a:r>
                </a:p>
                <a:p>
                  <a:pPr algn="l" rtl="1">
                    <a:defRPr sz="1000"/>
                  </a:pPr>
                  <a:r>
                    <a:rPr lang="en-US" sz="1000" b="0" i="0" strike="noStrike">
                      <a:solidFill>
                        <a:srgbClr val="000000"/>
                      </a:solidFill>
                      <a:latin typeface="+mn-lt"/>
                    </a:rPr>
                    <a:t> </a:t>
                  </a:r>
                </a:p>
                <a:p>
                  <a:pPr algn="l" rtl="1">
                    <a:lnSpc>
                      <a:spcPts val="900"/>
                    </a:lnSpc>
                    <a:defRPr sz="1000"/>
                  </a:pPr>
                  <a:endParaRPr lang="en-US" sz="1000" b="0" i="0" strike="noStrike">
                    <a:solidFill>
                      <a:srgbClr val="000000"/>
                    </a:solidFill>
                    <a:latin typeface="Calibri"/>
                  </a:endParaRPr>
                </a:p>
              </xdr:txBody>
            </xdr:sp>
          </xdr:grpSp>
          <xdr:grpSp>
            <xdr:nvGrpSpPr>
              <xdr:cNvPr id="1178" name="Group 21">
                <a:extLst>
                  <a:ext uri="{FF2B5EF4-FFF2-40B4-BE49-F238E27FC236}">
                    <a16:creationId xmlns:a16="http://schemas.microsoft.com/office/drawing/2014/main" id="{00000000-0008-0000-0200-00009A040000}"/>
                  </a:ext>
                </a:extLst>
              </xdr:cNvPr>
              <xdr:cNvGrpSpPr>
                <a:grpSpLocks/>
              </xdr:cNvGrpSpPr>
            </xdr:nvGrpSpPr>
            <xdr:grpSpPr bwMode="auto">
              <a:xfrm>
                <a:off x="76" y="364"/>
                <a:ext cx="289" cy="256"/>
                <a:chOff x="76" y="364"/>
                <a:chExt cx="289" cy="256"/>
              </a:xfrm>
            </xdr:grpSpPr>
            <xdr:pic>
              <xdr:nvPicPr>
                <xdr:cNvPr id="1179" name="Picture 22" descr="J1c">
                  <a:extLst>
                    <a:ext uri="{FF2B5EF4-FFF2-40B4-BE49-F238E27FC236}">
                      <a16:creationId xmlns:a16="http://schemas.microsoft.com/office/drawing/2014/main" id="{00000000-0008-0000-0200-00009B040000}"/>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76" y="364"/>
                  <a:ext cx="289" cy="8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180" name="Picture 23" descr="J1a">
                  <a:extLst>
                    <a:ext uri="{FF2B5EF4-FFF2-40B4-BE49-F238E27FC236}">
                      <a16:creationId xmlns:a16="http://schemas.microsoft.com/office/drawing/2014/main" id="{00000000-0008-0000-0200-00009C040000}"/>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76" y="536"/>
                  <a:ext cx="289" cy="8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181" name="Picture 24" descr="J1b">
                  <a:extLst>
                    <a:ext uri="{FF2B5EF4-FFF2-40B4-BE49-F238E27FC236}">
                      <a16:creationId xmlns:a16="http://schemas.microsoft.com/office/drawing/2014/main" id="{00000000-0008-0000-0200-00009D0400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76" y="450"/>
                  <a:ext cx="289" cy="8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grpSp>
        <xdr:pic>
          <xdr:nvPicPr>
            <xdr:cNvPr id="1174" name="Picture 25" descr="A1 light">
              <a:extLst>
                <a:ext uri="{FF2B5EF4-FFF2-40B4-BE49-F238E27FC236}">
                  <a16:creationId xmlns:a16="http://schemas.microsoft.com/office/drawing/2014/main" id="{00000000-0008-0000-0200-00009604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11" y="11"/>
              <a:ext cx="770" cy="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sp macro="" textlink="">
        <xdr:nvSpPr>
          <xdr:cNvPr id="123193" name="Text Box 313">
            <a:extLst>
              <a:ext uri="{FF2B5EF4-FFF2-40B4-BE49-F238E27FC236}">
                <a16:creationId xmlns:a16="http://schemas.microsoft.com/office/drawing/2014/main" id="{00000000-0008-0000-0200-000039E10100}"/>
              </a:ext>
            </a:extLst>
          </xdr:cNvPr>
          <xdr:cNvSpPr txBox="1">
            <a:spLocks noChangeArrowheads="1"/>
          </xdr:cNvSpPr>
        </xdr:nvSpPr>
        <xdr:spPr bwMode="auto">
          <a:xfrm>
            <a:off x="638" y="197"/>
            <a:ext cx="137" cy="17"/>
          </a:xfrm>
          <a:prstGeom prst="rect">
            <a:avLst/>
          </a:prstGeom>
          <a:noFill/>
          <a:ln>
            <a:noFill/>
          </a:ln>
        </xdr:spPr>
        <xdr:txBody>
          <a:bodyPr vertOverflow="clip" wrap="square" lIns="27432" tIns="32004" rIns="0" bIns="0" anchor="t" upright="1"/>
          <a:lstStyle/>
          <a:p>
            <a:pPr algn="l" rtl="0">
              <a:defRPr sz="1000"/>
            </a:pPr>
            <a:r>
              <a:rPr lang="en-GB" sz="1000" b="0" i="0" u="none" strike="noStrike" baseline="0">
                <a:solidFill>
                  <a:srgbClr val="FFFFFF"/>
                </a:solidFill>
                <a:latin typeface="Bookman Old Style"/>
              </a:rPr>
              <a:t>mSCOA Version 6.5</a:t>
            </a:r>
          </a:p>
        </xdr:txBody>
      </xdr:sp>
    </xdr:grpSp>
    <xdr:clientData/>
  </xdr:twoCellAnchor>
  <xdr:twoCellAnchor>
    <xdr:from>
      <xdr:col>1</xdr:col>
      <xdr:colOff>72390</xdr:colOff>
      <xdr:row>15</xdr:row>
      <xdr:rowOff>172085</xdr:rowOff>
    </xdr:from>
    <xdr:to>
      <xdr:col>4</xdr:col>
      <xdr:colOff>498511</xdr:colOff>
      <xdr:row>19</xdr:row>
      <xdr:rowOff>3541</xdr:rowOff>
    </xdr:to>
    <xdr:sp macro="[0]!GoToInstructions" textlink="">
      <xdr:nvSpPr>
        <xdr:cNvPr id="122906" name="Text Box 26">
          <a:extLst>
            <a:ext uri="{FF2B5EF4-FFF2-40B4-BE49-F238E27FC236}">
              <a16:creationId xmlns:a16="http://schemas.microsoft.com/office/drawing/2014/main" id="{00000000-0008-0000-0200-00001AE00100}"/>
            </a:ext>
          </a:extLst>
        </xdr:cNvPr>
        <xdr:cNvSpPr txBox="1">
          <a:spLocks noChangeArrowheads="1"/>
        </xdr:cNvSpPr>
      </xdr:nvSpPr>
      <xdr:spPr bwMode="auto">
        <a:xfrm>
          <a:off x="619125" y="2581275"/>
          <a:ext cx="2000250" cy="495300"/>
        </a:xfrm>
        <a:prstGeom prst="rect">
          <a:avLst/>
        </a:prstGeom>
        <a:gradFill rotWithShape="1">
          <a:gsLst>
            <a:gs pos="0">
              <a:srgbClr val="000080"/>
            </a:gs>
            <a:gs pos="50000">
              <a:srgbClr val="000080">
                <a:gamma/>
                <a:tint val="1176"/>
                <a:invGamma/>
              </a:srgbClr>
            </a:gs>
            <a:gs pos="100000">
              <a:srgbClr val="000080"/>
            </a:gs>
          </a:gsLst>
          <a:lin ang="5400000" scaled="1"/>
        </a:gradFill>
        <a:ln w="9525">
          <a:solidFill>
            <a:srgbClr val="000000"/>
          </a:solidFill>
          <a:miter lim="800000"/>
          <a:headEnd/>
          <a:tailEnd/>
        </a:ln>
      </xdr:spPr>
      <xdr:txBody>
        <a:bodyPr vertOverflow="clip" wrap="square" lIns="36576" tIns="32004" rIns="36576" bIns="32004" anchor="ctr" upright="1"/>
        <a:lstStyle/>
        <a:p>
          <a:pPr algn="ctr" rtl="1">
            <a:defRPr sz="1000"/>
          </a:pPr>
          <a:r>
            <a:rPr lang="en-US" sz="1400" b="1" i="0" strike="noStrike">
              <a:solidFill>
                <a:srgbClr val="000000"/>
              </a:solidFill>
              <a:latin typeface="Calibri"/>
            </a:rPr>
            <a:t>Click for Instructions!</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12</xdr:col>
      <xdr:colOff>411480</xdr:colOff>
      <xdr:row>46</xdr:row>
      <xdr:rowOff>60960</xdr:rowOff>
    </xdr:to>
    <xdr:pic>
      <xdr:nvPicPr>
        <xdr:cNvPr id="268910" name="Picture 3" descr="Untitled-1 copy">
          <a:extLst>
            <a:ext uri="{FF2B5EF4-FFF2-40B4-BE49-F238E27FC236}">
              <a16:creationId xmlns:a16="http://schemas.microsoft.com/office/drawing/2014/main" id="{00000000-0008-0000-0300-00006E1A04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7543800" cy="777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167640</xdr:colOff>
      <xdr:row>28</xdr:row>
      <xdr:rowOff>38100</xdr:rowOff>
    </xdr:from>
    <xdr:to>
      <xdr:col>6</xdr:col>
      <xdr:colOff>373380</xdr:colOff>
      <xdr:row>45</xdr:row>
      <xdr:rowOff>60960</xdr:rowOff>
    </xdr:to>
    <xdr:pic>
      <xdr:nvPicPr>
        <xdr:cNvPr id="268911" name="Picture 4" descr="1 copy">
          <a:extLst>
            <a:ext uri="{FF2B5EF4-FFF2-40B4-BE49-F238E27FC236}">
              <a16:creationId xmlns:a16="http://schemas.microsoft.com/office/drawing/2014/main" id="{00000000-0008-0000-0300-00006F1A04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67640" y="4732020"/>
          <a:ext cx="3771900" cy="28727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7</xdr:col>
      <xdr:colOff>71755</xdr:colOff>
      <xdr:row>24</xdr:row>
      <xdr:rowOff>120015</xdr:rowOff>
    </xdr:from>
    <xdr:to>
      <xdr:col>11</xdr:col>
      <xdr:colOff>553170</xdr:colOff>
      <xdr:row>27</xdr:row>
      <xdr:rowOff>108901</xdr:rowOff>
    </xdr:to>
    <xdr:sp macro="[0]!GoToOrgstructure" textlink="">
      <xdr:nvSpPr>
        <xdr:cNvPr id="123920" name="Text Box 16">
          <a:extLst>
            <a:ext uri="{FF2B5EF4-FFF2-40B4-BE49-F238E27FC236}">
              <a16:creationId xmlns:a16="http://schemas.microsoft.com/office/drawing/2014/main" id="{00000000-0008-0000-0300-000010E40100}"/>
            </a:ext>
          </a:extLst>
        </xdr:cNvPr>
        <xdr:cNvSpPr txBox="1">
          <a:spLocks noChangeArrowheads="1"/>
        </xdr:cNvSpPr>
      </xdr:nvSpPr>
      <xdr:spPr bwMode="auto">
        <a:xfrm>
          <a:off x="4333875" y="3990975"/>
          <a:ext cx="2933700" cy="495300"/>
        </a:xfrm>
        <a:prstGeom prst="rect">
          <a:avLst/>
        </a:prstGeom>
        <a:gradFill rotWithShape="1">
          <a:gsLst>
            <a:gs pos="0">
              <a:srgbClr val="000080"/>
            </a:gs>
            <a:gs pos="50000">
              <a:srgbClr val="000080">
                <a:gamma/>
                <a:tint val="1176"/>
                <a:invGamma/>
              </a:srgbClr>
            </a:gs>
            <a:gs pos="100000">
              <a:srgbClr val="000080"/>
            </a:gs>
          </a:gsLst>
          <a:lin ang="5400000" scaled="1"/>
        </a:gradFill>
        <a:ln w="9525">
          <a:solidFill>
            <a:srgbClr val="000000"/>
          </a:solidFill>
          <a:miter lim="800000"/>
          <a:headEnd/>
          <a:tailEnd/>
        </a:ln>
      </xdr:spPr>
      <xdr:txBody>
        <a:bodyPr vertOverflow="clip" wrap="square" lIns="36576" tIns="32004" rIns="36576" bIns="32004" anchor="ctr" upright="1"/>
        <a:lstStyle/>
        <a:p>
          <a:pPr algn="ctr" rtl="1">
            <a:defRPr sz="1000"/>
          </a:pPr>
          <a:r>
            <a:rPr lang="en-US" sz="1400" b="1" i="0" strike="noStrike">
              <a:solidFill>
                <a:srgbClr val="000000"/>
              </a:solidFill>
              <a:latin typeface="Calibri"/>
            </a:rPr>
            <a:t>Name Votes &amp; Sub-Votes</a:t>
          </a:r>
        </a:p>
      </xdr:txBody>
    </xdr:sp>
    <xdr:clientData/>
  </xdr:twoCellAnchor>
  <xdr:twoCellAnchor>
    <xdr:from>
      <xdr:col>0</xdr:col>
      <xdr:colOff>149860</xdr:colOff>
      <xdr:row>0</xdr:row>
      <xdr:rowOff>118745</xdr:rowOff>
    </xdr:from>
    <xdr:to>
      <xdr:col>12</xdr:col>
      <xdr:colOff>269250</xdr:colOff>
      <xdr:row>3</xdr:row>
      <xdr:rowOff>141643</xdr:rowOff>
    </xdr:to>
    <xdr:sp macro="" textlink="">
      <xdr:nvSpPr>
        <xdr:cNvPr id="123921" name="Text Box 17">
          <a:extLst>
            <a:ext uri="{FF2B5EF4-FFF2-40B4-BE49-F238E27FC236}">
              <a16:creationId xmlns:a16="http://schemas.microsoft.com/office/drawing/2014/main" id="{00000000-0008-0000-0300-000011E40100}"/>
            </a:ext>
          </a:extLst>
        </xdr:cNvPr>
        <xdr:cNvSpPr txBox="1">
          <a:spLocks noChangeArrowheads="1"/>
        </xdr:cNvSpPr>
      </xdr:nvSpPr>
      <xdr:spPr bwMode="auto">
        <a:xfrm>
          <a:off x="161925" y="123825"/>
          <a:ext cx="7429500" cy="495300"/>
        </a:xfrm>
        <a:prstGeom prst="rect">
          <a:avLst/>
        </a:prstGeom>
        <a:gradFill rotWithShape="1">
          <a:gsLst>
            <a:gs pos="0">
              <a:srgbClr val="000080"/>
            </a:gs>
            <a:gs pos="50000">
              <a:srgbClr val="000080">
                <a:gamma/>
                <a:tint val="1176"/>
                <a:invGamma/>
              </a:srgbClr>
            </a:gs>
            <a:gs pos="100000">
              <a:srgbClr val="000080"/>
            </a:gs>
          </a:gsLst>
          <a:lin ang="5400000" scaled="1"/>
        </a:gradFill>
        <a:ln w="9525">
          <a:solidFill>
            <a:srgbClr val="000000"/>
          </a:solidFill>
          <a:miter lim="800000"/>
          <a:headEnd/>
          <a:tailEnd/>
        </a:ln>
      </xdr:spPr>
      <xdr:txBody>
        <a:bodyPr vertOverflow="clip" wrap="square" lIns="36576" tIns="32004" rIns="36576" bIns="32004" anchor="ctr" upright="1"/>
        <a:lstStyle/>
        <a:p>
          <a:pPr algn="ctr" rtl="1">
            <a:defRPr sz="1000"/>
          </a:pPr>
          <a:r>
            <a:rPr lang="en-US" sz="1400" b="1" i="0" strike="noStrike">
              <a:solidFill>
                <a:srgbClr val="000000"/>
              </a:solidFill>
              <a:latin typeface="Calibri"/>
            </a:rPr>
            <a:t>Preparation Instructions</a:t>
          </a:r>
        </a:p>
      </xdr:txBody>
    </xdr:sp>
    <xdr:clientData/>
  </xdr:twoCellAnchor>
  <xdr:twoCellAnchor>
    <xdr:from>
      <xdr:col>0</xdr:col>
      <xdr:colOff>202565</xdr:colOff>
      <xdr:row>28</xdr:row>
      <xdr:rowOff>66675</xdr:rowOff>
    </xdr:from>
    <xdr:to>
      <xdr:col>6</xdr:col>
      <xdr:colOff>340996</xdr:colOff>
      <xdr:row>31</xdr:row>
      <xdr:rowOff>108784</xdr:rowOff>
    </xdr:to>
    <xdr:sp macro="" textlink="">
      <xdr:nvSpPr>
        <xdr:cNvPr id="124127" name="Text Box 18">
          <a:extLst>
            <a:ext uri="{FF2B5EF4-FFF2-40B4-BE49-F238E27FC236}">
              <a16:creationId xmlns:a16="http://schemas.microsoft.com/office/drawing/2014/main" id="{00000000-0008-0000-0300-0000DFE40100}"/>
            </a:ext>
          </a:extLst>
        </xdr:cNvPr>
        <xdr:cNvSpPr txBox="1">
          <a:spLocks noChangeArrowheads="1"/>
        </xdr:cNvSpPr>
      </xdr:nvSpPr>
      <xdr:spPr bwMode="auto">
        <a:xfrm>
          <a:off x="209550" y="4600575"/>
          <a:ext cx="3790950" cy="533400"/>
        </a:xfrm>
        <a:prstGeom prst="rect">
          <a:avLst/>
        </a:prstGeom>
        <a:gradFill rotWithShape="1">
          <a:gsLst>
            <a:gs pos="0">
              <a:srgbClr val="000080"/>
            </a:gs>
            <a:gs pos="50000">
              <a:srgbClr val="FCFCFE"/>
            </a:gs>
            <a:gs pos="100000">
              <a:srgbClr val="000080"/>
            </a:gs>
          </a:gsLst>
          <a:lin ang="5400000" scaled="1"/>
        </a:gradFill>
        <a:ln w="9525">
          <a:solidFill>
            <a:srgbClr val="000000"/>
          </a:solidFill>
          <a:miter lim="800000"/>
          <a:headEnd/>
          <a:tailEnd/>
        </a:ln>
      </xdr:spPr>
      <xdr:txBody>
        <a:bodyPr vertOverflow="clip" wrap="square" lIns="36576" tIns="32004" rIns="36576" bIns="32004" anchor="ctr"/>
        <a:lstStyle/>
        <a:p>
          <a:pPr algn="ctr" rtl="0">
            <a:defRPr sz="1000"/>
          </a:pPr>
          <a:r>
            <a:rPr lang="en-GB" sz="1400" b="1" i="0" u="none" strike="noStrike" baseline="0">
              <a:solidFill>
                <a:srgbClr val="000000"/>
              </a:solidFill>
              <a:latin typeface="Calibri"/>
              <a:cs typeface="Calibri"/>
            </a:rPr>
            <a:t>Printing Instructions</a:t>
          </a:r>
        </a:p>
      </xdr:txBody>
    </xdr:sp>
    <xdr:clientData/>
  </xdr:twoCellAnchor>
  <xdr:twoCellAnchor>
    <xdr:from>
      <xdr:col>0</xdr:col>
      <xdr:colOff>183515</xdr:colOff>
      <xdr:row>4</xdr:row>
      <xdr:rowOff>0</xdr:rowOff>
    </xdr:from>
    <xdr:to>
      <xdr:col>5</xdr:col>
      <xdr:colOff>73630</xdr:colOff>
      <xdr:row>6</xdr:row>
      <xdr:rowOff>57150</xdr:rowOff>
    </xdr:to>
    <xdr:sp macro="" textlink="">
      <xdr:nvSpPr>
        <xdr:cNvPr id="123923" name="Text Box 19">
          <a:extLst>
            <a:ext uri="{FF2B5EF4-FFF2-40B4-BE49-F238E27FC236}">
              <a16:creationId xmlns:a16="http://schemas.microsoft.com/office/drawing/2014/main" id="{00000000-0008-0000-0300-000013E40100}"/>
            </a:ext>
          </a:extLst>
        </xdr:cNvPr>
        <xdr:cNvSpPr txBox="1">
          <a:spLocks noChangeArrowheads="1"/>
        </xdr:cNvSpPr>
      </xdr:nvSpPr>
      <xdr:spPr bwMode="auto">
        <a:xfrm>
          <a:off x="190500" y="647700"/>
          <a:ext cx="2933700" cy="381000"/>
        </a:xfrm>
        <a:prstGeom prst="rect">
          <a:avLst/>
        </a:prstGeom>
        <a:noFill/>
        <a:ln w="9525">
          <a:noFill/>
          <a:miter lim="800000"/>
          <a:headEnd/>
          <a:tailEnd/>
        </a:ln>
      </xdr:spPr>
      <xdr:txBody>
        <a:bodyPr vertOverflow="clip" wrap="square" lIns="0" tIns="32004" rIns="36576" bIns="32004" anchor="ctr" upright="1"/>
        <a:lstStyle/>
        <a:p>
          <a:pPr algn="r" rtl="1">
            <a:defRPr sz="1000"/>
          </a:pPr>
          <a:r>
            <a:rPr lang="en-US" sz="1400" b="1" i="0" strike="noStrike">
              <a:solidFill>
                <a:srgbClr val="FFFFFF"/>
              </a:solidFill>
              <a:latin typeface="Calibri"/>
            </a:rPr>
            <a:t>Municipality Name:</a:t>
          </a:r>
        </a:p>
      </xdr:txBody>
    </xdr:sp>
    <xdr:clientData/>
  </xdr:twoCellAnchor>
  <xdr:twoCellAnchor>
    <xdr:from>
      <xdr:col>0</xdr:col>
      <xdr:colOff>149860</xdr:colOff>
      <xdr:row>14</xdr:row>
      <xdr:rowOff>80010</xdr:rowOff>
    </xdr:from>
    <xdr:to>
      <xdr:col>5</xdr:col>
      <xdr:colOff>40007</xdr:colOff>
      <xdr:row>17</xdr:row>
      <xdr:rowOff>103162</xdr:rowOff>
    </xdr:to>
    <xdr:sp macro="" textlink="">
      <xdr:nvSpPr>
        <xdr:cNvPr id="123926" name="Text Box 22">
          <a:extLst>
            <a:ext uri="{FF2B5EF4-FFF2-40B4-BE49-F238E27FC236}">
              <a16:creationId xmlns:a16="http://schemas.microsoft.com/office/drawing/2014/main" id="{00000000-0008-0000-0300-000016E40100}"/>
            </a:ext>
          </a:extLst>
        </xdr:cNvPr>
        <xdr:cNvSpPr txBox="1">
          <a:spLocks noChangeArrowheads="1"/>
        </xdr:cNvSpPr>
      </xdr:nvSpPr>
      <xdr:spPr bwMode="auto">
        <a:xfrm>
          <a:off x="161925" y="2352675"/>
          <a:ext cx="2933700" cy="495300"/>
        </a:xfrm>
        <a:prstGeom prst="rect">
          <a:avLst/>
        </a:prstGeom>
        <a:noFill/>
        <a:ln w="9525">
          <a:noFill/>
          <a:miter lim="800000"/>
          <a:headEnd/>
          <a:tailEnd/>
        </a:ln>
      </xdr:spPr>
      <xdr:txBody>
        <a:bodyPr vertOverflow="clip" wrap="square" lIns="0" tIns="32004" rIns="36576" bIns="32004" anchor="ctr" upright="1"/>
        <a:lstStyle/>
        <a:p>
          <a:pPr algn="r" rtl="0">
            <a:defRPr sz="1000"/>
          </a:pPr>
          <a:r>
            <a:rPr lang="en-GB" sz="1400" b="1" i="0" u="none" strike="noStrike" baseline="0">
              <a:solidFill>
                <a:srgbClr val="FFFFFF"/>
              </a:solidFill>
              <a:latin typeface="Calibri"/>
              <a:cs typeface="Calibri"/>
            </a:rPr>
            <a:t>Budget for MTREF starting:</a:t>
          </a:r>
        </a:p>
      </xdr:txBody>
    </xdr:sp>
    <xdr:clientData/>
  </xdr:twoCellAnchor>
  <xdr:twoCellAnchor>
    <xdr:from>
      <xdr:col>7</xdr:col>
      <xdr:colOff>262890</xdr:colOff>
      <xdr:row>14</xdr:row>
      <xdr:rowOff>80010</xdr:rowOff>
    </xdr:from>
    <xdr:to>
      <xdr:col>9</xdr:col>
      <xdr:colOff>462159</xdr:colOff>
      <xdr:row>17</xdr:row>
      <xdr:rowOff>103162</xdr:rowOff>
    </xdr:to>
    <xdr:sp macro="" textlink="">
      <xdr:nvSpPr>
        <xdr:cNvPr id="123928" name="Text Box 24">
          <a:extLst>
            <a:ext uri="{FF2B5EF4-FFF2-40B4-BE49-F238E27FC236}">
              <a16:creationId xmlns:a16="http://schemas.microsoft.com/office/drawing/2014/main" id="{00000000-0008-0000-0300-000018E40100}"/>
            </a:ext>
          </a:extLst>
        </xdr:cNvPr>
        <xdr:cNvSpPr txBox="1">
          <a:spLocks noChangeArrowheads="1"/>
        </xdr:cNvSpPr>
      </xdr:nvSpPr>
      <xdr:spPr bwMode="auto">
        <a:xfrm>
          <a:off x="4524375" y="2352675"/>
          <a:ext cx="1438275" cy="495300"/>
        </a:xfrm>
        <a:prstGeom prst="rect">
          <a:avLst/>
        </a:prstGeom>
        <a:noFill/>
        <a:ln w="9525">
          <a:noFill/>
          <a:miter lim="800000"/>
          <a:headEnd/>
          <a:tailEnd/>
        </a:ln>
      </xdr:spPr>
      <xdr:txBody>
        <a:bodyPr vertOverflow="clip" wrap="square" lIns="0" tIns="32004" rIns="36576" bIns="32004" anchor="ctr" upright="1"/>
        <a:lstStyle/>
        <a:p>
          <a:pPr algn="r" rtl="1">
            <a:defRPr sz="1000"/>
          </a:pPr>
          <a:r>
            <a:rPr lang="en-US" sz="1400" b="1" i="0" strike="noStrike">
              <a:solidFill>
                <a:srgbClr val="FFFFFF"/>
              </a:solidFill>
              <a:latin typeface="Calibri"/>
            </a:rPr>
            <a:t>Budget Year:</a:t>
          </a:r>
        </a:p>
      </xdr:txBody>
    </xdr:sp>
    <xdr:clientData/>
  </xdr:twoCellAnchor>
  <xdr:twoCellAnchor>
    <xdr:from>
      <xdr:col>0</xdr:col>
      <xdr:colOff>149860</xdr:colOff>
      <xdr:row>17</xdr:row>
      <xdr:rowOff>57150</xdr:rowOff>
    </xdr:from>
    <xdr:to>
      <xdr:col>5</xdr:col>
      <xdr:colOff>40007</xdr:colOff>
      <xdr:row>20</xdr:row>
      <xdr:rowOff>66675</xdr:rowOff>
    </xdr:to>
    <xdr:sp macro="" textlink="">
      <xdr:nvSpPr>
        <xdr:cNvPr id="123929" name="Text Box 25">
          <a:extLst>
            <a:ext uri="{FF2B5EF4-FFF2-40B4-BE49-F238E27FC236}">
              <a16:creationId xmlns:a16="http://schemas.microsoft.com/office/drawing/2014/main" id="{00000000-0008-0000-0300-000019E40100}"/>
            </a:ext>
          </a:extLst>
        </xdr:cNvPr>
        <xdr:cNvSpPr txBox="1">
          <a:spLocks noChangeArrowheads="1"/>
        </xdr:cNvSpPr>
      </xdr:nvSpPr>
      <xdr:spPr bwMode="auto">
        <a:xfrm>
          <a:off x="161925" y="2809875"/>
          <a:ext cx="2933700" cy="495300"/>
        </a:xfrm>
        <a:prstGeom prst="rect">
          <a:avLst/>
        </a:prstGeom>
        <a:noFill/>
        <a:ln w="9525">
          <a:noFill/>
          <a:miter lim="800000"/>
          <a:headEnd/>
          <a:tailEnd/>
        </a:ln>
      </xdr:spPr>
      <xdr:txBody>
        <a:bodyPr vertOverflow="clip" wrap="square" lIns="0" tIns="32004" rIns="36576" bIns="32004" anchor="ctr" upright="1"/>
        <a:lstStyle/>
        <a:p>
          <a:pPr algn="r" rtl="1">
            <a:defRPr sz="1000"/>
          </a:pPr>
          <a:r>
            <a:rPr lang="en-US" sz="1400" b="1" i="0" strike="noStrike">
              <a:solidFill>
                <a:srgbClr val="FFFFFF"/>
              </a:solidFill>
              <a:latin typeface="Calibri"/>
            </a:rPr>
            <a:t>Does this municipality have Entities?</a:t>
          </a:r>
        </a:p>
      </xdr:txBody>
    </xdr:sp>
    <xdr:clientData/>
  </xdr:twoCellAnchor>
  <xdr:twoCellAnchor>
    <xdr:from>
      <xdr:col>0</xdr:col>
      <xdr:colOff>149860</xdr:colOff>
      <xdr:row>20</xdr:row>
      <xdr:rowOff>120015</xdr:rowOff>
    </xdr:from>
    <xdr:to>
      <xdr:col>5</xdr:col>
      <xdr:colOff>40007</xdr:colOff>
      <xdr:row>22</xdr:row>
      <xdr:rowOff>147099</xdr:rowOff>
    </xdr:to>
    <xdr:sp macro="" textlink="">
      <xdr:nvSpPr>
        <xdr:cNvPr id="123930" name="Text Box 26">
          <a:extLst>
            <a:ext uri="{FF2B5EF4-FFF2-40B4-BE49-F238E27FC236}">
              <a16:creationId xmlns:a16="http://schemas.microsoft.com/office/drawing/2014/main" id="{00000000-0008-0000-0300-00001AE40100}"/>
            </a:ext>
          </a:extLst>
        </xdr:cNvPr>
        <xdr:cNvSpPr txBox="1">
          <a:spLocks noChangeArrowheads="1"/>
        </xdr:cNvSpPr>
      </xdr:nvSpPr>
      <xdr:spPr bwMode="auto">
        <a:xfrm>
          <a:off x="161925" y="3343275"/>
          <a:ext cx="2933700" cy="371475"/>
        </a:xfrm>
        <a:prstGeom prst="rect">
          <a:avLst/>
        </a:prstGeom>
        <a:noFill/>
        <a:ln w="9525">
          <a:noFill/>
          <a:miter lim="800000"/>
          <a:headEnd/>
          <a:tailEnd/>
        </a:ln>
      </xdr:spPr>
      <xdr:txBody>
        <a:bodyPr vertOverflow="clip" wrap="square" lIns="0" tIns="32004" rIns="36576" bIns="32004" anchor="ctr" upright="1"/>
        <a:lstStyle/>
        <a:p>
          <a:pPr algn="r" rtl="1">
            <a:defRPr sz="1000"/>
          </a:pPr>
          <a:r>
            <a:rPr lang="en-US" sz="1400" b="1" i="0" strike="noStrike">
              <a:solidFill>
                <a:srgbClr val="FFFFFF"/>
              </a:solidFill>
              <a:latin typeface="Calibri"/>
            </a:rPr>
            <a:t>If YES: Identify type of report:</a:t>
          </a:r>
        </a:p>
      </xdr:txBody>
    </xdr:sp>
    <xdr:clientData/>
  </xdr:twoCellAnchor>
  <xdr:twoCellAnchor>
    <xdr:from>
      <xdr:col>0</xdr:col>
      <xdr:colOff>180340</xdr:colOff>
      <xdr:row>7</xdr:row>
      <xdr:rowOff>0</xdr:rowOff>
    </xdr:from>
    <xdr:to>
      <xdr:col>5</xdr:col>
      <xdr:colOff>70487</xdr:colOff>
      <xdr:row>8</xdr:row>
      <xdr:rowOff>140875</xdr:rowOff>
    </xdr:to>
    <xdr:sp macro="" textlink="">
      <xdr:nvSpPr>
        <xdr:cNvPr id="123943" name="Text Box 39">
          <a:extLst>
            <a:ext uri="{FF2B5EF4-FFF2-40B4-BE49-F238E27FC236}">
              <a16:creationId xmlns:a16="http://schemas.microsoft.com/office/drawing/2014/main" id="{00000000-0008-0000-0300-000027E40100}"/>
            </a:ext>
          </a:extLst>
        </xdr:cNvPr>
        <xdr:cNvSpPr txBox="1">
          <a:spLocks noChangeArrowheads="1"/>
        </xdr:cNvSpPr>
      </xdr:nvSpPr>
      <xdr:spPr bwMode="auto">
        <a:xfrm>
          <a:off x="200025" y="1133475"/>
          <a:ext cx="2933700" cy="295275"/>
        </a:xfrm>
        <a:prstGeom prst="rect">
          <a:avLst/>
        </a:prstGeom>
        <a:noFill/>
        <a:ln w="9525">
          <a:noFill/>
          <a:miter lim="800000"/>
          <a:headEnd/>
          <a:tailEnd/>
        </a:ln>
      </xdr:spPr>
      <xdr:txBody>
        <a:bodyPr vertOverflow="clip" wrap="square" lIns="0" tIns="32004" rIns="36576" bIns="32004" anchor="ctr" upright="1"/>
        <a:lstStyle/>
        <a:p>
          <a:pPr algn="r" rtl="1">
            <a:defRPr sz="1000"/>
          </a:pPr>
          <a:r>
            <a:rPr lang="en-US" sz="1400" b="1" i="0" strike="noStrike">
              <a:solidFill>
                <a:srgbClr val="FFFFFF"/>
              </a:solidFill>
              <a:latin typeface="Calibri"/>
            </a:rPr>
            <a:t>CFO Name:</a:t>
          </a:r>
        </a:p>
      </xdr:txBody>
    </xdr:sp>
    <xdr:clientData/>
  </xdr:twoCellAnchor>
  <xdr:twoCellAnchor>
    <xdr:from>
      <xdr:col>3</xdr:col>
      <xdr:colOff>411480</xdr:colOff>
      <xdr:row>9</xdr:row>
      <xdr:rowOff>57150</xdr:rowOff>
    </xdr:from>
    <xdr:to>
      <xdr:col>5</xdr:col>
      <xdr:colOff>70468</xdr:colOff>
      <xdr:row>11</xdr:row>
      <xdr:rowOff>28575</xdr:rowOff>
    </xdr:to>
    <xdr:sp macro="" textlink="">
      <xdr:nvSpPr>
        <xdr:cNvPr id="123944" name="Text Box 40">
          <a:extLst>
            <a:ext uri="{FF2B5EF4-FFF2-40B4-BE49-F238E27FC236}">
              <a16:creationId xmlns:a16="http://schemas.microsoft.com/office/drawing/2014/main" id="{00000000-0008-0000-0300-000028E40100}"/>
            </a:ext>
          </a:extLst>
        </xdr:cNvPr>
        <xdr:cNvSpPr txBox="1">
          <a:spLocks noChangeArrowheads="1"/>
        </xdr:cNvSpPr>
      </xdr:nvSpPr>
      <xdr:spPr bwMode="auto">
        <a:xfrm>
          <a:off x="2257425" y="1514475"/>
          <a:ext cx="876300" cy="295275"/>
        </a:xfrm>
        <a:prstGeom prst="rect">
          <a:avLst/>
        </a:prstGeom>
        <a:noFill/>
        <a:ln w="9525">
          <a:noFill/>
          <a:miter lim="800000"/>
          <a:headEnd/>
          <a:tailEnd/>
        </a:ln>
      </xdr:spPr>
      <xdr:txBody>
        <a:bodyPr vertOverflow="clip" wrap="square" lIns="0" tIns="32004" rIns="36576" bIns="32004" anchor="ctr" upright="1"/>
        <a:lstStyle/>
        <a:p>
          <a:pPr algn="r" rtl="1">
            <a:defRPr sz="1000"/>
          </a:pPr>
          <a:r>
            <a:rPr lang="en-US" sz="1400" b="1" i="0" strike="noStrike">
              <a:solidFill>
                <a:srgbClr val="FFFFFF"/>
              </a:solidFill>
              <a:latin typeface="Calibri"/>
            </a:rPr>
            <a:t>Tel:</a:t>
          </a:r>
        </a:p>
      </xdr:txBody>
    </xdr:sp>
    <xdr:clientData/>
  </xdr:twoCellAnchor>
  <xdr:twoCellAnchor>
    <xdr:from>
      <xdr:col>0</xdr:col>
      <xdr:colOff>202565</xdr:colOff>
      <xdr:row>11</xdr:row>
      <xdr:rowOff>118745</xdr:rowOff>
    </xdr:from>
    <xdr:to>
      <xdr:col>5</xdr:col>
      <xdr:colOff>90818</xdr:colOff>
      <xdr:row>13</xdr:row>
      <xdr:rowOff>109291</xdr:rowOff>
    </xdr:to>
    <xdr:sp macro="" textlink="">
      <xdr:nvSpPr>
        <xdr:cNvPr id="123945" name="Text Box 41">
          <a:extLst>
            <a:ext uri="{FF2B5EF4-FFF2-40B4-BE49-F238E27FC236}">
              <a16:creationId xmlns:a16="http://schemas.microsoft.com/office/drawing/2014/main" id="{00000000-0008-0000-0300-000029E40100}"/>
            </a:ext>
          </a:extLst>
        </xdr:cNvPr>
        <xdr:cNvSpPr txBox="1">
          <a:spLocks noChangeArrowheads="1"/>
        </xdr:cNvSpPr>
      </xdr:nvSpPr>
      <xdr:spPr bwMode="auto">
        <a:xfrm>
          <a:off x="209550" y="1905000"/>
          <a:ext cx="2933700" cy="314325"/>
        </a:xfrm>
        <a:prstGeom prst="rect">
          <a:avLst/>
        </a:prstGeom>
        <a:noFill/>
        <a:ln w="9525">
          <a:noFill/>
          <a:miter lim="800000"/>
          <a:headEnd/>
          <a:tailEnd/>
        </a:ln>
      </xdr:spPr>
      <xdr:txBody>
        <a:bodyPr vertOverflow="clip" wrap="square" lIns="0" tIns="32004" rIns="36576" bIns="32004" anchor="ctr" upright="1"/>
        <a:lstStyle/>
        <a:p>
          <a:pPr algn="r" rtl="1">
            <a:defRPr sz="1000"/>
          </a:pPr>
          <a:r>
            <a:rPr lang="en-US" sz="1400" b="1" i="0" strike="noStrike">
              <a:solidFill>
                <a:srgbClr val="FFFFFF"/>
              </a:solidFill>
              <a:latin typeface="Calibri"/>
            </a:rPr>
            <a:t>E-Mail:</a:t>
          </a:r>
        </a:p>
      </xdr:txBody>
    </xdr:sp>
    <xdr:clientData/>
  </xdr:twoCellAnchor>
  <xdr:twoCellAnchor>
    <xdr:from>
      <xdr:col>8</xdr:col>
      <xdr:colOff>1905</xdr:colOff>
      <xdr:row>9</xdr:row>
      <xdr:rowOff>76200</xdr:rowOff>
    </xdr:from>
    <xdr:to>
      <xdr:col>8</xdr:col>
      <xdr:colOff>529307</xdr:colOff>
      <xdr:row>11</xdr:row>
      <xdr:rowOff>47625</xdr:rowOff>
    </xdr:to>
    <xdr:sp macro="" textlink="">
      <xdr:nvSpPr>
        <xdr:cNvPr id="123949" name="Text Box 45">
          <a:extLst>
            <a:ext uri="{FF2B5EF4-FFF2-40B4-BE49-F238E27FC236}">
              <a16:creationId xmlns:a16="http://schemas.microsoft.com/office/drawing/2014/main" id="{00000000-0008-0000-0300-00002DE40100}"/>
            </a:ext>
          </a:extLst>
        </xdr:cNvPr>
        <xdr:cNvSpPr txBox="1">
          <a:spLocks noChangeArrowheads="1"/>
        </xdr:cNvSpPr>
      </xdr:nvSpPr>
      <xdr:spPr bwMode="auto">
        <a:xfrm>
          <a:off x="4886325" y="1533525"/>
          <a:ext cx="542925" cy="295275"/>
        </a:xfrm>
        <a:prstGeom prst="rect">
          <a:avLst/>
        </a:prstGeom>
        <a:noFill/>
        <a:ln w="9525">
          <a:noFill/>
          <a:miter lim="800000"/>
          <a:headEnd/>
          <a:tailEnd/>
        </a:ln>
      </xdr:spPr>
      <xdr:txBody>
        <a:bodyPr vertOverflow="clip" wrap="square" lIns="0" tIns="32004" rIns="36576" bIns="32004" anchor="ctr" upright="1"/>
        <a:lstStyle/>
        <a:p>
          <a:pPr algn="r" rtl="1">
            <a:defRPr sz="1000"/>
          </a:pPr>
          <a:r>
            <a:rPr lang="en-US" sz="1400" b="1" i="0" strike="noStrike">
              <a:solidFill>
                <a:srgbClr val="FFFFFF"/>
              </a:solidFill>
              <a:latin typeface="Calibri"/>
            </a:rPr>
            <a:t>Fax:</a:t>
          </a:r>
        </a:p>
      </xdr:txBody>
    </xdr:sp>
    <xdr:clientData/>
  </xdr:twoCellAnchor>
  <xdr:twoCellAnchor>
    <xdr:from>
      <xdr:col>1</xdr:col>
      <xdr:colOff>145415</xdr:colOff>
      <xdr:row>33</xdr:row>
      <xdr:rowOff>0</xdr:rowOff>
    </xdr:from>
    <xdr:to>
      <xdr:col>5</xdr:col>
      <xdr:colOff>371462</xdr:colOff>
      <xdr:row>34</xdr:row>
      <xdr:rowOff>146887</xdr:rowOff>
    </xdr:to>
    <xdr:sp macro="" textlink="">
      <xdr:nvSpPr>
        <xdr:cNvPr id="124137" name="Text Box 233">
          <a:extLst>
            <a:ext uri="{FF2B5EF4-FFF2-40B4-BE49-F238E27FC236}">
              <a16:creationId xmlns:a16="http://schemas.microsoft.com/office/drawing/2014/main" id="{00000000-0008-0000-0300-0000E9E40100}"/>
            </a:ext>
          </a:extLst>
        </xdr:cNvPr>
        <xdr:cNvSpPr txBox="1">
          <a:spLocks noChangeArrowheads="1"/>
        </xdr:cNvSpPr>
      </xdr:nvSpPr>
      <xdr:spPr bwMode="auto">
        <a:xfrm>
          <a:off x="752475" y="5343525"/>
          <a:ext cx="2676525" cy="314324"/>
        </a:xfrm>
        <a:prstGeom prst="rect">
          <a:avLst/>
        </a:prstGeom>
        <a:noFill/>
        <a:ln>
          <a:noFill/>
        </a:ln>
      </xdr:spPr>
      <xdr:txBody>
        <a:bodyPr vertOverflow="clip" wrap="square" lIns="0" tIns="32004" rIns="36576" bIns="32004" anchor="ctr"/>
        <a:lstStyle/>
        <a:p>
          <a:pPr algn="ctr" rtl="0">
            <a:defRPr sz="1000"/>
          </a:pPr>
          <a:r>
            <a:rPr lang="en-GB" sz="1400" b="1" i="0" u="sng" strike="noStrike" baseline="0">
              <a:solidFill>
                <a:srgbClr val="FFFFFF"/>
              </a:solidFill>
              <a:latin typeface="Calibri"/>
              <a:cs typeface="Calibri"/>
            </a:rPr>
            <a:t>Showing / Hiding Columns</a:t>
          </a:r>
        </a:p>
      </xdr:txBody>
    </xdr:sp>
    <xdr:clientData/>
  </xdr:twoCellAnchor>
  <xdr:twoCellAnchor>
    <xdr:from>
      <xdr:col>0</xdr:col>
      <xdr:colOff>589280</xdr:colOff>
      <xdr:row>39</xdr:row>
      <xdr:rowOff>102870</xdr:rowOff>
    </xdr:from>
    <xdr:to>
      <xdr:col>5</xdr:col>
      <xdr:colOff>562591</xdr:colOff>
      <xdr:row>41</xdr:row>
      <xdr:rowOff>140970</xdr:rowOff>
    </xdr:to>
    <xdr:sp macro="" textlink="">
      <xdr:nvSpPr>
        <xdr:cNvPr id="124138" name="Text Box 234">
          <a:extLst>
            <a:ext uri="{FF2B5EF4-FFF2-40B4-BE49-F238E27FC236}">
              <a16:creationId xmlns:a16="http://schemas.microsoft.com/office/drawing/2014/main" id="{00000000-0008-0000-0300-0000EAE40100}"/>
            </a:ext>
          </a:extLst>
        </xdr:cNvPr>
        <xdr:cNvSpPr txBox="1">
          <a:spLocks noChangeArrowheads="1"/>
        </xdr:cNvSpPr>
      </xdr:nvSpPr>
      <xdr:spPr bwMode="auto">
        <a:xfrm>
          <a:off x="590550" y="6410325"/>
          <a:ext cx="3028950" cy="371475"/>
        </a:xfrm>
        <a:prstGeom prst="rect">
          <a:avLst/>
        </a:prstGeom>
        <a:noFill/>
        <a:ln>
          <a:noFill/>
        </a:ln>
      </xdr:spPr>
      <xdr:txBody>
        <a:bodyPr vertOverflow="clip" wrap="square" lIns="0" tIns="32004" rIns="36576" bIns="32004" anchor="ctr"/>
        <a:lstStyle/>
        <a:p>
          <a:pPr algn="ctr" rtl="0">
            <a:defRPr sz="1000"/>
          </a:pPr>
          <a:r>
            <a:rPr lang="en-GB" sz="1400" b="1" i="0" u="sng" strike="noStrike" baseline="0">
              <a:solidFill>
                <a:srgbClr val="FFFFFF"/>
              </a:solidFill>
              <a:latin typeface="Calibri"/>
              <a:cs typeface="Calibri"/>
            </a:rPr>
            <a:t>Showing / Clearing Highlights</a:t>
          </a:r>
        </a:p>
      </xdr:txBody>
    </xdr:sp>
    <xdr:clientData/>
  </xdr:twoCellAnchor>
  <mc:AlternateContent xmlns:mc="http://schemas.openxmlformats.org/markup-compatibility/2006">
    <mc:Choice xmlns:a14="http://schemas.microsoft.com/office/drawing/2010/main" Requires="a14">
      <xdr:twoCellAnchor editAs="oneCell">
        <xdr:from>
          <xdr:col>5</xdr:col>
          <xdr:colOff>209550</xdr:colOff>
          <xdr:row>18</xdr:row>
          <xdr:rowOff>38100</xdr:rowOff>
        </xdr:from>
        <xdr:to>
          <xdr:col>6</xdr:col>
          <xdr:colOff>247650</xdr:colOff>
          <xdr:row>19</xdr:row>
          <xdr:rowOff>57150</xdr:rowOff>
        </xdr:to>
        <xdr:sp macro="" textlink="">
          <xdr:nvSpPr>
            <xdr:cNvPr id="123931" name="Drop Down 27" hidden="1">
              <a:extLst>
                <a:ext uri="{63B3BB69-23CF-44E3-9099-C40C66FF867C}">
                  <a14:compatExt spid="_x0000_s123931"/>
                </a:ext>
                <a:ext uri="{FF2B5EF4-FFF2-40B4-BE49-F238E27FC236}">
                  <a16:creationId xmlns:a16="http://schemas.microsoft.com/office/drawing/2014/main" id="{00000000-0008-0000-0300-00001BE4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171450</xdr:colOff>
          <xdr:row>21</xdr:row>
          <xdr:rowOff>38100</xdr:rowOff>
        </xdr:from>
        <xdr:to>
          <xdr:col>7</xdr:col>
          <xdr:colOff>171450</xdr:colOff>
          <xdr:row>22</xdr:row>
          <xdr:rowOff>57150</xdr:rowOff>
        </xdr:to>
        <xdr:sp macro="" textlink="">
          <xdr:nvSpPr>
            <xdr:cNvPr id="123932" name="Drop Down 28" hidden="1">
              <a:extLst>
                <a:ext uri="{63B3BB69-23CF-44E3-9099-C40C66FF867C}">
                  <a14:compatExt spid="_x0000_s123932"/>
                </a:ext>
                <a:ext uri="{FF2B5EF4-FFF2-40B4-BE49-F238E27FC236}">
                  <a16:creationId xmlns:a16="http://schemas.microsoft.com/office/drawing/2014/main" id="{00000000-0008-0000-0300-00001CE4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209550</xdr:colOff>
          <xdr:row>15</xdr:row>
          <xdr:rowOff>95250</xdr:rowOff>
        </xdr:from>
        <xdr:to>
          <xdr:col>6</xdr:col>
          <xdr:colOff>552450</xdr:colOff>
          <xdr:row>16</xdr:row>
          <xdr:rowOff>133350</xdr:rowOff>
        </xdr:to>
        <xdr:sp macro="" textlink="">
          <xdr:nvSpPr>
            <xdr:cNvPr id="123936" name="Drop Down 32" hidden="1">
              <a:extLst>
                <a:ext uri="{63B3BB69-23CF-44E3-9099-C40C66FF867C}">
                  <a14:compatExt spid="_x0000_s123936"/>
                </a:ext>
                <a:ext uri="{FF2B5EF4-FFF2-40B4-BE49-F238E27FC236}">
                  <a16:creationId xmlns:a16="http://schemas.microsoft.com/office/drawing/2014/main" id="{00000000-0008-0000-0300-000020E4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563880</xdr:colOff>
          <xdr:row>15</xdr:row>
          <xdr:rowOff>22860</xdr:rowOff>
        </xdr:from>
        <xdr:to>
          <xdr:col>11</xdr:col>
          <xdr:colOff>453390</xdr:colOff>
          <xdr:row>17</xdr:row>
          <xdr:rowOff>30480</xdr:rowOff>
        </xdr:to>
        <xdr:pic>
          <xdr:nvPicPr>
            <xdr:cNvPr id="268926" name="TextBox2">
              <a:extLst>
                <a:ext uri="{FF2B5EF4-FFF2-40B4-BE49-F238E27FC236}">
                  <a16:creationId xmlns:a16="http://schemas.microsoft.com/office/drawing/2014/main" id="{00000000-0008-0000-0300-00007E1A0400}"/>
                </a:ext>
              </a:extLst>
            </xdr:cNvPr>
            <xdr:cNvPicPr preferRelativeResize="0">
              <a:picLocks noChangeArrowheads="1" noChangeShapeType="1"/>
              <a:extLst>
                <a:ext uri="{84589F7E-364E-4C9E-8A38-B11213B215E9}">
                  <a14:cameraTool cellRange="FinYear" spid="_x0000_s269306"/>
                </a:ext>
              </a:extLst>
            </xdr:cNvPicPr>
          </xdr:nvPicPr>
          <xdr:blipFill>
            <a:blip xmlns:r="http://schemas.openxmlformats.org/officeDocument/2006/relationships" r:embed="rId3">
              <a:grayscl/>
              <a:biLevel thresh="50000"/>
            </a:blip>
            <a:srcRect/>
            <a:stretch>
              <a:fillRect/>
            </a:stretch>
          </xdr:blipFill>
          <xdr:spPr bwMode="auto">
            <a:xfrm>
              <a:off x="5913120" y="2537460"/>
              <a:ext cx="1074420" cy="33528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xdr:twoCellAnchor editAs="oneCell">
    <xdr:from>
      <xdr:col>5</xdr:col>
      <xdr:colOff>152400</xdr:colOff>
      <xdr:row>7</xdr:row>
      <xdr:rowOff>38100</xdr:rowOff>
    </xdr:from>
    <xdr:to>
      <xdr:col>10</xdr:col>
      <xdr:colOff>38100</xdr:colOff>
      <xdr:row>8</xdr:row>
      <xdr:rowOff>69215</xdr:rowOff>
    </xdr:to>
    <xdr:sp macro="" textlink="">
      <xdr:nvSpPr>
        <xdr:cNvPr id="123946" name="TextBox3" hidden="1">
          <a:extLst>
            <a:ext uri="{63B3BB69-23CF-44E3-9099-C40C66FF867C}">
              <a14:compatExt xmlns:a14="http://schemas.microsoft.com/office/drawing/2010/main" spid="_x0000_s123946"/>
            </a:ext>
            <a:ext uri="{FF2B5EF4-FFF2-40B4-BE49-F238E27FC236}">
              <a16:creationId xmlns:a16="http://schemas.microsoft.com/office/drawing/2014/main" id="{00000000-0008-0000-0300-00002AE401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5</xdr:col>
      <xdr:colOff>139700</xdr:colOff>
      <xdr:row>9</xdr:row>
      <xdr:rowOff>127000</xdr:rowOff>
    </xdr:from>
    <xdr:to>
      <xdr:col>7</xdr:col>
      <xdr:colOff>145415</xdr:colOff>
      <xdr:row>10</xdr:row>
      <xdr:rowOff>152400</xdr:rowOff>
    </xdr:to>
    <xdr:sp macro="" textlink="">
      <xdr:nvSpPr>
        <xdr:cNvPr id="123947" name="TextBox4" hidden="1">
          <a:extLst>
            <a:ext uri="{63B3BB69-23CF-44E3-9099-C40C66FF867C}">
              <a14:compatExt xmlns:a14="http://schemas.microsoft.com/office/drawing/2010/main" spid="_x0000_s123947"/>
            </a:ext>
            <a:ext uri="{FF2B5EF4-FFF2-40B4-BE49-F238E27FC236}">
              <a16:creationId xmlns:a16="http://schemas.microsoft.com/office/drawing/2014/main" id="{00000000-0008-0000-0300-00002BE401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5</xdr:col>
      <xdr:colOff>177800</xdr:colOff>
      <xdr:row>12</xdr:row>
      <xdr:rowOff>25400</xdr:rowOff>
    </xdr:from>
    <xdr:to>
      <xdr:col>10</xdr:col>
      <xdr:colOff>69215</xdr:colOff>
      <xdr:row>13</xdr:row>
      <xdr:rowOff>45085</xdr:rowOff>
    </xdr:to>
    <xdr:sp macro="" textlink="">
      <xdr:nvSpPr>
        <xdr:cNvPr id="123948" name="TextBox5" hidden="1">
          <a:extLst>
            <a:ext uri="{63B3BB69-23CF-44E3-9099-C40C66FF867C}">
              <a14:compatExt xmlns:a14="http://schemas.microsoft.com/office/drawing/2010/main" spid="_x0000_s123948"/>
            </a:ext>
            <a:ext uri="{FF2B5EF4-FFF2-40B4-BE49-F238E27FC236}">
              <a16:creationId xmlns:a16="http://schemas.microsoft.com/office/drawing/2014/main" id="{00000000-0008-0000-0300-00002CE401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9</xdr:col>
      <xdr:colOff>25400</xdr:colOff>
      <xdr:row>9</xdr:row>
      <xdr:rowOff>127000</xdr:rowOff>
    </xdr:from>
    <xdr:to>
      <xdr:col>10</xdr:col>
      <xdr:colOff>495300</xdr:colOff>
      <xdr:row>10</xdr:row>
      <xdr:rowOff>152400</xdr:rowOff>
    </xdr:to>
    <xdr:sp macro="" textlink="">
      <xdr:nvSpPr>
        <xdr:cNvPr id="123950" name="TextBox6" hidden="1">
          <a:extLst>
            <a:ext uri="{63B3BB69-23CF-44E3-9099-C40C66FF867C}">
              <a14:compatExt xmlns:a14="http://schemas.microsoft.com/office/drawing/2010/main" spid="_x0000_s123950"/>
            </a:ext>
            <a:ext uri="{FF2B5EF4-FFF2-40B4-BE49-F238E27FC236}">
              <a16:creationId xmlns:a16="http://schemas.microsoft.com/office/drawing/2014/main" id="{00000000-0008-0000-0300-00002EE401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444500</xdr:colOff>
      <xdr:row>36</xdr:row>
      <xdr:rowOff>139700</xdr:rowOff>
    </xdr:from>
    <xdr:to>
      <xdr:col>4</xdr:col>
      <xdr:colOff>526415</xdr:colOff>
      <xdr:row>38</xdr:row>
      <xdr:rowOff>69215</xdr:rowOff>
    </xdr:to>
    <xdr:sp macro="" textlink="">
      <xdr:nvSpPr>
        <xdr:cNvPr id="124039" name="ToggleReferenceColumns" hidden="1">
          <a:extLst>
            <a:ext uri="{63B3BB69-23CF-44E3-9099-C40C66FF867C}">
              <a14:compatExt xmlns:a14="http://schemas.microsoft.com/office/drawing/2010/main" spid="_x0000_s124039"/>
            </a:ext>
            <a:ext uri="{FF2B5EF4-FFF2-40B4-BE49-F238E27FC236}">
              <a16:creationId xmlns:a16="http://schemas.microsoft.com/office/drawing/2014/main" id="{00000000-0008-0000-0300-000087E401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444500</xdr:colOff>
      <xdr:row>34</xdr:row>
      <xdr:rowOff>139700</xdr:rowOff>
    </xdr:from>
    <xdr:to>
      <xdr:col>4</xdr:col>
      <xdr:colOff>526415</xdr:colOff>
      <xdr:row>36</xdr:row>
      <xdr:rowOff>69215</xdr:rowOff>
    </xdr:to>
    <xdr:sp macro="" textlink="">
      <xdr:nvSpPr>
        <xdr:cNvPr id="124040" name="TogglePreAuditColums" hidden="1">
          <a:extLst>
            <a:ext uri="{63B3BB69-23CF-44E3-9099-C40C66FF867C}">
              <a14:compatExt xmlns:a14="http://schemas.microsoft.com/office/drawing/2010/main" spid="_x0000_s124040"/>
            </a:ext>
            <a:ext uri="{FF2B5EF4-FFF2-40B4-BE49-F238E27FC236}">
              <a16:creationId xmlns:a16="http://schemas.microsoft.com/office/drawing/2014/main" id="{00000000-0008-0000-0300-000088E401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495300</xdr:colOff>
      <xdr:row>41</xdr:row>
      <xdr:rowOff>139700</xdr:rowOff>
    </xdr:from>
    <xdr:to>
      <xdr:col>4</xdr:col>
      <xdr:colOff>571500</xdr:colOff>
      <xdr:row>43</xdr:row>
      <xdr:rowOff>76200</xdr:rowOff>
    </xdr:to>
    <xdr:sp macro="" textlink="">
      <xdr:nvSpPr>
        <xdr:cNvPr id="124042" name="ToggleHiddenColumns" hidden="1">
          <a:extLst>
            <a:ext uri="{63B3BB69-23CF-44E3-9099-C40C66FF867C}">
              <a14:compatExt xmlns:a14="http://schemas.microsoft.com/office/drawing/2010/main" spid="_x0000_s124042"/>
            </a:ext>
            <a:ext uri="{FF2B5EF4-FFF2-40B4-BE49-F238E27FC236}">
              <a16:creationId xmlns:a16="http://schemas.microsoft.com/office/drawing/2014/main" id="{00000000-0008-0000-0300-00008AE401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editAs="oneCell">
        <xdr:from>
          <xdr:col>5</xdr:col>
          <xdr:colOff>114300</xdr:colOff>
          <xdr:row>4</xdr:row>
          <xdr:rowOff>95250</xdr:rowOff>
        </xdr:from>
        <xdr:to>
          <xdr:col>9</xdr:col>
          <xdr:colOff>438150</xdr:colOff>
          <xdr:row>5</xdr:row>
          <xdr:rowOff>133350</xdr:rowOff>
        </xdr:to>
        <xdr:sp macro="" textlink="">
          <xdr:nvSpPr>
            <xdr:cNvPr id="124151" name="Drop Down 247" hidden="1">
              <a:extLst>
                <a:ext uri="{63B3BB69-23CF-44E3-9099-C40C66FF867C}">
                  <a14:compatExt spid="_x0000_s124151"/>
                </a:ext>
                <a:ext uri="{FF2B5EF4-FFF2-40B4-BE49-F238E27FC236}">
                  <a16:creationId xmlns:a16="http://schemas.microsoft.com/office/drawing/2014/main" id="{00000000-0008-0000-0300-0000F7E4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6</xdr:col>
      <xdr:colOff>373380</xdr:colOff>
      <xdr:row>28</xdr:row>
      <xdr:rowOff>22860</xdr:rowOff>
    </xdr:from>
    <xdr:to>
      <xdr:col>12</xdr:col>
      <xdr:colOff>251460</xdr:colOff>
      <xdr:row>45</xdr:row>
      <xdr:rowOff>91440</xdr:rowOff>
    </xdr:to>
    <xdr:pic>
      <xdr:nvPicPr>
        <xdr:cNvPr id="268927" name="Picture 4" descr="1 copy">
          <a:extLst>
            <a:ext uri="{FF2B5EF4-FFF2-40B4-BE49-F238E27FC236}">
              <a16:creationId xmlns:a16="http://schemas.microsoft.com/office/drawing/2014/main" id="{00000000-0008-0000-0300-00007F1A04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939540" y="4716780"/>
          <a:ext cx="3444240" cy="29184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381000</xdr:colOff>
      <xdr:row>28</xdr:row>
      <xdr:rowOff>66675</xdr:rowOff>
    </xdr:from>
    <xdr:to>
      <xdr:col>12</xdr:col>
      <xdr:colOff>202561</xdr:colOff>
      <xdr:row>32</xdr:row>
      <xdr:rowOff>28575</xdr:rowOff>
    </xdr:to>
    <xdr:sp macro="" textlink="">
      <xdr:nvSpPr>
        <xdr:cNvPr id="39" name="Text Box 18">
          <a:extLst>
            <a:ext uri="{FF2B5EF4-FFF2-40B4-BE49-F238E27FC236}">
              <a16:creationId xmlns:a16="http://schemas.microsoft.com/office/drawing/2014/main" id="{00000000-0008-0000-0300-000027000000}"/>
            </a:ext>
          </a:extLst>
        </xdr:cNvPr>
        <xdr:cNvSpPr txBox="1">
          <a:spLocks noChangeArrowheads="1"/>
        </xdr:cNvSpPr>
      </xdr:nvSpPr>
      <xdr:spPr bwMode="auto">
        <a:xfrm>
          <a:off x="4048125" y="4600575"/>
          <a:ext cx="3476625" cy="609600"/>
        </a:xfrm>
        <a:prstGeom prst="rect">
          <a:avLst/>
        </a:prstGeom>
        <a:gradFill rotWithShape="1">
          <a:gsLst>
            <a:gs pos="0">
              <a:srgbClr val="000080"/>
            </a:gs>
            <a:gs pos="50000">
              <a:srgbClr val="FCFCFE"/>
            </a:gs>
            <a:gs pos="100000">
              <a:srgbClr val="000080"/>
            </a:gs>
          </a:gsLst>
          <a:lin ang="5400000" scaled="1"/>
        </a:gradFill>
        <a:ln w="9525">
          <a:solidFill>
            <a:srgbClr val="000000"/>
          </a:solidFill>
          <a:miter lim="800000"/>
          <a:headEnd/>
          <a:tailEnd/>
        </a:ln>
      </xdr:spPr>
      <xdr:txBody>
        <a:bodyPr vertOverflow="clip" wrap="square" lIns="36576" tIns="32004" rIns="36576" bIns="32004" anchor="ctr"/>
        <a:lstStyle/>
        <a:p>
          <a:pPr algn="ctr" rtl="0">
            <a:lnSpc>
              <a:spcPts val="1600"/>
            </a:lnSpc>
            <a:defRPr sz="1000"/>
          </a:pPr>
          <a:r>
            <a:rPr lang="en-GB" sz="1400" b="1" i="0" u="none" strike="noStrike" baseline="0">
              <a:solidFill>
                <a:srgbClr val="000000"/>
              </a:solidFill>
              <a:latin typeface="Calibri"/>
              <a:cs typeface="Calibri"/>
            </a:rPr>
            <a:t>Important documents which </a:t>
          </a:r>
        </a:p>
        <a:p>
          <a:pPr algn="ctr" rtl="0">
            <a:lnSpc>
              <a:spcPts val="1600"/>
            </a:lnSpc>
            <a:defRPr sz="1000"/>
          </a:pPr>
          <a:r>
            <a:rPr lang="en-GB" sz="1400" b="1" i="0" u="none" strike="noStrike" baseline="0">
              <a:solidFill>
                <a:srgbClr val="000000"/>
              </a:solidFill>
              <a:latin typeface="Calibri"/>
              <a:cs typeface="Calibri"/>
            </a:rPr>
            <a:t>provide essential assistance</a:t>
          </a:r>
        </a:p>
      </xdr:txBody>
    </xdr:sp>
    <xdr:clientData/>
  </xdr:twoCellAnchor>
  <xdr:twoCellAnchor>
    <xdr:from>
      <xdr:col>6</xdr:col>
      <xdr:colOff>481330</xdr:colOff>
      <xdr:row>32</xdr:row>
      <xdr:rowOff>140970</xdr:rowOff>
    </xdr:from>
    <xdr:to>
      <xdr:col>10</xdr:col>
      <xdr:colOff>381010</xdr:colOff>
      <xdr:row>35</xdr:row>
      <xdr:rowOff>19050</xdr:rowOff>
    </xdr:to>
    <xdr:sp macro="" textlink="">
      <xdr:nvSpPr>
        <xdr:cNvPr id="40" name="Text Box 233">
          <a:extLst>
            <a:ext uri="{FF2B5EF4-FFF2-40B4-BE49-F238E27FC236}">
              <a16:creationId xmlns:a16="http://schemas.microsoft.com/office/drawing/2014/main" id="{00000000-0008-0000-0300-000028000000}"/>
            </a:ext>
          </a:extLst>
        </xdr:cNvPr>
        <xdr:cNvSpPr txBox="1">
          <a:spLocks noChangeArrowheads="1"/>
        </xdr:cNvSpPr>
      </xdr:nvSpPr>
      <xdr:spPr bwMode="auto">
        <a:xfrm>
          <a:off x="4152900" y="5314950"/>
          <a:ext cx="2333625" cy="371475"/>
        </a:xfrm>
        <a:prstGeom prst="rect">
          <a:avLst/>
        </a:prstGeom>
        <a:noFill/>
        <a:ln>
          <a:noFill/>
        </a:ln>
      </xdr:spPr>
      <xdr:txBody>
        <a:bodyPr vertOverflow="clip" wrap="square" lIns="0" tIns="32004" rIns="36576" bIns="32004" anchor="ctr"/>
        <a:lstStyle/>
        <a:p>
          <a:pPr algn="l" rtl="0">
            <a:defRPr sz="1000"/>
          </a:pPr>
          <a:r>
            <a:rPr lang="en-GB" sz="1300" b="1" i="0" u="sng" strike="noStrike" baseline="0">
              <a:solidFill>
                <a:srgbClr val="FFFFFF"/>
              </a:solidFill>
              <a:latin typeface="Calibri"/>
              <a:cs typeface="Calibri"/>
            </a:rPr>
            <a:t>MFMA Budget Circulars </a:t>
          </a:r>
        </a:p>
      </xdr:txBody>
    </xdr:sp>
    <xdr:clientData/>
  </xdr:twoCellAnchor>
  <xdr:twoCellAnchor>
    <xdr:from>
      <xdr:col>6</xdr:col>
      <xdr:colOff>492761</xdr:colOff>
      <xdr:row>37</xdr:row>
      <xdr:rowOff>76200</xdr:rowOff>
    </xdr:from>
    <xdr:to>
      <xdr:col>9</xdr:col>
      <xdr:colOff>302946</xdr:colOff>
      <xdr:row>39</xdr:row>
      <xdr:rowOff>119380</xdr:rowOff>
    </xdr:to>
    <xdr:sp macro="" textlink="">
      <xdr:nvSpPr>
        <xdr:cNvPr id="41" name="Text Box 233">
          <a:extLst>
            <a:ext uri="{FF2B5EF4-FFF2-40B4-BE49-F238E27FC236}">
              <a16:creationId xmlns:a16="http://schemas.microsoft.com/office/drawing/2014/main" id="{00000000-0008-0000-0300-000029000000}"/>
            </a:ext>
          </a:extLst>
        </xdr:cNvPr>
        <xdr:cNvSpPr txBox="1">
          <a:spLocks noChangeArrowheads="1"/>
        </xdr:cNvSpPr>
      </xdr:nvSpPr>
      <xdr:spPr bwMode="auto">
        <a:xfrm>
          <a:off x="4171951" y="6067425"/>
          <a:ext cx="1619250" cy="371475"/>
        </a:xfrm>
        <a:prstGeom prst="rect">
          <a:avLst/>
        </a:prstGeom>
        <a:noFill/>
        <a:ln>
          <a:noFill/>
        </a:ln>
      </xdr:spPr>
      <xdr:txBody>
        <a:bodyPr vertOverflow="clip" wrap="square" lIns="0" tIns="32004" rIns="36576" bIns="32004" anchor="ctr"/>
        <a:lstStyle/>
        <a:p>
          <a:pPr algn="l" rtl="0">
            <a:lnSpc>
              <a:spcPts val="1400"/>
            </a:lnSpc>
            <a:defRPr sz="1000"/>
          </a:pPr>
          <a:r>
            <a:rPr lang="en-GB" sz="1300" b="1" i="0" u="sng" strike="noStrike" baseline="0">
              <a:solidFill>
                <a:srgbClr val="FFFFFF"/>
              </a:solidFill>
              <a:latin typeface="Calibri"/>
              <a:cs typeface="Calibri"/>
            </a:rPr>
            <a:t>Dummy Budget Guide</a:t>
          </a:r>
        </a:p>
        <a:p>
          <a:pPr algn="l" rtl="0">
            <a:lnSpc>
              <a:spcPts val="1400"/>
            </a:lnSpc>
            <a:defRPr sz="1000"/>
          </a:pPr>
          <a:r>
            <a:rPr lang="en-GB" sz="1300" b="1" i="0" u="sng" strike="noStrike" baseline="0">
              <a:solidFill>
                <a:srgbClr val="FFFFFF"/>
              </a:solidFill>
              <a:latin typeface="Calibri"/>
              <a:cs typeface="Calibri"/>
            </a:rPr>
            <a:t> </a:t>
          </a:r>
        </a:p>
      </xdr:txBody>
    </xdr:sp>
    <xdr:clientData/>
  </xdr:twoCellAnchor>
  <xdr:twoCellAnchor>
    <xdr:from>
      <xdr:col>6</xdr:col>
      <xdr:colOff>490855</xdr:colOff>
      <xdr:row>35</xdr:row>
      <xdr:rowOff>19050</xdr:rowOff>
    </xdr:from>
    <xdr:to>
      <xdr:col>10</xdr:col>
      <xdr:colOff>128849</xdr:colOff>
      <xdr:row>37</xdr:row>
      <xdr:rowOff>66675</xdr:rowOff>
    </xdr:to>
    <xdr:sp macro="" textlink="">
      <xdr:nvSpPr>
        <xdr:cNvPr id="42" name="Text Box 233">
          <a:extLst>
            <a:ext uri="{FF2B5EF4-FFF2-40B4-BE49-F238E27FC236}">
              <a16:creationId xmlns:a16="http://schemas.microsoft.com/office/drawing/2014/main" id="{00000000-0008-0000-0300-00002A000000}"/>
            </a:ext>
          </a:extLst>
        </xdr:cNvPr>
        <xdr:cNvSpPr txBox="1">
          <a:spLocks noChangeArrowheads="1"/>
        </xdr:cNvSpPr>
      </xdr:nvSpPr>
      <xdr:spPr bwMode="auto">
        <a:xfrm>
          <a:off x="4162425" y="5686425"/>
          <a:ext cx="2066925" cy="371475"/>
        </a:xfrm>
        <a:prstGeom prst="rect">
          <a:avLst/>
        </a:prstGeom>
        <a:noFill/>
        <a:ln>
          <a:noFill/>
        </a:ln>
      </xdr:spPr>
      <xdr:txBody>
        <a:bodyPr vertOverflow="clip" wrap="square" lIns="0" tIns="32004" rIns="36576" bIns="32004" anchor="ctr"/>
        <a:lstStyle/>
        <a:p>
          <a:pPr algn="l" rtl="0">
            <a:defRPr sz="1000"/>
          </a:pPr>
          <a:r>
            <a:rPr lang="en-GB" sz="1300" b="1" i="0" u="sng" strike="noStrike" baseline="0">
              <a:solidFill>
                <a:srgbClr val="FFFFFF"/>
              </a:solidFill>
              <a:latin typeface="Calibri"/>
              <a:cs typeface="Calibri"/>
            </a:rPr>
            <a:t>MBRR Budget Formats Guide </a:t>
          </a:r>
        </a:p>
      </xdr:txBody>
    </xdr:sp>
    <xdr:clientData/>
  </xdr:twoCellAnchor>
  <xdr:twoCellAnchor>
    <xdr:from>
      <xdr:col>6</xdr:col>
      <xdr:colOff>492761</xdr:colOff>
      <xdr:row>39</xdr:row>
      <xdr:rowOff>140970</xdr:rowOff>
    </xdr:from>
    <xdr:to>
      <xdr:col>10</xdr:col>
      <xdr:colOff>90797</xdr:colOff>
      <xdr:row>41</xdr:row>
      <xdr:rowOff>140970</xdr:rowOff>
    </xdr:to>
    <xdr:sp macro="" textlink="">
      <xdr:nvSpPr>
        <xdr:cNvPr id="44" name="Text Box 233">
          <a:extLst>
            <a:ext uri="{FF2B5EF4-FFF2-40B4-BE49-F238E27FC236}">
              <a16:creationId xmlns:a16="http://schemas.microsoft.com/office/drawing/2014/main" id="{00000000-0008-0000-0300-00002C000000}"/>
            </a:ext>
          </a:extLst>
        </xdr:cNvPr>
        <xdr:cNvSpPr txBox="1">
          <a:spLocks noChangeArrowheads="1"/>
        </xdr:cNvSpPr>
      </xdr:nvSpPr>
      <xdr:spPr bwMode="auto">
        <a:xfrm>
          <a:off x="4171951" y="6457950"/>
          <a:ext cx="2019300" cy="323850"/>
        </a:xfrm>
        <a:prstGeom prst="rect">
          <a:avLst/>
        </a:prstGeom>
        <a:noFill/>
        <a:ln>
          <a:noFill/>
        </a:ln>
      </xdr:spPr>
      <xdr:txBody>
        <a:bodyPr vertOverflow="clip" wrap="square" lIns="0" tIns="32004" rIns="36576" bIns="32004" anchor="ctr"/>
        <a:lstStyle/>
        <a:p>
          <a:pPr algn="l" rtl="0">
            <a:defRPr sz="1000"/>
          </a:pPr>
          <a:r>
            <a:rPr lang="en-GB" sz="1300" b="1" i="0" u="sng" strike="noStrike" baseline="0">
              <a:solidFill>
                <a:srgbClr val="FFFFFF"/>
              </a:solidFill>
              <a:latin typeface="Calibri"/>
              <a:cs typeface="Calibri"/>
            </a:rPr>
            <a:t>Funding Compliance Guide</a:t>
          </a:r>
          <a:endParaRPr lang="en-GB" sz="1400" b="1" i="0" u="sng" strike="noStrike" baseline="0">
            <a:solidFill>
              <a:srgbClr val="FFFFFF"/>
            </a:solidFill>
            <a:latin typeface="Calibri"/>
            <a:cs typeface="Calibri"/>
          </a:endParaRPr>
        </a:p>
      </xdr:txBody>
    </xdr:sp>
    <xdr:clientData/>
  </xdr:twoCellAnchor>
  <xdr:twoCellAnchor>
    <xdr:from>
      <xdr:col>6</xdr:col>
      <xdr:colOff>492760</xdr:colOff>
      <xdr:row>42</xdr:row>
      <xdr:rowOff>9525</xdr:rowOff>
    </xdr:from>
    <xdr:to>
      <xdr:col>9</xdr:col>
      <xdr:colOff>381000</xdr:colOff>
      <xdr:row>44</xdr:row>
      <xdr:rowOff>57150</xdr:rowOff>
    </xdr:to>
    <xdr:sp macro="" textlink="">
      <xdr:nvSpPr>
        <xdr:cNvPr id="37" name="Text Box 233">
          <a:extLst>
            <a:ext uri="{FF2B5EF4-FFF2-40B4-BE49-F238E27FC236}">
              <a16:creationId xmlns:a16="http://schemas.microsoft.com/office/drawing/2014/main" id="{00000000-0008-0000-0300-000025000000}"/>
            </a:ext>
          </a:extLst>
        </xdr:cNvPr>
        <xdr:cNvSpPr txBox="1">
          <a:spLocks noChangeArrowheads="1"/>
        </xdr:cNvSpPr>
      </xdr:nvSpPr>
      <xdr:spPr bwMode="auto">
        <a:xfrm>
          <a:off x="4171950" y="6810375"/>
          <a:ext cx="1704975" cy="371475"/>
        </a:xfrm>
        <a:prstGeom prst="rect">
          <a:avLst/>
        </a:prstGeom>
        <a:noFill/>
        <a:ln>
          <a:noFill/>
        </a:ln>
      </xdr:spPr>
      <xdr:txBody>
        <a:bodyPr vertOverflow="clip" wrap="square" lIns="0" tIns="32004" rIns="36576" bIns="32004" anchor="ctr"/>
        <a:lstStyle/>
        <a:p>
          <a:pPr algn="l" rtl="0">
            <a:defRPr sz="1000"/>
          </a:pPr>
          <a:r>
            <a:rPr lang="en-GB" sz="1300" b="1" i="0" u="sng" strike="noStrike" baseline="0">
              <a:solidFill>
                <a:srgbClr val="FFFFFF"/>
              </a:solidFill>
              <a:latin typeface="Calibri"/>
              <a:cs typeface="Calibri"/>
            </a:rPr>
            <a:t>MFMA Return Forms </a:t>
          </a:r>
        </a:p>
      </xdr:txBody>
    </xdr:sp>
    <xdr:clientData/>
  </xdr:twoCellAnchor>
  <xdr:twoCellAnchor>
    <xdr:from>
      <xdr:col>10</xdr:col>
      <xdr:colOff>546101</xdr:colOff>
      <xdr:row>32</xdr:row>
      <xdr:rowOff>140970</xdr:rowOff>
    </xdr:from>
    <xdr:to>
      <xdr:col>12</xdr:col>
      <xdr:colOff>128501</xdr:colOff>
      <xdr:row>35</xdr:row>
      <xdr:rowOff>28625</xdr:rowOff>
    </xdr:to>
    <xdr:sp macro="" textlink="">
      <xdr:nvSpPr>
        <xdr:cNvPr id="38" name="Text Box 233">
          <a:hlinkClick xmlns:r="http://schemas.openxmlformats.org/officeDocument/2006/relationships" r:id="rId4"/>
          <a:extLst>
            <a:ext uri="{FF2B5EF4-FFF2-40B4-BE49-F238E27FC236}">
              <a16:creationId xmlns:a16="http://schemas.microsoft.com/office/drawing/2014/main" id="{00000000-0008-0000-0300-000026000000}"/>
            </a:ext>
          </a:extLst>
        </xdr:cNvPr>
        <xdr:cNvSpPr txBox="1">
          <a:spLocks noChangeArrowheads="1"/>
        </xdr:cNvSpPr>
      </xdr:nvSpPr>
      <xdr:spPr bwMode="auto">
        <a:xfrm>
          <a:off x="6648451" y="5324475"/>
          <a:ext cx="800100" cy="371475"/>
        </a:xfrm>
        <a:prstGeom prst="rect">
          <a:avLst/>
        </a:prstGeom>
        <a:noFill/>
        <a:ln>
          <a:noFill/>
        </a:ln>
      </xdr:spPr>
      <xdr:txBody>
        <a:bodyPr vertOverflow="clip" wrap="square" lIns="0" tIns="32004" rIns="36576" bIns="32004" anchor="ctr"/>
        <a:lstStyle/>
        <a:p>
          <a:pPr algn="r" rtl="0">
            <a:defRPr sz="1000"/>
          </a:pPr>
          <a:r>
            <a:rPr lang="en-GB" sz="1000" b="1" i="0" u="sng" strike="noStrike" baseline="0">
              <a:solidFill>
                <a:srgbClr val="FFFFFF"/>
              </a:solidFill>
              <a:latin typeface="Calibri"/>
              <a:cs typeface="Calibri"/>
            </a:rPr>
            <a:t>Click to view </a:t>
          </a:r>
        </a:p>
      </xdr:txBody>
    </xdr:sp>
    <xdr:clientData/>
  </xdr:twoCellAnchor>
  <xdr:twoCellAnchor>
    <xdr:from>
      <xdr:col>10</xdr:col>
      <xdr:colOff>562610</xdr:colOff>
      <xdr:row>42</xdr:row>
      <xdr:rowOff>0</xdr:rowOff>
    </xdr:from>
    <xdr:to>
      <xdr:col>12</xdr:col>
      <xdr:colOff>142120</xdr:colOff>
      <xdr:row>44</xdr:row>
      <xdr:rowOff>47625</xdr:rowOff>
    </xdr:to>
    <xdr:sp macro="" textlink="">
      <xdr:nvSpPr>
        <xdr:cNvPr id="43" name="Text Box 233">
          <a:hlinkClick xmlns:r="http://schemas.openxmlformats.org/officeDocument/2006/relationships" r:id="rId5"/>
          <a:extLst>
            <a:ext uri="{FF2B5EF4-FFF2-40B4-BE49-F238E27FC236}">
              <a16:creationId xmlns:a16="http://schemas.microsoft.com/office/drawing/2014/main" id="{00000000-0008-0000-0300-00002B000000}"/>
            </a:ext>
          </a:extLst>
        </xdr:cNvPr>
        <xdr:cNvSpPr txBox="1">
          <a:spLocks noChangeArrowheads="1"/>
        </xdr:cNvSpPr>
      </xdr:nvSpPr>
      <xdr:spPr bwMode="auto">
        <a:xfrm>
          <a:off x="6667500" y="6800850"/>
          <a:ext cx="800100" cy="371475"/>
        </a:xfrm>
        <a:prstGeom prst="rect">
          <a:avLst/>
        </a:prstGeom>
        <a:noFill/>
        <a:ln>
          <a:noFill/>
        </a:ln>
      </xdr:spPr>
      <xdr:txBody>
        <a:bodyPr vertOverflow="clip" wrap="square" lIns="0" tIns="32004" rIns="36576" bIns="32004" anchor="ctr"/>
        <a:lstStyle/>
        <a:p>
          <a:pPr algn="r" rtl="0">
            <a:defRPr sz="1000"/>
          </a:pPr>
          <a:r>
            <a:rPr lang="en-GB" sz="1000" b="1" i="0" u="sng" strike="noStrike" baseline="0">
              <a:solidFill>
                <a:srgbClr val="FFFFFF"/>
              </a:solidFill>
              <a:latin typeface="Calibri"/>
              <a:cs typeface="Calibri"/>
            </a:rPr>
            <a:t>Click to view </a:t>
          </a:r>
        </a:p>
      </xdr:txBody>
    </xdr:sp>
    <xdr:clientData/>
  </xdr:twoCellAnchor>
  <xdr:twoCellAnchor>
    <xdr:from>
      <xdr:col>10</xdr:col>
      <xdr:colOff>546100</xdr:colOff>
      <xdr:row>37</xdr:row>
      <xdr:rowOff>80010</xdr:rowOff>
    </xdr:from>
    <xdr:to>
      <xdr:col>12</xdr:col>
      <xdr:colOff>128500</xdr:colOff>
      <xdr:row>39</xdr:row>
      <xdr:rowOff>141367</xdr:rowOff>
    </xdr:to>
    <xdr:sp macro="" textlink="">
      <xdr:nvSpPr>
        <xdr:cNvPr id="46" name="Text Box 233">
          <a:hlinkClick xmlns:r="http://schemas.openxmlformats.org/officeDocument/2006/relationships" r:id="rId6"/>
          <a:extLst>
            <a:ext uri="{FF2B5EF4-FFF2-40B4-BE49-F238E27FC236}">
              <a16:creationId xmlns:a16="http://schemas.microsoft.com/office/drawing/2014/main" id="{00000000-0008-0000-0300-00002E000000}"/>
            </a:ext>
          </a:extLst>
        </xdr:cNvPr>
        <xdr:cNvSpPr txBox="1">
          <a:spLocks noChangeArrowheads="1"/>
        </xdr:cNvSpPr>
      </xdr:nvSpPr>
      <xdr:spPr bwMode="auto">
        <a:xfrm>
          <a:off x="6648450" y="6076950"/>
          <a:ext cx="800100" cy="371475"/>
        </a:xfrm>
        <a:prstGeom prst="rect">
          <a:avLst/>
        </a:prstGeom>
        <a:noFill/>
        <a:ln>
          <a:noFill/>
        </a:ln>
      </xdr:spPr>
      <xdr:txBody>
        <a:bodyPr vertOverflow="clip" wrap="square" lIns="0" tIns="32004" rIns="36576" bIns="32004" anchor="ctr"/>
        <a:lstStyle/>
        <a:p>
          <a:pPr algn="r" rtl="0">
            <a:defRPr sz="1000"/>
          </a:pPr>
          <a:r>
            <a:rPr lang="en-GB" sz="1000" b="1" i="0" u="sng" strike="noStrike" baseline="0">
              <a:solidFill>
                <a:srgbClr val="FFFFFF"/>
              </a:solidFill>
              <a:latin typeface="Calibri"/>
              <a:cs typeface="Calibri"/>
            </a:rPr>
            <a:t>Click to view </a:t>
          </a:r>
        </a:p>
      </xdr:txBody>
    </xdr:sp>
    <xdr:clientData/>
  </xdr:twoCellAnchor>
  <xdr:twoCellAnchor>
    <xdr:from>
      <xdr:col>10</xdr:col>
      <xdr:colOff>521335</xdr:colOff>
      <xdr:row>35</xdr:row>
      <xdr:rowOff>76200</xdr:rowOff>
    </xdr:from>
    <xdr:to>
      <xdr:col>12</xdr:col>
      <xdr:colOff>111718</xdr:colOff>
      <xdr:row>37</xdr:row>
      <xdr:rowOff>119380</xdr:rowOff>
    </xdr:to>
    <xdr:sp macro="" textlink="">
      <xdr:nvSpPr>
        <xdr:cNvPr id="48" name="Text Box 233">
          <a:hlinkClick xmlns:r="http://schemas.openxmlformats.org/officeDocument/2006/relationships" r:id="rId7"/>
          <a:extLst>
            <a:ext uri="{FF2B5EF4-FFF2-40B4-BE49-F238E27FC236}">
              <a16:creationId xmlns:a16="http://schemas.microsoft.com/office/drawing/2014/main" id="{00000000-0008-0000-0300-000030000000}"/>
            </a:ext>
          </a:extLst>
        </xdr:cNvPr>
        <xdr:cNvSpPr txBox="1">
          <a:spLocks noChangeArrowheads="1"/>
        </xdr:cNvSpPr>
      </xdr:nvSpPr>
      <xdr:spPr bwMode="auto">
        <a:xfrm>
          <a:off x="6638925" y="5743575"/>
          <a:ext cx="800100" cy="371475"/>
        </a:xfrm>
        <a:prstGeom prst="rect">
          <a:avLst/>
        </a:prstGeom>
        <a:noFill/>
        <a:ln>
          <a:noFill/>
        </a:ln>
      </xdr:spPr>
      <xdr:txBody>
        <a:bodyPr vertOverflow="clip" wrap="square" lIns="0" tIns="32004" rIns="36576" bIns="32004" anchor="ctr"/>
        <a:lstStyle/>
        <a:p>
          <a:pPr algn="r" rtl="0">
            <a:defRPr sz="1000"/>
          </a:pPr>
          <a:r>
            <a:rPr lang="en-GB" sz="1000" b="1" i="0" u="sng" strike="noStrike" baseline="0">
              <a:solidFill>
                <a:srgbClr val="FFFFFF"/>
              </a:solidFill>
              <a:latin typeface="Calibri"/>
              <a:cs typeface="Calibri"/>
            </a:rPr>
            <a:t>Click to view </a:t>
          </a:r>
        </a:p>
      </xdr:txBody>
    </xdr:sp>
    <xdr:clientData/>
  </xdr:twoCellAnchor>
  <xdr:twoCellAnchor>
    <xdr:from>
      <xdr:col>10</xdr:col>
      <xdr:colOff>562610</xdr:colOff>
      <xdr:row>39</xdr:row>
      <xdr:rowOff>146685</xdr:rowOff>
    </xdr:from>
    <xdr:to>
      <xdr:col>12</xdr:col>
      <xdr:colOff>142120</xdr:colOff>
      <xdr:row>42</xdr:row>
      <xdr:rowOff>38287</xdr:rowOff>
    </xdr:to>
    <xdr:sp macro="" textlink="">
      <xdr:nvSpPr>
        <xdr:cNvPr id="49" name="Text Box 233">
          <a:hlinkClick xmlns:r="http://schemas.openxmlformats.org/officeDocument/2006/relationships" r:id="rId8"/>
          <a:extLst>
            <a:ext uri="{FF2B5EF4-FFF2-40B4-BE49-F238E27FC236}">
              <a16:creationId xmlns:a16="http://schemas.microsoft.com/office/drawing/2014/main" id="{00000000-0008-0000-0300-000031000000}"/>
            </a:ext>
          </a:extLst>
        </xdr:cNvPr>
        <xdr:cNvSpPr txBox="1">
          <a:spLocks noChangeArrowheads="1"/>
        </xdr:cNvSpPr>
      </xdr:nvSpPr>
      <xdr:spPr bwMode="auto">
        <a:xfrm>
          <a:off x="6667500" y="6467475"/>
          <a:ext cx="800100" cy="371475"/>
        </a:xfrm>
        <a:prstGeom prst="rect">
          <a:avLst/>
        </a:prstGeom>
        <a:noFill/>
        <a:ln>
          <a:noFill/>
        </a:ln>
      </xdr:spPr>
      <xdr:txBody>
        <a:bodyPr vertOverflow="clip" wrap="square" lIns="0" tIns="32004" rIns="36576" bIns="32004" anchor="ctr"/>
        <a:lstStyle/>
        <a:p>
          <a:pPr algn="r" rtl="0">
            <a:defRPr sz="1000"/>
          </a:pPr>
          <a:r>
            <a:rPr lang="en-GB" sz="1000" b="1" i="0" u="sng" strike="noStrike" baseline="0">
              <a:solidFill>
                <a:srgbClr val="FFFFFF"/>
              </a:solidFill>
              <a:latin typeface="Calibri"/>
              <a:cs typeface="Calibri"/>
            </a:rPr>
            <a:t>Click to view </a:t>
          </a:r>
        </a:p>
      </xdr:txBody>
    </xdr:sp>
    <xdr:clientData/>
  </xdr:twoCellAnchor>
  <xdr:twoCellAnchor>
    <xdr:from>
      <xdr:col>0</xdr:col>
      <xdr:colOff>570230</xdr:colOff>
      <xdr:row>24</xdr:row>
      <xdr:rowOff>121920</xdr:rowOff>
    </xdr:from>
    <xdr:to>
      <xdr:col>5</xdr:col>
      <xdr:colOff>458739</xdr:colOff>
      <xdr:row>27</xdr:row>
      <xdr:rowOff>109206</xdr:rowOff>
    </xdr:to>
    <xdr:sp macro="[0]!LGDB_Export.LGDB_Export" textlink="">
      <xdr:nvSpPr>
        <xdr:cNvPr id="5" name="TextBox 4">
          <a:extLst>
            <a:ext uri="{FF2B5EF4-FFF2-40B4-BE49-F238E27FC236}">
              <a16:creationId xmlns:a16="http://schemas.microsoft.com/office/drawing/2014/main" id="{00000000-0008-0000-0300-000005000000}"/>
            </a:ext>
          </a:extLst>
        </xdr:cNvPr>
        <xdr:cNvSpPr txBox="1"/>
      </xdr:nvSpPr>
      <xdr:spPr>
        <a:xfrm>
          <a:off x="586740" y="4130040"/>
          <a:ext cx="2934000" cy="518400"/>
        </a:xfrm>
        <a:prstGeom prst="rect">
          <a:avLst/>
        </a:prstGeom>
        <a:gradFill>
          <a:gsLst>
            <a:gs pos="0">
              <a:srgbClr val="000080"/>
            </a:gs>
            <a:gs pos="50000">
              <a:srgbClr val="000080">
                <a:gamma/>
                <a:tint val="1176"/>
                <a:invGamma/>
              </a:srgbClr>
            </a:gs>
            <a:gs pos="100000">
              <a:srgbClr val="000080"/>
            </a:gs>
          </a:gsLst>
          <a:lin ang="5400000" scaled="1"/>
        </a:gra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ZA" sz="1400" b="1"/>
            <a:t>LGDB Export</a:t>
          </a:r>
        </a:p>
      </xdr:txBody>
    </xdr:sp>
    <xdr:clientData/>
  </xdr:twoCellAnchor>
  <xdr:twoCellAnchor editAs="oneCell">
    <xdr:from>
      <xdr:col>5</xdr:col>
      <xdr:colOff>177800</xdr:colOff>
      <xdr:row>11</xdr:row>
      <xdr:rowOff>158750</xdr:rowOff>
    </xdr:from>
    <xdr:to>
      <xdr:col>10</xdr:col>
      <xdr:colOff>69215</xdr:colOff>
      <xdr:row>13</xdr:row>
      <xdr:rowOff>76200</xdr:rowOff>
    </xdr:to>
    <xdr:pic>
      <xdr:nvPicPr>
        <xdr:cNvPr id="4" name="TextBox5">
          <a:extLst>
            <a:ext uri="{FF2B5EF4-FFF2-40B4-BE49-F238E27FC236}">
              <a16:creationId xmlns:a16="http://schemas.microsoft.com/office/drawing/2014/main" id="{00000000-0008-0000-0300-000004000000}"/>
            </a:ext>
          </a:extLst>
        </xdr:cNvPr>
        <xdr:cNvPicPr preferRelativeResize="0">
          <a:picLocks noChangeArrowheads="1" noChangeShapeType="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3082925" y="1939925"/>
          <a:ext cx="2796540" cy="2413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8</xdr:col>
      <xdr:colOff>577850</xdr:colOff>
      <xdr:row>9</xdr:row>
      <xdr:rowOff>127000</xdr:rowOff>
    </xdr:from>
    <xdr:to>
      <xdr:col>10</xdr:col>
      <xdr:colOff>466725</xdr:colOff>
      <xdr:row>10</xdr:row>
      <xdr:rowOff>152400</xdr:rowOff>
    </xdr:to>
    <xdr:pic>
      <xdr:nvPicPr>
        <xdr:cNvPr id="6" name="TextBox6">
          <a:extLst>
            <a:ext uri="{FF2B5EF4-FFF2-40B4-BE49-F238E27FC236}">
              <a16:creationId xmlns:a16="http://schemas.microsoft.com/office/drawing/2014/main" id="{00000000-0008-0000-0300-000006000000}"/>
            </a:ext>
          </a:extLst>
        </xdr:cNvPr>
        <xdr:cNvPicPr preferRelativeResize="0">
          <a:picLocks noChangeArrowheads="1" noChangeShapeType="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5226050" y="1584325"/>
          <a:ext cx="1050925" cy="187325"/>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1</xdr:col>
      <xdr:colOff>444500</xdr:colOff>
      <xdr:row>36</xdr:row>
      <xdr:rowOff>139700</xdr:rowOff>
    </xdr:from>
    <xdr:to>
      <xdr:col>4</xdr:col>
      <xdr:colOff>526415</xdr:colOff>
      <xdr:row>38</xdr:row>
      <xdr:rowOff>69215</xdr:rowOff>
    </xdr:to>
    <xdr:pic>
      <xdr:nvPicPr>
        <xdr:cNvPr id="7" name="ToggleReferenceColumns">
          <a:extLst>
            <a:ext uri="{FF2B5EF4-FFF2-40B4-BE49-F238E27FC236}">
              <a16:creationId xmlns:a16="http://schemas.microsoft.com/office/drawing/2014/main" id="{00000000-0008-0000-0300-000007000000}"/>
            </a:ext>
          </a:extLst>
        </xdr:cNvPr>
        <xdr:cNvPicPr preferRelativeResize="0">
          <a:picLocks noChangeArrowheads="1" noChangeShapeType="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1104900" y="6083300"/>
          <a:ext cx="2057400" cy="2540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1</xdr:col>
      <xdr:colOff>444500</xdr:colOff>
      <xdr:row>34</xdr:row>
      <xdr:rowOff>139700</xdr:rowOff>
    </xdr:from>
    <xdr:to>
      <xdr:col>4</xdr:col>
      <xdr:colOff>526415</xdr:colOff>
      <xdr:row>36</xdr:row>
      <xdr:rowOff>69215</xdr:rowOff>
    </xdr:to>
    <xdr:pic>
      <xdr:nvPicPr>
        <xdr:cNvPr id="8" name="TogglePreAuditColums">
          <a:extLst>
            <a:ext uri="{FF2B5EF4-FFF2-40B4-BE49-F238E27FC236}">
              <a16:creationId xmlns:a16="http://schemas.microsoft.com/office/drawing/2014/main" id="{00000000-0008-0000-0300-000008000000}"/>
            </a:ext>
          </a:extLst>
        </xdr:cNvPr>
        <xdr:cNvPicPr preferRelativeResize="0">
          <a:picLocks noChangeArrowheads="1" noChangeShapeType="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1104900" y="5753100"/>
          <a:ext cx="2057400" cy="2540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1</xdr:col>
      <xdr:colOff>495300</xdr:colOff>
      <xdr:row>41</xdr:row>
      <xdr:rowOff>139700</xdr:rowOff>
    </xdr:from>
    <xdr:to>
      <xdr:col>4</xdr:col>
      <xdr:colOff>571500</xdr:colOff>
      <xdr:row>43</xdr:row>
      <xdr:rowOff>76200</xdr:rowOff>
    </xdr:to>
    <xdr:pic>
      <xdr:nvPicPr>
        <xdr:cNvPr id="9" name="ToggleHiddenColumns">
          <a:extLst>
            <a:ext uri="{FF2B5EF4-FFF2-40B4-BE49-F238E27FC236}">
              <a16:creationId xmlns:a16="http://schemas.microsoft.com/office/drawing/2014/main" id="{00000000-0008-0000-0300-000009000000}"/>
            </a:ext>
          </a:extLst>
        </xdr:cNvPr>
        <xdr:cNvPicPr preferRelativeResize="0">
          <a:picLocks noChangeArrowheads="1" noChangeShapeType="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a:fillRect/>
        </a:stretch>
      </xdr:blipFill>
      <xdr:spPr bwMode="auto">
        <a:xfrm>
          <a:off x="1155700" y="6908800"/>
          <a:ext cx="2057400" cy="2667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xdr:from>
      <xdr:col>5</xdr:col>
      <xdr:colOff>85725</xdr:colOff>
      <xdr:row>7</xdr:row>
      <xdr:rowOff>28575</xdr:rowOff>
    </xdr:from>
    <xdr:to>
      <xdr:col>9</xdr:col>
      <xdr:colOff>552450</xdr:colOff>
      <xdr:row>8</xdr:row>
      <xdr:rowOff>104775</xdr:rowOff>
    </xdr:to>
    <xdr:grpSp>
      <xdr:nvGrpSpPr>
        <xdr:cNvPr id="269234" name="Group 12210">
          <a:extLst>
            <a:ext uri="{FF2B5EF4-FFF2-40B4-BE49-F238E27FC236}">
              <a16:creationId xmlns:a16="http://schemas.microsoft.com/office/drawing/2014/main" id="{00000000-0008-0000-0300-0000B21B0400}"/>
            </a:ext>
          </a:extLst>
        </xdr:cNvPr>
        <xdr:cNvGrpSpPr>
          <a:grpSpLocks noChangeAspect="1"/>
        </xdr:cNvGrpSpPr>
      </xdr:nvGrpSpPr>
      <xdr:grpSpPr bwMode="auto">
        <a:xfrm>
          <a:off x="2990850" y="1162050"/>
          <a:ext cx="2790825" cy="238125"/>
          <a:chOff x="314" y="42"/>
          <a:chExt cx="293" cy="105"/>
        </a:xfrm>
      </xdr:grpSpPr>
      <xdr:sp macro="" textlink="">
        <xdr:nvSpPr>
          <xdr:cNvPr id="269233" name="AutoShape 12209">
            <a:extLst>
              <a:ext uri="{FF2B5EF4-FFF2-40B4-BE49-F238E27FC236}">
                <a16:creationId xmlns:a16="http://schemas.microsoft.com/office/drawing/2014/main" id="{00000000-0008-0000-0300-0000B11B0400}"/>
              </a:ext>
            </a:extLst>
          </xdr:cNvPr>
          <xdr:cNvSpPr>
            <a:spLocks noChangeAspect="1" noChangeArrowheads="1" noTextEdit="1"/>
          </xdr:cNvSpPr>
        </xdr:nvSpPr>
        <xdr:spPr bwMode="auto">
          <a:xfrm>
            <a:off x="314" y="110"/>
            <a:ext cx="293" cy="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sp macro="" textlink="">
        <xdr:nvSpPr>
          <xdr:cNvPr id="269235" name="Rectangle 12211">
            <a:extLst>
              <a:ext uri="{FF2B5EF4-FFF2-40B4-BE49-F238E27FC236}">
                <a16:creationId xmlns:a16="http://schemas.microsoft.com/office/drawing/2014/main" id="{00000000-0008-0000-0300-0000B31B0400}"/>
              </a:ext>
            </a:extLst>
          </xdr:cNvPr>
          <xdr:cNvSpPr>
            <a:spLocks noChangeArrowheads="1"/>
          </xdr:cNvSpPr>
        </xdr:nvSpPr>
        <xdr:spPr bwMode="auto">
          <a:xfrm>
            <a:off x="606" y="42"/>
            <a:ext cx="1" cy="10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69236" name="Rectangle 12212">
            <a:extLst>
              <a:ext uri="{FF2B5EF4-FFF2-40B4-BE49-F238E27FC236}">
                <a16:creationId xmlns:a16="http://schemas.microsoft.com/office/drawing/2014/main" id="{00000000-0008-0000-0300-0000B41B0400}"/>
              </a:ext>
            </a:extLst>
          </xdr:cNvPr>
          <xdr:cNvSpPr>
            <a:spLocks noChangeArrowheads="1"/>
          </xdr:cNvSpPr>
        </xdr:nvSpPr>
        <xdr:spPr bwMode="auto">
          <a:xfrm>
            <a:off x="314" y="77"/>
            <a:ext cx="292" cy="7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69237" name="Rectangle 12213">
            <a:extLst>
              <a:ext uri="{FF2B5EF4-FFF2-40B4-BE49-F238E27FC236}">
                <a16:creationId xmlns:a16="http://schemas.microsoft.com/office/drawing/2014/main" id="{00000000-0008-0000-0300-0000B51B0400}"/>
              </a:ext>
            </a:extLst>
          </xdr:cNvPr>
          <xdr:cNvSpPr>
            <a:spLocks noChangeArrowheads="1"/>
          </xdr:cNvSpPr>
        </xdr:nvSpPr>
        <xdr:spPr bwMode="auto">
          <a:xfrm>
            <a:off x="314" y="42"/>
            <a:ext cx="1" cy="103"/>
          </a:xfrm>
          <a:prstGeom prst="rect">
            <a:avLst/>
          </a:prstGeom>
          <a:solidFill>
            <a:srgbClr val="A0A0A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69238" name="Rectangle 12214">
            <a:extLst>
              <a:ext uri="{FF2B5EF4-FFF2-40B4-BE49-F238E27FC236}">
                <a16:creationId xmlns:a16="http://schemas.microsoft.com/office/drawing/2014/main" id="{00000000-0008-0000-0300-0000B61B0400}"/>
              </a:ext>
            </a:extLst>
          </xdr:cNvPr>
          <xdr:cNvSpPr>
            <a:spLocks noChangeArrowheads="1"/>
          </xdr:cNvSpPr>
        </xdr:nvSpPr>
        <xdr:spPr bwMode="auto">
          <a:xfrm>
            <a:off x="315" y="42"/>
            <a:ext cx="291" cy="70"/>
          </a:xfrm>
          <a:prstGeom prst="rect">
            <a:avLst/>
          </a:prstGeom>
          <a:solidFill>
            <a:srgbClr val="A0A0A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69239" name="Rectangle 12215">
            <a:extLst>
              <a:ext uri="{FF2B5EF4-FFF2-40B4-BE49-F238E27FC236}">
                <a16:creationId xmlns:a16="http://schemas.microsoft.com/office/drawing/2014/main" id="{00000000-0008-0000-0300-0000B71B0400}"/>
              </a:ext>
            </a:extLst>
          </xdr:cNvPr>
          <xdr:cNvSpPr>
            <a:spLocks noChangeArrowheads="1"/>
          </xdr:cNvSpPr>
        </xdr:nvSpPr>
        <xdr:spPr bwMode="auto">
          <a:xfrm>
            <a:off x="605" y="44"/>
            <a:ext cx="1" cy="101"/>
          </a:xfrm>
          <a:prstGeom prst="rect">
            <a:avLst/>
          </a:prstGeom>
          <a:solidFill>
            <a:srgbClr val="E3E3E3"/>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69240" name="Rectangle 12216">
            <a:extLst>
              <a:ext uri="{FF2B5EF4-FFF2-40B4-BE49-F238E27FC236}">
                <a16:creationId xmlns:a16="http://schemas.microsoft.com/office/drawing/2014/main" id="{00000000-0008-0000-0300-0000B81B0400}"/>
              </a:ext>
            </a:extLst>
          </xdr:cNvPr>
          <xdr:cNvSpPr>
            <a:spLocks noChangeArrowheads="1"/>
          </xdr:cNvSpPr>
        </xdr:nvSpPr>
        <xdr:spPr bwMode="auto">
          <a:xfrm>
            <a:off x="315" y="123"/>
            <a:ext cx="290" cy="22"/>
          </a:xfrm>
          <a:prstGeom prst="rect">
            <a:avLst/>
          </a:prstGeom>
          <a:solidFill>
            <a:srgbClr val="E3E3E3"/>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69241" name="Rectangle 12217">
            <a:extLst>
              <a:ext uri="{FF2B5EF4-FFF2-40B4-BE49-F238E27FC236}">
                <a16:creationId xmlns:a16="http://schemas.microsoft.com/office/drawing/2014/main" id="{00000000-0008-0000-0300-0000B91B0400}"/>
              </a:ext>
            </a:extLst>
          </xdr:cNvPr>
          <xdr:cNvSpPr>
            <a:spLocks noChangeArrowheads="1"/>
          </xdr:cNvSpPr>
        </xdr:nvSpPr>
        <xdr:spPr bwMode="auto">
          <a:xfrm>
            <a:off x="315" y="44"/>
            <a:ext cx="1" cy="99"/>
          </a:xfrm>
          <a:prstGeom prst="rect">
            <a:avLst/>
          </a:prstGeom>
          <a:solidFill>
            <a:srgbClr val="696969"/>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69242" name="Rectangle 12218">
            <a:extLst>
              <a:ext uri="{FF2B5EF4-FFF2-40B4-BE49-F238E27FC236}">
                <a16:creationId xmlns:a16="http://schemas.microsoft.com/office/drawing/2014/main" id="{00000000-0008-0000-0300-0000BA1B0400}"/>
              </a:ext>
            </a:extLst>
          </xdr:cNvPr>
          <xdr:cNvSpPr>
            <a:spLocks noChangeArrowheads="1"/>
          </xdr:cNvSpPr>
        </xdr:nvSpPr>
        <xdr:spPr bwMode="auto">
          <a:xfrm>
            <a:off x="316" y="44"/>
            <a:ext cx="289" cy="20"/>
          </a:xfrm>
          <a:prstGeom prst="rect">
            <a:avLst/>
          </a:prstGeom>
          <a:solidFill>
            <a:srgbClr val="696969"/>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69243" name="Rectangle 12219">
            <a:extLst>
              <a:ext uri="{FF2B5EF4-FFF2-40B4-BE49-F238E27FC236}">
                <a16:creationId xmlns:a16="http://schemas.microsoft.com/office/drawing/2014/main" id="{00000000-0008-0000-0300-0000BB1B0400}"/>
              </a:ext>
            </a:extLst>
          </xdr:cNvPr>
          <xdr:cNvSpPr>
            <a:spLocks noChangeArrowheads="1"/>
          </xdr:cNvSpPr>
        </xdr:nvSpPr>
        <xdr:spPr bwMode="auto">
          <a:xfrm>
            <a:off x="314" y="42"/>
            <a:ext cx="1" cy="17"/>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grpSp>
    <xdr:clientData/>
  </xdr:twoCellAnchor>
  <xdr:twoCellAnchor>
    <xdr:from>
      <xdr:col>5</xdr:col>
      <xdr:colOff>180975</xdr:colOff>
      <xdr:row>9</xdr:row>
      <xdr:rowOff>152400</xdr:rowOff>
    </xdr:from>
    <xdr:to>
      <xdr:col>7</xdr:col>
      <xdr:colOff>342900</xdr:colOff>
      <xdr:row>11</xdr:row>
      <xdr:rowOff>19050</xdr:rowOff>
    </xdr:to>
    <xdr:grpSp>
      <xdr:nvGrpSpPr>
        <xdr:cNvPr id="269258" name="Group 12234">
          <a:extLst>
            <a:ext uri="{FF2B5EF4-FFF2-40B4-BE49-F238E27FC236}">
              <a16:creationId xmlns:a16="http://schemas.microsoft.com/office/drawing/2014/main" id="{00000000-0008-0000-0300-0000CA1B0400}"/>
            </a:ext>
          </a:extLst>
        </xdr:cNvPr>
        <xdr:cNvGrpSpPr>
          <a:grpSpLocks noChangeAspect="1"/>
        </xdr:cNvGrpSpPr>
      </xdr:nvGrpSpPr>
      <xdr:grpSpPr bwMode="auto">
        <a:xfrm>
          <a:off x="3086100" y="1609725"/>
          <a:ext cx="1323975" cy="190500"/>
          <a:chOff x="361" y="169"/>
          <a:chExt cx="139" cy="20"/>
        </a:xfrm>
      </xdr:grpSpPr>
      <xdr:sp macro="" textlink="">
        <xdr:nvSpPr>
          <xdr:cNvPr id="269257" name="AutoShape 12233">
            <a:extLst>
              <a:ext uri="{FF2B5EF4-FFF2-40B4-BE49-F238E27FC236}">
                <a16:creationId xmlns:a16="http://schemas.microsoft.com/office/drawing/2014/main" id="{00000000-0008-0000-0300-0000C91B0400}"/>
              </a:ext>
            </a:extLst>
          </xdr:cNvPr>
          <xdr:cNvSpPr>
            <a:spLocks noChangeAspect="1" noChangeArrowheads="1" noTextEdit="1"/>
          </xdr:cNvSpPr>
        </xdr:nvSpPr>
        <xdr:spPr bwMode="auto">
          <a:xfrm>
            <a:off x="361" y="169"/>
            <a:ext cx="139" cy="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sp macro="" textlink="">
        <xdr:nvSpPr>
          <xdr:cNvPr id="269259" name="Rectangle 12235">
            <a:extLst>
              <a:ext uri="{FF2B5EF4-FFF2-40B4-BE49-F238E27FC236}">
                <a16:creationId xmlns:a16="http://schemas.microsoft.com/office/drawing/2014/main" id="{00000000-0008-0000-0300-0000CB1B0400}"/>
              </a:ext>
            </a:extLst>
          </xdr:cNvPr>
          <xdr:cNvSpPr>
            <a:spLocks noChangeArrowheads="1"/>
          </xdr:cNvSpPr>
        </xdr:nvSpPr>
        <xdr:spPr bwMode="auto">
          <a:xfrm>
            <a:off x="499" y="169"/>
            <a:ext cx="1" cy="2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69260" name="Rectangle 12236">
            <a:extLst>
              <a:ext uri="{FF2B5EF4-FFF2-40B4-BE49-F238E27FC236}">
                <a16:creationId xmlns:a16="http://schemas.microsoft.com/office/drawing/2014/main" id="{00000000-0008-0000-0300-0000CC1B0400}"/>
              </a:ext>
            </a:extLst>
          </xdr:cNvPr>
          <xdr:cNvSpPr>
            <a:spLocks noChangeArrowheads="1"/>
          </xdr:cNvSpPr>
        </xdr:nvSpPr>
        <xdr:spPr bwMode="auto">
          <a:xfrm>
            <a:off x="361" y="188"/>
            <a:ext cx="138" cy="1"/>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69261" name="Rectangle 12237">
            <a:extLst>
              <a:ext uri="{FF2B5EF4-FFF2-40B4-BE49-F238E27FC236}">
                <a16:creationId xmlns:a16="http://schemas.microsoft.com/office/drawing/2014/main" id="{00000000-0008-0000-0300-0000CD1B0400}"/>
              </a:ext>
            </a:extLst>
          </xdr:cNvPr>
          <xdr:cNvSpPr>
            <a:spLocks noChangeArrowheads="1"/>
          </xdr:cNvSpPr>
        </xdr:nvSpPr>
        <xdr:spPr bwMode="auto">
          <a:xfrm>
            <a:off x="361" y="169"/>
            <a:ext cx="1" cy="19"/>
          </a:xfrm>
          <a:prstGeom prst="rect">
            <a:avLst/>
          </a:prstGeom>
          <a:solidFill>
            <a:srgbClr val="A0A0A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69262" name="Rectangle 12238">
            <a:extLst>
              <a:ext uri="{FF2B5EF4-FFF2-40B4-BE49-F238E27FC236}">
                <a16:creationId xmlns:a16="http://schemas.microsoft.com/office/drawing/2014/main" id="{00000000-0008-0000-0300-0000CE1B0400}"/>
              </a:ext>
            </a:extLst>
          </xdr:cNvPr>
          <xdr:cNvSpPr>
            <a:spLocks noChangeArrowheads="1"/>
          </xdr:cNvSpPr>
        </xdr:nvSpPr>
        <xdr:spPr bwMode="auto">
          <a:xfrm>
            <a:off x="362" y="169"/>
            <a:ext cx="137" cy="1"/>
          </a:xfrm>
          <a:prstGeom prst="rect">
            <a:avLst/>
          </a:prstGeom>
          <a:solidFill>
            <a:srgbClr val="A0A0A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69263" name="Rectangle 12239">
            <a:extLst>
              <a:ext uri="{FF2B5EF4-FFF2-40B4-BE49-F238E27FC236}">
                <a16:creationId xmlns:a16="http://schemas.microsoft.com/office/drawing/2014/main" id="{00000000-0008-0000-0300-0000CF1B0400}"/>
              </a:ext>
            </a:extLst>
          </xdr:cNvPr>
          <xdr:cNvSpPr>
            <a:spLocks noChangeArrowheads="1"/>
          </xdr:cNvSpPr>
        </xdr:nvSpPr>
        <xdr:spPr bwMode="auto">
          <a:xfrm>
            <a:off x="498" y="170"/>
            <a:ext cx="1" cy="18"/>
          </a:xfrm>
          <a:prstGeom prst="rect">
            <a:avLst/>
          </a:prstGeom>
          <a:solidFill>
            <a:srgbClr val="E3E3E3"/>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69264" name="Rectangle 12240">
            <a:extLst>
              <a:ext uri="{FF2B5EF4-FFF2-40B4-BE49-F238E27FC236}">
                <a16:creationId xmlns:a16="http://schemas.microsoft.com/office/drawing/2014/main" id="{00000000-0008-0000-0300-0000D01B0400}"/>
              </a:ext>
            </a:extLst>
          </xdr:cNvPr>
          <xdr:cNvSpPr>
            <a:spLocks noChangeArrowheads="1"/>
          </xdr:cNvSpPr>
        </xdr:nvSpPr>
        <xdr:spPr bwMode="auto">
          <a:xfrm>
            <a:off x="362" y="187"/>
            <a:ext cx="136" cy="1"/>
          </a:xfrm>
          <a:prstGeom prst="rect">
            <a:avLst/>
          </a:prstGeom>
          <a:solidFill>
            <a:srgbClr val="E3E3E3"/>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69265" name="Rectangle 12241">
            <a:extLst>
              <a:ext uri="{FF2B5EF4-FFF2-40B4-BE49-F238E27FC236}">
                <a16:creationId xmlns:a16="http://schemas.microsoft.com/office/drawing/2014/main" id="{00000000-0008-0000-0300-0000D11B0400}"/>
              </a:ext>
            </a:extLst>
          </xdr:cNvPr>
          <xdr:cNvSpPr>
            <a:spLocks noChangeArrowheads="1"/>
          </xdr:cNvSpPr>
        </xdr:nvSpPr>
        <xdr:spPr bwMode="auto">
          <a:xfrm>
            <a:off x="362" y="170"/>
            <a:ext cx="1" cy="17"/>
          </a:xfrm>
          <a:prstGeom prst="rect">
            <a:avLst/>
          </a:prstGeom>
          <a:solidFill>
            <a:srgbClr val="696969"/>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69266" name="Rectangle 12242">
            <a:extLst>
              <a:ext uri="{FF2B5EF4-FFF2-40B4-BE49-F238E27FC236}">
                <a16:creationId xmlns:a16="http://schemas.microsoft.com/office/drawing/2014/main" id="{00000000-0008-0000-0300-0000D21B0400}"/>
              </a:ext>
            </a:extLst>
          </xdr:cNvPr>
          <xdr:cNvSpPr>
            <a:spLocks noChangeArrowheads="1"/>
          </xdr:cNvSpPr>
        </xdr:nvSpPr>
        <xdr:spPr bwMode="auto">
          <a:xfrm>
            <a:off x="363" y="170"/>
            <a:ext cx="135" cy="1"/>
          </a:xfrm>
          <a:prstGeom prst="rect">
            <a:avLst/>
          </a:prstGeom>
          <a:solidFill>
            <a:srgbClr val="696969"/>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69267" name="Rectangle 12243">
            <a:extLst>
              <a:ext uri="{FF2B5EF4-FFF2-40B4-BE49-F238E27FC236}">
                <a16:creationId xmlns:a16="http://schemas.microsoft.com/office/drawing/2014/main" id="{00000000-0008-0000-0300-0000D31B0400}"/>
              </a:ext>
            </a:extLst>
          </xdr:cNvPr>
          <xdr:cNvSpPr>
            <a:spLocks noChangeArrowheads="1"/>
          </xdr:cNvSpPr>
        </xdr:nvSpPr>
        <xdr:spPr bwMode="auto">
          <a:xfrm>
            <a:off x="361" y="169"/>
            <a:ext cx="1" cy="17"/>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grpSp>
    <xdr:clientData/>
  </xdr:twoCellAnchor>
  <xdr:twoCellAnchor editAs="oneCell">
    <xdr:from>
      <xdr:col>5</xdr:col>
      <xdr:colOff>85725</xdr:colOff>
      <xdr:row>6</xdr:row>
      <xdr:rowOff>76200</xdr:rowOff>
    </xdr:from>
    <xdr:to>
      <xdr:col>9</xdr:col>
      <xdr:colOff>552450</xdr:colOff>
      <xdr:row>8</xdr:row>
      <xdr:rowOff>104775</xdr:rowOff>
    </xdr:to>
    <xdr:sp macro="" textlink="">
      <xdr:nvSpPr>
        <xdr:cNvPr id="269184" name="AutoShape 12160">
          <a:extLst>
            <a:ext uri="{FF2B5EF4-FFF2-40B4-BE49-F238E27FC236}">
              <a16:creationId xmlns:a16="http://schemas.microsoft.com/office/drawing/2014/main" id="{00000000-0008-0000-0300-0000801B0400}"/>
            </a:ext>
          </a:extLst>
        </xdr:cNvPr>
        <xdr:cNvSpPr>
          <a:spLocks noChangeAspect="1" noChangeArrowheads="1"/>
        </xdr:cNvSpPr>
      </xdr:nvSpPr>
      <xdr:spPr bwMode="auto">
        <a:xfrm>
          <a:off x="2990850" y="1047750"/>
          <a:ext cx="2790825" cy="3524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5</xdr:col>
      <xdr:colOff>85725</xdr:colOff>
      <xdr:row>6</xdr:row>
      <xdr:rowOff>76200</xdr:rowOff>
    </xdr:from>
    <xdr:to>
      <xdr:col>9</xdr:col>
      <xdr:colOff>552450</xdr:colOff>
      <xdr:row>8</xdr:row>
      <xdr:rowOff>104775</xdr:rowOff>
    </xdr:to>
    <xdr:sp macro="" textlink="">
      <xdr:nvSpPr>
        <xdr:cNvPr id="269196" name="AutoShape 12172">
          <a:extLst>
            <a:ext uri="{FF2B5EF4-FFF2-40B4-BE49-F238E27FC236}">
              <a16:creationId xmlns:a16="http://schemas.microsoft.com/office/drawing/2014/main" id="{00000000-0008-0000-0300-00008C1B0400}"/>
            </a:ext>
          </a:extLst>
        </xdr:cNvPr>
        <xdr:cNvSpPr>
          <a:spLocks noChangeAspect="1" noChangeArrowheads="1"/>
        </xdr:cNvSpPr>
      </xdr:nvSpPr>
      <xdr:spPr bwMode="auto">
        <a:xfrm>
          <a:off x="2990850" y="1047750"/>
          <a:ext cx="2790825" cy="3524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5</xdr:col>
      <xdr:colOff>85725</xdr:colOff>
      <xdr:row>6</xdr:row>
      <xdr:rowOff>76200</xdr:rowOff>
    </xdr:from>
    <xdr:to>
      <xdr:col>9</xdr:col>
      <xdr:colOff>552450</xdr:colOff>
      <xdr:row>8</xdr:row>
      <xdr:rowOff>104775</xdr:rowOff>
    </xdr:to>
    <xdr:sp macro="" textlink="">
      <xdr:nvSpPr>
        <xdr:cNvPr id="269208" name="AutoShape 12184">
          <a:extLst>
            <a:ext uri="{FF2B5EF4-FFF2-40B4-BE49-F238E27FC236}">
              <a16:creationId xmlns:a16="http://schemas.microsoft.com/office/drawing/2014/main" id="{00000000-0008-0000-0300-0000981B0400}"/>
            </a:ext>
          </a:extLst>
        </xdr:cNvPr>
        <xdr:cNvSpPr>
          <a:spLocks noChangeAspect="1" noChangeArrowheads="1"/>
        </xdr:cNvSpPr>
      </xdr:nvSpPr>
      <xdr:spPr bwMode="auto">
        <a:xfrm>
          <a:off x="2990850" y="1047750"/>
          <a:ext cx="2790825" cy="3524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5</xdr:col>
      <xdr:colOff>85725</xdr:colOff>
      <xdr:row>6</xdr:row>
      <xdr:rowOff>76200</xdr:rowOff>
    </xdr:from>
    <xdr:to>
      <xdr:col>9</xdr:col>
      <xdr:colOff>552450</xdr:colOff>
      <xdr:row>8</xdr:row>
      <xdr:rowOff>104775</xdr:rowOff>
    </xdr:to>
    <xdr:sp macro="" textlink="">
      <xdr:nvSpPr>
        <xdr:cNvPr id="269220" name="AutoShape 12196">
          <a:extLst>
            <a:ext uri="{FF2B5EF4-FFF2-40B4-BE49-F238E27FC236}">
              <a16:creationId xmlns:a16="http://schemas.microsoft.com/office/drawing/2014/main" id="{00000000-0008-0000-0300-0000A41B0400}"/>
            </a:ext>
          </a:extLst>
        </xdr:cNvPr>
        <xdr:cNvSpPr>
          <a:spLocks noChangeAspect="1" noChangeArrowheads="1"/>
        </xdr:cNvSpPr>
      </xdr:nvSpPr>
      <xdr:spPr bwMode="auto">
        <a:xfrm>
          <a:off x="2990850" y="1047750"/>
          <a:ext cx="2790825" cy="3524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5</xdr:col>
      <xdr:colOff>171450</xdr:colOff>
      <xdr:row>9</xdr:row>
      <xdr:rowOff>152400</xdr:rowOff>
    </xdr:from>
    <xdr:to>
      <xdr:col>7</xdr:col>
      <xdr:colOff>333375</xdr:colOff>
      <xdr:row>11</xdr:row>
      <xdr:rowOff>19050</xdr:rowOff>
    </xdr:to>
    <xdr:sp macro="" textlink="">
      <xdr:nvSpPr>
        <xdr:cNvPr id="269244" name="AutoShape 12220">
          <a:extLst>
            <a:ext uri="{FF2B5EF4-FFF2-40B4-BE49-F238E27FC236}">
              <a16:creationId xmlns:a16="http://schemas.microsoft.com/office/drawing/2014/main" id="{00000000-0008-0000-0300-0000BC1B0400}"/>
            </a:ext>
          </a:extLst>
        </xdr:cNvPr>
        <xdr:cNvSpPr>
          <a:spLocks noChangeAspect="1" noChangeArrowheads="1"/>
        </xdr:cNvSpPr>
      </xdr:nvSpPr>
      <xdr:spPr bwMode="auto">
        <a:xfrm>
          <a:off x="3076575" y="1609725"/>
          <a:ext cx="1323975" cy="190500"/>
        </a:xfrm>
        <a:prstGeom prst="rect">
          <a:avLst/>
        </a:prstGeom>
        <a:noFill/>
        <a:extLst>
          <a:ext uri="{909E8E84-426E-40DD-AFC4-6F175D3DCCD1}">
            <a14:hiddenFill xmlns:a14="http://schemas.microsoft.com/office/drawing/2010/main">
              <a:solidFill>
                <a:srgbClr val="FFFFFF"/>
              </a:solidFill>
            </a14:hiddenFill>
          </a:ext>
        </a:extLst>
      </xdr:spPr>
      <xdr:txBody>
        <a:bodyPr vertOverflow="clip" wrap="square" lIns="91440" tIns="45720" rIns="91440" bIns="45720" anchor="t" upright="1"/>
        <a:lstStyle/>
        <a:p>
          <a:pPr algn="l" rtl="0">
            <a:defRPr sz="1000"/>
          </a:pPr>
          <a:r>
            <a:rPr lang="en-ZA" sz="1000" b="0" i="0" u="none" strike="noStrike" baseline="0">
              <a:solidFill>
                <a:srgbClr val="000000"/>
              </a:solidFill>
              <a:latin typeface="Arial"/>
              <a:cs typeface="Arial"/>
            </a:rPr>
            <a:t>031 785 9300</a:t>
          </a:r>
        </a:p>
      </xdr:txBody>
    </xdr: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323850</xdr:colOff>
          <xdr:row>2</xdr:row>
          <xdr:rowOff>19050</xdr:rowOff>
        </xdr:from>
        <xdr:to>
          <xdr:col>4</xdr:col>
          <xdr:colOff>2038350</xdr:colOff>
          <xdr:row>4</xdr:row>
          <xdr:rowOff>19050</xdr:rowOff>
        </xdr:to>
        <xdr:sp macro="" textlink="">
          <xdr:nvSpPr>
            <xdr:cNvPr id="75786" name="Button 10" hidden="1">
              <a:extLst>
                <a:ext uri="{63B3BB69-23CF-44E3-9099-C40C66FF867C}">
                  <a14:compatExt spid="_x0000_s75786"/>
                </a:ext>
                <a:ext uri="{FF2B5EF4-FFF2-40B4-BE49-F238E27FC236}">
                  <a16:creationId xmlns:a16="http://schemas.microsoft.com/office/drawing/2014/main" id="{00000000-0008-0000-0400-00000A28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ZA" sz="1000" b="0" i="0" u="none" strike="noStrike" baseline="0">
                  <a:solidFill>
                    <a:srgbClr val="000000"/>
                  </a:solidFill>
                  <a:latin typeface="Arial"/>
                  <a:cs typeface="Arial"/>
                </a:rPr>
                <a:t>Save for USERS</a:t>
              </a:r>
            </a:p>
          </xdr:txBody>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1</xdr:col>
      <xdr:colOff>517525</xdr:colOff>
      <xdr:row>0</xdr:row>
      <xdr:rowOff>19050</xdr:rowOff>
    </xdr:from>
    <xdr:to>
      <xdr:col>2</xdr:col>
      <xdr:colOff>3264969</xdr:colOff>
      <xdr:row>0</xdr:row>
      <xdr:rowOff>438150</xdr:rowOff>
    </xdr:to>
    <xdr:sp macro="" textlink="">
      <xdr:nvSpPr>
        <xdr:cNvPr id="10" name="Text Box 18">
          <a:extLst>
            <a:ext uri="{FF2B5EF4-FFF2-40B4-BE49-F238E27FC236}">
              <a16:creationId xmlns:a16="http://schemas.microsoft.com/office/drawing/2014/main" id="{00000000-0008-0000-0600-00000A000000}"/>
            </a:ext>
          </a:extLst>
        </xdr:cNvPr>
        <xdr:cNvSpPr txBox="1">
          <a:spLocks noChangeArrowheads="1"/>
        </xdr:cNvSpPr>
      </xdr:nvSpPr>
      <xdr:spPr bwMode="auto">
        <a:xfrm>
          <a:off x="2886075" y="19050"/>
          <a:ext cx="3200400" cy="419100"/>
        </a:xfrm>
        <a:prstGeom prst="rect">
          <a:avLst/>
        </a:prstGeom>
        <a:gradFill rotWithShape="1">
          <a:gsLst>
            <a:gs pos="0">
              <a:srgbClr val="000080"/>
            </a:gs>
            <a:gs pos="50000">
              <a:srgbClr val="FCFCFE"/>
            </a:gs>
            <a:gs pos="100000">
              <a:srgbClr val="000080"/>
            </a:gs>
          </a:gsLst>
          <a:lin ang="5400000" scaled="1"/>
        </a:gradFill>
        <a:ln w="9525">
          <a:solidFill>
            <a:srgbClr val="000000"/>
          </a:solidFill>
          <a:miter lim="800000"/>
          <a:headEnd/>
          <a:tailEnd/>
        </a:ln>
      </xdr:spPr>
      <xdr:txBody>
        <a:bodyPr vertOverflow="clip" wrap="square" lIns="36576" tIns="32004" rIns="36576" bIns="32004" anchor="ctr"/>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en-GB" sz="1400" b="1" i="0" u="none" strike="noStrike" kern="0" cap="none" spc="0" normalizeH="0" baseline="0" noProof="0">
              <a:ln>
                <a:noFill/>
              </a:ln>
              <a:solidFill>
                <a:srgbClr val="000000"/>
              </a:solidFill>
              <a:effectLst/>
              <a:uLnTx/>
              <a:uFillTx/>
              <a:latin typeface="Calibri"/>
              <a:cs typeface="Calibri"/>
            </a:rPr>
            <a:t>Complete Votes &amp; Sub-Votes</a:t>
          </a:r>
        </a:p>
      </xdr:txBody>
    </xdr:sp>
    <xdr:clientData/>
  </xdr:twoCellAnchor>
  <xdr:twoCellAnchor>
    <xdr:from>
      <xdr:col>0</xdr:col>
      <xdr:colOff>0</xdr:colOff>
      <xdr:row>0</xdr:row>
      <xdr:rowOff>9525</xdr:rowOff>
    </xdr:from>
    <xdr:to>
      <xdr:col>1</xdr:col>
      <xdr:colOff>0</xdr:colOff>
      <xdr:row>0</xdr:row>
      <xdr:rowOff>438150</xdr:rowOff>
    </xdr:to>
    <xdr:sp macro="" textlink="">
      <xdr:nvSpPr>
        <xdr:cNvPr id="8" name="Text Box 18">
          <a:extLst>
            <a:ext uri="{FF2B5EF4-FFF2-40B4-BE49-F238E27FC236}">
              <a16:creationId xmlns:a16="http://schemas.microsoft.com/office/drawing/2014/main" id="{00000000-0008-0000-0600-000008000000}"/>
            </a:ext>
          </a:extLst>
        </xdr:cNvPr>
        <xdr:cNvSpPr txBox="1">
          <a:spLocks noChangeArrowheads="1"/>
        </xdr:cNvSpPr>
      </xdr:nvSpPr>
      <xdr:spPr bwMode="auto">
        <a:xfrm>
          <a:off x="0" y="9525"/>
          <a:ext cx="2505075" cy="428625"/>
        </a:xfrm>
        <a:prstGeom prst="rect">
          <a:avLst/>
        </a:prstGeom>
        <a:gradFill rotWithShape="1">
          <a:gsLst>
            <a:gs pos="0">
              <a:srgbClr val="000080"/>
            </a:gs>
            <a:gs pos="50000">
              <a:srgbClr val="FCFCFE"/>
            </a:gs>
            <a:gs pos="100000">
              <a:srgbClr val="000080"/>
            </a:gs>
          </a:gsLst>
          <a:lin ang="5400000" scaled="1"/>
        </a:gradFill>
        <a:ln w="9525">
          <a:solidFill>
            <a:srgbClr val="000000"/>
          </a:solidFill>
          <a:miter lim="800000"/>
          <a:headEnd/>
          <a:tailEnd/>
        </a:ln>
      </xdr:spPr>
      <xdr:txBody>
        <a:bodyPr vertOverflow="clip" wrap="square" lIns="36576" tIns="32004" rIns="36576" bIns="32004" anchor="ctr"/>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en-GB" sz="1400" b="1" i="0" u="none" strike="noStrike" kern="0" cap="none" spc="0" normalizeH="0" baseline="0" noProof="0">
              <a:ln>
                <a:noFill/>
              </a:ln>
              <a:solidFill>
                <a:srgbClr val="000000"/>
              </a:solidFill>
              <a:effectLst/>
              <a:uLnTx/>
              <a:uFillTx/>
              <a:latin typeface="+mn-lt"/>
              <a:cs typeface="Calibri"/>
            </a:rPr>
            <a:t>Organisational Structure Votes</a:t>
          </a:r>
          <a:endParaRPr kumimoji="0" lang="en-GB" sz="1400" b="1" i="0" u="none" strike="noStrike" kern="0" cap="none" spc="0" normalizeH="0" baseline="0" noProof="0">
            <a:ln>
              <a:noFill/>
            </a:ln>
            <a:solidFill>
              <a:srgbClr val="000000"/>
            </a:solidFill>
            <a:effectLst/>
            <a:uLnTx/>
            <a:uFillTx/>
            <a:latin typeface="Calibri"/>
            <a:ea typeface="+mn-ea"/>
            <a:cs typeface="Calibri"/>
          </a:endParaRPr>
        </a:p>
      </xdr:txBody>
    </xdr:sp>
    <xdr:clientData/>
  </xdr:twoCellAnchor>
  <xdr:twoCellAnchor>
    <xdr:from>
      <xdr:col>3</xdr:col>
      <xdr:colOff>0</xdr:colOff>
      <xdr:row>0</xdr:row>
      <xdr:rowOff>0</xdr:rowOff>
    </xdr:from>
    <xdr:to>
      <xdr:col>5</xdr:col>
      <xdr:colOff>0</xdr:colOff>
      <xdr:row>0</xdr:row>
      <xdr:rowOff>438149</xdr:rowOff>
    </xdr:to>
    <xdr:sp macro="" textlink="">
      <xdr:nvSpPr>
        <xdr:cNvPr id="11" name="Text Box 18">
          <a:extLst>
            <a:ext uri="{FF2B5EF4-FFF2-40B4-BE49-F238E27FC236}">
              <a16:creationId xmlns:a16="http://schemas.microsoft.com/office/drawing/2014/main" id="{00000000-0008-0000-0600-00000B000000}"/>
            </a:ext>
          </a:extLst>
        </xdr:cNvPr>
        <xdr:cNvSpPr txBox="1">
          <a:spLocks noChangeArrowheads="1"/>
        </xdr:cNvSpPr>
      </xdr:nvSpPr>
      <xdr:spPr bwMode="auto">
        <a:xfrm>
          <a:off x="6210300" y="0"/>
          <a:ext cx="4229100" cy="438149"/>
        </a:xfrm>
        <a:prstGeom prst="rect">
          <a:avLst/>
        </a:prstGeom>
        <a:gradFill rotWithShape="1">
          <a:gsLst>
            <a:gs pos="0">
              <a:srgbClr val="000080"/>
            </a:gs>
            <a:gs pos="50000">
              <a:srgbClr val="FCFCFE"/>
            </a:gs>
            <a:gs pos="100000">
              <a:srgbClr val="000080"/>
            </a:gs>
          </a:gsLst>
          <a:lin ang="5400000" scaled="1"/>
        </a:gradFill>
        <a:ln w="9525">
          <a:solidFill>
            <a:srgbClr val="000000"/>
          </a:solidFill>
          <a:miter lim="800000"/>
          <a:headEnd/>
          <a:tailEnd/>
        </a:ln>
      </xdr:spPr>
      <xdr:txBody>
        <a:bodyPr vertOverflow="clip" wrap="square" lIns="36576" tIns="32004" rIns="36576" bIns="32004" anchor="ctr"/>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en-GB" sz="1400" b="1" i="0" u="none" strike="noStrike" kern="0" cap="none" spc="0" normalizeH="0" baseline="0" noProof="0">
              <a:ln>
                <a:noFill/>
              </a:ln>
              <a:solidFill>
                <a:srgbClr val="000000"/>
              </a:solidFill>
              <a:effectLst/>
              <a:uLnTx/>
              <a:uFillTx/>
              <a:latin typeface="Calibri"/>
              <a:cs typeface="Calibri"/>
            </a:rPr>
            <a:t>Select Org. Structure</a:t>
          </a:r>
        </a:p>
      </xdr:txBody>
    </xdr:sp>
    <xdr:clientData/>
  </xdr:twoCellAnchor>
  <xdr:twoCellAnchor>
    <xdr:from>
      <xdr:col>1</xdr:col>
      <xdr:colOff>0</xdr:colOff>
      <xdr:row>0</xdr:row>
      <xdr:rowOff>0</xdr:rowOff>
    </xdr:from>
    <xdr:to>
      <xdr:col>1</xdr:col>
      <xdr:colOff>518160</xdr:colOff>
      <xdr:row>0</xdr:row>
      <xdr:rowOff>441960</xdr:rowOff>
    </xdr:to>
    <xdr:sp macro="" textlink="">
      <xdr:nvSpPr>
        <xdr:cNvPr id="270372" name="Text Box 18">
          <a:extLst>
            <a:ext uri="{FF2B5EF4-FFF2-40B4-BE49-F238E27FC236}">
              <a16:creationId xmlns:a16="http://schemas.microsoft.com/office/drawing/2014/main" id="{00000000-0008-0000-0600-000024200400}"/>
            </a:ext>
          </a:extLst>
        </xdr:cNvPr>
        <xdr:cNvSpPr txBox="1">
          <a:spLocks noChangeArrowheads="1"/>
        </xdr:cNvSpPr>
      </xdr:nvSpPr>
      <xdr:spPr bwMode="auto">
        <a:xfrm>
          <a:off x="2567940" y="0"/>
          <a:ext cx="518160" cy="441960"/>
        </a:xfrm>
        <a:prstGeom prst="rect">
          <a:avLst/>
        </a:prstGeom>
        <a:gradFill rotWithShape="1">
          <a:gsLst>
            <a:gs pos="0">
              <a:srgbClr val="000080"/>
            </a:gs>
            <a:gs pos="50000">
              <a:srgbClr val="FCFCFE"/>
            </a:gs>
            <a:gs pos="100000">
              <a:srgbClr val="000080"/>
            </a:gs>
          </a:gsLst>
          <a:lin ang="5400000" scaled="1"/>
        </a:gradFill>
        <a:ln w="9525">
          <a:solidFill>
            <a:srgbClr val="000000"/>
          </a:solidFill>
          <a:miter lim="800000"/>
          <a:headEnd/>
          <a:tailEnd/>
        </a:ln>
      </xdr:spPr>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1252220</xdr:colOff>
      <xdr:row>0</xdr:row>
      <xdr:rowOff>0</xdr:rowOff>
    </xdr:from>
    <xdr:to>
      <xdr:col>2</xdr:col>
      <xdr:colOff>3701</xdr:colOff>
      <xdr:row>0</xdr:row>
      <xdr:rowOff>0</xdr:rowOff>
    </xdr:to>
    <xdr:sp macro="" textlink="">
      <xdr:nvSpPr>
        <xdr:cNvPr id="55297" name="AutoShape 1">
          <a:extLst>
            <a:ext uri="{FF2B5EF4-FFF2-40B4-BE49-F238E27FC236}">
              <a16:creationId xmlns:a16="http://schemas.microsoft.com/office/drawing/2014/main" id="{00000000-0008-0000-1700-000001D80000}"/>
            </a:ext>
          </a:extLst>
        </xdr:cNvPr>
        <xdr:cNvSpPr>
          <a:spLocks noChangeArrowheads="1"/>
        </xdr:cNvSpPr>
      </xdr:nvSpPr>
      <xdr:spPr bwMode="auto">
        <a:xfrm>
          <a:off x="1209675" y="0"/>
          <a:ext cx="838200" cy="0"/>
        </a:xfrm>
        <a:prstGeom prst="wedgeRoundRectCallout">
          <a:avLst>
            <a:gd name="adj1" fmla="val -41176"/>
            <a:gd name="adj2" fmla="val -57574"/>
            <a:gd name="adj3" fmla="val 16667"/>
          </a:avLst>
        </a:prstGeom>
        <a:solidFill>
          <a:srgbClr val="FFFFFF"/>
        </a:solidFill>
        <a:ln w="9525">
          <a:solidFill>
            <a:srgbClr val="000000"/>
          </a:solidFill>
          <a:miter lim="800000"/>
          <a:headEnd/>
          <a:tailEnd/>
        </a:ln>
      </xdr:spPr>
      <xdr:txBody>
        <a:bodyPr vertOverflow="clip" wrap="square" lIns="27432" tIns="22860" rIns="0" bIns="0" anchor="t" upright="1"/>
        <a:lstStyle/>
        <a:p>
          <a:pPr algn="l" rtl="0">
            <a:defRPr sz="1000"/>
          </a:pPr>
          <a:r>
            <a:rPr lang="en-ZA" sz="800" b="0" i="0" u="none" strike="noStrike" baseline="0">
              <a:solidFill>
                <a:srgbClr val="000000"/>
              </a:solidFill>
              <a:latin typeface="Arial"/>
              <a:cs typeface="Arial"/>
            </a:rPr>
            <a:t>Headings compulsory, but detailed line items possibly to be specified in the guidelines</a:t>
          </a:r>
        </a:p>
      </xdr:txBody>
    </xdr:sp>
    <xdr:clientData/>
  </xdr:twoCellAnchor>
  <xdr:twoCellAnchor>
    <xdr:from>
      <xdr:col>0</xdr:col>
      <xdr:colOff>1252220</xdr:colOff>
      <xdr:row>0</xdr:row>
      <xdr:rowOff>0</xdr:rowOff>
    </xdr:from>
    <xdr:to>
      <xdr:col>2</xdr:col>
      <xdr:colOff>20846</xdr:colOff>
      <xdr:row>0</xdr:row>
      <xdr:rowOff>0</xdr:rowOff>
    </xdr:to>
    <xdr:sp macro="" textlink="">
      <xdr:nvSpPr>
        <xdr:cNvPr id="55312" name="AutoShape 16">
          <a:extLst>
            <a:ext uri="{FF2B5EF4-FFF2-40B4-BE49-F238E27FC236}">
              <a16:creationId xmlns:a16="http://schemas.microsoft.com/office/drawing/2014/main" id="{00000000-0008-0000-1700-000010D80000}"/>
            </a:ext>
          </a:extLst>
        </xdr:cNvPr>
        <xdr:cNvSpPr>
          <a:spLocks noChangeArrowheads="1"/>
        </xdr:cNvSpPr>
      </xdr:nvSpPr>
      <xdr:spPr bwMode="auto">
        <a:xfrm>
          <a:off x="1238250" y="0"/>
          <a:ext cx="828675" cy="0"/>
        </a:xfrm>
        <a:prstGeom prst="wedgeRoundRectCallout">
          <a:avLst>
            <a:gd name="adj1" fmla="val -40440"/>
            <a:gd name="adj2" fmla="val 86366"/>
            <a:gd name="adj3" fmla="val 16667"/>
          </a:avLst>
        </a:prstGeom>
        <a:solidFill>
          <a:srgbClr val="FFFFFF"/>
        </a:solidFill>
        <a:ln w="9525">
          <a:solidFill>
            <a:srgbClr val="000000"/>
          </a:solidFill>
          <a:miter lim="800000"/>
          <a:headEnd/>
          <a:tailEnd/>
        </a:ln>
      </xdr:spPr>
      <xdr:txBody>
        <a:bodyPr vertOverflow="clip" wrap="square" lIns="27432" tIns="22860" rIns="0" bIns="0" anchor="t" upright="1"/>
        <a:lstStyle/>
        <a:p>
          <a:pPr algn="l" rtl="0">
            <a:defRPr sz="1000"/>
          </a:pPr>
          <a:r>
            <a:rPr lang="en-ZA" sz="800" b="0" i="0" u="none" strike="noStrike" baseline="0">
              <a:solidFill>
                <a:srgbClr val="000000"/>
              </a:solidFill>
              <a:latin typeface="Arial"/>
              <a:cs typeface="Arial"/>
            </a:rPr>
            <a:t>R&amp;M should be distributed to other cost types and this line is then obsolete</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1480/AppData/Local/Microsoft/Windows/INetCache/Content.Outlook/4SD69ECG/file:/ressp02/Common/Documents%20and%20Settings/1777/My%20Documents/C%20Tshwane/EM%2010day%20report%20Dec%202006.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Matshego/Desktop/NT%20A_SCHEDULE%20REPORT%206.4.xltm" TargetMode="External"/></Relationships>
</file>

<file path=xl/externalLinks/_rels/externalLink3.xml.rels><?xml version="1.0" encoding="UTF-8" standalone="yes"?>
<Relationships xmlns="http://schemas.openxmlformats.org/package/2006/relationships"><Relationship Id="rId2" Type="http://schemas.microsoft.com/office/2019/04/relationships/externalLinkLongPath" Target="file:///Z:\Users\1480\AppData\Local\Microsoft\Windows\INetCache\Content.Outlook\4SD69ECG\file:\ressp02\Common\Documents%20and%20Settings\1777\My%20Documents\Budget%20regulations\Regulations\Tshwane\Budget%20Regulations%20Tshwane%20Draft%20NT%204.xls?89E6C26D" TargetMode="External"/><Relationship Id="rId1" Type="http://schemas.openxmlformats.org/officeDocument/2006/relationships/externalLinkPath" Target="file:///\\89E6C26D\Budget%20Regulations%20Tshwane%20Draft%20NT%204.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Zondot/AppData/Local/Microsoft/Windows/INetCache/Content.Outlook/QODOQLYR/28.05.2020%20Final%20Budget%20KZN226%20Mkhambathini%20A1%20Schedule%20-%20mSCOA%20vs%206.4.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Summary"/>
      <sheetName val="PIs"/>
      <sheetName val="SFP"/>
      <sheetName val="Stack graph"/>
      <sheetName val="Rev target"/>
      <sheetName val="Monthly SFP Bud"/>
      <sheetName val="Capex"/>
      <sheetName val="Capex graphs"/>
      <sheetName val="Capex history"/>
      <sheetName val="Cash"/>
      <sheetName val="YTD cash targets"/>
      <sheetName val="Debtors"/>
      <sheetName val="Creditors"/>
      <sheetName val="Balance Sheet"/>
    </sheetNames>
    <sheetDataSet>
      <sheetData sheetId="0" refreshError="1">
        <row r="1">
          <cell r="B1" t="str">
            <v>December</v>
          </cell>
        </row>
        <row r="2">
          <cell r="B2">
            <v>31</v>
          </cell>
        </row>
        <row r="3">
          <cell r="B3">
            <v>2007</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A4_RAW"/>
      <sheetName val="SA5_RAW"/>
      <sheetName val="SA6_RAW"/>
      <sheetName val="SA36_RAW"/>
      <sheetName val="SA37_RAW"/>
      <sheetName val="SA38_RAW"/>
      <sheetName val="SA18NatOp_Raw"/>
      <sheetName val="SA18NatCap_RAW"/>
      <sheetName val="SA18ProvCap_RAW"/>
      <sheetName val="SA18ProvOp_RAW"/>
      <sheetName val="SA18DistCap_RAW"/>
      <sheetName val="SA18DistOp_RAW"/>
      <sheetName val="SA18OthCap_RAW"/>
      <sheetName val="SA18OthOp_RAW"/>
      <sheetName val="START"/>
      <sheetName val="Instructions"/>
      <sheetName val="Template names"/>
      <sheetName val="Lookup and lists"/>
      <sheetName val="Org structure"/>
      <sheetName val="Contacts"/>
      <sheetName val="A1-Sum"/>
      <sheetName val="A2-FinPerf SC"/>
      <sheetName val="A2A"/>
      <sheetName val="A3-FinPerf V"/>
      <sheetName val="A3A"/>
      <sheetName val="A4-FinPerf RE"/>
      <sheetName val="A5-Capex"/>
      <sheetName val="A5A"/>
      <sheetName val="A6-FinPos"/>
      <sheetName val="A7-CFlow"/>
      <sheetName val="A8-ResRecon"/>
      <sheetName val="A9-Asset"/>
      <sheetName val="A10-SerDel"/>
      <sheetName val="SA1"/>
      <sheetName val="SA2"/>
      <sheetName val="SA3"/>
      <sheetName val="SA4"/>
      <sheetName val="SA5"/>
      <sheetName val="SA6"/>
      <sheetName val="SA7"/>
      <sheetName val="SA8"/>
      <sheetName val="SA9"/>
      <sheetName val="SA10"/>
      <sheetName val="SA11"/>
      <sheetName val="SA12a"/>
      <sheetName val="SA12b"/>
      <sheetName val="SA13a"/>
      <sheetName val="SA13b"/>
      <sheetName val="SA14"/>
      <sheetName val="SA15"/>
      <sheetName val="SA16"/>
      <sheetName val="SA17"/>
      <sheetName val="SA18"/>
      <sheetName val="SA19"/>
      <sheetName val="SA20"/>
      <sheetName val="SA21"/>
      <sheetName val="SA22"/>
      <sheetName val="SA23"/>
      <sheetName val="SA24"/>
      <sheetName val="SA25"/>
      <sheetName val="SA26"/>
      <sheetName val="SA27"/>
      <sheetName val="SA28"/>
      <sheetName val="SA29"/>
      <sheetName val="SA30"/>
      <sheetName val="SA31"/>
      <sheetName val="SA32"/>
      <sheetName val="SA33"/>
      <sheetName val="SA34a"/>
      <sheetName val="SA34b"/>
      <sheetName val="SA34c"/>
      <sheetName val="SA34d"/>
      <sheetName val="SA34e"/>
      <sheetName val="SA35"/>
      <sheetName val="SA36"/>
      <sheetName val="SA37"/>
      <sheetName val="SA38"/>
      <sheetName val="LGDB_EXPORT"/>
    </sheetNames>
    <sheetDataSet>
      <sheetData sheetId="0">
        <row r="1">
          <cell r="BM1" t="str">
            <v>S71_MasterVoteMunicipal</v>
          </cell>
          <cell r="BN1" t="str">
            <v>S71_SubMunicipalVoteNo</v>
          </cell>
          <cell r="BO1" t="str">
            <v>S71_MasterVoteDescription</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mprove Specification"/>
      <sheetName val="Directory and scenarios"/>
      <sheetName val="Options"/>
      <sheetName val="Names"/>
      <sheetName val="Summary table"/>
      <sheetName val="Schedule 1"/>
      <sheetName val="Schedule2"/>
      <sheetName val="Schedule 3"/>
      <sheetName val="Schedule 4"/>
      <sheetName val="Schedule 5"/>
      <sheetName val="Schedule 6"/>
      <sheetName val="Schedule 7"/>
      <sheetName val="Funding note"/>
      <sheetName val="Notes 1 &amp; 2"/>
      <sheetName val="Note 3"/>
      <sheetName val="Note 4"/>
      <sheetName val="Note 5"/>
      <sheetName val="Note 6"/>
      <sheetName val="Note 7"/>
      <sheetName val="Note 8"/>
      <sheetName val="Note 9"/>
      <sheetName val="Note 10"/>
      <sheetName val="Notes 11-13"/>
      <sheetName val="Note 14"/>
      <sheetName val="Note 15"/>
      <sheetName val="Note 16"/>
      <sheetName val="Note 17"/>
      <sheetName val="Note 18"/>
      <sheetName val="Note 19"/>
      <sheetName val="Note 20"/>
      <sheetName val="Note 21 PIs"/>
      <sheetName val="Note 22"/>
      <sheetName val="Note 23"/>
      <sheetName val="Charts Values"/>
      <sheetName val="Charts"/>
      <sheetName val="SDBIP2"/>
      <sheetName val="SDBIP2A"/>
      <sheetName val="SDBIP3"/>
      <sheetName val="SDBIP4"/>
      <sheetName val="ADJ1"/>
      <sheetName val="ADJ2"/>
      <sheetName val="ADJ3"/>
      <sheetName val="ADJ4"/>
      <sheetName val="ADJ5"/>
      <sheetName val="ADJ6"/>
      <sheetName val="ADJ7"/>
      <sheetName val="ADJ8"/>
      <sheetName val="ADJ9"/>
      <sheetName val="ADJ10"/>
      <sheetName val="S71A"/>
      <sheetName val="S71B"/>
      <sheetName val="S71C"/>
      <sheetName val="S71D"/>
      <sheetName val="S71E"/>
      <sheetName val="S71F"/>
      <sheetName val="S71G"/>
      <sheetName val="S71H"/>
      <sheetName val="S71I"/>
      <sheetName val="S71J"/>
      <sheetName val="S71K"/>
      <sheetName val="S71L"/>
      <sheetName val="MEB1"/>
      <sheetName val="MEB2"/>
      <sheetName val="MEB3"/>
      <sheetName val="MEB4"/>
      <sheetName val="MEB5"/>
      <sheetName val="MEB6"/>
      <sheetName val="MEB7"/>
      <sheetName val="MEAB1"/>
      <sheetName val="MEAB2"/>
      <sheetName val="MEAB3"/>
      <sheetName val="MEAB4"/>
      <sheetName val="MEAB5"/>
      <sheetName val="MEAB6"/>
      <sheetName val="MER1"/>
      <sheetName val="MER2"/>
      <sheetName val="MER3"/>
      <sheetName val="MER4"/>
      <sheetName val="MER5"/>
      <sheetName val="All ME SFPos"/>
      <sheetName val="ME Total SPerf"/>
      <sheetName val="Parent SFPos"/>
      <sheetName val="Cash Flow"/>
      <sheetName val="SFPerf Consol"/>
      <sheetName val="Consolidated SFPos"/>
      <sheetName val="Capex"/>
      <sheetName val="SFPerfDept"/>
      <sheetName val="SFPerf"/>
      <sheetName val="Economic assumptions"/>
      <sheetName val="Targets"/>
      <sheetName val="Munitoria PPP"/>
      <sheetName val="Statistics"/>
      <sheetName val="Tables"/>
      <sheetName val="Asset Reg"/>
      <sheetName val="New structure by DEPT"/>
      <sheetName val="Loan repayment schedule"/>
      <sheetName val="Investments"/>
      <sheetName val="MIIF"/>
      <sheetName val="Capital Budget"/>
      <sheetName val="Capex funding schedule"/>
      <sheetName val="New borrowing"/>
      <sheetName val="Parent SFPos excl RED"/>
      <sheetName val="Employee costs"/>
      <sheetName val="Funding option calcs"/>
      <sheetName val="Bad debts"/>
      <sheetName val="General Assess"/>
      <sheetName val="Governing"/>
      <sheetName val="MM"/>
      <sheetName val="COO"/>
      <sheetName val="Finance"/>
      <sheetName val="Corporate Services"/>
      <sheetName val="Legal"/>
      <sheetName val="Economic Dev"/>
      <sheetName val="Transport"/>
      <sheetName val="Marketing"/>
      <sheetName val="Health and Social"/>
      <sheetName val="Emergency"/>
      <sheetName val="Metropol"/>
      <sheetName val="Housing"/>
      <sheetName val="Roads and Stormwater"/>
      <sheetName val="Water and Sanitation"/>
      <sheetName val="Electricity"/>
      <sheetName val="RTWST"/>
      <sheetName val="Civirelo"/>
      <sheetName val="Sheet1"/>
      <sheetName val="Sandspruit"/>
      <sheetName val="ME report"/>
      <sheetName val="Tshwane Housing Co"/>
      <sheetName val="Lebone"/>
      <sheetName val="Trade Point"/>
      <sheetName val="TCBIS"/>
      <sheetName val="ESAT"/>
      <sheetName val="New structure Control SFP"/>
      <sheetName val="EM &amp; MM"/>
      <sheetName val="MM IT ex Corp Serv"/>
      <sheetName val="Gen Assess"/>
      <sheetName val="Financial Services"/>
      <sheetName val="Corporate &amp; Shared"/>
      <sheetName val="Community Safety"/>
      <sheetName val="Economic Development"/>
      <sheetName val="Health &amp; Social"/>
      <sheetName val="Ambulance"/>
      <sheetName val="Sport &amp; Recreation"/>
      <sheetName val="Housing Services"/>
      <sheetName val="Agriculture &amp; EM"/>
      <sheetName val="Public Works"/>
      <sheetName val="REDS"/>
      <sheetName val="Roads &amp; Stormwater"/>
      <sheetName val="Transport Development"/>
      <sheetName val="Water &amp; Sanitation"/>
      <sheetName val="City Planning &amp; RS"/>
      <sheetName val="% allocations"/>
      <sheetName val="Data"/>
    </sheetNames>
    <sheetDataSet>
      <sheetData sheetId="0" refreshError="1"/>
      <sheetData sheetId="1" refreshError="1"/>
      <sheetData sheetId="2" refreshError="1"/>
      <sheetData sheetId="3" refreshError="1">
        <row r="89">
          <cell r="B89" t="str">
            <v>Measureable performance objectives - Note 20</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RT"/>
      <sheetName val="Instructions"/>
      <sheetName val="Template names"/>
      <sheetName val="Lookup and lists"/>
      <sheetName val="Org structure"/>
      <sheetName val="Contacts"/>
      <sheetName val="A1-Sum"/>
      <sheetName val="A2-FinPerf SC"/>
      <sheetName val="A2A"/>
      <sheetName val="A3-FinPerf V"/>
      <sheetName val="A3A"/>
      <sheetName val="A4-FinPerf RE"/>
      <sheetName val="A5-Capex"/>
      <sheetName val="A5A"/>
      <sheetName val="Chart1"/>
      <sheetName val="A6-FinPos"/>
      <sheetName val="A7-CFlow"/>
      <sheetName val="A8-ResRecon"/>
      <sheetName val="A9-Asset"/>
      <sheetName val="A10-SerDel"/>
      <sheetName val="SA1"/>
      <sheetName val="SA2"/>
      <sheetName val="SA3"/>
      <sheetName val="SA4"/>
      <sheetName val="SA5"/>
      <sheetName val="SA6"/>
      <sheetName val="SA7"/>
      <sheetName val="SA8"/>
      <sheetName val="SA9"/>
      <sheetName val="SA10"/>
      <sheetName val="SA11"/>
      <sheetName val="SA12a"/>
      <sheetName val="SA12b"/>
      <sheetName val="SA13a"/>
      <sheetName val="SA13b"/>
      <sheetName val="SA14"/>
      <sheetName val="SA15"/>
      <sheetName val="SA16"/>
      <sheetName val="SA17"/>
      <sheetName val="SA18"/>
      <sheetName val="SA19"/>
      <sheetName val="SA20"/>
      <sheetName val="SA21"/>
      <sheetName val="SA22"/>
      <sheetName val="SA23"/>
      <sheetName val="SA24"/>
      <sheetName val="SA25"/>
      <sheetName val="SA26"/>
      <sheetName val="SA27"/>
      <sheetName val="SA28"/>
      <sheetName val="SA29"/>
      <sheetName val="SA30"/>
      <sheetName val="SA31"/>
      <sheetName val="SA32"/>
      <sheetName val="SA33"/>
      <sheetName val="SA34a"/>
      <sheetName val="SA34b"/>
      <sheetName val="SA34c"/>
      <sheetName val="SA34d"/>
      <sheetName val="SA34e"/>
      <sheetName val="SA35"/>
      <sheetName val="SA36"/>
      <sheetName val="SA37"/>
      <sheetName val="SA38"/>
      <sheetName val="LGDB_EXPOR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ow r="9">
          <cell r="A9" t="str">
            <v xml:space="preserve">Finance Management </v>
          </cell>
        </row>
        <row r="10">
          <cell r="A10" t="str">
            <v>Municipal Systems Improvement</v>
          </cell>
        </row>
        <row r="11">
          <cell r="A11" t="str">
            <v>Integrated National Electrification Programme</v>
          </cell>
        </row>
        <row r="12">
          <cell r="A12" t="str">
            <v>EPWP Incentive</v>
          </cell>
        </row>
        <row r="16">
          <cell r="A16" t="str">
            <v>Liblary Grant</v>
          </cell>
        </row>
        <row r="17">
          <cell r="A17" t="str">
            <v>Spatial Development Framework Support</v>
          </cell>
        </row>
        <row r="18">
          <cell r="A18" t="str">
            <v>Planning Scheme Support</v>
          </cell>
        </row>
        <row r="19">
          <cell r="A19" t="str">
            <v>Sports and recreation Subsidy</v>
          </cell>
        </row>
      </sheetData>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9.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7.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trlProp" Target="../ctrlProps/ctrlProp5.xml"/></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mailto:mm@mkhambathini.gov.za" TargetMode="External"/><Relationship Id="rId1" Type="http://schemas.openxmlformats.org/officeDocument/2006/relationships/hyperlink" Target="http://www.mkhambathini.gov.za/"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7886EE-D32B-45C7-B809-9BEA8E62EA06}">
  <sheetPr codeName="Sheet3"/>
  <dimension ref="A1:CH2066"/>
  <sheetViews>
    <sheetView topLeftCell="BO1" workbookViewId="0">
      <selection activeCell="BU7" sqref="BU7"/>
    </sheetView>
  </sheetViews>
  <sheetFormatPr defaultRowHeight="12.75" x14ac:dyDescent="0.2"/>
  <cols>
    <col min="1" max="2" width="44.140625" bestFit="1" customWidth="1"/>
    <col min="3" max="3" width="23.140625" bestFit="1" customWidth="1"/>
    <col min="4" max="4" width="16.28515625" bestFit="1" customWidth="1"/>
    <col min="5" max="5" width="247.7109375" bestFit="1" customWidth="1"/>
    <col min="6" max="6" width="12.42578125" bestFit="1" customWidth="1"/>
    <col min="7" max="7" width="75.28515625" bestFit="1" customWidth="1"/>
    <col min="8" max="8" width="15.7109375" bestFit="1" customWidth="1"/>
    <col min="9" max="9" width="75.28515625" bestFit="1" customWidth="1"/>
    <col min="10" max="10" width="17" bestFit="1" customWidth="1"/>
    <col min="11" max="11" width="39.5703125" bestFit="1" customWidth="1"/>
    <col min="12" max="12" width="12.42578125" bestFit="1" customWidth="1"/>
    <col min="13" max="13" width="26.5703125" bestFit="1" customWidth="1"/>
    <col min="14" max="14" width="15.7109375" bestFit="1" customWidth="1"/>
    <col min="15" max="15" width="61.7109375" bestFit="1" customWidth="1"/>
    <col min="16" max="16" width="18" bestFit="1" customWidth="1"/>
    <col min="17" max="17" width="14" bestFit="1" customWidth="1"/>
    <col min="18" max="18" width="22.28515625" bestFit="1" customWidth="1"/>
    <col min="19" max="19" width="16" bestFit="1" customWidth="1"/>
    <col min="20" max="20" width="13.7109375" bestFit="1" customWidth="1"/>
    <col min="21" max="21" width="12.42578125" bestFit="1" customWidth="1"/>
    <col min="22" max="22" width="26.28515625" bestFit="1" customWidth="1"/>
    <col min="23" max="23" width="15.7109375" bestFit="1" customWidth="1"/>
    <col min="24" max="24" width="34.28515625" bestFit="1" customWidth="1"/>
    <col min="25" max="25" width="12.42578125" bestFit="1" customWidth="1"/>
    <col min="26" max="26" width="20.28515625" bestFit="1" customWidth="1"/>
    <col min="27" max="27" width="15.7109375" bestFit="1" customWidth="1"/>
    <col min="28" max="28" width="45.5703125" bestFit="1" customWidth="1"/>
    <col min="29" max="29" width="21" bestFit="1" customWidth="1"/>
    <col min="30" max="30" width="53.5703125" bestFit="1" customWidth="1"/>
    <col min="31" max="31" width="24.28515625" bestFit="1" customWidth="1"/>
    <col min="32" max="32" width="39.7109375" bestFit="1" customWidth="1"/>
    <col min="33" max="33" width="12.42578125" bestFit="1" customWidth="1"/>
    <col min="34" max="34" width="39" bestFit="1" customWidth="1"/>
    <col min="35" max="35" width="15.7109375" bestFit="1" customWidth="1"/>
    <col min="36" max="36" width="39" bestFit="1" customWidth="1"/>
    <col min="37" max="37" width="14" bestFit="1" customWidth="1"/>
    <col min="38" max="38" width="13.7109375" bestFit="1" customWidth="1"/>
    <col min="39" max="39" width="41.140625" bestFit="1" customWidth="1"/>
    <col min="40" max="40" width="17" bestFit="1" customWidth="1"/>
    <col min="41" max="41" width="41.140625" bestFit="1" customWidth="1"/>
    <col min="42" max="42" width="20.5703125" bestFit="1" customWidth="1"/>
    <col min="43" max="43" width="25.85546875" bestFit="1" customWidth="1"/>
    <col min="44" max="44" width="12.7109375" bestFit="1" customWidth="1"/>
    <col min="45" max="45" width="15.7109375" bestFit="1" customWidth="1"/>
    <col min="46" max="46" width="17.85546875" bestFit="1" customWidth="1"/>
    <col min="47" max="48" width="31" bestFit="1" customWidth="1"/>
    <col min="49" max="49" width="19.140625" bestFit="1" customWidth="1"/>
    <col min="50" max="50" width="31" bestFit="1" customWidth="1"/>
    <col min="51" max="51" width="15.7109375" bestFit="1" customWidth="1"/>
    <col min="52" max="52" width="26.85546875" bestFit="1" customWidth="1"/>
    <col min="53" max="53" width="14.7109375" bestFit="1" customWidth="1"/>
    <col min="54" max="54" width="19.140625" bestFit="1" customWidth="1"/>
    <col min="55" max="55" width="26.85546875" bestFit="1" customWidth="1"/>
    <col min="56" max="56" width="18.28515625" bestFit="1" customWidth="1"/>
    <col min="57" max="57" width="15.7109375" bestFit="1" customWidth="1"/>
    <col min="58" max="58" width="35" bestFit="1" customWidth="1"/>
    <col min="59" max="59" width="31" bestFit="1" customWidth="1"/>
    <col min="60" max="60" width="19.140625" bestFit="1" customWidth="1"/>
    <col min="61" max="61" width="35" bestFit="1" customWidth="1"/>
    <col min="62" max="62" width="13.7109375" bestFit="1" customWidth="1"/>
    <col min="63" max="63" width="15.7109375" bestFit="1" customWidth="1"/>
    <col min="64" max="64" width="25.7109375" bestFit="1" customWidth="1"/>
    <col min="65" max="65" width="19.140625" bestFit="1" customWidth="1"/>
    <col min="66" max="66" width="25.7109375" bestFit="1" customWidth="1"/>
    <col min="67" max="67" width="14.28515625" bestFit="1" customWidth="1"/>
    <col min="68" max="68" width="23.7109375" bestFit="1" customWidth="1"/>
    <col min="69" max="69" width="23.42578125" bestFit="1" customWidth="1"/>
    <col min="70" max="70" width="61.7109375" bestFit="1" customWidth="1"/>
    <col min="71" max="71" width="25.42578125" bestFit="1" customWidth="1"/>
    <col min="72" max="73" width="13.28515625" bestFit="1" customWidth="1"/>
    <col min="74" max="74" width="17.5703125" bestFit="1" customWidth="1"/>
    <col min="75" max="75" width="18.7109375" bestFit="1" customWidth="1"/>
    <col min="76" max="77" width="20" bestFit="1" customWidth="1"/>
    <col min="78" max="78" width="23.140625" bestFit="1" customWidth="1"/>
    <col min="79" max="79" width="20.5703125" bestFit="1" customWidth="1"/>
    <col min="80" max="81" width="21.85546875" bestFit="1" customWidth="1"/>
    <col min="82" max="82" width="18.42578125" bestFit="1" customWidth="1"/>
    <col min="83" max="83" width="22.28515625" bestFit="1" customWidth="1"/>
    <col min="84" max="84" width="22.5703125" bestFit="1" customWidth="1"/>
    <col min="85" max="85" width="23.42578125" bestFit="1" customWidth="1"/>
    <col min="86" max="86" width="19.140625" bestFit="1" customWidth="1"/>
  </cols>
  <sheetData>
    <row r="1" spans="1:86" ht="13.5" thickBot="1" x14ac:dyDescent="0.25">
      <c r="A1" s="2300" t="s">
        <v>2615</v>
      </c>
      <c r="B1" s="2300" t="s">
        <v>2616</v>
      </c>
      <c r="C1" s="2300" t="s">
        <v>2617</v>
      </c>
      <c r="D1" s="2300" t="s">
        <v>2618</v>
      </c>
      <c r="E1" s="2300" t="s">
        <v>2619</v>
      </c>
      <c r="F1" s="2300" t="s">
        <v>2620</v>
      </c>
      <c r="G1" s="2300" t="s">
        <v>2621</v>
      </c>
      <c r="H1" s="2300" t="s">
        <v>2622</v>
      </c>
      <c r="I1" s="2300" t="s">
        <v>2623</v>
      </c>
      <c r="J1" s="2300" t="s">
        <v>2624</v>
      </c>
      <c r="K1" s="2300" t="s">
        <v>2625</v>
      </c>
      <c r="L1" s="2300" t="s">
        <v>2626</v>
      </c>
      <c r="M1" s="2300" t="s">
        <v>2627</v>
      </c>
      <c r="N1" s="2300" t="s">
        <v>2628</v>
      </c>
      <c r="O1" s="2300" t="s">
        <v>2629</v>
      </c>
      <c r="P1" s="2300" t="s">
        <v>2630</v>
      </c>
      <c r="Q1" s="2300" t="s">
        <v>2631</v>
      </c>
      <c r="R1" s="2300" t="s">
        <v>2632</v>
      </c>
      <c r="S1" s="2300" t="s">
        <v>2633</v>
      </c>
      <c r="T1" s="2300" t="s">
        <v>2634</v>
      </c>
      <c r="U1" s="2300" t="s">
        <v>2635</v>
      </c>
      <c r="V1" s="2300" t="s">
        <v>2636</v>
      </c>
      <c r="W1" s="2300" t="s">
        <v>2637</v>
      </c>
      <c r="X1" s="2300" t="s">
        <v>2638</v>
      </c>
      <c r="Y1" s="2300" t="s">
        <v>2639</v>
      </c>
      <c r="Z1" s="2300" t="s">
        <v>2640</v>
      </c>
      <c r="AA1" s="2300" t="s">
        <v>2641</v>
      </c>
      <c r="AB1" s="2300" t="s">
        <v>2642</v>
      </c>
      <c r="AC1" s="2300" t="s">
        <v>2643</v>
      </c>
      <c r="AD1" s="2300" t="s">
        <v>2644</v>
      </c>
      <c r="AE1" s="2300" t="s">
        <v>2645</v>
      </c>
      <c r="AF1" s="2300" t="s">
        <v>2646</v>
      </c>
      <c r="AG1" s="2300" t="s">
        <v>2647</v>
      </c>
      <c r="AH1" s="2300" t="s">
        <v>2648</v>
      </c>
      <c r="AI1" s="2300" t="s">
        <v>2649</v>
      </c>
      <c r="AJ1" s="2300" t="s">
        <v>2650</v>
      </c>
      <c r="AK1" s="2300" t="s">
        <v>3034</v>
      </c>
      <c r="AL1" s="2300" t="s">
        <v>2651</v>
      </c>
      <c r="AM1" s="2300" t="s">
        <v>2652</v>
      </c>
      <c r="AN1" s="2300" t="s">
        <v>2653</v>
      </c>
      <c r="AO1" s="2300" t="s">
        <v>2654</v>
      </c>
      <c r="AP1" s="2300" t="s">
        <v>2655</v>
      </c>
      <c r="AQ1" s="2300" t="s">
        <v>2656</v>
      </c>
      <c r="AR1" s="2300" t="s">
        <v>2657</v>
      </c>
      <c r="AS1" s="2300" t="s">
        <v>2658</v>
      </c>
      <c r="AT1" s="2300" t="s">
        <v>2659</v>
      </c>
      <c r="AU1" s="2300" t="s">
        <v>2660</v>
      </c>
      <c r="AV1" s="2300" t="s">
        <v>2661</v>
      </c>
      <c r="AW1" s="2300" t="s">
        <v>2662</v>
      </c>
      <c r="AX1" s="2300" t="s">
        <v>2663</v>
      </c>
      <c r="AY1" s="2300" t="s">
        <v>2664</v>
      </c>
      <c r="AZ1" s="2300" t="s">
        <v>2665</v>
      </c>
      <c r="BA1" s="2300" t="s">
        <v>2666</v>
      </c>
      <c r="BB1" s="2300" t="s">
        <v>2667</v>
      </c>
      <c r="BC1" s="2300" t="s">
        <v>2668</v>
      </c>
      <c r="BD1" s="2300" t="s">
        <v>2669</v>
      </c>
      <c r="BE1" s="2300" t="s">
        <v>2670</v>
      </c>
      <c r="BF1" s="2300" t="s">
        <v>2671</v>
      </c>
      <c r="BG1" s="2300" t="s">
        <v>2672</v>
      </c>
      <c r="BH1" s="2300" t="s">
        <v>2673</v>
      </c>
      <c r="BI1" s="2300" t="s">
        <v>2674</v>
      </c>
      <c r="BJ1" s="2300" t="s">
        <v>2675</v>
      </c>
      <c r="BK1" s="2300" t="s">
        <v>2676</v>
      </c>
      <c r="BL1" s="2300" t="s">
        <v>2677</v>
      </c>
      <c r="BM1" s="2300" t="s">
        <v>2678</v>
      </c>
      <c r="BN1" s="2300" t="s">
        <v>2679</v>
      </c>
      <c r="BO1" s="2300" t="s">
        <v>2680</v>
      </c>
      <c r="BP1" s="2300" t="s">
        <v>2681</v>
      </c>
      <c r="BQ1" s="2300" t="s">
        <v>2682</v>
      </c>
      <c r="BR1" s="2300" t="s">
        <v>2683</v>
      </c>
      <c r="BS1" s="2300" t="s">
        <v>2684</v>
      </c>
      <c r="BT1" s="2300" t="s">
        <v>2685</v>
      </c>
      <c r="BU1" s="2300" t="s">
        <v>2686</v>
      </c>
      <c r="BV1" s="2300" t="s">
        <v>2687</v>
      </c>
      <c r="BW1" s="2300" t="s">
        <v>2688</v>
      </c>
      <c r="BX1" s="2300" t="s">
        <v>2689</v>
      </c>
      <c r="BY1" s="2300" t="s">
        <v>2690</v>
      </c>
      <c r="BZ1" s="2300" t="s">
        <v>2691</v>
      </c>
      <c r="CA1" s="2300" t="s">
        <v>2692</v>
      </c>
      <c r="CB1" s="2300" t="s">
        <v>2693</v>
      </c>
      <c r="CC1" s="2300" t="s">
        <v>2694</v>
      </c>
      <c r="CD1" s="2300" t="s">
        <v>3094</v>
      </c>
      <c r="CE1" s="2300" t="s">
        <v>3103</v>
      </c>
      <c r="CF1" s="2300" t="s">
        <v>3104</v>
      </c>
      <c r="CG1" s="2300" t="s">
        <v>3105</v>
      </c>
      <c r="CH1" s="2300" t="s">
        <v>3106</v>
      </c>
    </row>
    <row r="2" spans="1:86" x14ac:dyDescent="0.2">
      <c r="A2" t="s">
        <v>3247</v>
      </c>
      <c r="B2" t="s">
        <v>3247</v>
      </c>
      <c r="C2">
        <v>30238</v>
      </c>
      <c r="D2">
        <v>1015</v>
      </c>
      <c r="E2" t="s">
        <v>3248</v>
      </c>
      <c r="F2" t="s">
        <v>3249</v>
      </c>
      <c r="G2" t="s">
        <v>3249</v>
      </c>
      <c r="H2" t="s">
        <v>3250</v>
      </c>
      <c r="I2" t="s">
        <v>3250</v>
      </c>
      <c r="J2" t="s">
        <v>3250</v>
      </c>
      <c r="K2" t="s">
        <v>3250</v>
      </c>
      <c r="L2">
        <v>1200</v>
      </c>
      <c r="M2" t="s">
        <v>2368</v>
      </c>
      <c r="N2">
        <v>1204</v>
      </c>
      <c r="O2" t="s">
        <v>1574</v>
      </c>
      <c r="P2" t="s">
        <v>3108</v>
      </c>
      <c r="Q2" t="s">
        <v>3249</v>
      </c>
      <c r="R2" t="s">
        <v>3249</v>
      </c>
      <c r="S2" t="s">
        <v>472</v>
      </c>
      <c r="T2" t="s">
        <v>3251</v>
      </c>
      <c r="U2">
        <v>140</v>
      </c>
      <c r="V2" t="s">
        <v>1327</v>
      </c>
      <c r="W2">
        <v>140</v>
      </c>
      <c r="X2" t="s">
        <v>1327</v>
      </c>
      <c r="Y2" t="s">
        <v>3250</v>
      </c>
      <c r="Z2" t="s">
        <v>3250</v>
      </c>
      <c r="AA2" t="s">
        <v>3108</v>
      </c>
      <c r="AB2" t="s">
        <v>3108</v>
      </c>
      <c r="AC2" t="s">
        <v>3250</v>
      </c>
      <c r="AD2" t="s">
        <v>3250</v>
      </c>
      <c r="AE2" t="s">
        <v>3250</v>
      </c>
      <c r="AF2" t="s">
        <v>3250</v>
      </c>
      <c r="AG2" t="s">
        <v>3250</v>
      </c>
      <c r="AH2" t="s">
        <v>3250</v>
      </c>
      <c r="AI2" t="s">
        <v>3250</v>
      </c>
      <c r="AJ2" t="s">
        <v>3250</v>
      </c>
      <c r="AL2">
        <v>145</v>
      </c>
      <c r="AM2" t="s">
        <v>4</v>
      </c>
      <c r="AN2">
        <v>145</v>
      </c>
      <c r="AO2" t="s">
        <v>4</v>
      </c>
      <c r="AS2" t="s">
        <v>3250</v>
      </c>
      <c r="AT2" t="s">
        <v>3250</v>
      </c>
      <c r="AU2" t="s">
        <v>3250</v>
      </c>
      <c r="AV2" t="s">
        <v>3250</v>
      </c>
      <c r="AW2" t="s">
        <v>3250</v>
      </c>
      <c r="AX2" t="s">
        <v>3250</v>
      </c>
      <c r="AY2" t="s">
        <v>3250</v>
      </c>
      <c r="AZ2" t="s">
        <v>3250</v>
      </c>
      <c r="BA2" t="s">
        <v>3250</v>
      </c>
      <c r="BB2" t="s">
        <v>3250</v>
      </c>
      <c r="BC2" t="s">
        <v>3250</v>
      </c>
      <c r="BE2" t="s">
        <v>3250</v>
      </c>
      <c r="BF2" t="s">
        <v>3250</v>
      </c>
      <c r="BG2" t="s">
        <v>3250</v>
      </c>
      <c r="BH2" t="s">
        <v>3250</v>
      </c>
      <c r="BI2" t="s">
        <v>3250</v>
      </c>
      <c r="BK2" t="s">
        <v>3250</v>
      </c>
      <c r="BL2" t="s">
        <v>3250</v>
      </c>
      <c r="BM2" t="s">
        <v>3250</v>
      </c>
      <c r="BN2" t="s">
        <v>3250</v>
      </c>
      <c r="BP2">
        <v>1</v>
      </c>
      <c r="BQ2">
        <v>11</v>
      </c>
      <c r="BR2" t="s">
        <v>1574</v>
      </c>
      <c r="BS2" t="s">
        <v>3252</v>
      </c>
      <c r="BV2">
        <v>0</v>
      </c>
      <c r="BW2">
        <v>0</v>
      </c>
      <c r="BX2">
        <v>0</v>
      </c>
      <c r="BY2">
        <v>0</v>
      </c>
      <c r="BZ2">
        <v>0</v>
      </c>
      <c r="CA2">
        <v>0</v>
      </c>
      <c r="CB2">
        <v>0</v>
      </c>
      <c r="CC2">
        <v>0</v>
      </c>
      <c r="CD2">
        <v>0</v>
      </c>
      <c r="CE2" t="s">
        <v>3108</v>
      </c>
      <c r="CF2" t="s">
        <v>3108</v>
      </c>
      <c r="CG2" t="s">
        <v>3108</v>
      </c>
      <c r="CH2" t="s">
        <v>3108</v>
      </c>
    </row>
    <row r="3" spans="1:86" x14ac:dyDescent="0.2">
      <c r="A3" t="s">
        <v>3253</v>
      </c>
      <c r="B3" t="s">
        <v>3253</v>
      </c>
      <c r="C3">
        <v>30239</v>
      </c>
      <c r="D3">
        <v>1016</v>
      </c>
      <c r="E3" t="s">
        <v>3254</v>
      </c>
      <c r="F3" t="s">
        <v>3249</v>
      </c>
      <c r="G3" t="s">
        <v>3249</v>
      </c>
      <c r="H3" t="s">
        <v>3250</v>
      </c>
      <c r="I3" t="s">
        <v>3250</v>
      </c>
      <c r="J3" t="s">
        <v>3250</v>
      </c>
      <c r="K3" t="s">
        <v>3250</v>
      </c>
      <c r="L3">
        <v>1200</v>
      </c>
      <c r="M3" t="s">
        <v>2368</v>
      </c>
      <c r="N3">
        <v>1204</v>
      </c>
      <c r="O3" t="s">
        <v>1574</v>
      </c>
      <c r="P3" t="s">
        <v>3108</v>
      </c>
      <c r="Q3" t="s">
        <v>3249</v>
      </c>
      <c r="R3" t="s">
        <v>3249</v>
      </c>
      <c r="S3" t="s">
        <v>472</v>
      </c>
      <c r="T3" t="s">
        <v>3251</v>
      </c>
      <c r="U3">
        <v>140</v>
      </c>
      <c r="V3" t="s">
        <v>1327</v>
      </c>
      <c r="W3">
        <v>140</v>
      </c>
      <c r="X3" t="s">
        <v>1327</v>
      </c>
      <c r="Y3" t="s">
        <v>3250</v>
      </c>
      <c r="Z3" t="s">
        <v>3250</v>
      </c>
      <c r="AA3" t="s">
        <v>3108</v>
      </c>
      <c r="AB3" t="s">
        <v>3108</v>
      </c>
      <c r="AC3" t="s">
        <v>3250</v>
      </c>
      <c r="AD3" t="s">
        <v>3250</v>
      </c>
      <c r="AE3" t="s">
        <v>3250</v>
      </c>
      <c r="AF3" t="s">
        <v>3250</v>
      </c>
      <c r="AG3" t="s">
        <v>3250</v>
      </c>
      <c r="AH3" t="s">
        <v>3250</v>
      </c>
      <c r="AI3" t="s">
        <v>3250</v>
      </c>
      <c r="AJ3" t="s">
        <v>3250</v>
      </c>
      <c r="AL3">
        <v>146</v>
      </c>
      <c r="AM3" t="s">
        <v>5</v>
      </c>
      <c r="AN3">
        <v>146</v>
      </c>
      <c r="AO3" t="s">
        <v>5</v>
      </c>
      <c r="AS3" t="s">
        <v>3250</v>
      </c>
      <c r="AT3" t="s">
        <v>3250</v>
      </c>
      <c r="AU3" t="s">
        <v>3250</v>
      </c>
      <c r="AV3" t="s">
        <v>3250</v>
      </c>
      <c r="AW3" t="s">
        <v>3250</v>
      </c>
      <c r="AX3" t="s">
        <v>3250</v>
      </c>
      <c r="AY3" t="s">
        <v>3250</v>
      </c>
      <c r="AZ3" t="s">
        <v>3250</v>
      </c>
      <c r="BA3" t="s">
        <v>3250</v>
      </c>
      <c r="BB3" t="s">
        <v>3250</v>
      </c>
      <c r="BC3" t="s">
        <v>3250</v>
      </c>
      <c r="BE3" t="s">
        <v>3250</v>
      </c>
      <c r="BF3" t="s">
        <v>3250</v>
      </c>
      <c r="BG3" t="s">
        <v>3250</v>
      </c>
      <c r="BH3" t="s">
        <v>3250</v>
      </c>
      <c r="BI3" t="s">
        <v>3250</v>
      </c>
      <c r="BK3" t="s">
        <v>3250</v>
      </c>
      <c r="BL3" t="s">
        <v>3250</v>
      </c>
      <c r="BM3" t="s">
        <v>3250</v>
      </c>
      <c r="BN3" t="s">
        <v>3250</v>
      </c>
      <c r="BP3">
        <v>1</v>
      </c>
      <c r="BQ3">
        <v>11</v>
      </c>
      <c r="BR3" t="s">
        <v>1574</v>
      </c>
      <c r="BS3" t="s">
        <v>3252</v>
      </c>
      <c r="BV3">
        <v>0</v>
      </c>
      <c r="BW3">
        <v>0</v>
      </c>
      <c r="BX3">
        <v>0</v>
      </c>
      <c r="BY3">
        <v>0</v>
      </c>
      <c r="BZ3">
        <v>0</v>
      </c>
      <c r="CA3">
        <v>0</v>
      </c>
      <c r="CB3">
        <v>0</v>
      </c>
      <c r="CC3">
        <v>0</v>
      </c>
      <c r="CD3">
        <v>0</v>
      </c>
      <c r="CE3" t="s">
        <v>3108</v>
      </c>
      <c r="CF3" t="s">
        <v>3108</v>
      </c>
      <c r="CG3" t="s">
        <v>3108</v>
      </c>
      <c r="CH3" t="s">
        <v>3108</v>
      </c>
    </row>
    <row r="4" spans="1:86" x14ac:dyDescent="0.2">
      <c r="A4" t="s">
        <v>3255</v>
      </c>
      <c r="B4" t="s">
        <v>3255</v>
      </c>
      <c r="C4">
        <v>30240</v>
      </c>
      <c r="D4">
        <v>1017</v>
      </c>
      <c r="E4" t="s">
        <v>3256</v>
      </c>
      <c r="F4" t="s">
        <v>3249</v>
      </c>
      <c r="G4" t="s">
        <v>3249</v>
      </c>
      <c r="H4" t="s">
        <v>3250</v>
      </c>
      <c r="I4" t="s">
        <v>3250</v>
      </c>
      <c r="J4" t="s">
        <v>3250</v>
      </c>
      <c r="K4" t="s">
        <v>3250</v>
      </c>
      <c r="L4">
        <v>1200</v>
      </c>
      <c r="M4" t="s">
        <v>2368</v>
      </c>
      <c r="N4">
        <v>1204</v>
      </c>
      <c r="O4" t="s">
        <v>1574</v>
      </c>
      <c r="P4" t="s">
        <v>3108</v>
      </c>
      <c r="Q4" t="s">
        <v>3249</v>
      </c>
      <c r="R4" t="s">
        <v>3249</v>
      </c>
      <c r="S4" t="s">
        <v>472</v>
      </c>
      <c r="T4" t="s">
        <v>3251</v>
      </c>
      <c r="U4">
        <v>140</v>
      </c>
      <c r="V4" t="s">
        <v>1327</v>
      </c>
      <c r="W4">
        <v>140</v>
      </c>
      <c r="X4" t="s">
        <v>1327</v>
      </c>
      <c r="Y4" t="s">
        <v>3250</v>
      </c>
      <c r="Z4" t="s">
        <v>3250</v>
      </c>
      <c r="AA4" t="s">
        <v>3108</v>
      </c>
      <c r="AB4" t="s">
        <v>3108</v>
      </c>
      <c r="AC4" t="s">
        <v>3250</v>
      </c>
      <c r="AD4" t="s">
        <v>3250</v>
      </c>
      <c r="AE4" t="s">
        <v>3250</v>
      </c>
      <c r="AF4" t="s">
        <v>3250</v>
      </c>
      <c r="AG4" t="s">
        <v>3250</v>
      </c>
      <c r="AH4" t="s">
        <v>3250</v>
      </c>
      <c r="AI4" t="s">
        <v>3250</v>
      </c>
      <c r="AJ4" t="s">
        <v>3250</v>
      </c>
      <c r="AL4">
        <v>141</v>
      </c>
      <c r="AM4" t="s">
        <v>1327</v>
      </c>
      <c r="AN4">
        <v>141</v>
      </c>
      <c r="AO4" t="s">
        <v>1327</v>
      </c>
      <c r="AS4" t="s">
        <v>3250</v>
      </c>
      <c r="AT4" t="s">
        <v>3250</v>
      </c>
      <c r="AU4" t="s">
        <v>3250</v>
      </c>
      <c r="AV4" t="s">
        <v>3250</v>
      </c>
      <c r="AW4" t="s">
        <v>3250</v>
      </c>
      <c r="AX4" t="s">
        <v>3250</v>
      </c>
      <c r="AY4" t="s">
        <v>3250</v>
      </c>
      <c r="AZ4" t="s">
        <v>3250</v>
      </c>
      <c r="BA4" t="s">
        <v>3250</v>
      </c>
      <c r="BB4" t="s">
        <v>3250</v>
      </c>
      <c r="BC4" t="s">
        <v>3250</v>
      </c>
      <c r="BE4" t="s">
        <v>3250</v>
      </c>
      <c r="BF4" t="s">
        <v>3250</v>
      </c>
      <c r="BG4" t="s">
        <v>3250</v>
      </c>
      <c r="BH4" t="s">
        <v>3250</v>
      </c>
      <c r="BI4" t="s">
        <v>3250</v>
      </c>
      <c r="BK4" t="s">
        <v>3250</v>
      </c>
      <c r="BL4" t="s">
        <v>3250</v>
      </c>
      <c r="BM4" t="s">
        <v>3250</v>
      </c>
      <c r="BN4" t="s">
        <v>3250</v>
      </c>
      <c r="BP4">
        <v>1</v>
      </c>
      <c r="BQ4">
        <v>11</v>
      </c>
      <c r="BR4" t="s">
        <v>1574</v>
      </c>
      <c r="BS4" t="s">
        <v>3252</v>
      </c>
      <c r="BV4">
        <v>0</v>
      </c>
      <c r="BW4">
        <v>0</v>
      </c>
      <c r="BX4">
        <v>0</v>
      </c>
      <c r="BY4">
        <v>0</v>
      </c>
      <c r="BZ4">
        <v>0</v>
      </c>
      <c r="CA4">
        <v>0</v>
      </c>
      <c r="CB4">
        <v>0</v>
      </c>
      <c r="CC4">
        <v>0</v>
      </c>
      <c r="CD4">
        <v>0</v>
      </c>
      <c r="CE4" t="s">
        <v>3108</v>
      </c>
      <c r="CF4" t="s">
        <v>3108</v>
      </c>
      <c r="CG4" t="s">
        <v>3108</v>
      </c>
      <c r="CH4" t="s">
        <v>3108</v>
      </c>
    </row>
    <row r="5" spans="1:86" x14ac:dyDescent="0.2">
      <c r="A5" t="s">
        <v>3257</v>
      </c>
      <c r="B5" t="s">
        <v>3257</v>
      </c>
      <c r="C5">
        <v>30242</v>
      </c>
      <c r="D5">
        <v>1019</v>
      </c>
      <c r="E5" t="s">
        <v>3258</v>
      </c>
      <c r="F5" t="s">
        <v>3249</v>
      </c>
      <c r="G5" t="s">
        <v>3249</v>
      </c>
      <c r="H5" t="s">
        <v>3250</v>
      </c>
      <c r="I5" t="s">
        <v>3250</v>
      </c>
      <c r="J5" t="s">
        <v>3250</v>
      </c>
      <c r="K5" t="s">
        <v>3250</v>
      </c>
      <c r="L5">
        <v>1200</v>
      </c>
      <c r="M5" t="s">
        <v>2368</v>
      </c>
      <c r="N5">
        <v>1204</v>
      </c>
      <c r="O5" t="s">
        <v>1574</v>
      </c>
      <c r="P5" t="s">
        <v>3108</v>
      </c>
      <c r="Q5" t="s">
        <v>3249</v>
      </c>
      <c r="R5" t="s">
        <v>3249</v>
      </c>
      <c r="S5" t="s">
        <v>472</v>
      </c>
      <c r="T5" t="s">
        <v>3251</v>
      </c>
      <c r="U5">
        <v>140</v>
      </c>
      <c r="V5" t="s">
        <v>1327</v>
      </c>
      <c r="W5">
        <v>140</v>
      </c>
      <c r="X5" t="s">
        <v>1327</v>
      </c>
      <c r="Y5" t="s">
        <v>3250</v>
      </c>
      <c r="Z5" t="s">
        <v>3250</v>
      </c>
      <c r="AA5" t="s">
        <v>3108</v>
      </c>
      <c r="AB5" t="s">
        <v>3108</v>
      </c>
      <c r="AC5" t="s">
        <v>3250</v>
      </c>
      <c r="AD5" t="s">
        <v>3250</v>
      </c>
      <c r="AE5" t="s">
        <v>3250</v>
      </c>
      <c r="AF5" t="s">
        <v>3250</v>
      </c>
      <c r="AG5" t="s">
        <v>3250</v>
      </c>
      <c r="AH5" t="s">
        <v>3250</v>
      </c>
      <c r="AI5" t="s">
        <v>3250</v>
      </c>
      <c r="AJ5" t="s">
        <v>3250</v>
      </c>
      <c r="AL5">
        <v>147</v>
      </c>
      <c r="AM5" t="s">
        <v>6</v>
      </c>
      <c r="AN5">
        <v>147</v>
      </c>
      <c r="AO5" t="s">
        <v>6</v>
      </c>
      <c r="AS5" t="s">
        <v>3250</v>
      </c>
      <c r="AT5" t="s">
        <v>3250</v>
      </c>
      <c r="AU5" t="s">
        <v>3250</v>
      </c>
      <c r="AV5" t="s">
        <v>3250</v>
      </c>
      <c r="AW5" t="s">
        <v>3250</v>
      </c>
      <c r="AX5" t="s">
        <v>3250</v>
      </c>
      <c r="AY5" t="s">
        <v>3250</v>
      </c>
      <c r="AZ5" t="s">
        <v>3250</v>
      </c>
      <c r="BA5" t="s">
        <v>3250</v>
      </c>
      <c r="BB5" t="s">
        <v>3250</v>
      </c>
      <c r="BC5" t="s">
        <v>3250</v>
      </c>
      <c r="BE5" t="s">
        <v>3250</v>
      </c>
      <c r="BF5" t="s">
        <v>3250</v>
      </c>
      <c r="BG5" t="s">
        <v>3250</v>
      </c>
      <c r="BH5" t="s">
        <v>3250</v>
      </c>
      <c r="BI5" t="s">
        <v>3250</v>
      </c>
      <c r="BK5" t="s">
        <v>3250</v>
      </c>
      <c r="BL5" t="s">
        <v>3250</v>
      </c>
      <c r="BM5" t="s">
        <v>3250</v>
      </c>
      <c r="BN5" t="s">
        <v>3250</v>
      </c>
      <c r="BP5">
        <v>1</v>
      </c>
      <c r="BQ5">
        <v>11</v>
      </c>
      <c r="BR5" t="s">
        <v>1574</v>
      </c>
      <c r="BS5" t="s">
        <v>3252</v>
      </c>
      <c r="BV5">
        <v>0</v>
      </c>
      <c r="BW5">
        <v>0</v>
      </c>
      <c r="BX5">
        <v>0</v>
      </c>
      <c r="BY5">
        <v>0</v>
      </c>
      <c r="BZ5">
        <v>0</v>
      </c>
      <c r="CA5">
        <v>0</v>
      </c>
      <c r="CB5">
        <v>0</v>
      </c>
      <c r="CC5">
        <v>0</v>
      </c>
      <c r="CD5">
        <v>0</v>
      </c>
      <c r="CE5" t="s">
        <v>3108</v>
      </c>
      <c r="CF5" t="s">
        <v>3108</v>
      </c>
      <c r="CG5" t="s">
        <v>3108</v>
      </c>
      <c r="CH5" t="s">
        <v>3108</v>
      </c>
    </row>
    <row r="6" spans="1:86" x14ac:dyDescent="0.2">
      <c r="A6" t="s">
        <v>3259</v>
      </c>
      <c r="B6" t="s">
        <v>3259</v>
      </c>
      <c r="C6">
        <v>30243</v>
      </c>
      <c r="D6">
        <v>1020</v>
      </c>
      <c r="E6" t="s">
        <v>3260</v>
      </c>
      <c r="F6" t="s">
        <v>3249</v>
      </c>
      <c r="G6" t="s">
        <v>3249</v>
      </c>
      <c r="H6" t="s">
        <v>3250</v>
      </c>
      <c r="I6" t="s">
        <v>3250</v>
      </c>
      <c r="J6" t="s">
        <v>3250</v>
      </c>
      <c r="K6" t="s">
        <v>3250</v>
      </c>
      <c r="L6">
        <v>1200</v>
      </c>
      <c r="M6" t="s">
        <v>2368</v>
      </c>
      <c r="N6">
        <v>1204</v>
      </c>
      <c r="O6" t="s">
        <v>1574</v>
      </c>
      <c r="P6" t="s">
        <v>3108</v>
      </c>
      <c r="Q6" t="s">
        <v>3249</v>
      </c>
      <c r="R6" t="s">
        <v>3249</v>
      </c>
      <c r="S6" t="s">
        <v>472</v>
      </c>
      <c r="T6" t="s">
        <v>3251</v>
      </c>
      <c r="U6">
        <v>140</v>
      </c>
      <c r="V6" t="s">
        <v>1327</v>
      </c>
      <c r="W6">
        <v>140</v>
      </c>
      <c r="X6" t="s">
        <v>1327</v>
      </c>
      <c r="Y6" t="s">
        <v>3250</v>
      </c>
      <c r="Z6" t="s">
        <v>3250</v>
      </c>
      <c r="AA6" t="s">
        <v>3108</v>
      </c>
      <c r="AB6" t="s">
        <v>3108</v>
      </c>
      <c r="AC6" t="s">
        <v>3250</v>
      </c>
      <c r="AD6" t="s">
        <v>3250</v>
      </c>
      <c r="AE6" t="s">
        <v>3250</v>
      </c>
      <c r="AF6" t="s">
        <v>3250</v>
      </c>
      <c r="AG6" t="s">
        <v>3250</v>
      </c>
      <c r="AH6" t="s">
        <v>3250</v>
      </c>
      <c r="AI6" t="s">
        <v>3250</v>
      </c>
      <c r="AJ6" t="s">
        <v>3250</v>
      </c>
      <c r="AL6">
        <v>141</v>
      </c>
      <c r="AM6" t="s">
        <v>1327</v>
      </c>
      <c r="AN6">
        <v>141</v>
      </c>
      <c r="AO6" t="s">
        <v>1327</v>
      </c>
      <c r="AS6" t="s">
        <v>3250</v>
      </c>
      <c r="AT6" t="s">
        <v>3250</v>
      </c>
      <c r="AU6" t="s">
        <v>3250</v>
      </c>
      <c r="AV6" t="s">
        <v>3250</v>
      </c>
      <c r="AW6" t="s">
        <v>3250</v>
      </c>
      <c r="AX6" t="s">
        <v>3250</v>
      </c>
      <c r="AY6" t="s">
        <v>3250</v>
      </c>
      <c r="AZ6" t="s">
        <v>3250</v>
      </c>
      <c r="BA6" t="s">
        <v>3250</v>
      </c>
      <c r="BB6" t="s">
        <v>3250</v>
      </c>
      <c r="BC6" t="s">
        <v>3250</v>
      </c>
      <c r="BE6" t="s">
        <v>3250</v>
      </c>
      <c r="BF6" t="s">
        <v>3250</v>
      </c>
      <c r="BG6" t="s">
        <v>3250</v>
      </c>
      <c r="BH6" t="s">
        <v>3250</v>
      </c>
      <c r="BI6" t="s">
        <v>3250</v>
      </c>
      <c r="BK6" t="s">
        <v>3250</v>
      </c>
      <c r="BL6" t="s">
        <v>3250</v>
      </c>
      <c r="BM6" t="s">
        <v>3250</v>
      </c>
      <c r="BN6" t="s">
        <v>3250</v>
      </c>
      <c r="BP6">
        <v>1</v>
      </c>
      <c r="BQ6">
        <v>11</v>
      </c>
      <c r="BR6" t="s">
        <v>1574</v>
      </c>
      <c r="BS6" t="s">
        <v>3252</v>
      </c>
      <c r="BV6">
        <v>6245191</v>
      </c>
      <c r="BW6">
        <v>5272916</v>
      </c>
      <c r="BX6">
        <v>1575931</v>
      </c>
      <c r="BY6">
        <v>0</v>
      </c>
      <c r="BZ6">
        <v>0</v>
      </c>
      <c r="CA6">
        <v>0</v>
      </c>
      <c r="CB6">
        <v>0</v>
      </c>
      <c r="CC6">
        <v>0</v>
      </c>
      <c r="CD6">
        <v>6241194</v>
      </c>
      <c r="CE6" t="s">
        <v>3108</v>
      </c>
      <c r="CF6" t="s">
        <v>3108</v>
      </c>
      <c r="CG6" t="s">
        <v>3108</v>
      </c>
      <c r="CH6" t="s">
        <v>3108</v>
      </c>
    </row>
    <row r="7" spans="1:86" x14ac:dyDescent="0.2">
      <c r="A7" t="s">
        <v>3261</v>
      </c>
      <c r="B7" t="s">
        <v>3261</v>
      </c>
      <c r="C7">
        <v>30245</v>
      </c>
      <c r="D7">
        <v>1022</v>
      </c>
      <c r="E7" t="s">
        <v>3262</v>
      </c>
      <c r="F7" t="s">
        <v>3249</v>
      </c>
      <c r="G7" t="s">
        <v>3249</v>
      </c>
      <c r="H7" t="s">
        <v>3250</v>
      </c>
      <c r="I7" t="s">
        <v>3250</v>
      </c>
      <c r="J7" t="s">
        <v>3250</v>
      </c>
      <c r="K7" t="s">
        <v>3250</v>
      </c>
      <c r="L7">
        <v>1200</v>
      </c>
      <c r="M7" t="s">
        <v>2368</v>
      </c>
      <c r="N7">
        <v>1204</v>
      </c>
      <c r="O7" t="s">
        <v>1574</v>
      </c>
      <c r="P7" t="s">
        <v>3108</v>
      </c>
      <c r="Q7" t="s">
        <v>3249</v>
      </c>
      <c r="R7" t="s">
        <v>3249</v>
      </c>
      <c r="S7" t="s">
        <v>472</v>
      </c>
      <c r="T7" t="s">
        <v>3251</v>
      </c>
      <c r="U7">
        <v>140</v>
      </c>
      <c r="V7" t="s">
        <v>1327</v>
      </c>
      <c r="W7">
        <v>140</v>
      </c>
      <c r="X7" t="s">
        <v>1327</v>
      </c>
      <c r="Y7" t="s">
        <v>3250</v>
      </c>
      <c r="Z7" t="s">
        <v>3250</v>
      </c>
      <c r="AA7" t="s">
        <v>3108</v>
      </c>
      <c r="AB7" t="s">
        <v>3108</v>
      </c>
      <c r="AC7" t="s">
        <v>3250</v>
      </c>
      <c r="AD7" t="s">
        <v>3250</v>
      </c>
      <c r="AE7" t="s">
        <v>3250</v>
      </c>
      <c r="AF7" t="s">
        <v>3250</v>
      </c>
      <c r="AG7" t="s">
        <v>3250</v>
      </c>
      <c r="AH7" t="s">
        <v>3250</v>
      </c>
      <c r="AI7" t="s">
        <v>3250</v>
      </c>
      <c r="AJ7" t="s">
        <v>3250</v>
      </c>
      <c r="AL7">
        <v>141</v>
      </c>
      <c r="AM7" t="s">
        <v>1327</v>
      </c>
      <c r="AN7">
        <v>141</v>
      </c>
      <c r="AO7" t="s">
        <v>1327</v>
      </c>
      <c r="AS7" t="s">
        <v>3250</v>
      </c>
      <c r="AT7" t="s">
        <v>3250</v>
      </c>
      <c r="AU7" t="s">
        <v>3250</v>
      </c>
      <c r="AV7" t="s">
        <v>3250</v>
      </c>
      <c r="AW7" t="s">
        <v>3250</v>
      </c>
      <c r="AX7" t="s">
        <v>3250</v>
      </c>
      <c r="AY7" t="s">
        <v>3250</v>
      </c>
      <c r="AZ7" t="s">
        <v>3250</v>
      </c>
      <c r="BA7" t="s">
        <v>3250</v>
      </c>
      <c r="BB7" t="s">
        <v>3250</v>
      </c>
      <c r="BC7" t="s">
        <v>3250</v>
      </c>
      <c r="BE7" t="s">
        <v>3250</v>
      </c>
      <c r="BF7" t="s">
        <v>3250</v>
      </c>
      <c r="BG7" t="s">
        <v>3250</v>
      </c>
      <c r="BH7" t="s">
        <v>3250</v>
      </c>
      <c r="BI7" t="s">
        <v>3250</v>
      </c>
      <c r="BK7" t="s">
        <v>3250</v>
      </c>
      <c r="BL7" t="s">
        <v>3250</v>
      </c>
      <c r="BM7" t="s">
        <v>3250</v>
      </c>
      <c r="BN7" t="s">
        <v>3250</v>
      </c>
      <c r="BP7">
        <v>1</v>
      </c>
      <c r="BQ7">
        <v>11</v>
      </c>
      <c r="BR7" t="s">
        <v>1574</v>
      </c>
      <c r="BS7" t="s">
        <v>3252</v>
      </c>
      <c r="BV7">
        <v>0</v>
      </c>
      <c r="BW7">
        <v>0</v>
      </c>
      <c r="BX7">
        <v>0</v>
      </c>
      <c r="BY7">
        <v>0</v>
      </c>
      <c r="BZ7">
        <v>0</v>
      </c>
      <c r="CA7">
        <v>0</v>
      </c>
      <c r="CB7">
        <v>0</v>
      </c>
      <c r="CC7">
        <v>0</v>
      </c>
      <c r="CD7">
        <v>0</v>
      </c>
      <c r="CE7" t="s">
        <v>3108</v>
      </c>
      <c r="CF7" t="s">
        <v>3108</v>
      </c>
      <c r="CG7" t="s">
        <v>3108</v>
      </c>
      <c r="CH7" t="s">
        <v>3108</v>
      </c>
    </row>
    <row r="8" spans="1:86" x14ac:dyDescent="0.2">
      <c r="A8" t="s">
        <v>3263</v>
      </c>
      <c r="B8" t="s">
        <v>3263</v>
      </c>
      <c r="C8">
        <v>30246</v>
      </c>
      <c r="D8">
        <v>1023</v>
      </c>
      <c r="E8" t="s">
        <v>3264</v>
      </c>
      <c r="F8" t="s">
        <v>3249</v>
      </c>
      <c r="G8" t="s">
        <v>3249</v>
      </c>
      <c r="H8" t="s">
        <v>3250</v>
      </c>
      <c r="I8" t="s">
        <v>3250</v>
      </c>
      <c r="J8" t="s">
        <v>3250</v>
      </c>
      <c r="K8" t="s">
        <v>3250</v>
      </c>
      <c r="L8">
        <v>1200</v>
      </c>
      <c r="M8" t="s">
        <v>2368</v>
      </c>
      <c r="N8">
        <v>1204</v>
      </c>
      <c r="O8" t="s">
        <v>1574</v>
      </c>
      <c r="P8" t="s">
        <v>3108</v>
      </c>
      <c r="Q8" t="s">
        <v>3249</v>
      </c>
      <c r="R8" t="s">
        <v>3249</v>
      </c>
      <c r="S8" t="s">
        <v>472</v>
      </c>
      <c r="T8" t="s">
        <v>3251</v>
      </c>
      <c r="U8">
        <v>140</v>
      </c>
      <c r="V8" t="s">
        <v>1327</v>
      </c>
      <c r="W8">
        <v>140</v>
      </c>
      <c r="X8" t="s">
        <v>1327</v>
      </c>
      <c r="Y8" t="s">
        <v>3250</v>
      </c>
      <c r="Z8" t="s">
        <v>3250</v>
      </c>
      <c r="AA8" t="s">
        <v>3108</v>
      </c>
      <c r="AB8" t="s">
        <v>3108</v>
      </c>
      <c r="AC8" t="s">
        <v>3250</v>
      </c>
      <c r="AD8" t="s">
        <v>3250</v>
      </c>
      <c r="AE8" t="s">
        <v>3250</v>
      </c>
      <c r="AF8" t="s">
        <v>3250</v>
      </c>
      <c r="AG8" t="s">
        <v>3250</v>
      </c>
      <c r="AH8" t="s">
        <v>3250</v>
      </c>
      <c r="AI8" t="s">
        <v>3250</v>
      </c>
      <c r="AJ8" t="s">
        <v>3250</v>
      </c>
      <c r="AL8">
        <v>146</v>
      </c>
      <c r="AM8" t="s">
        <v>5</v>
      </c>
      <c r="AN8">
        <v>146</v>
      </c>
      <c r="AO8" t="s">
        <v>5</v>
      </c>
      <c r="AS8" t="s">
        <v>3250</v>
      </c>
      <c r="AT8" t="s">
        <v>3250</v>
      </c>
      <c r="AU8" t="s">
        <v>3250</v>
      </c>
      <c r="AV8" t="s">
        <v>3250</v>
      </c>
      <c r="AW8" t="s">
        <v>3250</v>
      </c>
      <c r="AX8" t="s">
        <v>3250</v>
      </c>
      <c r="AY8" t="s">
        <v>3250</v>
      </c>
      <c r="AZ8" t="s">
        <v>3250</v>
      </c>
      <c r="BA8" t="s">
        <v>3250</v>
      </c>
      <c r="BB8" t="s">
        <v>3250</v>
      </c>
      <c r="BC8" t="s">
        <v>3250</v>
      </c>
      <c r="BE8" t="s">
        <v>3250</v>
      </c>
      <c r="BF8" t="s">
        <v>3250</v>
      </c>
      <c r="BG8" t="s">
        <v>3250</v>
      </c>
      <c r="BH8" t="s">
        <v>3250</v>
      </c>
      <c r="BI8" t="s">
        <v>3250</v>
      </c>
      <c r="BK8" t="s">
        <v>3250</v>
      </c>
      <c r="BL8" t="s">
        <v>3250</v>
      </c>
      <c r="BM8" t="s">
        <v>3250</v>
      </c>
      <c r="BN8" t="s">
        <v>3250</v>
      </c>
      <c r="BP8">
        <v>1</v>
      </c>
      <c r="BQ8">
        <v>11</v>
      </c>
      <c r="BR8" t="s">
        <v>1574</v>
      </c>
      <c r="BS8" t="s">
        <v>3252</v>
      </c>
      <c r="BV8">
        <v>0</v>
      </c>
      <c r="BW8">
        <v>0</v>
      </c>
      <c r="BX8">
        <v>0</v>
      </c>
      <c r="BY8">
        <v>-2754504</v>
      </c>
      <c r="BZ8">
        <v>0</v>
      </c>
      <c r="CA8">
        <v>0</v>
      </c>
      <c r="CB8">
        <v>0</v>
      </c>
      <c r="CC8">
        <v>0</v>
      </c>
      <c r="CD8">
        <v>0</v>
      </c>
      <c r="CE8" t="s">
        <v>3108</v>
      </c>
      <c r="CF8" t="s">
        <v>3108</v>
      </c>
      <c r="CG8" t="s">
        <v>3108</v>
      </c>
      <c r="CH8" t="s">
        <v>3108</v>
      </c>
    </row>
    <row r="9" spans="1:86" x14ac:dyDescent="0.2">
      <c r="A9" t="s">
        <v>3265</v>
      </c>
      <c r="B9" t="s">
        <v>3265</v>
      </c>
      <c r="C9">
        <v>30247</v>
      </c>
      <c r="D9">
        <v>1024</v>
      </c>
      <c r="E9" t="s">
        <v>3266</v>
      </c>
      <c r="F9" t="s">
        <v>3249</v>
      </c>
      <c r="G9" t="s">
        <v>3249</v>
      </c>
      <c r="H9" t="s">
        <v>3250</v>
      </c>
      <c r="I9" t="s">
        <v>3250</v>
      </c>
      <c r="J9" t="s">
        <v>3250</v>
      </c>
      <c r="K9" t="s">
        <v>3250</v>
      </c>
      <c r="L9">
        <v>1200</v>
      </c>
      <c r="M9" t="s">
        <v>2368</v>
      </c>
      <c r="N9">
        <v>1204</v>
      </c>
      <c r="O9" t="s">
        <v>1574</v>
      </c>
      <c r="P9" t="s">
        <v>3108</v>
      </c>
      <c r="Q9" t="s">
        <v>3249</v>
      </c>
      <c r="R9" t="s">
        <v>3249</v>
      </c>
      <c r="S9" t="s">
        <v>472</v>
      </c>
      <c r="T9" t="s">
        <v>3251</v>
      </c>
      <c r="U9">
        <v>140</v>
      </c>
      <c r="V9" t="s">
        <v>1327</v>
      </c>
      <c r="W9">
        <v>140</v>
      </c>
      <c r="X9" t="s">
        <v>1327</v>
      </c>
      <c r="Y9" t="s">
        <v>3250</v>
      </c>
      <c r="Z9" t="s">
        <v>3250</v>
      </c>
      <c r="AA9" t="s">
        <v>3108</v>
      </c>
      <c r="AB9" t="s">
        <v>3108</v>
      </c>
      <c r="AC9" t="s">
        <v>3250</v>
      </c>
      <c r="AD9" t="s">
        <v>3250</v>
      </c>
      <c r="AE9" t="s">
        <v>3250</v>
      </c>
      <c r="AF9" t="s">
        <v>3250</v>
      </c>
      <c r="AG9" t="s">
        <v>3250</v>
      </c>
      <c r="AH9" t="s">
        <v>3250</v>
      </c>
      <c r="AI9" t="s">
        <v>3250</v>
      </c>
      <c r="AJ9" t="s">
        <v>3250</v>
      </c>
      <c r="AL9">
        <v>146</v>
      </c>
      <c r="AM9" t="s">
        <v>5</v>
      </c>
      <c r="AN9">
        <v>146</v>
      </c>
      <c r="AO9" t="s">
        <v>5</v>
      </c>
      <c r="AS9" t="s">
        <v>3250</v>
      </c>
      <c r="AT9" t="s">
        <v>3250</v>
      </c>
      <c r="AU9" t="s">
        <v>3250</v>
      </c>
      <c r="AV9" t="s">
        <v>3250</v>
      </c>
      <c r="AW9" t="s">
        <v>3250</v>
      </c>
      <c r="AX9" t="s">
        <v>3250</v>
      </c>
      <c r="AY9" t="s">
        <v>3250</v>
      </c>
      <c r="AZ9" t="s">
        <v>3250</v>
      </c>
      <c r="BA9" t="s">
        <v>3250</v>
      </c>
      <c r="BB9" t="s">
        <v>3250</v>
      </c>
      <c r="BC9" t="s">
        <v>3250</v>
      </c>
      <c r="BE9" t="s">
        <v>3250</v>
      </c>
      <c r="BF9" t="s">
        <v>3250</v>
      </c>
      <c r="BG9" t="s">
        <v>3250</v>
      </c>
      <c r="BH9" t="s">
        <v>3250</v>
      </c>
      <c r="BI9" t="s">
        <v>3250</v>
      </c>
      <c r="BK9" t="s">
        <v>3250</v>
      </c>
      <c r="BL9" t="s">
        <v>3250</v>
      </c>
      <c r="BM9" t="s">
        <v>3250</v>
      </c>
      <c r="BN9" t="s">
        <v>3250</v>
      </c>
      <c r="BP9">
        <v>1</v>
      </c>
      <c r="BQ9">
        <v>11</v>
      </c>
      <c r="BR9" t="s">
        <v>1574</v>
      </c>
      <c r="BS9" t="s">
        <v>3252</v>
      </c>
      <c r="BV9">
        <v>0</v>
      </c>
      <c r="BW9">
        <v>0</v>
      </c>
      <c r="BX9">
        <v>0</v>
      </c>
      <c r="BY9">
        <v>0</v>
      </c>
      <c r="BZ9">
        <v>0</v>
      </c>
      <c r="CA9">
        <v>0</v>
      </c>
      <c r="CB9">
        <v>0</v>
      </c>
      <c r="CC9">
        <v>0</v>
      </c>
      <c r="CD9">
        <v>0</v>
      </c>
      <c r="CE9" t="s">
        <v>3108</v>
      </c>
      <c r="CF9" t="s">
        <v>3108</v>
      </c>
      <c r="CG9" t="s">
        <v>3108</v>
      </c>
      <c r="CH9" t="s">
        <v>3108</v>
      </c>
    </row>
    <row r="10" spans="1:86" x14ac:dyDescent="0.2">
      <c r="A10" t="s">
        <v>3267</v>
      </c>
      <c r="B10" t="s">
        <v>3267</v>
      </c>
      <c r="C10">
        <v>30249</v>
      </c>
      <c r="D10">
        <v>1026</v>
      </c>
      <c r="E10" t="s">
        <v>3268</v>
      </c>
      <c r="F10" t="s">
        <v>3249</v>
      </c>
      <c r="G10" t="s">
        <v>3249</v>
      </c>
      <c r="H10" t="s">
        <v>3250</v>
      </c>
      <c r="I10" t="s">
        <v>3250</v>
      </c>
      <c r="J10" t="s">
        <v>3250</v>
      </c>
      <c r="K10" t="s">
        <v>3250</v>
      </c>
      <c r="L10">
        <v>1200</v>
      </c>
      <c r="M10" t="s">
        <v>2368</v>
      </c>
      <c r="N10">
        <v>1204</v>
      </c>
      <c r="O10" t="s">
        <v>1574</v>
      </c>
      <c r="P10" t="s">
        <v>3108</v>
      </c>
      <c r="Q10" t="s">
        <v>3249</v>
      </c>
      <c r="R10" t="s">
        <v>3249</v>
      </c>
      <c r="S10" t="s">
        <v>472</v>
      </c>
      <c r="T10" t="s">
        <v>3251</v>
      </c>
      <c r="U10">
        <v>140</v>
      </c>
      <c r="V10" t="s">
        <v>1327</v>
      </c>
      <c r="W10">
        <v>140</v>
      </c>
      <c r="X10" t="s">
        <v>1327</v>
      </c>
      <c r="Y10" t="s">
        <v>3250</v>
      </c>
      <c r="Z10" t="s">
        <v>3250</v>
      </c>
      <c r="AA10" t="s">
        <v>3108</v>
      </c>
      <c r="AB10" t="s">
        <v>3108</v>
      </c>
      <c r="AC10" t="s">
        <v>3250</v>
      </c>
      <c r="AD10" t="s">
        <v>3250</v>
      </c>
      <c r="AE10" t="s">
        <v>3250</v>
      </c>
      <c r="AF10" t="s">
        <v>3250</v>
      </c>
      <c r="AG10" t="s">
        <v>3250</v>
      </c>
      <c r="AH10" t="s">
        <v>3250</v>
      </c>
      <c r="AI10" t="s">
        <v>3250</v>
      </c>
      <c r="AJ10" t="s">
        <v>3250</v>
      </c>
      <c r="AL10">
        <v>141</v>
      </c>
      <c r="AM10" t="s">
        <v>1327</v>
      </c>
      <c r="AN10">
        <v>141</v>
      </c>
      <c r="AO10" t="s">
        <v>1327</v>
      </c>
      <c r="AS10" t="s">
        <v>3250</v>
      </c>
      <c r="AT10" t="s">
        <v>3250</v>
      </c>
      <c r="AU10" t="s">
        <v>3250</v>
      </c>
      <c r="AV10" t="s">
        <v>3250</v>
      </c>
      <c r="AW10" t="s">
        <v>3250</v>
      </c>
      <c r="AX10" t="s">
        <v>3250</v>
      </c>
      <c r="AY10" t="s">
        <v>3250</v>
      </c>
      <c r="AZ10" t="s">
        <v>3250</v>
      </c>
      <c r="BA10" t="s">
        <v>3250</v>
      </c>
      <c r="BB10" t="s">
        <v>3250</v>
      </c>
      <c r="BC10" t="s">
        <v>3250</v>
      </c>
      <c r="BE10" t="s">
        <v>3250</v>
      </c>
      <c r="BF10" t="s">
        <v>3250</v>
      </c>
      <c r="BG10" t="s">
        <v>3250</v>
      </c>
      <c r="BH10" t="s">
        <v>3250</v>
      </c>
      <c r="BI10" t="s">
        <v>3250</v>
      </c>
      <c r="BK10" t="s">
        <v>3250</v>
      </c>
      <c r="BL10" t="s">
        <v>3250</v>
      </c>
      <c r="BM10" t="s">
        <v>3250</v>
      </c>
      <c r="BN10" t="s">
        <v>3250</v>
      </c>
      <c r="BP10">
        <v>1</v>
      </c>
      <c r="BQ10">
        <v>11</v>
      </c>
      <c r="BR10" t="s">
        <v>1574</v>
      </c>
      <c r="BS10" t="s">
        <v>3252</v>
      </c>
      <c r="BV10">
        <v>0</v>
      </c>
      <c r="BW10">
        <v>0</v>
      </c>
      <c r="BX10">
        <v>0</v>
      </c>
      <c r="BY10">
        <v>0</v>
      </c>
      <c r="BZ10">
        <v>0</v>
      </c>
      <c r="CA10">
        <v>0</v>
      </c>
      <c r="CB10">
        <v>0</v>
      </c>
      <c r="CC10">
        <v>0</v>
      </c>
      <c r="CD10">
        <v>0</v>
      </c>
      <c r="CE10" t="s">
        <v>3108</v>
      </c>
      <c r="CF10" t="s">
        <v>3108</v>
      </c>
      <c r="CG10" t="s">
        <v>3108</v>
      </c>
      <c r="CH10" t="s">
        <v>3108</v>
      </c>
    </row>
    <row r="11" spans="1:86" x14ac:dyDescent="0.2">
      <c r="A11" t="s">
        <v>3269</v>
      </c>
      <c r="B11" t="s">
        <v>3269</v>
      </c>
      <c r="C11">
        <v>30250</v>
      </c>
      <c r="D11">
        <v>1027</v>
      </c>
      <c r="E11" t="s">
        <v>3270</v>
      </c>
      <c r="F11" t="s">
        <v>3249</v>
      </c>
      <c r="G11" t="s">
        <v>3249</v>
      </c>
      <c r="H11" t="s">
        <v>3250</v>
      </c>
      <c r="I11" t="s">
        <v>3250</v>
      </c>
      <c r="J11" t="s">
        <v>3250</v>
      </c>
      <c r="K11" t="s">
        <v>3250</v>
      </c>
      <c r="L11">
        <v>1200</v>
      </c>
      <c r="M11" t="s">
        <v>2368</v>
      </c>
      <c r="N11">
        <v>1204</v>
      </c>
      <c r="O11" t="s">
        <v>1574</v>
      </c>
      <c r="P11" t="s">
        <v>3108</v>
      </c>
      <c r="Q11" t="s">
        <v>3249</v>
      </c>
      <c r="R11" t="s">
        <v>3249</v>
      </c>
      <c r="S11" t="s">
        <v>472</v>
      </c>
      <c r="T11" t="s">
        <v>3251</v>
      </c>
      <c r="U11">
        <v>140</v>
      </c>
      <c r="V11" t="s">
        <v>1327</v>
      </c>
      <c r="W11">
        <v>140</v>
      </c>
      <c r="X11" t="s">
        <v>1327</v>
      </c>
      <c r="Y11" t="s">
        <v>3250</v>
      </c>
      <c r="Z11" t="s">
        <v>3250</v>
      </c>
      <c r="AA11" t="s">
        <v>3108</v>
      </c>
      <c r="AB11" t="s">
        <v>3108</v>
      </c>
      <c r="AC11" t="s">
        <v>3250</v>
      </c>
      <c r="AD11" t="s">
        <v>3250</v>
      </c>
      <c r="AE11" t="s">
        <v>3250</v>
      </c>
      <c r="AF11" t="s">
        <v>3250</v>
      </c>
      <c r="AG11" t="s">
        <v>3250</v>
      </c>
      <c r="AH11" t="s">
        <v>3250</v>
      </c>
      <c r="AI11" t="s">
        <v>3250</v>
      </c>
      <c r="AJ11" t="s">
        <v>3250</v>
      </c>
      <c r="AL11">
        <v>147</v>
      </c>
      <c r="AM11" t="s">
        <v>6</v>
      </c>
      <c r="AN11">
        <v>147</v>
      </c>
      <c r="AO11" t="s">
        <v>6</v>
      </c>
      <c r="AS11" t="s">
        <v>3250</v>
      </c>
      <c r="AT11" t="s">
        <v>3250</v>
      </c>
      <c r="AU11" t="s">
        <v>3250</v>
      </c>
      <c r="AV11" t="s">
        <v>3250</v>
      </c>
      <c r="AW11" t="s">
        <v>3250</v>
      </c>
      <c r="AX11" t="s">
        <v>3250</v>
      </c>
      <c r="AY11" t="s">
        <v>3250</v>
      </c>
      <c r="AZ11" t="s">
        <v>3250</v>
      </c>
      <c r="BA11" t="s">
        <v>3250</v>
      </c>
      <c r="BB11" t="s">
        <v>3250</v>
      </c>
      <c r="BC11" t="s">
        <v>3250</v>
      </c>
      <c r="BE11" t="s">
        <v>3250</v>
      </c>
      <c r="BF11" t="s">
        <v>3250</v>
      </c>
      <c r="BG11" t="s">
        <v>3250</v>
      </c>
      <c r="BH11" t="s">
        <v>3250</v>
      </c>
      <c r="BI11" t="s">
        <v>3250</v>
      </c>
      <c r="BK11" t="s">
        <v>3250</v>
      </c>
      <c r="BL11" t="s">
        <v>3250</v>
      </c>
      <c r="BM11" t="s">
        <v>3250</v>
      </c>
      <c r="BN11" t="s">
        <v>3250</v>
      </c>
      <c r="BP11">
        <v>1</v>
      </c>
      <c r="BQ11">
        <v>11</v>
      </c>
      <c r="BR11" t="s">
        <v>1574</v>
      </c>
      <c r="BS11" t="s">
        <v>3252</v>
      </c>
      <c r="BV11">
        <v>0</v>
      </c>
      <c r="BW11">
        <v>0</v>
      </c>
      <c r="BX11">
        <v>0</v>
      </c>
      <c r="BY11">
        <v>0</v>
      </c>
      <c r="BZ11">
        <v>0</v>
      </c>
      <c r="CA11">
        <v>0</v>
      </c>
      <c r="CB11">
        <v>0</v>
      </c>
      <c r="CC11">
        <v>0</v>
      </c>
      <c r="CD11">
        <v>0</v>
      </c>
      <c r="CE11" t="s">
        <v>3108</v>
      </c>
      <c r="CF11" t="s">
        <v>3108</v>
      </c>
      <c r="CG11" t="s">
        <v>3108</v>
      </c>
      <c r="CH11" t="s">
        <v>3108</v>
      </c>
    </row>
    <row r="12" spans="1:86" x14ac:dyDescent="0.2">
      <c r="A12" t="s">
        <v>3271</v>
      </c>
      <c r="B12" t="s">
        <v>3271</v>
      </c>
      <c r="C12">
        <v>30251</v>
      </c>
      <c r="D12">
        <v>1028</v>
      </c>
      <c r="E12" t="s">
        <v>3272</v>
      </c>
      <c r="F12" t="s">
        <v>3249</v>
      </c>
      <c r="G12" t="s">
        <v>3249</v>
      </c>
      <c r="H12" t="s">
        <v>3250</v>
      </c>
      <c r="I12" t="s">
        <v>3250</v>
      </c>
      <c r="J12" t="s">
        <v>3250</v>
      </c>
      <c r="K12" t="s">
        <v>3250</v>
      </c>
      <c r="L12">
        <v>1200</v>
      </c>
      <c r="M12" t="s">
        <v>2368</v>
      </c>
      <c r="N12">
        <v>1204</v>
      </c>
      <c r="O12" t="s">
        <v>1574</v>
      </c>
      <c r="P12" t="s">
        <v>3108</v>
      </c>
      <c r="Q12" t="s">
        <v>3249</v>
      </c>
      <c r="R12" t="s">
        <v>3249</v>
      </c>
      <c r="S12" t="s">
        <v>472</v>
      </c>
      <c r="T12" t="s">
        <v>3251</v>
      </c>
      <c r="U12">
        <v>140</v>
      </c>
      <c r="V12" t="s">
        <v>1327</v>
      </c>
      <c r="W12">
        <v>140</v>
      </c>
      <c r="X12" t="s">
        <v>1327</v>
      </c>
      <c r="Y12" t="s">
        <v>3250</v>
      </c>
      <c r="Z12" t="s">
        <v>3250</v>
      </c>
      <c r="AA12" t="s">
        <v>3108</v>
      </c>
      <c r="AB12" t="s">
        <v>3108</v>
      </c>
      <c r="AC12" t="s">
        <v>3250</v>
      </c>
      <c r="AD12" t="s">
        <v>3250</v>
      </c>
      <c r="AE12" t="s">
        <v>3250</v>
      </c>
      <c r="AF12" t="s">
        <v>3250</v>
      </c>
      <c r="AG12" t="s">
        <v>3250</v>
      </c>
      <c r="AH12" t="s">
        <v>3250</v>
      </c>
      <c r="AI12" t="s">
        <v>3250</v>
      </c>
      <c r="AJ12" t="s">
        <v>3250</v>
      </c>
      <c r="AL12">
        <v>141</v>
      </c>
      <c r="AM12" t="s">
        <v>1327</v>
      </c>
      <c r="AN12">
        <v>141</v>
      </c>
      <c r="AO12" t="s">
        <v>1327</v>
      </c>
      <c r="AS12" t="s">
        <v>3250</v>
      </c>
      <c r="AT12" t="s">
        <v>3250</v>
      </c>
      <c r="AU12" t="s">
        <v>3250</v>
      </c>
      <c r="AV12" t="s">
        <v>3250</v>
      </c>
      <c r="AW12" t="s">
        <v>3250</v>
      </c>
      <c r="AX12" t="s">
        <v>3250</v>
      </c>
      <c r="AY12" t="s">
        <v>3250</v>
      </c>
      <c r="AZ12" t="s">
        <v>3250</v>
      </c>
      <c r="BA12" t="s">
        <v>3250</v>
      </c>
      <c r="BB12" t="s">
        <v>3250</v>
      </c>
      <c r="BC12" t="s">
        <v>3250</v>
      </c>
      <c r="BE12" t="s">
        <v>3250</v>
      </c>
      <c r="BF12" t="s">
        <v>3250</v>
      </c>
      <c r="BG12" t="s">
        <v>3250</v>
      </c>
      <c r="BH12" t="s">
        <v>3250</v>
      </c>
      <c r="BI12" t="s">
        <v>3250</v>
      </c>
      <c r="BK12" t="s">
        <v>3250</v>
      </c>
      <c r="BL12" t="s">
        <v>3250</v>
      </c>
      <c r="BM12" t="s">
        <v>3250</v>
      </c>
      <c r="BN12" t="s">
        <v>3250</v>
      </c>
      <c r="BP12">
        <v>1</v>
      </c>
      <c r="BQ12">
        <v>11</v>
      </c>
      <c r="BR12" t="s">
        <v>1574</v>
      </c>
      <c r="BS12" t="s">
        <v>3252</v>
      </c>
      <c r="BV12">
        <v>0</v>
      </c>
      <c r="BW12">
        <v>0</v>
      </c>
      <c r="BX12">
        <v>0</v>
      </c>
      <c r="BY12">
        <v>0</v>
      </c>
      <c r="BZ12">
        <v>0</v>
      </c>
      <c r="CA12">
        <v>0</v>
      </c>
      <c r="CB12">
        <v>0</v>
      </c>
      <c r="CC12">
        <v>0</v>
      </c>
      <c r="CD12">
        <v>0</v>
      </c>
      <c r="CE12" t="s">
        <v>3108</v>
      </c>
      <c r="CF12" t="s">
        <v>3108</v>
      </c>
      <c r="CG12" t="s">
        <v>3108</v>
      </c>
      <c r="CH12" t="s">
        <v>3108</v>
      </c>
    </row>
    <row r="13" spans="1:86" x14ac:dyDescent="0.2">
      <c r="A13" t="s">
        <v>3273</v>
      </c>
      <c r="B13" t="s">
        <v>3273</v>
      </c>
      <c r="C13">
        <v>30253</v>
      </c>
      <c r="D13">
        <v>1030</v>
      </c>
      <c r="E13" t="s">
        <v>3274</v>
      </c>
      <c r="F13" t="s">
        <v>3249</v>
      </c>
      <c r="G13" t="s">
        <v>3249</v>
      </c>
      <c r="H13" t="s">
        <v>3250</v>
      </c>
      <c r="I13" t="s">
        <v>3250</v>
      </c>
      <c r="J13" t="s">
        <v>3250</v>
      </c>
      <c r="K13" t="s">
        <v>3250</v>
      </c>
      <c r="L13">
        <v>1200</v>
      </c>
      <c r="M13" t="s">
        <v>2368</v>
      </c>
      <c r="N13">
        <v>1204</v>
      </c>
      <c r="O13" t="s">
        <v>1574</v>
      </c>
      <c r="P13" t="s">
        <v>3108</v>
      </c>
      <c r="Q13" t="s">
        <v>3249</v>
      </c>
      <c r="R13" t="s">
        <v>3249</v>
      </c>
      <c r="S13" t="s">
        <v>472</v>
      </c>
      <c r="T13" t="s">
        <v>3251</v>
      </c>
      <c r="U13">
        <v>140</v>
      </c>
      <c r="V13" t="s">
        <v>1327</v>
      </c>
      <c r="W13">
        <v>140</v>
      </c>
      <c r="X13" t="s">
        <v>1327</v>
      </c>
      <c r="Y13" t="s">
        <v>3250</v>
      </c>
      <c r="Z13" t="s">
        <v>3250</v>
      </c>
      <c r="AA13" t="s">
        <v>3108</v>
      </c>
      <c r="AB13" t="s">
        <v>3108</v>
      </c>
      <c r="AC13" t="s">
        <v>3250</v>
      </c>
      <c r="AD13" t="s">
        <v>3250</v>
      </c>
      <c r="AE13" t="s">
        <v>3250</v>
      </c>
      <c r="AF13" t="s">
        <v>3250</v>
      </c>
      <c r="AG13" t="s">
        <v>3250</v>
      </c>
      <c r="AH13" t="s">
        <v>3250</v>
      </c>
      <c r="AI13" t="s">
        <v>3250</v>
      </c>
      <c r="AJ13" t="s">
        <v>3250</v>
      </c>
      <c r="AL13">
        <v>141</v>
      </c>
      <c r="AM13" t="s">
        <v>1327</v>
      </c>
      <c r="AN13">
        <v>141</v>
      </c>
      <c r="AO13" t="s">
        <v>1327</v>
      </c>
      <c r="AS13" t="s">
        <v>3250</v>
      </c>
      <c r="AT13" t="s">
        <v>3250</v>
      </c>
      <c r="AU13" t="s">
        <v>3250</v>
      </c>
      <c r="AV13" t="s">
        <v>3250</v>
      </c>
      <c r="AW13" t="s">
        <v>3250</v>
      </c>
      <c r="AX13" t="s">
        <v>3250</v>
      </c>
      <c r="AY13" t="s">
        <v>3250</v>
      </c>
      <c r="AZ13" t="s">
        <v>3250</v>
      </c>
      <c r="BA13" t="s">
        <v>3250</v>
      </c>
      <c r="BB13" t="s">
        <v>3250</v>
      </c>
      <c r="BC13" t="s">
        <v>3250</v>
      </c>
      <c r="BE13" t="s">
        <v>3250</v>
      </c>
      <c r="BF13" t="s">
        <v>3250</v>
      </c>
      <c r="BG13" t="s">
        <v>3250</v>
      </c>
      <c r="BH13" t="s">
        <v>3250</v>
      </c>
      <c r="BI13" t="s">
        <v>3250</v>
      </c>
      <c r="BK13" t="s">
        <v>3250</v>
      </c>
      <c r="BL13" t="s">
        <v>3250</v>
      </c>
      <c r="BM13" t="s">
        <v>3250</v>
      </c>
      <c r="BN13" t="s">
        <v>3250</v>
      </c>
      <c r="BP13">
        <v>1</v>
      </c>
      <c r="BQ13">
        <v>11</v>
      </c>
      <c r="BR13" t="s">
        <v>1574</v>
      </c>
      <c r="BS13" t="s">
        <v>3252</v>
      </c>
      <c r="BV13">
        <v>0</v>
      </c>
      <c r="BW13">
        <v>0</v>
      </c>
      <c r="BX13">
        <v>0</v>
      </c>
      <c r="BY13">
        <v>0</v>
      </c>
      <c r="BZ13">
        <v>0</v>
      </c>
      <c r="CA13">
        <v>0</v>
      </c>
      <c r="CB13">
        <v>0</v>
      </c>
      <c r="CC13">
        <v>0</v>
      </c>
      <c r="CD13">
        <v>0</v>
      </c>
      <c r="CE13" t="s">
        <v>3108</v>
      </c>
      <c r="CF13" t="s">
        <v>3108</v>
      </c>
      <c r="CG13" t="s">
        <v>3108</v>
      </c>
      <c r="CH13" t="s">
        <v>3108</v>
      </c>
    </row>
    <row r="14" spans="1:86" x14ac:dyDescent="0.2">
      <c r="A14" t="s">
        <v>3275</v>
      </c>
      <c r="B14" t="s">
        <v>3275</v>
      </c>
      <c r="C14">
        <v>30254</v>
      </c>
      <c r="D14">
        <v>1031</v>
      </c>
      <c r="E14" t="s">
        <v>3276</v>
      </c>
      <c r="F14" t="s">
        <v>3249</v>
      </c>
      <c r="G14" t="s">
        <v>3249</v>
      </c>
      <c r="H14" t="s">
        <v>3250</v>
      </c>
      <c r="I14" t="s">
        <v>3250</v>
      </c>
      <c r="J14" t="s">
        <v>3250</v>
      </c>
      <c r="K14" t="s">
        <v>3250</v>
      </c>
      <c r="L14">
        <v>1200</v>
      </c>
      <c r="M14" t="s">
        <v>2368</v>
      </c>
      <c r="N14">
        <v>1204</v>
      </c>
      <c r="O14" t="s">
        <v>1574</v>
      </c>
      <c r="P14" t="s">
        <v>3108</v>
      </c>
      <c r="Q14" t="s">
        <v>3249</v>
      </c>
      <c r="R14" t="s">
        <v>3249</v>
      </c>
      <c r="S14" t="s">
        <v>472</v>
      </c>
      <c r="T14" t="s">
        <v>3251</v>
      </c>
      <c r="U14">
        <v>140</v>
      </c>
      <c r="V14" t="s">
        <v>1327</v>
      </c>
      <c r="W14">
        <v>140</v>
      </c>
      <c r="X14" t="s">
        <v>1327</v>
      </c>
      <c r="Y14" t="s">
        <v>3250</v>
      </c>
      <c r="Z14" t="s">
        <v>3250</v>
      </c>
      <c r="AA14" t="s">
        <v>3108</v>
      </c>
      <c r="AB14" t="s">
        <v>3108</v>
      </c>
      <c r="AC14" t="s">
        <v>3250</v>
      </c>
      <c r="AD14" t="s">
        <v>3250</v>
      </c>
      <c r="AE14" t="s">
        <v>3250</v>
      </c>
      <c r="AF14" t="s">
        <v>3250</v>
      </c>
      <c r="AG14" t="s">
        <v>3250</v>
      </c>
      <c r="AH14" t="s">
        <v>3250</v>
      </c>
      <c r="AI14" t="s">
        <v>3250</v>
      </c>
      <c r="AJ14" t="s">
        <v>3250</v>
      </c>
      <c r="AL14">
        <v>146</v>
      </c>
      <c r="AM14" t="s">
        <v>5</v>
      </c>
      <c r="AN14">
        <v>146</v>
      </c>
      <c r="AO14" t="s">
        <v>5</v>
      </c>
      <c r="AS14" t="s">
        <v>3250</v>
      </c>
      <c r="AT14" t="s">
        <v>3250</v>
      </c>
      <c r="AU14" t="s">
        <v>3250</v>
      </c>
      <c r="AV14" t="s">
        <v>3250</v>
      </c>
      <c r="AW14" t="s">
        <v>3250</v>
      </c>
      <c r="AX14" t="s">
        <v>3250</v>
      </c>
      <c r="AY14" t="s">
        <v>3250</v>
      </c>
      <c r="AZ14" t="s">
        <v>3250</v>
      </c>
      <c r="BA14" t="s">
        <v>3250</v>
      </c>
      <c r="BB14" t="s">
        <v>3250</v>
      </c>
      <c r="BC14" t="s">
        <v>3250</v>
      </c>
      <c r="BE14" t="s">
        <v>3250</v>
      </c>
      <c r="BF14" t="s">
        <v>3250</v>
      </c>
      <c r="BG14" t="s">
        <v>3250</v>
      </c>
      <c r="BH14" t="s">
        <v>3250</v>
      </c>
      <c r="BI14" t="s">
        <v>3250</v>
      </c>
      <c r="BK14" t="s">
        <v>3250</v>
      </c>
      <c r="BL14" t="s">
        <v>3250</v>
      </c>
      <c r="BM14" t="s">
        <v>3250</v>
      </c>
      <c r="BN14" t="s">
        <v>3250</v>
      </c>
      <c r="BP14">
        <v>1</v>
      </c>
      <c r="BQ14">
        <v>11</v>
      </c>
      <c r="BR14" t="s">
        <v>1574</v>
      </c>
      <c r="BS14" t="s">
        <v>3252</v>
      </c>
      <c r="BV14">
        <v>0</v>
      </c>
      <c r="BW14">
        <v>0</v>
      </c>
      <c r="BX14">
        <v>0</v>
      </c>
      <c r="BY14">
        <v>0</v>
      </c>
      <c r="BZ14">
        <v>0</v>
      </c>
      <c r="CA14">
        <v>0</v>
      </c>
      <c r="CB14">
        <v>0</v>
      </c>
      <c r="CC14">
        <v>0</v>
      </c>
      <c r="CD14">
        <v>0</v>
      </c>
      <c r="CE14" t="s">
        <v>3108</v>
      </c>
      <c r="CF14" t="s">
        <v>3108</v>
      </c>
      <c r="CG14" t="s">
        <v>3108</v>
      </c>
      <c r="CH14" t="s">
        <v>3108</v>
      </c>
    </row>
    <row r="15" spans="1:86" x14ac:dyDescent="0.2">
      <c r="A15" t="s">
        <v>3277</v>
      </c>
      <c r="B15" t="s">
        <v>3277</v>
      </c>
      <c r="C15">
        <v>30255</v>
      </c>
      <c r="D15">
        <v>1032</v>
      </c>
      <c r="E15" t="s">
        <v>3278</v>
      </c>
      <c r="F15" t="s">
        <v>3249</v>
      </c>
      <c r="G15" t="s">
        <v>3249</v>
      </c>
      <c r="H15" t="s">
        <v>3250</v>
      </c>
      <c r="I15" t="s">
        <v>3250</v>
      </c>
      <c r="J15" t="s">
        <v>3250</v>
      </c>
      <c r="K15" t="s">
        <v>3250</v>
      </c>
      <c r="L15">
        <v>1200</v>
      </c>
      <c r="M15" t="s">
        <v>2368</v>
      </c>
      <c r="N15">
        <v>1204</v>
      </c>
      <c r="O15" t="s">
        <v>1574</v>
      </c>
      <c r="P15" t="s">
        <v>3108</v>
      </c>
      <c r="Q15" t="s">
        <v>3249</v>
      </c>
      <c r="R15" t="s">
        <v>3249</v>
      </c>
      <c r="S15" t="s">
        <v>472</v>
      </c>
      <c r="T15" t="s">
        <v>3251</v>
      </c>
      <c r="U15">
        <v>140</v>
      </c>
      <c r="V15" t="s">
        <v>1327</v>
      </c>
      <c r="W15">
        <v>140</v>
      </c>
      <c r="X15" t="s">
        <v>1327</v>
      </c>
      <c r="Y15" t="s">
        <v>3250</v>
      </c>
      <c r="Z15" t="s">
        <v>3250</v>
      </c>
      <c r="AA15" t="s">
        <v>3108</v>
      </c>
      <c r="AB15" t="s">
        <v>3108</v>
      </c>
      <c r="AC15" t="s">
        <v>3250</v>
      </c>
      <c r="AD15" t="s">
        <v>3250</v>
      </c>
      <c r="AE15" t="s">
        <v>3250</v>
      </c>
      <c r="AF15" t="s">
        <v>3250</v>
      </c>
      <c r="AG15" t="s">
        <v>3250</v>
      </c>
      <c r="AH15" t="s">
        <v>3250</v>
      </c>
      <c r="AI15" t="s">
        <v>3250</v>
      </c>
      <c r="AJ15" t="s">
        <v>3250</v>
      </c>
      <c r="AL15">
        <v>146</v>
      </c>
      <c r="AM15" t="s">
        <v>5</v>
      </c>
      <c r="AN15">
        <v>146</v>
      </c>
      <c r="AO15" t="s">
        <v>5</v>
      </c>
      <c r="AS15" t="s">
        <v>3250</v>
      </c>
      <c r="AT15" t="s">
        <v>3250</v>
      </c>
      <c r="AU15" t="s">
        <v>3250</v>
      </c>
      <c r="AV15" t="s">
        <v>3250</v>
      </c>
      <c r="AW15" t="s">
        <v>3250</v>
      </c>
      <c r="AX15" t="s">
        <v>3250</v>
      </c>
      <c r="AY15" t="s">
        <v>3250</v>
      </c>
      <c r="AZ15" t="s">
        <v>3250</v>
      </c>
      <c r="BA15" t="s">
        <v>3250</v>
      </c>
      <c r="BB15" t="s">
        <v>3250</v>
      </c>
      <c r="BC15" t="s">
        <v>3250</v>
      </c>
      <c r="BE15" t="s">
        <v>3250</v>
      </c>
      <c r="BF15" t="s">
        <v>3250</v>
      </c>
      <c r="BG15" t="s">
        <v>3250</v>
      </c>
      <c r="BH15" t="s">
        <v>3250</v>
      </c>
      <c r="BI15" t="s">
        <v>3250</v>
      </c>
      <c r="BK15" t="s">
        <v>3250</v>
      </c>
      <c r="BL15" t="s">
        <v>3250</v>
      </c>
      <c r="BM15" t="s">
        <v>3250</v>
      </c>
      <c r="BN15" t="s">
        <v>3250</v>
      </c>
      <c r="BP15">
        <v>1</v>
      </c>
      <c r="BQ15">
        <v>11</v>
      </c>
      <c r="BR15" t="s">
        <v>1574</v>
      </c>
      <c r="BS15" t="s">
        <v>3252</v>
      </c>
      <c r="BV15">
        <v>0</v>
      </c>
      <c r="BW15">
        <v>0</v>
      </c>
      <c r="BX15">
        <v>0</v>
      </c>
      <c r="BY15">
        <v>0</v>
      </c>
      <c r="BZ15">
        <v>0</v>
      </c>
      <c r="CA15">
        <v>0</v>
      </c>
      <c r="CB15">
        <v>0</v>
      </c>
      <c r="CC15">
        <v>0</v>
      </c>
      <c r="CD15">
        <v>0</v>
      </c>
      <c r="CE15" t="s">
        <v>3108</v>
      </c>
      <c r="CF15" t="s">
        <v>3108</v>
      </c>
      <c r="CG15" t="s">
        <v>3108</v>
      </c>
      <c r="CH15" t="s">
        <v>3108</v>
      </c>
    </row>
    <row r="16" spans="1:86" x14ac:dyDescent="0.2">
      <c r="A16" t="s">
        <v>3279</v>
      </c>
      <c r="B16" t="s">
        <v>3279</v>
      </c>
      <c r="C16">
        <v>30256</v>
      </c>
      <c r="D16">
        <v>1033</v>
      </c>
      <c r="E16" t="s">
        <v>3280</v>
      </c>
      <c r="F16" t="s">
        <v>3249</v>
      </c>
      <c r="G16" t="s">
        <v>3249</v>
      </c>
      <c r="H16" t="s">
        <v>3250</v>
      </c>
      <c r="I16" t="s">
        <v>3250</v>
      </c>
      <c r="J16" t="s">
        <v>3250</v>
      </c>
      <c r="K16" t="s">
        <v>3250</v>
      </c>
      <c r="L16">
        <v>1200</v>
      </c>
      <c r="M16" t="s">
        <v>2368</v>
      </c>
      <c r="N16">
        <v>1204</v>
      </c>
      <c r="O16" t="s">
        <v>1574</v>
      </c>
      <c r="P16" t="s">
        <v>3108</v>
      </c>
      <c r="Q16" t="s">
        <v>3249</v>
      </c>
      <c r="R16" t="s">
        <v>3249</v>
      </c>
      <c r="S16" t="s">
        <v>472</v>
      </c>
      <c r="T16" t="s">
        <v>3251</v>
      </c>
      <c r="U16">
        <v>140</v>
      </c>
      <c r="V16" t="s">
        <v>1327</v>
      </c>
      <c r="W16">
        <v>140</v>
      </c>
      <c r="X16" t="s">
        <v>1327</v>
      </c>
      <c r="Y16" t="s">
        <v>3250</v>
      </c>
      <c r="Z16" t="s">
        <v>3250</v>
      </c>
      <c r="AA16" t="s">
        <v>3108</v>
      </c>
      <c r="AB16" t="s">
        <v>3108</v>
      </c>
      <c r="AC16" t="s">
        <v>3250</v>
      </c>
      <c r="AD16" t="s">
        <v>3250</v>
      </c>
      <c r="AE16" t="s">
        <v>3250</v>
      </c>
      <c r="AF16" t="s">
        <v>3250</v>
      </c>
      <c r="AG16" t="s">
        <v>3250</v>
      </c>
      <c r="AH16" t="s">
        <v>3250</v>
      </c>
      <c r="AI16" t="s">
        <v>3250</v>
      </c>
      <c r="AJ16" t="s">
        <v>3250</v>
      </c>
      <c r="AL16">
        <v>141</v>
      </c>
      <c r="AM16" t="s">
        <v>1327</v>
      </c>
      <c r="AN16">
        <v>141</v>
      </c>
      <c r="AO16" t="s">
        <v>1327</v>
      </c>
      <c r="AS16" t="s">
        <v>3250</v>
      </c>
      <c r="AT16" t="s">
        <v>3250</v>
      </c>
      <c r="AU16" t="s">
        <v>3250</v>
      </c>
      <c r="AV16" t="s">
        <v>3250</v>
      </c>
      <c r="AW16" t="s">
        <v>3250</v>
      </c>
      <c r="AX16" t="s">
        <v>3250</v>
      </c>
      <c r="AY16" t="s">
        <v>3250</v>
      </c>
      <c r="AZ16" t="s">
        <v>3250</v>
      </c>
      <c r="BA16" t="s">
        <v>3250</v>
      </c>
      <c r="BB16" t="s">
        <v>3250</v>
      </c>
      <c r="BC16" t="s">
        <v>3250</v>
      </c>
      <c r="BE16" t="s">
        <v>3250</v>
      </c>
      <c r="BF16" t="s">
        <v>3250</v>
      </c>
      <c r="BG16" t="s">
        <v>3250</v>
      </c>
      <c r="BH16" t="s">
        <v>3250</v>
      </c>
      <c r="BI16" t="s">
        <v>3250</v>
      </c>
      <c r="BK16" t="s">
        <v>3250</v>
      </c>
      <c r="BL16" t="s">
        <v>3250</v>
      </c>
      <c r="BM16" t="s">
        <v>3250</v>
      </c>
      <c r="BN16" t="s">
        <v>3250</v>
      </c>
      <c r="BP16">
        <v>1</v>
      </c>
      <c r="BQ16">
        <v>11</v>
      </c>
      <c r="BR16" t="s">
        <v>1574</v>
      </c>
      <c r="BS16" t="s">
        <v>3252</v>
      </c>
      <c r="BV16">
        <v>0</v>
      </c>
      <c r="BW16">
        <v>0</v>
      </c>
      <c r="BX16">
        <v>0</v>
      </c>
      <c r="BY16">
        <v>0</v>
      </c>
      <c r="BZ16">
        <v>0</v>
      </c>
      <c r="CA16">
        <v>0</v>
      </c>
      <c r="CB16">
        <v>0</v>
      </c>
      <c r="CC16">
        <v>0</v>
      </c>
      <c r="CD16">
        <v>0</v>
      </c>
      <c r="CE16" t="s">
        <v>3108</v>
      </c>
      <c r="CF16" t="s">
        <v>3108</v>
      </c>
      <c r="CG16" t="s">
        <v>3108</v>
      </c>
      <c r="CH16" t="s">
        <v>3108</v>
      </c>
    </row>
    <row r="17" spans="1:86" x14ac:dyDescent="0.2">
      <c r="A17" t="s">
        <v>3281</v>
      </c>
      <c r="B17" t="s">
        <v>3281</v>
      </c>
      <c r="C17">
        <v>30258</v>
      </c>
      <c r="D17">
        <v>1035</v>
      </c>
      <c r="E17" t="s">
        <v>3282</v>
      </c>
      <c r="F17" t="s">
        <v>3249</v>
      </c>
      <c r="G17" t="s">
        <v>3249</v>
      </c>
      <c r="H17" t="s">
        <v>3250</v>
      </c>
      <c r="I17" t="s">
        <v>3250</v>
      </c>
      <c r="J17" t="s">
        <v>3250</v>
      </c>
      <c r="K17" t="s">
        <v>3250</v>
      </c>
      <c r="L17">
        <v>1200</v>
      </c>
      <c r="M17" t="s">
        <v>2368</v>
      </c>
      <c r="N17">
        <v>1204</v>
      </c>
      <c r="O17" t="s">
        <v>1574</v>
      </c>
      <c r="P17" t="s">
        <v>3108</v>
      </c>
      <c r="Q17" t="s">
        <v>3249</v>
      </c>
      <c r="R17" t="s">
        <v>3249</v>
      </c>
      <c r="S17" t="s">
        <v>472</v>
      </c>
      <c r="T17" t="s">
        <v>3251</v>
      </c>
      <c r="U17">
        <v>140</v>
      </c>
      <c r="V17" t="s">
        <v>1327</v>
      </c>
      <c r="W17">
        <v>140</v>
      </c>
      <c r="X17" t="s">
        <v>1327</v>
      </c>
      <c r="Y17" t="s">
        <v>3250</v>
      </c>
      <c r="Z17" t="s">
        <v>3250</v>
      </c>
      <c r="AA17" t="s">
        <v>3108</v>
      </c>
      <c r="AB17" t="s">
        <v>3108</v>
      </c>
      <c r="AC17" t="s">
        <v>3250</v>
      </c>
      <c r="AD17" t="s">
        <v>3250</v>
      </c>
      <c r="AE17" t="s">
        <v>3250</v>
      </c>
      <c r="AF17" t="s">
        <v>3250</v>
      </c>
      <c r="AG17" t="s">
        <v>3250</v>
      </c>
      <c r="AH17" t="s">
        <v>3250</v>
      </c>
      <c r="AI17" t="s">
        <v>3250</v>
      </c>
      <c r="AJ17" t="s">
        <v>3250</v>
      </c>
      <c r="AL17">
        <v>147</v>
      </c>
      <c r="AM17" t="s">
        <v>6</v>
      </c>
      <c r="AN17">
        <v>147</v>
      </c>
      <c r="AO17" t="s">
        <v>6</v>
      </c>
      <c r="AS17" t="s">
        <v>3250</v>
      </c>
      <c r="AT17" t="s">
        <v>3250</v>
      </c>
      <c r="AU17" t="s">
        <v>3250</v>
      </c>
      <c r="AV17" t="s">
        <v>3250</v>
      </c>
      <c r="AW17" t="s">
        <v>3250</v>
      </c>
      <c r="AX17" t="s">
        <v>3250</v>
      </c>
      <c r="AY17" t="s">
        <v>3250</v>
      </c>
      <c r="AZ17" t="s">
        <v>3250</v>
      </c>
      <c r="BA17" t="s">
        <v>3250</v>
      </c>
      <c r="BB17" t="s">
        <v>3250</v>
      </c>
      <c r="BC17" t="s">
        <v>3250</v>
      </c>
      <c r="BE17" t="s">
        <v>3250</v>
      </c>
      <c r="BF17" t="s">
        <v>3250</v>
      </c>
      <c r="BG17" t="s">
        <v>3250</v>
      </c>
      <c r="BH17" t="s">
        <v>3250</v>
      </c>
      <c r="BI17" t="s">
        <v>3250</v>
      </c>
      <c r="BK17" t="s">
        <v>3250</v>
      </c>
      <c r="BL17" t="s">
        <v>3250</v>
      </c>
      <c r="BM17" t="s">
        <v>3250</v>
      </c>
      <c r="BN17" t="s">
        <v>3250</v>
      </c>
      <c r="BP17">
        <v>1</v>
      </c>
      <c r="BQ17">
        <v>11</v>
      </c>
      <c r="BR17" t="s">
        <v>1574</v>
      </c>
      <c r="BS17" t="s">
        <v>3252</v>
      </c>
      <c r="BV17">
        <v>0</v>
      </c>
      <c r="BW17">
        <v>0</v>
      </c>
      <c r="BX17">
        <v>0</v>
      </c>
      <c r="BY17">
        <v>0</v>
      </c>
      <c r="BZ17">
        <v>0</v>
      </c>
      <c r="CA17">
        <v>0</v>
      </c>
      <c r="CB17">
        <v>0</v>
      </c>
      <c r="CC17">
        <v>0</v>
      </c>
      <c r="CD17">
        <v>0</v>
      </c>
      <c r="CE17" t="s">
        <v>3108</v>
      </c>
      <c r="CF17" t="s">
        <v>3108</v>
      </c>
      <c r="CG17" t="s">
        <v>3108</v>
      </c>
      <c r="CH17" t="s">
        <v>3108</v>
      </c>
    </row>
    <row r="18" spans="1:86" x14ac:dyDescent="0.2">
      <c r="A18" t="s">
        <v>3283</v>
      </c>
      <c r="B18" t="s">
        <v>3283</v>
      </c>
      <c r="C18">
        <v>30259</v>
      </c>
      <c r="D18">
        <v>1036</v>
      </c>
      <c r="E18" t="s">
        <v>3284</v>
      </c>
      <c r="F18" t="s">
        <v>3249</v>
      </c>
      <c r="G18" t="s">
        <v>3249</v>
      </c>
      <c r="H18" t="s">
        <v>3250</v>
      </c>
      <c r="I18" t="s">
        <v>3250</v>
      </c>
      <c r="J18" t="s">
        <v>3250</v>
      </c>
      <c r="K18" t="s">
        <v>3250</v>
      </c>
      <c r="L18">
        <v>1200</v>
      </c>
      <c r="M18" t="s">
        <v>2368</v>
      </c>
      <c r="N18">
        <v>1204</v>
      </c>
      <c r="O18" t="s">
        <v>1574</v>
      </c>
      <c r="P18" t="s">
        <v>3108</v>
      </c>
      <c r="Q18" t="s">
        <v>3249</v>
      </c>
      <c r="R18" t="s">
        <v>3249</v>
      </c>
      <c r="S18" t="s">
        <v>472</v>
      </c>
      <c r="T18" t="s">
        <v>3251</v>
      </c>
      <c r="U18">
        <v>140</v>
      </c>
      <c r="V18" t="s">
        <v>1327</v>
      </c>
      <c r="W18">
        <v>140</v>
      </c>
      <c r="X18" t="s">
        <v>1327</v>
      </c>
      <c r="Y18" t="s">
        <v>3250</v>
      </c>
      <c r="Z18" t="s">
        <v>3250</v>
      </c>
      <c r="AA18" t="s">
        <v>3108</v>
      </c>
      <c r="AB18" t="s">
        <v>3108</v>
      </c>
      <c r="AC18" t="s">
        <v>3250</v>
      </c>
      <c r="AD18" t="s">
        <v>3250</v>
      </c>
      <c r="AE18" t="s">
        <v>3250</v>
      </c>
      <c r="AF18" t="s">
        <v>3250</v>
      </c>
      <c r="AG18" t="s">
        <v>3250</v>
      </c>
      <c r="AH18" t="s">
        <v>3250</v>
      </c>
      <c r="AI18" t="s">
        <v>3250</v>
      </c>
      <c r="AJ18" t="s">
        <v>3250</v>
      </c>
      <c r="AL18">
        <v>141</v>
      </c>
      <c r="AM18" t="s">
        <v>1327</v>
      </c>
      <c r="AN18">
        <v>141</v>
      </c>
      <c r="AO18" t="s">
        <v>1327</v>
      </c>
      <c r="AS18" t="s">
        <v>3250</v>
      </c>
      <c r="AT18" t="s">
        <v>3250</v>
      </c>
      <c r="AU18" t="s">
        <v>3250</v>
      </c>
      <c r="AV18" t="s">
        <v>3250</v>
      </c>
      <c r="AW18" t="s">
        <v>3250</v>
      </c>
      <c r="AX18" t="s">
        <v>3250</v>
      </c>
      <c r="AY18" t="s">
        <v>3250</v>
      </c>
      <c r="AZ18" t="s">
        <v>3250</v>
      </c>
      <c r="BA18" t="s">
        <v>3250</v>
      </c>
      <c r="BB18" t="s">
        <v>3250</v>
      </c>
      <c r="BC18" t="s">
        <v>3250</v>
      </c>
      <c r="BE18" t="s">
        <v>3250</v>
      </c>
      <c r="BF18" t="s">
        <v>3250</v>
      </c>
      <c r="BG18" t="s">
        <v>3250</v>
      </c>
      <c r="BH18" t="s">
        <v>3250</v>
      </c>
      <c r="BI18" t="s">
        <v>3250</v>
      </c>
      <c r="BK18" t="s">
        <v>3250</v>
      </c>
      <c r="BL18" t="s">
        <v>3250</v>
      </c>
      <c r="BM18" t="s">
        <v>3250</v>
      </c>
      <c r="BN18" t="s">
        <v>3250</v>
      </c>
      <c r="BP18">
        <v>1</v>
      </c>
      <c r="BQ18">
        <v>11</v>
      </c>
      <c r="BR18" t="s">
        <v>1574</v>
      </c>
      <c r="BS18" t="s">
        <v>3252</v>
      </c>
      <c r="BV18">
        <v>0</v>
      </c>
      <c r="BW18">
        <v>0</v>
      </c>
      <c r="BX18">
        <v>0</v>
      </c>
      <c r="BY18">
        <v>0</v>
      </c>
      <c r="BZ18">
        <v>0</v>
      </c>
      <c r="CA18">
        <v>0</v>
      </c>
      <c r="CB18">
        <v>0</v>
      </c>
      <c r="CC18">
        <v>0</v>
      </c>
      <c r="CD18">
        <v>0</v>
      </c>
      <c r="CE18" t="s">
        <v>3108</v>
      </c>
      <c r="CF18" t="s">
        <v>3108</v>
      </c>
      <c r="CG18" t="s">
        <v>3108</v>
      </c>
      <c r="CH18" t="s">
        <v>3108</v>
      </c>
    </row>
    <row r="19" spans="1:86" x14ac:dyDescent="0.2">
      <c r="A19" t="s">
        <v>3285</v>
      </c>
      <c r="B19" t="s">
        <v>3285</v>
      </c>
      <c r="C19">
        <v>30261</v>
      </c>
      <c r="D19">
        <v>1038</v>
      </c>
      <c r="E19" t="s">
        <v>3286</v>
      </c>
      <c r="F19" t="s">
        <v>3249</v>
      </c>
      <c r="G19" t="s">
        <v>3249</v>
      </c>
      <c r="H19" t="s">
        <v>3250</v>
      </c>
      <c r="I19" t="s">
        <v>3250</v>
      </c>
      <c r="J19" t="s">
        <v>3250</v>
      </c>
      <c r="K19" t="s">
        <v>3250</v>
      </c>
      <c r="L19">
        <v>1200</v>
      </c>
      <c r="M19" t="s">
        <v>2368</v>
      </c>
      <c r="N19">
        <v>1204</v>
      </c>
      <c r="O19" t="s">
        <v>1574</v>
      </c>
      <c r="P19" t="s">
        <v>3108</v>
      </c>
      <c r="Q19" t="s">
        <v>3249</v>
      </c>
      <c r="R19" t="s">
        <v>3249</v>
      </c>
      <c r="S19" t="s">
        <v>472</v>
      </c>
      <c r="T19" t="s">
        <v>3251</v>
      </c>
      <c r="U19">
        <v>140</v>
      </c>
      <c r="V19" t="s">
        <v>1327</v>
      </c>
      <c r="W19">
        <v>140</v>
      </c>
      <c r="X19" t="s">
        <v>1327</v>
      </c>
      <c r="Y19" t="s">
        <v>3250</v>
      </c>
      <c r="Z19" t="s">
        <v>3250</v>
      </c>
      <c r="AA19" t="s">
        <v>3108</v>
      </c>
      <c r="AB19" t="s">
        <v>3108</v>
      </c>
      <c r="AC19" t="s">
        <v>3250</v>
      </c>
      <c r="AD19" t="s">
        <v>3250</v>
      </c>
      <c r="AE19" t="s">
        <v>3250</v>
      </c>
      <c r="AF19" t="s">
        <v>3250</v>
      </c>
      <c r="AG19" t="s">
        <v>3250</v>
      </c>
      <c r="AH19" t="s">
        <v>3250</v>
      </c>
      <c r="AI19" t="s">
        <v>3250</v>
      </c>
      <c r="AJ19" t="s">
        <v>3250</v>
      </c>
      <c r="AL19">
        <v>141</v>
      </c>
      <c r="AM19" t="s">
        <v>1327</v>
      </c>
      <c r="AN19">
        <v>141</v>
      </c>
      <c r="AO19" t="s">
        <v>1327</v>
      </c>
      <c r="AS19" t="s">
        <v>3250</v>
      </c>
      <c r="AT19" t="s">
        <v>3250</v>
      </c>
      <c r="AU19" t="s">
        <v>3250</v>
      </c>
      <c r="AV19" t="s">
        <v>3250</v>
      </c>
      <c r="AW19" t="s">
        <v>3250</v>
      </c>
      <c r="AX19" t="s">
        <v>3250</v>
      </c>
      <c r="AY19" t="s">
        <v>3250</v>
      </c>
      <c r="AZ19" t="s">
        <v>3250</v>
      </c>
      <c r="BA19" t="s">
        <v>3250</v>
      </c>
      <c r="BB19" t="s">
        <v>3250</v>
      </c>
      <c r="BC19" t="s">
        <v>3250</v>
      </c>
      <c r="BE19" t="s">
        <v>3250</v>
      </c>
      <c r="BF19" t="s">
        <v>3250</v>
      </c>
      <c r="BG19" t="s">
        <v>3250</v>
      </c>
      <c r="BH19" t="s">
        <v>3250</v>
      </c>
      <c r="BI19" t="s">
        <v>3250</v>
      </c>
      <c r="BK19" t="s">
        <v>3250</v>
      </c>
      <c r="BL19" t="s">
        <v>3250</v>
      </c>
      <c r="BM19" t="s">
        <v>3250</v>
      </c>
      <c r="BN19" t="s">
        <v>3250</v>
      </c>
      <c r="BP19">
        <v>1</v>
      </c>
      <c r="BQ19">
        <v>11</v>
      </c>
      <c r="BR19" t="s">
        <v>1574</v>
      </c>
      <c r="BS19" t="s">
        <v>3252</v>
      </c>
      <c r="BV19">
        <v>0</v>
      </c>
      <c r="BW19">
        <v>0</v>
      </c>
      <c r="BX19">
        <v>0</v>
      </c>
      <c r="BY19">
        <v>0</v>
      </c>
      <c r="BZ19">
        <v>0</v>
      </c>
      <c r="CA19">
        <v>0</v>
      </c>
      <c r="CB19">
        <v>0</v>
      </c>
      <c r="CC19">
        <v>0</v>
      </c>
      <c r="CD19">
        <v>0</v>
      </c>
      <c r="CE19" t="s">
        <v>3108</v>
      </c>
      <c r="CF19" t="s">
        <v>3108</v>
      </c>
      <c r="CG19" t="s">
        <v>3108</v>
      </c>
      <c r="CH19" t="s">
        <v>3108</v>
      </c>
    </row>
    <row r="20" spans="1:86" x14ac:dyDescent="0.2">
      <c r="A20" t="s">
        <v>3287</v>
      </c>
      <c r="B20" t="s">
        <v>3287</v>
      </c>
      <c r="C20">
        <v>30262</v>
      </c>
      <c r="D20">
        <v>1039</v>
      </c>
      <c r="E20" t="s">
        <v>3288</v>
      </c>
      <c r="F20" t="s">
        <v>3249</v>
      </c>
      <c r="G20" t="s">
        <v>3249</v>
      </c>
      <c r="H20" t="s">
        <v>3250</v>
      </c>
      <c r="I20" t="s">
        <v>3250</v>
      </c>
      <c r="J20" t="s">
        <v>3250</v>
      </c>
      <c r="K20" t="s">
        <v>3250</v>
      </c>
      <c r="L20">
        <v>1200</v>
      </c>
      <c r="M20" t="s">
        <v>2368</v>
      </c>
      <c r="N20">
        <v>1204</v>
      </c>
      <c r="O20" t="s">
        <v>1574</v>
      </c>
      <c r="P20" t="s">
        <v>3108</v>
      </c>
      <c r="Q20" t="s">
        <v>3249</v>
      </c>
      <c r="R20" t="s">
        <v>3249</v>
      </c>
      <c r="S20" t="s">
        <v>472</v>
      </c>
      <c r="T20" t="s">
        <v>3251</v>
      </c>
      <c r="U20">
        <v>140</v>
      </c>
      <c r="V20" t="s">
        <v>1327</v>
      </c>
      <c r="W20">
        <v>140</v>
      </c>
      <c r="X20" t="s">
        <v>1327</v>
      </c>
      <c r="Y20" t="s">
        <v>3250</v>
      </c>
      <c r="Z20" t="s">
        <v>3250</v>
      </c>
      <c r="AA20" t="s">
        <v>3108</v>
      </c>
      <c r="AB20" t="s">
        <v>3108</v>
      </c>
      <c r="AC20" t="s">
        <v>3250</v>
      </c>
      <c r="AD20" t="s">
        <v>3250</v>
      </c>
      <c r="AE20" t="s">
        <v>3250</v>
      </c>
      <c r="AF20" t="s">
        <v>3250</v>
      </c>
      <c r="AG20" t="s">
        <v>3250</v>
      </c>
      <c r="AH20" t="s">
        <v>3250</v>
      </c>
      <c r="AI20" t="s">
        <v>3250</v>
      </c>
      <c r="AJ20" t="s">
        <v>3250</v>
      </c>
      <c r="AL20">
        <v>146</v>
      </c>
      <c r="AM20" t="s">
        <v>5</v>
      </c>
      <c r="AN20">
        <v>146</v>
      </c>
      <c r="AO20" t="s">
        <v>5</v>
      </c>
      <c r="AS20" t="s">
        <v>3250</v>
      </c>
      <c r="AT20" t="s">
        <v>3250</v>
      </c>
      <c r="AU20" t="s">
        <v>3250</v>
      </c>
      <c r="AV20" t="s">
        <v>3250</v>
      </c>
      <c r="AW20" t="s">
        <v>3250</v>
      </c>
      <c r="AX20" t="s">
        <v>3250</v>
      </c>
      <c r="AY20" t="s">
        <v>3250</v>
      </c>
      <c r="AZ20" t="s">
        <v>3250</v>
      </c>
      <c r="BA20" t="s">
        <v>3250</v>
      </c>
      <c r="BB20" t="s">
        <v>3250</v>
      </c>
      <c r="BC20" t="s">
        <v>3250</v>
      </c>
      <c r="BE20" t="s">
        <v>3250</v>
      </c>
      <c r="BF20" t="s">
        <v>3250</v>
      </c>
      <c r="BG20" t="s">
        <v>3250</v>
      </c>
      <c r="BH20" t="s">
        <v>3250</v>
      </c>
      <c r="BI20" t="s">
        <v>3250</v>
      </c>
      <c r="BK20" t="s">
        <v>3250</v>
      </c>
      <c r="BL20" t="s">
        <v>3250</v>
      </c>
      <c r="BM20" t="s">
        <v>3250</v>
      </c>
      <c r="BN20" t="s">
        <v>3250</v>
      </c>
      <c r="BP20">
        <v>1</v>
      </c>
      <c r="BQ20">
        <v>11</v>
      </c>
      <c r="BR20" t="s">
        <v>1574</v>
      </c>
      <c r="BS20" t="s">
        <v>3252</v>
      </c>
      <c r="BV20">
        <v>0</v>
      </c>
      <c r="BW20">
        <v>0</v>
      </c>
      <c r="BX20">
        <v>0</v>
      </c>
      <c r="BY20">
        <v>0</v>
      </c>
      <c r="BZ20">
        <v>0</v>
      </c>
      <c r="CA20">
        <v>0</v>
      </c>
      <c r="CB20">
        <v>0</v>
      </c>
      <c r="CC20">
        <v>0</v>
      </c>
      <c r="CD20">
        <v>0</v>
      </c>
      <c r="CE20" t="s">
        <v>3108</v>
      </c>
      <c r="CF20" t="s">
        <v>3108</v>
      </c>
      <c r="CG20" t="s">
        <v>3108</v>
      </c>
      <c r="CH20" t="s">
        <v>3108</v>
      </c>
    </row>
    <row r="21" spans="1:86" x14ac:dyDescent="0.2">
      <c r="A21" t="s">
        <v>3289</v>
      </c>
      <c r="B21" t="s">
        <v>3289</v>
      </c>
      <c r="C21">
        <v>30263</v>
      </c>
      <c r="D21">
        <v>1040</v>
      </c>
      <c r="E21" t="s">
        <v>3290</v>
      </c>
      <c r="F21" t="s">
        <v>3249</v>
      </c>
      <c r="G21" t="s">
        <v>3249</v>
      </c>
      <c r="H21" t="s">
        <v>3250</v>
      </c>
      <c r="I21" t="s">
        <v>3250</v>
      </c>
      <c r="J21" t="s">
        <v>3250</v>
      </c>
      <c r="K21" t="s">
        <v>3250</v>
      </c>
      <c r="L21">
        <v>1200</v>
      </c>
      <c r="M21" t="s">
        <v>2368</v>
      </c>
      <c r="N21">
        <v>1204</v>
      </c>
      <c r="O21" t="s">
        <v>1574</v>
      </c>
      <c r="P21" t="s">
        <v>3108</v>
      </c>
      <c r="Q21" t="s">
        <v>3249</v>
      </c>
      <c r="R21" t="s">
        <v>3249</v>
      </c>
      <c r="S21" t="s">
        <v>472</v>
      </c>
      <c r="T21" t="s">
        <v>3251</v>
      </c>
      <c r="U21">
        <v>140</v>
      </c>
      <c r="V21" t="s">
        <v>1327</v>
      </c>
      <c r="W21">
        <v>140</v>
      </c>
      <c r="X21" t="s">
        <v>1327</v>
      </c>
      <c r="Y21" t="s">
        <v>3250</v>
      </c>
      <c r="Z21" t="s">
        <v>3250</v>
      </c>
      <c r="AA21" t="s">
        <v>3108</v>
      </c>
      <c r="AB21" t="s">
        <v>3108</v>
      </c>
      <c r="AC21" t="s">
        <v>3250</v>
      </c>
      <c r="AD21" t="s">
        <v>3250</v>
      </c>
      <c r="AE21" t="s">
        <v>3250</v>
      </c>
      <c r="AF21" t="s">
        <v>3250</v>
      </c>
      <c r="AG21" t="s">
        <v>3250</v>
      </c>
      <c r="AH21" t="s">
        <v>3250</v>
      </c>
      <c r="AI21" t="s">
        <v>3250</v>
      </c>
      <c r="AJ21" t="s">
        <v>3250</v>
      </c>
      <c r="AL21">
        <v>146</v>
      </c>
      <c r="AM21" t="s">
        <v>5</v>
      </c>
      <c r="AN21">
        <v>146</v>
      </c>
      <c r="AO21" t="s">
        <v>5</v>
      </c>
      <c r="AS21" t="s">
        <v>3250</v>
      </c>
      <c r="AT21" t="s">
        <v>3250</v>
      </c>
      <c r="AU21" t="s">
        <v>3250</v>
      </c>
      <c r="AV21" t="s">
        <v>3250</v>
      </c>
      <c r="AW21" t="s">
        <v>3250</v>
      </c>
      <c r="AX21" t="s">
        <v>3250</v>
      </c>
      <c r="AY21" t="s">
        <v>3250</v>
      </c>
      <c r="AZ21" t="s">
        <v>3250</v>
      </c>
      <c r="BA21" t="s">
        <v>3250</v>
      </c>
      <c r="BB21" t="s">
        <v>3250</v>
      </c>
      <c r="BC21" t="s">
        <v>3250</v>
      </c>
      <c r="BE21" t="s">
        <v>3250</v>
      </c>
      <c r="BF21" t="s">
        <v>3250</v>
      </c>
      <c r="BG21" t="s">
        <v>3250</v>
      </c>
      <c r="BH21" t="s">
        <v>3250</v>
      </c>
      <c r="BI21" t="s">
        <v>3250</v>
      </c>
      <c r="BK21" t="s">
        <v>3250</v>
      </c>
      <c r="BL21" t="s">
        <v>3250</v>
      </c>
      <c r="BM21" t="s">
        <v>3250</v>
      </c>
      <c r="BN21" t="s">
        <v>3250</v>
      </c>
      <c r="BP21">
        <v>1</v>
      </c>
      <c r="BQ21">
        <v>11</v>
      </c>
      <c r="BR21" t="s">
        <v>1574</v>
      </c>
      <c r="BS21" t="s">
        <v>3252</v>
      </c>
      <c r="BV21">
        <v>0</v>
      </c>
      <c r="BW21">
        <v>0</v>
      </c>
      <c r="BX21">
        <v>0</v>
      </c>
      <c r="BY21">
        <v>0</v>
      </c>
      <c r="BZ21">
        <v>0</v>
      </c>
      <c r="CA21">
        <v>0</v>
      </c>
      <c r="CB21">
        <v>0</v>
      </c>
      <c r="CC21">
        <v>0</v>
      </c>
      <c r="CD21">
        <v>0</v>
      </c>
      <c r="CE21" t="s">
        <v>3108</v>
      </c>
      <c r="CF21" t="s">
        <v>3108</v>
      </c>
      <c r="CG21" t="s">
        <v>3108</v>
      </c>
      <c r="CH21" t="s">
        <v>3108</v>
      </c>
    </row>
    <row r="22" spans="1:86" x14ac:dyDescent="0.2">
      <c r="A22" t="s">
        <v>3291</v>
      </c>
      <c r="B22" t="s">
        <v>3291</v>
      </c>
      <c r="C22">
        <v>30264</v>
      </c>
      <c r="D22">
        <v>1041</v>
      </c>
      <c r="E22" t="s">
        <v>3292</v>
      </c>
      <c r="F22" t="s">
        <v>3249</v>
      </c>
      <c r="G22" t="s">
        <v>3249</v>
      </c>
      <c r="H22" t="s">
        <v>3250</v>
      </c>
      <c r="I22" t="s">
        <v>3250</v>
      </c>
      <c r="J22" t="s">
        <v>3250</v>
      </c>
      <c r="K22" t="s">
        <v>3250</v>
      </c>
      <c r="L22">
        <v>1200</v>
      </c>
      <c r="M22" t="s">
        <v>2368</v>
      </c>
      <c r="N22">
        <v>1204</v>
      </c>
      <c r="O22" t="s">
        <v>1574</v>
      </c>
      <c r="P22" t="s">
        <v>3108</v>
      </c>
      <c r="Q22" t="s">
        <v>3249</v>
      </c>
      <c r="R22" t="s">
        <v>3249</v>
      </c>
      <c r="S22" t="s">
        <v>472</v>
      </c>
      <c r="T22" t="s">
        <v>3251</v>
      </c>
      <c r="U22">
        <v>140</v>
      </c>
      <c r="V22" t="s">
        <v>1327</v>
      </c>
      <c r="W22">
        <v>140</v>
      </c>
      <c r="X22" t="s">
        <v>1327</v>
      </c>
      <c r="Y22" t="s">
        <v>3250</v>
      </c>
      <c r="Z22" t="s">
        <v>3250</v>
      </c>
      <c r="AA22" t="s">
        <v>3108</v>
      </c>
      <c r="AB22" t="s">
        <v>3108</v>
      </c>
      <c r="AC22" t="s">
        <v>3250</v>
      </c>
      <c r="AD22" t="s">
        <v>3250</v>
      </c>
      <c r="AE22" t="s">
        <v>3250</v>
      </c>
      <c r="AF22" t="s">
        <v>3250</v>
      </c>
      <c r="AG22" t="s">
        <v>3250</v>
      </c>
      <c r="AH22" t="s">
        <v>3250</v>
      </c>
      <c r="AI22" t="s">
        <v>3250</v>
      </c>
      <c r="AJ22" t="s">
        <v>3250</v>
      </c>
      <c r="AL22">
        <v>141</v>
      </c>
      <c r="AM22" t="s">
        <v>1327</v>
      </c>
      <c r="AN22">
        <v>141</v>
      </c>
      <c r="AO22" t="s">
        <v>1327</v>
      </c>
      <c r="AS22" t="s">
        <v>3250</v>
      </c>
      <c r="AT22" t="s">
        <v>3250</v>
      </c>
      <c r="AU22" t="s">
        <v>3250</v>
      </c>
      <c r="AV22" t="s">
        <v>3250</v>
      </c>
      <c r="AW22" t="s">
        <v>3250</v>
      </c>
      <c r="AX22" t="s">
        <v>3250</v>
      </c>
      <c r="AY22" t="s">
        <v>3250</v>
      </c>
      <c r="AZ22" t="s">
        <v>3250</v>
      </c>
      <c r="BA22" t="s">
        <v>3250</v>
      </c>
      <c r="BB22" t="s">
        <v>3250</v>
      </c>
      <c r="BC22" t="s">
        <v>3250</v>
      </c>
      <c r="BE22" t="s">
        <v>3250</v>
      </c>
      <c r="BF22" t="s">
        <v>3250</v>
      </c>
      <c r="BG22" t="s">
        <v>3250</v>
      </c>
      <c r="BH22" t="s">
        <v>3250</v>
      </c>
      <c r="BI22" t="s">
        <v>3250</v>
      </c>
      <c r="BK22" t="s">
        <v>3250</v>
      </c>
      <c r="BL22" t="s">
        <v>3250</v>
      </c>
      <c r="BM22" t="s">
        <v>3250</v>
      </c>
      <c r="BN22" t="s">
        <v>3250</v>
      </c>
      <c r="BP22">
        <v>1</v>
      </c>
      <c r="BQ22">
        <v>11</v>
      </c>
      <c r="BR22" t="s">
        <v>1574</v>
      </c>
      <c r="BS22" t="s">
        <v>3252</v>
      </c>
      <c r="BV22">
        <v>0</v>
      </c>
      <c r="BW22">
        <v>0</v>
      </c>
      <c r="BX22">
        <v>0</v>
      </c>
      <c r="BY22">
        <v>0</v>
      </c>
      <c r="BZ22">
        <v>0</v>
      </c>
      <c r="CA22">
        <v>0</v>
      </c>
      <c r="CB22">
        <v>0</v>
      </c>
      <c r="CC22">
        <v>0</v>
      </c>
      <c r="CD22">
        <v>0</v>
      </c>
      <c r="CE22" t="s">
        <v>3108</v>
      </c>
      <c r="CF22" t="s">
        <v>3108</v>
      </c>
      <c r="CG22" t="s">
        <v>3108</v>
      </c>
      <c r="CH22" t="s">
        <v>3108</v>
      </c>
    </row>
    <row r="23" spans="1:86" x14ac:dyDescent="0.2">
      <c r="A23" t="s">
        <v>3293</v>
      </c>
      <c r="B23" t="s">
        <v>3293</v>
      </c>
      <c r="C23">
        <v>30265</v>
      </c>
      <c r="D23">
        <v>1042</v>
      </c>
      <c r="E23" t="s">
        <v>3294</v>
      </c>
      <c r="F23" t="s">
        <v>3249</v>
      </c>
      <c r="G23" t="s">
        <v>3249</v>
      </c>
      <c r="H23" t="s">
        <v>3250</v>
      </c>
      <c r="I23" t="s">
        <v>3250</v>
      </c>
      <c r="J23" t="s">
        <v>3250</v>
      </c>
      <c r="K23" t="s">
        <v>3250</v>
      </c>
      <c r="L23">
        <v>1200</v>
      </c>
      <c r="M23" t="s">
        <v>2368</v>
      </c>
      <c r="N23">
        <v>1204</v>
      </c>
      <c r="O23" t="s">
        <v>1574</v>
      </c>
      <c r="P23" t="s">
        <v>3108</v>
      </c>
      <c r="Q23" t="s">
        <v>3249</v>
      </c>
      <c r="R23" t="s">
        <v>3249</v>
      </c>
      <c r="S23" t="s">
        <v>472</v>
      </c>
      <c r="T23" t="s">
        <v>3251</v>
      </c>
      <c r="U23">
        <v>140</v>
      </c>
      <c r="V23" t="s">
        <v>1327</v>
      </c>
      <c r="W23">
        <v>140</v>
      </c>
      <c r="X23" t="s">
        <v>1327</v>
      </c>
      <c r="Y23" t="s">
        <v>3250</v>
      </c>
      <c r="Z23" t="s">
        <v>3250</v>
      </c>
      <c r="AA23" t="s">
        <v>3108</v>
      </c>
      <c r="AB23" t="s">
        <v>3108</v>
      </c>
      <c r="AC23" t="s">
        <v>3250</v>
      </c>
      <c r="AD23" t="s">
        <v>3250</v>
      </c>
      <c r="AE23" t="s">
        <v>3250</v>
      </c>
      <c r="AF23" t="s">
        <v>3250</v>
      </c>
      <c r="AG23" t="s">
        <v>3250</v>
      </c>
      <c r="AH23" t="s">
        <v>3250</v>
      </c>
      <c r="AI23" t="s">
        <v>3250</v>
      </c>
      <c r="AJ23" t="s">
        <v>3250</v>
      </c>
      <c r="AL23">
        <v>141</v>
      </c>
      <c r="AM23" t="s">
        <v>1327</v>
      </c>
      <c r="AN23">
        <v>141</v>
      </c>
      <c r="AO23" t="s">
        <v>1327</v>
      </c>
      <c r="AS23" t="s">
        <v>3250</v>
      </c>
      <c r="AT23" t="s">
        <v>3250</v>
      </c>
      <c r="AU23" t="s">
        <v>3250</v>
      </c>
      <c r="AV23" t="s">
        <v>3250</v>
      </c>
      <c r="AW23" t="s">
        <v>3250</v>
      </c>
      <c r="AX23" t="s">
        <v>3250</v>
      </c>
      <c r="AY23" t="s">
        <v>3250</v>
      </c>
      <c r="AZ23" t="s">
        <v>3250</v>
      </c>
      <c r="BA23" t="s">
        <v>3250</v>
      </c>
      <c r="BB23" t="s">
        <v>3250</v>
      </c>
      <c r="BC23" t="s">
        <v>3250</v>
      </c>
      <c r="BE23" t="s">
        <v>3250</v>
      </c>
      <c r="BF23" t="s">
        <v>3250</v>
      </c>
      <c r="BG23" t="s">
        <v>3250</v>
      </c>
      <c r="BH23" t="s">
        <v>3250</v>
      </c>
      <c r="BI23" t="s">
        <v>3250</v>
      </c>
      <c r="BK23" t="s">
        <v>3250</v>
      </c>
      <c r="BL23" t="s">
        <v>3250</v>
      </c>
      <c r="BM23" t="s">
        <v>3250</v>
      </c>
      <c r="BN23" t="s">
        <v>3250</v>
      </c>
      <c r="BP23">
        <v>1</v>
      </c>
      <c r="BQ23">
        <v>11</v>
      </c>
      <c r="BR23" t="s">
        <v>1574</v>
      </c>
      <c r="BS23" t="s">
        <v>3252</v>
      </c>
      <c r="BV23">
        <v>0</v>
      </c>
      <c r="BW23">
        <v>0</v>
      </c>
      <c r="BX23">
        <v>0</v>
      </c>
      <c r="BY23">
        <v>0</v>
      </c>
      <c r="BZ23">
        <v>0</v>
      </c>
      <c r="CA23">
        <v>0</v>
      </c>
      <c r="CB23">
        <v>0</v>
      </c>
      <c r="CC23">
        <v>0</v>
      </c>
      <c r="CD23">
        <v>0</v>
      </c>
      <c r="CE23" t="s">
        <v>3108</v>
      </c>
      <c r="CF23" t="s">
        <v>3108</v>
      </c>
      <c r="CG23" t="s">
        <v>3108</v>
      </c>
      <c r="CH23" t="s">
        <v>3108</v>
      </c>
    </row>
    <row r="24" spans="1:86" x14ac:dyDescent="0.2">
      <c r="A24" t="s">
        <v>3295</v>
      </c>
      <c r="B24" t="s">
        <v>3295</v>
      </c>
      <c r="C24">
        <v>30266</v>
      </c>
      <c r="D24">
        <v>1043</v>
      </c>
      <c r="E24" t="s">
        <v>3296</v>
      </c>
      <c r="F24" t="s">
        <v>3249</v>
      </c>
      <c r="G24" t="s">
        <v>3249</v>
      </c>
      <c r="H24" t="s">
        <v>3250</v>
      </c>
      <c r="I24" t="s">
        <v>3250</v>
      </c>
      <c r="J24" t="s">
        <v>3250</v>
      </c>
      <c r="K24" t="s">
        <v>3250</v>
      </c>
      <c r="L24">
        <v>1200</v>
      </c>
      <c r="M24" t="s">
        <v>2368</v>
      </c>
      <c r="N24">
        <v>1204</v>
      </c>
      <c r="O24" t="s">
        <v>1574</v>
      </c>
      <c r="P24" t="s">
        <v>3108</v>
      </c>
      <c r="Q24" t="s">
        <v>3249</v>
      </c>
      <c r="R24" t="s">
        <v>3249</v>
      </c>
      <c r="S24" t="s">
        <v>472</v>
      </c>
      <c r="T24" t="s">
        <v>3251</v>
      </c>
      <c r="U24">
        <v>140</v>
      </c>
      <c r="V24" t="s">
        <v>1327</v>
      </c>
      <c r="W24">
        <v>140</v>
      </c>
      <c r="X24" t="s">
        <v>1327</v>
      </c>
      <c r="Y24" t="s">
        <v>3250</v>
      </c>
      <c r="Z24" t="s">
        <v>3250</v>
      </c>
      <c r="AA24" t="s">
        <v>3108</v>
      </c>
      <c r="AB24" t="s">
        <v>3108</v>
      </c>
      <c r="AC24" t="s">
        <v>3250</v>
      </c>
      <c r="AD24" t="s">
        <v>3250</v>
      </c>
      <c r="AE24" t="s">
        <v>3250</v>
      </c>
      <c r="AF24" t="s">
        <v>3250</v>
      </c>
      <c r="AG24" t="s">
        <v>3250</v>
      </c>
      <c r="AH24" t="s">
        <v>3250</v>
      </c>
      <c r="AI24" t="s">
        <v>3250</v>
      </c>
      <c r="AJ24" t="s">
        <v>3250</v>
      </c>
      <c r="AL24">
        <v>147</v>
      </c>
      <c r="AM24" t="s">
        <v>6</v>
      </c>
      <c r="AN24">
        <v>147</v>
      </c>
      <c r="AO24" t="s">
        <v>6</v>
      </c>
      <c r="AS24" t="s">
        <v>3250</v>
      </c>
      <c r="AT24" t="s">
        <v>3250</v>
      </c>
      <c r="AU24" t="s">
        <v>3250</v>
      </c>
      <c r="AV24" t="s">
        <v>3250</v>
      </c>
      <c r="AW24" t="s">
        <v>3250</v>
      </c>
      <c r="AX24" t="s">
        <v>3250</v>
      </c>
      <c r="AY24" t="s">
        <v>3250</v>
      </c>
      <c r="AZ24" t="s">
        <v>3250</v>
      </c>
      <c r="BA24" t="s">
        <v>3250</v>
      </c>
      <c r="BB24" t="s">
        <v>3250</v>
      </c>
      <c r="BC24" t="s">
        <v>3250</v>
      </c>
      <c r="BE24" t="s">
        <v>3250</v>
      </c>
      <c r="BF24" t="s">
        <v>3250</v>
      </c>
      <c r="BG24" t="s">
        <v>3250</v>
      </c>
      <c r="BH24" t="s">
        <v>3250</v>
      </c>
      <c r="BI24" t="s">
        <v>3250</v>
      </c>
      <c r="BK24" t="s">
        <v>3250</v>
      </c>
      <c r="BL24" t="s">
        <v>3250</v>
      </c>
      <c r="BM24" t="s">
        <v>3250</v>
      </c>
      <c r="BN24" t="s">
        <v>3250</v>
      </c>
      <c r="BP24">
        <v>1</v>
      </c>
      <c r="BQ24">
        <v>11</v>
      </c>
      <c r="BR24" t="s">
        <v>1574</v>
      </c>
      <c r="BS24" t="s">
        <v>3252</v>
      </c>
      <c r="BV24">
        <v>0</v>
      </c>
      <c r="BW24">
        <v>0</v>
      </c>
      <c r="BX24">
        <v>0</v>
      </c>
      <c r="BY24">
        <v>0</v>
      </c>
      <c r="BZ24">
        <v>0</v>
      </c>
      <c r="CA24">
        <v>0</v>
      </c>
      <c r="CB24">
        <v>0</v>
      </c>
      <c r="CC24">
        <v>0</v>
      </c>
      <c r="CD24">
        <v>0</v>
      </c>
      <c r="CE24" t="s">
        <v>3108</v>
      </c>
      <c r="CF24" t="s">
        <v>3108</v>
      </c>
      <c r="CG24" t="s">
        <v>3108</v>
      </c>
      <c r="CH24" t="s">
        <v>3108</v>
      </c>
    </row>
    <row r="25" spans="1:86" x14ac:dyDescent="0.2">
      <c r="A25" t="s">
        <v>3297</v>
      </c>
      <c r="B25" t="s">
        <v>3297</v>
      </c>
      <c r="C25">
        <v>30267</v>
      </c>
      <c r="D25">
        <v>1044</v>
      </c>
      <c r="E25" t="s">
        <v>3298</v>
      </c>
      <c r="F25" t="s">
        <v>3249</v>
      </c>
      <c r="G25" t="s">
        <v>3249</v>
      </c>
      <c r="H25" t="s">
        <v>3250</v>
      </c>
      <c r="I25" t="s">
        <v>3250</v>
      </c>
      <c r="J25" t="s">
        <v>3250</v>
      </c>
      <c r="K25" t="s">
        <v>3250</v>
      </c>
      <c r="L25">
        <v>1200</v>
      </c>
      <c r="M25" t="s">
        <v>2368</v>
      </c>
      <c r="N25">
        <v>1204</v>
      </c>
      <c r="O25" t="s">
        <v>1574</v>
      </c>
      <c r="P25" t="s">
        <v>3108</v>
      </c>
      <c r="Q25" t="s">
        <v>3249</v>
      </c>
      <c r="R25" t="s">
        <v>3249</v>
      </c>
      <c r="S25" t="s">
        <v>472</v>
      </c>
      <c r="T25" t="s">
        <v>3251</v>
      </c>
      <c r="U25">
        <v>140</v>
      </c>
      <c r="V25" t="s">
        <v>1327</v>
      </c>
      <c r="W25">
        <v>140</v>
      </c>
      <c r="X25" t="s">
        <v>1327</v>
      </c>
      <c r="Y25" t="s">
        <v>3250</v>
      </c>
      <c r="Z25" t="s">
        <v>3250</v>
      </c>
      <c r="AA25" t="s">
        <v>3108</v>
      </c>
      <c r="AB25" t="s">
        <v>3108</v>
      </c>
      <c r="AC25" t="s">
        <v>3250</v>
      </c>
      <c r="AD25" t="s">
        <v>3250</v>
      </c>
      <c r="AE25" t="s">
        <v>3250</v>
      </c>
      <c r="AF25" t="s">
        <v>3250</v>
      </c>
      <c r="AG25" t="s">
        <v>3250</v>
      </c>
      <c r="AH25" t="s">
        <v>3250</v>
      </c>
      <c r="AI25" t="s">
        <v>3250</v>
      </c>
      <c r="AJ25" t="s">
        <v>3250</v>
      </c>
      <c r="AL25">
        <v>141</v>
      </c>
      <c r="AM25" t="s">
        <v>1327</v>
      </c>
      <c r="AN25">
        <v>141</v>
      </c>
      <c r="AO25" t="s">
        <v>1327</v>
      </c>
      <c r="AS25" t="s">
        <v>3250</v>
      </c>
      <c r="AT25" t="s">
        <v>3250</v>
      </c>
      <c r="AU25" t="s">
        <v>3250</v>
      </c>
      <c r="AV25" t="s">
        <v>3250</v>
      </c>
      <c r="AW25" t="s">
        <v>3250</v>
      </c>
      <c r="AX25" t="s">
        <v>3250</v>
      </c>
      <c r="AY25" t="s">
        <v>3250</v>
      </c>
      <c r="AZ25" t="s">
        <v>3250</v>
      </c>
      <c r="BA25" t="s">
        <v>3250</v>
      </c>
      <c r="BB25" t="s">
        <v>3250</v>
      </c>
      <c r="BC25" t="s">
        <v>3250</v>
      </c>
      <c r="BE25" t="s">
        <v>3250</v>
      </c>
      <c r="BF25" t="s">
        <v>3250</v>
      </c>
      <c r="BG25" t="s">
        <v>3250</v>
      </c>
      <c r="BH25" t="s">
        <v>3250</v>
      </c>
      <c r="BI25" t="s">
        <v>3250</v>
      </c>
      <c r="BK25" t="s">
        <v>3250</v>
      </c>
      <c r="BL25" t="s">
        <v>3250</v>
      </c>
      <c r="BM25" t="s">
        <v>3250</v>
      </c>
      <c r="BN25" t="s">
        <v>3250</v>
      </c>
      <c r="BP25">
        <v>1</v>
      </c>
      <c r="BQ25">
        <v>11</v>
      </c>
      <c r="BR25" t="s">
        <v>1574</v>
      </c>
      <c r="BS25" t="s">
        <v>3252</v>
      </c>
      <c r="BV25">
        <v>0</v>
      </c>
      <c r="BW25">
        <v>0</v>
      </c>
      <c r="BX25">
        <v>0</v>
      </c>
      <c r="BY25">
        <v>0</v>
      </c>
      <c r="BZ25">
        <v>0</v>
      </c>
      <c r="CA25">
        <v>0</v>
      </c>
      <c r="CB25">
        <v>0</v>
      </c>
      <c r="CC25">
        <v>0</v>
      </c>
      <c r="CD25">
        <v>0</v>
      </c>
      <c r="CE25" t="s">
        <v>3108</v>
      </c>
      <c r="CF25" t="s">
        <v>3108</v>
      </c>
      <c r="CG25" t="s">
        <v>3108</v>
      </c>
      <c r="CH25" t="s">
        <v>3108</v>
      </c>
    </row>
    <row r="26" spans="1:86" x14ac:dyDescent="0.2">
      <c r="A26" t="s">
        <v>3299</v>
      </c>
      <c r="B26" t="s">
        <v>3299</v>
      </c>
      <c r="C26">
        <v>30268</v>
      </c>
      <c r="D26">
        <v>1045</v>
      </c>
      <c r="E26" t="s">
        <v>3300</v>
      </c>
      <c r="F26" t="s">
        <v>3249</v>
      </c>
      <c r="G26" t="s">
        <v>3249</v>
      </c>
      <c r="H26" t="s">
        <v>3250</v>
      </c>
      <c r="I26" t="s">
        <v>3250</v>
      </c>
      <c r="J26" t="s">
        <v>3250</v>
      </c>
      <c r="K26" t="s">
        <v>3250</v>
      </c>
      <c r="L26">
        <v>1200</v>
      </c>
      <c r="M26" t="s">
        <v>2368</v>
      </c>
      <c r="N26">
        <v>1204</v>
      </c>
      <c r="O26" t="s">
        <v>1574</v>
      </c>
      <c r="P26" t="s">
        <v>3108</v>
      </c>
      <c r="Q26" t="s">
        <v>3249</v>
      </c>
      <c r="R26" t="s">
        <v>3249</v>
      </c>
      <c r="S26" t="s">
        <v>472</v>
      </c>
      <c r="T26" t="s">
        <v>3251</v>
      </c>
      <c r="U26">
        <v>140</v>
      </c>
      <c r="V26" t="s">
        <v>1327</v>
      </c>
      <c r="W26">
        <v>140</v>
      </c>
      <c r="X26" t="s">
        <v>1327</v>
      </c>
      <c r="Y26" t="s">
        <v>3250</v>
      </c>
      <c r="Z26" t="s">
        <v>3250</v>
      </c>
      <c r="AA26" t="s">
        <v>3108</v>
      </c>
      <c r="AB26" t="s">
        <v>3108</v>
      </c>
      <c r="AC26" t="s">
        <v>3250</v>
      </c>
      <c r="AD26" t="s">
        <v>3250</v>
      </c>
      <c r="AE26" t="s">
        <v>3250</v>
      </c>
      <c r="AF26" t="s">
        <v>3250</v>
      </c>
      <c r="AG26" t="s">
        <v>3250</v>
      </c>
      <c r="AH26" t="s">
        <v>3250</v>
      </c>
      <c r="AI26" t="s">
        <v>3250</v>
      </c>
      <c r="AJ26" t="s">
        <v>3250</v>
      </c>
      <c r="AL26">
        <v>141</v>
      </c>
      <c r="AM26" t="s">
        <v>1327</v>
      </c>
      <c r="AN26">
        <v>141</v>
      </c>
      <c r="AO26" t="s">
        <v>1327</v>
      </c>
      <c r="AS26" t="s">
        <v>3250</v>
      </c>
      <c r="AT26" t="s">
        <v>3250</v>
      </c>
      <c r="AU26" t="s">
        <v>3250</v>
      </c>
      <c r="AV26" t="s">
        <v>3250</v>
      </c>
      <c r="AW26" t="s">
        <v>3250</v>
      </c>
      <c r="AX26" t="s">
        <v>3250</v>
      </c>
      <c r="AY26" t="s">
        <v>3250</v>
      </c>
      <c r="AZ26" t="s">
        <v>3250</v>
      </c>
      <c r="BA26" t="s">
        <v>3250</v>
      </c>
      <c r="BB26" t="s">
        <v>3250</v>
      </c>
      <c r="BC26" t="s">
        <v>3250</v>
      </c>
      <c r="BE26" t="s">
        <v>3250</v>
      </c>
      <c r="BF26" t="s">
        <v>3250</v>
      </c>
      <c r="BG26" t="s">
        <v>3250</v>
      </c>
      <c r="BH26" t="s">
        <v>3250</v>
      </c>
      <c r="BI26" t="s">
        <v>3250</v>
      </c>
      <c r="BK26" t="s">
        <v>3250</v>
      </c>
      <c r="BL26" t="s">
        <v>3250</v>
      </c>
      <c r="BM26" t="s">
        <v>3250</v>
      </c>
      <c r="BN26" t="s">
        <v>3250</v>
      </c>
      <c r="BP26">
        <v>1</v>
      </c>
      <c r="BQ26">
        <v>11</v>
      </c>
      <c r="BR26" t="s">
        <v>1574</v>
      </c>
      <c r="BS26" t="s">
        <v>3252</v>
      </c>
      <c r="BV26">
        <v>0</v>
      </c>
      <c r="BW26">
        <v>0</v>
      </c>
      <c r="BX26">
        <v>0</v>
      </c>
      <c r="BY26">
        <v>0</v>
      </c>
      <c r="BZ26">
        <v>0</v>
      </c>
      <c r="CA26">
        <v>0</v>
      </c>
      <c r="CB26">
        <v>0</v>
      </c>
      <c r="CC26">
        <v>0</v>
      </c>
      <c r="CD26">
        <v>0</v>
      </c>
      <c r="CE26" t="s">
        <v>3108</v>
      </c>
      <c r="CF26" t="s">
        <v>3108</v>
      </c>
      <c r="CG26" t="s">
        <v>3108</v>
      </c>
      <c r="CH26" t="s">
        <v>3108</v>
      </c>
    </row>
    <row r="27" spans="1:86" x14ac:dyDescent="0.2">
      <c r="A27" t="s">
        <v>3301</v>
      </c>
      <c r="B27" t="s">
        <v>3301</v>
      </c>
      <c r="C27">
        <v>30269</v>
      </c>
      <c r="D27">
        <v>1046</v>
      </c>
      <c r="E27" t="s">
        <v>3302</v>
      </c>
      <c r="F27" t="s">
        <v>3249</v>
      </c>
      <c r="G27" t="s">
        <v>3249</v>
      </c>
      <c r="H27" t="s">
        <v>3250</v>
      </c>
      <c r="I27" t="s">
        <v>3250</v>
      </c>
      <c r="J27" t="s">
        <v>3250</v>
      </c>
      <c r="K27" t="s">
        <v>3250</v>
      </c>
      <c r="L27">
        <v>1200</v>
      </c>
      <c r="M27" t="s">
        <v>2368</v>
      </c>
      <c r="N27">
        <v>1204</v>
      </c>
      <c r="O27" t="s">
        <v>1574</v>
      </c>
      <c r="P27" t="s">
        <v>3108</v>
      </c>
      <c r="Q27" t="s">
        <v>3249</v>
      </c>
      <c r="R27" t="s">
        <v>3249</v>
      </c>
      <c r="S27" t="s">
        <v>472</v>
      </c>
      <c r="T27" t="s">
        <v>3251</v>
      </c>
      <c r="U27">
        <v>140</v>
      </c>
      <c r="V27" t="s">
        <v>1327</v>
      </c>
      <c r="W27">
        <v>140</v>
      </c>
      <c r="X27" t="s">
        <v>1327</v>
      </c>
      <c r="Y27" t="s">
        <v>3250</v>
      </c>
      <c r="Z27" t="s">
        <v>3250</v>
      </c>
      <c r="AA27" t="s">
        <v>3108</v>
      </c>
      <c r="AB27" t="s">
        <v>3108</v>
      </c>
      <c r="AC27" t="s">
        <v>3250</v>
      </c>
      <c r="AD27" t="s">
        <v>3250</v>
      </c>
      <c r="AE27" t="s">
        <v>3250</v>
      </c>
      <c r="AF27" t="s">
        <v>3250</v>
      </c>
      <c r="AG27" t="s">
        <v>3250</v>
      </c>
      <c r="AH27" t="s">
        <v>3250</v>
      </c>
      <c r="AI27" t="s">
        <v>3250</v>
      </c>
      <c r="AJ27" t="s">
        <v>3250</v>
      </c>
      <c r="AL27">
        <v>141</v>
      </c>
      <c r="AM27" t="s">
        <v>1327</v>
      </c>
      <c r="AN27">
        <v>141</v>
      </c>
      <c r="AO27" t="s">
        <v>1327</v>
      </c>
      <c r="AS27" t="s">
        <v>3250</v>
      </c>
      <c r="AT27" t="s">
        <v>3250</v>
      </c>
      <c r="AU27" t="s">
        <v>3250</v>
      </c>
      <c r="AV27" t="s">
        <v>3250</v>
      </c>
      <c r="AW27" t="s">
        <v>3250</v>
      </c>
      <c r="AX27" t="s">
        <v>3250</v>
      </c>
      <c r="AY27" t="s">
        <v>3250</v>
      </c>
      <c r="AZ27" t="s">
        <v>3250</v>
      </c>
      <c r="BA27" t="s">
        <v>3250</v>
      </c>
      <c r="BB27" t="s">
        <v>3250</v>
      </c>
      <c r="BC27" t="s">
        <v>3250</v>
      </c>
      <c r="BE27" t="s">
        <v>3250</v>
      </c>
      <c r="BF27" t="s">
        <v>3250</v>
      </c>
      <c r="BG27" t="s">
        <v>3250</v>
      </c>
      <c r="BH27" t="s">
        <v>3250</v>
      </c>
      <c r="BI27" t="s">
        <v>3250</v>
      </c>
      <c r="BK27" t="s">
        <v>3250</v>
      </c>
      <c r="BL27" t="s">
        <v>3250</v>
      </c>
      <c r="BM27" t="s">
        <v>3250</v>
      </c>
      <c r="BN27" t="s">
        <v>3250</v>
      </c>
      <c r="BP27">
        <v>1</v>
      </c>
      <c r="BQ27">
        <v>11</v>
      </c>
      <c r="BR27" t="s">
        <v>1574</v>
      </c>
      <c r="BS27" t="s">
        <v>3252</v>
      </c>
      <c r="BV27">
        <v>0</v>
      </c>
      <c r="BW27">
        <v>0</v>
      </c>
      <c r="BX27">
        <v>0</v>
      </c>
      <c r="BY27">
        <v>0</v>
      </c>
      <c r="BZ27">
        <v>0</v>
      </c>
      <c r="CA27">
        <v>0</v>
      </c>
      <c r="CB27">
        <v>0</v>
      </c>
      <c r="CC27">
        <v>0</v>
      </c>
      <c r="CD27">
        <v>0</v>
      </c>
      <c r="CE27" t="s">
        <v>3108</v>
      </c>
      <c r="CF27" t="s">
        <v>3108</v>
      </c>
      <c r="CG27" t="s">
        <v>3108</v>
      </c>
      <c r="CH27" t="s">
        <v>3108</v>
      </c>
    </row>
    <row r="28" spans="1:86" x14ac:dyDescent="0.2">
      <c r="A28" t="s">
        <v>3303</v>
      </c>
      <c r="B28" t="s">
        <v>3303</v>
      </c>
      <c r="C28">
        <v>30270</v>
      </c>
      <c r="D28">
        <v>1047</v>
      </c>
      <c r="E28" t="s">
        <v>3304</v>
      </c>
      <c r="F28" t="s">
        <v>3249</v>
      </c>
      <c r="G28" t="s">
        <v>3249</v>
      </c>
      <c r="H28" t="s">
        <v>3250</v>
      </c>
      <c r="I28" t="s">
        <v>3250</v>
      </c>
      <c r="J28" t="s">
        <v>3250</v>
      </c>
      <c r="K28" t="s">
        <v>3250</v>
      </c>
      <c r="L28">
        <v>1200</v>
      </c>
      <c r="M28" t="s">
        <v>2368</v>
      </c>
      <c r="N28">
        <v>1204</v>
      </c>
      <c r="O28" t="s">
        <v>1574</v>
      </c>
      <c r="P28" t="s">
        <v>3108</v>
      </c>
      <c r="Q28" t="s">
        <v>3249</v>
      </c>
      <c r="R28" t="s">
        <v>3249</v>
      </c>
      <c r="S28" t="s">
        <v>472</v>
      </c>
      <c r="T28" t="s">
        <v>3251</v>
      </c>
      <c r="U28">
        <v>140</v>
      </c>
      <c r="V28" t="s">
        <v>1327</v>
      </c>
      <c r="W28">
        <v>140</v>
      </c>
      <c r="X28" t="s">
        <v>1327</v>
      </c>
      <c r="Y28" t="s">
        <v>3250</v>
      </c>
      <c r="Z28" t="s">
        <v>3250</v>
      </c>
      <c r="AA28" t="s">
        <v>3108</v>
      </c>
      <c r="AB28" t="s">
        <v>3108</v>
      </c>
      <c r="AC28" t="s">
        <v>3250</v>
      </c>
      <c r="AD28" t="s">
        <v>3250</v>
      </c>
      <c r="AE28" t="s">
        <v>3250</v>
      </c>
      <c r="AF28" t="s">
        <v>3250</v>
      </c>
      <c r="AG28" t="s">
        <v>3250</v>
      </c>
      <c r="AH28" t="s">
        <v>3250</v>
      </c>
      <c r="AI28" t="s">
        <v>3250</v>
      </c>
      <c r="AJ28" t="s">
        <v>3250</v>
      </c>
      <c r="AL28">
        <v>146</v>
      </c>
      <c r="AM28" t="s">
        <v>5</v>
      </c>
      <c r="AN28">
        <v>146</v>
      </c>
      <c r="AO28" t="s">
        <v>5</v>
      </c>
      <c r="AS28" t="s">
        <v>3250</v>
      </c>
      <c r="AT28" t="s">
        <v>3250</v>
      </c>
      <c r="AU28" t="s">
        <v>3250</v>
      </c>
      <c r="AV28" t="s">
        <v>3250</v>
      </c>
      <c r="AW28" t="s">
        <v>3250</v>
      </c>
      <c r="AX28" t="s">
        <v>3250</v>
      </c>
      <c r="AY28" t="s">
        <v>3250</v>
      </c>
      <c r="AZ28" t="s">
        <v>3250</v>
      </c>
      <c r="BA28" t="s">
        <v>3250</v>
      </c>
      <c r="BB28" t="s">
        <v>3250</v>
      </c>
      <c r="BC28" t="s">
        <v>3250</v>
      </c>
      <c r="BE28" t="s">
        <v>3250</v>
      </c>
      <c r="BF28" t="s">
        <v>3250</v>
      </c>
      <c r="BG28" t="s">
        <v>3250</v>
      </c>
      <c r="BH28" t="s">
        <v>3250</v>
      </c>
      <c r="BI28" t="s">
        <v>3250</v>
      </c>
      <c r="BK28" t="s">
        <v>3250</v>
      </c>
      <c r="BL28" t="s">
        <v>3250</v>
      </c>
      <c r="BM28" t="s">
        <v>3250</v>
      </c>
      <c r="BN28" t="s">
        <v>3250</v>
      </c>
      <c r="BP28">
        <v>1</v>
      </c>
      <c r="BQ28">
        <v>11</v>
      </c>
      <c r="BR28" t="s">
        <v>1574</v>
      </c>
      <c r="BS28" t="s">
        <v>3252</v>
      </c>
      <c r="BV28">
        <v>0</v>
      </c>
      <c r="BW28">
        <v>0</v>
      </c>
      <c r="BX28">
        <v>0</v>
      </c>
      <c r="BY28">
        <v>0</v>
      </c>
      <c r="BZ28">
        <v>0</v>
      </c>
      <c r="CA28">
        <v>0</v>
      </c>
      <c r="CB28">
        <v>0</v>
      </c>
      <c r="CC28">
        <v>0</v>
      </c>
      <c r="CD28">
        <v>0</v>
      </c>
      <c r="CE28" t="s">
        <v>3108</v>
      </c>
      <c r="CF28" t="s">
        <v>3108</v>
      </c>
      <c r="CG28" t="s">
        <v>3108</v>
      </c>
      <c r="CH28" t="s">
        <v>3108</v>
      </c>
    </row>
    <row r="29" spans="1:86" x14ac:dyDescent="0.2">
      <c r="A29" t="s">
        <v>3305</v>
      </c>
      <c r="B29" t="s">
        <v>3305</v>
      </c>
      <c r="C29">
        <v>30271</v>
      </c>
      <c r="D29">
        <v>1048</v>
      </c>
      <c r="E29" t="s">
        <v>3306</v>
      </c>
      <c r="F29" t="s">
        <v>3249</v>
      </c>
      <c r="G29" t="s">
        <v>3249</v>
      </c>
      <c r="H29" t="s">
        <v>3250</v>
      </c>
      <c r="I29" t="s">
        <v>3250</v>
      </c>
      <c r="J29" t="s">
        <v>3250</v>
      </c>
      <c r="K29" t="s">
        <v>3250</v>
      </c>
      <c r="L29">
        <v>1200</v>
      </c>
      <c r="M29" t="s">
        <v>2368</v>
      </c>
      <c r="N29">
        <v>1204</v>
      </c>
      <c r="O29" t="s">
        <v>1574</v>
      </c>
      <c r="P29" t="s">
        <v>3108</v>
      </c>
      <c r="Q29" t="s">
        <v>3249</v>
      </c>
      <c r="R29" t="s">
        <v>3249</v>
      </c>
      <c r="S29" t="s">
        <v>472</v>
      </c>
      <c r="T29" t="s">
        <v>3251</v>
      </c>
      <c r="U29">
        <v>140</v>
      </c>
      <c r="V29" t="s">
        <v>1327</v>
      </c>
      <c r="W29">
        <v>140</v>
      </c>
      <c r="X29" t="s">
        <v>1327</v>
      </c>
      <c r="Y29" t="s">
        <v>3250</v>
      </c>
      <c r="Z29" t="s">
        <v>3250</v>
      </c>
      <c r="AA29" t="s">
        <v>3108</v>
      </c>
      <c r="AB29" t="s">
        <v>3108</v>
      </c>
      <c r="AC29" t="s">
        <v>3250</v>
      </c>
      <c r="AD29" t="s">
        <v>3250</v>
      </c>
      <c r="AE29" t="s">
        <v>3250</v>
      </c>
      <c r="AF29" t="s">
        <v>3250</v>
      </c>
      <c r="AG29" t="s">
        <v>3250</v>
      </c>
      <c r="AH29" t="s">
        <v>3250</v>
      </c>
      <c r="AI29" t="s">
        <v>3250</v>
      </c>
      <c r="AJ29" t="s">
        <v>3250</v>
      </c>
      <c r="AL29">
        <v>146</v>
      </c>
      <c r="AM29" t="s">
        <v>5</v>
      </c>
      <c r="AN29">
        <v>146</v>
      </c>
      <c r="AO29" t="s">
        <v>5</v>
      </c>
      <c r="AS29" t="s">
        <v>3250</v>
      </c>
      <c r="AT29" t="s">
        <v>3250</v>
      </c>
      <c r="AU29" t="s">
        <v>3250</v>
      </c>
      <c r="AV29" t="s">
        <v>3250</v>
      </c>
      <c r="AW29" t="s">
        <v>3250</v>
      </c>
      <c r="AX29" t="s">
        <v>3250</v>
      </c>
      <c r="AY29" t="s">
        <v>3250</v>
      </c>
      <c r="AZ29" t="s">
        <v>3250</v>
      </c>
      <c r="BA29" t="s">
        <v>3250</v>
      </c>
      <c r="BB29" t="s">
        <v>3250</v>
      </c>
      <c r="BC29" t="s">
        <v>3250</v>
      </c>
      <c r="BE29" t="s">
        <v>3250</v>
      </c>
      <c r="BF29" t="s">
        <v>3250</v>
      </c>
      <c r="BG29" t="s">
        <v>3250</v>
      </c>
      <c r="BH29" t="s">
        <v>3250</v>
      </c>
      <c r="BI29" t="s">
        <v>3250</v>
      </c>
      <c r="BK29" t="s">
        <v>3250</v>
      </c>
      <c r="BL29" t="s">
        <v>3250</v>
      </c>
      <c r="BM29" t="s">
        <v>3250</v>
      </c>
      <c r="BN29" t="s">
        <v>3250</v>
      </c>
      <c r="BP29">
        <v>1</v>
      </c>
      <c r="BQ29">
        <v>11</v>
      </c>
      <c r="BR29" t="s">
        <v>1574</v>
      </c>
      <c r="BS29" t="s">
        <v>3252</v>
      </c>
      <c r="BV29">
        <v>0</v>
      </c>
      <c r="BW29">
        <v>0</v>
      </c>
      <c r="BX29">
        <v>0</v>
      </c>
      <c r="BY29">
        <v>0</v>
      </c>
      <c r="BZ29">
        <v>0</v>
      </c>
      <c r="CA29">
        <v>0</v>
      </c>
      <c r="CB29">
        <v>0</v>
      </c>
      <c r="CC29">
        <v>0</v>
      </c>
      <c r="CD29">
        <v>0</v>
      </c>
      <c r="CE29" t="s">
        <v>3108</v>
      </c>
      <c r="CF29" t="s">
        <v>3108</v>
      </c>
      <c r="CG29" t="s">
        <v>3108</v>
      </c>
      <c r="CH29" t="s">
        <v>3108</v>
      </c>
    </row>
    <row r="30" spans="1:86" x14ac:dyDescent="0.2">
      <c r="A30" t="s">
        <v>3307</v>
      </c>
      <c r="B30" t="s">
        <v>3307</v>
      </c>
      <c r="C30">
        <v>30272</v>
      </c>
      <c r="D30">
        <v>1049</v>
      </c>
      <c r="E30" t="s">
        <v>3308</v>
      </c>
      <c r="F30" t="s">
        <v>3249</v>
      </c>
      <c r="G30" t="s">
        <v>3249</v>
      </c>
      <c r="H30" t="s">
        <v>3250</v>
      </c>
      <c r="I30" t="s">
        <v>3250</v>
      </c>
      <c r="J30" t="s">
        <v>3250</v>
      </c>
      <c r="K30" t="s">
        <v>3250</v>
      </c>
      <c r="L30">
        <v>1200</v>
      </c>
      <c r="M30" t="s">
        <v>2368</v>
      </c>
      <c r="N30">
        <v>1204</v>
      </c>
      <c r="O30" t="s">
        <v>1574</v>
      </c>
      <c r="P30" t="s">
        <v>3108</v>
      </c>
      <c r="Q30" t="s">
        <v>3249</v>
      </c>
      <c r="R30" t="s">
        <v>3249</v>
      </c>
      <c r="S30" t="s">
        <v>472</v>
      </c>
      <c r="T30" t="s">
        <v>3251</v>
      </c>
      <c r="U30">
        <v>140</v>
      </c>
      <c r="V30" t="s">
        <v>1327</v>
      </c>
      <c r="W30">
        <v>140</v>
      </c>
      <c r="X30" t="s">
        <v>1327</v>
      </c>
      <c r="Y30" t="s">
        <v>3250</v>
      </c>
      <c r="Z30" t="s">
        <v>3250</v>
      </c>
      <c r="AA30" t="s">
        <v>3108</v>
      </c>
      <c r="AB30" t="s">
        <v>3108</v>
      </c>
      <c r="AC30" t="s">
        <v>3250</v>
      </c>
      <c r="AD30" t="s">
        <v>3250</v>
      </c>
      <c r="AE30" t="s">
        <v>3250</v>
      </c>
      <c r="AF30" t="s">
        <v>3250</v>
      </c>
      <c r="AG30" t="s">
        <v>3250</v>
      </c>
      <c r="AH30" t="s">
        <v>3250</v>
      </c>
      <c r="AI30" t="s">
        <v>3250</v>
      </c>
      <c r="AJ30" t="s">
        <v>3250</v>
      </c>
      <c r="AL30">
        <v>141</v>
      </c>
      <c r="AM30" t="s">
        <v>1327</v>
      </c>
      <c r="AN30">
        <v>141</v>
      </c>
      <c r="AO30" t="s">
        <v>1327</v>
      </c>
      <c r="AS30" t="s">
        <v>3250</v>
      </c>
      <c r="AT30" t="s">
        <v>3250</v>
      </c>
      <c r="AU30" t="s">
        <v>3250</v>
      </c>
      <c r="AV30" t="s">
        <v>3250</v>
      </c>
      <c r="AW30" t="s">
        <v>3250</v>
      </c>
      <c r="AX30" t="s">
        <v>3250</v>
      </c>
      <c r="AY30" t="s">
        <v>3250</v>
      </c>
      <c r="AZ30" t="s">
        <v>3250</v>
      </c>
      <c r="BA30" t="s">
        <v>3250</v>
      </c>
      <c r="BB30" t="s">
        <v>3250</v>
      </c>
      <c r="BC30" t="s">
        <v>3250</v>
      </c>
      <c r="BE30" t="s">
        <v>3250</v>
      </c>
      <c r="BF30" t="s">
        <v>3250</v>
      </c>
      <c r="BG30" t="s">
        <v>3250</v>
      </c>
      <c r="BH30" t="s">
        <v>3250</v>
      </c>
      <c r="BI30" t="s">
        <v>3250</v>
      </c>
      <c r="BK30" t="s">
        <v>3250</v>
      </c>
      <c r="BL30" t="s">
        <v>3250</v>
      </c>
      <c r="BM30" t="s">
        <v>3250</v>
      </c>
      <c r="BN30" t="s">
        <v>3250</v>
      </c>
      <c r="BP30">
        <v>1</v>
      </c>
      <c r="BQ30">
        <v>11</v>
      </c>
      <c r="BR30" t="s">
        <v>1574</v>
      </c>
      <c r="BS30" t="s">
        <v>3252</v>
      </c>
      <c r="BV30">
        <v>0</v>
      </c>
      <c r="BW30">
        <v>0</v>
      </c>
      <c r="BX30">
        <v>0</v>
      </c>
      <c r="BY30">
        <v>0</v>
      </c>
      <c r="BZ30">
        <v>0</v>
      </c>
      <c r="CA30">
        <v>0</v>
      </c>
      <c r="CB30">
        <v>0</v>
      </c>
      <c r="CC30">
        <v>0</v>
      </c>
      <c r="CD30">
        <v>0</v>
      </c>
      <c r="CE30" t="s">
        <v>3108</v>
      </c>
      <c r="CF30" t="s">
        <v>3108</v>
      </c>
      <c r="CG30" t="s">
        <v>3108</v>
      </c>
      <c r="CH30" t="s">
        <v>3108</v>
      </c>
    </row>
    <row r="31" spans="1:86" x14ac:dyDescent="0.2">
      <c r="A31" t="s">
        <v>3309</v>
      </c>
      <c r="B31" t="s">
        <v>3309</v>
      </c>
      <c r="C31">
        <v>30273</v>
      </c>
      <c r="D31">
        <v>1050</v>
      </c>
      <c r="E31" t="s">
        <v>3310</v>
      </c>
      <c r="F31" t="s">
        <v>3249</v>
      </c>
      <c r="G31" t="s">
        <v>3249</v>
      </c>
      <c r="H31" t="s">
        <v>3250</v>
      </c>
      <c r="I31" t="s">
        <v>3250</v>
      </c>
      <c r="J31" t="s">
        <v>3250</v>
      </c>
      <c r="K31" t="s">
        <v>3250</v>
      </c>
      <c r="L31">
        <v>1200</v>
      </c>
      <c r="M31" t="s">
        <v>2368</v>
      </c>
      <c r="N31">
        <v>1204</v>
      </c>
      <c r="O31" t="s">
        <v>1574</v>
      </c>
      <c r="P31" t="s">
        <v>3108</v>
      </c>
      <c r="Q31" t="s">
        <v>3249</v>
      </c>
      <c r="R31" t="s">
        <v>3249</v>
      </c>
      <c r="S31" t="s">
        <v>472</v>
      </c>
      <c r="T31" t="s">
        <v>3251</v>
      </c>
      <c r="U31">
        <v>140</v>
      </c>
      <c r="V31" t="s">
        <v>1327</v>
      </c>
      <c r="W31">
        <v>140</v>
      </c>
      <c r="X31" t="s">
        <v>1327</v>
      </c>
      <c r="Y31" t="s">
        <v>3250</v>
      </c>
      <c r="Z31" t="s">
        <v>3250</v>
      </c>
      <c r="AA31" t="s">
        <v>3108</v>
      </c>
      <c r="AB31" t="s">
        <v>3108</v>
      </c>
      <c r="AC31" t="s">
        <v>3250</v>
      </c>
      <c r="AD31" t="s">
        <v>3250</v>
      </c>
      <c r="AE31" t="s">
        <v>3250</v>
      </c>
      <c r="AF31" t="s">
        <v>3250</v>
      </c>
      <c r="AG31" t="s">
        <v>3250</v>
      </c>
      <c r="AH31" t="s">
        <v>3250</v>
      </c>
      <c r="AI31" t="s">
        <v>3250</v>
      </c>
      <c r="AJ31" t="s">
        <v>3250</v>
      </c>
      <c r="AL31">
        <v>141</v>
      </c>
      <c r="AM31" t="s">
        <v>1327</v>
      </c>
      <c r="AN31">
        <v>141</v>
      </c>
      <c r="AO31" t="s">
        <v>1327</v>
      </c>
      <c r="AS31" t="s">
        <v>3250</v>
      </c>
      <c r="AT31" t="s">
        <v>3250</v>
      </c>
      <c r="AU31" t="s">
        <v>3250</v>
      </c>
      <c r="AV31" t="s">
        <v>3250</v>
      </c>
      <c r="AW31" t="s">
        <v>3250</v>
      </c>
      <c r="AX31" t="s">
        <v>3250</v>
      </c>
      <c r="AY31" t="s">
        <v>3250</v>
      </c>
      <c r="AZ31" t="s">
        <v>3250</v>
      </c>
      <c r="BA31" t="s">
        <v>3250</v>
      </c>
      <c r="BB31" t="s">
        <v>3250</v>
      </c>
      <c r="BC31" t="s">
        <v>3250</v>
      </c>
      <c r="BE31" t="s">
        <v>3250</v>
      </c>
      <c r="BF31" t="s">
        <v>3250</v>
      </c>
      <c r="BG31" t="s">
        <v>3250</v>
      </c>
      <c r="BH31" t="s">
        <v>3250</v>
      </c>
      <c r="BI31" t="s">
        <v>3250</v>
      </c>
      <c r="BK31" t="s">
        <v>3250</v>
      </c>
      <c r="BL31" t="s">
        <v>3250</v>
      </c>
      <c r="BM31" t="s">
        <v>3250</v>
      </c>
      <c r="BN31" t="s">
        <v>3250</v>
      </c>
      <c r="BP31">
        <v>1</v>
      </c>
      <c r="BQ31">
        <v>11</v>
      </c>
      <c r="BR31" t="s">
        <v>1574</v>
      </c>
      <c r="BS31" t="s">
        <v>3252</v>
      </c>
      <c r="BV31">
        <v>0</v>
      </c>
      <c r="BW31">
        <v>0</v>
      </c>
      <c r="BX31">
        <v>0</v>
      </c>
      <c r="BY31">
        <v>0</v>
      </c>
      <c r="BZ31">
        <v>0</v>
      </c>
      <c r="CA31">
        <v>0</v>
      </c>
      <c r="CB31">
        <v>0</v>
      </c>
      <c r="CC31">
        <v>0</v>
      </c>
      <c r="CD31">
        <v>0</v>
      </c>
      <c r="CE31" t="s">
        <v>3108</v>
      </c>
      <c r="CF31" t="s">
        <v>3108</v>
      </c>
      <c r="CG31" t="s">
        <v>3108</v>
      </c>
      <c r="CH31" t="s">
        <v>3108</v>
      </c>
    </row>
    <row r="32" spans="1:86" x14ac:dyDescent="0.2">
      <c r="A32" t="s">
        <v>3311</v>
      </c>
      <c r="B32" t="s">
        <v>3311</v>
      </c>
      <c r="C32">
        <v>30274</v>
      </c>
      <c r="D32">
        <v>1051</v>
      </c>
      <c r="E32" t="s">
        <v>3312</v>
      </c>
      <c r="F32" t="s">
        <v>3249</v>
      </c>
      <c r="G32" t="s">
        <v>3249</v>
      </c>
      <c r="H32" t="s">
        <v>3250</v>
      </c>
      <c r="I32" t="s">
        <v>3250</v>
      </c>
      <c r="J32" t="s">
        <v>3250</v>
      </c>
      <c r="K32" t="s">
        <v>3250</v>
      </c>
      <c r="L32">
        <v>1200</v>
      </c>
      <c r="M32" t="s">
        <v>2368</v>
      </c>
      <c r="N32">
        <v>1204</v>
      </c>
      <c r="O32" t="s">
        <v>1574</v>
      </c>
      <c r="P32" t="s">
        <v>3108</v>
      </c>
      <c r="Q32" t="s">
        <v>3249</v>
      </c>
      <c r="R32" t="s">
        <v>3249</v>
      </c>
      <c r="S32" t="s">
        <v>472</v>
      </c>
      <c r="T32" t="s">
        <v>3251</v>
      </c>
      <c r="U32">
        <v>140</v>
      </c>
      <c r="V32" t="s">
        <v>1327</v>
      </c>
      <c r="W32">
        <v>140</v>
      </c>
      <c r="X32" t="s">
        <v>1327</v>
      </c>
      <c r="Y32" t="s">
        <v>3250</v>
      </c>
      <c r="Z32" t="s">
        <v>3250</v>
      </c>
      <c r="AA32" t="s">
        <v>3108</v>
      </c>
      <c r="AB32" t="s">
        <v>3108</v>
      </c>
      <c r="AC32" t="s">
        <v>3250</v>
      </c>
      <c r="AD32" t="s">
        <v>3250</v>
      </c>
      <c r="AE32" t="s">
        <v>3250</v>
      </c>
      <c r="AF32" t="s">
        <v>3250</v>
      </c>
      <c r="AG32" t="s">
        <v>3250</v>
      </c>
      <c r="AH32" t="s">
        <v>3250</v>
      </c>
      <c r="AI32" t="s">
        <v>3250</v>
      </c>
      <c r="AJ32" t="s">
        <v>3250</v>
      </c>
      <c r="AL32">
        <v>147</v>
      </c>
      <c r="AM32" t="s">
        <v>6</v>
      </c>
      <c r="AN32">
        <v>147</v>
      </c>
      <c r="AO32" t="s">
        <v>6</v>
      </c>
      <c r="AS32" t="s">
        <v>3250</v>
      </c>
      <c r="AT32" t="s">
        <v>3250</v>
      </c>
      <c r="AU32" t="s">
        <v>3250</v>
      </c>
      <c r="AV32" t="s">
        <v>3250</v>
      </c>
      <c r="AW32" t="s">
        <v>3250</v>
      </c>
      <c r="AX32" t="s">
        <v>3250</v>
      </c>
      <c r="AY32" t="s">
        <v>3250</v>
      </c>
      <c r="AZ32" t="s">
        <v>3250</v>
      </c>
      <c r="BA32" t="s">
        <v>3250</v>
      </c>
      <c r="BB32" t="s">
        <v>3250</v>
      </c>
      <c r="BC32" t="s">
        <v>3250</v>
      </c>
      <c r="BE32" t="s">
        <v>3250</v>
      </c>
      <c r="BF32" t="s">
        <v>3250</v>
      </c>
      <c r="BG32" t="s">
        <v>3250</v>
      </c>
      <c r="BH32" t="s">
        <v>3250</v>
      </c>
      <c r="BI32" t="s">
        <v>3250</v>
      </c>
      <c r="BK32" t="s">
        <v>3250</v>
      </c>
      <c r="BL32" t="s">
        <v>3250</v>
      </c>
      <c r="BM32" t="s">
        <v>3250</v>
      </c>
      <c r="BN32" t="s">
        <v>3250</v>
      </c>
      <c r="BP32">
        <v>1</v>
      </c>
      <c r="BQ32">
        <v>11</v>
      </c>
      <c r="BR32" t="s">
        <v>1574</v>
      </c>
      <c r="BS32" t="s">
        <v>3252</v>
      </c>
      <c r="BV32">
        <v>0</v>
      </c>
      <c r="BW32">
        <v>0</v>
      </c>
      <c r="BX32">
        <v>0</v>
      </c>
      <c r="BY32">
        <v>0</v>
      </c>
      <c r="BZ32">
        <v>0</v>
      </c>
      <c r="CA32">
        <v>0</v>
      </c>
      <c r="CB32">
        <v>0</v>
      </c>
      <c r="CC32">
        <v>0</v>
      </c>
      <c r="CD32">
        <v>0</v>
      </c>
      <c r="CE32" t="s">
        <v>3108</v>
      </c>
      <c r="CF32" t="s">
        <v>3108</v>
      </c>
      <c r="CG32" t="s">
        <v>3108</v>
      </c>
      <c r="CH32" t="s">
        <v>3108</v>
      </c>
    </row>
    <row r="33" spans="1:86" x14ac:dyDescent="0.2">
      <c r="A33" t="s">
        <v>3313</v>
      </c>
      <c r="B33" t="s">
        <v>3313</v>
      </c>
      <c r="C33">
        <v>30275</v>
      </c>
      <c r="D33">
        <v>1052</v>
      </c>
      <c r="E33" t="s">
        <v>3314</v>
      </c>
      <c r="F33" t="s">
        <v>3249</v>
      </c>
      <c r="G33" t="s">
        <v>3249</v>
      </c>
      <c r="H33" t="s">
        <v>3250</v>
      </c>
      <c r="I33" t="s">
        <v>3250</v>
      </c>
      <c r="J33" t="s">
        <v>3250</v>
      </c>
      <c r="K33" t="s">
        <v>3250</v>
      </c>
      <c r="L33">
        <v>1200</v>
      </c>
      <c r="M33" t="s">
        <v>2368</v>
      </c>
      <c r="N33">
        <v>1204</v>
      </c>
      <c r="O33" t="s">
        <v>1574</v>
      </c>
      <c r="P33" t="s">
        <v>3108</v>
      </c>
      <c r="Q33" t="s">
        <v>3249</v>
      </c>
      <c r="R33" t="s">
        <v>3249</v>
      </c>
      <c r="S33" t="s">
        <v>472</v>
      </c>
      <c r="T33" t="s">
        <v>3251</v>
      </c>
      <c r="U33">
        <v>140</v>
      </c>
      <c r="V33" t="s">
        <v>1327</v>
      </c>
      <c r="W33">
        <v>140</v>
      </c>
      <c r="X33" t="s">
        <v>1327</v>
      </c>
      <c r="Y33" t="s">
        <v>3250</v>
      </c>
      <c r="Z33" t="s">
        <v>3250</v>
      </c>
      <c r="AA33" t="s">
        <v>3108</v>
      </c>
      <c r="AB33" t="s">
        <v>3108</v>
      </c>
      <c r="AC33" t="s">
        <v>3250</v>
      </c>
      <c r="AD33" t="s">
        <v>3250</v>
      </c>
      <c r="AE33" t="s">
        <v>3250</v>
      </c>
      <c r="AF33" t="s">
        <v>3250</v>
      </c>
      <c r="AG33" t="s">
        <v>3250</v>
      </c>
      <c r="AH33" t="s">
        <v>3250</v>
      </c>
      <c r="AI33" t="s">
        <v>3250</v>
      </c>
      <c r="AJ33" t="s">
        <v>3250</v>
      </c>
      <c r="AL33">
        <v>141</v>
      </c>
      <c r="AM33" t="s">
        <v>1327</v>
      </c>
      <c r="AN33">
        <v>141</v>
      </c>
      <c r="AO33" t="s">
        <v>1327</v>
      </c>
      <c r="AS33" t="s">
        <v>3250</v>
      </c>
      <c r="AT33" t="s">
        <v>3250</v>
      </c>
      <c r="AU33" t="s">
        <v>3250</v>
      </c>
      <c r="AV33" t="s">
        <v>3250</v>
      </c>
      <c r="AW33" t="s">
        <v>3250</v>
      </c>
      <c r="AX33" t="s">
        <v>3250</v>
      </c>
      <c r="AY33" t="s">
        <v>3250</v>
      </c>
      <c r="AZ33" t="s">
        <v>3250</v>
      </c>
      <c r="BA33" t="s">
        <v>3250</v>
      </c>
      <c r="BB33" t="s">
        <v>3250</v>
      </c>
      <c r="BC33" t="s">
        <v>3250</v>
      </c>
      <c r="BE33" t="s">
        <v>3250</v>
      </c>
      <c r="BF33" t="s">
        <v>3250</v>
      </c>
      <c r="BG33" t="s">
        <v>3250</v>
      </c>
      <c r="BH33" t="s">
        <v>3250</v>
      </c>
      <c r="BI33" t="s">
        <v>3250</v>
      </c>
      <c r="BK33" t="s">
        <v>3250</v>
      </c>
      <c r="BL33" t="s">
        <v>3250</v>
      </c>
      <c r="BM33" t="s">
        <v>3250</v>
      </c>
      <c r="BN33" t="s">
        <v>3250</v>
      </c>
      <c r="BP33">
        <v>1</v>
      </c>
      <c r="BQ33">
        <v>11</v>
      </c>
      <c r="BR33" t="s">
        <v>1574</v>
      </c>
      <c r="BS33" t="s">
        <v>3252</v>
      </c>
      <c r="BV33">
        <v>0</v>
      </c>
      <c r="BW33">
        <v>0</v>
      </c>
      <c r="BX33">
        <v>0</v>
      </c>
      <c r="BY33">
        <v>0</v>
      </c>
      <c r="BZ33">
        <v>0</v>
      </c>
      <c r="CA33">
        <v>0</v>
      </c>
      <c r="CB33">
        <v>0</v>
      </c>
      <c r="CC33">
        <v>0</v>
      </c>
      <c r="CD33">
        <v>0</v>
      </c>
      <c r="CE33" t="s">
        <v>3108</v>
      </c>
      <c r="CF33" t="s">
        <v>3108</v>
      </c>
      <c r="CG33" t="s">
        <v>3108</v>
      </c>
      <c r="CH33" t="s">
        <v>3108</v>
      </c>
    </row>
    <row r="34" spans="1:86" x14ac:dyDescent="0.2">
      <c r="A34" t="s">
        <v>3315</v>
      </c>
      <c r="B34" t="s">
        <v>3315</v>
      </c>
      <c r="C34">
        <v>30276</v>
      </c>
      <c r="D34">
        <v>1053</v>
      </c>
      <c r="E34" t="s">
        <v>3316</v>
      </c>
      <c r="F34" t="s">
        <v>3249</v>
      </c>
      <c r="G34" t="s">
        <v>3249</v>
      </c>
      <c r="H34" t="s">
        <v>3250</v>
      </c>
      <c r="I34" t="s">
        <v>3250</v>
      </c>
      <c r="J34" t="s">
        <v>3250</v>
      </c>
      <c r="K34" t="s">
        <v>3250</v>
      </c>
      <c r="L34">
        <v>1200</v>
      </c>
      <c r="M34" t="s">
        <v>2368</v>
      </c>
      <c r="N34">
        <v>1204</v>
      </c>
      <c r="O34" t="s">
        <v>1574</v>
      </c>
      <c r="P34" t="s">
        <v>3108</v>
      </c>
      <c r="Q34" t="s">
        <v>3249</v>
      </c>
      <c r="R34" t="s">
        <v>3249</v>
      </c>
      <c r="S34" t="s">
        <v>472</v>
      </c>
      <c r="T34" t="s">
        <v>3251</v>
      </c>
      <c r="U34">
        <v>140</v>
      </c>
      <c r="V34" t="s">
        <v>1327</v>
      </c>
      <c r="W34">
        <v>140</v>
      </c>
      <c r="X34" t="s">
        <v>1327</v>
      </c>
      <c r="Y34" t="s">
        <v>3250</v>
      </c>
      <c r="Z34" t="s">
        <v>3250</v>
      </c>
      <c r="AA34" t="s">
        <v>3108</v>
      </c>
      <c r="AB34" t="s">
        <v>3108</v>
      </c>
      <c r="AC34" t="s">
        <v>3250</v>
      </c>
      <c r="AD34" t="s">
        <v>3250</v>
      </c>
      <c r="AE34" t="s">
        <v>3250</v>
      </c>
      <c r="AF34" t="s">
        <v>3250</v>
      </c>
      <c r="AG34" t="s">
        <v>3250</v>
      </c>
      <c r="AH34" t="s">
        <v>3250</v>
      </c>
      <c r="AI34" t="s">
        <v>3250</v>
      </c>
      <c r="AJ34" t="s">
        <v>3250</v>
      </c>
      <c r="AL34">
        <v>141</v>
      </c>
      <c r="AM34" t="s">
        <v>1327</v>
      </c>
      <c r="AN34">
        <v>141</v>
      </c>
      <c r="AO34" t="s">
        <v>1327</v>
      </c>
      <c r="AS34" t="s">
        <v>3250</v>
      </c>
      <c r="AT34" t="s">
        <v>3250</v>
      </c>
      <c r="AU34" t="s">
        <v>3250</v>
      </c>
      <c r="AV34" t="s">
        <v>3250</v>
      </c>
      <c r="AW34" t="s">
        <v>3250</v>
      </c>
      <c r="AX34" t="s">
        <v>3250</v>
      </c>
      <c r="AY34" t="s">
        <v>3250</v>
      </c>
      <c r="AZ34" t="s">
        <v>3250</v>
      </c>
      <c r="BA34" t="s">
        <v>3250</v>
      </c>
      <c r="BB34" t="s">
        <v>3250</v>
      </c>
      <c r="BC34" t="s">
        <v>3250</v>
      </c>
      <c r="BE34" t="s">
        <v>3250</v>
      </c>
      <c r="BF34" t="s">
        <v>3250</v>
      </c>
      <c r="BG34" t="s">
        <v>3250</v>
      </c>
      <c r="BH34" t="s">
        <v>3250</v>
      </c>
      <c r="BI34" t="s">
        <v>3250</v>
      </c>
      <c r="BK34" t="s">
        <v>3250</v>
      </c>
      <c r="BL34" t="s">
        <v>3250</v>
      </c>
      <c r="BM34" t="s">
        <v>3250</v>
      </c>
      <c r="BN34" t="s">
        <v>3250</v>
      </c>
      <c r="BP34">
        <v>1</v>
      </c>
      <c r="BQ34">
        <v>11</v>
      </c>
      <c r="BR34" t="s">
        <v>1574</v>
      </c>
      <c r="BS34" t="s">
        <v>3252</v>
      </c>
      <c r="BV34">
        <v>0</v>
      </c>
      <c r="BW34">
        <v>0</v>
      </c>
      <c r="BX34">
        <v>0</v>
      </c>
      <c r="BY34">
        <v>0</v>
      </c>
      <c r="BZ34">
        <v>0</v>
      </c>
      <c r="CA34">
        <v>0</v>
      </c>
      <c r="CB34">
        <v>0</v>
      </c>
      <c r="CC34">
        <v>0</v>
      </c>
      <c r="CD34">
        <v>0</v>
      </c>
      <c r="CE34" t="s">
        <v>3108</v>
      </c>
      <c r="CF34" t="s">
        <v>3108</v>
      </c>
      <c r="CG34" t="s">
        <v>3108</v>
      </c>
      <c r="CH34" t="s">
        <v>3108</v>
      </c>
    </row>
    <row r="35" spans="1:86" x14ac:dyDescent="0.2">
      <c r="A35" t="s">
        <v>3317</v>
      </c>
      <c r="B35" t="s">
        <v>3317</v>
      </c>
      <c r="C35">
        <v>30277</v>
      </c>
      <c r="D35">
        <v>1054</v>
      </c>
      <c r="E35" t="s">
        <v>3318</v>
      </c>
      <c r="F35" t="s">
        <v>3249</v>
      </c>
      <c r="G35" t="s">
        <v>3249</v>
      </c>
      <c r="H35" t="s">
        <v>3250</v>
      </c>
      <c r="I35" t="s">
        <v>3250</v>
      </c>
      <c r="J35" t="s">
        <v>3250</v>
      </c>
      <c r="K35" t="s">
        <v>3250</v>
      </c>
      <c r="L35">
        <v>1200</v>
      </c>
      <c r="M35" t="s">
        <v>2368</v>
      </c>
      <c r="N35">
        <v>1204</v>
      </c>
      <c r="O35" t="s">
        <v>1574</v>
      </c>
      <c r="P35" t="s">
        <v>3108</v>
      </c>
      <c r="Q35" t="s">
        <v>3249</v>
      </c>
      <c r="R35" t="s">
        <v>3249</v>
      </c>
      <c r="S35" t="s">
        <v>472</v>
      </c>
      <c r="T35" t="s">
        <v>3251</v>
      </c>
      <c r="U35">
        <v>140</v>
      </c>
      <c r="V35" t="s">
        <v>1327</v>
      </c>
      <c r="W35">
        <v>140</v>
      </c>
      <c r="X35" t="s">
        <v>1327</v>
      </c>
      <c r="Y35" t="s">
        <v>3250</v>
      </c>
      <c r="Z35" t="s">
        <v>3250</v>
      </c>
      <c r="AA35" t="s">
        <v>3108</v>
      </c>
      <c r="AB35" t="s">
        <v>3108</v>
      </c>
      <c r="AC35" t="s">
        <v>3250</v>
      </c>
      <c r="AD35" t="s">
        <v>3250</v>
      </c>
      <c r="AE35" t="s">
        <v>3250</v>
      </c>
      <c r="AF35" t="s">
        <v>3250</v>
      </c>
      <c r="AG35" t="s">
        <v>3250</v>
      </c>
      <c r="AH35" t="s">
        <v>3250</v>
      </c>
      <c r="AI35" t="s">
        <v>3250</v>
      </c>
      <c r="AJ35" t="s">
        <v>3250</v>
      </c>
      <c r="AL35">
        <v>141</v>
      </c>
      <c r="AM35" t="s">
        <v>1327</v>
      </c>
      <c r="AN35">
        <v>141</v>
      </c>
      <c r="AO35" t="s">
        <v>1327</v>
      </c>
      <c r="AS35" t="s">
        <v>3250</v>
      </c>
      <c r="AT35" t="s">
        <v>3250</v>
      </c>
      <c r="AU35" t="s">
        <v>3250</v>
      </c>
      <c r="AV35" t="s">
        <v>3250</v>
      </c>
      <c r="AW35" t="s">
        <v>3250</v>
      </c>
      <c r="AX35" t="s">
        <v>3250</v>
      </c>
      <c r="AY35" t="s">
        <v>3250</v>
      </c>
      <c r="AZ35" t="s">
        <v>3250</v>
      </c>
      <c r="BA35" t="s">
        <v>3250</v>
      </c>
      <c r="BB35" t="s">
        <v>3250</v>
      </c>
      <c r="BC35" t="s">
        <v>3250</v>
      </c>
      <c r="BE35" t="s">
        <v>3250</v>
      </c>
      <c r="BF35" t="s">
        <v>3250</v>
      </c>
      <c r="BG35" t="s">
        <v>3250</v>
      </c>
      <c r="BH35" t="s">
        <v>3250</v>
      </c>
      <c r="BI35" t="s">
        <v>3250</v>
      </c>
      <c r="BK35" t="s">
        <v>3250</v>
      </c>
      <c r="BL35" t="s">
        <v>3250</v>
      </c>
      <c r="BM35" t="s">
        <v>3250</v>
      </c>
      <c r="BN35" t="s">
        <v>3250</v>
      </c>
      <c r="BP35">
        <v>1</v>
      </c>
      <c r="BQ35">
        <v>11</v>
      </c>
      <c r="BR35" t="s">
        <v>1574</v>
      </c>
      <c r="BS35" t="s">
        <v>3252</v>
      </c>
      <c r="BV35">
        <v>0</v>
      </c>
      <c r="BW35">
        <v>0</v>
      </c>
      <c r="BX35">
        <v>0</v>
      </c>
      <c r="BY35">
        <v>0</v>
      </c>
      <c r="BZ35">
        <v>0</v>
      </c>
      <c r="CA35">
        <v>0</v>
      </c>
      <c r="CB35">
        <v>0</v>
      </c>
      <c r="CC35">
        <v>0</v>
      </c>
      <c r="CD35">
        <v>0</v>
      </c>
      <c r="CE35" t="s">
        <v>3108</v>
      </c>
      <c r="CF35" t="s">
        <v>3108</v>
      </c>
      <c r="CG35" t="s">
        <v>3108</v>
      </c>
      <c r="CH35" t="s">
        <v>3108</v>
      </c>
    </row>
    <row r="36" spans="1:86" x14ac:dyDescent="0.2">
      <c r="A36" t="s">
        <v>3319</v>
      </c>
      <c r="B36" t="s">
        <v>3319</v>
      </c>
      <c r="C36">
        <v>30278</v>
      </c>
      <c r="D36">
        <v>1055</v>
      </c>
      <c r="E36" t="s">
        <v>3320</v>
      </c>
      <c r="F36" t="s">
        <v>3249</v>
      </c>
      <c r="G36" t="s">
        <v>3249</v>
      </c>
      <c r="H36" t="s">
        <v>3250</v>
      </c>
      <c r="I36" t="s">
        <v>3250</v>
      </c>
      <c r="J36" t="s">
        <v>3250</v>
      </c>
      <c r="K36" t="s">
        <v>3250</v>
      </c>
      <c r="L36">
        <v>1200</v>
      </c>
      <c r="M36" t="s">
        <v>2368</v>
      </c>
      <c r="N36">
        <v>1204</v>
      </c>
      <c r="O36" t="s">
        <v>1574</v>
      </c>
      <c r="P36" t="s">
        <v>3108</v>
      </c>
      <c r="Q36" t="s">
        <v>3249</v>
      </c>
      <c r="R36" t="s">
        <v>3249</v>
      </c>
      <c r="S36" t="s">
        <v>472</v>
      </c>
      <c r="T36" t="s">
        <v>3251</v>
      </c>
      <c r="U36">
        <v>140</v>
      </c>
      <c r="V36" t="s">
        <v>1327</v>
      </c>
      <c r="W36">
        <v>140</v>
      </c>
      <c r="X36" t="s">
        <v>1327</v>
      </c>
      <c r="Y36" t="s">
        <v>3250</v>
      </c>
      <c r="Z36" t="s">
        <v>3250</v>
      </c>
      <c r="AA36" t="s">
        <v>3108</v>
      </c>
      <c r="AB36" t="s">
        <v>3108</v>
      </c>
      <c r="AC36" t="s">
        <v>3250</v>
      </c>
      <c r="AD36" t="s">
        <v>3250</v>
      </c>
      <c r="AE36" t="s">
        <v>3250</v>
      </c>
      <c r="AF36" t="s">
        <v>3250</v>
      </c>
      <c r="AG36" t="s">
        <v>3250</v>
      </c>
      <c r="AH36" t="s">
        <v>3250</v>
      </c>
      <c r="AI36" t="s">
        <v>3250</v>
      </c>
      <c r="AJ36" t="s">
        <v>3250</v>
      </c>
      <c r="AL36">
        <v>146</v>
      </c>
      <c r="AM36" t="s">
        <v>5</v>
      </c>
      <c r="AN36">
        <v>146</v>
      </c>
      <c r="AO36" t="s">
        <v>5</v>
      </c>
      <c r="AS36" t="s">
        <v>3250</v>
      </c>
      <c r="AT36" t="s">
        <v>3250</v>
      </c>
      <c r="AU36" t="s">
        <v>3250</v>
      </c>
      <c r="AV36" t="s">
        <v>3250</v>
      </c>
      <c r="AW36" t="s">
        <v>3250</v>
      </c>
      <c r="AX36" t="s">
        <v>3250</v>
      </c>
      <c r="AY36" t="s">
        <v>3250</v>
      </c>
      <c r="AZ36" t="s">
        <v>3250</v>
      </c>
      <c r="BA36" t="s">
        <v>3250</v>
      </c>
      <c r="BB36" t="s">
        <v>3250</v>
      </c>
      <c r="BC36" t="s">
        <v>3250</v>
      </c>
      <c r="BE36" t="s">
        <v>3250</v>
      </c>
      <c r="BF36" t="s">
        <v>3250</v>
      </c>
      <c r="BG36" t="s">
        <v>3250</v>
      </c>
      <c r="BH36" t="s">
        <v>3250</v>
      </c>
      <c r="BI36" t="s">
        <v>3250</v>
      </c>
      <c r="BK36" t="s">
        <v>3250</v>
      </c>
      <c r="BL36" t="s">
        <v>3250</v>
      </c>
      <c r="BM36" t="s">
        <v>3250</v>
      </c>
      <c r="BN36" t="s">
        <v>3250</v>
      </c>
      <c r="BP36">
        <v>1</v>
      </c>
      <c r="BQ36">
        <v>11</v>
      </c>
      <c r="BR36" t="s">
        <v>1574</v>
      </c>
      <c r="BS36" t="s">
        <v>3252</v>
      </c>
      <c r="BV36">
        <v>0</v>
      </c>
      <c r="BW36">
        <v>0</v>
      </c>
      <c r="BX36">
        <v>0</v>
      </c>
      <c r="BY36">
        <v>0</v>
      </c>
      <c r="BZ36">
        <v>0</v>
      </c>
      <c r="CA36">
        <v>0</v>
      </c>
      <c r="CB36">
        <v>0</v>
      </c>
      <c r="CC36">
        <v>0</v>
      </c>
      <c r="CD36">
        <v>0</v>
      </c>
      <c r="CE36" t="s">
        <v>3108</v>
      </c>
      <c r="CF36" t="s">
        <v>3108</v>
      </c>
      <c r="CG36" t="s">
        <v>3108</v>
      </c>
      <c r="CH36" t="s">
        <v>3108</v>
      </c>
    </row>
    <row r="37" spans="1:86" x14ac:dyDescent="0.2">
      <c r="A37" t="s">
        <v>3321</v>
      </c>
      <c r="B37" t="s">
        <v>3321</v>
      </c>
      <c r="C37">
        <v>30279</v>
      </c>
      <c r="D37">
        <v>1056</v>
      </c>
      <c r="E37" t="s">
        <v>3322</v>
      </c>
      <c r="F37" t="s">
        <v>3249</v>
      </c>
      <c r="G37" t="s">
        <v>3249</v>
      </c>
      <c r="H37" t="s">
        <v>3250</v>
      </c>
      <c r="I37" t="s">
        <v>3250</v>
      </c>
      <c r="J37" t="s">
        <v>3250</v>
      </c>
      <c r="K37" t="s">
        <v>3250</v>
      </c>
      <c r="L37">
        <v>1200</v>
      </c>
      <c r="M37" t="s">
        <v>2368</v>
      </c>
      <c r="N37">
        <v>1204</v>
      </c>
      <c r="O37" t="s">
        <v>1574</v>
      </c>
      <c r="P37" t="s">
        <v>3108</v>
      </c>
      <c r="Q37" t="s">
        <v>3249</v>
      </c>
      <c r="R37" t="s">
        <v>3249</v>
      </c>
      <c r="S37" t="s">
        <v>472</v>
      </c>
      <c r="T37" t="s">
        <v>3251</v>
      </c>
      <c r="U37">
        <v>140</v>
      </c>
      <c r="V37" t="s">
        <v>1327</v>
      </c>
      <c r="W37">
        <v>140</v>
      </c>
      <c r="X37" t="s">
        <v>1327</v>
      </c>
      <c r="Y37" t="s">
        <v>3250</v>
      </c>
      <c r="Z37" t="s">
        <v>3250</v>
      </c>
      <c r="AA37" t="s">
        <v>3108</v>
      </c>
      <c r="AB37" t="s">
        <v>3108</v>
      </c>
      <c r="AC37" t="s">
        <v>3250</v>
      </c>
      <c r="AD37" t="s">
        <v>3250</v>
      </c>
      <c r="AE37" t="s">
        <v>3250</v>
      </c>
      <c r="AF37" t="s">
        <v>3250</v>
      </c>
      <c r="AG37" t="s">
        <v>3250</v>
      </c>
      <c r="AH37" t="s">
        <v>3250</v>
      </c>
      <c r="AI37" t="s">
        <v>3250</v>
      </c>
      <c r="AJ37" t="s">
        <v>3250</v>
      </c>
      <c r="AL37">
        <v>146</v>
      </c>
      <c r="AM37" t="s">
        <v>5</v>
      </c>
      <c r="AN37">
        <v>146</v>
      </c>
      <c r="AO37" t="s">
        <v>5</v>
      </c>
      <c r="AS37" t="s">
        <v>3250</v>
      </c>
      <c r="AT37" t="s">
        <v>3250</v>
      </c>
      <c r="AU37" t="s">
        <v>3250</v>
      </c>
      <c r="AV37" t="s">
        <v>3250</v>
      </c>
      <c r="AW37" t="s">
        <v>3250</v>
      </c>
      <c r="AX37" t="s">
        <v>3250</v>
      </c>
      <c r="AY37" t="s">
        <v>3250</v>
      </c>
      <c r="AZ37" t="s">
        <v>3250</v>
      </c>
      <c r="BA37" t="s">
        <v>3250</v>
      </c>
      <c r="BB37" t="s">
        <v>3250</v>
      </c>
      <c r="BC37" t="s">
        <v>3250</v>
      </c>
      <c r="BE37" t="s">
        <v>3250</v>
      </c>
      <c r="BF37" t="s">
        <v>3250</v>
      </c>
      <c r="BG37" t="s">
        <v>3250</v>
      </c>
      <c r="BH37" t="s">
        <v>3250</v>
      </c>
      <c r="BI37" t="s">
        <v>3250</v>
      </c>
      <c r="BK37" t="s">
        <v>3250</v>
      </c>
      <c r="BL37" t="s">
        <v>3250</v>
      </c>
      <c r="BM37" t="s">
        <v>3250</v>
      </c>
      <c r="BN37" t="s">
        <v>3250</v>
      </c>
      <c r="BP37">
        <v>1</v>
      </c>
      <c r="BQ37">
        <v>11</v>
      </c>
      <c r="BR37" t="s">
        <v>1574</v>
      </c>
      <c r="BS37" t="s">
        <v>3252</v>
      </c>
      <c r="BV37">
        <v>0</v>
      </c>
      <c r="BW37">
        <v>0</v>
      </c>
      <c r="BX37">
        <v>0</v>
      </c>
      <c r="BY37">
        <v>0</v>
      </c>
      <c r="BZ37">
        <v>0</v>
      </c>
      <c r="CA37">
        <v>0</v>
      </c>
      <c r="CB37">
        <v>0</v>
      </c>
      <c r="CC37">
        <v>0</v>
      </c>
      <c r="CD37">
        <v>0</v>
      </c>
      <c r="CE37" t="s">
        <v>3108</v>
      </c>
      <c r="CF37" t="s">
        <v>3108</v>
      </c>
      <c r="CG37" t="s">
        <v>3108</v>
      </c>
      <c r="CH37" t="s">
        <v>3108</v>
      </c>
    </row>
    <row r="38" spans="1:86" x14ac:dyDescent="0.2">
      <c r="A38" t="s">
        <v>3323</v>
      </c>
      <c r="B38" t="s">
        <v>3323</v>
      </c>
      <c r="C38">
        <v>30280</v>
      </c>
      <c r="D38">
        <v>1057</v>
      </c>
      <c r="E38" t="s">
        <v>3324</v>
      </c>
      <c r="F38" t="s">
        <v>3249</v>
      </c>
      <c r="G38" t="s">
        <v>3249</v>
      </c>
      <c r="H38" t="s">
        <v>3250</v>
      </c>
      <c r="I38" t="s">
        <v>3250</v>
      </c>
      <c r="J38" t="s">
        <v>3250</v>
      </c>
      <c r="K38" t="s">
        <v>3250</v>
      </c>
      <c r="L38">
        <v>1200</v>
      </c>
      <c r="M38" t="s">
        <v>2368</v>
      </c>
      <c r="N38">
        <v>1204</v>
      </c>
      <c r="O38" t="s">
        <v>1574</v>
      </c>
      <c r="P38" t="s">
        <v>3108</v>
      </c>
      <c r="Q38" t="s">
        <v>3249</v>
      </c>
      <c r="R38" t="s">
        <v>3249</v>
      </c>
      <c r="S38" t="s">
        <v>472</v>
      </c>
      <c r="T38" t="s">
        <v>3251</v>
      </c>
      <c r="U38">
        <v>140</v>
      </c>
      <c r="V38" t="s">
        <v>1327</v>
      </c>
      <c r="W38">
        <v>140</v>
      </c>
      <c r="X38" t="s">
        <v>1327</v>
      </c>
      <c r="Y38" t="s">
        <v>3250</v>
      </c>
      <c r="Z38" t="s">
        <v>3250</v>
      </c>
      <c r="AA38" t="s">
        <v>3108</v>
      </c>
      <c r="AB38" t="s">
        <v>3108</v>
      </c>
      <c r="AC38" t="s">
        <v>3250</v>
      </c>
      <c r="AD38" t="s">
        <v>3250</v>
      </c>
      <c r="AE38" t="s">
        <v>3250</v>
      </c>
      <c r="AF38" t="s">
        <v>3250</v>
      </c>
      <c r="AG38" t="s">
        <v>3250</v>
      </c>
      <c r="AH38" t="s">
        <v>3250</v>
      </c>
      <c r="AI38" t="s">
        <v>3250</v>
      </c>
      <c r="AJ38" t="s">
        <v>3250</v>
      </c>
      <c r="AL38">
        <v>141</v>
      </c>
      <c r="AM38" t="s">
        <v>1327</v>
      </c>
      <c r="AN38">
        <v>141</v>
      </c>
      <c r="AO38" t="s">
        <v>1327</v>
      </c>
      <c r="AS38" t="s">
        <v>3250</v>
      </c>
      <c r="AT38" t="s">
        <v>3250</v>
      </c>
      <c r="AU38" t="s">
        <v>3250</v>
      </c>
      <c r="AV38" t="s">
        <v>3250</v>
      </c>
      <c r="AW38" t="s">
        <v>3250</v>
      </c>
      <c r="AX38" t="s">
        <v>3250</v>
      </c>
      <c r="AY38" t="s">
        <v>3250</v>
      </c>
      <c r="AZ38" t="s">
        <v>3250</v>
      </c>
      <c r="BA38" t="s">
        <v>3250</v>
      </c>
      <c r="BB38" t="s">
        <v>3250</v>
      </c>
      <c r="BC38" t="s">
        <v>3250</v>
      </c>
      <c r="BE38" t="s">
        <v>3250</v>
      </c>
      <c r="BF38" t="s">
        <v>3250</v>
      </c>
      <c r="BG38" t="s">
        <v>3250</v>
      </c>
      <c r="BH38" t="s">
        <v>3250</v>
      </c>
      <c r="BI38" t="s">
        <v>3250</v>
      </c>
      <c r="BK38" t="s">
        <v>3250</v>
      </c>
      <c r="BL38" t="s">
        <v>3250</v>
      </c>
      <c r="BM38" t="s">
        <v>3250</v>
      </c>
      <c r="BN38" t="s">
        <v>3250</v>
      </c>
      <c r="BP38">
        <v>1</v>
      </c>
      <c r="BQ38">
        <v>11</v>
      </c>
      <c r="BR38" t="s">
        <v>1574</v>
      </c>
      <c r="BS38" t="s">
        <v>3252</v>
      </c>
      <c r="BV38">
        <v>0</v>
      </c>
      <c r="BW38">
        <v>0</v>
      </c>
      <c r="BX38">
        <v>0</v>
      </c>
      <c r="BY38">
        <v>0</v>
      </c>
      <c r="BZ38">
        <v>0</v>
      </c>
      <c r="CA38">
        <v>0</v>
      </c>
      <c r="CB38">
        <v>0</v>
      </c>
      <c r="CC38">
        <v>0</v>
      </c>
      <c r="CD38">
        <v>0</v>
      </c>
      <c r="CE38" t="s">
        <v>3108</v>
      </c>
      <c r="CF38" t="s">
        <v>3108</v>
      </c>
      <c r="CG38" t="s">
        <v>3108</v>
      </c>
      <c r="CH38" t="s">
        <v>3108</v>
      </c>
    </row>
    <row r="39" spans="1:86" x14ac:dyDescent="0.2">
      <c r="A39" t="s">
        <v>3325</v>
      </c>
      <c r="B39" t="s">
        <v>3325</v>
      </c>
      <c r="C39">
        <v>30281</v>
      </c>
      <c r="D39">
        <v>1058</v>
      </c>
      <c r="E39" t="s">
        <v>3326</v>
      </c>
      <c r="F39" t="s">
        <v>3249</v>
      </c>
      <c r="G39" t="s">
        <v>3249</v>
      </c>
      <c r="H39" t="s">
        <v>3250</v>
      </c>
      <c r="I39" t="s">
        <v>3250</v>
      </c>
      <c r="J39" t="s">
        <v>3250</v>
      </c>
      <c r="K39" t="s">
        <v>3250</v>
      </c>
      <c r="L39">
        <v>1200</v>
      </c>
      <c r="M39" t="s">
        <v>2368</v>
      </c>
      <c r="N39">
        <v>1204</v>
      </c>
      <c r="O39" t="s">
        <v>1574</v>
      </c>
      <c r="P39" t="s">
        <v>3108</v>
      </c>
      <c r="Q39" t="s">
        <v>3249</v>
      </c>
      <c r="R39" t="s">
        <v>3249</v>
      </c>
      <c r="S39" t="s">
        <v>472</v>
      </c>
      <c r="T39" t="s">
        <v>3251</v>
      </c>
      <c r="U39">
        <v>140</v>
      </c>
      <c r="V39" t="s">
        <v>1327</v>
      </c>
      <c r="W39">
        <v>140</v>
      </c>
      <c r="X39" t="s">
        <v>1327</v>
      </c>
      <c r="Y39" t="s">
        <v>3250</v>
      </c>
      <c r="Z39" t="s">
        <v>3250</v>
      </c>
      <c r="AA39" t="s">
        <v>3108</v>
      </c>
      <c r="AB39" t="s">
        <v>3108</v>
      </c>
      <c r="AC39" t="s">
        <v>3250</v>
      </c>
      <c r="AD39" t="s">
        <v>3250</v>
      </c>
      <c r="AE39" t="s">
        <v>3250</v>
      </c>
      <c r="AF39" t="s">
        <v>3250</v>
      </c>
      <c r="AG39" t="s">
        <v>3250</v>
      </c>
      <c r="AH39" t="s">
        <v>3250</v>
      </c>
      <c r="AI39" t="s">
        <v>3250</v>
      </c>
      <c r="AJ39" t="s">
        <v>3250</v>
      </c>
      <c r="AL39">
        <v>141</v>
      </c>
      <c r="AM39" t="s">
        <v>1327</v>
      </c>
      <c r="AN39">
        <v>141</v>
      </c>
      <c r="AO39" t="s">
        <v>1327</v>
      </c>
      <c r="AS39" t="s">
        <v>3250</v>
      </c>
      <c r="AT39" t="s">
        <v>3250</v>
      </c>
      <c r="AU39" t="s">
        <v>3250</v>
      </c>
      <c r="AV39" t="s">
        <v>3250</v>
      </c>
      <c r="AW39" t="s">
        <v>3250</v>
      </c>
      <c r="AX39" t="s">
        <v>3250</v>
      </c>
      <c r="AY39" t="s">
        <v>3250</v>
      </c>
      <c r="AZ39" t="s">
        <v>3250</v>
      </c>
      <c r="BA39" t="s">
        <v>3250</v>
      </c>
      <c r="BB39" t="s">
        <v>3250</v>
      </c>
      <c r="BC39" t="s">
        <v>3250</v>
      </c>
      <c r="BE39" t="s">
        <v>3250</v>
      </c>
      <c r="BF39" t="s">
        <v>3250</v>
      </c>
      <c r="BG39" t="s">
        <v>3250</v>
      </c>
      <c r="BH39" t="s">
        <v>3250</v>
      </c>
      <c r="BI39" t="s">
        <v>3250</v>
      </c>
      <c r="BK39" t="s">
        <v>3250</v>
      </c>
      <c r="BL39" t="s">
        <v>3250</v>
      </c>
      <c r="BM39" t="s">
        <v>3250</v>
      </c>
      <c r="BN39" t="s">
        <v>3250</v>
      </c>
      <c r="BP39">
        <v>1</v>
      </c>
      <c r="BQ39">
        <v>11</v>
      </c>
      <c r="BR39" t="s">
        <v>1574</v>
      </c>
      <c r="BS39" t="s">
        <v>3252</v>
      </c>
      <c r="BV39">
        <v>0</v>
      </c>
      <c r="BW39">
        <v>0</v>
      </c>
      <c r="BX39">
        <v>0</v>
      </c>
      <c r="BY39">
        <v>0</v>
      </c>
      <c r="BZ39">
        <v>0</v>
      </c>
      <c r="CA39">
        <v>0</v>
      </c>
      <c r="CB39">
        <v>0</v>
      </c>
      <c r="CC39">
        <v>0</v>
      </c>
      <c r="CD39">
        <v>0</v>
      </c>
      <c r="CE39" t="s">
        <v>3108</v>
      </c>
      <c r="CF39" t="s">
        <v>3108</v>
      </c>
      <c r="CG39" t="s">
        <v>3108</v>
      </c>
      <c r="CH39" t="s">
        <v>3108</v>
      </c>
    </row>
    <row r="40" spans="1:86" x14ac:dyDescent="0.2">
      <c r="A40" t="s">
        <v>3327</v>
      </c>
      <c r="B40" t="s">
        <v>3327</v>
      </c>
      <c r="C40">
        <v>30282</v>
      </c>
      <c r="D40">
        <v>1059</v>
      </c>
      <c r="E40" t="s">
        <v>3328</v>
      </c>
      <c r="F40" t="s">
        <v>3249</v>
      </c>
      <c r="G40" t="s">
        <v>3249</v>
      </c>
      <c r="H40" t="s">
        <v>3250</v>
      </c>
      <c r="I40" t="s">
        <v>3250</v>
      </c>
      <c r="J40" t="s">
        <v>3250</v>
      </c>
      <c r="K40" t="s">
        <v>3250</v>
      </c>
      <c r="L40">
        <v>1200</v>
      </c>
      <c r="M40" t="s">
        <v>2368</v>
      </c>
      <c r="N40">
        <v>1204</v>
      </c>
      <c r="O40" t="s">
        <v>1574</v>
      </c>
      <c r="P40" t="s">
        <v>3108</v>
      </c>
      <c r="Q40" t="s">
        <v>3249</v>
      </c>
      <c r="R40" t="s">
        <v>3249</v>
      </c>
      <c r="S40" t="s">
        <v>472</v>
      </c>
      <c r="T40" t="s">
        <v>3251</v>
      </c>
      <c r="U40">
        <v>140</v>
      </c>
      <c r="V40" t="s">
        <v>1327</v>
      </c>
      <c r="W40">
        <v>140</v>
      </c>
      <c r="X40" t="s">
        <v>1327</v>
      </c>
      <c r="Y40" t="s">
        <v>3250</v>
      </c>
      <c r="Z40" t="s">
        <v>3250</v>
      </c>
      <c r="AA40" t="s">
        <v>3108</v>
      </c>
      <c r="AB40" t="s">
        <v>3108</v>
      </c>
      <c r="AC40" t="s">
        <v>3250</v>
      </c>
      <c r="AD40" t="s">
        <v>3250</v>
      </c>
      <c r="AE40" t="s">
        <v>3250</v>
      </c>
      <c r="AF40" t="s">
        <v>3250</v>
      </c>
      <c r="AG40" t="s">
        <v>3250</v>
      </c>
      <c r="AH40" t="s">
        <v>3250</v>
      </c>
      <c r="AI40" t="s">
        <v>3250</v>
      </c>
      <c r="AJ40" t="s">
        <v>3250</v>
      </c>
      <c r="AL40">
        <v>147</v>
      </c>
      <c r="AM40" t="s">
        <v>6</v>
      </c>
      <c r="AN40">
        <v>147</v>
      </c>
      <c r="AO40" t="s">
        <v>6</v>
      </c>
      <c r="AS40" t="s">
        <v>3250</v>
      </c>
      <c r="AT40" t="s">
        <v>3250</v>
      </c>
      <c r="AU40" t="s">
        <v>3250</v>
      </c>
      <c r="AV40" t="s">
        <v>3250</v>
      </c>
      <c r="AW40" t="s">
        <v>3250</v>
      </c>
      <c r="AX40" t="s">
        <v>3250</v>
      </c>
      <c r="AY40" t="s">
        <v>3250</v>
      </c>
      <c r="AZ40" t="s">
        <v>3250</v>
      </c>
      <c r="BA40" t="s">
        <v>3250</v>
      </c>
      <c r="BB40" t="s">
        <v>3250</v>
      </c>
      <c r="BC40" t="s">
        <v>3250</v>
      </c>
      <c r="BE40" t="s">
        <v>3250</v>
      </c>
      <c r="BF40" t="s">
        <v>3250</v>
      </c>
      <c r="BG40" t="s">
        <v>3250</v>
      </c>
      <c r="BH40" t="s">
        <v>3250</v>
      </c>
      <c r="BI40" t="s">
        <v>3250</v>
      </c>
      <c r="BK40" t="s">
        <v>3250</v>
      </c>
      <c r="BL40" t="s">
        <v>3250</v>
      </c>
      <c r="BM40" t="s">
        <v>3250</v>
      </c>
      <c r="BN40" t="s">
        <v>3250</v>
      </c>
      <c r="BP40">
        <v>1</v>
      </c>
      <c r="BQ40">
        <v>11</v>
      </c>
      <c r="BR40" t="s">
        <v>1574</v>
      </c>
      <c r="BS40" t="s">
        <v>3252</v>
      </c>
      <c r="BV40">
        <v>0</v>
      </c>
      <c r="BW40">
        <v>0</v>
      </c>
      <c r="BX40">
        <v>0</v>
      </c>
      <c r="BY40">
        <v>0</v>
      </c>
      <c r="BZ40">
        <v>0</v>
      </c>
      <c r="CA40">
        <v>0</v>
      </c>
      <c r="CB40">
        <v>0</v>
      </c>
      <c r="CC40">
        <v>0</v>
      </c>
      <c r="CD40">
        <v>0</v>
      </c>
      <c r="CE40" t="s">
        <v>3108</v>
      </c>
      <c r="CF40" t="s">
        <v>3108</v>
      </c>
      <c r="CG40" t="s">
        <v>3108</v>
      </c>
      <c r="CH40" t="s">
        <v>3108</v>
      </c>
    </row>
    <row r="41" spans="1:86" x14ac:dyDescent="0.2">
      <c r="A41" t="s">
        <v>3329</v>
      </c>
      <c r="B41" t="s">
        <v>3329</v>
      </c>
      <c r="C41">
        <v>30283</v>
      </c>
      <c r="D41">
        <v>1060</v>
      </c>
      <c r="E41" t="s">
        <v>3330</v>
      </c>
      <c r="F41" t="s">
        <v>3249</v>
      </c>
      <c r="G41" t="s">
        <v>3249</v>
      </c>
      <c r="H41" t="s">
        <v>3250</v>
      </c>
      <c r="I41" t="s">
        <v>3250</v>
      </c>
      <c r="J41" t="s">
        <v>3250</v>
      </c>
      <c r="K41" t="s">
        <v>3250</v>
      </c>
      <c r="L41">
        <v>1200</v>
      </c>
      <c r="M41" t="s">
        <v>2368</v>
      </c>
      <c r="N41">
        <v>1204</v>
      </c>
      <c r="O41" t="s">
        <v>1574</v>
      </c>
      <c r="P41" t="s">
        <v>3108</v>
      </c>
      <c r="Q41" t="s">
        <v>3249</v>
      </c>
      <c r="R41" t="s">
        <v>3249</v>
      </c>
      <c r="S41" t="s">
        <v>472</v>
      </c>
      <c r="T41" t="s">
        <v>3251</v>
      </c>
      <c r="U41">
        <v>140</v>
      </c>
      <c r="V41" t="s">
        <v>1327</v>
      </c>
      <c r="W41">
        <v>140</v>
      </c>
      <c r="X41" t="s">
        <v>1327</v>
      </c>
      <c r="Y41" t="s">
        <v>3250</v>
      </c>
      <c r="Z41" t="s">
        <v>3250</v>
      </c>
      <c r="AA41" t="s">
        <v>3108</v>
      </c>
      <c r="AB41" t="s">
        <v>3108</v>
      </c>
      <c r="AC41" t="s">
        <v>3250</v>
      </c>
      <c r="AD41" t="s">
        <v>3250</v>
      </c>
      <c r="AE41" t="s">
        <v>3250</v>
      </c>
      <c r="AF41" t="s">
        <v>3250</v>
      </c>
      <c r="AG41" t="s">
        <v>3250</v>
      </c>
      <c r="AH41" t="s">
        <v>3250</v>
      </c>
      <c r="AI41" t="s">
        <v>3250</v>
      </c>
      <c r="AJ41" t="s">
        <v>3250</v>
      </c>
      <c r="AL41">
        <v>141</v>
      </c>
      <c r="AM41" t="s">
        <v>1327</v>
      </c>
      <c r="AN41">
        <v>141</v>
      </c>
      <c r="AO41" t="s">
        <v>1327</v>
      </c>
      <c r="AS41" t="s">
        <v>3250</v>
      </c>
      <c r="AT41" t="s">
        <v>3250</v>
      </c>
      <c r="AU41" t="s">
        <v>3250</v>
      </c>
      <c r="AV41" t="s">
        <v>3250</v>
      </c>
      <c r="AW41" t="s">
        <v>3250</v>
      </c>
      <c r="AX41" t="s">
        <v>3250</v>
      </c>
      <c r="AY41" t="s">
        <v>3250</v>
      </c>
      <c r="AZ41" t="s">
        <v>3250</v>
      </c>
      <c r="BA41" t="s">
        <v>3250</v>
      </c>
      <c r="BB41" t="s">
        <v>3250</v>
      </c>
      <c r="BC41" t="s">
        <v>3250</v>
      </c>
      <c r="BE41" t="s">
        <v>3250</v>
      </c>
      <c r="BF41" t="s">
        <v>3250</v>
      </c>
      <c r="BG41" t="s">
        <v>3250</v>
      </c>
      <c r="BH41" t="s">
        <v>3250</v>
      </c>
      <c r="BI41" t="s">
        <v>3250</v>
      </c>
      <c r="BK41" t="s">
        <v>3250</v>
      </c>
      <c r="BL41" t="s">
        <v>3250</v>
      </c>
      <c r="BM41" t="s">
        <v>3250</v>
      </c>
      <c r="BN41" t="s">
        <v>3250</v>
      </c>
      <c r="BP41">
        <v>1</v>
      </c>
      <c r="BQ41">
        <v>11</v>
      </c>
      <c r="BR41" t="s">
        <v>1574</v>
      </c>
      <c r="BS41" t="s">
        <v>3252</v>
      </c>
      <c r="BV41">
        <v>0</v>
      </c>
      <c r="BW41">
        <v>0</v>
      </c>
      <c r="BX41">
        <v>0</v>
      </c>
      <c r="BY41">
        <v>0</v>
      </c>
      <c r="BZ41">
        <v>0</v>
      </c>
      <c r="CA41">
        <v>0</v>
      </c>
      <c r="CB41">
        <v>0</v>
      </c>
      <c r="CC41">
        <v>0</v>
      </c>
      <c r="CD41">
        <v>0</v>
      </c>
      <c r="CE41" t="s">
        <v>3108</v>
      </c>
      <c r="CF41" t="s">
        <v>3108</v>
      </c>
      <c r="CG41" t="s">
        <v>3108</v>
      </c>
      <c r="CH41" t="s">
        <v>3108</v>
      </c>
    </row>
    <row r="42" spans="1:86" x14ac:dyDescent="0.2">
      <c r="A42" t="s">
        <v>3331</v>
      </c>
      <c r="B42" t="s">
        <v>3331</v>
      </c>
      <c r="C42">
        <v>30284</v>
      </c>
      <c r="D42">
        <v>1061</v>
      </c>
      <c r="E42" t="s">
        <v>3332</v>
      </c>
      <c r="F42" t="s">
        <v>3249</v>
      </c>
      <c r="G42" t="s">
        <v>3249</v>
      </c>
      <c r="H42" t="s">
        <v>3250</v>
      </c>
      <c r="I42" t="s">
        <v>3250</v>
      </c>
      <c r="J42" t="s">
        <v>3250</v>
      </c>
      <c r="K42" t="s">
        <v>3250</v>
      </c>
      <c r="L42">
        <v>1200</v>
      </c>
      <c r="M42" t="s">
        <v>2368</v>
      </c>
      <c r="N42">
        <v>1204</v>
      </c>
      <c r="O42" t="s">
        <v>1574</v>
      </c>
      <c r="P42" t="s">
        <v>3108</v>
      </c>
      <c r="Q42" t="s">
        <v>3249</v>
      </c>
      <c r="R42" t="s">
        <v>3249</v>
      </c>
      <c r="S42" t="s">
        <v>472</v>
      </c>
      <c r="T42" t="s">
        <v>3251</v>
      </c>
      <c r="U42">
        <v>140</v>
      </c>
      <c r="V42" t="s">
        <v>1327</v>
      </c>
      <c r="W42">
        <v>140</v>
      </c>
      <c r="X42" t="s">
        <v>1327</v>
      </c>
      <c r="Y42" t="s">
        <v>3250</v>
      </c>
      <c r="Z42" t="s">
        <v>3250</v>
      </c>
      <c r="AA42" t="s">
        <v>3108</v>
      </c>
      <c r="AB42" t="s">
        <v>3108</v>
      </c>
      <c r="AC42" t="s">
        <v>3250</v>
      </c>
      <c r="AD42" t="s">
        <v>3250</v>
      </c>
      <c r="AE42" t="s">
        <v>3250</v>
      </c>
      <c r="AF42" t="s">
        <v>3250</v>
      </c>
      <c r="AG42" t="s">
        <v>3250</v>
      </c>
      <c r="AH42" t="s">
        <v>3250</v>
      </c>
      <c r="AI42" t="s">
        <v>3250</v>
      </c>
      <c r="AJ42" t="s">
        <v>3250</v>
      </c>
      <c r="AL42">
        <v>141</v>
      </c>
      <c r="AM42" t="s">
        <v>1327</v>
      </c>
      <c r="AN42">
        <v>141</v>
      </c>
      <c r="AO42" t="s">
        <v>1327</v>
      </c>
      <c r="AS42" t="s">
        <v>3250</v>
      </c>
      <c r="AT42" t="s">
        <v>3250</v>
      </c>
      <c r="AU42" t="s">
        <v>3250</v>
      </c>
      <c r="AV42" t="s">
        <v>3250</v>
      </c>
      <c r="AW42" t="s">
        <v>3250</v>
      </c>
      <c r="AX42" t="s">
        <v>3250</v>
      </c>
      <c r="AY42" t="s">
        <v>3250</v>
      </c>
      <c r="AZ42" t="s">
        <v>3250</v>
      </c>
      <c r="BA42" t="s">
        <v>3250</v>
      </c>
      <c r="BB42" t="s">
        <v>3250</v>
      </c>
      <c r="BC42" t="s">
        <v>3250</v>
      </c>
      <c r="BE42" t="s">
        <v>3250</v>
      </c>
      <c r="BF42" t="s">
        <v>3250</v>
      </c>
      <c r="BG42" t="s">
        <v>3250</v>
      </c>
      <c r="BH42" t="s">
        <v>3250</v>
      </c>
      <c r="BI42" t="s">
        <v>3250</v>
      </c>
      <c r="BK42" t="s">
        <v>3250</v>
      </c>
      <c r="BL42" t="s">
        <v>3250</v>
      </c>
      <c r="BM42" t="s">
        <v>3250</v>
      </c>
      <c r="BN42" t="s">
        <v>3250</v>
      </c>
      <c r="BP42">
        <v>1</v>
      </c>
      <c r="BQ42">
        <v>11</v>
      </c>
      <c r="BR42" t="s">
        <v>1574</v>
      </c>
      <c r="BS42" t="s">
        <v>3252</v>
      </c>
      <c r="BV42">
        <v>0</v>
      </c>
      <c r="BW42">
        <v>0</v>
      </c>
      <c r="BX42">
        <v>0</v>
      </c>
      <c r="BY42">
        <v>0</v>
      </c>
      <c r="BZ42">
        <v>0</v>
      </c>
      <c r="CA42">
        <v>0</v>
      </c>
      <c r="CB42">
        <v>0</v>
      </c>
      <c r="CC42">
        <v>0</v>
      </c>
      <c r="CD42">
        <v>0</v>
      </c>
      <c r="CE42" t="s">
        <v>3108</v>
      </c>
      <c r="CF42" t="s">
        <v>3108</v>
      </c>
      <c r="CG42" t="s">
        <v>3108</v>
      </c>
      <c r="CH42" t="s">
        <v>3108</v>
      </c>
    </row>
    <row r="43" spans="1:86" x14ac:dyDescent="0.2">
      <c r="A43" t="s">
        <v>3333</v>
      </c>
      <c r="B43" t="s">
        <v>3333</v>
      </c>
      <c r="C43">
        <v>30285</v>
      </c>
      <c r="D43">
        <v>1062</v>
      </c>
      <c r="E43" t="s">
        <v>3334</v>
      </c>
      <c r="F43" t="s">
        <v>3249</v>
      </c>
      <c r="G43" t="s">
        <v>3249</v>
      </c>
      <c r="H43" t="s">
        <v>3250</v>
      </c>
      <c r="I43" t="s">
        <v>3250</v>
      </c>
      <c r="J43" t="s">
        <v>3250</v>
      </c>
      <c r="K43" t="s">
        <v>3250</v>
      </c>
      <c r="L43">
        <v>1200</v>
      </c>
      <c r="M43" t="s">
        <v>2368</v>
      </c>
      <c r="N43">
        <v>1204</v>
      </c>
      <c r="O43" t="s">
        <v>1574</v>
      </c>
      <c r="P43" t="s">
        <v>3108</v>
      </c>
      <c r="Q43" t="s">
        <v>3249</v>
      </c>
      <c r="R43" t="s">
        <v>3249</v>
      </c>
      <c r="S43" t="s">
        <v>472</v>
      </c>
      <c r="T43" t="s">
        <v>3251</v>
      </c>
      <c r="U43">
        <v>140</v>
      </c>
      <c r="V43" t="s">
        <v>1327</v>
      </c>
      <c r="W43">
        <v>140</v>
      </c>
      <c r="X43" t="s">
        <v>1327</v>
      </c>
      <c r="Y43" t="s">
        <v>3250</v>
      </c>
      <c r="Z43" t="s">
        <v>3250</v>
      </c>
      <c r="AA43" t="s">
        <v>3108</v>
      </c>
      <c r="AB43" t="s">
        <v>3108</v>
      </c>
      <c r="AC43" t="s">
        <v>3250</v>
      </c>
      <c r="AD43" t="s">
        <v>3250</v>
      </c>
      <c r="AE43" t="s">
        <v>3250</v>
      </c>
      <c r="AF43" t="s">
        <v>3250</v>
      </c>
      <c r="AG43" t="s">
        <v>3250</v>
      </c>
      <c r="AH43" t="s">
        <v>3250</v>
      </c>
      <c r="AI43" t="s">
        <v>3250</v>
      </c>
      <c r="AJ43" t="s">
        <v>3250</v>
      </c>
      <c r="AL43">
        <v>141</v>
      </c>
      <c r="AM43" t="s">
        <v>1327</v>
      </c>
      <c r="AN43">
        <v>141</v>
      </c>
      <c r="AO43" t="s">
        <v>1327</v>
      </c>
      <c r="AS43" t="s">
        <v>3250</v>
      </c>
      <c r="AT43" t="s">
        <v>3250</v>
      </c>
      <c r="AU43" t="s">
        <v>3250</v>
      </c>
      <c r="AV43" t="s">
        <v>3250</v>
      </c>
      <c r="AW43" t="s">
        <v>3250</v>
      </c>
      <c r="AX43" t="s">
        <v>3250</v>
      </c>
      <c r="AY43" t="s">
        <v>3250</v>
      </c>
      <c r="AZ43" t="s">
        <v>3250</v>
      </c>
      <c r="BA43" t="s">
        <v>3250</v>
      </c>
      <c r="BB43" t="s">
        <v>3250</v>
      </c>
      <c r="BC43" t="s">
        <v>3250</v>
      </c>
      <c r="BE43" t="s">
        <v>3250</v>
      </c>
      <c r="BF43" t="s">
        <v>3250</v>
      </c>
      <c r="BG43" t="s">
        <v>3250</v>
      </c>
      <c r="BH43" t="s">
        <v>3250</v>
      </c>
      <c r="BI43" t="s">
        <v>3250</v>
      </c>
      <c r="BK43" t="s">
        <v>3250</v>
      </c>
      <c r="BL43" t="s">
        <v>3250</v>
      </c>
      <c r="BM43" t="s">
        <v>3250</v>
      </c>
      <c r="BN43" t="s">
        <v>3250</v>
      </c>
      <c r="BP43">
        <v>1</v>
      </c>
      <c r="BQ43">
        <v>11</v>
      </c>
      <c r="BR43" t="s">
        <v>1574</v>
      </c>
      <c r="BS43" t="s">
        <v>3252</v>
      </c>
      <c r="BV43">
        <v>0</v>
      </c>
      <c r="BW43">
        <v>0</v>
      </c>
      <c r="BX43">
        <v>0</v>
      </c>
      <c r="BY43">
        <v>0</v>
      </c>
      <c r="BZ43">
        <v>0</v>
      </c>
      <c r="CA43">
        <v>0</v>
      </c>
      <c r="CB43">
        <v>0</v>
      </c>
      <c r="CC43">
        <v>0</v>
      </c>
      <c r="CD43">
        <v>0</v>
      </c>
      <c r="CE43" t="s">
        <v>3108</v>
      </c>
      <c r="CF43" t="s">
        <v>3108</v>
      </c>
      <c r="CG43" t="s">
        <v>3108</v>
      </c>
      <c r="CH43" t="s">
        <v>3108</v>
      </c>
    </row>
    <row r="44" spans="1:86" x14ac:dyDescent="0.2">
      <c r="A44" t="s">
        <v>3335</v>
      </c>
      <c r="B44" t="s">
        <v>3335</v>
      </c>
      <c r="C44">
        <v>30286</v>
      </c>
      <c r="D44">
        <v>1063</v>
      </c>
      <c r="E44" t="s">
        <v>3336</v>
      </c>
      <c r="F44" t="s">
        <v>3249</v>
      </c>
      <c r="G44" t="s">
        <v>3249</v>
      </c>
      <c r="H44" t="s">
        <v>3250</v>
      </c>
      <c r="I44" t="s">
        <v>3250</v>
      </c>
      <c r="J44" t="s">
        <v>3250</v>
      </c>
      <c r="K44" t="s">
        <v>3250</v>
      </c>
      <c r="L44">
        <v>1200</v>
      </c>
      <c r="M44" t="s">
        <v>2368</v>
      </c>
      <c r="N44">
        <v>1204</v>
      </c>
      <c r="O44" t="s">
        <v>1574</v>
      </c>
      <c r="P44" t="s">
        <v>3108</v>
      </c>
      <c r="Q44" t="s">
        <v>3249</v>
      </c>
      <c r="R44" t="s">
        <v>3249</v>
      </c>
      <c r="S44" t="s">
        <v>472</v>
      </c>
      <c r="T44" t="s">
        <v>3251</v>
      </c>
      <c r="U44">
        <v>140</v>
      </c>
      <c r="V44" t="s">
        <v>1327</v>
      </c>
      <c r="W44">
        <v>140</v>
      </c>
      <c r="X44" t="s">
        <v>1327</v>
      </c>
      <c r="Y44" t="s">
        <v>3250</v>
      </c>
      <c r="Z44" t="s">
        <v>3250</v>
      </c>
      <c r="AA44" t="s">
        <v>3108</v>
      </c>
      <c r="AB44" t="s">
        <v>3108</v>
      </c>
      <c r="AC44" t="s">
        <v>3250</v>
      </c>
      <c r="AD44" t="s">
        <v>3250</v>
      </c>
      <c r="AE44" t="s">
        <v>3250</v>
      </c>
      <c r="AF44" t="s">
        <v>3250</v>
      </c>
      <c r="AG44" t="s">
        <v>3250</v>
      </c>
      <c r="AH44" t="s">
        <v>3250</v>
      </c>
      <c r="AI44" t="s">
        <v>3250</v>
      </c>
      <c r="AJ44" t="s">
        <v>3250</v>
      </c>
      <c r="AL44">
        <v>146</v>
      </c>
      <c r="AM44" t="s">
        <v>5</v>
      </c>
      <c r="AN44">
        <v>146</v>
      </c>
      <c r="AO44" t="s">
        <v>5</v>
      </c>
      <c r="AS44" t="s">
        <v>3250</v>
      </c>
      <c r="AT44" t="s">
        <v>3250</v>
      </c>
      <c r="AU44" t="s">
        <v>3250</v>
      </c>
      <c r="AV44" t="s">
        <v>3250</v>
      </c>
      <c r="AW44" t="s">
        <v>3250</v>
      </c>
      <c r="AX44" t="s">
        <v>3250</v>
      </c>
      <c r="AY44" t="s">
        <v>3250</v>
      </c>
      <c r="AZ44" t="s">
        <v>3250</v>
      </c>
      <c r="BA44" t="s">
        <v>3250</v>
      </c>
      <c r="BB44" t="s">
        <v>3250</v>
      </c>
      <c r="BC44" t="s">
        <v>3250</v>
      </c>
      <c r="BE44" t="s">
        <v>3250</v>
      </c>
      <c r="BF44" t="s">
        <v>3250</v>
      </c>
      <c r="BG44" t="s">
        <v>3250</v>
      </c>
      <c r="BH44" t="s">
        <v>3250</v>
      </c>
      <c r="BI44" t="s">
        <v>3250</v>
      </c>
      <c r="BK44" t="s">
        <v>3250</v>
      </c>
      <c r="BL44" t="s">
        <v>3250</v>
      </c>
      <c r="BM44" t="s">
        <v>3250</v>
      </c>
      <c r="BN44" t="s">
        <v>3250</v>
      </c>
      <c r="BP44">
        <v>1</v>
      </c>
      <c r="BQ44">
        <v>11</v>
      </c>
      <c r="BR44" t="s">
        <v>1574</v>
      </c>
      <c r="BS44" t="s">
        <v>3252</v>
      </c>
      <c r="BV44">
        <v>0</v>
      </c>
      <c r="BW44">
        <v>0</v>
      </c>
      <c r="BX44">
        <v>0</v>
      </c>
      <c r="BY44">
        <v>0</v>
      </c>
      <c r="BZ44">
        <v>0</v>
      </c>
      <c r="CA44">
        <v>0</v>
      </c>
      <c r="CB44">
        <v>0</v>
      </c>
      <c r="CC44">
        <v>0</v>
      </c>
      <c r="CD44">
        <v>0</v>
      </c>
      <c r="CE44" t="s">
        <v>3108</v>
      </c>
      <c r="CF44" t="s">
        <v>3108</v>
      </c>
      <c r="CG44" t="s">
        <v>3108</v>
      </c>
      <c r="CH44" t="s">
        <v>3108</v>
      </c>
    </row>
    <row r="45" spans="1:86" x14ac:dyDescent="0.2">
      <c r="A45" t="s">
        <v>3337</v>
      </c>
      <c r="B45" t="s">
        <v>3337</v>
      </c>
      <c r="C45">
        <v>30287</v>
      </c>
      <c r="D45">
        <v>1064</v>
      </c>
      <c r="E45" t="s">
        <v>3338</v>
      </c>
      <c r="F45" t="s">
        <v>3249</v>
      </c>
      <c r="G45" t="s">
        <v>3249</v>
      </c>
      <c r="H45" t="s">
        <v>3250</v>
      </c>
      <c r="I45" t="s">
        <v>3250</v>
      </c>
      <c r="J45" t="s">
        <v>3250</v>
      </c>
      <c r="K45" t="s">
        <v>3250</v>
      </c>
      <c r="L45">
        <v>1200</v>
      </c>
      <c r="M45" t="s">
        <v>2368</v>
      </c>
      <c r="N45">
        <v>1204</v>
      </c>
      <c r="O45" t="s">
        <v>1574</v>
      </c>
      <c r="P45" t="s">
        <v>3108</v>
      </c>
      <c r="Q45" t="s">
        <v>3249</v>
      </c>
      <c r="R45" t="s">
        <v>3249</v>
      </c>
      <c r="S45" t="s">
        <v>472</v>
      </c>
      <c r="T45" t="s">
        <v>3251</v>
      </c>
      <c r="U45">
        <v>140</v>
      </c>
      <c r="V45" t="s">
        <v>1327</v>
      </c>
      <c r="W45">
        <v>140</v>
      </c>
      <c r="X45" t="s">
        <v>1327</v>
      </c>
      <c r="Y45" t="s">
        <v>3250</v>
      </c>
      <c r="Z45" t="s">
        <v>3250</v>
      </c>
      <c r="AA45" t="s">
        <v>3108</v>
      </c>
      <c r="AB45" t="s">
        <v>3108</v>
      </c>
      <c r="AC45" t="s">
        <v>3250</v>
      </c>
      <c r="AD45" t="s">
        <v>3250</v>
      </c>
      <c r="AE45" t="s">
        <v>3250</v>
      </c>
      <c r="AF45" t="s">
        <v>3250</v>
      </c>
      <c r="AG45" t="s">
        <v>3250</v>
      </c>
      <c r="AH45" t="s">
        <v>3250</v>
      </c>
      <c r="AI45" t="s">
        <v>3250</v>
      </c>
      <c r="AJ45" t="s">
        <v>3250</v>
      </c>
      <c r="AL45">
        <v>146</v>
      </c>
      <c r="AM45" t="s">
        <v>5</v>
      </c>
      <c r="AN45">
        <v>146</v>
      </c>
      <c r="AO45" t="s">
        <v>5</v>
      </c>
      <c r="AS45" t="s">
        <v>3250</v>
      </c>
      <c r="AT45" t="s">
        <v>3250</v>
      </c>
      <c r="AU45" t="s">
        <v>3250</v>
      </c>
      <c r="AV45" t="s">
        <v>3250</v>
      </c>
      <c r="AW45" t="s">
        <v>3250</v>
      </c>
      <c r="AX45" t="s">
        <v>3250</v>
      </c>
      <c r="AY45" t="s">
        <v>3250</v>
      </c>
      <c r="AZ45" t="s">
        <v>3250</v>
      </c>
      <c r="BA45" t="s">
        <v>3250</v>
      </c>
      <c r="BB45" t="s">
        <v>3250</v>
      </c>
      <c r="BC45" t="s">
        <v>3250</v>
      </c>
      <c r="BE45" t="s">
        <v>3250</v>
      </c>
      <c r="BF45" t="s">
        <v>3250</v>
      </c>
      <c r="BG45" t="s">
        <v>3250</v>
      </c>
      <c r="BH45" t="s">
        <v>3250</v>
      </c>
      <c r="BI45" t="s">
        <v>3250</v>
      </c>
      <c r="BK45" t="s">
        <v>3250</v>
      </c>
      <c r="BL45" t="s">
        <v>3250</v>
      </c>
      <c r="BM45" t="s">
        <v>3250</v>
      </c>
      <c r="BN45" t="s">
        <v>3250</v>
      </c>
      <c r="BP45">
        <v>1</v>
      </c>
      <c r="BQ45">
        <v>11</v>
      </c>
      <c r="BR45" t="s">
        <v>1574</v>
      </c>
      <c r="BS45" t="s">
        <v>3252</v>
      </c>
      <c r="BV45">
        <v>0</v>
      </c>
      <c r="BW45">
        <v>0</v>
      </c>
      <c r="BX45">
        <v>0</v>
      </c>
      <c r="BY45">
        <v>0</v>
      </c>
      <c r="BZ45">
        <v>0</v>
      </c>
      <c r="CA45">
        <v>0</v>
      </c>
      <c r="CB45">
        <v>0</v>
      </c>
      <c r="CC45">
        <v>0</v>
      </c>
      <c r="CD45">
        <v>0</v>
      </c>
      <c r="CE45" t="s">
        <v>3108</v>
      </c>
      <c r="CF45" t="s">
        <v>3108</v>
      </c>
      <c r="CG45" t="s">
        <v>3108</v>
      </c>
      <c r="CH45" t="s">
        <v>3108</v>
      </c>
    </row>
    <row r="46" spans="1:86" x14ac:dyDescent="0.2">
      <c r="A46" t="s">
        <v>3339</v>
      </c>
      <c r="B46" t="s">
        <v>3339</v>
      </c>
      <c r="C46">
        <v>30288</v>
      </c>
      <c r="D46">
        <v>1065</v>
      </c>
      <c r="E46" t="s">
        <v>3340</v>
      </c>
      <c r="F46" t="s">
        <v>3249</v>
      </c>
      <c r="G46" t="s">
        <v>3249</v>
      </c>
      <c r="H46" t="s">
        <v>3250</v>
      </c>
      <c r="I46" t="s">
        <v>3250</v>
      </c>
      <c r="J46" t="s">
        <v>3250</v>
      </c>
      <c r="K46" t="s">
        <v>3250</v>
      </c>
      <c r="L46">
        <v>1200</v>
      </c>
      <c r="M46" t="s">
        <v>2368</v>
      </c>
      <c r="N46">
        <v>1204</v>
      </c>
      <c r="O46" t="s">
        <v>1574</v>
      </c>
      <c r="P46" t="s">
        <v>3108</v>
      </c>
      <c r="Q46" t="s">
        <v>3249</v>
      </c>
      <c r="R46" t="s">
        <v>3249</v>
      </c>
      <c r="S46" t="s">
        <v>472</v>
      </c>
      <c r="T46" t="s">
        <v>3251</v>
      </c>
      <c r="U46">
        <v>140</v>
      </c>
      <c r="V46" t="s">
        <v>1327</v>
      </c>
      <c r="W46">
        <v>140</v>
      </c>
      <c r="X46" t="s">
        <v>1327</v>
      </c>
      <c r="Y46" t="s">
        <v>3250</v>
      </c>
      <c r="Z46" t="s">
        <v>3250</v>
      </c>
      <c r="AA46" t="s">
        <v>3108</v>
      </c>
      <c r="AB46" t="s">
        <v>3108</v>
      </c>
      <c r="AC46" t="s">
        <v>3250</v>
      </c>
      <c r="AD46" t="s">
        <v>3250</v>
      </c>
      <c r="AE46" t="s">
        <v>3250</v>
      </c>
      <c r="AF46" t="s">
        <v>3250</v>
      </c>
      <c r="AG46" t="s">
        <v>3250</v>
      </c>
      <c r="AH46" t="s">
        <v>3250</v>
      </c>
      <c r="AI46" t="s">
        <v>3250</v>
      </c>
      <c r="AJ46" t="s">
        <v>3250</v>
      </c>
      <c r="AL46">
        <v>141</v>
      </c>
      <c r="AM46" t="s">
        <v>1327</v>
      </c>
      <c r="AN46">
        <v>141</v>
      </c>
      <c r="AO46" t="s">
        <v>1327</v>
      </c>
      <c r="AS46" t="s">
        <v>3250</v>
      </c>
      <c r="AT46" t="s">
        <v>3250</v>
      </c>
      <c r="AU46" t="s">
        <v>3250</v>
      </c>
      <c r="AV46" t="s">
        <v>3250</v>
      </c>
      <c r="AW46" t="s">
        <v>3250</v>
      </c>
      <c r="AX46" t="s">
        <v>3250</v>
      </c>
      <c r="AY46" t="s">
        <v>3250</v>
      </c>
      <c r="AZ46" t="s">
        <v>3250</v>
      </c>
      <c r="BA46" t="s">
        <v>3250</v>
      </c>
      <c r="BB46" t="s">
        <v>3250</v>
      </c>
      <c r="BC46" t="s">
        <v>3250</v>
      </c>
      <c r="BE46" t="s">
        <v>3250</v>
      </c>
      <c r="BF46" t="s">
        <v>3250</v>
      </c>
      <c r="BG46" t="s">
        <v>3250</v>
      </c>
      <c r="BH46" t="s">
        <v>3250</v>
      </c>
      <c r="BI46" t="s">
        <v>3250</v>
      </c>
      <c r="BK46" t="s">
        <v>3250</v>
      </c>
      <c r="BL46" t="s">
        <v>3250</v>
      </c>
      <c r="BM46" t="s">
        <v>3250</v>
      </c>
      <c r="BN46" t="s">
        <v>3250</v>
      </c>
      <c r="BP46">
        <v>1</v>
      </c>
      <c r="BQ46">
        <v>11</v>
      </c>
      <c r="BR46" t="s">
        <v>1574</v>
      </c>
      <c r="BS46" t="s">
        <v>3252</v>
      </c>
      <c r="BV46">
        <v>0</v>
      </c>
      <c r="BW46">
        <v>0</v>
      </c>
      <c r="BX46">
        <v>0</v>
      </c>
      <c r="BY46">
        <v>0</v>
      </c>
      <c r="BZ46">
        <v>0</v>
      </c>
      <c r="CA46">
        <v>0</v>
      </c>
      <c r="CB46">
        <v>0</v>
      </c>
      <c r="CC46">
        <v>0</v>
      </c>
      <c r="CD46">
        <v>0</v>
      </c>
      <c r="CE46" t="s">
        <v>3108</v>
      </c>
      <c r="CF46" t="s">
        <v>3108</v>
      </c>
      <c r="CG46" t="s">
        <v>3108</v>
      </c>
      <c r="CH46" t="s">
        <v>3108</v>
      </c>
    </row>
    <row r="47" spans="1:86" x14ac:dyDescent="0.2">
      <c r="A47" t="s">
        <v>3341</v>
      </c>
      <c r="B47" t="s">
        <v>3341</v>
      </c>
      <c r="C47">
        <v>30289</v>
      </c>
      <c r="D47">
        <v>1066</v>
      </c>
      <c r="E47" t="s">
        <v>3342</v>
      </c>
      <c r="F47" t="s">
        <v>3249</v>
      </c>
      <c r="G47" t="s">
        <v>3249</v>
      </c>
      <c r="H47" t="s">
        <v>3250</v>
      </c>
      <c r="I47" t="s">
        <v>3250</v>
      </c>
      <c r="J47" t="s">
        <v>3250</v>
      </c>
      <c r="K47" t="s">
        <v>3250</v>
      </c>
      <c r="L47">
        <v>1200</v>
      </c>
      <c r="M47" t="s">
        <v>2368</v>
      </c>
      <c r="N47">
        <v>1204</v>
      </c>
      <c r="O47" t="s">
        <v>1574</v>
      </c>
      <c r="P47" t="s">
        <v>3108</v>
      </c>
      <c r="Q47" t="s">
        <v>3249</v>
      </c>
      <c r="R47" t="s">
        <v>3249</v>
      </c>
      <c r="S47" t="s">
        <v>472</v>
      </c>
      <c r="T47" t="s">
        <v>3251</v>
      </c>
      <c r="U47">
        <v>140</v>
      </c>
      <c r="V47" t="s">
        <v>1327</v>
      </c>
      <c r="W47">
        <v>140</v>
      </c>
      <c r="X47" t="s">
        <v>1327</v>
      </c>
      <c r="Y47" t="s">
        <v>3250</v>
      </c>
      <c r="Z47" t="s">
        <v>3250</v>
      </c>
      <c r="AA47" t="s">
        <v>3108</v>
      </c>
      <c r="AB47" t="s">
        <v>3108</v>
      </c>
      <c r="AC47" t="s">
        <v>3250</v>
      </c>
      <c r="AD47" t="s">
        <v>3250</v>
      </c>
      <c r="AE47" t="s">
        <v>3250</v>
      </c>
      <c r="AF47" t="s">
        <v>3250</v>
      </c>
      <c r="AG47" t="s">
        <v>3250</v>
      </c>
      <c r="AH47" t="s">
        <v>3250</v>
      </c>
      <c r="AI47" t="s">
        <v>3250</v>
      </c>
      <c r="AJ47" t="s">
        <v>3250</v>
      </c>
      <c r="AL47">
        <v>141</v>
      </c>
      <c r="AM47" t="s">
        <v>1327</v>
      </c>
      <c r="AN47">
        <v>141</v>
      </c>
      <c r="AO47" t="s">
        <v>1327</v>
      </c>
      <c r="AS47" t="s">
        <v>3250</v>
      </c>
      <c r="AT47" t="s">
        <v>3250</v>
      </c>
      <c r="AU47" t="s">
        <v>3250</v>
      </c>
      <c r="AV47" t="s">
        <v>3250</v>
      </c>
      <c r="AW47" t="s">
        <v>3250</v>
      </c>
      <c r="AX47" t="s">
        <v>3250</v>
      </c>
      <c r="AY47" t="s">
        <v>3250</v>
      </c>
      <c r="AZ47" t="s">
        <v>3250</v>
      </c>
      <c r="BA47" t="s">
        <v>3250</v>
      </c>
      <c r="BB47" t="s">
        <v>3250</v>
      </c>
      <c r="BC47" t="s">
        <v>3250</v>
      </c>
      <c r="BE47" t="s">
        <v>3250</v>
      </c>
      <c r="BF47" t="s">
        <v>3250</v>
      </c>
      <c r="BG47" t="s">
        <v>3250</v>
      </c>
      <c r="BH47" t="s">
        <v>3250</v>
      </c>
      <c r="BI47" t="s">
        <v>3250</v>
      </c>
      <c r="BK47" t="s">
        <v>3250</v>
      </c>
      <c r="BL47" t="s">
        <v>3250</v>
      </c>
      <c r="BM47" t="s">
        <v>3250</v>
      </c>
      <c r="BN47" t="s">
        <v>3250</v>
      </c>
      <c r="BP47">
        <v>1</v>
      </c>
      <c r="BQ47">
        <v>11</v>
      </c>
      <c r="BR47" t="s">
        <v>1574</v>
      </c>
      <c r="BS47" t="s">
        <v>3252</v>
      </c>
      <c r="BV47">
        <v>0</v>
      </c>
      <c r="BW47">
        <v>0</v>
      </c>
      <c r="BX47">
        <v>0</v>
      </c>
      <c r="BY47">
        <v>0</v>
      </c>
      <c r="BZ47">
        <v>0</v>
      </c>
      <c r="CA47">
        <v>0</v>
      </c>
      <c r="CB47">
        <v>0</v>
      </c>
      <c r="CC47">
        <v>0</v>
      </c>
      <c r="CD47">
        <v>0</v>
      </c>
      <c r="CE47" t="s">
        <v>3108</v>
      </c>
      <c r="CF47" t="s">
        <v>3108</v>
      </c>
      <c r="CG47" t="s">
        <v>3108</v>
      </c>
      <c r="CH47" t="s">
        <v>3108</v>
      </c>
    </row>
    <row r="48" spans="1:86" x14ac:dyDescent="0.2">
      <c r="A48" t="s">
        <v>3343</v>
      </c>
      <c r="B48" t="s">
        <v>3343</v>
      </c>
      <c r="C48">
        <v>30290</v>
      </c>
      <c r="D48">
        <v>1067</v>
      </c>
      <c r="E48" t="s">
        <v>3344</v>
      </c>
      <c r="F48" t="s">
        <v>3249</v>
      </c>
      <c r="G48" t="s">
        <v>3249</v>
      </c>
      <c r="H48" t="s">
        <v>3250</v>
      </c>
      <c r="I48" t="s">
        <v>3250</v>
      </c>
      <c r="J48" t="s">
        <v>3250</v>
      </c>
      <c r="K48" t="s">
        <v>3250</v>
      </c>
      <c r="L48">
        <v>1200</v>
      </c>
      <c r="M48" t="s">
        <v>2368</v>
      </c>
      <c r="N48">
        <v>1204</v>
      </c>
      <c r="O48" t="s">
        <v>1574</v>
      </c>
      <c r="P48" t="s">
        <v>3108</v>
      </c>
      <c r="Q48" t="s">
        <v>3249</v>
      </c>
      <c r="R48" t="s">
        <v>3249</v>
      </c>
      <c r="S48" t="s">
        <v>472</v>
      </c>
      <c r="T48" t="s">
        <v>3251</v>
      </c>
      <c r="U48">
        <v>140</v>
      </c>
      <c r="V48" t="s">
        <v>1327</v>
      </c>
      <c r="W48">
        <v>140</v>
      </c>
      <c r="X48" t="s">
        <v>1327</v>
      </c>
      <c r="Y48" t="s">
        <v>3250</v>
      </c>
      <c r="Z48" t="s">
        <v>3250</v>
      </c>
      <c r="AA48" t="s">
        <v>3108</v>
      </c>
      <c r="AB48" t="s">
        <v>3108</v>
      </c>
      <c r="AC48" t="s">
        <v>3250</v>
      </c>
      <c r="AD48" t="s">
        <v>3250</v>
      </c>
      <c r="AE48" t="s">
        <v>3250</v>
      </c>
      <c r="AF48" t="s">
        <v>3250</v>
      </c>
      <c r="AG48" t="s">
        <v>3250</v>
      </c>
      <c r="AH48" t="s">
        <v>3250</v>
      </c>
      <c r="AI48" t="s">
        <v>3250</v>
      </c>
      <c r="AJ48" t="s">
        <v>3250</v>
      </c>
      <c r="AL48">
        <v>147</v>
      </c>
      <c r="AM48" t="s">
        <v>6</v>
      </c>
      <c r="AN48">
        <v>147</v>
      </c>
      <c r="AO48" t="s">
        <v>6</v>
      </c>
      <c r="AS48" t="s">
        <v>3250</v>
      </c>
      <c r="AT48" t="s">
        <v>3250</v>
      </c>
      <c r="AU48" t="s">
        <v>3250</v>
      </c>
      <c r="AV48" t="s">
        <v>3250</v>
      </c>
      <c r="AW48" t="s">
        <v>3250</v>
      </c>
      <c r="AX48" t="s">
        <v>3250</v>
      </c>
      <c r="AY48" t="s">
        <v>3250</v>
      </c>
      <c r="AZ48" t="s">
        <v>3250</v>
      </c>
      <c r="BA48" t="s">
        <v>3250</v>
      </c>
      <c r="BB48" t="s">
        <v>3250</v>
      </c>
      <c r="BC48" t="s">
        <v>3250</v>
      </c>
      <c r="BE48" t="s">
        <v>3250</v>
      </c>
      <c r="BF48" t="s">
        <v>3250</v>
      </c>
      <c r="BG48" t="s">
        <v>3250</v>
      </c>
      <c r="BH48" t="s">
        <v>3250</v>
      </c>
      <c r="BI48" t="s">
        <v>3250</v>
      </c>
      <c r="BK48" t="s">
        <v>3250</v>
      </c>
      <c r="BL48" t="s">
        <v>3250</v>
      </c>
      <c r="BM48" t="s">
        <v>3250</v>
      </c>
      <c r="BN48" t="s">
        <v>3250</v>
      </c>
      <c r="BP48">
        <v>1</v>
      </c>
      <c r="BQ48">
        <v>11</v>
      </c>
      <c r="BR48" t="s">
        <v>1574</v>
      </c>
      <c r="BS48" t="s">
        <v>3252</v>
      </c>
      <c r="BV48">
        <v>0</v>
      </c>
      <c r="BW48">
        <v>0</v>
      </c>
      <c r="BX48">
        <v>0</v>
      </c>
      <c r="BY48">
        <v>0</v>
      </c>
      <c r="BZ48">
        <v>0</v>
      </c>
      <c r="CA48">
        <v>0</v>
      </c>
      <c r="CB48">
        <v>0</v>
      </c>
      <c r="CC48">
        <v>0</v>
      </c>
      <c r="CD48">
        <v>0</v>
      </c>
      <c r="CE48" t="s">
        <v>3108</v>
      </c>
      <c r="CF48" t="s">
        <v>3108</v>
      </c>
      <c r="CG48" t="s">
        <v>3108</v>
      </c>
      <c r="CH48" t="s">
        <v>3108</v>
      </c>
    </row>
    <row r="49" spans="1:86" x14ac:dyDescent="0.2">
      <c r="A49" t="s">
        <v>3345</v>
      </c>
      <c r="B49" t="s">
        <v>3345</v>
      </c>
      <c r="C49">
        <v>30291</v>
      </c>
      <c r="D49">
        <v>1068</v>
      </c>
      <c r="E49" t="s">
        <v>3346</v>
      </c>
      <c r="F49" t="s">
        <v>3249</v>
      </c>
      <c r="G49" t="s">
        <v>3249</v>
      </c>
      <c r="H49" t="s">
        <v>3250</v>
      </c>
      <c r="I49" t="s">
        <v>3250</v>
      </c>
      <c r="J49" t="s">
        <v>3250</v>
      </c>
      <c r="K49" t="s">
        <v>3250</v>
      </c>
      <c r="L49">
        <v>1200</v>
      </c>
      <c r="M49" t="s">
        <v>2368</v>
      </c>
      <c r="N49">
        <v>1204</v>
      </c>
      <c r="O49" t="s">
        <v>1574</v>
      </c>
      <c r="P49" t="s">
        <v>3108</v>
      </c>
      <c r="Q49" t="s">
        <v>3249</v>
      </c>
      <c r="R49" t="s">
        <v>3249</v>
      </c>
      <c r="S49" t="s">
        <v>472</v>
      </c>
      <c r="T49" t="s">
        <v>3251</v>
      </c>
      <c r="U49">
        <v>140</v>
      </c>
      <c r="V49" t="s">
        <v>1327</v>
      </c>
      <c r="W49">
        <v>140</v>
      </c>
      <c r="X49" t="s">
        <v>1327</v>
      </c>
      <c r="Y49" t="s">
        <v>3250</v>
      </c>
      <c r="Z49" t="s">
        <v>3250</v>
      </c>
      <c r="AA49" t="s">
        <v>3108</v>
      </c>
      <c r="AB49" t="s">
        <v>3108</v>
      </c>
      <c r="AC49" t="s">
        <v>3250</v>
      </c>
      <c r="AD49" t="s">
        <v>3250</v>
      </c>
      <c r="AE49" t="s">
        <v>3250</v>
      </c>
      <c r="AF49" t="s">
        <v>3250</v>
      </c>
      <c r="AG49" t="s">
        <v>3250</v>
      </c>
      <c r="AH49" t="s">
        <v>3250</v>
      </c>
      <c r="AI49" t="s">
        <v>3250</v>
      </c>
      <c r="AJ49" t="s">
        <v>3250</v>
      </c>
      <c r="AL49">
        <v>141</v>
      </c>
      <c r="AM49" t="s">
        <v>1327</v>
      </c>
      <c r="AN49">
        <v>141</v>
      </c>
      <c r="AO49" t="s">
        <v>1327</v>
      </c>
      <c r="AS49" t="s">
        <v>3250</v>
      </c>
      <c r="AT49" t="s">
        <v>3250</v>
      </c>
      <c r="AU49" t="s">
        <v>3250</v>
      </c>
      <c r="AV49" t="s">
        <v>3250</v>
      </c>
      <c r="AW49" t="s">
        <v>3250</v>
      </c>
      <c r="AX49" t="s">
        <v>3250</v>
      </c>
      <c r="AY49" t="s">
        <v>3250</v>
      </c>
      <c r="AZ49" t="s">
        <v>3250</v>
      </c>
      <c r="BA49" t="s">
        <v>3250</v>
      </c>
      <c r="BB49" t="s">
        <v>3250</v>
      </c>
      <c r="BC49" t="s">
        <v>3250</v>
      </c>
      <c r="BE49" t="s">
        <v>3250</v>
      </c>
      <c r="BF49" t="s">
        <v>3250</v>
      </c>
      <c r="BG49" t="s">
        <v>3250</v>
      </c>
      <c r="BH49" t="s">
        <v>3250</v>
      </c>
      <c r="BI49" t="s">
        <v>3250</v>
      </c>
      <c r="BK49" t="s">
        <v>3250</v>
      </c>
      <c r="BL49" t="s">
        <v>3250</v>
      </c>
      <c r="BM49" t="s">
        <v>3250</v>
      </c>
      <c r="BN49" t="s">
        <v>3250</v>
      </c>
      <c r="BP49">
        <v>1</v>
      </c>
      <c r="BQ49">
        <v>11</v>
      </c>
      <c r="BR49" t="s">
        <v>1574</v>
      </c>
      <c r="BS49" t="s">
        <v>3252</v>
      </c>
      <c r="BV49">
        <v>0</v>
      </c>
      <c r="BW49">
        <v>0</v>
      </c>
      <c r="BX49">
        <v>0</v>
      </c>
      <c r="BY49">
        <v>0</v>
      </c>
      <c r="BZ49">
        <v>0</v>
      </c>
      <c r="CA49">
        <v>0</v>
      </c>
      <c r="CB49">
        <v>0</v>
      </c>
      <c r="CC49">
        <v>0</v>
      </c>
      <c r="CD49">
        <v>0</v>
      </c>
      <c r="CE49" t="s">
        <v>3108</v>
      </c>
      <c r="CF49" t="s">
        <v>3108</v>
      </c>
      <c r="CG49" t="s">
        <v>3108</v>
      </c>
      <c r="CH49" t="s">
        <v>3108</v>
      </c>
    </row>
    <row r="50" spans="1:86" x14ac:dyDescent="0.2">
      <c r="A50" t="s">
        <v>3347</v>
      </c>
      <c r="B50" t="s">
        <v>3347</v>
      </c>
      <c r="C50">
        <v>30292</v>
      </c>
      <c r="D50">
        <v>1069</v>
      </c>
      <c r="E50" t="s">
        <v>3348</v>
      </c>
      <c r="F50" t="s">
        <v>3249</v>
      </c>
      <c r="G50" t="s">
        <v>3249</v>
      </c>
      <c r="H50" t="s">
        <v>3250</v>
      </c>
      <c r="I50" t="s">
        <v>3250</v>
      </c>
      <c r="J50" t="s">
        <v>3250</v>
      </c>
      <c r="K50" t="s">
        <v>3250</v>
      </c>
      <c r="L50">
        <v>1200</v>
      </c>
      <c r="M50" t="s">
        <v>2368</v>
      </c>
      <c r="N50">
        <v>1204</v>
      </c>
      <c r="O50" t="s">
        <v>1574</v>
      </c>
      <c r="P50" t="s">
        <v>3108</v>
      </c>
      <c r="Q50" t="s">
        <v>3249</v>
      </c>
      <c r="R50" t="s">
        <v>3249</v>
      </c>
      <c r="S50" t="s">
        <v>472</v>
      </c>
      <c r="T50" t="s">
        <v>3251</v>
      </c>
      <c r="U50">
        <v>140</v>
      </c>
      <c r="V50" t="s">
        <v>1327</v>
      </c>
      <c r="W50">
        <v>140</v>
      </c>
      <c r="X50" t="s">
        <v>1327</v>
      </c>
      <c r="Y50" t="s">
        <v>3250</v>
      </c>
      <c r="Z50" t="s">
        <v>3250</v>
      </c>
      <c r="AA50" t="s">
        <v>3108</v>
      </c>
      <c r="AB50" t="s">
        <v>3108</v>
      </c>
      <c r="AC50" t="s">
        <v>3250</v>
      </c>
      <c r="AD50" t="s">
        <v>3250</v>
      </c>
      <c r="AE50" t="s">
        <v>3250</v>
      </c>
      <c r="AF50" t="s">
        <v>3250</v>
      </c>
      <c r="AG50" t="s">
        <v>3250</v>
      </c>
      <c r="AH50" t="s">
        <v>3250</v>
      </c>
      <c r="AI50" t="s">
        <v>3250</v>
      </c>
      <c r="AJ50" t="s">
        <v>3250</v>
      </c>
      <c r="AL50">
        <v>141</v>
      </c>
      <c r="AM50" t="s">
        <v>1327</v>
      </c>
      <c r="AN50">
        <v>141</v>
      </c>
      <c r="AO50" t="s">
        <v>1327</v>
      </c>
      <c r="AS50" t="s">
        <v>3250</v>
      </c>
      <c r="AT50" t="s">
        <v>3250</v>
      </c>
      <c r="AU50" t="s">
        <v>3250</v>
      </c>
      <c r="AV50" t="s">
        <v>3250</v>
      </c>
      <c r="AW50" t="s">
        <v>3250</v>
      </c>
      <c r="AX50" t="s">
        <v>3250</v>
      </c>
      <c r="AY50" t="s">
        <v>3250</v>
      </c>
      <c r="AZ50" t="s">
        <v>3250</v>
      </c>
      <c r="BA50" t="s">
        <v>3250</v>
      </c>
      <c r="BB50" t="s">
        <v>3250</v>
      </c>
      <c r="BC50" t="s">
        <v>3250</v>
      </c>
      <c r="BE50" t="s">
        <v>3250</v>
      </c>
      <c r="BF50" t="s">
        <v>3250</v>
      </c>
      <c r="BG50" t="s">
        <v>3250</v>
      </c>
      <c r="BH50" t="s">
        <v>3250</v>
      </c>
      <c r="BI50" t="s">
        <v>3250</v>
      </c>
      <c r="BK50" t="s">
        <v>3250</v>
      </c>
      <c r="BL50" t="s">
        <v>3250</v>
      </c>
      <c r="BM50" t="s">
        <v>3250</v>
      </c>
      <c r="BN50" t="s">
        <v>3250</v>
      </c>
      <c r="BP50">
        <v>1</v>
      </c>
      <c r="BQ50">
        <v>11</v>
      </c>
      <c r="BR50" t="s">
        <v>1574</v>
      </c>
      <c r="BS50" t="s">
        <v>3252</v>
      </c>
      <c r="BV50">
        <v>0</v>
      </c>
      <c r="BW50">
        <v>0</v>
      </c>
      <c r="BX50">
        <v>0</v>
      </c>
      <c r="BY50">
        <v>0</v>
      </c>
      <c r="BZ50">
        <v>0</v>
      </c>
      <c r="CA50">
        <v>0</v>
      </c>
      <c r="CB50">
        <v>0</v>
      </c>
      <c r="CC50">
        <v>0</v>
      </c>
      <c r="CD50">
        <v>0</v>
      </c>
      <c r="CE50" t="s">
        <v>3108</v>
      </c>
      <c r="CF50" t="s">
        <v>3108</v>
      </c>
      <c r="CG50" t="s">
        <v>3108</v>
      </c>
      <c r="CH50" t="s">
        <v>3108</v>
      </c>
    </row>
    <row r="51" spans="1:86" x14ac:dyDescent="0.2">
      <c r="A51" t="s">
        <v>3349</v>
      </c>
      <c r="B51" t="s">
        <v>3349</v>
      </c>
      <c r="C51">
        <v>30293</v>
      </c>
      <c r="D51">
        <v>1070</v>
      </c>
      <c r="E51" t="s">
        <v>3350</v>
      </c>
      <c r="F51" t="s">
        <v>3249</v>
      </c>
      <c r="G51" t="s">
        <v>3249</v>
      </c>
      <c r="H51" t="s">
        <v>3250</v>
      </c>
      <c r="I51" t="s">
        <v>3250</v>
      </c>
      <c r="J51" t="s">
        <v>3250</v>
      </c>
      <c r="K51" t="s">
        <v>3250</v>
      </c>
      <c r="L51">
        <v>1200</v>
      </c>
      <c r="M51" t="s">
        <v>2368</v>
      </c>
      <c r="N51">
        <v>1204</v>
      </c>
      <c r="O51" t="s">
        <v>1574</v>
      </c>
      <c r="P51" t="s">
        <v>3108</v>
      </c>
      <c r="Q51" t="s">
        <v>3249</v>
      </c>
      <c r="R51" t="s">
        <v>3249</v>
      </c>
      <c r="S51" t="s">
        <v>472</v>
      </c>
      <c r="T51" t="s">
        <v>3251</v>
      </c>
      <c r="U51">
        <v>140</v>
      </c>
      <c r="V51" t="s">
        <v>1327</v>
      </c>
      <c r="W51">
        <v>140</v>
      </c>
      <c r="X51" t="s">
        <v>1327</v>
      </c>
      <c r="Y51" t="s">
        <v>3250</v>
      </c>
      <c r="Z51" t="s">
        <v>3250</v>
      </c>
      <c r="AA51" t="s">
        <v>3108</v>
      </c>
      <c r="AB51" t="s">
        <v>3108</v>
      </c>
      <c r="AC51" t="s">
        <v>3250</v>
      </c>
      <c r="AD51" t="s">
        <v>3250</v>
      </c>
      <c r="AE51" t="s">
        <v>3250</v>
      </c>
      <c r="AF51" t="s">
        <v>3250</v>
      </c>
      <c r="AG51" t="s">
        <v>3250</v>
      </c>
      <c r="AH51" t="s">
        <v>3250</v>
      </c>
      <c r="AI51" t="s">
        <v>3250</v>
      </c>
      <c r="AJ51" t="s">
        <v>3250</v>
      </c>
      <c r="AL51">
        <v>141</v>
      </c>
      <c r="AM51" t="s">
        <v>1327</v>
      </c>
      <c r="AN51">
        <v>141</v>
      </c>
      <c r="AO51" t="s">
        <v>1327</v>
      </c>
      <c r="AS51" t="s">
        <v>3250</v>
      </c>
      <c r="AT51" t="s">
        <v>3250</v>
      </c>
      <c r="AU51" t="s">
        <v>3250</v>
      </c>
      <c r="AV51" t="s">
        <v>3250</v>
      </c>
      <c r="AW51" t="s">
        <v>3250</v>
      </c>
      <c r="AX51" t="s">
        <v>3250</v>
      </c>
      <c r="AY51" t="s">
        <v>3250</v>
      </c>
      <c r="AZ51" t="s">
        <v>3250</v>
      </c>
      <c r="BA51" t="s">
        <v>3250</v>
      </c>
      <c r="BB51" t="s">
        <v>3250</v>
      </c>
      <c r="BC51" t="s">
        <v>3250</v>
      </c>
      <c r="BE51" t="s">
        <v>3250</v>
      </c>
      <c r="BF51" t="s">
        <v>3250</v>
      </c>
      <c r="BG51" t="s">
        <v>3250</v>
      </c>
      <c r="BH51" t="s">
        <v>3250</v>
      </c>
      <c r="BI51" t="s">
        <v>3250</v>
      </c>
      <c r="BK51" t="s">
        <v>3250</v>
      </c>
      <c r="BL51" t="s">
        <v>3250</v>
      </c>
      <c r="BM51" t="s">
        <v>3250</v>
      </c>
      <c r="BN51" t="s">
        <v>3250</v>
      </c>
      <c r="BP51">
        <v>1</v>
      </c>
      <c r="BQ51">
        <v>11</v>
      </c>
      <c r="BR51" t="s">
        <v>1574</v>
      </c>
      <c r="BS51" t="s">
        <v>3252</v>
      </c>
      <c r="BV51">
        <v>0</v>
      </c>
      <c r="BW51">
        <v>0</v>
      </c>
      <c r="BX51">
        <v>0</v>
      </c>
      <c r="BY51">
        <v>0</v>
      </c>
      <c r="BZ51">
        <v>0</v>
      </c>
      <c r="CA51">
        <v>0</v>
      </c>
      <c r="CB51">
        <v>0</v>
      </c>
      <c r="CC51">
        <v>0</v>
      </c>
      <c r="CD51">
        <v>0</v>
      </c>
      <c r="CE51" t="s">
        <v>3108</v>
      </c>
      <c r="CF51" t="s">
        <v>3108</v>
      </c>
      <c r="CG51" t="s">
        <v>3108</v>
      </c>
      <c r="CH51" t="s">
        <v>3108</v>
      </c>
    </row>
    <row r="52" spans="1:86" x14ac:dyDescent="0.2">
      <c r="A52" t="s">
        <v>3351</v>
      </c>
      <c r="B52" t="s">
        <v>3351</v>
      </c>
      <c r="C52">
        <v>30294</v>
      </c>
      <c r="D52">
        <v>1071</v>
      </c>
      <c r="E52" t="s">
        <v>3352</v>
      </c>
      <c r="F52" t="s">
        <v>3249</v>
      </c>
      <c r="G52" t="s">
        <v>3249</v>
      </c>
      <c r="H52" t="s">
        <v>3250</v>
      </c>
      <c r="I52" t="s">
        <v>3250</v>
      </c>
      <c r="J52" t="s">
        <v>3250</v>
      </c>
      <c r="K52" t="s">
        <v>3250</v>
      </c>
      <c r="L52">
        <v>1200</v>
      </c>
      <c r="M52" t="s">
        <v>2368</v>
      </c>
      <c r="N52">
        <v>1204</v>
      </c>
      <c r="O52" t="s">
        <v>1574</v>
      </c>
      <c r="P52" t="s">
        <v>3108</v>
      </c>
      <c r="Q52" t="s">
        <v>3249</v>
      </c>
      <c r="R52" t="s">
        <v>3249</v>
      </c>
      <c r="S52" t="s">
        <v>472</v>
      </c>
      <c r="T52" t="s">
        <v>3251</v>
      </c>
      <c r="U52">
        <v>140</v>
      </c>
      <c r="V52" t="s">
        <v>1327</v>
      </c>
      <c r="W52">
        <v>140</v>
      </c>
      <c r="X52" t="s">
        <v>1327</v>
      </c>
      <c r="Y52" t="s">
        <v>3250</v>
      </c>
      <c r="Z52" t="s">
        <v>3250</v>
      </c>
      <c r="AA52" t="s">
        <v>3108</v>
      </c>
      <c r="AB52" t="s">
        <v>3108</v>
      </c>
      <c r="AC52" t="s">
        <v>3250</v>
      </c>
      <c r="AD52" t="s">
        <v>3250</v>
      </c>
      <c r="AE52" t="s">
        <v>3250</v>
      </c>
      <c r="AF52" t="s">
        <v>3250</v>
      </c>
      <c r="AG52" t="s">
        <v>3250</v>
      </c>
      <c r="AH52" t="s">
        <v>3250</v>
      </c>
      <c r="AI52" t="s">
        <v>3250</v>
      </c>
      <c r="AJ52" t="s">
        <v>3250</v>
      </c>
      <c r="AL52">
        <v>146</v>
      </c>
      <c r="AM52" t="s">
        <v>5</v>
      </c>
      <c r="AN52">
        <v>146</v>
      </c>
      <c r="AO52" t="s">
        <v>5</v>
      </c>
      <c r="AS52" t="s">
        <v>3250</v>
      </c>
      <c r="AT52" t="s">
        <v>3250</v>
      </c>
      <c r="AU52" t="s">
        <v>3250</v>
      </c>
      <c r="AV52" t="s">
        <v>3250</v>
      </c>
      <c r="AW52" t="s">
        <v>3250</v>
      </c>
      <c r="AX52" t="s">
        <v>3250</v>
      </c>
      <c r="AY52" t="s">
        <v>3250</v>
      </c>
      <c r="AZ52" t="s">
        <v>3250</v>
      </c>
      <c r="BA52" t="s">
        <v>3250</v>
      </c>
      <c r="BB52" t="s">
        <v>3250</v>
      </c>
      <c r="BC52" t="s">
        <v>3250</v>
      </c>
      <c r="BE52" t="s">
        <v>3250</v>
      </c>
      <c r="BF52" t="s">
        <v>3250</v>
      </c>
      <c r="BG52" t="s">
        <v>3250</v>
      </c>
      <c r="BH52" t="s">
        <v>3250</v>
      </c>
      <c r="BI52" t="s">
        <v>3250</v>
      </c>
      <c r="BK52" t="s">
        <v>3250</v>
      </c>
      <c r="BL52" t="s">
        <v>3250</v>
      </c>
      <c r="BM52" t="s">
        <v>3250</v>
      </c>
      <c r="BN52" t="s">
        <v>3250</v>
      </c>
      <c r="BP52">
        <v>1</v>
      </c>
      <c r="BQ52">
        <v>11</v>
      </c>
      <c r="BR52" t="s">
        <v>1574</v>
      </c>
      <c r="BS52" t="s">
        <v>3252</v>
      </c>
      <c r="BV52">
        <v>0</v>
      </c>
      <c r="BW52">
        <v>0</v>
      </c>
      <c r="BX52">
        <v>0</v>
      </c>
      <c r="BY52">
        <v>0</v>
      </c>
      <c r="BZ52">
        <v>0</v>
      </c>
      <c r="CA52">
        <v>0</v>
      </c>
      <c r="CB52">
        <v>0</v>
      </c>
      <c r="CC52">
        <v>0</v>
      </c>
      <c r="CD52">
        <v>0</v>
      </c>
      <c r="CE52" t="s">
        <v>3108</v>
      </c>
      <c r="CF52" t="s">
        <v>3108</v>
      </c>
      <c r="CG52" t="s">
        <v>3108</v>
      </c>
      <c r="CH52" t="s">
        <v>3108</v>
      </c>
    </row>
    <row r="53" spans="1:86" x14ac:dyDescent="0.2">
      <c r="A53" t="s">
        <v>3353</v>
      </c>
      <c r="B53" t="s">
        <v>3353</v>
      </c>
      <c r="C53">
        <v>30295</v>
      </c>
      <c r="D53">
        <v>1072</v>
      </c>
      <c r="E53" t="s">
        <v>3354</v>
      </c>
      <c r="F53" t="s">
        <v>3249</v>
      </c>
      <c r="G53" t="s">
        <v>3249</v>
      </c>
      <c r="H53" t="s">
        <v>3250</v>
      </c>
      <c r="I53" t="s">
        <v>3250</v>
      </c>
      <c r="J53" t="s">
        <v>3250</v>
      </c>
      <c r="K53" t="s">
        <v>3250</v>
      </c>
      <c r="L53">
        <v>1200</v>
      </c>
      <c r="M53" t="s">
        <v>2368</v>
      </c>
      <c r="N53">
        <v>1204</v>
      </c>
      <c r="O53" t="s">
        <v>1574</v>
      </c>
      <c r="P53" t="s">
        <v>3108</v>
      </c>
      <c r="Q53" t="s">
        <v>3249</v>
      </c>
      <c r="R53" t="s">
        <v>3249</v>
      </c>
      <c r="S53" t="s">
        <v>472</v>
      </c>
      <c r="T53" t="s">
        <v>3251</v>
      </c>
      <c r="U53">
        <v>140</v>
      </c>
      <c r="V53" t="s">
        <v>1327</v>
      </c>
      <c r="W53">
        <v>140</v>
      </c>
      <c r="X53" t="s">
        <v>1327</v>
      </c>
      <c r="Y53" t="s">
        <v>3250</v>
      </c>
      <c r="Z53" t="s">
        <v>3250</v>
      </c>
      <c r="AA53" t="s">
        <v>3108</v>
      </c>
      <c r="AB53" t="s">
        <v>3108</v>
      </c>
      <c r="AC53" t="s">
        <v>3250</v>
      </c>
      <c r="AD53" t="s">
        <v>3250</v>
      </c>
      <c r="AE53" t="s">
        <v>3250</v>
      </c>
      <c r="AF53" t="s">
        <v>3250</v>
      </c>
      <c r="AG53" t="s">
        <v>3250</v>
      </c>
      <c r="AH53" t="s">
        <v>3250</v>
      </c>
      <c r="AI53" t="s">
        <v>3250</v>
      </c>
      <c r="AJ53" t="s">
        <v>3250</v>
      </c>
      <c r="AL53">
        <v>146</v>
      </c>
      <c r="AM53" t="s">
        <v>5</v>
      </c>
      <c r="AN53">
        <v>146</v>
      </c>
      <c r="AO53" t="s">
        <v>5</v>
      </c>
      <c r="AS53" t="s">
        <v>3250</v>
      </c>
      <c r="AT53" t="s">
        <v>3250</v>
      </c>
      <c r="AU53" t="s">
        <v>3250</v>
      </c>
      <c r="AV53" t="s">
        <v>3250</v>
      </c>
      <c r="AW53" t="s">
        <v>3250</v>
      </c>
      <c r="AX53" t="s">
        <v>3250</v>
      </c>
      <c r="AY53" t="s">
        <v>3250</v>
      </c>
      <c r="AZ53" t="s">
        <v>3250</v>
      </c>
      <c r="BA53" t="s">
        <v>3250</v>
      </c>
      <c r="BB53" t="s">
        <v>3250</v>
      </c>
      <c r="BC53" t="s">
        <v>3250</v>
      </c>
      <c r="BE53" t="s">
        <v>3250</v>
      </c>
      <c r="BF53" t="s">
        <v>3250</v>
      </c>
      <c r="BG53" t="s">
        <v>3250</v>
      </c>
      <c r="BH53" t="s">
        <v>3250</v>
      </c>
      <c r="BI53" t="s">
        <v>3250</v>
      </c>
      <c r="BK53" t="s">
        <v>3250</v>
      </c>
      <c r="BL53" t="s">
        <v>3250</v>
      </c>
      <c r="BM53" t="s">
        <v>3250</v>
      </c>
      <c r="BN53" t="s">
        <v>3250</v>
      </c>
      <c r="BP53">
        <v>1</v>
      </c>
      <c r="BQ53">
        <v>11</v>
      </c>
      <c r="BR53" t="s">
        <v>1574</v>
      </c>
      <c r="BS53" t="s">
        <v>3252</v>
      </c>
      <c r="BV53">
        <v>0</v>
      </c>
      <c r="BW53">
        <v>0</v>
      </c>
      <c r="BX53">
        <v>0</v>
      </c>
      <c r="BY53">
        <v>0</v>
      </c>
      <c r="BZ53">
        <v>0</v>
      </c>
      <c r="CA53">
        <v>0</v>
      </c>
      <c r="CB53">
        <v>0</v>
      </c>
      <c r="CC53">
        <v>0</v>
      </c>
      <c r="CD53">
        <v>0</v>
      </c>
      <c r="CE53" t="s">
        <v>3108</v>
      </c>
      <c r="CF53" t="s">
        <v>3108</v>
      </c>
      <c r="CG53" t="s">
        <v>3108</v>
      </c>
      <c r="CH53" t="s">
        <v>3108</v>
      </c>
    </row>
    <row r="54" spans="1:86" x14ac:dyDescent="0.2">
      <c r="A54" t="s">
        <v>3355</v>
      </c>
      <c r="B54" t="s">
        <v>3355</v>
      </c>
      <c r="C54">
        <v>30296</v>
      </c>
      <c r="D54">
        <v>1073</v>
      </c>
      <c r="E54" t="s">
        <v>3356</v>
      </c>
      <c r="F54" t="s">
        <v>3249</v>
      </c>
      <c r="G54" t="s">
        <v>3249</v>
      </c>
      <c r="H54" t="s">
        <v>3250</v>
      </c>
      <c r="I54" t="s">
        <v>3250</v>
      </c>
      <c r="J54" t="s">
        <v>3250</v>
      </c>
      <c r="K54" t="s">
        <v>3250</v>
      </c>
      <c r="L54">
        <v>1200</v>
      </c>
      <c r="M54" t="s">
        <v>2368</v>
      </c>
      <c r="N54">
        <v>1204</v>
      </c>
      <c r="O54" t="s">
        <v>1574</v>
      </c>
      <c r="P54" t="s">
        <v>3108</v>
      </c>
      <c r="Q54" t="s">
        <v>3249</v>
      </c>
      <c r="R54" t="s">
        <v>3249</v>
      </c>
      <c r="S54" t="s">
        <v>472</v>
      </c>
      <c r="T54" t="s">
        <v>3251</v>
      </c>
      <c r="U54">
        <v>140</v>
      </c>
      <c r="V54" t="s">
        <v>1327</v>
      </c>
      <c r="W54">
        <v>140</v>
      </c>
      <c r="X54" t="s">
        <v>1327</v>
      </c>
      <c r="Y54" t="s">
        <v>3250</v>
      </c>
      <c r="Z54" t="s">
        <v>3250</v>
      </c>
      <c r="AA54" t="s">
        <v>3108</v>
      </c>
      <c r="AB54" t="s">
        <v>3108</v>
      </c>
      <c r="AC54" t="s">
        <v>3250</v>
      </c>
      <c r="AD54" t="s">
        <v>3250</v>
      </c>
      <c r="AE54" t="s">
        <v>3250</v>
      </c>
      <c r="AF54" t="s">
        <v>3250</v>
      </c>
      <c r="AG54" t="s">
        <v>3250</v>
      </c>
      <c r="AH54" t="s">
        <v>3250</v>
      </c>
      <c r="AI54" t="s">
        <v>3250</v>
      </c>
      <c r="AJ54" t="s">
        <v>3250</v>
      </c>
      <c r="AL54">
        <v>141</v>
      </c>
      <c r="AM54" t="s">
        <v>1327</v>
      </c>
      <c r="AN54">
        <v>141</v>
      </c>
      <c r="AO54" t="s">
        <v>1327</v>
      </c>
      <c r="AS54" t="s">
        <v>3250</v>
      </c>
      <c r="AT54" t="s">
        <v>3250</v>
      </c>
      <c r="AU54" t="s">
        <v>3250</v>
      </c>
      <c r="AV54" t="s">
        <v>3250</v>
      </c>
      <c r="AW54" t="s">
        <v>3250</v>
      </c>
      <c r="AX54" t="s">
        <v>3250</v>
      </c>
      <c r="AY54" t="s">
        <v>3250</v>
      </c>
      <c r="AZ54" t="s">
        <v>3250</v>
      </c>
      <c r="BA54" t="s">
        <v>3250</v>
      </c>
      <c r="BB54" t="s">
        <v>3250</v>
      </c>
      <c r="BC54" t="s">
        <v>3250</v>
      </c>
      <c r="BE54" t="s">
        <v>3250</v>
      </c>
      <c r="BF54" t="s">
        <v>3250</v>
      </c>
      <c r="BG54" t="s">
        <v>3250</v>
      </c>
      <c r="BH54" t="s">
        <v>3250</v>
      </c>
      <c r="BI54" t="s">
        <v>3250</v>
      </c>
      <c r="BK54" t="s">
        <v>3250</v>
      </c>
      <c r="BL54" t="s">
        <v>3250</v>
      </c>
      <c r="BM54" t="s">
        <v>3250</v>
      </c>
      <c r="BN54" t="s">
        <v>3250</v>
      </c>
      <c r="BP54">
        <v>1</v>
      </c>
      <c r="BQ54">
        <v>11</v>
      </c>
      <c r="BR54" t="s">
        <v>1574</v>
      </c>
      <c r="BS54" t="s">
        <v>3252</v>
      </c>
      <c r="BV54">
        <v>0</v>
      </c>
      <c r="BW54">
        <v>0</v>
      </c>
      <c r="BX54">
        <v>0</v>
      </c>
      <c r="BY54">
        <v>0</v>
      </c>
      <c r="BZ54">
        <v>0</v>
      </c>
      <c r="CA54">
        <v>0</v>
      </c>
      <c r="CB54">
        <v>0</v>
      </c>
      <c r="CC54">
        <v>0</v>
      </c>
      <c r="CD54">
        <v>0</v>
      </c>
      <c r="CE54" t="s">
        <v>3108</v>
      </c>
      <c r="CF54" t="s">
        <v>3108</v>
      </c>
      <c r="CG54" t="s">
        <v>3108</v>
      </c>
      <c r="CH54" t="s">
        <v>3108</v>
      </c>
    </row>
    <row r="55" spans="1:86" x14ac:dyDescent="0.2">
      <c r="A55" t="s">
        <v>3357</v>
      </c>
      <c r="B55" t="s">
        <v>3357</v>
      </c>
      <c r="C55">
        <v>30297</v>
      </c>
      <c r="D55">
        <v>1074</v>
      </c>
      <c r="E55" t="s">
        <v>3358</v>
      </c>
      <c r="F55" t="s">
        <v>3249</v>
      </c>
      <c r="G55" t="s">
        <v>3249</v>
      </c>
      <c r="H55" t="s">
        <v>3250</v>
      </c>
      <c r="I55" t="s">
        <v>3250</v>
      </c>
      <c r="J55" t="s">
        <v>3250</v>
      </c>
      <c r="K55" t="s">
        <v>3250</v>
      </c>
      <c r="L55">
        <v>1200</v>
      </c>
      <c r="M55" t="s">
        <v>2368</v>
      </c>
      <c r="N55">
        <v>1204</v>
      </c>
      <c r="O55" t="s">
        <v>1574</v>
      </c>
      <c r="P55" t="s">
        <v>3108</v>
      </c>
      <c r="Q55" t="s">
        <v>3249</v>
      </c>
      <c r="R55" t="s">
        <v>3249</v>
      </c>
      <c r="S55" t="s">
        <v>472</v>
      </c>
      <c r="T55" t="s">
        <v>3251</v>
      </c>
      <c r="U55">
        <v>140</v>
      </c>
      <c r="V55" t="s">
        <v>1327</v>
      </c>
      <c r="W55">
        <v>140</v>
      </c>
      <c r="X55" t="s">
        <v>1327</v>
      </c>
      <c r="Y55" t="s">
        <v>3250</v>
      </c>
      <c r="Z55" t="s">
        <v>3250</v>
      </c>
      <c r="AA55" t="s">
        <v>3108</v>
      </c>
      <c r="AB55" t="s">
        <v>3108</v>
      </c>
      <c r="AC55" t="s">
        <v>3250</v>
      </c>
      <c r="AD55" t="s">
        <v>3250</v>
      </c>
      <c r="AE55" t="s">
        <v>3250</v>
      </c>
      <c r="AF55" t="s">
        <v>3250</v>
      </c>
      <c r="AG55" t="s">
        <v>3250</v>
      </c>
      <c r="AH55" t="s">
        <v>3250</v>
      </c>
      <c r="AI55" t="s">
        <v>3250</v>
      </c>
      <c r="AJ55" t="s">
        <v>3250</v>
      </c>
      <c r="AL55">
        <v>141</v>
      </c>
      <c r="AM55" t="s">
        <v>1327</v>
      </c>
      <c r="AN55">
        <v>141</v>
      </c>
      <c r="AO55" t="s">
        <v>1327</v>
      </c>
      <c r="AS55" t="s">
        <v>3250</v>
      </c>
      <c r="AT55" t="s">
        <v>3250</v>
      </c>
      <c r="AU55" t="s">
        <v>3250</v>
      </c>
      <c r="AV55" t="s">
        <v>3250</v>
      </c>
      <c r="AW55" t="s">
        <v>3250</v>
      </c>
      <c r="AX55" t="s">
        <v>3250</v>
      </c>
      <c r="AY55" t="s">
        <v>3250</v>
      </c>
      <c r="AZ55" t="s">
        <v>3250</v>
      </c>
      <c r="BA55" t="s">
        <v>3250</v>
      </c>
      <c r="BB55" t="s">
        <v>3250</v>
      </c>
      <c r="BC55" t="s">
        <v>3250</v>
      </c>
      <c r="BE55" t="s">
        <v>3250</v>
      </c>
      <c r="BF55" t="s">
        <v>3250</v>
      </c>
      <c r="BG55" t="s">
        <v>3250</v>
      </c>
      <c r="BH55" t="s">
        <v>3250</v>
      </c>
      <c r="BI55" t="s">
        <v>3250</v>
      </c>
      <c r="BK55" t="s">
        <v>3250</v>
      </c>
      <c r="BL55" t="s">
        <v>3250</v>
      </c>
      <c r="BM55" t="s">
        <v>3250</v>
      </c>
      <c r="BN55" t="s">
        <v>3250</v>
      </c>
      <c r="BP55">
        <v>1</v>
      </c>
      <c r="BQ55">
        <v>11</v>
      </c>
      <c r="BR55" t="s">
        <v>1574</v>
      </c>
      <c r="BS55" t="s">
        <v>3252</v>
      </c>
      <c r="BV55">
        <v>0</v>
      </c>
      <c r="BW55">
        <v>0</v>
      </c>
      <c r="BX55">
        <v>0</v>
      </c>
      <c r="BY55">
        <v>0</v>
      </c>
      <c r="BZ55">
        <v>0</v>
      </c>
      <c r="CA55">
        <v>0</v>
      </c>
      <c r="CB55">
        <v>0</v>
      </c>
      <c r="CC55">
        <v>0</v>
      </c>
      <c r="CD55">
        <v>0</v>
      </c>
      <c r="CE55" t="s">
        <v>3108</v>
      </c>
      <c r="CF55" t="s">
        <v>3108</v>
      </c>
      <c r="CG55" t="s">
        <v>3108</v>
      </c>
      <c r="CH55" t="s">
        <v>3108</v>
      </c>
    </row>
    <row r="56" spans="1:86" x14ac:dyDescent="0.2">
      <c r="A56" t="s">
        <v>3359</v>
      </c>
      <c r="B56" t="s">
        <v>3359</v>
      </c>
      <c r="C56">
        <v>30298</v>
      </c>
      <c r="D56">
        <v>1075</v>
      </c>
      <c r="E56" t="s">
        <v>3360</v>
      </c>
      <c r="F56" t="s">
        <v>3249</v>
      </c>
      <c r="G56" t="s">
        <v>3249</v>
      </c>
      <c r="H56" t="s">
        <v>3250</v>
      </c>
      <c r="I56" t="s">
        <v>3250</v>
      </c>
      <c r="J56" t="s">
        <v>3250</v>
      </c>
      <c r="K56" t="s">
        <v>3250</v>
      </c>
      <c r="L56">
        <v>1200</v>
      </c>
      <c r="M56" t="s">
        <v>2368</v>
      </c>
      <c r="N56">
        <v>1204</v>
      </c>
      <c r="O56" t="s">
        <v>1574</v>
      </c>
      <c r="P56" t="s">
        <v>3108</v>
      </c>
      <c r="Q56" t="s">
        <v>3249</v>
      </c>
      <c r="R56" t="s">
        <v>3249</v>
      </c>
      <c r="S56" t="s">
        <v>472</v>
      </c>
      <c r="T56" t="s">
        <v>3251</v>
      </c>
      <c r="U56">
        <v>140</v>
      </c>
      <c r="V56" t="s">
        <v>1327</v>
      </c>
      <c r="W56">
        <v>140</v>
      </c>
      <c r="X56" t="s">
        <v>1327</v>
      </c>
      <c r="Y56" t="s">
        <v>3250</v>
      </c>
      <c r="Z56" t="s">
        <v>3250</v>
      </c>
      <c r="AA56" t="s">
        <v>3108</v>
      </c>
      <c r="AB56" t="s">
        <v>3108</v>
      </c>
      <c r="AC56" t="s">
        <v>3250</v>
      </c>
      <c r="AD56" t="s">
        <v>3250</v>
      </c>
      <c r="AE56" t="s">
        <v>3250</v>
      </c>
      <c r="AF56" t="s">
        <v>3250</v>
      </c>
      <c r="AG56" t="s">
        <v>3250</v>
      </c>
      <c r="AH56" t="s">
        <v>3250</v>
      </c>
      <c r="AI56" t="s">
        <v>3250</v>
      </c>
      <c r="AJ56" t="s">
        <v>3250</v>
      </c>
      <c r="AL56">
        <v>147</v>
      </c>
      <c r="AM56" t="s">
        <v>6</v>
      </c>
      <c r="AN56">
        <v>147</v>
      </c>
      <c r="AO56" t="s">
        <v>6</v>
      </c>
      <c r="AS56" t="s">
        <v>3250</v>
      </c>
      <c r="AT56" t="s">
        <v>3250</v>
      </c>
      <c r="AU56" t="s">
        <v>3250</v>
      </c>
      <c r="AV56" t="s">
        <v>3250</v>
      </c>
      <c r="AW56" t="s">
        <v>3250</v>
      </c>
      <c r="AX56" t="s">
        <v>3250</v>
      </c>
      <c r="AY56" t="s">
        <v>3250</v>
      </c>
      <c r="AZ56" t="s">
        <v>3250</v>
      </c>
      <c r="BA56" t="s">
        <v>3250</v>
      </c>
      <c r="BB56" t="s">
        <v>3250</v>
      </c>
      <c r="BC56" t="s">
        <v>3250</v>
      </c>
      <c r="BE56" t="s">
        <v>3250</v>
      </c>
      <c r="BF56" t="s">
        <v>3250</v>
      </c>
      <c r="BG56" t="s">
        <v>3250</v>
      </c>
      <c r="BH56" t="s">
        <v>3250</v>
      </c>
      <c r="BI56" t="s">
        <v>3250</v>
      </c>
      <c r="BK56" t="s">
        <v>3250</v>
      </c>
      <c r="BL56" t="s">
        <v>3250</v>
      </c>
      <c r="BM56" t="s">
        <v>3250</v>
      </c>
      <c r="BN56" t="s">
        <v>3250</v>
      </c>
      <c r="BP56">
        <v>1</v>
      </c>
      <c r="BQ56">
        <v>11</v>
      </c>
      <c r="BR56" t="s">
        <v>1574</v>
      </c>
      <c r="BS56" t="s">
        <v>3252</v>
      </c>
      <c r="BV56">
        <v>0</v>
      </c>
      <c r="BW56">
        <v>0</v>
      </c>
      <c r="BX56">
        <v>0</v>
      </c>
      <c r="BY56">
        <v>0</v>
      </c>
      <c r="BZ56">
        <v>0</v>
      </c>
      <c r="CA56">
        <v>0</v>
      </c>
      <c r="CB56">
        <v>0</v>
      </c>
      <c r="CC56">
        <v>0</v>
      </c>
      <c r="CD56">
        <v>0</v>
      </c>
      <c r="CE56" t="s">
        <v>3108</v>
      </c>
      <c r="CF56" t="s">
        <v>3108</v>
      </c>
      <c r="CG56" t="s">
        <v>3108</v>
      </c>
      <c r="CH56" t="s">
        <v>3108</v>
      </c>
    </row>
    <row r="57" spans="1:86" x14ac:dyDescent="0.2">
      <c r="A57" t="s">
        <v>3361</v>
      </c>
      <c r="B57" t="s">
        <v>3361</v>
      </c>
      <c r="C57">
        <v>30299</v>
      </c>
      <c r="D57">
        <v>1076</v>
      </c>
      <c r="E57" t="s">
        <v>3362</v>
      </c>
      <c r="F57" t="s">
        <v>3249</v>
      </c>
      <c r="G57" t="s">
        <v>3249</v>
      </c>
      <c r="H57" t="s">
        <v>3250</v>
      </c>
      <c r="I57" t="s">
        <v>3250</v>
      </c>
      <c r="J57" t="s">
        <v>3250</v>
      </c>
      <c r="K57" t="s">
        <v>3250</v>
      </c>
      <c r="L57">
        <v>1200</v>
      </c>
      <c r="M57" t="s">
        <v>2368</v>
      </c>
      <c r="N57">
        <v>1204</v>
      </c>
      <c r="O57" t="s">
        <v>1574</v>
      </c>
      <c r="P57" t="s">
        <v>3108</v>
      </c>
      <c r="Q57" t="s">
        <v>3249</v>
      </c>
      <c r="R57" t="s">
        <v>3249</v>
      </c>
      <c r="S57" t="s">
        <v>472</v>
      </c>
      <c r="T57" t="s">
        <v>3251</v>
      </c>
      <c r="U57">
        <v>140</v>
      </c>
      <c r="V57" t="s">
        <v>1327</v>
      </c>
      <c r="W57">
        <v>140</v>
      </c>
      <c r="X57" t="s">
        <v>1327</v>
      </c>
      <c r="Y57" t="s">
        <v>3250</v>
      </c>
      <c r="Z57" t="s">
        <v>3250</v>
      </c>
      <c r="AA57" t="s">
        <v>3108</v>
      </c>
      <c r="AB57" t="s">
        <v>3108</v>
      </c>
      <c r="AC57" t="s">
        <v>3250</v>
      </c>
      <c r="AD57" t="s">
        <v>3250</v>
      </c>
      <c r="AE57" t="s">
        <v>3250</v>
      </c>
      <c r="AF57" t="s">
        <v>3250</v>
      </c>
      <c r="AG57" t="s">
        <v>3250</v>
      </c>
      <c r="AH57" t="s">
        <v>3250</v>
      </c>
      <c r="AI57" t="s">
        <v>3250</v>
      </c>
      <c r="AJ57" t="s">
        <v>3250</v>
      </c>
      <c r="AL57">
        <v>141</v>
      </c>
      <c r="AM57" t="s">
        <v>1327</v>
      </c>
      <c r="AN57">
        <v>141</v>
      </c>
      <c r="AO57" t="s">
        <v>1327</v>
      </c>
      <c r="AS57" t="s">
        <v>3250</v>
      </c>
      <c r="AT57" t="s">
        <v>3250</v>
      </c>
      <c r="AU57" t="s">
        <v>3250</v>
      </c>
      <c r="AV57" t="s">
        <v>3250</v>
      </c>
      <c r="AW57" t="s">
        <v>3250</v>
      </c>
      <c r="AX57" t="s">
        <v>3250</v>
      </c>
      <c r="AY57" t="s">
        <v>3250</v>
      </c>
      <c r="AZ57" t="s">
        <v>3250</v>
      </c>
      <c r="BA57" t="s">
        <v>3250</v>
      </c>
      <c r="BB57" t="s">
        <v>3250</v>
      </c>
      <c r="BC57" t="s">
        <v>3250</v>
      </c>
      <c r="BE57" t="s">
        <v>3250</v>
      </c>
      <c r="BF57" t="s">
        <v>3250</v>
      </c>
      <c r="BG57" t="s">
        <v>3250</v>
      </c>
      <c r="BH57" t="s">
        <v>3250</v>
      </c>
      <c r="BI57" t="s">
        <v>3250</v>
      </c>
      <c r="BK57" t="s">
        <v>3250</v>
      </c>
      <c r="BL57" t="s">
        <v>3250</v>
      </c>
      <c r="BM57" t="s">
        <v>3250</v>
      </c>
      <c r="BN57" t="s">
        <v>3250</v>
      </c>
      <c r="BP57">
        <v>1</v>
      </c>
      <c r="BQ57">
        <v>11</v>
      </c>
      <c r="BR57" t="s">
        <v>1574</v>
      </c>
      <c r="BS57" t="s">
        <v>3252</v>
      </c>
      <c r="BV57">
        <v>0</v>
      </c>
      <c r="BW57">
        <v>0</v>
      </c>
      <c r="BX57">
        <v>0</v>
      </c>
      <c r="BY57">
        <v>0</v>
      </c>
      <c r="BZ57">
        <v>0</v>
      </c>
      <c r="CA57">
        <v>0</v>
      </c>
      <c r="CB57">
        <v>0</v>
      </c>
      <c r="CC57">
        <v>0</v>
      </c>
      <c r="CD57">
        <v>0</v>
      </c>
      <c r="CE57" t="s">
        <v>3108</v>
      </c>
      <c r="CF57" t="s">
        <v>3108</v>
      </c>
      <c r="CG57" t="s">
        <v>3108</v>
      </c>
      <c r="CH57" t="s">
        <v>3108</v>
      </c>
    </row>
    <row r="58" spans="1:86" x14ac:dyDescent="0.2">
      <c r="A58" t="s">
        <v>3363</v>
      </c>
      <c r="B58" t="s">
        <v>3363</v>
      </c>
      <c r="C58">
        <v>30300</v>
      </c>
      <c r="D58">
        <v>1077</v>
      </c>
      <c r="E58" t="s">
        <v>3364</v>
      </c>
      <c r="F58" t="s">
        <v>3249</v>
      </c>
      <c r="G58" t="s">
        <v>3249</v>
      </c>
      <c r="H58" t="s">
        <v>3250</v>
      </c>
      <c r="I58" t="s">
        <v>3250</v>
      </c>
      <c r="J58" t="s">
        <v>3250</v>
      </c>
      <c r="K58" t="s">
        <v>3250</v>
      </c>
      <c r="L58">
        <v>1200</v>
      </c>
      <c r="M58" t="s">
        <v>2368</v>
      </c>
      <c r="N58">
        <v>1204</v>
      </c>
      <c r="O58" t="s">
        <v>1574</v>
      </c>
      <c r="P58" t="s">
        <v>3108</v>
      </c>
      <c r="Q58" t="s">
        <v>3249</v>
      </c>
      <c r="R58" t="s">
        <v>3249</v>
      </c>
      <c r="S58" t="s">
        <v>472</v>
      </c>
      <c r="T58" t="s">
        <v>3251</v>
      </c>
      <c r="U58">
        <v>140</v>
      </c>
      <c r="V58" t="s">
        <v>1327</v>
      </c>
      <c r="W58">
        <v>140</v>
      </c>
      <c r="X58" t="s">
        <v>1327</v>
      </c>
      <c r="Y58" t="s">
        <v>3250</v>
      </c>
      <c r="Z58" t="s">
        <v>3250</v>
      </c>
      <c r="AA58" t="s">
        <v>3108</v>
      </c>
      <c r="AB58" t="s">
        <v>3108</v>
      </c>
      <c r="AC58" t="s">
        <v>3250</v>
      </c>
      <c r="AD58" t="s">
        <v>3250</v>
      </c>
      <c r="AE58" t="s">
        <v>3250</v>
      </c>
      <c r="AF58" t="s">
        <v>3250</v>
      </c>
      <c r="AG58" t="s">
        <v>3250</v>
      </c>
      <c r="AH58" t="s">
        <v>3250</v>
      </c>
      <c r="AI58" t="s">
        <v>3250</v>
      </c>
      <c r="AJ58" t="s">
        <v>3250</v>
      </c>
      <c r="AL58">
        <v>141</v>
      </c>
      <c r="AM58" t="s">
        <v>1327</v>
      </c>
      <c r="AN58">
        <v>141</v>
      </c>
      <c r="AO58" t="s">
        <v>1327</v>
      </c>
      <c r="AS58" t="s">
        <v>3250</v>
      </c>
      <c r="AT58" t="s">
        <v>3250</v>
      </c>
      <c r="AU58" t="s">
        <v>3250</v>
      </c>
      <c r="AV58" t="s">
        <v>3250</v>
      </c>
      <c r="AW58" t="s">
        <v>3250</v>
      </c>
      <c r="AX58" t="s">
        <v>3250</v>
      </c>
      <c r="AY58" t="s">
        <v>3250</v>
      </c>
      <c r="AZ58" t="s">
        <v>3250</v>
      </c>
      <c r="BA58" t="s">
        <v>3250</v>
      </c>
      <c r="BB58" t="s">
        <v>3250</v>
      </c>
      <c r="BC58" t="s">
        <v>3250</v>
      </c>
      <c r="BE58" t="s">
        <v>3250</v>
      </c>
      <c r="BF58" t="s">
        <v>3250</v>
      </c>
      <c r="BG58" t="s">
        <v>3250</v>
      </c>
      <c r="BH58" t="s">
        <v>3250</v>
      </c>
      <c r="BI58" t="s">
        <v>3250</v>
      </c>
      <c r="BK58" t="s">
        <v>3250</v>
      </c>
      <c r="BL58" t="s">
        <v>3250</v>
      </c>
      <c r="BM58" t="s">
        <v>3250</v>
      </c>
      <c r="BN58" t="s">
        <v>3250</v>
      </c>
      <c r="BP58">
        <v>1</v>
      </c>
      <c r="BQ58">
        <v>11</v>
      </c>
      <c r="BR58" t="s">
        <v>1574</v>
      </c>
      <c r="BS58" t="s">
        <v>3252</v>
      </c>
      <c r="BV58">
        <v>0</v>
      </c>
      <c r="BW58">
        <v>0</v>
      </c>
      <c r="BX58">
        <v>0</v>
      </c>
      <c r="BY58">
        <v>0</v>
      </c>
      <c r="BZ58">
        <v>0</v>
      </c>
      <c r="CA58">
        <v>0</v>
      </c>
      <c r="CB58">
        <v>0</v>
      </c>
      <c r="CC58">
        <v>0</v>
      </c>
      <c r="CD58">
        <v>0</v>
      </c>
      <c r="CE58" t="s">
        <v>3108</v>
      </c>
      <c r="CF58" t="s">
        <v>3108</v>
      </c>
      <c r="CG58" t="s">
        <v>3108</v>
      </c>
      <c r="CH58" t="s">
        <v>3108</v>
      </c>
    </row>
    <row r="59" spans="1:86" x14ac:dyDescent="0.2">
      <c r="A59" t="s">
        <v>3365</v>
      </c>
      <c r="B59" t="s">
        <v>3365</v>
      </c>
      <c r="C59">
        <v>30301</v>
      </c>
      <c r="D59">
        <v>1078</v>
      </c>
      <c r="E59" t="s">
        <v>3366</v>
      </c>
      <c r="F59" t="s">
        <v>3249</v>
      </c>
      <c r="G59" t="s">
        <v>3249</v>
      </c>
      <c r="H59" t="s">
        <v>3250</v>
      </c>
      <c r="I59" t="s">
        <v>3250</v>
      </c>
      <c r="J59" t="s">
        <v>3250</v>
      </c>
      <c r="K59" t="s">
        <v>3250</v>
      </c>
      <c r="L59">
        <v>1200</v>
      </c>
      <c r="M59" t="s">
        <v>2368</v>
      </c>
      <c r="N59">
        <v>1204</v>
      </c>
      <c r="O59" t="s">
        <v>1574</v>
      </c>
      <c r="P59" t="s">
        <v>3108</v>
      </c>
      <c r="Q59" t="s">
        <v>3249</v>
      </c>
      <c r="R59" t="s">
        <v>3249</v>
      </c>
      <c r="S59" t="s">
        <v>472</v>
      </c>
      <c r="T59" t="s">
        <v>3251</v>
      </c>
      <c r="U59">
        <v>140</v>
      </c>
      <c r="V59" t="s">
        <v>1327</v>
      </c>
      <c r="W59">
        <v>140</v>
      </c>
      <c r="X59" t="s">
        <v>1327</v>
      </c>
      <c r="Y59" t="s">
        <v>3250</v>
      </c>
      <c r="Z59" t="s">
        <v>3250</v>
      </c>
      <c r="AA59" t="s">
        <v>3108</v>
      </c>
      <c r="AB59" t="s">
        <v>3108</v>
      </c>
      <c r="AC59" t="s">
        <v>3250</v>
      </c>
      <c r="AD59" t="s">
        <v>3250</v>
      </c>
      <c r="AE59" t="s">
        <v>3250</v>
      </c>
      <c r="AF59" t="s">
        <v>3250</v>
      </c>
      <c r="AG59" t="s">
        <v>3250</v>
      </c>
      <c r="AH59" t="s">
        <v>3250</v>
      </c>
      <c r="AI59" t="s">
        <v>3250</v>
      </c>
      <c r="AJ59" t="s">
        <v>3250</v>
      </c>
      <c r="AL59">
        <v>141</v>
      </c>
      <c r="AM59" t="s">
        <v>1327</v>
      </c>
      <c r="AN59">
        <v>141</v>
      </c>
      <c r="AO59" t="s">
        <v>1327</v>
      </c>
      <c r="AS59" t="s">
        <v>3250</v>
      </c>
      <c r="AT59" t="s">
        <v>3250</v>
      </c>
      <c r="AU59" t="s">
        <v>3250</v>
      </c>
      <c r="AV59" t="s">
        <v>3250</v>
      </c>
      <c r="AW59" t="s">
        <v>3250</v>
      </c>
      <c r="AX59" t="s">
        <v>3250</v>
      </c>
      <c r="AY59" t="s">
        <v>3250</v>
      </c>
      <c r="AZ59" t="s">
        <v>3250</v>
      </c>
      <c r="BA59" t="s">
        <v>3250</v>
      </c>
      <c r="BB59" t="s">
        <v>3250</v>
      </c>
      <c r="BC59" t="s">
        <v>3250</v>
      </c>
      <c r="BE59" t="s">
        <v>3250</v>
      </c>
      <c r="BF59" t="s">
        <v>3250</v>
      </c>
      <c r="BG59" t="s">
        <v>3250</v>
      </c>
      <c r="BH59" t="s">
        <v>3250</v>
      </c>
      <c r="BI59" t="s">
        <v>3250</v>
      </c>
      <c r="BK59" t="s">
        <v>3250</v>
      </c>
      <c r="BL59" t="s">
        <v>3250</v>
      </c>
      <c r="BM59" t="s">
        <v>3250</v>
      </c>
      <c r="BN59" t="s">
        <v>3250</v>
      </c>
      <c r="BP59">
        <v>1</v>
      </c>
      <c r="BQ59">
        <v>11</v>
      </c>
      <c r="BR59" t="s">
        <v>1574</v>
      </c>
      <c r="BS59" t="s">
        <v>3252</v>
      </c>
      <c r="BV59">
        <v>0</v>
      </c>
      <c r="BW59">
        <v>0</v>
      </c>
      <c r="BX59">
        <v>0</v>
      </c>
      <c r="BY59">
        <v>0</v>
      </c>
      <c r="BZ59">
        <v>0</v>
      </c>
      <c r="CA59">
        <v>0</v>
      </c>
      <c r="CB59">
        <v>0</v>
      </c>
      <c r="CC59">
        <v>0</v>
      </c>
      <c r="CD59">
        <v>0</v>
      </c>
      <c r="CE59" t="s">
        <v>3108</v>
      </c>
      <c r="CF59" t="s">
        <v>3108</v>
      </c>
      <c r="CG59" t="s">
        <v>3108</v>
      </c>
      <c r="CH59" t="s">
        <v>3108</v>
      </c>
    </row>
    <row r="60" spans="1:86" x14ac:dyDescent="0.2">
      <c r="A60" t="s">
        <v>3367</v>
      </c>
      <c r="B60" t="s">
        <v>3367</v>
      </c>
      <c r="C60">
        <v>30302</v>
      </c>
      <c r="D60">
        <v>1079</v>
      </c>
      <c r="E60" t="s">
        <v>3352</v>
      </c>
      <c r="F60" t="s">
        <v>3249</v>
      </c>
      <c r="G60" t="s">
        <v>3249</v>
      </c>
      <c r="H60" t="s">
        <v>3250</v>
      </c>
      <c r="I60" t="s">
        <v>3250</v>
      </c>
      <c r="J60" t="s">
        <v>3250</v>
      </c>
      <c r="K60" t="s">
        <v>3250</v>
      </c>
      <c r="L60">
        <v>1200</v>
      </c>
      <c r="M60" t="s">
        <v>2368</v>
      </c>
      <c r="N60">
        <v>1204</v>
      </c>
      <c r="O60" t="s">
        <v>1574</v>
      </c>
      <c r="P60" t="s">
        <v>3108</v>
      </c>
      <c r="Q60" t="s">
        <v>3249</v>
      </c>
      <c r="R60" t="s">
        <v>3249</v>
      </c>
      <c r="S60" t="s">
        <v>472</v>
      </c>
      <c r="T60" t="s">
        <v>3251</v>
      </c>
      <c r="U60">
        <v>140</v>
      </c>
      <c r="V60" t="s">
        <v>1327</v>
      </c>
      <c r="W60">
        <v>140</v>
      </c>
      <c r="X60" t="s">
        <v>1327</v>
      </c>
      <c r="Y60" t="s">
        <v>3250</v>
      </c>
      <c r="Z60" t="s">
        <v>3250</v>
      </c>
      <c r="AA60" t="s">
        <v>3108</v>
      </c>
      <c r="AB60" t="s">
        <v>3108</v>
      </c>
      <c r="AC60" t="s">
        <v>3250</v>
      </c>
      <c r="AD60" t="s">
        <v>3250</v>
      </c>
      <c r="AE60" t="s">
        <v>3250</v>
      </c>
      <c r="AF60" t="s">
        <v>3250</v>
      </c>
      <c r="AG60" t="s">
        <v>3250</v>
      </c>
      <c r="AH60" t="s">
        <v>3250</v>
      </c>
      <c r="AI60" t="s">
        <v>3250</v>
      </c>
      <c r="AJ60" t="s">
        <v>3250</v>
      </c>
      <c r="AL60">
        <v>146</v>
      </c>
      <c r="AM60" t="s">
        <v>5</v>
      </c>
      <c r="AN60">
        <v>146</v>
      </c>
      <c r="AO60" t="s">
        <v>5</v>
      </c>
      <c r="AS60" t="s">
        <v>3250</v>
      </c>
      <c r="AT60" t="s">
        <v>3250</v>
      </c>
      <c r="AU60" t="s">
        <v>3250</v>
      </c>
      <c r="AV60" t="s">
        <v>3250</v>
      </c>
      <c r="AW60" t="s">
        <v>3250</v>
      </c>
      <c r="AX60" t="s">
        <v>3250</v>
      </c>
      <c r="AY60" t="s">
        <v>3250</v>
      </c>
      <c r="AZ60" t="s">
        <v>3250</v>
      </c>
      <c r="BA60" t="s">
        <v>3250</v>
      </c>
      <c r="BB60" t="s">
        <v>3250</v>
      </c>
      <c r="BC60" t="s">
        <v>3250</v>
      </c>
      <c r="BE60" t="s">
        <v>3250</v>
      </c>
      <c r="BF60" t="s">
        <v>3250</v>
      </c>
      <c r="BG60" t="s">
        <v>3250</v>
      </c>
      <c r="BH60" t="s">
        <v>3250</v>
      </c>
      <c r="BI60" t="s">
        <v>3250</v>
      </c>
      <c r="BK60" t="s">
        <v>3250</v>
      </c>
      <c r="BL60" t="s">
        <v>3250</v>
      </c>
      <c r="BM60" t="s">
        <v>3250</v>
      </c>
      <c r="BN60" t="s">
        <v>3250</v>
      </c>
      <c r="BP60">
        <v>1</v>
      </c>
      <c r="BQ60">
        <v>11</v>
      </c>
      <c r="BR60" t="s">
        <v>1574</v>
      </c>
      <c r="BS60" t="s">
        <v>3252</v>
      </c>
      <c r="BV60">
        <v>0</v>
      </c>
      <c r="BW60">
        <v>0</v>
      </c>
      <c r="BX60">
        <v>0</v>
      </c>
      <c r="BY60">
        <v>0</v>
      </c>
      <c r="BZ60">
        <v>0</v>
      </c>
      <c r="CA60">
        <v>0</v>
      </c>
      <c r="CB60">
        <v>0</v>
      </c>
      <c r="CC60">
        <v>0</v>
      </c>
      <c r="CD60">
        <v>0</v>
      </c>
      <c r="CE60" t="s">
        <v>3108</v>
      </c>
      <c r="CF60" t="s">
        <v>3108</v>
      </c>
      <c r="CG60" t="s">
        <v>3108</v>
      </c>
      <c r="CH60" t="s">
        <v>3108</v>
      </c>
    </row>
    <row r="61" spans="1:86" x14ac:dyDescent="0.2">
      <c r="A61" t="s">
        <v>3368</v>
      </c>
      <c r="B61" t="s">
        <v>3368</v>
      </c>
      <c r="C61">
        <v>30303</v>
      </c>
      <c r="D61">
        <v>1080</v>
      </c>
      <c r="E61" t="s">
        <v>3354</v>
      </c>
      <c r="F61" t="s">
        <v>3249</v>
      </c>
      <c r="G61" t="s">
        <v>3249</v>
      </c>
      <c r="H61" t="s">
        <v>3250</v>
      </c>
      <c r="I61" t="s">
        <v>3250</v>
      </c>
      <c r="J61" t="s">
        <v>3250</v>
      </c>
      <c r="K61" t="s">
        <v>3250</v>
      </c>
      <c r="L61">
        <v>1200</v>
      </c>
      <c r="M61" t="s">
        <v>2368</v>
      </c>
      <c r="N61">
        <v>1204</v>
      </c>
      <c r="O61" t="s">
        <v>1574</v>
      </c>
      <c r="P61" t="s">
        <v>3108</v>
      </c>
      <c r="Q61" t="s">
        <v>3249</v>
      </c>
      <c r="R61" t="s">
        <v>3249</v>
      </c>
      <c r="S61" t="s">
        <v>472</v>
      </c>
      <c r="T61" t="s">
        <v>3251</v>
      </c>
      <c r="U61">
        <v>140</v>
      </c>
      <c r="V61" t="s">
        <v>1327</v>
      </c>
      <c r="W61">
        <v>140</v>
      </c>
      <c r="X61" t="s">
        <v>1327</v>
      </c>
      <c r="Y61" t="s">
        <v>3250</v>
      </c>
      <c r="Z61" t="s">
        <v>3250</v>
      </c>
      <c r="AA61" t="s">
        <v>3108</v>
      </c>
      <c r="AB61" t="s">
        <v>3108</v>
      </c>
      <c r="AC61" t="s">
        <v>3250</v>
      </c>
      <c r="AD61" t="s">
        <v>3250</v>
      </c>
      <c r="AE61" t="s">
        <v>3250</v>
      </c>
      <c r="AF61" t="s">
        <v>3250</v>
      </c>
      <c r="AG61" t="s">
        <v>3250</v>
      </c>
      <c r="AH61" t="s">
        <v>3250</v>
      </c>
      <c r="AI61" t="s">
        <v>3250</v>
      </c>
      <c r="AJ61" t="s">
        <v>3250</v>
      </c>
      <c r="AL61">
        <v>146</v>
      </c>
      <c r="AM61" t="s">
        <v>5</v>
      </c>
      <c r="AN61">
        <v>146</v>
      </c>
      <c r="AO61" t="s">
        <v>5</v>
      </c>
      <c r="AS61" t="s">
        <v>3250</v>
      </c>
      <c r="AT61" t="s">
        <v>3250</v>
      </c>
      <c r="AU61" t="s">
        <v>3250</v>
      </c>
      <c r="AV61" t="s">
        <v>3250</v>
      </c>
      <c r="AW61" t="s">
        <v>3250</v>
      </c>
      <c r="AX61" t="s">
        <v>3250</v>
      </c>
      <c r="AY61" t="s">
        <v>3250</v>
      </c>
      <c r="AZ61" t="s">
        <v>3250</v>
      </c>
      <c r="BA61" t="s">
        <v>3250</v>
      </c>
      <c r="BB61" t="s">
        <v>3250</v>
      </c>
      <c r="BC61" t="s">
        <v>3250</v>
      </c>
      <c r="BE61" t="s">
        <v>3250</v>
      </c>
      <c r="BF61" t="s">
        <v>3250</v>
      </c>
      <c r="BG61" t="s">
        <v>3250</v>
      </c>
      <c r="BH61" t="s">
        <v>3250</v>
      </c>
      <c r="BI61" t="s">
        <v>3250</v>
      </c>
      <c r="BK61" t="s">
        <v>3250</v>
      </c>
      <c r="BL61" t="s">
        <v>3250</v>
      </c>
      <c r="BM61" t="s">
        <v>3250</v>
      </c>
      <c r="BN61" t="s">
        <v>3250</v>
      </c>
      <c r="BP61">
        <v>1</v>
      </c>
      <c r="BQ61">
        <v>11</v>
      </c>
      <c r="BR61" t="s">
        <v>1574</v>
      </c>
      <c r="BS61" t="s">
        <v>3252</v>
      </c>
      <c r="BV61">
        <v>0</v>
      </c>
      <c r="BW61">
        <v>0</v>
      </c>
      <c r="BX61">
        <v>0</v>
      </c>
      <c r="BY61">
        <v>0</v>
      </c>
      <c r="BZ61">
        <v>0</v>
      </c>
      <c r="CA61">
        <v>0</v>
      </c>
      <c r="CB61">
        <v>0</v>
      </c>
      <c r="CC61">
        <v>0</v>
      </c>
      <c r="CD61">
        <v>0</v>
      </c>
      <c r="CE61" t="s">
        <v>3108</v>
      </c>
      <c r="CF61" t="s">
        <v>3108</v>
      </c>
      <c r="CG61" t="s">
        <v>3108</v>
      </c>
      <c r="CH61" t="s">
        <v>3108</v>
      </c>
    </row>
    <row r="62" spans="1:86" x14ac:dyDescent="0.2">
      <c r="A62" t="s">
        <v>3369</v>
      </c>
      <c r="B62" t="s">
        <v>3369</v>
      </c>
      <c r="C62">
        <v>30304</v>
      </c>
      <c r="D62">
        <v>1081</v>
      </c>
      <c r="E62" t="s">
        <v>3356</v>
      </c>
      <c r="F62" t="s">
        <v>3249</v>
      </c>
      <c r="G62" t="s">
        <v>3249</v>
      </c>
      <c r="H62" t="s">
        <v>3250</v>
      </c>
      <c r="I62" t="s">
        <v>3250</v>
      </c>
      <c r="J62" t="s">
        <v>3250</v>
      </c>
      <c r="K62" t="s">
        <v>3250</v>
      </c>
      <c r="L62">
        <v>1200</v>
      </c>
      <c r="M62" t="s">
        <v>2368</v>
      </c>
      <c r="N62">
        <v>1204</v>
      </c>
      <c r="O62" t="s">
        <v>1574</v>
      </c>
      <c r="P62" t="s">
        <v>3108</v>
      </c>
      <c r="Q62" t="s">
        <v>3249</v>
      </c>
      <c r="R62" t="s">
        <v>3249</v>
      </c>
      <c r="S62" t="s">
        <v>472</v>
      </c>
      <c r="T62" t="s">
        <v>3251</v>
      </c>
      <c r="U62">
        <v>140</v>
      </c>
      <c r="V62" t="s">
        <v>1327</v>
      </c>
      <c r="W62">
        <v>140</v>
      </c>
      <c r="X62" t="s">
        <v>1327</v>
      </c>
      <c r="Y62" t="s">
        <v>3250</v>
      </c>
      <c r="Z62" t="s">
        <v>3250</v>
      </c>
      <c r="AA62" t="s">
        <v>3108</v>
      </c>
      <c r="AB62" t="s">
        <v>3108</v>
      </c>
      <c r="AC62" t="s">
        <v>3250</v>
      </c>
      <c r="AD62" t="s">
        <v>3250</v>
      </c>
      <c r="AE62" t="s">
        <v>3250</v>
      </c>
      <c r="AF62" t="s">
        <v>3250</v>
      </c>
      <c r="AG62" t="s">
        <v>3250</v>
      </c>
      <c r="AH62" t="s">
        <v>3250</v>
      </c>
      <c r="AI62" t="s">
        <v>3250</v>
      </c>
      <c r="AJ62" t="s">
        <v>3250</v>
      </c>
      <c r="AL62">
        <v>141</v>
      </c>
      <c r="AM62" t="s">
        <v>1327</v>
      </c>
      <c r="AN62">
        <v>141</v>
      </c>
      <c r="AO62" t="s">
        <v>1327</v>
      </c>
      <c r="AS62" t="s">
        <v>3250</v>
      </c>
      <c r="AT62" t="s">
        <v>3250</v>
      </c>
      <c r="AU62" t="s">
        <v>3250</v>
      </c>
      <c r="AV62" t="s">
        <v>3250</v>
      </c>
      <c r="AW62" t="s">
        <v>3250</v>
      </c>
      <c r="AX62" t="s">
        <v>3250</v>
      </c>
      <c r="AY62" t="s">
        <v>3250</v>
      </c>
      <c r="AZ62" t="s">
        <v>3250</v>
      </c>
      <c r="BA62" t="s">
        <v>3250</v>
      </c>
      <c r="BB62" t="s">
        <v>3250</v>
      </c>
      <c r="BC62" t="s">
        <v>3250</v>
      </c>
      <c r="BE62" t="s">
        <v>3250</v>
      </c>
      <c r="BF62" t="s">
        <v>3250</v>
      </c>
      <c r="BG62" t="s">
        <v>3250</v>
      </c>
      <c r="BH62" t="s">
        <v>3250</v>
      </c>
      <c r="BI62" t="s">
        <v>3250</v>
      </c>
      <c r="BK62" t="s">
        <v>3250</v>
      </c>
      <c r="BL62" t="s">
        <v>3250</v>
      </c>
      <c r="BM62" t="s">
        <v>3250</v>
      </c>
      <c r="BN62" t="s">
        <v>3250</v>
      </c>
      <c r="BP62">
        <v>1</v>
      </c>
      <c r="BQ62">
        <v>11</v>
      </c>
      <c r="BR62" t="s">
        <v>1574</v>
      </c>
      <c r="BS62" t="s">
        <v>3252</v>
      </c>
      <c r="BV62">
        <v>0</v>
      </c>
      <c r="BW62">
        <v>0</v>
      </c>
      <c r="BX62">
        <v>0</v>
      </c>
      <c r="BY62">
        <v>0</v>
      </c>
      <c r="BZ62">
        <v>0</v>
      </c>
      <c r="CA62">
        <v>0</v>
      </c>
      <c r="CB62">
        <v>0</v>
      </c>
      <c r="CC62">
        <v>0</v>
      </c>
      <c r="CD62">
        <v>0</v>
      </c>
      <c r="CE62" t="s">
        <v>3108</v>
      </c>
      <c r="CF62" t="s">
        <v>3108</v>
      </c>
      <c r="CG62" t="s">
        <v>3108</v>
      </c>
      <c r="CH62" t="s">
        <v>3108</v>
      </c>
    </row>
    <row r="63" spans="1:86" x14ac:dyDescent="0.2">
      <c r="A63" t="s">
        <v>3370</v>
      </c>
      <c r="B63" t="s">
        <v>3370</v>
      </c>
      <c r="C63">
        <v>30305</v>
      </c>
      <c r="D63">
        <v>1082</v>
      </c>
      <c r="E63" t="s">
        <v>3358</v>
      </c>
      <c r="F63" t="s">
        <v>3249</v>
      </c>
      <c r="G63" t="s">
        <v>3249</v>
      </c>
      <c r="H63" t="s">
        <v>3250</v>
      </c>
      <c r="I63" t="s">
        <v>3250</v>
      </c>
      <c r="J63" t="s">
        <v>3250</v>
      </c>
      <c r="K63" t="s">
        <v>3250</v>
      </c>
      <c r="L63">
        <v>1200</v>
      </c>
      <c r="M63" t="s">
        <v>2368</v>
      </c>
      <c r="N63">
        <v>1204</v>
      </c>
      <c r="O63" t="s">
        <v>1574</v>
      </c>
      <c r="P63" t="s">
        <v>3108</v>
      </c>
      <c r="Q63" t="s">
        <v>3249</v>
      </c>
      <c r="R63" t="s">
        <v>3249</v>
      </c>
      <c r="S63" t="s">
        <v>472</v>
      </c>
      <c r="T63" t="s">
        <v>3251</v>
      </c>
      <c r="U63">
        <v>140</v>
      </c>
      <c r="V63" t="s">
        <v>1327</v>
      </c>
      <c r="W63">
        <v>140</v>
      </c>
      <c r="X63" t="s">
        <v>1327</v>
      </c>
      <c r="Y63" t="s">
        <v>3250</v>
      </c>
      <c r="Z63" t="s">
        <v>3250</v>
      </c>
      <c r="AA63" t="s">
        <v>3108</v>
      </c>
      <c r="AB63" t="s">
        <v>3108</v>
      </c>
      <c r="AC63" t="s">
        <v>3250</v>
      </c>
      <c r="AD63" t="s">
        <v>3250</v>
      </c>
      <c r="AE63" t="s">
        <v>3250</v>
      </c>
      <c r="AF63" t="s">
        <v>3250</v>
      </c>
      <c r="AG63" t="s">
        <v>3250</v>
      </c>
      <c r="AH63" t="s">
        <v>3250</v>
      </c>
      <c r="AI63" t="s">
        <v>3250</v>
      </c>
      <c r="AJ63" t="s">
        <v>3250</v>
      </c>
      <c r="AL63">
        <v>141</v>
      </c>
      <c r="AM63" t="s">
        <v>1327</v>
      </c>
      <c r="AN63">
        <v>141</v>
      </c>
      <c r="AO63" t="s">
        <v>1327</v>
      </c>
      <c r="AS63" t="s">
        <v>3250</v>
      </c>
      <c r="AT63" t="s">
        <v>3250</v>
      </c>
      <c r="AU63" t="s">
        <v>3250</v>
      </c>
      <c r="AV63" t="s">
        <v>3250</v>
      </c>
      <c r="AW63" t="s">
        <v>3250</v>
      </c>
      <c r="AX63" t="s">
        <v>3250</v>
      </c>
      <c r="AY63" t="s">
        <v>3250</v>
      </c>
      <c r="AZ63" t="s">
        <v>3250</v>
      </c>
      <c r="BA63" t="s">
        <v>3250</v>
      </c>
      <c r="BB63" t="s">
        <v>3250</v>
      </c>
      <c r="BC63" t="s">
        <v>3250</v>
      </c>
      <c r="BE63" t="s">
        <v>3250</v>
      </c>
      <c r="BF63" t="s">
        <v>3250</v>
      </c>
      <c r="BG63" t="s">
        <v>3250</v>
      </c>
      <c r="BH63" t="s">
        <v>3250</v>
      </c>
      <c r="BI63" t="s">
        <v>3250</v>
      </c>
      <c r="BK63" t="s">
        <v>3250</v>
      </c>
      <c r="BL63" t="s">
        <v>3250</v>
      </c>
      <c r="BM63" t="s">
        <v>3250</v>
      </c>
      <c r="BN63" t="s">
        <v>3250</v>
      </c>
      <c r="BP63">
        <v>1</v>
      </c>
      <c r="BQ63">
        <v>11</v>
      </c>
      <c r="BR63" t="s">
        <v>1574</v>
      </c>
      <c r="BS63" t="s">
        <v>3252</v>
      </c>
      <c r="BV63">
        <v>0</v>
      </c>
      <c r="BW63">
        <v>0</v>
      </c>
      <c r="BX63">
        <v>0</v>
      </c>
      <c r="BY63">
        <v>0</v>
      </c>
      <c r="BZ63">
        <v>0</v>
      </c>
      <c r="CA63">
        <v>0</v>
      </c>
      <c r="CB63">
        <v>0</v>
      </c>
      <c r="CC63">
        <v>0</v>
      </c>
      <c r="CD63">
        <v>0</v>
      </c>
      <c r="CE63" t="s">
        <v>3108</v>
      </c>
      <c r="CF63" t="s">
        <v>3108</v>
      </c>
      <c r="CG63" t="s">
        <v>3108</v>
      </c>
      <c r="CH63" t="s">
        <v>3108</v>
      </c>
    </row>
    <row r="64" spans="1:86" x14ac:dyDescent="0.2">
      <c r="A64" t="s">
        <v>3371</v>
      </c>
      <c r="B64" t="s">
        <v>3371</v>
      </c>
      <c r="C64">
        <v>30306</v>
      </c>
      <c r="D64">
        <v>1083</v>
      </c>
      <c r="E64" t="s">
        <v>3360</v>
      </c>
      <c r="F64" t="s">
        <v>3249</v>
      </c>
      <c r="G64" t="s">
        <v>3249</v>
      </c>
      <c r="H64" t="s">
        <v>3250</v>
      </c>
      <c r="I64" t="s">
        <v>3250</v>
      </c>
      <c r="J64" t="s">
        <v>3250</v>
      </c>
      <c r="K64" t="s">
        <v>3250</v>
      </c>
      <c r="L64">
        <v>1200</v>
      </c>
      <c r="M64" t="s">
        <v>2368</v>
      </c>
      <c r="N64">
        <v>1204</v>
      </c>
      <c r="O64" t="s">
        <v>1574</v>
      </c>
      <c r="P64" t="s">
        <v>3108</v>
      </c>
      <c r="Q64" t="s">
        <v>3249</v>
      </c>
      <c r="R64" t="s">
        <v>3249</v>
      </c>
      <c r="S64" t="s">
        <v>472</v>
      </c>
      <c r="T64" t="s">
        <v>3251</v>
      </c>
      <c r="U64">
        <v>140</v>
      </c>
      <c r="V64" t="s">
        <v>1327</v>
      </c>
      <c r="W64">
        <v>140</v>
      </c>
      <c r="X64" t="s">
        <v>1327</v>
      </c>
      <c r="Y64" t="s">
        <v>3250</v>
      </c>
      <c r="Z64" t="s">
        <v>3250</v>
      </c>
      <c r="AA64" t="s">
        <v>3108</v>
      </c>
      <c r="AB64" t="s">
        <v>3108</v>
      </c>
      <c r="AC64" t="s">
        <v>3250</v>
      </c>
      <c r="AD64" t="s">
        <v>3250</v>
      </c>
      <c r="AE64" t="s">
        <v>3250</v>
      </c>
      <c r="AF64" t="s">
        <v>3250</v>
      </c>
      <c r="AG64" t="s">
        <v>3250</v>
      </c>
      <c r="AH64" t="s">
        <v>3250</v>
      </c>
      <c r="AI64" t="s">
        <v>3250</v>
      </c>
      <c r="AJ64" t="s">
        <v>3250</v>
      </c>
      <c r="AL64">
        <v>147</v>
      </c>
      <c r="AM64" t="s">
        <v>6</v>
      </c>
      <c r="AN64">
        <v>147</v>
      </c>
      <c r="AO64" t="s">
        <v>6</v>
      </c>
      <c r="AS64" t="s">
        <v>3250</v>
      </c>
      <c r="AT64" t="s">
        <v>3250</v>
      </c>
      <c r="AU64" t="s">
        <v>3250</v>
      </c>
      <c r="AV64" t="s">
        <v>3250</v>
      </c>
      <c r="AW64" t="s">
        <v>3250</v>
      </c>
      <c r="AX64" t="s">
        <v>3250</v>
      </c>
      <c r="AY64" t="s">
        <v>3250</v>
      </c>
      <c r="AZ64" t="s">
        <v>3250</v>
      </c>
      <c r="BA64" t="s">
        <v>3250</v>
      </c>
      <c r="BB64" t="s">
        <v>3250</v>
      </c>
      <c r="BC64" t="s">
        <v>3250</v>
      </c>
      <c r="BE64" t="s">
        <v>3250</v>
      </c>
      <c r="BF64" t="s">
        <v>3250</v>
      </c>
      <c r="BG64" t="s">
        <v>3250</v>
      </c>
      <c r="BH64" t="s">
        <v>3250</v>
      </c>
      <c r="BI64" t="s">
        <v>3250</v>
      </c>
      <c r="BK64" t="s">
        <v>3250</v>
      </c>
      <c r="BL64" t="s">
        <v>3250</v>
      </c>
      <c r="BM64" t="s">
        <v>3250</v>
      </c>
      <c r="BN64" t="s">
        <v>3250</v>
      </c>
      <c r="BP64">
        <v>1</v>
      </c>
      <c r="BQ64">
        <v>11</v>
      </c>
      <c r="BR64" t="s">
        <v>1574</v>
      </c>
      <c r="BS64" t="s">
        <v>3252</v>
      </c>
      <c r="BV64">
        <v>0</v>
      </c>
      <c r="BW64">
        <v>0</v>
      </c>
      <c r="BX64">
        <v>0</v>
      </c>
      <c r="BY64">
        <v>0</v>
      </c>
      <c r="BZ64">
        <v>0</v>
      </c>
      <c r="CA64">
        <v>0</v>
      </c>
      <c r="CB64">
        <v>0</v>
      </c>
      <c r="CC64">
        <v>0</v>
      </c>
      <c r="CD64">
        <v>0</v>
      </c>
      <c r="CE64" t="s">
        <v>3108</v>
      </c>
      <c r="CF64" t="s">
        <v>3108</v>
      </c>
      <c r="CG64" t="s">
        <v>3108</v>
      </c>
      <c r="CH64" t="s">
        <v>3108</v>
      </c>
    </row>
    <row r="65" spans="1:86" x14ac:dyDescent="0.2">
      <c r="A65" t="s">
        <v>3372</v>
      </c>
      <c r="B65" t="s">
        <v>3372</v>
      </c>
      <c r="C65">
        <v>30307</v>
      </c>
      <c r="D65">
        <v>1084</v>
      </c>
      <c r="E65" t="s">
        <v>3362</v>
      </c>
      <c r="F65" t="s">
        <v>3249</v>
      </c>
      <c r="G65" t="s">
        <v>3249</v>
      </c>
      <c r="H65" t="s">
        <v>3250</v>
      </c>
      <c r="I65" t="s">
        <v>3250</v>
      </c>
      <c r="J65" t="s">
        <v>3250</v>
      </c>
      <c r="K65" t="s">
        <v>3250</v>
      </c>
      <c r="L65">
        <v>1200</v>
      </c>
      <c r="M65" t="s">
        <v>2368</v>
      </c>
      <c r="N65">
        <v>1204</v>
      </c>
      <c r="O65" t="s">
        <v>1574</v>
      </c>
      <c r="P65" t="s">
        <v>3108</v>
      </c>
      <c r="Q65" t="s">
        <v>3249</v>
      </c>
      <c r="R65" t="s">
        <v>3249</v>
      </c>
      <c r="S65" t="s">
        <v>472</v>
      </c>
      <c r="T65" t="s">
        <v>3251</v>
      </c>
      <c r="U65">
        <v>140</v>
      </c>
      <c r="V65" t="s">
        <v>1327</v>
      </c>
      <c r="W65">
        <v>140</v>
      </c>
      <c r="X65" t="s">
        <v>1327</v>
      </c>
      <c r="Y65" t="s">
        <v>3250</v>
      </c>
      <c r="Z65" t="s">
        <v>3250</v>
      </c>
      <c r="AA65" t="s">
        <v>3108</v>
      </c>
      <c r="AB65" t="s">
        <v>3108</v>
      </c>
      <c r="AC65" t="s">
        <v>3250</v>
      </c>
      <c r="AD65" t="s">
        <v>3250</v>
      </c>
      <c r="AE65" t="s">
        <v>3250</v>
      </c>
      <c r="AF65" t="s">
        <v>3250</v>
      </c>
      <c r="AG65" t="s">
        <v>3250</v>
      </c>
      <c r="AH65" t="s">
        <v>3250</v>
      </c>
      <c r="AI65" t="s">
        <v>3250</v>
      </c>
      <c r="AJ65" t="s">
        <v>3250</v>
      </c>
      <c r="AL65">
        <v>141</v>
      </c>
      <c r="AM65" t="s">
        <v>1327</v>
      </c>
      <c r="AN65">
        <v>141</v>
      </c>
      <c r="AO65" t="s">
        <v>1327</v>
      </c>
      <c r="AS65" t="s">
        <v>3250</v>
      </c>
      <c r="AT65" t="s">
        <v>3250</v>
      </c>
      <c r="AU65" t="s">
        <v>3250</v>
      </c>
      <c r="AV65" t="s">
        <v>3250</v>
      </c>
      <c r="AW65" t="s">
        <v>3250</v>
      </c>
      <c r="AX65" t="s">
        <v>3250</v>
      </c>
      <c r="AY65" t="s">
        <v>3250</v>
      </c>
      <c r="AZ65" t="s">
        <v>3250</v>
      </c>
      <c r="BA65" t="s">
        <v>3250</v>
      </c>
      <c r="BB65" t="s">
        <v>3250</v>
      </c>
      <c r="BC65" t="s">
        <v>3250</v>
      </c>
      <c r="BE65" t="s">
        <v>3250</v>
      </c>
      <c r="BF65" t="s">
        <v>3250</v>
      </c>
      <c r="BG65" t="s">
        <v>3250</v>
      </c>
      <c r="BH65" t="s">
        <v>3250</v>
      </c>
      <c r="BI65" t="s">
        <v>3250</v>
      </c>
      <c r="BK65" t="s">
        <v>3250</v>
      </c>
      <c r="BL65" t="s">
        <v>3250</v>
      </c>
      <c r="BM65" t="s">
        <v>3250</v>
      </c>
      <c r="BN65" t="s">
        <v>3250</v>
      </c>
      <c r="BP65">
        <v>1</v>
      </c>
      <c r="BQ65">
        <v>11</v>
      </c>
      <c r="BR65" t="s">
        <v>1574</v>
      </c>
      <c r="BS65" t="s">
        <v>3252</v>
      </c>
      <c r="BV65">
        <v>0</v>
      </c>
      <c r="BW65">
        <v>0</v>
      </c>
      <c r="BX65">
        <v>0</v>
      </c>
      <c r="BY65">
        <v>0</v>
      </c>
      <c r="BZ65">
        <v>0</v>
      </c>
      <c r="CA65">
        <v>0</v>
      </c>
      <c r="CB65">
        <v>0</v>
      </c>
      <c r="CC65">
        <v>0</v>
      </c>
      <c r="CD65">
        <v>0</v>
      </c>
      <c r="CE65" t="s">
        <v>3108</v>
      </c>
      <c r="CF65" t="s">
        <v>3108</v>
      </c>
      <c r="CG65" t="s">
        <v>3108</v>
      </c>
      <c r="CH65" t="s">
        <v>3108</v>
      </c>
    </row>
    <row r="66" spans="1:86" x14ac:dyDescent="0.2">
      <c r="A66" t="s">
        <v>3373</v>
      </c>
      <c r="B66" t="s">
        <v>3373</v>
      </c>
      <c r="C66">
        <v>30308</v>
      </c>
      <c r="D66">
        <v>1085</v>
      </c>
      <c r="E66" t="s">
        <v>3364</v>
      </c>
      <c r="F66" t="s">
        <v>3249</v>
      </c>
      <c r="G66" t="s">
        <v>3249</v>
      </c>
      <c r="H66" t="s">
        <v>3250</v>
      </c>
      <c r="I66" t="s">
        <v>3250</v>
      </c>
      <c r="J66" t="s">
        <v>3250</v>
      </c>
      <c r="K66" t="s">
        <v>3250</v>
      </c>
      <c r="L66">
        <v>1200</v>
      </c>
      <c r="M66" t="s">
        <v>2368</v>
      </c>
      <c r="N66">
        <v>1204</v>
      </c>
      <c r="O66" t="s">
        <v>1574</v>
      </c>
      <c r="P66" t="s">
        <v>3108</v>
      </c>
      <c r="Q66" t="s">
        <v>3249</v>
      </c>
      <c r="R66" t="s">
        <v>3249</v>
      </c>
      <c r="S66" t="s">
        <v>472</v>
      </c>
      <c r="T66" t="s">
        <v>3251</v>
      </c>
      <c r="U66">
        <v>140</v>
      </c>
      <c r="V66" t="s">
        <v>1327</v>
      </c>
      <c r="W66">
        <v>140</v>
      </c>
      <c r="X66" t="s">
        <v>1327</v>
      </c>
      <c r="Y66" t="s">
        <v>3250</v>
      </c>
      <c r="Z66" t="s">
        <v>3250</v>
      </c>
      <c r="AA66" t="s">
        <v>3108</v>
      </c>
      <c r="AB66" t="s">
        <v>3108</v>
      </c>
      <c r="AC66" t="s">
        <v>3250</v>
      </c>
      <c r="AD66" t="s">
        <v>3250</v>
      </c>
      <c r="AE66" t="s">
        <v>3250</v>
      </c>
      <c r="AF66" t="s">
        <v>3250</v>
      </c>
      <c r="AG66" t="s">
        <v>3250</v>
      </c>
      <c r="AH66" t="s">
        <v>3250</v>
      </c>
      <c r="AI66" t="s">
        <v>3250</v>
      </c>
      <c r="AJ66" t="s">
        <v>3250</v>
      </c>
      <c r="AL66">
        <v>141</v>
      </c>
      <c r="AM66" t="s">
        <v>1327</v>
      </c>
      <c r="AN66">
        <v>141</v>
      </c>
      <c r="AO66" t="s">
        <v>1327</v>
      </c>
      <c r="AS66" t="s">
        <v>3250</v>
      </c>
      <c r="AT66" t="s">
        <v>3250</v>
      </c>
      <c r="AU66" t="s">
        <v>3250</v>
      </c>
      <c r="AV66" t="s">
        <v>3250</v>
      </c>
      <c r="AW66" t="s">
        <v>3250</v>
      </c>
      <c r="AX66" t="s">
        <v>3250</v>
      </c>
      <c r="AY66" t="s">
        <v>3250</v>
      </c>
      <c r="AZ66" t="s">
        <v>3250</v>
      </c>
      <c r="BA66" t="s">
        <v>3250</v>
      </c>
      <c r="BB66" t="s">
        <v>3250</v>
      </c>
      <c r="BC66" t="s">
        <v>3250</v>
      </c>
      <c r="BE66" t="s">
        <v>3250</v>
      </c>
      <c r="BF66" t="s">
        <v>3250</v>
      </c>
      <c r="BG66" t="s">
        <v>3250</v>
      </c>
      <c r="BH66" t="s">
        <v>3250</v>
      </c>
      <c r="BI66" t="s">
        <v>3250</v>
      </c>
      <c r="BK66" t="s">
        <v>3250</v>
      </c>
      <c r="BL66" t="s">
        <v>3250</v>
      </c>
      <c r="BM66" t="s">
        <v>3250</v>
      </c>
      <c r="BN66" t="s">
        <v>3250</v>
      </c>
      <c r="BP66">
        <v>1</v>
      </c>
      <c r="BQ66">
        <v>11</v>
      </c>
      <c r="BR66" t="s">
        <v>1574</v>
      </c>
      <c r="BS66" t="s">
        <v>3252</v>
      </c>
      <c r="BV66">
        <v>0</v>
      </c>
      <c r="BW66">
        <v>0</v>
      </c>
      <c r="BX66">
        <v>0</v>
      </c>
      <c r="BY66">
        <v>0</v>
      </c>
      <c r="BZ66">
        <v>0</v>
      </c>
      <c r="CA66">
        <v>0</v>
      </c>
      <c r="CB66">
        <v>0</v>
      </c>
      <c r="CC66">
        <v>0</v>
      </c>
      <c r="CD66">
        <v>0</v>
      </c>
      <c r="CE66" t="s">
        <v>3108</v>
      </c>
      <c r="CF66" t="s">
        <v>3108</v>
      </c>
      <c r="CG66" t="s">
        <v>3108</v>
      </c>
      <c r="CH66" t="s">
        <v>3108</v>
      </c>
    </row>
    <row r="67" spans="1:86" x14ac:dyDescent="0.2">
      <c r="A67" t="s">
        <v>3374</v>
      </c>
      <c r="B67" t="s">
        <v>3374</v>
      </c>
      <c r="C67">
        <v>30309</v>
      </c>
      <c r="D67">
        <v>1086</v>
      </c>
      <c r="E67" t="s">
        <v>3366</v>
      </c>
      <c r="F67" t="s">
        <v>3249</v>
      </c>
      <c r="G67" t="s">
        <v>3249</v>
      </c>
      <c r="H67" t="s">
        <v>3250</v>
      </c>
      <c r="I67" t="s">
        <v>3250</v>
      </c>
      <c r="J67" t="s">
        <v>3250</v>
      </c>
      <c r="K67" t="s">
        <v>3250</v>
      </c>
      <c r="L67">
        <v>1200</v>
      </c>
      <c r="M67" t="s">
        <v>2368</v>
      </c>
      <c r="N67">
        <v>1204</v>
      </c>
      <c r="O67" t="s">
        <v>1574</v>
      </c>
      <c r="P67" t="s">
        <v>3108</v>
      </c>
      <c r="Q67" t="s">
        <v>3249</v>
      </c>
      <c r="R67" t="s">
        <v>3249</v>
      </c>
      <c r="S67" t="s">
        <v>472</v>
      </c>
      <c r="T67" t="s">
        <v>3251</v>
      </c>
      <c r="U67">
        <v>140</v>
      </c>
      <c r="V67" t="s">
        <v>1327</v>
      </c>
      <c r="W67">
        <v>140</v>
      </c>
      <c r="X67" t="s">
        <v>1327</v>
      </c>
      <c r="Y67" t="s">
        <v>3250</v>
      </c>
      <c r="Z67" t="s">
        <v>3250</v>
      </c>
      <c r="AA67" t="s">
        <v>3108</v>
      </c>
      <c r="AB67" t="s">
        <v>3108</v>
      </c>
      <c r="AC67" t="s">
        <v>3250</v>
      </c>
      <c r="AD67" t="s">
        <v>3250</v>
      </c>
      <c r="AE67" t="s">
        <v>3250</v>
      </c>
      <c r="AF67" t="s">
        <v>3250</v>
      </c>
      <c r="AG67" t="s">
        <v>3250</v>
      </c>
      <c r="AH67" t="s">
        <v>3250</v>
      </c>
      <c r="AI67" t="s">
        <v>3250</v>
      </c>
      <c r="AJ67" t="s">
        <v>3250</v>
      </c>
      <c r="AL67">
        <v>141</v>
      </c>
      <c r="AM67" t="s">
        <v>1327</v>
      </c>
      <c r="AN67">
        <v>141</v>
      </c>
      <c r="AO67" t="s">
        <v>1327</v>
      </c>
      <c r="AS67" t="s">
        <v>3250</v>
      </c>
      <c r="AT67" t="s">
        <v>3250</v>
      </c>
      <c r="AU67" t="s">
        <v>3250</v>
      </c>
      <c r="AV67" t="s">
        <v>3250</v>
      </c>
      <c r="AW67" t="s">
        <v>3250</v>
      </c>
      <c r="AX67" t="s">
        <v>3250</v>
      </c>
      <c r="AY67" t="s">
        <v>3250</v>
      </c>
      <c r="AZ67" t="s">
        <v>3250</v>
      </c>
      <c r="BA67" t="s">
        <v>3250</v>
      </c>
      <c r="BB67" t="s">
        <v>3250</v>
      </c>
      <c r="BC67" t="s">
        <v>3250</v>
      </c>
      <c r="BE67" t="s">
        <v>3250</v>
      </c>
      <c r="BF67" t="s">
        <v>3250</v>
      </c>
      <c r="BG67" t="s">
        <v>3250</v>
      </c>
      <c r="BH67" t="s">
        <v>3250</v>
      </c>
      <c r="BI67" t="s">
        <v>3250</v>
      </c>
      <c r="BK67" t="s">
        <v>3250</v>
      </c>
      <c r="BL67" t="s">
        <v>3250</v>
      </c>
      <c r="BM67" t="s">
        <v>3250</v>
      </c>
      <c r="BN67" t="s">
        <v>3250</v>
      </c>
      <c r="BP67">
        <v>1</v>
      </c>
      <c r="BQ67">
        <v>11</v>
      </c>
      <c r="BR67" t="s">
        <v>1574</v>
      </c>
      <c r="BS67" t="s">
        <v>3252</v>
      </c>
      <c r="BV67">
        <v>0</v>
      </c>
      <c r="BW67">
        <v>0</v>
      </c>
      <c r="BX67">
        <v>0</v>
      </c>
      <c r="BY67">
        <v>0</v>
      </c>
      <c r="BZ67">
        <v>0</v>
      </c>
      <c r="CA67">
        <v>0</v>
      </c>
      <c r="CB67">
        <v>0</v>
      </c>
      <c r="CC67">
        <v>0</v>
      </c>
      <c r="CD67">
        <v>0</v>
      </c>
      <c r="CE67" t="s">
        <v>3108</v>
      </c>
      <c r="CF67" t="s">
        <v>3108</v>
      </c>
      <c r="CG67" t="s">
        <v>3108</v>
      </c>
      <c r="CH67" t="s">
        <v>3108</v>
      </c>
    </row>
    <row r="68" spans="1:86" x14ac:dyDescent="0.2">
      <c r="A68" t="s">
        <v>3375</v>
      </c>
      <c r="B68" t="s">
        <v>3375</v>
      </c>
      <c r="C68">
        <v>30310</v>
      </c>
      <c r="D68">
        <v>1087</v>
      </c>
      <c r="E68" t="s">
        <v>3376</v>
      </c>
      <c r="F68" t="s">
        <v>3249</v>
      </c>
      <c r="G68" t="s">
        <v>3249</v>
      </c>
      <c r="H68" t="s">
        <v>3250</v>
      </c>
      <c r="I68" t="s">
        <v>3250</v>
      </c>
      <c r="J68" t="s">
        <v>3250</v>
      </c>
      <c r="K68" t="s">
        <v>3250</v>
      </c>
      <c r="L68">
        <v>1200</v>
      </c>
      <c r="M68" t="s">
        <v>2368</v>
      </c>
      <c r="N68">
        <v>1204</v>
      </c>
      <c r="O68" t="s">
        <v>1574</v>
      </c>
      <c r="P68" t="s">
        <v>3108</v>
      </c>
      <c r="Q68" t="s">
        <v>3249</v>
      </c>
      <c r="R68" t="s">
        <v>3249</v>
      </c>
      <c r="S68" t="s">
        <v>472</v>
      </c>
      <c r="T68" t="s">
        <v>3251</v>
      </c>
      <c r="U68">
        <v>140</v>
      </c>
      <c r="V68" t="s">
        <v>1327</v>
      </c>
      <c r="W68">
        <v>140</v>
      </c>
      <c r="X68" t="s">
        <v>1327</v>
      </c>
      <c r="Y68" t="s">
        <v>3250</v>
      </c>
      <c r="Z68" t="s">
        <v>3250</v>
      </c>
      <c r="AA68" t="s">
        <v>3108</v>
      </c>
      <c r="AB68" t="s">
        <v>3108</v>
      </c>
      <c r="AC68" t="s">
        <v>3250</v>
      </c>
      <c r="AD68" t="s">
        <v>3250</v>
      </c>
      <c r="AE68" t="s">
        <v>3250</v>
      </c>
      <c r="AF68" t="s">
        <v>3250</v>
      </c>
      <c r="AG68" t="s">
        <v>3250</v>
      </c>
      <c r="AH68" t="s">
        <v>3250</v>
      </c>
      <c r="AI68" t="s">
        <v>3250</v>
      </c>
      <c r="AJ68" t="s">
        <v>3250</v>
      </c>
      <c r="AL68">
        <v>146</v>
      </c>
      <c r="AM68" t="s">
        <v>5</v>
      </c>
      <c r="AN68">
        <v>146</v>
      </c>
      <c r="AO68" t="s">
        <v>5</v>
      </c>
      <c r="AS68" t="s">
        <v>3250</v>
      </c>
      <c r="AT68" t="s">
        <v>3250</v>
      </c>
      <c r="AU68" t="s">
        <v>3250</v>
      </c>
      <c r="AV68" t="s">
        <v>3250</v>
      </c>
      <c r="AW68" t="s">
        <v>3250</v>
      </c>
      <c r="AX68" t="s">
        <v>3250</v>
      </c>
      <c r="AY68" t="s">
        <v>3250</v>
      </c>
      <c r="AZ68" t="s">
        <v>3250</v>
      </c>
      <c r="BA68" t="s">
        <v>3250</v>
      </c>
      <c r="BB68" t="s">
        <v>3250</v>
      </c>
      <c r="BC68" t="s">
        <v>3250</v>
      </c>
      <c r="BE68" t="s">
        <v>3250</v>
      </c>
      <c r="BF68" t="s">
        <v>3250</v>
      </c>
      <c r="BG68" t="s">
        <v>3250</v>
      </c>
      <c r="BH68" t="s">
        <v>3250</v>
      </c>
      <c r="BI68" t="s">
        <v>3250</v>
      </c>
      <c r="BK68" t="s">
        <v>3250</v>
      </c>
      <c r="BL68" t="s">
        <v>3250</v>
      </c>
      <c r="BM68" t="s">
        <v>3250</v>
      </c>
      <c r="BN68" t="s">
        <v>3250</v>
      </c>
      <c r="BP68">
        <v>1</v>
      </c>
      <c r="BQ68">
        <v>11</v>
      </c>
      <c r="BR68" t="s">
        <v>1574</v>
      </c>
      <c r="BS68" t="s">
        <v>3252</v>
      </c>
      <c r="BV68">
        <v>0</v>
      </c>
      <c r="BW68">
        <v>0</v>
      </c>
      <c r="BX68">
        <v>0</v>
      </c>
      <c r="BY68">
        <v>0</v>
      </c>
      <c r="BZ68">
        <v>0</v>
      </c>
      <c r="CA68">
        <v>0</v>
      </c>
      <c r="CB68">
        <v>0</v>
      </c>
      <c r="CC68">
        <v>0</v>
      </c>
      <c r="CD68">
        <v>0</v>
      </c>
      <c r="CE68" t="s">
        <v>3108</v>
      </c>
      <c r="CF68" t="s">
        <v>3108</v>
      </c>
      <c r="CG68" t="s">
        <v>3108</v>
      </c>
      <c r="CH68" t="s">
        <v>3108</v>
      </c>
    </row>
    <row r="69" spans="1:86" x14ac:dyDescent="0.2">
      <c r="A69" t="s">
        <v>3377</v>
      </c>
      <c r="B69" t="s">
        <v>3377</v>
      </c>
      <c r="C69">
        <v>30311</v>
      </c>
      <c r="D69">
        <v>1088</v>
      </c>
      <c r="E69" t="s">
        <v>3378</v>
      </c>
      <c r="F69" t="s">
        <v>3249</v>
      </c>
      <c r="G69" t="s">
        <v>3249</v>
      </c>
      <c r="H69" t="s">
        <v>3250</v>
      </c>
      <c r="I69" t="s">
        <v>3250</v>
      </c>
      <c r="J69" t="s">
        <v>3250</v>
      </c>
      <c r="K69" t="s">
        <v>3250</v>
      </c>
      <c r="L69">
        <v>1200</v>
      </c>
      <c r="M69" t="s">
        <v>2368</v>
      </c>
      <c r="N69">
        <v>1204</v>
      </c>
      <c r="O69" t="s">
        <v>1574</v>
      </c>
      <c r="P69" t="s">
        <v>3108</v>
      </c>
      <c r="Q69" t="s">
        <v>3249</v>
      </c>
      <c r="R69" t="s">
        <v>3249</v>
      </c>
      <c r="S69" t="s">
        <v>472</v>
      </c>
      <c r="T69" t="s">
        <v>3251</v>
      </c>
      <c r="U69">
        <v>140</v>
      </c>
      <c r="V69" t="s">
        <v>1327</v>
      </c>
      <c r="W69">
        <v>140</v>
      </c>
      <c r="X69" t="s">
        <v>1327</v>
      </c>
      <c r="Y69" t="s">
        <v>3250</v>
      </c>
      <c r="Z69" t="s">
        <v>3250</v>
      </c>
      <c r="AA69" t="s">
        <v>3108</v>
      </c>
      <c r="AB69" t="s">
        <v>3108</v>
      </c>
      <c r="AC69" t="s">
        <v>3250</v>
      </c>
      <c r="AD69" t="s">
        <v>3250</v>
      </c>
      <c r="AE69" t="s">
        <v>3250</v>
      </c>
      <c r="AF69" t="s">
        <v>3250</v>
      </c>
      <c r="AG69" t="s">
        <v>3250</v>
      </c>
      <c r="AH69" t="s">
        <v>3250</v>
      </c>
      <c r="AI69" t="s">
        <v>3250</v>
      </c>
      <c r="AJ69" t="s">
        <v>3250</v>
      </c>
      <c r="AL69">
        <v>146</v>
      </c>
      <c r="AM69" t="s">
        <v>5</v>
      </c>
      <c r="AN69">
        <v>146</v>
      </c>
      <c r="AO69" t="s">
        <v>5</v>
      </c>
      <c r="AS69" t="s">
        <v>3250</v>
      </c>
      <c r="AT69" t="s">
        <v>3250</v>
      </c>
      <c r="AU69" t="s">
        <v>3250</v>
      </c>
      <c r="AV69" t="s">
        <v>3250</v>
      </c>
      <c r="AW69" t="s">
        <v>3250</v>
      </c>
      <c r="AX69" t="s">
        <v>3250</v>
      </c>
      <c r="AY69" t="s">
        <v>3250</v>
      </c>
      <c r="AZ69" t="s">
        <v>3250</v>
      </c>
      <c r="BA69" t="s">
        <v>3250</v>
      </c>
      <c r="BB69" t="s">
        <v>3250</v>
      </c>
      <c r="BC69" t="s">
        <v>3250</v>
      </c>
      <c r="BE69" t="s">
        <v>3250</v>
      </c>
      <c r="BF69" t="s">
        <v>3250</v>
      </c>
      <c r="BG69" t="s">
        <v>3250</v>
      </c>
      <c r="BH69" t="s">
        <v>3250</v>
      </c>
      <c r="BI69" t="s">
        <v>3250</v>
      </c>
      <c r="BK69" t="s">
        <v>3250</v>
      </c>
      <c r="BL69" t="s">
        <v>3250</v>
      </c>
      <c r="BM69" t="s">
        <v>3250</v>
      </c>
      <c r="BN69" t="s">
        <v>3250</v>
      </c>
      <c r="BP69">
        <v>1</v>
      </c>
      <c r="BQ69">
        <v>11</v>
      </c>
      <c r="BR69" t="s">
        <v>1574</v>
      </c>
      <c r="BS69" t="s">
        <v>3252</v>
      </c>
      <c r="BV69">
        <v>0</v>
      </c>
      <c r="BW69">
        <v>0</v>
      </c>
      <c r="BX69">
        <v>0</v>
      </c>
      <c r="BY69">
        <v>0</v>
      </c>
      <c r="BZ69">
        <v>0</v>
      </c>
      <c r="CA69">
        <v>0</v>
      </c>
      <c r="CB69">
        <v>0</v>
      </c>
      <c r="CC69">
        <v>0</v>
      </c>
      <c r="CD69">
        <v>0</v>
      </c>
      <c r="CE69" t="s">
        <v>3108</v>
      </c>
      <c r="CF69" t="s">
        <v>3108</v>
      </c>
      <c r="CG69" t="s">
        <v>3108</v>
      </c>
      <c r="CH69" t="s">
        <v>3108</v>
      </c>
    </row>
    <row r="70" spans="1:86" x14ac:dyDescent="0.2">
      <c r="A70" t="s">
        <v>3379</v>
      </c>
      <c r="B70" t="s">
        <v>3379</v>
      </c>
      <c r="C70">
        <v>30312</v>
      </c>
      <c r="D70">
        <v>1089</v>
      </c>
      <c r="E70" t="s">
        <v>3380</v>
      </c>
      <c r="F70" t="s">
        <v>3249</v>
      </c>
      <c r="G70" t="s">
        <v>3249</v>
      </c>
      <c r="H70" t="s">
        <v>3250</v>
      </c>
      <c r="I70" t="s">
        <v>3250</v>
      </c>
      <c r="J70" t="s">
        <v>3250</v>
      </c>
      <c r="K70" t="s">
        <v>3250</v>
      </c>
      <c r="L70">
        <v>1200</v>
      </c>
      <c r="M70" t="s">
        <v>2368</v>
      </c>
      <c r="N70">
        <v>1204</v>
      </c>
      <c r="O70" t="s">
        <v>1574</v>
      </c>
      <c r="P70" t="s">
        <v>3108</v>
      </c>
      <c r="Q70" t="s">
        <v>3249</v>
      </c>
      <c r="R70" t="s">
        <v>3249</v>
      </c>
      <c r="S70" t="s">
        <v>472</v>
      </c>
      <c r="T70" t="s">
        <v>3251</v>
      </c>
      <c r="U70">
        <v>140</v>
      </c>
      <c r="V70" t="s">
        <v>1327</v>
      </c>
      <c r="W70">
        <v>140</v>
      </c>
      <c r="X70" t="s">
        <v>1327</v>
      </c>
      <c r="Y70" t="s">
        <v>3250</v>
      </c>
      <c r="Z70" t="s">
        <v>3250</v>
      </c>
      <c r="AA70" t="s">
        <v>3108</v>
      </c>
      <c r="AB70" t="s">
        <v>3108</v>
      </c>
      <c r="AC70" t="s">
        <v>3250</v>
      </c>
      <c r="AD70" t="s">
        <v>3250</v>
      </c>
      <c r="AE70" t="s">
        <v>3250</v>
      </c>
      <c r="AF70" t="s">
        <v>3250</v>
      </c>
      <c r="AG70" t="s">
        <v>3250</v>
      </c>
      <c r="AH70" t="s">
        <v>3250</v>
      </c>
      <c r="AI70" t="s">
        <v>3250</v>
      </c>
      <c r="AJ70" t="s">
        <v>3250</v>
      </c>
      <c r="AL70">
        <v>141</v>
      </c>
      <c r="AM70" t="s">
        <v>1327</v>
      </c>
      <c r="AN70">
        <v>141</v>
      </c>
      <c r="AO70" t="s">
        <v>1327</v>
      </c>
      <c r="AS70" t="s">
        <v>3250</v>
      </c>
      <c r="AT70" t="s">
        <v>3250</v>
      </c>
      <c r="AU70" t="s">
        <v>3250</v>
      </c>
      <c r="AV70" t="s">
        <v>3250</v>
      </c>
      <c r="AW70" t="s">
        <v>3250</v>
      </c>
      <c r="AX70" t="s">
        <v>3250</v>
      </c>
      <c r="AY70" t="s">
        <v>3250</v>
      </c>
      <c r="AZ70" t="s">
        <v>3250</v>
      </c>
      <c r="BA70" t="s">
        <v>3250</v>
      </c>
      <c r="BB70" t="s">
        <v>3250</v>
      </c>
      <c r="BC70" t="s">
        <v>3250</v>
      </c>
      <c r="BE70" t="s">
        <v>3250</v>
      </c>
      <c r="BF70" t="s">
        <v>3250</v>
      </c>
      <c r="BG70" t="s">
        <v>3250</v>
      </c>
      <c r="BH70" t="s">
        <v>3250</v>
      </c>
      <c r="BI70" t="s">
        <v>3250</v>
      </c>
      <c r="BK70" t="s">
        <v>3250</v>
      </c>
      <c r="BL70" t="s">
        <v>3250</v>
      </c>
      <c r="BM70" t="s">
        <v>3250</v>
      </c>
      <c r="BN70" t="s">
        <v>3250</v>
      </c>
      <c r="BP70">
        <v>1</v>
      </c>
      <c r="BQ70">
        <v>11</v>
      </c>
      <c r="BR70" t="s">
        <v>1574</v>
      </c>
      <c r="BS70" t="s">
        <v>3252</v>
      </c>
      <c r="BV70">
        <v>0</v>
      </c>
      <c r="BW70">
        <v>0</v>
      </c>
      <c r="BX70">
        <v>0</v>
      </c>
      <c r="BY70">
        <v>0</v>
      </c>
      <c r="BZ70">
        <v>0</v>
      </c>
      <c r="CA70">
        <v>0</v>
      </c>
      <c r="CB70">
        <v>0</v>
      </c>
      <c r="CC70">
        <v>0</v>
      </c>
      <c r="CD70">
        <v>0</v>
      </c>
      <c r="CE70" t="s">
        <v>3108</v>
      </c>
      <c r="CF70" t="s">
        <v>3108</v>
      </c>
      <c r="CG70" t="s">
        <v>3108</v>
      </c>
      <c r="CH70" t="s">
        <v>3108</v>
      </c>
    </row>
    <row r="71" spans="1:86" x14ac:dyDescent="0.2">
      <c r="A71" t="s">
        <v>3381</v>
      </c>
      <c r="B71" t="s">
        <v>3381</v>
      </c>
      <c r="C71">
        <v>30314</v>
      </c>
      <c r="D71">
        <v>1091</v>
      </c>
      <c r="E71" t="s">
        <v>3382</v>
      </c>
      <c r="F71" t="s">
        <v>3249</v>
      </c>
      <c r="G71" t="s">
        <v>3249</v>
      </c>
      <c r="H71" t="s">
        <v>3250</v>
      </c>
      <c r="I71" t="s">
        <v>3250</v>
      </c>
      <c r="J71" t="s">
        <v>3250</v>
      </c>
      <c r="K71" t="s">
        <v>3250</v>
      </c>
      <c r="L71">
        <v>1200</v>
      </c>
      <c r="M71" t="s">
        <v>2368</v>
      </c>
      <c r="N71">
        <v>1204</v>
      </c>
      <c r="O71" t="s">
        <v>1574</v>
      </c>
      <c r="P71" t="s">
        <v>3108</v>
      </c>
      <c r="Q71" t="s">
        <v>3249</v>
      </c>
      <c r="R71" t="s">
        <v>3249</v>
      </c>
      <c r="S71" t="s">
        <v>472</v>
      </c>
      <c r="T71" t="s">
        <v>3251</v>
      </c>
      <c r="U71">
        <v>140</v>
      </c>
      <c r="V71" t="s">
        <v>1327</v>
      </c>
      <c r="W71">
        <v>140</v>
      </c>
      <c r="X71" t="s">
        <v>1327</v>
      </c>
      <c r="Y71" t="s">
        <v>3250</v>
      </c>
      <c r="Z71" t="s">
        <v>3250</v>
      </c>
      <c r="AA71" t="s">
        <v>3108</v>
      </c>
      <c r="AB71" t="s">
        <v>3108</v>
      </c>
      <c r="AC71" t="s">
        <v>3250</v>
      </c>
      <c r="AD71" t="s">
        <v>3250</v>
      </c>
      <c r="AE71" t="s">
        <v>3250</v>
      </c>
      <c r="AF71" t="s">
        <v>3250</v>
      </c>
      <c r="AG71" t="s">
        <v>3250</v>
      </c>
      <c r="AH71" t="s">
        <v>3250</v>
      </c>
      <c r="AI71" t="s">
        <v>3250</v>
      </c>
      <c r="AJ71" t="s">
        <v>3250</v>
      </c>
      <c r="AL71">
        <v>147</v>
      </c>
      <c r="AM71" t="s">
        <v>6</v>
      </c>
      <c r="AN71">
        <v>147</v>
      </c>
      <c r="AO71" t="s">
        <v>6</v>
      </c>
      <c r="AS71" t="s">
        <v>3250</v>
      </c>
      <c r="AT71" t="s">
        <v>3250</v>
      </c>
      <c r="AU71" t="s">
        <v>3250</v>
      </c>
      <c r="AV71" t="s">
        <v>3250</v>
      </c>
      <c r="AW71" t="s">
        <v>3250</v>
      </c>
      <c r="AX71" t="s">
        <v>3250</v>
      </c>
      <c r="AY71" t="s">
        <v>3250</v>
      </c>
      <c r="AZ71" t="s">
        <v>3250</v>
      </c>
      <c r="BA71" t="s">
        <v>3250</v>
      </c>
      <c r="BB71" t="s">
        <v>3250</v>
      </c>
      <c r="BC71" t="s">
        <v>3250</v>
      </c>
      <c r="BE71" t="s">
        <v>3250</v>
      </c>
      <c r="BF71" t="s">
        <v>3250</v>
      </c>
      <c r="BG71" t="s">
        <v>3250</v>
      </c>
      <c r="BH71" t="s">
        <v>3250</v>
      </c>
      <c r="BI71" t="s">
        <v>3250</v>
      </c>
      <c r="BK71" t="s">
        <v>3250</v>
      </c>
      <c r="BL71" t="s">
        <v>3250</v>
      </c>
      <c r="BM71" t="s">
        <v>3250</v>
      </c>
      <c r="BN71" t="s">
        <v>3250</v>
      </c>
      <c r="BP71">
        <v>1</v>
      </c>
      <c r="BQ71">
        <v>11</v>
      </c>
      <c r="BR71" t="s">
        <v>1574</v>
      </c>
      <c r="BS71" t="s">
        <v>3252</v>
      </c>
      <c r="BV71">
        <v>0</v>
      </c>
      <c r="BW71">
        <v>0</v>
      </c>
      <c r="BX71">
        <v>0</v>
      </c>
      <c r="BY71">
        <v>0</v>
      </c>
      <c r="BZ71">
        <v>0</v>
      </c>
      <c r="CA71">
        <v>0</v>
      </c>
      <c r="CB71">
        <v>0</v>
      </c>
      <c r="CC71">
        <v>0</v>
      </c>
      <c r="CD71">
        <v>0</v>
      </c>
      <c r="CE71" t="s">
        <v>3108</v>
      </c>
      <c r="CF71" t="s">
        <v>3108</v>
      </c>
      <c r="CG71" t="s">
        <v>3108</v>
      </c>
      <c r="CH71" t="s">
        <v>3108</v>
      </c>
    </row>
    <row r="72" spans="1:86" x14ac:dyDescent="0.2">
      <c r="A72" t="s">
        <v>3383</v>
      </c>
      <c r="B72" t="s">
        <v>3383</v>
      </c>
      <c r="C72">
        <v>30315</v>
      </c>
      <c r="D72">
        <v>1092</v>
      </c>
      <c r="E72" t="s">
        <v>3384</v>
      </c>
      <c r="F72" t="s">
        <v>3249</v>
      </c>
      <c r="G72" t="s">
        <v>3249</v>
      </c>
      <c r="H72" t="s">
        <v>3250</v>
      </c>
      <c r="I72" t="s">
        <v>3250</v>
      </c>
      <c r="J72" t="s">
        <v>3250</v>
      </c>
      <c r="K72" t="s">
        <v>3250</v>
      </c>
      <c r="L72">
        <v>1200</v>
      </c>
      <c r="M72" t="s">
        <v>2368</v>
      </c>
      <c r="N72">
        <v>1204</v>
      </c>
      <c r="O72" t="s">
        <v>1574</v>
      </c>
      <c r="P72" t="s">
        <v>3108</v>
      </c>
      <c r="Q72" t="s">
        <v>3249</v>
      </c>
      <c r="R72" t="s">
        <v>3249</v>
      </c>
      <c r="S72" t="s">
        <v>472</v>
      </c>
      <c r="T72" t="s">
        <v>3251</v>
      </c>
      <c r="U72">
        <v>140</v>
      </c>
      <c r="V72" t="s">
        <v>1327</v>
      </c>
      <c r="W72">
        <v>140</v>
      </c>
      <c r="X72" t="s">
        <v>1327</v>
      </c>
      <c r="Y72" t="s">
        <v>3250</v>
      </c>
      <c r="Z72" t="s">
        <v>3250</v>
      </c>
      <c r="AA72" t="s">
        <v>3108</v>
      </c>
      <c r="AB72" t="s">
        <v>3108</v>
      </c>
      <c r="AC72" t="s">
        <v>3250</v>
      </c>
      <c r="AD72" t="s">
        <v>3250</v>
      </c>
      <c r="AE72" t="s">
        <v>3250</v>
      </c>
      <c r="AF72" t="s">
        <v>3250</v>
      </c>
      <c r="AG72" t="s">
        <v>3250</v>
      </c>
      <c r="AH72" t="s">
        <v>3250</v>
      </c>
      <c r="AI72" t="s">
        <v>3250</v>
      </c>
      <c r="AJ72" t="s">
        <v>3250</v>
      </c>
      <c r="AL72">
        <v>141</v>
      </c>
      <c r="AM72" t="s">
        <v>1327</v>
      </c>
      <c r="AN72">
        <v>141</v>
      </c>
      <c r="AO72" t="s">
        <v>1327</v>
      </c>
      <c r="AS72" t="s">
        <v>3250</v>
      </c>
      <c r="AT72" t="s">
        <v>3250</v>
      </c>
      <c r="AU72" t="s">
        <v>3250</v>
      </c>
      <c r="AV72" t="s">
        <v>3250</v>
      </c>
      <c r="AW72" t="s">
        <v>3250</v>
      </c>
      <c r="AX72" t="s">
        <v>3250</v>
      </c>
      <c r="AY72" t="s">
        <v>3250</v>
      </c>
      <c r="AZ72" t="s">
        <v>3250</v>
      </c>
      <c r="BA72" t="s">
        <v>3250</v>
      </c>
      <c r="BB72" t="s">
        <v>3250</v>
      </c>
      <c r="BC72" t="s">
        <v>3250</v>
      </c>
      <c r="BE72" t="s">
        <v>3250</v>
      </c>
      <c r="BF72" t="s">
        <v>3250</v>
      </c>
      <c r="BG72" t="s">
        <v>3250</v>
      </c>
      <c r="BH72" t="s">
        <v>3250</v>
      </c>
      <c r="BI72" t="s">
        <v>3250</v>
      </c>
      <c r="BK72" t="s">
        <v>3250</v>
      </c>
      <c r="BL72" t="s">
        <v>3250</v>
      </c>
      <c r="BM72" t="s">
        <v>3250</v>
      </c>
      <c r="BN72" t="s">
        <v>3250</v>
      </c>
      <c r="BP72">
        <v>1</v>
      </c>
      <c r="BQ72">
        <v>11</v>
      </c>
      <c r="BR72" t="s">
        <v>1574</v>
      </c>
      <c r="BS72" t="s">
        <v>3252</v>
      </c>
      <c r="BV72">
        <v>0</v>
      </c>
      <c r="BW72">
        <v>0</v>
      </c>
      <c r="BX72">
        <v>0</v>
      </c>
      <c r="BY72">
        <v>0</v>
      </c>
      <c r="BZ72">
        <v>0</v>
      </c>
      <c r="CA72">
        <v>0</v>
      </c>
      <c r="CB72">
        <v>0</v>
      </c>
      <c r="CC72">
        <v>0</v>
      </c>
      <c r="CD72">
        <v>0</v>
      </c>
      <c r="CE72" t="s">
        <v>3108</v>
      </c>
      <c r="CF72" t="s">
        <v>3108</v>
      </c>
      <c r="CG72" t="s">
        <v>3108</v>
      </c>
      <c r="CH72" t="s">
        <v>3108</v>
      </c>
    </row>
    <row r="73" spans="1:86" x14ac:dyDescent="0.2">
      <c r="A73" t="s">
        <v>3385</v>
      </c>
      <c r="B73" t="s">
        <v>3385</v>
      </c>
      <c r="C73">
        <v>30317</v>
      </c>
      <c r="D73">
        <v>1094</v>
      </c>
      <c r="E73" t="s">
        <v>3386</v>
      </c>
      <c r="F73" t="s">
        <v>3249</v>
      </c>
      <c r="G73" t="s">
        <v>3249</v>
      </c>
      <c r="H73" t="s">
        <v>3250</v>
      </c>
      <c r="I73" t="s">
        <v>3250</v>
      </c>
      <c r="J73" t="s">
        <v>3250</v>
      </c>
      <c r="K73" t="s">
        <v>3250</v>
      </c>
      <c r="L73">
        <v>1200</v>
      </c>
      <c r="M73" t="s">
        <v>2368</v>
      </c>
      <c r="N73">
        <v>1204</v>
      </c>
      <c r="O73" t="s">
        <v>1574</v>
      </c>
      <c r="P73" t="s">
        <v>3108</v>
      </c>
      <c r="Q73" t="s">
        <v>3249</v>
      </c>
      <c r="R73" t="s">
        <v>3249</v>
      </c>
      <c r="S73" t="s">
        <v>472</v>
      </c>
      <c r="T73" t="s">
        <v>3251</v>
      </c>
      <c r="U73">
        <v>140</v>
      </c>
      <c r="V73" t="s">
        <v>1327</v>
      </c>
      <c r="W73">
        <v>140</v>
      </c>
      <c r="X73" t="s">
        <v>1327</v>
      </c>
      <c r="Y73" t="s">
        <v>3250</v>
      </c>
      <c r="Z73" t="s">
        <v>3250</v>
      </c>
      <c r="AA73" t="s">
        <v>3108</v>
      </c>
      <c r="AB73" t="s">
        <v>3108</v>
      </c>
      <c r="AC73" t="s">
        <v>3250</v>
      </c>
      <c r="AD73" t="s">
        <v>3250</v>
      </c>
      <c r="AE73" t="s">
        <v>3250</v>
      </c>
      <c r="AF73" t="s">
        <v>3250</v>
      </c>
      <c r="AG73" t="s">
        <v>3250</v>
      </c>
      <c r="AH73" t="s">
        <v>3250</v>
      </c>
      <c r="AI73" t="s">
        <v>3250</v>
      </c>
      <c r="AJ73" t="s">
        <v>3250</v>
      </c>
      <c r="AL73">
        <v>141</v>
      </c>
      <c r="AM73" t="s">
        <v>1327</v>
      </c>
      <c r="AN73">
        <v>141</v>
      </c>
      <c r="AO73" t="s">
        <v>1327</v>
      </c>
      <c r="AS73" t="s">
        <v>3250</v>
      </c>
      <c r="AT73" t="s">
        <v>3250</v>
      </c>
      <c r="AU73" t="s">
        <v>3250</v>
      </c>
      <c r="AV73" t="s">
        <v>3250</v>
      </c>
      <c r="AW73" t="s">
        <v>3250</v>
      </c>
      <c r="AX73" t="s">
        <v>3250</v>
      </c>
      <c r="AY73" t="s">
        <v>3250</v>
      </c>
      <c r="AZ73" t="s">
        <v>3250</v>
      </c>
      <c r="BA73" t="s">
        <v>3250</v>
      </c>
      <c r="BB73" t="s">
        <v>3250</v>
      </c>
      <c r="BC73" t="s">
        <v>3250</v>
      </c>
      <c r="BE73" t="s">
        <v>3250</v>
      </c>
      <c r="BF73" t="s">
        <v>3250</v>
      </c>
      <c r="BG73" t="s">
        <v>3250</v>
      </c>
      <c r="BH73" t="s">
        <v>3250</v>
      </c>
      <c r="BI73" t="s">
        <v>3250</v>
      </c>
      <c r="BK73" t="s">
        <v>3250</v>
      </c>
      <c r="BL73" t="s">
        <v>3250</v>
      </c>
      <c r="BM73" t="s">
        <v>3250</v>
      </c>
      <c r="BN73" t="s">
        <v>3250</v>
      </c>
      <c r="BP73">
        <v>1</v>
      </c>
      <c r="BQ73">
        <v>11</v>
      </c>
      <c r="BR73" t="s">
        <v>1574</v>
      </c>
      <c r="BS73" t="s">
        <v>3252</v>
      </c>
      <c r="BV73">
        <v>0</v>
      </c>
      <c r="BW73">
        <v>0</v>
      </c>
      <c r="BX73">
        <v>0</v>
      </c>
      <c r="BY73">
        <v>0</v>
      </c>
      <c r="BZ73">
        <v>0</v>
      </c>
      <c r="CA73">
        <v>0</v>
      </c>
      <c r="CB73">
        <v>0</v>
      </c>
      <c r="CC73">
        <v>0</v>
      </c>
      <c r="CD73">
        <v>0</v>
      </c>
      <c r="CE73" t="s">
        <v>3108</v>
      </c>
      <c r="CF73" t="s">
        <v>3108</v>
      </c>
      <c r="CG73" t="s">
        <v>3108</v>
      </c>
      <c r="CH73" t="s">
        <v>3108</v>
      </c>
    </row>
    <row r="74" spans="1:86" x14ac:dyDescent="0.2">
      <c r="A74" t="s">
        <v>3387</v>
      </c>
      <c r="B74" t="s">
        <v>3387</v>
      </c>
      <c r="C74">
        <v>30318</v>
      </c>
      <c r="D74">
        <v>1095</v>
      </c>
      <c r="E74" t="s">
        <v>3388</v>
      </c>
      <c r="F74" t="s">
        <v>3249</v>
      </c>
      <c r="G74" t="s">
        <v>3249</v>
      </c>
      <c r="H74" t="s">
        <v>3250</v>
      </c>
      <c r="I74" t="s">
        <v>3250</v>
      </c>
      <c r="J74" t="s">
        <v>3250</v>
      </c>
      <c r="K74" t="s">
        <v>3250</v>
      </c>
      <c r="L74">
        <v>1200</v>
      </c>
      <c r="M74" t="s">
        <v>2368</v>
      </c>
      <c r="N74">
        <v>1204</v>
      </c>
      <c r="O74" t="s">
        <v>1574</v>
      </c>
      <c r="P74" t="s">
        <v>3108</v>
      </c>
      <c r="Q74" t="s">
        <v>3249</v>
      </c>
      <c r="R74" t="s">
        <v>3249</v>
      </c>
      <c r="S74" t="s">
        <v>472</v>
      </c>
      <c r="T74" t="s">
        <v>3251</v>
      </c>
      <c r="U74">
        <v>140</v>
      </c>
      <c r="V74" t="s">
        <v>1327</v>
      </c>
      <c r="W74">
        <v>140</v>
      </c>
      <c r="X74" t="s">
        <v>1327</v>
      </c>
      <c r="Y74" t="s">
        <v>3250</v>
      </c>
      <c r="Z74" t="s">
        <v>3250</v>
      </c>
      <c r="AA74" t="s">
        <v>3108</v>
      </c>
      <c r="AB74" t="s">
        <v>3108</v>
      </c>
      <c r="AC74" t="s">
        <v>3250</v>
      </c>
      <c r="AD74" t="s">
        <v>3250</v>
      </c>
      <c r="AE74" t="s">
        <v>3250</v>
      </c>
      <c r="AF74" t="s">
        <v>3250</v>
      </c>
      <c r="AG74" t="s">
        <v>3250</v>
      </c>
      <c r="AH74" t="s">
        <v>3250</v>
      </c>
      <c r="AI74" t="s">
        <v>3250</v>
      </c>
      <c r="AJ74" t="s">
        <v>3250</v>
      </c>
      <c r="AL74">
        <v>146</v>
      </c>
      <c r="AM74" t="s">
        <v>5</v>
      </c>
      <c r="AN74">
        <v>146</v>
      </c>
      <c r="AO74" t="s">
        <v>5</v>
      </c>
      <c r="AS74" t="s">
        <v>3250</v>
      </c>
      <c r="AT74" t="s">
        <v>3250</v>
      </c>
      <c r="AU74" t="s">
        <v>3250</v>
      </c>
      <c r="AV74" t="s">
        <v>3250</v>
      </c>
      <c r="AW74" t="s">
        <v>3250</v>
      </c>
      <c r="AX74" t="s">
        <v>3250</v>
      </c>
      <c r="AY74" t="s">
        <v>3250</v>
      </c>
      <c r="AZ74" t="s">
        <v>3250</v>
      </c>
      <c r="BA74" t="s">
        <v>3250</v>
      </c>
      <c r="BB74" t="s">
        <v>3250</v>
      </c>
      <c r="BC74" t="s">
        <v>3250</v>
      </c>
      <c r="BE74" t="s">
        <v>3250</v>
      </c>
      <c r="BF74" t="s">
        <v>3250</v>
      </c>
      <c r="BG74" t="s">
        <v>3250</v>
      </c>
      <c r="BH74" t="s">
        <v>3250</v>
      </c>
      <c r="BI74" t="s">
        <v>3250</v>
      </c>
      <c r="BK74" t="s">
        <v>3250</v>
      </c>
      <c r="BL74" t="s">
        <v>3250</v>
      </c>
      <c r="BM74" t="s">
        <v>3250</v>
      </c>
      <c r="BN74" t="s">
        <v>3250</v>
      </c>
      <c r="BP74">
        <v>1</v>
      </c>
      <c r="BQ74">
        <v>11</v>
      </c>
      <c r="BR74" t="s">
        <v>1574</v>
      </c>
      <c r="BS74" t="s">
        <v>3252</v>
      </c>
      <c r="BV74">
        <v>0</v>
      </c>
      <c r="BW74">
        <v>0</v>
      </c>
      <c r="BX74">
        <v>0</v>
      </c>
      <c r="BY74">
        <v>0</v>
      </c>
      <c r="BZ74">
        <v>0</v>
      </c>
      <c r="CA74">
        <v>0</v>
      </c>
      <c r="CB74">
        <v>0</v>
      </c>
      <c r="CC74">
        <v>0</v>
      </c>
      <c r="CD74">
        <v>0</v>
      </c>
      <c r="CE74" t="s">
        <v>3108</v>
      </c>
      <c r="CF74" t="s">
        <v>3108</v>
      </c>
      <c r="CG74" t="s">
        <v>3108</v>
      </c>
      <c r="CH74" t="s">
        <v>3108</v>
      </c>
    </row>
    <row r="75" spans="1:86" x14ac:dyDescent="0.2">
      <c r="A75" t="s">
        <v>3389</v>
      </c>
      <c r="B75" t="s">
        <v>3389</v>
      </c>
      <c r="C75">
        <v>30319</v>
      </c>
      <c r="D75">
        <v>1096</v>
      </c>
      <c r="E75" t="s">
        <v>3390</v>
      </c>
      <c r="F75" t="s">
        <v>3249</v>
      </c>
      <c r="G75" t="s">
        <v>3249</v>
      </c>
      <c r="H75" t="s">
        <v>3250</v>
      </c>
      <c r="I75" t="s">
        <v>3250</v>
      </c>
      <c r="J75" t="s">
        <v>3250</v>
      </c>
      <c r="K75" t="s">
        <v>3250</v>
      </c>
      <c r="L75">
        <v>1200</v>
      </c>
      <c r="M75" t="s">
        <v>2368</v>
      </c>
      <c r="N75">
        <v>1204</v>
      </c>
      <c r="O75" t="s">
        <v>1574</v>
      </c>
      <c r="P75" t="s">
        <v>3108</v>
      </c>
      <c r="Q75" t="s">
        <v>3249</v>
      </c>
      <c r="R75" t="s">
        <v>3249</v>
      </c>
      <c r="S75" t="s">
        <v>472</v>
      </c>
      <c r="T75" t="s">
        <v>3251</v>
      </c>
      <c r="U75">
        <v>140</v>
      </c>
      <c r="V75" t="s">
        <v>1327</v>
      </c>
      <c r="W75">
        <v>140</v>
      </c>
      <c r="X75" t="s">
        <v>1327</v>
      </c>
      <c r="Y75" t="s">
        <v>3250</v>
      </c>
      <c r="Z75" t="s">
        <v>3250</v>
      </c>
      <c r="AA75" t="s">
        <v>3108</v>
      </c>
      <c r="AB75" t="s">
        <v>3108</v>
      </c>
      <c r="AC75" t="s">
        <v>3250</v>
      </c>
      <c r="AD75" t="s">
        <v>3250</v>
      </c>
      <c r="AE75" t="s">
        <v>3250</v>
      </c>
      <c r="AF75" t="s">
        <v>3250</v>
      </c>
      <c r="AG75" t="s">
        <v>3250</v>
      </c>
      <c r="AH75" t="s">
        <v>3250</v>
      </c>
      <c r="AI75" t="s">
        <v>3250</v>
      </c>
      <c r="AJ75" t="s">
        <v>3250</v>
      </c>
      <c r="AL75">
        <v>146</v>
      </c>
      <c r="AM75" t="s">
        <v>5</v>
      </c>
      <c r="AN75">
        <v>146</v>
      </c>
      <c r="AO75" t="s">
        <v>5</v>
      </c>
      <c r="AS75" t="s">
        <v>3250</v>
      </c>
      <c r="AT75" t="s">
        <v>3250</v>
      </c>
      <c r="AU75" t="s">
        <v>3250</v>
      </c>
      <c r="AV75" t="s">
        <v>3250</v>
      </c>
      <c r="AW75" t="s">
        <v>3250</v>
      </c>
      <c r="AX75" t="s">
        <v>3250</v>
      </c>
      <c r="AY75" t="s">
        <v>3250</v>
      </c>
      <c r="AZ75" t="s">
        <v>3250</v>
      </c>
      <c r="BA75" t="s">
        <v>3250</v>
      </c>
      <c r="BB75" t="s">
        <v>3250</v>
      </c>
      <c r="BC75" t="s">
        <v>3250</v>
      </c>
      <c r="BE75" t="s">
        <v>3250</v>
      </c>
      <c r="BF75" t="s">
        <v>3250</v>
      </c>
      <c r="BG75" t="s">
        <v>3250</v>
      </c>
      <c r="BH75" t="s">
        <v>3250</v>
      </c>
      <c r="BI75" t="s">
        <v>3250</v>
      </c>
      <c r="BK75" t="s">
        <v>3250</v>
      </c>
      <c r="BL75" t="s">
        <v>3250</v>
      </c>
      <c r="BM75" t="s">
        <v>3250</v>
      </c>
      <c r="BN75" t="s">
        <v>3250</v>
      </c>
      <c r="BP75">
        <v>1</v>
      </c>
      <c r="BQ75">
        <v>11</v>
      </c>
      <c r="BR75" t="s">
        <v>1574</v>
      </c>
      <c r="BS75" t="s">
        <v>3252</v>
      </c>
      <c r="BV75">
        <v>0</v>
      </c>
      <c r="BW75">
        <v>0</v>
      </c>
      <c r="BX75">
        <v>0</v>
      </c>
      <c r="BY75">
        <v>0</v>
      </c>
      <c r="BZ75">
        <v>0</v>
      </c>
      <c r="CA75">
        <v>0</v>
      </c>
      <c r="CB75">
        <v>0</v>
      </c>
      <c r="CC75">
        <v>0</v>
      </c>
      <c r="CD75">
        <v>0</v>
      </c>
      <c r="CE75" t="s">
        <v>3108</v>
      </c>
      <c r="CF75" t="s">
        <v>3108</v>
      </c>
      <c r="CG75" t="s">
        <v>3108</v>
      </c>
      <c r="CH75" t="s">
        <v>3108</v>
      </c>
    </row>
    <row r="76" spans="1:86" x14ac:dyDescent="0.2">
      <c r="A76" t="s">
        <v>3391</v>
      </c>
      <c r="B76" t="s">
        <v>3391</v>
      </c>
      <c r="C76">
        <v>30320</v>
      </c>
      <c r="D76">
        <v>1097</v>
      </c>
      <c r="E76" t="s">
        <v>3392</v>
      </c>
      <c r="F76" t="s">
        <v>3249</v>
      </c>
      <c r="G76" t="s">
        <v>3249</v>
      </c>
      <c r="H76" t="s">
        <v>3250</v>
      </c>
      <c r="I76" t="s">
        <v>3250</v>
      </c>
      <c r="J76" t="s">
        <v>3250</v>
      </c>
      <c r="K76" t="s">
        <v>3250</v>
      </c>
      <c r="L76">
        <v>1200</v>
      </c>
      <c r="M76" t="s">
        <v>2368</v>
      </c>
      <c r="N76">
        <v>1204</v>
      </c>
      <c r="O76" t="s">
        <v>1574</v>
      </c>
      <c r="P76" t="s">
        <v>3108</v>
      </c>
      <c r="Q76" t="s">
        <v>3249</v>
      </c>
      <c r="R76" t="s">
        <v>3249</v>
      </c>
      <c r="S76" t="s">
        <v>472</v>
      </c>
      <c r="T76" t="s">
        <v>3251</v>
      </c>
      <c r="U76">
        <v>140</v>
      </c>
      <c r="V76" t="s">
        <v>1327</v>
      </c>
      <c r="W76">
        <v>140</v>
      </c>
      <c r="X76" t="s">
        <v>1327</v>
      </c>
      <c r="Y76" t="s">
        <v>3250</v>
      </c>
      <c r="Z76" t="s">
        <v>3250</v>
      </c>
      <c r="AA76" t="s">
        <v>3108</v>
      </c>
      <c r="AB76" t="s">
        <v>3108</v>
      </c>
      <c r="AC76" t="s">
        <v>3250</v>
      </c>
      <c r="AD76" t="s">
        <v>3250</v>
      </c>
      <c r="AE76" t="s">
        <v>3250</v>
      </c>
      <c r="AF76" t="s">
        <v>3250</v>
      </c>
      <c r="AG76" t="s">
        <v>3250</v>
      </c>
      <c r="AH76" t="s">
        <v>3250</v>
      </c>
      <c r="AI76" t="s">
        <v>3250</v>
      </c>
      <c r="AJ76" t="s">
        <v>3250</v>
      </c>
      <c r="AL76">
        <v>141</v>
      </c>
      <c r="AM76" t="s">
        <v>1327</v>
      </c>
      <c r="AN76">
        <v>141</v>
      </c>
      <c r="AO76" t="s">
        <v>1327</v>
      </c>
      <c r="AS76" t="s">
        <v>3250</v>
      </c>
      <c r="AT76" t="s">
        <v>3250</v>
      </c>
      <c r="AU76" t="s">
        <v>3250</v>
      </c>
      <c r="AV76" t="s">
        <v>3250</v>
      </c>
      <c r="AW76" t="s">
        <v>3250</v>
      </c>
      <c r="AX76" t="s">
        <v>3250</v>
      </c>
      <c r="AY76" t="s">
        <v>3250</v>
      </c>
      <c r="AZ76" t="s">
        <v>3250</v>
      </c>
      <c r="BA76" t="s">
        <v>3250</v>
      </c>
      <c r="BB76" t="s">
        <v>3250</v>
      </c>
      <c r="BC76" t="s">
        <v>3250</v>
      </c>
      <c r="BE76" t="s">
        <v>3250</v>
      </c>
      <c r="BF76" t="s">
        <v>3250</v>
      </c>
      <c r="BG76" t="s">
        <v>3250</v>
      </c>
      <c r="BH76" t="s">
        <v>3250</v>
      </c>
      <c r="BI76" t="s">
        <v>3250</v>
      </c>
      <c r="BK76" t="s">
        <v>3250</v>
      </c>
      <c r="BL76" t="s">
        <v>3250</v>
      </c>
      <c r="BM76" t="s">
        <v>3250</v>
      </c>
      <c r="BN76" t="s">
        <v>3250</v>
      </c>
      <c r="BP76">
        <v>1</v>
      </c>
      <c r="BQ76">
        <v>11</v>
      </c>
      <c r="BR76" t="s">
        <v>1574</v>
      </c>
      <c r="BS76" t="s">
        <v>3252</v>
      </c>
      <c r="BV76">
        <v>0</v>
      </c>
      <c r="BW76">
        <v>0</v>
      </c>
      <c r="BX76">
        <v>0</v>
      </c>
      <c r="BY76">
        <v>0</v>
      </c>
      <c r="BZ76">
        <v>0</v>
      </c>
      <c r="CA76">
        <v>0</v>
      </c>
      <c r="CB76">
        <v>0</v>
      </c>
      <c r="CC76">
        <v>0</v>
      </c>
      <c r="CD76">
        <v>0</v>
      </c>
      <c r="CE76" t="s">
        <v>3108</v>
      </c>
      <c r="CF76" t="s">
        <v>3108</v>
      </c>
      <c r="CG76" t="s">
        <v>3108</v>
      </c>
      <c r="CH76" t="s">
        <v>3108</v>
      </c>
    </row>
    <row r="77" spans="1:86" x14ac:dyDescent="0.2">
      <c r="A77" t="s">
        <v>3393</v>
      </c>
      <c r="B77" t="s">
        <v>3393</v>
      </c>
      <c r="C77">
        <v>30321</v>
      </c>
      <c r="D77">
        <v>1098</v>
      </c>
      <c r="E77" t="s">
        <v>3394</v>
      </c>
      <c r="F77" t="s">
        <v>3249</v>
      </c>
      <c r="G77" t="s">
        <v>3249</v>
      </c>
      <c r="H77" t="s">
        <v>3250</v>
      </c>
      <c r="I77" t="s">
        <v>3250</v>
      </c>
      <c r="J77" t="s">
        <v>3250</v>
      </c>
      <c r="K77" t="s">
        <v>3250</v>
      </c>
      <c r="L77">
        <v>1200</v>
      </c>
      <c r="M77" t="s">
        <v>2368</v>
      </c>
      <c r="N77">
        <v>1204</v>
      </c>
      <c r="O77" t="s">
        <v>1574</v>
      </c>
      <c r="P77" t="s">
        <v>3108</v>
      </c>
      <c r="Q77" t="s">
        <v>3249</v>
      </c>
      <c r="R77" t="s">
        <v>3249</v>
      </c>
      <c r="S77" t="s">
        <v>472</v>
      </c>
      <c r="T77" t="s">
        <v>3251</v>
      </c>
      <c r="U77">
        <v>140</v>
      </c>
      <c r="V77" t="s">
        <v>1327</v>
      </c>
      <c r="W77">
        <v>140</v>
      </c>
      <c r="X77" t="s">
        <v>1327</v>
      </c>
      <c r="Y77" t="s">
        <v>3250</v>
      </c>
      <c r="Z77" t="s">
        <v>3250</v>
      </c>
      <c r="AA77" t="s">
        <v>3108</v>
      </c>
      <c r="AB77" t="s">
        <v>3108</v>
      </c>
      <c r="AC77" t="s">
        <v>3250</v>
      </c>
      <c r="AD77" t="s">
        <v>3250</v>
      </c>
      <c r="AE77" t="s">
        <v>3250</v>
      </c>
      <c r="AF77" t="s">
        <v>3250</v>
      </c>
      <c r="AG77" t="s">
        <v>3250</v>
      </c>
      <c r="AH77" t="s">
        <v>3250</v>
      </c>
      <c r="AI77" t="s">
        <v>3250</v>
      </c>
      <c r="AJ77" t="s">
        <v>3250</v>
      </c>
      <c r="AL77">
        <v>141</v>
      </c>
      <c r="AM77" t="s">
        <v>1327</v>
      </c>
      <c r="AN77">
        <v>141</v>
      </c>
      <c r="AO77" t="s">
        <v>1327</v>
      </c>
      <c r="AS77" t="s">
        <v>3250</v>
      </c>
      <c r="AT77" t="s">
        <v>3250</v>
      </c>
      <c r="AU77" t="s">
        <v>3250</v>
      </c>
      <c r="AV77" t="s">
        <v>3250</v>
      </c>
      <c r="AW77" t="s">
        <v>3250</v>
      </c>
      <c r="AX77" t="s">
        <v>3250</v>
      </c>
      <c r="AY77" t="s">
        <v>3250</v>
      </c>
      <c r="AZ77" t="s">
        <v>3250</v>
      </c>
      <c r="BA77" t="s">
        <v>3250</v>
      </c>
      <c r="BB77" t="s">
        <v>3250</v>
      </c>
      <c r="BC77" t="s">
        <v>3250</v>
      </c>
      <c r="BE77" t="s">
        <v>3250</v>
      </c>
      <c r="BF77" t="s">
        <v>3250</v>
      </c>
      <c r="BG77" t="s">
        <v>3250</v>
      </c>
      <c r="BH77" t="s">
        <v>3250</v>
      </c>
      <c r="BI77" t="s">
        <v>3250</v>
      </c>
      <c r="BK77" t="s">
        <v>3250</v>
      </c>
      <c r="BL77" t="s">
        <v>3250</v>
      </c>
      <c r="BM77" t="s">
        <v>3250</v>
      </c>
      <c r="BN77" t="s">
        <v>3250</v>
      </c>
      <c r="BP77">
        <v>1</v>
      </c>
      <c r="BQ77">
        <v>11</v>
      </c>
      <c r="BR77" t="s">
        <v>1574</v>
      </c>
      <c r="BS77" t="s">
        <v>3252</v>
      </c>
      <c r="BV77">
        <v>0</v>
      </c>
      <c r="BW77">
        <v>0</v>
      </c>
      <c r="BX77">
        <v>0</v>
      </c>
      <c r="BY77">
        <v>0</v>
      </c>
      <c r="BZ77">
        <v>0</v>
      </c>
      <c r="CA77">
        <v>0</v>
      </c>
      <c r="CB77">
        <v>0</v>
      </c>
      <c r="CC77">
        <v>0</v>
      </c>
      <c r="CD77">
        <v>0</v>
      </c>
      <c r="CE77" t="s">
        <v>3108</v>
      </c>
      <c r="CF77" t="s">
        <v>3108</v>
      </c>
      <c r="CG77" t="s">
        <v>3108</v>
      </c>
      <c r="CH77" t="s">
        <v>3108</v>
      </c>
    </row>
    <row r="78" spans="1:86" x14ac:dyDescent="0.2">
      <c r="A78" t="s">
        <v>3395</v>
      </c>
      <c r="B78" t="s">
        <v>3395</v>
      </c>
      <c r="C78">
        <v>30322</v>
      </c>
      <c r="D78">
        <v>1099</v>
      </c>
      <c r="E78" t="s">
        <v>3396</v>
      </c>
      <c r="F78" t="s">
        <v>3249</v>
      </c>
      <c r="G78" t="s">
        <v>3249</v>
      </c>
      <c r="H78" t="s">
        <v>3250</v>
      </c>
      <c r="I78" t="s">
        <v>3250</v>
      </c>
      <c r="J78" t="s">
        <v>3250</v>
      </c>
      <c r="K78" t="s">
        <v>3250</v>
      </c>
      <c r="L78">
        <v>1200</v>
      </c>
      <c r="M78" t="s">
        <v>2368</v>
      </c>
      <c r="N78">
        <v>1204</v>
      </c>
      <c r="O78" t="s">
        <v>1574</v>
      </c>
      <c r="P78" t="s">
        <v>3108</v>
      </c>
      <c r="Q78" t="s">
        <v>3249</v>
      </c>
      <c r="R78" t="s">
        <v>3249</v>
      </c>
      <c r="S78" t="s">
        <v>472</v>
      </c>
      <c r="T78" t="s">
        <v>3251</v>
      </c>
      <c r="U78">
        <v>140</v>
      </c>
      <c r="V78" t="s">
        <v>1327</v>
      </c>
      <c r="W78">
        <v>140</v>
      </c>
      <c r="X78" t="s">
        <v>1327</v>
      </c>
      <c r="Y78" t="s">
        <v>3250</v>
      </c>
      <c r="Z78" t="s">
        <v>3250</v>
      </c>
      <c r="AA78" t="s">
        <v>3108</v>
      </c>
      <c r="AB78" t="s">
        <v>3108</v>
      </c>
      <c r="AC78" t="s">
        <v>3250</v>
      </c>
      <c r="AD78" t="s">
        <v>3250</v>
      </c>
      <c r="AE78" t="s">
        <v>3250</v>
      </c>
      <c r="AF78" t="s">
        <v>3250</v>
      </c>
      <c r="AG78" t="s">
        <v>3250</v>
      </c>
      <c r="AH78" t="s">
        <v>3250</v>
      </c>
      <c r="AI78" t="s">
        <v>3250</v>
      </c>
      <c r="AJ78" t="s">
        <v>3250</v>
      </c>
      <c r="AL78">
        <v>147</v>
      </c>
      <c r="AM78" t="s">
        <v>6</v>
      </c>
      <c r="AN78">
        <v>147</v>
      </c>
      <c r="AO78" t="s">
        <v>6</v>
      </c>
      <c r="AS78" t="s">
        <v>3250</v>
      </c>
      <c r="AT78" t="s">
        <v>3250</v>
      </c>
      <c r="AU78" t="s">
        <v>3250</v>
      </c>
      <c r="AV78" t="s">
        <v>3250</v>
      </c>
      <c r="AW78" t="s">
        <v>3250</v>
      </c>
      <c r="AX78" t="s">
        <v>3250</v>
      </c>
      <c r="AY78" t="s">
        <v>3250</v>
      </c>
      <c r="AZ78" t="s">
        <v>3250</v>
      </c>
      <c r="BA78" t="s">
        <v>3250</v>
      </c>
      <c r="BB78" t="s">
        <v>3250</v>
      </c>
      <c r="BC78" t="s">
        <v>3250</v>
      </c>
      <c r="BE78" t="s">
        <v>3250</v>
      </c>
      <c r="BF78" t="s">
        <v>3250</v>
      </c>
      <c r="BG78" t="s">
        <v>3250</v>
      </c>
      <c r="BH78" t="s">
        <v>3250</v>
      </c>
      <c r="BI78" t="s">
        <v>3250</v>
      </c>
      <c r="BK78" t="s">
        <v>3250</v>
      </c>
      <c r="BL78" t="s">
        <v>3250</v>
      </c>
      <c r="BM78" t="s">
        <v>3250</v>
      </c>
      <c r="BN78" t="s">
        <v>3250</v>
      </c>
      <c r="BP78">
        <v>1</v>
      </c>
      <c r="BQ78">
        <v>11</v>
      </c>
      <c r="BR78" t="s">
        <v>1574</v>
      </c>
      <c r="BS78" t="s">
        <v>3252</v>
      </c>
      <c r="BV78">
        <v>0</v>
      </c>
      <c r="BW78">
        <v>0</v>
      </c>
      <c r="BX78">
        <v>0</v>
      </c>
      <c r="BY78">
        <v>0</v>
      </c>
      <c r="BZ78">
        <v>0</v>
      </c>
      <c r="CA78">
        <v>0</v>
      </c>
      <c r="CB78">
        <v>0</v>
      </c>
      <c r="CC78">
        <v>0</v>
      </c>
      <c r="CD78">
        <v>0</v>
      </c>
      <c r="CE78" t="s">
        <v>3108</v>
      </c>
      <c r="CF78" t="s">
        <v>3108</v>
      </c>
      <c r="CG78" t="s">
        <v>3108</v>
      </c>
      <c r="CH78" t="s">
        <v>3108</v>
      </c>
    </row>
    <row r="79" spans="1:86" x14ac:dyDescent="0.2">
      <c r="A79" t="s">
        <v>3397</v>
      </c>
      <c r="B79" t="s">
        <v>3397</v>
      </c>
      <c r="C79">
        <v>30323</v>
      </c>
      <c r="D79">
        <v>1100</v>
      </c>
      <c r="E79" t="s">
        <v>3398</v>
      </c>
      <c r="F79" t="s">
        <v>3249</v>
      </c>
      <c r="G79" t="s">
        <v>3249</v>
      </c>
      <c r="H79" t="s">
        <v>3250</v>
      </c>
      <c r="I79" t="s">
        <v>3250</v>
      </c>
      <c r="J79" t="s">
        <v>3250</v>
      </c>
      <c r="K79" t="s">
        <v>3250</v>
      </c>
      <c r="L79">
        <v>1200</v>
      </c>
      <c r="M79" t="s">
        <v>2368</v>
      </c>
      <c r="N79">
        <v>1204</v>
      </c>
      <c r="O79" t="s">
        <v>1574</v>
      </c>
      <c r="P79" t="s">
        <v>3108</v>
      </c>
      <c r="Q79" t="s">
        <v>3249</v>
      </c>
      <c r="R79" t="s">
        <v>3249</v>
      </c>
      <c r="S79" t="s">
        <v>472</v>
      </c>
      <c r="T79" t="s">
        <v>3251</v>
      </c>
      <c r="U79">
        <v>140</v>
      </c>
      <c r="V79" t="s">
        <v>1327</v>
      </c>
      <c r="W79">
        <v>140</v>
      </c>
      <c r="X79" t="s">
        <v>1327</v>
      </c>
      <c r="Y79" t="s">
        <v>3250</v>
      </c>
      <c r="Z79" t="s">
        <v>3250</v>
      </c>
      <c r="AA79" t="s">
        <v>3108</v>
      </c>
      <c r="AB79" t="s">
        <v>3108</v>
      </c>
      <c r="AC79" t="s">
        <v>3250</v>
      </c>
      <c r="AD79" t="s">
        <v>3250</v>
      </c>
      <c r="AE79" t="s">
        <v>3250</v>
      </c>
      <c r="AF79" t="s">
        <v>3250</v>
      </c>
      <c r="AG79" t="s">
        <v>3250</v>
      </c>
      <c r="AH79" t="s">
        <v>3250</v>
      </c>
      <c r="AI79" t="s">
        <v>3250</v>
      </c>
      <c r="AJ79" t="s">
        <v>3250</v>
      </c>
      <c r="AL79">
        <v>141</v>
      </c>
      <c r="AM79" t="s">
        <v>1327</v>
      </c>
      <c r="AN79">
        <v>141</v>
      </c>
      <c r="AO79" t="s">
        <v>1327</v>
      </c>
      <c r="AS79" t="s">
        <v>3250</v>
      </c>
      <c r="AT79" t="s">
        <v>3250</v>
      </c>
      <c r="AU79" t="s">
        <v>3250</v>
      </c>
      <c r="AV79" t="s">
        <v>3250</v>
      </c>
      <c r="AW79" t="s">
        <v>3250</v>
      </c>
      <c r="AX79" t="s">
        <v>3250</v>
      </c>
      <c r="AY79" t="s">
        <v>3250</v>
      </c>
      <c r="AZ79" t="s">
        <v>3250</v>
      </c>
      <c r="BA79" t="s">
        <v>3250</v>
      </c>
      <c r="BB79" t="s">
        <v>3250</v>
      </c>
      <c r="BC79" t="s">
        <v>3250</v>
      </c>
      <c r="BE79" t="s">
        <v>3250</v>
      </c>
      <c r="BF79" t="s">
        <v>3250</v>
      </c>
      <c r="BG79" t="s">
        <v>3250</v>
      </c>
      <c r="BH79" t="s">
        <v>3250</v>
      </c>
      <c r="BI79" t="s">
        <v>3250</v>
      </c>
      <c r="BK79" t="s">
        <v>3250</v>
      </c>
      <c r="BL79" t="s">
        <v>3250</v>
      </c>
      <c r="BM79" t="s">
        <v>3250</v>
      </c>
      <c r="BN79" t="s">
        <v>3250</v>
      </c>
      <c r="BP79">
        <v>1</v>
      </c>
      <c r="BQ79">
        <v>11</v>
      </c>
      <c r="BR79" t="s">
        <v>1574</v>
      </c>
      <c r="BS79" t="s">
        <v>3252</v>
      </c>
      <c r="BV79">
        <v>0</v>
      </c>
      <c r="BW79">
        <v>0</v>
      </c>
      <c r="BX79">
        <v>0</v>
      </c>
      <c r="BY79">
        <v>0</v>
      </c>
      <c r="BZ79">
        <v>0</v>
      </c>
      <c r="CA79">
        <v>0</v>
      </c>
      <c r="CB79">
        <v>0</v>
      </c>
      <c r="CC79">
        <v>0</v>
      </c>
      <c r="CD79">
        <v>0</v>
      </c>
      <c r="CE79" t="s">
        <v>3108</v>
      </c>
      <c r="CF79" t="s">
        <v>3108</v>
      </c>
      <c r="CG79" t="s">
        <v>3108</v>
      </c>
      <c r="CH79" t="s">
        <v>3108</v>
      </c>
    </row>
    <row r="80" spans="1:86" x14ac:dyDescent="0.2">
      <c r="A80" t="s">
        <v>3399</v>
      </c>
      <c r="B80" t="s">
        <v>3399</v>
      </c>
      <c r="C80">
        <v>30325</v>
      </c>
      <c r="D80">
        <v>1102</v>
      </c>
      <c r="E80" t="s">
        <v>3400</v>
      </c>
      <c r="F80" t="s">
        <v>3249</v>
      </c>
      <c r="G80" t="s">
        <v>3249</v>
      </c>
      <c r="H80" t="s">
        <v>3250</v>
      </c>
      <c r="I80" t="s">
        <v>3250</v>
      </c>
      <c r="J80" t="s">
        <v>3250</v>
      </c>
      <c r="K80" t="s">
        <v>3250</v>
      </c>
      <c r="L80">
        <v>1200</v>
      </c>
      <c r="M80" t="s">
        <v>2368</v>
      </c>
      <c r="N80">
        <v>1204</v>
      </c>
      <c r="O80" t="s">
        <v>1574</v>
      </c>
      <c r="P80" t="s">
        <v>3108</v>
      </c>
      <c r="Q80" t="s">
        <v>3249</v>
      </c>
      <c r="R80" t="s">
        <v>3249</v>
      </c>
      <c r="S80" t="s">
        <v>472</v>
      </c>
      <c r="T80" t="s">
        <v>3251</v>
      </c>
      <c r="U80">
        <v>140</v>
      </c>
      <c r="V80" t="s">
        <v>1327</v>
      </c>
      <c r="W80">
        <v>140</v>
      </c>
      <c r="X80" t="s">
        <v>1327</v>
      </c>
      <c r="Y80" t="s">
        <v>3250</v>
      </c>
      <c r="Z80" t="s">
        <v>3250</v>
      </c>
      <c r="AA80" t="s">
        <v>3108</v>
      </c>
      <c r="AB80" t="s">
        <v>3108</v>
      </c>
      <c r="AC80" t="s">
        <v>3250</v>
      </c>
      <c r="AD80" t="s">
        <v>3250</v>
      </c>
      <c r="AE80" t="s">
        <v>3250</v>
      </c>
      <c r="AF80" t="s">
        <v>3250</v>
      </c>
      <c r="AG80" t="s">
        <v>3250</v>
      </c>
      <c r="AH80" t="s">
        <v>3250</v>
      </c>
      <c r="AI80" t="s">
        <v>3250</v>
      </c>
      <c r="AJ80" t="s">
        <v>3250</v>
      </c>
      <c r="AL80">
        <v>141</v>
      </c>
      <c r="AM80" t="s">
        <v>1327</v>
      </c>
      <c r="AN80">
        <v>141</v>
      </c>
      <c r="AO80" t="s">
        <v>1327</v>
      </c>
      <c r="AS80" t="s">
        <v>3250</v>
      </c>
      <c r="AT80" t="s">
        <v>3250</v>
      </c>
      <c r="AU80" t="s">
        <v>3250</v>
      </c>
      <c r="AV80" t="s">
        <v>3250</v>
      </c>
      <c r="AW80" t="s">
        <v>3250</v>
      </c>
      <c r="AX80" t="s">
        <v>3250</v>
      </c>
      <c r="AY80" t="s">
        <v>3250</v>
      </c>
      <c r="AZ80" t="s">
        <v>3250</v>
      </c>
      <c r="BA80" t="s">
        <v>3250</v>
      </c>
      <c r="BB80" t="s">
        <v>3250</v>
      </c>
      <c r="BC80" t="s">
        <v>3250</v>
      </c>
      <c r="BE80" t="s">
        <v>3250</v>
      </c>
      <c r="BF80" t="s">
        <v>3250</v>
      </c>
      <c r="BG80" t="s">
        <v>3250</v>
      </c>
      <c r="BH80" t="s">
        <v>3250</v>
      </c>
      <c r="BI80" t="s">
        <v>3250</v>
      </c>
      <c r="BK80" t="s">
        <v>3250</v>
      </c>
      <c r="BL80" t="s">
        <v>3250</v>
      </c>
      <c r="BM80" t="s">
        <v>3250</v>
      </c>
      <c r="BN80" t="s">
        <v>3250</v>
      </c>
      <c r="BP80">
        <v>1</v>
      </c>
      <c r="BQ80">
        <v>11</v>
      </c>
      <c r="BR80" t="s">
        <v>1574</v>
      </c>
      <c r="BS80" t="s">
        <v>3252</v>
      </c>
      <c r="BV80">
        <v>0</v>
      </c>
      <c r="BW80">
        <v>0</v>
      </c>
      <c r="BX80">
        <v>0</v>
      </c>
      <c r="BY80">
        <v>0</v>
      </c>
      <c r="BZ80">
        <v>0</v>
      </c>
      <c r="CA80">
        <v>0</v>
      </c>
      <c r="CB80">
        <v>0</v>
      </c>
      <c r="CC80">
        <v>0</v>
      </c>
      <c r="CD80">
        <v>0</v>
      </c>
      <c r="CE80" t="s">
        <v>3108</v>
      </c>
      <c r="CF80" t="s">
        <v>3108</v>
      </c>
      <c r="CG80" t="s">
        <v>3108</v>
      </c>
      <c r="CH80" t="s">
        <v>3108</v>
      </c>
    </row>
    <row r="81" spans="1:86" x14ac:dyDescent="0.2">
      <c r="A81" t="s">
        <v>3401</v>
      </c>
      <c r="B81" t="s">
        <v>3401</v>
      </c>
      <c r="C81">
        <v>30326</v>
      </c>
      <c r="D81">
        <v>1103</v>
      </c>
      <c r="E81" t="s">
        <v>3402</v>
      </c>
      <c r="F81" t="s">
        <v>3249</v>
      </c>
      <c r="G81" t="s">
        <v>3249</v>
      </c>
      <c r="H81" t="s">
        <v>3250</v>
      </c>
      <c r="I81" t="s">
        <v>3250</v>
      </c>
      <c r="J81" t="s">
        <v>3250</v>
      </c>
      <c r="K81" t="s">
        <v>3250</v>
      </c>
      <c r="L81">
        <v>1200</v>
      </c>
      <c r="M81" t="s">
        <v>2368</v>
      </c>
      <c r="N81">
        <v>1204</v>
      </c>
      <c r="O81" t="s">
        <v>1574</v>
      </c>
      <c r="P81" t="s">
        <v>3108</v>
      </c>
      <c r="Q81" t="s">
        <v>3249</v>
      </c>
      <c r="R81" t="s">
        <v>3249</v>
      </c>
      <c r="S81" t="s">
        <v>472</v>
      </c>
      <c r="T81" t="s">
        <v>3251</v>
      </c>
      <c r="U81">
        <v>140</v>
      </c>
      <c r="V81" t="s">
        <v>1327</v>
      </c>
      <c r="W81">
        <v>140</v>
      </c>
      <c r="X81" t="s">
        <v>1327</v>
      </c>
      <c r="Y81" t="s">
        <v>3250</v>
      </c>
      <c r="Z81" t="s">
        <v>3250</v>
      </c>
      <c r="AA81" t="s">
        <v>3108</v>
      </c>
      <c r="AB81" t="s">
        <v>3108</v>
      </c>
      <c r="AC81" t="s">
        <v>3250</v>
      </c>
      <c r="AD81" t="s">
        <v>3250</v>
      </c>
      <c r="AE81" t="s">
        <v>3250</v>
      </c>
      <c r="AF81" t="s">
        <v>3250</v>
      </c>
      <c r="AG81" t="s">
        <v>3250</v>
      </c>
      <c r="AH81" t="s">
        <v>3250</v>
      </c>
      <c r="AI81" t="s">
        <v>3250</v>
      </c>
      <c r="AJ81" t="s">
        <v>3250</v>
      </c>
      <c r="AL81">
        <v>146</v>
      </c>
      <c r="AM81" t="s">
        <v>5</v>
      </c>
      <c r="AN81">
        <v>146</v>
      </c>
      <c r="AO81" t="s">
        <v>5</v>
      </c>
      <c r="AS81" t="s">
        <v>3250</v>
      </c>
      <c r="AT81" t="s">
        <v>3250</v>
      </c>
      <c r="AU81" t="s">
        <v>3250</v>
      </c>
      <c r="AV81" t="s">
        <v>3250</v>
      </c>
      <c r="AW81" t="s">
        <v>3250</v>
      </c>
      <c r="AX81" t="s">
        <v>3250</v>
      </c>
      <c r="AY81" t="s">
        <v>3250</v>
      </c>
      <c r="AZ81" t="s">
        <v>3250</v>
      </c>
      <c r="BA81" t="s">
        <v>3250</v>
      </c>
      <c r="BB81" t="s">
        <v>3250</v>
      </c>
      <c r="BC81" t="s">
        <v>3250</v>
      </c>
      <c r="BE81" t="s">
        <v>3250</v>
      </c>
      <c r="BF81" t="s">
        <v>3250</v>
      </c>
      <c r="BG81" t="s">
        <v>3250</v>
      </c>
      <c r="BH81" t="s">
        <v>3250</v>
      </c>
      <c r="BI81" t="s">
        <v>3250</v>
      </c>
      <c r="BK81" t="s">
        <v>3250</v>
      </c>
      <c r="BL81" t="s">
        <v>3250</v>
      </c>
      <c r="BM81" t="s">
        <v>3250</v>
      </c>
      <c r="BN81" t="s">
        <v>3250</v>
      </c>
      <c r="BP81">
        <v>1</v>
      </c>
      <c r="BQ81">
        <v>11</v>
      </c>
      <c r="BR81" t="s">
        <v>1574</v>
      </c>
      <c r="BS81" t="s">
        <v>3252</v>
      </c>
      <c r="BV81">
        <v>0</v>
      </c>
      <c r="BW81">
        <v>0</v>
      </c>
      <c r="BX81">
        <v>0</v>
      </c>
      <c r="BY81">
        <v>0</v>
      </c>
      <c r="BZ81">
        <v>0</v>
      </c>
      <c r="CA81">
        <v>0</v>
      </c>
      <c r="CB81">
        <v>0</v>
      </c>
      <c r="CC81">
        <v>0</v>
      </c>
      <c r="CD81">
        <v>0</v>
      </c>
      <c r="CE81" t="s">
        <v>3108</v>
      </c>
      <c r="CF81" t="s">
        <v>3108</v>
      </c>
      <c r="CG81" t="s">
        <v>3108</v>
      </c>
      <c r="CH81" t="s">
        <v>3108</v>
      </c>
    </row>
    <row r="82" spans="1:86" x14ac:dyDescent="0.2">
      <c r="A82" t="s">
        <v>3403</v>
      </c>
      <c r="B82" t="s">
        <v>3403</v>
      </c>
      <c r="C82">
        <v>30327</v>
      </c>
      <c r="D82">
        <v>1104</v>
      </c>
      <c r="E82" t="s">
        <v>3404</v>
      </c>
      <c r="F82" t="s">
        <v>3249</v>
      </c>
      <c r="G82" t="s">
        <v>3249</v>
      </c>
      <c r="H82" t="s">
        <v>3250</v>
      </c>
      <c r="I82" t="s">
        <v>3250</v>
      </c>
      <c r="J82" t="s">
        <v>3250</v>
      </c>
      <c r="K82" t="s">
        <v>3250</v>
      </c>
      <c r="L82">
        <v>1200</v>
      </c>
      <c r="M82" t="s">
        <v>2368</v>
      </c>
      <c r="N82">
        <v>1204</v>
      </c>
      <c r="O82" t="s">
        <v>1574</v>
      </c>
      <c r="P82" t="s">
        <v>3108</v>
      </c>
      <c r="Q82" t="s">
        <v>3249</v>
      </c>
      <c r="R82" t="s">
        <v>3249</v>
      </c>
      <c r="S82" t="s">
        <v>472</v>
      </c>
      <c r="T82" t="s">
        <v>3251</v>
      </c>
      <c r="U82">
        <v>140</v>
      </c>
      <c r="V82" t="s">
        <v>1327</v>
      </c>
      <c r="W82">
        <v>140</v>
      </c>
      <c r="X82" t="s">
        <v>1327</v>
      </c>
      <c r="Y82" t="s">
        <v>3250</v>
      </c>
      <c r="Z82" t="s">
        <v>3250</v>
      </c>
      <c r="AA82" t="s">
        <v>3108</v>
      </c>
      <c r="AB82" t="s">
        <v>3108</v>
      </c>
      <c r="AC82" t="s">
        <v>3250</v>
      </c>
      <c r="AD82" t="s">
        <v>3250</v>
      </c>
      <c r="AE82" t="s">
        <v>3250</v>
      </c>
      <c r="AF82" t="s">
        <v>3250</v>
      </c>
      <c r="AG82" t="s">
        <v>3250</v>
      </c>
      <c r="AH82" t="s">
        <v>3250</v>
      </c>
      <c r="AI82" t="s">
        <v>3250</v>
      </c>
      <c r="AJ82" t="s">
        <v>3250</v>
      </c>
      <c r="AL82">
        <v>146</v>
      </c>
      <c r="AM82" t="s">
        <v>5</v>
      </c>
      <c r="AN82">
        <v>146</v>
      </c>
      <c r="AO82" t="s">
        <v>5</v>
      </c>
      <c r="AS82" t="s">
        <v>3250</v>
      </c>
      <c r="AT82" t="s">
        <v>3250</v>
      </c>
      <c r="AU82" t="s">
        <v>3250</v>
      </c>
      <c r="AV82" t="s">
        <v>3250</v>
      </c>
      <c r="AW82" t="s">
        <v>3250</v>
      </c>
      <c r="AX82" t="s">
        <v>3250</v>
      </c>
      <c r="AY82" t="s">
        <v>3250</v>
      </c>
      <c r="AZ82" t="s">
        <v>3250</v>
      </c>
      <c r="BA82" t="s">
        <v>3250</v>
      </c>
      <c r="BB82" t="s">
        <v>3250</v>
      </c>
      <c r="BC82" t="s">
        <v>3250</v>
      </c>
      <c r="BE82" t="s">
        <v>3250</v>
      </c>
      <c r="BF82" t="s">
        <v>3250</v>
      </c>
      <c r="BG82" t="s">
        <v>3250</v>
      </c>
      <c r="BH82" t="s">
        <v>3250</v>
      </c>
      <c r="BI82" t="s">
        <v>3250</v>
      </c>
      <c r="BK82" t="s">
        <v>3250</v>
      </c>
      <c r="BL82" t="s">
        <v>3250</v>
      </c>
      <c r="BM82" t="s">
        <v>3250</v>
      </c>
      <c r="BN82" t="s">
        <v>3250</v>
      </c>
      <c r="BP82">
        <v>1</v>
      </c>
      <c r="BQ82">
        <v>11</v>
      </c>
      <c r="BR82" t="s">
        <v>1574</v>
      </c>
      <c r="BS82" t="s">
        <v>3252</v>
      </c>
      <c r="BV82">
        <v>0</v>
      </c>
      <c r="BW82">
        <v>0</v>
      </c>
      <c r="BX82">
        <v>0</v>
      </c>
      <c r="BY82">
        <v>0</v>
      </c>
      <c r="BZ82">
        <v>0</v>
      </c>
      <c r="CA82">
        <v>0</v>
      </c>
      <c r="CB82">
        <v>0</v>
      </c>
      <c r="CC82">
        <v>0</v>
      </c>
      <c r="CD82">
        <v>0</v>
      </c>
      <c r="CE82" t="s">
        <v>3108</v>
      </c>
      <c r="CF82" t="s">
        <v>3108</v>
      </c>
      <c r="CG82" t="s">
        <v>3108</v>
      </c>
      <c r="CH82" t="s">
        <v>3108</v>
      </c>
    </row>
    <row r="83" spans="1:86" x14ac:dyDescent="0.2">
      <c r="A83" t="s">
        <v>3405</v>
      </c>
      <c r="B83" t="s">
        <v>3405</v>
      </c>
      <c r="C83">
        <v>30328</v>
      </c>
      <c r="D83">
        <v>1105</v>
      </c>
      <c r="E83" t="s">
        <v>3406</v>
      </c>
      <c r="F83" t="s">
        <v>3249</v>
      </c>
      <c r="G83" t="s">
        <v>3249</v>
      </c>
      <c r="H83" t="s">
        <v>3250</v>
      </c>
      <c r="I83" t="s">
        <v>3250</v>
      </c>
      <c r="J83" t="s">
        <v>3250</v>
      </c>
      <c r="K83" t="s">
        <v>3250</v>
      </c>
      <c r="L83">
        <v>1200</v>
      </c>
      <c r="M83" t="s">
        <v>2368</v>
      </c>
      <c r="N83">
        <v>1204</v>
      </c>
      <c r="O83" t="s">
        <v>1574</v>
      </c>
      <c r="P83" t="s">
        <v>3108</v>
      </c>
      <c r="Q83" t="s">
        <v>3249</v>
      </c>
      <c r="R83" t="s">
        <v>3249</v>
      </c>
      <c r="S83" t="s">
        <v>472</v>
      </c>
      <c r="T83" t="s">
        <v>3251</v>
      </c>
      <c r="U83">
        <v>140</v>
      </c>
      <c r="V83" t="s">
        <v>1327</v>
      </c>
      <c r="W83">
        <v>140</v>
      </c>
      <c r="X83" t="s">
        <v>1327</v>
      </c>
      <c r="Y83" t="s">
        <v>3250</v>
      </c>
      <c r="Z83" t="s">
        <v>3250</v>
      </c>
      <c r="AA83" t="s">
        <v>3108</v>
      </c>
      <c r="AB83" t="s">
        <v>3108</v>
      </c>
      <c r="AC83" t="s">
        <v>3250</v>
      </c>
      <c r="AD83" t="s">
        <v>3250</v>
      </c>
      <c r="AE83" t="s">
        <v>3250</v>
      </c>
      <c r="AF83" t="s">
        <v>3250</v>
      </c>
      <c r="AG83" t="s">
        <v>3250</v>
      </c>
      <c r="AH83" t="s">
        <v>3250</v>
      </c>
      <c r="AI83" t="s">
        <v>3250</v>
      </c>
      <c r="AJ83" t="s">
        <v>3250</v>
      </c>
      <c r="AL83">
        <v>141</v>
      </c>
      <c r="AM83" t="s">
        <v>1327</v>
      </c>
      <c r="AN83">
        <v>141</v>
      </c>
      <c r="AO83" t="s">
        <v>1327</v>
      </c>
      <c r="AS83" t="s">
        <v>3250</v>
      </c>
      <c r="AT83" t="s">
        <v>3250</v>
      </c>
      <c r="AU83" t="s">
        <v>3250</v>
      </c>
      <c r="AV83" t="s">
        <v>3250</v>
      </c>
      <c r="AW83" t="s">
        <v>3250</v>
      </c>
      <c r="AX83" t="s">
        <v>3250</v>
      </c>
      <c r="AY83" t="s">
        <v>3250</v>
      </c>
      <c r="AZ83" t="s">
        <v>3250</v>
      </c>
      <c r="BA83" t="s">
        <v>3250</v>
      </c>
      <c r="BB83" t="s">
        <v>3250</v>
      </c>
      <c r="BC83" t="s">
        <v>3250</v>
      </c>
      <c r="BE83" t="s">
        <v>3250</v>
      </c>
      <c r="BF83" t="s">
        <v>3250</v>
      </c>
      <c r="BG83" t="s">
        <v>3250</v>
      </c>
      <c r="BH83" t="s">
        <v>3250</v>
      </c>
      <c r="BI83" t="s">
        <v>3250</v>
      </c>
      <c r="BK83" t="s">
        <v>3250</v>
      </c>
      <c r="BL83" t="s">
        <v>3250</v>
      </c>
      <c r="BM83" t="s">
        <v>3250</v>
      </c>
      <c r="BN83" t="s">
        <v>3250</v>
      </c>
      <c r="BP83">
        <v>1</v>
      </c>
      <c r="BQ83">
        <v>11</v>
      </c>
      <c r="BR83" t="s">
        <v>1574</v>
      </c>
      <c r="BS83" t="s">
        <v>3252</v>
      </c>
      <c r="BV83">
        <v>0</v>
      </c>
      <c r="BW83">
        <v>0</v>
      </c>
      <c r="BX83">
        <v>0</v>
      </c>
      <c r="BY83">
        <v>0</v>
      </c>
      <c r="BZ83">
        <v>0</v>
      </c>
      <c r="CA83">
        <v>0</v>
      </c>
      <c r="CB83">
        <v>0</v>
      </c>
      <c r="CC83">
        <v>0</v>
      </c>
      <c r="CD83">
        <v>0</v>
      </c>
      <c r="CE83" t="s">
        <v>3108</v>
      </c>
      <c r="CF83" t="s">
        <v>3108</v>
      </c>
      <c r="CG83" t="s">
        <v>3108</v>
      </c>
      <c r="CH83" t="s">
        <v>3108</v>
      </c>
    </row>
    <row r="84" spans="1:86" x14ac:dyDescent="0.2">
      <c r="A84" t="s">
        <v>3407</v>
      </c>
      <c r="B84" t="s">
        <v>3407</v>
      </c>
      <c r="C84">
        <v>30329</v>
      </c>
      <c r="D84">
        <v>1106</v>
      </c>
      <c r="E84" t="s">
        <v>3408</v>
      </c>
      <c r="F84" t="s">
        <v>3249</v>
      </c>
      <c r="G84" t="s">
        <v>3249</v>
      </c>
      <c r="H84" t="s">
        <v>3250</v>
      </c>
      <c r="I84" t="s">
        <v>3250</v>
      </c>
      <c r="J84" t="s">
        <v>3250</v>
      </c>
      <c r="K84" t="s">
        <v>3250</v>
      </c>
      <c r="L84">
        <v>1200</v>
      </c>
      <c r="M84" t="s">
        <v>2368</v>
      </c>
      <c r="N84">
        <v>1204</v>
      </c>
      <c r="O84" t="s">
        <v>1574</v>
      </c>
      <c r="P84" t="s">
        <v>3108</v>
      </c>
      <c r="Q84" t="s">
        <v>3249</v>
      </c>
      <c r="R84" t="s">
        <v>3249</v>
      </c>
      <c r="S84" t="s">
        <v>472</v>
      </c>
      <c r="T84" t="s">
        <v>3251</v>
      </c>
      <c r="U84">
        <v>140</v>
      </c>
      <c r="V84" t="s">
        <v>1327</v>
      </c>
      <c r="W84">
        <v>140</v>
      </c>
      <c r="X84" t="s">
        <v>1327</v>
      </c>
      <c r="Y84" t="s">
        <v>3250</v>
      </c>
      <c r="Z84" t="s">
        <v>3250</v>
      </c>
      <c r="AA84" t="s">
        <v>3108</v>
      </c>
      <c r="AB84" t="s">
        <v>3108</v>
      </c>
      <c r="AC84" t="s">
        <v>3250</v>
      </c>
      <c r="AD84" t="s">
        <v>3250</v>
      </c>
      <c r="AE84" t="s">
        <v>3250</v>
      </c>
      <c r="AF84" t="s">
        <v>3250</v>
      </c>
      <c r="AG84" t="s">
        <v>3250</v>
      </c>
      <c r="AH84" t="s">
        <v>3250</v>
      </c>
      <c r="AI84" t="s">
        <v>3250</v>
      </c>
      <c r="AJ84" t="s">
        <v>3250</v>
      </c>
      <c r="AL84">
        <v>141</v>
      </c>
      <c r="AM84" t="s">
        <v>1327</v>
      </c>
      <c r="AN84">
        <v>141</v>
      </c>
      <c r="AO84" t="s">
        <v>1327</v>
      </c>
      <c r="AS84" t="s">
        <v>3250</v>
      </c>
      <c r="AT84" t="s">
        <v>3250</v>
      </c>
      <c r="AU84" t="s">
        <v>3250</v>
      </c>
      <c r="AV84" t="s">
        <v>3250</v>
      </c>
      <c r="AW84" t="s">
        <v>3250</v>
      </c>
      <c r="AX84" t="s">
        <v>3250</v>
      </c>
      <c r="AY84" t="s">
        <v>3250</v>
      </c>
      <c r="AZ84" t="s">
        <v>3250</v>
      </c>
      <c r="BA84" t="s">
        <v>3250</v>
      </c>
      <c r="BB84" t="s">
        <v>3250</v>
      </c>
      <c r="BC84" t="s">
        <v>3250</v>
      </c>
      <c r="BE84" t="s">
        <v>3250</v>
      </c>
      <c r="BF84" t="s">
        <v>3250</v>
      </c>
      <c r="BG84" t="s">
        <v>3250</v>
      </c>
      <c r="BH84" t="s">
        <v>3250</v>
      </c>
      <c r="BI84" t="s">
        <v>3250</v>
      </c>
      <c r="BK84" t="s">
        <v>3250</v>
      </c>
      <c r="BL84" t="s">
        <v>3250</v>
      </c>
      <c r="BM84" t="s">
        <v>3250</v>
      </c>
      <c r="BN84" t="s">
        <v>3250</v>
      </c>
      <c r="BP84">
        <v>1</v>
      </c>
      <c r="BQ84">
        <v>11</v>
      </c>
      <c r="BR84" t="s">
        <v>1574</v>
      </c>
      <c r="BS84" t="s">
        <v>3252</v>
      </c>
      <c r="BV84">
        <v>0</v>
      </c>
      <c r="BW84">
        <v>0</v>
      </c>
      <c r="BX84">
        <v>0</v>
      </c>
      <c r="BY84">
        <v>0</v>
      </c>
      <c r="BZ84">
        <v>0</v>
      </c>
      <c r="CA84">
        <v>0</v>
      </c>
      <c r="CB84">
        <v>0</v>
      </c>
      <c r="CC84">
        <v>0</v>
      </c>
      <c r="CD84">
        <v>0</v>
      </c>
      <c r="CE84" t="s">
        <v>3108</v>
      </c>
      <c r="CF84" t="s">
        <v>3108</v>
      </c>
      <c r="CG84" t="s">
        <v>3108</v>
      </c>
      <c r="CH84" t="s">
        <v>3108</v>
      </c>
    </row>
    <row r="85" spans="1:86" x14ac:dyDescent="0.2">
      <c r="A85" t="s">
        <v>3409</v>
      </c>
      <c r="B85" t="s">
        <v>3409</v>
      </c>
      <c r="C85">
        <v>30330</v>
      </c>
      <c r="D85">
        <v>1107</v>
      </c>
      <c r="E85" t="s">
        <v>3410</v>
      </c>
      <c r="F85" t="s">
        <v>3249</v>
      </c>
      <c r="G85" t="s">
        <v>3249</v>
      </c>
      <c r="H85" t="s">
        <v>3250</v>
      </c>
      <c r="I85" t="s">
        <v>3250</v>
      </c>
      <c r="J85" t="s">
        <v>3250</v>
      </c>
      <c r="K85" t="s">
        <v>3250</v>
      </c>
      <c r="L85">
        <v>1200</v>
      </c>
      <c r="M85" t="s">
        <v>2368</v>
      </c>
      <c r="N85">
        <v>1204</v>
      </c>
      <c r="O85" t="s">
        <v>1574</v>
      </c>
      <c r="P85" t="s">
        <v>3108</v>
      </c>
      <c r="Q85" t="s">
        <v>3249</v>
      </c>
      <c r="R85" t="s">
        <v>3249</v>
      </c>
      <c r="S85" t="s">
        <v>472</v>
      </c>
      <c r="T85" t="s">
        <v>3251</v>
      </c>
      <c r="U85">
        <v>140</v>
      </c>
      <c r="V85" t="s">
        <v>1327</v>
      </c>
      <c r="W85">
        <v>140</v>
      </c>
      <c r="X85" t="s">
        <v>1327</v>
      </c>
      <c r="Y85" t="s">
        <v>3250</v>
      </c>
      <c r="Z85" t="s">
        <v>3250</v>
      </c>
      <c r="AA85" t="s">
        <v>3108</v>
      </c>
      <c r="AB85" t="s">
        <v>3108</v>
      </c>
      <c r="AC85" t="s">
        <v>3250</v>
      </c>
      <c r="AD85" t="s">
        <v>3250</v>
      </c>
      <c r="AE85" t="s">
        <v>3250</v>
      </c>
      <c r="AF85" t="s">
        <v>3250</v>
      </c>
      <c r="AG85" t="s">
        <v>3250</v>
      </c>
      <c r="AH85" t="s">
        <v>3250</v>
      </c>
      <c r="AI85" t="s">
        <v>3250</v>
      </c>
      <c r="AJ85" t="s">
        <v>3250</v>
      </c>
      <c r="AL85">
        <v>147</v>
      </c>
      <c r="AM85" t="s">
        <v>6</v>
      </c>
      <c r="AN85">
        <v>147</v>
      </c>
      <c r="AO85" t="s">
        <v>6</v>
      </c>
      <c r="AS85" t="s">
        <v>3250</v>
      </c>
      <c r="AT85" t="s">
        <v>3250</v>
      </c>
      <c r="AU85" t="s">
        <v>3250</v>
      </c>
      <c r="AV85" t="s">
        <v>3250</v>
      </c>
      <c r="AW85" t="s">
        <v>3250</v>
      </c>
      <c r="AX85" t="s">
        <v>3250</v>
      </c>
      <c r="AY85" t="s">
        <v>3250</v>
      </c>
      <c r="AZ85" t="s">
        <v>3250</v>
      </c>
      <c r="BA85" t="s">
        <v>3250</v>
      </c>
      <c r="BB85" t="s">
        <v>3250</v>
      </c>
      <c r="BC85" t="s">
        <v>3250</v>
      </c>
      <c r="BE85" t="s">
        <v>3250</v>
      </c>
      <c r="BF85" t="s">
        <v>3250</v>
      </c>
      <c r="BG85" t="s">
        <v>3250</v>
      </c>
      <c r="BH85" t="s">
        <v>3250</v>
      </c>
      <c r="BI85" t="s">
        <v>3250</v>
      </c>
      <c r="BK85" t="s">
        <v>3250</v>
      </c>
      <c r="BL85" t="s">
        <v>3250</v>
      </c>
      <c r="BM85" t="s">
        <v>3250</v>
      </c>
      <c r="BN85" t="s">
        <v>3250</v>
      </c>
      <c r="BP85">
        <v>1</v>
      </c>
      <c r="BQ85">
        <v>11</v>
      </c>
      <c r="BR85" t="s">
        <v>1574</v>
      </c>
      <c r="BS85" t="s">
        <v>3252</v>
      </c>
      <c r="BV85">
        <v>0</v>
      </c>
      <c r="BW85">
        <v>0</v>
      </c>
      <c r="BX85">
        <v>0</v>
      </c>
      <c r="BY85">
        <v>0</v>
      </c>
      <c r="BZ85">
        <v>0</v>
      </c>
      <c r="CA85">
        <v>0</v>
      </c>
      <c r="CB85">
        <v>0</v>
      </c>
      <c r="CC85">
        <v>0</v>
      </c>
      <c r="CD85">
        <v>0</v>
      </c>
      <c r="CE85" t="s">
        <v>3108</v>
      </c>
      <c r="CF85" t="s">
        <v>3108</v>
      </c>
      <c r="CG85" t="s">
        <v>3108</v>
      </c>
      <c r="CH85" t="s">
        <v>3108</v>
      </c>
    </row>
    <row r="86" spans="1:86" x14ac:dyDescent="0.2">
      <c r="A86" t="s">
        <v>3411</v>
      </c>
      <c r="B86" t="s">
        <v>3411</v>
      </c>
      <c r="C86">
        <v>30331</v>
      </c>
      <c r="D86">
        <v>1108</v>
      </c>
      <c r="E86" t="s">
        <v>3412</v>
      </c>
      <c r="F86" t="s">
        <v>3249</v>
      </c>
      <c r="G86" t="s">
        <v>3249</v>
      </c>
      <c r="H86" t="s">
        <v>3250</v>
      </c>
      <c r="I86" t="s">
        <v>3250</v>
      </c>
      <c r="J86" t="s">
        <v>3250</v>
      </c>
      <c r="K86" t="s">
        <v>3250</v>
      </c>
      <c r="L86">
        <v>1200</v>
      </c>
      <c r="M86" t="s">
        <v>2368</v>
      </c>
      <c r="N86">
        <v>1204</v>
      </c>
      <c r="O86" t="s">
        <v>1574</v>
      </c>
      <c r="P86" t="s">
        <v>3108</v>
      </c>
      <c r="Q86" t="s">
        <v>3249</v>
      </c>
      <c r="R86" t="s">
        <v>3249</v>
      </c>
      <c r="S86" t="s">
        <v>472</v>
      </c>
      <c r="T86" t="s">
        <v>3251</v>
      </c>
      <c r="U86">
        <v>140</v>
      </c>
      <c r="V86" t="s">
        <v>1327</v>
      </c>
      <c r="W86">
        <v>140</v>
      </c>
      <c r="X86" t="s">
        <v>1327</v>
      </c>
      <c r="Y86" t="s">
        <v>3250</v>
      </c>
      <c r="Z86" t="s">
        <v>3250</v>
      </c>
      <c r="AA86" t="s">
        <v>3108</v>
      </c>
      <c r="AB86" t="s">
        <v>3108</v>
      </c>
      <c r="AC86" t="s">
        <v>3250</v>
      </c>
      <c r="AD86" t="s">
        <v>3250</v>
      </c>
      <c r="AE86" t="s">
        <v>3250</v>
      </c>
      <c r="AF86" t="s">
        <v>3250</v>
      </c>
      <c r="AG86" t="s">
        <v>3250</v>
      </c>
      <c r="AH86" t="s">
        <v>3250</v>
      </c>
      <c r="AI86" t="s">
        <v>3250</v>
      </c>
      <c r="AJ86" t="s">
        <v>3250</v>
      </c>
      <c r="AL86">
        <v>141</v>
      </c>
      <c r="AM86" t="s">
        <v>1327</v>
      </c>
      <c r="AN86">
        <v>141</v>
      </c>
      <c r="AO86" t="s">
        <v>1327</v>
      </c>
      <c r="AS86" t="s">
        <v>3250</v>
      </c>
      <c r="AT86" t="s">
        <v>3250</v>
      </c>
      <c r="AU86" t="s">
        <v>3250</v>
      </c>
      <c r="AV86" t="s">
        <v>3250</v>
      </c>
      <c r="AW86" t="s">
        <v>3250</v>
      </c>
      <c r="AX86" t="s">
        <v>3250</v>
      </c>
      <c r="AY86" t="s">
        <v>3250</v>
      </c>
      <c r="AZ86" t="s">
        <v>3250</v>
      </c>
      <c r="BA86" t="s">
        <v>3250</v>
      </c>
      <c r="BB86" t="s">
        <v>3250</v>
      </c>
      <c r="BC86" t="s">
        <v>3250</v>
      </c>
      <c r="BE86" t="s">
        <v>3250</v>
      </c>
      <c r="BF86" t="s">
        <v>3250</v>
      </c>
      <c r="BG86" t="s">
        <v>3250</v>
      </c>
      <c r="BH86" t="s">
        <v>3250</v>
      </c>
      <c r="BI86" t="s">
        <v>3250</v>
      </c>
      <c r="BK86" t="s">
        <v>3250</v>
      </c>
      <c r="BL86" t="s">
        <v>3250</v>
      </c>
      <c r="BM86" t="s">
        <v>3250</v>
      </c>
      <c r="BN86" t="s">
        <v>3250</v>
      </c>
      <c r="BP86">
        <v>1</v>
      </c>
      <c r="BQ86">
        <v>11</v>
      </c>
      <c r="BR86" t="s">
        <v>1574</v>
      </c>
      <c r="BS86" t="s">
        <v>3252</v>
      </c>
      <c r="BV86">
        <v>0</v>
      </c>
      <c r="BW86">
        <v>0</v>
      </c>
      <c r="BX86">
        <v>0</v>
      </c>
      <c r="BY86">
        <v>0</v>
      </c>
      <c r="BZ86">
        <v>0</v>
      </c>
      <c r="CA86">
        <v>0</v>
      </c>
      <c r="CB86">
        <v>0</v>
      </c>
      <c r="CC86">
        <v>0</v>
      </c>
      <c r="CD86">
        <v>0</v>
      </c>
      <c r="CE86" t="s">
        <v>3108</v>
      </c>
      <c r="CF86" t="s">
        <v>3108</v>
      </c>
      <c r="CG86" t="s">
        <v>3108</v>
      </c>
      <c r="CH86" t="s">
        <v>3108</v>
      </c>
    </row>
    <row r="87" spans="1:86" x14ac:dyDescent="0.2">
      <c r="A87" t="s">
        <v>3413</v>
      </c>
      <c r="B87" t="s">
        <v>3413</v>
      </c>
      <c r="C87">
        <v>30332</v>
      </c>
      <c r="D87">
        <v>1109</v>
      </c>
      <c r="E87" t="s">
        <v>3414</v>
      </c>
      <c r="F87" t="s">
        <v>3249</v>
      </c>
      <c r="G87" t="s">
        <v>3249</v>
      </c>
      <c r="H87" t="s">
        <v>3250</v>
      </c>
      <c r="I87" t="s">
        <v>3250</v>
      </c>
      <c r="J87" t="s">
        <v>3250</v>
      </c>
      <c r="K87" t="s">
        <v>3250</v>
      </c>
      <c r="L87">
        <v>1200</v>
      </c>
      <c r="M87" t="s">
        <v>2368</v>
      </c>
      <c r="N87">
        <v>1204</v>
      </c>
      <c r="O87" t="s">
        <v>1574</v>
      </c>
      <c r="P87" t="s">
        <v>3108</v>
      </c>
      <c r="Q87" t="s">
        <v>3249</v>
      </c>
      <c r="R87" t="s">
        <v>3249</v>
      </c>
      <c r="S87" t="s">
        <v>472</v>
      </c>
      <c r="T87" t="s">
        <v>3251</v>
      </c>
      <c r="U87">
        <v>140</v>
      </c>
      <c r="V87" t="s">
        <v>1327</v>
      </c>
      <c r="W87">
        <v>140</v>
      </c>
      <c r="X87" t="s">
        <v>1327</v>
      </c>
      <c r="Y87" t="s">
        <v>3250</v>
      </c>
      <c r="Z87" t="s">
        <v>3250</v>
      </c>
      <c r="AA87" t="s">
        <v>3108</v>
      </c>
      <c r="AB87" t="s">
        <v>3108</v>
      </c>
      <c r="AC87" t="s">
        <v>3250</v>
      </c>
      <c r="AD87" t="s">
        <v>3250</v>
      </c>
      <c r="AE87" t="s">
        <v>3250</v>
      </c>
      <c r="AF87" t="s">
        <v>3250</v>
      </c>
      <c r="AG87" t="s">
        <v>3250</v>
      </c>
      <c r="AH87" t="s">
        <v>3250</v>
      </c>
      <c r="AI87" t="s">
        <v>3250</v>
      </c>
      <c r="AJ87" t="s">
        <v>3250</v>
      </c>
      <c r="AL87">
        <v>141</v>
      </c>
      <c r="AM87" t="s">
        <v>1327</v>
      </c>
      <c r="AN87">
        <v>141</v>
      </c>
      <c r="AO87" t="s">
        <v>1327</v>
      </c>
      <c r="AS87" t="s">
        <v>3250</v>
      </c>
      <c r="AT87" t="s">
        <v>3250</v>
      </c>
      <c r="AU87" t="s">
        <v>3250</v>
      </c>
      <c r="AV87" t="s">
        <v>3250</v>
      </c>
      <c r="AW87" t="s">
        <v>3250</v>
      </c>
      <c r="AX87" t="s">
        <v>3250</v>
      </c>
      <c r="AY87" t="s">
        <v>3250</v>
      </c>
      <c r="AZ87" t="s">
        <v>3250</v>
      </c>
      <c r="BA87" t="s">
        <v>3250</v>
      </c>
      <c r="BB87" t="s">
        <v>3250</v>
      </c>
      <c r="BC87" t="s">
        <v>3250</v>
      </c>
      <c r="BE87" t="s">
        <v>3250</v>
      </c>
      <c r="BF87" t="s">
        <v>3250</v>
      </c>
      <c r="BG87" t="s">
        <v>3250</v>
      </c>
      <c r="BH87" t="s">
        <v>3250</v>
      </c>
      <c r="BI87" t="s">
        <v>3250</v>
      </c>
      <c r="BK87" t="s">
        <v>3250</v>
      </c>
      <c r="BL87" t="s">
        <v>3250</v>
      </c>
      <c r="BM87" t="s">
        <v>3250</v>
      </c>
      <c r="BN87" t="s">
        <v>3250</v>
      </c>
      <c r="BP87">
        <v>1</v>
      </c>
      <c r="BQ87">
        <v>11</v>
      </c>
      <c r="BR87" t="s">
        <v>1574</v>
      </c>
      <c r="BS87" t="s">
        <v>3252</v>
      </c>
      <c r="BV87">
        <v>0</v>
      </c>
      <c r="BW87">
        <v>0</v>
      </c>
      <c r="BX87">
        <v>0</v>
      </c>
      <c r="BY87">
        <v>0</v>
      </c>
      <c r="BZ87">
        <v>0</v>
      </c>
      <c r="CA87">
        <v>0</v>
      </c>
      <c r="CB87">
        <v>0</v>
      </c>
      <c r="CC87">
        <v>0</v>
      </c>
      <c r="CD87">
        <v>0</v>
      </c>
      <c r="CE87" t="s">
        <v>3108</v>
      </c>
      <c r="CF87" t="s">
        <v>3108</v>
      </c>
      <c r="CG87" t="s">
        <v>3108</v>
      </c>
      <c r="CH87" t="s">
        <v>3108</v>
      </c>
    </row>
    <row r="88" spans="1:86" x14ac:dyDescent="0.2">
      <c r="A88" t="s">
        <v>3415</v>
      </c>
      <c r="B88" t="s">
        <v>3415</v>
      </c>
      <c r="C88">
        <v>30333</v>
      </c>
      <c r="D88">
        <v>1110</v>
      </c>
      <c r="E88" t="s">
        <v>3416</v>
      </c>
      <c r="F88" t="s">
        <v>3249</v>
      </c>
      <c r="G88" t="s">
        <v>3249</v>
      </c>
      <c r="H88" t="s">
        <v>3250</v>
      </c>
      <c r="I88" t="s">
        <v>3250</v>
      </c>
      <c r="J88" t="s">
        <v>3250</v>
      </c>
      <c r="K88" t="s">
        <v>3250</v>
      </c>
      <c r="L88">
        <v>1200</v>
      </c>
      <c r="M88" t="s">
        <v>2368</v>
      </c>
      <c r="N88">
        <v>1204</v>
      </c>
      <c r="O88" t="s">
        <v>1574</v>
      </c>
      <c r="P88" t="s">
        <v>3108</v>
      </c>
      <c r="Q88" t="s">
        <v>3249</v>
      </c>
      <c r="R88" t="s">
        <v>3249</v>
      </c>
      <c r="S88" t="s">
        <v>472</v>
      </c>
      <c r="T88" t="s">
        <v>3251</v>
      </c>
      <c r="U88">
        <v>140</v>
      </c>
      <c r="V88" t="s">
        <v>1327</v>
      </c>
      <c r="W88">
        <v>140</v>
      </c>
      <c r="X88" t="s">
        <v>1327</v>
      </c>
      <c r="Y88" t="s">
        <v>3250</v>
      </c>
      <c r="Z88" t="s">
        <v>3250</v>
      </c>
      <c r="AA88" t="s">
        <v>3108</v>
      </c>
      <c r="AB88" t="s">
        <v>3108</v>
      </c>
      <c r="AC88" t="s">
        <v>3250</v>
      </c>
      <c r="AD88" t="s">
        <v>3250</v>
      </c>
      <c r="AE88" t="s">
        <v>3250</v>
      </c>
      <c r="AF88" t="s">
        <v>3250</v>
      </c>
      <c r="AG88" t="s">
        <v>3250</v>
      </c>
      <c r="AH88" t="s">
        <v>3250</v>
      </c>
      <c r="AI88" t="s">
        <v>3250</v>
      </c>
      <c r="AJ88" t="s">
        <v>3250</v>
      </c>
      <c r="AL88">
        <v>141</v>
      </c>
      <c r="AM88" t="s">
        <v>1327</v>
      </c>
      <c r="AN88">
        <v>141</v>
      </c>
      <c r="AO88" t="s">
        <v>1327</v>
      </c>
      <c r="AS88" t="s">
        <v>3250</v>
      </c>
      <c r="AT88" t="s">
        <v>3250</v>
      </c>
      <c r="AU88" t="s">
        <v>3250</v>
      </c>
      <c r="AV88" t="s">
        <v>3250</v>
      </c>
      <c r="AW88" t="s">
        <v>3250</v>
      </c>
      <c r="AX88" t="s">
        <v>3250</v>
      </c>
      <c r="AY88" t="s">
        <v>3250</v>
      </c>
      <c r="AZ88" t="s">
        <v>3250</v>
      </c>
      <c r="BA88" t="s">
        <v>3250</v>
      </c>
      <c r="BB88" t="s">
        <v>3250</v>
      </c>
      <c r="BC88" t="s">
        <v>3250</v>
      </c>
      <c r="BE88" t="s">
        <v>3250</v>
      </c>
      <c r="BF88" t="s">
        <v>3250</v>
      </c>
      <c r="BG88" t="s">
        <v>3250</v>
      </c>
      <c r="BH88" t="s">
        <v>3250</v>
      </c>
      <c r="BI88" t="s">
        <v>3250</v>
      </c>
      <c r="BK88" t="s">
        <v>3250</v>
      </c>
      <c r="BL88" t="s">
        <v>3250</v>
      </c>
      <c r="BM88" t="s">
        <v>3250</v>
      </c>
      <c r="BN88" t="s">
        <v>3250</v>
      </c>
      <c r="BP88">
        <v>1</v>
      </c>
      <c r="BQ88">
        <v>11</v>
      </c>
      <c r="BR88" t="s">
        <v>1574</v>
      </c>
      <c r="BS88" t="s">
        <v>3252</v>
      </c>
      <c r="BV88">
        <v>0</v>
      </c>
      <c r="BW88">
        <v>0</v>
      </c>
      <c r="BX88">
        <v>0</v>
      </c>
      <c r="BY88">
        <v>0</v>
      </c>
      <c r="BZ88">
        <v>0</v>
      </c>
      <c r="CA88">
        <v>0</v>
      </c>
      <c r="CB88">
        <v>0</v>
      </c>
      <c r="CC88">
        <v>0</v>
      </c>
      <c r="CD88">
        <v>0</v>
      </c>
      <c r="CE88" t="s">
        <v>3108</v>
      </c>
      <c r="CF88" t="s">
        <v>3108</v>
      </c>
      <c r="CG88" t="s">
        <v>3108</v>
      </c>
      <c r="CH88" t="s">
        <v>3108</v>
      </c>
    </row>
    <row r="89" spans="1:86" x14ac:dyDescent="0.2">
      <c r="A89" t="s">
        <v>3417</v>
      </c>
      <c r="B89" t="s">
        <v>3417</v>
      </c>
      <c r="C89">
        <v>30334</v>
      </c>
      <c r="D89">
        <v>1111</v>
      </c>
      <c r="E89" t="s">
        <v>3418</v>
      </c>
      <c r="F89" t="s">
        <v>3249</v>
      </c>
      <c r="G89" t="s">
        <v>3249</v>
      </c>
      <c r="H89" t="s">
        <v>3250</v>
      </c>
      <c r="I89" t="s">
        <v>3250</v>
      </c>
      <c r="J89" t="s">
        <v>3250</v>
      </c>
      <c r="K89" t="s">
        <v>3250</v>
      </c>
      <c r="L89">
        <v>1200</v>
      </c>
      <c r="M89" t="s">
        <v>2368</v>
      </c>
      <c r="N89">
        <v>1204</v>
      </c>
      <c r="O89" t="s">
        <v>1574</v>
      </c>
      <c r="P89" t="s">
        <v>3108</v>
      </c>
      <c r="Q89" t="s">
        <v>3249</v>
      </c>
      <c r="R89" t="s">
        <v>3249</v>
      </c>
      <c r="S89" t="s">
        <v>472</v>
      </c>
      <c r="T89" t="s">
        <v>3251</v>
      </c>
      <c r="U89">
        <v>140</v>
      </c>
      <c r="V89" t="s">
        <v>1327</v>
      </c>
      <c r="W89">
        <v>140</v>
      </c>
      <c r="X89" t="s">
        <v>1327</v>
      </c>
      <c r="Y89" t="s">
        <v>3250</v>
      </c>
      <c r="Z89" t="s">
        <v>3250</v>
      </c>
      <c r="AA89" t="s">
        <v>3108</v>
      </c>
      <c r="AB89" t="s">
        <v>3108</v>
      </c>
      <c r="AC89" t="s">
        <v>3250</v>
      </c>
      <c r="AD89" t="s">
        <v>3250</v>
      </c>
      <c r="AE89" t="s">
        <v>3250</v>
      </c>
      <c r="AF89" t="s">
        <v>3250</v>
      </c>
      <c r="AG89" t="s">
        <v>3250</v>
      </c>
      <c r="AH89" t="s">
        <v>3250</v>
      </c>
      <c r="AI89" t="s">
        <v>3250</v>
      </c>
      <c r="AJ89" t="s">
        <v>3250</v>
      </c>
      <c r="AL89">
        <v>146</v>
      </c>
      <c r="AM89" t="s">
        <v>5</v>
      </c>
      <c r="AN89">
        <v>146</v>
      </c>
      <c r="AO89" t="s">
        <v>5</v>
      </c>
      <c r="AS89" t="s">
        <v>3250</v>
      </c>
      <c r="AT89" t="s">
        <v>3250</v>
      </c>
      <c r="AU89" t="s">
        <v>3250</v>
      </c>
      <c r="AV89" t="s">
        <v>3250</v>
      </c>
      <c r="AW89" t="s">
        <v>3250</v>
      </c>
      <c r="AX89" t="s">
        <v>3250</v>
      </c>
      <c r="AY89" t="s">
        <v>3250</v>
      </c>
      <c r="AZ89" t="s">
        <v>3250</v>
      </c>
      <c r="BA89" t="s">
        <v>3250</v>
      </c>
      <c r="BB89" t="s">
        <v>3250</v>
      </c>
      <c r="BC89" t="s">
        <v>3250</v>
      </c>
      <c r="BE89" t="s">
        <v>3250</v>
      </c>
      <c r="BF89" t="s">
        <v>3250</v>
      </c>
      <c r="BG89" t="s">
        <v>3250</v>
      </c>
      <c r="BH89" t="s">
        <v>3250</v>
      </c>
      <c r="BI89" t="s">
        <v>3250</v>
      </c>
      <c r="BK89" t="s">
        <v>3250</v>
      </c>
      <c r="BL89" t="s">
        <v>3250</v>
      </c>
      <c r="BM89" t="s">
        <v>3250</v>
      </c>
      <c r="BN89" t="s">
        <v>3250</v>
      </c>
      <c r="BP89">
        <v>1</v>
      </c>
      <c r="BQ89">
        <v>11</v>
      </c>
      <c r="BR89" t="s">
        <v>1574</v>
      </c>
      <c r="BS89" t="s">
        <v>3252</v>
      </c>
      <c r="BV89">
        <v>0</v>
      </c>
      <c r="BW89">
        <v>0</v>
      </c>
      <c r="BX89">
        <v>0</v>
      </c>
      <c r="BY89">
        <v>0</v>
      </c>
      <c r="BZ89">
        <v>0</v>
      </c>
      <c r="CA89">
        <v>0</v>
      </c>
      <c r="CB89">
        <v>0</v>
      </c>
      <c r="CC89">
        <v>0</v>
      </c>
      <c r="CD89">
        <v>0</v>
      </c>
      <c r="CE89" t="s">
        <v>3108</v>
      </c>
      <c r="CF89" t="s">
        <v>3108</v>
      </c>
      <c r="CG89" t="s">
        <v>3108</v>
      </c>
      <c r="CH89" t="s">
        <v>3108</v>
      </c>
    </row>
    <row r="90" spans="1:86" x14ac:dyDescent="0.2">
      <c r="A90" t="s">
        <v>3419</v>
      </c>
      <c r="B90" t="s">
        <v>3419</v>
      </c>
      <c r="C90">
        <v>30335</v>
      </c>
      <c r="D90">
        <v>1112</v>
      </c>
      <c r="E90" t="s">
        <v>3420</v>
      </c>
      <c r="F90" t="s">
        <v>3249</v>
      </c>
      <c r="G90" t="s">
        <v>3249</v>
      </c>
      <c r="H90" t="s">
        <v>3250</v>
      </c>
      <c r="I90" t="s">
        <v>3250</v>
      </c>
      <c r="J90" t="s">
        <v>3250</v>
      </c>
      <c r="K90" t="s">
        <v>3250</v>
      </c>
      <c r="L90">
        <v>1200</v>
      </c>
      <c r="M90" t="s">
        <v>2368</v>
      </c>
      <c r="N90">
        <v>1204</v>
      </c>
      <c r="O90" t="s">
        <v>1574</v>
      </c>
      <c r="P90" t="s">
        <v>3108</v>
      </c>
      <c r="Q90" t="s">
        <v>3249</v>
      </c>
      <c r="R90" t="s">
        <v>3249</v>
      </c>
      <c r="S90" t="s">
        <v>472</v>
      </c>
      <c r="T90" t="s">
        <v>3251</v>
      </c>
      <c r="U90">
        <v>140</v>
      </c>
      <c r="V90" t="s">
        <v>1327</v>
      </c>
      <c r="W90">
        <v>140</v>
      </c>
      <c r="X90" t="s">
        <v>1327</v>
      </c>
      <c r="Y90" t="s">
        <v>3250</v>
      </c>
      <c r="Z90" t="s">
        <v>3250</v>
      </c>
      <c r="AA90" t="s">
        <v>3108</v>
      </c>
      <c r="AB90" t="s">
        <v>3108</v>
      </c>
      <c r="AC90" t="s">
        <v>3250</v>
      </c>
      <c r="AD90" t="s">
        <v>3250</v>
      </c>
      <c r="AE90" t="s">
        <v>3250</v>
      </c>
      <c r="AF90" t="s">
        <v>3250</v>
      </c>
      <c r="AG90" t="s">
        <v>3250</v>
      </c>
      <c r="AH90" t="s">
        <v>3250</v>
      </c>
      <c r="AI90" t="s">
        <v>3250</v>
      </c>
      <c r="AJ90" t="s">
        <v>3250</v>
      </c>
      <c r="AL90">
        <v>146</v>
      </c>
      <c r="AM90" t="s">
        <v>5</v>
      </c>
      <c r="AN90">
        <v>146</v>
      </c>
      <c r="AO90" t="s">
        <v>5</v>
      </c>
      <c r="AS90" t="s">
        <v>3250</v>
      </c>
      <c r="AT90" t="s">
        <v>3250</v>
      </c>
      <c r="AU90" t="s">
        <v>3250</v>
      </c>
      <c r="AV90" t="s">
        <v>3250</v>
      </c>
      <c r="AW90" t="s">
        <v>3250</v>
      </c>
      <c r="AX90" t="s">
        <v>3250</v>
      </c>
      <c r="AY90" t="s">
        <v>3250</v>
      </c>
      <c r="AZ90" t="s">
        <v>3250</v>
      </c>
      <c r="BA90" t="s">
        <v>3250</v>
      </c>
      <c r="BB90" t="s">
        <v>3250</v>
      </c>
      <c r="BC90" t="s">
        <v>3250</v>
      </c>
      <c r="BE90" t="s">
        <v>3250</v>
      </c>
      <c r="BF90" t="s">
        <v>3250</v>
      </c>
      <c r="BG90" t="s">
        <v>3250</v>
      </c>
      <c r="BH90" t="s">
        <v>3250</v>
      </c>
      <c r="BI90" t="s">
        <v>3250</v>
      </c>
      <c r="BK90" t="s">
        <v>3250</v>
      </c>
      <c r="BL90" t="s">
        <v>3250</v>
      </c>
      <c r="BM90" t="s">
        <v>3250</v>
      </c>
      <c r="BN90" t="s">
        <v>3250</v>
      </c>
      <c r="BP90">
        <v>1</v>
      </c>
      <c r="BQ90">
        <v>11</v>
      </c>
      <c r="BR90" t="s">
        <v>1574</v>
      </c>
      <c r="BS90" t="s">
        <v>3252</v>
      </c>
      <c r="BV90">
        <v>0</v>
      </c>
      <c r="BW90">
        <v>0</v>
      </c>
      <c r="BX90">
        <v>0</v>
      </c>
      <c r="BY90">
        <v>0</v>
      </c>
      <c r="BZ90">
        <v>0</v>
      </c>
      <c r="CA90">
        <v>0</v>
      </c>
      <c r="CB90">
        <v>0</v>
      </c>
      <c r="CC90">
        <v>0</v>
      </c>
      <c r="CD90">
        <v>0</v>
      </c>
      <c r="CE90" t="s">
        <v>3108</v>
      </c>
      <c r="CF90" t="s">
        <v>3108</v>
      </c>
      <c r="CG90" t="s">
        <v>3108</v>
      </c>
      <c r="CH90" t="s">
        <v>3108</v>
      </c>
    </row>
    <row r="91" spans="1:86" x14ac:dyDescent="0.2">
      <c r="A91" t="s">
        <v>3421</v>
      </c>
      <c r="B91" t="s">
        <v>3421</v>
      </c>
      <c r="C91">
        <v>30336</v>
      </c>
      <c r="D91">
        <v>1113</v>
      </c>
      <c r="E91" t="s">
        <v>3422</v>
      </c>
      <c r="F91" t="s">
        <v>3249</v>
      </c>
      <c r="G91" t="s">
        <v>3249</v>
      </c>
      <c r="H91" t="s">
        <v>3250</v>
      </c>
      <c r="I91" t="s">
        <v>3250</v>
      </c>
      <c r="J91" t="s">
        <v>3250</v>
      </c>
      <c r="K91" t="s">
        <v>3250</v>
      </c>
      <c r="L91">
        <v>1200</v>
      </c>
      <c r="M91" t="s">
        <v>2368</v>
      </c>
      <c r="N91">
        <v>1204</v>
      </c>
      <c r="O91" t="s">
        <v>1574</v>
      </c>
      <c r="P91" t="s">
        <v>3108</v>
      </c>
      <c r="Q91" t="s">
        <v>3249</v>
      </c>
      <c r="R91" t="s">
        <v>3249</v>
      </c>
      <c r="S91" t="s">
        <v>472</v>
      </c>
      <c r="T91" t="s">
        <v>3251</v>
      </c>
      <c r="U91">
        <v>140</v>
      </c>
      <c r="V91" t="s">
        <v>1327</v>
      </c>
      <c r="W91">
        <v>140</v>
      </c>
      <c r="X91" t="s">
        <v>1327</v>
      </c>
      <c r="Y91" t="s">
        <v>3250</v>
      </c>
      <c r="Z91" t="s">
        <v>3250</v>
      </c>
      <c r="AA91" t="s">
        <v>3108</v>
      </c>
      <c r="AB91" t="s">
        <v>3108</v>
      </c>
      <c r="AC91" t="s">
        <v>3250</v>
      </c>
      <c r="AD91" t="s">
        <v>3250</v>
      </c>
      <c r="AE91" t="s">
        <v>3250</v>
      </c>
      <c r="AF91" t="s">
        <v>3250</v>
      </c>
      <c r="AG91" t="s">
        <v>3250</v>
      </c>
      <c r="AH91" t="s">
        <v>3250</v>
      </c>
      <c r="AI91" t="s">
        <v>3250</v>
      </c>
      <c r="AJ91" t="s">
        <v>3250</v>
      </c>
      <c r="AL91">
        <v>141</v>
      </c>
      <c r="AM91" t="s">
        <v>1327</v>
      </c>
      <c r="AN91">
        <v>141</v>
      </c>
      <c r="AO91" t="s">
        <v>1327</v>
      </c>
      <c r="AS91" t="s">
        <v>3250</v>
      </c>
      <c r="AT91" t="s">
        <v>3250</v>
      </c>
      <c r="AU91" t="s">
        <v>3250</v>
      </c>
      <c r="AV91" t="s">
        <v>3250</v>
      </c>
      <c r="AW91" t="s">
        <v>3250</v>
      </c>
      <c r="AX91" t="s">
        <v>3250</v>
      </c>
      <c r="AY91" t="s">
        <v>3250</v>
      </c>
      <c r="AZ91" t="s">
        <v>3250</v>
      </c>
      <c r="BA91" t="s">
        <v>3250</v>
      </c>
      <c r="BB91" t="s">
        <v>3250</v>
      </c>
      <c r="BC91" t="s">
        <v>3250</v>
      </c>
      <c r="BE91" t="s">
        <v>3250</v>
      </c>
      <c r="BF91" t="s">
        <v>3250</v>
      </c>
      <c r="BG91" t="s">
        <v>3250</v>
      </c>
      <c r="BH91" t="s">
        <v>3250</v>
      </c>
      <c r="BI91" t="s">
        <v>3250</v>
      </c>
      <c r="BK91" t="s">
        <v>3250</v>
      </c>
      <c r="BL91" t="s">
        <v>3250</v>
      </c>
      <c r="BM91" t="s">
        <v>3250</v>
      </c>
      <c r="BN91" t="s">
        <v>3250</v>
      </c>
      <c r="BP91">
        <v>1</v>
      </c>
      <c r="BQ91">
        <v>11</v>
      </c>
      <c r="BR91" t="s">
        <v>1574</v>
      </c>
      <c r="BS91" t="s">
        <v>3252</v>
      </c>
      <c r="BV91">
        <v>0</v>
      </c>
      <c r="BW91">
        <v>0</v>
      </c>
      <c r="BX91">
        <v>0</v>
      </c>
      <c r="BY91">
        <v>0</v>
      </c>
      <c r="BZ91">
        <v>0</v>
      </c>
      <c r="CA91">
        <v>0</v>
      </c>
      <c r="CB91">
        <v>0</v>
      </c>
      <c r="CC91">
        <v>0</v>
      </c>
      <c r="CD91">
        <v>0</v>
      </c>
      <c r="CE91" t="s">
        <v>3108</v>
      </c>
      <c r="CF91" t="s">
        <v>3108</v>
      </c>
      <c r="CG91" t="s">
        <v>3108</v>
      </c>
      <c r="CH91" t="s">
        <v>3108</v>
      </c>
    </row>
    <row r="92" spans="1:86" x14ac:dyDescent="0.2">
      <c r="A92" t="s">
        <v>3423</v>
      </c>
      <c r="B92" t="s">
        <v>3423</v>
      </c>
      <c r="C92">
        <v>30337</v>
      </c>
      <c r="D92">
        <v>1114</v>
      </c>
      <c r="E92" t="s">
        <v>3424</v>
      </c>
      <c r="F92" t="s">
        <v>3249</v>
      </c>
      <c r="G92" t="s">
        <v>3249</v>
      </c>
      <c r="H92" t="s">
        <v>3250</v>
      </c>
      <c r="I92" t="s">
        <v>3250</v>
      </c>
      <c r="J92" t="s">
        <v>3250</v>
      </c>
      <c r="K92" t="s">
        <v>3250</v>
      </c>
      <c r="L92">
        <v>1200</v>
      </c>
      <c r="M92" t="s">
        <v>2368</v>
      </c>
      <c r="N92">
        <v>1204</v>
      </c>
      <c r="O92" t="s">
        <v>1574</v>
      </c>
      <c r="P92" t="s">
        <v>3108</v>
      </c>
      <c r="Q92" t="s">
        <v>3249</v>
      </c>
      <c r="R92" t="s">
        <v>3249</v>
      </c>
      <c r="S92" t="s">
        <v>472</v>
      </c>
      <c r="T92" t="s">
        <v>3251</v>
      </c>
      <c r="U92">
        <v>140</v>
      </c>
      <c r="V92" t="s">
        <v>1327</v>
      </c>
      <c r="W92">
        <v>140</v>
      </c>
      <c r="X92" t="s">
        <v>1327</v>
      </c>
      <c r="Y92" t="s">
        <v>3250</v>
      </c>
      <c r="Z92" t="s">
        <v>3250</v>
      </c>
      <c r="AA92" t="s">
        <v>3108</v>
      </c>
      <c r="AB92" t="s">
        <v>3108</v>
      </c>
      <c r="AC92" t="s">
        <v>3250</v>
      </c>
      <c r="AD92" t="s">
        <v>3250</v>
      </c>
      <c r="AE92" t="s">
        <v>3250</v>
      </c>
      <c r="AF92" t="s">
        <v>3250</v>
      </c>
      <c r="AG92" t="s">
        <v>3250</v>
      </c>
      <c r="AH92" t="s">
        <v>3250</v>
      </c>
      <c r="AI92" t="s">
        <v>3250</v>
      </c>
      <c r="AJ92" t="s">
        <v>3250</v>
      </c>
      <c r="AL92">
        <v>141</v>
      </c>
      <c r="AM92" t="s">
        <v>1327</v>
      </c>
      <c r="AN92">
        <v>141</v>
      </c>
      <c r="AO92" t="s">
        <v>1327</v>
      </c>
      <c r="AS92" t="s">
        <v>3250</v>
      </c>
      <c r="AT92" t="s">
        <v>3250</v>
      </c>
      <c r="AU92" t="s">
        <v>3250</v>
      </c>
      <c r="AV92" t="s">
        <v>3250</v>
      </c>
      <c r="AW92" t="s">
        <v>3250</v>
      </c>
      <c r="AX92" t="s">
        <v>3250</v>
      </c>
      <c r="AY92" t="s">
        <v>3250</v>
      </c>
      <c r="AZ92" t="s">
        <v>3250</v>
      </c>
      <c r="BA92" t="s">
        <v>3250</v>
      </c>
      <c r="BB92" t="s">
        <v>3250</v>
      </c>
      <c r="BC92" t="s">
        <v>3250</v>
      </c>
      <c r="BE92" t="s">
        <v>3250</v>
      </c>
      <c r="BF92" t="s">
        <v>3250</v>
      </c>
      <c r="BG92" t="s">
        <v>3250</v>
      </c>
      <c r="BH92" t="s">
        <v>3250</v>
      </c>
      <c r="BI92" t="s">
        <v>3250</v>
      </c>
      <c r="BK92" t="s">
        <v>3250</v>
      </c>
      <c r="BL92" t="s">
        <v>3250</v>
      </c>
      <c r="BM92" t="s">
        <v>3250</v>
      </c>
      <c r="BN92" t="s">
        <v>3250</v>
      </c>
      <c r="BP92">
        <v>1</v>
      </c>
      <c r="BQ92">
        <v>11</v>
      </c>
      <c r="BR92" t="s">
        <v>1574</v>
      </c>
      <c r="BS92" t="s">
        <v>3252</v>
      </c>
      <c r="BV92">
        <v>0</v>
      </c>
      <c r="BW92">
        <v>0</v>
      </c>
      <c r="BX92">
        <v>0</v>
      </c>
      <c r="BY92">
        <v>0</v>
      </c>
      <c r="BZ92">
        <v>0</v>
      </c>
      <c r="CA92">
        <v>0</v>
      </c>
      <c r="CB92">
        <v>0</v>
      </c>
      <c r="CC92">
        <v>0</v>
      </c>
      <c r="CD92">
        <v>0</v>
      </c>
      <c r="CE92" t="s">
        <v>3108</v>
      </c>
      <c r="CF92" t="s">
        <v>3108</v>
      </c>
      <c r="CG92" t="s">
        <v>3108</v>
      </c>
      <c r="CH92" t="s">
        <v>3108</v>
      </c>
    </row>
    <row r="93" spans="1:86" x14ac:dyDescent="0.2">
      <c r="A93" t="s">
        <v>3425</v>
      </c>
      <c r="B93" t="s">
        <v>3425</v>
      </c>
      <c r="C93">
        <v>30338</v>
      </c>
      <c r="D93">
        <v>1115</v>
      </c>
      <c r="E93" t="s">
        <v>3426</v>
      </c>
      <c r="F93" t="s">
        <v>3249</v>
      </c>
      <c r="G93" t="s">
        <v>3249</v>
      </c>
      <c r="H93" t="s">
        <v>3250</v>
      </c>
      <c r="I93" t="s">
        <v>3250</v>
      </c>
      <c r="J93" t="s">
        <v>3250</v>
      </c>
      <c r="K93" t="s">
        <v>3250</v>
      </c>
      <c r="L93">
        <v>1200</v>
      </c>
      <c r="M93" t="s">
        <v>2368</v>
      </c>
      <c r="N93">
        <v>1204</v>
      </c>
      <c r="O93" t="s">
        <v>1574</v>
      </c>
      <c r="P93" t="s">
        <v>3108</v>
      </c>
      <c r="Q93" t="s">
        <v>3249</v>
      </c>
      <c r="R93" t="s">
        <v>3249</v>
      </c>
      <c r="S93" t="s">
        <v>472</v>
      </c>
      <c r="T93" t="s">
        <v>3251</v>
      </c>
      <c r="U93">
        <v>140</v>
      </c>
      <c r="V93" t="s">
        <v>1327</v>
      </c>
      <c r="W93">
        <v>140</v>
      </c>
      <c r="X93" t="s">
        <v>1327</v>
      </c>
      <c r="Y93" t="s">
        <v>3250</v>
      </c>
      <c r="Z93" t="s">
        <v>3250</v>
      </c>
      <c r="AA93" t="s">
        <v>3108</v>
      </c>
      <c r="AB93" t="s">
        <v>3108</v>
      </c>
      <c r="AC93" t="s">
        <v>3250</v>
      </c>
      <c r="AD93" t="s">
        <v>3250</v>
      </c>
      <c r="AE93" t="s">
        <v>3250</v>
      </c>
      <c r="AF93" t="s">
        <v>3250</v>
      </c>
      <c r="AG93" t="s">
        <v>3250</v>
      </c>
      <c r="AH93" t="s">
        <v>3250</v>
      </c>
      <c r="AI93" t="s">
        <v>3250</v>
      </c>
      <c r="AJ93" t="s">
        <v>3250</v>
      </c>
      <c r="AL93">
        <v>147</v>
      </c>
      <c r="AM93" t="s">
        <v>6</v>
      </c>
      <c r="AN93">
        <v>147</v>
      </c>
      <c r="AO93" t="s">
        <v>6</v>
      </c>
      <c r="AS93" t="s">
        <v>3250</v>
      </c>
      <c r="AT93" t="s">
        <v>3250</v>
      </c>
      <c r="AU93" t="s">
        <v>3250</v>
      </c>
      <c r="AV93" t="s">
        <v>3250</v>
      </c>
      <c r="AW93" t="s">
        <v>3250</v>
      </c>
      <c r="AX93" t="s">
        <v>3250</v>
      </c>
      <c r="AY93" t="s">
        <v>3250</v>
      </c>
      <c r="AZ93" t="s">
        <v>3250</v>
      </c>
      <c r="BA93" t="s">
        <v>3250</v>
      </c>
      <c r="BB93" t="s">
        <v>3250</v>
      </c>
      <c r="BC93" t="s">
        <v>3250</v>
      </c>
      <c r="BE93" t="s">
        <v>3250</v>
      </c>
      <c r="BF93" t="s">
        <v>3250</v>
      </c>
      <c r="BG93" t="s">
        <v>3250</v>
      </c>
      <c r="BH93" t="s">
        <v>3250</v>
      </c>
      <c r="BI93" t="s">
        <v>3250</v>
      </c>
      <c r="BK93" t="s">
        <v>3250</v>
      </c>
      <c r="BL93" t="s">
        <v>3250</v>
      </c>
      <c r="BM93" t="s">
        <v>3250</v>
      </c>
      <c r="BN93" t="s">
        <v>3250</v>
      </c>
      <c r="BP93">
        <v>1</v>
      </c>
      <c r="BQ93">
        <v>11</v>
      </c>
      <c r="BR93" t="s">
        <v>1574</v>
      </c>
      <c r="BS93" t="s">
        <v>3252</v>
      </c>
      <c r="BV93">
        <v>0</v>
      </c>
      <c r="BW93">
        <v>0</v>
      </c>
      <c r="BX93">
        <v>0</v>
      </c>
      <c r="BY93">
        <v>0</v>
      </c>
      <c r="BZ93">
        <v>0</v>
      </c>
      <c r="CA93">
        <v>0</v>
      </c>
      <c r="CB93">
        <v>0</v>
      </c>
      <c r="CC93">
        <v>0</v>
      </c>
      <c r="CD93">
        <v>0</v>
      </c>
      <c r="CE93" t="s">
        <v>3108</v>
      </c>
      <c r="CF93" t="s">
        <v>3108</v>
      </c>
      <c r="CG93" t="s">
        <v>3108</v>
      </c>
      <c r="CH93" t="s">
        <v>3108</v>
      </c>
    </row>
    <row r="94" spans="1:86" x14ac:dyDescent="0.2">
      <c r="A94" t="s">
        <v>3427</v>
      </c>
      <c r="B94" t="s">
        <v>3427</v>
      </c>
      <c r="C94">
        <v>30339</v>
      </c>
      <c r="D94">
        <v>1116</v>
      </c>
      <c r="E94" t="s">
        <v>3428</v>
      </c>
      <c r="F94" t="s">
        <v>3249</v>
      </c>
      <c r="G94" t="s">
        <v>3249</v>
      </c>
      <c r="H94" t="s">
        <v>3250</v>
      </c>
      <c r="I94" t="s">
        <v>3250</v>
      </c>
      <c r="J94" t="s">
        <v>3250</v>
      </c>
      <c r="K94" t="s">
        <v>3250</v>
      </c>
      <c r="L94">
        <v>1200</v>
      </c>
      <c r="M94" t="s">
        <v>2368</v>
      </c>
      <c r="N94">
        <v>1204</v>
      </c>
      <c r="O94" t="s">
        <v>1574</v>
      </c>
      <c r="P94" t="s">
        <v>3108</v>
      </c>
      <c r="Q94" t="s">
        <v>3249</v>
      </c>
      <c r="R94" t="s">
        <v>3249</v>
      </c>
      <c r="S94" t="s">
        <v>472</v>
      </c>
      <c r="T94" t="s">
        <v>3251</v>
      </c>
      <c r="U94">
        <v>140</v>
      </c>
      <c r="V94" t="s">
        <v>1327</v>
      </c>
      <c r="W94">
        <v>140</v>
      </c>
      <c r="X94" t="s">
        <v>1327</v>
      </c>
      <c r="Y94" t="s">
        <v>3250</v>
      </c>
      <c r="Z94" t="s">
        <v>3250</v>
      </c>
      <c r="AA94" t="s">
        <v>3108</v>
      </c>
      <c r="AB94" t="s">
        <v>3108</v>
      </c>
      <c r="AC94" t="s">
        <v>3250</v>
      </c>
      <c r="AD94" t="s">
        <v>3250</v>
      </c>
      <c r="AE94" t="s">
        <v>3250</v>
      </c>
      <c r="AF94" t="s">
        <v>3250</v>
      </c>
      <c r="AG94" t="s">
        <v>3250</v>
      </c>
      <c r="AH94" t="s">
        <v>3250</v>
      </c>
      <c r="AI94" t="s">
        <v>3250</v>
      </c>
      <c r="AJ94" t="s">
        <v>3250</v>
      </c>
      <c r="AL94">
        <v>141</v>
      </c>
      <c r="AM94" t="s">
        <v>1327</v>
      </c>
      <c r="AN94">
        <v>141</v>
      </c>
      <c r="AO94" t="s">
        <v>1327</v>
      </c>
      <c r="AS94" t="s">
        <v>3250</v>
      </c>
      <c r="AT94" t="s">
        <v>3250</v>
      </c>
      <c r="AU94" t="s">
        <v>3250</v>
      </c>
      <c r="AV94" t="s">
        <v>3250</v>
      </c>
      <c r="AW94" t="s">
        <v>3250</v>
      </c>
      <c r="AX94" t="s">
        <v>3250</v>
      </c>
      <c r="AY94" t="s">
        <v>3250</v>
      </c>
      <c r="AZ94" t="s">
        <v>3250</v>
      </c>
      <c r="BA94" t="s">
        <v>3250</v>
      </c>
      <c r="BB94" t="s">
        <v>3250</v>
      </c>
      <c r="BC94" t="s">
        <v>3250</v>
      </c>
      <c r="BE94" t="s">
        <v>3250</v>
      </c>
      <c r="BF94" t="s">
        <v>3250</v>
      </c>
      <c r="BG94" t="s">
        <v>3250</v>
      </c>
      <c r="BH94" t="s">
        <v>3250</v>
      </c>
      <c r="BI94" t="s">
        <v>3250</v>
      </c>
      <c r="BK94" t="s">
        <v>3250</v>
      </c>
      <c r="BL94" t="s">
        <v>3250</v>
      </c>
      <c r="BM94" t="s">
        <v>3250</v>
      </c>
      <c r="BN94" t="s">
        <v>3250</v>
      </c>
      <c r="BP94">
        <v>1</v>
      </c>
      <c r="BQ94">
        <v>11</v>
      </c>
      <c r="BR94" t="s">
        <v>1574</v>
      </c>
      <c r="BS94" t="s">
        <v>3252</v>
      </c>
      <c r="BV94">
        <v>0</v>
      </c>
      <c r="BW94">
        <v>0</v>
      </c>
      <c r="BX94">
        <v>0</v>
      </c>
      <c r="BY94">
        <v>0</v>
      </c>
      <c r="BZ94">
        <v>0</v>
      </c>
      <c r="CA94">
        <v>0</v>
      </c>
      <c r="CB94">
        <v>0</v>
      </c>
      <c r="CC94">
        <v>0</v>
      </c>
      <c r="CD94">
        <v>0</v>
      </c>
      <c r="CE94" t="s">
        <v>3108</v>
      </c>
      <c r="CF94" t="s">
        <v>3108</v>
      </c>
      <c r="CG94" t="s">
        <v>3108</v>
      </c>
      <c r="CH94" t="s">
        <v>3108</v>
      </c>
    </row>
    <row r="95" spans="1:86" x14ac:dyDescent="0.2">
      <c r="A95" t="s">
        <v>3429</v>
      </c>
      <c r="B95" t="s">
        <v>3429</v>
      </c>
      <c r="C95">
        <v>30340</v>
      </c>
      <c r="D95">
        <v>1117</v>
      </c>
      <c r="E95" t="s">
        <v>3430</v>
      </c>
      <c r="F95" t="s">
        <v>3249</v>
      </c>
      <c r="G95" t="s">
        <v>3249</v>
      </c>
      <c r="H95" t="s">
        <v>3250</v>
      </c>
      <c r="I95" t="s">
        <v>3250</v>
      </c>
      <c r="J95" t="s">
        <v>3250</v>
      </c>
      <c r="K95" t="s">
        <v>3250</v>
      </c>
      <c r="L95">
        <v>1200</v>
      </c>
      <c r="M95" t="s">
        <v>2368</v>
      </c>
      <c r="N95">
        <v>1204</v>
      </c>
      <c r="O95" t="s">
        <v>1574</v>
      </c>
      <c r="P95" t="s">
        <v>3108</v>
      </c>
      <c r="Q95" t="s">
        <v>3249</v>
      </c>
      <c r="R95" t="s">
        <v>3249</v>
      </c>
      <c r="S95" t="s">
        <v>472</v>
      </c>
      <c r="T95" t="s">
        <v>3251</v>
      </c>
      <c r="U95">
        <v>140</v>
      </c>
      <c r="V95" t="s">
        <v>1327</v>
      </c>
      <c r="W95">
        <v>140</v>
      </c>
      <c r="X95" t="s">
        <v>1327</v>
      </c>
      <c r="Y95" t="s">
        <v>3250</v>
      </c>
      <c r="Z95" t="s">
        <v>3250</v>
      </c>
      <c r="AA95" t="s">
        <v>3108</v>
      </c>
      <c r="AB95" t="s">
        <v>3108</v>
      </c>
      <c r="AC95" t="s">
        <v>3250</v>
      </c>
      <c r="AD95" t="s">
        <v>3250</v>
      </c>
      <c r="AE95" t="s">
        <v>3250</v>
      </c>
      <c r="AF95" t="s">
        <v>3250</v>
      </c>
      <c r="AG95" t="s">
        <v>3250</v>
      </c>
      <c r="AH95" t="s">
        <v>3250</v>
      </c>
      <c r="AI95" t="s">
        <v>3250</v>
      </c>
      <c r="AJ95" t="s">
        <v>3250</v>
      </c>
      <c r="AL95">
        <v>141</v>
      </c>
      <c r="AM95" t="s">
        <v>1327</v>
      </c>
      <c r="AN95">
        <v>141</v>
      </c>
      <c r="AO95" t="s">
        <v>1327</v>
      </c>
      <c r="AS95" t="s">
        <v>3250</v>
      </c>
      <c r="AT95" t="s">
        <v>3250</v>
      </c>
      <c r="AU95" t="s">
        <v>3250</v>
      </c>
      <c r="AV95" t="s">
        <v>3250</v>
      </c>
      <c r="AW95" t="s">
        <v>3250</v>
      </c>
      <c r="AX95" t="s">
        <v>3250</v>
      </c>
      <c r="AY95" t="s">
        <v>3250</v>
      </c>
      <c r="AZ95" t="s">
        <v>3250</v>
      </c>
      <c r="BA95" t="s">
        <v>3250</v>
      </c>
      <c r="BB95" t="s">
        <v>3250</v>
      </c>
      <c r="BC95" t="s">
        <v>3250</v>
      </c>
      <c r="BE95" t="s">
        <v>3250</v>
      </c>
      <c r="BF95" t="s">
        <v>3250</v>
      </c>
      <c r="BG95" t="s">
        <v>3250</v>
      </c>
      <c r="BH95" t="s">
        <v>3250</v>
      </c>
      <c r="BI95" t="s">
        <v>3250</v>
      </c>
      <c r="BK95" t="s">
        <v>3250</v>
      </c>
      <c r="BL95" t="s">
        <v>3250</v>
      </c>
      <c r="BM95" t="s">
        <v>3250</v>
      </c>
      <c r="BN95" t="s">
        <v>3250</v>
      </c>
      <c r="BP95">
        <v>1</v>
      </c>
      <c r="BQ95">
        <v>11</v>
      </c>
      <c r="BR95" t="s">
        <v>1574</v>
      </c>
      <c r="BS95" t="s">
        <v>3252</v>
      </c>
      <c r="BV95">
        <v>0</v>
      </c>
      <c r="BW95">
        <v>0</v>
      </c>
      <c r="BX95">
        <v>0</v>
      </c>
      <c r="BY95">
        <v>0</v>
      </c>
      <c r="BZ95">
        <v>0</v>
      </c>
      <c r="CA95">
        <v>0</v>
      </c>
      <c r="CB95">
        <v>0</v>
      </c>
      <c r="CC95">
        <v>0</v>
      </c>
      <c r="CD95">
        <v>0</v>
      </c>
      <c r="CE95" t="s">
        <v>3108</v>
      </c>
      <c r="CF95" t="s">
        <v>3108</v>
      </c>
      <c r="CG95" t="s">
        <v>3108</v>
      </c>
      <c r="CH95" t="s">
        <v>3108</v>
      </c>
    </row>
    <row r="96" spans="1:86" x14ac:dyDescent="0.2">
      <c r="A96" t="s">
        <v>3431</v>
      </c>
      <c r="B96" t="s">
        <v>3431</v>
      </c>
      <c r="C96">
        <v>30341</v>
      </c>
      <c r="D96">
        <v>1118</v>
      </c>
      <c r="E96" t="s">
        <v>3432</v>
      </c>
      <c r="F96" t="s">
        <v>3249</v>
      </c>
      <c r="G96" t="s">
        <v>3249</v>
      </c>
      <c r="H96" t="s">
        <v>3250</v>
      </c>
      <c r="I96" t="s">
        <v>3250</v>
      </c>
      <c r="J96" t="s">
        <v>3250</v>
      </c>
      <c r="K96" t="s">
        <v>3250</v>
      </c>
      <c r="L96">
        <v>1200</v>
      </c>
      <c r="M96" t="s">
        <v>2368</v>
      </c>
      <c r="N96">
        <v>1204</v>
      </c>
      <c r="O96" t="s">
        <v>1574</v>
      </c>
      <c r="P96" t="s">
        <v>3108</v>
      </c>
      <c r="Q96" t="s">
        <v>3249</v>
      </c>
      <c r="R96" t="s">
        <v>3249</v>
      </c>
      <c r="S96" t="s">
        <v>472</v>
      </c>
      <c r="T96" t="s">
        <v>3251</v>
      </c>
      <c r="U96">
        <v>140</v>
      </c>
      <c r="V96" t="s">
        <v>1327</v>
      </c>
      <c r="W96">
        <v>140</v>
      </c>
      <c r="X96" t="s">
        <v>1327</v>
      </c>
      <c r="Y96" t="s">
        <v>3250</v>
      </c>
      <c r="Z96" t="s">
        <v>3250</v>
      </c>
      <c r="AA96" t="s">
        <v>3108</v>
      </c>
      <c r="AB96" t="s">
        <v>3108</v>
      </c>
      <c r="AC96" t="s">
        <v>3250</v>
      </c>
      <c r="AD96" t="s">
        <v>3250</v>
      </c>
      <c r="AE96" t="s">
        <v>3250</v>
      </c>
      <c r="AF96" t="s">
        <v>3250</v>
      </c>
      <c r="AG96" t="s">
        <v>3250</v>
      </c>
      <c r="AH96" t="s">
        <v>3250</v>
      </c>
      <c r="AI96" t="s">
        <v>3250</v>
      </c>
      <c r="AJ96" t="s">
        <v>3250</v>
      </c>
      <c r="AL96">
        <v>141</v>
      </c>
      <c r="AM96" t="s">
        <v>1327</v>
      </c>
      <c r="AN96">
        <v>141</v>
      </c>
      <c r="AO96" t="s">
        <v>1327</v>
      </c>
      <c r="AS96" t="s">
        <v>3250</v>
      </c>
      <c r="AT96" t="s">
        <v>3250</v>
      </c>
      <c r="AU96" t="s">
        <v>3250</v>
      </c>
      <c r="AV96" t="s">
        <v>3250</v>
      </c>
      <c r="AW96" t="s">
        <v>3250</v>
      </c>
      <c r="AX96" t="s">
        <v>3250</v>
      </c>
      <c r="AY96" t="s">
        <v>3250</v>
      </c>
      <c r="AZ96" t="s">
        <v>3250</v>
      </c>
      <c r="BA96" t="s">
        <v>3250</v>
      </c>
      <c r="BB96" t="s">
        <v>3250</v>
      </c>
      <c r="BC96" t="s">
        <v>3250</v>
      </c>
      <c r="BE96" t="s">
        <v>3250</v>
      </c>
      <c r="BF96" t="s">
        <v>3250</v>
      </c>
      <c r="BG96" t="s">
        <v>3250</v>
      </c>
      <c r="BH96" t="s">
        <v>3250</v>
      </c>
      <c r="BI96" t="s">
        <v>3250</v>
      </c>
      <c r="BK96" t="s">
        <v>3250</v>
      </c>
      <c r="BL96" t="s">
        <v>3250</v>
      </c>
      <c r="BM96" t="s">
        <v>3250</v>
      </c>
      <c r="BN96" t="s">
        <v>3250</v>
      </c>
      <c r="BP96">
        <v>1</v>
      </c>
      <c r="BQ96">
        <v>11</v>
      </c>
      <c r="BR96" t="s">
        <v>1574</v>
      </c>
      <c r="BS96" t="s">
        <v>3252</v>
      </c>
      <c r="BV96">
        <v>0</v>
      </c>
      <c r="BW96">
        <v>0</v>
      </c>
      <c r="BX96">
        <v>0</v>
      </c>
      <c r="BY96">
        <v>0</v>
      </c>
      <c r="BZ96">
        <v>0</v>
      </c>
      <c r="CA96">
        <v>0</v>
      </c>
      <c r="CB96">
        <v>0</v>
      </c>
      <c r="CC96">
        <v>0</v>
      </c>
      <c r="CD96">
        <v>0</v>
      </c>
      <c r="CE96" t="s">
        <v>3108</v>
      </c>
      <c r="CF96" t="s">
        <v>3108</v>
      </c>
      <c r="CG96" t="s">
        <v>3108</v>
      </c>
      <c r="CH96" t="s">
        <v>3108</v>
      </c>
    </row>
    <row r="97" spans="1:86" x14ac:dyDescent="0.2">
      <c r="A97" t="s">
        <v>3433</v>
      </c>
      <c r="B97" t="s">
        <v>3433</v>
      </c>
      <c r="C97">
        <v>30342</v>
      </c>
      <c r="D97">
        <v>1119</v>
      </c>
      <c r="E97" t="s">
        <v>3434</v>
      </c>
      <c r="F97" t="s">
        <v>3249</v>
      </c>
      <c r="G97" t="s">
        <v>3249</v>
      </c>
      <c r="H97" t="s">
        <v>3250</v>
      </c>
      <c r="I97" t="s">
        <v>3250</v>
      </c>
      <c r="J97" t="s">
        <v>3250</v>
      </c>
      <c r="K97" t="s">
        <v>3250</v>
      </c>
      <c r="L97">
        <v>1200</v>
      </c>
      <c r="M97" t="s">
        <v>2368</v>
      </c>
      <c r="N97">
        <v>1204</v>
      </c>
      <c r="O97" t="s">
        <v>1574</v>
      </c>
      <c r="P97" t="s">
        <v>3108</v>
      </c>
      <c r="Q97" t="s">
        <v>3249</v>
      </c>
      <c r="R97" t="s">
        <v>3249</v>
      </c>
      <c r="S97" t="s">
        <v>472</v>
      </c>
      <c r="T97" t="s">
        <v>3251</v>
      </c>
      <c r="U97">
        <v>140</v>
      </c>
      <c r="V97" t="s">
        <v>1327</v>
      </c>
      <c r="W97">
        <v>140</v>
      </c>
      <c r="X97" t="s">
        <v>1327</v>
      </c>
      <c r="Y97" t="s">
        <v>3250</v>
      </c>
      <c r="Z97" t="s">
        <v>3250</v>
      </c>
      <c r="AA97" t="s">
        <v>3108</v>
      </c>
      <c r="AB97" t="s">
        <v>3108</v>
      </c>
      <c r="AC97" t="s">
        <v>3250</v>
      </c>
      <c r="AD97" t="s">
        <v>3250</v>
      </c>
      <c r="AE97" t="s">
        <v>3250</v>
      </c>
      <c r="AF97" t="s">
        <v>3250</v>
      </c>
      <c r="AG97" t="s">
        <v>3250</v>
      </c>
      <c r="AH97" t="s">
        <v>3250</v>
      </c>
      <c r="AI97" t="s">
        <v>3250</v>
      </c>
      <c r="AJ97" t="s">
        <v>3250</v>
      </c>
      <c r="AL97">
        <v>146</v>
      </c>
      <c r="AM97" t="s">
        <v>5</v>
      </c>
      <c r="AN97">
        <v>146</v>
      </c>
      <c r="AO97" t="s">
        <v>5</v>
      </c>
      <c r="AS97" t="s">
        <v>3250</v>
      </c>
      <c r="AT97" t="s">
        <v>3250</v>
      </c>
      <c r="AU97" t="s">
        <v>3250</v>
      </c>
      <c r="AV97" t="s">
        <v>3250</v>
      </c>
      <c r="AW97" t="s">
        <v>3250</v>
      </c>
      <c r="AX97" t="s">
        <v>3250</v>
      </c>
      <c r="AY97" t="s">
        <v>3250</v>
      </c>
      <c r="AZ97" t="s">
        <v>3250</v>
      </c>
      <c r="BA97" t="s">
        <v>3250</v>
      </c>
      <c r="BB97" t="s">
        <v>3250</v>
      </c>
      <c r="BC97" t="s">
        <v>3250</v>
      </c>
      <c r="BE97" t="s">
        <v>3250</v>
      </c>
      <c r="BF97" t="s">
        <v>3250</v>
      </c>
      <c r="BG97" t="s">
        <v>3250</v>
      </c>
      <c r="BH97" t="s">
        <v>3250</v>
      </c>
      <c r="BI97" t="s">
        <v>3250</v>
      </c>
      <c r="BK97" t="s">
        <v>3250</v>
      </c>
      <c r="BL97" t="s">
        <v>3250</v>
      </c>
      <c r="BM97" t="s">
        <v>3250</v>
      </c>
      <c r="BN97" t="s">
        <v>3250</v>
      </c>
      <c r="BP97">
        <v>1</v>
      </c>
      <c r="BQ97">
        <v>11</v>
      </c>
      <c r="BR97" t="s">
        <v>1574</v>
      </c>
      <c r="BS97" t="s">
        <v>3252</v>
      </c>
      <c r="BV97">
        <v>111269</v>
      </c>
      <c r="BW97">
        <v>777609</v>
      </c>
      <c r="BX97">
        <v>660727</v>
      </c>
      <c r="BY97">
        <v>0</v>
      </c>
      <c r="BZ97">
        <v>0</v>
      </c>
      <c r="CA97">
        <v>0</v>
      </c>
      <c r="CB97">
        <v>0</v>
      </c>
      <c r="CC97">
        <v>0</v>
      </c>
      <c r="CD97">
        <v>111269</v>
      </c>
      <c r="CE97" t="s">
        <v>3108</v>
      </c>
      <c r="CF97" t="s">
        <v>3108</v>
      </c>
      <c r="CG97" t="s">
        <v>3108</v>
      </c>
      <c r="CH97" t="s">
        <v>3108</v>
      </c>
    </row>
    <row r="98" spans="1:86" x14ac:dyDescent="0.2">
      <c r="A98" t="s">
        <v>3435</v>
      </c>
      <c r="B98" t="s">
        <v>3435</v>
      </c>
      <c r="C98">
        <v>30343</v>
      </c>
      <c r="D98">
        <v>1120</v>
      </c>
      <c r="E98" t="s">
        <v>3436</v>
      </c>
      <c r="F98" t="s">
        <v>3249</v>
      </c>
      <c r="G98" t="s">
        <v>3249</v>
      </c>
      <c r="H98" t="s">
        <v>3250</v>
      </c>
      <c r="I98" t="s">
        <v>3250</v>
      </c>
      <c r="J98" t="s">
        <v>3250</v>
      </c>
      <c r="K98" t="s">
        <v>3250</v>
      </c>
      <c r="L98">
        <v>1200</v>
      </c>
      <c r="M98" t="s">
        <v>2368</v>
      </c>
      <c r="N98">
        <v>1204</v>
      </c>
      <c r="O98" t="s">
        <v>1574</v>
      </c>
      <c r="P98" t="s">
        <v>3108</v>
      </c>
      <c r="Q98" t="s">
        <v>3249</v>
      </c>
      <c r="R98" t="s">
        <v>3249</v>
      </c>
      <c r="S98" t="s">
        <v>472</v>
      </c>
      <c r="T98" t="s">
        <v>3251</v>
      </c>
      <c r="U98">
        <v>140</v>
      </c>
      <c r="V98" t="s">
        <v>1327</v>
      </c>
      <c r="W98">
        <v>140</v>
      </c>
      <c r="X98" t="s">
        <v>1327</v>
      </c>
      <c r="Y98" t="s">
        <v>3250</v>
      </c>
      <c r="Z98" t="s">
        <v>3250</v>
      </c>
      <c r="AA98" t="s">
        <v>3108</v>
      </c>
      <c r="AB98" t="s">
        <v>3108</v>
      </c>
      <c r="AC98" t="s">
        <v>3250</v>
      </c>
      <c r="AD98" t="s">
        <v>3250</v>
      </c>
      <c r="AE98" t="s">
        <v>3250</v>
      </c>
      <c r="AF98" t="s">
        <v>3250</v>
      </c>
      <c r="AG98" t="s">
        <v>3250</v>
      </c>
      <c r="AH98" t="s">
        <v>3250</v>
      </c>
      <c r="AI98" t="s">
        <v>3250</v>
      </c>
      <c r="AJ98" t="s">
        <v>3250</v>
      </c>
      <c r="AL98">
        <v>146</v>
      </c>
      <c r="AM98" t="s">
        <v>5</v>
      </c>
      <c r="AN98">
        <v>146</v>
      </c>
      <c r="AO98" t="s">
        <v>5</v>
      </c>
      <c r="AS98" t="s">
        <v>3250</v>
      </c>
      <c r="AT98" t="s">
        <v>3250</v>
      </c>
      <c r="AU98" t="s">
        <v>3250</v>
      </c>
      <c r="AV98" t="s">
        <v>3250</v>
      </c>
      <c r="AW98" t="s">
        <v>3250</v>
      </c>
      <c r="AX98" t="s">
        <v>3250</v>
      </c>
      <c r="AY98" t="s">
        <v>3250</v>
      </c>
      <c r="AZ98" t="s">
        <v>3250</v>
      </c>
      <c r="BA98" t="s">
        <v>3250</v>
      </c>
      <c r="BB98" t="s">
        <v>3250</v>
      </c>
      <c r="BC98" t="s">
        <v>3250</v>
      </c>
      <c r="BE98" t="s">
        <v>3250</v>
      </c>
      <c r="BF98" t="s">
        <v>3250</v>
      </c>
      <c r="BG98" t="s">
        <v>3250</v>
      </c>
      <c r="BH98" t="s">
        <v>3250</v>
      </c>
      <c r="BI98" t="s">
        <v>3250</v>
      </c>
      <c r="BK98" t="s">
        <v>3250</v>
      </c>
      <c r="BL98" t="s">
        <v>3250</v>
      </c>
      <c r="BM98" t="s">
        <v>3250</v>
      </c>
      <c r="BN98" t="s">
        <v>3250</v>
      </c>
      <c r="BP98">
        <v>1</v>
      </c>
      <c r="BQ98">
        <v>11</v>
      </c>
      <c r="BR98" t="s">
        <v>1574</v>
      </c>
      <c r="BS98" t="s">
        <v>3252</v>
      </c>
      <c r="BV98">
        <v>0</v>
      </c>
      <c r="BW98">
        <v>0</v>
      </c>
      <c r="BX98">
        <v>0</v>
      </c>
      <c r="BY98">
        <v>0</v>
      </c>
      <c r="BZ98">
        <v>0</v>
      </c>
      <c r="CA98">
        <v>0</v>
      </c>
      <c r="CB98">
        <v>0</v>
      </c>
      <c r="CC98">
        <v>0</v>
      </c>
      <c r="CD98">
        <v>0</v>
      </c>
      <c r="CE98" t="s">
        <v>3108</v>
      </c>
      <c r="CF98" t="s">
        <v>3108</v>
      </c>
      <c r="CG98" t="s">
        <v>3108</v>
      </c>
      <c r="CH98" t="s">
        <v>3108</v>
      </c>
    </row>
    <row r="99" spans="1:86" x14ac:dyDescent="0.2">
      <c r="A99" t="s">
        <v>3437</v>
      </c>
      <c r="B99" t="s">
        <v>3437</v>
      </c>
      <c r="C99">
        <v>30344</v>
      </c>
      <c r="D99">
        <v>1121</v>
      </c>
      <c r="E99" t="s">
        <v>3438</v>
      </c>
      <c r="F99" t="s">
        <v>3249</v>
      </c>
      <c r="G99" t="s">
        <v>3249</v>
      </c>
      <c r="H99" t="s">
        <v>3250</v>
      </c>
      <c r="I99" t="s">
        <v>3250</v>
      </c>
      <c r="J99" t="s">
        <v>3250</v>
      </c>
      <c r="K99" t="s">
        <v>3250</v>
      </c>
      <c r="L99">
        <v>1200</v>
      </c>
      <c r="M99" t="s">
        <v>2368</v>
      </c>
      <c r="N99">
        <v>1204</v>
      </c>
      <c r="O99" t="s">
        <v>1574</v>
      </c>
      <c r="P99" t="s">
        <v>3108</v>
      </c>
      <c r="Q99" t="s">
        <v>3249</v>
      </c>
      <c r="R99" t="s">
        <v>3249</v>
      </c>
      <c r="S99" t="s">
        <v>472</v>
      </c>
      <c r="T99" t="s">
        <v>3251</v>
      </c>
      <c r="U99">
        <v>140</v>
      </c>
      <c r="V99" t="s">
        <v>1327</v>
      </c>
      <c r="W99">
        <v>140</v>
      </c>
      <c r="X99" t="s">
        <v>1327</v>
      </c>
      <c r="Y99" t="s">
        <v>3250</v>
      </c>
      <c r="Z99" t="s">
        <v>3250</v>
      </c>
      <c r="AA99" t="s">
        <v>3108</v>
      </c>
      <c r="AB99" t="s">
        <v>3108</v>
      </c>
      <c r="AC99" t="s">
        <v>3250</v>
      </c>
      <c r="AD99" t="s">
        <v>3250</v>
      </c>
      <c r="AE99" t="s">
        <v>3250</v>
      </c>
      <c r="AF99" t="s">
        <v>3250</v>
      </c>
      <c r="AG99" t="s">
        <v>3250</v>
      </c>
      <c r="AH99" t="s">
        <v>3250</v>
      </c>
      <c r="AI99" t="s">
        <v>3250</v>
      </c>
      <c r="AJ99" t="s">
        <v>3250</v>
      </c>
      <c r="AL99">
        <v>141</v>
      </c>
      <c r="AM99" t="s">
        <v>1327</v>
      </c>
      <c r="AN99">
        <v>141</v>
      </c>
      <c r="AO99" t="s">
        <v>1327</v>
      </c>
      <c r="AS99" t="s">
        <v>3250</v>
      </c>
      <c r="AT99" t="s">
        <v>3250</v>
      </c>
      <c r="AU99" t="s">
        <v>3250</v>
      </c>
      <c r="AV99" t="s">
        <v>3250</v>
      </c>
      <c r="AW99" t="s">
        <v>3250</v>
      </c>
      <c r="AX99" t="s">
        <v>3250</v>
      </c>
      <c r="AY99" t="s">
        <v>3250</v>
      </c>
      <c r="AZ99" t="s">
        <v>3250</v>
      </c>
      <c r="BA99" t="s">
        <v>3250</v>
      </c>
      <c r="BB99" t="s">
        <v>3250</v>
      </c>
      <c r="BC99" t="s">
        <v>3250</v>
      </c>
      <c r="BE99" t="s">
        <v>3250</v>
      </c>
      <c r="BF99" t="s">
        <v>3250</v>
      </c>
      <c r="BG99" t="s">
        <v>3250</v>
      </c>
      <c r="BH99" t="s">
        <v>3250</v>
      </c>
      <c r="BI99" t="s">
        <v>3250</v>
      </c>
      <c r="BK99" t="s">
        <v>3250</v>
      </c>
      <c r="BL99" t="s">
        <v>3250</v>
      </c>
      <c r="BM99" t="s">
        <v>3250</v>
      </c>
      <c r="BN99" t="s">
        <v>3250</v>
      </c>
      <c r="BP99">
        <v>1</v>
      </c>
      <c r="BQ99">
        <v>11</v>
      </c>
      <c r="BR99" t="s">
        <v>1574</v>
      </c>
      <c r="BS99" t="s">
        <v>3252</v>
      </c>
      <c r="BV99">
        <v>0</v>
      </c>
      <c r="BW99">
        <v>0</v>
      </c>
      <c r="BX99">
        <v>0</v>
      </c>
      <c r="BY99">
        <v>0</v>
      </c>
      <c r="BZ99">
        <v>0</v>
      </c>
      <c r="CA99">
        <v>0</v>
      </c>
      <c r="CB99">
        <v>0</v>
      </c>
      <c r="CC99">
        <v>0</v>
      </c>
      <c r="CD99">
        <v>0</v>
      </c>
      <c r="CE99" t="s">
        <v>3108</v>
      </c>
      <c r="CF99" t="s">
        <v>3108</v>
      </c>
      <c r="CG99" t="s">
        <v>3108</v>
      </c>
      <c r="CH99" t="s">
        <v>3108</v>
      </c>
    </row>
    <row r="100" spans="1:86" x14ac:dyDescent="0.2">
      <c r="A100" t="s">
        <v>3439</v>
      </c>
      <c r="B100" t="s">
        <v>3439</v>
      </c>
      <c r="C100">
        <v>30345</v>
      </c>
      <c r="D100">
        <v>1122</v>
      </c>
      <c r="E100" t="s">
        <v>3440</v>
      </c>
      <c r="F100" t="s">
        <v>3249</v>
      </c>
      <c r="G100" t="s">
        <v>3249</v>
      </c>
      <c r="H100" t="s">
        <v>3250</v>
      </c>
      <c r="I100" t="s">
        <v>3250</v>
      </c>
      <c r="J100" t="s">
        <v>3250</v>
      </c>
      <c r="K100" t="s">
        <v>3250</v>
      </c>
      <c r="L100">
        <v>1200</v>
      </c>
      <c r="M100" t="s">
        <v>2368</v>
      </c>
      <c r="N100">
        <v>1204</v>
      </c>
      <c r="O100" t="s">
        <v>1574</v>
      </c>
      <c r="P100" t="s">
        <v>3108</v>
      </c>
      <c r="Q100" t="s">
        <v>3249</v>
      </c>
      <c r="R100" t="s">
        <v>3249</v>
      </c>
      <c r="S100" t="s">
        <v>472</v>
      </c>
      <c r="T100" t="s">
        <v>3251</v>
      </c>
      <c r="U100">
        <v>140</v>
      </c>
      <c r="V100" t="s">
        <v>1327</v>
      </c>
      <c r="W100">
        <v>140</v>
      </c>
      <c r="X100" t="s">
        <v>1327</v>
      </c>
      <c r="Y100" t="s">
        <v>3250</v>
      </c>
      <c r="Z100" t="s">
        <v>3250</v>
      </c>
      <c r="AA100" t="s">
        <v>3108</v>
      </c>
      <c r="AB100" t="s">
        <v>3108</v>
      </c>
      <c r="AC100" t="s">
        <v>3250</v>
      </c>
      <c r="AD100" t="s">
        <v>3250</v>
      </c>
      <c r="AE100" t="s">
        <v>3250</v>
      </c>
      <c r="AF100" t="s">
        <v>3250</v>
      </c>
      <c r="AG100" t="s">
        <v>3250</v>
      </c>
      <c r="AH100" t="s">
        <v>3250</v>
      </c>
      <c r="AI100" t="s">
        <v>3250</v>
      </c>
      <c r="AJ100" t="s">
        <v>3250</v>
      </c>
      <c r="AL100">
        <v>141</v>
      </c>
      <c r="AM100" t="s">
        <v>1327</v>
      </c>
      <c r="AN100">
        <v>141</v>
      </c>
      <c r="AO100" t="s">
        <v>1327</v>
      </c>
      <c r="AS100" t="s">
        <v>3250</v>
      </c>
      <c r="AT100" t="s">
        <v>3250</v>
      </c>
      <c r="AU100" t="s">
        <v>3250</v>
      </c>
      <c r="AV100" t="s">
        <v>3250</v>
      </c>
      <c r="AW100" t="s">
        <v>3250</v>
      </c>
      <c r="AX100" t="s">
        <v>3250</v>
      </c>
      <c r="AY100" t="s">
        <v>3250</v>
      </c>
      <c r="AZ100" t="s">
        <v>3250</v>
      </c>
      <c r="BA100" t="s">
        <v>3250</v>
      </c>
      <c r="BB100" t="s">
        <v>3250</v>
      </c>
      <c r="BC100" t="s">
        <v>3250</v>
      </c>
      <c r="BE100" t="s">
        <v>3250</v>
      </c>
      <c r="BF100" t="s">
        <v>3250</v>
      </c>
      <c r="BG100" t="s">
        <v>3250</v>
      </c>
      <c r="BH100" t="s">
        <v>3250</v>
      </c>
      <c r="BI100" t="s">
        <v>3250</v>
      </c>
      <c r="BK100" t="s">
        <v>3250</v>
      </c>
      <c r="BL100" t="s">
        <v>3250</v>
      </c>
      <c r="BM100" t="s">
        <v>3250</v>
      </c>
      <c r="BN100" t="s">
        <v>3250</v>
      </c>
      <c r="BP100">
        <v>1</v>
      </c>
      <c r="BQ100">
        <v>11</v>
      </c>
      <c r="BR100" t="s">
        <v>1574</v>
      </c>
      <c r="BS100" t="s">
        <v>3252</v>
      </c>
      <c r="BV100">
        <v>0</v>
      </c>
      <c r="BW100">
        <v>0</v>
      </c>
      <c r="BX100">
        <v>0</v>
      </c>
      <c r="BY100">
        <v>0</v>
      </c>
      <c r="BZ100">
        <v>0</v>
      </c>
      <c r="CA100">
        <v>0</v>
      </c>
      <c r="CB100">
        <v>0</v>
      </c>
      <c r="CC100">
        <v>0</v>
      </c>
      <c r="CD100">
        <v>0</v>
      </c>
      <c r="CE100" t="s">
        <v>3108</v>
      </c>
      <c r="CF100" t="s">
        <v>3108</v>
      </c>
      <c r="CG100" t="s">
        <v>3108</v>
      </c>
      <c r="CH100" t="s">
        <v>3108</v>
      </c>
    </row>
    <row r="101" spans="1:86" x14ac:dyDescent="0.2">
      <c r="A101" t="s">
        <v>3441</v>
      </c>
      <c r="B101" t="s">
        <v>3441</v>
      </c>
      <c r="C101">
        <v>30346</v>
      </c>
      <c r="D101">
        <v>1123</v>
      </c>
      <c r="E101" t="s">
        <v>3442</v>
      </c>
      <c r="F101" t="s">
        <v>3249</v>
      </c>
      <c r="G101" t="s">
        <v>3249</v>
      </c>
      <c r="H101" t="s">
        <v>3250</v>
      </c>
      <c r="I101" t="s">
        <v>3250</v>
      </c>
      <c r="J101" t="s">
        <v>3250</v>
      </c>
      <c r="K101" t="s">
        <v>3250</v>
      </c>
      <c r="L101">
        <v>1200</v>
      </c>
      <c r="M101" t="s">
        <v>2368</v>
      </c>
      <c r="N101">
        <v>1204</v>
      </c>
      <c r="O101" t="s">
        <v>1574</v>
      </c>
      <c r="P101" t="s">
        <v>3108</v>
      </c>
      <c r="Q101" t="s">
        <v>3249</v>
      </c>
      <c r="R101" t="s">
        <v>3249</v>
      </c>
      <c r="S101" t="s">
        <v>472</v>
      </c>
      <c r="T101" t="s">
        <v>3251</v>
      </c>
      <c r="U101">
        <v>140</v>
      </c>
      <c r="V101" t="s">
        <v>1327</v>
      </c>
      <c r="W101">
        <v>140</v>
      </c>
      <c r="X101" t="s">
        <v>1327</v>
      </c>
      <c r="Y101" t="s">
        <v>3250</v>
      </c>
      <c r="Z101" t="s">
        <v>3250</v>
      </c>
      <c r="AA101" t="s">
        <v>3108</v>
      </c>
      <c r="AB101" t="s">
        <v>3108</v>
      </c>
      <c r="AC101" t="s">
        <v>3250</v>
      </c>
      <c r="AD101" t="s">
        <v>3250</v>
      </c>
      <c r="AE101" t="s">
        <v>3250</v>
      </c>
      <c r="AF101" t="s">
        <v>3250</v>
      </c>
      <c r="AG101" t="s">
        <v>3250</v>
      </c>
      <c r="AH101" t="s">
        <v>3250</v>
      </c>
      <c r="AI101" t="s">
        <v>3250</v>
      </c>
      <c r="AJ101" t="s">
        <v>3250</v>
      </c>
      <c r="AL101">
        <v>147</v>
      </c>
      <c r="AM101" t="s">
        <v>6</v>
      </c>
      <c r="AN101">
        <v>147</v>
      </c>
      <c r="AO101" t="s">
        <v>6</v>
      </c>
      <c r="AS101" t="s">
        <v>3250</v>
      </c>
      <c r="AT101" t="s">
        <v>3250</v>
      </c>
      <c r="AU101" t="s">
        <v>3250</v>
      </c>
      <c r="AV101" t="s">
        <v>3250</v>
      </c>
      <c r="AW101" t="s">
        <v>3250</v>
      </c>
      <c r="AX101" t="s">
        <v>3250</v>
      </c>
      <c r="AY101" t="s">
        <v>3250</v>
      </c>
      <c r="AZ101" t="s">
        <v>3250</v>
      </c>
      <c r="BA101" t="s">
        <v>3250</v>
      </c>
      <c r="BB101" t="s">
        <v>3250</v>
      </c>
      <c r="BC101" t="s">
        <v>3250</v>
      </c>
      <c r="BE101" t="s">
        <v>3250</v>
      </c>
      <c r="BF101" t="s">
        <v>3250</v>
      </c>
      <c r="BG101" t="s">
        <v>3250</v>
      </c>
      <c r="BH101" t="s">
        <v>3250</v>
      </c>
      <c r="BI101" t="s">
        <v>3250</v>
      </c>
      <c r="BK101" t="s">
        <v>3250</v>
      </c>
      <c r="BL101" t="s">
        <v>3250</v>
      </c>
      <c r="BM101" t="s">
        <v>3250</v>
      </c>
      <c r="BN101" t="s">
        <v>3250</v>
      </c>
      <c r="BP101">
        <v>1</v>
      </c>
      <c r="BQ101">
        <v>11</v>
      </c>
      <c r="BR101" t="s">
        <v>1574</v>
      </c>
      <c r="BS101" t="s">
        <v>3252</v>
      </c>
      <c r="BV101">
        <v>0</v>
      </c>
      <c r="BW101">
        <v>0</v>
      </c>
      <c r="BX101">
        <v>0</v>
      </c>
      <c r="BY101">
        <v>0</v>
      </c>
      <c r="BZ101">
        <v>0</v>
      </c>
      <c r="CA101">
        <v>0</v>
      </c>
      <c r="CB101">
        <v>0</v>
      </c>
      <c r="CC101">
        <v>0</v>
      </c>
      <c r="CD101">
        <v>0</v>
      </c>
      <c r="CE101" t="s">
        <v>3108</v>
      </c>
      <c r="CF101" t="s">
        <v>3108</v>
      </c>
      <c r="CG101" t="s">
        <v>3108</v>
      </c>
      <c r="CH101" t="s">
        <v>3108</v>
      </c>
    </row>
    <row r="102" spans="1:86" x14ac:dyDescent="0.2">
      <c r="A102" t="s">
        <v>3443</v>
      </c>
      <c r="B102" t="s">
        <v>3443</v>
      </c>
      <c r="C102">
        <v>30347</v>
      </c>
      <c r="D102">
        <v>1124</v>
      </c>
      <c r="E102" t="s">
        <v>3444</v>
      </c>
      <c r="F102" t="s">
        <v>3249</v>
      </c>
      <c r="G102" t="s">
        <v>3249</v>
      </c>
      <c r="H102" t="s">
        <v>3250</v>
      </c>
      <c r="I102" t="s">
        <v>3250</v>
      </c>
      <c r="J102" t="s">
        <v>3250</v>
      </c>
      <c r="K102" t="s">
        <v>3250</v>
      </c>
      <c r="L102">
        <v>1200</v>
      </c>
      <c r="M102" t="s">
        <v>2368</v>
      </c>
      <c r="N102">
        <v>1204</v>
      </c>
      <c r="O102" t="s">
        <v>1574</v>
      </c>
      <c r="P102" t="s">
        <v>3108</v>
      </c>
      <c r="Q102" t="s">
        <v>3249</v>
      </c>
      <c r="R102" t="s">
        <v>3249</v>
      </c>
      <c r="S102" t="s">
        <v>472</v>
      </c>
      <c r="T102" t="s">
        <v>3251</v>
      </c>
      <c r="U102">
        <v>140</v>
      </c>
      <c r="V102" t="s">
        <v>1327</v>
      </c>
      <c r="W102">
        <v>140</v>
      </c>
      <c r="X102" t="s">
        <v>1327</v>
      </c>
      <c r="Y102" t="s">
        <v>3250</v>
      </c>
      <c r="Z102" t="s">
        <v>3250</v>
      </c>
      <c r="AA102" t="s">
        <v>3108</v>
      </c>
      <c r="AB102" t="s">
        <v>3108</v>
      </c>
      <c r="AC102" t="s">
        <v>3250</v>
      </c>
      <c r="AD102" t="s">
        <v>3250</v>
      </c>
      <c r="AE102" t="s">
        <v>3250</v>
      </c>
      <c r="AF102" t="s">
        <v>3250</v>
      </c>
      <c r="AG102" t="s">
        <v>3250</v>
      </c>
      <c r="AH102" t="s">
        <v>3250</v>
      </c>
      <c r="AI102" t="s">
        <v>3250</v>
      </c>
      <c r="AJ102" t="s">
        <v>3250</v>
      </c>
      <c r="AL102">
        <v>141</v>
      </c>
      <c r="AM102" t="s">
        <v>1327</v>
      </c>
      <c r="AN102">
        <v>141</v>
      </c>
      <c r="AO102" t="s">
        <v>1327</v>
      </c>
      <c r="AS102" t="s">
        <v>3250</v>
      </c>
      <c r="AT102" t="s">
        <v>3250</v>
      </c>
      <c r="AU102" t="s">
        <v>3250</v>
      </c>
      <c r="AV102" t="s">
        <v>3250</v>
      </c>
      <c r="AW102" t="s">
        <v>3250</v>
      </c>
      <c r="AX102" t="s">
        <v>3250</v>
      </c>
      <c r="AY102" t="s">
        <v>3250</v>
      </c>
      <c r="AZ102" t="s">
        <v>3250</v>
      </c>
      <c r="BA102" t="s">
        <v>3250</v>
      </c>
      <c r="BB102" t="s">
        <v>3250</v>
      </c>
      <c r="BC102" t="s">
        <v>3250</v>
      </c>
      <c r="BE102" t="s">
        <v>3250</v>
      </c>
      <c r="BF102" t="s">
        <v>3250</v>
      </c>
      <c r="BG102" t="s">
        <v>3250</v>
      </c>
      <c r="BH102" t="s">
        <v>3250</v>
      </c>
      <c r="BI102" t="s">
        <v>3250</v>
      </c>
      <c r="BK102" t="s">
        <v>3250</v>
      </c>
      <c r="BL102" t="s">
        <v>3250</v>
      </c>
      <c r="BM102" t="s">
        <v>3250</v>
      </c>
      <c r="BN102" t="s">
        <v>3250</v>
      </c>
      <c r="BP102">
        <v>1</v>
      </c>
      <c r="BQ102">
        <v>11</v>
      </c>
      <c r="BR102" t="s">
        <v>1574</v>
      </c>
      <c r="BS102" t="s">
        <v>3252</v>
      </c>
      <c r="BV102">
        <v>0</v>
      </c>
      <c r="BW102">
        <v>0</v>
      </c>
      <c r="BX102">
        <v>0</v>
      </c>
      <c r="BY102">
        <v>0</v>
      </c>
      <c r="BZ102">
        <v>0</v>
      </c>
      <c r="CA102">
        <v>0</v>
      </c>
      <c r="CB102">
        <v>0</v>
      </c>
      <c r="CC102">
        <v>0</v>
      </c>
      <c r="CD102">
        <v>0</v>
      </c>
      <c r="CE102" t="s">
        <v>3108</v>
      </c>
      <c r="CF102" t="s">
        <v>3108</v>
      </c>
      <c r="CG102" t="s">
        <v>3108</v>
      </c>
      <c r="CH102" t="s">
        <v>3108</v>
      </c>
    </row>
    <row r="103" spans="1:86" x14ac:dyDescent="0.2">
      <c r="A103" t="s">
        <v>3445</v>
      </c>
      <c r="B103" t="s">
        <v>3445</v>
      </c>
      <c r="C103">
        <v>30348</v>
      </c>
      <c r="D103">
        <v>1125</v>
      </c>
      <c r="E103" t="s">
        <v>3446</v>
      </c>
      <c r="F103" t="s">
        <v>3249</v>
      </c>
      <c r="G103" t="s">
        <v>3249</v>
      </c>
      <c r="H103" t="s">
        <v>3250</v>
      </c>
      <c r="I103" t="s">
        <v>3250</v>
      </c>
      <c r="J103" t="s">
        <v>3250</v>
      </c>
      <c r="K103" t="s">
        <v>3250</v>
      </c>
      <c r="L103">
        <v>1200</v>
      </c>
      <c r="M103" t="s">
        <v>2368</v>
      </c>
      <c r="N103">
        <v>1204</v>
      </c>
      <c r="O103" t="s">
        <v>1574</v>
      </c>
      <c r="P103" t="s">
        <v>3108</v>
      </c>
      <c r="Q103" t="s">
        <v>3249</v>
      </c>
      <c r="R103" t="s">
        <v>3249</v>
      </c>
      <c r="S103" t="s">
        <v>472</v>
      </c>
      <c r="T103" t="s">
        <v>3251</v>
      </c>
      <c r="U103">
        <v>140</v>
      </c>
      <c r="V103" t="s">
        <v>1327</v>
      </c>
      <c r="W103">
        <v>140</v>
      </c>
      <c r="X103" t="s">
        <v>1327</v>
      </c>
      <c r="Y103" t="s">
        <v>3250</v>
      </c>
      <c r="Z103" t="s">
        <v>3250</v>
      </c>
      <c r="AA103" t="s">
        <v>3108</v>
      </c>
      <c r="AB103" t="s">
        <v>3108</v>
      </c>
      <c r="AC103" t="s">
        <v>3250</v>
      </c>
      <c r="AD103" t="s">
        <v>3250</v>
      </c>
      <c r="AE103" t="s">
        <v>3250</v>
      </c>
      <c r="AF103" t="s">
        <v>3250</v>
      </c>
      <c r="AG103" t="s">
        <v>3250</v>
      </c>
      <c r="AH103" t="s">
        <v>3250</v>
      </c>
      <c r="AI103" t="s">
        <v>3250</v>
      </c>
      <c r="AJ103" t="s">
        <v>3250</v>
      </c>
      <c r="AL103">
        <v>141</v>
      </c>
      <c r="AM103" t="s">
        <v>1327</v>
      </c>
      <c r="AN103">
        <v>141</v>
      </c>
      <c r="AO103" t="s">
        <v>1327</v>
      </c>
      <c r="AS103" t="s">
        <v>3250</v>
      </c>
      <c r="AT103" t="s">
        <v>3250</v>
      </c>
      <c r="AU103" t="s">
        <v>3250</v>
      </c>
      <c r="AV103" t="s">
        <v>3250</v>
      </c>
      <c r="AW103" t="s">
        <v>3250</v>
      </c>
      <c r="AX103" t="s">
        <v>3250</v>
      </c>
      <c r="AY103" t="s">
        <v>3250</v>
      </c>
      <c r="AZ103" t="s">
        <v>3250</v>
      </c>
      <c r="BA103" t="s">
        <v>3250</v>
      </c>
      <c r="BB103" t="s">
        <v>3250</v>
      </c>
      <c r="BC103" t="s">
        <v>3250</v>
      </c>
      <c r="BE103" t="s">
        <v>3250</v>
      </c>
      <c r="BF103" t="s">
        <v>3250</v>
      </c>
      <c r="BG103" t="s">
        <v>3250</v>
      </c>
      <c r="BH103" t="s">
        <v>3250</v>
      </c>
      <c r="BI103" t="s">
        <v>3250</v>
      </c>
      <c r="BK103" t="s">
        <v>3250</v>
      </c>
      <c r="BL103" t="s">
        <v>3250</v>
      </c>
      <c r="BM103" t="s">
        <v>3250</v>
      </c>
      <c r="BN103" t="s">
        <v>3250</v>
      </c>
      <c r="BP103">
        <v>1</v>
      </c>
      <c r="BQ103">
        <v>11</v>
      </c>
      <c r="BR103" t="s">
        <v>1574</v>
      </c>
      <c r="BS103" t="s">
        <v>3252</v>
      </c>
      <c r="BV103">
        <v>0</v>
      </c>
      <c r="BW103">
        <v>0</v>
      </c>
      <c r="BX103">
        <v>0</v>
      </c>
      <c r="BY103">
        <v>0</v>
      </c>
      <c r="BZ103">
        <v>0</v>
      </c>
      <c r="CA103">
        <v>0</v>
      </c>
      <c r="CB103">
        <v>0</v>
      </c>
      <c r="CC103">
        <v>0</v>
      </c>
      <c r="CD103">
        <v>0</v>
      </c>
      <c r="CE103" t="s">
        <v>3108</v>
      </c>
      <c r="CF103" t="s">
        <v>3108</v>
      </c>
      <c r="CG103" t="s">
        <v>3108</v>
      </c>
      <c r="CH103" t="s">
        <v>3108</v>
      </c>
    </row>
    <row r="104" spans="1:86" x14ac:dyDescent="0.2">
      <c r="A104" t="s">
        <v>3447</v>
      </c>
      <c r="B104" t="s">
        <v>3447</v>
      </c>
      <c r="C104">
        <v>30349</v>
      </c>
      <c r="D104">
        <v>1126</v>
      </c>
      <c r="E104" t="s">
        <v>3448</v>
      </c>
      <c r="F104" t="s">
        <v>3249</v>
      </c>
      <c r="G104" t="s">
        <v>3249</v>
      </c>
      <c r="H104" t="s">
        <v>3250</v>
      </c>
      <c r="I104" t="s">
        <v>3250</v>
      </c>
      <c r="J104" t="s">
        <v>3250</v>
      </c>
      <c r="K104" t="s">
        <v>3250</v>
      </c>
      <c r="L104">
        <v>1200</v>
      </c>
      <c r="M104" t="s">
        <v>2368</v>
      </c>
      <c r="N104">
        <v>1204</v>
      </c>
      <c r="O104" t="s">
        <v>1574</v>
      </c>
      <c r="P104" t="s">
        <v>3108</v>
      </c>
      <c r="Q104" t="s">
        <v>3249</v>
      </c>
      <c r="R104" t="s">
        <v>3249</v>
      </c>
      <c r="S104" t="s">
        <v>472</v>
      </c>
      <c r="T104" t="s">
        <v>3251</v>
      </c>
      <c r="U104">
        <v>140</v>
      </c>
      <c r="V104" t="s">
        <v>1327</v>
      </c>
      <c r="W104">
        <v>140</v>
      </c>
      <c r="X104" t="s">
        <v>1327</v>
      </c>
      <c r="Y104" t="s">
        <v>3250</v>
      </c>
      <c r="Z104" t="s">
        <v>3250</v>
      </c>
      <c r="AA104" t="s">
        <v>3108</v>
      </c>
      <c r="AB104" t="s">
        <v>3108</v>
      </c>
      <c r="AC104" t="s">
        <v>3250</v>
      </c>
      <c r="AD104" t="s">
        <v>3250</v>
      </c>
      <c r="AE104" t="s">
        <v>3250</v>
      </c>
      <c r="AF104" t="s">
        <v>3250</v>
      </c>
      <c r="AG104" t="s">
        <v>3250</v>
      </c>
      <c r="AH104" t="s">
        <v>3250</v>
      </c>
      <c r="AI104" t="s">
        <v>3250</v>
      </c>
      <c r="AJ104" t="s">
        <v>3250</v>
      </c>
      <c r="AL104">
        <v>141</v>
      </c>
      <c r="AM104" t="s">
        <v>1327</v>
      </c>
      <c r="AN104">
        <v>141</v>
      </c>
      <c r="AO104" t="s">
        <v>1327</v>
      </c>
      <c r="AS104" t="s">
        <v>3250</v>
      </c>
      <c r="AT104" t="s">
        <v>3250</v>
      </c>
      <c r="AU104" t="s">
        <v>3250</v>
      </c>
      <c r="AV104" t="s">
        <v>3250</v>
      </c>
      <c r="AW104" t="s">
        <v>3250</v>
      </c>
      <c r="AX104" t="s">
        <v>3250</v>
      </c>
      <c r="AY104" t="s">
        <v>3250</v>
      </c>
      <c r="AZ104" t="s">
        <v>3250</v>
      </c>
      <c r="BA104" t="s">
        <v>3250</v>
      </c>
      <c r="BB104" t="s">
        <v>3250</v>
      </c>
      <c r="BC104" t="s">
        <v>3250</v>
      </c>
      <c r="BE104" t="s">
        <v>3250</v>
      </c>
      <c r="BF104" t="s">
        <v>3250</v>
      </c>
      <c r="BG104" t="s">
        <v>3250</v>
      </c>
      <c r="BH104" t="s">
        <v>3250</v>
      </c>
      <c r="BI104" t="s">
        <v>3250</v>
      </c>
      <c r="BK104" t="s">
        <v>3250</v>
      </c>
      <c r="BL104" t="s">
        <v>3250</v>
      </c>
      <c r="BM104" t="s">
        <v>3250</v>
      </c>
      <c r="BN104" t="s">
        <v>3250</v>
      </c>
      <c r="BP104">
        <v>1</v>
      </c>
      <c r="BQ104">
        <v>11</v>
      </c>
      <c r="BR104" t="s">
        <v>1574</v>
      </c>
      <c r="BS104" t="s">
        <v>3252</v>
      </c>
      <c r="BV104">
        <v>0</v>
      </c>
      <c r="BW104">
        <v>0</v>
      </c>
      <c r="BX104">
        <v>0</v>
      </c>
      <c r="BY104">
        <v>0</v>
      </c>
      <c r="BZ104">
        <v>0</v>
      </c>
      <c r="CA104">
        <v>0</v>
      </c>
      <c r="CB104">
        <v>0</v>
      </c>
      <c r="CC104">
        <v>0</v>
      </c>
      <c r="CD104">
        <v>0</v>
      </c>
      <c r="CE104" t="s">
        <v>3108</v>
      </c>
      <c r="CF104" t="s">
        <v>3108</v>
      </c>
      <c r="CG104" t="s">
        <v>3108</v>
      </c>
      <c r="CH104" t="s">
        <v>3108</v>
      </c>
    </row>
    <row r="105" spans="1:86" x14ac:dyDescent="0.2">
      <c r="A105" t="s">
        <v>3449</v>
      </c>
      <c r="B105" t="s">
        <v>3449</v>
      </c>
      <c r="C105">
        <v>30350</v>
      </c>
      <c r="D105">
        <v>1127</v>
      </c>
      <c r="E105" t="s">
        <v>3450</v>
      </c>
      <c r="F105" t="s">
        <v>3249</v>
      </c>
      <c r="G105" t="s">
        <v>3249</v>
      </c>
      <c r="H105" t="s">
        <v>3250</v>
      </c>
      <c r="I105" t="s">
        <v>3250</v>
      </c>
      <c r="J105" t="s">
        <v>3250</v>
      </c>
      <c r="K105" t="s">
        <v>3250</v>
      </c>
      <c r="L105">
        <v>1200</v>
      </c>
      <c r="M105" t="s">
        <v>2368</v>
      </c>
      <c r="N105">
        <v>1204</v>
      </c>
      <c r="O105" t="s">
        <v>1574</v>
      </c>
      <c r="P105" t="s">
        <v>3108</v>
      </c>
      <c r="Q105" t="s">
        <v>3249</v>
      </c>
      <c r="R105" t="s">
        <v>3249</v>
      </c>
      <c r="S105" t="s">
        <v>472</v>
      </c>
      <c r="T105" t="s">
        <v>3251</v>
      </c>
      <c r="U105">
        <v>140</v>
      </c>
      <c r="V105" t="s">
        <v>1327</v>
      </c>
      <c r="W105">
        <v>140</v>
      </c>
      <c r="X105" t="s">
        <v>1327</v>
      </c>
      <c r="Y105" t="s">
        <v>3250</v>
      </c>
      <c r="Z105" t="s">
        <v>3250</v>
      </c>
      <c r="AA105" t="s">
        <v>3108</v>
      </c>
      <c r="AB105" t="s">
        <v>3108</v>
      </c>
      <c r="AC105" t="s">
        <v>3250</v>
      </c>
      <c r="AD105" t="s">
        <v>3250</v>
      </c>
      <c r="AE105" t="s">
        <v>3250</v>
      </c>
      <c r="AF105" t="s">
        <v>3250</v>
      </c>
      <c r="AG105" t="s">
        <v>3250</v>
      </c>
      <c r="AH105" t="s">
        <v>3250</v>
      </c>
      <c r="AI105" t="s">
        <v>3250</v>
      </c>
      <c r="AJ105" t="s">
        <v>3250</v>
      </c>
      <c r="AL105">
        <v>146</v>
      </c>
      <c r="AM105" t="s">
        <v>5</v>
      </c>
      <c r="AN105">
        <v>146</v>
      </c>
      <c r="AO105" t="s">
        <v>5</v>
      </c>
      <c r="AS105" t="s">
        <v>3250</v>
      </c>
      <c r="AT105" t="s">
        <v>3250</v>
      </c>
      <c r="AU105" t="s">
        <v>3250</v>
      </c>
      <c r="AV105" t="s">
        <v>3250</v>
      </c>
      <c r="AW105" t="s">
        <v>3250</v>
      </c>
      <c r="AX105" t="s">
        <v>3250</v>
      </c>
      <c r="AY105" t="s">
        <v>3250</v>
      </c>
      <c r="AZ105" t="s">
        <v>3250</v>
      </c>
      <c r="BA105" t="s">
        <v>3250</v>
      </c>
      <c r="BB105" t="s">
        <v>3250</v>
      </c>
      <c r="BC105" t="s">
        <v>3250</v>
      </c>
      <c r="BE105" t="s">
        <v>3250</v>
      </c>
      <c r="BF105" t="s">
        <v>3250</v>
      </c>
      <c r="BG105" t="s">
        <v>3250</v>
      </c>
      <c r="BH105" t="s">
        <v>3250</v>
      </c>
      <c r="BI105" t="s">
        <v>3250</v>
      </c>
      <c r="BK105" t="s">
        <v>3250</v>
      </c>
      <c r="BL105" t="s">
        <v>3250</v>
      </c>
      <c r="BM105" t="s">
        <v>3250</v>
      </c>
      <c r="BN105" t="s">
        <v>3250</v>
      </c>
      <c r="BP105">
        <v>1</v>
      </c>
      <c r="BQ105">
        <v>11</v>
      </c>
      <c r="BR105" t="s">
        <v>1574</v>
      </c>
      <c r="BS105" t="s">
        <v>3252</v>
      </c>
      <c r="BV105">
        <v>0</v>
      </c>
      <c r="BW105">
        <v>0</v>
      </c>
      <c r="BX105">
        <v>0</v>
      </c>
      <c r="BY105">
        <v>0</v>
      </c>
      <c r="BZ105">
        <v>0</v>
      </c>
      <c r="CA105">
        <v>0</v>
      </c>
      <c r="CB105">
        <v>0</v>
      </c>
      <c r="CC105">
        <v>0</v>
      </c>
      <c r="CD105">
        <v>0</v>
      </c>
      <c r="CE105" t="s">
        <v>3108</v>
      </c>
      <c r="CF105" t="s">
        <v>3108</v>
      </c>
      <c r="CG105" t="s">
        <v>3108</v>
      </c>
      <c r="CH105" t="s">
        <v>3108</v>
      </c>
    </row>
    <row r="106" spans="1:86" x14ac:dyDescent="0.2">
      <c r="A106" t="s">
        <v>3451</v>
      </c>
      <c r="B106" t="s">
        <v>3451</v>
      </c>
      <c r="C106">
        <v>30351</v>
      </c>
      <c r="D106">
        <v>1128</v>
      </c>
      <c r="E106" t="s">
        <v>3452</v>
      </c>
      <c r="F106" t="s">
        <v>3249</v>
      </c>
      <c r="G106" t="s">
        <v>3249</v>
      </c>
      <c r="H106" t="s">
        <v>3250</v>
      </c>
      <c r="I106" t="s">
        <v>3250</v>
      </c>
      <c r="J106" t="s">
        <v>3250</v>
      </c>
      <c r="K106" t="s">
        <v>3250</v>
      </c>
      <c r="L106">
        <v>1200</v>
      </c>
      <c r="M106" t="s">
        <v>2368</v>
      </c>
      <c r="N106">
        <v>1204</v>
      </c>
      <c r="O106" t="s">
        <v>1574</v>
      </c>
      <c r="P106" t="s">
        <v>3108</v>
      </c>
      <c r="Q106" t="s">
        <v>3249</v>
      </c>
      <c r="R106" t="s">
        <v>3249</v>
      </c>
      <c r="S106" t="s">
        <v>472</v>
      </c>
      <c r="T106" t="s">
        <v>3251</v>
      </c>
      <c r="U106">
        <v>140</v>
      </c>
      <c r="V106" t="s">
        <v>1327</v>
      </c>
      <c r="W106">
        <v>140</v>
      </c>
      <c r="X106" t="s">
        <v>1327</v>
      </c>
      <c r="Y106" t="s">
        <v>3250</v>
      </c>
      <c r="Z106" t="s">
        <v>3250</v>
      </c>
      <c r="AA106" t="s">
        <v>3108</v>
      </c>
      <c r="AB106" t="s">
        <v>3108</v>
      </c>
      <c r="AC106" t="s">
        <v>3250</v>
      </c>
      <c r="AD106" t="s">
        <v>3250</v>
      </c>
      <c r="AE106" t="s">
        <v>3250</v>
      </c>
      <c r="AF106" t="s">
        <v>3250</v>
      </c>
      <c r="AG106" t="s">
        <v>3250</v>
      </c>
      <c r="AH106" t="s">
        <v>3250</v>
      </c>
      <c r="AI106" t="s">
        <v>3250</v>
      </c>
      <c r="AJ106" t="s">
        <v>3250</v>
      </c>
      <c r="AL106">
        <v>146</v>
      </c>
      <c r="AM106" t="s">
        <v>5</v>
      </c>
      <c r="AN106">
        <v>146</v>
      </c>
      <c r="AO106" t="s">
        <v>5</v>
      </c>
      <c r="AS106" t="s">
        <v>3250</v>
      </c>
      <c r="AT106" t="s">
        <v>3250</v>
      </c>
      <c r="AU106" t="s">
        <v>3250</v>
      </c>
      <c r="AV106" t="s">
        <v>3250</v>
      </c>
      <c r="AW106" t="s">
        <v>3250</v>
      </c>
      <c r="AX106" t="s">
        <v>3250</v>
      </c>
      <c r="AY106" t="s">
        <v>3250</v>
      </c>
      <c r="AZ106" t="s">
        <v>3250</v>
      </c>
      <c r="BA106" t="s">
        <v>3250</v>
      </c>
      <c r="BB106" t="s">
        <v>3250</v>
      </c>
      <c r="BC106" t="s">
        <v>3250</v>
      </c>
      <c r="BE106" t="s">
        <v>3250</v>
      </c>
      <c r="BF106" t="s">
        <v>3250</v>
      </c>
      <c r="BG106" t="s">
        <v>3250</v>
      </c>
      <c r="BH106" t="s">
        <v>3250</v>
      </c>
      <c r="BI106" t="s">
        <v>3250</v>
      </c>
      <c r="BK106" t="s">
        <v>3250</v>
      </c>
      <c r="BL106" t="s">
        <v>3250</v>
      </c>
      <c r="BM106" t="s">
        <v>3250</v>
      </c>
      <c r="BN106" t="s">
        <v>3250</v>
      </c>
      <c r="BP106">
        <v>1</v>
      </c>
      <c r="BQ106">
        <v>11</v>
      </c>
      <c r="BR106" t="s">
        <v>1574</v>
      </c>
      <c r="BS106" t="s">
        <v>3252</v>
      </c>
      <c r="BV106">
        <v>0</v>
      </c>
      <c r="BW106">
        <v>0</v>
      </c>
      <c r="BX106">
        <v>0</v>
      </c>
      <c r="BY106">
        <v>0</v>
      </c>
      <c r="BZ106">
        <v>0</v>
      </c>
      <c r="CA106">
        <v>0</v>
      </c>
      <c r="CB106">
        <v>0</v>
      </c>
      <c r="CC106">
        <v>0</v>
      </c>
      <c r="CD106">
        <v>0</v>
      </c>
      <c r="CE106" t="s">
        <v>3108</v>
      </c>
      <c r="CF106" t="s">
        <v>3108</v>
      </c>
      <c r="CG106" t="s">
        <v>3108</v>
      </c>
      <c r="CH106" t="s">
        <v>3108</v>
      </c>
    </row>
    <row r="107" spans="1:86" x14ac:dyDescent="0.2">
      <c r="A107" t="s">
        <v>3453</v>
      </c>
      <c r="B107" t="s">
        <v>3453</v>
      </c>
      <c r="C107">
        <v>30352</v>
      </c>
      <c r="D107">
        <v>1129</v>
      </c>
      <c r="E107" t="s">
        <v>3454</v>
      </c>
      <c r="F107" t="s">
        <v>3249</v>
      </c>
      <c r="G107" t="s">
        <v>3249</v>
      </c>
      <c r="H107" t="s">
        <v>3250</v>
      </c>
      <c r="I107" t="s">
        <v>3250</v>
      </c>
      <c r="J107" t="s">
        <v>3250</v>
      </c>
      <c r="K107" t="s">
        <v>3250</v>
      </c>
      <c r="L107">
        <v>1200</v>
      </c>
      <c r="M107" t="s">
        <v>2368</v>
      </c>
      <c r="N107">
        <v>1204</v>
      </c>
      <c r="O107" t="s">
        <v>1574</v>
      </c>
      <c r="P107" t="s">
        <v>3108</v>
      </c>
      <c r="Q107" t="s">
        <v>3249</v>
      </c>
      <c r="R107" t="s">
        <v>3249</v>
      </c>
      <c r="S107" t="s">
        <v>472</v>
      </c>
      <c r="T107" t="s">
        <v>3251</v>
      </c>
      <c r="U107">
        <v>140</v>
      </c>
      <c r="V107" t="s">
        <v>1327</v>
      </c>
      <c r="W107">
        <v>140</v>
      </c>
      <c r="X107" t="s">
        <v>1327</v>
      </c>
      <c r="Y107" t="s">
        <v>3250</v>
      </c>
      <c r="Z107" t="s">
        <v>3250</v>
      </c>
      <c r="AA107" t="s">
        <v>3108</v>
      </c>
      <c r="AB107" t="s">
        <v>3108</v>
      </c>
      <c r="AC107" t="s">
        <v>3250</v>
      </c>
      <c r="AD107" t="s">
        <v>3250</v>
      </c>
      <c r="AE107" t="s">
        <v>3250</v>
      </c>
      <c r="AF107" t="s">
        <v>3250</v>
      </c>
      <c r="AG107" t="s">
        <v>3250</v>
      </c>
      <c r="AH107" t="s">
        <v>3250</v>
      </c>
      <c r="AI107" t="s">
        <v>3250</v>
      </c>
      <c r="AJ107" t="s">
        <v>3250</v>
      </c>
      <c r="AL107">
        <v>141</v>
      </c>
      <c r="AM107" t="s">
        <v>1327</v>
      </c>
      <c r="AN107">
        <v>141</v>
      </c>
      <c r="AO107" t="s">
        <v>1327</v>
      </c>
      <c r="AS107" t="s">
        <v>3250</v>
      </c>
      <c r="AT107" t="s">
        <v>3250</v>
      </c>
      <c r="AU107" t="s">
        <v>3250</v>
      </c>
      <c r="AV107" t="s">
        <v>3250</v>
      </c>
      <c r="AW107" t="s">
        <v>3250</v>
      </c>
      <c r="AX107" t="s">
        <v>3250</v>
      </c>
      <c r="AY107" t="s">
        <v>3250</v>
      </c>
      <c r="AZ107" t="s">
        <v>3250</v>
      </c>
      <c r="BA107" t="s">
        <v>3250</v>
      </c>
      <c r="BB107" t="s">
        <v>3250</v>
      </c>
      <c r="BC107" t="s">
        <v>3250</v>
      </c>
      <c r="BE107" t="s">
        <v>3250</v>
      </c>
      <c r="BF107" t="s">
        <v>3250</v>
      </c>
      <c r="BG107" t="s">
        <v>3250</v>
      </c>
      <c r="BH107" t="s">
        <v>3250</v>
      </c>
      <c r="BI107" t="s">
        <v>3250</v>
      </c>
      <c r="BK107" t="s">
        <v>3250</v>
      </c>
      <c r="BL107" t="s">
        <v>3250</v>
      </c>
      <c r="BM107" t="s">
        <v>3250</v>
      </c>
      <c r="BN107" t="s">
        <v>3250</v>
      </c>
      <c r="BP107">
        <v>1</v>
      </c>
      <c r="BQ107">
        <v>11</v>
      </c>
      <c r="BR107" t="s">
        <v>1574</v>
      </c>
      <c r="BS107" t="s">
        <v>3252</v>
      </c>
      <c r="BV107">
        <v>0</v>
      </c>
      <c r="BW107">
        <v>0</v>
      </c>
      <c r="BX107">
        <v>0</v>
      </c>
      <c r="BY107">
        <v>0</v>
      </c>
      <c r="BZ107">
        <v>0</v>
      </c>
      <c r="CA107">
        <v>0</v>
      </c>
      <c r="CB107">
        <v>0</v>
      </c>
      <c r="CC107">
        <v>0</v>
      </c>
      <c r="CD107">
        <v>0</v>
      </c>
      <c r="CE107" t="s">
        <v>3108</v>
      </c>
      <c r="CF107" t="s">
        <v>3108</v>
      </c>
      <c r="CG107" t="s">
        <v>3108</v>
      </c>
      <c r="CH107" t="s">
        <v>3108</v>
      </c>
    </row>
    <row r="108" spans="1:86" x14ac:dyDescent="0.2">
      <c r="A108" t="s">
        <v>3455</v>
      </c>
      <c r="B108" t="s">
        <v>3455</v>
      </c>
      <c r="C108">
        <v>30353</v>
      </c>
      <c r="D108">
        <v>1130</v>
      </c>
      <c r="E108" t="s">
        <v>3456</v>
      </c>
      <c r="F108" t="s">
        <v>3249</v>
      </c>
      <c r="G108" t="s">
        <v>3249</v>
      </c>
      <c r="H108" t="s">
        <v>3250</v>
      </c>
      <c r="I108" t="s">
        <v>3250</v>
      </c>
      <c r="J108" t="s">
        <v>3250</v>
      </c>
      <c r="K108" t="s">
        <v>3250</v>
      </c>
      <c r="L108">
        <v>1200</v>
      </c>
      <c r="M108" t="s">
        <v>2368</v>
      </c>
      <c r="N108">
        <v>1204</v>
      </c>
      <c r="O108" t="s">
        <v>1574</v>
      </c>
      <c r="P108" t="s">
        <v>3108</v>
      </c>
      <c r="Q108" t="s">
        <v>3249</v>
      </c>
      <c r="R108" t="s">
        <v>3249</v>
      </c>
      <c r="S108" t="s">
        <v>472</v>
      </c>
      <c r="T108" t="s">
        <v>3251</v>
      </c>
      <c r="U108">
        <v>140</v>
      </c>
      <c r="V108" t="s">
        <v>1327</v>
      </c>
      <c r="W108">
        <v>140</v>
      </c>
      <c r="X108" t="s">
        <v>1327</v>
      </c>
      <c r="Y108" t="s">
        <v>3250</v>
      </c>
      <c r="Z108" t="s">
        <v>3250</v>
      </c>
      <c r="AA108" t="s">
        <v>3108</v>
      </c>
      <c r="AB108" t="s">
        <v>3108</v>
      </c>
      <c r="AC108" t="s">
        <v>3250</v>
      </c>
      <c r="AD108" t="s">
        <v>3250</v>
      </c>
      <c r="AE108" t="s">
        <v>3250</v>
      </c>
      <c r="AF108" t="s">
        <v>3250</v>
      </c>
      <c r="AG108" t="s">
        <v>3250</v>
      </c>
      <c r="AH108" t="s">
        <v>3250</v>
      </c>
      <c r="AI108" t="s">
        <v>3250</v>
      </c>
      <c r="AJ108" t="s">
        <v>3250</v>
      </c>
      <c r="AL108">
        <v>141</v>
      </c>
      <c r="AM108" t="s">
        <v>1327</v>
      </c>
      <c r="AN108">
        <v>141</v>
      </c>
      <c r="AO108" t="s">
        <v>1327</v>
      </c>
      <c r="AS108" t="s">
        <v>3250</v>
      </c>
      <c r="AT108" t="s">
        <v>3250</v>
      </c>
      <c r="AU108" t="s">
        <v>3250</v>
      </c>
      <c r="AV108" t="s">
        <v>3250</v>
      </c>
      <c r="AW108" t="s">
        <v>3250</v>
      </c>
      <c r="AX108" t="s">
        <v>3250</v>
      </c>
      <c r="AY108" t="s">
        <v>3250</v>
      </c>
      <c r="AZ108" t="s">
        <v>3250</v>
      </c>
      <c r="BA108" t="s">
        <v>3250</v>
      </c>
      <c r="BB108" t="s">
        <v>3250</v>
      </c>
      <c r="BC108" t="s">
        <v>3250</v>
      </c>
      <c r="BE108" t="s">
        <v>3250</v>
      </c>
      <c r="BF108" t="s">
        <v>3250</v>
      </c>
      <c r="BG108" t="s">
        <v>3250</v>
      </c>
      <c r="BH108" t="s">
        <v>3250</v>
      </c>
      <c r="BI108" t="s">
        <v>3250</v>
      </c>
      <c r="BK108" t="s">
        <v>3250</v>
      </c>
      <c r="BL108" t="s">
        <v>3250</v>
      </c>
      <c r="BM108" t="s">
        <v>3250</v>
      </c>
      <c r="BN108" t="s">
        <v>3250</v>
      </c>
      <c r="BP108">
        <v>1</v>
      </c>
      <c r="BQ108">
        <v>11</v>
      </c>
      <c r="BR108" t="s">
        <v>1574</v>
      </c>
      <c r="BS108" t="s">
        <v>3252</v>
      </c>
      <c r="BV108">
        <v>0</v>
      </c>
      <c r="BW108">
        <v>0</v>
      </c>
      <c r="BX108">
        <v>0</v>
      </c>
      <c r="BY108">
        <v>0</v>
      </c>
      <c r="BZ108">
        <v>0</v>
      </c>
      <c r="CA108">
        <v>0</v>
      </c>
      <c r="CB108">
        <v>0</v>
      </c>
      <c r="CC108">
        <v>0</v>
      </c>
      <c r="CD108">
        <v>0</v>
      </c>
      <c r="CE108" t="s">
        <v>3108</v>
      </c>
      <c r="CF108" t="s">
        <v>3108</v>
      </c>
      <c r="CG108" t="s">
        <v>3108</v>
      </c>
      <c r="CH108" t="s">
        <v>3108</v>
      </c>
    </row>
    <row r="109" spans="1:86" x14ac:dyDescent="0.2">
      <c r="A109" t="s">
        <v>3457</v>
      </c>
      <c r="B109" t="s">
        <v>3457</v>
      </c>
      <c r="C109">
        <v>30354</v>
      </c>
      <c r="D109">
        <v>1131</v>
      </c>
      <c r="E109" t="s">
        <v>3458</v>
      </c>
      <c r="F109" t="s">
        <v>3249</v>
      </c>
      <c r="G109" t="s">
        <v>3249</v>
      </c>
      <c r="H109" t="s">
        <v>3250</v>
      </c>
      <c r="I109" t="s">
        <v>3250</v>
      </c>
      <c r="J109" t="s">
        <v>3250</v>
      </c>
      <c r="K109" t="s">
        <v>3250</v>
      </c>
      <c r="L109">
        <v>1200</v>
      </c>
      <c r="M109" t="s">
        <v>2368</v>
      </c>
      <c r="N109">
        <v>1204</v>
      </c>
      <c r="O109" t="s">
        <v>1574</v>
      </c>
      <c r="P109" t="s">
        <v>3108</v>
      </c>
      <c r="Q109" t="s">
        <v>3249</v>
      </c>
      <c r="R109" t="s">
        <v>3249</v>
      </c>
      <c r="S109" t="s">
        <v>472</v>
      </c>
      <c r="T109" t="s">
        <v>3251</v>
      </c>
      <c r="U109">
        <v>140</v>
      </c>
      <c r="V109" t="s">
        <v>1327</v>
      </c>
      <c r="W109">
        <v>140</v>
      </c>
      <c r="X109" t="s">
        <v>1327</v>
      </c>
      <c r="Y109" t="s">
        <v>3250</v>
      </c>
      <c r="Z109" t="s">
        <v>3250</v>
      </c>
      <c r="AA109" t="s">
        <v>3108</v>
      </c>
      <c r="AB109" t="s">
        <v>3108</v>
      </c>
      <c r="AC109" t="s">
        <v>3250</v>
      </c>
      <c r="AD109" t="s">
        <v>3250</v>
      </c>
      <c r="AE109" t="s">
        <v>3250</v>
      </c>
      <c r="AF109" t="s">
        <v>3250</v>
      </c>
      <c r="AG109" t="s">
        <v>3250</v>
      </c>
      <c r="AH109" t="s">
        <v>3250</v>
      </c>
      <c r="AI109" t="s">
        <v>3250</v>
      </c>
      <c r="AJ109" t="s">
        <v>3250</v>
      </c>
      <c r="AL109">
        <v>141</v>
      </c>
      <c r="AM109" t="s">
        <v>1327</v>
      </c>
      <c r="AN109">
        <v>141</v>
      </c>
      <c r="AO109" t="s">
        <v>1327</v>
      </c>
      <c r="AS109" t="s">
        <v>3250</v>
      </c>
      <c r="AT109" t="s">
        <v>3250</v>
      </c>
      <c r="AU109" t="s">
        <v>3250</v>
      </c>
      <c r="AV109" t="s">
        <v>3250</v>
      </c>
      <c r="AW109" t="s">
        <v>3250</v>
      </c>
      <c r="AX109" t="s">
        <v>3250</v>
      </c>
      <c r="AY109" t="s">
        <v>3250</v>
      </c>
      <c r="AZ109" t="s">
        <v>3250</v>
      </c>
      <c r="BA109" t="s">
        <v>3250</v>
      </c>
      <c r="BB109" t="s">
        <v>3250</v>
      </c>
      <c r="BC109" t="s">
        <v>3250</v>
      </c>
      <c r="BE109" t="s">
        <v>3250</v>
      </c>
      <c r="BF109" t="s">
        <v>3250</v>
      </c>
      <c r="BG109" t="s">
        <v>3250</v>
      </c>
      <c r="BH109" t="s">
        <v>3250</v>
      </c>
      <c r="BI109" t="s">
        <v>3250</v>
      </c>
      <c r="BK109" t="s">
        <v>3250</v>
      </c>
      <c r="BL109" t="s">
        <v>3250</v>
      </c>
      <c r="BM109" t="s">
        <v>3250</v>
      </c>
      <c r="BN109" t="s">
        <v>3250</v>
      </c>
      <c r="BP109">
        <v>1</v>
      </c>
      <c r="BQ109">
        <v>11</v>
      </c>
      <c r="BR109" t="s">
        <v>1574</v>
      </c>
      <c r="BS109" t="s">
        <v>3252</v>
      </c>
      <c r="BV109">
        <v>0</v>
      </c>
      <c r="BW109">
        <v>0</v>
      </c>
      <c r="BX109">
        <v>0</v>
      </c>
      <c r="BY109">
        <v>0</v>
      </c>
      <c r="BZ109">
        <v>0</v>
      </c>
      <c r="CA109">
        <v>0</v>
      </c>
      <c r="CB109">
        <v>0</v>
      </c>
      <c r="CC109">
        <v>0</v>
      </c>
      <c r="CD109">
        <v>0</v>
      </c>
      <c r="CE109" t="s">
        <v>3108</v>
      </c>
      <c r="CF109" t="s">
        <v>3108</v>
      </c>
      <c r="CG109" t="s">
        <v>3108</v>
      </c>
      <c r="CH109" t="s">
        <v>3108</v>
      </c>
    </row>
    <row r="110" spans="1:86" x14ac:dyDescent="0.2">
      <c r="A110" t="s">
        <v>3459</v>
      </c>
      <c r="B110" t="s">
        <v>3459</v>
      </c>
      <c r="C110">
        <v>30355</v>
      </c>
      <c r="D110">
        <v>1132</v>
      </c>
      <c r="E110" t="s">
        <v>3460</v>
      </c>
      <c r="F110" t="s">
        <v>3249</v>
      </c>
      <c r="G110" t="s">
        <v>3249</v>
      </c>
      <c r="H110" t="s">
        <v>3250</v>
      </c>
      <c r="I110" t="s">
        <v>3250</v>
      </c>
      <c r="J110" t="s">
        <v>3250</v>
      </c>
      <c r="K110" t="s">
        <v>3250</v>
      </c>
      <c r="L110">
        <v>1200</v>
      </c>
      <c r="M110" t="s">
        <v>2368</v>
      </c>
      <c r="N110">
        <v>1204</v>
      </c>
      <c r="O110" t="s">
        <v>1574</v>
      </c>
      <c r="P110" t="s">
        <v>3108</v>
      </c>
      <c r="Q110" t="s">
        <v>3249</v>
      </c>
      <c r="R110" t="s">
        <v>3249</v>
      </c>
      <c r="S110" t="s">
        <v>472</v>
      </c>
      <c r="T110" t="s">
        <v>3251</v>
      </c>
      <c r="U110">
        <v>140</v>
      </c>
      <c r="V110" t="s">
        <v>1327</v>
      </c>
      <c r="W110">
        <v>140</v>
      </c>
      <c r="X110" t="s">
        <v>1327</v>
      </c>
      <c r="Y110" t="s">
        <v>3250</v>
      </c>
      <c r="Z110" t="s">
        <v>3250</v>
      </c>
      <c r="AA110" t="s">
        <v>3108</v>
      </c>
      <c r="AB110" t="s">
        <v>3108</v>
      </c>
      <c r="AC110" t="s">
        <v>3250</v>
      </c>
      <c r="AD110" t="s">
        <v>3250</v>
      </c>
      <c r="AE110" t="s">
        <v>3250</v>
      </c>
      <c r="AF110" t="s">
        <v>3250</v>
      </c>
      <c r="AG110" t="s">
        <v>3250</v>
      </c>
      <c r="AH110" t="s">
        <v>3250</v>
      </c>
      <c r="AI110" t="s">
        <v>3250</v>
      </c>
      <c r="AJ110" t="s">
        <v>3250</v>
      </c>
      <c r="AL110">
        <v>141</v>
      </c>
      <c r="AM110" t="s">
        <v>1327</v>
      </c>
      <c r="AN110">
        <v>141</v>
      </c>
      <c r="AO110" t="s">
        <v>1327</v>
      </c>
      <c r="AS110" t="s">
        <v>3250</v>
      </c>
      <c r="AT110" t="s">
        <v>3250</v>
      </c>
      <c r="AU110" t="s">
        <v>3250</v>
      </c>
      <c r="AV110" t="s">
        <v>3250</v>
      </c>
      <c r="AW110" t="s">
        <v>3250</v>
      </c>
      <c r="AX110" t="s">
        <v>3250</v>
      </c>
      <c r="AY110" t="s">
        <v>3250</v>
      </c>
      <c r="AZ110" t="s">
        <v>3250</v>
      </c>
      <c r="BA110" t="s">
        <v>3250</v>
      </c>
      <c r="BB110" t="s">
        <v>3250</v>
      </c>
      <c r="BC110" t="s">
        <v>3250</v>
      </c>
      <c r="BE110" t="s">
        <v>3250</v>
      </c>
      <c r="BF110" t="s">
        <v>3250</v>
      </c>
      <c r="BG110" t="s">
        <v>3250</v>
      </c>
      <c r="BH110" t="s">
        <v>3250</v>
      </c>
      <c r="BI110" t="s">
        <v>3250</v>
      </c>
      <c r="BK110" t="s">
        <v>3250</v>
      </c>
      <c r="BL110" t="s">
        <v>3250</v>
      </c>
      <c r="BM110" t="s">
        <v>3250</v>
      </c>
      <c r="BN110" t="s">
        <v>3250</v>
      </c>
      <c r="BP110">
        <v>1</v>
      </c>
      <c r="BQ110">
        <v>11</v>
      </c>
      <c r="BR110" t="s">
        <v>1574</v>
      </c>
      <c r="BS110" t="s">
        <v>3252</v>
      </c>
      <c r="BV110">
        <v>0</v>
      </c>
      <c r="BW110">
        <v>0</v>
      </c>
      <c r="BX110">
        <v>0</v>
      </c>
      <c r="BY110">
        <v>0</v>
      </c>
      <c r="BZ110">
        <v>0</v>
      </c>
      <c r="CA110">
        <v>0</v>
      </c>
      <c r="CB110">
        <v>0</v>
      </c>
      <c r="CC110">
        <v>0</v>
      </c>
      <c r="CD110">
        <v>0</v>
      </c>
      <c r="CE110" t="s">
        <v>3108</v>
      </c>
      <c r="CF110" t="s">
        <v>3108</v>
      </c>
      <c r="CG110" t="s">
        <v>3108</v>
      </c>
      <c r="CH110" t="s">
        <v>3108</v>
      </c>
    </row>
    <row r="111" spans="1:86" x14ac:dyDescent="0.2">
      <c r="A111" t="s">
        <v>3461</v>
      </c>
      <c r="B111" t="s">
        <v>3461</v>
      </c>
      <c r="C111">
        <v>30356</v>
      </c>
      <c r="D111">
        <v>1133</v>
      </c>
      <c r="E111" t="s">
        <v>3462</v>
      </c>
      <c r="F111" t="s">
        <v>3249</v>
      </c>
      <c r="G111" t="s">
        <v>3249</v>
      </c>
      <c r="H111" t="s">
        <v>3250</v>
      </c>
      <c r="I111" t="s">
        <v>3250</v>
      </c>
      <c r="J111" t="s">
        <v>3250</v>
      </c>
      <c r="K111" t="s">
        <v>3250</v>
      </c>
      <c r="L111">
        <v>1200</v>
      </c>
      <c r="M111" t="s">
        <v>2368</v>
      </c>
      <c r="N111">
        <v>1204</v>
      </c>
      <c r="O111" t="s">
        <v>1574</v>
      </c>
      <c r="P111" t="s">
        <v>3108</v>
      </c>
      <c r="Q111" t="s">
        <v>3249</v>
      </c>
      <c r="R111" t="s">
        <v>3249</v>
      </c>
      <c r="S111" t="s">
        <v>472</v>
      </c>
      <c r="T111" t="s">
        <v>3251</v>
      </c>
      <c r="U111">
        <v>140</v>
      </c>
      <c r="V111" t="s">
        <v>1327</v>
      </c>
      <c r="W111">
        <v>140</v>
      </c>
      <c r="X111" t="s">
        <v>1327</v>
      </c>
      <c r="Y111" t="s">
        <v>3250</v>
      </c>
      <c r="Z111" t="s">
        <v>3250</v>
      </c>
      <c r="AA111" t="s">
        <v>3108</v>
      </c>
      <c r="AB111" t="s">
        <v>3108</v>
      </c>
      <c r="AC111" t="s">
        <v>3250</v>
      </c>
      <c r="AD111" t="s">
        <v>3250</v>
      </c>
      <c r="AE111" t="s">
        <v>3250</v>
      </c>
      <c r="AF111" t="s">
        <v>3250</v>
      </c>
      <c r="AG111" t="s">
        <v>3250</v>
      </c>
      <c r="AH111" t="s">
        <v>3250</v>
      </c>
      <c r="AI111" t="s">
        <v>3250</v>
      </c>
      <c r="AJ111" t="s">
        <v>3250</v>
      </c>
      <c r="AL111">
        <v>141</v>
      </c>
      <c r="AM111" t="s">
        <v>1327</v>
      </c>
      <c r="AN111">
        <v>141</v>
      </c>
      <c r="AO111" t="s">
        <v>1327</v>
      </c>
      <c r="AS111" t="s">
        <v>3250</v>
      </c>
      <c r="AT111" t="s">
        <v>3250</v>
      </c>
      <c r="AU111" t="s">
        <v>3250</v>
      </c>
      <c r="AV111" t="s">
        <v>3250</v>
      </c>
      <c r="AW111" t="s">
        <v>3250</v>
      </c>
      <c r="AX111" t="s">
        <v>3250</v>
      </c>
      <c r="AY111" t="s">
        <v>3250</v>
      </c>
      <c r="AZ111" t="s">
        <v>3250</v>
      </c>
      <c r="BA111" t="s">
        <v>3250</v>
      </c>
      <c r="BB111" t="s">
        <v>3250</v>
      </c>
      <c r="BC111" t="s">
        <v>3250</v>
      </c>
      <c r="BE111" t="s">
        <v>3250</v>
      </c>
      <c r="BF111" t="s">
        <v>3250</v>
      </c>
      <c r="BG111" t="s">
        <v>3250</v>
      </c>
      <c r="BH111" t="s">
        <v>3250</v>
      </c>
      <c r="BI111" t="s">
        <v>3250</v>
      </c>
      <c r="BK111" t="s">
        <v>3250</v>
      </c>
      <c r="BL111" t="s">
        <v>3250</v>
      </c>
      <c r="BM111" t="s">
        <v>3250</v>
      </c>
      <c r="BN111" t="s">
        <v>3250</v>
      </c>
      <c r="BP111">
        <v>1</v>
      </c>
      <c r="BQ111">
        <v>11</v>
      </c>
      <c r="BR111" t="s">
        <v>1574</v>
      </c>
      <c r="BS111" t="s">
        <v>3252</v>
      </c>
      <c r="BV111">
        <v>0</v>
      </c>
      <c r="BW111">
        <v>0</v>
      </c>
      <c r="BX111">
        <v>0</v>
      </c>
      <c r="BY111">
        <v>0</v>
      </c>
      <c r="BZ111">
        <v>0</v>
      </c>
      <c r="CA111">
        <v>0</v>
      </c>
      <c r="CB111">
        <v>0</v>
      </c>
      <c r="CC111">
        <v>0</v>
      </c>
      <c r="CD111">
        <v>0</v>
      </c>
      <c r="CE111" t="s">
        <v>3108</v>
      </c>
      <c r="CF111" t="s">
        <v>3108</v>
      </c>
      <c r="CG111" t="s">
        <v>3108</v>
      </c>
      <c r="CH111" t="s">
        <v>3108</v>
      </c>
    </row>
    <row r="112" spans="1:86" x14ac:dyDescent="0.2">
      <c r="A112" t="s">
        <v>3463</v>
      </c>
      <c r="B112" t="s">
        <v>3463</v>
      </c>
      <c r="C112">
        <v>30357</v>
      </c>
      <c r="D112">
        <v>1134</v>
      </c>
      <c r="E112" t="s">
        <v>3464</v>
      </c>
      <c r="F112" t="s">
        <v>3249</v>
      </c>
      <c r="G112" t="s">
        <v>3249</v>
      </c>
      <c r="H112" t="s">
        <v>3250</v>
      </c>
      <c r="I112" t="s">
        <v>3250</v>
      </c>
      <c r="J112" t="s">
        <v>3250</v>
      </c>
      <c r="K112" t="s">
        <v>3250</v>
      </c>
      <c r="L112">
        <v>1200</v>
      </c>
      <c r="M112" t="s">
        <v>2368</v>
      </c>
      <c r="N112">
        <v>1204</v>
      </c>
      <c r="O112" t="s">
        <v>1574</v>
      </c>
      <c r="P112" t="s">
        <v>3108</v>
      </c>
      <c r="Q112" t="s">
        <v>3249</v>
      </c>
      <c r="R112" t="s">
        <v>3249</v>
      </c>
      <c r="S112" t="s">
        <v>472</v>
      </c>
      <c r="T112" t="s">
        <v>3251</v>
      </c>
      <c r="U112">
        <v>140</v>
      </c>
      <c r="V112" t="s">
        <v>1327</v>
      </c>
      <c r="W112">
        <v>140</v>
      </c>
      <c r="X112" t="s">
        <v>1327</v>
      </c>
      <c r="Y112" t="s">
        <v>3250</v>
      </c>
      <c r="Z112" t="s">
        <v>3250</v>
      </c>
      <c r="AA112" t="s">
        <v>3108</v>
      </c>
      <c r="AB112" t="s">
        <v>3108</v>
      </c>
      <c r="AC112" t="s">
        <v>3250</v>
      </c>
      <c r="AD112" t="s">
        <v>3250</v>
      </c>
      <c r="AE112" t="s">
        <v>3250</v>
      </c>
      <c r="AF112" t="s">
        <v>3250</v>
      </c>
      <c r="AG112" t="s">
        <v>3250</v>
      </c>
      <c r="AH112" t="s">
        <v>3250</v>
      </c>
      <c r="AI112" t="s">
        <v>3250</v>
      </c>
      <c r="AJ112" t="s">
        <v>3250</v>
      </c>
      <c r="AL112">
        <v>147</v>
      </c>
      <c r="AM112" t="s">
        <v>6</v>
      </c>
      <c r="AN112">
        <v>147</v>
      </c>
      <c r="AO112" t="s">
        <v>6</v>
      </c>
      <c r="AS112" t="s">
        <v>3250</v>
      </c>
      <c r="AT112" t="s">
        <v>3250</v>
      </c>
      <c r="AU112" t="s">
        <v>3250</v>
      </c>
      <c r="AV112" t="s">
        <v>3250</v>
      </c>
      <c r="AW112" t="s">
        <v>3250</v>
      </c>
      <c r="AX112" t="s">
        <v>3250</v>
      </c>
      <c r="AY112" t="s">
        <v>3250</v>
      </c>
      <c r="AZ112" t="s">
        <v>3250</v>
      </c>
      <c r="BA112" t="s">
        <v>3250</v>
      </c>
      <c r="BB112" t="s">
        <v>3250</v>
      </c>
      <c r="BC112" t="s">
        <v>3250</v>
      </c>
      <c r="BE112" t="s">
        <v>3250</v>
      </c>
      <c r="BF112" t="s">
        <v>3250</v>
      </c>
      <c r="BG112" t="s">
        <v>3250</v>
      </c>
      <c r="BH112" t="s">
        <v>3250</v>
      </c>
      <c r="BI112" t="s">
        <v>3250</v>
      </c>
      <c r="BK112" t="s">
        <v>3250</v>
      </c>
      <c r="BL112" t="s">
        <v>3250</v>
      </c>
      <c r="BM112" t="s">
        <v>3250</v>
      </c>
      <c r="BN112" t="s">
        <v>3250</v>
      </c>
      <c r="BP112">
        <v>1</v>
      </c>
      <c r="BQ112">
        <v>11</v>
      </c>
      <c r="BR112" t="s">
        <v>1574</v>
      </c>
      <c r="BS112" t="s">
        <v>3252</v>
      </c>
      <c r="BV112">
        <v>0</v>
      </c>
      <c r="BW112">
        <v>0</v>
      </c>
      <c r="BX112">
        <v>0</v>
      </c>
      <c r="BY112">
        <v>0</v>
      </c>
      <c r="BZ112">
        <v>0</v>
      </c>
      <c r="CA112">
        <v>0</v>
      </c>
      <c r="CB112">
        <v>0</v>
      </c>
      <c r="CC112">
        <v>0</v>
      </c>
      <c r="CD112">
        <v>0</v>
      </c>
      <c r="CE112" t="s">
        <v>3108</v>
      </c>
      <c r="CF112" t="s">
        <v>3108</v>
      </c>
      <c r="CG112" t="s">
        <v>3108</v>
      </c>
      <c r="CH112" t="s">
        <v>3108</v>
      </c>
    </row>
    <row r="113" spans="1:86" x14ac:dyDescent="0.2">
      <c r="A113" t="s">
        <v>3465</v>
      </c>
      <c r="B113" t="s">
        <v>3465</v>
      </c>
      <c r="C113">
        <v>30358</v>
      </c>
      <c r="D113">
        <v>1135</v>
      </c>
      <c r="E113" t="s">
        <v>3466</v>
      </c>
      <c r="F113" t="s">
        <v>3249</v>
      </c>
      <c r="G113" t="s">
        <v>3249</v>
      </c>
      <c r="H113" t="s">
        <v>3250</v>
      </c>
      <c r="I113" t="s">
        <v>3250</v>
      </c>
      <c r="J113" t="s">
        <v>3250</v>
      </c>
      <c r="K113" t="s">
        <v>3250</v>
      </c>
      <c r="L113">
        <v>1200</v>
      </c>
      <c r="M113" t="s">
        <v>2368</v>
      </c>
      <c r="N113">
        <v>1204</v>
      </c>
      <c r="O113" t="s">
        <v>1574</v>
      </c>
      <c r="P113" t="s">
        <v>3108</v>
      </c>
      <c r="Q113" t="s">
        <v>3249</v>
      </c>
      <c r="R113" t="s">
        <v>3249</v>
      </c>
      <c r="S113" t="s">
        <v>472</v>
      </c>
      <c r="T113" t="s">
        <v>3251</v>
      </c>
      <c r="U113">
        <v>140</v>
      </c>
      <c r="V113" t="s">
        <v>1327</v>
      </c>
      <c r="W113">
        <v>140</v>
      </c>
      <c r="X113" t="s">
        <v>1327</v>
      </c>
      <c r="Y113" t="s">
        <v>3250</v>
      </c>
      <c r="Z113" t="s">
        <v>3250</v>
      </c>
      <c r="AA113" t="s">
        <v>3108</v>
      </c>
      <c r="AB113" t="s">
        <v>3108</v>
      </c>
      <c r="AC113" t="s">
        <v>3250</v>
      </c>
      <c r="AD113" t="s">
        <v>3250</v>
      </c>
      <c r="AE113" t="s">
        <v>3250</v>
      </c>
      <c r="AF113" t="s">
        <v>3250</v>
      </c>
      <c r="AG113" t="s">
        <v>3250</v>
      </c>
      <c r="AH113" t="s">
        <v>3250</v>
      </c>
      <c r="AI113" t="s">
        <v>3250</v>
      </c>
      <c r="AJ113" t="s">
        <v>3250</v>
      </c>
      <c r="AL113">
        <v>146</v>
      </c>
      <c r="AM113" t="s">
        <v>5</v>
      </c>
      <c r="AN113">
        <v>146</v>
      </c>
      <c r="AO113" t="s">
        <v>5</v>
      </c>
      <c r="AS113" t="s">
        <v>3250</v>
      </c>
      <c r="AT113" t="s">
        <v>3250</v>
      </c>
      <c r="AU113" t="s">
        <v>3250</v>
      </c>
      <c r="AV113" t="s">
        <v>3250</v>
      </c>
      <c r="AW113" t="s">
        <v>3250</v>
      </c>
      <c r="AX113" t="s">
        <v>3250</v>
      </c>
      <c r="AY113" t="s">
        <v>3250</v>
      </c>
      <c r="AZ113" t="s">
        <v>3250</v>
      </c>
      <c r="BA113" t="s">
        <v>3250</v>
      </c>
      <c r="BB113" t="s">
        <v>3250</v>
      </c>
      <c r="BC113" t="s">
        <v>3250</v>
      </c>
      <c r="BE113" t="s">
        <v>3250</v>
      </c>
      <c r="BF113" t="s">
        <v>3250</v>
      </c>
      <c r="BG113" t="s">
        <v>3250</v>
      </c>
      <c r="BH113" t="s">
        <v>3250</v>
      </c>
      <c r="BI113" t="s">
        <v>3250</v>
      </c>
      <c r="BK113" t="s">
        <v>3250</v>
      </c>
      <c r="BL113" t="s">
        <v>3250</v>
      </c>
      <c r="BM113" t="s">
        <v>3250</v>
      </c>
      <c r="BN113" t="s">
        <v>3250</v>
      </c>
      <c r="BP113">
        <v>1</v>
      </c>
      <c r="BQ113">
        <v>11</v>
      </c>
      <c r="BR113" t="s">
        <v>1574</v>
      </c>
      <c r="BS113" t="s">
        <v>3252</v>
      </c>
      <c r="BV113">
        <v>0</v>
      </c>
      <c r="BW113">
        <v>0</v>
      </c>
      <c r="BX113">
        <v>0</v>
      </c>
      <c r="BY113">
        <v>0</v>
      </c>
      <c r="BZ113">
        <v>0</v>
      </c>
      <c r="CA113">
        <v>0</v>
      </c>
      <c r="CB113">
        <v>0</v>
      </c>
      <c r="CC113">
        <v>0</v>
      </c>
      <c r="CD113">
        <v>0</v>
      </c>
      <c r="CE113" t="s">
        <v>3108</v>
      </c>
      <c r="CF113" t="s">
        <v>3108</v>
      </c>
      <c r="CG113" t="s">
        <v>3108</v>
      </c>
      <c r="CH113" t="s">
        <v>3108</v>
      </c>
    </row>
    <row r="114" spans="1:86" x14ac:dyDescent="0.2">
      <c r="A114" t="s">
        <v>3467</v>
      </c>
      <c r="B114" t="s">
        <v>3467</v>
      </c>
      <c r="C114">
        <v>30359</v>
      </c>
      <c r="D114">
        <v>1136</v>
      </c>
      <c r="E114" t="s">
        <v>3468</v>
      </c>
      <c r="F114" t="s">
        <v>3249</v>
      </c>
      <c r="G114" t="s">
        <v>3249</v>
      </c>
      <c r="H114" t="s">
        <v>3250</v>
      </c>
      <c r="I114" t="s">
        <v>3250</v>
      </c>
      <c r="J114" t="s">
        <v>3250</v>
      </c>
      <c r="K114" t="s">
        <v>3250</v>
      </c>
      <c r="L114">
        <v>1200</v>
      </c>
      <c r="M114" t="s">
        <v>2368</v>
      </c>
      <c r="N114">
        <v>1204</v>
      </c>
      <c r="O114" t="s">
        <v>1574</v>
      </c>
      <c r="P114" t="s">
        <v>3108</v>
      </c>
      <c r="Q114" t="s">
        <v>3249</v>
      </c>
      <c r="R114" t="s">
        <v>3249</v>
      </c>
      <c r="S114" t="s">
        <v>472</v>
      </c>
      <c r="T114" t="s">
        <v>3251</v>
      </c>
      <c r="U114">
        <v>140</v>
      </c>
      <c r="V114" t="s">
        <v>1327</v>
      </c>
      <c r="W114">
        <v>140</v>
      </c>
      <c r="X114" t="s">
        <v>1327</v>
      </c>
      <c r="Y114" t="s">
        <v>3250</v>
      </c>
      <c r="Z114" t="s">
        <v>3250</v>
      </c>
      <c r="AA114" t="s">
        <v>3108</v>
      </c>
      <c r="AB114" t="s">
        <v>3108</v>
      </c>
      <c r="AC114" t="s">
        <v>3250</v>
      </c>
      <c r="AD114" t="s">
        <v>3250</v>
      </c>
      <c r="AE114" t="s">
        <v>3250</v>
      </c>
      <c r="AF114" t="s">
        <v>3250</v>
      </c>
      <c r="AG114" t="s">
        <v>3250</v>
      </c>
      <c r="AH114" t="s">
        <v>3250</v>
      </c>
      <c r="AI114" t="s">
        <v>3250</v>
      </c>
      <c r="AJ114" t="s">
        <v>3250</v>
      </c>
      <c r="AL114">
        <v>146</v>
      </c>
      <c r="AM114" t="s">
        <v>5</v>
      </c>
      <c r="AN114">
        <v>146</v>
      </c>
      <c r="AO114" t="s">
        <v>5</v>
      </c>
      <c r="AS114" t="s">
        <v>3250</v>
      </c>
      <c r="AT114" t="s">
        <v>3250</v>
      </c>
      <c r="AU114" t="s">
        <v>3250</v>
      </c>
      <c r="AV114" t="s">
        <v>3250</v>
      </c>
      <c r="AW114" t="s">
        <v>3250</v>
      </c>
      <c r="AX114" t="s">
        <v>3250</v>
      </c>
      <c r="AY114" t="s">
        <v>3250</v>
      </c>
      <c r="AZ114" t="s">
        <v>3250</v>
      </c>
      <c r="BA114" t="s">
        <v>3250</v>
      </c>
      <c r="BB114" t="s">
        <v>3250</v>
      </c>
      <c r="BC114" t="s">
        <v>3250</v>
      </c>
      <c r="BE114" t="s">
        <v>3250</v>
      </c>
      <c r="BF114" t="s">
        <v>3250</v>
      </c>
      <c r="BG114" t="s">
        <v>3250</v>
      </c>
      <c r="BH114" t="s">
        <v>3250</v>
      </c>
      <c r="BI114" t="s">
        <v>3250</v>
      </c>
      <c r="BK114" t="s">
        <v>3250</v>
      </c>
      <c r="BL114" t="s">
        <v>3250</v>
      </c>
      <c r="BM114" t="s">
        <v>3250</v>
      </c>
      <c r="BN114" t="s">
        <v>3250</v>
      </c>
      <c r="BP114">
        <v>1</v>
      </c>
      <c r="BQ114">
        <v>11</v>
      </c>
      <c r="BR114" t="s">
        <v>1574</v>
      </c>
      <c r="BS114" t="s">
        <v>3252</v>
      </c>
      <c r="BV114">
        <v>0</v>
      </c>
      <c r="BW114">
        <v>0</v>
      </c>
      <c r="BX114">
        <v>0</v>
      </c>
      <c r="BY114">
        <v>0</v>
      </c>
      <c r="BZ114">
        <v>0</v>
      </c>
      <c r="CA114">
        <v>0</v>
      </c>
      <c r="CB114">
        <v>0</v>
      </c>
      <c r="CC114">
        <v>0</v>
      </c>
      <c r="CD114">
        <v>0</v>
      </c>
      <c r="CE114" t="s">
        <v>3108</v>
      </c>
      <c r="CF114" t="s">
        <v>3108</v>
      </c>
      <c r="CG114" t="s">
        <v>3108</v>
      </c>
      <c r="CH114" t="s">
        <v>3108</v>
      </c>
    </row>
    <row r="115" spans="1:86" x14ac:dyDescent="0.2">
      <c r="A115" t="s">
        <v>3469</v>
      </c>
      <c r="B115" t="s">
        <v>3469</v>
      </c>
      <c r="C115">
        <v>30360</v>
      </c>
      <c r="D115">
        <v>1137</v>
      </c>
      <c r="E115" t="s">
        <v>3470</v>
      </c>
      <c r="F115" t="s">
        <v>3249</v>
      </c>
      <c r="G115" t="s">
        <v>3249</v>
      </c>
      <c r="H115" t="s">
        <v>3250</v>
      </c>
      <c r="I115" t="s">
        <v>3250</v>
      </c>
      <c r="J115" t="s">
        <v>3250</v>
      </c>
      <c r="K115" t="s">
        <v>3250</v>
      </c>
      <c r="L115">
        <v>1200</v>
      </c>
      <c r="M115" t="s">
        <v>2368</v>
      </c>
      <c r="N115">
        <v>1204</v>
      </c>
      <c r="O115" t="s">
        <v>1574</v>
      </c>
      <c r="P115" t="s">
        <v>3108</v>
      </c>
      <c r="Q115" t="s">
        <v>3249</v>
      </c>
      <c r="R115" t="s">
        <v>3249</v>
      </c>
      <c r="S115" t="s">
        <v>472</v>
      </c>
      <c r="T115" t="s">
        <v>3251</v>
      </c>
      <c r="U115">
        <v>140</v>
      </c>
      <c r="V115" t="s">
        <v>1327</v>
      </c>
      <c r="W115">
        <v>140</v>
      </c>
      <c r="X115" t="s">
        <v>1327</v>
      </c>
      <c r="Y115" t="s">
        <v>3250</v>
      </c>
      <c r="Z115" t="s">
        <v>3250</v>
      </c>
      <c r="AA115" t="s">
        <v>3108</v>
      </c>
      <c r="AB115" t="s">
        <v>3108</v>
      </c>
      <c r="AC115" t="s">
        <v>3250</v>
      </c>
      <c r="AD115" t="s">
        <v>3250</v>
      </c>
      <c r="AE115" t="s">
        <v>3250</v>
      </c>
      <c r="AF115" t="s">
        <v>3250</v>
      </c>
      <c r="AG115" t="s">
        <v>3250</v>
      </c>
      <c r="AH115" t="s">
        <v>3250</v>
      </c>
      <c r="AI115" t="s">
        <v>3250</v>
      </c>
      <c r="AJ115" t="s">
        <v>3250</v>
      </c>
      <c r="AL115">
        <v>141</v>
      </c>
      <c r="AM115" t="s">
        <v>1327</v>
      </c>
      <c r="AN115">
        <v>141</v>
      </c>
      <c r="AO115" t="s">
        <v>1327</v>
      </c>
      <c r="AS115" t="s">
        <v>3250</v>
      </c>
      <c r="AT115" t="s">
        <v>3250</v>
      </c>
      <c r="AU115" t="s">
        <v>3250</v>
      </c>
      <c r="AV115" t="s">
        <v>3250</v>
      </c>
      <c r="AW115" t="s">
        <v>3250</v>
      </c>
      <c r="AX115" t="s">
        <v>3250</v>
      </c>
      <c r="AY115" t="s">
        <v>3250</v>
      </c>
      <c r="AZ115" t="s">
        <v>3250</v>
      </c>
      <c r="BA115" t="s">
        <v>3250</v>
      </c>
      <c r="BB115" t="s">
        <v>3250</v>
      </c>
      <c r="BC115" t="s">
        <v>3250</v>
      </c>
      <c r="BE115" t="s">
        <v>3250</v>
      </c>
      <c r="BF115" t="s">
        <v>3250</v>
      </c>
      <c r="BG115" t="s">
        <v>3250</v>
      </c>
      <c r="BH115" t="s">
        <v>3250</v>
      </c>
      <c r="BI115" t="s">
        <v>3250</v>
      </c>
      <c r="BK115" t="s">
        <v>3250</v>
      </c>
      <c r="BL115" t="s">
        <v>3250</v>
      </c>
      <c r="BM115" t="s">
        <v>3250</v>
      </c>
      <c r="BN115" t="s">
        <v>3250</v>
      </c>
      <c r="BP115">
        <v>1</v>
      </c>
      <c r="BQ115">
        <v>11</v>
      </c>
      <c r="BR115" t="s">
        <v>1574</v>
      </c>
      <c r="BS115" t="s">
        <v>3252</v>
      </c>
      <c r="BV115">
        <v>0</v>
      </c>
      <c r="BW115">
        <v>0</v>
      </c>
      <c r="BX115">
        <v>0</v>
      </c>
      <c r="BY115">
        <v>0</v>
      </c>
      <c r="BZ115">
        <v>0</v>
      </c>
      <c r="CA115">
        <v>0</v>
      </c>
      <c r="CB115">
        <v>0</v>
      </c>
      <c r="CC115">
        <v>0</v>
      </c>
      <c r="CD115">
        <v>0</v>
      </c>
      <c r="CE115" t="s">
        <v>3108</v>
      </c>
      <c r="CF115" t="s">
        <v>3108</v>
      </c>
      <c r="CG115" t="s">
        <v>3108</v>
      </c>
      <c r="CH115" t="s">
        <v>3108</v>
      </c>
    </row>
    <row r="116" spans="1:86" x14ac:dyDescent="0.2">
      <c r="A116" t="s">
        <v>3471</v>
      </c>
      <c r="B116" t="s">
        <v>3471</v>
      </c>
      <c r="C116">
        <v>30361</v>
      </c>
      <c r="D116">
        <v>1138</v>
      </c>
      <c r="E116" t="s">
        <v>3472</v>
      </c>
      <c r="F116" t="s">
        <v>3249</v>
      </c>
      <c r="G116" t="s">
        <v>3249</v>
      </c>
      <c r="H116" t="s">
        <v>3250</v>
      </c>
      <c r="I116" t="s">
        <v>3250</v>
      </c>
      <c r="J116" t="s">
        <v>3250</v>
      </c>
      <c r="K116" t="s">
        <v>3250</v>
      </c>
      <c r="L116">
        <v>1200</v>
      </c>
      <c r="M116" t="s">
        <v>2368</v>
      </c>
      <c r="N116">
        <v>1204</v>
      </c>
      <c r="O116" t="s">
        <v>1574</v>
      </c>
      <c r="P116" t="s">
        <v>3108</v>
      </c>
      <c r="Q116" t="s">
        <v>3249</v>
      </c>
      <c r="R116" t="s">
        <v>3249</v>
      </c>
      <c r="S116" t="s">
        <v>472</v>
      </c>
      <c r="T116" t="s">
        <v>3251</v>
      </c>
      <c r="U116">
        <v>140</v>
      </c>
      <c r="V116" t="s">
        <v>1327</v>
      </c>
      <c r="W116">
        <v>140</v>
      </c>
      <c r="X116" t="s">
        <v>1327</v>
      </c>
      <c r="Y116" t="s">
        <v>3250</v>
      </c>
      <c r="Z116" t="s">
        <v>3250</v>
      </c>
      <c r="AA116" t="s">
        <v>3108</v>
      </c>
      <c r="AB116" t="s">
        <v>3108</v>
      </c>
      <c r="AC116" t="s">
        <v>3250</v>
      </c>
      <c r="AD116" t="s">
        <v>3250</v>
      </c>
      <c r="AE116" t="s">
        <v>3250</v>
      </c>
      <c r="AF116" t="s">
        <v>3250</v>
      </c>
      <c r="AG116" t="s">
        <v>3250</v>
      </c>
      <c r="AH116" t="s">
        <v>3250</v>
      </c>
      <c r="AI116" t="s">
        <v>3250</v>
      </c>
      <c r="AJ116" t="s">
        <v>3250</v>
      </c>
      <c r="AL116">
        <v>141</v>
      </c>
      <c r="AM116" t="s">
        <v>1327</v>
      </c>
      <c r="AN116">
        <v>141</v>
      </c>
      <c r="AO116" t="s">
        <v>1327</v>
      </c>
      <c r="AS116" t="s">
        <v>3250</v>
      </c>
      <c r="AT116" t="s">
        <v>3250</v>
      </c>
      <c r="AU116" t="s">
        <v>3250</v>
      </c>
      <c r="AV116" t="s">
        <v>3250</v>
      </c>
      <c r="AW116" t="s">
        <v>3250</v>
      </c>
      <c r="AX116" t="s">
        <v>3250</v>
      </c>
      <c r="AY116" t="s">
        <v>3250</v>
      </c>
      <c r="AZ116" t="s">
        <v>3250</v>
      </c>
      <c r="BA116" t="s">
        <v>3250</v>
      </c>
      <c r="BB116" t="s">
        <v>3250</v>
      </c>
      <c r="BC116" t="s">
        <v>3250</v>
      </c>
      <c r="BE116" t="s">
        <v>3250</v>
      </c>
      <c r="BF116" t="s">
        <v>3250</v>
      </c>
      <c r="BG116" t="s">
        <v>3250</v>
      </c>
      <c r="BH116" t="s">
        <v>3250</v>
      </c>
      <c r="BI116" t="s">
        <v>3250</v>
      </c>
      <c r="BK116" t="s">
        <v>3250</v>
      </c>
      <c r="BL116" t="s">
        <v>3250</v>
      </c>
      <c r="BM116" t="s">
        <v>3250</v>
      </c>
      <c r="BN116" t="s">
        <v>3250</v>
      </c>
      <c r="BP116">
        <v>1</v>
      </c>
      <c r="BQ116">
        <v>11</v>
      </c>
      <c r="BR116" t="s">
        <v>1574</v>
      </c>
      <c r="BS116" t="s">
        <v>3252</v>
      </c>
      <c r="BV116">
        <v>0</v>
      </c>
      <c r="BW116">
        <v>0</v>
      </c>
      <c r="BX116">
        <v>0</v>
      </c>
      <c r="BY116">
        <v>0</v>
      </c>
      <c r="BZ116">
        <v>0</v>
      </c>
      <c r="CA116">
        <v>0</v>
      </c>
      <c r="CB116">
        <v>0</v>
      </c>
      <c r="CC116">
        <v>0</v>
      </c>
      <c r="CD116">
        <v>0</v>
      </c>
      <c r="CE116" t="s">
        <v>3108</v>
      </c>
      <c r="CF116" t="s">
        <v>3108</v>
      </c>
      <c r="CG116" t="s">
        <v>3108</v>
      </c>
      <c r="CH116" t="s">
        <v>3108</v>
      </c>
    </row>
    <row r="117" spans="1:86" x14ac:dyDescent="0.2">
      <c r="A117" t="s">
        <v>3473</v>
      </c>
      <c r="B117" t="s">
        <v>3473</v>
      </c>
      <c r="C117">
        <v>30362</v>
      </c>
      <c r="D117">
        <v>1139</v>
      </c>
      <c r="E117" t="s">
        <v>3474</v>
      </c>
      <c r="F117" t="s">
        <v>3249</v>
      </c>
      <c r="G117" t="s">
        <v>3249</v>
      </c>
      <c r="H117" t="s">
        <v>3250</v>
      </c>
      <c r="I117" t="s">
        <v>3250</v>
      </c>
      <c r="J117" t="s">
        <v>3250</v>
      </c>
      <c r="K117" t="s">
        <v>3250</v>
      </c>
      <c r="L117">
        <v>1200</v>
      </c>
      <c r="M117" t="s">
        <v>2368</v>
      </c>
      <c r="N117">
        <v>1204</v>
      </c>
      <c r="O117" t="s">
        <v>1574</v>
      </c>
      <c r="P117" t="s">
        <v>3108</v>
      </c>
      <c r="Q117" t="s">
        <v>3249</v>
      </c>
      <c r="R117" t="s">
        <v>3249</v>
      </c>
      <c r="S117" t="s">
        <v>472</v>
      </c>
      <c r="T117" t="s">
        <v>3251</v>
      </c>
      <c r="U117">
        <v>140</v>
      </c>
      <c r="V117" t="s">
        <v>1327</v>
      </c>
      <c r="W117">
        <v>140</v>
      </c>
      <c r="X117" t="s">
        <v>1327</v>
      </c>
      <c r="Y117" t="s">
        <v>3250</v>
      </c>
      <c r="Z117" t="s">
        <v>3250</v>
      </c>
      <c r="AA117" t="s">
        <v>3108</v>
      </c>
      <c r="AB117" t="s">
        <v>3108</v>
      </c>
      <c r="AC117" t="s">
        <v>3250</v>
      </c>
      <c r="AD117" t="s">
        <v>3250</v>
      </c>
      <c r="AE117" t="s">
        <v>3250</v>
      </c>
      <c r="AF117" t="s">
        <v>3250</v>
      </c>
      <c r="AG117" t="s">
        <v>3250</v>
      </c>
      <c r="AH117" t="s">
        <v>3250</v>
      </c>
      <c r="AI117" t="s">
        <v>3250</v>
      </c>
      <c r="AJ117" t="s">
        <v>3250</v>
      </c>
      <c r="AL117">
        <v>147</v>
      </c>
      <c r="AM117" t="s">
        <v>6</v>
      </c>
      <c r="AN117">
        <v>147</v>
      </c>
      <c r="AO117" t="s">
        <v>6</v>
      </c>
      <c r="AS117" t="s">
        <v>3250</v>
      </c>
      <c r="AT117" t="s">
        <v>3250</v>
      </c>
      <c r="AU117" t="s">
        <v>3250</v>
      </c>
      <c r="AV117" t="s">
        <v>3250</v>
      </c>
      <c r="AW117" t="s">
        <v>3250</v>
      </c>
      <c r="AX117" t="s">
        <v>3250</v>
      </c>
      <c r="AY117" t="s">
        <v>3250</v>
      </c>
      <c r="AZ117" t="s">
        <v>3250</v>
      </c>
      <c r="BA117" t="s">
        <v>3250</v>
      </c>
      <c r="BB117" t="s">
        <v>3250</v>
      </c>
      <c r="BC117" t="s">
        <v>3250</v>
      </c>
      <c r="BE117" t="s">
        <v>3250</v>
      </c>
      <c r="BF117" t="s">
        <v>3250</v>
      </c>
      <c r="BG117" t="s">
        <v>3250</v>
      </c>
      <c r="BH117" t="s">
        <v>3250</v>
      </c>
      <c r="BI117" t="s">
        <v>3250</v>
      </c>
      <c r="BK117" t="s">
        <v>3250</v>
      </c>
      <c r="BL117" t="s">
        <v>3250</v>
      </c>
      <c r="BM117" t="s">
        <v>3250</v>
      </c>
      <c r="BN117" t="s">
        <v>3250</v>
      </c>
      <c r="BP117">
        <v>1</v>
      </c>
      <c r="BQ117">
        <v>11</v>
      </c>
      <c r="BR117" t="s">
        <v>1574</v>
      </c>
      <c r="BS117" t="s">
        <v>3252</v>
      </c>
      <c r="BV117">
        <v>0</v>
      </c>
      <c r="BW117">
        <v>0</v>
      </c>
      <c r="BX117">
        <v>0</v>
      </c>
      <c r="BY117">
        <v>0</v>
      </c>
      <c r="BZ117">
        <v>0</v>
      </c>
      <c r="CA117">
        <v>0</v>
      </c>
      <c r="CB117">
        <v>0</v>
      </c>
      <c r="CC117">
        <v>0</v>
      </c>
      <c r="CD117">
        <v>0</v>
      </c>
      <c r="CE117" t="s">
        <v>3108</v>
      </c>
      <c r="CF117" t="s">
        <v>3108</v>
      </c>
      <c r="CG117" t="s">
        <v>3108</v>
      </c>
      <c r="CH117" t="s">
        <v>3108</v>
      </c>
    </row>
    <row r="118" spans="1:86" x14ac:dyDescent="0.2">
      <c r="A118" t="s">
        <v>3475</v>
      </c>
      <c r="B118" t="s">
        <v>3475</v>
      </c>
      <c r="C118">
        <v>30363</v>
      </c>
      <c r="D118">
        <v>1140</v>
      </c>
      <c r="E118" t="s">
        <v>3476</v>
      </c>
      <c r="F118" t="s">
        <v>3249</v>
      </c>
      <c r="G118" t="s">
        <v>3249</v>
      </c>
      <c r="H118" t="s">
        <v>3250</v>
      </c>
      <c r="I118" t="s">
        <v>3250</v>
      </c>
      <c r="J118" t="s">
        <v>3250</v>
      </c>
      <c r="K118" t="s">
        <v>3250</v>
      </c>
      <c r="L118">
        <v>1200</v>
      </c>
      <c r="M118" t="s">
        <v>2368</v>
      </c>
      <c r="N118">
        <v>1204</v>
      </c>
      <c r="O118" t="s">
        <v>1574</v>
      </c>
      <c r="P118" t="s">
        <v>3108</v>
      </c>
      <c r="Q118" t="s">
        <v>3249</v>
      </c>
      <c r="R118" t="s">
        <v>3249</v>
      </c>
      <c r="S118" t="s">
        <v>472</v>
      </c>
      <c r="T118" t="s">
        <v>3251</v>
      </c>
      <c r="U118">
        <v>140</v>
      </c>
      <c r="V118" t="s">
        <v>1327</v>
      </c>
      <c r="W118">
        <v>140</v>
      </c>
      <c r="X118" t="s">
        <v>1327</v>
      </c>
      <c r="Y118" t="s">
        <v>3250</v>
      </c>
      <c r="Z118" t="s">
        <v>3250</v>
      </c>
      <c r="AA118" t="s">
        <v>3108</v>
      </c>
      <c r="AB118" t="s">
        <v>3108</v>
      </c>
      <c r="AC118" t="s">
        <v>3250</v>
      </c>
      <c r="AD118" t="s">
        <v>3250</v>
      </c>
      <c r="AE118" t="s">
        <v>3250</v>
      </c>
      <c r="AF118" t="s">
        <v>3250</v>
      </c>
      <c r="AG118" t="s">
        <v>3250</v>
      </c>
      <c r="AH118" t="s">
        <v>3250</v>
      </c>
      <c r="AI118" t="s">
        <v>3250</v>
      </c>
      <c r="AJ118" t="s">
        <v>3250</v>
      </c>
      <c r="AL118">
        <v>141</v>
      </c>
      <c r="AM118" t="s">
        <v>1327</v>
      </c>
      <c r="AN118">
        <v>141</v>
      </c>
      <c r="AO118" t="s">
        <v>1327</v>
      </c>
      <c r="AS118" t="s">
        <v>3250</v>
      </c>
      <c r="AT118" t="s">
        <v>3250</v>
      </c>
      <c r="AU118" t="s">
        <v>3250</v>
      </c>
      <c r="AV118" t="s">
        <v>3250</v>
      </c>
      <c r="AW118" t="s">
        <v>3250</v>
      </c>
      <c r="AX118" t="s">
        <v>3250</v>
      </c>
      <c r="AY118" t="s">
        <v>3250</v>
      </c>
      <c r="AZ118" t="s">
        <v>3250</v>
      </c>
      <c r="BA118" t="s">
        <v>3250</v>
      </c>
      <c r="BB118" t="s">
        <v>3250</v>
      </c>
      <c r="BC118" t="s">
        <v>3250</v>
      </c>
      <c r="BE118" t="s">
        <v>3250</v>
      </c>
      <c r="BF118" t="s">
        <v>3250</v>
      </c>
      <c r="BG118" t="s">
        <v>3250</v>
      </c>
      <c r="BH118" t="s">
        <v>3250</v>
      </c>
      <c r="BI118" t="s">
        <v>3250</v>
      </c>
      <c r="BK118" t="s">
        <v>3250</v>
      </c>
      <c r="BL118" t="s">
        <v>3250</v>
      </c>
      <c r="BM118" t="s">
        <v>3250</v>
      </c>
      <c r="BN118" t="s">
        <v>3250</v>
      </c>
      <c r="BP118">
        <v>1</v>
      </c>
      <c r="BQ118">
        <v>11</v>
      </c>
      <c r="BR118" t="s">
        <v>1574</v>
      </c>
      <c r="BS118" t="s">
        <v>3252</v>
      </c>
      <c r="BV118">
        <v>0</v>
      </c>
      <c r="BW118">
        <v>0</v>
      </c>
      <c r="BX118">
        <v>0</v>
      </c>
      <c r="BY118">
        <v>0</v>
      </c>
      <c r="BZ118">
        <v>0</v>
      </c>
      <c r="CA118">
        <v>0</v>
      </c>
      <c r="CB118">
        <v>0</v>
      </c>
      <c r="CC118">
        <v>0</v>
      </c>
      <c r="CD118">
        <v>0</v>
      </c>
      <c r="CE118" t="s">
        <v>3108</v>
      </c>
      <c r="CF118" t="s">
        <v>3108</v>
      </c>
      <c r="CG118" t="s">
        <v>3108</v>
      </c>
      <c r="CH118" t="s">
        <v>3108</v>
      </c>
    </row>
    <row r="119" spans="1:86" x14ac:dyDescent="0.2">
      <c r="A119" t="s">
        <v>3477</v>
      </c>
      <c r="B119" t="s">
        <v>3477</v>
      </c>
      <c r="C119">
        <v>30364</v>
      </c>
      <c r="D119">
        <v>1141</v>
      </c>
      <c r="E119" t="s">
        <v>3478</v>
      </c>
      <c r="F119" t="s">
        <v>3249</v>
      </c>
      <c r="G119" t="s">
        <v>3249</v>
      </c>
      <c r="H119" t="s">
        <v>3250</v>
      </c>
      <c r="I119" t="s">
        <v>3250</v>
      </c>
      <c r="J119" t="s">
        <v>3250</v>
      </c>
      <c r="K119" t="s">
        <v>3250</v>
      </c>
      <c r="L119">
        <v>1200</v>
      </c>
      <c r="M119" t="s">
        <v>2368</v>
      </c>
      <c r="N119">
        <v>1204</v>
      </c>
      <c r="O119" t="s">
        <v>1574</v>
      </c>
      <c r="P119" t="s">
        <v>3108</v>
      </c>
      <c r="Q119" t="s">
        <v>3249</v>
      </c>
      <c r="R119" t="s">
        <v>3249</v>
      </c>
      <c r="S119" t="s">
        <v>472</v>
      </c>
      <c r="T119" t="s">
        <v>3251</v>
      </c>
      <c r="U119">
        <v>140</v>
      </c>
      <c r="V119" t="s">
        <v>1327</v>
      </c>
      <c r="W119">
        <v>140</v>
      </c>
      <c r="X119" t="s">
        <v>1327</v>
      </c>
      <c r="Y119" t="s">
        <v>3250</v>
      </c>
      <c r="Z119" t="s">
        <v>3250</v>
      </c>
      <c r="AA119" t="s">
        <v>3108</v>
      </c>
      <c r="AB119" t="s">
        <v>3108</v>
      </c>
      <c r="AC119" t="s">
        <v>3250</v>
      </c>
      <c r="AD119" t="s">
        <v>3250</v>
      </c>
      <c r="AE119" t="s">
        <v>3250</v>
      </c>
      <c r="AF119" t="s">
        <v>3250</v>
      </c>
      <c r="AG119" t="s">
        <v>3250</v>
      </c>
      <c r="AH119" t="s">
        <v>3250</v>
      </c>
      <c r="AI119" t="s">
        <v>3250</v>
      </c>
      <c r="AJ119" t="s">
        <v>3250</v>
      </c>
      <c r="AL119">
        <v>141</v>
      </c>
      <c r="AM119" t="s">
        <v>1327</v>
      </c>
      <c r="AN119">
        <v>141</v>
      </c>
      <c r="AO119" t="s">
        <v>1327</v>
      </c>
      <c r="AS119" t="s">
        <v>3250</v>
      </c>
      <c r="AT119" t="s">
        <v>3250</v>
      </c>
      <c r="AU119" t="s">
        <v>3250</v>
      </c>
      <c r="AV119" t="s">
        <v>3250</v>
      </c>
      <c r="AW119" t="s">
        <v>3250</v>
      </c>
      <c r="AX119" t="s">
        <v>3250</v>
      </c>
      <c r="AY119" t="s">
        <v>3250</v>
      </c>
      <c r="AZ119" t="s">
        <v>3250</v>
      </c>
      <c r="BA119" t="s">
        <v>3250</v>
      </c>
      <c r="BB119" t="s">
        <v>3250</v>
      </c>
      <c r="BC119" t="s">
        <v>3250</v>
      </c>
      <c r="BE119" t="s">
        <v>3250</v>
      </c>
      <c r="BF119" t="s">
        <v>3250</v>
      </c>
      <c r="BG119" t="s">
        <v>3250</v>
      </c>
      <c r="BH119" t="s">
        <v>3250</v>
      </c>
      <c r="BI119" t="s">
        <v>3250</v>
      </c>
      <c r="BK119" t="s">
        <v>3250</v>
      </c>
      <c r="BL119" t="s">
        <v>3250</v>
      </c>
      <c r="BM119" t="s">
        <v>3250</v>
      </c>
      <c r="BN119" t="s">
        <v>3250</v>
      </c>
      <c r="BP119">
        <v>1</v>
      </c>
      <c r="BQ119">
        <v>11</v>
      </c>
      <c r="BR119" t="s">
        <v>1574</v>
      </c>
      <c r="BS119" t="s">
        <v>3252</v>
      </c>
      <c r="BV119">
        <v>0</v>
      </c>
      <c r="BW119">
        <v>0</v>
      </c>
      <c r="BX119">
        <v>0</v>
      </c>
      <c r="BY119">
        <v>0</v>
      </c>
      <c r="BZ119">
        <v>0</v>
      </c>
      <c r="CA119">
        <v>0</v>
      </c>
      <c r="CB119">
        <v>0</v>
      </c>
      <c r="CC119">
        <v>0</v>
      </c>
      <c r="CD119">
        <v>0</v>
      </c>
      <c r="CE119" t="s">
        <v>3108</v>
      </c>
      <c r="CF119" t="s">
        <v>3108</v>
      </c>
      <c r="CG119" t="s">
        <v>3108</v>
      </c>
      <c r="CH119" t="s">
        <v>3108</v>
      </c>
    </row>
    <row r="120" spans="1:86" x14ac:dyDescent="0.2">
      <c r="A120" t="s">
        <v>3479</v>
      </c>
      <c r="B120" t="s">
        <v>3479</v>
      </c>
      <c r="C120">
        <v>30365</v>
      </c>
      <c r="D120">
        <v>1142</v>
      </c>
      <c r="E120" t="s">
        <v>3480</v>
      </c>
      <c r="F120" t="s">
        <v>3249</v>
      </c>
      <c r="G120" t="s">
        <v>3249</v>
      </c>
      <c r="H120" t="s">
        <v>3250</v>
      </c>
      <c r="I120" t="s">
        <v>3250</v>
      </c>
      <c r="J120" t="s">
        <v>3250</v>
      </c>
      <c r="K120" t="s">
        <v>3250</v>
      </c>
      <c r="L120">
        <v>1200</v>
      </c>
      <c r="M120" t="s">
        <v>2368</v>
      </c>
      <c r="N120">
        <v>1204</v>
      </c>
      <c r="O120" t="s">
        <v>1574</v>
      </c>
      <c r="P120" t="s">
        <v>3108</v>
      </c>
      <c r="Q120" t="s">
        <v>3249</v>
      </c>
      <c r="R120" t="s">
        <v>3249</v>
      </c>
      <c r="S120" t="s">
        <v>472</v>
      </c>
      <c r="T120" t="s">
        <v>3251</v>
      </c>
      <c r="U120">
        <v>140</v>
      </c>
      <c r="V120" t="s">
        <v>1327</v>
      </c>
      <c r="W120">
        <v>140</v>
      </c>
      <c r="X120" t="s">
        <v>1327</v>
      </c>
      <c r="Y120" t="s">
        <v>3250</v>
      </c>
      <c r="Z120" t="s">
        <v>3250</v>
      </c>
      <c r="AA120" t="s">
        <v>3108</v>
      </c>
      <c r="AB120" t="s">
        <v>3108</v>
      </c>
      <c r="AC120" t="s">
        <v>3250</v>
      </c>
      <c r="AD120" t="s">
        <v>3250</v>
      </c>
      <c r="AE120" t="s">
        <v>3250</v>
      </c>
      <c r="AF120" t="s">
        <v>3250</v>
      </c>
      <c r="AG120" t="s">
        <v>3250</v>
      </c>
      <c r="AH120" t="s">
        <v>3250</v>
      </c>
      <c r="AI120" t="s">
        <v>3250</v>
      </c>
      <c r="AJ120" t="s">
        <v>3250</v>
      </c>
      <c r="AL120">
        <v>141</v>
      </c>
      <c r="AM120" t="s">
        <v>1327</v>
      </c>
      <c r="AN120">
        <v>141</v>
      </c>
      <c r="AO120" t="s">
        <v>1327</v>
      </c>
      <c r="AS120" t="s">
        <v>3250</v>
      </c>
      <c r="AT120" t="s">
        <v>3250</v>
      </c>
      <c r="AU120" t="s">
        <v>3250</v>
      </c>
      <c r="AV120" t="s">
        <v>3250</v>
      </c>
      <c r="AW120" t="s">
        <v>3250</v>
      </c>
      <c r="AX120" t="s">
        <v>3250</v>
      </c>
      <c r="AY120" t="s">
        <v>3250</v>
      </c>
      <c r="AZ120" t="s">
        <v>3250</v>
      </c>
      <c r="BA120" t="s">
        <v>3250</v>
      </c>
      <c r="BB120" t="s">
        <v>3250</v>
      </c>
      <c r="BC120" t="s">
        <v>3250</v>
      </c>
      <c r="BE120" t="s">
        <v>3250</v>
      </c>
      <c r="BF120" t="s">
        <v>3250</v>
      </c>
      <c r="BG120" t="s">
        <v>3250</v>
      </c>
      <c r="BH120" t="s">
        <v>3250</v>
      </c>
      <c r="BI120" t="s">
        <v>3250</v>
      </c>
      <c r="BK120" t="s">
        <v>3250</v>
      </c>
      <c r="BL120" t="s">
        <v>3250</v>
      </c>
      <c r="BM120" t="s">
        <v>3250</v>
      </c>
      <c r="BN120" t="s">
        <v>3250</v>
      </c>
      <c r="BP120">
        <v>1</v>
      </c>
      <c r="BQ120">
        <v>11</v>
      </c>
      <c r="BR120" t="s">
        <v>1574</v>
      </c>
      <c r="BS120" t="s">
        <v>3252</v>
      </c>
      <c r="BV120">
        <v>0</v>
      </c>
      <c r="BW120">
        <v>0</v>
      </c>
      <c r="BX120">
        <v>0</v>
      </c>
      <c r="BY120">
        <v>0</v>
      </c>
      <c r="BZ120">
        <v>0</v>
      </c>
      <c r="CA120">
        <v>0</v>
      </c>
      <c r="CB120">
        <v>0</v>
      </c>
      <c r="CC120">
        <v>0</v>
      </c>
      <c r="CD120">
        <v>0</v>
      </c>
      <c r="CE120" t="s">
        <v>3108</v>
      </c>
      <c r="CF120" t="s">
        <v>3108</v>
      </c>
      <c r="CG120" t="s">
        <v>3108</v>
      </c>
      <c r="CH120" t="s">
        <v>3108</v>
      </c>
    </row>
    <row r="121" spans="1:86" x14ac:dyDescent="0.2">
      <c r="A121" t="s">
        <v>3481</v>
      </c>
      <c r="B121" t="s">
        <v>3481</v>
      </c>
      <c r="C121">
        <v>30366</v>
      </c>
      <c r="D121">
        <v>1143</v>
      </c>
      <c r="E121" t="s">
        <v>3482</v>
      </c>
      <c r="F121" t="s">
        <v>3249</v>
      </c>
      <c r="G121" t="s">
        <v>3249</v>
      </c>
      <c r="H121" t="s">
        <v>3250</v>
      </c>
      <c r="I121" t="s">
        <v>3250</v>
      </c>
      <c r="J121" t="s">
        <v>3250</v>
      </c>
      <c r="K121" t="s">
        <v>3250</v>
      </c>
      <c r="L121">
        <v>1200</v>
      </c>
      <c r="M121" t="s">
        <v>2368</v>
      </c>
      <c r="N121">
        <v>1204</v>
      </c>
      <c r="O121" t="s">
        <v>1574</v>
      </c>
      <c r="P121" t="s">
        <v>3108</v>
      </c>
      <c r="Q121" t="s">
        <v>3249</v>
      </c>
      <c r="R121" t="s">
        <v>3249</v>
      </c>
      <c r="S121" t="s">
        <v>472</v>
      </c>
      <c r="T121" t="s">
        <v>3251</v>
      </c>
      <c r="U121">
        <v>140</v>
      </c>
      <c r="V121" t="s">
        <v>1327</v>
      </c>
      <c r="W121">
        <v>140</v>
      </c>
      <c r="X121" t="s">
        <v>1327</v>
      </c>
      <c r="Y121" t="s">
        <v>3250</v>
      </c>
      <c r="Z121" t="s">
        <v>3250</v>
      </c>
      <c r="AA121" t="s">
        <v>3108</v>
      </c>
      <c r="AB121" t="s">
        <v>3108</v>
      </c>
      <c r="AC121" t="s">
        <v>3250</v>
      </c>
      <c r="AD121" t="s">
        <v>3250</v>
      </c>
      <c r="AE121" t="s">
        <v>3250</v>
      </c>
      <c r="AF121" t="s">
        <v>3250</v>
      </c>
      <c r="AG121" t="s">
        <v>3250</v>
      </c>
      <c r="AH121" t="s">
        <v>3250</v>
      </c>
      <c r="AI121" t="s">
        <v>3250</v>
      </c>
      <c r="AJ121" t="s">
        <v>3250</v>
      </c>
      <c r="AL121">
        <v>146</v>
      </c>
      <c r="AM121" t="s">
        <v>5</v>
      </c>
      <c r="AN121">
        <v>146</v>
      </c>
      <c r="AO121" t="s">
        <v>5</v>
      </c>
      <c r="AS121" t="s">
        <v>3250</v>
      </c>
      <c r="AT121" t="s">
        <v>3250</v>
      </c>
      <c r="AU121" t="s">
        <v>3250</v>
      </c>
      <c r="AV121" t="s">
        <v>3250</v>
      </c>
      <c r="AW121" t="s">
        <v>3250</v>
      </c>
      <c r="AX121" t="s">
        <v>3250</v>
      </c>
      <c r="AY121" t="s">
        <v>3250</v>
      </c>
      <c r="AZ121" t="s">
        <v>3250</v>
      </c>
      <c r="BA121" t="s">
        <v>3250</v>
      </c>
      <c r="BB121" t="s">
        <v>3250</v>
      </c>
      <c r="BC121" t="s">
        <v>3250</v>
      </c>
      <c r="BE121" t="s">
        <v>3250</v>
      </c>
      <c r="BF121" t="s">
        <v>3250</v>
      </c>
      <c r="BG121" t="s">
        <v>3250</v>
      </c>
      <c r="BH121" t="s">
        <v>3250</v>
      </c>
      <c r="BI121" t="s">
        <v>3250</v>
      </c>
      <c r="BK121" t="s">
        <v>3250</v>
      </c>
      <c r="BL121" t="s">
        <v>3250</v>
      </c>
      <c r="BM121" t="s">
        <v>3250</v>
      </c>
      <c r="BN121" t="s">
        <v>3250</v>
      </c>
      <c r="BP121">
        <v>1</v>
      </c>
      <c r="BQ121">
        <v>11</v>
      </c>
      <c r="BR121" t="s">
        <v>1574</v>
      </c>
      <c r="BS121" t="s">
        <v>3252</v>
      </c>
      <c r="BV121">
        <v>0</v>
      </c>
      <c r="BW121">
        <v>0</v>
      </c>
      <c r="BX121">
        <v>0</v>
      </c>
      <c r="BY121">
        <v>0</v>
      </c>
      <c r="BZ121">
        <v>0</v>
      </c>
      <c r="CA121">
        <v>0</v>
      </c>
      <c r="CB121">
        <v>0</v>
      </c>
      <c r="CC121">
        <v>0</v>
      </c>
      <c r="CD121">
        <v>0</v>
      </c>
      <c r="CE121" t="s">
        <v>3108</v>
      </c>
      <c r="CF121" t="s">
        <v>3108</v>
      </c>
      <c r="CG121" t="s">
        <v>3108</v>
      </c>
      <c r="CH121" t="s">
        <v>3108</v>
      </c>
    </row>
    <row r="122" spans="1:86" x14ac:dyDescent="0.2">
      <c r="A122" t="s">
        <v>3483</v>
      </c>
      <c r="B122" t="s">
        <v>3483</v>
      </c>
      <c r="C122">
        <v>30367</v>
      </c>
      <c r="D122">
        <v>1144</v>
      </c>
      <c r="E122" t="s">
        <v>3484</v>
      </c>
      <c r="F122" t="s">
        <v>3249</v>
      </c>
      <c r="G122" t="s">
        <v>3249</v>
      </c>
      <c r="H122" t="s">
        <v>3250</v>
      </c>
      <c r="I122" t="s">
        <v>3250</v>
      </c>
      <c r="J122" t="s">
        <v>3250</v>
      </c>
      <c r="K122" t="s">
        <v>3250</v>
      </c>
      <c r="L122">
        <v>1200</v>
      </c>
      <c r="M122" t="s">
        <v>2368</v>
      </c>
      <c r="N122">
        <v>1204</v>
      </c>
      <c r="O122" t="s">
        <v>1574</v>
      </c>
      <c r="P122" t="s">
        <v>3108</v>
      </c>
      <c r="Q122" t="s">
        <v>3249</v>
      </c>
      <c r="R122" t="s">
        <v>3249</v>
      </c>
      <c r="S122" t="s">
        <v>472</v>
      </c>
      <c r="T122" t="s">
        <v>3251</v>
      </c>
      <c r="U122">
        <v>140</v>
      </c>
      <c r="V122" t="s">
        <v>1327</v>
      </c>
      <c r="W122">
        <v>140</v>
      </c>
      <c r="X122" t="s">
        <v>1327</v>
      </c>
      <c r="Y122" t="s">
        <v>3250</v>
      </c>
      <c r="Z122" t="s">
        <v>3250</v>
      </c>
      <c r="AA122" t="s">
        <v>3108</v>
      </c>
      <c r="AB122" t="s">
        <v>3108</v>
      </c>
      <c r="AC122" t="s">
        <v>3250</v>
      </c>
      <c r="AD122" t="s">
        <v>3250</v>
      </c>
      <c r="AE122" t="s">
        <v>3250</v>
      </c>
      <c r="AF122" t="s">
        <v>3250</v>
      </c>
      <c r="AG122" t="s">
        <v>3250</v>
      </c>
      <c r="AH122" t="s">
        <v>3250</v>
      </c>
      <c r="AI122" t="s">
        <v>3250</v>
      </c>
      <c r="AJ122" t="s">
        <v>3250</v>
      </c>
      <c r="AL122">
        <v>146</v>
      </c>
      <c r="AM122" t="s">
        <v>5</v>
      </c>
      <c r="AN122">
        <v>146</v>
      </c>
      <c r="AO122" t="s">
        <v>5</v>
      </c>
      <c r="AS122" t="s">
        <v>3250</v>
      </c>
      <c r="AT122" t="s">
        <v>3250</v>
      </c>
      <c r="AU122" t="s">
        <v>3250</v>
      </c>
      <c r="AV122" t="s">
        <v>3250</v>
      </c>
      <c r="AW122" t="s">
        <v>3250</v>
      </c>
      <c r="AX122" t="s">
        <v>3250</v>
      </c>
      <c r="AY122" t="s">
        <v>3250</v>
      </c>
      <c r="AZ122" t="s">
        <v>3250</v>
      </c>
      <c r="BA122" t="s">
        <v>3250</v>
      </c>
      <c r="BB122" t="s">
        <v>3250</v>
      </c>
      <c r="BC122" t="s">
        <v>3250</v>
      </c>
      <c r="BE122" t="s">
        <v>3250</v>
      </c>
      <c r="BF122" t="s">
        <v>3250</v>
      </c>
      <c r="BG122" t="s">
        <v>3250</v>
      </c>
      <c r="BH122" t="s">
        <v>3250</v>
      </c>
      <c r="BI122" t="s">
        <v>3250</v>
      </c>
      <c r="BK122" t="s">
        <v>3250</v>
      </c>
      <c r="BL122" t="s">
        <v>3250</v>
      </c>
      <c r="BM122" t="s">
        <v>3250</v>
      </c>
      <c r="BN122" t="s">
        <v>3250</v>
      </c>
      <c r="BP122">
        <v>1</v>
      </c>
      <c r="BQ122">
        <v>11</v>
      </c>
      <c r="BR122" t="s">
        <v>1574</v>
      </c>
      <c r="BS122" t="s">
        <v>3252</v>
      </c>
      <c r="BV122">
        <v>0</v>
      </c>
      <c r="BW122">
        <v>0</v>
      </c>
      <c r="BX122">
        <v>0</v>
      </c>
      <c r="BY122">
        <v>0</v>
      </c>
      <c r="BZ122">
        <v>0</v>
      </c>
      <c r="CA122">
        <v>0</v>
      </c>
      <c r="CB122">
        <v>0</v>
      </c>
      <c r="CC122">
        <v>0</v>
      </c>
      <c r="CD122">
        <v>0</v>
      </c>
      <c r="CE122" t="s">
        <v>3108</v>
      </c>
      <c r="CF122" t="s">
        <v>3108</v>
      </c>
      <c r="CG122" t="s">
        <v>3108</v>
      </c>
      <c r="CH122" t="s">
        <v>3108</v>
      </c>
    </row>
    <row r="123" spans="1:86" x14ac:dyDescent="0.2">
      <c r="A123" t="s">
        <v>3485</v>
      </c>
      <c r="B123" t="s">
        <v>3485</v>
      </c>
      <c r="C123">
        <v>30368</v>
      </c>
      <c r="D123">
        <v>1145</v>
      </c>
      <c r="E123" t="s">
        <v>3486</v>
      </c>
      <c r="F123" t="s">
        <v>3249</v>
      </c>
      <c r="G123" t="s">
        <v>3249</v>
      </c>
      <c r="H123" t="s">
        <v>3250</v>
      </c>
      <c r="I123" t="s">
        <v>3250</v>
      </c>
      <c r="J123" t="s">
        <v>3250</v>
      </c>
      <c r="K123" t="s">
        <v>3250</v>
      </c>
      <c r="L123">
        <v>1200</v>
      </c>
      <c r="M123" t="s">
        <v>2368</v>
      </c>
      <c r="N123">
        <v>1204</v>
      </c>
      <c r="O123" t="s">
        <v>1574</v>
      </c>
      <c r="P123" t="s">
        <v>3108</v>
      </c>
      <c r="Q123" t="s">
        <v>3249</v>
      </c>
      <c r="R123" t="s">
        <v>3249</v>
      </c>
      <c r="S123" t="s">
        <v>472</v>
      </c>
      <c r="T123" t="s">
        <v>3251</v>
      </c>
      <c r="U123">
        <v>140</v>
      </c>
      <c r="V123" t="s">
        <v>1327</v>
      </c>
      <c r="W123">
        <v>140</v>
      </c>
      <c r="X123" t="s">
        <v>1327</v>
      </c>
      <c r="Y123" t="s">
        <v>3250</v>
      </c>
      <c r="Z123" t="s">
        <v>3250</v>
      </c>
      <c r="AA123" t="s">
        <v>3108</v>
      </c>
      <c r="AB123" t="s">
        <v>3108</v>
      </c>
      <c r="AC123" t="s">
        <v>3250</v>
      </c>
      <c r="AD123" t="s">
        <v>3250</v>
      </c>
      <c r="AE123" t="s">
        <v>3250</v>
      </c>
      <c r="AF123" t="s">
        <v>3250</v>
      </c>
      <c r="AG123" t="s">
        <v>3250</v>
      </c>
      <c r="AH123" t="s">
        <v>3250</v>
      </c>
      <c r="AI123" t="s">
        <v>3250</v>
      </c>
      <c r="AJ123" t="s">
        <v>3250</v>
      </c>
      <c r="AL123">
        <v>141</v>
      </c>
      <c r="AM123" t="s">
        <v>1327</v>
      </c>
      <c r="AN123">
        <v>141</v>
      </c>
      <c r="AO123" t="s">
        <v>1327</v>
      </c>
      <c r="AS123" t="s">
        <v>3250</v>
      </c>
      <c r="AT123" t="s">
        <v>3250</v>
      </c>
      <c r="AU123" t="s">
        <v>3250</v>
      </c>
      <c r="AV123" t="s">
        <v>3250</v>
      </c>
      <c r="AW123" t="s">
        <v>3250</v>
      </c>
      <c r="AX123" t="s">
        <v>3250</v>
      </c>
      <c r="AY123" t="s">
        <v>3250</v>
      </c>
      <c r="AZ123" t="s">
        <v>3250</v>
      </c>
      <c r="BA123" t="s">
        <v>3250</v>
      </c>
      <c r="BB123" t="s">
        <v>3250</v>
      </c>
      <c r="BC123" t="s">
        <v>3250</v>
      </c>
      <c r="BE123" t="s">
        <v>3250</v>
      </c>
      <c r="BF123" t="s">
        <v>3250</v>
      </c>
      <c r="BG123" t="s">
        <v>3250</v>
      </c>
      <c r="BH123" t="s">
        <v>3250</v>
      </c>
      <c r="BI123" t="s">
        <v>3250</v>
      </c>
      <c r="BK123" t="s">
        <v>3250</v>
      </c>
      <c r="BL123" t="s">
        <v>3250</v>
      </c>
      <c r="BM123" t="s">
        <v>3250</v>
      </c>
      <c r="BN123" t="s">
        <v>3250</v>
      </c>
      <c r="BP123">
        <v>1</v>
      </c>
      <c r="BQ123">
        <v>11</v>
      </c>
      <c r="BR123" t="s">
        <v>1574</v>
      </c>
      <c r="BS123" t="s">
        <v>3252</v>
      </c>
      <c r="BV123">
        <v>0</v>
      </c>
      <c r="BW123">
        <v>0</v>
      </c>
      <c r="BX123">
        <v>0</v>
      </c>
      <c r="BY123">
        <v>0</v>
      </c>
      <c r="BZ123">
        <v>0</v>
      </c>
      <c r="CA123">
        <v>0</v>
      </c>
      <c r="CB123">
        <v>0</v>
      </c>
      <c r="CC123">
        <v>0</v>
      </c>
      <c r="CD123">
        <v>0</v>
      </c>
      <c r="CE123" t="s">
        <v>3108</v>
      </c>
      <c r="CF123" t="s">
        <v>3108</v>
      </c>
      <c r="CG123" t="s">
        <v>3108</v>
      </c>
      <c r="CH123" t="s">
        <v>3108</v>
      </c>
    </row>
    <row r="124" spans="1:86" x14ac:dyDescent="0.2">
      <c r="A124" t="s">
        <v>3487</v>
      </c>
      <c r="B124" t="s">
        <v>3487</v>
      </c>
      <c r="C124">
        <v>30369</v>
      </c>
      <c r="D124">
        <v>1473</v>
      </c>
      <c r="E124" t="s">
        <v>3488</v>
      </c>
      <c r="F124" t="s">
        <v>3249</v>
      </c>
      <c r="G124" t="s">
        <v>3249</v>
      </c>
      <c r="H124" t="s">
        <v>3250</v>
      </c>
      <c r="I124" t="s">
        <v>3250</v>
      </c>
      <c r="J124" t="s">
        <v>3250</v>
      </c>
      <c r="K124" t="s">
        <v>3250</v>
      </c>
      <c r="L124">
        <v>1200</v>
      </c>
      <c r="M124" t="s">
        <v>2368</v>
      </c>
      <c r="N124">
        <v>1204</v>
      </c>
      <c r="O124" t="s">
        <v>1574</v>
      </c>
      <c r="P124" t="s">
        <v>3108</v>
      </c>
      <c r="Q124" t="s">
        <v>3249</v>
      </c>
      <c r="R124" t="s">
        <v>3249</v>
      </c>
      <c r="S124" t="s">
        <v>472</v>
      </c>
      <c r="T124" t="s">
        <v>3251</v>
      </c>
      <c r="U124">
        <v>140</v>
      </c>
      <c r="V124" t="s">
        <v>1327</v>
      </c>
      <c r="W124">
        <v>140</v>
      </c>
      <c r="X124" t="s">
        <v>1327</v>
      </c>
      <c r="Y124" t="s">
        <v>3250</v>
      </c>
      <c r="Z124" t="s">
        <v>3250</v>
      </c>
      <c r="AA124" t="s">
        <v>3108</v>
      </c>
      <c r="AB124" t="s">
        <v>3108</v>
      </c>
      <c r="AC124" t="s">
        <v>3250</v>
      </c>
      <c r="AD124" t="s">
        <v>3250</v>
      </c>
      <c r="AE124" t="s">
        <v>3250</v>
      </c>
      <c r="AF124" t="s">
        <v>3250</v>
      </c>
      <c r="AG124" t="s">
        <v>3250</v>
      </c>
      <c r="AH124" t="s">
        <v>3250</v>
      </c>
      <c r="AI124" t="s">
        <v>3250</v>
      </c>
      <c r="AJ124" t="s">
        <v>3250</v>
      </c>
      <c r="AL124">
        <v>141</v>
      </c>
      <c r="AM124" t="s">
        <v>1327</v>
      </c>
      <c r="AN124">
        <v>141</v>
      </c>
      <c r="AO124" t="s">
        <v>1327</v>
      </c>
      <c r="AS124" t="s">
        <v>3250</v>
      </c>
      <c r="AT124" t="s">
        <v>3250</v>
      </c>
      <c r="AU124" t="s">
        <v>3250</v>
      </c>
      <c r="AV124" t="s">
        <v>3250</v>
      </c>
      <c r="AW124" t="s">
        <v>3250</v>
      </c>
      <c r="AX124" t="s">
        <v>3250</v>
      </c>
      <c r="AY124" t="s">
        <v>3250</v>
      </c>
      <c r="AZ124" t="s">
        <v>3250</v>
      </c>
      <c r="BA124" t="s">
        <v>3250</v>
      </c>
      <c r="BB124" t="s">
        <v>3250</v>
      </c>
      <c r="BC124" t="s">
        <v>3250</v>
      </c>
      <c r="BE124" t="s">
        <v>3250</v>
      </c>
      <c r="BF124" t="s">
        <v>3250</v>
      </c>
      <c r="BG124" t="s">
        <v>3250</v>
      </c>
      <c r="BH124" t="s">
        <v>3250</v>
      </c>
      <c r="BI124" t="s">
        <v>3250</v>
      </c>
      <c r="BK124" t="s">
        <v>3250</v>
      </c>
      <c r="BL124" t="s">
        <v>3250</v>
      </c>
      <c r="BM124" t="s">
        <v>3250</v>
      </c>
      <c r="BN124" t="s">
        <v>3250</v>
      </c>
      <c r="BP124">
        <v>1</v>
      </c>
      <c r="BQ124">
        <v>11</v>
      </c>
      <c r="BR124" t="s">
        <v>1574</v>
      </c>
      <c r="BS124" t="s">
        <v>3252</v>
      </c>
      <c r="BV124">
        <v>0</v>
      </c>
      <c r="BW124">
        <v>0</v>
      </c>
      <c r="BX124">
        <v>0</v>
      </c>
      <c r="BY124">
        <v>0</v>
      </c>
      <c r="BZ124">
        <v>0</v>
      </c>
      <c r="CA124">
        <v>0</v>
      </c>
      <c r="CB124">
        <v>0</v>
      </c>
      <c r="CC124">
        <v>0</v>
      </c>
      <c r="CD124">
        <v>0</v>
      </c>
      <c r="CE124" t="s">
        <v>3108</v>
      </c>
      <c r="CF124" t="s">
        <v>3108</v>
      </c>
      <c r="CG124" t="s">
        <v>3108</v>
      </c>
      <c r="CH124" t="s">
        <v>3108</v>
      </c>
    </row>
    <row r="125" spans="1:86" x14ac:dyDescent="0.2">
      <c r="A125" t="s">
        <v>3489</v>
      </c>
      <c r="B125" t="s">
        <v>3489</v>
      </c>
      <c r="C125">
        <v>30370</v>
      </c>
      <c r="D125">
        <v>1147</v>
      </c>
      <c r="E125" t="s">
        <v>3490</v>
      </c>
      <c r="F125" t="s">
        <v>3249</v>
      </c>
      <c r="G125" t="s">
        <v>3249</v>
      </c>
      <c r="H125" t="s">
        <v>3250</v>
      </c>
      <c r="I125" t="s">
        <v>3250</v>
      </c>
      <c r="J125" t="s">
        <v>3250</v>
      </c>
      <c r="K125" t="s">
        <v>3250</v>
      </c>
      <c r="L125">
        <v>1200</v>
      </c>
      <c r="M125" t="s">
        <v>2368</v>
      </c>
      <c r="N125">
        <v>1204</v>
      </c>
      <c r="O125" t="s">
        <v>1574</v>
      </c>
      <c r="P125" t="s">
        <v>3108</v>
      </c>
      <c r="Q125" t="s">
        <v>3249</v>
      </c>
      <c r="R125" t="s">
        <v>3249</v>
      </c>
      <c r="S125" t="s">
        <v>472</v>
      </c>
      <c r="T125" t="s">
        <v>3251</v>
      </c>
      <c r="U125">
        <v>140</v>
      </c>
      <c r="V125" t="s">
        <v>1327</v>
      </c>
      <c r="W125">
        <v>140</v>
      </c>
      <c r="X125" t="s">
        <v>1327</v>
      </c>
      <c r="Y125" t="s">
        <v>3250</v>
      </c>
      <c r="Z125" t="s">
        <v>3250</v>
      </c>
      <c r="AA125" t="s">
        <v>3108</v>
      </c>
      <c r="AB125" t="s">
        <v>3108</v>
      </c>
      <c r="AC125" t="s">
        <v>3250</v>
      </c>
      <c r="AD125" t="s">
        <v>3250</v>
      </c>
      <c r="AE125" t="s">
        <v>3250</v>
      </c>
      <c r="AF125" t="s">
        <v>3250</v>
      </c>
      <c r="AG125" t="s">
        <v>3250</v>
      </c>
      <c r="AH125" t="s">
        <v>3250</v>
      </c>
      <c r="AI125" t="s">
        <v>3250</v>
      </c>
      <c r="AJ125" t="s">
        <v>3250</v>
      </c>
      <c r="AL125">
        <v>147</v>
      </c>
      <c r="AM125" t="s">
        <v>6</v>
      </c>
      <c r="AN125">
        <v>147</v>
      </c>
      <c r="AO125" t="s">
        <v>6</v>
      </c>
      <c r="AS125" t="s">
        <v>3250</v>
      </c>
      <c r="AT125" t="s">
        <v>3250</v>
      </c>
      <c r="AU125" t="s">
        <v>3250</v>
      </c>
      <c r="AV125" t="s">
        <v>3250</v>
      </c>
      <c r="AW125" t="s">
        <v>3250</v>
      </c>
      <c r="AX125" t="s">
        <v>3250</v>
      </c>
      <c r="AY125" t="s">
        <v>3250</v>
      </c>
      <c r="AZ125" t="s">
        <v>3250</v>
      </c>
      <c r="BA125" t="s">
        <v>3250</v>
      </c>
      <c r="BB125" t="s">
        <v>3250</v>
      </c>
      <c r="BC125" t="s">
        <v>3250</v>
      </c>
      <c r="BE125" t="s">
        <v>3250</v>
      </c>
      <c r="BF125" t="s">
        <v>3250</v>
      </c>
      <c r="BG125" t="s">
        <v>3250</v>
      </c>
      <c r="BH125" t="s">
        <v>3250</v>
      </c>
      <c r="BI125" t="s">
        <v>3250</v>
      </c>
      <c r="BK125" t="s">
        <v>3250</v>
      </c>
      <c r="BL125" t="s">
        <v>3250</v>
      </c>
      <c r="BM125" t="s">
        <v>3250</v>
      </c>
      <c r="BN125" t="s">
        <v>3250</v>
      </c>
      <c r="BP125">
        <v>1</v>
      </c>
      <c r="BQ125">
        <v>11</v>
      </c>
      <c r="BR125" t="s">
        <v>1574</v>
      </c>
      <c r="BS125" t="s">
        <v>3252</v>
      </c>
      <c r="BV125">
        <v>0</v>
      </c>
      <c r="BW125">
        <v>0</v>
      </c>
      <c r="BX125">
        <v>0</v>
      </c>
      <c r="BY125">
        <v>0</v>
      </c>
      <c r="BZ125">
        <v>0</v>
      </c>
      <c r="CA125">
        <v>0</v>
      </c>
      <c r="CB125">
        <v>0</v>
      </c>
      <c r="CC125">
        <v>0</v>
      </c>
      <c r="CD125">
        <v>0</v>
      </c>
      <c r="CE125" t="s">
        <v>3108</v>
      </c>
      <c r="CF125" t="s">
        <v>3108</v>
      </c>
      <c r="CG125" t="s">
        <v>3108</v>
      </c>
      <c r="CH125" t="s">
        <v>3108</v>
      </c>
    </row>
    <row r="126" spans="1:86" x14ac:dyDescent="0.2">
      <c r="A126" t="s">
        <v>3491</v>
      </c>
      <c r="B126" t="s">
        <v>3491</v>
      </c>
      <c r="C126">
        <v>30371</v>
      </c>
      <c r="D126">
        <v>1148</v>
      </c>
      <c r="E126" t="s">
        <v>3492</v>
      </c>
      <c r="F126" t="s">
        <v>3249</v>
      </c>
      <c r="G126" t="s">
        <v>3249</v>
      </c>
      <c r="H126" t="s">
        <v>3250</v>
      </c>
      <c r="I126" t="s">
        <v>3250</v>
      </c>
      <c r="J126" t="s">
        <v>3250</v>
      </c>
      <c r="K126" t="s">
        <v>3250</v>
      </c>
      <c r="L126">
        <v>1200</v>
      </c>
      <c r="M126" t="s">
        <v>2368</v>
      </c>
      <c r="N126">
        <v>1204</v>
      </c>
      <c r="O126" t="s">
        <v>1574</v>
      </c>
      <c r="P126" t="s">
        <v>3108</v>
      </c>
      <c r="Q126" t="s">
        <v>3249</v>
      </c>
      <c r="R126" t="s">
        <v>3249</v>
      </c>
      <c r="S126" t="s">
        <v>472</v>
      </c>
      <c r="T126" t="s">
        <v>3251</v>
      </c>
      <c r="U126">
        <v>140</v>
      </c>
      <c r="V126" t="s">
        <v>1327</v>
      </c>
      <c r="W126">
        <v>140</v>
      </c>
      <c r="X126" t="s">
        <v>1327</v>
      </c>
      <c r="Y126" t="s">
        <v>3250</v>
      </c>
      <c r="Z126" t="s">
        <v>3250</v>
      </c>
      <c r="AA126" t="s">
        <v>3108</v>
      </c>
      <c r="AB126" t="s">
        <v>3108</v>
      </c>
      <c r="AC126" t="s">
        <v>3250</v>
      </c>
      <c r="AD126" t="s">
        <v>3250</v>
      </c>
      <c r="AE126" t="s">
        <v>3250</v>
      </c>
      <c r="AF126" t="s">
        <v>3250</v>
      </c>
      <c r="AG126" t="s">
        <v>3250</v>
      </c>
      <c r="AH126" t="s">
        <v>3250</v>
      </c>
      <c r="AI126" t="s">
        <v>3250</v>
      </c>
      <c r="AJ126" t="s">
        <v>3250</v>
      </c>
      <c r="AL126">
        <v>141</v>
      </c>
      <c r="AM126" t="s">
        <v>1327</v>
      </c>
      <c r="AN126">
        <v>141</v>
      </c>
      <c r="AO126" t="s">
        <v>1327</v>
      </c>
      <c r="AS126" t="s">
        <v>3250</v>
      </c>
      <c r="AT126" t="s">
        <v>3250</v>
      </c>
      <c r="AU126" t="s">
        <v>3250</v>
      </c>
      <c r="AV126" t="s">
        <v>3250</v>
      </c>
      <c r="AW126" t="s">
        <v>3250</v>
      </c>
      <c r="AX126" t="s">
        <v>3250</v>
      </c>
      <c r="AY126" t="s">
        <v>3250</v>
      </c>
      <c r="AZ126" t="s">
        <v>3250</v>
      </c>
      <c r="BA126" t="s">
        <v>3250</v>
      </c>
      <c r="BB126" t="s">
        <v>3250</v>
      </c>
      <c r="BC126" t="s">
        <v>3250</v>
      </c>
      <c r="BE126" t="s">
        <v>3250</v>
      </c>
      <c r="BF126" t="s">
        <v>3250</v>
      </c>
      <c r="BG126" t="s">
        <v>3250</v>
      </c>
      <c r="BH126" t="s">
        <v>3250</v>
      </c>
      <c r="BI126" t="s">
        <v>3250</v>
      </c>
      <c r="BK126" t="s">
        <v>3250</v>
      </c>
      <c r="BL126" t="s">
        <v>3250</v>
      </c>
      <c r="BM126" t="s">
        <v>3250</v>
      </c>
      <c r="BN126" t="s">
        <v>3250</v>
      </c>
      <c r="BP126">
        <v>1</v>
      </c>
      <c r="BQ126">
        <v>11</v>
      </c>
      <c r="BR126" t="s">
        <v>1574</v>
      </c>
      <c r="BS126" t="s">
        <v>3252</v>
      </c>
      <c r="BV126">
        <v>0</v>
      </c>
      <c r="BW126">
        <v>0</v>
      </c>
      <c r="BX126">
        <v>0</v>
      </c>
      <c r="BY126">
        <v>0</v>
      </c>
      <c r="BZ126">
        <v>0</v>
      </c>
      <c r="CA126">
        <v>0</v>
      </c>
      <c r="CB126">
        <v>0</v>
      </c>
      <c r="CC126">
        <v>0</v>
      </c>
      <c r="CD126">
        <v>0</v>
      </c>
      <c r="CE126" t="s">
        <v>3108</v>
      </c>
      <c r="CF126" t="s">
        <v>3108</v>
      </c>
      <c r="CG126" t="s">
        <v>3108</v>
      </c>
      <c r="CH126" t="s">
        <v>3108</v>
      </c>
    </row>
    <row r="127" spans="1:86" x14ac:dyDescent="0.2">
      <c r="A127" t="s">
        <v>3493</v>
      </c>
      <c r="B127" t="s">
        <v>3493</v>
      </c>
      <c r="C127">
        <v>30373</v>
      </c>
      <c r="D127">
        <v>1150</v>
      </c>
      <c r="E127" t="s">
        <v>3494</v>
      </c>
      <c r="F127" t="s">
        <v>3249</v>
      </c>
      <c r="G127" t="s">
        <v>3249</v>
      </c>
      <c r="H127" t="s">
        <v>3250</v>
      </c>
      <c r="I127" t="s">
        <v>3250</v>
      </c>
      <c r="J127" t="s">
        <v>3250</v>
      </c>
      <c r="K127" t="s">
        <v>3250</v>
      </c>
      <c r="L127">
        <v>1200</v>
      </c>
      <c r="M127" t="s">
        <v>2368</v>
      </c>
      <c r="N127">
        <v>1204</v>
      </c>
      <c r="O127" t="s">
        <v>1574</v>
      </c>
      <c r="P127" t="s">
        <v>3108</v>
      </c>
      <c r="Q127" t="s">
        <v>3249</v>
      </c>
      <c r="R127" t="s">
        <v>3249</v>
      </c>
      <c r="S127" t="s">
        <v>472</v>
      </c>
      <c r="T127" t="s">
        <v>3251</v>
      </c>
      <c r="U127">
        <v>140</v>
      </c>
      <c r="V127" t="s">
        <v>1327</v>
      </c>
      <c r="W127">
        <v>140</v>
      </c>
      <c r="X127" t="s">
        <v>1327</v>
      </c>
      <c r="Y127" t="s">
        <v>3250</v>
      </c>
      <c r="Z127" t="s">
        <v>3250</v>
      </c>
      <c r="AA127" t="s">
        <v>3108</v>
      </c>
      <c r="AB127" t="s">
        <v>3108</v>
      </c>
      <c r="AC127" t="s">
        <v>3250</v>
      </c>
      <c r="AD127" t="s">
        <v>3250</v>
      </c>
      <c r="AE127" t="s">
        <v>3250</v>
      </c>
      <c r="AF127" t="s">
        <v>3250</v>
      </c>
      <c r="AG127" t="s">
        <v>3250</v>
      </c>
      <c r="AH127" t="s">
        <v>3250</v>
      </c>
      <c r="AI127" t="s">
        <v>3250</v>
      </c>
      <c r="AJ127" t="s">
        <v>3250</v>
      </c>
      <c r="AL127">
        <v>141</v>
      </c>
      <c r="AM127" t="s">
        <v>1327</v>
      </c>
      <c r="AN127">
        <v>141</v>
      </c>
      <c r="AO127" t="s">
        <v>1327</v>
      </c>
      <c r="AS127" t="s">
        <v>3250</v>
      </c>
      <c r="AT127" t="s">
        <v>3250</v>
      </c>
      <c r="AU127" t="s">
        <v>3250</v>
      </c>
      <c r="AV127" t="s">
        <v>3250</v>
      </c>
      <c r="AW127" t="s">
        <v>3250</v>
      </c>
      <c r="AX127" t="s">
        <v>3250</v>
      </c>
      <c r="AY127" t="s">
        <v>3250</v>
      </c>
      <c r="AZ127" t="s">
        <v>3250</v>
      </c>
      <c r="BA127" t="s">
        <v>3250</v>
      </c>
      <c r="BB127" t="s">
        <v>3250</v>
      </c>
      <c r="BC127" t="s">
        <v>3250</v>
      </c>
      <c r="BE127" t="s">
        <v>3250</v>
      </c>
      <c r="BF127" t="s">
        <v>3250</v>
      </c>
      <c r="BG127" t="s">
        <v>3250</v>
      </c>
      <c r="BH127" t="s">
        <v>3250</v>
      </c>
      <c r="BI127" t="s">
        <v>3250</v>
      </c>
      <c r="BK127" t="s">
        <v>3250</v>
      </c>
      <c r="BL127" t="s">
        <v>3250</v>
      </c>
      <c r="BM127" t="s">
        <v>3250</v>
      </c>
      <c r="BN127" t="s">
        <v>3250</v>
      </c>
      <c r="BP127">
        <v>1</v>
      </c>
      <c r="BQ127">
        <v>11</v>
      </c>
      <c r="BR127" t="s">
        <v>1574</v>
      </c>
      <c r="BS127" t="s">
        <v>3252</v>
      </c>
      <c r="BV127">
        <v>0</v>
      </c>
      <c r="BW127">
        <v>0</v>
      </c>
      <c r="BX127">
        <v>0</v>
      </c>
      <c r="BY127">
        <v>0</v>
      </c>
      <c r="BZ127">
        <v>0</v>
      </c>
      <c r="CA127">
        <v>0</v>
      </c>
      <c r="CB127">
        <v>0</v>
      </c>
      <c r="CC127">
        <v>0</v>
      </c>
      <c r="CD127">
        <v>0</v>
      </c>
      <c r="CE127" t="s">
        <v>3108</v>
      </c>
      <c r="CF127" t="s">
        <v>3108</v>
      </c>
      <c r="CG127" t="s">
        <v>3108</v>
      </c>
      <c r="CH127" t="s">
        <v>3108</v>
      </c>
    </row>
    <row r="128" spans="1:86" x14ac:dyDescent="0.2">
      <c r="A128" t="s">
        <v>3495</v>
      </c>
      <c r="B128" t="s">
        <v>3495</v>
      </c>
      <c r="C128">
        <v>30382</v>
      </c>
      <c r="D128">
        <v>1151</v>
      </c>
      <c r="E128" t="s">
        <v>3496</v>
      </c>
      <c r="F128" t="s">
        <v>3249</v>
      </c>
      <c r="G128" t="s">
        <v>3249</v>
      </c>
      <c r="H128" t="s">
        <v>3250</v>
      </c>
      <c r="I128" t="s">
        <v>3250</v>
      </c>
      <c r="J128" t="s">
        <v>3250</v>
      </c>
      <c r="K128" t="s">
        <v>3250</v>
      </c>
      <c r="L128">
        <v>1200</v>
      </c>
      <c r="M128" t="s">
        <v>2368</v>
      </c>
      <c r="N128">
        <v>1204</v>
      </c>
      <c r="O128" t="s">
        <v>1574</v>
      </c>
      <c r="P128" t="s">
        <v>3108</v>
      </c>
      <c r="Q128" t="s">
        <v>3249</v>
      </c>
      <c r="R128" t="s">
        <v>3249</v>
      </c>
      <c r="S128" t="s">
        <v>472</v>
      </c>
      <c r="T128" t="s">
        <v>3251</v>
      </c>
      <c r="U128">
        <v>140</v>
      </c>
      <c r="V128" t="s">
        <v>1327</v>
      </c>
      <c r="W128">
        <v>140</v>
      </c>
      <c r="X128" t="s">
        <v>1327</v>
      </c>
      <c r="Y128" t="s">
        <v>3250</v>
      </c>
      <c r="Z128" t="s">
        <v>3250</v>
      </c>
      <c r="AA128" t="s">
        <v>3108</v>
      </c>
      <c r="AB128" t="s">
        <v>3108</v>
      </c>
      <c r="AC128" t="s">
        <v>3250</v>
      </c>
      <c r="AD128" t="s">
        <v>3250</v>
      </c>
      <c r="AE128" t="s">
        <v>3250</v>
      </c>
      <c r="AF128" t="s">
        <v>3250</v>
      </c>
      <c r="AG128" t="s">
        <v>3250</v>
      </c>
      <c r="AH128" t="s">
        <v>3250</v>
      </c>
      <c r="AI128" t="s">
        <v>3250</v>
      </c>
      <c r="AJ128" t="s">
        <v>3250</v>
      </c>
      <c r="AL128">
        <v>146</v>
      </c>
      <c r="AM128" t="s">
        <v>5</v>
      </c>
      <c r="AN128">
        <v>146</v>
      </c>
      <c r="AO128" t="s">
        <v>5</v>
      </c>
      <c r="AS128" t="s">
        <v>3250</v>
      </c>
      <c r="AT128" t="s">
        <v>3250</v>
      </c>
      <c r="AU128" t="s">
        <v>3250</v>
      </c>
      <c r="AV128" t="s">
        <v>3250</v>
      </c>
      <c r="AW128" t="s">
        <v>3250</v>
      </c>
      <c r="AX128" t="s">
        <v>3250</v>
      </c>
      <c r="AY128" t="s">
        <v>3250</v>
      </c>
      <c r="AZ128" t="s">
        <v>3250</v>
      </c>
      <c r="BA128" t="s">
        <v>3250</v>
      </c>
      <c r="BB128" t="s">
        <v>3250</v>
      </c>
      <c r="BC128" t="s">
        <v>3250</v>
      </c>
      <c r="BE128" t="s">
        <v>3250</v>
      </c>
      <c r="BF128" t="s">
        <v>3250</v>
      </c>
      <c r="BG128" t="s">
        <v>3250</v>
      </c>
      <c r="BH128" t="s">
        <v>3250</v>
      </c>
      <c r="BI128" t="s">
        <v>3250</v>
      </c>
      <c r="BK128" t="s">
        <v>3250</v>
      </c>
      <c r="BL128" t="s">
        <v>3250</v>
      </c>
      <c r="BM128" t="s">
        <v>3250</v>
      </c>
      <c r="BN128" t="s">
        <v>3250</v>
      </c>
      <c r="BP128">
        <v>1</v>
      </c>
      <c r="BQ128">
        <v>11</v>
      </c>
      <c r="BR128" t="s">
        <v>1574</v>
      </c>
      <c r="BS128" t="s">
        <v>3252</v>
      </c>
      <c r="BV128">
        <v>0</v>
      </c>
      <c r="BW128">
        <v>0</v>
      </c>
      <c r="BX128">
        <v>0</v>
      </c>
      <c r="BY128">
        <v>0</v>
      </c>
      <c r="BZ128">
        <v>0</v>
      </c>
      <c r="CA128">
        <v>0</v>
      </c>
      <c r="CB128">
        <v>0</v>
      </c>
      <c r="CC128">
        <v>0</v>
      </c>
      <c r="CD128">
        <v>0</v>
      </c>
      <c r="CE128" t="s">
        <v>3108</v>
      </c>
      <c r="CF128" t="s">
        <v>3108</v>
      </c>
      <c r="CG128" t="s">
        <v>3108</v>
      </c>
      <c r="CH128" t="s">
        <v>3108</v>
      </c>
    </row>
    <row r="129" spans="1:86" x14ac:dyDescent="0.2">
      <c r="A129" t="s">
        <v>3497</v>
      </c>
      <c r="B129" t="s">
        <v>3497</v>
      </c>
      <c r="C129">
        <v>30383</v>
      </c>
      <c r="D129">
        <v>1152</v>
      </c>
      <c r="E129" t="s">
        <v>3498</v>
      </c>
      <c r="F129" t="s">
        <v>3249</v>
      </c>
      <c r="G129" t="s">
        <v>3249</v>
      </c>
      <c r="H129" t="s">
        <v>3250</v>
      </c>
      <c r="I129" t="s">
        <v>3250</v>
      </c>
      <c r="J129" t="s">
        <v>3250</v>
      </c>
      <c r="K129" t="s">
        <v>3250</v>
      </c>
      <c r="L129">
        <v>1200</v>
      </c>
      <c r="M129" t="s">
        <v>2368</v>
      </c>
      <c r="N129">
        <v>1204</v>
      </c>
      <c r="O129" t="s">
        <v>1574</v>
      </c>
      <c r="P129" t="s">
        <v>3108</v>
      </c>
      <c r="Q129" t="s">
        <v>3249</v>
      </c>
      <c r="R129" t="s">
        <v>3249</v>
      </c>
      <c r="S129" t="s">
        <v>472</v>
      </c>
      <c r="T129" t="s">
        <v>3251</v>
      </c>
      <c r="U129">
        <v>140</v>
      </c>
      <c r="V129" t="s">
        <v>1327</v>
      </c>
      <c r="W129">
        <v>140</v>
      </c>
      <c r="X129" t="s">
        <v>1327</v>
      </c>
      <c r="Y129" t="s">
        <v>3250</v>
      </c>
      <c r="Z129" t="s">
        <v>3250</v>
      </c>
      <c r="AA129" t="s">
        <v>3108</v>
      </c>
      <c r="AB129" t="s">
        <v>3108</v>
      </c>
      <c r="AC129" t="s">
        <v>3250</v>
      </c>
      <c r="AD129" t="s">
        <v>3250</v>
      </c>
      <c r="AE129" t="s">
        <v>3250</v>
      </c>
      <c r="AF129" t="s">
        <v>3250</v>
      </c>
      <c r="AG129" t="s">
        <v>3250</v>
      </c>
      <c r="AH129" t="s">
        <v>3250</v>
      </c>
      <c r="AI129" t="s">
        <v>3250</v>
      </c>
      <c r="AJ129" t="s">
        <v>3250</v>
      </c>
      <c r="AL129">
        <v>146</v>
      </c>
      <c r="AM129" t="s">
        <v>5</v>
      </c>
      <c r="AN129">
        <v>146</v>
      </c>
      <c r="AO129" t="s">
        <v>5</v>
      </c>
      <c r="AS129" t="s">
        <v>3250</v>
      </c>
      <c r="AT129" t="s">
        <v>3250</v>
      </c>
      <c r="AU129" t="s">
        <v>3250</v>
      </c>
      <c r="AV129" t="s">
        <v>3250</v>
      </c>
      <c r="AW129" t="s">
        <v>3250</v>
      </c>
      <c r="AX129" t="s">
        <v>3250</v>
      </c>
      <c r="AY129" t="s">
        <v>3250</v>
      </c>
      <c r="AZ129" t="s">
        <v>3250</v>
      </c>
      <c r="BA129" t="s">
        <v>3250</v>
      </c>
      <c r="BB129" t="s">
        <v>3250</v>
      </c>
      <c r="BC129" t="s">
        <v>3250</v>
      </c>
      <c r="BE129" t="s">
        <v>3250</v>
      </c>
      <c r="BF129" t="s">
        <v>3250</v>
      </c>
      <c r="BG129" t="s">
        <v>3250</v>
      </c>
      <c r="BH129" t="s">
        <v>3250</v>
      </c>
      <c r="BI129" t="s">
        <v>3250</v>
      </c>
      <c r="BK129" t="s">
        <v>3250</v>
      </c>
      <c r="BL129" t="s">
        <v>3250</v>
      </c>
      <c r="BM129" t="s">
        <v>3250</v>
      </c>
      <c r="BN129" t="s">
        <v>3250</v>
      </c>
      <c r="BP129">
        <v>1</v>
      </c>
      <c r="BQ129">
        <v>11</v>
      </c>
      <c r="BR129" t="s">
        <v>1574</v>
      </c>
      <c r="BS129" t="s">
        <v>3252</v>
      </c>
      <c r="BV129">
        <v>0</v>
      </c>
      <c r="BW129">
        <v>0</v>
      </c>
      <c r="BX129">
        <v>0</v>
      </c>
      <c r="BY129">
        <v>0</v>
      </c>
      <c r="BZ129">
        <v>0</v>
      </c>
      <c r="CA129">
        <v>0</v>
      </c>
      <c r="CB129">
        <v>0</v>
      </c>
      <c r="CC129">
        <v>0</v>
      </c>
      <c r="CD129">
        <v>0</v>
      </c>
      <c r="CE129" t="s">
        <v>3108</v>
      </c>
      <c r="CF129" t="s">
        <v>3108</v>
      </c>
      <c r="CG129" t="s">
        <v>3108</v>
      </c>
      <c r="CH129" t="s">
        <v>3108</v>
      </c>
    </row>
    <row r="130" spans="1:86" x14ac:dyDescent="0.2">
      <c r="A130" t="s">
        <v>3499</v>
      </c>
      <c r="B130" t="s">
        <v>3499</v>
      </c>
      <c r="C130">
        <v>30384</v>
      </c>
      <c r="D130">
        <v>1153</v>
      </c>
      <c r="E130" t="s">
        <v>3500</v>
      </c>
      <c r="F130" t="s">
        <v>3249</v>
      </c>
      <c r="G130" t="s">
        <v>3249</v>
      </c>
      <c r="H130" t="s">
        <v>3250</v>
      </c>
      <c r="I130" t="s">
        <v>3250</v>
      </c>
      <c r="J130" t="s">
        <v>3250</v>
      </c>
      <c r="K130" t="s">
        <v>3250</v>
      </c>
      <c r="L130">
        <v>1200</v>
      </c>
      <c r="M130" t="s">
        <v>2368</v>
      </c>
      <c r="N130">
        <v>1204</v>
      </c>
      <c r="O130" t="s">
        <v>1574</v>
      </c>
      <c r="P130" t="s">
        <v>3108</v>
      </c>
      <c r="Q130" t="s">
        <v>3249</v>
      </c>
      <c r="R130" t="s">
        <v>3249</v>
      </c>
      <c r="S130" t="s">
        <v>472</v>
      </c>
      <c r="T130" t="s">
        <v>3251</v>
      </c>
      <c r="U130">
        <v>140</v>
      </c>
      <c r="V130" t="s">
        <v>1327</v>
      </c>
      <c r="W130">
        <v>140</v>
      </c>
      <c r="X130" t="s">
        <v>1327</v>
      </c>
      <c r="Y130" t="s">
        <v>3250</v>
      </c>
      <c r="Z130" t="s">
        <v>3250</v>
      </c>
      <c r="AA130" t="s">
        <v>3108</v>
      </c>
      <c r="AB130" t="s">
        <v>3108</v>
      </c>
      <c r="AC130" t="s">
        <v>3250</v>
      </c>
      <c r="AD130" t="s">
        <v>3250</v>
      </c>
      <c r="AE130" t="s">
        <v>3250</v>
      </c>
      <c r="AF130" t="s">
        <v>3250</v>
      </c>
      <c r="AG130" t="s">
        <v>3250</v>
      </c>
      <c r="AH130" t="s">
        <v>3250</v>
      </c>
      <c r="AI130" t="s">
        <v>3250</v>
      </c>
      <c r="AJ130" t="s">
        <v>3250</v>
      </c>
      <c r="AL130">
        <v>141</v>
      </c>
      <c r="AM130" t="s">
        <v>1327</v>
      </c>
      <c r="AN130">
        <v>141</v>
      </c>
      <c r="AO130" t="s">
        <v>1327</v>
      </c>
      <c r="AS130" t="s">
        <v>3250</v>
      </c>
      <c r="AT130" t="s">
        <v>3250</v>
      </c>
      <c r="AU130" t="s">
        <v>3250</v>
      </c>
      <c r="AV130" t="s">
        <v>3250</v>
      </c>
      <c r="AW130" t="s">
        <v>3250</v>
      </c>
      <c r="AX130" t="s">
        <v>3250</v>
      </c>
      <c r="AY130" t="s">
        <v>3250</v>
      </c>
      <c r="AZ130" t="s">
        <v>3250</v>
      </c>
      <c r="BA130" t="s">
        <v>3250</v>
      </c>
      <c r="BB130" t="s">
        <v>3250</v>
      </c>
      <c r="BC130" t="s">
        <v>3250</v>
      </c>
      <c r="BE130" t="s">
        <v>3250</v>
      </c>
      <c r="BF130" t="s">
        <v>3250</v>
      </c>
      <c r="BG130" t="s">
        <v>3250</v>
      </c>
      <c r="BH130" t="s">
        <v>3250</v>
      </c>
      <c r="BI130" t="s">
        <v>3250</v>
      </c>
      <c r="BK130" t="s">
        <v>3250</v>
      </c>
      <c r="BL130" t="s">
        <v>3250</v>
      </c>
      <c r="BM130" t="s">
        <v>3250</v>
      </c>
      <c r="BN130" t="s">
        <v>3250</v>
      </c>
      <c r="BP130">
        <v>1</v>
      </c>
      <c r="BQ130">
        <v>11</v>
      </c>
      <c r="BR130" t="s">
        <v>1574</v>
      </c>
      <c r="BS130" t="s">
        <v>3252</v>
      </c>
      <c r="BV130">
        <v>0</v>
      </c>
      <c r="BW130">
        <v>0</v>
      </c>
      <c r="BX130">
        <v>0</v>
      </c>
      <c r="BY130">
        <v>0</v>
      </c>
      <c r="BZ130">
        <v>0</v>
      </c>
      <c r="CA130">
        <v>0</v>
      </c>
      <c r="CB130">
        <v>0</v>
      </c>
      <c r="CC130">
        <v>0</v>
      </c>
      <c r="CD130">
        <v>0</v>
      </c>
      <c r="CE130" t="s">
        <v>3108</v>
      </c>
      <c r="CF130" t="s">
        <v>3108</v>
      </c>
      <c r="CG130" t="s">
        <v>3108</v>
      </c>
      <c r="CH130" t="s">
        <v>3108</v>
      </c>
    </row>
    <row r="131" spans="1:86" x14ac:dyDescent="0.2">
      <c r="A131" t="s">
        <v>3501</v>
      </c>
      <c r="B131" t="s">
        <v>3501</v>
      </c>
      <c r="C131">
        <v>30386</v>
      </c>
      <c r="D131">
        <v>1155</v>
      </c>
      <c r="E131" t="s">
        <v>3502</v>
      </c>
      <c r="F131" t="s">
        <v>3249</v>
      </c>
      <c r="G131" t="s">
        <v>3249</v>
      </c>
      <c r="H131" t="s">
        <v>3250</v>
      </c>
      <c r="I131" t="s">
        <v>3250</v>
      </c>
      <c r="J131" t="s">
        <v>3250</v>
      </c>
      <c r="K131" t="s">
        <v>3250</v>
      </c>
      <c r="L131">
        <v>1200</v>
      </c>
      <c r="M131" t="s">
        <v>2368</v>
      </c>
      <c r="N131">
        <v>1204</v>
      </c>
      <c r="O131" t="s">
        <v>1574</v>
      </c>
      <c r="P131" t="s">
        <v>3108</v>
      </c>
      <c r="Q131" t="s">
        <v>3249</v>
      </c>
      <c r="R131" t="s">
        <v>3249</v>
      </c>
      <c r="S131" t="s">
        <v>472</v>
      </c>
      <c r="T131" t="s">
        <v>3251</v>
      </c>
      <c r="U131">
        <v>140</v>
      </c>
      <c r="V131" t="s">
        <v>1327</v>
      </c>
      <c r="W131">
        <v>140</v>
      </c>
      <c r="X131" t="s">
        <v>1327</v>
      </c>
      <c r="Y131" t="s">
        <v>3250</v>
      </c>
      <c r="Z131" t="s">
        <v>3250</v>
      </c>
      <c r="AA131" t="s">
        <v>3108</v>
      </c>
      <c r="AB131" t="s">
        <v>3108</v>
      </c>
      <c r="AC131" t="s">
        <v>3250</v>
      </c>
      <c r="AD131" t="s">
        <v>3250</v>
      </c>
      <c r="AE131" t="s">
        <v>3250</v>
      </c>
      <c r="AF131" t="s">
        <v>3250</v>
      </c>
      <c r="AG131" t="s">
        <v>3250</v>
      </c>
      <c r="AH131" t="s">
        <v>3250</v>
      </c>
      <c r="AI131" t="s">
        <v>3250</v>
      </c>
      <c r="AJ131" t="s">
        <v>3250</v>
      </c>
      <c r="AL131">
        <v>147</v>
      </c>
      <c r="AM131" t="s">
        <v>6</v>
      </c>
      <c r="AN131">
        <v>147</v>
      </c>
      <c r="AO131" t="s">
        <v>6</v>
      </c>
      <c r="AS131" t="s">
        <v>3250</v>
      </c>
      <c r="AT131" t="s">
        <v>3250</v>
      </c>
      <c r="AU131" t="s">
        <v>3250</v>
      </c>
      <c r="AV131" t="s">
        <v>3250</v>
      </c>
      <c r="AW131" t="s">
        <v>3250</v>
      </c>
      <c r="AX131" t="s">
        <v>3250</v>
      </c>
      <c r="AY131" t="s">
        <v>3250</v>
      </c>
      <c r="AZ131" t="s">
        <v>3250</v>
      </c>
      <c r="BA131" t="s">
        <v>3250</v>
      </c>
      <c r="BB131" t="s">
        <v>3250</v>
      </c>
      <c r="BC131" t="s">
        <v>3250</v>
      </c>
      <c r="BE131" t="s">
        <v>3250</v>
      </c>
      <c r="BF131" t="s">
        <v>3250</v>
      </c>
      <c r="BG131" t="s">
        <v>3250</v>
      </c>
      <c r="BH131" t="s">
        <v>3250</v>
      </c>
      <c r="BI131" t="s">
        <v>3250</v>
      </c>
      <c r="BK131" t="s">
        <v>3250</v>
      </c>
      <c r="BL131" t="s">
        <v>3250</v>
      </c>
      <c r="BM131" t="s">
        <v>3250</v>
      </c>
      <c r="BN131" t="s">
        <v>3250</v>
      </c>
      <c r="BP131">
        <v>1</v>
      </c>
      <c r="BQ131">
        <v>11</v>
      </c>
      <c r="BR131" t="s">
        <v>1574</v>
      </c>
      <c r="BS131" t="s">
        <v>3252</v>
      </c>
      <c r="BV131">
        <v>0</v>
      </c>
      <c r="BW131">
        <v>0</v>
      </c>
      <c r="BX131">
        <v>0</v>
      </c>
      <c r="BY131">
        <v>0</v>
      </c>
      <c r="BZ131">
        <v>-3140135</v>
      </c>
      <c r="CA131">
        <v>0</v>
      </c>
      <c r="CB131">
        <v>0</v>
      </c>
      <c r="CC131">
        <v>0</v>
      </c>
      <c r="CD131">
        <v>0</v>
      </c>
      <c r="CE131" t="s">
        <v>3108</v>
      </c>
      <c r="CF131" t="s">
        <v>3108</v>
      </c>
      <c r="CG131" t="s">
        <v>3108</v>
      </c>
      <c r="CH131" t="s">
        <v>3108</v>
      </c>
    </row>
    <row r="132" spans="1:86" x14ac:dyDescent="0.2">
      <c r="A132" t="s">
        <v>3503</v>
      </c>
      <c r="B132" t="s">
        <v>3503</v>
      </c>
      <c r="C132">
        <v>30387</v>
      </c>
      <c r="D132">
        <v>1156</v>
      </c>
      <c r="E132" t="s">
        <v>3504</v>
      </c>
      <c r="F132" t="s">
        <v>3249</v>
      </c>
      <c r="G132" t="s">
        <v>3249</v>
      </c>
      <c r="H132" t="s">
        <v>3250</v>
      </c>
      <c r="I132" t="s">
        <v>3250</v>
      </c>
      <c r="J132" t="s">
        <v>3250</v>
      </c>
      <c r="K132" t="s">
        <v>3250</v>
      </c>
      <c r="L132">
        <v>1200</v>
      </c>
      <c r="M132" t="s">
        <v>2368</v>
      </c>
      <c r="N132">
        <v>1204</v>
      </c>
      <c r="O132" t="s">
        <v>1574</v>
      </c>
      <c r="P132" t="s">
        <v>3108</v>
      </c>
      <c r="Q132" t="s">
        <v>3249</v>
      </c>
      <c r="R132" t="s">
        <v>3249</v>
      </c>
      <c r="S132" t="s">
        <v>472</v>
      </c>
      <c r="T132" t="s">
        <v>3251</v>
      </c>
      <c r="U132">
        <v>140</v>
      </c>
      <c r="V132" t="s">
        <v>1327</v>
      </c>
      <c r="W132">
        <v>140</v>
      </c>
      <c r="X132" t="s">
        <v>1327</v>
      </c>
      <c r="Y132" t="s">
        <v>3250</v>
      </c>
      <c r="Z132" t="s">
        <v>3250</v>
      </c>
      <c r="AA132" t="s">
        <v>3108</v>
      </c>
      <c r="AB132" t="s">
        <v>3108</v>
      </c>
      <c r="AC132" t="s">
        <v>3250</v>
      </c>
      <c r="AD132" t="s">
        <v>3250</v>
      </c>
      <c r="AE132" t="s">
        <v>3250</v>
      </c>
      <c r="AF132" t="s">
        <v>3250</v>
      </c>
      <c r="AG132" t="s">
        <v>3250</v>
      </c>
      <c r="AH132" t="s">
        <v>3250</v>
      </c>
      <c r="AI132" t="s">
        <v>3250</v>
      </c>
      <c r="AJ132" t="s">
        <v>3250</v>
      </c>
      <c r="AL132">
        <v>141</v>
      </c>
      <c r="AM132" t="s">
        <v>1327</v>
      </c>
      <c r="AN132">
        <v>141</v>
      </c>
      <c r="AO132" t="s">
        <v>1327</v>
      </c>
      <c r="AS132" t="s">
        <v>3250</v>
      </c>
      <c r="AT132" t="s">
        <v>3250</v>
      </c>
      <c r="AU132" t="s">
        <v>3250</v>
      </c>
      <c r="AV132" t="s">
        <v>3250</v>
      </c>
      <c r="AW132" t="s">
        <v>3250</v>
      </c>
      <c r="AX132" t="s">
        <v>3250</v>
      </c>
      <c r="AY132" t="s">
        <v>3250</v>
      </c>
      <c r="AZ132" t="s">
        <v>3250</v>
      </c>
      <c r="BA132" t="s">
        <v>3250</v>
      </c>
      <c r="BB132" t="s">
        <v>3250</v>
      </c>
      <c r="BC132" t="s">
        <v>3250</v>
      </c>
      <c r="BE132" t="s">
        <v>3250</v>
      </c>
      <c r="BF132" t="s">
        <v>3250</v>
      </c>
      <c r="BG132" t="s">
        <v>3250</v>
      </c>
      <c r="BH132" t="s">
        <v>3250</v>
      </c>
      <c r="BI132" t="s">
        <v>3250</v>
      </c>
      <c r="BK132" t="s">
        <v>3250</v>
      </c>
      <c r="BL132" t="s">
        <v>3250</v>
      </c>
      <c r="BM132" t="s">
        <v>3250</v>
      </c>
      <c r="BN132" t="s">
        <v>3250</v>
      </c>
      <c r="BP132">
        <v>1</v>
      </c>
      <c r="BQ132">
        <v>11</v>
      </c>
      <c r="BR132" t="s">
        <v>1574</v>
      </c>
      <c r="BS132" t="s">
        <v>3252</v>
      </c>
      <c r="BV132">
        <v>0</v>
      </c>
      <c r="BW132">
        <v>0</v>
      </c>
      <c r="BX132">
        <v>0</v>
      </c>
      <c r="BY132">
        <v>0</v>
      </c>
      <c r="BZ132">
        <v>0</v>
      </c>
      <c r="CA132">
        <v>0</v>
      </c>
      <c r="CB132">
        <v>0</v>
      </c>
      <c r="CC132">
        <v>0</v>
      </c>
      <c r="CD132">
        <v>0</v>
      </c>
      <c r="CE132" t="s">
        <v>3108</v>
      </c>
      <c r="CF132" t="s">
        <v>3108</v>
      </c>
      <c r="CG132" t="s">
        <v>3108</v>
      </c>
      <c r="CH132" t="s">
        <v>3108</v>
      </c>
    </row>
    <row r="133" spans="1:86" x14ac:dyDescent="0.2">
      <c r="A133" t="s">
        <v>3505</v>
      </c>
      <c r="B133" t="s">
        <v>3505</v>
      </c>
      <c r="C133">
        <v>30389</v>
      </c>
      <c r="D133">
        <v>1158</v>
      </c>
      <c r="E133" t="s">
        <v>3506</v>
      </c>
      <c r="F133" t="s">
        <v>3249</v>
      </c>
      <c r="G133" t="s">
        <v>3249</v>
      </c>
      <c r="H133" t="s">
        <v>3250</v>
      </c>
      <c r="I133" t="s">
        <v>3250</v>
      </c>
      <c r="J133" t="s">
        <v>3250</v>
      </c>
      <c r="K133" t="s">
        <v>3250</v>
      </c>
      <c r="L133">
        <v>1200</v>
      </c>
      <c r="M133" t="s">
        <v>2368</v>
      </c>
      <c r="N133">
        <v>1204</v>
      </c>
      <c r="O133" t="s">
        <v>1574</v>
      </c>
      <c r="P133" t="s">
        <v>3108</v>
      </c>
      <c r="Q133" t="s">
        <v>3249</v>
      </c>
      <c r="R133" t="s">
        <v>3249</v>
      </c>
      <c r="S133" t="s">
        <v>472</v>
      </c>
      <c r="T133" t="s">
        <v>3251</v>
      </c>
      <c r="U133">
        <v>140</v>
      </c>
      <c r="V133" t="s">
        <v>1327</v>
      </c>
      <c r="W133">
        <v>140</v>
      </c>
      <c r="X133" t="s">
        <v>1327</v>
      </c>
      <c r="Y133" t="s">
        <v>3250</v>
      </c>
      <c r="Z133" t="s">
        <v>3250</v>
      </c>
      <c r="AA133" t="s">
        <v>3108</v>
      </c>
      <c r="AB133" t="s">
        <v>3108</v>
      </c>
      <c r="AC133" t="s">
        <v>3250</v>
      </c>
      <c r="AD133" t="s">
        <v>3250</v>
      </c>
      <c r="AE133" t="s">
        <v>3250</v>
      </c>
      <c r="AF133" t="s">
        <v>3250</v>
      </c>
      <c r="AG133" t="s">
        <v>3250</v>
      </c>
      <c r="AH133" t="s">
        <v>3250</v>
      </c>
      <c r="AI133" t="s">
        <v>3250</v>
      </c>
      <c r="AJ133" t="s">
        <v>3250</v>
      </c>
      <c r="AL133">
        <v>141</v>
      </c>
      <c r="AM133" t="s">
        <v>1327</v>
      </c>
      <c r="AN133">
        <v>141</v>
      </c>
      <c r="AO133" t="s">
        <v>1327</v>
      </c>
      <c r="AS133" t="s">
        <v>3250</v>
      </c>
      <c r="AT133" t="s">
        <v>3250</v>
      </c>
      <c r="AU133" t="s">
        <v>3250</v>
      </c>
      <c r="AV133" t="s">
        <v>3250</v>
      </c>
      <c r="AW133" t="s">
        <v>3250</v>
      </c>
      <c r="AX133" t="s">
        <v>3250</v>
      </c>
      <c r="AY133" t="s">
        <v>3250</v>
      </c>
      <c r="AZ133" t="s">
        <v>3250</v>
      </c>
      <c r="BA133" t="s">
        <v>3250</v>
      </c>
      <c r="BB133" t="s">
        <v>3250</v>
      </c>
      <c r="BC133" t="s">
        <v>3250</v>
      </c>
      <c r="BE133" t="s">
        <v>3250</v>
      </c>
      <c r="BF133" t="s">
        <v>3250</v>
      </c>
      <c r="BG133" t="s">
        <v>3250</v>
      </c>
      <c r="BH133" t="s">
        <v>3250</v>
      </c>
      <c r="BI133" t="s">
        <v>3250</v>
      </c>
      <c r="BK133" t="s">
        <v>3250</v>
      </c>
      <c r="BL133" t="s">
        <v>3250</v>
      </c>
      <c r="BM133" t="s">
        <v>3250</v>
      </c>
      <c r="BN133" t="s">
        <v>3250</v>
      </c>
      <c r="BP133">
        <v>1</v>
      </c>
      <c r="BQ133">
        <v>11</v>
      </c>
      <c r="BR133" t="s">
        <v>1574</v>
      </c>
      <c r="BS133" t="s">
        <v>3252</v>
      </c>
      <c r="BV133">
        <v>0</v>
      </c>
      <c r="BW133">
        <v>0</v>
      </c>
      <c r="BX133">
        <v>0</v>
      </c>
      <c r="BY133">
        <v>0</v>
      </c>
      <c r="BZ133">
        <v>0</v>
      </c>
      <c r="CA133">
        <v>0</v>
      </c>
      <c r="CB133">
        <v>0</v>
      </c>
      <c r="CC133">
        <v>0</v>
      </c>
      <c r="CD133">
        <v>0</v>
      </c>
      <c r="CE133" t="s">
        <v>3108</v>
      </c>
      <c r="CF133" t="s">
        <v>3108</v>
      </c>
      <c r="CG133" t="s">
        <v>3108</v>
      </c>
      <c r="CH133" t="s">
        <v>3108</v>
      </c>
    </row>
    <row r="134" spans="1:86" x14ac:dyDescent="0.2">
      <c r="A134" t="s">
        <v>3507</v>
      </c>
      <c r="B134" t="s">
        <v>3507</v>
      </c>
      <c r="C134">
        <v>30390</v>
      </c>
      <c r="D134">
        <v>1159</v>
      </c>
      <c r="E134" t="s">
        <v>3508</v>
      </c>
      <c r="F134" t="s">
        <v>3249</v>
      </c>
      <c r="G134" t="s">
        <v>3249</v>
      </c>
      <c r="H134" t="s">
        <v>3250</v>
      </c>
      <c r="I134" t="s">
        <v>3250</v>
      </c>
      <c r="J134" t="s">
        <v>3250</v>
      </c>
      <c r="K134" t="s">
        <v>3250</v>
      </c>
      <c r="L134">
        <v>1200</v>
      </c>
      <c r="M134" t="s">
        <v>2368</v>
      </c>
      <c r="N134">
        <v>1204</v>
      </c>
      <c r="O134" t="s">
        <v>1574</v>
      </c>
      <c r="P134" t="s">
        <v>3108</v>
      </c>
      <c r="Q134" t="s">
        <v>3249</v>
      </c>
      <c r="R134" t="s">
        <v>3249</v>
      </c>
      <c r="S134" t="s">
        <v>472</v>
      </c>
      <c r="T134" t="s">
        <v>3251</v>
      </c>
      <c r="U134">
        <v>140</v>
      </c>
      <c r="V134" t="s">
        <v>1327</v>
      </c>
      <c r="W134">
        <v>140</v>
      </c>
      <c r="X134" t="s">
        <v>1327</v>
      </c>
      <c r="Y134" t="s">
        <v>3250</v>
      </c>
      <c r="Z134" t="s">
        <v>3250</v>
      </c>
      <c r="AA134" t="s">
        <v>3108</v>
      </c>
      <c r="AB134" t="s">
        <v>3108</v>
      </c>
      <c r="AC134" t="s">
        <v>3250</v>
      </c>
      <c r="AD134" t="s">
        <v>3250</v>
      </c>
      <c r="AE134" t="s">
        <v>3250</v>
      </c>
      <c r="AF134" t="s">
        <v>3250</v>
      </c>
      <c r="AG134" t="s">
        <v>3250</v>
      </c>
      <c r="AH134" t="s">
        <v>3250</v>
      </c>
      <c r="AI134" t="s">
        <v>3250</v>
      </c>
      <c r="AJ134" t="s">
        <v>3250</v>
      </c>
      <c r="AL134">
        <v>146</v>
      </c>
      <c r="AM134" t="s">
        <v>5</v>
      </c>
      <c r="AN134">
        <v>146</v>
      </c>
      <c r="AO134" t="s">
        <v>5</v>
      </c>
      <c r="AS134" t="s">
        <v>3250</v>
      </c>
      <c r="AT134" t="s">
        <v>3250</v>
      </c>
      <c r="AU134" t="s">
        <v>3250</v>
      </c>
      <c r="AV134" t="s">
        <v>3250</v>
      </c>
      <c r="AW134" t="s">
        <v>3250</v>
      </c>
      <c r="AX134" t="s">
        <v>3250</v>
      </c>
      <c r="AY134" t="s">
        <v>3250</v>
      </c>
      <c r="AZ134" t="s">
        <v>3250</v>
      </c>
      <c r="BA134" t="s">
        <v>3250</v>
      </c>
      <c r="BB134" t="s">
        <v>3250</v>
      </c>
      <c r="BC134" t="s">
        <v>3250</v>
      </c>
      <c r="BE134" t="s">
        <v>3250</v>
      </c>
      <c r="BF134" t="s">
        <v>3250</v>
      </c>
      <c r="BG134" t="s">
        <v>3250</v>
      </c>
      <c r="BH134" t="s">
        <v>3250</v>
      </c>
      <c r="BI134" t="s">
        <v>3250</v>
      </c>
      <c r="BK134" t="s">
        <v>3250</v>
      </c>
      <c r="BL134" t="s">
        <v>3250</v>
      </c>
      <c r="BM134" t="s">
        <v>3250</v>
      </c>
      <c r="BN134" t="s">
        <v>3250</v>
      </c>
      <c r="BP134">
        <v>1</v>
      </c>
      <c r="BQ134">
        <v>11</v>
      </c>
      <c r="BR134" t="s">
        <v>1574</v>
      </c>
      <c r="BS134" t="s">
        <v>3252</v>
      </c>
      <c r="BV134">
        <v>0</v>
      </c>
      <c r="BW134">
        <v>0</v>
      </c>
      <c r="BX134">
        <v>0</v>
      </c>
      <c r="BY134">
        <v>0</v>
      </c>
      <c r="BZ134">
        <v>0</v>
      </c>
      <c r="CA134">
        <v>0</v>
      </c>
      <c r="CB134">
        <v>0</v>
      </c>
      <c r="CC134">
        <v>0</v>
      </c>
      <c r="CD134">
        <v>0</v>
      </c>
      <c r="CE134" t="s">
        <v>3108</v>
      </c>
      <c r="CF134" t="s">
        <v>3108</v>
      </c>
      <c r="CG134" t="s">
        <v>3108</v>
      </c>
      <c r="CH134" t="s">
        <v>3108</v>
      </c>
    </row>
    <row r="135" spans="1:86" x14ac:dyDescent="0.2">
      <c r="A135" t="s">
        <v>3509</v>
      </c>
      <c r="B135" t="s">
        <v>3509</v>
      </c>
      <c r="C135">
        <v>30391</v>
      </c>
      <c r="D135">
        <v>1160</v>
      </c>
      <c r="E135" t="s">
        <v>3510</v>
      </c>
      <c r="F135" t="s">
        <v>3249</v>
      </c>
      <c r="G135" t="s">
        <v>3249</v>
      </c>
      <c r="H135" t="s">
        <v>3250</v>
      </c>
      <c r="I135" t="s">
        <v>3250</v>
      </c>
      <c r="J135" t="s">
        <v>3250</v>
      </c>
      <c r="K135" t="s">
        <v>3250</v>
      </c>
      <c r="L135">
        <v>1200</v>
      </c>
      <c r="M135" t="s">
        <v>2368</v>
      </c>
      <c r="N135">
        <v>1204</v>
      </c>
      <c r="O135" t="s">
        <v>1574</v>
      </c>
      <c r="P135" t="s">
        <v>3108</v>
      </c>
      <c r="Q135" t="s">
        <v>3249</v>
      </c>
      <c r="R135" t="s">
        <v>3249</v>
      </c>
      <c r="S135" t="s">
        <v>472</v>
      </c>
      <c r="T135" t="s">
        <v>3251</v>
      </c>
      <c r="U135">
        <v>140</v>
      </c>
      <c r="V135" t="s">
        <v>1327</v>
      </c>
      <c r="W135">
        <v>140</v>
      </c>
      <c r="X135" t="s">
        <v>1327</v>
      </c>
      <c r="Y135" t="s">
        <v>3250</v>
      </c>
      <c r="Z135" t="s">
        <v>3250</v>
      </c>
      <c r="AA135" t="s">
        <v>3108</v>
      </c>
      <c r="AB135" t="s">
        <v>3108</v>
      </c>
      <c r="AC135" t="s">
        <v>3250</v>
      </c>
      <c r="AD135" t="s">
        <v>3250</v>
      </c>
      <c r="AE135" t="s">
        <v>3250</v>
      </c>
      <c r="AF135" t="s">
        <v>3250</v>
      </c>
      <c r="AG135" t="s">
        <v>3250</v>
      </c>
      <c r="AH135" t="s">
        <v>3250</v>
      </c>
      <c r="AI135" t="s">
        <v>3250</v>
      </c>
      <c r="AJ135" t="s">
        <v>3250</v>
      </c>
      <c r="AL135">
        <v>146</v>
      </c>
      <c r="AM135" t="s">
        <v>5</v>
      </c>
      <c r="AN135">
        <v>146</v>
      </c>
      <c r="AO135" t="s">
        <v>5</v>
      </c>
      <c r="AS135" t="s">
        <v>3250</v>
      </c>
      <c r="AT135" t="s">
        <v>3250</v>
      </c>
      <c r="AU135" t="s">
        <v>3250</v>
      </c>
      <c r="AV135" t="s">
        <v>3250</v>
      </c>
      <c r="AW135" t="s">
        <v>3250</v>
      </c>
      <c r="AX135" t="s">
        <v>3250</v>
      </c>
      <c r="AY135" t="s">
        <v>3250</v>
      </c>
      <c r="AZ135" t="s">
        <v>3250</v>
      </c>
      <c r="BA135" t="s">
        <v>3250</v>
      </c>
      <c r="BB135" t="s">
        <v>3250</v>
      </c>
      <c r="BC135" t="s">
        <v>3250</v>
      </c>
      <c r="BE135" t="s">
        <v>3250</v>
      </c>
      <c r="BF135" t="s">
        <v>3250</v>
      </c>
      <c r="BG135" t="s">
        <v>3250</v>
      </c>
      <c r="BH135" t="s">
        <v>3250</v>
      </c>
      <c r="BI135" t="s">
        <v>3250</v>
      </c>
      <c r="BK135" t="s">
        <v>3250</v>
      </c>
      <c r="BL135" t="s">
        <v>3250</v>
      </c>
      <c r="BM135" t="s">
        <v>3250</v>
      </c>
      <c r="BN135" t="s">
        <v>3250</v>
      </c>
      <c r="BP135">
        <v>1</v>
      </c>
      <c r="BQ135">
        <v>11</v>
      </c>
      <c r="BR135" t="s">
        <v>1574</v>
      </c>
      <c r="BS135" t="s">
        <v>3252</v>
      </c>
      <c r="BV135">
        <v>0</v>
      </c>
      <c r="BW135">
        <v>0</v>
      </c>
      <c r="BX135">
        <v>0</v>
      </c>
      <c r="BY135">
        <v>0</v>
      </c>
      <c r="BZ135">
        <v>0</v>
      </c>
      <c r="CA135">
        <v>0</v>
      </c>
      <c r="CB135">
        <v>0</v>
      </c>
      <c r="CC135">
        <v>0</v>
      </c>
      <c r="CD135">
        <v>0</v>
      </c>
      <c r="CE135" t="s">
        <v>3108</v>
      </c>
      <c r="CF135" t="s">
        <v>3108</v>
      </c>
      <c r="CG135" t="s">
        <v>3108</v>
      </c>
      <c r="CH135" t="s">
        <v>3108</v>
      </c>
    </row>
    <row r="136" spans="1:86" x14ac:dyDescent="0.2">
      <c r="A136" t="s">
        <v>3511</v>
      </c>
      <c r="B136" t="s">
        <v>3511</v>
      </c>
      <c r="C136">
        <v>30392</v>
      </c>
      <c r="D136">
        <v>1161</v>
      </c>
      <c r="E136" t="s">
        <v>3512</v>
      </c>
      <c r="F136" t="s">
        <v>3249</v>
      </c>
      <c r="G136" t="s">
        <v>3249</v>
      </c>
      <c r="H136" t="s">
        <v>3250</v>
      </c>
      <c r="I136" t="s">
        <v>3250</v>
      </c>
      <c r="J136" t="s">
        <v>3250</v>
      </c>
      <c r="K136" t="s">
        <v>3250</v>
      </c>
      <c r="L136">
        <v>1200</v>
      </c>
      <c r="M136" t="s">
        <v>2368</v>
      </c>
      <c r="N136">
        <v>1204</v>
      </c>
      <c r="O136" t="s">
        <v>1574</v>
      </c>
      <c r="P136" t="s">
        <v>3108</v>
      </c>
      <c r="Q136" t="s">
        <v>3249</v>
      </c>
      <c r="R136" t="s">
        <v>3249</v>
      </c>
      <c r="S136" t="s">
        <v>472</v>
      </c>
      <c r="T136" t="s">
        <v>3251</v>
      </c>
      <c r="U136">
        <v>140</v>
      </c>
      <c r="V136" t="s">
        <v>1327</v>
      </c>
      <c r="W136">
        <v>140</v>
      </c>
      <c r="X136" t="s">
        <v>1327</v>
      </c>
      <c r="Y136" t="s">
        <v>3250</v>
      </c>
      <c r="Z136" t="s">
        <v>3250</v>
      </c>
      <c r="AA136" t="s">
        <v>3108</v>
      </c>
      <c r="AB136" t="s">
        <v>3108</v>
      </c>
      <c r="AC136" t="s">
        <v>3250</v>
      </c>
      <c r="AD136" t="s">
        <v>3250</v>
      </c>
      <c r="AE136" t="s">
        <v>3250</v>
      </c>
      <c r="AF136" t="s">
        <v>3250</v>
      </c>
      <c r="AG136" t="s">
        <v>3250</v>
      </c>
      <c r="AH136" t="s">
        <v>3250</v>
      </c>
      <c r="AI136" t="s">
        <v>3250</v>
      </c>
      <c r="AJ136" t="s">
        <v>3250</v>
      </c>
      <c r="AL136">
        <v>141</v>
      </c>
      <c r="AM136" t="s">
        <v>1327</v>
      </c>
      <c r="AN136">
        <v>141</v>
      </c>
      <c r="AO136" t="s">
        <v>1327</v>
      </c>
      <c r="AS136" t="s">
        <v>3250</v>
      </c>
      <c r="AT136" t="s">
        <v>3250</v>
      </c>
      <c r="AU136" t="s">
        <v>3250</v>
      </c>
      <c r="AV136" t="s">
        <v>3250</v>
      </c>
      <c r="AW136" t="s">
        <v>3250</v>
      </c>
      <c r="AX136" t="s">
        <v>3250</v>
      </c>
      <c r="AY136" t="s">
        <v>3250</v>
      </c>
      <c r="AZ136" t="s">
        <v>3250</v>
      </c>
      <c r="BA136" t="s">
        <v>3250</v>
      </c>
      <c r="BB136" t="s">
        <v>3250</v>
      </c>
      <c r="BC136" t="s">
        <v>3250</v>
      </c>
      <c r="BE136" t="s">
        <v>3250</v>
      </c>
      <c r="BF136" t="s">
        <v>3250</v>
      </c>
      <c r="BG136" t="s">
        <v>3250</v>
      </c>
      <c r="BH136" t="s">
        <v>3250</v>
      </c>
      <c r="BI136" t="s">
        <v>3250</v>
      </c>
      <c r="BK136" t="s">
        <v>3250</v>
      </c>
      <c r="BL136" t="s">
        <v>3250</v>
      </c>
      <c r="BM136" t="s">
        <v>3250</v>
      </c>
      <c r="BN136" t="s">
        <v>3250</v>
      </c>
      <c r="BP136">
        <v>1</v>
      </c>
      <c r="BQ136">
        <v>11</v>
      </c>
      <c r="BR136" t="s">
        <v>1574</v>
      </c>
      <c r="BS136" t="s">
        <v>3252</v>
      </c>
      <c r="BV136">
        <v>0</v>
      </c>
      <c r="BW136">
        <v>0</v>
      </c>
      <c r="BX136">
        <v>0</v>
      </c>
      <c r="BY136">
        <v>0</v>
      </c>
      <c r="BZ136">
        <v>0</v>
      </c>
      <c r="CA136">
        <v>0</v>
      </c>
      <c r="CB136">
        <v>0</v>
      </c>
      <c r="CC136">
        <v>0</v>
      </c>
      <c r="CD136">
        <v>0</v>
      </c>
      <c r="CE136" t="s">
        <v>3108</v>
      </c>
      <c r="CF136" t="s">
        <v>3108</v>
      </c>
      <c r="CG136" t="s">
        <v>3108</v>
      </c>
      <c r="CH136" t="s">
        <v>3108</v>
      </c>
    </row>
    <row r="137" spans="1:86" x14ac:dyDescent="0.2">
      <c r="A137" t="s">
        <v>3513</v>
      </c>
      <c r="B137" t="s">
        <v>3513</v>
      </c>
      <c r="C137">
        <v>30394</v>
      </c>
      <c r="D137">
        <v>1163</v>
      </c>
      <c r="E137" t="s">
        <v>3514</v>
      </c>
      <c r="F137" t="s">
        <v>3249</v>
      </c>
      <c r="G137" t="s">
        <v>3249</v>
      </c>
      <c r="H137" t="s">
        <v>3250</v>
      </c>
      <c r="I137" t="s">
        <v>3250</v>
      </c>
      <c r="J137" t="s">
        <v>3250</v>
      </c>
      <c r="K137" t="s">
        <v>3250</v>
      </c>
      <c r="L137">
        <v>1200</v>
      </c>
      <c r="M137" t="s">
        <v>2368</v>
      </c>
      <c r="N137">
        <v>1204</v>
      </c>
      <c r="O137" t="s">
        <v>1574</v>
      </c>
      <c r="P137" t="s">
        <v>3108</v>
      </c>
      <c r="Q137" t="s">
        <v>3249</v>
      </c>
      <c r="R137" t="s">
        <v>3249</v>
      </c>
      <c r="S137" t="s">
        <v>472</v>
      </c>
      <c r="T137" t="s">
        <v>3251</v>
      </c>
      <c r="U137">
        <v>140</v>
      </c>
      <c r="V137" t="s">
        <v>1327</v>
      </c>
      <c r="W137">
        <v>140</v>
      </c>
      <c r="X137" t="s">
        <v>1327</v>
      </c>
      <c r="Y137" t="s">
        <v>3250</v>
      </c>
      <c r="Z137" t="s">
        <v>3250</v>
      </c>
      <c r="AA137" t="s">
        <v>3108</v>
      </c>
      <c r="AB137" t="s">
        <v>3108</v>
      </c>
      <c r="AC137" t="s">
        <v>3250</v>
      </c>
      <c r="AD137" t="s">
        <v>3250</v>
      </c>
      <c r="AE137" t="s">
        <v>3250</v>
      </c>
      <c r="AF137" t="s">
        <v>3250</v>
      </c>
      <c r="AG137" t="s">
        <v>3250</v>
      </c>
      <c r="AH137" t="s">
        <v>3250</v>
      </c>
      <c r="AI137" t="s">
        <v>3250</v>
      </c>
      <c r="AJ137" t="s">
        <v>3250</v>
      </c>
      <c r="AL137">
        <v>147</v>
      </c>
      <c r="AM137" t="s">
        <v>6</v>
      </c>
      <c r="AN137">
        <v>147</v>
      </c>
      <c r="AO137" t="s">
        <v>6</v>
      </c>
      <c r="AS137" t="s">
        <v>3250</v>
      </c>
      <c r="AT137" t="s">
        <v>3250</v>
      </c>
      <c r="AU137" t="s">
        <v>3250</v>
      </c>
      <c r="AV137" t="s">
        <v>3250</v>
      </c>
      <c r="AW137" t="s">
        <v>3250</v>
      </c>
      <c r="AX137" t="s">
        <v>3250</v>
      </c>
      <c r="AY137" t="s">
        <v>3250</v>
      </c>
      <c r="AZ137" t="s">
        <v>3250</v>
      </c>
      <c r="BA137" t="s">
        <v>3250</v>
      </c>
      <c r="BB137" t="s">
        <v>3250</v>
      </c>
      <c r="BC137" t="s">
        <v>3250</v>
      </c>
      <c r="BE137" t="s">
        <v>3250</v>
      </c>
      <c r="BF137" t="s">
        <v>3250</v>
      </c>
      <c r="BG137" t="s">
        <v>3250</v>
      </c>
      <c r="BH137" t="s">
        <v>3250</v>
      </c>
      <c r="BI137" t="s">
        <v>3250</v>
      </c>
      <c r="BK137" t="s">
        <v>3250</v>
      </c>
      <c r="BL137" t="s">
        <v>3250</v>
      </c>
      <c r="BM137" t="s">
        <v>3250</v>
      </c>
      <c r="BN137" t="s">
        <v>3250</v>
      </c>
      <c r="BP137">
        <v>1</v>
      </c>
      <c r="BQ137">
        <v>11</v>
      </c>
      <c r="BR137" t="s">
        <v>1574</v>
      </c>
      <c r="BS137" t="s">
        <v>3252</v>
      </c>
      <c r="BV137">
        <v>0</v>
      </c>
      <c r="BW137">
        <v>0</v>
      </c>
      <c r="BX137">
        <v>0</v>
      </c>
      <c r="BY137">
        <v>0</v>
      </c>
      <c r="BZ137">
        <v>0</v>
      </c>
      <c r="CA137">
        <v>0</v>
      </c>
      <c r="CB137">
        <v>0</v>
      </c>
      <c r="CC137">
        <v>0</v>
      </c>
      <c r="CD137">
        <v>0</v>
      </c>
      <c r="CE137" t="s">
        <v>3108</v>
      </c>
      <c r="CF137" t="s">
        <v>3108</v>
      </c>
      <c r="CG137" t="s">
        <v>3108</v>
      </c>
      <c r="CH137" t="s">
        <v>3108</v>
      </c>
    </row>
    <row r="138" spans="1:86" x14ac:dyDescent="0.2">
      <c r="A138" t="s">
        <v>3515</v>
      </c>
      <c r="B138" t="s">
        <v>3515</v>
      </c>
      <c r="C138">
        <v>30395</v>
      </c>
      <c r="D138">
        <v>1164</v>
      </c>
      <c r="E138" t="s">
        <v>3516</v>
      </c>
      <c r="F138" t="s">
        <v>3249</v>
      </c>
      <c r="G138" t="s">
        <v>3249</v>
      </c>
      <c r="H138" t="s">
        <v>3250</v>
      </c>
      <c r="I138" t="s">
        <v>3250</v>
      </c>
      <c r="J138" t="s">
        <v>3250</v>
      </c>
      <c r="K138" t="s">
        <v>3250</v>
      </c>
      <c r="L138">
        <v>1200</v>
      </c>
      <c r="M138" t="s">
        <v>2368</v>
      </c>
      <c r="N138">
        <v>1204</v>
      </c>
      <c r="O138" t="s">
        <v>1574</v>
      </c>
      <c r="P138" t="s">
        <v>3108</v>
      </c>
      <c r="Q138" t="s">
        <v>3249</v>
      </c>
      <c r="R138" t="s">
        <v>3249</v>
      </c>
      <c r="S138" t="s">
        <v>472</v>
      </c>
      <c r="T138" t="s">
        <v>3251</v>
      </c>
      <c r="U138">
        <v>140</v>
      </c>
      <c r="V138" t="s">
        <v>1327</v>
      </c>
      <c r="W138">
        <v>140</v>
      </c>
      <c r="X138" t="s">
        <v>1327</v>
      </c>
      <c r="Y138" t="s">
        <v>3250</v>
      </c>
      <c r="Z138" t="s">
        <v>3250</v>
      </c>
      <c r="AA138" t="s">
        <v>3108</v>
      </c>
      <c r="AB138" t="s">
        <v>3108</v>
      </c>
      <c r="AC138" t="s">
        <v>3250</v>
      </c>
      <c r="AD138" t="s">
        <v>3250</v>
      </c>
      <c r="AE138" t="s">
        <v>3250</v>
      </c>
      <c r="AF138" t="s">
        <v>3250</v>
      </c>
      <c r="AG138" t="s">
        <v>3250</v>
      </c>
      <c r="AH138" t="s">
        <v>3250</v>
      </c>
      <c r="AI138" t="s">
        <v>3250</v>
      </c>
      <c r="AJ138" t="s">
        <v>3250</v>
      </c>
      <c r="AL138">
        <v>141</v>
      </c>
      <c r="AM138" t="s">
        <v>1327</v>
      </c>
      <c r="AN138">
        <v>141</v>
      </c>
      <c r="AO138" t="s">
        <v>1327</v>
      </c>
      <c r="AS138" t="s">
        <v>3250</v>
      </c>
      <c r="AT138" t="s">
        <v>3250</v>
      </c>
      <c r="AU138" t="s">
        <v>3250</v>
      </c>
      <c r="AV138" t="s">
        <v>3250</v>
      </c>
      <c r="AW138" t="s">
        <v>3250</v>
      </c>
      <c r="AX138" t="s">
        <v>3250</v>
      </c>
      <c r="AY138" t="s">
        <v>3250</v>
      </c>
      <c r="AZ138" t="s">
        <v>3250</v>
      </c>
      <c r="BA138" t="s">
        <v>3250</v>
      </c>
      <c r="BB138" t="s">
        <v>3250</v>
      </c>
      <c r="BC138" t="s">
        <v>3250</v>
      </c>
      <c r="BE138" t="s">
        <v>3250</v>
      </c>
      <c r="BF138" t="s">
        <v>3250</v>
      </c>
      <c r="BG138" t="s">
        <v>3250</v>
      </c>
      <c r="BH138" t="s">
        <v>3250</v>
      </c>
      <c r="BI138" t="s">
        <v>3250</v>
      </c>
      <c r="BK138" t="s">
        <v>3250</v>
      </c>
      <c r="BL138" t="s">
        <v>3250</v>
      </c>
      <c r="BM138" t="s">
        <v>3250</v>
      </c>
      <c r="BN138" t="s">
        <v>3250</v>
      </c>
      <c r="BP138">
        <v>1</v>
      </c>
      <c r="BQ138">
        <v>11</v>
      </c>
      <c r="BR138" t="s">
        <v>1574</v>
      </c>
      <c r="BS138" t="s">
        <v>3252</v>
      </c>
      <c r="BV138">
        <v>0</v>
      </c>
      <c r="BW138">
        <v>0</v>
      </c>
      <c r="BX138">
        <v>0</v>
      </c>
      <c r="BY138">
        <v>0</v>
      </c>
      <c r="BZ138">
        <v>0</v>
      </c>
      <c r="CA138">
        <v>0</v>
      </c>
      <c r="CB138">
        <v>0</v>
      </c>
      <c r="CC138">
        <v>0</v>
      </c>
      <c r="CD138">
        <v>0</v>
      </c>
      <c r="CE138" t="s">
        <v>3108</v>
      </c>
      <c r="CF138" t="s">
        <v>3108</v>
      </c>
      <c r="CG138" t="s">
        <v>3108</v>
      </c>
      <c r="CH138" t="s">
        <v>3108</v>
      </c>
    </row>
    <row r="139" spans="1:86" x14ac:dyDescent="0.2">
      <c r="A139" t="s">
        <v>3517</v>
      </c>
      <c r="B139" t="s">
        <v>3517</v>
      </c>
      <c r="C139">
        <v>30397</v>
      </c>
      <c r="D139">
        <v>1166</v>
      </c>
      <c r="E139" t="s">
        <v>3518</v>
      </c>
      <c r="F139" t="s">
        <v>3249</v>
      </c>
      <c r="G139" t="s">
        <v>3249</v>
      </c>
      <c r="H139" t="s">
        <v>3250</v>
      </c>
      <c r="I139" t="s">
        <v>3250</v>
      </c>
      <c r="J139" t="s">
        <v>3250</v>
      </c>
      <c r="K139" t="s">
        <v>3250</v>
      </c>
      <c r="L139">
        <v>1200</v>
      </c>
      <c r="M139" t="s">
        <v>2368</v>
      </c>
      <c r="N139">
        <v>1204</v>
      </c>
      <c r="O139" t="s">
        <v>1574</v>
      </c>
      <c r="P139" t="s">
        <v>3108</v>
      </c>
      <c r="Q139" t="s">
        <v>3249</v>
      </c>
      <c r="R139" t="s">
        <v>3249</v>
      </c>
      <c r="S139" t="s">
        <v>472</v>
      </c>
      <c r="T139" t="s">
        <v>3251</v>
      </c>
      <c r="U139">
        <v>140</v>
      </c>
      <c r="V139" t="s">
        <v>1327</v>
      </c>
      <c r="W139">
        <v>140</v>
      </c>
      <c r="X139" t="s">
        <v>1327</v>
      </c>
      <c r="Y139" t="s">
        <v>3250</v>
      </c>
      <c r="Z139" t="s">
        <v>3250</v>
      </c>
      <c r="AA139" t="s">
        <v>3108</v>
      </c>
      <c r="AB139" t="s">
        <v>3108</v>
      </c>
      <c r="AC139" t="s">
        <v>3250</v>
      </c>
      <c r="AD139" t="s">
        <v>3250</v>
      </c>
      <c r="AE139" t="s">
        <v>3250</v>
      </c>
      <c r="AF139" t="s">
        <v>3250</v>
      </c>
      <c r="AG139" t="s">
        <v>3250</v>
      </c>
      <c r="AH139" t="s">
        <v>3250</v>
      </c>
      <c r="AI139" t="s">
        <v>3250</v>
      </c>
      <c r="AJ139" t="s">
        <v>3250</v>
      </c>
      <c r="AL139">
        <v>141</v>
      </c>
      <c r="AM139" t="s">
        <v>1327</v>
      </c>
      <c r="AN139">
        <v>141</v>
      </c>
      <c r="AO139" t="s">
        <v>1327</v>
      </c>
      <c r="AS139" t="s">
        <v>3250</v>
      </c>
      <c r="AT139" t="s">
        <v>3250</v>
      </c>
      <c r="AU139" t="s">
        <v>3250</v>
      </c>
      <c r="AV139" t="s">
        <v>3250</v>
      </c>
      <c r="AW139" t="s">
        <v>3250</v>
      </c>
      <c r="AX139" t="s">
        <v>3250</v>
      </c>
      <c r="AY139" t="s">
        <v>3250</v>
      </c>
      <c r="AZ139" t="s">
        <v>3250</v>
      </c>
      <c r="BA139" t="s">
        <v>3250</v>
      </c>
      <c r="BB139" t="s">
        <v>3250</v>
      </c>
      <c r="BC139" t="s">
        <v>3250</v>
      </c>
      <c r="BE139" t="s">
        <v>3250</v>
      </c>
      <c r="BF139" t="s">
        <v>3250</v>
      </c>
      <c r="BG139" t="s">
        <v>3250</v>
      </c>
      <c r="BH139" t="s">
        <v>3250</v>
      </c>
      <c r="BI139" t="s">
        <v>3250</v>
      </c>
      <c r="BK139" t="s">
        <v>3250</v>
      </c>
      <c r="BL139" t="s">
        <v>3250</v>
      </c>
      <c r="BM139" t="s">
        <v>3250</v>
      </c>
      <c r="BN139" t="s">
        <v>3250</v>
      </c>
      <c r="BP139">
        <v>1</v>
      </c>
      <c r="BQ139">
        <v>11</v>
      </c>
      <c r="BR139" t="s">
        <v>1574</v>
      </c>
      <c r="BS139" t="s">
        <v>3252</v>
      </c>
      <c r="BV139">
        <v>0</v>
      </c>
      <c r="BW139">
        <v>0</v>
      </c>
      <c r="BX139">
        <v>0</v>
      </c>
      <c r="BY139">
        <v>0</v>
      </c>
      <c r="BZ139">
        <v>0</v>
      </c>
      <c r="CA139">
        <v>0</v>
      </c>
      <c r="CB139">
        <v>0</v>
      </c>
      <c r="CC139">
        <v>0</v>
      </c>
      <c r="CD139">
        <v>0</v>
      </c>
      <c r="CE139" t="s">
        <v>3108</v>
      </c>
      <c r="CF139" t="s">
        <v>3108</v>
      </c>
      <c r="CG139" t="s">
        <v>3108</v>
      </c>
      <c r="CH139" t="s">
        <v>3108</v>
      </c>
    </row>
    <row r="140" spans="1:86" x14ac:dyDescent="0.2">
      <c r="A140" t="s">
        <v>3519</v>
      </c>
      <c r="B140" t="s">
        <v>3519</v>
      </c>
      <c r="C140">
        <v>30398</v>
      </c>
      <c r="D140">
        <v>1167</v>
      </c>
      <c r="E140" t="s">
        <v>3520</v>
      </c>
      <c r="F140" t="s">
        <v>3249</v>
      </c>
      <c r="G140" t="s">
        <v>3249</v>
      </c>
      <c r="H140" t="s">
        <v>3250</v>
      </c>
      <c r="I140" t="s">
        <v>3250</v>
      </c>
      <c r="J140" t="s">
        <v>3250</v>
      </c>
      <c r="K140" t="s">
        <v>3250</v>
      </c>
      <c r="L140">
        <v>1200</v>
      </c>
      <c r="M140" t="s">
        <v>2368</v>
      </c>
      <c r="N140">
        <v>1204</v>
      </c>
      <c r="O140" t="s">
        <v>1574</v>
      </c>
      <c r="P140" t="s">
        <v>3108</v>
      </c>
      <c r="Q140" t="s">
        <v>3249</v>
      </c>
      <c r="R140" t="s">
        <v>3249</v>
      </c>
      <c r="S140" t="s">
        <v>472</v>
      </c>
      <c r="T140" t="s">
        <v>3251</v>
      </c>
      <c r="U140">
        <v>140</v>
      </c>
      <c r="V140" t="s">
        <v>1327</v>
      </c>
      <c r="W140">
        <v>140</v>
      </c>
      <c r="X140" t="s">
        <v>1327</v>
      </c>
      <c r="Y140" t="s">
        <v>3250</v>
      </c>
      <c r="Z140" t="s">
        <v>3250</v>
      </c>
      <c r="AA140" t="s">
        <v>3108</v>
      </c>
      <c r="AB140" t="s">
        <v>3108</v>
      </c>
      <c r="AC140" t="s">
        <v>3250</v>
      </c>
      <c r="AD140" t="s">
        <v>3250</v>
      </c>
      <c r="AE140" t="s">
        <v>3250</v>
      </c>
      <c r="AF140" t="s">
        <v>3250</v>
      </c>
      <c r="AG140" t="s">
        <v>3250</v>
      </c>
      <c r="AH140" t="s">
        <v>3250</v>
      </c>
      <c r="AI140" t="s">
        <v>3250</v>
      </c>
      <c r="AJ140" t="s">
        <v>3250</v>
      </c>
      <c r="AL140">
        <v>146</v>
      </c>
      <c r="AM140" t="s">
        <v>5</v>
      </c>
      <c r="AN140">
        <v>146</v>
      </c>
      <c r="AO140" t="s">
        <v>5</v>
      </c>
      <c r="AS140" t="s">
        <v>3250</v>
      </c>
      <c r="AT140" t="s">
        <v>3250</v>
      </c>
      <c r="AU140" t="s">
        <v>3250</v>
      </c>
      <c r="AV140" t="s">
        <v>3250</v>
      </c>
      <c r="AW140" t="s">
        <v>3250</v>
      </c>
      <c r="AX140" t="s">
        <v>3250</v>
      </c>
      <c r="AY140" t="s">
        <v>3250</v>
      </c>
      <c r="AZ140" t="s">
        <v>3250</v>
      </c>
      <c r="BA140" t="s">
        <v>3250</v>
      </c>
      <c r="BB140" t="s">
        <v>3250</v>
      </c>
      <c r="BC140" t="s">
        <v>3250</v>
      </c>
      <c r="BE140" t="s">
        <v>3250</v>
      </c>
      <c r="BF140" t="s">
        <v>3250</v>
      </c>
      <c r="BG140" t="s">
        <v>3250</v>
      </c>
      <c r="BH140" t="s">
        <v>3250</v>
      </c>
      <c r="BI140" t="s">
        <v>3250</v>
      </c>
      <c r="BK140" t="s">
        <v>3250</v>
      </c>
      <c r="BL140" t="s">
        <v>3250</v>
      </c>
      <c r="BM140" t="s">
        <v>3250</v>
      </c>
      <c r="BN140" t="s">
        <v>3250</v>
      </c>
      <c r="BP140">
        <v>1</v>
      </c>
      <c r="BQ140">
        <v>11</v>
      </c>
      <c r="BR140" t="s">
        <v>1574</v>
      </c>
      <c r="BS140" t="s">
        <v>3252</v>
      </c>
      <c r="BV140">
        <v>0</v>
      </c>
      <c r="BW140">
        <v>0</v>
      </c>
      <c r="BX140">
        <v>0</v>
      </c>
      <c r="BY140">
        <v>0</v>
      </c>
      <c r="BZ140">
        <v>0</v>
      </c>
      <c r="CA140">
        <v>0</v>
      </c>
      <c r="CB140">
        <v>0</v>
      </c>
      <c r="CC140">
        <v>0</v>
      </c>
      <c r="CD140">
        <v>0</v>
      </c>
      <c r="CE140" t="s">
        <v>3108</v>
      </c>
      <c r="CF140" t="s">
        <v>3108</v>
      </c>
      <c r="CG140" t="s">
        <v>3108</v>
      </c>
      <c r="CH140" t="s">
        <v>3108</v>
      </c>
    </row>
    <row r="141" spans="1:86" x14ac:dyDescent="0.2">
      <c r="A141" t="s">
        <v>3521</v>
      </c>
      <c r="B141" t="s">
        <v>3521</v>
      </c>
      <c r="C141">
        <v>30399</v>
      </c>
      <c r="D141">
        <v>1168</v>
      </c>
      <c r="E141" t="s">
        <v>3522</v>
      </c>
      <c r="F141" t="s">
        <v>3249</v>
      </c>
      <c r="G141" t="s">
        <v>3249</v>
      </c>
      <c r="H141" t="s">
        <v>3250</v>
      </c>
      <c r="I141" t="s">
        <v>3250</v>
      </c>
      <c r="J141" t="s">
        <v>3250</v>
      </c>
      <c r="K141" t="s">
        <v>3250</v>
      </c>
      <c r="L141">
        <v>1200</v>
      </c>
      <c r="M141" t="s">
        <v>2368</v>
      </c>
      <c r="N141">
        <v>1204</v>
      </c>
      <c r="O141" t="s">
        <v>1574</v>
      </c>
      <c r="P141" t="s">
        <v>3108</v>
      </c>
      <c r="Q141" t="s">
        <v>3249</v>
      </c>
      <c r="R141" t="s">
        <v>3249</v>
      </c>
      <c r="S141" t="s">
        <v>472</v>
      </c>
      <c r="T141" t="s">
        <v>3251</v>
      </c>
      <c r="U141">
        <v>140</v>
      </c>
      <c r="V141" t="s">
        <v>1327</v>
      </c>
      <c r="W141">
        <v>140</v>
      </c>
      <c r="X141" t="s">
        <v>1327</v>
      </c>
      <c r="Y141" t="s">
        <v>3250</v>
      </c>
      <c r="Z141" t="s">
        <v>3250</v>
      </c>
      <c r="AA141" t="s">
        <v>3108</v>
      </c>
      <c r="AB141" t="s">
        <v>3108</v>
      </c>
      <c r="AC141" t="s">
        <v>3250</v>
      </c>
      <c r="AD141" t="s">
        <v>3250</v>
      </c>
      <c r="AE141" t="s">
        <v>3250</v>
      </c>
      <c r="AF141" t="s">
        <v>3250</v>
      </c>
      <c r="AG141" t="s">
        <v>3250</v>
      </c>
      <c r="AH141" t="s">
        <v>3250</v>
      </c>
      <c r="AI141" t="s">
        <v>3250</v>
      </c>
      <c r="AJ141" t="s">
        <v>3250</v>
      </c>
      <c r="AL141">
        <v>146</v>
      </c>
      <c r="AM141" t="s">
        <v>5</v>
      </c>
      <c r="AN141">
        <v>146</v>
      </c>
      <c r="AO141" t="s">
        <v>5</v>
      </c>
      <c r="AS141" t="s">
        <v>3250</v>
      </c>
      <c r="AT141" t="s">
        <v>3250</v>
      </c>
      <c r="AU141" t="s">
        <v>3250</v>
      </c>
      <c r="AV141" t="s">
        <v>3250</v>
      </c>
      <c r="AW141" t="s">
        <v>3250</v>
      </c>
      <c r="AX141" t="s">
        <v>3250</v>
      </c>
      <c r="AY141" t="s">
        <v>3250</v>
      </c>
      <c r="AZ141" t="s">
        <v>3250</v>
      </c>
      <c r="BA141" t="s">
        <v>3250</v>
      </c>
      <c r="BB141" t="s">
        <v>3250</v>
      </c>
      <c r="BC141" t="s">
        <v>3250</v>
      </c>
      <c r="BE141" t="s">
        <v>3250</v>
      </c>
      <c r="BF141" t="s">
        <v>3250</v>
      </c>
      <c r="BG141" t="s">
        <v>3250</v>
      </c>
      <c r="BH141" t="s">
        <v>3250</v>
      </c>
      <c r="BI141" t="s">
        <v>3250</v>
      </c>
      <c r="BK141" t="s">
        <v>3250</v>
      </c>
      <c r="BL141" t="s">
        <v>3250</v>
      </c>
      <c r="BM141" t="s">
        <v>3250</v>
      </c>
      <c r="BN141" t="s">
        <v>3250</v>
      </c>
      <c r="BP141">
        <v>1</v>
      </c>
      <c r="BQ141">
        <v>11</v>
      </c>
      <c r="BR141" t="s">
        <v>1574</v>
      </c>
      <c r="BS141" t="s">
        <v>3252</v>
      </c>
      <c r="BV141">
        <v>0</v>
      </c>
      <c r="BW141">
        <v>0</v>
      </c>
      <c r="BX141">
        <v>0</v>
      </c>
      <c r="BY141">
        <v>0</v>
      </c>
      <c r="BZ141">
        <v>0</v>
      </c>
      <c r="CA141">
        <v>0</v>
      </c>
      <c r="CB141">
        <v>0</v>
      </c>
      <c r="CC141">
        <v>0</v>
      </c>
      <c r="CD141">
        <v>0</v>
      </c>
      <c r="CE141" t="s">
        <v>3108</v>
      </c>
      <c r="CF141" t="s">
        <v>3108</v>
      </c>
      <c r="CG141" t="s">
        <v>3108</v>
      </c>
      <c r="CH141" t="s">
        <v>3108</v>
      </c>
    </row>
    <row r="142" spans="1:86" x14ac:dyDescent="0.2">
      <c r="A142" t="s">
        <v>3523</v>
      </c>
      <c r="B142" t="s">
        <v>3523</v>
      </c>
      <c r="C142">
        <v>30400</v>
      </c>
      <c r="D142">
        <v>1169</v>
      </c>
      <c r="E142" t="s">
        <v>3524</v>
      </c>
      <c r="F142" t="s">
        <v>3249</v>
      </c>
      <c r="G142" t="s">
        <v>3249</v>
      </c>
      <c r="H142" t="s">
        <v>3250</v>
      </c>
      <c r="I142" t="s">
        <v>3250</v>
      </c>
      <c r="J142" t="s">
        <v>3250</v>
      </c>
      <c r="K142" t="s">
        <v>3250</v>
      </c>
      <c r="L142">
        <v>1200</v>
      </c>
      <c r="M142" t="s">
        <v>2368</v>
      </c>
      <c r="N142">
        <v>1204</v>
      </c>
      <c r="O142" t="s">
        <v>1574</v>
      </c>
      <c r="P142" t="s">
        <v>3108</v>
      </c>
      <c r="Q142" t="s">
        <v>3249</v>
      </c>
      <c r="R142" t="s">
        <v>3249</v>
      </c>
      <c r="S142" t="s">
        <v>472</v>
      </c>
      <c r="T142" t="s">
        <v>3251</v>
      </c>
      <c r="U142">
        <v>140</v>
      </c>
      <c r="V142" t="s">
        <v>1327</v>
      </c>
      <c r="W142">
        <v>140</v>
      </c>
      <c r="X142" t="s">
        <v>1327</v>
      </c>
      <c r="Y142" t="s">
        <v>3250</v>
      </c>
      <c r="Z142" t="s">
        <v>3250</v>
      </c>
      <c r="AA142" t="s">
        <v>3108</v>
      </c>
      <c r="AB142" t="s">
        <v>3108</v>
      </c>
      <c r="AC142" t="s">
        <v>3250</v>
      </c>
      <c r="AD142" t="s">
        <v>3250</v>
      </c>
      <c r="AE142" t="s">
        <v>3250</v>
      </c>
      <c r="AF142" t="s">
        <v>3250</v>
      </c>
      <c r="AG142" t="s">
        <v>3250</v>
      </c>
      <c r="AH142" t="s">
        <v>3250</v>
      </c>
      <c r="AI142" t="s">
        <v>3250</v>
      </c>
      <c r="AJ142" t="s">
        <v>3250</v>
      </c>
      <c r="AL142">
        <v>141</v>
      </c>
      <c r="AM142" t="s">
        <v>1327</v>
      </c>
      <c r="AN142">
        <v>141</v>
      </c>
      <c r="AO142" t="s">
        <v>1327</v>
      </c>
      <c r="AS142" t="s">
        <v>3250</v>
      </c>
      <c r="AT142" t="s">
        <v>3250</v>
      </c>
      <c r="AU142" t="s">
        <v>3250</v>
      </c>
      <c r="AV142" t="s">
        <v>3250</v>
      </c>
      <c r="AW142" t="s">
        <v>3250</v>
      </c>
      <c r="AX142" t="s">
        <v>3250</v>
      </c>
      <c r="AY142" t="s">
        <v>3250</v>
      </c>
      <c r="AZ142" t="s">
        <v>3250</v>
      </c>
      <c r="BA142" t="s">
        <v>3250</v>
      </c>
      <c r="BB142" t="s">
        <v>3250</v>
      </c>
      <c r="BC142" t="s">
        <v>3250</v>
      </c>
      <c r="BE142" t="s">
        <v>3250</v>
      </c>
      <c r="BF142" t="s">
        <v>3250</v>
      </c>
      <c r="BG142" t="s">
        <v>3250</v>
      </c>
      <c r="BH142" t="s">
        <v>3250</v>
      </c>
      <c r="BI142" t="s">
        <v>3250</v>
      </c>
      <c r="BK142" t="s">
        <v>3250</v>
      </c>
      <c r="BL142" t="s">
        <v>3250</v>
      </c>
      <c r="BM142" t="s">
        <v>3250</v>
      </c>
      <c r="BN142" t="s">
        <v>3250</v>
      </c>
      <c r="BP142">
        <v>1</v>
      </c>
      <c r="BQ142">
        <v>11</v>
      </c>
      <c r="BR142" t="s">
        <v>1574</v>
      </c>
      <c r="BS142" t="s">
        <v>3252</v>
      </c>
      <c r="BV142">
        <v>0</v>
      </c>
      <c r="BW142">
        <v>0</v>
      </c>
      <c r="BX142">
        <v>0</v>
      </c>
      <c r="BY142">
        <v>0</v>
      </c>
      <c r="BZ142">
        <v>0</v>
      </c>
      <c r="CA142">
        <v>0</v>
      </c>
      <c r="CB142">
        <v>0</v>
      </c>
      <c r="CC142">
        <v>0</v>
      </c>
      <c r="CD142">
        <v>0</v>
      </c>
      <c r="CE142" t="s">
        <v>3108</v>
      </c>
      <c r="CF142" t="s">
        <v>3108</v>
      </c>
      <c r="CG142" t="s">
        <v>3108</v>
      </c>
      <c r="CH142" t="s">
        <v>3108</v>
      </c>
    </row>
    <row r="143" spans="1:86" x14ac:dyDescent="0.2">
      <c r="A143" t="s">
        <v>3525</v>
      </c>
      <c r="B143" t="s">
        <v>3525</v>
      </c>
      <c r="C143">
        <v>30402</v>
      </c>
      <c r="D143">
        <v>1171</v>
      </c>
      <c r="E143" t="s">
        <v>3526</v>
      </c>
      <c r="F143" t="s">
        <v>3249</v>
      </c>
      <c r="G143" t="s">
        <v>3249</v>
      </c>
      <c r="H143" t="s">
        <v>3250</v>
      </c>
      <c r="I143" t="s">
        <v>3250</v>
      </c>
      <c r="J143" t="s">
        <v>3250</v>
      </c>
      <c r="K143" t="s">
        <v>3250</v>
      </c>
      <c r="L143">
        <v>1200</v>
      </c>
      <c r="M143" t="s">
        <v>2368</v>
      </c>
      <c r="N143">
        <v>1204</v>
      </c>
      <c r="O143" t="s">
        <v>1574</v>
      </c>
      <c r="P143" t="s">
        <v>3108</v>
      </c>
      <c r="Q143" t="s">
        <v>3249</v>
      </c>
      <c r="R143" t="s">
        <v>3249</v>
      </c>
      <c r="S143" t="s">
        <v>472</v>
      </c>
      <c r="T143" t="s">
        <v>3251</v>
      </c>
      <c r="U143">
        <v>140</v>
      </c>
      <c r="V143" t="s">
        <v>1327</v>
      </c>
      <c r="W143">
        <v>140</v>
      </c>
      <c r="X143" t="s">
        <v>1327</v>
      </c>
      <c r="Y143" t="s">
        <v>3250</v>
      </c>
      <c r="Z143" t="s">
        <v>3250</v>
      </c>
      <c r="AA143" t="s">
        <v>3108</v>
      </c>
      <c r="AB143" t="s">
        <v>3108</v>
      </c>
      <c r="AC143" t="s">
        <v>3250</v>
      </c>
      <c r="AD143" t="s">
        <v>3250</v>
      </c>
      <c r="AE143" t="s">
        <v>3250</v>
      </c>
      <c r="AF143" t="s">
        <v>3250</v>
      </c>
      <c r="AG143" t="s">
        <v>3250</v>
      </c>
      <c r="AH143" t="s">
        <v>3250</v>
      </c>
      <c r="AI143" t="s">
        <v>3250</v>
      </c>
      <c r="AJ143" t="s">
        <v>3250</v>
      </c>
      <c r="AL143">
        <v>147</v>
      </c>
      <c r="AM143" t="s">
        <v>6</v>
      </c>
      <c r="AN143">
        <v>147</v>
      </c>
      <c r="AO143" t="s">
        <v>6</v>
      </c>
      <c r="AS143" t="s">
        <v>3250</v>
      </c>
      <c r="AT143" t="s">
        <v>3250</v>
      </c>
      <c r="AU143" t="s">
        <v>3250</v>
      </c>
      <c r="AV143" t="s">
        <v>3250</v>
      </c>
      <c r="AW143" t="s">
        <v>3250</v>
      </c>
      <c r="AX143" t="s">
        <v>3250</v>
      </c>
      <c r="AY143" t="s">
        <v>3250</v>
      </c>
      <c r="AZ143" t="s">
        <v>3250</v>
      </c>
      <c r="BA143" t="s">
        <v>3250</v>
      </c>
      <c r="BB143" t="s">
        <v>3250</v>
      </c>
      <c r="BC143" t="s">
        <v>3250</v>
      </c>
      <c r="BE143" t="s">
        <v>3250</v>
      </c>
      <c r="BF143" t="s">
        <v>3250</v>
      </c>
      <c r="BG143" t="s">
        <v>3250</v>
      </c>
      <c r="BH143" t="s">
        <v>3250</v>
      </c>
      <c r="BI143" t="s">
        <v>3250</v>
      </c>
      <c r="BK143" t="s">
        <v>3250</v>
      </c>
      <c r="BL143" t="s">
        <v>3250</v>
      </c>
      <c r="BM143" t="s">
        <v>3250</v>
      </c>
      <c r="BN143" t="s">
        <v>3250</v>
      </c>
      <c r="BP143">
        <v>1</v>
      </c>
      <c r="BQ143">
        <v>11</v>
      </c>
      <c r="BR143" t="s">
        <v>1574</v>
      </c>
      <c r="BS143" t="s">
        <v>3252</v>
      </c>
      <c r="BV143">
        <v>0</v>
      </c>
      <c r="BW143">
        <v>0</v>
      </c>
      <c r="BX143">
        <v>0</v>
      </c>
      <c r="BY143">
        <v>0</v>
      </c>
      <c r="BZ143">
        <v>0</v>
      </c>
      <c r="CA143">
        <v>0</v>
      </c>
      <c r="CB143">
        <v>0</v>
      </c>
      <c r="CC143">
        <v>0</v>
      </c>
      <c r="CD143">
        <v>0</v>
      </c>
      <c r="CE143" t="s">
        <v>3108</v>
      </c>
      <c r="CF143" t="s">
        <v>3108</v>
      </c>
      <c r="CG143" t="s">
        <v>3108</v>
      </c>
      <c r="CH143" t="s">
        <v>3108</v>
      </c>
    </row>
    <row r="144" spans="1:86" x14ac:dyDescent="0.2">
      <c r="A144" t="s">
        <v>3527</v>
      </c>
      <c r="B144" t="s">
        <v>3527</v>
      </c>
      <c r="C144">
        <v>30403</v>
      </c>
      <c r="D144">
        <v>1172</v>
      </c>
      <c r="E144" t="s">
        <v>3528</v>
      </c>
      <c r="F144" t="s">
        <v>3249</v>
      </c>
      <c r="G144" t="s">
        <v>3249</v>
      </c>
      <c r="H144" t="s">
        <v>3250</v>
      </c>
      <c r="I144" t="s">
        <v>3250</v>
      </c>
      <c r="J144" t="s">
        <v>3250</v>
      </c>
      <c r="K144" t="s">
        <v>3250</v>
      </c>
      <c r="L144">
        <v>1200</v>
      </c>
      <c r="M144" t="s">
        <v>2368</v>
      </c>
      <c r="N144">
        <v>1204</v>
      </c>
      <c r="O144" t="s">
        <v>1574</v>
      </c>
      <c r="P144" t="s">
        <v>3108</v>
      </c>
      <c r="Q144" t="s">
        <v>3249</v>
      </c>
      <c r="R144" t="s">
        <v>3249</v>
      </c>
      <c r="S144" t="s">
        <v>472</v>
      </c>
      <c r="T144" t="s">
        <v>3251</v>
      </c>
      <c r="U144">
        <v>140</v>
      </c>
      <c r="V144" t="s">
        <v>1327</v>
      </c>
      <c r="W144">
        <v>140</v>
      </c>
      <c r="X144" t="s">
        <v>1327</v>
      </c>
      <c r="Y144" t="s">
        <v>3250</v>
      </c>
      <c r="Z144" t="s">
        <v>3250</v>
      </c>
      <c r="AA144" t="s">
        <v>3108</v>
      </c>
      <c r="AB144" t="s">
        <v>3108</v>
      </c>
      <c r="AC144" t="s">
        <v>3250</v>
      </c>
      <c r="AD144" t="s">
        <v>3250</v>
      </c>
      <c r="AE144" t="s">
        <v>3250</v>
      </c>
      <c r="AF144" t="s">
        <v>3250</v>
      </c>
      <c r="AG144" t="s">
        <v>3250</v>
      </c>
      <c r="AH144" t="s">
        <v>3250</v>
      </c>
      <c r="AI144" t="s">
        <v>3250</v>
      </c>
      <c r="AJ144" t="s">
        <v>3250</v>
      </c>
      <c r="AL144">
        <v>141</v>
      </c>
      <c r="AM144" t="s">
        <v>1327</v>
      </c>
      <c r="AN144">
        <v>141</v>
      </c>
      <c r="AO144" t="s">
        <v>1327</v>
      </c>
      <c r="AS144" t="s">
        <v>3250</v>
      </c>
      <c r="AT144" t="s">
        <v>3250</v>
      </c>
      <c r="AU144" t="s">
        <v>3250</v>
      </c>
      <c r="AV144" t="s">
        <v>3250</v>
      </c>
      <c r="AW144" t="s">
        <v>3250</v>
      </c>
      <c r="AX144" t="s">
        <v>3250</v>
      </c>
      <c r="AY144" t="s">
        <v>3250</v>
      </c>
      <c r="AZ144" t="s">
        <v>3250</v>
      </c>
      <c r="BA144" t="s">
        <v>3250</v>
      </c>
      <c r="BB144" t="s">
        <v>3250</v>
      </c>
      <c r="BC144" t="s">
        <v>3250</v>
      </c>
      <c r="BE144" t="s">
        <v>3250</v>
      </c>
      <c r="BF144" t="s">
        <v>3250</v>
      </c>
      <c r="BG144" t="s">
        <v>3250</v>
      </c>
      <c r="BH144" t="s">
        <v>3250</v>
      </c>
      <c r="BI144" t="s">
        <v>3250</v>
      </c>
      <c r="BK144" t="s">
        <v>3250</v>
      </c>
      <c r="BL144" t="s">
        <v>3250</v>
      </c>
      <c r="BM144" t="s">
        <v>3250</v>
      </c>
      <c r="BN144" t="s">
        <v>3250</v>
      </c>
      <c r="BP144">
        <v>1</v>
      </c>
      <c r="BQ144">
        <v>11</v>
      </c>
      <c r="BR144" t="s">
        <v>1574</v>
      </c>
      <c r="BS144" t="s">
        <v>3252</v>
      </c>
      <c r="BV144">
        <v>-39</v>
      </c>
      <c r="BW144">
        <v>-39</v>
      </c>
      <c r="BX144">
        <v>0</v>
      </c>
      <c r="BY144">
        <v>0</v>
      </c>
      <c r="BZ144">
        <v>0</v>
      </c>
      <c r="CA144">
        <v>0</v>
      </c>
      <c r="CB144">
        <v>0</v>
      </c>
      <c r="CC144">
        <v>0</v>
      </c>
      <c r="CD144">
        <v>-39</v>
      </c>
      <c r="CE144" t="s">
        <v>3108</v>
      </c>
      <c r="CF144" t="s">
        <v>3108</v>
      </c>
      <c r="CG144" t="s">
        <v>3108</v>
      </c>
      <c r="CH144" t="s">
        <v>3108</v>
      </c>
    </row>
    <row r="145" spans="1:86" x14ac:dyDescent="0.2">
      <c r="A145" t="s">
        <v>3529</v>
      </c>
      <c r="B145" t="s">
        <v>3529</v>
      </c>
      <c r="C145">
        <v>30405</v>
      </c>
      <c r="D145">
        <v>1174</v>
      </c>
      <c r="E145" t="s">
        <v>3530</v>
      </c>
      <c r="F145" t="s">
        <v>3249</v>
      </c>
      <c r="G145" t="s">
        <v>3249</v>
      </c>
      <c r="H145" t="s">
        <v>3250</v>
      </c>
      <c r="I145" t="s">
        <v>3250</v>
      </c>
      <c r="J145" t="s">
        <v>3250</v>
      </c>
      <c r="K145" t="s">
        <v>3250</v>
      </c>
      <c r="L145">
        <v>1200</v>
      </c>
      <c r="M145" t="s">
        <v>2368</v>
      </c>
      <c r="N145">
        <v>1204</v>
      </c>
      <c r="O145" t="s">
        <v>1574</v>
      </c>
      <c r="P145" t="s">
        <v>3108</v>
      </c>
      <c r="Q145" t="s">
        <v>3249</v>
      </c>
      <c r="R145" t="s">
        <v>3249</v>
      </c>
      <c r="S145" t="s">
        <v>472</v>
      </c>
      <c r="T145" t="s">
        <v>3251</v>
      </c>
      <c r="U145">
        <v>140</v>
      </c>
      <c r="V145" t="s">
        <v>1327</v>
      </c>
      <c r="W145">
        <v>140</v>
      </c>
      <c r="X145" t="s">
        <v>1327</v>
      </c>
      <c r="Y145" t="s">
        <v>3250</v>
      </c>
      <c r="Z145" t="s">
        <v>3250</v>
      </c>
      <c r="AA145" t="s">
        <v>3108</v>
      </c>
      <c r="AB145" t="s">
        <v>3108</v>
      </c>
      <c r="AC145" t="s">
        <v>3250</v>
      </c>
      <c r="AD145" t="s">
        <v>3250</v>
      </c>
      <c r="AE145" t="s">
        <v>3250</v>
      </c>
      <c r="AF145" t="s">
        <v>3250</v>
      </c>
      <c r="AG145" t="s">
        <v>3250</v>
      </c>
      <c r="AH145" t="s">
        <v>3250</v>
      </c>
      <c r="AI145" t="s">
        <v>3250</v>
      </c>
      <c r="AJ145" t="s">
        <v>3250</v>
      </c>
      <c r="AL145">
        <v>141</v>
      </c>
      <c r="AM145" t="s">
        <v>1327</v>
      </c>
      <c r="AN145">
        <v>141</v>
      </c>
      <c r="AO145" t="s">
        <v>1327</v>
      </c>
      <c r="AS145" t="s">
        <v>3250</v>
      </c>
      <c r="AT145" t="s">
        <v>3250</v>
      </c>
      <c r="AU145" t="s">
        <v>3250</v>
      </c>
      <c r="AV145" t="s">
        <v>3250</v>
      </c>
      <c r="AW145" t="s">
        <v>3250</v>
      </c>
      <c r="AX145" t="s">
        <v>3250</v>
      </c>
      <c r="AY145" t="s">
        <v>3250</v>
      </c>
      <c r="AZ145" t="s">
        <v>3250</v>
      </c>
      <c r="BA145" t="s">
        <v>3250</v>
      </c>
      <c r="BB145" t="s">
        <v>3250</v>
      </c>
      <c r="BC145" t="s">
        <v>3250</v>
      </c>
      <c r="BE145" t="s">
        <v>3250</v>
      </c>
      <c r="BF145" t="s">
        <v>3250</v>
      </c>
      <c r="BG145" t="s">
        <v>3250</v>
      </c>
      <c r="BH145" t="s">
        <v>3250</v>
      </c>
      <c r="BI145" t="s">
        <v>3250</v>
      </c>
      <c r="BK145" t="s">
        <v>3250</v>
      </c>
      <c r="BL145" t="s">
        <v>3250</v>
      </c>
      <c r="BM145" t="s">
        <v>3250</v>
      </c>
      <c r="BN145" t="s">
        <v>3250</v>
      </c>
      <c r="BP145">
        <v>1</v>
      </c>
      <c r="BQ145">
        <v>11</v>
      </c>
      <c r="BR145" t="s">
        <v>1574</v>
      </c>
      <c r="BS145" t="s">
        <v>3252</v>
      </c>
      <c r="BV145">
        <v>0</v>
      </c>
      <c r="BW145">
        <v>0</v>
      </c>
      <c r="BX145">
        <v>0</v>
      </c>
      <c r="BY145">
        <v>0</v>
      </c>
      <c r="BZ145">
        <v>0</v>
      </c>
      <c r="CA145">
        <v>0</v>
      </c>
      <c r="CB145">
        <v>0</v>
      </c>
      <c r="CC145">
        <v>0</v>
      </c>
      <c r="CD145">
        <v>0</v>
      </c>
      <c r="CE145" t="s">
        <v>3108</v>
      </c>
      <c r="CF145" t="s">
        <v>3108</v>
      </c>
      <c r="CG145" t="s">
        <v>3108</v>
      </c>
      <c r="CH145" t="s">
        <v>3108</v>
      </c>
    </row>
    <row r="146" spans="1:86" x14ac:dyDescent="0.2">
      <c r="A146" t="s">
        <v>3531</v>
      </c>
      <c r="B146" t="s">
        <v>3531</v>
      </c>
      <c r="C146">
        <v>30406</v>
      </c>
      <c r="D146">
        <v>1175</v>
      </c>
      <c r="E146" t="s">
        <v>3532</v>
      </c>
      <c r="F146" t="s">
        <v>3249</v>
      </c>
      <c r="G146" t="s">
        <v>3249</v>
      </c>
      <c r="H146" t="s">
        <v>3250</v>
      </c>
      <c r="I146" t="s">
        <v>3250</v>
      </c>
      <c r="J146" t="s">
        <v>3250</v>
      </c>
      <c r="K146" t="s">
        <v>3250</v>
      </c>
      <c r="L146">
        <v>1200</v>
      </c>
      <c r="M146" t="s">
        <v>2368</v>
      </c>
      <c r="N146">
        <v>1204</v>
      </c>
      <c r="O146" t="s">
        <v>1574</v>
      </c>
      <c r="P146" t="s">
        <v>3108</v>
      </c>
      <c r="Q146" t="s">
        <v>3249</v>
      </c>
      <c r="R146" t="s">
        <v>3249</v>
      </c>
      <c r="S146" t="s">
        <v>472</v>
      </c>
      <c r="T146" t="s">
        <v>3251</v>
      </c>
      <c r="U146">
        <v>140</v>
      </c>
      <c r="V146" t="s">
        <v>1327</v>
      </c>
      <c r="W146">
        <v>140</v>
      </c>
      <c r="X146" t="s">
        <v>1327</v>
      </c>
      <c r="Y146" t="s">
        <v>3250</v>
      </c>
      <c r="Z146" t="s">
        <v>3250</v>
      </c>
      <c r="AA146" t="s">
        <v>3108</v>
      </c>
      <c r="AB146" t="s">
        <v>3108</v>
      </c>
      <c r="AC146" t="s">
        <v>3250</v>
      </c>
      <c r="AD146" t="s">
        <v>3250</v>
      </c>
      <c r="AE146" t="s">
        <v>3250</v>
      </c>
      <c r="AF146" t="s">
        <v>3250</v>
      </c>
      <c r="AG146" t="s">
        <v>3250</v>
      </c>
      <c r="AH146" t="s">
        <v>3250</v>
      </c>
      <c r="AI146" t="s">
        <v>3250</v>
      </c>
      <c r="AJ146" t="s">
        <v>3250</v>
      </c>
      <c r="AL146">
        <v>146</v>
      </c>
      <c r="AM146" t="s">
        <v>5</v>
      </c>
      <c r="AN146">
        <v>146</v>
      </c>
      <c r="AO146" t="s">
        <v>5</v>
      </c>
      <c r="AS146" t="s">
        <v>3250</v>
      </c>
      <c r="AT146" t="s">
        <v>3250</v>
      </c>
      <c r="AU146" t="s">
        <v>3250</v>
      </c>
      <c r="AV146" t="s">
        <v>3250</v>
      </c>
      <c r="AW146" t="s">
        <v>3250</v>
      </c>
      <c r="AX146" t="s">
        <v>3250</v>
      </c>
      <c r="AY146" t="s">
        <v>3250</v>
      </c>
      <c r="AZ146" t="s">
        <v>3250</v>
      </c>
      <c r="BA146" t="s">
        <v>3250</v>
      </c>
      <c r="BB146" t="s">
        <v>3250</v>
      </c>
      <c r="BC146" t="s">
        <v>3250</v>
      </c>
      <c r="BE146" t="s">
        <v>3250</v>
      </c>
      <c r="BF146" t="s">
        <v>3250</v>
      </c>
      <c r="BG146" t="s">
        <v>3250</v>
      </c>
      <c r="BH146" t="s">
        <v>3250</v>
      </c>
      <c r="BI146" t="s">
        <v>3250</v>
      </c>
      <c r="BK146" t="s">
        <v>3250</v>
      </c>
      <c r="BL146" t="s">
        <v>3250</v>
      </c>
      <c r="BM146" t="s">
        <v>3250</v>
      </c>
      <c r="BN146" t="s">
        <v>3250</v>
      </c>
      <c r="BP146">
        <v>1</v>
      </c>
      <c r="BQ146">
        <v>11</v>
      </c>
      <c r="BR146" t="s">
        <v>1574</v>
      </c>
      <c r="BS146" t="s">
        <v>3252</v>
      </c>
      <c r="BV146">
        <v>0</v>
      </c>
      <c r="BW146">
        <v>0</v>
      </c>
      <c r="BX146">
        <v>0</v>
      </c>
      <c r="BY146">
        <v>0</v>
      </c>
      <c r="BZ146">
        <v>0</v>
      </c>
      <c r="CA146">
        <v>0</v>
      </c>
      <c r="CB146">
        <v>0</v>
      </c>
      <c r="CC146">
        <v>0</v>
      </c>
      <c r="CD146">
        <v>0</v>
      </c>
      <c r="CE146" t="s">
        <v>3108</v>
      </c>
      <c r="CF146" t="s">
        <v>3108</v>
      </c>
      <c r="CG146" t="s">
        <v>3108</v>
      </c>
      <c r="CH146" t="s">
        <v>3108</v>
      </c>
    </row>
    <row r="147" spans="1:86" x14ac:dyDescent="0.2">
      <c r="A147" t="s">
        <v>3533</v>
      </c>
      <c r="B147" t="s">
        <v>3533</v>
      </c>
      <c r="C147">
        <v>30407</v>
      </c>
      <c r="D147">
        <v>1176</v>
      </c>
      <c r="E147" t="s">
        <v>3534</v>
      </c>
      <c r="F147" t="s">
        <v>3249</v>
      </c>
      <c r="G147" t="s">
        <v>3249</v>
      </c>
      <c r="H147" t="s">
        <v>3250</v>
      </c>
      <c r="I147" t="s">
        <v>3250</v>
      </c>
      <c r="J147" t="s">
        <v>3250</v>
      </c>
      <c r="K147" t="s">
        <v>3250</v>
      </c>
      <c r="L147">
        <v>1200</v>
      </c>
      <c r="M147" t="s">
        <v>2368</v>
      </c>
      <c r="N147">
        <v>1204</v>
      </c>
      <c r="O147" t="s">
        <v>1574</v>
      </c>
      <c r="P147" t="s">
        <v>3108</v>
      </c>
      <c r="Q147" t="s">
        <v>3249</v>
      </c>
      <c r="R147" t="s">
        <v>3249</v>
      </c>
      <c r="S147" t="s">
        <v>472</v>
      </c>
      <c r="T147" t="s">
        <v>3251</v>
      </c>
      <c r="U147">
        <v>140</v>
      </c>
      <c r="V147" t="s">
        <v>1327</v>
      </c>
      <c r="W147">
        <v>140</v>
      </c>
      <c r="X147" t="s">
        <v>1327</v>
      </c>
      <c r="Y147" t="s">
        <v>3250</v>
      </c>
      <c r="Z147" t="s">
        <v>3250</v>
      </c>
      <c r="AA147" t="s">
        <v>3108</v>
      </c>
      <c r="AB147" t="s">
        <v>3108</v>
      </c>
      <c r="AC147" t="s">
        <v>3250</v>
      </c>
      <c r="AD147" t="s">
        <v>3250</v>
      </c>
      <c r="AE147" t="s">
        <v>3250</v>
      </c>
      <c r="AF147" t="s">
        <v>3250</v>
      </c>
      <c r="AG147" t="s">
        <v>3250</v>
      </c>
      <c r="AH147" t="s">
        <v>3250</v>
      </c>
      <c r="AI147" t="s">
        <v>3250</v>
      </c>
      <c r="AJ147" t="s">
        <v>3250</v>
      </c>
      <c r="AL147">
        <v>146</v>
      </c>
      <c r="AM147" t="s">
        <v>5</v>
      </c>
      <c r="AN147">
        <v>146</v>
      </c>
      <c r="AO147" t="s">
        <v>5</v>
      </c>
      <c r="AS147" t="s">
        <v>3250</v>
      </c>
      <c r="AT147" t="s">
        <v>3250</v>
      </c>
      <c r="AU147" t="s">
        <v>3250</v>
      </c>
      <c r="AV147" t="s">
        <v>3250</v>
      </c>
      <c r="AW147" t="s">
        <v>3250</v>
      </c>
      <c r="AX147" t="s">
        <v>3250</v>
      </c>
      <c r="AY147" t="s">
        <v>3250</v>
      </c>
      <c r="AZ147" t="s">
        <v>3250</v>
      </c>
      <c r="BA147" t="s">
        <v>3250</v>
      </c>
      <c r="BB147" t="s">
        <v>3250</v>
      </c>
      <c r="BC147" t="s">
        <v>3250</v>
      </c>
      <c r="BE147" t="s">
        <v>3250</v>
      </c>
      <c r="BF147" t="s">
        <v>3250</v>
      </c>
      <c r="BG147" t="s">
        <v>3250</v>
      </c>
      <c r="BH147" t="s">
        <v>3250</v>
      </c>
      <c r="BI147" t="s">
        <v>3250</v>
      </c>
      <c r="BK147" t="s">
        <v>3250</v>
      </c>
      <c r="BL147" t="s">
        <v>3250</v>
      </c>
      <c r="BM147" t="s">
        <v>3250</v>
      </c>
      <c r="BN147" t="s">
        <v>3250</v>
      </c>
      <c r="BP147">
        <v>1</v>
      </c>
      <c r="BQ147">
        <v>11</v>
      </c>
      <c r="BR147" t="s">
        <v>1574</v>
      </c>
      <c r="BS147" t="s">
        <v>3252</v>
      </c>
      <c r="BV147">
        <v>0</v>
      </c>
      <c r="BW147">
        <v>0</v>
      </c>
      <c r="BX147">
        <v>0</v>
      </c>
      <c r="BY147">
        <v>0</v>
      </c>
      <c r="BZ147">
        <v>0</v>
      </c>
      <c r="CA147">
        <v>0</v>
      </c>
      <c r="CB147">
        <v>0</v>
      </c>
      <c r="CC147">
        <v>0</v>
      </c>
      <c r="CD147">
        <v>0</v>
      </c>
      <c r="CE147" t="s">
        <v>3108</v>
      </c>
      <c r="CF147" t="s">
        <v>3108</v>
      </c>
      <c r="CG147" t="s">
        <v>3108</v>
      </c>
      <c r="CH147" t="s">
        <v>3108</v>
      </c>
    </row>
    <row r="148" spans="1:86" x14ac:dyDescent="0.2">
      <c r="A148" t="s">
        <v>3535</v>
      </c>
      <c r="B148" t="s">
        <v>3535</v>
      </c>
      <c r="C148">
        <v>30408</v>
      </c>
      <c r="D148">
        <v>1177</v>
      </c>
      <c r="E148" t="s">
        <v>3536</v>
      </c>
      <c r="F148" t="s">
        <v>3249</v>
      </c>
      <c r="G148" t="s">
        <v>3249</v>
      </c>
      <c r="H148" t="s">
        <v>3250</v>
      </c>
      <c r="I148" t="s">
        <v>3250</v>
      </c>
      <c r="J148" t="s">
        <v>3250</v>
      </c>
      <c r="K148" t="s">
        <v>3250</v>
      </c>
      <c r="L148">
        <v>1200</v>
      </c>
      <c r="M148" t="s">
        <v>2368</v>
      </c>
      <c r="N148">
        <v>1204</v>
      </c>
      <c r="O148" t="s">
        <v>1574</v>
      </c>
      <c r="P148" t="s">
        <v>3108</v>
      </c>
      <c r="Q148" t="s">
        <v>3249</v>
      </c>
      <c r="R148" t="s">
        <v>3249</v>
      </c>
      <c r="S148" t="s">
        <v>472</v>
      </c>
      <c r="T148" t="s">
        <v>3251</v>
      </c>
      <c r="U148">
        <v>140</v>
      </c>
      <c r="V148" t="s">
        <v>1327</v>
      </c>
      <c r="W148">
        <v>140</v>
      </c>
      <c r="X148" t="s">
        <v>1327</v>
      </c>
      <c r="Y148" t="s">
        <v>3250</v>
      </c>
      <c r="Z148" t="s">
        <v>3250</v>
      </c>
      <c r="AA148" t="s">
        <v>3108</v>
      </c>
      <c r="AB148" t="s">
        <v>3108</v>
      </c>
      <c r="AC148" t="s">
        <v>3250</v>
      </c>
      <c r="AD148" t="s">
        <v>3250</v>
      </c>
      <c r="AE148" t="s">
        <v>3250</v>
      </c>
      <c r="AF148" t="s">
        <v>3250</v>
      </c>
      <c r="AG148" t="s">
        <v>3250</v>
      </c>
      <c r="AH148" t="s">
        <v>3250</v>
      </c>
      <c r="AI148" t="s">
        <v>3250</v>
      </c>
      <c r="AJ148" t="s">
        <v>3250</v>
      </c>
      <c r="AL148">
        <v>141</v>
      </c>
      <c r="AM148" t="s">
        <v>1327</v>
      </c>
      <c r="AN148">
        <v>141</v>
      </c>
      <c r="AO148" t="s">
        <v>1327</v>
      </c>
      <c r="AS148" t="s">
        <v>3250</v>
      </c>
      <c r="AT148" t="s">
        <v>3250</v>
      </c>
      <c r="AU148" t="s">
        <v>3250</v>
      </c>
      <c r="AV148" t="s">
        <v>3250</v>
      </c>
      <c r="AW148" t="s">
        <v>3250</v>
      </c>
      <c r="AX148" t="s">
        <v>3250</v>
      </c>
      <c r="AY148" t="s">
        <v>3250</v>
      </c>
      <c r="AZ148" t="s">
        <v>3250</v>
      </c>
      <c r="BA148" t="s">
        <v>3250</v>
      </c>
      <c r="BB148" t="s">
        <v>3250</v>
      </c>
      <c r="BC148" t="s">
        <v>3250</v>
      </c>
      <c r="BE148" t="s">
        <v>3250</v>
      </c>
      <c r="BF148" t="s">
        <v>3250</v>
      </c>
      <c r="BG148" t="s">
        <v>3250</v>
      </c>
      <c r="BH148" t="s">
        <v>3250</v>
      </c>
      <c r="BI148" t="s">
        <v>3250</v>
      </c>
      <c r="BK148" t="s">
        <v>3250</v>
      </c>
      <c r="BL148" t="s">
        <v>3250</v>
      </c>
      <c r="BM148" t="s">
        <v>3250</v>
      </c>
      <c r="BN148" t="s">
        <v>3250</v>
      </c>
      <c r="BP148">
        <v>1</v>
      </c>
      <c r="BQ148">
        <v>11</v>
      </c>
      <c r="BR148" t="s">
        <v>1574</v>
      </c>
      <c r="BS148" t="s">
        <v>3252</v>
      </c>
      <c r="BV148">
        <v>0</v>
      </c>
      <c r="BW148">
        <v>0</v>
      </c>
      <c r="BX148">
        <v>0</v>
      </c>
      <c r="BY148">
        <v>0</v>
      </c>
      <c r="BZ148">
        <v>0</v>
      </c>
      <c r="CA148">
        <v>0</v>
      </c>
      <c r="CB148">
        <v>0</v>
      </c>
      <c r="CC148">
        <v>0</v>
      </c>
      <c r="CD148">
        <v>0</v>
      </c>
      <c r="CE148" t="s">
        <v>3108</v>
      </c>
      <c r="CF148" t="s">
        <v>3108</v>
      </c>
      <c r="CG148" t="s">
        <v>3108</v>
      </c>
      <c r="CH148" t="s">
        <v>3108</v>
      </c>
    </row>
    <row r="149" spans="1:86" x14ac:dyDescent="0.2">
      <c r="A149" t="s">
        <v>3537</v>
      </c>
      <c r="B149" t="s">
        <v>3537</v>
      </c>
      <c r="C149">
        <v>30409</v>
      </c>
      <c r="D149">
        <v>1178</v>
      </c>
      <c r="E149" t="s">
        <v>3538</v>
      </c>
      <c r="F149" t="s">
        <v>3249</v>
      </c>
      <c r="G149" t="s">
        <v>3249</v>
      </c>
      <c r="H149" t="s">
        <v>3250</v>
      </c>
      <c r="I149" t="s">
        <v>3250</v>
      </c>
      <c r="J149" t="s">
        <v>3250</v>
      </c>
      <c r="K149" t="s">
        <v>3250</v>
      </c>
      <c r="L149">
        <v>1200</v>
      </c>
      <c r="M149" t="s">
        <v>2368</v>
      </c>
      <c r="N149">
        <v>1204</v>
      </c>
      <c r="O149" t="s">
        <v>1574</v>
      </c>
      <c r="P149" t="s">
        <v>3108</v>
      </c>
      <c r="Q149" t="s">
        <v>3249</v>
      </c>
      <c r="R149" t="s">
        <v>3249</v>
      </c>
      <c r="S149" t="s">
        <v>472</v>
      </c>
      <c r="T149" t="s">
        <v>3251</v>
      </c>
      <c r="U149">
        <v>140</v>
      </c>
      <c r="V149" t="s">
        <v>1327</v>
      </c>
      <c r="W149">
        <v>140</v>
      </c>
      <c r="X149" t="s">
        <v>1327</v>
      </c>
      <c r="Y149" t="s">
        <v>3250</v>
      </c>
      <c r="Z149" t="s">
        <v>3250</v>
      </c>
      <c r="AA149" t="s">
        <v>3108</v>
      </c>
      <c r="AB149" t="s">
        <v>3108</v>
      </c>
      <c r="AC149" t="s">
        <v>3250</v>
      </c>
      <c r="AD149" t="s">
        <v>3250</v>
      </c>
      <c r="AE149" t="s">
        <v>3250</v>
      </c>
      <c r="AF149" t="s">
        <v>3250</v>
      </c>
      <c r="AG149" t="s">
        <v>3250</v>
      </c>
      <c r="AH149" t="s">
        <v>3250</v>
      </c>
      <c r="AI149" t="s">
        <v>3250</v>
      </c>
      <c r="AJ149" t="s">
        <v>3250</v>
      </c>
      <c r="AL149">
        <v>141</v>
      </c>
      <c r="AM149" t="s">
        <v>1327</v>
      </c>
      <c r="AN149">
        <v>141</v>
      </c>
      <c r="AO149" t="s">
        <v>1327</v>
      </c>
      <c r="AS149" t="s">
        <v>3250</v>
      </c>
      <c r="AT149" t="s">
        <v>3250</v>
      </c>
      <c r="AU149" t="s">
        <v>3250</v>
      </c>
      <c r="AV149" t="s">
        <v>3250</v>
      </c>
      <c r="AW149" t="s">
        <v>3250</v>
      </c>
      <c r="AX149" t="s">
        <v>3250</v>
      </c>
      <c r="AY149" t="s">
        <v>3250</v>
      </c>
      <c r="AZ149" t="s">
        <v>3250</v>
      </c>
      <c r="BA149" t="s">
        <v>3250</v>
      </c>
      <c r="BB149" t="s">
        <v>3250</v>
      </c>
      <c r="BC149" t="s">
        <v>3250</v>
      </c>
      <c r="BE149" t="s">
        <v>3250</v>
      </c>
      <c r="BF149" t="s">
        <v>3250</v>
      </c>
      <c r="BG149" t="s">
        <v>3250</v>
      </c>
      <c r="BH149" t="s">
        <v>3250</v>
      </c>
      <c r="BI149" t="s">
        <v>3250</v>
      </c>
      <c r="BK149" t="s">
        <v>3250</v>
      </c>
      <c r="BL149" t="s">
        <v>3250</v>
      </c>
      <c r="BM149" t="s">
        <v>3250</v>
      </c>
      <c r="BN149" t="s">
        <v>3250</v>
      </c>
      <c r="BP149">
        <v>1</v>
      </c>
      <c r="BQ149">
        <v>11</v>
      </c>
      <c r="BR149" t="s">
        <v>1574</v>
      </c>
      <c r="BS149" t="s">
        <v>3252</v>
      </c>
      <c r="BV149">
        <v>0</v>
      </c>
      <c r="BW149">
        <v>0</v>
      </c>
      <c r="BX149">
        <v>0</v>
      </c>
      <c r="BY149">
        <v>0</v>
      </c>
      <c r="BZ149">
        <v>0</v>
      </c>
      <c r="CA149">
        <v>0</v>
      </c>
      <c r="CB149">
        <v>0</v>
      </c>
      <c r="CC149">
        <v>0</v>
      </c>
      <c r="CD149">
        <v>0</v>
      </c>
      <c r="CE149" t="s">
        <v>3108</v>
      </c>
      <c r="CF149" t="s">
        <v>3108</v>
      </c>
      <c r="CG149" t="s">
        <v>3108</v>
      </c>
      <c r="CH149" t="s">
        <v>3108</v>
      </c>
    </row>
    <row r="150" spans="1:86" x14ac:dyDescent="0.2">
      <c r="A150" t="s">
        <v>3539</v>
      </c>
      <c r="B150" t="s">
        <v>3539</v>
      </c>
      <c r="C150">
        <v>30410</v>
      </c>
      <c r="D150">
        <v>1179</v>
      </c>
      <c r="E150" t="s">
        <v>3540</v>
      </c>
      <c r="F150" t="s">
        <v>3249</v>
      </c>
      <c r="G150" t="s">
        <v>3249</v>
      </c>
      <c r="H150" t="s">
        <v>3250</v>
      </c>
      <c r="I150" t="s">
        <v>3250</v>
      </c>
      <c r="J150" t="s">
        <v>3250</v>
      </c>
      <c r="K150" t="s">
        <v>3250</v>
      </c>
      <c r="L150">
        <v>1200</v>
      </c>
      <c r="M150" t="s">
        <v>2368</v>
      </c>
      <c r="N150">
        <v>1204</v>
      </c>
      <c r="O150" t="s">
        <v>1574</v>
      </c>
      <c r="P150" t="s">
        <v>3108</v>
      </c>
      <c r="Q150" t="s">
        <v>3249</v>
      </c>
      <c r="R150" t="s">
        <v>3249</v>
      </c>
      <c r="S150" t="s">
        <v>472</v>
      </c>
      <c r="T150" t="s">
        <v>3251</v>
      </c>
      <c r="U150">
        <v>140</v>
      </c>
      <c r="V150" t="s">
        <v>1327</v>
      </c>
      <c r="W150">
        <v>140</v>
      </c>
      <c r="X150" t="s">
        <v>1327</v>
      </c>
      <c r="Y150" t="s">
        <v>3250</v>
      </c>
      <c r="Z150" t="s">
        <v>3250</v>
      </c>
      <c r="AA150" t="s">
        <v>3108</v>
      </c>
      <c r="AB150" t="s">
        <v>3108</v>
      </c>
      <c r="AC150" t="s">
        <v>3250</v>
      </c>
      <c r="AD150" t="s">
        <v>3250</v>
      </c>
      <c r="AE150" t="s">
        <v>3250</v>
      </c>
      <c r="AF150" t="s">
        <v>3250</v>
      </c>
      <c r="AG150" t="s">
        <v>3250</v>
      </c>
      <c r="AH150" t="s">
        <v>3250</v>
      </c>
      <c r="AI150" t="s">
        <v>3250</v>
      </c>
      <c r="AJ150" t="s">
        <v>3250</v>
      </c>
      <c r="AL150">
        <v>147</v>
      </c>
      <c r="AM150" t="s">
        <v>6</v>
      </c>
      <c r="AN150">
        <v>147</v>
      </c>
      <c r="AO150" t="s">
        <v>6</v>
      </c>
      <c r="AS150" t="s">
        <v>3250</v>
      </c>
      <c r="AT150" t="s">
        <v>3250</v>
      </c>
      <c r="AU150" t="s">
        <v>3250</v>
      </c>
      <c r="AV150" t="s">
        <v>3250</v>
      </c>
      <c r="AW150" t="s">
        <v>3250</v>
      </c>
      <c r="AX150" t="s">
        <v>3250</v>
      </c>
      <c r="AY150" t="s">
        <v>3250</v>
      </c>
      <c r="AZ150" t="s">
        <v>3250</v>
      </c>
      <c r="BA150" t="s">
        <v>3250</v>
      </c>
      <c r="BB150" t="s">
        <v>3250</v>
      </c>
      <c r="BC150" t="s">
        <v>3250</v>
      </c>
      <c r="BE150" t="s">
        <v>3250</v>
      </c>
      <c r="BF150" t="s">
        <v>3250</v>
      </c>
      <c r="BG150" t="s">
        <v>3250</v>
      </c>
      <c r="BH150" t="s">
        <v>3250</v>
      </c>
      <c r="BI150" t="s">
        <v>3250</v>
      </c>
      <c r="BK150" t="s">
        <v>3250</v>
      </c>
      <c r="BL150" t="s">
        <v>3250</v>
      </c>
      <c r="BM150" t="s">
        <v>3250</v>
      </c>
      <c r="BN150" t="s">
        <v>3250</v>
      </c>
      <c r="BP150">
        <v>1</v>
      </c>
      <c r="BQ150">
        <v>11</v>
      </c>
      <c r="BR150" t="s">
        <v>1574</v>
      </c>
      <c r="BS150" t="s">
        <v>3252</v>
      </c>
      <c r="BV150">
        <v>0</v>
      </c>
      <c r="BW150">
        <v>0</v>
      </c>
      <c r="BX150">
        <v>0</v>
      </c>
      <c r="BY150">
        <v>0</v>
      </c>
      <c r="BZ150">
        <v>0</v>
      </c>
      <c r="CA150">
        <v>0</v>
      </c>
      <c r="CB150">
        <v>0</v>
      </c>
      <c r="CC150">
        <v>0</v>
      </c>
      <c r="CD150">
        <v>0</v>
      </c>
      <c r="CE150" t="s">
        <v>3108</v>
      </c>
      <c r="CF150" t="s">
        <v>3108</v>
      </c>
      <c r="CG150" t="s">
        <v>3108</v>
      </c>
      <c r="CH150" t="s">
        <v>3108</v>
      </c>
    </row>
    <row r="151" spans="1:86" x14ac:dyDescent="0.2">
      <c r="A151" t="s">
        <v>3541</v>
      </c>
      <c r="B151" t="s">
        <v>3541</v>
      </c>
      <c r="C151">
        <v>30411</v>
      </c>
      <c r="D151">
        <v>1180</v>
      </c>
      <c r="E151" t="s">
        <v>3542</v>
      </c>
      <c r="F151" t="s">
        <v>3249</v>
      </c>
      <c r="G151" t="s">
        <v>3249</v>
      </c>
      <c r="H151" t="s">
        <v>3250</v>
      </c>
      <c r="I151" t="s">
        <v>3250</v>
      </c>
      <c r="J151" t="s">
        <v>3250</v>
      </c>
      <c r="K151" t="s">
        <v>3250</v>
      </c>
      <c r="L151">
        <v>1200</v>
      </c>
      <c r="M151" t="s">
        <v>2368</v>
      </c>
      <c r="N151">
        <v>1204</v>
      </c>
      <c r="O151" t="s">
        <v>1574</v>
      </c>
      <c r="P151" t="s">
        <v>3108</v>
      </c>
      <c r="Q151" t="s">
        <v>3249</v>
      </c>
      <c r="R151" t="s">
        <v>3249</v>
      </c>
      <c r="S151" t="s">
        <v>472</v>
      </c>
      <c r="T151" t="s">
        <v>3251</v>
      </c>
      <c r="U151">
        <v>140</v>
      </c>
      <c r="V151" t="s">
        <v>1327</v>
      </c>
      <c r="W151">
        <v>140</v>
      </c>
      <c r="X151" t="s">
        <v>1327</v>
      </c>
      <c r="Y151" t="s">
        <v>3250</v>
      </c>
      <c r="Z151" t="s">
        <v>3250</v>
      </c>
      <c r="AA151" t="s">
        <v>3108</v>
      </c>
      <c r="AB151" t="s">
        <v>3108</v>
      </c>
      <c r="AC151" t="s">
        <v>3250</v>
      </c>
      <c r="AD151" t="s">
        <v>3250</v>
      </c>
      <c r="AE151" t="s">
        <v>3250</v>
      </c>
      <c r="AF151" t="s">
        <v>3250</v>
      </c>
      <c r="AG151" t="s">
        <v>3250</v>
      </c>
      <c r="AH151" t="s">
        <v>3250</v>
      </c>
      <c r="AI151" t="s">
        <v>3250</v>
      </c>
      <c r="AJ151" t="s">
        <v>3250</v>
      </c>
      <c r="AL151">
        <v>141</v>
      </c>
      <c r="AM151" t="s">
        <v>1327</v>
      </c>
      <c r="AN151">
        <v>141</v>
      </c>
      <c r="AO151" t="s">
        <v>1327</v>
      </c>
      <c r="AS151" t="s">
        <v>3250</v>
      </c>
      <c r="AT151" t="s">
        <v>3250</v>
      </c>
      <c r="AU151" t="s">
        <v>3250</v>
      </c>
      <c r="AV151" t="s">
        <v>3250</v>
      </c>
      <c r="AW151" t="s">
        <v>3250</v>
      </c>
      <c r="AX151" t="s">
        <v>3250</v>
      </c>
      <c r="AY151" t="s">
        <v>3250</v>
      </c>
      <c r="AZ151" t="s">
        <v>3250</v>
      </c>
      <c r="BA151" t="s">
        <v>3250</v>
      </c>
      <c r="BB151" t="s">
        <v>3250</v>
      </c>
      <c r="BC151" t="s">
        <v>3250</v>
      </c>
      <c r="BE151" t="s">
        <v>3250</v>
      </c>
      <c r="BF151" t="s">
        <v>3250</v>
      </c>
      <c r="BG151" t="s">
        <v>3250</v>
      </c>
      <c r="BH151" t="s">
        <v>3250</v>
      </c>
      <c r="BI151" t="s">
        <v>3250</v>
      </c>
      <c r="BK151" t="s">
        <v>3250</v>
      </c>
      <c r="BL151" t="s">
        <v>3250</v>
      </c>
      <c r="BM151" t="s">
        <v>3250</v>
      </c>
      <c r="BN151" t="s">
        <v>3250</v>
      </c>
      <c r="BP151">
        <v>1</v>
      </c>
      <c r="BQ151">
        <v>11</v>
      </c>
      <c r="BR151" t="s">
        <v>1574</v>
      </c>
      <c r="BS151" t="s">
        <v>3252</v>
      </c>
      <c r="BV151">
        <v>0</v>
      </c>
      <c r="BW151">
        <v>0</v>
      </c>
      <c r="BX151">
        <v>0</v>
      </c>
      <c r="BY151">
        <v>0</v>
      </c>
      <c r="BZ151">
        <v>0</v>
      </c>
      <c r="CA151">
        <v>0</v>
      </c>
      <c r="CB151">
        <v>0</v>
      </c>
      <c r="CC151">
        <v>0</v>
      </c>
      <c r="CD151">
        <v>0</v>
      </c>
      <c r="CE151" t="s">
        <v>3108</v>
      </c>
      <c r="CF151" t="s">
        <v>3108</v>
      </c>
      <c r="CG151" t="s">
        <v>3108</v>
      </c>
      <c r="CH151" t="s">
        <v>3108</v>
      </c>
    </row>
    <row r="152" spans="1:86" x14ac:dyDescent="0.2">
      <c r="A152" t="s">
        <v>3543</v>
      </c>
      <c r="B152" t="s">
        <v>3543</v>
      </c>
      <c r="C152">
        <v>30412</v>
      </c>
      <c r="D152">
        <v>1181</v>
      </c>
      <c r="E152" t="s">
        <v>3544</v>
      </c>
      <c r="F152" t="s">
        <v>3249</v>
      </c>
      <c r="G152" t="s">
        <v>3249</v>
      </c>
      <c r="H152" t="s">
        <v>3250</v>
      </c>
      <c r="I152" t="s">
        <v>3250</v>
      </c>
      <c r="J152" t="s">
        <v>3250</v>
      </c>
      <c r="K152" t="s">
        <v>3250</v>
      </c>
      <c r="L152">
        <v>1200</v>
      </c>
      <c r="M152" t="s">
        <v>2368</v>
      </c>
      <c r="N152">
        <v>1204</v>
      </c>
      <c r="O152" t="s">
        <v>1574</v>
      </c>
      <c r="P152" t="s">
        <v>3108</v>
      </c>
      <c r="Q152" t="s">
        <v>3249</v>
      </c>
      <c r="R152" t="s">
        <v>3249</v>
      </c>
      <c r="S152" t="s">
        <v>472</v>
      </c>
      <c r="T152" t="s">
        <v>3251</v>
      </c>
      <c r="U152">
        <v>140</v>
      </c>
      <c r="V152" t="s">
        <v>1327</v>
      </c>
      <c r="W152">
        <v>140</v>
      </c>
      <c r="X152" t="s">
        <v>1327</v>
      </c>
      <c r="Y152" t="s">
        <v>3250</v>
      </c>
      <c r="Z152" t="s">
        <v>3250</v>
      </c>
      <c r="AA152" t="s">
        <v>3108</v>
      </c>
      <c r="AB152" t="s">
        <v>3108</v>
      </c>
      <c r="AC152" t="s">
        <v>3250</v>
      </c>
      <c r="AD152" t="s">
        <v>3250</v>
      </c>
      <c r="AE152" t="s">
        <v>3250</v>
      </c>
      <c r="AF152" t="s">
        <v>3250</v>
      </c>
      <c r="AG152" t="s">
        <v>3250</v>
      </c>
      <c r="AH152" t="s">
        <v>3250</v>
      </c>
      <c r="AI152" t="s">
        <v>3250</v>
      </c>
      <c r="AJ152" t="s">
        <v>3250</v>
      </c>
      <c r="AL152">
        <v>141</v>
      </c>
      <c r="AM152" t="s">
        <v>1327</v>
      </c>
      <c r="AN152">
        <v>141</v>
      </c>
      <c r="AO152" t="s">
        <v>1327</v>
      </c>
      <c r="AS152" t="s">
        <v>3250</v>
      </c>
      <c r="AT152" t="s">
        <v>3250</v>
      </c>
      <c r="AU152" t="s">
        <v>3250</v>
      </c>
      <c r="AV152" t="s">
        <v>3250</v>
      </c>
      <c r="AW152" t="s">
        <v>3250</v>
      </c>
      <c r="AX152" t="s">
        <v>3250</v>
      </c>
      <c r="AY152" t="s">
        <v>3250</v>
      </c>
      <c r="AZ152" t="s">
        <v>3250</v>
      </c>
      <c r="BA152" t="s">
        <v>3250</v>
      </c>
      <c r="BB152" t="s">
        <v>3250</v>
      </c>
      <c r="BC152" t="s">
        <v>3250</v>
      </c>
      <c r="BE152" t="s">
        <v>3250</v>
      </c>
      <c r="BF152" t="s">
        <v>3250</v>
      </c>
      <c r="BG152" t="s">
        <v>3250</v>
      </c>
      <c r="BH152" t="s">
        <v>3250</v>
      </c>
      <c r="BI152" t="s">
        <v>3250</v>
      </c>
      <c r="BK152" t="s">
        <v>3250</v>
      </c>
      <c r="BL152" t="s">
        <v>3250</v>
      </c>
      <c r="BM152" t="s">
        <v>3250</v>
      </c>
      <c r="BN152" t="s">
        <v>3250</v>
      </c>
      <c r="BP152">
        <v>1</v>
      </c>
      <c r="BQ152">
        <v>11</v>
      </c>
      <c r="BR152" t="s">
        <v>1574</v>
      </c>
      <c r="BS152" t="s">
        <v>3252</v>
      </c>
      <c r="BV152">
        <v>0</v>
      </c>
      <c r="BW152">
        <v>0</v>
      </c>
      <c r="BX152">
        <v>0</v>
      </c>
      <c r="BY152">
        <v>0</v>
      </c>
      <c r="BZ152">
        <v>0</v>
      </c>
      <c r="CA152">
        <v>0</v>
      </c>
      <c r="CB152">
        <v>0</v>
      </c>
      <c r="CC152">
        <v>0</v>
      </c>
      <c r="CD152">
        <v>0</v>
      </c>
      <c r="CE152" t="s">
        <v>3108</v>
      </c>
      <c r="CF152" t="s">
        <v>3108</v>
      </c>
      <c r="CG152" t="s">
        <v>3108</v>
      </c>
      <c r="CH152" t="s">
        <v>3108</v>
      </c>
    </row>
    <row r="153" spans="1:86" x14ac:dyDescent="0.2">
      <c r="A153" t="s">
        <v>3545</v>
      </c>
      <c r="B153" t="s">
        <v>3545</v>
      </c>
      <c r="C153">
        <v>30413</v>
      </c>
      <c r="D153">
        <v>1182</v>
      </c>
      <c r="E153" t="s">
        <v>3546</v>
      </c>
      <c r="F153" t="s">
        <v>3249</v>
      </c>
      <c r="G153" t="s">
        <v>3249</v>
      </c>
      <c r="H153" t="s">
        <v>3250</v>
      </c>
      <c r="I153" t="s">
        <v>3250</v>
      </c>
      <c r="J153" t="s">
        <v>3250</v>
      </c>
      <c r="K153" t="s">
        <v>3250</v>
      </c>
      <c r="L153">
        <v>1200</v>
      </c>
      <c r="M153" t="s">
        <v>2368</v>
      </c>
      <c r="N153">
        <v>1204</v>
      </c>
      <c r="O153" t="s">
        <v>1574</v>
      </c>
      <c r="P153" t="s">
        <v>3108</v>
      </c>
      <c r="Q153" t="s">
        <v>3249</v>
      </c>
      <c r="R153" t="s">
        <v>3249</v>
      </c>
      <c r="S153" t="s">
        <v>472</v>
      </c>
      <c r="T153" t="s">
        <v>3251</v>
      </c>
      <c r="U153">
        <v>140</v>
      </c>
      <c r="V153" t="s">
        <v>1327</v>
      </c>
      <c r="W153">
        <v>140</v>
      </c>
      <c r="X153" t="s">
        <v>1327</v>
      </c>
      <c r="Y153" t="s">
        <v>3250</v>
      </c>
      <c r="Z153" t="s">
        <v>3250</v>
      </c>
      <c r="AA153" t="s">
        <v>3108</v>
      </c>
      <c r="AB153" t="s">
        <v>3108</v>
      </c>
      <c r="AC153" t="s">
        <v>3250</v>
      </c>
      <c r="AD153" t="s">
        <v>3250</v>
      </c>
      <c r="AE153" t="s">
        <v>3250</v>
      </c>
      <c r="AF153" t="s">
        <v>3250</v>
      </c>
      <c r="AG153" t="s">
        <v>3250</v>
      </c>
      <c r="AH153" t="s">
        <v>3250</v>
      </c>
      <c r="AI153" t="s">
        <v>3250</v>
      </c>
      <c r="AJ153" t="s">
        <v>3250</v>
      </c>
      <c r="AL153">
        <v>141</v>
      </c>
      <c r="AM153" t="s">
        <v>1327</v>
      </c>
      <c r="AN153">
        <v>141</v>
      </c>
      <c r="AO153" t="s">
        <v>1327</v>
      </c>
      <c r="AS153" t="s">
        <v>3250</v>
      </c>
      <c r="AT153" t="s">
        <v>3250</v>
      </c>
      <c r="AU153" t="s">
        <v>3250</v>
      </c>
      <c r="AV153" t="s">
        <v>3250</v>
      </c>
      <c r="AW153" t="s">
        <v>3250</v>
      </c>
      <c r="AX153" t="s">
        <v>3250</v>
      </c>
      <c r="AY153" t="s">
        <v>3250</v>
      </c>
      <c r="AZ153" t="s">
        <v>3250</v>
      </c>
      <c r="BA153" t="s">
        <v>3250</v>
      </c>
      <c r="BB153" t="s">
        <v>3250</v>
      </c>
      <c r="BC153" t="s">
        <v>3250</v>
      </c>
      <c r="BE153" t="s">
        <v>3250</v>
      </c>
      <c r="BF153" t="s">
        <v>3250</v>
      </c>
      <c r="BG153" t="s">
        <v>3250</v>
      </c>
      <c r="BH153" t="s">
        <v>3250</v>
      </c>
      <c r="BI153" t="s">
        <v>3250</v>
      </c>
      <c r="BK153" t="s">
        <v>3250</v>
      </c>
      <c r="BL153" t="s">
        <v>3250</v>
      </c>
      <c r="BM153" t="s">
        <v>3250</v>
      </c>
      <c r="BN153" t="s">
        <v>3250</v>
      </c>
      <c r="BP153">
        <v>1</v>
      </c>
      <c r="BQ153">
        <v>11</v>
      </c>
      <c r="BR153" t="s">
        <v>1574</v>
      </c>
      <c r="BS153" t="s">
        <v>3252</v>
      </c>
      <c r="BV153">
        <v>0</v>
      </c>
      <c r="BW153">
        <v>0</v>
      </c>
      <c r="BX153">
        <v>0</v>
      </c>
      <c r="BY153">
        <v>0</v>
      </c>
      <c r="BZ153">
        <v>0</v>
      </c>
      <c r="CA153">
        <v>0</v>
      </c>
      <c r="CB153">
        <v>0</v>
      </c>
      <c r="CC153">
        <v>0</v>
      </c>
      <c r="CD153">
        <v>0</v>
      </c>
      <c r="CE153" t="s">
        <v>3108</v>
      </c>
      <c r="CF153" t="s">
        <v>3108</v>
      </c>
      <c r="CG153" t="s">
        <v>3108</v>
      </c>
      <c r="CH153" t="s">
        <v>3108</v>
      </c>
    </row>
    <row r="154" spans="1:86" x14ac:dyDescent="0.2">
      <c r="A154" t="s">
        <v>3547</v>
      </c>
      <c r="B154" t="s">
        <v>3547</v>
      </c>
      <c r="C154">
        <v>30414</v>
      </c>
      <c r="D154">
        <v>1183</v>
      </c>
      <c r="E154" t="s">
        <v>3548</v>
      </c>
      <c r="F154" t="s">
        <v>3249</v>
      </c>
      <c r="G154" t="s">
        <v>3249</v>
      </c>
      <c r="H154" t="s">
        <v>3250</v>
      </c>
      <c r="I154" t="s">
        <v>3250</v>
      </c>
      <c r="J154" t="s">
        <v>3250</v>
      </c>
      <c r="K154" t="s">
        <v>3250</v>
      </c>
      <c r="L154">
        <v>1200</v>
      </c>
      <c r="M154" t="s">
        <v>2368</v>
      </c>
      <c r="N154">
        <v>1204</v>
      </c>
      <c r="O154" t="s">
        <v>1574</v>
      </c>
      <c r="P154" t="s">
        <v>3108</v>
      </c>
      <c r="Q154" t="s">
        <v>3249</v>
      </c>
      <c r="R154" t="s">
        <v>3249</v>
      </c>
      <c r="S154" t="s">
        <v>472</v>
      </c>
      <c r="T154" t="s">
        <v>3251</v>
      </c>
      <c r="U154">
        <v>140</v>
      </c>
      <c r="V154" t="s">
        <v>1327</v>
      </c>
      <c r="W154">
        <v>140</v>
      </c>
      <c r="X154" t="s">
        <v>1327</v>
      </c>
      <c r="Y154" t="s">
        <v>3250</v>
      </c>
      <c r="Z154" t="s">
        <v>3250</v>
      </c>
      <c r="AA154" t="s">
        <v>3108</v>
      </c>
      <c r="AB154" t="s">
        <v>3108</v>
      </c>
      <c r="AC154" t="s">
        <v>3250</v>
      </c>
      <c r="AD154" t="s">
        <v>3250</v>
      </c>
      <c r="AE154" t="s">
        <v>3250</v>
      </c>
      <c r="AF154" t="s">
        <v>3250</v>
      </c>
      <c r="AG154" t="s">
        <v>3250</v>
      </c>
      <c r="AH154" t="s">
        <v>3250</v>
      </c>
      <c r="AI154" t="s">
        <v>3250</v>
      </c>
      <c r="AJ154" t="s">
        <v>3250</v>
      </c>
      <c r="AL154">
        <v>146</v>
      </c>
      <c r="AM154" t="s">
        <v>5</v>
      </c>
      <c r="AN154">
        <v>146</v>
      </c>
      <c r="AO154" t="s">
        <v>5</v>
      </c>
      <c r="AS154" t="s">
        <v>3250</v>
      </c>
      <c r="AT154" t="s">
        <v>3250</v>
      </c>
      <c r="AU154" t="s">
        <v>3250</v>
      </c>
      <c r="AV154" t="s">
        <v>3250</v>
      </c>
      <c r="AW154" t="s">
        <v>3250</v>
      </c>
      <c r="AX154" t="s">
        <v>3250</v>
      </c>
      <c r="AY154" t="s">
        <v>3250</v>
      </c>
      <c r="AZ154" t="s">
        <v>3250</v>
      </c>
      <c r="BA154" t="s">
        <v>3250</v>
      </c>
      <c r="BB154" t="s">
        <v>3250</v>
      </c>
      <c r="BC154" t="s">
        <v>3250</v>
      </c>
      <c r="BE154" t="s">
        <v>3250</v>
      </c>
      <c r="BF154" t="s">
        <v>3250</v>
      </c>
      <c r="BG154" t="s">
        <v>3250</v>
      </c>
      <c r="BH154" t="s">
        <v>3250</v>
      </c>
      <c r="BI154" t="s">
        <v>3250</v>
      </c>
      <c r="BK154" t="s">
        <v>3250</v>
      </c>
      <c r="BL154" t="s">
        <v>3250</v>
      </c>
      <c r="BM154" t="s">
        <v>3250</v>
      </c>
      <c r="BN154" t="s">
        <v>3250</v>
      </c>
      <c r="BP154">
        <v>1</v>
      </c>
      <c r="BQ154">
        <v>11</v>
      </c>
      <c r="BR154" t="s">
        <v>1574</v>
      </c>
      <c r="BS154" t="s">
        <v>3252</v>
      </c>
      <c r="BV154">
        <v>0</v>
      </c>
      <c r="BW154">
        <v>0</v>
      </c>
      <c r="BX154">
        <v>0</v>
      </c>
      <c r="BY154">
        <v>0</v>
      </c>
      <c r="BZ154">
        <v>0</v>
      </c>
      <c r="CA154">
        <v>0</v>
      </c>
      <c r="CB154">
        <v>0</v>
      </c>
      <c r="CC154">
        <v>0</v>
      </c>
      <c r="CD154">
        <v>0</v>
      </c>
      <c r="CE154" t="s">
        <v>3108</v>
      </c>
      <c r="CF154" t="s">
        <v>3108</v>
      </c>
      <c r="CG154" t="s">
        <v>3108</v>
      </c>
      <c r="CH154" t="s">
        <v>3108</v>
      </c>
    </row>
    <row r="155" spans="1:86" x14ac:dyDescent="0.2">
      <c r="A155" t="s">
        <v>3549</v>
      </c>
      <c r="B155" t="s">
        <v>3549</v>
      </c>
      <c r="C155">
        <v>30415</v>
      </c>
      <c r="D155">
        <v>1184</v>
      </c>
      <c r="E155" t="s">
        <v>3550</v>
      </c>
      <c r="F155" t="s">
        <v>3249</v>
      </c>
      <c r="G155" t="s">
        <v>3249</v>
      </c>
      <c r="H155" t="s">
        <v>3250</v>
      </c>
      <c r="I155" t="s">
        <v>3250</v>
      </c>
      <c r="J155" t="s">
        <v>3250</v>
      </c>
      <c r="K155" t="s">
        <v>3250</v>
      </c>
      <c r="L155">
        <v>1200</v>
      </c>
      <c r="M155" t="s">
        <v>2368</v>
      </c>
      <c r="N155">
        <v>1204</v>
      </c>
      <c r="O155" t="s">
        <v>1574</v>
      </c>
      <c r="P155" t="s">
        <v>3108</v>
      </c>
      <c r="Q155" t="s">
        <v>3249</v>
      </c>
      <c r="R155" t="s">
        <v>3249</v>
      </c>
      <c r="S155" t="s">
        <v>472</v>
      </c>
      <c r="T155" t="s">
        <v>3251</v>
      </c>
      <c r="U155">
        <v>140</v>
      </c>
      <c r="V155" t="s">
        <v>1327</v>
      </c>
      <c r="W155">
        <v>140</v>
      </c>
      <c r="X155" t="s">
        <v>1327</v>
      </c>
      <c r="Y155" t="s">
        <v>3250</v>
      </c>
      <c r="Z155" t="s">
        <v>3250</v>
      </c>
      <c r="AA155" t="s">
        <v>3108</v>
      </c>
      <c r="AB155" t="s">
        <v>3108</v>
      </c>
      <c r="AC155" t="s">
        <v>3250</v>
      </c>
      <c r="AD155" t="s">
        <v>3250</v>
      </c>
      <c r="AE155" t="s">
        <v>3250</v>
      </c>
      <c r="AF155" t="s">
        <v>3250</v>
      </c>
      <c r="AG155" t="s">
        <v>3250</v>
      </c>
      <c r="AH155" t="s">
        <v>3250</v>
      </c>
      <c r="AI155" t="s">
        <v>3250</v>
      </c>
      <c r="AJ155" t="s">
        <v>3250</v>
      </c>
      <c r="AL155">
        <v>146</v>
      </c>
      <c r="AM155" t="s">
        <v>5</v>
      </c>
      <c r="AN155">
        <v>146</v>
      </c>
      <c r="AO155" t="s">
        <v>5</v>
      </c>
      <c r="AS155" t="s">
        <v>3250</v>
      </c>
      <c r="AT155" t="s">
        <v>3250</v>
      </c>
      <c r="AU155" t="s">
        <v>3250</v>
      </c>
      <c r="AV155" t="s">
        <v>3250</v>
      </c>
      <c r="AW155" t="s">
        <v>3250</v>
      </c>
      <c r="AX155" t="s">
        <v>3250</v>
      </c>
      <c r="AY155" t="s">
        <v>3250</v>
      </c>
      <c r="AZ155" t="s">
        <v>3250</v>
      </c>
      <c r="BA155" t="s">
        <v>3250</v>
      </c>
      <c r="BB155" t="s">
        <v>3250</v>
      </c>
      <c r="BC155" t="s">
        <v>3250</v>
      </c>
      <c r="BE155" t="s">
        <v>3250</v>
      </c>
      <c r="BF155" t="s">
        <v>3250</v>
      </c>
      <c r="BG155" t="s">
        <v>3250</v>
      </c>
      <c r="BH155" t="s">
        <v>3250</v>
      </c>
      <c r="BI155" t="s">
        <v>3250</v>
      </c>
      <c r="BK155" t="s">
        <v>3250</v>
      </c>
      <c r="BL155" t="s">
        <v>3250</v>
      </c>
      <c r="BM155" t="s">
        <v>3250</v>
      </c>
      <c r="BN155" t="s">
        <v>3250</v>
      </c>
      <c r="BP155">
        <v>1</v>
      </c>
      <c r="BQ155">
        <v>11</v>
      </c>
      <c r="BR155" t="s">
        <v>1574</v>
      </c>
      <c r="BS155" t="s">
        <v>3252</v>
      </c>
      <c r="BV155">
        <v>0</v>
      </c>
      <c r="BW155">
        <v>0</v>
      </c>
      <c r="BX155">
        <v>0</v>
      </c>
      <c r="BY155">
        <v>0</v>
      </c>
      <c r="BZ155">
        <v>0</v>
      </c>
      <c r="CA155">
        <v>0</v>
      </c>
      <c r="CB155">
        <v>0</v>
      </c>
      <c r="CC155">
        <v>0</v>
      </c>
      <c r="CD155">
        <v>0</v>
      </c>
      <c r="CE155" t="s">
        <v>3108</v>
      </c>
      <c r="CF155" t="s">
        <v>3108</v>
      </c>
      <c r="CG155" t="s">
        <v>3108</v>
      </c>
      <c r="CH155" t="s">
        <v>3108</v>
      </c>
    </row>
    <row r="156" spans="1:86" x14ac:dyDescent="0.2">
      <c r="A156" t="s">
        <v>3551</v>
      </c>
      <c r="B156" t="s">
        <v>3551</v>
      </c>
      <c r="C156">
        <v>30416</v>
      </c>
      <c r="D156">
        <v>1185</v>
      </c>
      <c r="E156" t="s">
        <v>3552</v>
      </c>
      <c r="F156" t="s">
        <v>3249</v>
      </c>
      <c r="G156" t="s">
        <v>3249</v>
      </c>
      <c r="H156" t="s">
        <v>3250</v>
      </c>
      <c r="I156" t="s">
        <v>3250</v>
      </c>
      <c r="J156" t="s">
        <v>3250</v>
      </c>
      <c r="K156" t="s">
        <v>3250</v>
      </c>
      <c r="L156">
        <v>1200</v>
      </c>
      <c r="M156" t="s">
        <v>2368</v>
      </c>
      <c r="N156">
        <v>1204</v>
      </c>
      <c r="O156" t="s">
        <v>1574</v>
      </c>
      <c r="P156" t="s">
        <v>3108</v>
      </c>
      <c r="Q156" t="s">
        <v>3249</v>
      </c>
      <c r="R156" t="s">
        <v>3249</v>
      </c>
      <c r="S156" t="s">
        <v>472</v>
      </c>
      <c r="T156" t="s">
        <v>3251</v>
      </c>
      <c r="U156">
        <v>140</v>
      </c>
      <c r="V156" t="s">
        <v>1327</v>
      </c>
      <c r="W156">
        <v>140</v>
      </c>
      <c r="X156" t="s">
        <v>1327</v>
      </c>
      <c r="Y156" t="s">
        <v>3250</v>
      </c>
      <c r="Z156" t="s">
        <v>3250</v>
      </c>
      <c r="AA156" t="s">
        <v>3108</v>
      </c>
      <c r="AB156" t="s">
        <v>3108</v>
      </c>
      <c r="AC156" t="s">
        <v>3250</v>
      </c>
      <c r="AD156" t="s">
        <v>3250</v>
      </c>
      <c r="AE156" t="s">
        <v>3250</v>
      </c>
      <c r="AF156" t="s">
        <v>3250</v>
      </c>
      <c r="AG156" t="s">
        <v>3250</v>
      </c>
      <c r="AH156" t="s">
        <v>3250</v>
      </c>
      <c r="AI156" t="s">
        <v>3250</v>
      </c>
      <c r="AJ156" t="s">
        <v>3250</v>
      </c>
      <c r="AL156">
        <v>141</v>
      </c>
      <c r="AM156" t="s">
        <v>1327</v>
      </c>
      <c r="AN156">
        <v>141</v>
      </c>
      <c r="AO156" t="s">
        <v>1327</v>
      </c>
      <c r="AS156" t="s">
        <v>3250</v>
      </c>
      <c r="AT156" t="s">
        <v>3250</v>
      </c>
      <c r="AU156" t="s">
        <v>3250</v>
      </c>
      <c r="AV156" t="s">
        <v>3250</v>
      </c>
      <c r="AW156" t="s">
        <v>3250</v>
      </c>
      <c r="AX156" t="s">
        <v>3250</v>
      </c>
      <c r="AY156" t="s">
        <v>3250</v>
      </c>
      <c r="AZ156" t="s">
        <v>3250</v>
      </c>
      <c r="BA156" t="s">
        <v>3250</v>
      </c>
      <c r="BB156" t="s">
        <v>3250</v>
      </c>
      <c r="BC156" t="s">
        <v>3250</v>
      </c>
      <c r="BE156" t="s">
        <v>3250</v>
      </c>
      <c r="BF156" t="s">
        <v>3250</v>
      </c>
      <c r="BG156" t="s">
        <v>3250</v>
      </c>
      <c r="BH156" t="s">
        <v>3250</v>
      </c>
      <c r="BI156" t="s">
        <v>3250</v>
      </c>
      <c r="BK156" t="s">
        <v>3250</v>
      </c>
      <c r="BL156" t="s">
        <v>3250</v>
      </c>
      <c r="BM156" t="s">
        <v>3250</v>
      </c>
      <c r="BN156" t="s">
        <v>3250</v>
      </c>
      <c r="BP156">
        <v>1</v>
      </c>
      <c r="BQ156">
        <v>11</v>
      </c>
      <c r="BR156" t="s">
        <v>1574</v>
      </c>
      <c r="BS156" t="s">
        <v>3252</v>
      </c>
      <c r="BV156">
        <v>0</v>
      </c>
      <c r="BW156">
        <v>0</v>
      </c>
      <c r="BX156">
        <v>0</v>
      </c>
      <c r="BY156">
        <v>0</v>
      </c>
      <c r="BZ156">
        <v>0</v>
      </c>
      <c r="CA156">
        <v>0</v>
      </c>
      <c r="CB156">
        <v>0</v>
      </c>
      <c r="CC156">
        <v>0</v>
      </c>
      <c r="CD156">
        <v>0</v>
      </c>
      <c r="CE156" t="s">
        <v>3108</v>
      </c>
      <c r="CF156" t="s">
        <v>3108</v>
      </c>
      <c r="CG156" t="s">
        <v>3108</v>
      </c>
      <c r="CH156" t="s">
        <v>3108</v>
      </c>
    </row>
    <row r="157" spans="1:86" x14ac:dyDescent="0.2">
      <c r="A157" t="s">
        <v>3553</v>
      </c>
      <c r="B157" t="s">
        <v>3553</v>
      </c>
      <c r="C157">
        <v>30417</v>
      </c>
      <c r="D157">
        <v>1186</v>
      </c>
      <c r="E157" t="s">
        <v>3554</v>
      </c>
      <c r="F157" t="s">
        <v>3249</v>
      </c>
      <c r="G157" t="s">
        <v>3249</v>
      </c>
      <c r="H157" t="s">
        <v>3250</v>
      </c>
      <c r="I157" t="s">
        <v>3250</v>
      </c>
      <c r="J157" t="s">
        <v>3250</v>
      </c>
      <c r="K157" t="s">
        <v>3250</v>
      </c>
      <c r="L157">
        <v>1200</v>
      </c>
      <c r="M157" t="s">
        <v>2368</v>
      </c>
      <c r="N157">
        <v>1204</v>
      </c>
      <c r="O157" t="s">
        <v>1574</v>
      </c>
      <c r="P157" t="s">
        <v>3108</v>
      </c>
      <c r="Q157" t="s">
        <v>3249</v>
      </c>
      <c r="R157" t="s">
        <v>3249</v>
      </c>
      <c r="S157" t="s">
        <v>472</v>
      </c>
      <c r="T157" t="s">
        <v>3251</v>
      </c>
      <c r="U157">
        <v>140</v>
      </c>
      <c r="V157" t="s">
        <v>1327</v>
      </c>
      <c r="W157">
        <v>140</v>
      </c>
      <c r="X157" t="s">
        <v>1327</v>
      </c>
      <c r="Y157" t="s">
        <v>3250</v>
      </c>
      <c r="Z157" t="s">
        <v>3250</v>
      </c>
      <c r="AA157" t="s">
        <v>3108</v>
      </c>
      <c r="AB157" t="s">
        <v>3108</v>
      </c>
      <c r="AC157" t="s">
        <v>3250</v>
      </c>
      <c r="AD157" t="s">
        <v>3250</v>
      </c>
      <c r="AE157" t="s">
        <v>3250</v>
      </c>
      <c r="AF157" t="s">
        <v>3250</v>
      </c>
      <c r="AG157" t="s">
        <v>3250</v>
      </c>
      <c r="AH157" t="s">
        <v>3250</v>
      </c>
      <c r="AI157" t="s">
        <v>3250</v>
      </c>
      <c r="AJ157" t="s">
        <v>3250</v>
      </c>
      <c r="AL157">
        <v>141</v>
      </c>
      <c r="AM157" t="s">
        <v>1327</v>
      </c>
      <c r="AN157">
        <v>141</v>
      </c>
      <c r="AO157" t="s">
        <v>1327</v>
      </c>
      <c r="AS157" t="s">
        <v>3250</v>
      </c>
      <c r="AT157" t="s">
        <v>3250</v>
      </c>
      <c r="AU157" t="s">
        <v>3250</v>
      </c>
      <c r="AV157" t="s">
        <v>3250</v>
      </c>
      <c r="AW157" t="s">
        <v>3250</v>
      </c>
      <c r="AX157" t="s">
        <v>3250</v>
      </c>
      <c r="AY157" t="s">
        <v>3250</v>
      </c>
      <c r="AZ157" t="s">
        <v>3250</v>
      </c>
      <c r="BA157" t="s">
        <v>3250</v>
      </c>
      <c r="BB157" t="s">
        <v>3250</v>
      </c>
      <c r="BC157" t="s">
        <v>3250</v>
      </c>
      <c r="BE157" t="s">
        <v>3250</v>
      </c>
      <c r="BF157" t="s">
        <v>3250</v>
      </c>
      <c r="BG157" t="s">
        <v>3250</v>
      </c>
      <c r="BH157" t="s">
        <v>3250</v>
      </c>
      <c r="BI157" t="s">
        <v>3250</v>
      </c>
      <c r="BK157" t="s">
        <v>3250</v>
      </c>
      <c r="BL157" t="s">
        <v>3250</v>
      </c>
      <c r="BM157" t="s">
        <v>3250</v>
      </c>
      <c r="BN157" t="s">
        <v>3250</v>
      </c>
      <c r="BP157">
        <v>1</v>
      </c>
      <c r="BQ157">
        <v>11</v>
      </c>
      <c r="BR157" t="s">
        <v>1574</v>
      </c>
      <c r="BS157" t="s">
        <v>3252</v>
      </c>
      <c r="BV157">
        <v>-657240</v>
      </c>
      <c r="BW157">
        <v>0</v>
      </c>
      <c r="BX157">
        <v>0</v>
      </c>
      <c r="BY157">
        <v>0</v>
      </c>
      <c r="BZ157">
        <v>0</v>
      </c>
      <c r="CA157">
        <v>0</v>
      </c>
      <c r="CB157">
        <v>0</v>
      </c>
      <c r="CC157">
        <v>0</v>
      </c>
      <c r="CD157">
        <v>-1882788</v>
      </c>
      <c r="CE157" t="s">
        <v>3108</v>
      </c>
      <c r="CF157" t="s">
        <v>3108</v>
      </c>
      <c r="CG157" t="s">
        <v>3108</v>
      </c>
      <c r="CH157" t="s">
        <v>3108</v>
      </c>
    </row>
    <row r="158" spans="1:86" x14ac:dyDescent="0.2">
      <c r="A158" t="s">
        <v>3555</v>
      </c>
      <c r="B158" t="s">
        <v>3555</v>
      </c>
      <c r="C158">
        <v>30418</v>
      </c>
      <c r="D158">
        <v>1187</v>
      </c>
      <c r="E158" t="s">
        <v>3556</v>
      </c>
      <c r="F158" t="s">
        <v>3249</v>
      </c>
      <c r="G158" t="s">
        <v>3249</v>
      </c>
      <c r="H158" t="s">
        <v>3250</v>
      </c>
      <c r="I158" t="s">
        <v>3250</v>
      </c>
      <c r="J158" t="s">
        <v>3250</v>
      </c>
      <c r="K158" t="s">
        <v>3250</v>
      </c>
      <c r="L158">
        <v>1200</v>
      </c>
      <c r="M158" t="s">
        <v>2368</v>
      </c>
      <c r="N158">
        <v>1204</v>
      </c>
      <c r="O158" t="s">
        <v>1574</v>
      </c>
      <c r="P158" t="s">
        <v>3108</v>
      </c>
      <c r="Q158" t="s">
        <v>3249</v>
      </c>
      <c r="R158" t="s">
        <v>3249</v>
      </c>
      <c r="S158" t="s">
        <v>472</v>
      </c>
      <c r="T158" t="s">
        <v>3251</v>
      </c>
      <c r="U158">
        <v>140</v>
      </c>
      <c r="V158" t="s">
        <v>1327</v>
      </c>
      <c r="W158">
        <v>140</v>
      </c>
      <c r="X158" t="s">
        <v>1327</v>
      </c>
      <c r="Y158" t="s">
        <v>3250</v>
      </c>
      <c r="Z158" t="s">
        <v>3250</v>
      </c>
      <c r="AA158" t="s">
        <v>3108</v>
      </c>
      <c r="AB158" t="s">
        <v>3108</v>
      </c>
      <c r="AC158" t="s">
        <v>3250</v>
      </c>
      <c r="AD158" t="s">
        <v>3250</v>
      </c>
      <c r="AE158" t="s">
        <v>3250</v>
      </c>
      <c r="AF158" t="s">
        <v>3250</v>
      </c>
      <c r="AG158" t="s">
        <v>3250</v>
      </c>
      <c r="AH158" t="s">
        <v>3250</v>
      </c>
      <c r="AI158" t="s">
        <v>3250</v>
      </c>
      <c r="AJ158" t="s">
        <v>3250</v>
      </c>
      <c r="AL158">
        <v>147</v>
      </c>
      <c r="AM158" t="s">
        <v>6</v>
      </c>
      <c r="AN158">
        <v>147</v>
      </c>
      <c r="AO158" t="s">
        <v>6</v>
      </c>
      <c r="AS158" t="s">
        <v>3250</v>
      </c>
      <c r="AT158" t="s">
        <v>3250</v>
      </c>
      <c r="AU158" t="s">
        <v>3250</v>
      </c>
      <c r="AV158" t="s">
        <v>3250</v>
      </c>
      <c r="AW158" t="s">
        <v>3250</v>
      </c>
      <c r="AX158" t="s">
        <v>3250</v>
      </c>
      <c r="AY158" t="s">
        <v>3250</v>
      </c>
      <c r="AZ158" t="s">
        <v>3250</v>
      </c>
      <c r="BA158" t="s">
        <v>3250</v>
      </c>
      <c r="BB158" t="s">
        <v>3250</v>
      </c>
      <c r="BC158" t="s">
        <v>3250</v>
      </c>
      <c r="BE158" t="s">
        <v>3250</v>
      </c>
      <c r="BF158" t="s">
        <v>3250</v>
      </c>
      <c r="BG158" t="s">
        <v>3250</v>
      </c>
      <c r="BH158" t="s">
        <v>3250</v>
      </c>
      <c r="BI158" t="s">
        <v>3250</v>
      </c>
      <c r="BK158" t="s">
        <v>3250</v>
      </c>
      <c r="BL158" t="s">
        <v>3250</v>
      </c>
      <c r="BM158" t="s">
        <v>3250</v>
      </c>
      <c r="BN158" t="s">
        <v>3250</v>
      </c>
      <c r="BP158">
        <v>1</v>
      </c>
      <c r="BQ158">
        <v>11</v>
      </c>
      <c r="BR158" t="s">
        <v>1574</v>
      </c>
      <c r="BS158" t="s">
        <v>3252</v>
      </c>
      <c r="BV158">
        <v>0</v>
      </c>
      <c r="BW158">
        <v>0</v>
      </c>
      <c r="BX158">
        <v>0</v>
      </c>
      <c r="BY158">
        <v>0</v>
      </c>
      <c r="BZ158">
        <v>0</v>
      </c>
      <c r="CA158">
        <v>0</v>
      </c>
      <c r="CB158">
        <v>0</v>
      </c>
      <c r="CC158">
        <v>0</v>
      </c>
      <c r="CD158">
        <v>0</v>
      </c>
      <c r="CE158" t="s">
        <v>3108</v>
      </c>
      <c r="CF158" t="s">
        <v>3108</v>
      </c>
      <c r="CG158" t="s">
        <v>3108</v>
      </c>
      <c r="CH158" t="s">
        <v>3108</v>
      </c>
    </row>
    <row r="159" spans="1:86" x14ac:dyDescent="0.2">
      <c r="A159" t="s">
        <v>3557</v>
      </c>
      <c r="B159" t="s">
        <v>3557</v>
      </c>
      <c r="C159">
        <v>30419</v>
      </c>
      <c r="D159">
        <v>1188</v>
      </c>
      <c r="E159" t="s">
        <v>3558</v>
      </c>
      <c r="F159" t="s">
        <v>3249</v>
      </c>
      <c r="G159" t="s">
        <v>3249</v>
      </c>
      <c r="H159" t="s">
        <v>3250</v>
      </c>
      <c r="I159" t="s">
        <v>3250</v>
      </c>
      <c r="J159" t="s">
        <v>3250</v>
      </c>
      <c r="K159" t="s">
        <v>3250</v>
      </c>
      <c r="L159">
        <v>1200</v>
      </c>
      <c r="M159" t="s">
        <v>2368</v>
      </c>
      <c r="N159">
        <v>1204</v>
      </c>
      <c r="O159" t="s">
        <v>1574</v>
      </c>
      <c r="P159" t="s">
        <v>3108</v>
      </c>
      <c r="Q159" t="s">
        <v>3249</v>
      </c>
      <c r="R159" t="s">
        <v>3249</v>
      </c>
      <c r="S159" t="s">
        <v>472</v>
      </c>
      <c r="T159" t="s">
        <v>3251</v>
      </c>
      <c r="U159">
        <v>140</v>
      </c>
      <c r="V159" t="s">
        <v>1327</v>
      </c>
      <c r="W159">
        <v>140</v>
      </c>
      <c r="X159" t="s">
        <v>1327</v>
      </c>
      <c r="Y159" t="s">
        <v>3250</v>
      </c>
      <c r="Z159" t="s">
        <v>3250</v>
      </c>
      <c r="AA159" t="s">
        <v>3108</v>
      </c>
      <c r="AB159" t="s">
        <v>3108</v>
      </c>
      <c r="AC159" t="s">
        <v>3250</v>
      </c>
      <c r="AD159" t="s">
        <v>3250</v>
      </c>
      <c r="AE159" t="s">
        <v>3250</v>
      </c>
      <c r="AF159" t="s">
        <v>3250</v>
      </c>
      <c r="AG159" t="s">
        <v>3250</v>
      </c>
      <c r="AH159" t="s">
        <v>3250</v>
      </c>
      <c r="AI159" t="s">
        <v>3250</v>
      </c>
      <c r="AJ159" t="s">
        <v>3250</v>
      </c>
      <c r="AL159">
        <v>141</v>
      </c>
      <c r="AM159" t="s">
        <v>1327</v>
      </c>
      <c r="AN159">
        <v>141</v>
      </c>
      <c r="AO159" t="s">
        <v>1327</v>
      </c>
      <c r="AS159" t="s">
        <v>3250</v>
      </c>
      <c r="AT159" t="s">
        <v>3250</v>
      </c>
      <c r="AU159" t="s">
        <v>3250</v>
      </c>
      <c r="AV159" t="s">
        <v>3250</v>
      </c>
      <c r="AW159" t="s">
        <v>3250</v>
      </c>
      <c r="AX159" t="s">
        <v>3250</v>
      </c>
      <c r="AY159" t="s">
        <v>3250</v>
      </c>
      <c r="AZ159" t="s">
        <v>3250</v>
      </c>
      <c r="BA159" t="s">
        <v>3250</v>
      </c>
      <c r="BB159" t="s">
        <v>3250</v>
      </c>
      <c r="BC159" t="s">
        <v>3250</v>
      </c>
      <c r="BE159" t="s">
        <v>3250</v>
      </c>
      <c r="BF159" t="s">
        <v>3250</v>
      </c>
      <c r="BG159" t="s">
        <v>3250</v>
      </c>
      <c r="BH159" t="s">
        <v>3250</v>
      </c>
      <c r="BI159" t="s">
        <v>3250</v>
      </c>
      <c r="BK159" t="s">
        <v>3250</v>
      </c>
      <c r="BL159" t="s">
        <v>3250</v>
      </c>
      <c r="BM159" t="s">
        <v>3250</v>
      </c>
      <c r="BN159" t="s">
        <v>3250</v>
      </c>
      <c r="BP159">
        <v>1</v>
      </c>
      <c r="BQ159">
        <v>11</v>
      </c>
      <c r="BR159" t="s">
        <v>1574</v>
      </c>
      <c r="BS159" t="s">
        <v>3252</v>
      </c>
      <c r="BV159">
        <v>0</v>
      </c>
      <c r="BW159">
        <v>0</v>
      </c>
      <c r="BX159">
        <v>0</v>
      </c>
      <c r="BY159">
        <v>0</v>
      </c>
      <c r="BZ159">
        <v>0</v>
      </c>
      <c r="CA159">
        <v>0</v>
      </c>
      <c r="CB159">
        <v>0</v>
      </c>
      <c r="CC159">
        <v>0</v>
      </c>
      <c r="CD159">
        <v>0</v>
      </c>
      <c r="CE159" t="s">
        <v>3108</v>
      </c>
      <c r="CF159" t="s">
        <v>3108</v>
      </c>
      <c r="CG159" t="s">
        <v>3108</v>
      </c>
      <c r="CH159" t="s">
        <v>3108</v>
      </c>
    </row>
    <row r="160" spans="1:86" x14ac:dyDescent="0.2">
      <c r="A160" t="s">
        <v>3559</v>
      </c>
      <c r="B160" t="s">
        <v>3559</v>
      </c>
      <c r="C160">
        <v>30420</v>
      </c>
      <c r="D160">
        <v>1189</v>
      </c>
      <c r="E160" t="s">
        <v>3560</v>
      </c>
      <c r="F160" t="s">
        <v>3249</v>
      </c>
      <c r="G160" t="s">
        <v>3249</v>
      </c>
      <c r="H160" t="s">
        <v>3250</v>
      </c>
      <c r="I160" t="s">
        <v>3250</v>
      </c>
      <c r="J160" t="s">
        <v>3250</v>
      </c>
      <c r="K160" t="s">
        <v>3250</v>
      </c>
      <c r="L160">
        <v>1200</v>
      </c>
      <c r="M160" t="s">
        <v>2368</v>
      </c>
      <c r="N160">
        <v>1204</v>
      </c>
      <c r="O160" t="s">
        <v>1574</v>
      </c>
      <c r="P160" t="s">
        <v>3108</v>
      </c>
      <c r="Q160" t="s">
        <v>3249</v>
      </c>
      <c r="R160" t="s">
        <v>3249</v>
      </c>
      <c r="S160" t="s">
        <v>472</v>
      </c>
      <c r="T160" t="s">
        <v>3251</v>
      </c>
      <c r="U160">
        <v>140</v>
      </c>
      <c r="V160" t="s">
        <v>1327</v>
      </c>
      <c r="W160">
        <v>140</v>
      </c>
      <c r="X160" t="s">
        <v>1327</v>
      </c>
      <c r="Y160" t="s">
        <v>3250</v>
      </c>
      <c r="Z160" t="s">
        <v>3250</v>
      </c>
      <c r="AA160" t="s">
        <v>3108</v>
      </c>
      <c r="AB160" t="s">
        <v>3108</v>
      </c>
      <c r="AC160" t="s">
        <v>3250</v>
      </c>
      <c r="AD160" t="s">
        <v>3250</v>
      </c>
      <c r="AE160" t="s">
        <v>3250</v>
      </c>
      <c r="AF160" t="s">
        <v>3250</v>
      </c>
      <c r="AG160" t="s">
        <v>3250</v>
      </c>
      <c r="AH160" t="s">
        <v>3250</v>
      </c>
      <c r="AI160" t="s">
        <v>3250</v>
      </c>
      <c r="AJ160" t="s">
        <v>3250</v>
      </c>
      <c r="AL160">
        <v>141</v>
      </c>
      <c r="AM160" t="s">
        <v>1327</v>
      </c>
      <c r="AN160">
        <v>141</v>
      </c>
      <c r="AO160" t="s">
        <v>1327</v>
      </c>
      <c r="AS160" t="s">
        <v>3250</v>
      </c>
      <c r="AT160" t="s">
        <v>3250</v>
      </c>
      <c r="AU160" t="s">
        <v>3250</v>
      </c>
      <c r="AV160" t="s">
        <v>3250</v>
      </c>
      <c r="AW160" t="s">
        <v>3250</v>
      </c>
      <c r="AX160" t="s">
        <v>3250</v>
      </c>
      <c r="AY160" t="s">
        <v>3250</v>
      </c>
      <c r="AZ160" t="s">
        <v>3250</v>
      </c>
      <c r="BA160" t="s">
        <v>3250</v>
      </c>
      <c r="BB160" t="s">
        <v>3250</v>
      </c>
      <c r="BC160" t="s">
        <v>3250</v>
      </c>
      <c r="BE160" t="s">
        <v>3250</v>
      </c>
      <c r="BF160" t="s">
        <v>3250</v>
      </c>
      <c r="BG160" t="s">
        <v>3250</v>
      </c>
      <c r="BH160" t="s">
        <v>3250</v>
      </c>
      <c r="BI160" t="s">
        <v>3250</v>
      </c>
      <c r="BK160" t="s">
        <v>3250</v>
      </c>
      <c r="BL160" t="s">
        <v>3250</v>
      </c>
      <c r="BM160" t="s">
        <v>3250</v>
      </c>
      <c r="BN160" t="s">
        <v>3250</v>
      </c>
      <c r="BP160">
        <v>1</v>
      </c>
      <c r="BQ160">
        <v>11</v>
      </c>
      <c r="BR160" t="s">
        <v>1574</v>
      </c>
      <c r="BS160" t="s">
        <v>3252</v>
      </c>
      <c r="BV160">
        <v>0</v>
      </c>
      <c r="BW160">
        <v>0</v>
      </c>
      <c r="BX160">
        <v>0</v>
      </c>
      <c r="BY160">
        <v>0</v>
      </c>
      <c r="BZ160">
        <v>0</v>
      </c>
      <c r="CA160">
        <v>0</v>
      </c>
      <c r="CB160">
        <v>0</v>
      </c>
      <c r="CC160">
        <v>0</v>
      </c>
      <c r="CD160">
        <v>0</v>
      </c>
      <c r="CE160" t="s">
        <v>3108</v>
      </c>
      <c r="CF160" t="s">
        <v>3108</v>
      </c>
      <c r="CG160" t="s">
        <v>3108</v>
      </c>
      <c r="CH160" t="s">
        <v>3108</v>
      </c>
    </row>
    <row r="161" spans="1:86" x14ac:dyDescent="0.2">
      <c r="A161" t="s">
        <v>3561</v>
      </c>
      <c r="B161" t="s">
        <v>3561</v>
      </c>
      <c r="C161">
        <v>30421</v>
      </c>
      <c r="D161">
        <v>1190</v>
      </c>
      <c r="E161" t="s">
        <v>3562</v>
      </c>
      <c r="F161" t="s">
        <v>3249</v>
      </c>
      <c r="G161" t="s">
        <v>3249</v>
      </c>
      <c r="H161" t="s">
        <v>3250</v>
      </c>
      <c r="I161" t="s">
        <v>3250</v>
      </c>
      <c r="J161" t="s">
        <v>3250</v>
      </c>
      <c r="K161" t="s">
        <v>3250</v>
      </c>
      <c r="L161">
        <v>1200</v>
      </c>
      <c r="M161" t="s">
        <v>2368</v>
      </c>
      <c r="N161">
        <v>1204</v>
      </c>
      <c r="O161" t="s">
        <v>1574</v>
      </c>
      <c r="P161" t="s">
        <v>3108</v>
      </c>
      <c r="Q161" t="s">
        <v>3249</v>
      </c>
      <c r="R161" t="s">
        <v>3249</v>
      </c>
      <c r="S161" t="s">
        <v>472</v>
      </c>
      <c r="T161" t="s">
        <v>3251</v>
      </c>
      <c r="U161">
        <v>140</v>
      </c>
      <c r="V161" t="s">
        <v>1327</v>
      </c>
      <c r="W161">
        <v>140</v>
      </c>
      <c r="X161" t="s">
        <v>1327</v>
      </c>
      <c r="Y161" t="s">
        <v>3250</v>
      </c>
      <c r="Z161" t="s">
        <v>3250</v>
      </c>
      <c r="AA161" t="s">
        <v>3108</v>
      </c>
      <c r="AB161" t="s">
        <v>3108</v>
      </c>
      <c r="AC161" t="s">
        <v>3250</v>
      </c>
      <c r="AD161" t="s">
        <v>3250</v>
      </c>
      <c r="AE161" t="s">
        <v>3250</v>
      </c>
      <c r="AF161" t="s">
        <v>3250</v>
      </c>
      <c r="AG161" t="s">
        <v>3250</v>
      </c>
      <c r="AH161" t="s">
        <v>3250</v>
      </c>
      <c r="AI161" t="s">
        <v>3250</v>
      </c>
      <c r="AJ161" t="s">
        <v>3250</v>
      </c>
      <c r="AL161">
        <v>141</v>
      </c>
      <c r="AM161" t="s">
        <v>1327</v>
      </c>
      <c r="AN161">
        <v>141</v>
      </c>
      <c r="AO161" t="s">
        <v>1327</v>
      </c>
      <c r="AS161" t="s">
        <v>3250</v>
      </c>
      <c r="AT161" t="s">
        <v>3250</v>
      </c>
      <c r="AU161" t="s">
        <v>3250</v>
      </c>
      <c r="AV161" t="s">
        <v>3250</v>
      </c>
      <c r="AW161" t="s">
        <v>3250</v>
      </c>
      <c r="AX161" t="s">
        <v>3250</v>
      </c>
      <c r="AY161" t="s">
        <v>3250</v>
      </c>
      <c r="AZ161" t="s">
        <v>3250</v>
      </c>
      <c r="BA161" t="s">
        <v>3250</v>
      </c>
      <c r="BB161" t="s">
        <v>3250</v>
      </c>
      <c r="BC161" t="s">
        <v>3250</v>
      </c>
      <c r="BE161" t="s">
        <v>3250</v>
      </c>
      <c r="BF161" t="s">
        <v>3250</v>
      </c>
      <c r="BG161" t="s">
        <v>3250</v>
      </c>
      <c r="BH161" t="s">
        <v>3250</v>
      </c>
      <c r="BI161" t="s">
        <v>3250</v>
      </c>
      <c r="BK161" t="s">
        <v>3250</v>
      </c>
      <c r="BL161" t="s">
        <v>3250</v>
      </c>
      <c r="BM161" t="s">
        <v>3250</v>
      </c>
      <c r="BN161" t="s">
        <v>3250</v>
      </c>
      <c r="BP161">
        <v>1</v>
      </c>
      <c r="BQ161">
        <v>11</v>
      </c>
      <c r="BR161" t="s">
        <v>1574</v>
      </c>
      <c r="BS161" t="s">
        <v>3252</v>
      </c>
      <c r="BV161">
        <v>0</v>
      </c>
      <c r="BW161">
        <v>0</v>
      </c>
      <c r="BX161">
        <v>0</v>
      </c>
      <c r="BY161">
        <v>0</v>
      </c>
      <c r="BZ161">
        <v>0</v>
      </c>
      <c r="CA161">
        <v>0</v>
      </c>
      <c r="CB161">
        <v>0</v>
      </c>
      <c r="CC161">
        <v>0</v>
      </c>
      <c r="CD161">
        <v>0</v>
      </c>
      <c r="CE161" t="s">
        <v>3108</v>
      </c>
      <c r="CF161" t="s">
        <v>3108</v>
      </c>
      <c r="CG161" t="s">
        <v>3108</v>
      </c>
      <c r="CH161" t="s">
        <v>3108</v>
      </c>
    </row>
    <row r="162" spans="1:86" x14ac:dyDescent="0.2">
      <c r="A162" t="s">
        <v>3563</v>
      </c>
      <c r="B162" t="s">
        <v>3563</v>
      </c>
      <c r="C162">
        <v>30422</v>
      </c>
      <c r="D162">
        <v>1191</v>
      </c>
      <c r="E162" t="s">
        <v>3564</v>
      </c>
      <c r="F162" t="s">
        <v>3249</v>
      </c>
      <c r="G162" t="s">
        <v>3249</v>
      </c>
      <c r="H162" t="s">
        <v>3250</v>
      </c>
      <c r="I162" t="s">
        <v>3250</v>
      </c>
      <c r="J162" t="s">
        <v>3250</v>
      </c>
      <c r="K162" t="s">
        <v>3250</v>
      </c>
      <c r="L162">
        <v>1200</v>
      </c>
      <c r="M162" t="s">
        <v>2368</v>
      </c>
      <c r="N162">
        <v>1204</v>
      </c>
      <c r="O162" t="s">
        <v>1574</v>
      </c>
      <c r="P162" t="s">
        <v>3108</v>
      </c>
      <c r="Q162" t="s">
        <v>3249</v>
      </c>
      <c r="R162" t="s">
        <v>3249</v>
      </c>
      <c r="S162" t="s">
        <v>472</v>
      </c>
      <c r="T162" t="s">
        <v>3251</v>
      </c>
      <c r="U162">
        <v>140</v>
      </c>
      <c r="V162" t="s">
        <v>1327</v>
      </c>
      <c r="W162">
        <v>140</v>
      </c>
      <c r="X162" t="s">
        <v>1327</v>
      </c>
      <c r="Y162" t="s">
        <v>3250</v>
      </c>
      <c r="Z162" t="s">
        <v>3250</v>
      </c>
      <c r="AA162" t="s">
        <v>3108</v>
      </c>
      <c r="AB162" t="s">
        <v>3108</v>
      </c>
      <c r="AC162" t="s">
        <v>3250</v>
      </c>
      <c r="AD162" t="s">
        <v>3250</v>
      </c>
      <c r="AE162" t="s">
        <v>3250</v>
      </c>
      <c r="AF162" t="s">
        <v>3250</v>
      </c>
      <c r="AG162" t="s">
        <v>3250</v>
      </c>
      <c r="AH162" t="s">
        <v>3250</v>
      </c>
      <c r="AI162" t="s">
        <v>3250</v>
      </c>
      <c r="AJ162" t="s">
        <v>3250</v>
      </c>
      <c r="AL162">
        <v>146</v>
      </c>
      <c r="AM162" t="s">
        <v>5</v>
      </c>
      <c r="AN162">
        <v>146</v>
      </c>
      <c r="AO162" t="s">
        <v>5</v>
      </c>
      <c r="AS162" t="s">
        <v>3250</v>
      </c>
      <c r="AT162" t="s">
        <v>3250</v>
      </c>
      <c r="AU162" t="s">
        <v>3250</v>
      </c>
      <c r="AV162" t="s">
        <v>3250</v>
      </c>
      <c r="AW162" t="s">
        <v>3250</v>
      </c>
      <c r="AX162" t="s">
        <v>3250</v>
      </c>
      <c r="AY162" t="s">
        <v>3250</v>
      </c>
      <c r="AZ162" t="s">
        <v>3250</v>
      </c>
      <c r="BA162" t="s">
        <v>3250</v>
      </c>
      <c r="BB162" t="s">
        <v>3250</v>
      </c>
      <c r="BC162" t="s">
        <v>3250</v>
      </c>
      <c r="BE162" t="s">
        <v>3250</v>
      </c>
      <c r="BF162" t="s">
        <v>3250</v>
      </c>
      <c r="BG162" t="s">
        <v>3250</v>
      </c>
      <c r="BH162" t="s">
        <v>3250</v>
      </c>
      <c r="BI162" t="s">
        <v>3250</v>
      </c>
      <c r="BK162" t="s">
        <v>3250</v>
      </c>
      <c r="BL162" t="s">
        <v>3250</v>
      </c>
      <c r="BM162" t="s">
        <v>3250</v>
      </c>
      <c r="BN162" t="s">
        <v>3250</v>
      </c>
      <c r="BP162">
        <v>1</v>
      </c>
      <c r="BQ162">
        <v>11</v>
      </c>
      <c r="BR162" t="s">
        <v>1574</v>
      </c>
      <c r="BS162" t="s">
        <v>3252</v>
      </c>
      <c r="BV162">
        <v>0</v>
      </c>
      <c r="BW162">
        <v>0</v>
      </c>
      <c r="BX162">
        <v>0</v>
      </c>
      <c r="BY162">
        <v>0</v>
      </c>
      <c r="BZ162">
        <v>0</v>
      </c>
      <c r="CA162">
        <v>0</v>
      </c>
      <c r="CB162">
        <v>0</v>
      </c>
      <c r="CC162">
        <v>0</v>
      </c>
      <c r="CD162">
        <v>0</v>
      </c>
      <c r="CE162" t="s">
        <v>3108</v>
      </c>
      <c r="CF162" t="s">
        <v>3108</v>
      </c>
      <c r="CG162" t="s">
        <v>3108</v>
      </c>
      <c r="CH162" t="s">
        <v>3108</v>
      </c>
    </row>
    <row r="163" spans="1:86" x14ac:dyDescent="0.2">
      <c r="A163" t="s">
        <v>3565</v>
      </c>
      <c r="B163" t="s">
        <v>3565</v>
      </c>
      <c r="C163">
        <v>30423</v>
      </c>
      <c r="D163">
        <v>1192</v>
      </c>
      <c r="E163" t="s">
        <v>3566</v>
      </c>
      <c r="F163" t="s">
        <v>3249</v>
      </c>
      <c r="G163" t="s">
        <v>3249</v>
      </c>
      <c r="H163" t="s">
        <v>3250</v>
      </c>
      <c r="I163" t="s">
        <v>3250</v>
      </c>
      <c r="J163" t="s">
        <v>3250</v>
      </c>
      <c r="K163" t="s">
        <v>3250</v>
      </c>
      <c r="L163">
        <v>1200</v>
      </c>
      <c r="M163" t="s">
        <v>2368</v>
      </c>
      <c r="N163">
        <v>1204</v>
      </c>
      <c r="O163" t="s">
        <v>1574</v>
      </c>
      <c r="P163" t="s">
        <v>3108</v>
      </c>
      <c r="Q163" t="s">
        <v>3249</v>
      </c>
      <c r="R163" t="s">
        <v>3249</v>
      </c>
      <c r="S163" t="s">
        <v>472</v>
      </c>
      <c r="T163" t="s">
        <v>3251</v>
      </c>
      <c r="U163">
        <v>140</v>
      </c>
      <c r="V163" t="s">
        <v>1327</v>
      </c>
      <c r="W163">
        <v>140</v>
      </c>
      <c r="X163" t="s">
        <v>1327</v>
      </c>
      <c r="Y163" t="s">
        <v>3250</v>
      </c>
      <c r="Z163" t="s">
        <v>3250</v>
      </c>
      <c r="AA163" t="s">
        <v>3108</v>
      </c>
      <c r="AB163" t="s">
        <v>3108</v>
      </c>
      <c r="AC163" t="s">
        <v>3250</v>
      </c>
      <c r="AD163" t="s">
        <v>3250</v>
      </c>
      <c r="AE163" t="s">
        <v>3250</v>
      </c>
      <c r="AF163" t="s">
        <v>3250</v>
      </c>
      <c r="AG163" t="s">
        <v>3250</v>
      </c>
      <c r="AH163" t="s">
        <v>3250</v>
      </c>
      <c r="AI163" t="s">
        <v>3250</v>
      </c>
      <c r="AJ163" t="s">
        <v>3250</v>
      </c>
      <c r="AL163">
        <v>146</v>
      </c>
      <c r="AM163" t="s">
        <v>5</v>
      </c>
      <c r="AN163">
        <v>146</v>
      </c>
      <c r="AO163" t="s">
        <v>5</v>
      </c>
      <c r="AS163" t="s">
        <v>3250</v>
      </c>
      <c r="AT163" t="s">
        <v>3250</v>
      </c>
      <c r="AU163" t="s">
        <v>3250</v>
      </c>
      <c r="AV163" t="s">
        <v>3250</v>
      </c>
      <c r="AW163" t="s">
        <v>3250</v>
      </c>
      <c r="AX163" t="s">
        <v>3250</v>
      </c>
      <c r="AY163" t="s">
        <v>3250</v>
      </c>
      <c r="AZ163" t="s">
        <v>3250</v>
      </c>
      <c r="BA163" t="s">
        <v>3250</v>
      </c>
      <c r="BB163" t="s">
        <v>3250</v>
      </c>
      <c r="BC163" t="s">
        <v>3250</v>
      </c>
      <c r="BE163" t="s">
        <v>3250</v>
      </c>
      <c r="BF163" t="s">
        <v>3250</v>
      </c>
      <c r="BG163" t="s">
        <v>3250</v>
      </c>
      <c r="BH163" t="s">
        <v>3250</v>
      </c>
      <c r="BI163" t="s">
        <v>3250</v>
      </c>
      <c r="BK163" t="s">
        <v>3250</v>
      </c>
      <c r="BL163" t="s">
        <v>3250</v>
      </c>
      <c r="BM163" t="s">
        <v>3250</v>
      </c>
      <c r="BN163" t="s">
        <v>3250</v>
      </c>
      <c r="BP163">
        <v>1</v>
      </c>
      <c r="BQ163">
        <v>11</v>
      </c>
      <c r="BR163" t="s">
        <v>1574</v>
      </c>
      <c r="BS163" t="s">
        <v>3252</v>
      </c>
      <c r="BV163">
        <v>0</v>
      </c>
      <c r="BW163">
        <v>0</v>
      </c>
      <c r="BX163">
        <v>0</v>
      </c>
      <c r="BY163">
        <v>0</v>
      </c>
      <c r="BZ163">
        <v>0</v>
      </c>
      <c r="CA163">
        <v>0</v>
      </c>
      <c r="CB163">
        <v>0</v>
      </c>
      <c r="CC163">
        <v>0</v>
      </c>
      <c r="CD163">
        <v>0</v>
      </c>
      <c r="CE163" t="s">
        <v>3108</v>
      </c>
      <c r="CF163" t="s">
        <v>3108</v>
      </c>
      <c r="CG163" t="s">
        <v>3108</v>
      </c>
      <c r="CH163" t="s">
        <v>3108</v>
      </c>
    </row>
    <row r="164" spans="1:86" x14ac:dyDescent="0.2">
      <c r="A164" t="s">
        <v>3567</v>
      </c>
      <c r="B164" t="s">
        <v>3567</v>
      </c>
      <c r="C164">
        <v>30424</v>
      </c>
      <c r="D164">
        <v>1193</v>
      </c>
      <c r="E164" t="s">
        <v>3568</v>
      </c>
      <c r="F164" t="s">
        <v>3249</v>
      </c>
      <c r="G164" t="s">
        <v>3249</v>
      </c>
      <c r="H164" t="s">
        <v>3250</v>
      </c>
      <c r="I164" t="s">
        <v>3250</v>
      </c>
      <c r="J164" t="s">
        <v>3250</v>
      </c>
      <c r="K164" t="s">
        <v>3250</v>
      </c>
      <c r="L164">
        <v>1200</v>
      </c>
      <c r="M164" t="s">
        <v>2368</v>
      </c>
      <c r="N164">
        <v>1204</v>
      </c>
      <c r="O164" t="s">
        <v>1574</v>
      </c>
      <c r="P164" t="s">
        <v>3108</v>
      </c>
      <c r="Q164" t="s">
        <v>3249</v>
      </c>
      <c r="R164" t="s">
        <v>3249</v>
      </c>
      <c r="S164" t="s">
        <v>472</v>
      </c>
      <c r="T164" t="s">
        <v>3251</v>
      </c>
      <c r="U164">
        <v>140</v>
      </c>
      <c r="V164" t="s">
        <v>1327</v>
      </c>
      <c r="W164">
        <v>140</v>
      </c>
      <c r="X164" t="s">
        <v>1327</v>
      </c>
      <c r="Y164" t="s">
        <v>3250</v>
      </c>
      <c r="Z164" t="s">
        <v>3250</v>
      </c>
      <c r="AA164" t="s">
        <v>3108</v>
      </c>
      <c r="AB164" t="s">
        <v>3108</v>
      </c>
      <c r="AC164" t="s">
        <v>3250</v>
      </c>
      <c r="AD164" t="s">
        <v>3250</v>
      </c>
      <c r="AE164" t="s">
        <v>3250</v>
      </c>
      <c r="AF164" t="s">
        <v>3250</v>
      </c>
      <c r="AG164" t="s">
        <v>3250</v>
      </c>
      <c r="AH164" t="s">
        <v>3250</v>
      </c>
      <c r="AI164" t="s">
        <v>3250</v>
      </c>
      <c r="AJ164" t="s">
        <v>3250</v>
      </c>
      <c r="AL164">
        <v>141</v>
      </c>
      <c r="AM164" t="s">
        <v>1327</v>
      </c>
      <c r="AN164">
        <v>141</v>
      </c>
      <c r="AO164" t="s">
        <v>1327</v>
      </c>
      <c r="AS164" t="s">
        <v>3250</v>
      </c>
      <c r="AT164" t="s">
        <v>3250</v>
      </c>
      <c r="AU164" t="s">
        <v>3250</v>
      </c>
      <c r="AV164" t="s">
        <v>3250</v>
      </c>
      <c r="AW164" t="s">
        <v>3250</v>
      </c>
      <c r="AX164" t="s">
        <v>3250</v>
      </c>
      <c r="AY164" t="s">
        <v>3250</v>
      </c>
      <c r="AZ164" t="s">
        <v>3250</v>
      </c>
      <c r="BA164" t="s">
        <v>3250</v>
      </c>
      <c r="BB164" t="s">
        <v>3250</v>
      </c>
      <c r="BC164" t="s">
        <v>3250</v>
      </c>
      <c r="BE164" t="s">
        <v>3250</v>
      </c>
      <c r="BF164" t="s">
        <v>3250</v>
      </c>
      <c r="BG164" t="s">
        <v>3250</v>
      </c>
      <c r="BH164" t="s">
        <v>3250</v>
      </c>
      <c r="BI164" t="s">
        <v>3250</v>
      </c>
      <c r="BK164" t="s">
        <v>3250</v>
      </c>
      <c r="BL164" t="s">
        <v>3250</v>
      </c>
      <c r="BM164" t="s">
        <v>3250</v>
      </c>
      <c r="BN164" t="s">
        <v>3250</v>
      </c>
      <c r="BP164">
        <v>1</v>
      </c>
      <c r="BQ164">
        <v>11</v>
      </c>
      <c r="BR164" t="s">
        <v>1574</v>
      </c>
      <c r="BS164" t="s">
        <v>3252</v>
      </c>
      <c r="BV164">
        <v>0</v>
      </c>
      <c r="BW164">
        <v>0</v>
      </c>
      <c r="BX164">
        <v>0</v>
      </c>
      <c r="BY164">
        <v>0</v>
      </c>
      <c r="BZ164">
        <v>0</v>
      </c>
      <c r="CA164">
        <v>0</v>
      </c>
      <c r="CB164">
        <v>0</v>
      </c>
      <c r="CC164">
        <v>0</v>
      </c>
      <c r="CD164">
        <v>0</v>
      </c>
      <c r="CE164" t="s">
        <v>3108</v>
      </c>
      <c r="CF164" t="s">
        <v>3108</v>
      </c>
      <c r="CG164" t="s">
        <v>3108</v>
      </c>
      <c r="CH164" t="s">
        <v>3108</v>
      </c>
    </row>
    <row r="165" spans="1:86" x14ac:dyDescent="0.2">
      <c r="A165" t="s">
        <v>3569</v>
      </c>
      <c r="B165" t="s">
        <v>3569</v>
      </c>
      <c r="C165">
        <v>30425</v>
      </c>
      <c r="D165">
        <v>1194</v>
      </c>
      <c r="E165" t="s">
        <v>3570</v>
      </c>
      <c r="F165" t="s">
        <v>3249</v>
      </c>
      <c r="G165" t="s">
        <v>3249</v>
      </c>
      <c r="H165" t="s">
        <v>3250</v>
      </c>
      <c r="I165" t="s">
        <v>3250</v>
      </c>
      <c r="J165" t="s">
        <v>3250</v>
      </c>
      <c r="K165" t="s">
        <v>3250</v>
      </c>
      <c r="L165">
        <v>1200</v>
      </c>
      <c r="M165" t="s">
        <v>2368</v>
      </c>
      <c r="N165">
        <v>1204</v>
      </c>
      <c r="O165" t="s">
        <v>1574</v>
      </c>
      <c r="P165" t="s">
        <v>3108</v>
      </c>
      <c r="Q165" t="s">
        <v>3249</v>
      </c>
      <c r="R165" t="s">
        <v>3249</v>
      </c>
      <c r="S165" t="s">
        <v>472</v>
      </c>
      <c r="T165" t="s">
        <v>3251</v>
      </c>
      <c r="U165">
        <v>140</v>
      </c>
      <c r="V165" t="s">
        <v>1327</v>
      </c>
      <c r="W165">
        <v>140</v>
      </c>
      <c r="X165" t="s">
        <v>1327</v>
      </c>
      <c r="Y165" t="s">
        <v>3250</v>
      </c>
      <c r="Z165" t="s">
        <v>3250</v>
      </c>
      <c r="AA165" t="s">
        <v>3108</v>
      </c>
      <c r="AB165" t="s">
        <v>3108</v>
      </c>
      <c r="AC165" t="s">
        <v>3250</v>
      </c>
      <c r="AD165" t="s">
        <v>3250</v>
      </c>
      <c r="AE165" t="s">
        <v>3250</v>
      </c>
      <c r="AF165" t="s">
        <v>3250</v>
      </c>
      <c r="AG165" t="s">
        <v>3250</v>
      </c>
      <c r="AH165" t="s">
        <v>3250</v>
      </c>
      <c r="AI165" t="s">
        <v>3250</v>
      </c>
      <c r="AJ165" t="s">
        <v>3250</v>
      </c>
      <c r="AL165">
        <v>141</v>
      </c>
      <c r="AM165" t="s">
        <v>1327</v>
      </c>
      <c r="AN165">
        <v>141</v>
      </c>
      <c r="AO165" t="s">
        <v>1327</v>
      </c>
      <c r="AS165" t="s">
        <v>3250</v>
      </c>
      <c r="AT165" t="s">
        <v>3250</v>
      </c>
      <c r="AU165" t="s">
        <v>3250</v>
      </c>
      <c r="AV165" t="s">
        <v>3250</v>
      </c>
      <c r="AW165" t="s">
        <v>3250</v>
      </c>
      <c r="AX165" t="s">
        <v>3250</v>
      </c>
      <c r="AY165" t="s">
        <v>3250</v>
      </c>
      <c r="AZ165" t="s">
        <v>3250</v>
      </c>
      <c r="BA165" t="s">
        <v>3250</v>
      </c>
      <c r="BB165" t="s">
        <v>3250</v>
      </c>
      <c r="BC165" t="s">
        <v>3250</v>
      </c>
      <c r="BE165" t="s">
        <v>3250</v>
      </c>
      <c r="BF165" t="s">
        <v>3250</v>
      </c>
      <c r="BG165" t="s">
        <v>3250</v>
      </c>
      <c r="BH165" t="s">
        <v>3250</v>
      </c>
      <c r="BI165" t="s">
        <v>3250</v>
      </c>
      <c r="BK165" t="s">
        <v>3250</v>
      </c>
      <c r="BL165" t="s">
        <v>3250</v>
      </c>
      <c r="BM165" t="s">
        <v>3250</v>
      </c>
      <c r="BN165" t="s">
        <v>3250</v>
      </c>
      <c r="BP165">
        <v>1</v>
      </c>
      <c r="BQ165">
        <v>11</v>
      </c>
      <c r="BR165" t="s">
        <v>1574</v>
      </c>
      <c r="BS165" t="s">
        <v>3252</v>
      </c>
      <c r="BV165">
        <v>0</v>
      </c>
      <c r="BW165">
        <v>0</v>
      </c>
      <c r="BX165">
        <v>0</v>
      </c>
      <c r="BY165">
        <v>0</v>
      </c>
      <c r="BZ165">
        <v>0</v>
      </c>
      <c r="CA165">
        <v>0</v>
      </c>
      <c r="CB165">
        <v>0</v>
      </c>
      <c r="CC165">
        <v>0</v>
      </c>
      <c r="CD165">
        <v>0</v>
      </c>
      <c r="CE165" t="s">
        <v>3108</v>
      </c>
      <c r="CF165" t="s">
        <v>3108</v>
      </c>
      <c r="CG165" t="s">
        <v>3108</v>
      </c>
      <c r="CH165" t="s">
        <v>3108</v>
      </c>
    </row>
    <row r="166" spans="1:86" x14ac:dyDescent="0.2">
      <c r="A166" t="s">
        <v>3571</v>
      </c>
      <c r="B166" t="s">
        <v>3571</v>
      </c>
      <c r="C166">
        <v>30426</v>
      </c>
      <c r="D166">
        <v>1195</v>
      </c>
      <c r="E166" t="s">
        <v>3572</v>
      </c>
      <c r="F166" t="s">
        <v>3249</v>
      </c>
      <c r="G166" t="s">
        <v>3249</v>
      </c>
      <c r="H166" t="s">
        <v>3250</v>
      </c>
      <c r="I166" t="s">
        <v>3250</v>
      </c>
      <c r="J166" t="s">
        <v>3250</v>
      </c>
      <c r="K166" t="s">
        <v>3250</v>
      </c>
      <c r="L166">
        <v>1200</v>
      </c>
      <c r="M166" t="s">
        <v>2368</v>
      </c>
      <c r="N166">
        <v>1204</v>
      </c>
      <c r="O166" t="s">
        <v>1574</v>
      </c>
      <c r="P166" t="s">
        <v>3108</v>
      </c>
      <c r="Q166" t="s">
        <v>3249</v>
      </c>
      <c r="R166" t="s">
        <v>3249</v>
      </c>
      <c r="S166" t="s">
        <v>472</v>
      </c>
      <c r="T166" t="s">
        <v>3251</v>
      </c>
      <c r="U166">
        <v>140</v>
      </c>
      <c r="V166" t="s">
        <v>1327</v>
      </c>
      <c r="W166">
        <v>140</v>
      </c>
      <c r="X166" t="s">
        <v>1327</v>
      </c>
      <c r="Y166" t="s">
        <v>3250</v>
      </c>
      <c r="Z166" t="s">
        <v>3250</v>
      </c>
      <c r="AA166" t="s">
        <v>3108</v>
      </c>
      <c r="AB166" t="s">
        <v>3108</v>
      </c>
      <c r="AC166" t="s">
        <v>3250</v>
      </c>
      <c r="AD166" t="s">
        <v>3250</v>
      </c>
      <c r="AE166" t="s">
        <v>3250</v>
      </c>
      <c r="AF166" t="s">
        <v>3250</v>
      </c>
      <c r="AG166" t="s">
        <v>3250</v>
      </c>
      <c r="AH166" t="s">
        <v>3250</v>
      </c>
      <c r="AI166" t="s">
        <v>3250</v>
      </c>
      <c r="AJ166" t="s">
        <v>3250</v>
      </c>
      <c r="AL166">
        <v>147</v>
      </c>
      <c r="AM166" t="s">
        <v>6</v>
      </c>
      <c r="AN166">
        <v>147</v>
      </c>
      <c r="AO166" t="s">
        <v>6</v>
      </c>
      <c r="AS166" t="s">
        <v>3250</v>
      </c>
      <c r="AT166" t="s">
        <v>3250</v>
      </c>
      <c r="AU166" t="s">
        <v>3250</v>
      </c>
      <c r="AV166" t="s">
        <v>3250</v>
      </c>
      <c r="AW166" t="s">
        <v>3250</v>
      </c>
      <c r="AX166" t="s">
        <v>3250</v>
      </c>
      <c r="AY166" t="s">
        <v>3250</v>
      </c>
      <c r="AZ166" t="s">
        <v>3250</v>
      </c>
      <c r="BA166" t="s">
        <v>3250</v>
      </c>
      <c r="BB166" t="s">
        <v>3250</v>
      </c>
      <c r="BC166" t="s">
        <v>3250</v>
      </c>
      <c r="BE166" t="s">
        <v>3250</v>
      </c>
      <c r="BF166" t="s">
        <v>3250</v>
      </c>
      <c r="BG166" t="s">
        <v>3250</v>
      </c>
      <c r="BH166" t="s">
        <v>3250</v>
      </c>
      <c r="BI166" t="s">
        <v>3250</v>
      </c>
      <c r="BK166" t="s">
        <v>3250</v>
      </c>
      <c r="BL166" t="s">
        <v>3250</v>
      </c>
      <c r="BM166" t="s">
        <v>3250</v>
      </c>
      <c r="BN166" t="s">
        <v>3250</v>
      </c>
      <c r="BP166">
        <v>1</v>
      </c>
      <c r="BQ166">
        <v>11</v>
      </c>
      <c r="BR166" t="s">
        <v>1574</v>
      </c>
      <c r="BS166" t="s">
        <v>3252</v>
      </c>
      <c r="BV166">
        <v>0</v>
      </c>
      <c r="BW166">
        <v>0</v>
      </c>
      <c r="BX166">
        <v>0</v>
      </c>
      <c r="BY166">
        <v>0</v>
      </c>
      <c r="BZ166">
        <v>0</v>
      </c>
      <c r="CA166">
        <v>0</v>
      </c>
      <c r="CB166">
        <v>0</v>
      </c>
      <c r="CC166">
        <v>0</v>
      </c>
      <c r="CD166">
        <v>0</v>
      </c>
      <c r="CE166" t="s">
        <v>3108</v>
      </c>
      <c r="CF166" t="s">
        <v>3108</v>
      </c>
      <c r="CG166" t="s">
        <v>3108</v>
      </c>
      <c r="CH166" t="s">
        <v>3108</v>
      </c>
    </row>
    <row r="167" spans="1:86" x14ac:dyDescent="0.2">
      <c r="A167" t="s">
        <v>3573</v>
      </c>
      <c r="B167" t="s">
        <v>3573</v>
      </c>
      <c r="C167">
        <v>30427</v>
      </c>
      <c r="D167">
        <v>1196</v>
      </c>
      <c r="E167" t="s">
        <v>3574</v>
      </c>
      <c r="F167" t="s">
        <v>3249</v>
      </c>
      <c r="G167" t="s">
        <v>3249</v>
      </c>
      <c r="H167" t="s">
        <v>3250</v>
      </c>
      <c r="I167" t="s">
        <v>3250</v>
      </c>
      <c r="J167" t="s">
        <v>3250</v>
      </c>
      <c r="K167" t="s">
        <v>3250</v>
      </c>
      <c r="L167">
        <v>1200</v>
      </c>
      <c r="M167" t="s">
        <v>2368</v>
      </c>
      <c r="N167">
        <v>1204</v>
      </c>
      <c r="O167" t="s">
        <v>1574</v>
      </c>
      <c r="P167" t="s">
        <v>3108</v>
      </c>
      <c r="Q167" t="s">
        <v>3249</v>
      </c>
      <c r="R167" t="s">
        <v>3249</v>
      </c>
      <c r="S167" t="s">
        <v>472</v>
      </c>
      <c r="T167" t="s">
        <v>3251</v>
      </c>
      <c r="U167">
        <v>140</v>
      </c>
      <c r="V167" t="s">
        <v>1327</v>
      </c>
      <c r="W167">
        <v>140</v>
      </c>
      <c r="X167" t="s">
        <v>1327</v>
      </c>
      <c r="Y167" t="s">
        <v>3250</v>
      </c>
      <c r="Z167" t="s">
        <v>3250</v>
      </c>
      <c r="AA167" t="s">
        <v>3108</v>
      </c>
      <c r="AB167" t="s">
        <v>3108</v>
      </c>
      <c r="AC167" t="s">
        <v>3250</v>
      </c>
      <c r="AD167" t="s">
        <v>3250</v>
      </c>
      <c r="AE167" t="s">
        <v>3250</v>
      </c>
      <c r="AF167" t="s">
        <v>3250</v>
      </c>
      <c r="AG167" t="s">
        <v>3250</v>
      </c>
      <c r="AH167" t="s">
        <v>3250</v>
      </c>
      <c r="AI167" t="s">
        <v>3250</v>
      </c>
      <c r="AJ167" t="s">
        <v>3250</v>
      </c>
      <c r="AL167">
        <v>141</v>
      </c>
      <c r="AM167" t="s">
        <v>1327</v>
      </c>
      <c r="AN167">
        <v>141</v>
      </c>
      <c r="AO167" t="s">
        <v>1327</v>
      </c>
      <c r="AS167" t="s">
        <v>3250</v>
      </c>
      <c r="AT167" t="s">
        <v>3250</v>
      </c>
      <c r="AU167" t="s">
        <v>3250</v>
      </c>
      <c r="AV167" t="s">
        <v>3250</v>
      </c>
      <c r="AW167" t="s">
        <v>3250</v>
      </c>
      <c r="AX167" t="s">
        <v>3250</v>
      </c>
      <c r="AY167" t="s">
        <v>3250</v>
      </c>
      <c r="AZ167" t="s">
        <v>3250</v>
      </c>
      <c r="BA167" t="s">
        <v>3250</v>
      </c>
      <c r="BB167" t="s">
        <v>3250</v>
      </c>
      <c r="BC167" t="s">
        <v>3250</v>
      </c>
      <c r="BE167" t="s">
        <v>3250</v>
      </c>
      <c r="BF167" t="s">
        <v>3250</v>
      </c>
      <c r="BG167" t="s">
        <v>3250</v>
      </c>
      <c r="BH167" t="s">
        <v>3250</v>
      </c>
      <c r="BI167" t="s">
        <v>3250</v>
      </c>
      <c r="BK167" t="s">
        <v>3250</v>
      </c>
      <c r="BL167" t="s">
        <v>3250</v>
      </c>
      <c r="BM167" t="s">
        <v>3250</v>
      </c>
      <c r="BN167" t="s">
        <v>3250</v>
      </c>
      <c r="BP167">
        <v>1</v>
      </c>
      <c r="BQ167">
        <v>11</v>
      </c>
      <c r="BR167" t="s">
        <v>1574</v>
      </c>
      <c r="BS167" t="s">
        <v>3252</v>
      </c>
      <c r="BV167">
        <v>0</v>
      </c>
      <c r="BW167">
        <v>0</v>
      </c>
      <c r="BX167">
        <v>0</v>
      </c>
      <c r="BY167">
        <v>0</v>
      </c>
      <c r="BZ167">
        <v>0</v>
      </c>
      <c r="CA167">
        <v>0</v>
      </c>
      <c r="CB167">
        <v>0</v>
      </c>
      <c r="CC167">
        <v>0</v>
      </c>
      <c r="CD167">
        <v>0</v>
      </c>
      <c r="CE167" t="s">
        <v>3108</v>
      </c>
      <c r="CF167" t="s">
        <v>3108</v>
      </c>
      <c r="CG167" t="s">
        <v>3108</v>
      </c>
      <c r="CH167" t="s">
        <v>3108</v>
      </c>
    </row>
    <row r="168" spans="1:86" x14ac:dyDescent="0.2">
      <c r="A168" t="s">
        <v>3575</v>
      </c>
      <c r="B168" t="s">
        <v>3575</v>
      </c>
      <c r="C168">
        <v>30428</v>
      </c>
      <c r="D168">
        <v>1197</v>
      </c>
      <c r="E168" t="s">
        <v>3576</v>
      </c>
      <c r="F168" t="s">
        <v>3249</v>
      </c>
      <c r="G168" t="s">
        <v>3249</v>
      </c>
      <c r="H168" t="s">
        <v>3250</v>
      </c>
      <c r="I168" t="s">
        <v>3250</v>
      </c>
      <c r="J168" t="s">
        <v>3250</v>
      </c>
      <c r="K168" t="s">
        <v>3250</v>
      </c>
      <c r="L168">
        <v>1200</v>
      </c>
      <c r="M168" t="s">
        <v>2368</v>
      </c>
      <c r="N168">
        <v>1204</v>
      </c>
      <c r="O168" t="s">
        <v>1574</v>
      </c>
      <c r="P168" t="s">
        <v>3108</v>
      </c>
      <c r="Q168" t="s">
        <v>3249</v>
      </c>
      <c r="R168" t="s">
        <v>3249</v>
      </c>
      <c r="S168" t="s">
        <v>472</v>
      </c>
      <c r="T168" t="s">
        <v>3251</v>
      </c>
      <c r="U168">
        <v>140</v>
      </c>
      <c r="V168" t="s">
        <v>1327</v>
      </c>
      <c r="W168">
        <v>140</v>
      </c>
      <c r="X168" t="s">
        <v>1327</v>
      </c>
      <c r="Y168" t="s">
        <v>3250</v>
      </c>
      <c r="Z168" t="s">
        <v>3250</v>
      </c>
      <c r="AA168" t="s">
        <v>3108</v>
      </c>
      <c r="AB168" t="s">
        <v>3108</v>
      </c>
      <c r="AC168" t="s">
        <v>3250</v>
      </c>
      <c r="AD168" t="s">
        <v>3250</v>
      </c>
      <c r="AE168" t="s">
        <v>3250</v>
      </c>
      <c r="AF168" t="s">
        <v>3250</v>
      </c>
      <c r="AG168" t="s">
        <v>3250</v>
      </c>
      <c r="AH168" t="s">
        <v>3250</v>
      </c>
      <c r="AI168" t="s">
        <v>3250</v>
      </c>
      <c r="AJ168" t="s">
        <v>3250</v>
      </c>
      <c r="AL168">
        <v>141</v>
      </c>
      <c r="AM168" t="s">
        <v>1327</v>
      </c>
      <c r="AN168">
        <v>141</v>
      </c>
      <c r="AO168" t="s">
        <v>1327</v>
      </c>
      <c r="AS168" t="s">
        <v>3250</v>
      </c>
      <c r="AT168" t="s">
        <v>3250</v>
      </c>
      <c r="AU168" t="s">
        <v>3250</v>
      </c>
      <c r="AV168" t="s">
        <v>3250</v>
      </c>
      <c r="AW168" t="s">
        <v>3250</v>
      </c>
      <c r="AX168" t="s">
        <v>3250</v>
      </c>
      <c r="AY168" t="s">
        <v>3250</v>
      </c>
      <c r="AZ168" t="s">
        <v>3250</v>
      </c>
      <c r="BA168" t="s">
        <v>3250</v>
      </c>
      <c r="BB168" t="s">
        <v>3250</v>
      </c>
      <c r="BC168" t="s">
        <v>3250</v>
      </c>
      <c r="BE168" t="s">
        <v>3250</v>
      </c>
      <c r="BF168" t="s">
        <v>3250</v>
      </c>
      <c r="BG168" t="s">
        <v>3250</v>
      </c>
      <c r="BH168" t="s">
        <v>3250</v>
      </c>
      <c r="BI168" t="s">
        <v>3250</v>
      </c>
      <c r="BK168" t="s">
        <v>3250</v>
      </c>
      <c r="BL168" t="s">
        <v>3250</v>
      </c>
      <c r="BM168" t="s">
        <v>3250</v>
      </c>
      <c r="BN168" t="s">
        <v>3250</v>
      </c>
      <c r="BP168">
        <v>1</v>
      </c>
      <c r="BQ168">
        <v>11</v>
      </c>
      <c r="BR168" t="s">
        <v>1574</v>
      </c>
      <c r="BS168" t="s">
        <v>3252</v>
      </c>
      <c r="BV168">
        <v>0</v>
      </c>
      <c r="BW168">
        <v>0</v>
      </c>
      <c r="BX168">
        <v>0</v>
      </c>
      <c r="BY168">
        <v>0</v>
      </c>
      <c r="BZ168">
        <v>0</v>
      </c>
      <c r="CA168">
        <v>0</v>
      </c>
      <c r="CB168">
        <v>0</v>
      </c>
      <c r="CC168">
        <v>0</v>
      </c>
      <c r="CD168">
        <v>0</v>
      </c>
      <c r="CE168" t="s">
        <v>3108</v>
      </c>
      <c r="CF168" t="s">
        <v>3108</v>
      </c>
      <c r="CG168" t="s">
        <v>3108</v>
      </c>
      <c r="CH168" t="s">
        <v>3108</v>
      </c>
    </row>
    <row r="169" spans="1:86" x14ac:dyDescent="0.2">
      <c r="A169" t="s">
        <v>3577</v>
      </c>
      <c r="B169" t="s">
        <v>3577</v>
      </c>
      <c r="C169">
        <v>30429</v>
      </c>
      <c r="D169">
        <v>1198</v>
      </c>
      <c r="E169" t="s">
        <v>3578</v>
      </c>
      <c r="F169" t="s">
        <v>3249</v>
      </c>
      <c r="G169" t="s">
        <v>3249</v>
      </c>
      <c r="H169" t="s">
        <v>3250</v>
      </c>
      <c r="I169" t="s">
        <v>3250</v>
      </c>
      <c r="J169" t="s">
        <v>3250</v>
      </c>
      <c r="K169" t="s">
        <v>3250</v>
      </c>
      <c r="L169">
        <v>1200</v>
      </c>
      <c r="M169" t="s">
        <v>2368</v>
      </c>
      <c r="N169">
        <v>1204</v>
      </c>
      <c r="O169" t="s">
        <v>1574</v>
      </c>
      <c r="P169" t="s">
        <v>3108</v>
      </c>
      <c r="Q169" t="s">
        <v>3249</v>
      </c>
      <c r="R169" t="s">
        <v>3249</v>
      </c>
      <c r="S169" t="s">
        <v>472</v>
      </c>
      <c r="T169" t="s">
        <v>3251</v>
      </c>
      <c r="U169">
        <v>140</v>
      </c>
      <c r="V169" t="s">
        <v>1327</v>
      </c>
      <c r="W169">
        <v>140</v>
      </c>
      <c r="X169" t="s">
        <v>1327</v>
      </c>
      <c r="Y169" t="s">
        <v>3250</v>
      </c>
      <c r="Z169" t="s">
        <v>3250</v>
      </c>
      <c r="AA169" t="s">
        <v>3108</v>
      </c>
      <c r="AB169" t="s">
        <v>3108</v>
      </c>
      <c r="AC169" t="s">
        <v>3250</v>
      </c>
      <c r="AD169" t="s">
        <v>3250</v>
      </c>
      <c r="AE169" t="s">
        <v>3250</v>
      </c>
      <c r="AF169" t="s">
        <v>3250</v>
      </c>
      <c r="AG169" t="s">
        <v>3250</v>
      </c>
      <c r="AH169" t="s">
        <v>3250</v>
      </c>
      <c r="AI169" t="s">
        <v>3250</v>
      </c>
      <c r="AJ169" t="s">
        <v>3250</v>
      </c>
      <c r="AL169">
        <v>141</v>
      </c>
      <c r="AM169" t="s">
        <v>1327</v>
      </c>
      <c r="AN169">
        <v>141</v>
      </c>
      <c r="AO169" t="s">
        <v>1327</v>
      </c>
      <c r="AS169" t="s">
        <v>3250</v>
      </c>
      <c r="AT169" t="s">
        <v>3250</v>
      </c>
      <c r="AU169" t="s">
        <v>3250</v>
      </c>
      <c r="AV169" t="s">
        <v>3250</v>
      </c>
      <c r="AW169" t="s">
        <v>3250</v>
      </c>
      <c r="AX169" t="s">
        <v>3250</v>
      </c>
      <c r="AY169" t="s">
        <v>3250</v>
      </c>
      <c r="AZ169" t="s">
        <v>3250</v>
      </c>
      <c r="BA169" t="s">
        <v>3250</v>
      </c>
      <c r="BB169" t="s">
        <v>3250</v>
      </c>
      <c r="BC169" t="s">
        <v>3250</v>
      </c>
      <c r="BE169" t="s">
        <v>3250</v>
      </c>
      <c r="BF169" t="s">
        <v>3250</v>
      </c>
      <c r="BG169" t="s">
        <v>3250</v>
      </c>
      <c r="BH169" t="s">
        <v>3250</v>
      </c>
      <c r="BI169" t="s">
        <v>3250</v>
      </c>
      <c r="BK169" t="s">
        <v>3250</v>
      </c>
      <c r="BL169" t="s">
        <v>3250</v>
      </c>
      <c r="BM169" t="s">
        <v>3250</v>
      </c>
      <c r="BN169" t="s">
        <v>3250</v>
      </c>
      <c r="BP169">
        <v>1</v>
      </c>
      <c r="BQ169">
        <v>11</v>
      </c>
      <c r="BR169" t="s">
        <v>1574</v>
      </c>
      <c r="BS169" t="s">
        <v>3252</v>
      </c>
      <c r="BV169">
        <v>0</v>
      </c>
      <c r="BW169">
        <v>0</v>
      </c>
      <c r="BX169">
        <v>0</v>
      </c>
      <c r="BY169">
        <v>0</v>
      </c>
      <c r="BZ169">
        <v>0</v>
      </c>
      <c r="CA169">
        <v>0</v>
      </c>
      <c r="CB169">
        <v>0</v>
      </c>
      <c r="CC169">
        <v>0</v>
      </c>
      <c r="CD169">
        <v>0</v>
      </c>
      <c r="CE169" t="s">
        <v>3108</v>
      </c>
      <c r="CF169" t="s">
        <v>3108</v>
      </c>
      <c r="CG169" t="s">
        <v>3108</v>
      </c>
      <c r="CH169" t="s">
        <v>3108</v>
      </c>
    </row>
    <row r="170" spans="1:86" x14ac:dyDescent="0.2">
      <c r="A170" t="s">
        <v>3579</v>
      </c>
      <c r="B170" t="s">
        <v>3579</v>
      </c>
      <c r="C170">
        <v>30430</v>
      </c>
      <c r="D170">
        <v>1199</v>
      </c>
      <c r="E170" t="s">
        <v>3580</v>
      </c>
      <c r="F170" t="s">
        <v>3249</v>
      </c>
      <c r="G170" t="s">
        <v>3249</v>
      </c>
      <c r="H170" t="s">
        <v>3250</v>
      </c>
      <c r="I170" t="s">
        <v>3250</v>
      </c>
      <c r="J170" t="s">
        <v>3250</v>
      </c>
      <c r="K170" t="s">
        <v>3250</v>
      </c>
      <c r="L170">
        <v>1200</v>
      </c>
      <c r="M170" t="s">
        <v>2368</v>
      </c>
      <c r="N170">
        <v>1204</v>
      </c>
      <c r="O170" t="s">
        <v>1574</v>
      </c>
      <c r="P170" t="s">
        <v>3108</v>
      </c>
      <c r="Q170" t="s">
        <v>3249</v>
      </c>
      <c r="R170" t="s">
        <v>3249</v>
      </c>
      <c r="S170" t="s">
        <v>472</v>
      </c>
      <c r="T170" t="s">
        <v>3251</v>
      </c>
      <c r="U170">
        <v>140</v>
      </c>
      <c r="V170" t="s">
        <v>1327</v>
      </c>
      <c r="W170">
        <v>140</v>
      </c>
      <c r="X170" t="s">
        <v>1327</v>
      </c>
      <c r="Y170" t="s">
        <v>3250</v>
      </c>
      <c r="Z170" t="s">
        <v>3250</v>
      </c>
      <c r="AA170" t="s">
        <v>3108</v>
      </c>
      <c r="AB170" t="s">
        <v>3108</v>
      </c>
      <c r="AC170" t="s">
        <v>3250</v>
      </c>
      <c r="AD170" t="s">
        <v>3250</v>
      </c>
      <c r="AE170" t="s">
        <v>3250</v>
      </c>
      <c r="AF170" t="s">
        <v>3250</v>
      </c>
      <c r="AG170" t="s">
        <v>3250</v>
      </c>
      <c r="AH170" t="s">
        <v>3250</v>
      </c>
      <c r="AI170" t="s">
        <v>3250</v>
      </c>
      <c r="AJ170" t="s">
        <v>3250</v>
      </c>
      <c r="AL170">
        <v>146</v>
      </c>
      <c r="AM170" t="s">
        <v>5</v>
      </c>
      <c r="AN170">
        <v>146</v>
      </c>
      <c r="AO170" t="s">
        <v>5</v>
      </c>
      <c r="AS170" t="s">
        <v>3250</v>
      </c>
      <c r="AT170" t="s">
        <v>3250</v>
      </c>
      <c r="AU170" t="s">
        <v>3250</v>
      </c>
      <c r="AV170" t="s">
        <v>3250</v>
      </c>
      <c r="AW170" t="s">
        <v>3250</v>
      </c>
      <c r="AX170" t="s">
        <v>3250</v>
      </c>
      <c r="AY170" t="s">
        <v>3250</v>
      </c>
      <c r="AZ170" t="s">
        <v>3250</v>
      </c>
      <c r="BA170" t="s">
        <v>3250</v>
      </c>
      <c r="BB170" t="s">
        <v>3250</v>
      </c>
      <c r="BC170" t="s">
        <v>3250</v>
      </c>
      <c r="BE170" t="s">
        <v>3250</v>
      </c>
      <c r="BF170" t="s">
        <v>3250</v>
      </c>
      <c r="BG170" t="s">
        <v>3250</v>
      </c>
      <c r="BH170" t="s">
        <v>3250</v>
      </c>
      <c r="BI170" t="s">
        <v>3250</v>
      </c>
      <c r="BK170" t="s">
        <v>3250</v>
      </c>
      <c r="BL170" t="s">
        <v>3250</v>
      </c>
      <c r="BM170" t="s">
        <v>3250</v>
      </c>
      <c r="BN170" t="s">
        <v>3250</v>
      </c>
      <c r="BP170">
        <v>1</v>
      </c>
      <c r="BQ170">
        <v>11</v>
      </c>
      <c r="BR170" t="s">
        <v>1574</v>
      </c>
      <c r="BS170" t="s">
        <v>3252</v>
      </c>
      <c r="BV170">
        <v>0</v>
      </c>
      <c r="BW170">
        <v>0</v>
      </c>
      <c r="BX170">
        <v>0</v>
      </c>
      <c r="BY170">
        <v>0</v>
      </c>
      <c r="BZ170">
        <v>0</v>
      </c>
      <c r="CA170">
        <v>0</v>
      </c>
      <c r="CB170">
        <v>0</v>
      </c>
      <c r="CC170">
        <v>0</v>
      </c>
      <c r="CD170">
        <v>0</v>
      </c>
      <c r="CE170" t="s">
        <v>3108</v>
      </c>
      <c r="CF170" t="s">
        <v>3108</v>
      </c>
      <c r="CG170" t="s">
        <v>3108</v>
      </c>
      <c r="CH170" t="s">
        <v>3108</v>
      </c>
    </row>
    <row r="171" spans="1:86" x14ac:dyDescent="0.2">
      <c r="A171" t="s">
        <v>3581</v>
      </c>
      <c r="B171" t="s">
        <v>3581</v>
      </c>
      <c r="C171">
        <v>30431</v>
      </c>
      <c r="D171">
        <v>1200</v>
      </c>
      <c r="E171" t="s">
        <v>3582</v>
      </c>
      <c r="F171" t="s">
        <v>3249</v>
      </c>
      <c r="G171" t="s">
        <v>3249</v>
      </c>
      <c r="H171" t="s">
        <v>3250</v>
      </c>
      <c r="I171" t="s">
        <v>3250</v>
      </c>
      <c r="J171" t="s">
        <v>3250</v>
      </c>
      <c r="K171" t="s">
        <v>3250</v>
      </c>
      <c r="L171">
        <v>1200</v>
      </c>
      <c r="M171" t="s">
        <v>2368</v>
      </c>
      <c r="N171">
        <v>1204</v>
      </c>
      <c r="O171" t="s">
        <v>1574</v>
      </c>
      <c r="P171" t="s">
        <v>3108</v>
      </c>
      <c r="Q171" t="s">
        <v>3249</v>
      </c>
      <c r="R171" t="s">
        <v>3249</v>
      </c>
      <c r="S171" t="s">
        <v>472</v>
      </c>
      <c r="T171" t="s">
        <v>3251</v>
      </c>
      <c r="U171">
        <v>140</v>
      </c>
      <c r="V171" t="s">
        <v>1327</v>
      </c>
      <c r="W171">
        <v>140</v>
      </c>
      <c r="X171" t="s">
        <v>1327</v>
      </c>
      <c r="Y171" t="s">
        <v>3250</v>
      </c>
      <c r="Z171" t="s">
        <v>3250</v>
      </c>
      <c r="AA171" t="s">
        <v>3108</v>
      </c>
      <c r="AB171" t="s">
        <v>3108</v>
      </c>
      <c r="AC171" t="s">
        <v>3250</v>
      </c>
      <c r="AD171" t="s">
        <v>3250</v>
      </c>
      <c r="AE171" t="s">
        <v>3250</v>
      </c>
      <c r="AF171" t="s">
        <v>3250</v>
      </c>
      <c r="AG171" t="s">
        <v>3250</v>
      </c>
      <c r="AH171" t="s">
        <v>3250</v>
      </c>
      <c r="AI171" t="s">
        <v>3250</v>
      </c>
      <c r="AJ171" t="s">
        <v>3250</v>
      </c>
      <c r="AL171">
        <v>146</v>
      </c>
      <c r="AM171" t="s">
        <v>5</v>
      </c>
      <c r="AN171">
        <v>146</v>
      </c>
      <c r="AO171" t="s">
        <v>5</v>
      </c>
      <c r="AS171" t="s">
        <v>3250</v>
      </c>
      <c r="AT171" t="s">
        <v>3250</v>
      </c>
      <c r="AU171" t="s">
        <v>3250</v>
      </c>
      <c r="AV171" t="s">
        <v>3250</v>
      </c>
      <c r="AW171" t="s">
        <v>3250</v>
      </c>
      <c r="AX171" t="s">
        <v>3250</v>
      </c>
      <c r="AY171" t="s">
        <v>3250</v>
      </c>
      <c r="AZ171" t="s">
        <v>3250</v>
      </c>
      <c r="BA171" t="s">
        <v>3250</v>
      </c>
      <c r="BB171" t="s">
        <v>3250</v>
      </c>
      <c r="BC171" t="s">
        <v>3250</v>
      </c>
      <c r="BE171" t="s">
        <v>3250</v>
      </c>
      <c r="BF171" t="s">
        <v>3250</v>
      </c>
      <c r="BG171" t="s">
        <v>3250</v>
      </c>
      <c r="BH171" t="s">
        <v>3250</v>
      </c>
      <c r="BI171" t="s">
        <v>3250</v>
      </c>
      <c r="BK171" t="s">
        <v>3250</v>
      </c>
      <c r="BL171" t="s">
        <v>3250</v>
      </c>
      <c r="BM171" t="s">
        <v>3250</v>
      </c>
      <c r="BN171" t="s">
        <v>3250</v>
      </c>
      <c r="BP171">
        <v>1</v>
      </c>
      <c r="BQ171">
        <v>11</v>
      </c>
      <c r="BR171" t="s">
        <v>1574</v>
      </c>
      <c r="BS171" t="s">
        <v>3252</v>
      </c>
      <c r="BV171">
        <v>0</v>
      </c>
      <c r="BW171">
        <v>0</v>
      </c>
      <c r="BX171">
        <v>0</v>
      </c>
      <c r="BY171">
        <v>0</v>
      </c>
      <c r="BZ171">
        <v>0</v>
      </c>
      <c r="CA171">
        <v>0</v>
      </c>
      <c r="CB171">
        <v>0</v>
      </c>
      <c r="CC171">
        <v>0</v>
      </c>
      <c r="CD171">
        <v>0</v>
      </c>
      <c r="CE171" t="s">
        <v>3108</v>
      </c>
      <c r="CF171" t="s">
        <v>3108</v>
      </c>
      <c r="CG171" t="s">
        <v>3108</v>
      </c>
      <c r="CH171" t="s">
        <v>3108</v>
      </c>
    </row>
    <row r="172" spans="1:86" x14ac:dyDescent="0.2">
      <c r="A172" t="s">
        <v>3583</v>
      </c>
      <c r="B172" t="s">
        <v>3583</v>
      </c>
      <c r="C172">
        <v>30432</v>
      </c>
      <c r="D172">
        <v>1201</v>
      </c>
      <c r="E172" t="s">
        <v>3584</v>
      </c>
      <c r="F172" t="s">
        <v>3249</v>
      </c>
      <c r="G172" t="s">
        <v>3249</v>
      </c>
      <c r="H172" t="s">
        <v>3250</v>
      </c>
      <c r="I172" t="s">
        <v>3250</v>
      </c>
      <c r="J172" t="s">
        <v>3250</v>
      </c>
      <c r="K172" t="s">
        <v>3250</v>
      </c>
      <c r="L172">
        <v>1200</v>
      </c>
      <c r="M172" t="s">
        <v>2368</v>
      </c>
      <c r="N172">
        <v>1204</v>
      </c>
      <c r="O172" t="s">
        <v>1574</v>
      </c>
      <c r="P172" t="s">
        <v>3108</v>
      </c>
      <c r="Q172" t="s">
        <v>3249</v>
      </c>
      <c r="R172" t="s">
        <v>3249</v>
      </c>
      <c r="S172" t="s">
        <v>472</v>
      </c>
      <c r="T172" t="s">
        <v>3251</v>
      </c>
      <c r="U172">
        <v>140</v>
      </c>
      <c r="V172" t="s">
        <v>1327</v>
      </c>
      <c r="W172">
        <v>140</v>
      </c>
      <c r="X172" t="s">
        <v>1327</v>
      </c>
      <c r="Y172" t="s">
        <v>3250</v>
      </c>
      <c r="Z172" t="s">
        <v>3250</v>
      </c>
      <c r="AA172" t="s">
        <v>3108</v>
      </c>
      <c r="AB172" t="s">
        <v>3108</v>
      </c>
      <c r="AC172" t="s">
        <v>3250</v>
      </c>
      <c r="AD172" t="s">
        <v>3250</v>
      </c>
      <c r="AE172" t="s">
        <v>3250</v>
      </c>
      <c r="AF172" t="s">
        <v>3250</v>
      </c>
      <c r="AG172" t="s">
        <v>3250</v>
      </c>
      <c r="AH172" t="s">
        <v>3250</v>
      </c>
      <c r="AI172" t="s">
        <v>3250</v>
      </c>
      <c r="AJ172" t="s">
        <v>3250</v>
      </c>
      <c r="AL172">
        <v>141</v>
      </c>
      <c r="AM172" t="s">
        <v>1327</v>
      </c>
      <c r="AN172">
        <v>141</v>
      </c>
      <c r="AO172" t="s">
        <v>1327</v>
      </c>
      <c r="AS172" t="s">
        <v>3250</v>
      </c>
      <c r="AT172" t="s">
        <v>3250</v>
      </c>
      <c r="AU172" t="s">
        <v>3250</v>
      </c>
      <c r="AV172" t="s">
        <v>3250</v>
      </c>
      <c r="AW172" t="s">
        <v>3250</v>
      </c>
      <c r="AX172" t="s">
        <v>3250</v>
      </c>
      <c r="AY172" t="s">
        <v>3250</v>
      </c>
      <c r="AZ172" t="s">
        <v>3250</v>
      </c>
      <c r="BA172" t="s">
        <v>3250</v>
      </c>
      <c r="BB172" t="s">
        <v>3250</v>
      </c>
      <c r="BC172" t="s">
        <v>3250</v>
      </c>
      <c r="BE172" t="s">
        <v>3250</v>
      </c>
      <c r="BF172" t="s">
        <v>3250</v>
      </c>
      <c r="BG172" t="s">
        <v>3250</v>
      </c>
      <c r="BH172" t="s">
        <v>3250</v>
      </c>
      <c r="BI172" t="s">
        <v>3250</v>
      </c>
      <c r="BK172" t="s">
        <v>3250</v>
      </c>
      <c r="BL172" t="s">
        <v>3250</v>
      </c>
      <c r="BM172" t="s">
        <v>3250</v>
      </c>
      <c r="BN172" t="s">
        <v>3250</v>
      </c>
      <c r="BP172">
        <v>1</v>
      </c>
      <c r="BQ172">
        <v>11</v>
      </c>
      <c r="BR172" t="s">
        <v>1574</v>
      </c>
      <c r="BS172" t="s">
        <v>3252</v>
      </c>
      <c r="BV172">
        <v>0</v>
      </c>
      <c r="BW172">
        <v>0</v>
      </c>
      <c r="BX172">
        <v>0</v>
      </c>
      <c r="BY172">
        <v>0</v>
      </c>
      <c r="BZ172">
        <v>0</v>
      </c>
      <c r="CA172">
        <v>0</v>
      </c>
      <c r="CB172">
        <v>0</v>
      </c>
      <c r="CC172">
        <v>0</v>
      </c>
      <c r="CD172">
        <v>0</v>
      </c>
      <c r="CE172" t="s">
        <v>3108</v>
      </c>
      <c r="CF172" t="s">
        <v>3108</v>
      </c>
      <c r="CG172" t="s">
        <v>3108</v>
      </c>
      <c r="CH172" t="s">
        <v>3108</v>
      </c>
    </row>
    <row r="173" spans="1:86" x14ac:dyDescent="0.2">
      <c r="A173" t="s">
        <v>3585</v>
      </c>
      <c r="B173" t="s">
        <v>3585</v>
      </c>
      <c r="C173">
        <v>30433</v>
      </c>
      <c r="D173">
        <v>1202</v>
      </c>
      <c r="E173" t="s">
        <v>3586</v>
      </c>
      <c r="F173" t="s">
        <v>3249</v>
      </c>
      <c r="G173" t="s">
        <v>3249</v>
      </c>
      <c r="H173" t="s">
        <v>3250</v>
      </c>
      <c r="I173" t="s">
        <v>3250</v>
      </c>
      <c r="J173" t="s">
        <v>3250</v>
      </c>
      <c r="K173" t="s">
        <v>3250</v>
      </c>
      <c r="L173">
        <v>1200</v>
      </c>
      <c r="M173" t="s">
        <v>2368</v>
      </c>
      <c r="N173">
        <v>1204</v>
      </c>
      <c r="O173" t="s">
        <v>1574</v>
      </c>
      <c r="P173" t="s">
        <v>3108</v>
      </c>
      <c r="Q173" t="s">
        <v>3249</v>
      </c>
      <c r="R173" t="s">
        <v>3249</v>
      </c>
      <c r="S173" t="s">
        <v>472</v>
      </c>
      <c r="T173" t="s">
        <v>3251</v>
      </c>
      <c r="U173">
        <v>140</v>
      </c>
      <c r="V173" t="s">
        <v>1327</v>
      </c>
      <c r="W173">
        <v>140</v>
      </c>
      <c r="X173" t="s">
        <v>1327</v>
      </c>
      <c r="Y173" t="s">
        <v>3250</v>
      </c>
      <c r="Z173" t="s">
        <v>3250</v>
      </c>
      <c r="AA173" t="s">
        <v>3108</v>
      </c>
      <c r="AB173" t="s">
        <v>3108</v>
      </c>
      <c r="AC173" t="s">
        <v>3250</v>
      </c>
      <c r="AD173" t="s">
        <v>3250</v>
      </c>
      <c r="AE173" t="s">
        <v>3250</v>
      </c>
      <c r="AF173" t="s">
        <v>3250</v>
      </c>
      <c r="AG173" t="s">
        <v>3250</v>
      </c>
      <c r="AH173" t="s">
        <v>3250</v>
      </c>
      <c r="AI173" t="s">
        <v>3250</v>
      </c>
      <c r="AJ173" t="s">
        <v>3250</v>
      </c>
      <c r="AL173">
        <v>141</v>
      </c>
      <c r="AM173" t="s">
        <v>1327</v>
      </c>
      <c r="AN173">
        <v>141</v>
      </c>
      <c r="AO173" t="s">
        <v>1327</v>
      </c>
      <c r="AS173" t="s">
        <v>3250</v>
      </c>
      <c r="AT173" t="s">
        <v>3250</v>
      </c>
      <c r="AU173" t="s">
        <v>3250</v>
      </c>
      <c r="AV173" t="s">
        <v>3250</v>
      </c>
      <c r="AW173" t="s">
        <v>3250</v>
      </c>
      <c r="AX173" t="s">
        <v>3250</v>
      </c>
      <c r="AY173" t="s">
        <v>3250</v>
      </c>
      <c r="AZ173" t="s">
        <v>3250</v>
      </c>
      <c r="BA173" t="s">
        <v>3250</v>
      </c>
      <c r="BB173" t="s">
        <v>3250</v>
      </c>
      <c r="BC173" t="s">
        <v>3250</v>
      </c>
      <c r="BE173" t="s">
        <v>3250</v>
      </c>
      <c r="BF173" t="s">
        <v>3250</v>
      </c>
      <c r="BG173" t="s">
        <v>3250</v>
      </c>
      <c r="BH173" t="s">
        <v>3250</v>
      </c>
      <c r="BI173" t="s">
        <v>3250</v>
      </c>
      <c r="BK173" t="s">
        <v>3250</v>
      </c>
      <c r="BL173" t="s">
        <v>3250</v>
      </c>
      <c r="BM173" t="s">
        <v>3250</v>
      </c>
      <c r="BN173" t="s">
        <v>3250</v>
      </c>
      <c r="BP173">
        <v>1</v>
      </c>
      <c r="BQ173">
        <v>11</v>
      </c>
      <c r="BR173" t="s">
        <v>1574</v>
      </c>
      <c r="BS173" t="s">
        <v>3252</v>
      </c>
      <c r="BV173">
        <v>0</v>
      </c>
      <c r="BW173">
        <v>0</v>
      </c>
      <c r="BX173">
        <v>0</v>
      </c>
      <c r="BY173">
        <v>0</v>
      </c>
      <c r="BZ173">
        <v>0</v>
      </c>
      <c r="CA173">
        <v>0</v>
      </c>
      <c r="CB173">
        <v>0</v>
      </c>
      <c r="CC173">
        <v>0</v>
      </c>
      <c r="CD173">
        <v>0</v>
      </c>
      <c r="CE173" t="s">
        <v>3108</v>
      </c>
      <c r="CF173" t="s">
        <v>3108</v>
      </c>
      <c r="CG173" t="s">
        <v>3108</v>
      </c>
      <c r="CH173" t="s">
        <v>3108</v>
      </c>
    </row>
    <row r="174" spans="1:86" x14ac:dyDescent="0.2">
      <c r="A174" t="s">
        <v>3587</v>
      </c>
      <c r="B174" t="s">
        <v>3587</v>
      </c>
      <c r="C174">
        <v>30434</v>
      </c>
      <c r="D174">
        <v>1203</v>
      </c>
      <c r="E174" t="s">
        <v>3588</v>
      </c>
      <c r="F174" t="s">
        <v>3249</v>
      </c>
      <c r="G174" t="s">
        <v>3249</v>
      </c>
      <c r="H174" t="s">
        <v>3250</v>
      </c>
      <c r="I174" t="s">
        <v>3250</v>
      </c>
      <c r="J174" t="s">
        <v>3250</v>
      </c>
      <c r="K174" t="s">
        <v>3250</v>
      </c>
      <c r="L174">
        <v>1200</v>
      </c>
      <c r="M174" t="s">
        <v>2368</v>
      </c>
      <c r="N174">
        <v>1204</v>
      </c>
      <c r="O174" t="s">
        <v>1574</v>
      </c>
      <c r="P174" t="s">
        <v>3108</v>
      </c>
      <c r="Q174" t="s">
        <v>3249</v>
      </c>
      <c r="R174" t="s">
        <v>3249</v>
      </c>
      <c r="S174" t="s">
        <v>472</v>
      </c>
      <c r="T174" t="s">
        <v>3251</v>
      </c>
      <c r="U174">
        <v>140</v>
      </c>
      <c r="V174" t="s">
        <v>1327</v>
      </c>
      <c r="W174">
        <v>140</v>
      </c>
      <c r="X174" t="s">
        <v>1327</v>
      </c>
      <c r="Y174" t="s">
        <v>3250</v>
      </c>
      <c r="Z174" t="s">
        <v>3250</v>
      </c>
      <c r="AA174" t="s">
        <v>3108</v>
      </c>
      <c r="AB174" t="s">
        <v>3108</v>
      </c>
      <c r="AC174" t="s">
        <v>3250</v>
      </c>
      <c r="AD174" t="s">
        <v>3250</v>
      </c>
      <c r="AE174" t="s">
        <v>3250</v>
      </c>
      <c r="AF174" t="s">
        <v>3250</v>
      </c>
      <c r="AG174" t="s">
        <v>3250</v>
      </c>
      <c r="AH174" t="s">
        <v>3250</v>
      </c>
      <c r="AI174" t="s">
        <v>3250</v>
      </c>
      <c r="AJ174" t="s">
        <v>3250</v>
      </c>
      <c r="AL174">
        <v>147</v>
      </c>
      <c r="AM174" t="s">
        <v>6</v>
      </c>
      <c r="AN174">
        <v>147</v>
      </c>
      <c r="AO174" t="s">
        <v>6</v>
      </c>
      <c r="AS174" t="s">
        <v>3250</v>
      </c>
      <c r="AT174" t="s">
        <v>3250</v>
      </c>
      <c r="AU174" t="s">
        <v>3250</v>
      </c>
      <c r="AV174" t="s">
        <v>3250</v>
      </c>
      <c r="AW174" t="s">
        <v>3250</v>
      </c>
      <c r="AX174" t="s">
        <v>3250</v>
      </c>
      <c r="AY174" t="s">
        <v>3250</v>
      </c>
      <c r="AZ174" t="s">
        <v>3250</v>
      </c>
      <c r="BA174" t="s">
        <v>3250</v>
      </c>
      <c r="BB174" t="s">
        <v>3250</v>
      </c>
      <c r="BC174" t="s">
        <v>3250</v>
      </c>
      <c r="BE174" t="s">
        <v>3250</v>
      </c>
      <c r="BF174" t="s">
        <v>3250</v>
      </c>
      <c r="BG174" t="s">
        <v>3250</v>
      </c>
      <c r="BH174" t="s">
        <v>3250</v>
      </c>
      <c r="BI174" t="s">
        <v>3250</v>
      </c>
      <c r="BK174" t="s">
        <v>3250</v>
      </c>
      <c r="BL174" t="s">
        <v>3250</v>
      </c>
      <c r="BM174" t="s">
        <v>3250</v>
      </c>
      <c r="BN174" t="s">
        <v>3250</v>
      </c>
      <c r="BP174">
        <v>1</v>
      </c>
      <c r="BQ174">
        <v>11</v>
      </c>
      <c r="BR174" t="s">
        <v>1574</v>
      </c>
      <c r="BS174" t="s">
        <v>3252</v>
      </c>
      <c r="BV174">
        <v>0</v>
      </c>
      <c r="BW174">
        <v>0</v>
      </c>
      <c r="BX174">
        <v>0</v>
      </c>
      <c r="BY174">
        <v>0</v>
      </c>
      <c r="BZ174">
        <v>0</v>
      </c>
      <c r="CA174">
        <v>0</v>
      </c>
      <c r="CB174">
        <v>0</v>
      </c>
      <c r="CC174">
        <v>0</v>
      </c>
      <c r="CD174">
        <v>0</v>
      </c>
      <c r="CE174" t="s">
        <v>3108</v>
      </c>
      <c r="CF174" t="s">
        <v>3108</v>
      </c>
      <c r="CG174" t="s">
        <v>3108</v>
      </c>
      <c r="CH174" t="s">
        <v>3108</v>
      </c>
    </row>
    <row r="175" spans="1:86" x14ac:dyDescent="0.2">
      <c r="A175" t="s">
        <v>3589</v>
      </c>
      <c r="B175" t="s">
        <v>3589</v>
      </c>
      <c r="C175">
        <v>30435</v>
      </c>
      <c r="D175">
        <v>1204</v>
      </c>
      <c r="E175" t="s">
        <v>3590</v>
      </c>
      <c r="F175" t="s">
        <v>3249</v>
      </c>
      <c r="G175" t="s">
        <v>3249</v>
      </c>
      <c r="H175" t="s">
        <v>3250</v>
      </c>
      <c r="I175" t="s">
        <v>3250</v>
      </c>
      <c r="J175" t="s">
        <v>3250</v>
      </c>
      <c r="K175" t="s">
        <v>3250</v>
      </c>
      <c r="L175">
        <v>1200</v>
      </c>
      <c r="M175" t="s">
        <v>2368</v>
      </c>
      <c r="N175">
        <v>1204</v>
      </c>
      <c r="O175" t="s">
        <v>1574</v>
      </c>
      <c r="P175" t="s">
        <v>3108</v>
      </c>
      <c r="Q175" t="s">
        <v>3249</v>
      </c>
      <c r="R175" t="s">
        <v>3249</v>
      </c>
      <c r="S175" t="s">
        <v>472</v>
      </c>
      <c r="T175" t="s">
        <v>3251</v>
      </c>
      <c r="U175">
        <v>140</v>
      </c>
      <c r="V175" t="s">
        <v>1327</v>
      </c>
      <c r="W175">
        <v>140</v>
      </c>
      <c r="X175" t="s">
        <v>1327</v>
      </c>
      <c r="Y175" t="s">
        <v>3250</v>
      </c>
      <c r="Z175" t="s">
        <v>3250</v>
      </c>
      <c r="AA175" t="s">
        <v>3108</v>
      </c>
      <c r="AB175" t="s">
        <v>3108</v>
      </c>
      <c r="AC175" t="s">
        <v>3250</v>
      </c>
      <c r="AD175" t="s">
        <v>3250</v>
      </c>
      <c r="AE175" t="s">
        <v>3250</v>
      </c>
      <c r="AF175" t="s">
        <v>3250</v>
      </c>
      <c r="AG175" t="s">
        <v>3250</v>
      </c>
      <c r="AH175" t="s">
        <v>3250</v>
      </c>
      <c r="AI175" t="s">
        <v>3250</v>
      </c>
      <c r="AJ175" t="s">
        <v>3250</v>
      </c>
      <c r="AL175">
        <v>141</v>
      </c>
      <c r="AM175" t="s">
        <v>1327</v>
      </c>
      <c r="AN175">
        <v>141</v>
      </c>
      <c r="AO175" t="s">
        <v>1327</v>
      </c>
      <c r="AS175" t="s">
        <v>3250</v>
      </c>
      <c r="AT175" t="s">
        <v>3250</v>
      </c>
      <c r="AU175" t="s">
        <v>3250</v>
      </c>
      <c r="AV175" t="s">
        <v>3250</v>
      </c>
      <c r="AW175" t="s">
        <v>3250</v>
      </c>
      <c r="AX175" t="s">
        <v>3250</v>
      </c>
      <c r="AY175" t="s">
        <v>3250</v>
      </c>
      <c r="AZ175" t="s">
        <v>3250</v>
      </c>
      <c r="BA175" t="s">
        <v>3250</v>
      </c>
      <c r="BB175" t="s">
        <v>3250</v>
      </c>
      <c r="BC175" t="s">
        <v>3250</v>
      </c>
      <c r="BE175" t="s">
        <v>3250</v>
      </c>
      <c r="BF175" t="s">
        <v>3250</v>
      </c>
      <c r="BG175" t="s">
        <v>3250</v>
      </c>
      <c r="BH175" t="s">
        <v>3250</v>
      </c>
      <c r="BI175" t="s">
        <v>3250</v>
      </c>
      <c r="BK175" t="s">
        <v>3250</v>
      </c>
      <c r="BL175" t="s">
        <v>3250</v>
      </c>
      <c r="BM175" t="s">
        <v>3250</v>
      </c>
      <c r="BN175" t="s">
        <v>3250</v>
      </c>
      <c r="BP175">
        <v>1</v>
      </c>
      <c r="BQ175">
        <v>11</v>
      </c>
      <c r="BR175" t="s">
        <v>1574</v>
      </c>
      <c r="BS175" t="s">
        <v>3252</v>
      </c>
      <c r="BV175">
        <v>0</v>
      </c>
      <c r="BW175">
        <v>0</v>
      </c>
      <c r="BX175">
        <v>0</v>
      </c>
      <c r="BY175">
        <v>0</v>
      </c>
      <c r="BZ175">
        <v>0</v>
      </c>
      <c r="CA175">
        <v>0</v>
      </c>
      <c r="CB175">
        <v>0</v>
      </c>
      <c r="CC175">
        <v>0</v>
      </c>
      <c r="CD175">
        <v>0</v>
      </c>
      <c r="CE175" t="s">
        <v>3108</v>
      </c>
      <c r="CF175" t="s">
        <v>3108</v>
      </c>
      <c r="CG175" t="s">
        <v>3108</v>
      </c>
      <c r="CH175" t="s">
        <v>3108</v>
      </c>
    </row>
    <row r="176" spans="1:86" x14ac:dyDescent="0.2">
      <c r="A176" t="s">
        <v>3591</v>
      </c>
      <c r="B176" t="s">
        <v>3591</v>
      </c>
      <c r="C176">
        <v>30436</v>
      </c>
      <c r="D176">
        <v>1205</v>
      </c>
      <c r="E176" t="s">
        <v>3592</v>
      </c>
      <c r="F176" t="s">
        <v>3249</v>
      </c>
      <c r="G176" t="s">
        <v>3249</v>
      </c>
      <c r="H176" t="s">
        <v>3250</v>
      </c>
      <c r="I176" t="s">
        <v>3250</v>
      </c>
      <c r="J176" t="s">
        <v>3250</v>
      </c>
      <c r="K176" t="s">
        <v>3250</v>
      </c>
      <c r="L176">
        <v>1200</v>
      </c>
      <c r="M176" t="s">
        <v>2368</v>
      </c>
      <c r="N176">
        <v>1204</v>
      </c>
      <c r="O176" t="s">
        <v>1574</v>
      </c>
      <c r="P176" t="s">
        <v>3108</v>
      </c>
      <c r="Q176" t="s">
        <v>3249</v>
      </c>
      <c r="R176" t="s">
        <v>3249</v>
      </c>
      <c r="S176" t="s">
        <v>472</v>
      </c>
      <c r="T176" t="s">
        <v>3251</v>
      </c>
      <c r="U176">
        <v>140</v>
      </c>
      <c r="V176" t="s">
        <v>1327</v>
      </c>
      <c r="W176">
        <v>140</v>
      </c>
      <c r="X176" t="s">
        <v>1327</v>
      </c>
      <c r="Y176" t="s">
        <v>3250</v>
      </c>
      <c r="Z176" t="s">
        <v>3250</v>
      </c>
      <c r="AA176" t="s">
        <v>3108</v>
      </c>
      <c r="AB176" t="s">
        <v>3108</v>
      </c>
      <c r="AC176" t="s">
        <v>3250</v>
      </c>
      <c r="AD176" t="s">
        <v>3250</v>
      </c>
      <c r="AE176" t="s">
        <v>3250</v>
      </c>
      <c r="AF176" t="s">
        <v>3250</v>
      </c>
      <c r="AG176" t="s">
        <v>3250</v>
      </c>
      <c r="AH176" t="s">
        <v>3250</v>
      </c>
      <c r="AI176" t="s">
        <v>3250</v>
      </c>
      <c r="AJ176" t="s">
        <v>3250</v>
      </c>
      <c r="AL176">
        <v>141</v>
      </c>
      <c r="AM176" t="s">
        <v>1327</v>
      </c>
      <c r="AN176">
        <v>141</v>
      </c>
      <c r="AO176" t="s">
        <v>1327</v>
      </c>
      <c r="AS176" t="s">
        <v>3250</v>
      </c>
      <c r="AT176" t="s">
        <v>3250</v>
      </c>
      <c r="AU176" t="s">
        <v>3250</v>
      </c>
      <c r="AV176" t="s">
        <v>3250</v>
      </c>
      <c r="AW176" t="s">
        <v>3250</v>
      </c>
      <c r="AX176" t="s">
        <v>3250</v>
      </c>
      <c r="AY176" t="s">
        <v>3250</v>
      </c>
      <c r="AZ176" t="s">
        <v>3250</v>
      </c>
      <c r="BA176" t="s">
        <v>3250</v>
      </c>
      <c r="BB176" t="s">
        <v>3250</v>
      </c>
      <c r="BC176" t="s">
        <v>3250</v>
      </c>
      <c r="BE176" t="s">
        <v>3250</v>
      </c>
      <c r="BF176" t="s">
        <v>3250</v>
      </c>
      <c r="BG176" t="s">
        <v>3250</v>
      </c>
      <c r="BH176" t="s">
        <v>3250</v>
      </c>
      <c r="BI176" t="s">
        <v>3250</v>
      </c>
      <c r="BK176" t="s">
        <v>3250</v>
      </c>
      <c r="BL176" t="s">
        <v>3250</v>
      </c>
      <c r="BM176" t="s">
        <v>3250</v>
      </c>
      <c r="BN176" t="s">
        <v>3250</v>
      </c>
      <c r="BP176">
        <v>1</v>
      </c>
      <c r="BQ176">
        <v>11</v>
      </c>
      <c r="BR176" t="s">
        <v>1574</v>
      </c>
      <c r="BS176" t="s">
        <v>3252</v>
      </c>
      <c r="BV176">
        <v>0</v>
      </c>
      <c r="BW176">
        <v>0</v>
      </c>
      <c r="BX176">
        <v>0</v>
      </c>
      <c r="BY176">
        <v>0</v>
      </c>
      <c r="BZ176">
        <v>0</v>
      </c>
      <c r="CA176">
        <v>0</v>
      </c>
      <c r="CB176">
        <v>0</v>
      </c>
      <c r="CC176">
        <v>0</v>
      </c>
      <c r="CD176">
        <v>0</v>
      </c>
      <c r="CE176" t="s">
        <v>3108</v>
      </c>
      <c r="CF176" t="s">
        <v>3108</v>
      </c>
      <c r="CG176" t="s">
        <v>3108</v>
      </c>
      <c r="CH176" t="s">
        <v>3108</v>
      </c>
    </row>
    <row r="177" spans="1:86" x14ac:dyDescent="0.2">
      <c r="A177" t="s">
        <v>3593</v>
      </c>
      <c r="B177" t="s">
        <v>3593</v>
      </c>
      <c r="C177">
        <v>30437</v>
      </c>
      <c r="D177">
        <v>1206</v>
      </c>
      <c r="E177" t="s">
        <v>3594</v>
      </c>
      <c r="F177" t="s">
        <v>3249</v>
      </c>
      <c r="G177" t="s">
        <v>3249</v>
      </c>
      <c r="H177" t="s">
        <v>3250</v>
      </c>
      <c r="I177" t="s">
        <v>3250</v>
      </c>
      <c r="J177" t="s">
        <v>3250</v>
      </c>
      <c r="K177" t="s">
        <v>3250</v>
      </c>
      <c r="L177">
        <v>1200</v>
      </c>
      <c r="M177" t="s">
        <v>2368</v>
      </c>
      <c r="N177">
        <v>1204</v>
      </c>
      <c r="O177" t="s">
        <v>1574</v>
      </c>
      <c r="P177" t="s">
        <v>3108</v>
      </c>
      <c r="Q177" t="s">
        <v>3249</v>
      </c>
      <c r="R177" t="s">
        <v>3249</v>
      </c>
      <c r="S177" t="s">
        <v>472</v>
      </c>
      <c r="T177" t="s">
        <v>3251</v>
      </c>
      <c r="U177">
        <v>140</v>
      </c>
      <c r="V177" t="s">
        <v>1327</v>
      </c>
      <c r="W177">
        <v>140</v>
      </c>
      <c r="X177" t="s">
        <v>1327</v>
      </c>
      <c r="Y177" t="s">
        <v>3250</v>
      </c>
      <c r="Z177" t="s">
        <v>3250</v>
      </c>
      <c r="AA177" t="s">
        <v>3108</v>
      </c>
      <c r="AB177" t="s">
        <v>3108</v>
      </c>
      <c r="AC177" t="s">
        <v>3250</v>
      </c>
      <c r="AD177" t="s">
        <v>3250</v>
      </c>
      <c r="AE177" t="s">
        <v>3250</v>
      </c>
      <c r="AF177" t="s">
        <v>3250</v>
      </c>
      <c r="AG177" t="s">
        <v>3250</v>
      </c>
      <c r="AH177" t="s">
        <v>3250</v>
      </c>
      <c r="AI177" t="s">
        <v>3250</v>
      </c>
      <c r="AJ177" t="s">
        <v>3250</v>
      </c>
      <c r="AL177">
        <v>141</v>
      </c>
      <c r="AM177" t="s">
        <v>1327</v>
      </c>
      <c r="AN177">
        <v>141</v>
      </c>
      <c r="AO177" t="s">
        <v>1327</v>
      </c>
      <c r="AS177" t="s">
        <v>3250</v>
      </c>
      <c r="AT177" t="s">
        <v>3250</v>
      </c>
      <c r="AU177" t="s">
        <v>3250</v>
      </c>
      <c r="AV177" t="s">
        <v>3250</v>
      </c>
      <c r="AW177" t="s">
        <v>3250</v>
      </c>
      <c r="AX177" t="s">
        <v>3250</v>
      </c>
      <c r="AY177" t="s">
        <v>3250</v>
      </c>
      <c r="AZ177" t="s">
        <v>3250</v>
      </c>
      <c r="BA177" t="s">
        <v>3250</v>
      </c>
      <c r="BB177" t="s">
        <v>3250</v>
      </c>
      <c r="BC177" t="s">
        <v>3250</v>
      </c>
      <c r="BE177" t="s">
        <v>3250</v>
      </c>
      <c r="BF177" t="s">
        <v>3250</v>
      </c>
      <c r="BG177" t="s">
        <v>3250</v>
      </c>
      <c r="BH177" t="s">
        <v>3250</v>
      </c>
      <c r="BI177" t="s">
        <v>3250</v>
      </c>
      <c r="BK177" t="s">
        <v>3250</v>
      </c>
      <c r="BL177" t="s">
        <v>3250</v>
      </c>
      <c r="BM177" t="s">
        <v>3250</v>
      </c>
      <c r="BN177" t="s">
        <v>3250</v>
      </c>
      <c r="BP177">
        <v>1</v>
      </c>
      <c r="BQ177">
        <v>11</v>
      </c>
      <c r="BR177" t="s">
        <v>1574</v>
      </c>
      <c r="BS177" t="s">
        <v>3252</v>
      </c>
      <c r="BV177">
        <v>0</v>
      </c>
      <c r="BW177">
        <v>0</v>
      </c>
      <c r="BX177">
        <v>0</v>
      </c>
      <c r="BY177">
        <v>0</v>
      </c>
      <c r="BZ177">
        <v>0</v>
      </c>
      <c r="CA177">
        <v>0</v>
      </c>
      <c r="CB177">
        <v>0</v>
      </c>
      <c r="CC177">
        <v>0</v>
      </c>
      <c r="CD177">
        <v>0</v>
      </c>
      <c r="CE177" t="s">
        <v>3108</v>
      </c>
      <c r="CF177" t="s">
        <v>3108</v>
      </c>
      <c r="CG177" t="s">
        <v>3108</v>
      </c>
      <c r="CH177" t="s">
        <v>3108</v>
      </c>
    </row>
    <row r="178" spans="1:86" x14ac:dyDescent="0.2">
      <c r="A178" t="s">
        <v>3595</v>
      </c>
      <c r="B178" t="s">
        <v>3595</v>
      </c>
      <c r="C178">
        <v>30438</v>
      </c>
      <c r="D178">
        <v>1207</v>
      </c>
      <c r="E178" t="s">
        <v>3596</v>
      </c>
      <c r="F178" t="s">
        <v>3249</v>
      </c>
      <c r="G178" t="s">
        <v>3249</v>
      </c>
      <c r="H178" t="s">
        <v>3250</v>
      </c>
      <c r="I178" t="s">
        <v>3250</v>
      </c>
      <c r="J178" t="s">
        <v>3250</v>
      </c>
      <c r="K178" t="s">
        <v>3250</v>
      </c>
      <c r="L178">
        <v>1200</v>
      </c>
      <c r="M178" t="s">
        <v>2368</v>
      </c>
      <c r="N178">
        <v>1204</v>
      </c>
      <c r="O178" t="s">
        <v>1574</v>
      </c>
      <c r="P178" t="s">
        <v>3108</v>
      </c>
      <c r="Q178" t="s">
        <v>3249</v>
      </c>
      <c r="R178" t="s">
        <v>3249</v>
      </c>
      <c r="S178" t="s">
        <v>472</v>
      </c>
      <c r="T178" t="s">
        <v>3251</v>
      </c>
      <c r="U178">
        <v>140</v>
      </c>
      <c r="V178" t="s">
        <v>1327</v>
      </c>
      <c r="W178">
        <v>140</v>
      </c>
      <c r="X178" t="s">
        <v>1327</v>
      </c>
      <c r="Y178" t="s">
        <v>3250</v>
      </c>
      <c r="Z178" t="s">
        <v>3250</v>
      </c>
      <c r="AA178" t="s">
        <v>3108</v>
      </c>
      <c r="AB178" t="s">
        <v>3108</v>
      </c>
      <c r="AC178" t="s">
        <v>3250</v>
      </c>
      <c r="AD178" t="s">
        <v>3250</v>
      </c>
      <c r="AE178" t="s">
        <v>3250</v>
      </c>
      <c r="AF178" t="s">
        <v>3250</v>
      </c>
      <c r="AG178" t="s">
        <v>3250</v>
      </c>
      <c r="AH178" t="s">
        <v>3250</v>
      </c>
      <c r="AI178" t="s">
        <v>3250</v>
      </c>
      <c r="AJ178" t="s">
        <v>3250</v>
      </c>
      <c r="AL178">
        <v>146</v>
      </c>
      <c r="AM178" t="s">
        <v>5</v>
      </c>
      <c r="AN178">
        <v>146</v>
      </c>
      <c r="AO178" t="s">
        <v>5</v>
      </c>
      <c r="AS178" t="s">
        <v>3250</v>
      </c>
      <c r="AT178" t="s">
        <v>3250</v>
      </c>
      <c r="AU178" t="s">
        <v>3250</v>
      </c>
      <c r="AV178" t="s">
        <v>3250</v>
      </c>
      <c r="AW178" t="s">
        <v>3250</v>
      </c>
      <c r="AX178" t="s">
        <v>3250</v>
      </c>
      <c r="AY178" t="s">
        <v>3250</v>
      </c>
      <c r="AZ178" t="s">
        <v>3250</v>
      </c>
      <c r="BA178" t="s">
        <v>3250</v>
      </c>
      <c r="BB178" t="s">
        <v>3250</v>
      </c>
      <c r="BC178" t="s">
        <v>3250</v>
      </c>
      <c r="BE178" t="s">
        <v>3250</v>
      </c>
      <c r="BF178" t="s">
        <v>3250</v>
      </c>
      <c r="BG178" t="s">
        <v>3250</v>
      </c>
      <c r="BH178" t="s">
        <v>3250</v>
      </c>
      <c r="BI178" t="s">
        <v>3250</v>
      </c>
      <c r="BK178" t="s">
        <v>3250</v>
      </c>
      <c r="BL178" t="s">
        <v>3250</v>
      </c>
      <c r="BM178" t="s">
        <v>3250</v>
      </c>
      <c r="BN178" t="s">
        <v>3250</v>
      </c>
      <c r="BP178">
        <v>1</v>
      </c>
      <c r="BQ178">
        <v>11</v>
      </c>
      <c r="BR178" t="s">
        <v>1574</v>
      </c>
      <c r="BS178" t="s">
        <v>3252</v>
      </c>
      <c r="BV178">
        <v>0</v>
      </c>
      <c r="BW178">
        <v>0</v>
      </c>
      <c r="BX178">
        <v>0</v>
      </c>
      <c r="BY178">
        <v>0</v>
      </c>
      <c r="BZ178">
        <v>0</v>
      </c>
      <c r="CA178">
        <v>0</v>
      </c>
      <c r="CB178">
        <v>0</v>
      </c>
      <c r="CC178">
        <v>0</v>
      </c>
      <c r="CD178">
        <v>0</v>
      </c>
      <c r="CE178" t="s">
        <v>3108</v>
      </c>
      <c r="CF178" t="s">
        <v>3108</v>
      </c>
      <c r="CG178" t="s">
        <v>3108</v>
      </c>
      <c r="CH178" t="s">
        <v>3108</v>
      </c>
    </row>
    <row r="179" spans="1:86" x14ac:dyDescent="0.2">
      <c r="A179" t="s">
        <v>3597</v>
      </c>
      <c r="B179" t="s">
        <v>3597</v>
      </c>
      <c r="C179">
        <v>30439</v>
      </c>
      <c r="D179">
        <v>1208</v>
      </c>
      <c r="E179" t="s">
        <v>3598</v>
      </c>
      <c r="F179" t="s">
        <v>3249</v>
      </c>
      <c r="G179" t="s">
        <v>3249</v>
      </c>
      <c r="H179" t="s">
        <v>3250</v>
      </c>
      <c r="I179" t="s">
        <v>3250</v>
      </c>
      <c r="J179" t="s">
        <v>3250</v>
      </c>
      <c r="K179" t="s">
        <v>3250</v>
      </c>
      <c r="L179">
        <v>1200</v>
      </c>
      <c r="M179" t="s">
        <v>2368</v>
      </c>
      <c r="N179">
        <v>1204</v>
      </c>
      <c r="O179" t="s">
        <v>1574</v>
      </c>
      <c r="P179" t="s">
        <v>3108</v>
      </c>
      <c r="Q179" t="s">
        <v>3249</v>
      </c>
      <c r="R179" t="s">
        <v>3249</v>
      </c>
      <c r="S179" t="s">
        <v>472</v>
      </c>
      <c r="T179" t="s">
        <v>3251</v>
      </c>
      <c r="U179">
        <v>140</v>
      </c>
      <c r="V179" t="s">
        <v>1327</v>
      </c>
      <c r="W179">
        <v>140</v>
      </c>
      <c r="X179" t="s">
        <v>1327</v>
      </c>
      <c r="Y179" t="s">
        <v>3250</v>
      </c>
      <c r="Z179" t="s">
        <v>3250</v>
      </c>
      <c r="AA179" t="s">
        <v>3108</v>
      </c>
      <c r="AB179" t="s">
        <v>3108</v>
      </c>
      <c r="AC179" t="s">
        <v>3250</v>
      </c>
      <c r="AD179" t="s">
        <v>3250</v>
      </c>
      <c r="AE179" t="s">
        <v>3250</v>
      </c>
      <c r="AF179" t="s">
        <v>3250</v>
      </c>
      <c r="AG179" t="s">
        <v>3250</v>
      </c>
      <c r="AH179" t="s">
        <v>3250</v>
      </c>
      <c r="AI179" t="s">
        <v>3250</v>
      </c>
      <c r="AJ179" t="s">
        <v>3250</v>
      </c>
      <c r="AL179">
        <v>146</v>
      </c>
      <c r="AM179" t="s">
        <v>5</v>
      </c>
      <c r="AN179">
        <v>146</v>
      </c>
      <c r="AO179" t="s">
        <v>5</v>
      </c>
      <c r="AS179" t="s">
        <v>3250</v>
      </c>
      <c r="AT179" t="s">
        <v>3250</v>
      </c>
      <c r="AU179" t="s">
        <v>3250</v>
      </c>
      <c r="AV179" t="s">
        <v>3250</v>
      </c>
      <c r="AW179" t="s">
        <v>3250</v>
      </c>
      <c r="AX179" t="s">
        <v>3250</v>
      </c>
      <c r="AY179" t="s">
        <v>3250</v>
      </c>
      <c r="AZ179" t="s">
        <v>3250</v>
      </c>
      <c r="BA179" t="s">
        <v>3250</v>
      </c>
      <c r="BB179" t="s">
        <v>3250</v>
      </c>
      <c r="BC179" t="s">
        <v>3250</v>
      </c>
      <c r="BE179" t="s">
        <v>3250</v>
      </c>
      <c r="BF179" t="s">
        <v>3250</v>
      </c>
      <c r="BG179" t="s">
        <v>3250</v>
      </c>
      <c r="BH179" t="s">
        <v>3250</v>
      </c>
      <c r="BI179" t="s">
        <v>3250</v>
      </c>
      <c r="BK179" t="s">
        <v>3250</v>
      </c>
      <c r="BL179" t="s">
        <v>3250</v>
      </c>
      <c r="BM179" t="s">
        <v>3250</v>
      </c>
      <c r="BN179" t="s">
        <v>3250</v>
      </c>
      <c r="BP179">
        <v>1</v>
      </c>
      <c r="BQ179">
        <v>11</v>
      </c>
      <c r="BR179" t="s">
        <v>1574</v>
      </c>
      <c r="BS179" t="s">
        <v>3252</v>
      </c>
      <c r="BV179">
        <v>0</v>
      </c>
      <c r="BW179">
        <v>0</v>
      </c>
      <c r="BX179">
        <v>0</v>
      </c>
      <c r="BY179">
        <v>0</v>
      </c>
      <c r="BZ179">
        <v>0</v>
      </c>
      <c r="CA179">
        <v>0</v>
      </c>
      <c r="CB179">
        <v>0</v>
      </c>
      <c r="CC179">
        <v>0</v>
      </c>
      <c r="CD179">
        <v>0</v>
      </c>
      <c r="CE179" t="s">
        <v>3108</v>
      </c>
      <c r="CF179" t="s">
        <v>3108</v>
      </c>
      <c r="CG179" t="s">
        <v>3108</v>
      </c>
      <c r="CH179" t="s">
        <v>3108</v>
      </c>
    </row>
    <row r="180" spans="1:86" x14ac:dyDescent="0.2">
      <c r="A180" t="s">
        <v>3599</v>
      </c>
      <c r="B180" t="s">
        <v>3599</v>
      </c>
      <c r="C180">
        <v>30440</v>
      </c>
      <c r="D180">
        <v>1209</v>
      </c>
      <c r="E180" t="s">
        <v>3600</v>
      </c>
      <c r="F180" t="s">
        <v>3249</v>
      </c>
      <c r="G180" t="s">
        <v>3249</v>
      </c>
      <c r="H180" t="s">
        <v>3250</v>
      </c>
      <c r="I180" t="s">
        <v>3250</v>
      </c>
      <c r="J180" t="s">
        <v>3250</v>
      </c>
      <c r="K180" t="s">
        <v>3250</v>
      </c>
      <c r="L180">
        <v>1200</v>
      </c>
      <c r="M180" t="s">
        <v>2368</v>
      </c>
      <c r="N180">
        <v>1204</v>
      </c>
      <c r="O180" t="s">
        <v>1574</v>
      </c>
      <c r="P180" t="s">
        <v>3108</v>
      </c>
      <c r="Q180" t="s">
        <v>3249</v>
      </c>
      <c r="R180" t="s">
        <v>3249</v>
      </c>
      <c r="S180" t="s">
        <v>472</v>
      </c>
      <c r="T180" t="s">
        <v>3251</v>
      </c>
      <c r="U180">
        <v>140</v>
      </c>
      <c r="V180" t="s">
        <v>1327</v>
      </c>
      <c r="W180">
        <v>140</v>
      </c>
      <c r="X180" t="s">
        <v>1327</v>
      </c>
      <c r="Y180" t="s">
        <v>3250</v>
      </c>
      <c r="Z180" t="s">
        <v>3250</v>
      </c>
      <c r="AA180" t="s">
        <v>3108</v>
      </c>
      <c r="AB180" t="s">
        <v>3108</v>
      </c>
      <c r="AC180" t="s">
        <v>3250</v>
      </c>
      <c r="AD180" t="s">
        <v>3250</v>
      </c>
      <c r="AE180" t="s">
        <v>3250</v>
      </c>
      <c r="AF180" t="s">
        <v>3250</v>
      </c>
      <c r="AG180" t="s">
        <v>3250</v>
      </c>
      <c r="AH180" t="s">
        <v>3250</v>
      </c>
      <c r="AI180" t="s">
        <v>3250</v>
      </c>
      <c r="AJ180" t="s">
        <v>3250</v>
      </c>
      <c r="AL180">
        <v>141</v>
      </c>
      <c r="AM180" t="s">
        <v>1327</v>
      </c>
      <c r="AN180">
        <v>141</v>
      </c>
      <c r="AO180" t="s">
        <v>1327</v>
      </c>
      <c r="AS180" t="s">
        <v>3250</v>
      </c>
      <c r="AT180" t="s">
        <v>3250</v>
      </c>
      <c r="AU180" t="s">
        <v>3250</v>
      </c>
      <c r="AV180" t="s">
        <v>3250</v>
      </c>
      <c r="AW180" t="s">
        <v>3250</v>
      </c>
      <c r="AX180" t="s">
        <v>3250</v>
      </c>
      <c r="AY180" t="s">
        <v>3250</v>
      </c>
      <c r="AZ180" t="s">
        <v>3250</v>
      </c>
      <c r="BA180" t="s">
        <v>3250</v>
      </c>
      <c r="BB180" t="s">
        <v>3250</v>
      </c>
      <c r="BC180" t="s">
        <v>3250</v>
      </c>
      <c r="BE180" t="s">
        <v>3250</v>
      </c>
      <c r="BF180" t="s">
        <v>3250</v>
      </c>
      <c r="BG180" t="s">
        <v>3250</v>
      </c>
      <c r="BH180" t="s">
        <v>3250</v>
      </c>
      <c r="BI180" t="s">
        <v>3250</v>
      </c>
      <c r="BK180" t="s">
        <v>3250</v>
      </c>
      <c r="BL180" t="s">
        <v>3250</v>
      </c>
      <c r="BM180" t="s">
        <v>3250</v>
      </c>
      <c r="BN180" t="s">
        <v>3250</v>
      </c>
      <c r="BP180">
        <v>1</v>
      </c>
      <c r="BQ180">
        <v>11</v>
      </c>
      <c r="BR180" t="s">
        <v>1574</v>
      </c>
      <c r="BS180" t="s">
        <v>3252</v>
      </c>
      <c r="BV180">
        <v>0</v>
      </c>
      <c r="BW180">
        <v>0</v>
      </c>
      <c r="BX180">
        <v>0</v>
      </c>
      <c r="BY180">
        <v>0</v>
      </c>
      <c r="BZ180">
        <v>0</v>
      </c>
      <c r="CA180">
        <v>0</v>
      </c>
      <c r="CB180">
        <v>0</v>
      </c>
      <c r="CC180">
        <v>0</v>
      </c>
      <c r="CD180">
        <v>0</v>
      </c>
      <c r="CE180" t="s">
        <v>3108</v>
      </c>
      <c r="CF180" t="s">
        <v>3108</v>
      </c>
      <c r="CG180" t="s">
        <v>3108</v>
      </c>
      <c r="CH180" t="s">
        <v>3108</v>
      </c>
    </row>
    <row r="181" spans="1:86" x14ac:dyDescent="0.2">
      <c r="A181" t="s">
        <v>3601</v>
      </c>
      <c r="B181" t="s">
        <v>3601</v>
      </c>
      <c r="C181">
        <v>30441</v>
      </c>
      <c r="D181">
        <v>1210</v>
      </c>
      <c r="E181" t="s">
        <v>3602</v>
      </c>
      <c r="F181" t="s">
        <v>3249</v>
      </c>
      <c r="G181" t="s">
        <v>3249</v>
      </c>
      <c r="H181" t="s">
        <v>3250</v>
      </c>
      <c r="I181" t="s">
        <v>3250</v>
      </c>
      <c r="J181" t="s">
        <v>3250</v>
      </c>
      <c r="K181" t="s">
        <v>3250</v>
      </c>
      <c r="L181">
        <v>1200</v>
      </c>
      <c r="M181" t="s">
        <v>2368</v>
      </c>
      <c r="N181">
        <v>1204</v>
      </c>
      <c r="O181" t="s">
        <v>1574</v>
      </c>
      <c r="P181" t="s">
        <v>3108</v>
      </c>
      <c r="Q181" t="s">
        <v>3249</v>
      </c>
      <c r="R181" t="s">
        <v>3249</v>
      </c>
      <c r="S181" t="s">
        <v>472</v>
      </c>
      <c r="T181" t="s">
        <v>3251</v>
      </c>
      <c r="U181">
        <v>140</v>
      </c>
      <c r="V181" t="s">
        <v>1327</v>
      </c>
      <c r="W181">
        <v>140</v>
      </c>
      <c r="X181" t="s">
        <v>1327</v>
      </c>
      <c r="Y181" t="s">
        <v>3250</v>
      </c>
      <c r="Z181" t="s">
        <v>3250</v>
      </c>
      <c r="AA181" t="s">
        <v>3108</v>
      </c>
      <c r="AB181" t="s">
        <v>3108</v>
      </c>
      <c r="AC181" t="s">
        <v>3250</v>
      </c>
      <c r="AD181" t="s">
        <v>3250</v>
      </c>
      <c r="AE181" t="s">
        <v>3250</v>
      </c>
      <c r="AF181" t="s">
        <v>3250</v>
      </c>
      <c r="AG181" t="s">
        <v>3250</v>
      </c>
      <c r="AH181" t="s">
        <v>3250</v>
      </c>
      <c r="AI181" t="s">
        <v>3250</v>
      </c>
      <c r="AJ181" t="s">
        <v>3250</v>
      </c>
      <c r="AL181">
        <v>141</v>
      </c>
      <c r="AM181" t="s">
        <v>1327</v>
      </c>
      <c r="AN181">
        <v>141</v>
      </c>
      <c r="AO181" t="s">
        <v>1327</v>
      </c>
      <c r="AS181" t="s">
        <v>3250</v>
      </c>
      <c r="AT181" t="s">
        <v>3250</v>
      </c>
      <c r="AU181" t="s">
        <v>3250</v>
      </c>
      <c r="AV181" t="s">
        <v>3250</v>
      </c>
      <c r="AW181" t="s">
        <v>3250</v>
      </c>
      <c r="AX181" t="s">
        <v>3250</v>
      </c>
      <c r="AY181" t="s">
        <v>3250</v>
      </c>
      <c r="AZ181" t="s">
        <v>3250</v>
      </c>
      <c r="BA181" t="s">
        <v>3250</v>
      </c>
      <c r="BB181" t="s">
        <v>3250</v>
      </c>
      <c r="BC181" t="s">
        <v>3250</v>
      </c>
      <c r="BE181" t="s">
        <v>3250</v>
      </c>
      <c r="BF181" t="s">
        <v>3250</v>
      </c>
      <c r="BG181" t="s">
        <v>3250</v>
      </c>
      <c r="BH181" t="s">
        <v>3250</v>
      </c>
      <c r="BI181" t="s">
        <v>3250</v>
      </c>
      <c r="BK181" t="s">
        <v>3250</v>
      </c>
      <c r="BL181" t="s">
        <v>3250</v>
      </c>
      <c r="BM181" t="s">
        <v>3250</v>
      </c>
      <c r="BN181" t="s">
        <v>3250</v>
      </c>
      <c r="BP181">
        <v>1</v>
      </c>
      <c r="BQ181">
        <v>11</v>
      </c>
      <c r="BR181" t="s">
        <v>1574</v>
      </c>
      <c r="BS181" t="s">
        <v>3252</v>
      </c>
      <c r="BV181">
        <v>0</v>
      </c>
      <c r="BW181">
        <v>0</v>
      </c>
      <c r="BX181">
        <v>0</v>
      </c>
      <c r="BY181">
        <v>0</v>
      </c>
      <c r="BZ181">
        <v>0</v>
      </c>
      <c r="CA181">
        <v>0</v>
      </c>
      <c r="CB181">
        <v>0</v>
      </c>
      <c r="CC181">
        <v>0</v>
      </c>
      <c r="CD181">
        <v>0</v>
      </c>
      <c r="CE181" t="s">
        <v>3108</v>
      </c>
      <c r="CF181" t="s">
        <v>3108</v>
      </c>
      <c r="CG181" t="s">
        <v>3108</v>
      </c>
      <c r="CH181" t="s">
        <v>3108</v>
      </c>
    </row>
    <row r="182" spans="1:86" x14ac:dyDescent="0.2">
      <c r="A182" t="s">
        <v>3603</v>
      </c>
      <c r="B182" t="s">
        <v>3603</v>
      </c>
      <c r="C182">
        <v>30442</v>
      </c>
      <c r="D182">
        <v>1211</v>
      </c>
      <c r="E182" t="s">
        <v>3604</v>
      </c>
      <c r="F182" t="s">
        <v>3249</v>
      </c>
      <c r="G182" t="s">
        <v>3249</v>
      </c>
      <c r="H182" t="s">
        <v>3250</v>
      </c>
      <c r="I182" t="s">
        <v>3250</v>
      </c>
      <c r="J182" t="s">
        <v>3250</v>
      </c>
      <c r="K182" t="s">
        <v>3250</v>
      </c>
      <c r="L182">
        <v>1200</v>
      </c>
      <c r="M182" t="s">
        <v>2368</v>
      </c>
      <c r="N182">
        <v>1204</v>
      </c>
      <c r="O182" t="s">
        <v>1574</v>
      </c>
      <c r="P182" t="s">
        <v>3108</v>
      </c>
      <c r="Q182" t="s">
        <v>3249</v>
      </c>
      <c r="R182" t="s">
        <v>3249</v>
      </c>
      <c r="S182" t="s">
        <v>472</v>
      </c>
      <c r="T182" t="s">
        <v>3251</v>
      </c>
      <c r="U182">
        <v>140</v>
      </c>
      <c r="V182" t="s">
        <v>1327</v>
      </c>
      <c r="W182">
        <v>140</v>
      </c>
      <c r="X182" t="s">
        <v>1327</v>
      </c>
      <c r="Y182" t="s">
        <v>3250</v>
      </c>
      <c r="Z182" t="s">
        <v>3250</v>
      </c>
      <c r="AA182" t="s">
        <v>3108</v>
      </c>
      <c r="AB182" t="s">
        <v>3108</v>
      </c>
      <c r="AC182" t="s">
        <v>3250</v>
      </c>
      <c r="AD182" t="s">
        <v>3250</v>
      </c>
      <c r="AE182" t="s">
        <v>3250</v>
      </c>
      <c r="AF182" t="s">
        <v>3250</v>
      </c>
      <c r="AG182" t="s">
        <v>3250</v>
      </c>
      <c r="AH182" t="s">
        <v>3250</v>
      </c>
      <c r="AI182" t="s">
        <v>3250</v>
      </c>
      <c r="AJ182" t="s">
        <v>3250</v>
      </c>
      <c r="AL182">
        <v>147</v>
      </c>
      <c r="AM182" t="s">
        <v>6</v>
      </c>
      <c r="AN182">
        <v>147</v>
      </c>
      <c r="AO182" t="s">
        <v>6</v>
      </c>
      <c r="AS182" t="s">
        <v>3250</v>
      </c>
      <c r="AT182" t="s">
        <v>3250</v>
      </c>
      <c r="AU182" t="s">
        <v>3250</v>
      </c>
      <c r="AV182" t="s">
        <v>3250</v>
      </c>
      <c r="AW182" t="s">
        <v>3250</v>
      </c>
      <c r="AX182" t="s">
        <v>3250</v>
      </c>
      <c r="AY182" t="s">
        <v>3250</v>
      </c>
      <c r="AZ182" t="s">
        <v>3250</v>
      </c>
      <c r="BA182" t="s">
        <v>3250</v>
      </c>
      <c r="BB182" t="s">
        <v>3250</v>
      </c>
      <c r="BC182" t="s">
        <v>3250</v>
      </c>
      <c r="BE182" t="s">
        <v>3250</v>
      </c>
      <c r="BF182" t="s">
        <v>3250</v>
      </c>
      <c r="BG182" t="s">
        <v>3250</v>
      </c>
      <c r="BH182" t="s">
        <v>3250</v>
      </c>
      <c r="BI182" t="s">
        <v>3250</v>
      </c>
      <c r="BK182" t="s">
        <v>3250</v>
      </c>
      <c r="BL182" t="s">
        <v>3250</v>
      </c>
      <c r="BM182" t="s">
        <v>3250</v>
      </c>
      <c r="BN182" t="s">
        <v>3250</v>
      </c>
      <c r="BP182">
        <v>1</v>
      </c>
      <c r="BQ182">
        <v>11</v>
      </c>
      <c r="BR182" t="s">
        <v>1574</v>
      </c>
      <c r="BS182" t="s">
        <v>3252</v>
      </c>
      <c r="BV182">
        <v>0</v>
      </c>
      <c r="BW182">
        <v>0</v>
      </c>
      <c r="BX182">
        <v>0</v>
      </c>
      <c r="BY182">
        <v>0</v>
      </c>
      <c r="BZ182">
        <v>0</v>
      </c>
      <c r="CA182">
        <v>0</v>
      </c>
      <c r="CB182">
        <v>0</v>
      </c>
      <c r="CC182">
        <v>0</v>
      </c>
      <c r="CD182">
        <v>0</v>
      </c>
      <c r="CE182" t="s">
        <v>3108</v>
      </c>
      <c r="CF182" t="s">
        <v>3108</v>
      </c>
      <c r="CG182" t="s">
        <v>3108</v>
      </c>
      <c r="CH182" t="s">
        <v>3108</v>
      </c>
    </row>
    <row r="183" spans="1:86" x14ac:dyDescent="0.2">
      <c r="A183" t="s">
        <v>3605</v>
      </c>
      <c r="B183" t="s">
        <v>3605</v>
      </c>
      <c r="C183">
        <v>30443</v>
      </c>
      <c r="D183">
        <v>1212</v>
      </c>
      <c r="E183" t="s">
        <v>3606</v>
      </c>
      <c r="F183" t="s">
        <v>3249</v>
      </c>
      <c r="G183" t="s">
        <v>3249</v>
      </c>
      <c r="H183" t="s">
        <v>3250</v>
      </c>
      <c r="I183" t="s">
        <v>3250</v>
      </c>
      <c r="J183" t="s">
        <v>3250</v>
      </c>
      <c r="K183" t="s">
        <v>3250</v>
      </c>
      <c r="L183">
        <v>1200</v>
      </c>
      <c r="M183" t="s">
        <v>2368</v>
      </c>
      <c r="N183">
        <v>1204</v>
      </c>
      <c r="O183" t="s">
        <v>1574</v>
      </c>
      <c r="P183" t="s">
        <v>3108</v>
      </c>
      <c r="Q183" t="s">
        <v>3249</v>
      </c>
      <c r="R183" t="s">
        <v>3249</v>
      </c>
      <c r="S183" t="s">
        <v>472</v>
      </c>
      <c r="T183" t="s">
        <v>3251</v>
      </c>
      <c r="U183">
        <v>140</v>
      </c>
      <c r="V183" t="s">
        <v>1327</v>
      </c>
      <c r="W183">
        <v>140</v>
      </c>
      <c r="X183" t="s">
        <v>1327</v>
      </c>
      <c r="Y183" t="s">
        <v>3250</v>
      </c>
      <c r="Z183" t="s">
        <v>3250</v>
      </c>
      <c r="AA183" t="s">
        <v>3108</v>
      </c>
      <c r="AB183" t="s">
        <v>3108</v>
      </c>
      <c r="AC183" t="s">
        <v>3250</v>
      </c>
      <c r="AD183" t="s">
        <v>3250</v>
      </c>
      <c r="AE183" t="s">
        <v>3250</v>
      </c>
      <c r="AF183" t="s">
        <v>3250</v>
      </c>
      <c r="AG183" t="s">
        <v>3250</v>
      </c>
      <c r="AH183" t="s">
        <v>3250</v>
      </c>
      <c r="AI183" t="s">
        <v>3250</v>
      </c>
      <c r="AJ183" t="s">
        <v>3250</v>
      </c>
      <c r="AL183">
        <v>141</v>
      </c>
      <c r="AM183" t="s">
        <v>1327</v>
      </c>
      <c r="AN183">
        <v>141</v>
      </c>
      <c r="AO183" t="s">
        <v>1327</v>
      </c>
      <c r="AS183" t="s">
        <v>3250</v>
      </c>
      <c r="AT183" t="s">
        <v>3250</v>
      </c>
      <c r="AU183" t="s">
        <v>3250</v>
      </c>
      <c r="AV183" t="s">
        <v>3250</v>
      </c>
      <c r="AW183" t="s">
        <v>3250</v>
      </c>
      <c r="AX183" t="s">
        <v>3250</v>
      </c>
      <c r="AY183" t="s">
        <v>3250</v>
      </c>
      <c r="AZ183" t="s">
        <v>3250</v>
      </c>
      <c r="BA183" t="s">
        <v>3250</v>
      </c>
      <c r="BB183" t="s">
        <v>3250</v>
      </c>
      <c r="BC183" t="s">
        <v>3250</v>
      </c>
      <c r="BE183" t="s">
        <v>3250</v>
      </c>
      <c r="BF183" t="s">
        <v>3250</v>
      </c>
      <c r="BG183" t="s">
        <v>3250</v>
      </c>
      <c r="BH183" t="s">
        <v>3250</v>
      </c>
      <c r="BI183" t="s">
        <v>3250</v>
      </c>
      <c r="BK183" t="s">
        <v>3250</v>
      </c>
      <c r="BL183" t="s">
        <v>3250</v>
      </c>
      <c r="BM183" t="s">
        <v>3250</v>
      </c>
      <c r="BN183" t="s">
        <v>3250</v>
      </c>
      <c r="BP183">
        <v>1</v>
      </c>
      <c r="BQ183">
        <v>11</v>
      </c>
      <c r="BR183" t="s">
        <v>1574</v>
      </c>
      <c r="BS183" t="s">
        <v>3252</v>
      </c>
      <c r="BV183">
        <v>0</v>
      </c>
      <c r="BW183">
        <v>0</v>
      </c>
      <c r="BX183">
        <v>0</v>
      </c>
      <c r="BY183">
        <v>0</v>
      </c>
      <c r="BZ183">
        <v>0</v>
      </c>
      <c r="CA183">
        <v>0</v>
      </c>
      <c r="CB183">
        <v>0</v>
      </c>
      <c r="CC183">
        <v>0</v>
      </c>
      <c r="CD183">
        <v>0</v>
      </c>
      <c r="CE183" t="s">
        <v>3108</v>
      </c>
      <c r="CF183" t="s">
        <v>3108</v>
      </c>
      <c r="CG183" t="s">
        <v>3108</v>
      </c>
      <c r="CH183" t="s">
        <v>3108</v>
      </c>
    </row>
    <row r="184" spans="1:86" x14ac:dyDescent="0.2">
      <c r="A184" t="s">
        <v>3607</v>
      </c>
      <c r="B184" t="s">
        <v>3607</v>
      </c>
      <c r="C184">
        <v>30444</v>
      </c>
      <c r="D184">
        <v>1213</v>
      </c>
      <c r="E184" t="s">
        <v>3608</v>
      </c>
      <c r="F184" t="s">
        <v>3249</v>
      </c>
      <c r="G184" t="s">
        <v>3249</v>
      </c>
      <c r="H184" t="s">
        <v>3250</v>
      </c>
      <c r="I184" t="s">
        <v>3250</v>
      </c>
      <c r="J184" t="s">
        <v>3250</v>
      </c>
      <c r="K184" t="s">
        <v>3250</v>
      </c>
      <c r="L184">
        <v>1200</v>
      </c>
      <c r="M184" t="s">
        <v>2368</v>
      </c>
      <c r="N184">
        <v>1204</v>
      </c>
      <c r="O184" t="s">
        <v>1574</v>
      </c>
      <c r="P184" t="s">
        <v>3108</v>
      </c>
      <c r="Q184" t="s">
        <v>3249</v>
      </c>
      <c r="R184" t="s">
        <v>3249</v>
      </c>
      <c r="S184" t="s">
        <v>472</v>
      </c>
      <c r="T184" t="s">
        <v>3251</v>
      </c>
      <c r="U184">
        <v>140</v>
      </c>
      <c r="V184" t="s">
        <v>1327</v>
      </c>
      <c r="W184">
        <v>140</v>
      </c>
      <c r="X184" t="s">
        <v>1327</v>
      </c>
      <c r="Y184" t="s">
        <v>3250</v>
      </c>
      <c r="Z184" t="s">
        <v>3250</v>
      </c>
      <c r="AA184" t="s">
        <v>3108</v>
      </c>
      <c r="AB184" t="s">
        <v>3108</v>
      </c>
      <c r="AC184" t="s">
        <v>3250</v>
      </c>
      <c r="AD184" t="s">
        <v>3250</v>
      </c>
      <c r="AE184" t="s">
        <v>3250</v>
      </c>
      <c r="AF184" t="s">
        <v>3250</v>
      </c>
      <c r="AG184" t="s">
        <v>3250</v>
      </c>
      <c r="AH184" t="s">
        <v>3250</v>
      </c>
      <c r="AI184" t="s">
        <v>3250</v>
      </c>
      <c r="AJ184" t="s">
        <v>3250</v>
      </c>
      <c r="AL184">
        <v>141</v>
      </c>
      <c r="AM184" t="s">
        <v>1327</v>
      </c>
      <c r="AN184">
        <v>141</v>
      </c>
      <c r="AO184" t="s">
        <v>1327</v>
      </c>
      <c r="AS184" t="s">
        <v>3250</v>
      </c>
      <c r="AT184" t="s">
        <v>3250</v>
      </c>
      <c r="AU184" t="s">
        <v>3250</v>
      </c>
      <c r="AV184" t="s">
        <v>3250</v>
      </c>
      <c r="AW184" t="s">
        <v>3250</v>
      </c>
      <c r="AX184" t="s">
        <v>3250</v>
      </c>
      <c r="AY184" t="s">
        <v>3250</v>
      </c>
      <c r="AZ184" t="s">
        <v>3250</v>
      </c>
      <c r="BA184" t="s">
        <v>3250</v>
      </c>
      <c r="BB184" t="s">
        <v>3250</v>
      </c>
      <c r="BC184" t="s">
        <v>3250</v>
      </c>
      <c r="BE184" t="s">
        <v>3250</v>
      </c>
      <c r="BF184" t="s">
        <v>3250</v>
      </c>
      <c r="BG184" t="s">
        <v>3250</v>
      </c>
      <c r="BH184" t="s">
        <v>3250</v>
      </c>
      <c r="BI184" t="s">
        <v>3250</v>
      </c>
      <c r="BK184" t="s">
        <v>3250</v>
      </c>
      <c r="BL184" t="s">
        <v>3250</v>
      </c>
      <c r="BM184" t="s">
        <v>3250</v>
      </c>
      <c r="BN184" t="s">
        <v>3250</v>
      </c>
      <c r="BP184">
        <v>1</v>
      </c>
      <c r="BQ184">
        <v>11</v>
      </c>
      <c r="BR184" t="s">
        <v>1574</v>
      </c>
      <c r="BS184" t="s">
        <v>3252</v>
      </c>
      <c r="BV184">
        <v>0</v>
      </c>
      <c r="BW184">
        <v>0</v>
      </c>
      <c r="BX184">
        <v>0</v>
      </c>
      <c r="BY184">
        <v>0</v>
      </c>
      <c r="BZ184">
        <v>0</v>
      </c>
      <c r="CA184">
        <v>0</v>
      </c>
      <c r="CB184">
        <v>0</v>
      </c>
      <c r="CC184">
        <v>0</v>
      </c>
      <c r="CD184">
        <v>0</v>
      </c>
      <c r="CE184" t="s">
        <v>3108</v>
      </c>
      <c r="CF184" t="s">
        <v>3108</v>
      </c>
      <c r="CG184" t="s">
        <v>3108</v>
      </c>
      <c r="CH184" t="s">
        <v>3108</v>
      </c>
    </row>
    <row r="185" spans="1:86" x14ac:dyDescent="0.2">
      <c r="A185" t="s">
        <v>3609</v>
      </c>
      <c r="B185" t="s">
        <v>3609</v>
      </c>
      <c r="C185">
        <v>30445</v>
      </c>
      <c r="D185">
        <v>1214</v>
      </c>
      <c r="E185" t="s">
        <v>3610</v>
      </c>
      <c r="F185" t="s">
        <v>3249</v>
      </c>
      <c r="G185" t="s">
        <v>3249</v>
      </c>
      <c r="H185" t="s">
        <v>3250</v>
      </c>
      <c r="I185" t="s">
        <v>3250</v>
      </c>
      <c r="J185" t="s">
        <v>3250</v>
      </c>
      <c r="K185" t="s">
        <v>3250</v>
      </c>
      <c r="L185">
        <v>1200</v>
      </c>
      <c r="M185" t="s">
        <v>2368</v>
      </c>
      <c r="N185">
        <v>1204</v>
      </c>
      <c r="O185" t="s">
        <v>1574</v>
      </c>
      <c r="P185" t="s">
        <v>3108</v>
      </c>
      <c r="Q185" t="s">
        <v>3249</v>
      </c>
      <c r="R185" t="s">
        <v>3249</v>
      </c>
      <c r="S185" t="s">
        <v>472</v>
      </c>
      <c r="T185" t="s">
        <v>3251</v>
      </c>
      <c r="U185">
        <v>140</v>
      </c>
      <c r="V185" t="s">
        <v>1327</v>
      </c>
      <c r="W185">
        <v>140</v>
      </c>
      <c r="X185" t="s">
        <v>1327</v>
      </c>
      <c r="Y185" t="s">
        <v>3250</v>
      </c>
      <c r="Z185" t="s">
        <v>3250</v>
      </c>
      <c r="AA185" t="s">
        <v>3108</v>
      </c>
      <c r="AB185" t="s">
        <v>3108</v>
      </c>
      <c r="AC185" t="s">
        <v>3250</v>
      </c>
      <c r="AD185" t="s">
        <v>3250</v>
      </c>
      <c r="AE185" t="s">
        <v>3250</v>
      </c>
      <c r="AF185" t="s">
        <v>3250</v>
      </c>
      <c r="AG185" t="s">
        <v>3250</v>
      </c>
      <c r="AH185" t="s">
        <v>3250</v>
      </c>
      <c r="AI185" t="s">
        <v>3250</v>
      </c>
      <c r="AJ185" t="s">
        <v>3250</v>
      </c>
      <c r="AL185">
        <v>141</v>
      </c>
      <c r="AM185" t="s">
        <v>1327</v>
      </c>
      <c r="AN185">
        <v>141</v>
      </c>
      <c r="AO185" t="s">
        <v>1327</v>
      </c>
      <c r="AS185" t="s">
        <v>3250</v>
      </c>
      <c r="AT185" t="s">
        <v>3250</v>
      </c>
      <c r="AU185" t="s">
        <v>3250</v>
      </c>
      <c r="AV185" t="s">
        <v>3250</v>
      </c>
      <c r="AW185" t="s">
        <v>3250</v>
      </c>
      <c r="AX185" t="s">
        <v>3250</v>
      </c>
      <c r="AY185" t="s">
        <v>3250</v>
      </c>
      <c r="AZ185" t="s">
        <v>3250</v>
      </c>
      <c r="BA185" t="s">
        <v>3250</v>
      </c>
      <c r="BB185" t="s">
        <v>3250</v>
      </c>
      <c r="BC185" t="s">
        <v>3250</v>
      </c>
      <c r="BE185" t="s">
        <v>3250</v>
      </c>
      <c r="BF185" t="s">
        <v>3250</v>
      </c>
      <c r="BG185" t="s">
        <v>3250</v>
      </c>
      <c r="BH185" t="s">
        <v>3250</v>
      </c>
      <c r="BI185" t="s">
        <v>3250</v>
      </c>
      <c r="BK185" t="s">
        <v>3250</v>
      </c>
      <c r="BL185" t="s">
        <v>3250</v>
      </c>
      <c r="BM185" t="s">
        <v>3250</v>
      </c>
      <c r="BN185" t="s">
        <v>3250</v>
      </c>
      <c r="BP185">
        <v>1</v>
      </c>
      <c r="BQ185">
        <v>11</v>
      </c>
      <c r="BR185" t="s">
        <v>1574</v>
      </c>
      <c r="BS185" t="s">
        <v>3252</v>
      </c>
      <c r="BV185">
        <v>0</v>
      </c>
      <c r="BW185">
        <v>0</v>
      </c>
      <c r="BX185">
        <v>0</v>
      </c>
      <c r="BY185">
        <v>0</v>
      </c>
      <c r="BZ185">
        <v>0</v>
      </c>
      <c r="CA185">
        <v>0</v>
      </c>
      <c r="CB185">
        <v>0</v>
      </c>
      <c r="CC185">
        <v>0</v>
      </c>
      <c r="CD185">
        <v>0</v>
      </c>
      <c r="CE185" t="s">
        <v>3108</v>
      </c>
      <c r="CF185" t="s">
        <v>3108</v>
      </c>
      <c r="CG185" t="s">
        <v>3108</v>
      </c>
      <c r="CH185" t="s">
        <v>3108</v>
      </c>
    </row>
    <row r="186" spans="1:86" x14ac:dyDescent="0.2">
      <c r="A186" t="s">
        <v>3611</v>
      </c>
      <c r="B186" t="s">
        <v>3611</v>
      </c>
      <c r="C186">
        <v>30446</v>
      </c>
      <c r="D186">
        <v>1215</v>
      </c>
      <c r="E186" t="s">
        <v>3612</v>
      </c>
      <c r="F186" t="s">
        <v>3249</v>
      </c>
      <c r="G186" t="s">
        <v>3249</v>
      </c>
      <c r="H186" t="s">
        <v>3250</v>
      </c>
      <c r="I186" t="s">
        <v>3250</v>
      </c>
      <c r="J186" t="s">
        <v>3250</v>
      </c>
      <c r="K186" t="s">
        <v>3250</v>
      </c>
      <c r="L186">
        <v>1200</v>
      </c>
      <c r="M186" t="s">
        <v>2368</v>
      </c>
      <c r="N186">
        <v>1204</v>
      </c>
      <c r="O186" t="s">
        <v>1574</v>
      </c>
      <c r="P186" t="s">
        <v>3108</v>
      </c>
      <c r="Q186" t="s">
        <v>3249</v>
      </c>
      <c r="R186" t="s">
        <v>3249</v>
      </c>
      <c r="S186" t="s">
        <v>472</v>
      </c>
      <c r="T186" t="s">
        <v>3251</v>
      </c>
      <c r="U186">
        <v>140</v>
      </c>
      <c r="V186" t="s">
        <v>1327</v>
      </c>
      <c r="W186">
        <v>140</v>
      </c>
      <c r="X186" t="s">
        <v>1327</v>
      </c>
      <c r="Y186" t="s">
        <v>3250</v>
      </c>
      <c r="Z186" t="s">
        <v>3250</v>
      </c>
      <c r="AA186" t="s">
        <v>3108</v>
      </c>
      <c r="AB186" t="s">
        <v>3108</v>
      </c>
      <c r="AC186" t="s">
        <v>3250</v>
      </c>
      <c r="AD186" t="s">
        <v>3250</v>
      </c>
      <c r="AE186" t="s">
        <v>3250</v>
      </c>
      <c r="AF186" t="s">
        <v>3250</v>
      </c>
      <c r="AG186" t="s">
        <v>3250</v>
      </c>
      <c r="AH186" t="s">
        <v>3250</v>
      </c>
      <c r="AI186" t="s">
        <v>3250</v>
      </c>
      <c r="AJ186" t="s">
        <v>3250</v>
      </c>
      <c r="AL186">
        <v>146</v>
      </c>
      <c r="AM186" t="s">
        <v>5</v>
      </c>
      <c r="AN186">
        <v>146</v>
      </c>
      <c r="AO186" t="s">
        <v>5</v>
      </c>
      <c r="AS186" t="s">
        <v>3250</v>
      </c>
      <c r="AT186" t="s">
        <v>3250</v>
      </c>
      <c r="AU186" t="s">
        <v>3250</v>
      </c>
      <c r="AV186" t="s">
        <v>3250</v>
      </c>
      <c r="AW186" t="s">
        <v>3250</v>
      </c>
      <c r="AX186" t="s">
        <v>3250</v>
      </c>
      <c r="AY186" t="s">
        <v>3250</v>
      </c>
      <c r="AZ186" t="s">
        <v>3250</v>
      </c>
      <c r="BA186" t="s">
        <v>3250</v>
      </c>
      <c r="BB186" t="s">
        <v>3250</v>
      </c>
      <c r="BC186" t="s">
        <v>3250</v>
      </c>
      <c r="BE186" t="s">
        <v>3250</v>
      </c>
      <c r="BF186" t="s">
        <v>3250</v>
      </c>
      <c r="BG186" t="s">
        <v>3250</v>
      </c>
      <c r="BH186" t="s">
        <v>3250</v>
      </c>
      <c r="BI186" t="s">
        <v>3250</v>
      </c>
      <c r="BK186" t="s">
        <v>3250</v>
      </c>
      <c r="BL186" t="s">
        <v>3250</v>
      </c>
      <c r="BM186" t="s">
        <v>3250</v>
      </c>
      <c r="BN186" t="s">
        <v>3250</v>
      </c>
      <c r="BP186">
        <v>1</v>
      </c>
      <c r="BQ186">
        <v>11</v>
      </c>
      <c r="BR186" t="s">
        <v>1574</v>
      </c>
      <c r="BS186" t="s">
        <v>3252</v>
      </c>
      <c r="BV186">
        <v>0</v>
      </c>
      <c r="BW186">
        <v>0</v>
      </c>
      <c r="BX186">
        <v>0</v>
      </c>
      <c r="BY186">
        <v>0</v>
      </c>
      <c r="BZ186">
        <v>0</v>
      </c>
      <c r="CA186">
        <v>0</v>
      </c>
      <c r="CB186">
        <v>0</v>
      </c>
      <c r="CC186">
        <v>0</v>
      </c>
      <c r="CD186">
        <v>0</v>
      </c>
      <c r="CE186" t="s">
        <v>3108</v>
      </c>
      <c r="CF186" t="s">
        <v>3108</v>
      </c>
      <c r="CG186" t="s">
        <v>3108</v>
      </c>
      <c r="CH186" t="s">
        <v>3108</v>
      </c>
    </row>
    <row r="187" spans="1:86" x14ac:dyDescent="0.2">
      <c r="A187" t="s">
        <v>3613</v>
      </c>
      <c r="B187" t="s">
        <v>3613</v>
      </c>
      <c r="C187">
        <v>30447</v>
      </c>
      <c r="D187">
        <v>1216</v>
      </c>
      <c r="E187" t="s">
        <v>3614</v>
      </c>
      <c r="F187" t="s">
        <v>3249</v>
      </c>
      <c r="G187" t="s">
        <v>3249</v>
      </c>
      <c r="H187" t="s">
        <v>3250</v>
      </c>
      <c r="I187" t="s">
        <v>3250</v>
      </c>
      <c r="J187" t="s">
        <v>3250</v>
      </c>
      <c r="K187" t="s">
        <v>3250</v>
      </c>
      <c r="L187">
        <v>1200</v>
      </c>
      <c r="M187" t="s">
        <v>2368</v>
      </c>
      <c r="N187">
        <v>1204</v>
      </c>
      <c r="O187" t="s">
        <v>1574</v>
      </c>
      <c r="P187" t="s">
        <v>3108</v>
      </c>
      <c r="Q187" t="s">
        <v>3249</v>
      </c>
      <c r="R187" t="s">
        <v>3249</v>
      </c>
      <c r="S187" t="s">
        <v>472</v>
      </c>
      <c r="T187" t="s">
        <v>3251</v>
      </c>
      <c r="U187">
        <v>140</v>
      </c>
      <c r="V187" t="s">
        <v>1327</v>
      </c>
      <c r="W187">
        <v>140</v>
      </c>
      <c r="X187" t="s">
        <v>1327</v>
      </c>
      <c r="Y187" t="s">
        <v>3250</v>
      </c>
      <c r="Z187" t="s">
        <v>3250</v>
      </c>
      <c r="AA187" t="s">
        <v>3108</v>
      </c>
      <c r="AB187" t="s">
        <v>3108</v>
      </c>
      <c r="AC187" t="s">
        <v>3250</v>
      </c>
      <c r="AD187" t="s">
        <v>3250</v>
      </c>
      <c r="AE187" t="s">
        <v>3250</v>
      </c>
      <c r="AF187" t="s">
        <v>3250</v>
      </c>
      <c r="AG187" t="s">
        <v>3250</v>
      </c>
      <c r="AH187" t="s">
        <v>3250</v>
      </c>
      <c r="AI187" t="s">
        <v>3250</v>
      </c>
      <c r="AJ187" t="s">
        <v>3250</v>
      </c>
      <c r="AL187">
        <v>146</v>
      </c>
      <c r="AM187" t="s">
        <v>5</v>
      </c>
      <c r="AN187">
        <v>146</v>
      </c>
      <c r="AO187" t="s">
        <v>5</v>
      </c>
      <c r="AS187" t="s">
        <v>3250</v>
      </c>
      <c r="AT187" t="s">
        <v>3250</v>
      </c>
      <c r="AU187" t="s">
        <v>3250</v>
      </c>
      <c r="AV187" t="s">
        <v>3250</v>
      </c>
      <c r="AW187" t="s">
        <v>3250</v>
      </c>
      <c r="AX187" t="s">
        <v>3250</v>
      </c>
      <c r="AY187" t="s">
        <v>3250</v>
      </c>
      <c r="AZ187" t="s">
        <v>3250</v>
      </c>
      <c r="BA187" t="s">
        <v>3250</v>
      </c>
      <c r="BB187" t="s">
        <v>3250</v>
      </c>
      <c r="BC187" t="s">
        <v>3250</v>
      </c>
      <c r="BE187" t="s">
        <v>3250</v>
      </c>
      <c r="BF187" t="s">
        <v>3250</v>
      </c>
      <c r="BG187" t="s">
        <v>3250</v>
      </c>
      <c r="BH187" t="s">
        <v>3250</v>
      </c>
      <c r="BI187" t="s">
        <v>3250</v>
      </c>
      <c r="BK187" t="s">
        <v>3250</v>
      </c>
      <c r="BL187" t="s">
        <v>3250</v>
      </c>
      <c r="BM187" t="s">
        <v>3250</v>
      </c>
      <c r="BN187" t="s">
        <v>3250</v>
      </c>
      <c r="BP187">
        <v>1</v>
      </c>
      <c r="BQ187">
        <v>11</v>
      </c>
      <c r="BR187" t="s">
        <v>1574</v>
      </c>
      <c r="BS187" t="s">
        <v>3252</v>
      </c>
      <c r="BV187">
        <v>0</v>
      </c>
      <c r="BW187">
        <v>0</v>
      </c>
      <c r="BX187">
        <v>0</v>
      </c>
      <c r="BY187">
        <v>0</v>
      </c>
      <c r="BZ187">
        <v>0</v>
      </c>
      <c r="CA187">
        <v>0</v>
      </c>
      <c r="CB187">
        <v>0</v>
      </c>
      <c r="CC187">
        <v>0</v>
      </c>
      <c r="CD187">
        <v>0</v>
      </c>
      <c r="CE187" t="s">
        <v>3108</v>
      </c>
      <c r="CF187" t="s">
        <v>3108</v>
      </c>
      <c r="CG187" t="s">
        <v>3108</v>
      </c>
      <c r="CH187" t="s">
        <v>3108</v>
      </c>
    </row>
    <row r="188" spans="1:86" x14ac:dyDescent="0.2">
      <c r="A188" t="s">
        <v>3615</v>
      </c>
      <c r="B188" t="s">
        <v>3615</v>
      </c>
      <c r="C188">
        <v>30448</v>
      </c>
      <c r="D188">
        <v>1217</v>
      </c>
      <c r="E188" t="s">
        <v>3616</v>
      </c>
      <c r="F188" t="s">
        <v>3249</v>
      </c>
      <c r="G188" t="s">
        <v>3249</v>
      </c>
      <c r="H188" t="s">
        <v>3250</v>
      </c>
      <c r="I188" t="s">
        <v>3250</v>
      </c>
      <c r="J188" t="s">
        <v>3250</v>
      </c>
      <c r="K188" t="s">
        <v>3250</v>
      </c>
      <c r="L188">
        <v>1200</v>
      </c>
      <c r="M188" t="s">
        <v>2368</v>
      </c>
      <c r="N188">
        <v>1204</v>
      </c>
      <c r="O188" t="s">
        <v>1574</v>
      </c>
      <c r="P188" t="s">
        <v>3108</v>
      </c>
      <c r="Q188" t="s">
        <v>3249</v>
      </c>
      <c r="R188" t="s">
        <v>3249</v>
      </c>
      <c r="S188" t="s">
        <v>472</v>
      </c>
      <c r="T188" t="s">
        <v>3251</v>
      </c>
      <c r="U188">
        <v>140</v>
      </c>
      <c r="V188" t="s">
        <v>1327</v>
      </c>
      <c r="W188">
        <v>140</v>
      </c>
      <c r="X188" t="s">
        <v>1327</v>
      </c>
      <c r="Y188" t="s">
        <v>3250</v>
      </c>
      <c r="Z188" t="s">
        <v>3250</v>
      </c>
      <c r="AA188" t="s">
        <v>3108</v>
      </c>
      <c r="AB188" t="s">
        <v>3108</v>
      </c>
      <c r="AC188" t="s">
        <v>3250</v>
      </c>
      <c r="AD188" t="s">
        <v>3250</v>
      </c>
      <c r="AE188" t="s">
        <v>3250</v>
      </c>
      <c r="AF188" t="s">
        <v>3250</v>
      </c>
      <c r="AG188" t="s">
        <v>3250</v>
      </c>
      <c r="AH188" t="s">
        <v>3250</v>
      </c>
      <c r="AI188" t="s">
        <v>3250</v>
      </c>
      <c r="AJ188" t="s">
        <v>3250</v>
      </c>
      <c r="AL188">
        <v>141</v>
      </c>
      <c r="AM188" t="s">
        <v>1327</v>
      </c>
      <c r="AN188">
        <v>141</v>
      </c>
      <c r="AO188" t="s">
        <v>1327</v>
      </c>
      <c r="AS188" t="s">
        <v>3250</v>
      </c>
      <c r="AT188" t="s">
        <v>3250</v>
      </c>
      <c r="AU188" t="s">
        <v>3250</v>
      </c>
      <c r="AV188" t="s">
        <v>3250</v>
      </c>
      <c r="AW188" t="s">
        <v>3250</v>
      </c>
      <c r="AX188" t="s">
        <v>3250</v>
      </c>
      <c r="AY188" t="s">
        <v>3250</v>
      </c>
      <c r="AZ188" t="s">
        <v>3250</v>
      </c>
      <c r="BA188" t="s">
        <v>3250</v>
      </c>
      <c r="BB188" t="s">
        <v>3250</v>
      </c>
      <c r="BC188" t="s">
        <v>3250</v>
      </c>
      <c r="BE188" t="s">
        <v>3250</v>
      </c>
      <c r="BF188" t="s">
        <v>3250</v>
      </c>
      <c r="BG188" t="s">
        <v>3250</v>
      </c>
      <c r="BH188" t="s">
        <v>3250</v>
      </c>
      <c r="BI188" t="s">
        <v>3250</v>
      </c>
      <c r="BK188" t="s">
        <v>3250</v>
      </c>
      <c r="BL188" t="s">
        <v>3250</v>
      </c>
      <c r="BM188" t="s">
        <v>3250</v>
      </c>
      <c r="BN188" t="s">
        <v>3250</v>
      </c>
      <c r="BP188">
        <v>1</v>
      </c>
      <c r="BQ188">
        <v>11</v>
      </c>
      <c r="BR188" t="s">
        <v>1574</v>
      </c>
      <c r="BS188" t="s">
        <v>3252</v>
      </c>
      <c r="BV188">
        <v>0</v>
      </c>
      <c r="BW188">
        <v>0</v>
      </c>
      <c r="BX188">
        <v>0</v>
      </c>
      <c r="BY188">
        <v>0</v>
      </c>
      <c r="BZ188">
        <v>0</v>
      </c>
      <c r="CA188">
        <v>0</v>
      </c>
      <c r="CB188">
        <v>0</v>
      </c>
      <c r="CC188">
        <v>0</v>
      </c>
      <c r="CD188">
        <v>0</v>
      </c>
      <c r="CE188" t="s">
        <v>3108</v>
      </c>
      <c r="CF188" t="s">
        <v>3108</v>
      </c>
      <c r="CG188" t="s">
        <v>3108</v>
      </c>
      <c r="CH188" t="s">
        <v>3108</v>
      </c>
    </row>
    <row r="189" spans="1:86" x14ac:dyDescent="0.2">
      <c r="A189" t="s">
        <v>3617</v>
      </c>
      <c r="B189" t="s">
        <v>3617</v>
      </c>
      <c r="C189">
        <v>30449</v>
      </c>
      <c r="D189">
        <v>1218</v>
      </c>
      <c r="E189" t="s">
        <v>3618</v>
      </c>
      <c r="F189" t="s">
        <v>3249</v>
      </c>
      <c r="G189" t="s">
        <v>3249</v>
      </c>
      <c r="H189" t="s">
        <v>3250</v>
      </c>
      <c r="I189" t="s">
        <v>3250</v>
      </c>
      <c r="J189" t="s">
        <v>3250</v>
      </c>
      <c r="K189" t="s">
        <v>3250</v>
      </c>
      <c r="L189">
        <v>1200</v>
      </c>
      <c r="M189" t="s">
        <v>2368</v>
      </c>
      <c r="N189">
        <v>1204</v>
      </c>
      <c r="O189" t="s">
        <v>1574</v>
      </c>
      <c r="P189" t="s">
        <v>3108</v>
      </c>
      <c r="Q189" t="s">
        <v>3249</v>
      </c>
      <c r="R189" t="s">
        <v>3249</v>
      </c>
      <c r="S189" t="s">
        <v>472</v>
      </c>
      <c r="T189" t="s">
        <v>3251</v>
      </c>
      <c r="U189">
        <v>140</v>
      </c>
      <c r="V189" t="s">
        <v>1327</v>
      </c>
      <c r="W189">
        <v>140</v>
      </c>
      <c r="X189" t="s">
        <v>1327</v>
      </c>
      <c r="Y189" t="s">
        <v>3250</v>
      </c>
      <c r="Z189" t="s">
        <v>3250</v>
      </c>
      <c r="AA189" t="s">
        <v>3108</v>
      </c>
      <c r="AB189" t="s">
        <v>3108</v>
      </c>
      <c r="AC189" t="s">
        <v>3250</v>
      </c>
      <c r="AD189" t="s">
        <v>3250</v>
      </c>
      <c r="AE189" t="s">
        <v>3250</v>
      </c>
      <c r="AF189" t="s">
        <v>3250</v>
      </c>
      <c r="AG189" t="s">
        <v>3250</v>
      </c>
      <c r="AH189" t="s">
        <v>3250</v>
      </c>
      <c r="AI189" t="s">
        <v>3250</v>
      </c>
      <c r="AJ189" t="s">
        <v>3250</v>
      </c>
      <c r="AL189">
        <v>141</v>
      </c>
      <c r="AM189" t="s">
        <v>1327</v>
      </c>
      <c r="AN189">
        <v>141</v>
      </c>
      <c r="AO189" t="s">
        <v>1327</v>
      </c>
      <c r="AS189" t="s">
        <v>3250</v>
      </c>
      <c r="AT189" t="s">
        <v>3250</v>
      </c>
      <c r="AU189" t="s">
        <v>3250</v>
      </c>
      <c r="AV189" t="s">
        <v>3250</v>
      </c>
      <c r="AW189" t="s">
        <v>3250</v>
      </c>
      <c r="AX189" t="s">
        <v>3250</v>
      </c>
      <c r="AY189" t="s">
        <v>3250</v>
      </c>
      <c r="AZ189" t="s">
        <v>3250</v>
      </c>
      <c r="BA189" t="s">
        <v>3250</v>
      </c>
      <c r="BB189" t="s">
        <v>3250</v>
      </c>
      <c r="BC189" t="s">
        <v>3250</v>
      </c>
      <c r="BE189" t="s">
        <v>3250</v>
      </c>
      <c r="BF189" t="s">
        <v>3250</v>
      </c>
      <c r="BG189" t="s">
        <v>3250</v>
      </c>
      <c r="BH189" t="s">
        <v>3250</v>
      </c>
      <c r="BI189" t="s">
        <v>3250</v>
      </c>
      <c r="BK189" t="s">
        <v>3250</v>
      </c>
      <c r="BL189" t="s">
        <v>3250</v>
      </c>
      <c r="BM189" t="s">
        <v>3250</v>
      </c>
      <c r="BN189" t="s">
        <v>3250</v>
      </c>
      <c r="BP189">
        <v>1</v>
      </c>
      <c r="BQ189">
        <v>11</v>
      </c>
      <c r="BR189" t="s">
        <v>1574</v>
      </c>
      <c r="BS189" t="s">
        <v>3252</v>
      </c>
      <c r="BV189">
        <v>0</v>
      </c>
      <c r="BW189">
        <v>0</v>
      </c>
      <c r="BX189">
        <v>0</v>
      </c>
      <c r="BY189">
        <v>0</v>
      </c>
      <c r="BZ189">
        <v>0</v>
      </c>
      <c r="CA189">
        <v>0</v>
      </c>
      <c r="CB189">
        <v>0</v>
      </c>
      <c r="CC189">
        <v>0</v>
      </c>
      <c r="CD189">
        <v>0</v>
      </c>
      <c r="CE189" t="s">
        <v>3108</v>
      </c>
      <c r="CF189" t="s">
        <v>3108</v>
      </c>
      <c r="CG189" t="s">
        <v>3108</v>
      </c>
      <c r="CH189" t="s">
        <v>3108</v>
      </c>
    </row>
    <row r="190" spans="1:86" x14ac:dyDescent="0.2">
      <c r="A190" t="s">
        <v>3619</v>
      </c>
      <c r="B190" t="s">
        <v>3619</v>
      </c>
      <c r="C190">
        <v>30450</v>
      </c>
      <c r="D190">
        <v>1219</v>
      </c>
      <c r="E190" t="s">
        <v>3620</v>
      </c>
      <c r="F190" t="s">
        <v>3249</v>
      </c>
      <c r="G190" t="s">
        <v>3249</v>
      </c>
      <c r="H190" t="s">
        <v>3250</v>
      </c>
      <c r="I190" t="s">
        <v>3250</v>
      </c>
      <c r="J190" t="s">
        <v>3250</v>
      </c>
      <c r="K190" t="s">
        <v>3250</v>
      </c>
      <c r="L190">
        <v>1200</v>
      </c>
      <c r="M190" t="s">
        <v>2368</v>
      </c>
      <c r="N190">
        <v>1204</v>
      </c>
      <c r="O190" t="s">
        <v>1574</v>
      </c>
      <c r="P190" t="s">
        <v>3108</v>
      </c>
      <c r="Q190" t="s">
        <v>3249</v>
      </c>
      <c r="R190" t="s">
        <v>3249</v>
      </c>
      <c r="S190" t="s">
        <v>472</v>
      </c>
      <c r="T190" t="s">
        <v>3251</v>
      </c>
      <c r="U190">
        <v>140</v>
      </c>
      <c r="V190" t="s">
        <v>1327</v>
      </c>
      <c r="W190">
        <v>140</v>
      </c>
      <c r="X190" t="s">
        <v>1327</v>
      </c>
      <c r="Y190" t="s">
        <v>3250</v>
      </c>
      <c r="Z190" t="s">
        <v>3250</v>
      </c>
      <c r="AA190" t="s">
        <v>3108</v>
      </c>
      <c r="AB190" t="s">
        <v>3108</v>
      </c>
      <c r="AC190" t="s">
        <v>3250</v>
      </c>
      <c r="AD190" t="s">
        <v>3250</v>
      </c>
      <c r="AE190" t="s">
        <v>3250</v>
      </c>
      <c r="AF190" t="s">
        <v>3250</v>
      </c>
      <c r="AG190" t="s">
        <v>3250</v>
      </c>
      <c r="AH190" t="s">
        <v>3250</v>
      </c>
      <c r="AI190" t="s">
        <v>3250</v>
      </c>
      <c r="AJ190" t="s">
        <v>3250</v>
      </c>
      <c r="AL190">
        <v>147</v>
      </c>
      <c r="AM190" t="s">
        <v>6</v>
      </c>
      <c r="AN190">
        <v>147</v>
      </c>
      <c r="AO190" t="s">
        <v>6</v>
      </c>
      <c r="AS190" t="s">
        <v>3250</v>
      </c>
      <c r="AT190" t="s">
        <v>3250</v>
      </c>
      <c r="AU190" t="s">
        <v>3250</v>
      </c>
      <c r="AV190" t="s">
        <v>3250</v>
      </c>
      <c r="AW190" t="s">
        <v>3250</v>
      </c>
      <c r="AX190" t="s">
        <v>3250</v>
      </c>
      <c r="AY190" t="s">
        <v>3250</v>
      </c>
      <c r="AZ190" t="s">
        <v>3250</v>
      </c>
      <c r="BA190" t="s">
        <v>3250</v>
      </c>
      <c r="BB190" t="s">
        <v>3250</v>
      </c>
      <c r="BC190" t="s">
        <v>3250</v>
      </c>
      <c r="BE190" t="s">
        <v>3250</v>
      </c>
      <c r="BF190" t="s">
        <v>3250</v>
      </c>
      <c r="BG190" t="s">
        <v>3250</v>
      </c>
      <c r="BH190" t="s">
        <v>3250</v>
      </c>
      <c r="BI190" t="s">
        <v>3250</v>
      </c>
      <c r="BK190" t="s">
        <v>3250</v>
      </c>
      <c r="BL190" t="s">
        <v>3250</v>
      </c>
      <c r="BM190" t="s">
        <v>3250</v>
      </c>
      <c r="BN190" t="s">
        <v>3250</v>
      </c>
      <c r="BP190">
        <v>1</v>
      </c>
      <c r="BQ190">
        <v>11</v>
      </c>
      <c r="BR190" t="s">
        <v>1574</v>
      </c>
      <c r="BS190" t="s">
        <v>3252</v>
      </c>
      <c r="BV190">
        <v>0</v>
      </c>
      <c r="BW190">
        <v>0</v>
      </c>
      <c r="BX190">
        <v>0</v>
      </c>
      <c r="BY190">
        <v>0</v>
      </c>
      <c r="BZ190">
        <v>0</v>
      </c>
      <c r="CA190">
        <v>0</v>
      </c>
      <c r="CB190">
        <v>0</v>
      </c>
      <c r="CC190">
        <v>0</v>
      </c>
      <c r="CD190">
        <v>0</v>
      </c>
      <c r="CE190" t="s">
        <v>3108</v>
      </c>
      <c r="CF190" t="s">
        <v>3108</v>
      </c>
      <c r="CG190" t="s">
        <v>3108</v>
      </c>
      <c r="CH190" t="s">
        <v>3108</v>
      </c>
    </row>
    <row r="191" spans="1:86" x14ac:dyDescent="0.2">
      <c r="A191" t="s">
        <v>3621</v>
      </c>
      <c r="B191" t="s">
        <v>3621</v>
      </c>
      <c r="C191">
        <v>30451</v>
      </c>
      <c r="D191">
        <v>1220</v>
      </c>
      <c r="E191" t="s">
        <v>3622</v>
      </c>
      <c r="F191" t="s">
        <v>3249</v>
      </c>
      <c r="G191" t="s">
        <v>3249</v>
      </c>
      <c r="H191" t="s">
        <v>3250</v>
      </c>
      <c r="I191" t="s">
        <v>3250</v>
      </c>
      <c r="J191" t="s">
        <v>3250</v>
      </c>
      <c r="K191" t="s">
        <v>3250</v>
      </c>
      <c r="L191">
        <v>1200</v>
      </c>
      <c r="M191" t="s">
        <v>2368</v>
      </c>
      <c r="N191">
        <v>1204</v>
      </c>
      <c r="O191" t="s">
        <v>1574</v>
      </c>
      <c r="P191" t="s">
        <v>3108</v>
      </c>
      <c r="Q191" t="s">
        <v>3249</v>
      </c>
      <c r="R191" t="s">
        <v>3249</v>
      </c>
      <c r="S191" t="s">
        <v>472</v>
      </c>
      <c r="T191" t="s">
        <v>3251</v>
      </c>
      <c r="U191">
        <v>140</v>
      </c>
      <c r="V191" t="s">
        <v>1327</v>
      </c>
      <c r="W191">
        <v>140</v>
      </c>
      <c r="X191" t="s">
        <v>1327</v>
      </c>
      <c r="Y191" t="s">
        <v>3250</v>
      </c>
      <c r="Z191" t="s">
        <v>3250</v>
      </c>
      <c r="AA191" t="s">
        <v>3108</v>
      </c>
      <c r="AB191" t="s">
        <v>3108</v>
      </c>
      <c r="AC191" t="s">
        <v>3250</v>
      </c>
      <c r="AD191" t="s">
        <v>3250</v>
      </c>
      <c r="AE191" t="s">
        <v>3250</v>
      </c>
      <c r="AF191" t="s">
        <v>3250</v>
      </c>
      <c r="AG191" t="s">
        <v>3250</v>
      </c>
      <c r="AH191" t="s">
        <v>3250</v>
      </c>
      <c r="AI191" t="s">
        <v>3250</v>
      </c>
      <c r="AJ191" t="s">
        <v>3250</v>
      </c>
      <c r="AL191">
        <v>141</v>
      </c>
      <c r="AM191" t="s">
        <v>1327</v>
      </c>
      <c r="AN191">
        <v>141</v>
      </c>
      <c r="AO191" t="s">
        <v>1327</v>
      </c>
      <c r="AS191" t="s">
        <v>3250</v>
      </c>
      <c r="AT191" t="s">
        <v>3250</v>
      </c>
      <c r="AU191" t="s">
        <v>3250</v>
      </c>
      <c r="AV191" t="s">
        <v>3250</v>
      </c>
      <c r="AW191" t="s">
        <v>3250</v>
      </c>
      <c r="AX191" t="s">
        <v>3250</v>
      </c>
      <c r="AY191" t="s">
        <v>3250</v>
      </c>
      <c r="AZ191" t="s">
        <v>3250</v>
      </c>
      <c r="BA191" t="s">
        <v>3250</v>
      </c>
      <c r="BB191" t="s">
        <v>3250</v>
      </c>
      <c r="BC191" t="s">
        <v>3250</v>
      </c>
      <c r="BE191" t="s">
        <v>3250</v>
      </c>
      <c r="BF191" t="s">
        <v>3250</v>
      </c>
      <c r="BG191" t="s">
        <v>3250</v>
      </c>
      <c r="BH191" t="s">
        <v>3250</v>
      </c>
      <c r="BI191" t="s">
        <v>3250</v>
      </c>
      <c r="BK191" t="s">
        <v>3250</v>
      </c>
      <c r="BL191" t="s">
        <v>3250</v>
      </c>
      <c r="BM191" t="s">
        <v>3250</v>
      </c>
      <c r="BN191" t="s">
        <v>3250</v>
      </c>
      <c r="BP191">
        <v>1</v>
      </c>
      <c r="BQ191">
        <v>11</v>
      </c>
      <c r="BR191" t="s">
        <v>1574</v>
      </c>
      <c r="BS191" t="s">
        <v>3252</v>
      </c>
      <c r="BV191">
        <v>34</v>
      </c>
      <c r="BW191">
        <v>34</v>
      </c>
      <c r="BX191">
        <v>34</v>
      </c>
      <c r="BY191">
        <v>0</v>
      </c>
      <c r="BZ191">
        <v>0</v>
      </c>
      <c r="CA191">
        <v>0</v>
      </c>
      <c r="CB191">
        <v>0</v>
      </c>
      <c r="CC191">
        <v>0</v>
      </c>
      <c r="CD191">
        <v>34</v>
      </c>
      <c r="CE191" t="s">
        <v>3108</v>
      </c>
      <c r="CF191" t="s">
        <v>3108</v>
      </c>
      <c r="CG191" t="s">
        <v>3108</v>
      </c>
      <c r="CH191" t="s">
        <v>3108</v>
      </c>
    </row>
    <row r="192" spans="1:86" x14ac:dyDescent="0.2">
      <c r="A192" t="s">
        <v>3623</v>
      </c>
      <c r="B192" t="s">
        <v>3623</v>
      </c>
      <c r="C192">
        <v>30453</v>
      </c>
      <c r="D192">
        <v>1222</v>
      </c>
      <c r="E192" t="s">
        <v>3624</v>
      </c>
      <c r="F192" t="s">
        <v>3249</v>
      </c>
      <c r="G192" t="s">
        <v>3249</v>
      </c>
      <c r="H192" t="s">
        <v>3250</v>
      </c>
      <c r="I192" t="s">
        <v>3250</v>
      </c>
      <c r="J192" t="s">
        <v>3250</v>
      </c>
      <c r="K192" t="s">
        <v>3250</v>
      </c>
      <c r="L192">
        <v>1200</v>
      </c>
      <c r="M192" t="s">
        <v>2368</v>
      </c>
      <c r="N192">
        <v>1204</v>
      </c>
      <c r="O192" t="s">
        <v>1574</v>
      </c>
      <c r="P192" t="s">
        <v>3108</v>
      </c>
      <c r="Q192" t="s">
        <v>3249</v>
      </c>
      <c r="R192" t="s">
        <v>3249</v>
      </c>
      <c r="S192" t="s">
        <v>472</v>
      </c>
      <c r="T192" t="s">
        <v>3251</v>
      </c>
      <c r="U192">
        <v>140</v>
      </c>
      <c r="V192" t="s">
        <v>1327</v>
      </c>
      <c r="W192">
        <v>140</v>
      </c>
      <c r="X192" t="s">
        <v>1327</v>
      </c>
      <c r="Y192" t="s">
        <v>3250</v>
      </c>
      <c r="Z192" t="s">
        <v>3250</v>
      </c>
      <c r="AA192" t="s">
        <v>3108</v>
      </c>
      <c r="AB192" t="s">
        <v>3108</v>
      </c>
      <c r="AC192" t="s">
        <v>3250</v>
      </c>
      <c r="AD192" t="s">
        <v>3250</v>
      </c>
      <c r="AE192" t="s">
        <v>3250</v>
      </c>
      <c r="AF192" t="s">
        <v>3250</v>
      </c>
      <c r="AG192" t="s">
        <v>3250</v>
      </c>
      <c r="AH192" t="s">
        <v>3250</v>
      </c>
      <c r="AI192" t="s">
        <v>3250</v>
      </c>
      <c r="AJ192" t="s">
        <v>3250</v>
      </c>
      <c r="AL192">
        <v>141</v>
      </c>
      <c r="AM192" t="s">
        <v>1327</v>
      </c>
      <c r="AN192">
        <v>141</v>
      </c>
      <c r="AO192" t="s">
        <v>1327</v>
      </c>
      <c r="AS192" t="s">
        <v>3250</v>
      </c>
      <c r="AT192" t="s">
        <v>3250</v>
      </c>
      <c r="AU192" t="s">
        <v>3250</v>
      </c>
      <c r="AV192" t="s">
        <v>3250</v>
      </c>
      <c r="AW192" t="s">
        <v>3250</v>
      </c>
      <c r="AX192" t="s">
        <v>3250</v>
      </c>
      <c r="AY192" t="s">
        <v>3250</v>
      </c>
      <c r="AZ192" t="s">
        <v>3250</v>
      </c>
      <c r="BA192" t="s">
        <v>3250</v>
      </c>
      <c r="BB192" t="s">
        <v>3250</v>
      </c>
      <c r="BC192" t="s">
        <v>3250</v>
      </c>
      <c r="BE192" t="s">
        <v>3250</v>
      </c>
      <c r="BF192" t="s">
        <v>3250</v>
      </c>
      <c r="BG192" t="s">
        <v>3250</v>
      </c>
      <c r="BH192" t="s">
        <v>3250</v>
      </c>
      <c r="BI192" t="s">
        <v>3250</v>
      </c>
      <c r="BK192" t="s">
        <v>3250</v>
      </c>
      <c r="BL192" t="s">
        <v>3250</v>
      </c>
      <c r="BM192" t="s">
        <v>3250</v>
      </c>
      <c r="BN192" t="s">
        <v>3250</v>
      </c>
      <c r="BP192">
        <v>1</v>
      </c>
      <c r="BQ192">
        <v>11</v>
      </c>
      <c r="BR192" t="s">
        <v>1574</v>
      </c>
      <c r="BS192" t="s">
        <v>3252</v>
      </c>
      <c r="BV192">
        <v>0</v>
      </c>
      <c r="BW192">
        <v>0</v>
      </c>
      <c r="BX192">
        <v>0</v>
      </c>
      <c r="BY192">
        <v>0</v>
      </c>
      <c r="BZ192">
        <v>0</v>
      </c>
      <c r="CA192">
        <v>0</v>
      </c>
      <c r="CB192">
        <v>0</v>
      </c>
      <c r="CC192">
        <v>0</v>
      </c>
      <c r="CD192">
        <v>0</v>
      </c>
      <c r="CE192" t="s">
        <v>3108</v>
      </c>
      <c r="CF192" t="s">
        <v>3108</v>
      </c>
      <c r="CG192" t="s">
        <v>3108</v>
      </c>
      <c r="CH192" t="s">
        <v>3108</v>
      </c>
    </row>
    <row r="193" spans="1:86" x14ac:dyDescent="0.2">
      <c r="A193" t="s">
        <v>3625</v>
      </c>
      <c r="B193" t="s">
        <v>3625</v>
      </c>
      <c r="C193">
        <v>30454</v>
      </c>
      <c r="D193">
        <v>1223</v>
      </c>
      <c r="E193" t="s">
        <v>3626</v>
      </c>
      <c r="F193" t="s">
        <v>3249</v>
      </c>
      <c r="G193" t="s">
        <v>3249</v>
      </c>
      <c r="H193" t="s">
        <v>3250</v>
      </c>
      <c r="I193" t="s">
        <v>3250</v>
      </c>
      <c r="J193" t="s">
        <v>3250</v>
      </c>
      <c r="K193" t="s">
        <v>3250</v>
      </c>
      <c r="L193">
        <v>1200</v>
      </c>
      <c r="M193" t="s">
        <v>2368</v>
      </c>
      <c r="N193">
        <v>1204</v>
      </c>
      <c r="O193" t="s">
        <v>1574</v>
      </c>
      <c r="P193" t="s">
        <v>3108</v>
      </c>
      <c r="Q193" t="s">
        <v>3249</v>
      </c>
      <c r="R193" t="s">
        <v>3249</v>
      </c>
      <c r="S193" t="s">
        <v>472</v>
      </c>
      <c r="T193" t="s">
        <v>3251</v>
      </c>
      <c r="U193">
        <v>140</v>
      </c>
      <c r="V193" t="s">
        <v>1327</v>
      </c>
      <c r="W193">
        <v>140</v>
      </c>
      <c r="X193" t="s">
        <v>1327</v>
      </c>
      <c r="Y193" t="s">
        <v>3250</v>
      </c>
      <c r="Z193" t="s">
        <v>3250</v>
      </c>
      <c r="AA193" t="s">
        <v>3108</v>
      </c>
      <c r="AB193" t="s">
        <v>3108</v>
      </c>
      <c r="AC193" t="s">
        <v>3250</v>
      </c>
      <c r="AD193" t="s">
        <v>3250</v>
      </c>
      <c r="AE193" t="s">
        <v>3250</v>
      </c>
      <c r="AF193" t="s">
        <v>3250</v>
      </c>
      <c r="AG193" t="s">
        <v>3250</v>
      </c>
      <c r="AH193" t="s">
        <v>3250</v>
      </c>
      <c r="AI193" t="s">
        <v>3250</v>
      </c>
      <c r="AJ193" t="s">
        <v>3250</v>
      </c>
      <c r="AL193">
        <v>146</v>
      </c>
      <c r="AM193" t="s">
        <v>5</v>
      </c>
      <c r="AN193">
        <v>146</v>
      </c>
      <c r="AO193" t="s">
        <v>5</v>
      </c>
      <c r="AS193" t="s">
        <v>3250</v>
      </c>
      <c r="AT193" t="s">
        <v>3250</v>
      </c>
      <c r="AU193" t="s">
        <v>3250</v>
      </c>
      <c r="AV193" t="s">
        <v>3250</v>
      </c>
      <c r="AW193" t="s">
        <v>3250</v>
      </c>
      <c r="AX193" t="s">
        <v>3250</v>
      </c>
      <c r="AY193" t="s">
        <v>3250</v>
      </c>
      <c r="AZ193" t="s">
        <v>3250</v>
      </c>
      <c r="BA193" t="s">
        <v>3250</v>
      </c>
      <c r="BB193" t="s">
        <v>3250</v>
      </c>
      <c r="BC193" t="s">
        <v>3250</v>
      </c>
      <c r="BE193" t="s">
        <v>3250</v>
      </c>
      <c r="BF193" t="s">
        <v>3250</v>
      </c>
      <c r="BG193" t="s">
        <v>3250</v>
      </c>
      <c r="BH193" t="s">
        <v>3250</v>
      </c>
      <c r="BI193" t="s">
        <v>3250</v>
      </c>
      <c r="BK193" t="s">
        <v>3250</v>
      </c>
      <c r="BL193" t="s">
        <v>3250</v>
      </c>
      <c r="BM193" t="s">
        <v>3250</v>
      </c>
      <c r="BN193" t="s">
        <v>3250</v>
      </c>
      <c r="BP193">
        <v>1</v>
      </c>
      <c r="BQ193">
        <v>11</v>
      </c>
      <c r="BR193" t="s">
        <v>1574</v>
      </c>
      <c r="BS193" t="s">
        <v>3252</v>
      </c>
      <c r="BV193">
        <v>0</v>
      </c>
      <c r="BW193">
        <v>0</v>
      </c>
      <c r="BX193">
        <v>0</v>
      </c>
      <c r="BY193">
        <v>0</v>
      </c>
      <c r="BZ193">
        <v>0</v>
      </c>
      <c r="CA193">
        <v>0</v>
      </c>
      <c r="CB193">
        <v>0</v>
      </c>
      <c r="CC193">
        <v>0</v>
      </c>
      <c r="CD193">
        <v>0</v>
      </c>
      <c r="CE193" t="s">
        <v>3108</v>
      </c>
      <c r="CF193" t="s">
        <v>3108</v>
      </c>
      <c r="CG193" t="s">
        <v>3108</v>
      </c>
      <c r="CH193" t="s">
        <v>3108</v>
      </c>
    </row>
    <row r="194" spans="1:86" x14ac:dyDescent="0.2">
      <c r="A194" t="s">
        <v>3627</v>
      </c>
      <c r="B194" t="s">
        <v>3627</v>
      </c>
      <c r="C194">
        <v>30455</v>
      </c>
      <c r="D194">
        <v>1224</v>
      </c>
      <c r="E194" t="s">
        <v>3628</v>
      </c>
      <c r="F194" t="s">
        <v>3249</v>
      </c>
      <c r="G194" t="s">
        <v>3249</v>
      </c>
      <c r="H194" t="s">
        <v>3250</v>
      </c>
      <c r="I194" t="s">
        <v>3250</v>
      </c>
      <c r="J194" t="s">
        <v>3250</v>
      </c>
      <c r="K194" t="s">
        <v>3250</v>
      </c>
      <c r="L194">
        <v>1200</v>
      </c>
      <c r="M194" t="s">
        <v>2368</v>
      </c>
      <c r="N194">
        <v>1204</v>
      </c>
      <c r="O194" t="s">
        <v>1574</v>
      </c>
      <c r="P194" t="s">
        <v>3108</v>
      </c>
      <c r="Q194" t="s">
        <v>3249</v>
      </c>
      <c r="R194" t="s">
        <v>3249</v>
      </c>
      <c r="S194" t="s">
        <v>472</v>
      </c>
      <c r="T194" t="s">
        <v>3251</v>
      </c>
      <c r="U194">
        <v>140</v>
      </c>
      <c r="V194" t="s">
        <v>1327</v>
      </c>
      <c r="W194">
        <v>140</v>
      </c>
      <c r="X194" t="s">
        <v>1327</v>
      </c>
      <c r="Y194" t="s">
        <v>3250</v>
      </c>
      <c r="Z194" t="s">
        <v>3250</v>
      </c>
      <c r="AA194" t="s">
        <v>3108</v>
      </c>
      <c r="AB194" t="s">
        <v>3108</v>
      </c>
      <c r="AC194" t="s">
        <v>3250</v>
      </c>
      <c r="AD194" t="s">
        <v>3250</v>
      </c>
      <c r="AE194" t="s">
        <v>3250</v>
      </c>
      <c r="AF194" t="s">
        <v>3250</v>
      </c>
      <c r="AG194" t="s">
        <v>3250</v>
      </c>
      <c r="AH194" t="s">
        <v>3250</v>
      </c>
      <c r="AI194" t="s">
        <v>3250</v>
      </c>
      <c r="AJ194" t="s">
        <v>3250</v>
      </c>
      <c r="AL194">
        <v>146</v>
      </c>
      <c r="AM194" t="s">
        <v>5</v>
      </c>
      <c r="AN194">
        <v>146</v>
      </c>
      <c r="AO194" t="s">
        <v>5</v>
      </c>
      <c r="AS194" t="s">
        <v>3250</v>
      </c>
      <c r="AT194" t="s">
        <v>3250</v>
      </c>
      <c r="AU194" t="s">
        <v>3250</v>
      </c>
      <c r="AV194" t="s">
        <v>3250</v>
      </c>
      <c r="AW194" t="s">
        <v>3250</v>
      </c>
      <c r="AX194" t="s">
        <v>3250</v>
      </c>
      <c r="AY194" t="s">
        <v>3250</v>
      </c>
      <c r="AZ194" t="s">
        <v>3250</v>
      </c>
      <c r="BA194" t="s">
        <v>3250</v>
      </c>
      <c r="BB194" t="s">
        <v>3250</v>
      </c>
      <c r="BC194" t="s">
        <v>3250</v>
      </c>
      <c r="BE194" t="s">
        <v>3250</v>
      </c>
      <c r="BF194" t="s">
        <v>3250</v>
      </c>
      <c r="BG194" t="s">
        <v>3250</v>
      </c>
      <c r="BH194" t="s">
        <v>3250</v>
      </c>
      <c r="BI194" t="s">
        <v>3250</v>
      </c>
      <c r="BK194" t="s">
        <v>3250</v>
      </c>
      <c r="BL194" t="s">
        <v>3250</v>
      </c>
      <c r="BM194" t="s">
        <v>3250</v>
      </c>
      <c r="BN194" t="s">
        <v>3250</v>
      </c>
      <c r="BP194">
        <v>1</v>
      </c>
      <c r="BQ194">
        <v>11</v>
      </c>
      <c r="BR194" t="s">
        <v>1574</v>
      </c>
      <c r="BS194" t="s">
        <v>3252</v>
      </c>
      <c r="BV194">
        <v>0</v>
      </c>
      <c r="BW194">
        <v>0</v>
      </c>
      <c r="BX194">
        <v>0</v>
      </c>
      <c r="BY194">
        <v>0</v>
      </c>
      <c r="BZ194">
        <v>0</v>
      </c>
      <c r="CA194">
        <v>0</v>
      </c>
      <c r="CB194">
        <v>0</v>
      </c>
      <c r="CC194">
        <v>0</v>
      </c>
      <c r="CD194">
        <v>0</v>
      </c>
      <c r="CE194" t="s">
        <v>3108</v>
      </c>
      <c r="CF194" t="s">
        <v>3108</v>
      </c>
      <c r="CG194" t="s">
        <v>3108</v>
      </c>
      <c r="CH194" t="s">
        <v>3108</v>
      </c>
    </row>
    <row r="195" spans="1:86" x14ac:dyDescent="0.2">
      <c r="A195" t="s">
        <v>3629</v>
      </c>
      <c r="B195" t="s">
        <v>3629</v>
      </c>
      <c r="C195">
        <v>30456</v>
      </c>
      <c r="D195">
        <v>1225</v>
      </c>
      <c r="E195" t="s">
        <v>3630</v>
      </c>
      <c r="F195" t="s">
        <v>3249</v>
      </c>
      <c r="G195" t="s">
        <v>3249</v>
      </c>
      <c r="H195" t="s">
        <v>3250</v>
      </c>
      <c r="I195" t="s">
        <v>3250</v>
      </c>
      <c r="J195" t="s">
        <v>3250</v>
      </c>
      <c r="K195" t="s">
        <v>3250</v>
      </c>
      <c r="L195">
        <v>1200</v>
      </c>
      <c r="M195" t="s">
        <v>2368</v>
      </c>
      <c r="N195">
        <v>1204</v>
      </c>
      <c r="O195" t="s">
        <v>1574</v>
      </c>
      <c r="P195" t="s">
        <v>3108</v>
      </c>
      <c r="Q195" t="s">
        <v>3249</v>
      </c>
      <c r="R195" t="s">
        <v>3249</v>
      </c>
      <c r="S195" t="s">
        <v>472</v>
      </c>
      <c r="T195" t="s">
        <v>3251</v>
      </c>
      <c r="U195">
        <v>140</v>
      </c>
      <c r="V195" t="s">
        <v>1327</v>
      </c>
      <c r="W195">
        <v>140</v>
      </c>
      <c r="X195" t="s">
        <v>1327</v>
      </c>
      <c r="Y195" t="s">
        <v>3250</v>
      </c>
      <c r="Z195" t="s">
        <v>3250</v>
      </c>
      <c r="AA195" t="s">
        <v>3108</v>
      </c>
      <c r="AB195" t="s">
        <v>3108</v>
      </c>
      <c r="AC195" t="s">
        <v>3250</v>
      </c>
      <c r="AD195" t="s">
        <v>3250</v>
      </c>
      <c r="AE195" t="s">
        <v>3250</v>
      </c>
      <c r="AF195" t="s">
        <v>3250</v>
      </c>
      <c r="AG195" t="s">
        <v>3250</v>
      </c>
      <c r="AH195" t="s">
        <v>3250</v>
      </c>
      <c r="AI195" t="s">
        <v>3250</v>
      </c>
      <c r="AJ195" t="s">
        <v>3250</v>
      </c>
      <c r="AL195">
        <v>141</v>
      </c>
      <c r="AM195" t="s">
        <v>1327</v>
      </c>
      <c r="AN195">
        <v>141</v>
      </c>
      <c r="AO195" t="s">
        <v>1327</v>
      </c>
      <c r="AS195" t="s">
        <v>3250</v>
      </c>
      <c r="AT195" t="s">
        <v>3250</v>
      </c>
      <c r="AU195" t="s">
        <v>3250</v>
      </c>
      <c r="AV195" t="s">
        <v>3250</v>
      </c>
      <c r="AW195" t="s">
        <v>3250</v>
      </c>
      <c r="AX195" t="s">
        <v>3250</v>
      </c>
      <c r="AY195" t="s">
        <v>3250</v>
      </c>
      <c r="AZ195" t="s">
        <v>3250</v>
      </c>
      <c r="BA195" t="s">
        <v>3250</v>
      </c>
      <c r="BB195" t="s">
        <v>3250</v>
      </c>
      <c r="BC195" t="s">
        <v>3250</v>
      </c>
      <c r="BE195" t="s">
        <v>3250</v>
      </c>
      <c r="BF195" t="s">
        <v>3250</v>
      </c>
      <c r="BG195" t="s">
        <v>3250</v>
      </c>
      <c r="BH195" t="s">
        <v>3250</v>
      </c>
      <c r="BI195" t="s">
        <v>3250</v>
      </c>
      <c r="BK195" t="s">
        <v>3250</v>
      </c>
      <c r="BL195" t="s">
        <v>3250</v>
      </c>
      <c r="BM195" t="s">
        <v>3250</v>
      </c>
      <c r="BN195" t="s">
        <v>3250</v>
      </c>
      <c r="BP195">
        <v>1</v>
      </c>
      <c r="BQ195">
        <v>11</v>
      </c>
      <c r="BR195" t="s">
        <v>1574</v>
      </c>
      <c r="BS195" t="s">
        <v>3252</v>
      </c>
      <c r="BV195">
        <v>0</v>
      </c>
      <c r="BW195">
        <v>0</v>
      </c>
      <c r="BX195">
        <v>0</v>
      </c>
      <c r="BY195">
        <v>0</v>
      </c>
      <c r="BZ195">
        <v>0</v>
      </c>
      <c r="CA195">
        <v>0</v>
      </c>
      <c r="CB195">
        <v>0</v>
      </c>
      <c r="CC195">
        <v>0</v>
      </c>
      <c r="CD195">
        <v>0</v>
      </c>
      <c r="CE195" t="s">
        <v>3108</v>
      </c>
      <c r="CF195" t="s">
        <v>3108</v>
      </c>
      <c r="CG195" t="s">
        <v>3108</v>
      </c>
      <c r="CH195" t="s">
        <v>3108</v>
      </c>
    </row>
    <row r="196" spans="1:86" x14ac:dyDescent="0.2">
      <c r="A196" t="s">
        <v>3631</v>
      </c>
      <c r="B196" t="s">
        <v>3631</v>
      </c>
      <c r="C196">
        <v>30457</v>
      </c>
      <c r="D196">
        <v>1226</v>
      </c>
      <c r="E196" t="s">
        <v>3632</v>
      </c>
      <c r="F196" t="s">
        <v>3249</v>
      </c>
      <c r="G196" t="s">
        <v>3249</v>
      </c>
      <c r="H196" t="s">
        <v>3250</v>
      </c>
      <c r="I196" t="s">
        <v>3250</v>
      </c>
      <c r="J196" t="s">
        <v>3250</v>
      </c>
      <c r="K196" t="s">
        <v>3250</v>
      </c>
      <c r="L196">
        <v>1200</v>
      </c>
      <c r="M196" t="s">
        <v>2368</v>
      </c>
      <c r="N196">
        <v>1204</v>
      </c>
      <c r="O196" t="s">
        <v>1574</v>
      </c>
      <c r="P196" t="s">
        <v>3108</v>
      </c>
      <c r="Q196" t="s">
        <v>3249</v>
      </c>
      <c r="R196" t="s">
        <v>3249</v>
      </c>
      <c r="S196" t="s">
        <v>472</v>
      </c>
      <c r="T196" t="s">
        <v>3251</v>
      </c>
      <c r="U196">
        <v>140</v>
      </c>
      <c r="V196" t="s">
        <v>1327</v>
      </c>
      <c r="W196">
        <v>140</v>
      </c>
      <c r="X196" t="s">
        <v>1327</v>
      </c>
      <c r="Y196" t="s">
        <v>3250</v>
      </c>
      <c r="Z196" t="s">
        <v>3250</v>
      </c>
      <c r="AA196" t="s">
        <v>3108</v>
      </c>
      <c r="AB196" t="s">
        <v>3108</v>
      </c>
      <c r="AC196" t="s">
        <v>3250</v>
      </c>
      <c r="AD196" t="s">
        <v>3250</v>
      </c>
      <c r="AE196" t="s">
        <v>3250</v>
      </c>
      <c r="AF196" t="s">
        <v>3250</v>
      </c>
      <c r="AG196" t="s">
        <v>3250</v>
      </c>
      <c r="AH196" t="s">
        <v>3250</v>
      </c>
      <c r="AI196" t="s">
        <v>3250</v>
      </c>
      <c r="AJ196" t="s">
        <v>3250</v>
      </c>
      <c r="AL196">
        <v>141</v>
      </c>
      <c r="AM196" t="s">
        <v>1327</v>
      </c>
      <c r="AN196">
        <v>141</v>
      </c>
      <c r="AO196" t="s">
        <v>1327</v>
      </c>
      <c r="AS196" t="s">
        <v>3250</v>
      </c>
      <c r="AT196" t="s">
        <v>3250</v>
      </c>
      <c r="AU196" t="s">
        <v>3250</v>
      </c>
      <c r="AV196" t="s">
        <v>3250</v>
      </c>
      <c r="AW196" t="s">
        <v>3250</v>
      </c>
      <c r="AX196" t="s">
        <v>3250</v>
      </c>
      <c r="AY196" t="s">
        <v>3250</v>
      </c>
      <c r="AZ196" t="s">
        <v>3250</v>
      </c>
      <c r="BA196" t="s">
        <v>3250</v>
      </c>
      <c r="BB196" t="s">
        <v>3250</v>
      </c>
      <c r="BC196" t="s">
        <v>3250</v>
      </c>
      <c r="BE196" t="s">
        <v>3250</v>
      </c>
      <c r="BF196" t="s">
        <v>3250</v>
      </c>
      <c r="BG196" t="s">
        <v>3250</v>
      </c>
      <c r="BH196" t="s">
        <v>3250</v>
      </c>
      <c r="BI196" t="s">
        <v>3250</v>
      </c>
      <c r="BK196" t="s">
        <v>3250</v>
      </c>
      <c r="BL196" t="s">
        <v>3250</v>
      </c>
      <c r="BM196" t="s">
        <v>3250</v>
      </c>
      <c r="BN196" t="s">
        <v>3250</v>
      </c>
      <c r="BP196">
        <v>1</v>
      </c>
      <c r="BQ196">
        <v>11</v>
      </c>
      <c r="BR196" t="s">
        <v>1574</v>
      </c>
      <c r="BS196" t="s">
        <v>3252</v>
      </c>
      <c r="BV196">
        <v>0</v>
      </c>
      <c r="BW196">
        <v>0</v>
      </c>
      <c r="BX196">
        <v>0</v>
      </c>
      <c r="BY196">
        <v>0</v>
      </c>
      <c r="BZ196">
        <v>0</v>
      </c>
      <c r="CA196">
        <v>0</v>
      </c>
      <c r="CB196">
        <v>0</v>
      </c>
      <c r="CC196">
        <v>0</v>
      </c>
      <c r="CD196">
        <v>0</v>
      </c>
      <c r="CE196" t="s">
        <v>3108</v>
      </c>
      <c r="CF196" t="s">
        <v>3108</v>
      </c>
      <c r="CG196" t="s">
        <v>3108</v>
      </c>
      <c r="CH196" t="s">
        <v>3108</v>
      </c>
    </row>
    <row r="197" spans="1:86" x14ac:dyDescent="0.2">
      <c r="A197" t="s">
        <v>3633</v>
      </c>
      <c r="B197" t="s">
        <v>3633</v>
      </c>
      <c r="C197">
        <v>30458</v>
      </c>
      <c r="D197">
        <v>1227</v>
      </c>
      <c r="E197" t="s">
        <v>3634</v>
      </c>
      <c r="F197" t="s">
        <v>3249</v>
      </c>
      <c r="G197" t="s">
        <v>3249</v>
      </c>
      <c r="H197" t="s">
        <v>3250</v>
      </c>
      <c r="I197" t="s">
        <v>3250</v>
      </c>
      <c r="J197" t="s">
        <v>3250</v>
      </c>
      <c r="K197" t="s">
        <v>3250</v>
      </c>
      <c r="L197">
        <v>1200</v>
      </c>
      <c r="M197" t="s">
        <v>2368</v>
      </c>
      <c r="N197">
        <v>1204</v>
      </c>
      <c r="O197" t="s">
        <v>1574</v>
      </c>
      <c r="P197" t="s">
        <v>3108</v>
      </c>
      <c r="Q197" t="s">
        <v>3249</v>
      </c>
      <c r="R197" t="s">
        <v>3249</v>
      </c>
      <c r="S197" t="s">
        <v>472</v>
      </c>
      <c r="T197" t="s">
        <v>3251</v>
      </c>
      <c r="U197">
        <v>140</v>
      </c>
      <c r="V197" t="s">
        <v>1327</v>
      </c>
      <c r="W197">
        <v>140</v>
      </c>
      <c r="X197" t="s">
        <v>1327</v>
      </c>
      <c r="Y197" t="s">
        <v>3250</v>
      </c>
      <c r="Z197" t="s">
        <v>3250</v>
      </c>
      <c r="AA197" t="s">
        <v>3108</v>
      </c>
      <c r="AB197" t="s">
        <v>3108</v>
      </c>
      <c r="AC197" t="s">
        <v>3250</v>
      </c>
      <c r="AD197" t="s">
        <v>3250</v>
      </c>
      <c r="AE197" t="s">
        <v>3250</v>
      </c>
      <c r="AF197" t="s">
        <v>3250</v>
      </c>
      <c r="AG197" t="s">
        <v>3250</v>
      </c>
      <c r="AH197" t="s">
        <v>3250</v>
      </c>
      <c r="AI197" t="s">
        <v>3250</v>
      </c>
      <c r="AJ197" t="s">
        <v>3250</v>
      </c>
      <c r="AL197">
        <v>147</v>
      </c>
      <c r="AM197" t="s">
        <v>6</v>
      </c>
      <c r="AN197">
        <v>147</v>
      </c>
      <c r="AO197" t="s">
        <v>6</v>
      </c>
      <c r="AS197" t="s">
        <v>3250</v>
      </c>
      <c r="AT197" t="s">
        <v>3250</v>
      </c>
      <c r="AU197" t="s">
        <v>3250</v>
      </c>
      <c r="AV197" t="s">
        <v>3250</v>
      </c>
      <c r="AW197" t="s">
        <v>3250</v>
      </c>
      <c r="AX197" t="s">
        <v>3250</v>
      </c>
      <c r="AY197" t="s">
        <v>3250</v>
      </c>
      <c r="AZ197" t="s">
        <v>3250</v>
      </c>
      <c r="BA197" t="s">
        <v>3250</v>
      </c>
      <c r="BB197" t="s">
        <v>3250</v>
      </c>
      <c r="BC197" t="s">
        <v>3250</v>
      </c>
      <c r="BE197" t="s">
        <v>3250</v>
      </c>
      <c r="BF197" t="s">
        <v>3250</v>
      </c>
      <c r="BG197" t="s">
        <v>3250</v>
      </c>
      <c r="BH197" t="s">
        <v>3250</v>
      </c>
      <c r="BI197" t="s">
        <v>3250</v>
      </c>
      <c r="BK197" t="s">
        <v>3250</v>
      </c>
      <c r="BL197" t="s">
        <v>3250</v>
      </c>
      <c r="BM197" t="s">
        <v>3250</v>
      </c>
      <c r="BN197" t="s">
        <v>3250</v>
      </c>
      <c r="BP197">
        <v>1</v>
      </c>
      <c r="BQ197">
        <v>11</v>
      </c>
      <c r="BR197" t="s">
        <v>1574</v>
      </c>
      <c r="BS197" t="s">
        <v>3252</v>
      </c>
      <c r="BV197">
        <v>0</v>
      </c>
      <c r="BW197">
        <v>0</v>
      </c>
      <c r="BX197">
        <v>0</v>
      </c>
      <c r="BY197">
        <v>0</v>
      </c>
      <c r="BZ197">
        <v>0</v>
      </c>
      <c r="CA197">
        <v>0</v>
      </c>
      <c r="CB197">
        <v>0</v>
      </c>
      <c r="CC197">
        <v>0</v>
      </c>
      <c r="CD197">
        <v>0</v>
      </c>
      <c r="CE197" t="s">
        <v>3108</v>
      </c>
      <c r="CF197" t="s">
        <v>3108</v>
      </c>
      <c r="CG197" t="s">
        <v>3108</v>
      </c>
      <c r="CH197" t="s">
        <v>3108</v>
      </c>
    </row>
    <row r="198" spans="1:86" x14ac:dyDescent="0.2">
      <c r="A198" t="s">
        <v>3635</v>
      </c>
      <c r="B198" t="s">
        <v>3635</v>
      </c>
      <c r="C198">
        <v>30459</v>
      </c>
      <c r="E198" t="s">
        <v>3636</v>
      </c>
      <c r="F198" t="s">
        <v>3249</v>
      </c>
      <c r="G198" t="s">
        <v>3249</v>
      </c>
      <c r="H198" t="s">
        <v>3250</v>
      </c>
      <c r="I198" t="s">
        <v>3250</v>
      </c>
      <c r="J198" t="s">
        <v>3250</v>
      </c>
      <c r="K198" t="s">
        <v>3250</v>
      </c>
      <c r="L198">
        <v>1200</v>
      </c>
      <c r="M198" t="s">
        <v>2368</v>
      </c>
      <c r="N198">
        <v>1204</v>
      </c>
      <c r="O198" t="s">
        <v>1574</v>
      </c>
      <c r="P198" t="s">
        <v>3108</v>
      </c>
      <c r="Q198" t="s">
        <v>3249</v>
      </c>
      <c r="R198" t="s">
        <v>3249</v>
      </c>
      <c r="S198" t="s">
        <v>472</v>
      </c>
      <c r="T198" t="s">
        <v>3251</v>
      </c>
      <c r="U198">
        <v>140</v>
      </c>
      <c r="V198" t="s">
        <v>1327</v>
      </c>
      <c r="W198">
        <v>140</v>
      </c>
      <c r="X198" t="s">
        <v>1327</v>
      </c>
      <c r="Y198" t="s">
        <v>3250</v>
      </c>
      <c r="Z198" t="s">
        <v>3250</v>
      </c>
      <c r="AA198" t="s">
        <v>3108</v>
      </c>
      <c r="AB198" t="s">
        <v>3108</v>
      </c>
      <c r="AC198" t="s">
        <v>3250</v>
      </c>
      <c r="AD198" t="s">
        <v>3250</v>
      </c>
      <c r="AE198" t="s">
        <v>3250</v>
      </c>
      <c r="AF198" t="s">
        <v>3250</v>
      </c>
      <c r="AG198" t="s">
        <v>3250</v>
      </c>
      <c r="AH198" t="s">
        <v>3250</v>
      </c>
      <c r="AI198" t="s">
        <v>3250</v>
      </c>
      <c r="AJ198" t="s">
        <v>3250</v>
      </c>
      <c r="AL198">
        <v>141</v>
      </c>
      <c r="AM198" t="s">
        <v>1327</v>
      </c>
      <c r="AN198">
        <v>141</v>
      </c>
      <c r="AO198" t="s">
        <v>1327</v>
      </c>
      <c r="AS198" t="s">
        <v>3250</v>
      </c>
      <c r="AT198" t="s">
        <v>3250</v>
      </c>
      <c r="AU198" t="s">
        <v>3250</v>
      </c>
      <c r="AV198" t="s">
        <v>3250</v>
      </c>
      <c r="AW198" t="s">
        <v>3250</v>
      </c>
      <c r="AX198" t="s">
        <v>3250</v>
      </c>
      <c r="AY198" t="s">
        <v>3250</v>
      </c>
      <c r="AZ198" t="s">
        <v>3250</v>
      </c>
      <c r="BA198" t="s">
        <v>3250</v>
      </c>
      <c r="BB198" t="s">
        <v>3250</v>
      </c>
      <c r="BC198" t="s">
        <v>3250</v>
      </c>
      <c r="BE198" t="s">
        <v>3250</v>
      </c>
      <c r="BF198" t="s">
        <v>3250</v>
      </c>
      <c r="BG198" t="s">
        <v>3250</v>
      </c>
      <c r="BH198" t="s">
        <v>3250</v>
      </c>
      <c r="BI198" t="s">
        <v>3250</v>
      </c>
      <c r="BK198" t="s">
        <v>3250</v>
      </c>
      <c r="BL198" t="s">
        <v>3250</v>
      </c>
      <c r="BM198" t="s">
        <v>3250</v>
      </c>
      <c r="BN198" t="s">
        <v>3250</v>
      </c>
      <c r="BP198">
        <v>1</v>
      </c>
      <c r="BQ198">
        <v>11</v>
      </c>
      <c r="BR198" t="s">
        <v>1574</v>
      </c>
      <c r="BS198" t="s">
        <v>3252</v>
      </c>
      <c r="BV198">
        <v>0</v>
      </c>
      <c r="BW198">
        <v>0</v>
      </c>
      <c r="BX198">
        <v>0</v>
      </c>
      <c r="BY198">
        <v>0</v>
      </c>
      <c r="BZ198">
        <v>0</v>
      </c>
      <c r="CA198">
        <v>0</v>
      </c>
      <c r="CB198">
        <v>0</v>
      </c>
      <c r="CC198">
        <v>0</v>
      </c>
      <c r="CD198">
        <v>0</v>
      </c>
      <c r="CE198" t="s">
        <v>3108</v>
      </c>
      <c r="CF198" t="s">
        <v>3108</v>
      </c>
      <c r="CG198" t="s">
        <v>3108</v>
      </c>
      <c r="CH198" t="s">
        <v>3108</v>
      </c>
    </row>
    <row r="199" spans="1:86" x14ac:dyDescent="0.2">
      <c r="A199" t="s">
        <v>3637</v>
      </c>
      <c r="B199" t="s">
        <v>3637</v>
      </c>
      <c r="C199">
        <v>30460</v>
      </c>
      <c r="E199" t="s">
        <v>3638</v>
      </c>
      <c r="F199" t="s">
        <v>3249</v>
      </c>
      <c r="G199" t="s">
        <v>3249</v>
      </c>
      <c r="H199" t="s">
        <v>3250</v>
      </c>
      <c r="I199" t="s">
        <v>3250</v>
      </c>
      <c r="J199" t="s">
        <v>3250</v>
      </c>
      <c r="K199" t="s">
        <v>3250</v>
      </c>
      <c r="L199">
        <v>1200</v>
      </c>
      <c r="M199" t="s">
        <v>2368</v>
      </c>
      <c r="N199">
        <v>1204</v>
      </c>
      <c r="O199" t="s">
        <v>1574</v>
      </c>
      <c r="P199" t="s">
        <v>3108</v>
      </c>
      <c r="Q199" t="s">
        <v>3249</v>
      </c>
      <c r="R199" t="s">
        <v>3249</v>
      </c>
      <c r="S199" t="s">
        <v>472</v>
      </c>
      <c r="T199" t="s">
        <v>3251</v>
      </c>
      <c r="U199">
        <v>140</v>
      </c>
      <c r="V199" t="s">
        <v>1327</v>
      </c>
      <c r="W199">
        <v>140</v>
      </c>
      <c r="X199" t="s">
        <v>1327</v>
      </c>
      <c r="Y199" t="s">
        <v>3250</v>
      </c>
      <c r="Z199" t="s">
        <v>3250</v>
      </c>
      <c r="AA199" t="s">
        <v>3108</v>
      </c>
      <c r="AB199" t="s">
        <v>3108</v>
      </c>
      <c r="AC199" t="s">
        <v>3250</v>
      </c>
      <c r="AD199" t="s">
        <v>3250</v>
      </c>
      <c r="AE199" t="s">
        <v>3250</v>
      </c>
      <c r="AF199" t="s">
        <v>3250</v>
      </c>
      <c r="AG199" t="s">
        <v>3250</v>
      </c>
      <c r="AH199" t="s">
        <v>3250</v>
      </c>
      <c r="AI199" t="s">
        <v>3250</v>
      </c>
      <c r="AJ199" t="s">
        <v>3250</v>
      </c>
      <c r="AL199">
        <v>141</v>
      </c>
      <c r="AM199" t="s">
        <v>1327</v>
      </c>
      <c r="AN199">
        <v>141</v>
      </c>
      <c r="AO199" t="s">
        <v>1327</v>
      </c>
      <c r="AS199" t="s">
        <v>3250</v>
      </c>
      <c r="AT199" t="s">
        <v>3250</v>
      </c>
      <c r="AU199" t="s">
        <v>3250</v>
      </c>
      <c r="AV199" t="s">
        <v>3250</v>
      </c>
      <c r="AW199" t="s">
        <v>3250</v>
      </c>
      <c r="AX199" t="s">
        <v>3250</v>
      </c>
      <c r="AY199" t="s">
        <v>3250</v>
      </c>
      <c r="AZ199" t="s">
        <v>3250</v>
      </c>
      <c r="BA199" t="s">
        <v>3250</v>
      </c>
      <c r="BB199" t="s">
        <v>3250</v>
      </c>
      <c r="BC199" t="s">
        <v>3250</v>
      </c>
      <c r="BE199" t="s">
        <v>3250</v>
      </c>
      <c r="BF199" t="s">
        <v>3250</v>
      </c>
      <c r="BG199" t="s">
        <v>3250</v>
      </c>
      <c r="BH199" t="s">
        <v>3250</v>
      </c>
      <c r="BI199" t="s">
        <v>3250</v>
      </c>
      <c r="BK199" t="s">
        <v>3250</v>
      </c>
      <c r="BL199" t="s">
        <v>3250</v>
      </c>
      <c r="BM199" t="s">
        <v>3250</v>
      </c>
      <c r="BN199" t="s">
        <v>3250</v>
      </c>
      <c r="BP199">
        <v>1</v>
      </c>
      <c r="BQ199">
        <v>11</v>
      </c>
      <c r="BR199" t="s">
        <v>1574</v>
      </c>
      <c r="BS199" t="s">
        <v>3252</v>
      </c>
      <c r="BV199">
        <v>0</v>
      </c>
      <c r="BW199">
        <v>0</v>
      </c>
      <c r="BX199">
        <v>0</v>
      </c>
      <c r="BY199">
        <v>0</v>
      </c>
      <c r="BZ199">
        <v>0</v>
      </c>
      <c r="CA199">
        <v>0</v>
      </c>
      <c r="CB199">
        <v>0</v>
      </c>
      <c r="CC199">
        <v>0</v>
      </c>
      <c r="CD199">
        <v>0</v>
      </c>
      <c r="CE199" t="s">
        <v>3108</v>
      </c>
      <c r="CF199" t="s">
        <v>3108</v>
      </c>
      <c r="CG199" t="s">
        <v>3108</v>
      </c>
      <c r="CH199" t="s">
        <v>3108</v>
      </c>
    </row>
    <row r="200" spans="1:86" x14ac:dyDescent="0.2">
      <c r="A200" t="s">
        <v>3639</v>
      </c>
      <c r="B200" t="s">
        <v>3639</v>
      </c>
      <c r="C200">
        <v>30461</v>
      </c>
      <c r="E200" t="s">
        <v>3640</v>
      </c>
      <c r="F200" t="s">
        <v>3249</v>
      </c>
      <c r="G200" t="s">
        <v>3249</v>
      </c>
      <c r="H200" t="s">
        <v>3250</v>
      </c>
      <c r="I200" t="s">
        <v>3250</v>
      </c>
      <c r="J200" t="s">
        <v>3250</v>
      </c>
      <c r="K200" t="s">
        <v>3250</v>
      </c>
      <c r="L200">
        <v>1200</v>
      </c>
      <c r="M200" t="s">
        <v>2368</v>
      </c>
      <c r="N200">
        <v>1204</v>
      </c>
      <c r="O200" t="s">
        <v>1574</v>
      </c>
      <c r="P200" t="s">
        <v>3108</v>
      </c>
      <c r="Q200" t="s">
        <v>3249</v>
      </c>
      <c r="R200" t="s">
        <v>3249</v>
      </c>
      <c r="S200" t="s">
        <v>472</v>
      </c>
      <c r="T200" t="s">
        <v>3251</v>
      </c>
      <c r="U200">
        <v>140</v>
      </c>
      <c r="V200" t="s">
        <v>1327</v>
      </c>
      <c r="W200">
        <v>140</v>
      </c>
      <c r="X200" t="s">
        <v>1327</v>
      </c>
      <c r="Y200" t="s">
        <v>3250</v>
      </c>
      <c r="Z200" t="s">
        <v>3250</v>
      </c>
      <c r="AA200" t="s">
        <v>3108</v>
      </c>
      <c r="AB200" t="s">
        <v>3108</v>
      </c>
      <c r="AC200" t="s">
        <v>3250</v>
      </c>
      <c r="AD200" t="s">
        <v>3250</v>
      </c>
      <c r="AE200" t="s">
        <v>3250</v>
      </c>
      <c r="AF200" t="s">
        <v>3250</v>
      </c>
      <c r="AG200" t="s">
        <v>3250</v>
      </c>
      <c r="AH200" t="s">
        <v>3250</v>
      </c>
      <c r="AI200" t="s">
        <v>3250</v>
      </c>
      <c r="AJ200" t="s">
        <v>3250</v>
      </c>
      <c r="AL200">
        <v>141</v>
      </c>
      <c r="AM200" t="s">
        <v>1327</v>
      </c>
      <c r="AN200">
        <v>141</v>
      </c>
      <c r="AO200" t="s">
        <v>1327</v>
      </c>
      <c r="AS200" t="s">
        <v>3250</v>
      </c>
      <c r="AT200" t="s">
        <v>3250</v>
      </c>
      <c r="AU200" t="s">
        <v>3250</v>
      </c>
      <c r="AV200" t="s">
        <v>3250</v>
      </c>
      <c r="AW200" t="s">
        <v>3250</v>
      </c>
      <c r="AX200" t="s">
        <v>3250</v>
      </c>
      <c r="AY200" t="s">
        <v>3250</v>
      </c>
      <c r="AZ200" t="s">
        <v>3250</v>
      </c>
      <c r="BA200" t="s">
        <v>3250</v>
      </c>
      <c r="BB200" t="s">
        <v>3250</v>
      </c>
      <c r="BC200" t="s">
        <v>3250</v>
      </c>
      <c r="BE200" t="s">
        <v>3250</v>
      </c>
      <c r="BF200" t="s">
        <v>3250</v>
      </c>
      <c r="BG200" t="s">
        <v>3250</v>
      </c>
      <c r="BH200" t="s">
        <v>3250</v>
      </c>
      <c r="BI200" t="s">
        <v>3250</v>
      </c>
      <c r="BK200" t="s">
        <v>3250</v>
      </c>
      <c r="BL200" t="s">
        <v>3250</v>
      </c>
      <c r="BM200" t="s">
        <v>3250</v>
      </c>
      <c r="BN200" t="s">
        <v>3250</v>
      </c>
      <c r="BP200">
        <v>1</v>
      </c>
      <c r="BQ200">
        <v>11</v>
      </c>
      <c r="BR200" t="s">
        <v>1574</v>
      </c>
      <c r="BS200" t="s">
        <v>3252</v>
      </c>
      <c r="BV200">
        <v>0</v>
      </c>
      <c r="BW200">
        <v>0</v>
      </c>
      <c r="BX200">
        <v>0</v>
      </c>
      <c r="BY200">
        <v>0</v>
      </c>
      <c r="BZ200">
        <v>0</v>
      </c>
      <c r="CA200">
        <v>0</v>
      </c>
      <c r="CB200">
        <v>0</v>
      </c>
      <c r="CC200">
        <v>0</v>
      </c>
      <c r="CD200">
        <v>0</v>
      </c>
      <c r="CE200" t="s">
        <v>3108</v>
      </c>
      <c r="CF200" t="s">
        <v>3108</v>
      </c>
      <c r="CG200" t="s">
        <v>3108</v>
      </c>
      <c r="CH200" t="s">
        <v>3108</v>
      </c>
    </row>
    <row r="201" spans="1:86" x14ac:dyDescent="0.2">
      <c r="A201" t="s">
        <v>3641</v>
      </c>
      <c r="B201" t="s">
        <v>3641</v>
      </c>
      <c r="C201">
        <v>30462</v>
      </c>
      <c r="E201" t="s">
        <v>3642</v>
      </c>
      <c r="F201" t="s">
        <v>3249</v>
      </c>
      <c r="G201" t="s">
        <v>3249</v>
      </c>
      <c r="H201" t="s">
        <v>3250</v>
      </c>
      <c r="I201" t="s">
        <v>3250</v>
      </c>
      <c r="J201" t="s">
        <v>3250</v>
      </c>
      <c r="K201" t="s">
        <v>3250</v>
      </c>
      <c r="L201">
        <v>1200</v>
      </c>
      <c r="M201" t="s">
        <v>2368</v>
      </c>
      <c r="N201">
        <v>1204</v>
      </c>
      <c r="O201" t="s">
        <v>1574</v>
      </c>
      <c r="P201" t="s">
        <v>3108</v>
      </c>
      <c r="Q201" t="s">
        <v>3249</v>
      </c>
      <c r="R201" t="s">
        <v>3249</v>
      </c>
      <c r="S201" t="s">
        <v>472</v>
      </c>
      <c r="T201" t="s">
        <v>3251</v>
      </c>
      <c r="U201">
        <v>140</v>
      </c>
      <c r="V201" t="s">
        <v>1327</v>
      </c>
      <c r="W201">
        <v>140</v>
      </c>
      <c r="X201" t="s">
        <v>1327</v>
      </c>
      <c r="Y201" t="s">
        <v>3250</v>
      </c>
      <c r="Z201" t="s">
        <v>3250</v>
      </c>
      <c r="AA201" t="s">
        <v>3108</v>
      </c>
      <c r="AB201" t="s">
        <v>3108</v>
      </c>
      <c r="AC201" t="s">
        <v>3250</v>
      </c>
      <c r="AD201" t="s">
        <v>3250</v>
      </c>
      <c r="AE201" t="s">
        <v>3250</v>
      </c>
      <c r="AF201" t="s">
        <v>3250</v>
      </c>
      <c r="AG201" t="s">
        <v>3250</v>
      </c>
      <c r="AH201" t="s">
        <v>3250</v>
      </c>
      <c r="AI201" t="s">
        <v>3250</v>
      </c>
      <c r="AJ201" t="s">
        <v>3250</v>
      </c>
      <c r="AL201">
        <v>146</v>
      </c>
      <c r="AM201" t="s">
        <v>5</v>
      </c>
      <c r="AN201">
        <v>146</v>
      </c>
      <c r="AO201" t="s">
        <v>5</v>
      </c>
      <c r="AS201" t="s">
        <v>3250</v>
      </c>
      <c r="AT201" t="s">
        <v>3250</v>
      </c>
      <c r="AU201" t="s">
        <v>3250</v>
      </c>
      <c r="AV201" t="s">
        <v>3250</v>
      </c>
      <c r="AW201" t="s">
        <v>3250</v>
      </c>
      <c r="AX201" t="s">
        <v>3250</v>
      </c>
      <c r="AY201" t="s">
        <v>3250</v>
      </c>
      <c r="AZ201" t="s">
        <v>3250</v>
      </c>
      <c r="BA201" t="s">
        <v>3250</v>
      </c>
      <c r="BB201" t="s">
        <v>3250</v>
      </c>
      <c r="BC201" t="s">
        <v>3250</v>
      </c>
      <c r="BE201" t="s">
        <v>3250</v>
      </c>
      <c r="BF201" t="s">
        <v>3250</v>
      </c>
      <c r="BG201" t="s">
        <v>3250</v>
      </c>
      <c r="BH201" t="s">
        <v>3250</v>
      </c>
      <c r="BI201" t="s">
        <v>3250</v>
      </c>
      <c r="BK201" t="s">
        <v>3250</v>
      </c>
      <c r="BL201" t="s">
        <v>3250</v>
      </c>
      <c r="BM201" t="s">
        <v>3250</v>
      </c>
      <c r="BN201" t="s">
        <v>3250</v>
      </c>
      <c r="BP201">
        <v>1</v>
      </c>
      <c r="BQ201">
        <v>11</v>
      </c>
      <c r="BR201" t="s">
        <v>1574</v>
      </c>
      <c r="BS201" t="s">
        <v>3252</v>
      </c>
      <c r="BV201">
        <v>0</v>
      </c>
      <c r="BW201">
        <v>0</v>
      </c>
      <c r="BX201">
        <v>0</v>
      </c>
      <c r="BY201">
        <v>0</v>
      </c>
      <c r="BZ201">
        <v>0</v>
      </c>
      <c r="CA201">
        <v>0</v>
      </c>
      <c r="CB201">
        <v>0</v>
      </c>
      <c r="CC201">
        <v>0</v>
      </c>
      <c r="CD201">
        <v>0</v>
      </c>
      <c r="CE201" t="s">
        <v>3108</v>
      </c>
      <c r="CF201" t="s">
        <v>3108</v>
      </c>
      <c r="CG201" t="s">
        <v>3108</v>
      </c>
      <c r="CH201" t="s">
        <v>3108</v>
      </c>
    </row>
    <row r="202" spans="1:86" x14ac:dyDescent="0.2">
      <c r="A202" t="s">
        <v>3643</v>
      </c>
      <c r="B202" t="s">
        <v>3643</v>
      </c>
      <c r="C202">
        <v>30463</v>
      </c>
      <c r="D202">
        <v>1232</v>
      </c>
      <c r="E202" t="s">
        <v>3644</v>
      </c>
      <c r="F202" t="s">
        <v>3249</v>
      </c>
      <c r="G202" t="s">
        <v>3249</v>
      </c>
      <c r="H202" t="s">
        <v>3250</v>
      </c>
      <c r="I202" t="s">
        <v>3250</v>
      </c>
      <c r="J202" t="s">
        <v>3250</v>
      </c>
      <c r="K202" t="s">
        <v>3250</v>
      </c>
      <c r="L202">
        <v>1200</v>
      </c>
      <c r="M202" t="s">
        <v>2368</v>
      </c>
      <c r="N202">
        <v>1204</v>
      </c>
      <c r="O202" t="s">
        <v>1574</v>
      </c>
      <c r="P202" t="s">
        <v>3108</v>
      </c>
      <c r="Q202" t="s">
        <v>3249</v>
      </c>
      <c r="R202" t="s">
        <v>3249</v>
      </c>
      <c r="S202" t="s">
        <v>472</v>
      </c>
      <c r="T202" t="s">
        <v>3251</v>
      </c>
      <c r="U202">
        <v>140</v>
      </c>
      <c r="V202" t="s">
        <v>1327</v>
      </c>
      <c r="W202">
        <v>140</v>
      </c>
      <c r="X202" t="s">
        <v>1327</v>
      </c>
      <c r="Y202" t="s">
        <v>3250</v>
      </c>
      <c r="Z202" t="s">
        <v>3250</v>
      </c>
      <c r="AA202" t="s">
        <v>3108</v>
      </c>
      <c r="AB202" t="s">
        <v>3108</v>
      </c>
      <c r="AC202" t="s">
        <v>3250</v>
      </c>
      <c r="AD202" t="s">
        <v>3250</v>
      </c>
      <c r="AE202" t="s">
        <v>3250</v>
      </c>
      <c r="AF202" t="s">
        <v>3250</v>
      </c>
      <c r="AG202" t="s">
        <v>3250</v>
      </c>
      <c r="AH202" t="s">
        <v>3250</v>
      </c>
      <c r="AI202" t="s">
        <v>3250</v>
      </c>
      <c r="AJ202" t="s">
        <v>3250</v>
      </c>
      <c r="AL202">
        <v>146</v>
      </c>
      <c r="AM202" t="s">
        <v>5</v>
      </c>
      <c r="AN202">
        <v>146</v>
      </c>
      <c r="AO202" t="s">
        <v>5</v>
      </c>
      <c r="AS202" t="s">
        <v>3250</v>
      </c>
      <c r="AT202" t="s">
        <v>3250</v>
      </c>
      <c r="AU202" t="s">
        <v>3250</v>
      </c>
      <c r="AV202" t="s">
        <v>3250</v>
      </c>
      <c r="AW202" t="s">
        <v>3250</v>
      </c>
      <c r="AX202" t="s">
        <v>3250</v>
      </c>
      <c r="AY202" t="s">
        <v>3250</v>
      </c>
      <c r="AZ202" t="s">
        <v>3250</v>
      </c>
      <c r="BA202" t="s">
        <v>3250</v>
      </c>
      <c r="BB202" t="s">
        <v>3250</v>
      </c>
      <c r="BC202" t="s">
        <v>3250</v>
      </c>
      <c r="BE202" t="s">
        <v>3250</v>
      </c>
      <c r="BF202" t="s">
        <v>3250</v>
      </c>
      <c r="BG202" t="s">
        <v>3250</v>
      </c>
      <c r="BH202" t="s">
        <v>3250</v>
      </c>
      <c r="BI202" t="s">
        <v>3250</v>
      </c>
      <c r="BK202" t="s">
        <v>3250</v>
      </c>
      <c r="BL202" t="s">
        <v>3250</v>
      </c>
      <c r="BM202" t="s">
        <v>3250</v>
      </c>
      <c r="BN202" t="s">
        <v>3250</v>
      </c>
      <c r="BP202">
        <v>1</v>
      </c>
      <c r="BQ202">
        <v>11</v>
      </c>
      <c r="BR202" t="s">
        <v>1574</v>
      </c>
      <c r="BS202" t="s">
        <v>3252</v>
      </c>
      <c r="BV202">
        <v>0</v>
      </c>
      <c r="BW202">
        <v>0</v>
      </c>
      <c r="BX202">
        <v>0</v>
      </c>
      <c r="BY202">
        <v>0</v>
      </c>
      <c r="BZ202">
        <v>0</v>
      </c>
      <c r="CA202">
        <v>0</v>
      </c>
      <c r="CB202">
        <v>0</v>
      </c>
      <c r="CC202">
        <v>0</v>
      </c>
      <c r="CD202">
        <v>0</v>
      </c>
      <c r="CE202" t="s">
        <v>3108</v>
      </c>
      <c r="CF202" t="s">
        <v>3108</v>
      </c>
      <c r="CG202" t="s">
        <v>3108</v>
      </c>
      <c r="CH202" t="s">
        <v>3108</v>
      </c>
    </row>
    <row r="203" spans="1:86" x14ac:dyDescent="0.2">
      <c r="A203" t="s">
        <v>3645</v>
      </c>
      <c r="B203" t="s">
        <v>3645</v>
      </c>
      <c r="C203">
        <v>30464</v>
      </c>
      <c r="D203">
        <v>1233</v>
      </c>
      <c r="E203" t="s">
        <v>3646</v>
      </c>
      <c r="F203" t="s">
        <v>3249</v>
      </c>
      <c r="G203" t="s">
        <v>3249</v>
      </c>
      <c r="H203" t="s">
        <v>3250</v>
      </c>
      <c r="I203" t="s">
        <v>3250</v>
      </c>
      <c r="J203" t="s">
        <v>3250</v>
      </c>
      <c r="K203" t="s">
        <v>3250</v>
      </c>
      <c r="L203">
        <v>1200</v>
      </c>
      <c r="M203" t="s">
        <v>2368</v>
      </c>
      <c r="N203">
        <v>1204</v>
      </c>
      <c r="O203" t="s">
        <v>1574</v>
      </c>
      <c r="P203" t="s">
        <v>3108</v>
      </c>
      <c r="Q203" t="s">
        <v>3249</v>
      </c>
      <c r="R203" t="s">
        <v>3249</v>
      </c>
      <c r="S203" t="s">
        <v>472</v>
      </c>
      <c r="T203" t="s">
        <v>3251</v>
      </c>
      <c r="U203">
        <v>140</v>
      </c>
      <c r="V203" t="s">
        <v>1327</v>
      </c>
      <c r="W203">
        <v>140</v>
      </c>
      <c r="X203" t="s">
        <v>1327</v>
      </c>
      <c r="Y203" t="s">
        <v>3250</v>
      </c>
      <c r="Z203" t="s">
        <v>3250</v>
      </c>
      <c r="AA203" t="s">
        <v>3108</v>
      </c>
      <c r="AB203" t="s">
        <v>3108</v>
      </c>
      <c r="AC203" t="s">
        <v>3250</v>
      </c>
      <c r="AD203" t="s">
        <v>3250</v>
      </c>
      <c r="AE203" t="s">
        <v>3250</v>
      </c>
      <c r="AF203" t="s">
        <v>3250</v>
      </c>
      <c r="AG203" t="s">
        <v>3250</v>
      </c>
      <c r="AH203" t="s">
        <v>3250</v>
      </c>
      <c r="AI203" t="s">
        <v>3250</v>
      </c>
      <c r="AJ203" t="s">
        <v>3250</v>
      </c>
      <c r="AL203">
        <v>141</v>
      </c>
      <c r="AM203" t="s">
        <v>1327</v>
      </c>
      <c r="AN203">
        <v>141</v>
      </c>
      <c r="AO203" t="s">
        <v>1327</v>
      </c>
      <c r="AS203" t="s">
        <v>3250</v>
      </c>
      <c r="AT203" t="s">
        <v>3250</v>
      </c>
      <c r="AU203" t="s">
        <v>3250</v>
      </c>
      <c r="AV203" t="s">
        <v>3250</v>
      </c>
      <c r="AW203" t="s">
        <v>3250</v>
      </c>
      <c r="AX203" t="s">
        <v>3250</v>
      </c>
      <c r="AY203" t="s">
        <v>3250</v>
      </c>
      <c r="AZ203" t="s">
        <v>3250</v>
      </c>
      <c r="BA203" t="s">
        <v>3250</v>
      </c>
      <c r="BB203" t="s">
        <v>3250</v>
      </c>
      <c r="BC203" t="s">
        <v>3250</v>
      </c>
      <c r="BE203" t="s">
        <v>3250</v>
      </c>
      <c r="BF203" t="s">
        <v>3250</v>
      </c>
      <c r="BG203" t="s">
        <v>3250</v>
      </c>
      <c r="BH203" t="s">
        <v>3250</v>
      </c>
      <c r="BI203" t="s">
        <v>3250</v>
      </c>
      <c r="BK203" t="s">
        <v>3250</v>
      </c>
      <c r="BL203" t="s">
        <v>3250</v>
      </c>
      <c r="BM203" t="s">
        <v>3250</v>
      </c>
      <c r="BN203" t="s">
        <v>3250</v>
      </c>
      <c r="BP203">
        <v>1</v>
      </c>
      <c r="BQ203">
        <v>11</v>
      </c>
      <c r="BR203" t="s">
        <v>1574</v>
      </c>
      <c r="BS203" t="s">
        <v>3252</v>
      </c>
      <c r="BV203">
        <v>0</v>
      </c>
      <c r="BW203">
        <v>0</v>
      </c>
      <c r="BX203">
        <v>0</v>
      </c>
      <c r="BY203">
        <v>0</v>
      </c>
      <c r="BZ203">
        <v>0</v>
      </c>
      <c r="CA203">
        <v>0</v>
      </c>
      <c r="CB203">
        <v>0</v>
      </c>
      <c r="CC203">
        <v>0</v>
      </c>
      <c r="CD203">
        <v>0</v>
      </c>
      <c r="CE203" t="s">
        <v>3108</v>
      </c>
      <c r="CF203" t="s">
        <v>3108</v>
      </c>
      <c r="CG203" t="s">
        <v>3108</v>
      </c>
      <c r="CH203" t="s">
        <v>3108</v>
      </c>
    </row>
    <row r="204" spans="1:86" x14ac:dyDescent="0.2">
      <c r="A204" t="s">
        <v>3647</v>
      </c>
      <c r="B204" t="s">
        <v>3647</v>
      </c>
      <c r="C204">
        <v>30465</v>
      </c>
      <c r="D204">
        <v>1234</v>
      </c>
      <c r="E204" t="s">
        <v>3648</v>
      </c>
      <c r="F204" t="s">
        <v>3249</v>
      </c>
      <c r="G204" t="s">
        <v>3249</v>
      </c>
      <c r="H204" t="s">
        <v>3250</v>
      </c>
      <c r="I204" t="s">
        <v>3250</v>
      </c>
      <c r="J204" t="s">
        <v>3250</v>
      </c>
      <c r="K204" t="s">
        <v>3250</v>
      </c>
      <c r="L204">
        <v>1200</v>
      </c>
      <c r="M204" t="s">
        <v>2368</v>
      </c>
      <c r="N204">
        <v>1204</v>
      </c>
      <c r="O204" t="s">
        <v>1574</v>
      </c>
      <c r="P204" t="s">
        <v>3108</v>
      </c>
      <c r="Q204" t="s">
        <v>3249</v>
      </c>
      <c r="R204" t="s">
        <v>3249</v>
      </c>
      <c r="S204" t="s">
        <v>472</v>
      </c>
      <c r="T204" t="s">
        <v>3251</v>
      </c>
      <c r="U204">
        <v>140</v>
      </c>
      <c r="V204" t="s">
        <v>1327</v>
      </c>
      <c r="W204">
        <v>140</v>
      </c>
      <c r="X204" t="s">
        <v>1327</v>
      </c>
      <c r="Y204" t="s">
        <v>3250</v>
      </c>
      <c r="Z204" t="s">
        <v>3250</v>
      </c>
      <c r="AA204" t="s">
        <v>3108</v>
      </c>
      <c r="AB204" t="s">
        <v>3108</v>
      </c>
      <c r="AC204" t="s">
        <v>3250</v>
      </c>
      <c r="AD204" t="s">
        <v>3250</v>
      </c>
      <c r="AE204" t="s">
        <v>3250</v>
      </c>
      <c r="AF204" t="s">
        <v>3250</v>
      </c>
      <c r="AG204" t="s">
        <v>3250</v>
      </c>
      <c r="AH204" t="s">
        <v>3250</v>
      </c>
      <c r="AI204" t="s">
        <v>3250</v>
      </c>
      <c r="AJ204" t="s">
        <v>3250</v>
      </c>
      <c r="AL204">
        <v>141</v>
      </c>
      <c r="AM204" t="s">
        <v>1327</v>
      </c>
      <c r="AN204">
        <v>141</v>
      </c>
      <c r="AO204" t="s">
        <v>1327</v>
      </c>
      <c r="AS204" t="s">
        <v>3250</v>
      </c>
      <c r="AT204" t="s">
        <v>3250</v>
      </c>
      <c r="AU204" t="s">
        <v>3250</v>
      </c>
      <c r="AV204" t="s">
        <v>3250</v>
      </c>
      <c r="AW204" t="s">
        <v>3250</v>
      </c>
      <c r="AX204" t="s">
        <v>3250</v>
      </c>
      <c r="AY204" t="s">
        <v>3250</v>
      </c>
      <c r="AZ204" t="s">
        <v>3250</v>
      </c>
      <c r="BA204" t="s">
        <v>3250</v>
      </c>
      <c r="BB204" t="s">
        <v>3250</v>
      </c>
      <c r="BC204" t="s">
        <v>3250</v>
      </c>
      <c r="BE204" t="s">
        <v>3250</v>
      </c>
      <c r="BF204" t="s">
        <v>3250</v>
      </c>
      <c r="BG204" t="s">
        <v>3250</v>
      </c>
      <c r="BH204" t="s">
        <v>3250</v>
      </c>
      <c r="BI204" t="s">
        <v>3250</v>
      </c>
      <c r="BK204" t="s">
        <v>3250</v>
      </c>
      <c r="BL204" t="s">
        <v>3250</v>
      </c>
      <c r="BM204" t="s">
        <v>3250</v>
      </c>
      <c r="BN204" t="s">
        <v>3250</v>
      </c>
      <c r="BP204">
        <v>1</v>
      </c>
      <c r="BQ204">
        <v>11</v>
      </c>
      <c r="BR204" t="s">
        <v>1574</v>
      </c>
      <c r="BS204" t="s">
        <v>3252</v>
      </c>
      <c r="BV204">
        <v>0</v>
      </c>
      <c r="BW204">
        <v>0</v>
      </c>
      <c r="BX204">
        <v>0</v>
      </c>
      <c r="BY204">
        <v>0</v>
      </c>
      <c r="BZ204">
        <v>0</v>
      </c>
      <c r="CA204">
        <v>0</v>
      </c>
      <c r="CB204">
        <v>0</v>
      </c>
      <c r="CC204">
        <v>0</v>
      </c>
      <c r="CD204">
        <v>0</v>
      </c>
      <c r="CE204" t="s">
        <v>3108</v>
      </c>
      <c r="CF204" t="s">
        <v>3108</v>
      </c>
      <c r="CG204" t="s">
        <v>3108</v>
      </c>
      <c r="CH204" t="s">
        <v>3108</v>
      </c>
    </row>
    <row r="205" spans="1:86" x14ac:dyDescent="0.2">
      <c r="A205" t="s">
        <v>3649</v>
      </c>
      <c r="B205" t="s">
        <v>3649</v>
      </c>
      <c r="C205">
        <v>30466</v>
      </c>
      <c r="D205">
        <v>1235</v>
      </c>
      <c r="E205" t="s">
        <v>3650</v>
      </c>
      <c r="F205" t="s">
        <v>3249</v>
      </c>
      <c r="G205" t="s">
        <v>3249</v>
      </c>
      <c r="H205" t="s">
        <v>3250</v>
      </c>
      <c r="I205" t="s">
        <v>3250</v>
      </c>
      <c r="J205" t="s">
        <v>3250</v>
      </c>
      <c r="K205" t="s">
        <v>3250</v>
      </c>
      <c r="L205">
        <v>1200</v>
      </c>
      <c r="M205" t="s">
        <v>2368</v>
      </c>
      <c r="N205">
        <v>1204</v>
      </c>
      <c r="O205" t="s">
        <v>1574</v>
      </c>
      <c r="P205" t="s">
        <v>3108</v>
      </c>
      <c r="Q205" t="s">
        <v>3249</v>
      </c>
      <c r="R205" t="s">
        <v>3249</v>
      </c>
      <c r="S205" t="s">
        <v>472</v>
      </c>
      <c r="T205" t="s">
        <v>3251</v>
      </c>
      <c r="U205">
        <v>140</v>
      </c>
      <c r="V205" t="s">
        <v>1327</v>
      </c>
      <c r="W205">
        <v>140</v>
      </c>
      <c r="X205" t="s">
        <v>1327</v>
      </c>
      <c r="Y205" t="s">
        <v>3250</v>
      </c>
      <c r="Z205" t="s">
        <v>3250</v>
      </c>
      <c r="AA205" t="s">
        <v>3108</v>
      </c>
      <c r="AB205" t="s">
        <v>3108</v>
      </c>
      <c r="AC205" t="s">
        <v>3250</v>
      </c>
      <c r="AD205" t="s">
        <v>3250</v>
      </c>
      <c r="AE205" t="s">
        <v>3250</v>
      </c>
      <c r="AF205" t="s">
        <v>3250</v>
      </c>
      <c r="AG205" t="s">
        <v>3250</v>
      </c>
      <c r="AH205" t="s">
        <v>3250</v>
      </c>
      <c r="AI205" t="s">
        <v>3250</v>
      </c>
      <c r="AJ205" t="s">
        <v>3250</v>
      </c>
      <c r="AL205">
        <v>147</v>
      </c>
      <c r="AM205" t="s">
        <v>6</v>
      </c>
      <c r="AN205">
        <v>147</v>
      </c>
      <c r="AO205" t="s">
        <v>6</v>
      </c>
      <c r="AS205" t="s">
        <v>3250</v>
      </c>
      <c r="AT205" t="s">
        <v>3250</v>
      </c>
      <c r="AU205" t="s">
        <v>3250</v>
      </c>
      <c r="AV205" t="s">
        <v>3250</v>
      </c>
      <c r="AW205" t="s">
        <v>3250</v>
      </c>
      <c r="AX205" t="s">
        <v>3250</v>
      </c>
      <c r="AY205" t="s">
        <v>3250</v>
      </c>
      <c r="AZ205" t="s">
        <v>3250</v>
      </c>
      <c r="BA205" t="s">
        <v>3250</v>
      </c>
      <c r="BB205" t="s">
        <v>3250</v>
      </c>
      <c r="BC205" t="s">
        <v>3250</v>
      </c>
      <c r="BE205" t="s">
        <v>3250</v>
      </c>
      <c r="BF205" t="s">
        <v>3250</v>
      </c>
      <c r="BG205" t="s">
        <v>3250</v>
      </c>
      <c r="BH205" t="s">
        <v>3250</v>
      </c>
      <c r="BI205" t="s">
        <v>3250</v>
      </c>
      <c r="BK205" t="s">
        <v>3250</v>
      </c>
      <c r="BL205" t="s">
        <v>3250</v>
      </c>
      <c r="BM205" t="s">
        <v>3250</v>
      </c>
      <c r="BN205" t="s">
        <v>3250</v>
      </c>
      <c r="BP205">
        <v>1</v>
      </c>
      <c r="BQ205">
        <v>11</v>
      </c>
      <c r="BR205" t="s">
        <v>1574</v>
      </c>
      <c r="BS205" t="s">
        <v>3252</v>
      </c>
      <c r="BV205">
        <v>0</v>
      </c>
      <c r="BW205">
        <v>0</v>
      </c>
      <c r="BX205">
        <v>0</v>
      </c>
      <c r="BY205">
        <v>0</v>
      </c>
      <c r="BZ205">
        <v>0</v>
      </c>
      <c r="CA205">
        <v>0</v>
      </c>
      <c r="CB205">
        <v>0</v>
      </c>
      <c r="CC205">
        <v>0</v>
      </c>
      <c r="CD205">
        <v>0</v>
      </c>
      <c r="CE205" t="s">
        <v>3108</v>
      </c>
      <c r="CF205" t="s">
        <v>3108</v>
      </c>
      <c r="CG205" t="s">
        <v>3108</v>
      </c>
      <c r="CH205" t="s">
        <v>3108</v>
      </c>
    </row>
    <row r="206" spans="1:86" x14ac:dyDescent="0.2">
      <c r="A206" t="s">
        <v>3651</v>
      </c>
      <c r="B206" t="s">
        <v>3651</v>
      </c>
      <c r="C206">
        <v>30467</v>
      </c>
      <c r="D206">
        <v>1236</v>
      </c>
      <c r="E206" t="s">
        <v>3652</v>
      </c>
      <c r="F206" t="s">
        <v>3249</v>
      </c>
      <c r="G206" t="s">
        <v>3249</v>
      </c>
      <c r="H206" t="s">
        <v>3250</v>
      </c>
      <c r="I206" t="s">
        <v>3250</v>
      </c>
      <c r="J206" t="s">
        <v>3250</v>
      </c>
      <c r="K206" t="s">
        <v>3250</v>
      </c>
      <c r="L206">
        <v>1200</v>
      </c>
      <c r="M206" t="s">
        <v>2368</v>
      </c>
      <c r="N206">
        <v>1204</v>
      </c>
      <c r="O206" t="s">
        <v>1574</v>
      </c>
      <c r="P206" t="s">
        <v>3108</v>
      </c>
      <c r="Q206" t="s">
        <v>3249</v>
      </c>
      <c r="R206" t="s">
        <v>3249</v>
      </c>
      <c r="S206" t="s">
        <v>472</v>
      </c>
      <c r="T206" t="s">
        <v>3251</v>
      </c>
      <c r="U206">
        <v>140</v>
      </c>
      <c r="V206" t="s">
        <v>1327</v>
      </c>
      <c r="W206">
        <v>140</v>
      </c>
      <c r="X206" t="s">
        <v>1327</v>
      </c>
      <c r="Y206" t="s">
        <v>3250</v>
      </c>
      <c r="Z206" t="s">
        <v>3250</v>
      </c>
      <c r="AA206" t="s">
        <v>3108</v>
      </c>
      <c r="AB206" t="s">
        <v>3108</v>
      </c>
      <c r="AC206" t="s">
        <v>3250</v>
      </c>
      <c r="AD206" t="s">
        <v>3250</v>
      </c>
      <c r="AE206" t="s">
        <v>3250</v>
      </c>
      <c r="AF206" t="s">
        <v>3250</v>
      </c>
      <c r="AG206" t="s">
        <v>3250</v>
      </c>
      <c r="AH206" t="s">
        <v>3250</v>
      </c>
      <c r="AI206" t="s">
        <v>3250</v>
      </c>
      <c r="AJ206" t="s">
        <v>3250</v>
      </c>
      <c r="AL206">
        <v>141</v>
      </c>
      <c r="AM206" t="s">
        <v>1327</v>
      </c>
      <c r="AN206">
        <v>141</v>
      </c>
      <c r="AO206" t="s">
        <v>1327</v>
      </c>
      <c r="AS206" t="s">
        <v>3250</v>
      </c>
      <c r="AT206" t="s">
        <v>3250</v>
      </c>
      <c r="AU206" t="s">
        <v>3250</v>
      </c>
      <c r="AV206" t="s">
        <v>3250</v>
      </c>
      <c r="AW206" t="s">
        <v>3250</v>
      </c>
      <c r="AX206" t="s">
        <v>3250</v>
      </c>
      <c r="AY206" t="s">
        <v>3250</v>
      </c>
      <c r="AZ206" t="s">
        <v>3250</v>
      </c>
      <c r="BA206" t="s">
        <v>3250</v>
      </c>
      <c r="BB206" t="s">
        <v>3250</v>
      </c>
      <c r="BC206" t="s">
        <v>3250</v>
      </c>
      <c r="BE206" t="s">
        <v>3250</v>
      </c>
      <c r="BF206" t="s">
        <v>3250</v>
      </c>
      <c r="BG206" t="s">
        <v>3250</v>
      </c>
      <c r="BH206" t="s">
        <v>3250</v>
      </c>
      <c r="BI206" t="s">
        <v>3250</v>
      </c>
      <c r="BK206" t="s">
        <v>3250</v>
      </c>
      <c r="BL206" t="s">
        <v>3250</v>
      </c>
      <c r="BM206" t="s">
        <v>3250</v>
      </c>
      <c r="BN206" t="s">
        <v>3250</v>
      </c>
      <c r="BP206">
        <v>1</v>
      </c>
      <c r="BQ206">
        <v>11</v>
      </c>
      <c r="BR206" t="s">
        <v>1574</v>
      </c>
      <c r="BS206" t="s">
        <v>3252</v>
      </c>
      <c r="BV206">
        <v>0</v>
      </c>
      <c r="BW206">
        <v>0</v>
      </c>
      <c r="BX206">
        <v>0</v>
      </c>
      <c r="BY206">
        <v>0</v>
      </c>
      <c r="BZ206">
        <v>0</v>
      </c>
      <c r="CA206">
        <v>0</v>
      </c>
      <c r="CB206">
        <v>0</v>
      </c>
      <c r="CC206">
        <v>0</v>
      </c>
      <c r="CD206">
        <v>0</v>
      </c>
      <c r="CE206" t="s">
        <v>3108</v>
      </c>
      <c r="CF206" t="s">
        <v>3108</v>
      </c>
      <c r="CG206" t="s">
        <v>3108</v>
      </c>
      <c r="CH206" t="s">
        <v>3108</v>
      </c>
    </row>
    <row r="207" spans="1:86" x14ac:dyDescent="0.2">
      <c r="A207" t="s">
        <v>3653</v>
      </c>
      <c r="B207" t="s">
        <v>3653</v>
      </c>
      <c r="C207">
        <v>30468</v>
      </c>
      <c r="D207">
        <v>1237</v>
      </c>
      <c r="E207" t="s">
        <v>3654</v>
      </c>
      <c r="F207" t="s">
        <v>3249</v>
      </c>
      <c r="G207" t="s">
        <v>3249</v>
      </c>
      <c r="H207" t="s">
        <v>3250</v>
      </c>
      <c r="I207" t="s">
        <v>3250</v>
      </c>
      <c r="J207" t="s">
        <v>3250</v>
      </c>
      <c r="K207" t="s">
        <v>3250</v>
      </c>
      <c r="L207">
        <v>1200</v>
      </c>
      <c r="M207" t="s">
        <v>2368</v>
      </c>
      <c r="N207">
        <v>1204</v>
      </c>
      <c r="O207" t="s">
        <v>1574</v>
      </c>
      <c r="P207" t="s">
        <v>3108</v>
      </c>
      <c r="Q207" t="s">
        <v>3249</v>
      </c>
      <c r="R207" t="s">
        <v>3249</v>
      </c>
      <c r="S207" t="s">
        <v>472</v>
      </c>
      <c r="T207" t="s">
        <v>3251</v>
      </c>
      <c r="U207">
        <v>140</v>
      </c>
      <c r="V207" t="s">
        <v>1327</v>
      </c>
      <c r="W207">
        <v>140</v>
      </c>
      <c r="X207" t="s">
        <v>1327</v>
      </c>
      <c r="Y207" t="s">
        <v>3250</v>
      </c>
      <c r="Z207" t="s">
        <v>3250</v>
      </c>
      <c r="AA207" t="s">
        <v>3108</v>
      </c>
      <c r="AB207" t="s">
        <v>3108</v>
      </c>
      <c r="AC207" t="s">
        <v>3250</v>
      </c>
      <c r="AD207" t="s">
        <v>3250</v>
      </c>
      <c r="AE207" t="s">
        <v>3250</v>
      </c>
      <c r="AF207" t="s">
        <v>3250</v>
      </c>
      <c r="AG207" t="s">
        <v>3250</v>
      </c>
      <c r="AH207" t="s">
        <v>3250</v>
      </c>
      <c r="AI207" t="s">
        <v>3250</v>
      </c>
      <c r="AJ207" t="s">
        <v>3250</v>
      </c>
      <c r="AL207">
        <v>141</v>
      </c>
      <c r="AM207" t="s">
        <v>1327</v>
      </c>
      <c r="AN207">
        <v>141</v>
      </c>
      <c r="AO207" t="s">
        <v>1327</v>
      </c>
      <c r="AS207" t="s">
        <v>3250</v>
      </c>
      <c r="AT207" t="s">
        <v>3250</v>
      </c>
      <c r="AU207" t="s">
        <v>3250</v>
      </c>
      <c r="AV207" t="s">
        <v>3250</v>
      </c>
      <c r="AW207" t="s">
        <v>3250</v>
      </c>
      <c r="AX207" t="s">
        <v>3250</v>
      </c>
      <c r="AY207" t="s">
        <v>3250</v>
      </c>
      <c r="AZ207" t="s">
        <v>3250</v>
      </c>
      <c r="BA207" t="s">
        <v>3250</v>
      </c>
      <c r="BB207" t="s">
        <v>3250</v>
      </c>
      <c r="BC207" t="s">
        <v>3250</v>
      </c>
      <c r="BE207" t="s">
        <v>3250</v>
      </c>
      <c r="BF207" t="s">
        <v>3250</v>
      </c>
      <c r="BG207" t="s">
        <v>3250</v>
      </c>
      <c r="BH207" t="s">
        <v>3250</v>
      </c>
      <c r="BI207" t="s">
        <v>3250</v>
      </c>
      <c r="BK207" t="s">
        <v>3250</v>
      </c>
      <c r="BL207" t="s">
        <v>3250</v>
      </c>
      <c r="BM207" t="s">
        <v>3250</v>
      </c>
      <c r="BN207" t="s">
        <v>3250</v>
      </c>
      <c r="BP207">
        <v>1</v>
      </c>
      <c r="BQ207">
        <v>11</v>
      </c>
      <c r="BR207" t="s">
        <v>1574</v>
      </c>
      <c r="BS207" t="s">
        <v>3252</v>
      </c>
      <c r="BV207">
        <v>0</v>
      </c>
      <c r="BW207">
        <v>0</v>
      </c>
      <c r="BX207">
        <v>0</v>
      </c>
      <c r="BY207">
        <v>0</v>
      </c>
      <c r="BZ207">
        <v>0</v>
      </c>
      <c r="CA207">
        <v>0</v>
      </c>
      <c r="CB207">
        <v>0</v>
      </c>
      <c r="CC207">
        <v>0</v>
      </c>
      <c r="CD207">
        <v>0</v>
      </c>
      <c r="CE207" t="s">
        <v>3108</v>
      </c>
      <c r="CF207" t="s">
        <v>3108</v>
      </c>
      <c r="CG207" t="s">
        <v>3108</v>
      </c>
      <c r="CH207" t="s">
        <v>3108</v>
      </c>
    </row>
    <row r="208" spans="1:86" x14ac:dyDescent="0.2">
      <c r="A208" t="s">
        <v>3655</v>
      </c>
      <c r="B208" t="s">
        <v>3655</v>
      </c>
      <c r="C208">
        <v>30469</v>
      </c>
      <c r="D208">
        <v>1238</v>
      </c>
      <c r="E208" t="s">
        <v>3656</v>
      </c>
      <c r="F208" t="s">
        <v>3249</v>
      </c>
      <c r="G208" t="s">
        <v>3249</v>
      </c>
      <c r="H208" t="s">
        <v>3250</v>
      </c>
      <c r="I208" t="s">
        <v>3250</v>
      </c>
      <c r="J208" t="s">
        <v>3250</v>
      </c>
      <c r="K208" t="s">
        <v>3250</v>
      </c>
      <c r="L208">
        <v>1200</v>
      </c>
      <c r="M208" t="s">
        <v>2368</v>
      </c>
      <c r="N208">
        <v>1204</v>
      </c>
      <c r="O208" t="s">
        <v>1574</v>
      </c>
      <c r="P208" t="s">
        <v>3108</v>
      </c>
      <c r="Q208" t="s">
        <v>3249</v>
      </c>
      <c r="R208" t="s">
        <v>3249</v>
      </c>
      <c r="S208" t="s">
        <v>472</v>
      </c>
      <c r="T208" t="s">
        <v>3251</v>
      </c>
      <c r="U208">
        <v>140</v>
      </c>
      <c r="V208" t="s">
        <v>1327</v>
      </c>
      <c r="W208">
        <v>140</v>
      </c>
      <c r="X208" t="s">
        <v>1327</v>
      </c>
      <c r="Y208" t="s">
        <v>3250</v>
      </c>
      <c r="Z208" t="s">
        <v>3250</v>
      </c>
      <c r="AA208" t="s">
        <v>3108</v>
      </c>
      <c r="AB208" t="s">
        <v>3108</v>
      </c>
      <c r="AC208" t="s">
        <v>3250</v>
      </c>
      <c r="AD208" t="s">
        <v>3250</v>
      </c>
      <c r="AE208" t="s">
        <v>3250</v>
      </c>
      <c r="AF208" t="s">
        <v>3250</v>
      </c>
      <c r="AG208" t="s">
        <v>3250</v>
      </c>
      <c r="AH208" t="s">
        <v>3250</v>
      </c>
      <c r="AI208" t="s">
        <v>3250</v>
      </c>
      <c r="AJ208" t="s">
        <v>3250</v>
      </c>
      <c r="AL208">
        <v>141</v>
      </c>
      <c r="AM208" t="s">
        <v>1327</v>
      </c>
      <c r="AN208">
        <v>141</v>
      </c>
      <c r="AO208" t="s">
        <v>1327</v>
      </c>
      <c r="AS208" t="s">
        <v>3250</v>
      </c>
      <c r="AT208" t="s">
        <v>3250</v>
      </c>
      <c r="AU208" t="s">
        <v>3250</v>
      </c>
      <c r="AV208" t="s">
        <v>3250</v>
      </c>
      <c r="AW208" t="s">
        <v>3250</v>
      </c>
      <c r="AX208" t="s">
        <v>3250</v>
      </c>
      <c r="AY208" t="s">
        <v>3250</v>
      </c>
      <c r="AZ208" t="s">
        <v>3250</v>
      </c>
      <c r="BA208" t="s">
        <v>3250</v>
      </c>
      <c r="BB208" t="s">
        <v>3250</v>
      </c>
      <c r="BC208" t="s">
        <v>3250</v>
      </c>
      <c r="BE208" t="s">
        <v>3250</v>
      </c>
      <c r="BF208" t="s">
        <v>3250</v>
      </c>
      <c r="BG208" t="s">
        <v>3250</v>
      </c>
      <c r="BH208" t="s">
        <v>3250</v>
      </c>
      <c r="BI208" t="s">
        <v>3250</v>
      </c>
      <c r="BK208" t="s">
        <v>3250</v>
      </c>
      <c r="BL208" t="s">
        <v>3250</v>
      </c>
      <c r="BM208" t="s">
        <v>3250</v>
      </c>
      <c r="BN208" t="s">
        <v>3250</v>
      </c>
      <c r="BP208">
        <v>1</v>
      </c>
      <c r="BQ208">
        <v>11</v>
      </c>
      <c r="BR208" t="s">
        <v>1574</v>
      </c>
      <c r="BS208" t="s">
        <v>3252</v>
      </c>
      <c r="BV208">
        <v>0</v>
      </c>
      <c r="BW208">
        <v>0</v>
      </c>
      <c r="BX208">
        <v>0</v>
      </c>
      <c r="BY208">
        <v>0</v>
      </c>
      <c r="BZ208">
        <v>0</v>
      </c>
      <c r="CA208">
        <v>0</v>
      </c>
      <c r="CB208">
        <v>0</v>
      </c>
      <c r="CC208">
        <v>0</v>
      </c>
      <c r="CD208">
        <v>0</v>
      </c>
      <c r="CE208" t="s">
        <v>3108</v>
      </c>
      <c r="CF208" t="s">
        <v>3108</v>
      </c>
      <c r="CG208" t="s">
        <v>3108</v>
      </c>
      <c r="CH208" t="s">
        <v>3108</v>
      </c>
    </row>
    <row r="209" spans="1:86" x14ac:dyDescent="0.2">
      <c r="A209" t="s">
        <v>3657</v>
      </c>
      <c r="B209" t="s">
        <v>3657</v>
      </c>
      <c r="C209">
        <v>30470</v>
      </c>
      <c r="D209">
        <v>1239</v>
      </c>
      <c r="E209" t="s">
        <v>3658</v>
      </c>
      <c r="F209" t="s">
        <v>3249</v>
      </c>
      <c r="G209" t="s">
        <v>3249</v>
      </c>
      <c r="H209" t="s">
        <v>3250</v>
      </c>
      <c r="I209" t="s">
        <v>3250</v>
      </c>
      <c r="J209" t="s">
        <v>3250</v>
      </c>
      <c r="K209" t="s">
        <v>3250</v>
      </c>
      <c r="L209">
        <v>1200</v>
      </c>
      <c r="M209" t="s">
        <v>2368</v>
      </c>
      <c r="N209">
        <v>1204</v>
      </c>
      <c r="O209" t="s">
        <v>1574</v>
      </c>
      <c r="P209" t="s">
        <v>3108</v>
      </c>
      <c r="Q209" t="s">
        <v>3249</v>
      </c>
      <c r="R209" t="s">
        <v>3249</v>
      </c>
      <c r="S209" t="s">
        <v>472</v>
      </c>
      <c r="T209" t="s">
        <v>3251</v>
      </c>
      <c r="U209">
        <v>140</v>
      </c>
      <c r="V209" t="s">
        <v>1327</v>
      </c>
      <c r="W209">
        <v>140</v>
      </c>
      <c r="X209" t="s">
        <v>1327</v>
      </c>
      <c r="Y209" t="s">
        <v>3250</v>
      </c>
      <c r="Z209" t="s">
        <v>3250</v>
      </c>
      <c r="AA209" t="s">
        <v>3108</v>
      </c>
      <c r="AB209" t="s">
        <v>3108</v>
      </c>
      <c r="AC209" t="s">
        <v>3250</v>
      </c>
      <c r="AD209" t="s">
        <v>3250</v>
      </c>
      <c r="AE209" t="s">
        <v>3250</v>
      </c>
      <c r="AF209" t="s">
        <v>3250</v>
      </c>
      <c r="AG209" t="s">
        <v>3250</v>
      </c>
      <c r="AH209" t="s">
        <v>3250</v>
      </c>
      <c r="AI209" t="s">
        <v>3250</v>
      </c>
      <c r="AJ209" t="s">
        <v>3250</v>
      </c>
      <c r="AL209">
        <v>146</v>
      </c>
      <c r="AM209" t="s">
        <v>5</v>
      </c>
      <c r="AN209">
        <v>146</v>
      </c>
      <c r="AO209" t="s">
        <v>5</v>
      </c>
      <c r="AS209" t="s">
        <v>3250</v>
      </c>
      <c r="AT209" t="s">
        <v>3250</v>
      </c>
      <c r="AU209" t="s">
        <v>3250</v>
      </c>
      <c r="AV209" t="s">
        <v>3250</v>
      </c>
      <c r="AW209" t="s">
        <v>3250</v>
      </c>
      <c r="AX209" t="s">
        <v>3250</v>
      </c>
      <c r="AY209" t="s">
        <v>3250</v>
      </c>
      <c r="AZ209" t="s">
        <v>3250</v>
      </c>
      <c r="BA209" t="s">
        <v>3250</v>
      </c>
      <c r="BB209" t="s">
        <v>3250</v>
      </c>
      <c r="BC209" t="s">
        <v>3250</v>
      </c>
      <c r="BE209" t="s">
        <v>3250</v>
      </c>
      <c r="BF209" t="s">
        <v>3250</v>
      </c>
      <c r="BG209" t="s">
        <v>3250</v>
      </c>
      <c r="BH209" t="s">
        <v>3250</v>
      </c>
      <c r="BI209" t="s">
        <v>3250</v>
      </c>
      <c r="BK209" t="s">
        <v>3250</v>
      </c>
      <c r="BL209" t="s">
        <v>3250</v>
      </c>
      <c r="BM209" t="s">
        <v>3250</v>
      </c>
      <c r="BN209" t="s">
        <v>3250</v>
      </c>
      <c r="BP209">
        <v>1</v>
      </c>
      <c r="BQ209">
        <v>11</v>
      </c>
      <c r="BR209" t="s">
        <v>1574</v>
      </c>
      <c r="BS209" t="s">
        <v>3252</v>
      </c>
      <c r="BV209">
        <v>0</v>
      </c>
      <c r="BW209">
        <v>0</v>
      </c>
      <c r="BX209">
        <v>0</v>
      </c>
      <c r="BY209">
        <v>0</v>
      </c>
      <c r="BZ209">
        <v>0</v>
      </c>
      <c r="CA209">
        <v>0</v>
      </c>
      <c r="CB209">
        <v>0</v>
      </c>
      <c r="CC209">
        <v>0</v>
      </c>
      <c r="CD209">
        <v>0</v>
      </c>
      <c r="CE209" t="s">
        <v>3108</v>
      </c>
      <c r="CF209" t="s">
        <v>3108</v>
      </c>
      <c r="CG209" t="s">
        <v>3108</v>
      </c>
      <c r="CH209" t="s">
        <v>3108</v>
      </c>
    </row>
    <row r="210" spans="1:86" x14ac:dyDescent="0.2">
      <c r="A210" t="s">
        <v>3659</v>
      </c>
      <c r="B210" t="s">
        <v>3659</v>
      </c>
      <c r="C210">
        <v>30471</v>
      </c>
      <c r="E210" t="s">
        <v>3660</v>
      </c>
      <c r="F210" t="s">
        <v>3249</v>
      </c>
      <c r="G210" t="s">
        <v>3249</v>
      </c>
      <c r="H210" t="s">
        <v>3250</v>
      </c>
      <c r="I210" t="s">
        <v>3250</v>
      </c>
      <c r="J210" t="s">
        <v>3250</v>
      </c>
      <c r="K210" t="s">
        <v>3250</v>
      </c>
      <c r="L210">
        <v>1200</v>
      </c>
      <c r="M210" t="s">
        <v>2368</v>
      </c>
      <c r="N210">
        <v>1204</v>
      </c>
      <c r="O210" t="s">
        <v>1574</v>
      </c>
      <c r="P210" t="s">
        <v>3108</v>
      </c>
      <c r="Q210" t="s">
        <v>3249</v>
      </c>
      <c r="R210" t="s">
        <v>3249</v>
      </c>
      <c r="S210" t="s">
        <v>472</v>
      </c>
      <c r="T210" t="s">
        <v>3251</v>
      </c>
      <c r="U210">
        <v>140</v>
      </c>
      <c r="V210" t="s">
        <v>1327</v>
      </c>
      <c r="W210">
        <v>140</v>
      </c>
      <c r="X210" t="s">
        <v>1327</v>
      </c>
      <c r="Y210" t="s">
        <v>3250</v>
      </c>
      <c r="Z210" t="s">
        <v>3250</v>
      </c>
      <c r="AA210" t="s">
        <v>3108</v>
      </c>
      <c r="AB210" t="s">
        <v>3108</v>
      </c>
      <c r="AC210" t="s">
        <v>3250</v>
      </c>
      <c r="AD210" t="s">
        <v>3250</v>
      </c>
      <c r="AE210" t="s">
        <v>3250</v>
      </c>
      <c r="AF210" t="s">
        <v>3250</v>
      </c>
      <c r="AG210" t="s">
        <v>3250</v>
      </c>
      <c r="AH210" t="s">
        <v>3250</v>
      </c>
      <c r="AI210" t="s">
        <v>3250</v>
      </c>
      <c r="AJ210" t="s">
        <v>3250</v>
      </c>
      <c r="AL210">
        <v>146</v>
      </c>
      <c r="AM210" t="s">
        <v>5</v>
      </c>
      <c r="AN210">
        <v>146</v>
      </c>
      <c r="AO210" t="s">
        <v>5</v>
      </c>
      <c r="AS210" t="s">
        <v>3250</v>
      </c>
      <c r="AT210" t="s">
        <v>3250</v>
      </c>
      <c r="AU210" t="s">
        <v>3250</v>
      </c>
      <c r="AV210" t="s">
        <v>3250</v>
      </c>
      <c r="AW210" t="s">
        <v>3250</v>
      </c>
      <c r="AX210" t="s">
        <v>3250</v>
      </c>
      <c r="AY210" t="s">
        <v>3250</v>
      </c>
      <c r="AZ210" t="s">
        <v>3250</v>
      </c>
      <c r="BA210" t="s">
        <v>3250</v>
      </c>
      <c r="BB210" t="s">
        <v>3250</v>
      </c>
      <c r="BC210" t="s">
        <v>3250</v>
      </c>
      <c r="BE210" t="s">
        <v>3250</v>
      </c>
      <c r="BF210" t="s">
        <v>3250</v>
      </c>
      <c r="BG210" t="s">
        <v>3250</v>
      </c>
      <c r="BH210" t="s">
        <v>3250</v>
      </c>
      <c r="BI210" t="s">
        <v>3250</v>
      </c>
      <c r="BK210" t="s">
        <v>3250</v>
      </c>
      <c r="BL210" t="s">
        <v>3250</v>
      </c>
      <c r="BM210" t="s">
        <v>3250</v>
      </c>
      <c r="BN210" t="s">
        <v>3250</v>
      </c>
      <c r="BP210">
        <v>1</v>
      </c>
      <c r="BQ210">
        <v>11</v>
      </c>
      <c r="BR210" t="s">
        <v>1574</v>
      </c>
      <c r="BS210" t="s">
        <v>3252</v>
      </c>
      <c r="BV210">
        <v>0</v>
      </c>
      <c r="BW210">
        <v>0</v>
      </c>
      <c r="BX210">
        <v>0</v>
      </c>
      <c r="BY210">
        <v>0</v>
      </c>
      <c r="BZ210">
        <v>0</v>
      </c>
      <c r="CA210">
        <v>0</v>
      </c>
      <c r="CB210">
        <v>0</v>
      </c>
      <c r="CC210">
        <v>0</v>
      </c>
      <c r="CD210">
        <v>0</v>
      </c>
      <c r="CE210" t="s">
        <v>3108</v>
      </c>
      <c r="CF210" t="s">
        <v>3108</v>
      </c>
      <c r="CG210" t="s">
        <v>3108</v>
      </c>
      <c r="CH210" t="s">
        <v>3108</v>
      </c>
    </row>
    <row r="211" spans="1:86" x14ac:dyDescent="0.2">
      <c r="A211" t="s">
        <v>3661</v>
      </c>
      <c r="B211" t="s">
        <v>3661</v>
      </c>
      <c r="C211">
        <v>30472</v>
      </c>
      <c r="D211">
        <v>1241</v>
      </c>
      <c r="E211" t="s">
        <v>3662</v>
      </c>
      <c r="F211" t="s">
        <v>3249</v>
      </c>
      <c r="G211" t="s">
        <v>3249</v>
      </c>
      <c r="H211" t="s">
        <v>3250</v>
      </c>
      <c r="I211" t="s">
        <v>3250</v>
      </c>
      <c r="J211" t="s">
        <v>3250</v>
      </c>
      <c r="K211" t="s">
        <v>3250</v>
      </c>
      <c r="L211">
        <v>1200</v>
      </c>
      <c r="M211" t="s">
        <v>2368</v>
      </c>
      <c r="N211">
        <v>1204</v>
      </c>
      <c r="O211" t="s">
        <v>1574</v>
      </c>
      <c r="P211" t="s">
        <v>3108</v>
      </c>
      <c r="Q211" t="s">
        <v>3249</v>
      </c>
      <c r="R211" t="s">
        <v>3249</v>
      </c>
      <c r="S211" t="s">
        <v>472</v>
      </c>
      <c r="T211" t="s">
        <v>3251</v>
      </c>
      <c r="U211">
        <v>140</v>
      </c>
      <c r="V211" t="s">
        <v>1327</v>
      </c>
      <c r="W211">
        <v>140</v>
      </c>
      <c r="X211" t="s">
        <v>1327</v>
      </c>
      <c r="Y211" t="s">
        <v>3250</v>
      </c>
      <c r="Z211" t="s">
        <v>3250</v>
      </c>
      <c r="AA211" t="s">
        <v>3108</v>
      </c>
      <c r="AB211" t="s">
        <v>3108</v>
      </c>
      <c r="AC211" t="s">
        <v>3250</v>
      </c>
      <c r="AD211" t="s">
        <v>3250</v>
      </c>
      <c r="AE211" t="s">
        <v>3250</v>
      </c>
      <c r="AF211" t="s">
        <v>3250</v>
      </c>
      <c r="AG211" t="s">
        <v>3250</v>
      </c>
      <c r="AH211" t="s">
        <v>3250</v>
      </c>
      <c r="AI211" t="s">
        <v>3250</v>
      </c>
      <c r="AJ211" t="s">
        <v>3250</v>
      </c>
      <c r="AL211">
        <v>141</v>
      </c>
      <c r="AM211" t="s">
        <v>1327</v>
      </c>
      <c r="AN211">
        <v>141</v>
      </c>
      <c r="AO211" t="s">
        <v>1327</v>
      </c>
      <c r="AS211" t="s">
        <v>3250</v>
      </c>
      <c r="AT211" t="s">
        <v>3250</v>
      </c>
      <c r="AU211" t="s">
        <v>3250</v>
      </c>
      <c r="AV211" t="s">
        <v>3250</v>
      </c>
      <c r="AW211" t="s">
        <v>3250</v>
      </c>
      <c r="AX211" t="s">
        <v>3250</v>
      </c>
      <c r="AY211" t="s">
        <v>3250</v>
      </c>
      <c r="AZ211" t="s">
        <v>3250</v>
      </c>
      <c r="BA211" t="s">
        <v>3250</v>
      </c>
      <c r="BB211" t="s">
        <v>3250</v>
      </c>
      <c r="BC211" t="s">
        <v>3250</v>
      </c>
      <c r="BE211" t="s">
        <v>3250</v>
      </c>
      <c r="BF211" t="s">
        <v>3250</v>
      </c>
      <c r="BG211" t="s">
        <v>3250</v>
      </c>
      <c r="BH211" t="s">
        <v>3250</v>
      </c>
      <c r="BI211" t="s">
        <v>3250</v>
      </c>
      <c r="BK211" t="s">
        <v>3250</v>
      </c>
      <c r="BL211" t="s">
        <v>3250</v>
      </c>
      <c r="BM211" t="s">
        <v>3250</v>
      </c>
      <c r="BN211" t="s">
        <v>3250</v>
      </c>
      <c r="BP211">
        <v>1</v>
      </c>
      <c r="BQ211">
        <v>11</v>
      </c>
      <c r="BR211" t="s">
        <v>1574</v>
      </c>
      <c r="BS211" t="s">
        <v>3252</v>
      </c>
      <c r="BV211">
        <v>0</v>
      </c>
      <c r="BW211">
        <v>0</v>
      </c>
      <c r="BX211">
        <v>0</v>
      </c>
      <c r="BY211">
        <v>0</v>
      </c>
      <c r="BZ211">
        <v>0</v>
      </c>
      <c r="CA211">
        <v>0</v>
      </c>
      <c r="CB211">
        <v>0</v>
      </c>
      <c r="CC211">
        <v>0</v>
      </c>
      <c r="CD211">
        <v>0</v>
      </c>
      <c r="CE211" t="s">
        <v>3108</v>
      </c>
      <c r="CF211" t="s">
        <v>3108</v>
      </c>
      <c r="CG211" t="s">
        <v>3108</v>
      </c>
      <c r="CH211" t="s">
        <v>3108</v>
      </c>
    </row>
    <row r="212" spans="1:86" x14ac:dyDescent="0.2">
      <c r="A212" t="s">
        <v>3663</v>
      </c>
      <c r="B212" t="s">
        <v>3663</v>
      </c>
      <c r="C212">
        <v>30473</v>
      </c>
      <c r="D212">
        <v>1242</v>
      </c>
      <c r="E212" t="s">
        <v>3664</v>
      </c>
      <c r="F212" t="s">
        <v>3249</v>
      </c>
      <c r="G212" t="s">
        <v>3249</v>
      </c>
      <c r="H212" t="s">
        <v>3250</v>
      </c>
      <c r="I212" t="s">
        <v>3250</v>
      </c>
      <c r="J212" t="s">
        <v>3250</v>
      </c>
      <c r="K212" t="s">
        <v>3250</v>
      </c>
      <c r="L212">
        <v>1200</v>
      </c>
      <c r="M212" t="s">
        <v>2368</v>
      </c>
      <c r="N212">
        <v>1204</v>
      </c>
      <c r="O212" t="s">
        <v>1574</v>
      </c>
      <c r="P212" t="s">
        <v>3108</v>
      </c>
      <c r="Q212" t="s">
        <v>3249</v>
      </c>
      <c r="R212" t="s">
        <v>3249</v>
      </c>
      <c r="S212" t="s">
        <v>472</v>
      </c>
      <c r="T212" t="s">
        <v>3251</v>
      </c>
      <c r="U212">
        <v>140</v>
      </c>
      <c r="V212" t="s">
        <v>1327</v>
      </c>
      <c r="W212">
        <v>140</v>
      </c>
      <c r="X212" t="s">
        <v>1327</v>
      </c>
      <c r="Y212" t="s">
        <v>3250</v>
      </c>
      <c r="Z212" t="s">
        <v>3250</v>
      </c>
      <c r="AA212" t="s">
        <v>3108</v>
      </c>
      <c r="AB212" t="s">
        <v>3108</v>
      </c>
      <c r="AC212" t="s">
        <v>3250</v>
      </c>
      <c r="AD212" t="s">
        <v>3250</v>
      </c>
      <c r="AE212" t="s">
        <v>3250</v>
      </c>
      <c r="AF212" t="s">
        <v>3250</v>
      </c>
      <c r="AG212" t="s">
        <v>3250</v>
      </c>
      <c r="AH212" t="s">
        <v>3250</v>
      </c>
      <c r="AI212" t="s">
        <v>3250</v>
      </c>
      <c r="AJ212" t="s">
        <v>3250</v>
      </c>
      <c r="AL212">
        <v>141</v>
      </c>
      <c r="AM212" t="s">
        <v>1327</v>
      </c>
      <c r="AN212">
        <v>141</v>
      </c>
      <c r="AO212" t="s">
        <v>1327</v>
      </c>
      <c r="AS212" t="s">
        <v>3250</v>
      </c>
      <c r="AT212" t="s">
        <v>3250</v>
      </c>
      <c r="AU212" t="s">
        <v>3250</v>
      </c>
      <c r="AV212" t="s">
        <v>3250</v>
      </c>
      <c r="AW212" t="s">
        <v>3250</v>
      </c>
      <c r="AX212" t="s">
        <v>3250</v>
      </c>
      <c r="AY212" t="s">
        <v>3250</v>
      </c>
      <c r="AZ212" t="s">
        <v>3250</v>
      </c>
      <c r="BA212" t="s">
        <v>3250</v>
      </c>
      <c r="BB212" t="s">
        <v>3250</v>
      </c>
      <c r="BC212" t="s">
        <v>3250</v>
      </c>
      <c r="BE212" t="s">
        <v>3250</v>
      </c>
      <c r="BF212" t="s">
        <v>3250</v>
      </c>
      <c r="BG212" t="s">
        <v>3250</v>
      </c>
      <c r="BH212" t="s">
        <v>3250</v>
      </c>
      <c r="BI212" t="s">
        <v>3250</v>
      </c>
      <c r="BK212" t="s">
        <v>3250</v>
      </c>
      <c r="BL212" t="s">
        <v>3250</v>
      </c>
      <c r="BM212" t="s">
        <v>3250</v>
      </c>
      <c r="BN212" t="s">
        <v>3250</v>
      </c>
      <c r="BP212">
        <v>1</v>
      </c>
      <c r="BQ212">
        <v>11</v>
      </c>
      <c r="BR212" t="s">
        <v>1574</v>
      </c>
      <c r="BS212" t="s">
        <v>3252</v>
      </c>
      <c r="BV212">
        <v>0</v>
      </c>
      <c r="BW212">
        <v>0</v>
      </c>
      <c r="BX212">
        <v>0</v>
      </c>
      <c r="BY212">
        <v>0</v>
      </c>
      <c r="BZ212">
        <v>0</v>
      </c>
      <c r="CA212">
        <v>0</v>
      </c>
      <c r="CB212">
        <v>0</v>
      </c>
      <c r="CC212">
        <v>0</v>
      </c>
      <c r="CD212">
        <v>0</v>
      </c>
      <c r="CE212" t="s">
        <v>3108</v>
      </c>
      <c r="CF212" t="s">
        <v>3108</v>
      </c>
      <c r="CG212" t="s">
        <v>3108</v>
      </c>
      <c r="CH212" t="s">
        <v>3108</v>
      </c>
    </row>
    <row r="213" spans="1:86" x14ac:dyDescent="0.2">
      <c r="A213" t="s">
        <v>3665</v>
      </c>
      <c r="B213" t="s">
        <v>3665</v>
      </c>
      <c r="C213">
        <v>30474</v>
      </c>
      <c r="D213">
        <v>1243</v>
      </c>
      <c r="E213" t="s">
        <v>3666</v>
      </c>
      <c r="F213" t="s">
        <v>3249</v>
      </c>
      <c r="G213" t="s">
        <v>3249</v>
      </c>
      <c r="H213" t="s">
        <v>3250</v>
      </c>
      <c r="I213" t="s">
        <v>3250</v>
      </c>
      <c r="J213" t="s">
        <v>3250</v>
      </c>
      <c r="K213" t="s">
        <v>3250</v>
      </c>
      <c r="L213">
        <v>1200</v>
      </c>
      <c r="M213" t="s">
        <v>2368</v>
      </c>
      <c r="N213">
        <v>1204</v>
      </c>
      <c r="O213" t="s">
        <v>1574</v>
      </c>
      <c r="P213" t="s">
        <v>3108</v>
      </c>
      <c r="Q213" t="s">
        <v>3249</v>
      </c>
      <c r="R213" t="s">
        <v>3249</v>
      </c>
      <c r="S213" t="s">
        <v>472</v>
      </c>
      <c r="T213" t="s">
        <v>3251</v>
      </c>
      <c r="U213">
        <v>140</v>
      </c>
      <c r="V213" t="s">
        <v>1327</v>
      </c>
      <c r="W213">
        <v>140</v>
      </c>
      <c r="X213" t="s">
        <v>1327</v>
      </c>
      <c r="Y213" t="s">
        <v>3250</v>
      </c>
      <c r="Z213" t="s">
        <v>3250</v>
      </c>
      <c r="AA213" t="s">
        <v>3108</v>
      </c>
      <c r="AB213" t="s">
        <v>3108</v>
      </c>
      <c r="AC213" t="s">
        <v>3250</v>
      </c>
      <c r="AD213" t="s">
        <v>3250</v>
      </c>
      <c r="AE213" t="s">
        <v>3250</v>
      </c>
      <c r="AF213" t="s">
        <v>3250</v>
      </c>
      <c r="AG213" t="s">
        <v>3250</v>
      </c>
      <c r="AH213" t="s">
        <v>3250</v>
      </c>
      <c r="AI213" t="s">
        <v>3250</v>
      </c>
      <c r="AJ213" t="s">
        <v>3250</v>
      </c>
      <c r="AL213">
        <v>147</v>
      </c>
      <c r="AM213" t="s">
        <v>6</v>
      </c>
      <c r="AN213">
        <v>147</v>
      </c>
      <c r="AO213" t="s">
        <v>6</v>
      </c>
      <c r="AS213" t="s">
        <v>3250</v>
      </c>
      <c r="AT213" t="s">
        <v>3250</v>
      </c>
      <c r="AU213" t="s">
        <v>3250</v>
      </c>
      <c r="AV213" t="s">
        <v>3250</v>
      </c>
      <c r="AW213" t="s">
        <v>3250</v>
      </c>
      <c r="AX213" t="s">
        <v>3250</v>
      </c>
      <c r="AY213" t="s">
        <v>3250</v>
      </c>
      <c r="AZ213" t="s">
        <v>3250</v>
      </c>
      <c r="BA213" t="s">
        <v>3250</v>
      </c>
      <c r="BB213" t="s">
        <v>3250</v>
      </c>
      <c r="BC213" t="s">
        <v>3250</v>
      </c>
      <c r="BE213" t="s">
        <v>3250</v>
      </c>
      <c r="BF213" t="s">
        <v>3250</v>
      </c>
      <c r="BG213" t="s">
        <v>3250</v>
      </c>
      <c r="BH213" t="s">
        <v>3250</v>
      </c>
      <c r="BI213" t="s">
        <v>3250</v>
      </c>
      <c r="BK213" t="s">
        <v>3250</v>
      </c>
      <c r="BL213" t="s">
        <v>3250</v>
      </c>
      <c r="BM213" t="s">
        <v>3250</v>
      </c>
      <c r="BN213" t="s">
        <v>3250</v>
      </c>
      <c r="BP213">
        <v>1</v>
      </c>
      <c r="BQ213">
        <v>11</v>
      </c>
      <c r="BR213" t="s">
        <v>1574</v>
      </c>
      <c r="BS213" t="s">
        <v>3252</v>
      </c>
      <c r="BV213">
        <v>0</v>
      </c>
      <c r="BW213">
        <v>0</v>
      </c>
      <c r="BX213">
        <v>0</v>
      </c>
      <c r="BY213">
        <v>0</v>
      </c>
      <c r="BZ213">
        <v>0</v>
      </c>
      <c r="CA213">
        <v>0</v>
      </c>
      <c r="CB213">
        <v>0</v>
      </c>
      <c r="CC213">
        <v>0</v>
      </c>
      <c r="CD213">
        <v>0</v>
      </c>
      <c r="CE213" t="s">
        <v>3108</v>
      </c>
      <c r="CF213" t="s">
        <v>3108</v>
      </c>
      <c r="CG213" t="s">
        <v>3108</v>
      </c>
      <c r="CH213" t="s">
        <v>3108</v>
      </c>
    </row>
    <row r="214" spans="1:86" x14ac:dyDescent="0.2">
      <c r="A214" t="s">
        <v>3667</v>
      </c>
      <c r="B214" t="s">
        <v>3667</v>
      </c>
      <c r="C214">
        <v>30475</v>
      </c>
      <c r="D214">
        <v>1244</v>
      </c>
      <c r="E214" t="s">
        <v>3668</v>
      </c>
      <c r="F214" t="s">
        <v>3249</v>
      </c>
      <c r="G214" t="s">
        <v>3249</v>
      </c>
      <c r="H214" t="s">
        <v>3250</v>
      </c>
      <c r="I214" t="s">
        <v>3250</v>
      </c>
      <c r="J214" t="s">
        <v>3250</v>
      </c>
      <c r="K214" t="s">
        <v>3250</v>
      </c>
      <c r="L214">
        <v>1200</v>
      </c>
      <c r="M214" t="s">
        <v>2368</v>
      </c>
      <c r="N214">
        <v>1204</v>
      </c>
      <c r="O214" t="s">
        <v>1574</v>
      </c>
      <c r="P214" t="s">
        <v>3108</v>
      </c>
      <c r="Q214" t="s">
        <v>3249</v>
      </c>
      <c r="R214" t="s">
        <v>3249</v>
      </c>
      <c r="S214" t="s">
        <v>472</v>
      </c>
      <c r="T214" t="s">
        <v>3251</v>
      </c>
      <c r="U214">
        <v>140</v>
      </c>
      <c r="V214" t="s">
        <v>1327</v>
      </c>
      <c r="W214">
        <v>140</v>
      </c>
      <c r="X214" t="s">
        <v>1327</v>
      </c>
      <c r="Y214" t="s">
        <v>3250</v>
      </c>
      <c r="Z214" t="s">
        <v>3250</v>
      </c>
      <c r="AA214" t="s">
        <v>3108</v>
      </c>
      <c r="AB214" t="s">
        <v>3108</v>
      </c>
      <c r="AC214" t="s">
        <v>3250</v>
      </c>
      <c r="AD214" t="s">
        <v>3250</v>
      </c>
      <c r="AE214" t="s">
        <v>3250</v>
      </c>
      <c r="AF214" t="s">
        <v>3250</v>
      </c>
      <c r="AG214" t="s">
        <v>3250</v>
      </c>
      <c r="AH214" t="s">
        <v>3250</v>
      </c>
      <c r="AI214" t="s">
        <v>3250</v>
      </c>
      <c r="AJ214" t="s">
        <v>3250</v>
      </c>
      <c r="AL214">
        <v>141</v>
      </c>
      <c r="AM214" t="s">
        <v>1327</v>
      </c>
      <c r="AN214">
        <v>141</v>
      </c>
      <c r="AO214" t="s">
        <v>1327</v>
      </c>
      <c r="AS214" t="s">
        <v>3250</v>
      </c>
      <c r="AT214" t="s">
        <v>3250</v>
      </c>
      <c r="AU214" t="s">
        <v>3250</v>
      </c>
      <c r="AV214" t="s">
        <v>3250</v>
      </c>
      <c r="AW214" t="s">
        <v>3250</v>
      </c>
      <c r="AX214" t="s">
        <v>3250</v>
      </c>
      <c r="AY214" t="s">
        <v>3250</v>
      </c>
      <c r="AZ214" t="s">
        <v>3250</v>
      </c>
      <c r="BA214" t="s">
        <v>3250</v>
      </c>
      <c r="BB214" t="s">
        <v>3250</v>
      </c>
      <c r="BC214" t="s">
        <v>3250</v>
      </c>
      <c r="BE214" t="s">
        <v>3250</v>
      </c>
      <c r="BF214" t="s">
        <v>3250</v>
      </c>
      <c r="BG214" t="s">
        <v>3250</v>
      </c>
      <c r="BH214" t="s">
        <v>3250</v>
      </c>
      <c r="BI214" t="s">
        <v>3250</v>
      </c>
      <c r="BK214" t="s">
        <v>3250</v>
      </c>
      <c r="BL214" t="s">
        <v>3250</v>
      </c>
      <c r="BM214" t="s">
        <v>3250</v>
      </c>
      <c r="BN214" t="s">
        <v>3250</v>
      </c>
      <c r="BP214">
        <v>1</v>
      </c>
      <c r="BQ214">
        <v>11</v>
      </c>
      <c r="BR214" t="s">
        <v>1574</v>
      </c>
      <c r="BS214" t="s">
        <v>3252</v>
      </c>
      <c r="BV214">
        <v>0</v>
      </c>
      <c r="BW214">
        <v>0</v>
      </c>
      <c r="BX214">
        <v>0</v>
      </c>
      <c r="BY214">
        <v>0</v>
      </c>
      <c r="BZ214">
        <v>0</v>
      </c>
      <c r="CA214">
        <v>0</v>
      </c>
      <c r="CB214">
        <v>0</v>
      </c>
      <c r="CC214">
        <v>0</v>
      </c>
      <c r="CD214">
        <v>0</v>
      </c>
      <c r="CE214" t="s">
        <v>3108</v>
      </c>
      <c r="CF214" t="s">
        <v>3108</v>
      </c>
      <c r="CG214" t="s">
        <v>3108</v>
      </c>
      <c r="CH214" t="s">
        <v>3108</v>
      </c>
    </row>
    <row r="215" spans="1:86" x14ac:dyDescent="0.2">
      <c r="A215" t="s">
        <v>3669</v>
      </c>
      <c r="B215" t="s">
        <v>3669</v>
      </c>
      <c r="C215">
        <v>30476</v>
      </c>
      <c r="D215">
        <v>1245</v>
      </c>
      <c r="E215" t="s">
        <v>3670</v>
      </c>
      <c r="F215" t="s">
        <v>3249</v>
      </c>
      <c r="G215" t="s">
        <v>3249</v>
      </c>
      <c r="H215" t="s">
        <v>3250</v>
      </c>
      <c r="I215" t="s">
        <v>3250</v>
      </c>
      <c r="J215" t="s">
        <v>3250</v>
      </c>
      <c r="K215" t="s">
        <v>3250</v>
      </c>
      <c r="L215">
        <v>1200</v>
      </c>
      <c r="M215" t="s">
        <v>2368</v>
      </c>
      <c r="N215">
        <v>1204</v>
      </c>
      <c r="O215" t="s">
        <v>1574</v>
      </c>
      <c r="P215" t="s">
        <v>3108</v>
      </c>
      <c r="Q215" t="s">
        <v>3249</v>
      </c>
      <c r="R215" t="s">
        <v>3249</v>
      </c>
      <c r="S215" t="s">
        <v>472</v>
      </c>
      <c r="T215" t="s">
        <v>3251</v>
      </c>
      <c r="U215">
        <v>140</v>
      </c>
      <c r="V215" t="s">
        <v>1327</v>
      </c>
      <c r="W215">
        <v>140</v>
      </c>
      <c r="X215" t="s">
        <v>1327</v>
      </c>
      <c r="Y215" t="s">
        <v>3250</v>
      </c>
      <c r="Z215" t="s">
        <v>3250</v>
      </c>
      <c r="AA215" t="s">
        <v>3108</v>
      </c>
      <c r="AB215" t="s">
        <v>3108</v>
      </c>
      <c r="AC215" t="s">
        <v>3250</v>
      </c>
      <c r="AD215" t="s">
        <v>3250</v>
      </c>
      <c r="AE215" t="s">
        <v>3250</v>
      </c>
      <c r="AF215" t="s">
        <v>3250</v>
      </c>
      <c r="AG215" t="s">
        <v>3250</v>
      </c>
      <c r="AH215" t="s">
        <v>3250</v>
      </c>
      <c r="AI215" t="s">
        <v>3250</v>
      </c>
      <c r="AJ215" t="s">
        <v>3250</v>
      </c>
      <c r="AL215">
        <v>141</v>
      </c>
      <c r="AM215" t="s">
        <v>1327</v>
      </c>
      <c r="AN215">
        <v>141</v>
      </c>
      <c r="AO215" t="s">
        <v>1327</v>
      </c>
      <c r="AS215" t="s">
        <v>3250</v>
      </c>
      <c r="AT215" t="s">
        <v>3250</v>
      </c>
      <c r="AU215" t="s">
        <v>3250</v>
      </c>
      <c r="AV215" t="s">
        <v>3250</v>
      </c>
      <c r="AW215" t="s">
        <v>3250</v>
      </c>
      <c r="AX215" t="s">
        <v>3250</v>
      </c>
      <c r="AY215" t="s">
        <v>3250</v>
      </c>
      <c r="AZ215" t="s">
        <v>3250</v>
      </c>
      <c r="BA215" t="s">
        <v>3250</v>
      </c>
      <c r="BB215" t="s">
        <v>3250</v>
      </c>
      <c r="BC215" t="s">
        <v>3250</v>
      </c>
      <c r="BE215" t="s">
        <v>3250</v>
      </c>
      <c r="BF215" t="s">
        <v>3250</v>
      </c>
      <c r="BG215" t="s">
        <v>3250</v>
      </c>
      <c r="BH215" t="s">
        <v>3250</v>
      </c>
      <c r="BI215" t="s">
        <v>3250</v>
      </c>
      <c r="BK215" t="s">
        <v>3250</v>
      </c>
      <c r="BL215" t="s">
        <v>3250</v>
      </c>
      <c r="BM215" t="s">
        <v>3250</v>
      </c>
      <c r="BN215" t="s">
        <v>3250</v>
      </c>
      <c r="BP215">
        <v>1</v>
      </c>
      <c r="BQ215">
        <v>11</v>
      </c>
      <c r="BR215" t="s">
        <v>1574</v>
      </c>
      <c r="BS215" t="s">
        <v>3252</v>
      </c>
      <c r="BV215">
        <v>0</v>
      </c>
      <c r="BW215">
        <v>0</v>
      </c>
      <c r="BX215">
        <v>0</v>
      </c>
      <c r="BY215">
        <v>0</v>
      </c>
      <c r="BZ215">
        <v>0</v>
      </c>
      <c r="CA215">
        <v>0</v>
      </c>
      <c r="CB215">
        <v>0</v>
      </c>
      <c r="CC215">
        <v>0</v>
      </c>
      <c r="CD215">
        <v>0</v>
      </c>
      <c r="CE215" t="s">
        <v>3108</v>
      </c>
      <c r="CF215" t="s">
        <v>3108</v>
      </c>
      <c r="CG215" t="s">
        <v>3108</v>
      </c>
      <c r="CH215" t="s">
        <v>3108</v>
      </c>
    </row>
    <row r="216" spans="1:86" x14ac:dyDescent="0.2">
      <c r="A216" t="s">
        <v>3671</v>
      </c>
      <c r="B216" t="s">
        <v>3671</v>
      </c>
      <c r="C216">
        <v>30477</v>
      </c>
      <c r="D216">
        <v>1246</v>
      </c>
      <c r="E216" t="s">
        <v>3672</v>
      </c>
      <c r="F216" t="s">
        <v>3249</v>
      </c>
      <c r="G216" t="s">
        <v>3249</v>
      </c>
      <c r="H216" t="s">
        <v>3250</v>
      </c>
      <c r="I216" t="s">
        <v>3250</v>
      </c>
      <c r="J216" t="s">
        <v>3250</v>
      </c>
      <c r="K216" t="s">
        <v>3250</v>
      </c>
      <c r="L216">
        <v>1200</v>
      </c>
      <c r="M216" t="s">
        <v>2368</v>
      </c>
      <c r="N216">
        <v>1204</v>
      </c>
      <c r="O216" t="s">
        <v>1574</v>
      </c>
      <c r="P216" t="s">
        <v>3108</v>
      </c>
      <c r="Q216" t="s">
        <v>3249</v>
      </c>
      <c r="R216" t="s">
        <v>3249</v>
      </c>
      <c r="S216" t="s">
        <v>472</v>
      </c>
      <c r="T216" t="s">
        <v>3251</v>
      </c>
      <c r="U216">
        <v>140</v>
      </c>
      <c r="V216" t="s">
        <v>1327</v>
      </c>
      <c r="W216">
        <v>140</v>
      </c>
      <c r="X216" t="s">
        <v>1327</v>
      </c>
      <c r="Y216" t="s">
        <v>3250</v>
      </c>
      <c r="Z216" t="s">
        <v>3250</v>
      </c>
      <c r="AA216" t="s">
        <v>3108</v>
      </c>
      <c r="AB216" t="s">
        <v>3108</v>
      </c>
      <c r="AC216" t="s">
        <v>3250</v>
      </c>
      <c r="AD216" t="s">
        <v>3250</v>
      </c>
      <c r="AE216" t="s">
        <v>3250</v>
      </c>
      <c r="AF216" t="s">
        <v>3250</v>
      </c>
      <c r="AG216" t="s">
        <v>3250</v>
      </c>
      <c r="AH216" t="s">
        <v>3250</v>
      </c>
      <c r="AI216" t="s">
        <v>3250</v>
      </c>
      <c r="AJ216" t="s">
        <v>3250</v>
      </c>
      <c r="AL216">
        <v>141</v>
      </c>
      <c r="AM216" t="s">
        <v>1327</v>
      </c>
      <c r="AN216">
        <v>141</v>
      </c>
      <c r="AO216" t="s">
        <v>1327</v>
      </c>
      <c r="AS216" t="s">
        <v>3250</v>
      </c>
      <c r="AT216" t="s">
        <v>3250</v>
      </c>
      <c r="AU216" t="s">
        <v>3250</v>
      </c>
      <c r="AV216" t="s">
        <v>3250</v>
      </c>
      <c r="AW216" t="s">
        <v>3250</v>
      </c>
      <c r="AX216" t="s">
        <v>3250</v>
      </c>
      <c r="AY216" t="s">
        <v>3250</v>
      </c>
      <c r="AZ216" t="s">
        <v>3250</v>
      </c>
      <c r="BA216" t="s">
        <v>3250</v>
      </c>
      <c r="BB216" t="s">
        <v>3250</v>
      </c>
      <c r="BC216" t="s">
        <v>3250</v>
      </c>
      <c r="BE216" t="s">
        <v>3250</v>
      </c>
      <c r="BF216" t="s">
        <v>3250</v>
      </c>
      <c r="BG216" t="s">
        <v>3250</v>
      </c>
      <c r="BH216" t="s">
        <v>3250</v>
      </c>
      <c r="BI216" t="s">
        <v>3250</v>
      </c>
      <c r="BK216" t="s">
        <v>3250</v>
      </c>
      <c r="BL216" t="s">
        <v>3250</v>
      </c>
      <c r="BM216" t="s">
        <v>3250</v>
      </c>
      <c r="BN216" t="s">
        <v>3250</v>
      </c>
      <c r="BP216">
        <v>1</v>
      </c>
      <c r="BQ216">
        <v>11</v>
      </c>
      <c r="BR216" t="s">
        <v>1574</v>
      </c>
      <c r="BS216" t="s">
        <v>3252</v>
      </c>
      <c r="BV216">
        <v>0</v>
      </c>
      <c r="BW216">
        <v>0</v>
      </c>
      <c r="BX216">
        <v>0</v>
      </c>
      <c r="BY216">
        <v>0</v>
      </c>
      <c r="BZ216">
        <v>0</v>
      </c>
      <c r="CA216">
        <v>0</v>
      </c>
      <c r="CB216">
        <v>0</v>
      </c>
      <c r="CC216">
        <v>0</v>
      </c>
      <c r="CD216">
        <v>0</v>
      </c>
      <c r="CE216" t="s">
        <v>3108</v>
      </c>
      <c r="CF216" t="s">
        <v>3108</v>
      </c>
      <c r="CG216" t="s">
        <v>3108</v>
      </c>
      <c r="CH216" t="s">
        <v>3108</v>
      </c>
    </row>
    <row r="217" spans="1:86" x14ac:dyDescent="0.2">
      <c r="A217" t="s">
        <v>3673</v>
      </c>
      <c r="B217" t="s">
        <v>3673</v>
      </c>
      <c r="C217">
        <v>30478</v>
      </c>
      <c r="D217">
        <v>1247</v>
      </c>
      <c r="E217" t="s">
        <v>3674</v>
      </c>
      <c r="F217" t="s">
        <v>3249</v>
      </c>
      <c r="G217" t="s">
        <v>3249</v>
      </c>
      <c r="H217" t="s">
        <v>3250</v>
      </c>
      <c r="I217" t="s">
        <v>3250</v>
      </c>
      <c r="J217" t="s">
        <v>3250</v>
      </c>
      <c r="K217" t="s">
        <v>3250</v>
      </c>
      <c r="L217">
        <v>1200</v>
      </c>
      <c r="M217" t="s">
        <v>2368</v>
      </c>
      <c r="N217">
        <v>1204</v>
      </c>
      <c r="O217" t="s">
        <v>1574</v>
      </c>
      <c r="P217" t="s">
        <v>3108</v>
      </c>
      <c r="Q217" t="s">
        <v>3249</v>
      </c>
      <c r="R217" t="s">
        <v>3249</v>
      </c>
      <c r="S217" t="s">
        <v>472</v>
      </c>
      <c r="T217" t="s">
        <v>3251</v>
      </c>
      <c r="U217">
        <v>140</v>
      </c>
      <c r="V217" t="s">
        <v>1327</v>
      </c>
      <c r="W217">
        <v>140</v>
      </c>
      <c r="X217" t="s">
        <v>1327</v>
      </c>
      <c r="Y217" t="s">
        <v>3250</v>
      </c>
      <c r="Z217" t="s">
        <v>3250</v>
      </c>
      <c r="AA217" t="s">
        <v>3108</v>
      </c>
      <c r="AB217" t="s">
        <v>3108</v>
      </c>
      <c r="AC217" t="s">
        <v>3250</v>
      </c>
      <c r="AD217" t="s">
        <v>3250</v>
      </c>
      <c r="AE217" t="s">
        <v>3250</v>
      </c>
      <c r="AF217" t="s">
        <v>3250</v>
      </c>
      <c r="AG217" t="s">
        <v>3250</v>
      </c>
      <c r="AH217" t="s">
        <v>3250</v>
      </c>
      <c r="AI217" t="s">
        <v>3250</v>
      </c>
      <c r="AJ217" t="s">
        <v>3250</v>
      </c>
      <c r="AL217">
        <v>146</v>
      </c>
      <c r="AM217" t="s">
        <v>5</v>
      </c>
      <c r="AN217">
        <v>146</v>
      </c>
      <c r="AO217" t="s">
        <v>5</v>
      </c>
      <c r="AS217" t="s">
        <v>3250</v>
      </c>
      <c r="AT217" t="s">
        <v>3250</v>
      </c>
      <c r="AU217" t="s">
        <v>3250</v>
      </c>
      <c r="AV217" t="s">
        <v>3250</v>
      </c>
      <c r="AW217" t="s">
        <v>3250</v>
      </c>
      <c r="AX217" t="s">
        <v>3250</v>
      </c>
      <c r="AY217" t="s">
        <v>3250</v>
      </c>
      <c r="AZ217" t="s">
        <v>3250</v>
      </c>
      <c r="BA217" t="s">
        <v>3250</v>
      </c>
      <c r="BB217" t="s">
        <v>3250</v>
      </c>
      <c r="BC217" t="s">
        <v>3250</v>
      </c>
      <c r="BE217" t="s">
        <v>3250</v>
      </c>
      <c r="BF217" t="s">
        <v>3250</v>
      </c>
      <c r="BG217" t="s">
        <v>3250</v>
      </c>
      <c r="BH217" t="s">
        <v>3250</v>
      </c>
      <c r="BI217" t="s">
        <v>3250</v>
      </c>
      <c r="BK217" t="s">
        <v>3250</v>
      </c>
      <c r="BL217" t="s">
        <v>3250</v>
      </c>
      <c r="BM217" t="s">
        <v>3250</v>
      </c>
      <c r="BN217" t="s">
        <v>3250</v>
      </c>
      <c r="BP217">
        <v>1</v>
      </c>
      <c r="BQ217">
        <v>11</v>
      </c>
      <c r="BR217" t="s">
        <v>1574</v>
      </c>
      <c r="BS217" t="s">
        <v>3252</v>
      </c>
      <c r="BV217">
        <v>0</v>
      </c>
      <c r="BW217">
        <v>0</v>
      </c>
      <c r="BX217">
        <v>0</v>
      </c>
      <c r="BY217">
        <v>0</v>
      </c>
      <c r="BZ217">
        <v>0</v>
      </c>
      <c r="CA217">
        <v>0</v>
      </c>
      <c r="CB217">
        <v>0</v>
      </c>
      <c r="CC217">
        <v>0</v>
      </c>
      <c r="CD217">
        <v>0</v>
      </c>
      <c r="CE217" t="s">
        <v>3108</v>
      </c>
      <c r="CF217" t="s">
        <v>3108</v>
      </c>
      <c r="CG217" t="s">
        <v>3108</v>
      </c>
      <c r="CH217" t="s">
        <v>3108</v>
      </c>
    </row>
    <row r="218" spans="1:86" x14ac:dyDescent="0.2">
      <c r="A218" t="s">
        <v>3675</v>
      </c>
      <c r="B218" t="s">
        <v>3675</v>
      </c>
      <c r="C218">
        <v>30479</v>
      </c>
      <c r="D218">
        <v>1248</v>
      </c>
      <c r="E218" t="s">
        <v>3676</v>
      </c>
      <c r="F218" t="s">
        <v>3249</v>
      </c>
      <c r="G218" t="s">
        <v>3249</v>
      </c>
      <c r="H218" t="s">
        <v>3250</v>
      </c>
      <c r="I218" t="s">
        <v>3250</v>
      </c>
      <c r="J218" t="s">
        <v>3250</v>
      </c>
      <c r="K218" t="s">
        <v>3250</v>
      </c>
      <c r="L218">
        <v>1200</v>
      </c>
      <c r="M218" t="s">
        <v>2368</v>
      </c>
      <c r="N218">
        <v>1204</v>
      </c>
      <c r="O218" t="s">
        <v>1574</v>
      </c>
      <c r="P218" t="s">
        <v>3108</v>
      </c>
      <c r="Q218" t="s">
        <v>3249</v>
      </c>
      <c r="R218" t="s">
        <v>3249</v>
      </c>
      <c r="S218" t="s">
        <v>472</v>
      </c>
      <c r="T218" t="s">
        <v>3251</v>
      </c>
      <c r="U218">
        <v>140</v>
      </c>
      <c r="V218" t="s">
        <v>1327</v>
      </c>
      <c r="W218">
        <v>140</v>
      </c>
      <c r="X218" t="s">
        <v>1327</v>
      </c>
      <c r="Y218" t="s">
        <v>3250</v>
      </c>
      <c r="Z218" t="s">
        <v>3250</v>
      </c>
      <c r="AA218" t="s">
        <v>3108</v>
      </c>
      <c r="AB218" t="s">
        <v>3108</v>
      </c>
      <c r="AC218" t="s">
        <v>3250</v>
      </c>
      <c r="AD218" t="s">
        <v>3250</v>
      </c>
      <c r="AE218" t="s">
        <v>3250</v>
      </c>
      <c r="AF218" t="s">
        <v>3250</v>
      </c>
      <c r="AG218" t="s">
        <v>3250</v>
      </c>
      <c r="AH218" t="s">
        <v>3250</v>
      </c>
      <c r="AI218" t="s">
        <v>3250</v>
      </c>
      <c r="AJ218" t="s">
        <v>3250</v>
      </c>
      <c r="AL218">
        <v>146</v>
      </c>
      <c r="AM218" t="s">
        <v>5</v>
      </c>
      <c r="AN218">
        <v>146</v>
      </c>
      <c r="AO218" t="s">
        <v>5</v>
      </c>
      <c r="AS218" t="s">
        <v>3250</v>
      </c>
      <c r="AT218" t="s">
        <v>3250</v>
      </c>
      <c r="AU218" t="s">
        <v>3250</v>
      </c>
      <c r="AV218" t="s">
        <v>3250</v>
      </c>
      <c r="AW218" t="s">
        <v>3250</v>
      </c>
      <c r="AX218" t="s">
        <v>3250</v>
      </c>
      <c r="AY218" t="s">
        <v>3250</v>
      </c>
      <c r="AZ218" t="s">
        <v>3250</v>
      </c>
      <c r="BA218" t="s">
        <v>3250</v>
      </c>
      <c r="BB218" t="s">
        <v>3250</v>
      </c>
      <c r="BC218" t="s">
        <v>3250</v>
      </c>
      <c r="BE218" t="s">
        <v>3250</v>
      </c>
      <c r="BF218" t="s">
        <v>3250</v>
      </c>
      <c r="BG218" t="s">
        <v>3250</v>
      </c>
      <c r="BH218" t="s">
        <v>3250</v>
      </c>
      <c r="BI218" t="s">
        <v>3250</v>
      </c>
      <c r="BK218" t="s">
        <v>3250</v>
      </c>
      <c r="BL218" t="s">
        <v>3250</v>
      </c>
      <c r="BM218" t="s">
        <v>3250</v>
      </c>
      <c r="BN218" t="s">
        <v>3250</v>
      </c>
      <c r="BP218">
        <v>1</v>
      </c>
      <c r="BQ218">
        <v>11</v>
      </c>
      <c r="BR218" t="s">
        <v>1574</v>
      </c>
      <c r="BS218" t="s">
        <v>3252</v>
      </c>
      <c r="BV218">
        <v>0</v>
      </c>
      <c r="BW218">
        <v>0</v>
      </c>
      <c r="BX218">
        <v>0</v>
      </c>
      <c r="BY218">
        <v>0</v>
      </c>
      <c r="BZ218">
        <v>0</v>
      </c>
      <c r="CA218">
        <v>0</v>
      </c>
      <c r="CB218">
        <v>0</v>
      </c>
      <c r="CC218">
        <v>0</v>
      </c>
      <c r="CD218">
        <v>0</v>
      </c>
      <c r="CE218" t="s">
        <v>3108</v>
      </c>
      <c r="CF218" t="s">
        <v>3108</v>
      </c>
      <c r="CG218" t="s">
        <v>3108</v>
      </c>
      <c r="CH218" t="s">
        <v>3108</v>
      </c>
    </row>
    <row r="219" spans="1:86" x14ac:dyDescent="0.2">
      <c r="A219" t="s">
        <v>3677</v>
      </c>
      <c r="B219" t="s">
        <v>3677</v>
      </c>
      <c r="C219">
        <v>30480</v>
      </c>
      <c r="E219" t="s">
        <v>3678</v>
      </c>
      <c r="F219" t="s">
        <v>3249</v>
      </c>
      <c r="G219" t="s">
        <v>3249</v>
      </c>
      <c r="H219" t="s">
        <v>3250</v>
      </c>
      <c r="I219" t="s">
        <v>3250</v>
      </c>
      <c r="J219" t="s">
        <v>3250</v>
      </c>
      <c r="K219" t="s">
        <v>3250</v>
      </c>
      <c r="L219">
        <v>1200</v>
      </c>
      <c r="M219" t="s">
        <v>2368</v>
      </c>
      <c r="N219">
        <v>1204</v>
      </c>
      <c r="O219" t="s">
        <v>1574</v>
      </c>
      <c r="P219" t="s">
        <v>3108</v>
      </c>
      <c r="Q219" t="s">
        <v>3249</v>
      </c>
      <c r="R219" t="s">
        <v>3249</v>
      </c>
      <c r="S219" t="s">
        <v>472</v>
      </c>
      <c r="T219" t="s">
        <v>3251</v>
      </c>
      <c r="U219">
        <v>140</v>
      </c>
      <c r="V219" t="s">
        <v>1327</v>
      </c>
      <c r="W219">
        <v>140</v>
      </c>
      <c r="X219" t="s">
        <v>1327</v>
      </c>
      <c r="Y219" t="s">
        <v>3250</v>
      </c>
      <c r="Z219" t="s">
        <v>3250</v>
      </c>
      <c r="AA219" t="s">
        <v>3108</v>
      </c>
      <c r="AB219" t="s">
        <v>3108</v>
      </c>
      <c r="AC219" t="s">
        <v>3250</v>
      </c>
      <c r="AD219" t="s">
        <v>3250</v>
      </c>
      <c r="AE219" t="s">
        <v>3250</v>
      </c>
      <c r="AF219" t="s">
        <v>3250</v>
      </c>
      <c r="AG219" t="s">
        <v>3250</v>
      </c>
      <c r="AH219" t="s">
        <v>3250</v>
      </c>
      <c r="AI219" t="s">
        <v>3250</v>
      </c>
      <c r="AJ219" t="s">
        <v>3250</v>
      </c>
      <c r="AL219">
        <v>141</v>
      </c>
      <c r="AM219" t="s">
        <v>1327</v>
      </c>
      <c r="AN219">
        <v>141</v>
      </c>
      <c r="AO219" t="s">
        <v>1327</v>
      </c>
      <c r="AS219" t="s">
        <v>3250</v>
      </c>
      <c r="AT219" t="s">
        <v>3250</v>
      </c>
      <c r="AU219" t="s">
        <v>3250</v>
      </c>
      <c r="AV219" t="s">
        <v>3250</v>
      </c>
      <c r="AW219" t="s">
        <v>3250</v>
      </c>
      <c r="AX219" t="s">
        <v>3250</v>
      </c>
      <c r="AY219" t="s">
        <v>3250</v>
      </c>
      <c r="AZ219" t="s">
        <v>3250</v>
      </c>
      <c r="BA219" t="s">
        <v>3250</v>
      </c>
      <c r="BB219" t="s">
        <v>3250</v>
      </c>
      <c r="BC219" t="s">
        <v>3250</v>
      </c>
      <c r="BE219" t="s">
        <v>3250</v>
      </c>
      <c r="BF219" t="s">
        <v>3250</v>
      </c>
      <c r="BG219" t="s">
        <v>3250</v>
      </c>
      <c r="BH219" t="s">
        <v>3250</v>
      </c>
      <c r="BI219" t="s">
        <v>3250</v>
      </c>
      <c r="BK219" t="s">
        <v>3250</v>
      </c>
      <c r="BL219" t="s">
        <v>3250</v>
      </c>
      <c r="BM219" t="s">
        <v>3250</v>
      </c>
      <c r="BN219" t="s">
        <v>3250</v>
      </c>
      <c r="BP219">
        <v>1</v>
      </c>
      <c r="BQ219">
        <v>11</v>
      </c>
      <c r="BR219" t="s">
        <v>1574</v>
      </c>
      <c r="BS219" t="s">
        <v>3252</v>
      </c>
      <c r="BV219">
        <v>0</v>
      </c>
      <c r="BW219">
        <v>0</v>
      </c>
      <c r="BX219">
        <v>0</v>
      </c>
      <c r="BY219">
        <v>0</v>
      </c>
      <c r="BZ219">
        <v>0</v>
      </c>
      <c r="CA219">
        <v>0</v>
      </c>
      <c r="CB219">
        <v>0</v>
      </c>
      <c r="CC219">
        <v>0</v>
      </c>
      <c r="CD219">
        <v>0</v>
      </c>
      <c r="CE219" t="s">
        <v>3108</v>
      </c>
      <c r="CF219" t="s">
        <v>3108</v>
      </c>
      <c r="CG219" t="s">
        <v>3108</v>
      </c>
      <c r="CH219" t="s">
        <v>3108</v>
      </c>
    </row>
    <row r="220" spans="1:86" x14ac:dyDescent="0.2">
      <c r="A220" t="s">
        <v>3679</v>
      </c>
      <c r="B220" t="s">
        <v>3679</v>
      </c>
      <c r="C220">
        <v>30482</v>
      </c>
      <c r="D220">
        <v>1251</v>
      </c>
      <c r="E220" t="s">
        <v>3680</v>
      </c>
      <c r="F220" t="s">
        <v>3249</v>
      </c>
      <c r="G220" t="s">
        <v>3249</v>
      </c>
      <c r="H220" t="s">
        <v>3250</v>
      </c>
      <c r="I220" t="s">
        <v>3250</v>
      </c>
      <c r="J220" t="s">
        <v>3250</v>
      </c>
      <c r="K220" t="s">
        <v>3250</v>
      </c>
      <c r="L220">
        <v>1200</v>
      </c>
      <c r="M220" t="s">
        <v>2368</v>
      </c>
      <c r="N220">
        <v>1204</v>
      </c>
      <c r="O220" t="s">
        <v>1574</v>
      </c>
      <c r="P220" t="s">
        <v>3108</v>
      </c>
      <c r="Q220" t="s">
        <v>3249</v>
      </c>
      <c r="R220" t="s">
        <v>3249</v>
      </c>
      <c r="S220" t="s">
        <v>472</v>
      </c>
      <c r="T220" t="s">
        <v>3251</v>
      </c>
      <c r="U220">
        <v>140</v>
      </c>
      <c r="V220" t="s">
        <v>1327</v>
      </c>
      <c r="W220">
        <v>140</v>
      </c>
      <c r="X220" t="s">
        <v>1327</v>
      </c>
      <c r="Y220" t="s">
        <v>3250</v>
      </c>
      <c r="Z220" t="s">
        <v>3250</v>
      </c>
      <c r="AA220" t="s">
        <v>3108</v>
      </c>
      <c r="AB220" t="s">
        <v>3108</v>
      </c>
      <c r="AC220" t="s">
        <v>3250</v>
      </c>
      <c r="AD220" t="s">
        <v>3250</v>
      </c>
      <c r="AE220" t="s">
        <v>3250</v>
      </c>
      <c r="AF220" t="s">
        <v>3250</v>
      </c>
      <c r="AG220" t="s">
        <v>3250</v>
      </c>
      <c r="AH220" t="s">
        <v>3250</v>
      </c>
      <c r="AI220" t="s">
        <v>3250</v>
      </c>
      <c r="AJ220" t="s">
        <v>3250</v>
      </c>
      <c r="AL220">
        <v>147</v>
      </c>
      <c r="AM220" t="s">
        <v>6</v>
      </c>
      <c r="AN220">
        <v>147</v>
      </c>
      <c r="AO220" t="s">
        <v>6</v>
      </c>
      <c r="AS220" t="s">
        <v>3250</v>
      </c>
      <c r="AT220" t="s">
        <v>3250</v>
      </c>
      <c r="AU220" t="s">
        <v>3250</v>
      </c>
      <c r="AV220" t="s">
        <v>3250</v>
      </c>
      <c r="AW220" t="s">
        <v>3250</v>
      </c>
      <c r="AX220" t="s">
        <v>3250</v>
      </c>
      <c r="AY220" t="s">
        <v>3250</v>
      </c>
      <c r="AZ220" t="s">
        <v>3250</v>
      </c>
      <c r="BA220" t="s">
        <v>3250</v>
      </c>
      <c r="BB220" t="s">
        <v>3250</v>
      </c>
      <c r="BC220" t="s">
        <v>3250</v>
      </c>
      <c r="BE220" t="s">
        <v>3250</v>
      </c>
      <c r="BF220" t="s">
        <v>3250</v>
      </c>
      <c r="BG220" t="s">
        <v>3250</v>
      </c>
      <c r="BH220" t="s">
        <v>3250</v>
      </c>
      <c r="BI220" t="s">
        <v>3250</v>
      </c>
      <c r="BK220" t="s">
        <v>3250</v>
      </c>
      <c r="BL220" t="s">
        <v>3250</v>
      </c>
      <c r="BM220" t="s">
        <v>3250</v>
      </c>
      <c r="BN220" t="s">
        <v>3250</v>
      </c>
      <c r="BP220">
        <v>1</v>
      </c>
      <c r="BQ220">
        <v>11</v>
      </c>
      <c r="BR220" t="s">
        <v>1574</v>
      </c>
      <c r="BS220" t="s">
        <v>3252</v>
      </c>
      <c r="BV220">
        <v>0</v>
      </c>
      <c r="BW220">
        <v>0</v>
      </c>
      <c r="BX220">
        <v>0</v>
      </c>
      <c r="BY220">
        <v>0</v>
      </c>
      <c r="BZ220">
        <v>0</v>
      </c>
      <c r="CA220">
        <v>0</v>
      </c>
      <c r="CB220">
        <v>0</v>
      </c>
      <c r="CC220">
        <v>0</v>
      </c>
      <c r="CD220">
        <v>0</v>
      </c>
      <c r="CE220" t="s">
        <v>3108</v>
      </c>
      <c r="CF220" t="s">
        <v>3108</v>
      </c>
      <c r="CG220" t="s">
        <v>3108</v>
      </c>
      <c r="CH220" t="s">
        <v>3108</v>
      </c>
    </row>
    <row r="221" spans="1:86" x14ac:dyDescent="0.2">
      <c r="A221" t="s">
        <v>3681</v>
      </c>
      <c r="B221" t="s">
        <v>3681</v>
      </c>
      <c r="C221">
        <v>30483</v>
      </c>
      <c r="D221">
        <v>1252</v>
      </c>
      <c r="E221" t="s">
        <v>3682</v>
      </c>
      <c r="F221" t="s">
        <v>3249</v>
      </c>
      <c r="G221" t="s">
        <v>3249</v>
      </c>
      <c r="H221" t="s">
        <v>3250</v>
      </c>
      <c r="I221" t="s">
        <v>3250</v>
      </c>
      <c r="J221" t="s">
        <v>3250</v>
      </c>
      <c r="K221" t="s">
        <v>3250</v>
      </c>
      <c r="L221">
        <v>1200</v>
      </c>
      <c r="M221" t="s">
        <v>2368</v>
      </c>
      <c r="N221">
        <v>1204</v>
      </c>
      <c r="O221" t="s">
        <v>1574</v>
      </c>
      <c r="P221" t="s">
        <v>3108</v>
      </c>
      <c r="Q221" t="s">
        <v>3249</v>
      </c>
      <c r="R221" t="s">
        <v>3249</v>
      </c>
      <c r="S221" t="s">
        <v>472</v>
      </c>
      <c r="T221" t="s">
        <v>3251</v>
      </c>
      <c r="U221">
        <v>140</v>
      </c>
      <c r="V221" t="s">
        <v>1327</v>
      </c>
      <c r="W221">
        <v>140</v>
      </c>
      <c r="X221" t="s">
        <v>1327</v>
      </c>
      <c r="Y221" t="s">
        <v>3250</v>
      </c>
      <c r="Z221" t="s">
        <v>3250</v>
      </c>
      <c r="AA221" t="s">
        <v>3108</v>
      </c>
      <c r="AB221" t="s">
        <v>3108</v>
      </c>
      <c r="AC221" t="s">
        <v>3250</v>
      </c>
      <c r="AD221" t="s">
        <v>3250</v>
      </c>
      <c r="AE221" t="s">
        <v>3250</v>
      </c>
      <c r="AF221" t="s">
        <v>3250</v>
      </c>
      <c r="AG221" t="s">
        <v>3250</v>
      </c>
      <c r="AH221" t="s">
        <v>3250</v>
      </c>
      <c r="AI221" t="s">
        <v>3250</v>
      </c>
      <c r="AJ221" t="s">
        <v>3250</v>
      </c>
      <c r="AL221">
        <v>141</v>
      </c>
      <c r="AM221" t="s">
        <v>1327</v>
      </c>
      <c r="AN221">
        <v>141</v>
      </c>
      <c r="AO221" t="s">
        <v>1327</v>
      </c>
      <c r="AS221" t="s">
        <v>3250</v>
      </c>
      <c r="AT221" t="s">
        <v>3250</v>
      </c>
      <c r="AU221" t="s">
        <v>3250</v>
      </c>
      <c r="AV221" t="s">
        <v>3250</v>
      </c>
      <c r="AW221" t="s">
        <v>3250</v>
      </c>
      <c r="AX221" t="s">
        <v>3250</v>
      </c>
      <c r="AY221" t="s">
        <v>3250</v>
      </c>
      <c r="AZ221" t="s">
        <v>3250</v>
      </c>
      <c r="BA221" t="s">
        <v>3250</v>
      </c>
      <c r="BB221" t="s">
        <v>3250</v>
      </c>
      <c r="BC221" t="s">
        <v>3250</v>
      </c>
      <c r="BE221" t="s">
        <v>3250</v>
      </c>
      <c r="BF221" t="s">
        <v>3250</v>
      </c>
      <c r="BG221" t="s">
        <v>3250</v>
      </c>
      <c r="BH221" t="s">
        <v>3250</v>
      </c>
      <c r="BI221" t="s">
        <v>3250</v>
      </c>
      <c r="BK221" t="s">
        <v>3250</v>
      </c>
      <c r="BL221" t="s">
        <v>3250</v>
      </c>
      <c r="BM221" t="s">
        <v>3250</v>
      </c>
      <c r="BN221" t="s">
        <v>3250</v>
      </c>
      <c r="BP221">
        <v>1</v>
      </c>
      <c r="BQ221">
        <v>11</v>
      </c>
      <c r="BR221" t="s">
        <v>1574</v>
      </c>
      <c r="BS221" t="s">
        <v>3252</v>
      </c>
      <c r="BV221">
        <v>0</v>
      </c>
      <c r="BW221">
        <v>0</v>
      </c>
      <c r="BX221">
        <v>0</v>
      </c>
      <c r="BY221">
        <v>0</v>
      </c>
      <c r="BZ221">
        <v>0</v>
      </c>
      <c r="CA221">
        <v>0</v>
      </c>
      <c r="CB221">
        <v>0</v>
      </c>
      <c r="CC221">
        <v>0</v>
      </c>
      <c r="CD221">
        <v>0</v>
      </c>
      <c r="CE221" t="s">
        <v>3108</v>
      </c>
      <c r="CF221" t="s">
        <v>3108</v>
      </c>
      <c r="CG221" t="s">
        <v>3108</v>
      </c>
      <c r="CH221" t="s">
        <v>3108</v>
      </c>
    </row>
    <row r="222" spans="1:86" x14ac:dyDescent="0.2">
      <c r="A222" t="s">
        <v>3683</v>
      </c>
      <c r="B222" t="s">
        <v>3683</v>
      </c>
      <c r="C222">
        <v>30485</v>
      </c>
      <c r="D222">
        <v>1254</v>
      </c>
      <c r="E222" t="s">
        <v>3684</v>
      </c>
      <c r="F222" t="s">
        <v>3249</v>
      </c>
      <c r="G222" t="s">
        <v>3249</v>
      </c>
      <c r="H222" t="s">
        <v>3250</v>
      </c>
      <c r="I222" t="s">
        <v>3250</v>
      </c>
      <c r="J222" t="s">
        <v>3250</v>
      </c>
      <c r="K222" t="s">
        <v>3250</v>
      </c>
      <c r="L222">
        <v>1200</v>
      </c>
      <c r="M222" t="s">
        <v>2368</v>
      </c>
      <c r="N222">
        <v>1204</v>
      </c>
      <c r="O222" t="s">
        <v>1574</v>
      </c>
      <c r="P222" t="s">
        <v>3108</v>
      </c>
      <c r="Q222" t="s">
        <v>3249</v>
      </c>
      <c r="R222" t="s">
        <v>3249</v>
      </c>
      <c r="S222" t="s">
        <v>472</v>
      </c>
      <c r="T222" t="s">
        <v>3251</v>
      </c>
      <c r="U222">
        <v>140</v>
      </c>
      <c r="V222" t="s">
        <v>1327</v>
      </c>
      <c r="W222">
        <v>140</v>
      </c>
      <c r="X222" t="s">
        <v>1327</v>
      </c>
      <c r="Y222" t="s">
        <v>3250</v>
      </c>
      <c r="Z222" t="s">
        <v>3250</v>
      </c>
      <c r="AA222" t="s">
        <v>3108</v>
      </c>
      <c r="AB222" t="s">
        <v>3108</v>
      </c>
      <c r="AC222" t="s">
        <v>3250</v>
      </c>
      <c r="AD222" t="s">
        <v>3250</v>
      </c>
      <c r="AE222" t="s">
        <v>3250</v>
      </c>
      <c r="AF222" t="s">
        <v>3250</v>
      </c>
      <c r="AG222" t="s">
        <v>3250</v>
      </c>
      <c r="AH222" t="s">
        <v>3250</v>
      </c>
      <c r="AI222" t="s">
        <v>3250</v>
      </c>
      <c r="AJ222" t="s">
        <v>3250</v>
      </c>
      <c r="AL222">
        <v>141</v>
      </c>
      <c r="AM222" t="s">
        <v>1327</v>
      </c>
      <c r="AN222">
        <v>141</v>
      </c>
      <c r="AO222" t="s">
        <v>1327</v>
      </c>
      <c r="AS222" t="s">
        <v>3250</v>
      </c>
      <c r="AT222" t="s">
        <v>3250</v>
      </c>
      <c r="AU222" t="s">
        <v>3250</v>
      </c>
      <c r="AV222" t="s">
        <v>3250</v>
      </c>
      <c r="AW222" t="s">
        <v>3250</v>
      </c>
      <c r="AX222" t="s">
        <v>3250</v>
      </c>
      <c r="AY222" t="s">
        <v>3250</v>
      </c>
      <c r="AZ222" t="s">
        <v>3250</v>
      </c>
      <c r="BA222" t="s">
        <v>3250</v>
      </c>
      <c r="BB222" t="s">
        <v>3250</v>
      </c>
      <c r="BC222" t="s">
        <v>3250</v>
      </c>
      <c r="BE222" t="s">
        <v>3250</v>
      </c>
      <c r="BF222" t="s">
        <v>3250</v>
      </c>
      <c r="BG222" t="s">
        <v>3250</v>
      </c>
      <c r="BH222" t="s">
        <v>3250</v>
      </c>
      <c r="BI222" t="s">
        <v>3250</v>
      </c>
      <c r="BK222" t="s">
        <v>3250</v>
      </c>
      <c r="BL222" t="s">
        <v>3250</v>
      </c>
      <c r="BM222" t="s">
        <v>3250</v>
      </c>
      <c r="BN222" t="s">
        <v>3250</v>
      </c>
      <c r="BP222">
        <v>1</v>
      </c>
      <c r="BQ222">
        <v>11</v>
      </c>
      <c r="BR222" t="s">
        <v>1574</v>
      </c>
      <c r="BS222" t="s">
        <v>3252</v>
      </c>
      <c r="BV222">
        <v>0</v>
      </c>
      <c r="BW222">
        <v>0</v>
      </c>
      <c r="BX222">
        <v>0</v>
      </c>
      <c r="BY222">
        <v>0</v>
      </c>
      <c r="BZ222">
        <v>0</v>
      </c>
      <c r="CA222">
        <v>0</v>
      </c>
      <c r="CB222">
        <v>0</v>
      </c>
      <c r="CC222">
        <v>0</v>
      </c>
      <c r="CD222">
        <v>0</v>
      </c>
      <c r="CE222" t="s">
        <v>3108</v>
      </c>
      <c r="CF222" t="s">
        <v>3108</v>
      </c>
      <c r="CG222" t="s">
        <v>3108</v>
      </c>
      <c r="CH222" t="s">
        <v>3108</v>
      </c>
    </row>
    <row r="223" spans="1:86" x14ac:dyDescent="0.2">
      <c r="A223" t="s">
        <v>3685</v>
      </c>
      <c r="B223" t="s">
        <v>3685</v>
      </c>
      <c r="C223">
        <v>30486</v>
      </c>
      <c r="D223">
        <v>1255</v>
      </c>
      <c r="E223" t="s">
        <v>3686</v>
      </c>
      <c r="F223" t="s">
        <v>3249</v>
      </c>
      <c r="G223" t="s">
        <v>3249</v>
      </c>
      <c r="H223" t="s">
        <v>3250</v>
      </c>
      <c r="I223" t="s">
        <v>3250</v>
      </c>
      <c r="J223" t="s">
        <v>3250</v>
      </c>
      <c r="K223" t="s">
        <v>3250</v>
      </c>
      <c r="L223">
        <v>1200</v>
      </c>
      <c r="M223" t="s">
        <v>2368</v>
      </c>
      <c r="N223">
        <v>1204</v>
      </c>
      <c r="O223" t="s">
        <v>1574</v>
      </c>
      <c r="P223" t="s">
        <v>3108</v>
      </c>
      <c r="Q223" t="s">
        <v>3249</v>
      </c>
      <c r="R223" t="s">
        <v>3249</v>
      </c>
      <c r="S223" t="s">
        <v>472</v>
      </c>
      <c r="T223" t="s">
        <v>3251</v>
      </c>
      <c r="U223">
        <v>140</v>
      </c>
      <c r="V223" t="s">
        <v>1327</v>
      </c>
      <c r="W223">
        <v>140</v>
      </c>
      <c r="X223" t="s">
        <v>1327</v>
      </c>
      <c r="Y223" t="s">
        <v>3250</v>
      </c>
      <c r="Z223" t="s">
        <v>3250</v>
      </c>
      <c r="AA223" t="s">
        <v>3108</v>
      </c>
      <c r="AB223" t="s">
        <v>3108</v>
      </c>
      <c r="AC223" t="s">
        <v>3250</v>
      </c>
      <c r="AD223" t="s">
        <v>3250</v>
      </c>
      <c r="AE223" t="s">
        <v>3250</v>
      </c>
      <c r="AF223" t="s">
        <v>3250</v>
      </c>
      <c r="AG223" t="s">
        <v>3250</v>
      </c>
      <c r="AH223" t="s">
        <v>3250</v>
      </c>
      <c r="AI223" t="s">
        <v>3250</v>
      </c>
      <c r="AJ223" t="s">
        <v>3250</v>
      </c>
      <c r="AL223">
        <v>146</v>
      </c>
      <c r="AM223" t="s">
        <v>5</v>
      </c>
      <c r="AN223">
        <v>146</v>
      </c>
      <c r="AO223" t="s">
        <v>5</v>
      </c>
      <c r="AS223" t="s">
        <v>3250</v>
      </c>
      <c r="AT223" t="s">
        <v>3250</v>
      </c>
      <c r="AU223" t="s">
        <v>3250</v>
      </c>
      <c r="AV223" t="s">
        <v>3250</v>
      </c>
      <c r="AW223" t="s">
        <v>3250</v>
      </c>
      <c r="AX223" t="s">
        <v>3250</v>
      </c>
      <c r="AY223" t="s">
        <v>3250</v>
      </c>
      <c r="AZ223" t="s">
        <v>3250</v>
      </c>
      <c r="BA223" t="s">
        <v>3250</v>
      </c>
      <c r="BB223" t="s">
        <v>3250</v>
      </c>
      <c r="BC223" t="s">
        <v>3250</v>
      </c>
      <c r="BE223" t="s">
        <v>3250</v>
      </c>
      <c r="BF223" t="s">
        <v>3250</v>
      </c>
      <c r="BG223" t="s">
        <v>3250</v>
      </c>
      <c r="BH223" t="s">
        <v>3250</v>
      </c>
      <c r="BI223" t="s">
        <v>3250</v>
      </c>
      <c r="BK223" t="s">
        <v>3250</v>
      </c>
      <c r="BL223" t="s">
        <v>3250</v>
      </c>
      <c r="BM223" t="s">
        <v>3250</v>
      </c>
      <c r="BN223" t="s">
        <v>3250</v>
      </c>
      <c r="BP223">
        <v>1</v>
      </c>
      <c r="BQ223">
        <v>11</v>
      </c>
      <c r="BR223" t="s">
        <v>1574</v>
      </c>
      <c r="BS223" t="s">
        <v>3252</v>
      </c>
      <c r="BV223">
        <v>0</v>
      </c>
      <c r="BW223">
        <v>0</v>
      </c>
      <c r="BX223">
        <v>0</v>
      </c>
      <c r="BY223">
        <v>0</v>
      </c>
      <c r="BZ223">
        <v>0</v>
      </c>
      <c r="CA223">
        <v>0</v>
      </c>
      <c r="CB223">
        <v>0</v>
      </c>
      <c r="CC223">
        <v>0</v>
      </c>
      <c r="CD223">
        <v>0</v>
      </c>
      <c r="CE223" t="s">
        <v>3108</v>
      </c>
      <c r="CF223" t="s">
        <v>3108</v>
      </c>
      <c r="CG223" t="s">
        <v>3108</v>
      </c>
      <c r="CH223" t="s">
        <v>3108</v>
      </c>
    </row>
    <row r="224" spans="1:86" x14ac:dyDescent="0.2">
      <c r="A224" t="s">
        <v>3687</v>
      </c>
      <c r="B224" t="s">
        <v>3687</v>
      </c>
      <c r="C224">
        <v>30487</v>
      </c>
      <c r="D224">
        <v>1256</v>
      </c>
      <c r="E224" t="s">
        <v>3688</v>
      </c>
      <c r="F224" t="s">
        <v>3249</v>
      </c>
      <c r="G224" t="s">
        <v>3249</v>
      </c>
      <c r="H224" t="s">
        <v>3250</v>
      </c>
      <c r="I224" t="s">
        <v>3250</v>
      </c>
      <c r="J224" t="s">
        <v>3250</v>
      </c>
      <c r="K224" t="s">
        <v>3250</v>
      </c>
      <c r="L224">
        <v>1200</v>
      </c>
      <c r="M224" t="s">
        <v>2368</v>
      </c>
      <c r="N224">
        <v>1204</v>
      </c>
      <c r="O224" t="s">
        <v>1574</v>
      </c>
      <c r="P224" t="s">
        <v>3108</v>
      </c>
      <c r="Q224" t="s">
        <v>3249</v>
      </c>
      <c r="R224" t="s">
        <v>3249</v>
      </c>
      <c r="S224" t="s">
        <v>472</v>
      </c>
      <c r="T224" t="s">
        <v>3251</v>
      </c>
      <c r="U224">
        <v>140</v>
      </c>
      <c r="V224" t="s">
        <v>1327</v>
      </c>
      <c r="W224">
        <v>140</v>
      </c>
      <c r="X224" t="s">
        <v>1327</v>
      </c>
      <c r="Y224" t="s">
        <v>3250</v>
      </c>
      <c r="Z224" t="s">
        <v>3250</v>
      </c>
      <c r="AA224" t="s">
        <v>3108</v>
      </c>
      <c r="AB224" t="s">
        <v>3108</v>
      </c>
      <c r="AC224" t="s">
        <v>3250</v>
      </c>
      <c r="AD224" t="s">
        <v>3250</v>
      </c>
      <c r="AE224" t="s">
        <v>3250</v>
      </c>
      <c r="AF224" t="s">
        <v>3250</v>
      </c>
      <c r="AG224" t="s">
        <v>3250</v>
      </c>
      <c r="AH224" t="s">
        <v>3250</v>
      </c>
      <c r="AI224" t="s">
        <v>3250</v>
      </c>
      <c r="AJ224" t="s">
        <v>3250</v>
      </c>
      <c r="AL224">
        <v>146</v>
      </c>
      <c r="AM224" t="s">
        <v>5</v>
      </c>
      <c r="AN224">
        <v>146</v>
      </c>
      <c r="AO224" t="s">
        <v>5</v>
      </c>
      <c r="AS224" t="s">
        <v>3250</v>
      </c>
      <c r="AT224" t="s">
        <v>3250</v>
      </c>
      <c r="AU224" t="s">
        <v>3250</v>
      </c>
      <c r="AV224" t="s">
        <v>3250</v>
      </c>
      <c r="AW224" t="s">
        <v>3250</v>
      </c>
      <c r="AX224" t="s">
        <v>3250</v>
      </c>
      <c r="AY224" t="s">
        <v>3250</v>
      </c>
      <c r="AZ224" t="s">
        <v>3250</v>
      </c>
      <c r="BA224" t="s">
        <v>3250</v>
      </c>
      <c r="BB224" t="s">
        <v>3250</v>
      </c>
      <c r="BC224" t="s">
        <v>3250</v>
      </c>
      <c r="BE224" t="s">
        <v>3250</v>
      </c>
      <c r="BF224" t="s">
        <v>3250</v>
      </c>
      <c r="BG224" t="s">
        <v>3250</v>
      </c>
      <c r="BH224" t="s">
        <v>3250</v>
      </c>
      <c r="BI224" t="s">
        <v>3250</v>
      </c>
      <c r="BK224" t="s">
        <v>3250</v>
      </c>
      <c r="BL224" t="s">
        <v>3250</v>
      </c>
      <c r="BM224" t="s">
        <v>3250</v>
      </c>
      <c r="BN224" t="s">
        <v>3250</v>
      </c>
      <c r="BP224">
        <v>1</v>
      </c>
      <c r="BQ224">
        <v>11</v>
      </c>
      <c r="BR224" t="s">
        <v>1574</v>
      </c>
      <c r="BS224" t="s">
        <v>3252</v>
      </c>
      <c r="BV224">
        <v>0</v>
      </c>
      <c r="BW224">
        <v>0</v>
      </c>
      <c r="BX224">
        <v>0</v>
      </c>
      <c r="BY224">
        <v>0</v>
      </c>
      <c r="BZ224">
        <v>0</v>
      </c>
      <c r="CA224">
        <v>0</v>
      </c>
      <c r="CB224">
        <v>0</v>
      </c>
      <c r="CC224">
        <v>0</v>
      </c>
      <c r="CD224">
        <v>0</v>
      </c>
      <c r="CE224" t="s">
        <v>3108</v>
      </c>
      <c r="CF224" t="s">
        <v>3108</v>
      </c>
      <c r="CG224" t="s">
        <v>3108</v>
      </c>
      <c r="CH224" t="s">
        <v>3108</v>
      </c>
    </row>
    <row r="225" spans="1:86" x14ac:dyDescent="0.2">
      <c r="A225" t="s">
        <v>3689</v>
      </c>
      <c r="B225" t="s">
        <v>3689</v>
      </c>
      <c r="C225">
        <v>30488</v>
      </c>
      <c r="D225">
        <v>1257</v>
      </c>
      <c r="E225" t="s">
        <v>3690</v>
      </c>
      <c r="F225" t="s">
        <v>3249</v>
      </c>
      <c r="G225" t="s">
        <v>3249</v>
      </c>
      <c r="H225" t="s">
        <v>3250</v>
      </c>
      <c r="I225" t="s">
        <v>3250</v>
      </c>
      <c r="J225" t="s">
        <v>3250</v>
      </c>
      <c r="K225" t="s">
        <v>3250</v>
      </c>
      <c r="L225">
        <v>1200</v>
      </c>
      <c r="M225" t="s">
        <v>2368</v>
      </c>
      <c r="N225">
        <v>1204</v>
      </c>
      <c r="O225" t="s">
        <v>1574</v>
      </c>
      <c r="P225" t="s">
        <v>3108</v>
      </c>
      <c r="Q225" t="s">
        <v>3249</v>
      </c>
      <c r="R225" t="s">
        <v>3249</v>
      </c>
      <c r="S225" t="s">
        <v>472</v>
      </c>
      <c r="T225" t="s">
        <v>3251</v>
      </c>
      <c r="U225">
        <v>140</v>
      </c>
      <c r="V225" t="s">
        <v>1327</v>
      </c>
      <c r="W225">
        <v>140</v>
      </c>
      <c r="X225" t="s">
        <v>1327</v>
      </c>
      <c r="Y225" t="s">
        <v>3250</v>
      </c>
      <c r="Z225" t="s">
        <v>3250</v>
      </c>
      <c r="AA225" t="s">
        <v>3108</v>
      </c>
      <c r="AB225" t="s">
        <v>3108</v>
      </c>
      <c r="AC225" t="s">
        <v>3250</v>
      </c>
      <c r="AD225" t="s">
        <v>3250</v>
      </c>
      <c r="AE225" t="s">
        <v>3250</v>
      </c>
      <c r="AF225" t="s">
        <v>3250</v>
      </c>
      <c r="AG225" t="s">
        <v>3250</v>
      </c>
      <c r="AH225" t="s">
        <v>3250</v>
      </c>
      <c r="AI225" t="s">
        <v>3250</v>
      </c>
      <c r="AJ225" t="s">
        <v>3250</v>
      </c>
      <c r="AL225">
        <v>141</v>
      </c>
      <c r="AM225" t="s">
        <v>1327</v>
      </c>
      <c r="AN225">
        <v>141</v>
      </c>
      <c r="AO225" t="s">
        <v>1327</v>
      </c>
      <c r="AS225" t="s">
        <v>3250</v>
      </c>
      <c r="AT225" t="s">
        <v>3250</v>
      </c>
      <c r="AU225" t="s">
        <v>3250</v>
      </c>
      <c r="AV225" t="s">
        <v>3250</v>
      </c>
      <c r="AW225" t="s">
        <v>3250</v>
      </c>
      <c r="AX225" t="s">
        <v>3250</v>
      </c>
      <c r="AY225" t="s">
        <v>3250</v>
      </c>
      <c r="AZ225" t="s">
        <v>3250</v>
      </c>
      <c r="BA225" t="s">
        <v>3250</v>
      </c>
      <c r="BB225" t="s">
        <v>3250</v>
      </c>
      <c r="BC225" t="s">
        <v>3250</v>
      </c>
      <c r="BE225" t="s">
        <v>3250</v>
      </c>
      <c r="BF225" t="s">
        <v>3250</v>
      </c>
      <c r="BG225" t="s">
        <v>3250</v>
      </c>
      <c r="BH225" t="s">
        <v>3250</v>
      </c>
      <c r="BI225" t="s">
        <v>3250</v>
      </c>
      <c r="BK225" t="s">
        <v>3250</v>
      </c>
      <c r="BL225" t="s">
        <v>3250</v>
      </c>
      <c r="BM225" t="s">
        <v>3250</v>
      </c>
      <c r="BN225" t="s">
        <v>3250</v>
      </c>
      <c r="BP225">
        <v>1</v>
      </c>
      <c r="BQ225">
        <v>11</v>
      </c>
      <c r="BR225" t="s">
        <v>1574</v>
      </c>
      <c r="BS225" t="s">
        <v>3252</v>
      </c>
      <c r="BV225">
        <v>0</v>
      </c>
      <c r="BW225">
        <v>0</v>
      </c>
      <c r="BX225">
        <v>0</v>
      </c>
      <c r="BY225">
        <v>0</v>
      </c>
      <c r="BZ225">
        <v>0</v>
      </c>
      <c r="CA225">
        <v>0</v>
      </c>
      <c r="CB225">
        <v>0</v>
      </c>
      <c r="CC225">
        <v>0</v>
      </c>
      <c r="CD225">
        <v>0</v>
      </c>
      <c r="CE225" t="s">
        <v>3108</v>
      </c>
      <c r="CF225" t="s">
        <v>3108</v>
      </c>
      <c r="CG225" t="s">
        <v>3108</v>
      </c>
      <c r="CH225" t="s">
        <v>3108</v>
      </c>
    </row>
    <row r="226" spans="1:86" x14ac:dyDescent="0.2">
      <c r="A226" t="s">
        <v>3691</v>
      </c>
      <c r="B226" t="s">
        <v>3691</v>
      </c>
      <c r="C226">
        <v>30490</v>
      </c>
      <c r="D226">
        <v>1259</v>
      </c>
      <c r="E226" t="s">
        <v>3692</v>
      </c>
      <c r="F226" t="s">
        <v>3249</v>
      </c>
      <c r="G226" t="s">
        <v>3249</v>
      </c>
      <c r="H226" t="s">
        <v>3250</v>
      </c>
      <c r="I226" t="s">
        <v>3250</v>
      </c>
      <c r="J226" t="s">
        <v>3250</v>
      </c>
      <c r="K226" t="s">
        <v>3250</v>
      </c>
      <c r="L226">
        <v>1200</v>
      </c>
      <c r="M226" t="s">
        <v>2368</v>
      </c>
      <c r="N226">
        <v>1204</v>
      </c>
      <c r="O226" t="s">
        <v>1574</v>
      </c>
      <c r="P226" t="s">
        <v>3108</v>
      </c>
      <c r="Q226" t="s">
        <v>3249</v>
      </c>
      <c r="R226" t="s">
        <v>3249</v>
      </c>
      <c r="S226" t="s">
        <v>472</v>
      </c>
      <c r="T226" t="s">
        <v>3251</v>
      </c>
      <c r="U226">
        <v>140</v>
      </c>
      <c r="V226" t="s">
        <v>1327</v>
      </c>
      <c r="W226">
        <v>140</v>
      </c>
      <c r="X226" t="s">
        <v>1327</v>
      </c>
      <c r="Y226" t="s">
        <v>3250</v>
      </c>
      <c r="Z226" t="s">
        <v>3250</v>
      </c>
      <c r="AA226" t="s">
        <v>3108</v>
      </c>
      <c r="AB226" t="s">
        <v>3108</v>
      </c>
      <c r="AC226" t="s">
        <v>3250</v>
      </c>
      <c r="AD226" t="s">
        <v>3250</v>
      </c>
      <c r="AE226" t="s">
        <v>3250</v>
      </c>
      <c r="AF226" t="s">
        <v>3250</v>
      </c>
      <c r="AG226" t="s">
        <v>3250</v>
      </c>
      <c r="AH226" t="s">
        <v>3250</v>
      </c>
      <c r="AI226" t="s">
        <v>3250</v>
      </c>
      <c r="AJ226" t="s">
        <v>3250</v>
      </c>
      <c r="AL226">
        <v>147</v>
      </c>
      <c r="AM226" t="s">
        <v>6</v>
      </c>
      <c r="AN226">
        <v>147</v>
      </c>
      <c r="AO226" t="s">
        <v>6</v>
      </c>
      <c r="AS226" t="s">
        <v>3250</v>
      </c>
      <c r="AT226" t="s">
        <v>3250</v>
      </c>
      <c r="AU226" t="s">
        <v>3250</v>
      </c>
      <c r="AV226" t="s">
        <v>3250</v>
      </c>
      <c r="AW226" t="s">
        <v>3250</v>
      </c>
      <c r="AX226" t="s">
        <v>3250</v>
      </c>
      <c r="AY226" t="s">
        <v>3250</v>
      </c>
      <c r="AZ226" t="s">
        <v>3250</v>
      </c>
      <c r="BA226" t="s">
        <v>3250</v>
      </c>
      <c r="BB226" t="s">
        <v>3250</v>
      </c>
      <c r="BC226" t="s">
        <v>3250</v>
      </c>
      <c r="BE226" t="s">
        <v>3250</v>
      </c>
      <c r="BF226" t="s">
        <v>3250</v>
      </c>
      <c r="BG226" t="s">
        <v>3250</v>
      </c>
      <c r="BH226" t="s">
        <v>3250</v>
      </c>
      <c r="BI226" t="s">
        <v>3250</v>
      </c>
      <c r="BK226" t="s">
        <v>3250</v>
      </c>
      <c r="BL226" t="s">
        <v>3250</v>
      </c>
      <c r="BM226" t="s">
        <v>3250</v>
      </c>
      <c r="BN226" t="s">
        <v>3250</v>
      </c>
      <c r="BP226">
        <v>1</v>
      </c>
      <c r="BQ226">
        <v>11</v>
      </c>
      <c r="BR226" t="s">
        <v>1574</v>
      </c>
      <c r="BS226" t="s">
        <v>3252</v>
      </c>
      <c r="BV226">
        <v>0</v>
      </c>
      <c r="BW226">
        <v>0</v>
      </c>
      <c r="BX226">
        <v>0</v>
      </c>
      <c r="BY226">
        <v>0</v>
      </c>
      <c r="BZ226">
        <v>0</v>
      </c>
      <c r="CA226">
        <v>0</v>
      </c>
      <c r="CB226">
        <v>0</v>
      </c>
      <c r="CC226">
        <v>0</v>
      </c>
      <c r="CD226">
        <v>0</v>
      </c>
      <c r="CE226" t="s">
        <v>3108</v>
      </c>
      <c r="CF226" t="s">
        <v>3108</v>
      </c>
      <c r="CG226" t="s">
        <v>3108</v>
      </c>
      <c r="CH226" t="s">
        <v>3108</v>
      </c>
    </row>
    <row r="227" spans="1:86" x14ac:dyDescent="0.2">
      <c r="A227" t="s">
        <v>3693</v>
      </c>
      <c r="B227" t="s">
        <v>3693</v>
      </c>
      <c r="C227">
        <v>30491</v>
      </c>
      <c r="D227">
        <v>1260</v>
      </c>
      <c r="E227" t="s">
        <v>3694</v>
      </c>
      <c r="F227" t="s">
        <v>3249</v>
      </c>
      <c r="G227" t="s">
        <v>3249</v>
      </c>
      <c r="H227" t="s">
        <v>3250</v>
      </c>
      <c r="I227" t="s">
        <v>3250</v>
      </c>
      <c r="J227" t="s">
        <v>3250</v>
      </c>
      <c r="K227" t="s">
        <v>3250</v>
      </c>
      <c r="L227">
        <v>1200</v>
      </c>
      <c r="M227" t="s">
        <v>2368</v>
      </c>
      <c r="N227">
        <v>1204</v>
      </c>
      <c r="O227" t="s">
        <v>1574</v>
      </c>
      <c r="P227" t="s">
        <v>3108</v>
      </c>
      <c r="Q227" t="s">
        <v>3249</v>
      </c>
      <c r="R227" t="s">
        <v>3249</v>
      </c>
      <c r="S227" t="s">
        <v>472</v>
      </c>
      <c r="T227" t="s">
        <v>3251</v>
      </c>
      <c r="U227">
        <v>140</v>
      </c>
      <c r="V227" t="s">
        <v>1327</v>
      </c>
      <c r="W227">
        <v>140</v>
      </c>
      <c r="X227" t="s">
        <v>1327</v>
      </c>
      <c r="Y227" t="s">
        <v>3250</v>
      </c>
      <c r="Z227" t="s">
        <v>3250</v>
      </c>
      <c r="AA227" t="s">
        <v>3108</v>
      </c>
      <c r="AB227" t="s">
        <v>3108</v>
      </c>
      <c r="AC227" t="s">
        <v>3250</v>
      </c>
      <c r="AD227" t="s">
        <v>3250</v>
      </c>
      <c r="AE227" t="s">
        <v>3250</v>
      </c>
      <c r="AF227" t="s">
        <v>3250</v>
      </c>
      <c r="AG227" t="s">
        <v>3250</v>
      </c>
      <c r="AH227" t="s">
        <v>3250</v>
      </c>
      <c r="AI227" t="s">
        <v>3250</v>
      </c>
      <c r="AJ227" t="s">
        <v>3250</v>
      </c>
      <c r="AL227">
        <v>141</v>
      </c>
      <c r="AM227" t="s">
        <v>1327</v>
      </c>
      <c r="AN227">
        <v>141</v>
      </c>
      <c r="AO227" t="s">
        <v>1327</v>
      </c>
      <c r="AS227" t="s">
        <v>3250</v>
      </c>
      <c r="AT227" t="s">
        <v>3250</v>
      </c>
      <c r="AU227" t="s">
        <v>3250</v>
      </c>
      <c r="AV227" t="s">
        <v>3250</v>
      </c>
      <c r="AW227" t="s">
        <v>3250</v>
      </c>
      <c r="AX227" t="s">
        <v>3250</v>
      </c>
      <c r="AY227" t="s">
        <v>3250</v>
      </c>
      <c r="AZ227" t="s">
        <v>3250</v>
      </c>
      <c r="BA227" t="s">
        <v>3250</v>
      </c>
      <c r="BB227" t="s">
        <v>3250</v>
      </c>
      <c r="BC227" t="s">
        <v>3250</v>
      </c>
      <c r="BE227" t="s">
        <v>3250</v>
      </c>
      <c r="BF227" t="s">
        <v>3250</v>
      </c>
      <c r="BG227" t="s">
        <v>3250</v>
      </c>
      <c r="BH227" t="s">
        <v>3250</v>
      </c>
      <c r="BI227" t="s">
        <v>3250</v>
      </c>
      <c r="BK227" t="s">
        <v>3250</v>
      </c>
      <c r="BL227" t="s">
        <v>3250</v>
      </c>
      <c r="BM227" t="s">
        <v>3250</v>
      </c>
      <c r="BN227" t="s">
        <v>3250</v>
      </c>
      <c r="BP227">
        <v>1</v>
      </c>
      <c r="BQ227">
        <v>11</v>
      </c>
      <c r="BR227" t="s">
        <v>1574</v>
      </c>
      <c r="BS227" t="s">
        <v>3252</v>
      </c>
      <c r="BV227">
        <v>0</v>
      </c>
      <c r="BW227">
        <v>0</v>
      </c>
      <c r="BX227">
        <v>0</v>
      </c>
      <c r="BY227">
        <v>0</v>
      </c>
      <c r="BZ227">
        <v>0</v>
      </c>
      <c r="CA227">
        <v>0</v>
      </c>
      <c r="CB227">
        <v>0</v>
      </c>
      <c r="CC227">
        <v>0</v>
      </c>
      <c r="CD227">
        <v>0</v>
      </c>
      <c r="CE227" t="s">
        <v>3108</v>
      </c>
      <c r="CF227" t="s">
        <v>3108</v>
      </c>
      <c r="CG227" t="s">
        <v>3108</v>
      </c>
      <c r="CH227" t="s">
        <v>3108</v>
      </c>
    </row>
    <row r="228" spans="1:86" x14ac:dyDescent="0.2">
      <c r="A228" t="s">
        <v>3695</v>
      </c>
      <c r="B228" t="s">
        <v>3695</v>
      </c>
      <c r="C228">
        <v>30493</v>
      </c>
      <c r="D228">
        <v>1262</v>
      </c>
      <c r="E228" t="s">
        <v>3696</v>
      </c>
      <c r="F228" t="s">
        <v>3249</v>
      </c>
      <c r="G228" t="s">
        <v>3249</v>
      </c>
      <c r="H228" t="s">
        <v>3250</v>
      </c>
      <c r="I228" t="s">
        <v>3250</v>
      </c>
      <c r="J228" t="s">
        <v>3250</v>
      </c>
      <c r="K228" t="s">
        <v>3250</v>
      </c>
      <c r="L228">
        <v>1200</v>
      </c>
      <c r="M228" t="s">
        <v>2368</v>
      </c>
      <c r="N228">
        <v>1204</v>
      </c>
      <c r="O228" t="s">
        <v>1574</v>
      </c>
      <c r="P228" t="s">
        <v>3108</v>
      </c>
      <c r="Q228" t="s">
        <v>3249</v>
      </c>
      <c r="R228" t="s">
        <v>3249</v>
      </c>
      <c r="S228" t="s">
        <v>472</v>
      </c>
      <c r="T228" t="s">
        <v>3251</v>
      </c>
      <c r="U228">
        <v>140</v>
      </c>
      <c r="V228" t="s">
        <v>1327</v>
      </c>
      <c r="W228">
        <v>140</v>
      </c>
      <c r="X228" t="s">
        <v>1327</v>
      </c>
      <c r="Y228" t="s">
        <v>3250</v>
      </c>
      <c r="Z228" t="s">
        <v>3250</v>
      </c>
      <c r="AA228" t="s">
        <v>3108</v>
      </c>
      <c r="AB228" t="s">
        <v>3108</v>
      </c>
      <c r="AC228" t="s">
        <v>3250</v>
      </c>
      <c r="AD228" t="s">
        <v>3250</v>
      </c>
      <c r="AE228" t="s">
        <v>3250</v>
      </c>
      <c r="AF228" t="s">
        <v>3250</v>
      </c>
      <c r="AG228" t="s">
        <v>3250</v>
      </c>
      <c r="AH228" t="s">
        <v>3250</v>
      </c>
      <c r="AI228" t="s">
        <v>3250</v>
      </c>
      <c r="AJ228" t="s">
        <v>3250</v>
      </c>
      <c r="AL228">
        <v>141</v>
      </c>
      <c r="AM228" t="s">
        <v>1327</v>
      </c>
      <c r="AN228">
        <v>141</v>
      </c>
      <c r="AO228" t="s">
        <v>1327</v>
      </c>
      <c r="AS228" t="s">
        <v>3250</v>
      </c>
      <c r="AT228" t="s">
        <v>3250</v>
      </c>
      <c r="AU228" t="s">
        <v>3250</v>
      </c>
      <c r="AV228" t="s">
        <v>3250</v>
      </c>
      <c r="AW228" t="s">
        <v>3250</v>
      </c>
      <c r="AX228" t="s">
        <v>3250</v>
      </c>
      <c r="AY228" t="s">
        <v>3250</v>
      </c>
      <c r="AZ228" t="s">
        <v>3250</v>
      </c>
      <c r="BA228" t="s">
        <v>3250</v>
      </c>
      <c r="BB228" t="s">
        <v>3250</v>
      </c>
      <c r="BC228" t="s">
        <v>3250</v>
      </c>
      <c r="BE228" t="s">
        <v>3250</v>
      </c>
      <c r="BF228" t="s">
        <v>3250</v>
      </c>
      <c r="BG228" t="s">
        <v>3250</v>
      </c>
      <c r="BH228" t="s">
        <v>3250</v>
      </c>
      <c r="BI228" t="s">
        <v>3250</v>
      </c>
      <c r="BK228" t="s">
        <v>3250</v>
      </c>
      <c r="BL228" t="s">
        <v>3250</v>
      </c>
      <c r="BM228" t="s">
        <v>3250</v>
      </c>
      <c r="BN228" t="s">
        <v>3250</v>
      </c>
      <c r="BP228">
        <v>1</v>
      </c>
      <c r="BQ228">
        <v>11</v>
      </c>
      <c r="BR228" t="s">
        <v>1574</v>
      </c>
      <c r="BS228" t="s">
        <v>3252</v>
      </c>
      <c r="BV228">
        <v>0</v>
      </c>
      <c r="BW228">
        <v>0</v>
      </c>
      <c r="BX228">
        <v>0</v>
      </c>
      <c r="BY228">
        <v>0</v>
      </c>
      <c r="BZ228">
        <v>0</v>
      </c>
      <c r="CA228">
        <v>0</v>
      </c>
      <c r="CB228">
        <v>0</v>
      </c>
      <c r="CC228">
        <v>0</v>
      </c>
      <c r="CD228">
        <v>0</v>
      </c>
      <c r="CE228" t="s">
        <v>3108</v>
      </c>
      <c r="CF228" t="s">
        <v>3108</v>
      </c>
      <c r="CG228" t="s">
        <v>3108</v>
      </c>
      <c r="CH228" t="s">
        <v>3108</v>
      </c>
    </row>
    <row r="229" spans="1:86" x14ac:dyDescent="0.2">
      <c r="A229" t="s">
        <v>3697</v>
      </c>
      <c r="B229" t="s">
        <v>3697</v>
      </c>
      <c r="C229">
        <v>30494</v>
      </c>
      <c r="D229">
        <v>1263</v>
      </c>
      <c r="E229" t="s">
        <v>3698</v>
      </c>
      <c r="F229" t="s">
        <v>3249</v>
      </c>
      <c r="G229" t="s">
        <v>3249</v>
      </c>
      <c r="H229" t="s">
        <v>3250</v>
      </c>
      <c r="I229" t="s">
        <v>3250</v>
      </c>
      <c r="J229" t="s">
        <v>3250</v>
      </c>
      <c r="K229" t="s">
        <v>3250</v>
      </c>
      <c r="L229">
        <v>1200</v>
      </c>
      <c r="M229" t="s">
        <v>2368</v>
      </c>
      <c r="N229">
        <v>1204</v>
      </c>
      <c r="O229" t="s">
        <v>1574</v>
      </c>
      <c r="P229" t="s">
        <v>3108</v>
      </c>
      <c r="Q229" t="s">
        <v>3249</v>
      </c>
      <c r="R229" t="s">
        <v>3249</v>
      </c>
      <c r="S229" t="s">
        <v>472</v>
      </c>
      <c r="T229" t="s">
        <v>3251</v>
      </c>
      <c r="U229">
        <v>140</v>
      </c>
      <c r="V229" t="s">
        <v>1327</v>
      </c>
      <c r="W229">
        <v>140</v>
      </c>
      <c r="X229" t="s">
        <v>1327</v>
      </c>
      <c r="Y229" t="s">
        <v>3250</v>
      </c>
      <c r="Z229" t="s">
        <v>3250</v>
      </c>
      <c r="AA229" t="s">
        <v>3108</v>
      </c>
      <c r="AB229" t="s">
        <v>3108</v>
      </c>
      <c r="AC229" t="s">
        <v>3250</v>
      </c>
      <c r="AD229" t="s">
        <v>3250</v>
      </c>
      <c r="AE229" t="s">
        <v>3250</v>
      </c>
      <c r="AF229" t="s">
        <v>3250</v>
      </c>
      <c r="AG229" t="s">
        <v>3250</v>
      </c>
      <c r="AH229" t="s">
        <v>3250</v>
      </c>
      <c r="AI229" t="s">
        <v>3250</v>
      </c>
      <c r="AJ229" t="s">
        <v>3250</v>
      </c>
      <c r="AL229">
        <v>146</v>
      </c>
      <c r="AM229" t="s">
        <v>5</v>
      </c>
      <c r="AN229">
        <v>146</v>
      </c>
      <c r="AO229" t="s">
        <v>5</v>
      </c>
      <c r="AS229" t="s">
        <v>3250</v>
      </c>
      <c r="AT229" t="s">
        <v>3250</v>
      </c>
      <c r="AU229" t="s">
        <v>3250</v>
      </c>
      <c r="AV229" t="s">
        <v>3250</v>
      </c>
      <c r="AW229" t="s">
        <v>3250</v>
      </c>
      <c r="AX229" t="s">
        <v>3250</v>
      </c>
      <c r="AY229" t="s">
        <v>3250</v>
      </c>
      <c r="AZ229" t="s">
        <v>3250</v>
      </c>
      <c r="BA229" t="s">
        <v>3250</v>
      </c>
      <c r="BB229" t="s">
        <v>3250</v>
      </c>
      <c r="BC229" t="s">
        <v>3250</v>
      </c>
      <c r="BE229" t="s">
        <v>3250</v>
      </c>
      <c r="BF229" t="s">
        <v>3250</v>
      </c>
      <c r="BG229" t="s">
        <v>3250</v>
      </c>
      <c r="BH229" t="s">
        <v>3250</v>
      </c>
      <c r="BI229" t="s">
        <v>3250</v>
      </c>
      <c r="BK229" t="s">
        <v>3250</v>
      </c>
      <c r="BL229" t="s">
        <v>3250</v>
      </c>
      <c r="BM229" t="s">
        <v>3250</v>
      </c>
      <c r="BN229" t="s">
        <v>3250</v>
      </c>
      <c r="BP229">
        <v>1</v>
      </c>
      <c r="BQ229">
        <v>11</v>
      </c>
      <c r="BR229" t="s">
        <v>1574</v>
      </c>
      <c r="BS229" t="s">
        <v>3252</v>
      </c>
      <c r="BV229">
        <v>0</v>
      </c>
      <c r="BW229">
        <v>0</v>
      </c>
      <c r="BX229">
        <v>0</v>
      </c>
      <c r="BY229">
        <v>0</v>
      </c>
      <c r="BZ229">
        <v>0</v>
      </c>
      <c r="CA229">
        <v>0</v>
      </c>
      <c r="CB229">
        <v>0</v>
      </c>
      <c r="CC229">
        <v>0</v>
      </c>
      <c r="CD229">
        <v>0</v>
      </c>
      <c r="CE229" t="s">
        <v>3108</v>
      </c>
      <c r="CF229" t="s">
        <v>3108</v>
      </c>
      <c r="CG229" t="s">
        <v>3108</v>
      </c>
      <c r="CH229" t="s">
        <v>3108</v>
      </c>
    </row>
    <row r="230" spans="1:86" x14ac:dyDescent="0.2">
      <c r="A230" t="s">
        <v>3699</v>
      </c>
      <c r="B230" t="s">
        <v>3699</v>
      </c>
      <c r="C230">
        <v>30495</v>
      </c>
      <c r="D230">
        <v>1264</v>
      </c>
      <c r="E230" t="s">
        <v>3700</v>
      </c>
      <c r="F230" t="s">
        <v>3249</v>
      </c>
      <c r="G230" t="s">
        <v>3249</v>
      </c>
      <c r="H230" t="s">
        <v>3250</v>
      </c>
      <c r="I230" t="s">
        <v>3250</v>
      </c>
      <c r="J230" t="s">
        <v>3250</v>
      </c>
      <c r="K230" t="s">
        <v>3250</v>
      </c>
      <c r="L230">
        <v>1200</v>
      </c>
      <c r="M230" t="s">
        <v>2368</v>
      </c>
      <c r="N230">
        <v>1204</v>
      </c>
      <c r="O230" t="s">
        <v>1574</v>
      </c>
      <c r="P230" t="s">
        <v>3108</v>
      </c>
      <c r="Q230" t="s">
        <v>3249</v>
      </c>
      <c r="R230" t="s">
        <v>3249</v>
      </c>
      <c r="S230" t="s">
        <v>472</v>
      </c>
      <c r="T230" t="s">
        <v>3251</v>
      </c>
      <c r="U230">
        <v>140</v>
      </c>
      <c r="V230" t="s">
        <v>1327</v>
      </c>
      <c r="W230">
        <v>140</v>
      </c>
      <c r="X230" t="s">
        <v>1327</v>
      </c>
      <c r="Y230" t="s">
        <v>3250</v>
      </c>
      <c r="Z230" t="s">
        <v>3250</v>
      </c>
      <c r="AA230" t="s">
        <v>3108</v>
      </c>
      <c r="AB230" t="s">
        <v>3108</v>
      </c>
      <c r="AC230" t="s">
        <v>3250</v>
      </c>
      <c r="AD230" t="s">
        <v>3250</v>
      </c>
      <c r="AE230" t="s">
        <v>3250</v>
      </c>
      <c r="AF230" t="s">
        <v>3250</v>
      </c>
      <c r="AG230" t="s">
        <v>3250</v>
      </c>
      <c r="AH230" t="s">
        <v>3250</v>
      </c>
      <c r="AI230" t="s">
        <v>3250</v>
      </c>
      <c r="AJ230" t="s">
        <v>3250</v>
      </c>
      <c r="AL230">
        <v>146</v>
      </c>
      <c r="AM230" t="s">
        <v>5</v>
      </c>
      <c r="AN230">
        <v>146</v>
      </c>
      <c r="AO230" t="s">
        <v>5</v>
      </c>
      <c r="AS230" t="s">
        <v>3250</v>
      </c>
      <c r="AT230" t="s">
        <v>3250</v>
      </c>
      <c r="AU230" t="s">
        <v>3250</v>
      </c>
      <c r="AV230" t="s">
        <v>3250</v>
      </c>
      <c r="AW230" t="s">
        <v>3250</v>
      </c>
      <c r="AX230" t="s">
        <v>3250</v>
      </c>
      <c r="AY230" t="s">
        <v>3250</v>
      </c>
      <c r="AZ230" t="s">
        <v>3250</v>
      </c>
      <c r="BA230" t="s">
        <v>3250</v>
      </c>
      <c r="BB230" t="s">
        <v>3250</v>
      </c>
      <c r="BC230" t="s">
        <v>3250</v>
      </c>
      <c r="BE230" t="s">
        <v>3250</v>
      </c>
      <c r="BF230" t="s">
        <v>3250</v>
      </c>
      <c r="BG230" t="s">
        <v>3250</v>
      </c>
      <c r="BH230" t="s">
        <v>3250</v>
      </c>
      <c r="BI230" t="s">
        <v>3250</v>
      </c>
      <c r="BK230" t="s">
        <v>3250</v>
      </c>
      <c r="BL230" t="s">
        <v>3250</v>
      </c>
      <c r="BM230" t="s">
        <v>3250</v>
      </c>
      <c r="BN230" t="s">
        <v>3250</v>
      </c>
      <c r="BP230">
        <v>1</v>
      </c>
      <c r="BQ230">
        <v>11</v>
      </c>
      <c r="BR230" t="s">
        <v>1574</v>
      </c>
      <c r="BS230" t="s">
        <v>3252</v>
      </c>
      <c r="BV230">
        <v>0</v>
      </c>
      <c r="BW230">
        <v>0</v>
      </c>
      <c r="BX230">
        <v>0</v>
      </c>
      <c r="BY230">
        <v>0</v>
      </c>
      <c r="BZ230">
        <v>0</v>
      </c>
      <c r="CA230">
        <v>0</v>
      </c>
      <c r="CB230">
        <v>0</v>
      </c>
      <c r="CC230">
        <v>0</v>
      </c>
      <c r="CD230">
        <v>0</v>
      </c>
      <c r="CE230" t="s">
        <v>3108</v>
      </c>
      <c r="CF230" t="s">
        <v>3108</v>
      </c>
      <c r="CG230" t="s">
        <v>3108</v>
      </c>
      <c r="CH230" t="s">
        <v>3108</v>
      </c>
    </row>
    <row r="231" spans="1:86" x14ac:dyDescent="0.2">
      <c r="A231" t="s">
        <v>3701</v>
      </c>
      <c r="B231" t="s">
        <v>3701</v>
      </c>
      <c r="C231">
        <v>30496</v>
      </c>
      <c r="D231">
        <v>1265</v>
      </c>
      <c r="E231" t="s">
        <v>3702</v>
      </c>
      <c r="F231" t="s">
        <v>3249</v>
      </c>
      <c r="G231" t="s">
        <v>3249</v>
      </c>
      <c r="H231" t="s">
        <v>3250</v>
      </c>
      <c r="I231" t="s">
        <v>3250</v>
      </c>
      <c r="J231" t="s">
        <v>3250</v>
      </c>
      <c r="K231" t="s">
        <v>3250</v>
      </c>
      <c r="L231">
        <v>1200</v>
      </c>
      <c r="M231" t="s">
        <v>2368</v>
      </c>
      <c r="N231">
        <v>1204</v>
      </c>
      <c r="O231" t="s">
        <v>1574</v>
      </c>
      <c r="P231" t="s">
        <v>3108</v>
      </c>
      <c r="Q231" t="s">
        <v>3249</v>
      </c>
      <c r="R231" t="s">
        <v>3249</v>
      </c>
      <c r="S231" t="s">
        <v>472</v>
      </c>
      <c r="T231" t="s">
        <v>3251</v>
      </c>
      <c r="U231">
        <v>140</v>
      </c>
      <c r="V231" t="s">
        <v>1327</v>
      </c>
      <c r="W231">
        <v>140</v>
      </c>
      <c r="X231" t="s">
        <v>1327</v>
      </c>
      <c r="Y231" t="s">
        <v>3250</v>
      </c>
      <c r="Z231" t="s">
        <v>3250</v>
      </c>
      <c r="AA231" t="s">
        <v>3108</v>
      </c>
      <c r="AB231" t="s">
        <v>3108</v>
      </c>
      <c r="AC231" t="s">
        <v>3250</v>
      </c>
      <c r="AD231" t="s">
        <v>3250</v>
      </c>
      <c r="AE231" t="s">
        <v>3250</v>
      </c>
      <c r="AF231" t="s">
        <v>3250</v>
      </c>
      <c r="AG231" t="s">
        <v>3250</v>
      </c>
      <c r="AH231" t="s">
        <v>3250</v>
      </c>
      <c r="AI231" t="s">
        <v>3250</v>
      </c>
      <c r="AJ231" t="s">
        <v>3250</v>
      </c>
      <c r="AL231">
        <v>141</v>
      </c>
      <c r="AM231" t="s">
        <v>1327</v>
      </c>
      <c r="AN231">
        <v>141</v>
      </c>
      <c r="AO231" t="s">
        <v>1327</v>
      </c>
      <c r="AS231" t="s">
        <v>3250</v>
      </c>
      <c r="AT231" t="s">
        <v>3250</v>
      </c>
      <c r="AU231" t="s">
        <v>3250</v>
      </c>
      <c r="AV231" t="s">
        <v>3250</v>
      </c>
      <c r="AW231" t="s">
        <v>3250</v>
      </c>
      <c r="AX231" t="s">
        <v>3250</v>
      </c>
      <c r="AY231" t="s">
        <v>3250</v>
      </c>
      <c r="AZ231" t="s">
        <v>3250</v>
      </c>
      <c r="BA231" t="s">
        <v>3250</v>
      </c>
      <c r="BB231" t="s">
        <v>3250</v>
      </c>
      <c r="BC231" t="s">
        <v>3250</v>
      </c>
      <c r="BE231" t="s">
        <v>3250</v>
      </c>
      <c r="BF231" t="s">
        <v>3250</v>
      </c>
      <c r="BG231" t="s">
        <v>3250</v>
      </c>
      <c r="BH231" t="s">
        <v>3250</v>
      </c>
      <c r="BI231" t="s">
        <v>3250</v>
      </c>
      <c r="BK231" t="s">
        <v>3250</v>
      </c>
      <c r="BL231" t="s">
        <v>3250</v>
      </c>
      <c r="BM231" t="s">
        <v>3250</v>
      </c>
      <c r="BN231" t="s">
        <v>3250</v>
      </c>
      <c r="BP231">
        <v>1</v>
      </c>
      <c r="BQ231">
        <v>11</v>
      </c>
      <c r="BR231" t="s">
        <v>1574</v>
      </c>
      <c r="BS231" t="s">
        <v>3252</v>
      </c>
      <c r="BV231">
        <v>0</v>
      </c>
      <c r="BW231">
        <v>0</v>
      </c>
      <c r="BX231">
        <v>0</v>
      </c>
      <c r="BY231">
        <v>0</v>
      </c>
      <c r="BZ231">
        <v>0</v>
      </c>
      <c r="CA231">
        <v>0</v>
      </c>
      <c r="CB231">
        <v>0</v>
      </c>
      <c r="CC231">
        <v>0</v>
      </c>
      <c r="CD231">
        <v>0</v>
      </c>
      <c r="CE231" t="s">
        <v>3108</v>
      </c>
      <c r="CF231" t="s">
        <v>3108</v>
      </c>
      <c r="CG231" t="s">
        <v>3108</v>
      </c>
      <c r="CH231" t="s">
        <v>3108</v>
      </c>
    </row>
    <row r="232" spans="1:86" x14ac:dyDescent="0.2">
      <c r="A232" t="s">
        <v>3703</v>
      </c>
      <c r="B232" t="s">
        <v>3703</v>
      </c>
      <c r="C232">
        <v>30497</v>
      </c>
      <c r="D232">
        <v>1266</v>
      </c>
      <c r="E232" t="s">
        <v>3704</v>
      </c>
      <c r="F232" t="s">
        <v>3249</v>
      </c>
      <c r="G232" t="s">
        <v>3249</v>
      </c>
      <c r="H232" t="s">
        <v>3250</v>
      </c>
      <c r="I232" t="s">
        <v>3250</v>
      </c>
      <c r="J232" t="s">
        <v>3250</v>
      </c>
      <c r="K232" t="s">
        <v>3250</v>
      </c>
      <c r="L232">
        <v>1200</v>
      </c>
      <c r="M232" t="s">
        <v>2368</v>
      </c>
      <c r="N232">
        <v>1204</v>
      </c>
      <c r="O232" t="s">
        <v>1574</v>
      </c>
      <c r="P232" t="s">
        <v>3108</v>
      </c>
      <c r="Q232" t="s">
        <v>3249</v>
      </c>
      <c r="R232" t="s">
        <v>3249</v>
      </c>
      <c r="S232" t="s">
        <v>472</v>
      </c>
      <c r="T232" t="s">
        <v>3251</v>
      </c>
      <c r="U232">
        <v>140</v>
      </c>
      <c r="V232" t="s">
        <v>1327</v>
      </c>
      <c r="W232">
        <v>140</v>
      </c>
      <c r="X232" t="s">
        <v>1327</v>
      </c>
      <c r="Y232" t="s">
        <v>3250</v>
      </c>
      <c r="Z232" t="s">
        <v>3250</v>
      </c>
      <c r="AA232" t="s">
        <v>3108</v>
      </c>
      <c r="AB232" t="s">
        <v>3108</v>
      </c>
      <c r="AC232" t="s">
        <v>3250</v>
      </c>
      <c r="AD232" t="s">
        <v>3250</v>
      </c>
      <c r="AE232" t="s">
        <v>3250</v>
      </c>
      <c r="AF232" t="s">
        <v>3250</v>
      </c>
      <c r="AG232" t="s">
        <v>3250</v>
      </c>
      <c r="AH232" t="s">
        <v>3250</v>
      </c>
      <c r="AI232" t="s">
        <v>3250</v>
      </c>
      <c r="AJ232" t="s">
        <v>3250</v>
      </c>
      <c r="AL232">
        <v>141</v>
      </c>
      <c r="AM232" t="s">
        <v>1327</v>
      </c>
      <c r="AN232">
        <v>141</v>
      </c>
      <c r="AO232" t="s">
        <v>1327</v>
      </c>
      <c r="AS232" t="s">
        <v>3250</v>
      </c>
      <c r="AT232" t="s">
        <v>3250</v>
      </c>
      <c r="AU232" t="s">
        <v>3250</v>
      </c>
      <c r="AV232" t="s">
        <v>3250</v>
      </c>
      <c r="AW232" t="s">
        <v>3250</v>
      </c>
      <c r="AX232" t="s">
        <v>3250</v>
      </c>
      <c r="AY232" t="s">
        <v>3250</v>
      </c>
      <c r="AZ232" t="s">
        <v>3250</v>
      </c>
      <c r="BA232" t="s">
        <v>3250</v>
      </c>
      <c r="BB232" t="s">
        <v>3250</v>
      </c>
      <c r="BC232" t="s">
        <v>3250</v>
      </c>
      <c r="BE232" t="s">
        <v>3250</v>
      </c>
      <c r="BF232" t="s">
        <v>3250</v>
      </c>
      <c r="BG232" t="s">
        <v>3250</v>
      </c>
      <c r="BH232" t="s">
        <v>3250</v>
      </c>
      <c r="BI232" t="s">
        <v>3250</v>
      </c>
      <c r="BK232" t="s">
        <v>3250</v>
      </c>
      <c r="BL232" t="s">
        <v>3250</v>
      </c>
      <c r="BM232" t="s">
        <v>3250</v>
      </c>
      <c r="BN232" t="s">
        <v>3250</v>
      </c>
      <c r="BP232">
        <v>1</v>
      </c>
      <c r="BQ232">
        <v>11</v>
      </c>
      <c r="BR232" t="s">
        <v>1574</v>
      </c>
      <c r="BS232" t="s">
        <v>3252</v>
      </c>
      <c r="BV232">
        <v>0</v>
      </c>
      <c r="BW232">
        <v>0</v>
      </c>
      <c r="BX232">
        <v>0</v>
      </c>
      <c r="BY232">
        <v>0</v>
      </c>
      <c r="BZ232">
        <v>0</v>
      </c>
      <c r="CA232">
        <v>0</v>
      </c>
      <c r="CB232">
        <v>0</v>
      </c>
      <c r="CC232">
        <v>0</v>
      </c>
      <c r="CD232">
        <v>0</v>
      </c>
      <c r="CE232" t="s">
        <v>3108</v>
      </c>
      <c r="CF232" t="s">
        <v>3108</v>
      </c>
      <c r="CG232" t="s">
        <v>3108</v>
      </c>
      <c r="CH232" t="s">
        <v>3108</v>
      </c>
    </row>
    <row r="233" spans="1:86" x14ac:dyDescent="0.2">
      <c r="A233" t="s">
        <v>3705</v>
      </c>
      <c r="B233" t="s">
        <v>3705</v>
      </c>
      <c r="C233">
        <v>30498</v>
      </c>
      <c r="D233">
        <v>1267</v>
      </c>
      <c r="E233" t="s">
        <v>3706</v>
      </c>
      <c r="F233" t="s">
        <v>3249</v>
      </c>
      <c r="G233" t="s">
        <v>3249</v>
      </c>
      <c r="H233" t="s">
        <v>3250</v>
      </c>
      <c r="I233" t="s">
        <v>3250</v>
      </c>
      <c r="J233" t="s">
        <v>3250</v>
      </c>
      <c r="K233" t="s">
        <v>3250</v>
      </c>
      <c r="L233">
        <v>1200</v>
      </c>
      <c r="M233" t="s">
        <v>2368</v>
      </c>
      <c r="N233">
        <v>1204</v>
      </c>
      <c r="O233" t="s">
        <v>1574</v>
      </c>
      <c r="P233" t="s">
        <v>3108</v>
      </c>
      <c r="Q233" t="s">
        <v>3249</v>
      </c>
      <c r="R233" t="s">
        <v>3249</v>
      </c>
      <c r="S233" t="s">
        <v>472</v>
      </c>
      <c r="T233" t="s">
        <v>3251</v>
      </c>
      <c r="U233">
        <v>140</v>
      </c>
      <c r="V233" t="s">
        <v>1327</v>
      </c>
      <c r="W233">
        <v>140</v>
      </c>
      <c r="X233" t="s">
        <v>1327</v>
      </c>
      <c r="Y233" t="s">
        <v>3250</v>
      </c>
      <c r="Z233" t="s">
        <v>3250</v>
      </c>
      <c r="AA233" t="s">
        <v>3108</v>
      </c>
      <c r="AB233" t="s">
        <v>3108</v>
      </c>
      <c r="AC233" t="s">
        <v>3250</v>
      </c>
      <c r="AD233" t="s">
        <v>3250</v>
      </c>
      <c r="AE233" t="s">
        <v>3250</v>
      </c>
      <c r="AF233" t="s">
        <v>3250</v>
      </c>
      <c r="AG233" t="s">
        <v>3250</v>
      </c>
      <c r="AH233" t="s">
        <v>3250</v>
      </c>
      <c r="AI233" t="s">
        <v>3250</v>
      </c>
      <c r="AJ233" t="s">
        <v>3250</v>
      </c>
      <c r="AL233">
        <v>147</v>
      </c>
      <c r="AM233" t="s">
        <v>6</v>
      </c>
      <c r="AN233">
        <v>147</v>
      </c>
      <c r="AO233" t="s">
        <v>6</v>
      </c>
      <c r="AS233" t="s">
        <v>3250</v>
      </c>
      <c r="AT233" t="s">
        <v>3250</v>
      </c>
      <c r="AU233" t="s">
        <v>3250</v>
      </c>
      <c r="AV233" t="s">
        <v>3250</v>
      </c>
      <c r="AW233" t="s">
        <v>3250</v>
      </c>
      <c r="AX233" t="s">
        <v>3250</v>
      </c>
      <c r="AY233" t="s">
        <v>3250</v>
      </c>
      <c r="AZ233" t="s">
        <v>3250</v>
      </c>
      <c r="BA233" t="s">
        <v>3250</v>
      </c>
      <c r="BB233" t="s">
        <v>3250</v>
      </c>
      <c r="BC233" t="s">
        <v>3250</v>
      </c>
      <c r="BE233" t="s">
        <v>3250</v>
      </c>
      <c r="BF233" t="s">
        <v>3250</v>
      </c>
      <c r="BG233" t="s">
        <v>3250</v>
      </c>
      <c r="BH233" t="s">
        <v>3250</v>
      </c>
      <c r="BI233" t="s">
        <v>3250</v>
      </c>
      <c r="BK233" t="s">
        <v>3250</v>
      </c>
      <c r="BL233" t="s">
        <v>3250</v>
      </c>
      <c r="BM233" t="s">
        <v>3250</v>
      </c>
      <c r="BN233" t="s">
        <v>3250</v>
      </c>
      <c r="BP233">
        <v>1</v>
      </c>
      <c r="BQ233">
        <v>11</v>
      </c>
      <c r="BR233" t="s">
        <v>1574</v>
      </c>
      <c r="BS233" t="s">
        <v>3252</v>
      </c>
      <c r="BV233">
        <v>0</v>
      </c>
      <c r="BW233">
        <v>0</v>
      </c>
      <c r="BX233">
        <v>0</v>
      </c>
      <c r="BY233">
        <v>0</v>
      </c>
      <c r="BZ233">
        <v>0</v>
      </c>
      <c r="CA233">
        <v>0</v>
      </c>
      <c r="CB233">
        <v>0</v>
      </c>
      <c r="CC233">
        <v>0</v>
      </c>
      <c r="CD233">
        <v>0</v>
      </c>
      <c r="CE233" t="s">
        <v>3108</v>
      </c>
      <c r="CF233" t="s">
        <v>3108</v>
      </c>
      <c r="CG233" t="s">
        <v>3108</v>
      </c>
      <c r="CH233" t="s">
        <v>3108</v>
      </c>
    </row>
    <row r="234" spans="1:86" x14ac:dyDescent="0.2">
      <c r="A234" t="s">
        <v>3707</v>
      </c>
      <c r="B234" t="s">
        <v>3707</v>
      </c>
      <c r="C234">
        <v>30499</v>
      </c>
      <c r="D234">
        <v>1268</v>
      </c>
      <c r="E234" t="s">
        <v>3708</v>
      </c>
      <c r="F234" t="s">
        <v>3249</v>
      </c>
      <c r="G234" t="s">
        <v>3249</v>
      </c>
      <c r="H234" t="s">
        <v>3250</v>
      </c>
      <c r="I234" t="s">
        <v>3250</v>
      </c>
      <c r="J234" t="s">
        <v>3250</v>
      </c>
      <c r="K234" t="s">
        <v>3250</v>
      </c>
      <c r="L234">
        <v>1200</v>
      </c>
      <c r="M234" t="s">
        <v>2368</v>
      </c>
      <c r="N234">
        <v>1204</v>
      </c>
      <c r="O234" t="s">
        <v>1574</v>
      </c>
      <c r="P234" t="s">
        <v>3108</v>
      </c>
      <c r="Q234" t="s">
        <v>3249</v>
      </c>
      <c r="R234" t="s">
        <v>3249</v>
      </c>
      <c r="S234" t="s">
        <v>472</v>
      </c>
      <c r="T234" t="s">
        <v>3251</v>
      </c>
      <c r="U234">
        <v>140</v>
      </c>
      <c r="V234" t="s">
        <v>1327</v>
      </c>
      <c r="W234">
        <v>140</v>
      </c>
      <c r="X234" t="s">
        <v>1327</v>
      </c>
      <c r="Y234" t="s">
        <v>3250</v>
      </c>
      <c r="Z234" t="s">
        <v>3250</v>
      </c>
      <c r="AA234" t="s">
        <v>3108</v>
      </c>
      <c r="AB234" t="s">
        <v>3108</v>
      </c>
      <c r="AC234" t="s">
        <v>3250</v>
      </c>
      <c r="AD234" t="s">
        <v>3250</v>
      </c>
      <c r="AE234" t="s">
        <v>3250</v>
      </c>
      <c r="AF234" t="s">
        <v>3250</v>
      </c>
      <c r="AG234" t="s">
        <v>3250</v>
      </c>
      <c r="AH234" t="s">
        <v>3250</v>
      </c>
      <c r="AI234" t="s">
        <v>3250</v>
      </c>
      <c r="AJ234" t="s">
        <v>3250</v>
      </c>
      <c r="AL234">
        <v>141</v>
      </c>
      <c r="AM234" t="s">
        <v>1327</v>
      </c>
      <c r="AN234">
        <v>141</v>
      </c>
      <c r="AO234" t="s">
        <v>1327</v>
      </c>
      <c r="AS234" t="s">
        <v>3250</v>
      </c>
      <c r="AT234" t="s">
        <v>3250</v>
      </c>
      <c r="AU234" t="s">
        <v>3250</v>
      </c>
      <c r="AV234" t="s">
        <v>3250</v>
      </c>
      <c r="AW234" t="s">
        <v>3250</v>
      </c>
      <c r="AX234" t="s">
        <v>3250</v>
      </c>
      <c r="AY234" t="s">
        <v>3250</v>
      </c>
      <c r="AZ234" t="s">
        <v>3250</v>
      </c>
      <c r="BA234" t="s">
        <v>3250</v>
      </c>
      <c r="BB234" t="s">
        <v>3250</v>
      </c>
      <c r="BC234" t="s">
        <v>3250</v>
      </c>
      <c r="BE234" t="s">
        <v>3250</v>
      </c>
      <c r="BF234" t="s">
        <v>3250</v>
      </c>
      <c r="BG234" t="s">
        <v>3250</v>
      </c>
      <c r="BH234" t="s">
        <v>3250</v>
      </c>
      <c r="BI234" t="s">
        <v>3250</v>
      </c>
      <c r="BK234" t="s">
        <v>3250</v>
      </c>
      <c r="BL234" t="s">
        <v>3250</v>
      </c>
      <c r="BM234" t="s">
        <v>3250</v>
      </c>
      <c r="BN234" t="s">
        <v>3250</v>
      </c>
      <c r="BP234">
        <v>1</v>
      </c>
      <c r="BQ234">
        <v>11</v>
      </c>
      <c r="BR234" t="s">
        <v>1574</v>
      </c>
      <c r="BS234" t="s">
        <v>3252</v>
      </c>
      <c r="BV234">
        <v>0</v>
      </c>
      <c r="BW234">
        <v>0</v>
      </c>
      <c r="BX234">
        <v>0</v>
      </c>
      <c r="BY234">
        <v>0</v>
      </c>
      <c r="BZ234">
        <v>0</v>
      </c>
      <c r="CA234">
        <v>0</v>
      </c>
      <c r="CB234">
        <v>0</v>
      </c>
      <c r="CC234">
        <v>0</v>
      </c>
      <c r="CD234">
        <v>0</v>
      </c>
      <c r="CE234" t="s">
        <v>3108</v>
      </c>
      <c r="CF234" t="s">
        <v>3108</v>
      </c>
      <c r="CG234" t="s">
        <v>3108</v>
      </c>
      <c r="CH234" t="s">
        <v>3108</v>
      </c>
    </row>
    <row r="235" spans="1:86" x14ac:dyDescent="0.2">
      <c r="A235" t="s">
        <v>3709</v>
      </c>
      <c r="B235" t="s">
        <v>3709</v>
      </c>
      <c r="C235">
        <v>30501</v>
      </c>
      <c r="D235">
        <v>1270</v>
      </c>
      <c r="E235" t="s">
        <v>3710</v>
      </c>
      <c r="F235" t="s">
        <v>3249</v>
      </c>
      <c r="G235" t="s">
        <v>3249</v>
      </c>
      <c r="H235" t="s">
        <v>3250</v>
      </c>
      <c r="I235" t="s">
        <v>3250</v>
      </c>
      <c r="J235" t="s">
        <v>3250</v>
      </c>
      <c r="K235" t="s">
        <v>3250</v>
      </c>
      <c r="L235">
        <v>1200</v>
      </c>
      <c r="M235" t="s">
        <v>2368</v>
      </c>
      <c r="N235">
        <v>1204</v>
      </c>
      <c r="O235" t="s">
        <v>1574</v>
      </c>
      <c r="P235" t="s">
        <v>3108</v>
      </c>
      <c r="Q235" t="s">
        <v>3249</v>
      </c>
      <c r="R235" t="s">
        <v>3249</v>
      </c>
      <c r="S235" t="s">
        <v>472</v>
      </c>
      <c r="T235" t="s">
        <v>3251</v>
      </c>
      <c r="U235">
        <v>140</v>
      </c>
      <c r="V235" t="s">
        <v>1327</v>
      </c>
      <c r="W235">
        <v>140</v>
      </c>
      <c r="X235" t="s">
        <v>1327</v>
      </c>
      <c r="Y235" t="s">
        <v>3250</v>
      </c>
      <c r="Z235" t="s">
        <v>3250</v>
      </c>
      <c r="AA235" t="s">
        <v>3108</v>
      </c>
      <c r="AB235" t="s">
        <v>3108</v>
      </c>
      <c r="AC235" t="s">
        <v>3250</v>
      </c>
      <c r="AD235" t="s">
        <v>3250</v>
      </c>
      <c r="AE235" t="s">
        <v>3250</v>
      </c>
      <c r="AF235" t="s">
        <v>3250</v>
      </c>
      <c r="AG235" t="s">
        <v>3250</v>
      </c>
      <c r="AH235" t="s">
        <v>3250</v>
      </c>
      <c r="AI235" t="s">
        <v>3250</v>
      </c>
      <c r="AJ235" t="s">
        <v>3250</v>
      </c>
      <c r="AL235">
        <v>141</v>
      </c>
      <c r="AM235" t="s">
        <v>1327</v>
      </c>
      <c r="AN235">
        <v>141</v>
      </c>
      <c r="AO235" t="s">
        <v>1327</v>
      </c>
      <c r="AS235" t="s">
        <v>3250</v>
      </c>
      <c r="AT235" t="s">
        <v>3250</v>
      </c>
      <c r="AU235" t="s">
        <v>3250</v>
      </c>
      <c r="AV235" t="s">
        <v>3250</v>
      </c>
      <c r="AW235" t="s">
        <v>3250</v>
      </c>
      <c r="AX235" t="s">
        <v>3250</v>
      </c>
      <c r="AY235" t="s">
        <v>3250</v>
      </c>
      <c r="AZ235" t="s">
        <v>3250</v>
      </c>
      <c r="BA235" t="s">
        <v>3250</v>
      </c>
      <c r="BB235" t="s">
        <v>3250</v>
      </c>
      <c r="BC235" t="s">
        <v>3250</v>
      </c>
      <c r="BE235" t="s">
        <v>3250</v>
      </c>
      <c r="BF235" t="s">
        <v>3250</v>
      </c>
      <c r="BG235" t="s">
        <v>3250</v>
      </c>
      <c r="BH235" t="s">
        <v>3250</v>
      </c>
      <c r="BI235" t="s">
        <v>3250</v>
      </c>
      <c r="BK235" t="s">
        <v>3250</v>
      </c>
      <c r="BL235" t="s">
        <v>3250</v>
      </c>
      <c r="BM235" t="s">
        <v>3250</v>
      </c>
      <c r="BN235" t="s">
        <v>3250</v>
      </c>
      <c r="BP235">
        <v>1</v>
      </c>
      <c r="BQ235">
        <v>11</v>
      </c>
      <c r="BR235" t="s">
        <v>1574</v>
      </c>
      <c r="BS235" t="s">
        <v>3252</v>
      </c>
      <c r="BV235">
        <v>0</v>
      </c>
      <c r="BW235">
        <v>0</v>
      </c>
      <c r="BX235">
        <v>0</v>
      </c>
      <c r="BY235">
        <v>0</v>
      </c>
      <c r="BZ235">
        <v>0</v>
      </c>
      <c r="CA235">
        <v>0</v>
      </c>
      <c r="CB235">
        <v>0</v>
      </c>
      <c r="CC235">
        <v>0</v>
      </c>
      <c r="CD235">
        <v>0</v>
      </c>
      <c r="CE235" t="s">
        <v>3108</v>
      </c>
      <c r="CF235" t="s">
        <v>3108</v>
      </c>
      <c r="CG235" t="s">
        <v>3108</v>
      </c>
      <c r="CH235" t="s">
        <v>3108</v>
      </c>
    </row>
    <row r="236" spans="1:86" x14ac:dyDescent="0.2">
      <c r="A236" t="s">
        <v>3711</v>
      </c>
      <c r="B236" t="s">
        <v>3711</v>
      </c>
      <c r="C236">
        <v>30502</v>
      </c>
      <c r="D236">
        <v>1271</v>
      </c>
      <c r="E236" t="s">
        <v>3712</v>
      </c>
      <c r="F236" t="s">
        <v>3249</v>
      </c>
      <c r="G236" t="s">
        <v>3249</v>
      </c>
      <c r="H236" t="s">
        <v>3250</v>
      </c>
      <c r="I236" t="s">
        <v>3250</v>
      </c>
      <c r="J236" t="s">
        <v>3250</v>
      </c>
      <c r="K236" t="s">
        <v>3250</v>
      </c>
      <c r="L236">
        <v>1200</v>
      </c>
      <c r="M236" t="s">
        <v>2368</v>
      </c>
      <c r="N236">
        <v>1204</v>
      </c>
      <c r="O236" t="s">
        <v>1574</v>
      </c>
      <c r="P236" t="s">
        <v>3108</v>
      </c>
      <c r="Q236" t="s">
        <v>3249</v>
      </c>
      <c r="R236" t="s">
        <v>3249</v>
      </c>
      <c r="S236" t="s">
        <v>472</v>
      </c>
      <c r="T236" t="s">
        <v>3251</v>
      </c>
      <c r="U236">
        <v>140</v>
      </c>
      <c r="V236" t="s">
        <v>1327</v>
      </c>
      <c r="W236">
        <v>140</v>
      </c>
      <c r="X236" t="s">
        <v>1327</v>
      </c>
      <c r="Y236" t="s">
        <v>3250</v>
      </c>
      <c r="Z236" t="s">
        <v>3250</v>
      </c>
      <c r="AA236" t="s">
        <v>3108</v>
      </c>
      <c r="AB236" t="s">
        <v>3108</v>
      </c>
      <c r="AC236" t="s">
        <v>3250</v>
      </c>
      <c r="AD236" t="s">
        <v>3250</v>
      </c>
      <c r="AE236" t="s">
        <v>3250</v>
      </c>
      <c r="AF236" t="s">
        <v>3250</v>
      </c>
      <c r="AG236" t="s">
        <v>3250</v>
      </c>
      <c r="AH236" t="s">
        <v>3250</v>
      </c>
      <c r="AI236" t="s">
        <v>3250</v>
      </c>
      <c r="AJ236" t="s">
        <v>3250</v>
      </c>
      <c r="AL236">
        <v>146</v>
      </c>
      <c r="AM236" t="s">
        <v>5</v>
      </c>
      <c r="AN236">
        <v>146</v>
      </c>
      <c r="AO236" t="s">
        <v>5</v>
      </c>
      <c r="AS236" t="s">
        <v>3250</v>
      </c>
      <c r="AT236" t="s">
        <v>3250</v>
      </c>
      <c r="AU236" t="s">
        <v>3250</v>
      </c>
      <c r="AV236" t="s">
        <v>3250</v>
      </c>
      <c r="AW236" t="s">
        <v>3250</v>
      </c>
      <c r="AX236" t="s">
        <v>3250</v>
      </c>
      <c r="AY236" t="s">
        <v>3250</v>
      </c>
      <c r="AZ236" t="s">
        <v>3250</v>
      </c>
      <c r="BA236" t="s">
        <v>3250</v>
      </c>
      <c r="BB236" t="s">
        <v>3250</v>
      </c>
      <c r="BC236" t="s">
        <v>3250</v>
      </c>
      <c r="BE236" t="s">
        <v>3250</v>
      </c>
      <c r="BF236" t="s">
        <v>3250</v>
      </c>
      <c r="BG236" t="s">
        <v>3250</v>
      </c>
      <c r="BH236" t="s">
        <v>3250</v>
      </c>
      <c r="BI236" t="s">
        <v>3250</v>
      </c>
      <c r="BK236" t="s">
        <v>3250</v>
      </c>
      <c r="BL236" t="s">
        <v>3250</v>
      </c>
      <c r="BM236" t="s">
        <v>3250</v>
      </c>
      <c r="BN236" t="s">
        <v>3250</v>
      </c>
      <c r="BP236">
        <v>1</v>
      </c>
      <c r="BQ236">
        <v>11</v>
      </c>
      <c r="BR236" t="s">
        <v>1574</v>
      </c>
      <c r="BS236" t="s">
        <v>3252</v>
      </c>
      <c r="BV236">
        <v>0</v>
      </c>
      <c r="BW236">
        <v>0</v>
      </c>
      <c r="BX236">
        <v>0</v>
      </c>
      <c r="BY236">
        <v>0</v>
      </c>
      <c r="BZ236">
        <v>0</v>
      </c>
      <c r="CA236">
        <v>0</v>
      </c>
      <c r="CB236">
        <v>0</v>
      </c>
      <c r="CC236">
        <v>0</v>
      </c>
      <c r="CD236">
        <v>0</v>
      </c>
      <c r="CE236" t="s">
        <v>3108</v>
      </c>
      <c r="CF236" t="s">
        <v>3108</v>
      </c>
      <c r="CG236" t="s">
        <v>3108</v>
      </c>
      <c r="CH236" t="s">
        <v>3108</v>
      </c>
    </row>
    <row r="237" spans="1:86" x14ac:dyDescent="0.2">
      <c r="A237" t="s">
        <v>3713</v>
      </c>
      <c r="B237" t="s">
        <v>3713</v>
      </c>
      <c r="C237">
        <v>30503</v>
      </c>
      <c r="D237">
        <v>1272</v>
      </c>
      <c r="E237" t="s">
        <v>3714</v>
      </c>
      <c r="F237" t="s">
        <v>3249</v>
      </c>
      <c r="G237" t="s">
        <v>3249</v>
      </c>
      <c r="H237" t="s">
        <v>3250</v>
      </c>
      <c r="I237" t="s">
        <v>3250</v>
      </c>
      <c r="J237" t="s">
        <v>3250</v>
      </c>
      <c r="K237" t="s">
        <v>3250</v>
      </c>
      <c r="L237">
        <v>1200</v>
      </c>
      <c r="M237" t="s">
        <v>2368</v>
      </c>
      <c r="N237">
        <v>1204</v>
      </c>
      <c r="O237" t="s">
        <v>1574</v>
      </c>
      <c r="P237" t="s">
        <v>3108</v>
      </c>
      <c r="Q237" t="s">
        <v>3249</v>
      </c>
      <c r="R237" t="s">
        <v>3249</v>
      </c>
      <c r="S237" t="s">
        <v>472</v>
      </c>
      <c r="T237" t="s">
        <v>3251</v>
      </c>
      <c r="U237">
        <v>140</v>
      </c>
      <c r="V237" t="s">
        <v>1327</v>
      </c>
      <c r="W237">
        <v>140</v>
      </c>
      <c r="X237" t="s">
        <v>1327</v>
      </c>
      <c r="Y237" t="s">
        <v>3250</v>
      </c>
      <c r="Z237" t="s">
        <v>3250</v>
      </c>
      <c r="AA237" t="s">
        <v>3108</v>
      </c>
      <c r="AB237" t="s">
        <v>3108</v>
      </c>
      <c r="AC237" t="s">
        <v>3250</v>
      </c>
      <c r="AD237" t="s">
        <v>3250</v>
      </c>
      <c r="AE237" t="s">
        <v>3250</v>
      </c>
      <c r="AF237" t="s">
        <v>3250</v>
      </c>
      <c r="AG237" t="s">
        <v>3250</v>
      </c>
      <c r="AH237" t="s">
        <v>3250</v>
      </c>
      <c r="AI237" t="s">
        <v>3250</v>
      </c>
      <c r="AJ237" t="s">
        <v>3250</v>
      </c>
      <c r="AL237">
        <v>146</v>
      </c>
      <c r="AM237" t="s">
        <v>5</v>
      </c>
      <c r="AN237">
        <v>146</v>
      </c>
      <c r="AO237" t="s">
        <v>5</v>
      </c>
      <c r="AS237" t="s">
        <v>3250</v>
      </c>
      <c r="AT237" t="s">
        <v>3250</v>
      </c>
      <c r="AU237" t="s">
        <v>3250</v>
      </c>
      <c r="AV237" t="s">
        <v>3250</v>
      </c>
      <c r="AW237" t="s">
        <v>3250</v>
      </c>
      <c r="AX237" t="s">
        <v>3250</v>
      </c>
      <c r="AY237" t="s">
        <v>3250</v>
      </c>
      <c r="AZ237" t="s">
        <v>3250</v>
      </c>
      <c r="BA237" t="s">
        <v>3250</v>
      </c>
      <c r="BB237" t="s">
        <v>3250</v>
      </c>
      <c r="BC237" t="s">
        <v>3250</v>
      </c>
      <c r="BE237" t="s">
        <v>3250</v>
      </c>
      <c r="BF237" t="s">
        <v>3250</v>
      </c>
      <c r="BG237" t="s">
        <v>3250</v>
      </c>
      <c r="BH237" t="s">
        <v>3250</v>
      </c>
      <c r="BI237" t="s">
        <v>3250</v>
      </c>
      <c r="BK237" t="s">
        <v>3250</v>
      </c>
      <c r="BL237" t="s">
        <v>3250</v>
      </c>
      <c r="BM237" t="s">
        <v>3250</v>
      </c>
      <c r="BN237" t="s">
        <v>3250</v>
      </c>
      <c r="BP237">
        <v>1</v>
      </c>
      <c r="BQ237">
        <v>11</v>
      </c>
      <c r="BR237" t="s">
        <v>1574</v>
      </c>
      <c r="BS237" t="s">
        <v>3252</v>
      </c>
      <c r="BV237">
        <v>0</v>
      </c>
      <c r="BW237">
        <v>0</v>
      </c>
      <c r="BX237">
        <v>0</v>
      </c>
      <c r="BY237">
        <v>0</v>
      </c>
      <c r="BZ237">
        <v>0</v>
      </c>
      <c r="CA237">
        <v>0</v>
      </c>
      <c r="CB237">
        <v>0</v>
      </c>
      <c r="CC237">
        <v>0</v>
      </c>
      <c r="CD237">
        <v>0</v>
      </c>
      <c r="CE237" t="s">
        <v>3108</v>
      </c>
      <c r="CF237" t="s">
        <v>3108</v>
      </c>
      <c r="CG237" t="s">
        <v>3108</v>
      </c>
      <c r="CH237" t="s">
        <v>3108</v>
      </c>
    </row>
    <row r="238" spans="1:86" x14ac:dyDescent="0.2">
      <c r="A238" t="s">
        <v>3715</v>
      </c>
      <c r="B238" t="s">
        <v>3715</v>
      </c>
      <c r="C238">
        <v>30504</v>
      </c>
      <c r="D238">
        <v>1273</v>
      </c>
      <c r="E238" t="s">
        <v>3716</v>
      </c>
      <c r="F238" t="s">
        <v>3249</v>
      </c>
      <c r="G238" t="s">
        <v>3249</v>
      </c>
      <c r="H238" t="s">
        <v>3250</v>
      </c>
      <c r="I238" t="s">
        <v>3250</v>
      </c>
      <c r="J238" t="s">
        <v>3250</v>
      </c>
      <c r="K238" t="s">
        <v>3250</v>
      </c>
      <c r="L238">
        <v>1200</v>
      </c>
      <c r="M238" t="s">
        <v>2368</v>
      </c>
      <c r="N238">
        <v>1204</v>
      </c>
      <c r="O238" t="s">
        <v>1574</v>
      </c>
      <c r="P238" t="s">
        <v>3108</v>
      </c>
      <c r="Q238" t="s">
        <v>3249</v>
      </c>
      <c r="R238" t="s">
        <v>3249</v>
      </c>
      <c r="S238" t="s">
        <v>472</v>
      </c>
      <c r="T238" t="s">
        <v>3251</v>
      </c>
      <c r="U238">
        <v>140</v>
      </c>
      <c r="V238" t="s">
        <v>1327</v>
      </c>
      <c r="W238">
        <v>140</v>
      </c>
      <c r="X238" t="s">
        <v>1327</v>
      </c>
      <c r="Y238" t="s">
        <v>3250</v>
      </c>
      <c r="Z238" t="s">
        <v>3250</v>
      </c>
      <c r="AA238" t="s">
        <v>3108</v>
      </c>
      <c r="AB238" t="s">
        <v>3108</v>
      </c>
      <c r="AC238" t="s">
        <v>3250</v>
      </c>
      <c r="AD238" t="s">
        <v>3250</v>
      </c>
      <c r="AE238" t="s">
        <v>3250</v>
      </c>
      <c r="AF238" t="s">
        <v>3250</v>
      </c>
      <c r="AG238" t="s">
        <v>3250</v>
      </c>
      <c r="AH238" t="s">
        <v>3250</v>
      </c>
      <c r="AI238" t="s">
        <v>3250</v>
      </c>
      <c r="AJ238" t="s">
        <v>3250</v>
      </c>
      <c r="AL238">
        <v>141</v>
      </c>
      <c r="AM238" t="s">
        <v>1327</v>
      </c>
      <c r="AN238">
        <v>141</v>
      </c>
      <c r="AO238" t="s">
        <v>1327</v>
      </c>
      <c r="AS238" t="s">
        <v>3250</v>
      </c>
      <c r="AT238" t="s">
        <v>3250</v>
      </c>
      <c r="AU238" t="s">
        <v>3250</v>
      </c>
      <c r="AV238" t="s">
        <v>3250</v>
      </c>
      <c r="AW238" t="s">
        <v>3250</v>
      </c>
      <c r="AX238" t="s">
        <v>3250</v>
      </c>
      <c r="AY238" t="s">
        <v>3250</v>
      </c>
      <c r="AZ238" t="s">
        <v>3250</v>
      </c>
      <c r="BA238" t="s">
        <v>3250</v>
      </c>
      <c r="BB238" t="s">
        <v>3250</v>
      </c>
      <c r="BC238" t="s">
        <v>3250</v>
      </c>
      <c r="BE238" t="s">
        <v>3250</v>
      </c>
      <c r="BF238" t="s">
        <v>3250</v>
      </c>
      <c r="BG238" t="s">
        <v>3250</v>
      </c>
      <c r="BH238" t="s">
        <v>3250</v>
      </c>
      <c r="BI238" t="s">
        <v>3250</v>
      </c>
      <c r="BK238" t="s">
        <v>3250</v>
      </c>
      <c r="BL238" t="s">
        <v>3250</v>
      </c>
      <c r="BM238" t="s">
        <v>3250</v>
      </c>
      <c r="BN238" t="s">
        <v>3250</v>
      </c>
      <c r="BP238">
        <v>1</v>
      </c>
      <c r="BQ238">
        <v>11</v>
      </c>
      <c r="BR238" t="s">
        <v>1574</v>
      </c>
      <c r="BS238" t="s">
        <v>3252</v>
      </c>
      <c r="BV238">
        <v>0</v>
      </c>
      <c r="BW238">
        <v>0</v>
      </c>
      <c r="BX238">
        <v>0</v>
      </c>
      <c r="BY238">
        <v>0</v>
      </c>
      <c r="BZ238">
        <v>0</v>
      </c>
      <c r="CA238">
        <v>0</v>
      </c>
      <c r="CB238">
        <v>0</v>
      </c>
      <c r="CC238">
        <v>0</v>
      </c>
      <c r="CD238">
        <v>0</v>
      </c>
      <c r="CE238" t="s">
        <v>3108</v>
      </c>
      <c r="CF238" t="s">
        <v>3108</v>
      </c>
      <c r="CG238" t="s">
        <v>3108</v>
      </c>
      <c r="CH238" t="s">
        <v>3108</v>
      </c>
    </row>
    <row r="239" spans="1:86" x14ac:dyDescent="0.2">
      <c r="A239" t="s">
        <v>3717</v>
      </c>
      <c r="B239" t="s">
        <v>3717</v>
      </c>
      <c r="C239">
        <v>30505</v>
      </c>
      <c r="D239">
        <v>1274</v>
      </c>
      <c r="E239" t="s">
        <v>3718</v>
      </c>
      <c r="F239" t="s">
        <v>3249</v>
      </c>
      <c r="G239" t="s">
        <v>3249</v>
      </c>
      <c r="H239" t="s">
        <v>3250</v>
      </c>
      <c r="I239" t="s">
        <v>3250</v>
      </c>
      <c r="J239" t="s">
        <v>3250</v>
      </c>
      <c r="K239" t="s">
        <v>3250</v>
      </c>
      <c r="L239">
        <v>1200</v>
      </c>
      <c r="M239" t="s">
        <v>2368</v>
      </c>
      <c r="N239">
        <v>1204</v>
      </c>
      <c r="O239" t="s">
        <v>1574</v>
      </c>
      <c r="P239" t="s">
        <v>3108</v>
      </c>
      <c r="Q239" t="s">
        <v>3249</v>
      </c>
      <c r="R239" t="s">
        <v>3249</v>
      </c>
      <c r="S239" t="s">
        <v>472</v>
      </c>
      <c r="T239" t="s">
        <v>3251</v>
      </c>
      <c r="U239">
        <v>140</v>
      </c>
      <c r="V239" t="s">
        <v>1327</v>
      </c>
      <c r="W239">
        <v>140</v>
      </c>
      <c r="X239" t="s">
        <v>1327</v>
      </c>
      <c r="Y239" t="s">
        <v>3250</v>
      </c>
      <c r="Z239" t="s">
        <v>3250</v>
      </c>
      <c r="AA239" t="s">
        <v>3108</v>
      </c>
      <c r="AB239" t="s">
        <v>3108</v>
      </c>
      <c r="AC239" t="s">
        <v>3250</v>
      </c>
      <c r="AD239" t="s">
        <v>3250</v>
      </c>
      <c r="AE239" t="s">
        <v>3250</v>
      </c>
      <c r="AF239" t="s">
        <v>3250</v>
      </c>
      <c r="AG239" t="s">
        <v>3250</v>
      </c>
      <c r="AH239" t="s">
        <v>3250</v>
      </c>
      <c r="AI239" t="s">
        <v>3250</v>
      </c>
      <c r="AJ239" t="s">
        <v>3250</v>
      </c>
      <c r="AL239">
        <v>141</v>
      </c>
      <c r="AM239" t="s">
        <v>1327</v>
      </c>
      <c r="AN239">
        <v>141</v>
      </c>
      <c r="AO239" t="s">
        <v>1327</v>
      </c>
      <c r="AS239" t="s">
        <v>3250</v>
      </c>
      <c r="AT239" t="s">
        <v>3250</v>
      </c>
      <c r="AU239" t="s">
        <v>3250</v>
      </c>
      <c r="AV239" t="s">
        <v>3250</v>
      </c>
      <c r="AW239" t="s">
        <v>3250</v>
      </c>
      <c r="AX239" t="s">
        <v>3250</v>
      </c>
      <c r="AY239" t="s">
        <v>3250</v>
      </c>
      <c r="AZ239" t="s">
        <v>3250</v>
      </c>
      <c r="BA239" t="s">
        <v>3250</v>
      </c>
      <c r="BB239" t="s">
        <v>3250</v>
      </c>
      <c r="BC239" t="s">
        <v>3250</v>
      </c>
      <c r="BE239" t="s">
        <v>3250</v>
      </c>
      <c r="BF239" t="s">
        <v>3250</v>
      </c>
      <c r="BG239" t="s">
        <v>3250</v>
      </c>
      <c r="BH239" t="s">
        <v>3250</v>
      </c>
      <c r="BI239" t="s">
        <v>3250</v>
      </c>
      <c r="BK239" t="s">
        <v>3250</v>
      </c>
      <c r="BL239" t="s">
        <v>3250</v>
      </c>
      <c r="BM239" t="s">
        <v>3250</v>
      </c>
      <c r="BN239" t="s">
        <v>3250</v>
      </c>
      <c r="BP239">
        <v>1</v>
      </c>
      <c r="BQ239">
        <v>11</v>
      </c>
      <c r="BR239" t="s">
        <v>1574</v>
      </c>
      <c r="BS239" t="s">
        <v>3252</v>
      </c>
      <c r="BV239">
        <v>0</v>
      </c>
      <c r="BW239">
        <v>0</v>
      </c>
      <c r="BX239">
        <v>0</v>
      </c>
      <c r="BY239">
        <v>0</v>
      </c>
      <c r="BZ239">
        <v>0</v>
      </c>
      <c r="CA239">
        <v>0</v>
      </c>
      <c r="CB239">
        <v>0</v>
      </c>
      <c r="CC239">
        <v>0</v>
      </c>
      <c r="CD239">
        <v>0</v>
      </c>
      <c r="CE239" t="s">
        <v>3108</v>
      </c>
      <c r="CF239" t="s">
        <v>3108</v>
      </c>
      <c r="CG239" t="s">
        <v>3108</v>
      </c>
      <c r="CH239" t="s">
        <v>3108</v>
      </c>
    </row>
    <row r="240" spans="1:86" x14ac:dyDescent="0.2">
      <c r="A240" t="s">
        <v>3719</v>
      </c>
      <c r="B240" t="s">
        <v>3719</v>
      </c>
      <c r="C240">
        <v>30506</v>
      </c>
      <c r="D240">
        <v>1275</v>
      </c>
      <c r="E240" t="s">
        <v>3720</v>
      </c>
      <c r="F240" t="s">
        <v>3249</v>
      </c>
      <c r="G240" t="s">
        <v>3249</v>
      </c>
      <c r="H240" t="s">
        <v>3250</v>
      </c>
      <c r="I240" t="s">
        <v>3250</v>
      </c>
      <c r="J240" t="s">
        <v>3250</v>
      </c>
      <c r="K240" t="s">
        <v>3250</v>
      </c>
      <c r="L240">
        <v>1200</v>
      </c>
      <c r="M240" t="s">
        <v>2368</v>
      </c>
      <c r="N240">
        <v>1204</v>
      </c>
      <c r="O240" t="s">
        <v>1574</v>
      </c>
      <c r="P240" t="s">
        <v>3108</v>
      </c>
      <c r="Q240" t="s">
        <v>3249</v>
      </c>
      <c r="R240" t="s">
        <v>3249</v>
      </c>
      <c r="S240" t="s">
        <v>472</v>
      </c>
      <c r="T240" t="s">
        <v>3251</v>
      </c>
      <c r="U240">
        <v>140</v>
      </c>
      <c r="V240" t="s">
        <v>1327</v>
      </c>
      <c r="W240">
        <v>140</v>
      </c>
      <c r="X240" t="s">
        <v>1327</v>
      </c>
      <c r="Y240" t="s">
        <v>3250</v>
      </c>
      <c r="Z240" t="s">
        <v>3250</v>
      </c>
      <c r="AA240" t="s">
        <v>3108</v>
      </c>
      <c r="AB240" t="s">
        <v>3108</v>
      </c>
      <c r="AC240" t="s">
        <v>3250</v>
      </c>
      <c r="AD240" t="s">
        <v>3250</v>
      </c>
      <c r="AE240" t="s">
        <v>3250</v>
      </c>
      <c r="AF240" t="s">
        <v>3250</v>
      </c>
      <c r="AG240" t="s">
        <v>3250</v>
      </c>
      <c r="AH240" t="s">
        <v>3250</v>
      </c>
      <c r="AI240" t="s">
        <v>3250</v>
      </c>
      <c r="AJ240" t="s">
        <v>3250</v>
      </c>
      <c r="AL240">
        <v>147</v>
      </c>
      <c r="AM240" t="s">
        <v>6</v>
      </c>
      <c r="AN240">
        <v>147</v>
      </c>
      <c r="AO240" t="s">
        <v>6</v>
      </c>
      <c r="AS240" t="s">
        <v>3250</v>
      </c>
      <c r="AT240" t="s">
        <v>3250</v>
      </c>
      <c r="AU240" t="s">
        <v>3250</v>
      </c>
      <c r="AV240" t="s">
        <v>3250</v>
      </c>
      <c r="AW240" t="s">
        <v>3250</v>
      </c>
      <c r="AX240" t="s">
        <v>3250</v>
      </c>
      <c r="AY240" t="s">
        <v>3250</v>
      </c>
      <c r="AZ240" t="s">
        <v>3250</v>
      </c>
      <c r="BA240" t="s">
        <v>3250</v>
      </c>
      <c r="BB240" t="s">
        <v>3250</v>
      </c>
      <c r="BC240" t="s">
        <v>3250</v>
      </c>
      <c r="BE240" t="s">
        <v>3250</v>
      </c>
      <c r="BF240" t="s">
        <v>3250</v>
      </c>
      <c r="BG240" t="s">
        <v>3250</v>
      </c>
      <c r="BH240" t="s">
        <v>3250</v>
      </c>
      <c r="BI240" t="s">
        <v>3250</v>
      </c>
      <c r="BK240" t="s">
        <v>3250</v>
      </c>
      <c r="BL240" t="s">
        <v>3250</v>
      </c>
      <c r="BM240" t="s">
        <v>3250</v>
      </c>
      <c r="BN240" t="s">
        <v>3250</v>
      </c>
      <c r="BP240">
        <v>1</v>
      </c>
      <c r="BQ240">
        <v>11</v>
      </c>
      <c r="BR240" t="s">
        <v>1574</v>
      </c>
      <c r="BS240" t="s">
        <v>3252</v>
      </c>
      <c r="BV240">
        <v>0</v>
      </c>
      <c r="BW240">
        <v>0</v>
      </c>
      <c r="BX240">
        <v>0</v>
      </c>
      <c r="BY240">
        <v>0</v>
      </c>
      <c r="BZ240">
        <v>0</v>
      </c>
      <c r="CA240">
        <v>0</v>
      </c>
      <c r="CB240">
        <v>0</v>
      </c>
      <c r="CC240">
        <v>0</v>
      </c>
      <c r="CD240">
        <v>0</v>
      </c>
      <c r="CE240" t="s">
        <v>3108</v>
      </c>
      <c r="CF240" t="s">
        <v>3108</v>
      </c>
      <c r="CG240" t="s">
        <v>3108</v>
      </c>
      <c r="CH240" t="s">
        <v>3108</v>
      </c>
    </row>
    <row r="241" spans="1:86" x14ac:dyDescent="0.2">
      <c r="A241" t="s">
        <v>3721</v>
      </c>
      <c r="B241" t="s">
        <v>3721</v>
      </c>
      <c r="C241">
        <v>30507</v>
      </c>
      <c r="D241">
        <v>1276</v>
      </c>
      <c r="E241" t="s">
        <v>3722</v>
      </c>
      <c r="F241" t="s">
        <v>3249</v>
      </c>
      <c r="G241" t="s">
        <v>3249</v>
      </c>
      <c r="H241" t="s">
        <v>3250</v>
      </c>
      <c r="I241" t="s">
        <v>3250</v>
      </c>
      <c r="J241" t="s">
        <v>3250</v>
      </c>
      <c r="K241" t="s">
        <v>3250</v>
      </c>
      <c r="L241">
        <v>1200</v>
      </c>
      <c r="M241" t="s">
        <v>2368</v>
      </c>
      <c r="N241">
        <v>1204</v>
      </c>
      <c r="O241" t="s">
        <v>1574</v>
      </c>
      <c r="P241" t="s">
        <v>3108</v>
      </c>
      <c r="Q241" t="s">
        <v>3249</v>
      </c>
      <c r="R241" t="s">
        <v>3249</v>
      </c>
      <c r="S241" t="s">
        <v>472</v>
      </c>
      <c r="T241" t="s">
        <v>3251</v>
      </c>
      <c r="U241">
        <v>140</v>
      </c>
      <c r="V241" t="s">
        <v>1327</v>
      </c>
      <c r="W241">
        <v>140</v>
      </c>
      <c r="X241" t="s">
        <v>1327</v>
      </c>
      <c r="Y241" t="s">
        <v>3250</v>
      </c>
      <c r="Z241" t="s">
        <v>3250</v>
      </c>
      <c r="AA241" t="s">
        <v>3108</v>
      </c>
      <c r="AB241" t="s">
        <v>3108</v>
      </c>
      <c r="AC241" t="s">
        <v>3250</v>
      </c>
      <c r="AD241" t="s">
        <v>3250</v>
      </c>
      <c r="AE241" t="s">
        <v>3250</v>
      </c>
      <c r="AF241" t="s">
        <v>3250</v>
      </c>
      <c r="AG241" t="s">
        <v>3250</v>
      </c>
      <c r="AH241" t="s">
        <v>3250</v>
      </c>
      <c r="AI241" t="s">
        <v>3250</v>
      </c>
      <c r="AJ241" t="s">
        <v>3250</v>
      </c>
      <c r="AL241">
        <v>141</v>
      </c>
      <c r="AM241" t="s">
        <v>1327</v>
      </c>
      <c r="AN241">
        <v>141</v>
      </c>
      <c r="AO241" t="s">
        <v>1327</v>
      </c>
      <c r="AS241" t="s">
        <v>3250</v>
      </c>
      <c r="AT241" t="s">
        <v>3250</v>
      </c>
      <c r="AU241" t="s">
        <v>3250</v>
      </c>
      <c r="AV241" t="s">
        <v>3250</v>
      </c>
      <c r="AW241" t="s">
        <v>3250</v>
      </c>
      <c r="AX241" t="s">
        <v>3250</v>
      </c>
      <c r="AY241" t="s">
        <v>3250</v>
      </c>
      <c r="AZ241" t="s">
        <v>3250</v>
      </c>
      <c r="BA241" t="s">
        <v>3250</v>
      </c>
      <c r="BB241" t="s">
        <v>3250</v>
      </c>
      <c r="BC241" t="s">
        <v>3250</v>
      </c>
      <c r="BE241" t="s">
        <v>3250</v>
      </c>
      <c r="BF241" t="s">
        <v>3250</v>
      </c>
      <c r="BG241" t="s">
        <v>3250</v>
      </c>
      <c r="BH241" t="s">
        <v>3250</v>
      </c>
      <c r="BI241" t="s">
        <v>3250</v>
      </c>
      <c r="BK241" t="s">
        <v>3250</v>
      </c>
      <c r="BL241" t="s">
        <v>3250</v>
      </c>
      <c r="BM241" t="s">
        <v>3250</v>
      </c>
      <c r="BN241" t="s">
        <v>3250</v>
      </c>
      <c r="BP241">
        <v>1</v>
      </c>
      <c r="BQ241">
        <v>11</v>
      </c>
      <c r="BR241" t="s">
        <v>1574</v>
      </c>
      <c r="BS241" t="s">
        <v>3252</v>
      </c>
      <c r="BV241">
        <v>12</v>
      </c>
      <c r="BW241">
        <v>12</v>
      </c>
      <c r="BX241">
        <v>12</v>
      </c>
      <c r="BY241">
        <v>0</v>
      </c>
      <c r="BZ241">
        <v>0</v>
      </c>
      <c r="CA241">
        <v>0</v>
      </c>
      <c r="CB241">
        <v>0</v>
      </c>
      <c r="CC241">
        <v>0</v>
      </c>
      <c r="CD241">
        <v>12</v>
      </c>
      <c r="CE241" t="s">
        <v>3108</v>
      </c>
      <c r="CF241" t="s">
        <v>3108</v>
      </c>
      <c r="CG241" t="s">
        <v>3108</v>
      </c>
      <c r="CH241" t="s">
        <v>3108</v>
      </c>
    </row>
    <row r="242" spans="1:86" x14ac:dyDescent="0.2">
      <c r="A242" t="s">
        <v>3723</v>
      </c>
      <c r="B242" t="s">
        <v>3723</v>
      </c>
      <c r="C242">
        <v>30508</v>
      </c>
      <c r="D242">
        <v>1277</v>
      </c>
      <c r="E242" t="s">
        <v>3724</v>
      </c>
      <c r="F242" t="s">
        <v>3249</v>
      </c>
      <c r="G242" t="s">
        <v>3249</v>
      </c>
      <c r="H242" t="s">
        <v>3250</v>
      </c>
      <c r="I242" t="s">
        <v>3250</v>
      </c>
      <c r="J242" t="s">
        <v>3250</v>
      </c>
      <c r="K242" t="s">
        <v>3250</v>
      </c>
      <c r="L242">
        <v>1200</v>
      </c>
      <c r="M242" t="s">
        <v>2368</v>
      </c>
      <c r="N242">
        <v>1204</v>
      </c>
      <c r="O242" t="s">
        <v>1574</v>
      </c>
      <c r="P242" t="s">
        <v>3108</v>
      </c>
      <c r="Q242" t="s">
        <v>3249</v>
      </c>
      <c r="R242" t="s">
        <v>3249</v>
      </c>
      <c r="S242" t="s">
        <v>472</v>
      </c>
      <c r="T242" t="s">
        <v>3251</v>
      </c>
      <c r="U242">
        <v>140</v>
      </c>
      <c r="V242" t="s">
        <v>1327</v>
      </c>
      <c r="W242">
        <v>140</v>
      </c>
      <c r="X242" t="s">
        <v>1327</v>
      </c>
      <c r="Y242" t="s">
        <v>3250</v>
      </c>
      <c r="Z242" t="s">
        <v>3250</v>
      </c>
      <c r="AA242" t="s">
        <v>3108</v>
      </c>
      <c r="AB242" t="s">
        <v>3108</v>
      </c>
      <c r="AC242" t="s">
        <v>3250</v>
      </c>
      <c r="AD242" t="s">
        <v>3250</v>
      </c>
      <c r="AE242" t="s">
        <v>3250</v>
      </c>
      <c r="AF242" t="s">
        <v>3250</v>
      </c>
      <c r="AG242" t="s">
        <v>3250</v>
      </c>
      <c r="AH242" t="s">
        <v>3250</v>
      </c>
      <c r="AI242" t="s">
        <v>3250</v>
      </c>
      <c r="AJ242" t="s">
        <v>3250</v>
      </c>
      <c r="AL242">
        <v>141</v>
      </c>
      <c r="AM242" t="s">
        <v>1327</v>
      </c>
      <c r="AN242">
        <v>141</v>
      </c>
      <c r="AO242" t="s">
        <v>1327</v>
      </c>
      <c r="AS242" t="s">
        <v>3250</v>
      </c>
      <c r="AT242" t="s">
        <v>3250</v>
      </c>
      <c r="AU242" t="s">
        <v>3250</v>
      </c>
      <c r="AV242" t="s">
        <v>3250</v>
      </c>
      <c r="AW242" t="s">
        <v>3250</v>
      </c>
      <c r="AX242" t="s">
        <v>3250</v>
      </c>
      <c r="AY242" t="s">
        <v>3250</v>
      </c>
      <c r="AZ242" t="s">
        <v>3250</v>
      </c>
      <c r="BA242" t="s">
        <v>3250</v>
      </c>
      <c r="BB242" t="s">
        <v>3250</v>
      </c>
      <c r="BC242" t="s">
        <v>3250</v>
      </c>
      <c r="BE242" t="s">
        <v>3250</v>
      </c>
      <c r="BF242" t="s">
        <v>3250</v>
      </c>
      <c r="BG242" t="s">
        <v>3250</v>
      </c>
      <c r="BH242" t="s">
        <v>3250</v>
      </c>
      <c r="BI242" t="s">
        <v>3250</v>
      </c>
      <c r="BK242" t="s">
        <v>3250</v>
      </c>
      <c r="BL242" t="s">
        <v>3250</v>
      </c>
      <c r="BM242" t="s">
        <v>3250</v>
      </c>
      <c r="BN242" t="s">
        <v>3250</v>
      </c>
      <c r="BP242">
        <v>1</v>
      </c>
      <c r="BQ242">
        <v>11</v>
      </c>
      <c r="BR242" t="s">
        <v>1574</v>
      </c>
      <c r="BS242" t="s">
        <v>3252</v>
      </c>
      <c r="BV242">
        <v>0</v>
      </c>
      <c r="BW242">
        <v>0</v>
      </c>
      <c r="BX242">
        <v>0</v>
      </c>
      <c r="BY242">
        <v>0</v>
      </c>
      <c r="BZ242">
        <v>0</v>
      </c>
      <c r="CA242">
        <v>0</v>
      </c>
      <c r="CB242">
        <v>0</v>
      </c>
      <c r="CC242">
        <v>0</v>
      </c>
      <c r="CD242">
        <v>0</v>
      </c>
      <c r="CE242" t="s">
        <v>3108</v>
      </c>
      <c r="CF242" t="s">
        <v>3108</v>
      </c>
      <c r="CG242" t="s">
        <v>3108</v>
      </c>
      <c r="CH242" t="s">
        <v>3108</v>
      </c>
    </row>
    <row r="243" spans="1:86" x14ac:dyDescent="0.2">
      <c r="A243" t="s">
        <v>3725</v>
      </c>
      <c r="B243" t="s">
        <v>3725</v>
      </c>
      <c r="C243">
        <v>30509</v>
      </c>
      <c r="D243">
        <v>1278</v>
      </c>
      <c r="E243" t="s">
        <v>3726</v>
      </c>
      <c r="F243" t="s">
        <v>3249</v>
      </c>
      <c r="G243" t="s">
        <v>3249</v>
      </c>
      <c r="H243" t="s">
        <v>3250</v>
      </c>
      <c r="I243" t="s">
        <v>3250</v>
      </c>
      <c r="J243" t="s">
        <v>3250</v>
      </c>
      <c r="K243" t="s">
        <v>3250</v>
      </c>
      <c r="L243">
        <v>1200</v>
      </c>
      <c r="M243" t="s">
        <v>2368</v>
      </c>
      <c r="N243">
        <v>1204</v>
      </c>
      <c r="O243" t="s">
        <v>1574</v>
      </c>
      <c r="P243" t="s">
        <v>3108</v>
      </c>
      <c r="Q243" t="s">
        <v>3249</v>
      </c>
      <c r="R243" t="s">
        <v>3249</v>
      </c>
      <c r="S243" t="s">
        <v>472</v>
      </c>
      <c r="T243" t="s">
        <v>3251</v>
      </c>
      <c r="U243">
        <v>140</v>
      </c>
      <c r="V243" t="s">
        <v>1327</v>
      </c>
      <c r="W243">
        <v>140</v>
      </c>
      <c r="X243" t="s">
        <v>1327</v>
      </c>
      <c r="Y243" t="s">
        <v>3250</v>
      </c>
      <c r="Z243" t="s">
        <v>3250</v>
      </c>
      <c r="AA243" t="s">
        <v>3108</v>
      </c>
      <c r="AB243" t="s">
        <v>3108</v>
      </c>
      <c r="AC243" t="s">
        <v>3250</v>
      </c>
      <c r="AD243" t="s">
        <v>3250</v>
      </c>
      <c r="AE243" t="s">
        <v>3250</v>
      </c>
      <c r="AF243" t="s">
        <v>3250</v>
      </c>
      <c r="AG243" t="s">
        <v>3250</v>
      </c>
      <c r="AH243" t="s">
        <v>3250</v>
      </c>
      <c r="AI243" t="s">
        <v>3250</v>
      </c>
      <c r="AJ243" t="s">
        <v>3250</v>
      </c>
      <c r="AL243">
        <v>141</v>
      </c>
      <c r="AM243" t="s">
        <v>1327</v>
      </c>
      <c r="AN243">
        <v>141</v>
      </c>
      <c r="AO243" t="s">
        <v>1327</v>
      </c>
      <c r="AS243" t="s">
        <v>3250</v>
      </c>
      <c r="AT243" t="s">
        <v>3250</v>
      </c>
      <c r="AU243" t="s">
        <v>3250</v>
      </c>
      <c r="AV243" t="s">
        <v>3250</v>
      </c>
      <c r="AW243" t="s">
        <v>3250</v>
      </c>
      <c r="AX243" t="s">
        <v>3250</v>
      </c>
      <c r="AY243" t="s">
        <v>3250</v>
      </c>
      <c r="AZ243" t="s">
        <v>3250</v>
      </c>
      <c r="BA243" t="s">
        <v>3250</v>
      </c>
      <c r="BB243" t="s">
        <v>3250</v>
      </c>
      <c r="BC243" t="s">
        <v>3250</v>
      </c>
      <c r="BE243" t="s">
        <v>3250</v>
      </c>
      <c r="BF243" t="s">
        <v>3250</v>
      </c>
      <c r="BG243" t="s">
        <v>3250</v>
      </c>
      <c r="BH243" t="s">
        <v>3250</v>
      </c>
      <c r="BI243" t="s">
        <v>3250</v>
      </c>
      <c r="BK243" t="s">
        <v>3250</v>
      </c>
      <c r="BL243" t="s">
        <v>3250</v>
      </c>
      <c r="BM243" t="s">
        <v>3250</v>
      </c>
      <c r="BN243" t="s">
        <v>3250</v>
      </c>
      <c r="BP243">
        <v>1</v>
      </c>
      <c r="BQ243">
        <v>11</v>
      </c>
      <c r="BR243" t="s">
        <v>1574</v>
      </c>
      <c r="BS243" t="s">
        <v>3252</v>
      </c>
      <c r="BV243">
        <v>0</v>
      </c>
      <c r="BW243">
        <v>0</v>
      </c>
      <c r="BX243">
        <v>0</v>
      </c>
      <c r="BY243">
        <v>0</v>
      </c>
      <c r="BZ243">
        <v>0</v>
      </c>
      <c r="CA243">
        <v>0</v>
      </c>
      <c r="CB243">
        <v>0</v>
      </c>
      <c r="CC243">
        <v>0</v>
      </c>
      <c r="CD243">
        <v>0</v>
      </c>
      <c r="CE243" t="s">
        <v>3108</v>
      </c>
      <c r="CF243" t="s">
        <v>3108</v>
      </c>
      <c r="CG243" t="s">
        <v>3108</v>
      </c>
      <c r="CH243" t="s">
        <v>3108</v>
      </c>
    </row>
    <row r="244" spans="1:86" x14ac:dyDescent="0.2">
      <c r="A244" t="s">
        <v>3727</v>
      </c>
      <c r="B244" t="s">
        <v>3727</v>
      </c>
      <c r="C244">
        <v>30510</v>
      </c>
      <c r="D244">
        <v>1279</v>
      </c>
      <c r="E244" t="s">
        <v>3728</v>
      </c>
      <c r="F244" t="s">
        <v>3249</v>
      </c>
      <c r="G244" t="s">
        <v>3249</v>
      </c>
      <c r="H244" t="s">
        <v>3250</v>
      </c>
      <c r="I244" t="s">
        <v>3250</v>
      </c>
      <c r="J244" t="s">
        <v>3250</v>
      </c>
      <c r="K244" t="s">
        <v>3250</v>
      </c>
      <c r="L244">
        <v>1200</v>
      </c>
      <c r="M244" t="s">
        <v>2368</v>
      </c>
      <c r="N244">
        <v>1204</v>
      </c>
      <c r="O244" t="s">
        <v>1574</v>
      </c>
      <c r="P244" t="s">
        <v>3108</v>
      </c>
      <c r="Q244" t="s">
        <v>3249</v>
      </c>
      <c r="R244" t="s">
        <v>3249</v>
      </c>
      <c r="S244" t="s">
        <v>472</v>
      </c>
      <c r="T244" t="s">
        <v>3251</v>
      </c>
      <c r="U244">
        <v>140</v>
      </c>
      <c r="V244" t="s">
        <v>1327</v>
      </c>
      <c r="W244">
        <v>140</v>
      </c>
      <c r="X244" t="s">
        <v>1327</v>
      </c>
      <c r="Y244" t="s">
        <v>3250</v>
      </c>
      <c r="Z244" t="s">
        <v>3250</v>
      </c>
      <c r="AA244" t="s">
        <v>3108</v>
      </c>
      <c r="AB244" t="s">
        <v>3108</v>
      </c>
      <c r="AC244" t="s">
        <v>3250</v>
      </c>
      <c r="AD244" t="s">
        <v>3250</v>
      </c>
      <c r="AE244" t="s">
        <v>3250</v>
      </c>
      <c r="AF244" t="s">
        <v>3250</v>
      </c>
      <c r="AG244" t="s">
        <v>3250</v>
      </c>
      <c r="AH244" t="s">
        <v>3250</v>
      </c>
      <c r="AI244" t="s">
        <v>3250</v>
      </c>
      <c r="AJ244" t="s">
        <v>3250</v>
      </c>
      <c r="AL244">
        <v>146</v>
      </c>
      <c r="AM244" t="s">
        <v>5</v>
      </c>
      <c r="AN244">
        <v>146</v>
      </c>
      <c r="AO244" t="s">
        <v>5</v>
      </c>
      <c r="AS244" t="s">
        <v>3250</v>
      </c>
      <c r="AT244" t="s">
        <v>3250</v>
      </c>
      <c r="AU244" t="s">
        <v>3250</v>
      </c>
      <c r="AV244" t="s">
        <v>3250</v>
      </c>
      <c r="AW244" t="s">
        <v>3250</v>
      </c>
      <c r="AX244" t="s">
        <v>3250</v>
      </c>
      <c r="AY244" t="s">
        <v>3250</v>
      </c>
      <c r="AZ244" t="s">
        <v>3250</v>
      </c>
      <c r="BA244" t="s">
        <v>3250</v>
      </c>
      <c r="BB244" t="s">
        <v>3250</v>
      </c>
      <c r="BC244" t="s">
        <v>3250</v>
      </c>
      <c r="BE244" t="s">
        <v>3250</v>
      </c>
      <c r="BF244" t="s">
        <v>3250</v>
      </c>
      <c r="BG244" t="s">
        <v>3250</v>
      </c>
      <c r="BH244" t="s">
        <v>3250</v>
      </c>
      <c r="BI244" t="s">
        <v>3250</v>
      </c>
      <c r="BK244" t="s">
        <v>3250</v>
      </c>
      <c r="BL244" t="s">
        <v>3250</v>
      </c>
      <c r="BM244" t="s">
        <v>3250</v>
      </c>
      <c r="BN244" t="s">
        <v>3250</v>
      </c>
      <c r="BP244">
        <v>1</v>
      </c>
      <c r="BQ244">
        <v>11</v>
      </c>
      <c r="BR244" t="s">
        <v>1574</v>
      </c>
      <c r="BS244" t="s">
        <v>3252</v>
      </c>
      <c r="BV244">
        <v>0</v>
      </c>
      <c r="BW244">
        <v>0</v>
      </c>
      <c r="BX244">
        <v>0</v>
      </c>
      <c r="BY244">
        <v>0</v>
      </c>
      <c r="BZ244">
        <v>0</v>
      </c>
      <c r="CA244">
        <v>0</v>
      </c>
      <c r="CB244">
        <v>0</v>
      </c>
      <c r="CC244">
        <v>0</v>
      </c>
      <c r="CD244">
        <v>0</v>
      </c>
      <c r="CE244" t="s">
        <v>3108</v>
      </c>
      <c r="CF244" t="s">
        <v>3108</v>
      </c>
      <c r="CG244" t="s">
        <v>3108</v>
      </c>
      <c r="CH244" t="s">
        <v>3108</v>
      </c>
    </row>
    <row r="245" spans="1:86" x14ac:dyDescent="0.2">
      <c r="A245" t="s">
        <v>3729</v>
      </c>
      <c r="B245" t="s">
        <v>3729</v>
      </c>
      <c r="C245">
        <v>30511</v>
      </c>
      <c r="D245">
        <v>1280</v>
      </c>
      <c r="E245" t="s">
        <v>3730</v>
      </c>
      <c r="F245" t="s">
        <v>3249</v>
      </c>
      <c r="G245" t="s">
        <v>3249</v>
      </c>
      <c r="H245" t="s">
        <v>3250</v>
      </c>
      <c r="I245" t="s">
        <v>3250</v>
      </c>
      <c r="J245" t="s">
        <v>3250</v>
      </c>
      <c r="K245" t="s">
        <v>3250</v>
      </c>
      <c r="L245">
        <v>1200</v>
      </c>
      <c r="M245" t="s">
        <v>2368</v>
      </c>
      <c r="N245">
        <v>1204</v>
      </c>
      <c r="O245" t="s">
        <v>1574</v>
      </c>
      <c r="P245" t="s">
        <v>3108</v>
      </c>
      <c r="Q245" t="s">
        <v>3249</v>
      </c>
      <c r="R245" t="s">
        <v>3249</v>
      </c>
      <c r="S245" t="s">
        <v>472</v>
      </c>
      <c r="T245" t="s">
        <v>3251</v>
      </c>
      <c r="U245">
        <v>140</v>
      </c>
      <c r="V245" t="s">
        <v>1327</v>
      </c>
      <c r="W245">
        <v>140</v>
      </c>
      <c r="X245" t="s">
        <v>1327</v>
      </c>
      <c r="Y245" t="s">
        <v>3250</v>
      </c>
      <c r="Z245" t="s">
        <v>3250</v>
      </c>
      <c r="AA245" t="s">
        <v>3108</v>
      </c>
      <c r="AB245" t="s">
        <v>3108</v>
      </c>
      <c r="AC245" t="s">
        <v>3250</v>
      </c>
      <c r="AD245" t="s">
        <v>3250</v>
      </c>
      <c r="AE245" t="s">
        <v>3250</v>
      </c>
      <c r="AF245" t="s">
        <v>3250</v>
      </c>
      <c r="AG245" t="s">
        <v>3250</v>
      </c>
      <c r="AH245" t="s">
        <v>3250</v>
      </c>
      <c r="AI245" t="s">
        <v>3250</v>
      </c>
      <c r="AJ245" t="s">
        <v>3250</v>
      </c>
      <c r="AL245">
        <v>146</v>
      </c>
      <c r="AM245" t="s">
        <v>5</v>
      </c>
      <c r="AN245">
        <v>146</v>
      </c>
      <c r="AO245" t="s">
        <v>5</v>
      </c>
      <c r="AS245" t="s">
        <v>3250</v>
      </c>
      <c r="AT245" t="s">
        <v>3250</v>
      </c>
      <c r="AU245" t="s">
        <v>3250</v>
      </c>
      <c r="AV245" t="s">
        <v>3250</v>
      </c>
      <c r="AW245" t="s">
        <v>3250</v>
      </c>
      <c r="AX245" t="s">
        <v>3250</v>
      </c>
      <c r="AY245" t="s">
        <v>3250</v>
      </c>
      <c r="AZ245" t="s">
        <v>3250</v>
      </c>
      <c r="BA245" t="s">
        <v>3250</v>
      </c>
      <c r="BB245" t="s">
        <v>3250</v>
      </c>
      <c r="BC245" t="s">
        <v>3250</v>
      </c>
      <c r="BE245" t="s">
        <v>3250</v>
      </c>
      <c r="BF245" t="s">
        <v>3250</v>
      </c>
      <c r="BG245" t="s">
        <v>3250</v>
      </c>
      <c r="BH245" t="s">
        <v>3250</v>
      </c>
      <c r="BI245" t="s">
        <v>3250</v>
      </c>
      <c r="BK245" t="s">
        <v>3250</v>
      </c>
      <c r="BL245" t="s">
        <v>3250</v>
      </c>
      <c r="BM245" t="s">
        <v>3250</v>
      </c>
      <c r="BN245" t="s">
        <v>3250</v>
      </c>
      <c r="BP245">
        <v>1</v>
      </c>
      <c r="BQ245">
        <v>11</v>
      </c>
      <c r="BR245" t="s">
        <v>1574</v>
      </c>
      <c r="BS245" t="s">
        <v>3252</v>
      </c>
      <c r="BV245">
        <v>0</v>
      </c>
      <c r="BW245">
        <v>0</v>
      </c>
      <c r="BX245">
        <v>0</v>
      </c>
      <c r="BY245">
        <v>0</v>
      </c>
      <c r="BZ245">
        <v>0</v>
      </c>
      <c r="CA245">
        <v>0</v>
      </c>
      <c r="CB245">
        <v>0</v>
      </c>
      <c r="CC245">
        <v>0</v>
      </c>
      <c r="CD245">
        <v>0</v>
      </c>
      <c r="CE245" t="s">
        <v>3108</v>
      </c>
      <c r="CF245" t="s">
        <v>3108</v>
      </c>
      <c r="CG245" t="s">
        <v>3108</v>
      </c>
      <c r="CH245" t="s">
        <v>3108</v>
      </c>
    </row>
    <row r="246" spans="1:86" x14ac:dyDescent="0.2">
      <c r="A246" t="s">
        <v>3731</v>
      </c>
      <c r="B246" t="s">
        <v>3731</v>
      </c>
      <c r="C246">
        <v>30512</v>
      </c>
      <c r="D246">
        <v>1281</v>
      </c>
      <c r="E246" t="s">
        <v>3732</v>
      </c>
      <c r="F246" t="s">
        <v>3249</v>
      </c>
      <c r="G246" t="s">
        <v>3249</v>
      </c>
      <c r="H246" t="s">
        <v>3250</v>
      </c>
      <c r="I246" t="s">
        <v>3250</v>
      </c>
      <c r="J246" t="s">
        <v>3250</v>
      </c>
      <c r="K246" t="s">
        <v>3250</v>
      </c>
      <c r="L246">
        <v>1200</v>
      </c>
      <c r="M246" t="s">
        <v>2368</v>
      </c>
      <c r="N246">
        <v>1204</v>
      </c>
      <c r="O246" t="s">
        <v>1574</v>
      </c>
      <c r="P246" t="s">
        <v>3108</v>
      </c>
      <c r="Q246" t="s">
        <v>3249</v>
      </c>
      <c r="R246" t="s">
        <v>3249</v>
      </c>
      <c r="S246" t="s">
        <v>472</v>
      </c>
      <c r="T246" t="s">
        <v>3251</v>
      </c>
      <c r="U246">
        <v>140</v>
      </c>
      <c r="V246" t="s">
        <v>1327</v>
      </c>
      <c r="W246">
        <v>140</v>
      </c>
      <c r="X246" t="s">
        <v>1327</v>
      </c>
      <c r="Y246" t="s">
        <v>3250</v>
      </c>
      <c r="Z246" t="s">
        <v>3250</v>
      </c>
      <c r="AA246" t="s">
        <v>3108</v>
      </c>
      <c r="AB246" t="s">
        <v>3108</v>
      </c>
      <c r="AC246" t="s">
        <v>3250</v>
      </c>
      <c r="AD246" t="s">
        <v>3250</v>
      </c>
      <c r="AE246" t="s">
        <v>3250</v>
      </c>
      <c r="AF246" t="s">
        <v>3250</v>
      </c>
      <c r="AG246" t="s">
        <v>3250</v>
      </c>
      <c r="AH246" t="s">
        <v>3250</v>
      </c>
      <c r="AI246" t="s">
        <v>3250</v>
      </c>
      <c r="AJ246" t="s">
        <v>3250</v>
      </c>
      <c r="AL246">
        <v>141</v>
      </c>
      <c r="AM246" t="s">
        <v>1327</v>
      </c>
      <c r="AN246">
        <v>141</v>
      </c>
      <c r="AO246" t="s">
        <v>1327</v>
      </c>
      <c r="AS246" t="s">
        <v>3250</v>
      </c>
      <c r="AT246" t="s">
        <v>3250</v>
      </c>
      <c r="AU246" t="s">
        <v>3250</v>
      </c>
      <c r="AV246" t="s">
        <v>3250</v>
      </c>
      <c r="AW246" t="s">
        <v>3250</v>
      </c>
      <c r="AX246" t="s">
        <v>3250</v>
      </c>
      <c r="AY246" t="s">
        <v>3250</v>
      </c>
      <c r="AZ246" t="s">
        <v>3250</v>
      </c>
      <c r="BA246" t="s">
        <v>3250</v>
      </c>
      <c r="BB246" t="s">
        <v>3250</v>
      </c>
      <c r="BC246" t="s">
        <v>3250</v>
      </c>
      <c r="BE246" t="s">
        <v>3250</v>
      </c>
      <c r="BF246" t="s">
        <v>3250</v>
      </c>
      <c r="BG246" t="s">
        <v>3250</v>
      </c>
      <c r="BH246" t="s">
        <v>3250</v>
      </c>
      <c r="BI246" t="s">
        <v>3250</v>
      </c>
      <c r="BK246" t="s">
        <v>3250</v>
      </c>
      <c r="BL246" t="s">
        <v>3250</v>
      </c>
      <c r="BM246" t="s">
        <v>3250</v>
      </c>
      <c r="BN246" t="s">
        <v>3250</v>
      </c>
      <c r="BP246">
        <v>1</v>
      </c>
      <c r="BQ246">
        <v>11</v>
      </c>
      <c r="BR246" t="s">
        <v>1574</v>
      </c>
      <c r="BS246" t="s">
        <v>3252</v>
      </c>
      <c r="BV246">
        <v>0</v>
      </c>
      <c r="BW246">
        <v>0</v>
      </c>
      <c r="BX246">
        <v>0</v>
      </c>
      <c r="BY246">
        <v>0</v>
      </c>
      <c r="BZ246">
        <v>0</v>
      </c>
      <c r="CA246">
        <v>0</v>
      </c>
      <c r="CB246">
        <v>0</v>
      </c>
      <c r="CC246">
        <v>0</v>
      </c>
      <c r="CD246">
        <v>0</v>
      </c>
      <c r="CE246" t="s">
        <v>3108</v>
      </c>
      <c r="CF246" t="s">
        <v>3108</v>
      </c>
      <c r="CG246" t="s">
        <v>3108</v>
      </c>
      <c r="CH246" t="s">
        <v>3108</v>
      </c>
    </row>
    <row r="247" spans="1:86" x14ac:dyDescent="0.2">
      <c r="A247" t="s">
        <v>3733</v>
      </c>
      <c r="B247" t="s">
        <v>3733</v>
      </c>
      <c r="C247">
        <v>30513</v>
      </c>
      <c r="D247">
        <v>1282</v>
      </c>
      <c r="E247" t="s">
        <v>3734</v>
      </c>
      <c r="F247" t="s">
        <v>3249</v>
      </c>
      <c r="G247" t="s">
        <v>3249</v>
      </c>
      <c r="H247" t="s">
        <v>3250</v>
      </c>
      <c r="I247" t="s">
        <v>3250</v>
      </c>
      <c r="J247" t="s">
        <v>3250</v>
      </c>
      <c r="K247" t="s">
        <v>3250</v>
      </c>
      <c r="L247">
        <v>1200</v>
      </c>
      <c r="M247" t="s">
        <v>2368</v>
      </c>
      <c r="N247">
        <v>1204</v>
      </c>
      <c r="O247" t="s">
        <v>1574</v>
      </c>
      <c r="P247" t="s">
        <v>3108</v>
      </c>
      <c r="Q247" t="s">
        <v>3249</v>
      </c>
      <c r="R247" t="s">
        <v>3249</v>
      </c>
      <c r="S247" t="s">
        <v>472</v>
      </c>
      <c r="T247" t="s">
        <v>3251</v>
      </c>
      <c r="U247">
        <v>140</v>
      </c>
      <c r="V247" t="s">
        <v>1327</v>
      </c>
      <c r="W247">
        <v>140</v>
      </c>
      <c r="X247" t="s">
        <v>1327</v>
      </c>
      <c r="Y247" t="s">
        <v>3250</v>
      </c>
      <c r="Z247" t="s">
        <v>3250</v>
      </c>
      <c r="AA247" t="s">
        <v>3108</v>
      </c>
      <c r="AB247" t="s">
        <v>3108</v>
      </c>
      <c r="AC247" t="s">
        <v>3250</v>
      </c>
      <c r="AD247" t="s">
        <v>3250</v>
      </c>
      <c r="AE247" t="s">
        <v>3250</v>
      </c>
      <c r="AF247" t="s">
        <v>3250</v>
      </c>
      <c r="AG247" t="s">
        <v>3250</v>
      </c>
      <c r="AH247" t="s">
        <v>3250</v>
      </c>
      <c r="AI247" t="s">
        <v>3250</v>
      </c>
      <c r="AJ247" t="s">
        <v>3250</v>
      </c>
      <c r="AL247">
        <v>141</v>
      </c>
      <c r="AM247" t="s">
        <v>1327</v>
      </c>
      <c r="AN247">
        <v>141</v>
      </c>
      <c r="AO247" t="s">
        <v>1327</v>
      </c>
      <c r="AS247" t="s">
        <v>3250</v>
      </c>
      <c r="AT247" t="s">
        <v>3250</v>
      </c>
      <c r="AU247" t="s">
        <v>3250</v>
      </c>
      <c r="AV247" t="s">
        <v>3250</v>
      </c>
      <c r="AW247" t="s">
        <v>3250</v>
      </c>
      <c r="AX247" t="s">
        <v>3250</v>
      </c>
      <c r="AY247" t="s">
        <v>3250</v>
      </c>
      <c r="AZ247" t="s">
        <v>3250</v>
      </c>
      <c r="BA247" t="s">
        <v>3250</v>
      </c>
      <c r="BB247" t="s">
        <v>3250</v>
      </c>
      <c r="BC247" t="s">
        <v>3250</v>
      </c>
      <c r="BE247" t="s">
        <v>3250</v>
      </c>
      <c r="BF247" t="s">
        <v>3250</v>
      </c>
      <c r="BG247" t="s">
        <v>3250</v>
      </c>
      <c r="BH247" t="s">
        <v>3250</v>
      </c>
      <c r="BI247" t="s">
        <v>3250</v>
      </c>
      <c r="BK247" t="s">
        <v>3250</v>
      </c>
      <c r="BL247" t="s">
        <v>3250</v>
      </c>
      <c r="BM247" t="s">
        <v>3250</v>
      </c>
      <c r="BN247" t="s">
        <v>3250</v>
      </c>
      <c r="BP247">
        <v>1</v>
      </c>
      <c r="BQ247">
        <v>11</v>
      </c>
      <c r="BR247" t="s">
        <v>1574</v>
      </c>
      <c r="BS247" t="s">
        <v>3252</v>
      </c>
      <c r="BV247">
        <v>0</v>
      </c>
      <c r="BW247">
        <v>0</v>
      </c>
      <c r="BX247">
        <v>0</v>
      </c>
      <c r="BY247">
        <v>0</v>
      </c>
      <c r="BZ247">
        <v>0</v>
      </c>
      <c r="CA247">
        <v>0</v>
      </c>
      <c r="CB247">
        <v>0</v>
      </c>
      <c r="CC247">
        <v>0</v>
      </c>
      <c r="CD247">
        <v>0</v>
      </c>
      <c r="CE247" t="s">
        <v>3108</v>
      </c>
      <c r="CF247" t="s">
        <v>3108</v>
      </c>
      <c r="CG247" t="s">
        <v>3108</v>
      </c>
      <c r="CH247" t="s">
        <v>3108</v>
      </c>
    </row>
    <row r="248" spans="1:86" x14ac:dyDescent="0.2">
      <c r="A248" t="s">
        <v>3735</v>
      </c>
      <c r="B248" t="s">
        <v>3735</v>
      </c>
      <c r="C248">
        <v>30514</v>
      </c>
      <c r="D248">
        <v>1283</v>
      </c>
      <c r="E248" t="s">
        <v>3736</v>
      </c>
      <c r="F248" t="s">
        <v>3249</v>
      </c>
      <c r="G248" t="s">
        <v>3249</v>
      </c>
      <c r="H248" t="s">
        <v>3250</v>
      </c>
      <c r="I248" t="s">
        <v>3250</v>
      </c>
      <c r="J248" t="s">
        <v>3250</v>
      </c>
      <c r="K248" t="s">
        <v>3250</v>
      </c>
      <c r="L248">
        <v>1200</v>
      </c>
      <c r="M248" t="s">
        <v>2368</v>
      </c>
      <c r="N248">
        <v>1204</v>
      </c>
      <c r="O248" t="s">
        <v>1574</v>
      </c>
      <c r="P248" t="s">
        <v>3108</v>
      </c>
      <c r="Q248" t="s">
        <v>3249</v>
      </c>
      <c r="R248" t="s">
        <v>3249</v>
      </c>
      <c r="S248" t="s">
        <v>472</v>
      </c>
      <c r="T248" t="s">
        <v>3251</v>
      </c>
      <c r="U248">
        <v>140</v>
      </c>
      <c r="V248" t="s">
        <v>1327</v>
      </c>
      <c r="W248">
        <v>140</v>
      </c>
      <c r="X248" t="s">
        <v>1327</v>
      </c>
      <c r="Y248" t="s">
        <v>3250</v>
      </c>
      <c r="Z248" t="s">
        <v>3250</v>
      </c>
      <c r="AA248" t="s">
        <v>3108</v>
      </c>
      <c r="AB248" t="s">
        <v>3108</v>
      </c>
      <c r="AC248" t="s">
        <v>3250</v>
      </c>
      <c r="AD248" t="s">
        <v>3250</v>
      </c>
      <c r="AE248" t="s">
        <v>3250</v>
      </c>
      <c r="AF248" t="s">
        <v>3250</v>
      </c>
      <c r="AG248" t="s">
        <v>3250</v>
      </c>
      <c r="AH248" t="s">
        <v>3250</v>
      </c>
      <c r="AI248" t="s">
        <v>3250</v>
      </c>
      <c r="AJ248" t="s">
        <v>3250</v>
      </c>
      <c r="AL248">
        <v>147</v>
      </c>
      <c r="AM248" t="s">
        <v>6</v>
      </c>
      <c r="AN248">
        <v>147</v>
      </c>
      <c r="AO248" t="s">
        <v>6</v>
      </c>
      <c r="AS248" t="s">
        <v>3250</v>
      </c>
      <c r="AT248" t="s">
        <v>3250</v>
      </c>
      <c r="AU248" t="s">
        <v>3250</v>
      </c>
      <c r="AV248" t="s">
        <v>3250</v>
      </c>
      <c r="AW248" t="s">
        <v>3250</v>
      </c>
      <c r="AX248" t="s">
        <v>3250</v>
      </c>
      <c r="AY248" t="s">
        <v>3250</v>
      </c>
      <c r="AZ248" t="s">
        <v>3250</v>
      </c>
      <c r="BA248" t="s">
        <v>3250</v>
      </c>
      <c r="BB248" t="s">
        <v>3250</v>
      </c>
      <c r="BC248" t="s">
        <v>3250</v>
      </c>
      <c r="BE248" t="s">
        <v>3250</v>
      </c>
      <c r="BF248" t="s">
        <v>3250</v>
      </c>
      <c r="BG248" t="s">
        <v>3250</v>
      </c>
      <c r="BH248" t="s">
        <v>3250</v>
      </c>
      <c r="BI248" t="s">
        <v>3250</v>
      </c>
      <c r="BK248" t="s">
        <v>3250</v>
      </c>
      <c r="BL248" t="s">
        <v>3250</v>
      </c>
      <c r="BM248" t="s">
        <v>3250</v>
      </c>
      <c r="BN248" t="s">
        <v>3250</v>
      </c>
      <c r="BP248">
        <v>1</v>
      </c>
      <c r="BQ248">
        <v>11</v>
      </c>
      <c r="BR248" t="s">
        <v>1574</v>
      </c>
      <c r="BS248" t="s">
        <v>3252</v>
      </c>
      <c r="BV248">
        <v>0</v>
      </c>
      <c r="BW248">
        <v>0</v>
      </c>
      <c r="BX248">
        <v>0</v>
      </c>
      <c r="BY248">
        <v>0</v>
      </c>
      <c r="BZ248">
        <v>0</v>
      </c>
      <c r="CA248">
        <v>0</v>
      </c>
      <c r="CB248">
        <v>0</v>
      </c>
      <c r="CC248">
        <v>0</v>
      </c>
      <c r="CD248">
        <v>0</v>
      </c>
      <c r="CE248" t="s">
        <v>3108</v>
      </c>
      <c r="CF248" t="s">
        <v>3108</v>
      </c>
      <c r="CG248" t="s">
        <v>3108</v>
      </c>
      <c r="CH248" t="s">
        <v>3108</v>
      </c>
    </row>
    <row r="249" spans="1:86" x14ac:dyDescent="0.2">
      <c r="A249" t="s">
        <v>3737</v>
      </c>
      <c r="B249" t="s">
        <v>3737</v>
      </c>
      <c r="C249">
        <v>30515</v>
      </c>
      <c r="D249">
        <v>1284</v>
      </c>
      <c r="E249" t="s">
        <v>3738</v>
      </c>
      <c r="F249" t="s">
        <v>3249</v>
      </c>
      <c r="G249" t="s">
        <v>3249</v>
      </c>
      <c r="H249" t="s">
        <v>3250</v>
      </c>
      <c r="I249" t="s">
        <v>3250</v>
      </c>
      <c r="J249" t="s">
        <v>3250</v>
      </c>
      <c r="K249" t="s">
        <v>3250</v>
      </c>
      <c r="L249">
        <v>1200</v>
      </c>
      <c r="M249" t="s">
        <v>2368</v>
      </c>
      <c r="N249">
        <v>1204</v>
      </c>
      <c r="O249" t="s">
        <v>1574</v>
      </c>
      <c r="P249" t="s">
        <v>3108</v>
      </c>
      <c r="Q249" t="s">
        <v>3249</v>
      </c>
      <c r="R249" t="s">
        <v>3249</v>
      </c>
      <c r="S249" t="s">
        <v>472</v>
      </c>
      <c r="T249" t="s">
        <v>3251</v>
      </c>
      <c r="U249">
        <v>140</v>
      </c>
      <c r="V249" t="s">
        <v>1327</v>
      </c>
      <c r="W249">
        <v>140</v>
      </c>
      <c r="X249" t="s">
        <v>1327</v>
      </c>
      <c r="Y249" t="s">
        <v>3250</v>
      </c>
      <c r="Z249" t="s">
        <v>3250</v>
      </c>
      <c r="AA249" t="s">
        <v>3108</v>
      </c>
      <c r="AB249" t="s">
        <v>3108</v>
      </c>
      <c r="AC249" t="s">
        <v>3250</v>
      </c>
      <c r="AD249" t="s">
        <v>3250</v>
      </c>
      <c r="AE249" t="s">
        <v>3250</v>
      </c>
      <c r="AF249" t="s">
        <v>3250</v>
      </c>
      <c r="AG249" t="s">
        <v>3250</v>
      </c>
      <c r="AH249" t="s">
        <v>3250</v>
      </c>
      <c r="AI249" t="s">
        <v>3250</v>
      </c>
      <c r="AJ249" t="s">
        <v>3250</v>
      </c>
      <c r="AL249">
        <v>141</v>
      </c>
      <c r="AM249" t="s">
        <v>1327</v>
      </c>
      <c r="AN249">
        <v>141</v>
      </c>
      <c r="AO249" t="s">
        <v>1327</v>
      </c>
      <c r="AS249" t="s">
        <v>3250</v>
      </c>
      <c r="AT249" t="s">
        <v>3250</v>
      </c>
      <c r="AU249" t="s">
        <v>3250</v>
      </c>
      <c r="AV249" t="s">
        <v>3250</v>
      </c>
      <c r="AW249" t="s">
        <v>3250</v>
      </c>
      <c r="AX249" t="s">
        <v>3250</v>
      </c>
      <c r="AY249" t="s">
        <v>3250</v>
      </c>
      <c r="AZ249" t="s">
        <v>3250</v>
      </c>
      <c r="BA249" t="s">
        <v>3250</v>
      </c>
      <c r="BB249" t="s">
        <v>3250</v>
      </c>
      <c r="BC249" t="s">
        <v>3250</v>
      </c>
      <c r="BE249" t="s">
        <v>3250</v>
      </c>
      <c r="BF249" t="s">
        <v>3250</v>
      </c>
      <c r="BG249" t="s">
        <v>3250</v>
      </c>
      <c r="BH249" t="s">
        <v>3250</v>
      </c>
      <c r="BI249" t="s">
        <v>3250</v>
      </c>
      <c r="BK249" t="s">
        <v>3250</v>
      </c>
      <c r="BL249" t="s">
        <v>3250</v>
      </c>
      <c r="BM249" t="s">
        <v>3250</v>
      </c>
      <c r="BN249" t="s">
        <v>3250</v>
      </c>
      <c r="BP249">
        <v>1</v>
      </c>
      <c r="BQ249">
        <v>11</v>
      </c>
      <c r="BR249" t="s">
        <v>1574</v>
      </c>
      <c r="BS249" t="s">
        <v>3252</v>
      </c>
      <c r="BV249">
        <v>0</v>
      </c>
      <c r="BW249">
        <v>0</v>
      </c>
      <c r="BX249">
        <v>0</v>
      </c>
      <c r="BY249">
        <v>0</v>
      </c>
      <c r="BZ249">
        <v>0</v>
      </c>
      <c r="CA249">
        <v>0</v>
      </c>
      <c r="CB249">
        <v>0</v>
      </c>
      <c r="CC249">
        <v>0</v>
      </c>
      <c r="CD249">
        <v>0</v>
      </c>
      <c r="CE249" t="s">
        <v>3108</v>
      </c>
      <c r="CF249" t="s">
        <v>3108</v>
      </c>
      <c r="CG249" t="s">
        <v>3108</v>
      </c>
      <c r="CH249" t="s">
        <v>3108</v>
      </c>
    </row>
    <row r="250" spans="1:86" x14ac:dyDescent="0.2">
      <c r="A250" t="s">
        <v>3739</v>
      </c>
      <c r="B250" t="s">
        <v>3739</v>
      </c>
      <c r="C250">
        <v>30516</v>
      </c>
      <c r="D250">
        <v>1285</v>
      </c>
      <c r="E250" t="s">
        <v>3740</v>
      </c>
      <c r="F250" t="s">
        <v>3249</v>
      </c>
      <c r="G250" t="s">
        <v>3249</v>
      </c>
      <c r="H250" t="s">
        <v>3250</v>
      </c>
      <c r="I250" t="s">
        <v>3250</v>
      </c>
      <c r="J250" t="s">
        <v>3250</v>
      </c>
      <c r="K250" t="s">
        <v>3250</v>
      </c>
      <c r="L250">
        <v>1200</v>
      </c>
      <c r="M250" t="s">
        <v>2368</v>
      </c>
      <c r="N250">
        <v>1204</v>
      </c>
      <c r="O250" t="s">
        <v>1574</v>
      </c>
      <c r="P250" t="s">
        <v>3108</v>
      </c>
      <c r="Q250" t="s">
        <v>3249</v>
      </c>
      <c r="R250" t="s">
        <v>3249</v>
      </c>
      <c r="S250" t="s">
        <v>472</v>
      </c>
      <c r="T250" t="s">
        <v>3251</v>
      </c>
      <c r="U250">
        <v>140</v>
      </c>
      <c r="V250" t="s">
        <v>1327</v>
      </c>
      <c r="W250">
        <v>140</v>
      </c>
      <c r="X250" t="s">
        <v>1327</v>
      </c>
      <c r="Y250" t="s">
        <v>3250</v>
      </c>
      <c r="Z250" t="s">
        <v>3250</v>
      </c>
      <c r="AA250" t="s">
        <v>3108</v>
      </c>
      <c r="AB250" t="s">
        <v>3108</v>
      </c>
      <c r="AC250" t="s">
        <v>3250</v>
      </c>
      <c r="AD250" t="s">
        <v>3250</v>
      </c>
      <c r="AE250" t="s">
        <v>3250</v>
      </c>
      <c r="AF250" t="s">
        <v>3250</v>
      </c>
      <c r="AG250" t="s">
        <v>3250</v>
      </c>
      <c r="AH250" t="s">
        <v>3250</v>
      </c>
      <c r="AI250" t="s">
        <v>3250</v>
      </c>
      <c r="AJ250" t="s">
        <v>3250</v>
      </c>
      <c r="AL250">
        <v>141</v>
      </c>
      <c r="AM250" t="s">
        <v>1327</v>
      </c>
      <c r="AN250">
        <v>141</v>
      </c>
      <c r="AO250" t="s">
        <v>1327</v>
      </c>
      <c r="AS250" t="s">
        <v>3250</v>
      </c>
      <c r="AT250" t="s">
        <v>3250</v>
      </c>
      <c r="AU250" t="s">
        <v>3250</v>
      </c>
      <c r="AV250" t="s">
        <v>3250</v>
      </c>
      <c r="AW250" t="s">
        <v>3250</v>
      </c>
      <c r="AX250" t="s">
        <v>3250</v>
      </c>
      <c r="AY250" t="s">
        <v>3250</v>
      </c>
      <c r="AZ250" t="s">
        <v>3250</v>
      </c>
      <c r="BA250" t="s">
        <v>3250</v>
      </c>
      <c r="BB250" t="s">
        <v>3250</v>
      </c>
      <c r="BC250" t="s">
        <v>3250</v>
      </c>
      <c r="BE250" t="s">
        <v>3250</v>
      </c>
      <c r="BF250" t="s">
        <v>3250</v>
      </c>
      <c r="BG250" t="s">
        <v>3250</v>
      </c>
      <c r="BH250" t="s">
        <v>3250</v>
      </c>
      <c r="BI250" t="s">
        <v>3250</v>
      </c>
      <c r="BK250" t="s">
        <v>3250</v>
      </c>
      <c r="BL250" t="s">
        <v>3250</v>
      </c>
      <c r="BM250" t="s">
        <v>3250</v>
      </c>
      <c r="BN250" t="s">
        <v>3250</v>
      </c>
      <c r="BP250">
        <v>1</v>
      </c>
      <c r="BQ250">
        <v>11</v>
      </c>
      <c r="BR250" t="s">
        <v>1574</v>
      </c>
      <c r="BS250" t="s">
        <v>3252</v>
      </c>
      <c r="BV250">
        <v>0</v>
      </c>
      <c r="BW250">
        <v>0</v>
      </c>
      <c r="BX250">
        <v>0</v>
      </c>
      <c r="BY250">
        <v>0</v>
      </c>
      <c r="BZ250">
        <v>0</v>
      </c>
      <c r="CA250">
        <v>0</v>
      </c>
      <c r="CB250">
        <v>0</v>
      </c>
      <c r="CC250">
        <v>0</v>
      </c>
      <c r="CD250">
        <v>0</v>
      </c>
      <c r="CE250" t="s">
        <v>3108</v>
      </c>
      <c r="CF250" t="s">
        <v>3108</v>
      </c>
      <c r="CG250" t="s">
        <v>3108</v>
      </c>
      <c r="CH250" t="s">
        <v>3108</v>
      </c>
    </row>
    <row r="251" spans="1:86" x14ac:dyDescent="0.2">
      <c r="A251" t="s">
        <v>3741</v>
      </c>
      <c r="B251" t="s">
        <v>3741</v>
      </c>
      <c r="C251">
        <v>30517</v>
      </c>
      <c r="D251">
        <v>1286</v>
      </c>
      <c r="E251" t="s">
        <v>3742</v>
      </c>
      <c r="F251" t="s">
        <v>3249</v>
      </c>
      <c r="G251" t="s">
        <v>3249</v>
      </c>
      <c r="H251" t="s">
        <v>3250</v>
      </c>
      <c r="I251" t="s">
        <v>3250</v>
      </c>
      <c r="J251" t="s">
        <v>3250</v>
      </c>
      <c r="K251" t="s">
        <v>3250</v>
      </c>
      <c r="L251">
        <v>1200</v>
      </c>
      <c r="M251" t="s">
        <v>2368</v>
      </c>
      <c r="N251">
        <v>1204</v>
      </c>
      <c r="O251" t="s">
        <v>1574</v>
      </c>
      <c r="P251" t="s">
        <v>3108</v>
      </c>
      <c r="Q251" t="s">
        <v>3249</v>
      </c>
      <c r="R251" t="s">
        <v>3249</v>
      </c>
      <c r="S251" t="s">
        <v>472</v>
      </c>
      <c r="T251" t="s">
        <v>3251</v>
      </c>
      <c r="U251">
        <v>140</v>
      </c>
      <c r="V251" t="s">
        <v>1327</v>
      </c>
      <c r="W251">
        <v>140</v>
      </c>
      <c r="X251" t="s">
        <v>1327</v>
      </c>
      <c r="Y251" t="s">
        <v>3250</v>
      </c>
      <c r="Z251" t="s">
        <v>3250</v>
      </c>
      <c r="AA251" t="s">
        <v>3108</v>
      </c>
      <c r="AB251" t="s">
        <v>3108</v>
      </c>
      <c r="AC251" t="s">
        <v>3250</v>
      </c>
      <c r="AD251" t="s">
        <v>3250</v>
      </c>
      <c r="AE251" t="s">
        <v>3250</v>
      </c>
      <c r="AF251" t="s">
        <v>3250</v>
      </c>
      <c r="AG251" t="s">
        <v>3250</v>
      </c>
      <c r="AH251" t="s">
        <v>3250</v>
      </c>
      <c r="AI251" t="s">
        <v>3250</v>
      </c>
      <c r="AJ251" t="s">
        <v>3250</v>
      </c>
      <c r="AL251">
        <v>141</v>
      </c>
      <c r="AM251" t="s">
        <v>1327</v>
      </c>
      <c r="AN251">
        <v>141</v>
      </c>
      <c r="AO251" t="s">
        <v>1327</v>
      </c>
      <c r="AS251" t="s">
        <v>3250</v>
      </c>
      <c r="AT251" t="s">
        <v>3250</v>
      </c>
      <c r="AU251" t="s">
        <v>3250</v>
      </c>
      <c r="AV251" t="s">
        <v>3250</v>
      </c>
      <c r="AW251" t="s">
        <v>3250</v>
      </c>
      <c r="AX251" t="s">
        <v>3250</v>
      </c>
      <c r="AY251" t="s">
        <v>3250</v>
      </c>
      <c r="AZ251" t="s">
        <v>3250</v>
      </c>
      <c r="BA251" t="s">
        <v>3250</v>
      </c>
      <c r="BB251" t="s">
        <v>3250</v>
      </c>
      <c r="BC251" t="s">
        <v>3250</v>
      </c>
      <c r="BE251" t="s">
        <v>3250</v>
      </c>
      <c r="BF251" t="s">
        <v>3250</v>
      </c>
      <c r="BG251" t="s">
        <v>3250</v>
      </c>
      <c r="BH251" t="s">
        <v>3250</v>
      </c>
      <c r="BI251" t="s">
        <v>3250</v>
      </c>
      <c r="BK251" t="s">
        <v>3250</v>
      </c>
      <c r="BL251" t="s">
        <v>3250</v>
      </c>
      <c r="BM251" t="s">
        <v>3250</v>
      </c>
      <c r="BN251" t="s">
        <v>3250</v>
      </c>
      <c r="BP251">
        <v>1</v>
      </c>
      <c r="BQ251">
        <v>11</v>
      </c>
      <c r="BR251" t="s">
        <v>1574</v>
      </c>
      <c r="BS251" t="s">
        <v>3252</v>
      </c>
      <c r="BV251">
        <v>0</v>
      </c>
      <c r="BW251">
        <v>0</v>
      </c>
      <c r="BX251">
        <v>0</v>
      </c>
      <c r="BY251">
        <v>0</v>
      </c>
      <c r="BZ251">
        <v>0</v>
      </c>
      <c r="CA251">
        <v>0</v>
      </c>
      <c r="CB251">
        <v>0</v>
      </c>
      <c r="CC251">
        <v>0</v>
      </c>
      <c r="CD251">
        <v>0</v>
      </c>
      <c r="CE251" t="s">
        <v>3108</v>
      </c>
      <c r="CF251" t="s">
        <v>3108</v>
      </c>
      <c r="CG251" t="s">
        <v>3108</v>
      </c>
      <c r="CH251" t="s">
        <v>3108</v>
      </c>
    </row>
    <row r="252" spans="1:86" x14ac:dyDescent="0.2">
      <c r="A252" t="s">
        <v>3743</v>
      </c>
      <c r="B252" t="s">
        <v>3743</v>
      </c>
      <c r="C252">
        <v>30518</v>
      </c>
      <c r="D252">
        <v>1287</v>
      </c>
      <c r="E252" t="s">
        <v>3744</v>
      </c>
      <c r="F252" t="s">
        <v>3249</v>
      </c>
      <c r="G252" t="s">
        <v>3249</v>
      </c>
      <c r="H252" t="s">
        <v>3250</v>
      </c>
      <c r="I252" t="s">
        <v>3250</v>
      </c>
      <c r="J252" t="s">
        <v>3250</v>
      </c>
      <c r="K252" t="s">
        <v>3250</v>
      </c>
      <c r="L252">
        <v>1200</v>
      </c>
      <c r="M252" t="s">
        <v>2368</v>
      </c>
      <c r="N252">
        <v>1204</v>
      </c>
      <c r="O252" t="s">
        <v>1574</v>
      </c>
      <c r="P252" t="s">
        <v>3108</v>
      </c>
      <c r="Q252" t="s">
        <v>3249</v>
      </c>
      <c r="R252" t="s">
        <v>3249</v>
      </c>
      <c r="S252" t="s">
        <v>472</v>
      </c>
      <c r="T252" t="s">
        <v>3251</v>
      </c>
      <c r="U252">
        <v>140</v>
      </c>
      <c r="V252" t="s">
        <v>1327</v>
      </c>
      <c r="W252">
        <v>140</v>
      </c>
      <c r="X252" t="s">
        <v>1327</v>
      </c>
      <c r="Y252" t="s">
        <v>3250</v>
      </c>
      <c r="Z252" t="s">
        <v>3250</v>
      </c>
      <c r="AA252" t="s">
        <v>3108</v>
      </c>
      <c r="AB252" t="s">
        <v>3108</v>
      </c>
      <c r="AC252" t="s">
        <v>3250</v>
      </c>
      <c r="AD252" t="s">
        <v>3250</v>
      </c>
      <c r="AE252" t="s">
        <v>3250</v>
      </c>
      <c r="AF252" t="s">
        <v>3250</v>
      </c>
      <c r="AG252" t="s">
        <v>3250</v>
      </c>
      <c r="AH252" t="s">
        <v>3250</v>
      </c>
      <c r="AI252" t="s">
        <v>3250</v>
      </c>
      <c r="AJ252" t="s">
        <v>3250</v>
      </c>
      <c r="AL252">
        <v>146</v>
      </c>
      <c r="AM252" t="s">
        <v>5</v>
      </c>
      <c r="AN252">
        <v>146</v>
      </c>
      <c r="AO252" t="s">
        <v>5</v>
      </c>
      <c r="AS252" t="s">
        <v>3250</v>
      </c>
      <c r="AT252" t="s">
        <v>3250</v>
      </c>
      <c r="AU252" t="s">
        <v>3250</v>
      </c>
      <c r="AV252" t="s">
        <v>3250</v>
      </c>
      <c r="AW252" t="s">
        <v>3250</v>
      </c>
      <c r="AX252" t="s">
        <v>3250</v>
      </c>
      <c r="AY252" t="s">
        <v>3250</v>
      </c>
      <c r="AZ252" t="s">
        <v>3250</v>
      </c>
      <c r="BA252" t="s">
        <v>3250</v>
      </c>
      <c r="BB252" t="s">
        <v>3250</v>
      </c>
      <c r="BC252" t="s">
        <v>3250</v>
      </c>
      <c r="BE252" t="s">
        <v>3250</v>
      </c>
      <c r="BF252" t="s">
        <v>3250</v>
      </c>
      <c r="BG252" t="s">
        <v>3250</v>
      </c>
      <c r="BH252" t="s">
        <v>3250</v>
      </c>
      <c r="BI252" t="s">
        <v>3250</v>
      </c>
      <c r="BK252" t="s">
        <v>3250</v>
      </c>
      <c r="BL252" t="s">
        <v>3250</v>
      </c>
      <c r="BM252" t="s">
        <v>3250</v>
      </c>
      <c r="BN252" t="s">
        <v>3250</v>
      </c>
      <c r="BP252">
        <v>1</v>
      </c>
      <c r="BQ252">
        <v>11</v>
      </c>
      <c r="BR252" t="s">
        <v>1574</v>
      </c>
      <c r="BS252" t="s">
        <v>3252</v>
      </c>
      <c r="BV252">
        <v>0</v>
      </c>
      <c r="BW252">
        <v>0</v>
      </c>
      <c r="BX252">
        <v>0</v>
      </c>
      <c r="BY252">
        <v>0</v>
      </c>
      <c r="BZ252">
        <v>0</v>
      </c>
      <c r="CA252">
        <v>0</v>
      </c>
      <c r="CB252">
        <v>0</v>
      </c>
      <c r="CC252">
        <v>0</v>
      </c>
      <c r="CD252">
        <v>0</v>
      </c>
      <c r="CE252" t="s">
        <v>3108</v>
      </c>
      <c r="CF252" t="s">
        <v>3108</v>
      </c>
      <c r="CG252" t="s">
        <v>3108</v>
      </c>
      <c r="CH252" t="s">
        <v>3108</v>
      </c>
    </row>
    <row r="253" spans="1:86" x14ac:dyDescent="0.2">
      <c r="A253" t="s">
        <v>3745</v>
      </c>
      <c r="B253" t="s">
        <v>3745</v>
      </c>
      <c r="C253">
        <v>30519</v>
      </c>
      <c r="D253">
        <v>1288</v>
      </c>
      <c r="E253" t="s">
        <v>3746</v>
      </c>
      <c r="F253" t="s">
        <v>3249</v>
      </c>
      <c r="G253" t="s">
        <v>3249</v>
      </c>
      <c r="H253" t="s">
        <v>3250</v>
      </c>
      <c r="I253" t="s">
        <v>3250</v>
      </c>
      <c r="J253" t="s">
        <v>3250</v>
      </c>
      <c r="K253" t="s">
        <v>3250</v>
      </c>
      <c r="L253">
        <v>1200</v>
      </c>
      <c r="M253" t="s">
        <v>2368</v>
      </c>
      <c r="N253">
        <v>1204</v>
      </c>
      <c r="O253" t="s">
        <v>1574</v>
      </c>
      <c r="P253" t="s">
        <v>3108</v>
      </c>
      <c r="Q253" t="s">
        <v>3249</v>
      </c>
      <c r="R253" t="s">
        <v>3249</v>
      </c>
      <c r="S253" t="s">
        <v>472</v>
      </c>
      <c r="T253" t="s">
        <v>3251</v>
      </c>
      <c r="U253">
        <v>140</v>
      </c>
      <c r="V253" t="s">
        <v>1327</v>
      </c>
      <c r="W253">
        <v>140</v>
      </c>
      <c r="X253" t="s">
        <v>1327</v>
      </c>
      <c r="Y253" t="s">
        <v>3250</v>
      </c>
      <c r="Z253" t="s">
        <v>3250</v>
      </c>
      <c r="AA253" t="s">
        <v>3108</v>
      </c>
      <c r="AB253" t="s">
        <v>3108</v>
      </c>
      <c r="AC253" t="s">
        <v>3250</v>
      </c>
      <c r="AD253" t="s">
        <v>3250</v>
      </c>
      <c r="AE253" t="s">
        <v>3250</v>
      </c>
      <c r="AF253" t="s">
        <v>3250</v>
      </c>
      <c r="AG253" t="s">
        <v>3250</v>
      </c>
      <c r="AH253" t="s">
        <v>3250</v>
      </c>
      <c r="AI253" t="s">
        <v>3250</v>
      </c>
      <c r="AJ253" t="s">
        <v>3250</v>
      </c>
      <c r="AL253">
        <v>146</v>
      </c>
      <c r="AM253" t="s">
        <v>5</v>
      </c>
      <c r="AN253">
        <v>146</v>
      </c>
      <c r="AO253" t="s">
        <v>5</v>
      </c>
      <c r="AS253" t="s">
        <v>3250</v>
      </c>
      <c r="AT253" t="s">
        <v>3250</v>
      </c>
      <c r="AU253" t="s">
        <v>3250</v>
      </c>
      <c r="AV253" t="s">
        <v>3250</v>
      </c>
      <c r="AW253" t="s">
        <v>3250</v>
      </c>
      <c r="AX253" t="s">
        <v>3250</v>
      </c>
      <c r="AY253" t="s">
        <v>3250</v>
      </c>
      <c r="AZ253" t="s">
        <v>3250</v>
      </c>
      <c r="BA253" t="s">
        <v>3250</v>
      </c>
      <c r="BB253" t="s">
        <v>3250</v>
      </c>
      <c r="BC253" t="s">
        <v>3250</v>
      </c>
      <c r="BE253" t="s">
        <v>3250</v>
      </c>
      <c r="BF253" t="s">
        <v>3250</v>
      </c>
      <c r="BG253" t="s">
        <v>3250</v>
      </c>
      <c r="BH253" t="s">
        <v>3250</v>
      </c>
      <c r="BI253" t="s">
        <v>3250</v>
      </c>
      <c r="BK253" t="s">
        <v>3250</v>
      </c>
      <c r="BL253" t="s">
        <v>3250</v>
      </c>
      <c r="BM253" t="s">
        <v>3250</v>
      </c>
      <c r="BN253" t="s">
        <v>3250</v>
      </c>
      <c r="BP253">
        <v>1</v>
      </c>
      <c r="BQ253">
        <v>11</v>
      </c>
      <c r="BR253" t="s">
        <v>1574</v>
      </c>
      <c r="BS253" t="s">
        <v>3252</v>
      </c>
      <c r="BV253">
        <v>0</v>
      </c>
      <c r="BW253">
        <v>0</v>
      </c>
      <c r="BX253">
        <v>0</v>
      </c>
      <c r="BY253">
        <v>0</v>
      </c>
      <c r="BZ253">
        <v>0</v>
      </c>
      <c r="CA253">
        <v>0</v>
      </c>
      <c r="CB253">
        <v>0</v>
      </c>
      <c r="CC253">
        <v>0</v>
      </c>
      <c r="CD253">
        <v>0</v>
      </c>
      <c r="CE253" t="s">
        <v>3108</v>
      </c>
      <c r="CF253" t="s">
        <v>3108</v>
      </c>
      <c r="CG253" t="s">
        <v>3108</v>
      </c>
      <c r="CH253" t="s">
        <v>3108</v>
      </c>
    </row>
    <row r="254" spans="1:86" x14ac:dyDescent="0.2">
      <c r="A254" t="s">
        <v>3747</v>
      </c>
      <c r="B254" t="s">
        <v>3747</v>
      </c>
      <c r="C254">
        <v>30520</v>
      </c>
      <c r="D254">
        <v>1289</v>
      </c>
      <c r="E254" t="s">
        <v>3748</v>
      </c>
      <c r="F254" t="s">
        <v>3249</v>
      </c>
      <c r="G254" t="s">
        <v>3249</v>
      </c>
      <c r="H254" t="s">
        <v>3250</v>
      </c>
      <c r="I254" t="s">
        <v>3250</v>
      </c>
      <c r="J254" t="s">
        <v>3250</v>
      </c>
      <c r="K254" t="s">
        <v>3250</v>
      </c>
      <c r="L254">
        <v>1200</v>
      </c>
      <c r="M254" t="s">
        <v>2368</v>
      </c>
      <c r="N254">
        <v>1204</v>
      </c>
      <c r="O254" t="s">
        <v>1574</v>
      </c>
      <c r="P254" t="s">
        <v>3108</v>
      </c>
      <c r="Q254" t="s">
        <v>3249</v>
      </c>
      <c r="R254" t="s">
        <v>3249</v>
      </c>
      <c r="S254" t="s">
        <v>472</v>
      </c>
      <c r="T254" t="s">
        <v>3251</v>
      </c>
      <c r="U254">
        <v>140</v>
      </c>
      <c r="V254" t="s">
        <v>1327</v>
      </c>
      <c r="W254">
        <v>140</v>
      </c>
      <c r="X254" t="s">
        <v>1327</v>
      </c>
      <c r="Y254" t="s">
        <v>3250</v>
      </c>
      <c r="Z254" t="s">
        <v>3250</v>
      </c>
      <c r="AA254" t="s">
        <v>3108</v>
      </c>
      <c r="AB254" t="s">
        <v>3108</v>
      </c>
      <c r="AC254" t="s">
        <v>3250</v>
      </c>
      <c r="AD254" t="s">
        <v>3250</v>
      </c>
      <c r="AE254" t="s">
        <v>3250</v>
      </c>
      <c r="AF254" t="s">
        <v>3250</v>
      </c>
      <c r="AG254" t="s">
        <v>3250</v>
      </c>
      <c r="AH254" t="s">
        <v>3250</v>
      </c>
      <c r="AI254" t="s">
        <v>3250</v>
      </c>
      <c r="AJ254" t="s">
        <v>3250</v>
      </c>
      <c r="AL254">
        <v>141</v>
      </c>
      <c r="AM254" t="s">
        <v>1327</v>
      </c>
      <c r="AN254">
        <v>141</v>
      </c>
      <c r="AO254" t="s">
        <v>1327</v>
      </c>
      <c r="AS254" t="s">
        <v>3250</v>
      </c>
      <c r="AT254" t="s">
        <v>3250</v>
      </c>
      <c r="AU254" t="s">
        <v>3250</v>
      </c>
      <c r="AV254" t="s">
        <v>3250</v>
      </c>
      <c r="AW254" t="s">
        <v>3250</v>
      </c>
      <c r="AX254" t="s">
        <v>3250</v>
      </c>
      <c r="AY254" t="s">
        <v>3250</v>
      </c>
      <c r="AZ254" t="s">
        <v>3250</v>
      </c>
      <c r="BA254" t="s">
        <v>3250</v>
      </c>
      <c r="BB254" t="s">
        <v>3250</v>
      </c>
      <c r="BC254" t="s">
        <v>3250</v>
      </c>
      <c r="BE254" t="s">
        <v>3250</v>
      </c>
      <c r="BF254" t="s">
        <v>3250</v>
      </c>
      <c r="BG254" t="s">
        <v>3250</v>
      </c>
      <c r="BH254" t="s">
        <v>3250</v>
      </c>
      <c r="BI254" t="s">
        <v>3250</v>
      </c>
      <c r="BK254" t="s">
        <v>3250</v>
      </c>
      <c r="BL254" t="s">
        <v>3250</v>
      </c>
      <c r="BM254" t="s">
        <v>3250</v>
      </c>
      <c r="BN254" t="s">
        <v>3250</v>
      </c>
      <c r="BP254">
        <v>1</v>
      </c>
      <c r="BQ254">
        <v>11</v>
      </c>
      <c r="BR254" t="s">
        <v>1574</v>
      </c>
      <c r="BS254" t="s">
        <v>3252</v>
      </c>
      <c r="BV254">
        <v>0</v>
      </c>
      <c r="BW254">
        <v>0</v>
      </c>
      <c r="BX254">
        <v>0</v>
      </c>
      <c r="BY254">
        <v>0</v>
      </c>
      <c r="BZ254">
        <v>0</v>
      </c>
      <c r="CA254">
        <v>0</v>
      </c>
      <c r="CB254">
        <v>0</v>
      </c>
      <c r="CC254">
        <v>0</v>
      </c>
      <c r="CD254">
        <v>0</v>
      </c>
      <c r="CE254" t="s">
        <v>3108</v>
      </c>
      <c r="CF254" t="s">
        <v>3108</v>
      </c>
      <c r="CG254" t="s">
        <v>3108</v>
      </c>
      <c r="CH254" t="s">
        <v>3108</v>
      </c>
    </row>
    <row r="255" spans="1:86" x14ac:dyDescent="0.2">
      <c r="A255" t="s">
        <v>3749</v>
      </c>
      <c r="B255" t="s">
        <v>3749</v>
      </c>
      <c r="C255">
        <v>30521</v>
      </c>
      <c r="D255">
        <v>1290</v>
      </c>
      <c r="E255" t="s">
        <v>3750</v>
      </c>
      <c r="F255" t="s">
        <v>3249</v>
      </c>
      <c r="G255" t="s">
        <v>3249</v>
      </c>
      <c r="H255" t="s">
        <v>3250</v>
      </c>
      <c r="I255" t="s">
        <v>3250</v>
      </c>
      <c r="J255" t="s">
        <v>3250</v>
      </c>
      <c r="K255" t="s">
        <v>3250</v>
      </c>
      <c r="L255">
        <v>1200</v>
      </c>
      <c r="M255" t="s">
        <v>2368</v>
      </c>
      <c r="N255">
        <v>1204</v>
      </c>
      <c r="O255" t="s">
        <v>1574</v>
      </c>
      <c r="P255" t="s">
        <v>3108</v>
      </c>
      <c r="Q255" t="s">
        <v>3249</v>
      </c>
      <c r="R255" t="s">
        <v>3249</v>
      </c>
      <c r="S255" t="s">
        <v>472</v>
      </c>
      <c r="T255" t="s">
        <v>3251</v>
      </c>
      <c r="U255">
        <v>140</v>
      </c>
      <c r="V255" t="s">
        <v>1327</v>
      </c>
      <c r="W255">
        <v>140</v>
      </c>
      <c r="X255" t="s">
        <v>1327</v>
      </c>
      <c r="Y255" t="s">
        <v>3250</v>
      </c>
      <c r="Z255" t="s">
        <v>3250</v>
      </c>
      <c r="AA255" t="s">
        <v>3108</v>
      </c>
      <c r="AB255" t="s">
        <v>3108</v>
      </c>
      <c r="AC255" t="s">
        <v>3250</v>
      </c>
      <c r="AD255" t="s">
        <v>3250</v>
      </c>
      <c r="AE255" t="s">
        <v>3250</v>
      </c>
      <c r="AF255" t="s">
        <v>3250</v>
      </c>
      <c r="AG255" t="s">
        <v>3250</v>
      </c>
      <c r="AH255" t="s">
        <v>3250</v>
      </c>
      <c r="AI255" t="s">
        <v>3250</v>
      </c>
      <c r="AJ255" t="s">
        <v>3250</v>
      </c>
      <c r="AL255">
        <v>141</v>
      </c>
      <c r="AM255" t="s">
        <v>1327</v>
      </c>
      <c r="AN255">
        <v>141</v>
      </c>
      <c r="AO255" t="s">
        <v>1327</v>
      </c>
      <c r="AS255" t="s">
        <v>3250</v>
      </c>
      <c r="AT255" t="s">
        <v>3250</v>
      </c>
      <c r="AU255" t="s">
        <v>3250</v>
      </c>
      <c r="AV255" t="s">
        <v>3250</v>
      </c>
      <c r="AW255" t="s">
        <v>3250</v>
      </c>
      <c r="AX255" t="s">
        <v>3250</v>
      </c>
      <c r="AY255" t="s">
        <v>3250</v>
      </c>
      <c r="AZ255" t="s">
        <v>3250</v>
      </c>
      <c r="BA255" t="s">
        <v>3250</v>
      </c>
      <c r="BB255" t="s">
        <v>3250</v>
      </c>
      <c r="BC255" t="s">
        <v>3250</v>
      </c>
      <c r="BE255" t="s">
        <v>3250</v>
      </c>
      <c r="BF255" t="s">
        <v>3250</v>
      </c>
      <c r="BG255" t="s">
        <v>3250</v>
      </c>
      <c r="BH255" t="s">
        <v>3250</v>
      </c>
      <c r="BI255" t="s">
        <v>3250</v>
      </c>
      <c r="BK255" t="s">
        <v>3250</v>
      </c>
      <c r="BL255" t="s">
        <v>3250</v>
      </c>
      <c r="BM255" t="s">
        <v>3250</v>
      </c>
      <c r="BN255" t="s">
        <v>3250</v>
      </c>
      <c r="BP255">
        <v>1</v>
      </c>
      <c r="BQ255">
        <v>11</v>
      </c>
      <c r="BR255" t="s">
        <v>1574</v>
      </c>
      <c r="BS255" t="s">
        <v>3252</v>
      </c>
      <c r="BV255">
        <v>0</v>
      </c>
      <c r="BW255">
        <v>0</v>
      </c>
      <c r="BX255">
        <v>0</v>
      </c>
      <c r="BY255">
        <v>0</v>
      </c>
      <c r="BZ255">
        <v>0</v>
      </c>
      <c r="CA255">
        <v>0</v>
      </c>
      <c r="CB255">
        <v>0</v>
      </c>
      <c r="CC255">
        <v>0</v>
      </c>
      <c r="CD255">
        <v>0</v>
      </c>
      <c r="CE255" t="s">
        <v>3108</v>
      </c>
      <c r="CF255" t="s">
        <v>3108</v>
      </c>
      <c r="CG255" t="s">
        <v>3108</v>
      </c>
      <c r="CH255" t="s">
        <v>3108</v>
      </c>
    </row>
    <row r="256" spans="1:86" x14ac:dyDescent="0.2">
      <c r="A256" t="s">
        <v>3751</v>
      </c>
      <c r="B256" t="s">
        <v>3751</v>
      </c>
      <c r="C256">
        <v>30522</v>
      </c>
      <c r="D256">
        <v>1291</v>
      </c>
      <c r="E256" t="s">
        <v>3752</v>
      </c>
      <c r="F256" t="s">
        <v>3249</v>
      </c>
      <c r="G256" t="s">
        <v>3249</v>
      </c>
      <c r="H256" t="s">
        <v>3250</v>
      </c>
      <c r="I256" t="s">
        <v>3250</v>
      </c>
      <c r="J256" t="s">
        <v>3250</v>
      </c>
      <c r="K256" t="s">
        <v>3250</v>
      </c>
      <c r="L256">
        <v>1200</v>
      </c>
      <c r="M256" t="s">
        <v>2368</v>
      </c>
      <c r="N256">
        <v>1204</v>
      </c>
      <c r="O256" t="s">
        <v>1574</v>
      </c>
      <c r="P256" t="s">
        <v>3108</v>
      </c>
      <c r="Q256" t="s">
        <v>3249</v>
      </c>
      <c r="R256" t="s">
        <v>3249</v>
      </c>
      <c r="S256" t="s">
        <v>472</v>
      </c>
      <c r="T256" t="s">
        <v>3251</v>
      </c>
      <c r="U256">
        <v>140</v>
      </c>
      <c r="V256" t="s">
        <v>1327</v>
      </c>
      <c r="W256">
        <v>140</v>
      </c>
      <c r="X256" t="s">
        <v>1327</v>
      </c>
      <c r="Y256" t="s">
        <v>3250</v>
      </c>
      <c r="Z256" t="s">
        <v>3250</v>
      </c>
      <c r="AA256" t="s">
        <v>3108</v>
      </c>
      <c r="AB256" t="s">
        <v>3108</v>
      </c>
      <c r="AC256" t="s">
        <v>3250</v>
      </c>
      <c r="AD256" t="s">
        <v>3250</v>
      </c>
      <c r="AE256" t="s">
        <v>3250</v>
      </c>
      <c r="AF256" t="s">
        <v>3250</v>
      </c>
      <c r="AG256" t="s">
        <v>3250</v>
      </c>
      <c r="AH256" t="s">
        <v>3250</v>
      </c>
      <c r="AI256" t="s">
        <v>3250</v>
      </c>
      <c r="AJ256" t="s">
        <v>3250</v>
      </c>
      <c r="AL256">
        <v>147</v>
      </c>
      <c r="AM256" t="s">
        <v>6</v>
      </c>
      <c r="AN256">
        <v>147</v>
      </c>
      <c r="AO256" t="s">
        <v>6</v>
      </c>
      <c r="AS256" t="s">
        <v>3250</v>
      </c>
      <c r="AT256" t="s">
        <v>3250</v>
      </c>
      <c r="AU256" t="s">
        <v>3250</v>
      </c>
      <c r="AV256" t="s">
        <v>3250</v>
      </c>
      <c r="AW256" t="s">
        <v>3250</v>
      </c>
      <c r="AX256" t="s">
        <v>3250</v>
      </c>
      <c r="AY256" t="s">
        <v>3250</v>
      </c>
      <c r="AZ256" t="s">
        <v>3250</v>
      </c>
      <c r="BA256" t="s">
        <v>3250</v>
      </c>
      <c r="BB256" t="s">
        <v>3250</v>
      </c>
      <c r="BC256" t="s">
        <v>3250</v>
      </c>
      <c r="BE256" t="s">
        <v>3250</v>
      </c>
      <c r="BF256" t="s">
        <v>3250</v>
      </c>
      <c r="BG256" t="s">
        <v>3250</v>
      </c>
      <c r="BH256" t="s">
        <v>3250</v>
      </c>
      <c r="BI256" t="s">
        <v>3250</v>
      </c>
      <c r="BK256" t="s">
        <v>3250</v>
      </c>
      <c r="BL256" t="s">
        <v>3250</v>
      </c>
      <c r="BM256" t="s">
        <v>3250</v>
      </c>
      <c r="BN256" t="s">
        <v>3250</v>
      </c>
      <c r="BP256">
        <v>1</v>
      </c>
      <c r="BQ256">
        <v>11</v>
      </c>
      <c r="BR256" t="s">
        <v>1574</v>
      </c>
      <c r="BS256" t="s">
        <v>3252</v>
      </c>
      <c r="BV256">
        <v>0</v>
      </c>
      <c r="BW256">
        <v>0</v>
      </c>
      <c r="BX256">
        <v>0</v>
      </c>
      <c r="BY256">
        <v>0</v>
      </c>
      <c r="BZ256">
        <v>0</v>
      </c>
      <c r="CA256">
        <v>0</v>
      </c>
      <c r="CB256">
        <v>0</v>
      </c>
      <c r="CC256">
        <v>0</v>
      </c>
      <c r="CD256">
        <v>0</v>
      </c>
      <c r="CE256" t="s">
        <v>3108</v>
      </c>
      <c r="CF256" t="s">
        <v>3108</v>
      </c>
      <c r="CG256" t="s">
        <v>3108</v>
      </c>
      <c r="CH256" t="s">
        <v>3108</v>
      </c>
    </row>
    <row r="257" spans="1:86" x14ac:dyDescent="0.2">
      <c r="A257" t="s">
        <v>3753</v>
      </c>
      <c r="B257" t="s">
        <v>3753</v>
      </c>
      <c r="C257">
        <v>30523</v>
      </c>
      <c r="D257">
        <v>1292</v>
      </c>
      <c r="E257" t="s">
        <v>3754</v>
      </c>
      <c r="F257" t="s">
        <v>3249</v>
      </c>
      <c r="G257" t="s">
        <v>3249</v>
      </c>
      <c r="H257" t="s">
        <v>3250</v>
      </c>
      <c r="I257" t="s">
        <v>3250</v>
      </c>
      <c r="J257" t="s">
        <v>3250</v>
      </c>
      <c r="K257" t="s">
        <v>3250</v>
      </c>
      <c r="L257">
        <v>1200</v>
      </c>
      <c r="M257" t="s">
        <v>2368</v>
      </c>
      <c r="N257">
        <v>1204</v>
      </c>
      <c r="O257" t="s">
        <v>1574</v>
      </c>
      <c r="P257" t="s">
        <v>3108</v>
      </c>
      <c r="Q257" t="s">
        <v>3249</v>
      </c>
      <c r="R257" t="s">
        <v>3249</v>
      </c>
      <c r="S257" t="s">
        <v>472</v>
      </c>
      <c r="T257" t="s">
        <v>3251</v>
      </c>
      <c r="U257">
        <v>140</v>
      </c>
      <c r="V257" t="s">
        <v>1327</v>
      </c>
      <c r="W257">
        <v>140</v>
      </c>
      <c r="X257" t="s">
        <v>1327</v>
      </c>
      <c r="Y257" t="s">
        <v>3250</v>
      </c>
      <c r="Z257" t="s">
        <v>3250</v>
      </c>
      <c r="AA257" t="s">
        <v>3108</v>
      </c>
      <c r="AB257" t="s">
        <v>3108</v>
      </c>
      <c r="AC257" t="s">
        <v>3250</v>
      </c>
      <c r="AD257" t="s">
        <v>3250</v>
      </c>
      <c r="AE257" t="s">
        <v>3250</v>
      </c>
      <c r="AF257" t="s">
        <v>3250</v>
      </c>
      <c r="AG257" t="s">
        <v>3250</v>
      </c>
      <c r="AH257" t="s">
        <v>3250</v>
      </c>
      <c r="AI257" t="s">
        <v>3250</v>
      </c>
      <c r="AJ257" t="s">
        <v>3250</v>
      </c>
      <c r="AL257">
        <v>141</v>
      </c>
      <c r="AM257" t="s">
        <v>1327</v>
      </c>
      <c r="AN257">
        <v>141</v>
      </c>
      <c r="AO257" t="s">
        <v>1327</v>
      </c>
      <c r="AS257" t="s">
        <v>3250</v>
      </c>
      <c r="AT257" t="s">
        <v>3250</v>
      </c>
      <c r="AU257" t="s">
        <v>3250</v>
      </c>
      <c r="AV257" t="s">
        <v>3250</v>
      </c>
      <c r="AW257" t="s">
        <v>3250</v>
      </c>
      <c r="AX257" t="s">
        <v>3250</v>
      </c>
      <c r="AY257" t="s">
        <v>3250</v>
      </c>
      <c r="AZ257" t="s">
        <v>3250</v>
      </c>
      <c r="BA257" t="s">
        <v>3250</v>
      </c>
      <c r="BB257" t="s">
        <v>3250</v>
      </c>
      <c r="BC257" t="s">
        <v>3250</v>
      </c>
      <c r="BE257" t="s">
        <v>3250</v>
      </c>
      <c r="BF257" t="s">
        <v>3250</v>
      </c>
      <c r="BG257" t="s">
        <v>3250</v>
      </c>
      <c r="BH257" t="s">
        <v>3250</v>
      </c>
      <c r="BI257" t="s">
        <v>3250</v>
      </c>
      <c r="BK257" t="s">
        <v>3250</v>
      </c>
      <c r="BL257" t="s">
        <v>3250</v>
      </c>
      <c r="BM257" t="s">
        <v>3250</v>
      </c>
      <c r="BN257" t="s">
        <v>3250</v>
      </c>
      <c r="BP257">
        <v>1</v>
      </c>
      <c r="BQ257">
        <v>11</v>
      </c>
      <c r="BR257" t="s">
        <v>1574</v>
      </c>
      <c r="BS257" t="s">
        <v>3252</v>
      </c>
      <c r="BV257">
        <v>0</v>
      </c>
      <c r="BW257">
        <v>0</v>
      </c>
      <c r="BX257">
        <v>0</v>
      </c>
      <c r="BY257">
        <v>0</v>
      </c>
      <c r="BZ257">
        <v>0</v>
      </c>
      <c r="CA257">
        <v>0</v>
      </c>
      <c r="CB257">
        <v>0</v>
      </c>
      <c r="CC257">
        <v>0</v>
      </c>
      <c r="CD257">
        <v>0</v>
      </c>
      <c r="CE257" t="s">
        <v>3108</v>
      </c>
      <c r="CF257" t="s">
        <v>3108</v>
      </c>
      <c r="CG257" t="s">
        <v>3108</v>
      </c>
      <c r="CH257" t="s">
        <v>3108</v>
      </c>
    </row>
    <row r="258" spans="1:86" x14ac:dyDescent="0.2">
      <c r="A258" t="s">
        <v>3755</v>
      </c>
      <c r="B258" t="s">
        <v>3755</v>
      </c>
      <c r="C258">
        <v>30524</v>
      </c>
      <c r="D258">
        <v>1293</v>
      </c>
      <c r="E258" t="s">
        <v>3756</v>
      </c>
      <c r="F258" t="s">
        <v>3249</v>
      </c>
      <c r="G258" t="s">
        <v>3249</v>
      </c>
      <c r="H258" t="s">
        <v>3250</v>
      </c>
      <c r="I258" t="s">
        <v>3250</v>
      </c>
      <c r="J258" t="s">
        <v>3250</v>
      </c>
      <c r="K258" t="s">
        <v>3250</v>
      </c>
      <c r="L258">
        <v>1200</v>
      </c>
      <c r="M258" t="s">
        <v>2368</v>
      </c>
      <c r="N258">
        <v>1204</v>
      </c>
      <c r="O258" t="s">
        <v>1574</v>
      </c>
      <c r="P258" t="s">
        <v>3108</v>
      </c>
      <c r="Q258" t="s">
        <v>3249</v>
      </c>
      <c r="R258" t="s">
        <v>3249</v>
      </c>
      <c r="S258" t="s">
        <v>472</v>
      </c>
      <c r="T258" t="s">
        <v>3251</v>
      </c>
      <c r="U258">
        <v>140</v>
      </c>
      <c r="V258" t="s">
        <v>1327</v>
      </c>
      <c r="W258">
        <v>140</v>
      </c>
      <c r="X258" t="s">
        <v>1327</v>
      </c>
      <c r="Y258" t="s">
        <v>3250</v>
      </c>
      <c r="Z258" t="s">
        <v>3250</v>
      </c>
      <c r="AA258" t="s">
        <v>3108</v>
      </c>
      <c r="AB258" t="s">
        <v>3108</v>
      </c>
      <c r="AC258" t="s">
        <v>3250</v>
      </c>
      <c r="AD258" t="s">
        <v>3250</v>
      </c>
      <c r="AE258" t="s">
        <v>3250</v>
      </c>
      <c r="AF258" t="s">
        <v>3250</v>
      </c>
      <c r="AG258" t="s">
        <v>3250</v>
      </c>
      <c r="AH258" t="s">
        <v>3250</v>
      </c>
      <c r="AI258" t="s">
        <v>3250</v>
      </c>
      <c r="AJ258" t="s">
        <v>3250</v>
      </c>
      <c r="AL258">
        <v>141</v>
      </c>
      <c r="AM258" t="s">
        <v>1327</v>
      </c>
      <c r="AN258">
        <v>141</v>
      </c>
      <c r="AO258" t="s">
        <v>1327</v>
      </c>
      <c r="AS258" t="s">
        <v>3250</v>
      </c>
      <c r="AT258" t="s">
        <v>3250</v>
      </c>
      <c r="AU258" t="s">
        <v>3250</v>
      </c>
      <c r="AV258" t="s">
        <v>3250</v>
      </c>
      <c r="AW258" t="s">
        <v>3250</v>
      </c>
      <c r="AX258" t="s">
        <v>3250</v>
      </c>
      <c r="AY258" t="s">
        <v>3250</v>
      </c>
      <c r="AZ258" t="s">
        <v>3250</v>
      </c>
      <c r="BA258" t="s">
        <v>3250</v>
      </c>
      <c r="BB258" t="s">
        <v>3250</v>
      </c>
      <c r="BC258" t="s">
        <v>3250</v>
      </c>
      <c r="BE258" t="s">
        <v>3250</v>
      </c>
      <c r="BF258" t="s">
        <v>3250</v>
      </c>
      <c r="BG258" t="s">
        <v>3250</v>
      </c>
      <c r="BH258" t="s">
        <v>3250</v>
      </c>
      <c r="BI258" t="s">
        <v>3250</v>
      </c>
      <c r="BK258" t="s">
        <v>3250</v>
      </c>
      <c r="BL258" t="s">
        <v>3250</v>
      </c>
      <c r="BM258" t="s">
        <v>3250</v>
      </c>
      <c r="BN258" t="s">
        <v>3250</v>
      </c>
      <c r="BP258">
        <v>1</v>
      </c>
      <c r="BQ258">
        <v>11</v>
      </c>
      <c r="BR258" t="s">
        <v>1574</v>
      </c>
      <c r="BS258" t="s">
        <v>3252</v>
      </c>
      <c r="BV258">
        <v>0</v>
      </c>
      <c r="BW258">
        <v>0</v>
      </c>
      <c r="BX258">
        <v>0</v>
      </c>
      <c r="BY258">
        <v>0</v>
      </c>
      <c r="BZ258">
        <v>0</v>
      </c>
      <c r="CA258">
        <v>0</v>
      </c>
      <c r="CB258">
        <v>0</v>
      </c>
      <c r="CC258">
        <v>0</v>
      </c>
      <c r="CD258">
        <v>0</v>
      </c>
      <c r="CE258" t="s">
        <v>3108</v>
      </c>
      <c r="CF258" t="s">
        <v>3108</v>
      </c>
      <c r="CG258" t="s">
        <v>3108</v>
      </c>
      <c r="CH258" t="s">
        <v>3108</v>
      </c>
    </row>
    <row r="259" spans="1:86" x14ac:dyDescent="0.2">
      <c r="A259" t="s">
        <v>3757</v>
      </c>
      <c r="B259" t="s">
        <v>3757</v>
      </c>
      <c r="C259">
        <v>30525</v>
      </c>
      <c r="D259">
        <v>1294</v>
      </c>
      <c r="E259" t="s">
        <v>3758</v>
      </c>
      <c r="F259" t="s">
        <v>3249</v>
      </c>
      <c r="G259" t="s">
        <v>3249</v>
      </c>
      <c r="H259" t="s">
        <v>3250</v>
      </c>
      <c r="I259" t="s">
        <v>3250</v>
      </c>
      <c r="J259" t="s">
        <v>3250</v>
      </c>
      <c r="K259" t="s">
        <v>3250</v>
      </c>
      <c r="L259">
        <v>1200</v>
      </c>
      <c r="M259" t="s">
        <v>2368</v>
      </c>
      <c r="N259">
        <v>1204</v>
      </c>
      <c r="O259" t="s">
        <v>1574</v>
      </c>
      <c r="P259" t="s">
        <v>3108</v>
      </c>
      <c r="Q259" t="s">
        <v>3249</v>
      </c>
      <c r="R259" t="s">
        <v>3249</v>
      </c>
      <c r="S259" t="s">
        <v>472</v>
      </c>
      <c r="T259" t="s">
        <v>3251</v>
      </c>
      <c r="U259">
        <v>140</v>
      </c>
      <c r="V259" t="s">
        <v>1327</v>
      </c>
      <c r="W259">
        <v>140</v>
      </c>
      <c r="X259" t="s">
        <v>1327</v>
      </c>
      <c r="Y259" t="s">
        <v>3250</v>
      </c>
      <c r="Z259" t="s">
        <v>3250</v>
      </c>
      <c r="AA259" t="s">
        <v>3108</v>
      </c>
      <c r="AB259" t="s">
        <v>3108</v>
      </c>
      <c r="AC259" t="s">
        <v>3250</v>
      </c>
      <c r="AD259" t="s">
        <v>3250</v>
      </c>
      <c r="AE259" t="s">
        <v>3250</v>
      </c>
      <c r="AF259" t="s">
        <v>3250</v>
      </c>
      <c r="AG259" t="s">
        <v>3250</v>
      </c>
      <c r="AH259" t="s">
        <v>3250</v>
      </c>
      <c r="AI259" t="s">
        <v>3250</v>
      </c>
      <c r="AJ259" t="s">
        <v>3250</v>
      </c>
      <c r="AL259">
        <v>141</v>
      </c>
      <c r="AM259" t="s">
        <v>1327</v>
      </c>
      <c r="AN259">
        <v>141</v>
      </c>
      <c r="AO259" t="s">
        <v>1327</v>
      </c>
      <c r="AS259" t="s">
        <v>3250</v>
      </c>
      <c r="AT259" t="s">
        <v>3250</v>
      </c>
      <c r="AU259" t="s">
        <v>3250</v>
      </c>
      <c r="AV259" t="s">
        <v>3250</v>
      </c>
      <c r="AW259" t="s">
        <v>3250</v>
      </c>
      <c r="AX259" t="s">
        <v>3250</v>
      </c>
      <c r="AY259" t="s">
        <v>3250</v>
      </c>
      <c r="AZ259" t="s">
        <v>3250</v>
      </c>
      <c r="BA259" t="s">
        <v>3250</v>
      </c>
      <c r="BB259" t="s">
        <v>3250</v>
      </c>
      <c r="BC259" t="s">
        <v>3250</v>
      </c>
      <c r="BE259" t="s">
        <v>3250</v>
      </c>
      <c r="BF259" t="s">
        <v>3250</v>
      </c>
      <c r="BG259" t="s">
        <v>3250</v>
      </c>
      <c r="BH259" t="s">
        <v>3250</v>
      </c>
      <c r="BI259" t="s">
        <v>3250</v>
      </c>
      <c r="BK259" t="s">
        <v>3250</v>
      </c>
      <c r="BL259" t="s">
        <v>3250</v>
      </c>
      <c r="BM259" t="s">
        <v>3250</v>
      </c>
      <c r="BN259" t="s">
        <v>3250</v>
      </c>
      <c r="BP259">
        <v>1</v>
      </c>
      <c r="BQ259">
        <v>11</v>
      </c>
      <c r="BR259" t="s">
        <v>1574</v>
      </c>
      <c r="BS259" t="s">
        <v>3252</v>
      </c>
      <c r="BV259">
        <v>0</v>
      </c>
      <c r="BW259">
        <v>0</v>
      </c>
      <c r="BX259">
        <v>0</v>
      </c>
      <c r="BY259">
        <v>0</v>
      </c>
      <c r="BZ259">
        <v>0</v>
      </c>
      <c r="CA259">
        <v>0</v>
      </c>
      <c r="CB259">
        <v>0</v>
      </c>
      <c r="CC259">
        <v>0</v>
      </c>
      <c r="CD259">
        <v>0</v>
      </c>
      <c r="CE259" t="s">
        <v>3108</v>
      </c>
      <c r="CF259" t="s">
        <v>3108</v>
      </c>
      <c r="CG259" t="s">
        <v>3108</v>
      </c>
      <c r="CH259" t="s">
        <v>3108</v>
      </c>
    </row>
    <row r="260" spans="1:86" x14ac:dyDescent="0.2">
      <c r="A260" t="s">
        <v>3759</v>
      </c>
      <c r="B260" t="s">
        <v>3759</v>
      </c>
      <c r="C260">
        <v>30526</v>
      </c>
      <c r="D260">
        <v>1295</v>
      </c>
      <c r="E260" t="s">
        <v>3760</v>
      </c>
      <c r="F260" t="s">
        <v>3249</v>
      </c>
      <c r="G260" t="s">
        <v>3249</v>
      </c>
      <c r="H260" t="s">
        <v>3250</v>
      </c>
      <c r="I260" t="s">
        <v>3250</v>
      </c>
      <c r="J260" t="s">
        <v>3250</v>
      </c>
      <c r="K260" t="s">
        <v>3250</v>
      </c>
      <c r="L260">
        <v>1200</v>
      </c>
      <c r="M260" t="s">
        <v>2368</v>
      </c>
      <c r="N260">
        <v>1204</v>
      </c>
      <c r="O260" t="s">
        <v>1574</v>
      </c>
      <c r="P260" t="s">
        <v>3108</v>
      </c>
      <c r="Q260" t="s">
        <v>3249</v>
      </c>
      <c r="R260" t="s">
        <v>3249</v>
      </c>
      <c r="S260" t="s">
        <v>472</v>
      </c>
      <c r="T260" t="s">
        <v>3251</v>
      </c>
      <c r="U260">
        <v>140</v>
      </c>
      <c r="V260" t="s">
        <v>1327</v>
      </c>
      <c r="W260">
        <v>140</v>
      </c>
      <c r="X260" t="s">
        <v>1327</v>
      </c>
      <c r="Y260" t="s">
        <v>3250</v>
      </c>
      <c r="Z260" t="s">
        <v>3250</v>
      </c>
      <c r="AA260" t="s">
        <v>3108</v>
      </c>
      <c r="AB260" t="s">
        <v>3108</v>
      </c>
      <c r="AC260" t="s">
        <v>3250</v>
      </c>
      <c r="AD260" t="s">
        <v>3250</v>
      </c>
      <c r="AE260" t="s">
        <v>3250</v>
      </c>
      <c r="AF260" t="s">
        <v>3250</v>
      </c>
      <c r="AG260" t="s">
        <v>3250</v>
      </c>
      <c r="AH260" t="s">
        <v>3250</v>
      </c>
      <c r="AI260" t="s">
        <v>3250</v>
      </c>
      <c r="AJ260" t="s">
        <v>3250</v>
      </c>
      <c r="AL260">
        <v>146</v>
      </c>
      <c r="AM260" t="s">
        <v>5</v>
      </c>
      <c r="AN260">
        <v>146</v>
      </c>
      <c r="AO260" t="s">
        <v>5</v>
      </c>
      <c r="AS260" t="s">
        <v>3250</v>
      </c>
      <c r="AT260" t="s">
        <v>3250</v>
      </c>
      <c r="AU260" t="s">
        <v>3250</v>
      </c>
      <c r="AV260" t="s">
        <v>3250</v>
      </c>
      <c r="AW260" t="s">
        <v>3250</v>
      </c>
      <c r="AX260" t="s">
        <v>3250</v>
      </c>
      <c r="AY260" t="s">
        <v>3250</v>
      </c>
      <c r="AZ260" t="s">
        <v>3250</v>
      </c>
      <c r="BA260" t="s">
        <v>3250</v>
      </c>
      <c r="BB260" t="s">
        <v>3250</v>
      </c>
      <c r="BC260" t="s">
        <v>3250</v>
      </c>
      <c r="BE260" t="s">
        <v>3250</v>
      </c>
      <c r="BF260" t="s">
        <v>3250</v>
      </c>
      <c r="BG260" t="s">
        <v>3250</v>
      </c>
      <c r="BH260" t="s">
        <v>3250</v>
      </c>
      <c r="BI260" t="s">
        <v>3250</v>
      </c>
      <c r="BK260" t="s">
        <v>3250</v>
      </c>
      <c r="BL260" t="s">
        <v>3250</v>
      </c>
      <c r="BM260" t="s">
        <v>3250</v>
      </c>
      <c r="BN260" t="s">
        <v>3250</v>
      </c>
      <c r="BP260">
        <v>1</v>
      </c>
      <c r="BQ260">
        <v>11</v>
      </c>
      <c r="BR260" t="s">
        <v>1574</v>
      </c>
      <c r="BS260" t="s">
        <v>3252</v>
      </c>
      <c r="BV260">
        <v>0</v>
      </c>
      <c r="BW260">
        <v>0</v>
      </c>
      <c r="BX260">
        <v>0</v>
      </c>
      <c r="BY260">
        <v>0</v>
      </c>
      <c r="BZ260">
        <v>0</v>
      </c>
      <c r="CA260">
        <v>0</v>
      </c>
      <c r="CB260">
        <v>0</v>
      </c>
      <c r="CC260">
        <v>0</v>
      </c>
      <c r="CD260">
        <v>0</v>
      </c>
      <c r="CE260" t="s">
        <v>3108</v>
      </c>
      <c r="CF260" t="s">
        <v>3108</v>
      </c>
      <c r="CG260" t="s">
        <v>3108</v>
      </c>
      <c r="CH260" t="s">
        <v>3108</v>
      </c>
    </row>
    <row r="261" spans="1:86" x14ac:dyDescent="0.2">
      <c r="A261" t="s">
        <v>3761</v>
      </c>
      <c r="B261" t="s">
        <v>3761</v>
      </c>
      <c r="C261">
        <v>30527</v>
      </c>
      <c r="D261">
        <v>1296</v>
      </c>
      <c r="E261" t="s">
        <v>3762</v>
      </c>
      <c r="F261" t="s">
        <v>3249</v>
      </c>
      <c r="G261" t="s">
        <v>3249</v>
      </c>
      <c r="H261" t="s">
        <v>3250</v>
      </c>
      <c r="I261" t="s">
        <v>3250</v>
      </c>
      <c r="J261" t="s">
        <v>3250</v>
      </c>
      <c r="K261" t="s">
        <v>3250</v>
      </c>
      <c r="L261">
        <v>1200</v>
      </c>
      <c r="M261" t="s">
        <v>2368</v>
      </c>
      <c r="N261">
        <v>1204</v>
      </c>
      <c r="O261" t="s">
        <v>1574</v>
      </c>
      <c r="P261" t="s">
        <v>3108</v>
      </c>
      <c r="Q261" t="s">
        <v>3249</v>
      </c>
      <c r="R261" t="s">
        <v>3249</v>
      </c>
      <c r="S261" t="s">
        <v>472</v>
      </c>
      <c r="T261" t="s">
        <v>3251</v>
      </c>
      <c r="U261">
        <v>140</v>
      </c>
      <c r="V261" t="s">
        <v>1327</v>
      </c>
      <c r="W261">
        <v>140</v>
      </c>
      <c r="X261" t="s">
        <v>1327</v>
      </c>
      <c r="Y261" t="s">
        <v>3250</v>
      </c>
      <c r="Z261" t="s">
        <v>3250</v>
      </c>
      <c r="AA261" t="s">
        <v>3108</v>
      </c>
      <c r="AB261" t="s">
        <v>3108</v>
      </c>
      <c r="AC261" t="s">
        <v>3250</v>
      </c>
      <c r="AD261" t="s">
        <v>3250</v>
      </c>
      <c r="AE261" t="s">
        <v>3250</v>
      </c>
      <c r="AF261" t="s">
        <v>3250</v>
      </c>
      <c r="AG261" t="s">
        <v>3250</v>
      </c>
      <c r="AH261" t="s">
        <v>3250</v>
      </c>
      <c r="AI261" t="s">
        <v>3250</v>
      </c>
      <c r="AJ261" t="s">
        <v>3250</v>
      </c>
      <c r="AL261">
        <v>146</v>
      </c>
      <c r="AM261" t="s">
        <v>5</v>
      </c>
      <c r="AN261">
        <v>146</v>
      </c>
      <c r="AO261" t="s">
        <v>5</v>
      </c>
      <c r="AS261" t="s">
        <v>3250</v>
      </c>
      <c r="AT261" t="s">
        <v>3250</v>
      </c>
      <c r="AU261" t="s">
        <v>3250</v>
      </c>
      <c r="AV261" t="s">
        <v>3250</v>
      </c>
      <c r="AW261" t="s">
        <v>3250</v>
      </c>
      <c r="AX261" t="s">
        <v>3250</v>
      </c>
      <c r="AY261" t="s">
        <v>3250</v>
      </c>
      <c r="AZ261" t="s">
        <v>3250</v>
      </c>
      <c r="BA261" t="s">
        <v>3250</v>
      </c>
      <c r="BB261" t="s">
        <v>3250</v>
      </c>
      <c r="BC261" t="s">
        <v>3250</v>
      </c>
      <c r="BE261" t="s">
        <v>3250</v>
      </c>
      <c r="BF261" t="s">
        <v>3250</v>
      </c>
      <c r="BG261" t="s">
        <v>3250</v>
      </c>
      <c r="BH261" t="s">
        <v>3250</v>
      </c>
      <c r="BI261" t="s">
        <v>3250</v>
      </c>
      <c r="BK261" t="s">
        <v>3250</v>
      </c>
      <c r="BL261" t="s">
        <v>3250</v>
      </c>
      <c r="BM261" t="s">
        <v>3250</v>
      </c>
      <c r="BN261" t="s">
        <v>3250</v>
      </c>
      <c r="BP261">
        <v>1</v>
      </c>
      <c r="BQ261">
        <v>11</v>
      </c>
      <c r="BR261" t="s">
        <v>1574</v>
      </c>
      <c r="BS261" t="s">
        <v>3252</v>
      </c>
      <c r="BV261">
        <v>0</v>
      </c>
      <c r="BW261">
        <v>0</v>
      </c>
      <c r="BX261">
        <v>0</v>
      </c>
      <c r="BY261">
        <v>0</v>
      </c>
      <c r="BZ261">
        <v>0</v>
      </c>
      <c r="CA261">
        <v>0</v>
      </c>
      <c r="CB261">
        <v>0</v>
      </c>
      <c r="CC261">
        <v>0</v>
      </c>
      <c r="CD261">
        <v>0</v>
      </c>
      <c r="CE261" t="s">
        <v>3108</v>
      </c>
      <c r="CF261" t="s">
        <v>3108</v>
      </c>
      <c r="CG261" t="s">
        <v>3108</v>
      </c>
      <c r="CH261" t="s">
        <v>3108</v>
      </c>
    </row>
    <row r="262" spans="1:86" x14ac:dyDescent="0.2">
      <c r="A262" t="s">
        <v>3763</v>
      </c>
      <c r="B262" t="s">
        <v>3763</v>
      </c>
      <c r="C262">
        <v>30528</v>
      </c>
      <c r="D262">
        <v>1474</v>
      </c>
      <c r="E262" t="s">
        <v>3764</v>
      </c>
      <c r="F262" t="s">
        <v>3249</v>
      </c>
      <c r="G262" t="s">
        <v>3249</v>
      </c>
      <c r="H262" t="s">
        <v>3250</v>
      </c>
      <c r="I262" t="s">
        <v>3250</v>
      </c>
      <c r="J262" t="s">
        <v>3250</v>
      </c>
      <c r="K262" t="s">
        <v>3250</v>
      </c>
      <c r="L262">
        <v>1200</v>
      </c>
      <c r="M262" t="s">
        <v>2368</v>
      </c>
      <c r="N262">
        <v>1204</v>
      </c>
      <c r="O262" t="s">
        <v>1574</v>
      </c>
      <c r="P262" t="s">
        <v>3108</v>
      </c>
      <c r="Q262" t="s">
        <v>3249</v>
      </c>
      <c r="R262" t="s">
        <v>3249</v>
      </c>
      <c r="S262" t="s">
        <v>472</v>
      </c>
      <c r="T262" t="s">
        <v>3251</v>
      </c>
      <c r="U262">
        <v>140</v>
      </c>
      <c r="V262" t="s">
        <v>1327</v>
      </c>
      <c r="W262">
        <v>140</v>
      </c>
      <c r="X262" t="s">
        <v>1327</v>
      </c>
      <c r="Y262" t="s">
        <v>3250</v>
      </c>
      <c r="Z262" t="s">
        <v>3250</v>
      </c>
      <c r="AA262" t="s">
        <v>3108</v>
      </c>
      <c r="AB262" t="s">
        <v>3108</v>
      </c>
      <c r="AC262" t="s">
        <v>3250</v>
      </c>
      <c r="AD262" t="s">
        <v>3250</v>
      </c>
      <c r="AE262" t="s">
        <v>3250</v>
      </c>
      <c r="AF262" t="s">
        <v>3250</v>
      </c>
      <c r="AG262" t="s">
        <v>3250</v>
      </c>
      <c r="AH262" t="s">
        <v>3250</v>
      </c>
      <c r="AI262" t="s">
        <v>3250</v>
      </c>
      <c r="AJ262" t="s">
        <v>3250</v>
      </c>
      <c r="AL262">
        <v>141</v>
      </c>
      <c r="AM262" t="s">
        <v>1327</v>
      </c>
      <c r="AN262">
        <v>141</v>
      </c>
      <c r="AO262" t="s">
        <v>1327</v>
      </c>
      <c r="AS262" t="s">
        <v>3250</v>
      </c>
      <c r="AT262" t="s">
        <v>3250</v>
      </c>
      <c r="AU262" t="s">
        <v>3250</v>
      </c>
      <c r="AV262" t="s">
        <v>3250</v>
      </c>
      <c r="AW262" t="s">
        <v>3250</v>
      </c>
      <c r="AX262" t="s">
        <v>3250</v>
      </c>
      <c r="AY262" t="s">
        <v>3250</v>
      </c>
      <c r="AZ262" t="s">
        <v>3250</v>
      </c>
      <c r="BA262" t="s">
        <v>3250</v>
      </c>
      <c r="BB262" t="s">
        <v>3250</v>
      </c>
      <c r="BC262" t="s">
        <v>3250</v>
      </c>
      <c r="BE262" t="s">
        <v>3250</v>
      </c>
      <c r="BF262" t="s">
        <v>3250</v>
      </c>
      <c r="BG262" t="s">
        <v>3250</v>
      </c>
      <c r="BH262" t="s">
        <v>3250</v>
      </c>
      <c r="BI262" t="s">
        <v>3250</v>
      </c>
      <c r="BK262" t="s">
        <v>3250</v>
      </c>
      <c r="BL262" t="s">
        <v>3250</v>
      </c>
      <c r="BM262" t="s">
        <v>3250</v>
      </c>
      <c r="BN262" t="s">
        <v>3250</v>
      </c>
      <c r="BP262">
        <v>1</v>
      </c>
      <c r="BQ262">
        <v>11</v>
      </c>
      <c r="BR262" t="s">
        <v>1574</v>
      </c>
      <c r="BS262" t="s">
        <v>3252</v>
      </c>
      <c r="BV262">
        <v>0</v>
      </c>
      <c r="BW262">
        <v>0</v>
      </c>
      <c r="BX262">
        <v>0</v>
      </c>
      <c r="BY262">
        <v>0</v>
      </c>
      <c r="BZ262">
        <v>0</v>
      </c>
      <c r="CA262">
        <v>0</v>
      </c>
      <c r="CB262">
        <v>0</v>
      </c>
      <c r="CC262">
        <v>0</v>
      </c>
      <c r="CD262">
        <v>0</v>
      </c>
      <c r="CE262" t="s">
        <v>3108</v>
      </c>
      <c r="CF262" t="s">
        <v>3108</v>
      </c>
      <c r="CG262" t="s">
        <v>3108</v>
      </c>
      <c r="CH262" t="s">
        <v>3108</v>
      </c>
    </row>
    <row r="263" spans="1:86" x14ac:dyDescent="0.2">
      <c r="A263" t="s">
        <v>3765</v>
      </c>
      <c r="B263" t="s">
        <v>3765</v>
      </c>
      <c r="C263">
        <v>30530</v>
      </c>
      <c r="D263">
        <v>1475</v>
      </c>
      <c r="E263" t="s">
        <v>3766</v>
      </c>
      <c r="F263" t="s">
        <v>3249</v>
      </c>
      <c r="G263" t="s">
        <v>3249</v>
      </c>
      <c r="H263" t="s">
        <v>3250</v>
      </c>
      <c r="I263" t="s">
        <v>3250</v>
      </c>
      <c r="J263" t="s">
        <v>3250</v>
      </c>
      <c r="K263" t="s">
        <v>3250</v>
      </c>
      <c r="L263">
        <v>1200</v>
      </c>
      <c r="M263" t="s">
        <v>2368</v>
      </c>
      <c r="N263">
        <v>1204</v>
      </c>
      <c r="O263" t="s">
        <v>1574</v>
      </c>
      <c r="P263" t="s">
        <v>3108</v>
      </c>
      <c r="Q263" t="s">
        <v>3249</v>
      </c>
      <c r="R263" t="s">
        <v>3249</v>
      </c>
      <c r="S263" t="s">
        <v>472</v>
      </c>
      <c r="T263" t="s">
        <v>3251</v>
      </c>
      <c r="U263">
        <v>140</v>
      </c>
      <c r="V263" t="s">
        <v>1327</v>
      </c>
      <c r="W263">
        <v>140</v>
      </c>
      <c r="X263" t="s">
        <v>1327</v>
      </c>
      <c r="Y263" t="s">
        <v>3250</v>
      </c>
      <c r="Z263" t="s">
        <v>3250</v>
      </c>
      <c r="AA263" t="s">
        <v>3108</v>
      </c>
      <c r="AB263" t="s">
        <v>3108</v>
      </c>
      <c r="AC263" t="s">
        <v>3250</v>
      </c>
      <c r="AD263" t="s">
        <v>3250</v>
      </c>
      <c r="AE263" t="s">
        <v>3250</v>
      </c>
      <c r="AF263" t="s">
        <v>3250</v>
      </c>
      <c r="AG263" t="s">
        <v>3250</v>
      </c>
      <c r="AH263" t="s">
        <v>3250</v>
      </c>
      <c r="AI263" t="s">
        <v>3250</v>
      </c>
      <c r="AJ263" t="s">
        <v>3250</v>
      </c>
      <c r="AL263">
        <v>147</v>
      </c>
      <c r="AM263" t="s">
        <v>6</v>
      </c>
      <c r="AN263">
        <v>147</v>
      </c>
      <c r="AO263" t="s">
        <v>6</v>
      </c>
      <c r="AS263" t="s">
        <v>3250</v>
      </c>
      <c r="AT263" t="s">
        <v>3250</v>
      </c>
      <c r="AU263" t="s">
        <v>3250</v>
      </c>
      <c r="AV263" t="s">
        <v>3250</v>
      </c>
      <c r="AW263" t="s">
        <v>3250</v>
      </c>
      <c r="AX263" t="s">
        <v>3250</v>
      </c>
      <c r="AY263" t="s">
        <v>3250</v>
      </c>
      <c r="AZ263" t="s">
        <v>3250</v>
      </c>
      <c r="BA263" t="s">
        <v>3250</v>
      </c>
      <c r="BB263" t="s">
        <v>3250</v>
      </c>
      <c r="BC263" t="s">
        <v>3250</v>
      </c>
      <c r="BE263" t="s">
        <v>3250</v>
      </c>
      <c r="BF263" t="s">
        <v>3250</v>
      </c>
      <c r="BG263" t="s">
        <v>3250</v>
      </c>
      <c r="BH263" t="s">
        <v>3250</v>
      </c>
      <c r="BI263" t="s">
        <v>3250</v>
      </c>
      <c r="BK263" t="s">
        <v>3250</v>
      </c>
      <c r="BL263" t="s">
        <v>3250</v>
      </c>
      <c r="BM263" t="s">
        <v>3250</v>
      </c>
      <c r="BN263" t="s">
        <v>3250</v>
      </c>
      <c r="BP263">
        <v>1</v>
      </c>
      <c r="BQ263">
        <v>11</v>
      </c>
      <c r="BR263" t="s">
        <v>1574</v>
      </c>
      <c r="BS263" t="s">
        <v>3252</v>
      </c>
      <c r="BV263">
        <v>0</v>
      </c>
      <c r="BW263">
        <v>0</v>
      </c>
      <c r="BX263">
        <v>0</v>
      </c>
      <c r="BY263">
        <v>0</v>
      </c>
      <c r="BZ263">
        <v>0</v>
      </c>
      <c r="CA263">
        <v>0</v>
      </c>
      <c r="CB263">
        <v>0</v>
      </c>
      <c r="CC263">
        <v>0</v>
      </c>
      <c r="CD263">
        <v>0</v>
      </c>
      <c r="CE263" t="s">
        <v>3108</v>
      </c>
      <c r="CF263" t="s">
        <v>3108</v>
      </c>
      <c r="CG263" t="s">
        <v>3108</v>
      </c>
      <c r="CH263" t="s">
        <v>3108</v>
      </c>
    </row>
    <row r="264" spans="1:86" x14ac:dyDescent="0.2">
      <c r="A264" t="s">
        <v>3767</v>
      </c>
      <c r="B264" t="s">
        <v>3767</v>
      </c>
      <c r="C264">
        <v>30531</v>
      </c>
      <c r="D264">
        <v>1300</v>
      </c>
      <c r="E264" t="s">
        <v>3768</v>
      </c>
      <c r="F264" t="s">
        <v>3249</v>
      </c>
      <c r="G264" t="s">
        <v>3249</v>
      </c>
      <c r="H264" t="s">
        <v>3250</v>
      </c>
      <c r="I264" t="s">
        <v>3250</v>
      </c>
      <c r="J264" t="s">
        <v>3250</v>
      </c>
      <c r="K264" t="s">
        <v>3250</v>
      </c>
      <c r="L264">
        <v>1200</v>
      </c>
      <c r="M264" t="s">
        <v>2368</v>
      </c>
      <c r="N264">
        <v>1204</v>
      </c>
      <c r="O264" t="s">
        <v>1574</v>
      </c>
      <c r="P264" t="s">
        <v>3108</v>
      </c>
      <c r="Q264" t="s">
        <v>3249</v>
      </c>
      <c r="R264" t="s">
        <v>3249</v>
      </c>
      <c r="S264" t="s">
        <v>472</v>
      </c>
      <c r="T264" t="s">
        <v>3251</v>
      </c>
      <c r="U264">
        <v>140</v>
      </c>
      <c r="V264" t="s">
        <v>1327</v>
      </c>
      <c r="W264">
        <v>140</v>
      </c>
      <c r="X264" t="s">
        <v>1327</v>
      </c>
      <c r="Y264" t="s">
        <v>3250</v>
      </c>
      <c r="Z264" t="s">
        <v>3250</v>
      </c>
      <c r="AA264" t="s">
        <v>3108</v>
      </c>
      <c r="AB264" t="s">
        <v>3108</v>
      </c>
      <c r="AC264" t="s">
        <v>3250</v>
      </c>
      <c r="AD264" t="s">
        <v>3250</v>
      </c>
      <c r="AE264" t="s">
        <v>3250</v>
      </c>
      <c r="AF264" t="s">
        <v>3250</v>
      </c>
      <c r="AG264" t="s">
        <v>3250</v>
      </c>
      <c r="AH264" t="s">
        <v>3250</v>
      </c>
      <c r="AI264" t="s">
        <v>3250</v>
      </c>
      <c r="AJ264" t="s">
        <v>3250</v>
      </c>
      <c r="AL264">
        <v>141</v>
      </c>
      <c r="AM264" t="s">
        <v>1327</v>
      </c>
      <c r="AN264">
        <v>141</v>
      </c>
      <c r="AO264" t="s">
        <v>1327</v>
      </c>
      <c r="AS264" t="s">
        <v>3250</v>
      </c>
      <c r="AT264" t="s">
        <v>3250</v>
      </c>
      <c r="AU264" t="s">
        <v>3250</v>
      </c>
      <c r="AV264" t="s">
        <v>3250</v>
      </c>
      <c r="AW264" t="s">
        <v>3250</v>
      </c>
      <c r="AX264" t="s">
        <v>3250</v>
      </c>
      <c r="AY264" t="s">
        <v>3250</v>
      </c>
      <c r="AZ264" t="s">
        <v>3250</v>
      </c>
      <c r="BA264" t="s">
        <v>3250</v>
      </c>
      <c r="BB264" t="s">
        <v>3250</v>
      </c>
      <c r="BC264" t="s">
        <v>3250</v>
      </c>
      <c r="BE264" t="s">
        <v>3250</v>
      </c>
      <c r="BF264" t="s">
        <v>3250</v>
      </c>
      <c r="BG264" t="s">
        <v>3250</v>
      </c>
      <c r="BH264" t="s">
        <v>3250</v>
      </c>
      <c r="BI264" t="s">
        <v>3250</v>
      </c>
      <c r="BK264" t="s">
        <v>3250</v>
      </c>
      <c r="BL264" t="s">
        <v>3250</v>
      </c>
      <c r="BM264" t="s">
        <v>3250</v>
      </c>
      <c r="BN264" t="s">
        <v>3250</v>
      </c>
      <c r="BP264">
        <v>1</v>
      </c>
      <c r="BQ264">
        <v>11</v>
      </c>
      <c r="BR264" t="s">
        <v>1574</v>
      </c>
      <c r="BS264" t="s">
        <v>3252</v>
      </c>
      <c r="BV264">
        <v>-242</v>
      </c>
      <c r="BW264">
        <v>-242</v>
      </c>
      <c r="BX264">
        <v>-242</v>
      </c>
      <c r="BY264">
        <v>0</v>
      </c>
      <c r="BZ264">
        <v>0</v>
      </c>
      <c r="CA264">
        <v>0</v>
      </c>
      <c r="CB264">
        <v>0</v>
      </c>
      <c r="CC264">
        <v>0</v>
      </c>
      <c r="CD264">
        <v>-242</v>
      </c>
      <c r="CE264" t="s">
        <v>3108</v>
      </c>
      <c r="CF264" t="s">
        <v>3108</v>
      </c>
      <c r="CG264" t="s">
        <v>3108</v>
      </c>
      <c r="CH264" t="s">
        <v>3108</v>
      </c>
    </row>
    <row r="265" spans="1:86" x14ac:dyDescent="0.2">
      <c r="A265" t="s">
        <v>3769</v>
      </c>
      <c r="B265" t="s">
        <v>3769</v>
      </c>
      <c r="C265">
        <v>30533</v>
      </c>
      <c r="D265">
        <v>1476</v>
      </c>
      <c r="E265" t="s">
        <v>3770</v>
      </c>
      <c r="F265" t="s">
        <v>3249</v>
      </c>
      <c r="G265" t="s">
        <v>3249</v>
      </c>
      <c r="H265" t="s">
        <v>3250</v>
      </c>
      <c r="I265" t="s">
        <v>3250</v>
      </c>
      <c r="J265" t="s">
        <v>3250</v>
      </c>
      <c r="K265" t="s">
        <v>3250</v>
      </c>
      <c r="L265">
        <v>1200</v>
      </c>
      <c r="M265" t="s">
        <v>2368</v>
      </c>
      <c r="N265">
        <v>1204</v>
      </c>
      <c r="O265" t="s">
        <v>1574</v>
      </c>
      <c r="P265" t="s">
        <v>3108</v>
      </c>
      <c r="Q265" t="s">
        <v>3249</v>
      </c>
      <c r="R265" t="s">
        <v>3249</v>
      </c>
      <c r="S265" t="s">
        <v>472</v>
      </c>
      <c r="T265" t="s">
        <v>3251</v>
      </c>
      <c r="U265">
        <v>140</v>
      </c>
      <c r="V265" t="s">
        <v>1327</v>
      </c>
      <c r="W265">
        <v>140</v>
      </c>
      <c r="X265" t="s">
        <v>1327</v>
      </c>
      <c r="Y265" t="s">
        <v>3250</v>
      </c>
      <c r="Z265" t="s">
        <v>3250</v>
      </c>
      <c r="AA265" t="s">
        <v>3108</v>
      </c>
      <c r="AB265" t="s">
        <v>3108</v>
      </c>
      <c r="AC265" t="s">
        <v>3250</v>
      </c>
      <c r="AD265" t="s">
        <v>3250</v>
      </c>
      <c r="AE265" t="s">
        <v>3250</v>
      </c>
      <c r="AF265" t="s">
        <v>3250</v>
      </c>
      <c r="AG265" t="s">
        <v>3250</v>
      </c>
      <c r="AH265" t="s">
        <v>3250</v>
      </c>
      <c r="AI265" t="s">
        <v>3250</v>
      </c>
      <c r="AJ265" t="s">
        <v>3250</v>
      </c>
      <c r="AL265">
        <v>141</v>
      </c>
      <c r="AM265" t="s">
        <v>1327</v>
      </c>
      <c r="AN265">
        <v>141</v>
      </c>
      <c r="AO265" t="s">
        <v>1327</v>
      </c>
      <c r="AS265" t="s">
        <v>3250</v>
      </c>
      <c r="AT265" t="s">
        <v>3250</v>
      </c>
      <c r="AU265" t="s">
        <v>3250</v>
      </c>
      <c r="AV265" t="s">
        <v>3250</v>
      </c>
      <c r="AW265" t="s">
        <v>3250</v>
      </c>
      <c r="AX265" t="s">
        <v>3250</v>
      </c>
      <c r="AY265" t="s">
        <v>3250</v>
      </c>
      <c r="AZ265" t="s">
        <v>3250</v>
      </c>
      <c r="BA265" t="s">
        <v>3250</v>
      </c>
      <c r="BB265" t="s">
        <v>3250</v>
      </c>
      <c r="BC265" t="s">
        <v>3250</v>
      </c>
      <c r="BE265" t="s">
        <v>3250</v>
      </c>
      <c r="BF265" t="s">
        <v>3250</v>
      </c>
      <c r="BG265" t="s">
        <v>3250</v>
      </c>
      <c r="BH265" t="s">
        <v>3250</v>
      </c>
      <c r="BI265" t="s">
        <v>3250</v>
      </c>
      <c r="BK265" t="s">
        <v>3250</v>
      </c>
      <c r="BL265" t="s">
        <v>3250</v>
      </c>
      <c r="BM265" t="s">
        <v>3250</v>
      </c>
      <c r="BN265" t="s">
        <v>3250</v>
      </c>
      <c r="BP265">
        <v>1</v>
      </c>
      <c r="BQ265">
        <v>11</v>
      </c>
      <c r="BR265" t="s">
        <v>1574</v>
      </c>
      <c r="BS265" t="s">
        <v>3252</v>
      </c>
      <c r="BV265">
        <v>0</v>
      </c>
      <c r="BW265">
        <v>0</v>
      </c>
      <c r="BX265">
        <v>0</v>
      </c>
      <c r="BY265">
        <v>0</v>
      </c>
      <c r="BZ265">
        <v>0</v>
      </c>
      <c r="CA265">
        <v>0</v>
      </c>
      <c r="CB265">
        <v>0</v>
      </c>
      <c r="CC265">
        <v>0</v>
      </c>
      <c r="CD265">
        <v>0</v>
      </c>
      <c r="CE265" t="s">
        <v>3108</v>
      </c>
      <c r="CF265" t="s">
        <v>3108</v>
      </c>
      <c r="CG265" t="s">
        <v>3108</v>
      </c>
      <c r="CH265" t="s">
        <v>3108</v>
      </c>
    </row>
    <row r="266" spans="1:86" x14ac:dyDescent="0.2">
      <c r="A266" t="s">
        <v>3771</v>
      </c>
      <c r="B266" t="s">
        <v>3771</v>
      </c>
      <c r="C266">
        <v>30535</v>
      </c>
      <c r="D266">
        <v>1303</v>
      </c>
      <c r="E266" t="s">
        <v>3772</v>
      </c>
      <c r="F266" t="s">
        <v>3249</v>
      </c>
      <c r="G266" t="s">
        <v>3249</v>
      </c>
      <c r="H266" t="s">
        <v>3250</v>
      </c>
      <c r="I266" t="s">
        <v>3250</v>
      </c>
      <c r="J266" t="s">
        <v>3250</v>
      </c>
      <c r="K266" t="s">
        <v>3250</v>
      </c>
      <c r="L266">
        <v>4400</v>
      </c>
      <c r="M266" t="s">
        <v>988</v>
      </c>
      <c r="N266">
        <v>4403</v>
      </c>
      <c r="O266" t="s">
        <v>2439</v>
      </c>
      <c r="P266" t="s">
        <v>3108</v>
      </c>
      <c r="Q266" t="s">
        <v>3249</v>
      </c>
      <c r="R266" t="s">
        <v>3249</v>
      </c>
      <c r="S266" t="s">
        <v>472</v>
      </c>
      <c r="T266" t="s">
        <v>3251</v>
      </c>
      <c r="U266">
        <v>140</v>
      </c>
      <c r="V266" t="s">
        <v>1327</v>
      </c>
      <c r="W266">
        <v>140</v>
      </c>
      <c r="X266" t="s">
        <v>1327</v>
      </c>
      <c r="Y266" t="s">
        <v>3250</v>
      </c>
      <c r="Z266" t="s">
        <v>3250</v>
      </c>
      <c r="AA266" t="s">
        <v>3108</v>
      </c>
      <c r="AB266" t="s">
        <v>3108</v>
      </c>
      <c r="AC266" t="s">
        <v>3250</v>
      </c>
      <c r="AD266" t="s">
        <v>3250</v>
      </c>
      <c r="AE266" t="s">
        <v>3250</v>
      </c>
      <c r="AF266" t="s">
        <v>3250</v>
      </c>
      <c r="AG266" t="s">
        <v>3250</v>
      </c>
      <c r="AH266" t="s">
        <v>3250</v>
      </c>
      <c r="AI266" t="s">
        <v>3250</v>
      </c>
      <c r="AJ266" t="s">
        <v>3250</v>
      </c>
      <c r="AL266">
        <v>146</v>
      </c>
      <c r="AM266" t="s">
        <v>5</v>
      </c>
      <c r="AN266">
        <v>146</v>
      </c>
      <c r="AO266" t="s">
        <v>5</v>
      </c>
      <c r="AS266" t="s">
        <v>3250</v>
      </c>
      <c r="AT266" t="s">
        <v>3250</v>
      </c>
      <c r="AU266" t="s">
        <v>3250</v>
      </c>
      <c r="AV266" t="s">
        <v>3250</v>
      </c>
      <c r="AW266" t="s">
        <v>3250</v>
      </c>
      <c r="AX266" t="s">
        <v>3250</v>
      </c>
      <c r="AY266" t="s">
        <v>3250</v>
      </c>
      <c r="AZ266" t="s">
        <v>3250</v>
      </c>
      <c r="BA266" t="s">
        <v>3250</v>
      </c>
      <c r="BB266" t="s">
        <v>3250</v>
      </c>
      <c r="BC266" t="s">
        <v>3250</v>
      </c>
      <c r="BE266" t="s">
        <v>3250</v>
      </c>
      <c r="BF266" t="s">
        <v>3250</v>
      </c>
      <c r="BG266" t="s">
        <v>3250</v>
      </c>
      <c r="BH266" t="s">
        <v>3250</v>
      </c>
      <c r="BI266" t="s">
        <v>3250</v>
      </c>
      <c r="BK266" t="s">
        <v>3250</v>
      </c>
      <c r="BL266" t="s">
        <v>3250</v>
      </c>
      <c r="BM266" t="s">
        <v>3250</v>
      </c>
      <c r="BN266" t="s">
        <v>3250</v>
      </c>
      <c r="BP266">
        <v>12</v>
      </c>
      <c r="BQ266">
        <v>121</v>
      </c>
      <c r="BR266" t="s">
        <v>2439</v>
      </c>
      <c r="BS266" t="s">
        <v>941</v>
      </c>
      <c r="BV266">
        <v>0</v>
      </c>
      <c r="BW266">
        <v>0</v>
      </c>
      <c r="BX266">
        <v>0</v>
      </c>
      <c r="BY266">
        <v>0</v>
      </c>
      <c r="BZ266">
        <v>0</v>
      </c>
      <c r="CA266">
        <v>0</v>
      </c>
      <c r="CB266">
        <v>0</v>
      </c>
      <c r="CC266">
        <v>0</v>
      </c>
      <c r="CD266">
        <v>0</v>
      </c>
      <c r="CE266" t="s">
        <v>3108</v>
      </c>
      <c r="CF266" t="s">
        <v>3108</v>
      </c>
      <c r="CG266" t="s">
        <v>3108</v>
      </c>
      <c r="CH266" t="s">
        <v>3108</v>
      </c>
    </row>
    <row r="267" spans="1:86" x14ac:dyDescent="0.2">
      <c r="A267" t="s">
        <v>3773</v>
      </c>
      <c r="B267" t="s">
        <v>3773</v>
      </c>
      <c r="C267">
        <v>30536</v>
      </c>
      <c r="D267">
        <v>1304</v>
      </c>
      <c r="E267" t="s">
        <v>3774</v>
      </c>
      <c r="F267" t="s">
        <v>3249</v>
      </c>
      <c r="G267" t="s">
        <v>3249</v>
      </c>
      <c r="H267" t="s">
        <v>3250</v>
      </c>
      <c r="I267" t="s">
        <v>3250</v>
      </c>
      <c r="J267" t="s">
        <v>3250</v>
      </c>
      <c r="K267" t="s">
        <v>3250</v>
      </c>
      <c r="L267">
        <v>4400</v>
      </c>
      <c r="M267" t="s">
        <v>988</v>
      </c>
      <c r="N267">
        <v>4403</v>
      </c>
      <c r="O267" t="s">
        <v>2439</v>
      </c>
      <c r="P267" t="s">
        <v>3108</v>
      </c>
      <c r="Q267" t="s">
        <v>3249</v>
      </c>
      <c r="R267" t="s">
        <v>3249</v>
      </c>
      <c r="S267" t="s">
        <v>472</v>
      </c>
      <c r="T267" t="s">
        <v>3251</v>
      </c>
      <c r="U267">
        <v>140</v>
      </c>
      <c r="V267" t="s">
        <v>1327</v>
      </c>
      <c r="W267">
        <v>140</v>
      </c>
      <c r="X267" t="s">
        <v>1327</v>
      </c>
      <c r="Y267" t="s">
        <v>3250</v>
      </c>
      <c r="Z267" t="s">
        <v>3250</v>
      </c>
      <c r="AA267" t="s">
        <v>3108</v>
      </c>
      <c r="AB267" t="s">
        <v>3108</v>
      </c>
      <c r="AC267" t="s">
        <v>3250</v>
      </c>
      <c r="AD267" t="s">
        <v>3250</v>
      </c>
      <c r="AE267" t="s">
        <v>3250</v>
      </c>
      <c r="AF267" t="s">
        <v>3250</v>
      </c>
      <c r="AG267" t="s">
        <v>3250</v>
      </c>
      <c r="AH267" t="s">
        <v>3250</v>
      </c>
      <c r="AI267" t="s">
        <v>3250</v>
      </c>
      <c r="AJ267" t="s">
        <v>3250</v>
      </c>
      <c r="AL267">
        <v>146</v>
      </c>
      <c r="AM267" t="s">
        <v>5</v>
      </c>
      <c r="AN267">
        <v>146</v>
      </c>
      <c r="AO267" t="s">
        <v>5</v>
      </c>
      <c r="AS267" t="s">
        <v>3250</v>
      </c>
      <c r="AT267" t="s">
        <v>3250</v>
      </c>
      <c r="AU267" t="s">
        <v>3250</v>
      </c>
      <c r="AV267" t="s">
        <v>3250</v>
      </c>
      <c r="AW267" t="s">
        <v>3250</v>
      </c>
      <c r="AX267" t="s">
        <v>3250</v>
      </c>
      <c r="AY267" t="s">
        <v>3250</v>
      </c>
      <c r="AZ267" t="s">
        <v>3250</v>
      </c>
      <c r="BA267" t="s">
        <v>3250</v>
      </c>
      <c r="BB267" t="s">
        <v>3250</v>
      </c>
      <c r="BC267" t="s">
        <v>3250</v>
      </c>
      <c r="BE267" t="s">
        <v>3250</v>
      </c>
      <c r="BF267" t="s">
        <v>3250</v>
      </c>
      <c r="BG267" t="s">
        <v>3250</v>
      </c>
      <c r="BH267" t="s">
        <v>3250</v>
      </c>
      <c r="BI267" t="s">
        <v>3250</v>
      </c>
      <c r="BK267" t="s">
        <v>3250</v>
      </c>
      <c r="BL267" t="s">
        <v>3250</v>
      </c>
      <c r="BM267" t="s">
        <v>3250</v>
      </c>
      <c r="BN267" t="s">
        <v>3250</v>
      </c>
      <c r="BP267">
        <v>12</v>
      </c>
      <c r="BQ267">
        <v>121</v>
      </c>
      <c r="BR267" t="s">
        <v>2439</v>
      </c>
      <c r="BS267" t="s">
        <v>941</v>
      </c>
      <c r="BV267">
        <v>0</v>
      </c>
      <c r="BW267">
        <v>0</v>
      </c>
      <c r="BX267">
        <v>0</v>
      </c>
      <c r="BY267">
        <v>0</v>
      </c>
      <c r="BZ267">
        <v>0</v>
      </c>
      <c r="CA267">
        <v>0</v>
      </c>
      <c r="CB267">
        <v>0</v>
      </c>
      <c r="CC267">
        <v>0</v>
      </c>
      <c r="CD267">
        <v>0</v>
      </c>
      <c r="CE267" t="s">
        <v>3108</v>
      </c>
      <c r="CF267" t="s">
        <v>3108</v>
      </c>
      <c r="CG267" t="s">
        <v>3108</v>
      </c>
      <c r="CH267" t="s">
        <v>3108</v>
      </c>
    </row>
    <row r="268" spans="1:86" x14ac:dyDescent="0.2">
      <c r="A268" t="s">
        <v>3775</v>
      </c>
      <c r="B268" t="s">
        <v>3775</v>
      </c>
      <c r="C268">
        <v>30537</v>
      </c>
      <c r="D268">
        <v>1305</v>
      </c>
      <c r="E268" t="s">
        <v>3776</v>
      </c>
      <c r="F268" t="s">
        <v>3249</v>
      </c>
      <c r="G268" t="s">
        <v>3249</v>
      </c>
      <c r="H268" t="s">
        <v>3250</v>
      </c>
      <c r="I268" t="s">
        <v>3250</v>
      </c>
      <c r="J268" t="s">
        <v>3250</v>
      </c>
      <c r="K268" t="s">
        <v>3250</v>
      </c>
      <c r="L268">
        <v>4400</v>
      </c>
      <c r="M268" t="s">
        <v>988</v>
      </c>
      <c r="N268">
        <v>4403</v>
      </c>
      <c r="O268" t="s">
        <v>2439</v>
      </c>
      <c r="P268" t="s">
        <v>3108</v>
      </c>
      <c r="Q268" t="s">
        <v>3249</v>
      </c>
      <c r="R268" t="s">
        <v>3249</v>
      </c>
      <c r="S268" t="s">
        <v>472</v>
      </c>
      <c r="T268" t="s">
        <v>3251</v>
      </c>
      <c r="U268">
        <v>140</v>
      </c>
      <c r="V268" t="s">
        <v>1327</v>
      </c>
      <c r="W268">
        <v>140</v>
      </c>
      <c r="X268" t="s">
        <v>1327</v>
      </c>
      <c r="Y268" t="s">
        <v>3250</v>
      </c>
      <c r="Z268" t="s">
        <v>3250</v>
      </c>
      <c r="AA268" t="s">
        <v>3108</v>
      </c>
      <c r="AB268" t="s">
        <v>3108</v>
      </c>
      <c r="AC268" t="s">
        <v>3250</v>
      </c>
      <c r="AD268" t="s">
        <v>3250</v>
      </c>
      <c r="AE268" t="s">
        <v>3250</v>
      </c>
      <c r="AF268" t="s">
        <v>3250</v>
      </c>
      <c r="AG268" t="s">
        <v>3250</v>
      </c>
      <c r="AH268" t="s">
        <v>3250</v>
      </c>
      <c r="AI268" t="s">
        <v>3250</v>
      </c>
      <c r="AJ268" t="s">
        <v>3250</v>
      </c>
      <c r="AL268">
        <v>141</v>
      </c>
      <c r="AM268" t="s">
        <v>1327</v>
      </c>
      <c r="AN268">
        <v>141</v>
      </c>
      <c r="AO268" t="s">
        <v>1327</v>
      </c>
      <c r="AS268" t="s">
        <v>3250</v>
      </c>
      <c r="AT268" t="s">
        <v>3250</v>
      </c>
      <c r="AU268" t="s">
        <v>3250</v>
      </c>
      <c r="AV268" t="s">
        <v>3250</v>
      </c>
      <c r="AW268" t="s">
        <v>3250</v>
      </c>
      <c r="AX268" t="s">
        <v>3250</v>
      </c>
      <c r="AY268" t="s">
        <v>3250</v>
      </c>
      <c r="AZ268" t="s">
        <v>3250</v>
      </c>
      <c r="BA268" t="s">
        <v>3250</v>
      </c>
      <c r="BB268" t="s">
        <v>3250</v>
      </c>
      <c r="BC268" t="s">
        <v>3250</v>
      </c>
      <c r="BE268" t="s">
        <v>3250</v>
      </c>
      <c r="BF268" t="s">
        <v>3250</v>
      </c>
      <c r="BG268" t="s">
        <v>3250</v>
      </c>
      <c r="BH268" t="s">
        <v>3250</v>
      </c>
      <c r="BI268" t="s">
        <v>3250</v>
      </c>
      <c r="BK268" t="s">
        <v>3250</v>
      </c>
      <c r="BL268" t="s">
        <v>3250</v>
      </c>
      <c r="BM268" t="s">
        <v>3250</v>
      </c>
      <c r="BN268" t="s">
        <v>3250</v>
      </c>
      <c r="BP268">
        <v>12</v>
      </c>
      <c r="BQ268">
        <v>121</v>
      </c>
      <c r="BR268" t="s">
        <v>2439</v>
      </c>
      <c r="BS268" t="s">
        <v>941</v>
      </c>
      <c r="BV268">
        <v>0</v>
      </c>
      <c r="BW268">
        <v>0</v>
      </c>
      <c r="BX268">
        <v>0</v>
      </c>
      <c r="BY268">
        <v>0</v>
      </c>
      <c r="BZ268">
        <v>0</v>
      </c>
      <c r="CA268">
        <v>0</v>
      </c>
      <c r="CB268">
        <v>0</v>
      </c>
      <c r="CC268">
        <v>0</v>
      </c>
      <c r="CD268">
        <v>0</v>
      </c>
      <c r="CE268" t="s">
        <v>3108</v>
      </c>
      <c r="CF268" t="s">
        <v>3108</v>
      </c>
      <c r="CG268" t="s">
        <v>3108</v>
      </c>
      <c r="CH268" t="s">
        <v>3108</v>
      </c>
    </row>
    <row r="269" spans="1:86" x14ac:dyDescent="0.2">
      <c r="A269" t="s">
        <v>3777</v>
      </c>
      <c r="B269" t="s">
        <v>3777</v>
      </c>
      <c r="C269">
        <v>30538</v>
      </c>
      <c r="D269">
        <v>1306</v>
      </c>
      <c r="E269" t="s">
        <v>3778</v>
      </c>
      <c r="F269" t="s">
        <v>3249</v>
      </c>
      <c r="G269" t="s">
        <v>3249</v>
      </c>
      <c r="H269" t="s">
        <v>3250</v>
      </c>
      <c r="I269" t="s">
        <v>3250</v>
      </c>
      <c r="J269" t="s">
        <v>3250</v>
      </c>
      <c r="K269" t="s">
        <v>3250</v>
      </c>
      <c r="L269">
        <v>4400</v>
      </c>
      <c r="M269" t="s">
        <v>988</v>
      </c>
      <c r="N269">
        <v>4403</v>
      </c>
      <c r="O269" t="s">
        <v>2439</v>
      </c>
      <c r="P269" t="s">
        <v>3108</v>
      </c>
      <c r="Q269" t="s">
        <v>3249</v>
      </c>
      <c r="R269" t="s">
        <v>3249</v>
      </c>
      <c r="S269" t="s">
        <v>472</v>
      </c>
      <c r="T269" t="s">
        <v>3251</v>
      </c>
      <c r="U269">
        <v>140</v>
      </c>
      <c r="V269" t="s">
        <v>1327</v>
      </c>
      <c r="W269">
        <v>140</v>
      </c>
      <c r="X269" t="s">
        <v>1327</v>
      </c>
      <c r="Y269" t="s">
        <v>3250</v>
      </c>
      <c r="Z269" t="s">
        <v>3250</v>
      </c>
      <c r="AA269" t="s">
        <v>3108</v>
      </c>
      <c r="AB269" t="s">
        <v>3108</v>
      </c>
      <c r="AC269" t="s">
        <v>3250</v>
      </c>
      <c r="AD269" t="s">
        <v>3250</v>
      </c>
      <c r="AE269" t="s">
        <v>3250</v>
      </c>
      <c r="AF269" t="s">
        <v>3250</v>
      </c>
      <c r="AG269" t="s">
        <v>3250</v>
      </c>
      <c r="AH269" t="s">
        <v>3250</v>
      </c>
      <c r="AI269" t="s">
        <v>3250</v>
      </c>
      <c r="AJ269" t="s">
        <v>3250</v>
      </c>
      <c r="AL269">
        <v>141</v>
      </c>
      <c r="AM269" t="s">
        <v>1327</v>
      </c>
      <c r="AN269">
        <v>141</v>
      </c>
      <c r="AO269" t="s">
        <v>1327</v>
      </c>
      <c r="AS269" t="s">
        <v>3250</v>
      </c>
      <c r="AT269" t="s">
        <v>3250</v>
      </c>
      <c r="AU269" t="s">
        <v>3250</v>
      </c>
      <c r="AV269" t="s">
        <v>3250</v>
      </c>
      <c r="AW269" t="s">
        <v>3250</v>
      </c>
      <c r="AX269" t="s">
        <v>3250</v>
      </c>
      <c r="AY269" t="s">
        <v>3250</v>
      </c>
      <c r="AZ269" t="s">
        <v>3250</v>
      </c>
      <c r="BA269" t="s">
        <v>3250</v>
      </c>
      <c r="BB269" t="s">
        <v>3250</v>
      </c>
      <c r="BC269" t="s">
        <v>3250</v>
      </c>
      <c r="BE269" t="s">
        <v>3250</v>
      </c>
      <c r="BF269" t="s">
        <v>3250</v>
      </c>
      <c r="BG269" t="s">
        <v>3250</v>
      </c>
      <c r="BH269" t="s">
        <v>3250</v>
      </c>
      <c r="BI269" t="s">
        <v>3250</v>
      </c>
      <c r="BK269" t="s">
        <v>3250</v>
      </c>
      <c r="BL269" t="s">
        <v>3250</v>
      </c>
      <c r="BM269" t="s">
        <v>3250</v>
      </c>
      <c r="BN269" t="s">
        <v>3250</v>
      </c>
      <c r="BP269">
        <v>12</v>
      </c>
      <c r="BQ269">
        <v>121</v>
      </c>
      <c r="BR269" t="s">
        <v>2439</v>
      </c>
      <c r="BS269" t="s">
        <v>941</v>
      </c>
      <c r="BV269">
        <v>0</v>
      </c>
      <c r="BW269">
        <v>0</v>
      </c>
      <c r="BX269">
        <v>0</v>
      </c>
      <c r="BY269">
        <v>0</v>
      </c>
      <c r="BZ269">
        <v>0</v>
      </c>
      <c r="CA269">
        <v>0</v>
      </c>
      <c r="CB269">
        <v>0</v>
      </c>
      <c r="CC269">
        <v>0</v>
      </c>
      <c r="CD269">
        <v>0</v>
      </c>
      <c r="CE269" t="s">
        <v>3108</v>
      </c>
      <c r="CF269" t="s">
        <v>3108</v>
      </c>
      <c r="CG269" t="s">
        <v>3108</v>
      </c>
      <c r="CH269" t="s">
        <v>3108</v>
      </c>
    </row>
    <row r="270" spans="1:86" x14ac:dyDescent="0.2">
      <c r="A270" t="s">
        <v>3779</v>
      </c>
      <c r="B270" t="s">
        <v>3779</v>
      </c>
      <c r="C270">
        <v>30539</v>
      </c>
      <c r="D270">
        <v>1307</v>
      </c>
      <c r="E270" t="s">
        <v>3780</v>
      </c>
      <c r="F270" t="s">
        <v>3249</v>
      </c>
      <c r="G270" t="s">
        <v>3249</v>
      </c>
      <c r="H270" t="s">
        <v>3250</v>
      </c>
      <c r="I270" t="s">
        <v>3250</v>
      </c>
      <c r="J270" t="s">
        <v>3250</v>
      </c>
      <c r="K270" t="s">
        <v>3250</v>
      </c>
      <c r="L270">
        <v>4400</v>
      </c>
      <c r="M270" t="s">
        <v>988</v>
      </c>
      <c r="N270">
        <v>4403</v>
      </c>
      <c r="O270" t="s">
        <v>2439</v>
      </c>
      <c r="P270" t="s">
        <v>3108</v>
      </c>
      <c r="Q270" t="s">
        <v>3249</v>
      </c>
      <c r="R270" t="s">
        <v>3249</v>
      </c>
      <c r="S270" t="s">
        <v>472</v>
      </c>
      <c r="T270" t="s">
        <v>3251</v>
      </c>
      <c r="U270">
        <v>140</v>
      </c>
      <c r="V270" t="s">
        <v>1327</v>
      </c>
      <c r="W270">
        <v>140</v>
      </c>
      <c r="X270" t="s">
        <v>1327</v>
      </c>
      <c r="Y270" t="s">
        <v>3250</v>
      </c>
      <c r="Z270" t="s">
        <v>3250</v>
      </c>
      <c r="AA270" t="s">
        <v>3108</v>
      </c>
      <c r="AB270" t="s">
        <v>3108</v>
      </c>
      <c r="AC270" t="s">
        <v>3250</v>
      </c>
      <c r="AD270" t="s">
        <v>3250</v>
      </c>
      <c r="AE270" t="s">
        <v>3250</v>
      </c>
      <c r="AF270" t="s">
        <v>3250</v>
      </c>
      <c r="AG270" t="s">
        <v>3250</v>
      </c>
      <c r="AH270" t="s">
        <v>3250</v>
      </c>
      <c r="AI270" t="s">
        <v>3250</v>
      </c>
      <c r="AJ270" t="s">
        <v>3250</v>
      </c>
      <c r="AL270">
        <v>141</v>
      </c>
      <c r="AM270" t="s">
        <v>1327</v>
      </c>
      <c r="AN270">
        <v>141</v>
      </c>
      <c r="AO270" t="s">
        <v>1327</v>
      </c>
      <c r="AS270" t="s">
        <v>3250</v>
      </c>
      <c r="AT270" t="s">
        <v>3250</v>
      </c>
      <c r="AU270" t="s">
        <v>3250</v>
      </c>
      <c r="AV270" t="s">
        <v>3250</v>
      </c>
      <c r="AW270" t="s">
        <v>3250</v>
      </c>
      <c r="AX270" t="s">
        <v>3250</v>
      </c>
      <c r="AY270" t="s">
        <v>3250</v>
      </c>
      <c r="AZ270" t="s">
        <v>3250</v>
      </c>
      <c r="BA270" t="s">
        <v>3250</v>
      </c>
      <c r="BB270" t="s">
        <v>3250</v>
      </c>
      <c r="BC270" t="s">
        <v>3250</v>
      </c>
      <c r="BE270" t="s">
        <v>3250</v>
      </c>
      <c r="BF270" t="s">
        <v>3250</v>
      </c>
      <c r="BG270" t="s">
        <v>3250</v>
      </c>
      <c r="BH270" t="s">
        <v>3250</v>
      </c>
      <c r="BI270" t="s">
        <v>3250</v>
      </c>
      <c r="BK270" t="s">
        <v>3250</v>
      </c>
      <c r="BL270" t="s">
        <v>3250</v>
      </c>
      <c r="BM270" t="s">
        <v>3250</v>
      </c>
      <c r="BN270" t="s">
        <v>3250</v>
      </c>
      <c r="BP270">
        <v>12</v>
      </c>
      <c r="BQ270">
        <v>121</v>
      </c>
      <c r="BR270" t="s">
        <v>2439</v>
      </c>
      <c r="BS270" t="s">
        <v>941</v>
      </c>
      <c r="BV270">
        <v>0</v>
      </c>
      <c r="BW270">
        <v>0</v>
      </c>
      <c r="BX270">
        <v>0</v>
      </c>
      <c r="BY270">
        <v>0</v>
      </c>
      <c r="BZ270">
        <v>0</v>
      </c>
      <c r="CA270">
        <v>0</v>
      </c>
      <c r="CB270">
        <v>0</v>
      </c>
      <c r="CC270">
        <v>0</v>
      </c>
      <c r="CD270">
        <v>0</v>
      </c>
      <c r="CE270" t="s">
        <v>3108</v>
      </c>
      <c r="CF270" t="s">
        <v>3108</v>
      </c>
      <c r="CG270" t="s">
        <v>3108</v>
      </c>
      <c r="CH270" t="s">
        <v>3108</v>
      </c>
    </row>
    <row r="271" spans="1:86" x14ac:dyDescent="0.2">
      <c r="A271" t="s">
        <v>3781</v>
      </c>
      <c r="B271" t="s">
        <v>3781</v>
      </c>
      <c r="C271">
        <v>30540</v>
      </c>
      <c r="D271">
        <v>1308</v>
      </c>
      <c r="E271" t="s">
        <v>3782</v>
      </c>
      <c r="F271" t="s">
        <v>3249</v>
      </c>
      <c r="G271" t="s">
        <v>3249</v>
      </c>
      <c r="H271" t="s">
        <v>3250</v>
      </c>
      <c r="I271" t="s">
        <v>3250</v>
      </c>
      <c r="J271" t="s">
        <v>3250</v>
      </c>
      <c r="K271" t="s">
        <v>3250</v>
      </c>
      <c r="L271">
        <v>4400</v>
      </c>
      <c r="M271" t="s">
        <v>988</v>
      </c>
      <c r="N271">
        <v>4403</v>
      </c>
      <c r="O271" t="s">
        <v>2439</v>
      </c>
      <c r="P271" t="s">
        <v>3108</v>
      </c>
      <c r="Q271" t="s">
        <v>3249</v>
      </c>
      <c r="R271" t="s">
        <v>3249</v>
      </c>
      <c r="S271" t="s">
        <v>472</v>
      </c>
      <c r="T271" t="s">
        <v>3251</v>
      </c>
      <c r="U271">
        <v>140</v>
      </c>
      <c r="V271" t="s">
        <v>1327</v>
      </c>
      <c r="W271">
        <v>140</v>
      </c>
      <c r="X271" t="s">
        <v>1327</v>
      </c>
      <c r="Y271" t="s">
        <v>3250</v>
      </c>
      <c r="Z271" t="s">
        <v>3250</v>
      </c>
      <c r="AA271" t="s">
        <v>3108</v>
      </c>
      <c r="AB271" t="s">
        <v>3108</v>
      </c>
      <c r="AC271" t="s">
        <v>3250</v>
      </c>
      <c r="AD271" t="s">
        <v>3250</v>
      </c>
      <c r="AE271" t="s">
        <v>3250</v>
      </c>
      <c r="AF271" t="s">
        <v>3250</v>
      </c>
      <c r="AG271" t="s">
        <v>3250</v>
      </c>
      <c r="AH271" t="s">
        <v>3250</v>
      </c>
      <c r="AI271" t="s">
        <v>3250</v>
      </c>
      <c r="AJ271" t="s">
        <v>3250</v>
      </c>
      <c r="AL271">
        <v>147</v>
      </c>
      <c r="AM271" t="s">
        <v>6</v>
      </c>
      <c r="AN271">
        <v>147</v>
      </c>
      <c r="AO271" t="s">
        <v>6</v>
      </c>
      <c r="AS271" t="s">
        <v>3250</v>
      </c>
      <c r="AT271" t="s">
        <v>3250</v>
      </c>
      <c r="AU271" t="s">
        <v>3250</v>
      </c>
      <c r="AV271" t="s">
        <v>3250</v>
      </c>
      <c r="AW271" t="s">
        <v>3250</v>
      </c>
      <c r="AX271" t="s">
        <v>3250</v>
      </c>
      <c r="AY271" t="s">
        <v>3250</v>
      </c>
      <c r="AZ271" t="s">
        <v>3250</v>
      </c>
      <c r="BA271" t="s">
        <v>3250</v>
      </c>
      <c r="BB271" t="s">
        <v>3250</v>
      </c>
      <c r="BC271" t="s">
        <v>3250</v>
      </c>
      <c r="BE271" t="s">
        <v>3250</v>
      </c>
      <c r="BF271" t="s">
        <v>3250</v>
      </c>
      <c r="BG271" t="s">
        <v>3250</v>
      </c>
      <c r="BH271" t="s">
        <v>3250</v>
      </c>
      <c r="BI271" t="s">
        <v>3250</v>
      </c>
      <c r="BK271" t="s">
        <v>3250</v>
      </c>
      <c r="BL271" t="s">
        <v>3250</v>
      </c>
      <c r="BM271" t="s">
        <v>3250</v>
      </c>
      <c r="BN271" t="s">
        <v>3250</v>
      </c>
      <c r="BP271">
        <v>12</v>
      </c>
      <c r="BQ271">
        <v>121</v>
      </c>
      <c r="BR271" t="s">
        <v>2439</v>
      </c>
      <c r="BS271" t="s">
        <v>941</v>
      </c>
      <c r="BV271">
        <v>0</v>
      </c>
      <c r="BW271">
        <v>0</v>
      </c>
      <c r="BX271">
        <v>0</v>
      </c>
      <c r="BY271">
        <v>0</v>
      </c>
      <c r="BZ271">
        <v>0</v>
      </c>
      <c r="CA271">
        <v>0</v>
      </c>
      <c r="CB271">
        <v>0</v>
      </c>
      <c r="CC271">
        <v>0</v>
      </c>
      <c r="CD271">
        <v>0</v>
      </c>
      <c r="CE271" t="s">
        <v>3108</v>
      </c>
      <c r="CF271" t="s">
        <v>3108</v>
      </c>
      <c r="CG271" t="s">
        <v>3108</v>
      </c>
      <c r="CH271" t="s">
        <v>3108</v>
      </c>
    </row>
    <row r="272" spans="1:86" x14ac:dyDescent="0.2">
      <c r="A272" t="s">
        <v>3783</v>
      </c>
      <c r="B272" t="s">
        <v>3783</v>
      </c>
      <c r="C272">
        <v>30541</v>
      </c>
      <c r="D272">
        <v>1309</v>
      </c>
      <c r="E272" t="s">
        <v>3784</v>
      </c>
      <c r="F272" t="s">
        <v>3249</v>
      </c>
      <c r="G272" t="s">
        <v>3249</v>
      </c>
      <c r="H272" t="s">
        <v>3250</v>
      </c>
      <c r="I272" t="s">
        <v>3250</v>
      </c>
      <c r="J272" t="s">
        <v>3250</v>
      </c>
      <c r="K272" t="s">
        <v>3250</v>
      </c>
      <c r="L272">
        <v>4400</v>
      </c>
      <c r="M272" t="s">
        <v>988</v>
      </c>
      <c r="N272">
        <v>4403</v>
      </c>
      <c r="O272" t="s">
        <v>2439</v>
      </c>
      <c r="P272" t="s">
        <v>3108</v>
      </c>
      <c r="Q272" t="s">
        <v>3249</v>
      </c>
      <c r="R272" t="s">
        <v>3249</v>
      </c>
      <c r="S272" t="s">
        <v>472</v>
      </c>
      <c r="T272" t="s">
        <v>3251</v>
      </c>
      <c r="U272">
        <v>140</v>
      </c>
      <c r="V272" t="s">
        <v>1327</v>
      </c>
      <c r="W272">
        <v>140</v>
      </c>
      <c r="X272" t="s">
        <v>1327</v>
      </c>
      <c r="Y272" t="s">
        <v>3250</v>
      </c>
      <c r="Z272" t="s">
        <v>3250</v>
      </c>
      <c r="AA272" t="s">
        <v>3108</v>
      </c>
      <c r="AB272" t="s">
        <v>3108</v>
      </c>
      <c r="AC272" t="s">
        <v>3250</v>
      </c>
      <c r="AD272" t="s">
        <v>3250</v>
      </c>
      <c r="AE272" t="s">
        <v>3250</v>
      </c>
      <c r="AF272" t="s">
        <v>3250</v>
      </c>
      <c r="AG272" t="s">
        <v>3250</v>
      </c>
      <c r="AH272" t="s">
        <v>3250</v>
      </c>
      <c r="AI272" t="s">
        <v>3250</v>
      </c>
      <c r="AJ272" t="s">
        <v>3250</v>
      </c>
      <c r="AL272">
        <v>141</v>
      </c>
      <c r="AM272" t="s">
        <v>1327</v>
      </c>
      <c r="AN272">
        <v>141</v>
      </c>
      <c r="AO272" t="s">
        <v>1327</v>
      </c>
      <c r="AS272" t="s">
        <v>3250</v>
      </c>
      <c r="AT272" t="s">
        <v>3250</v>
      </c>
      <c r="AU272" t="s">
        <v>3250</v>
      </c>
      <c r="AV272" t="s">
        <v>3250</v>
      </c>
      <c r="AW272" t="s">
        <v>3250</v>
      </c>
      <c r="AX272" t="s">
        <v>3250</v>
      </c>
      <c r="AY272" t="s">
        <v>3250</v>
      </c>
      <c r="AZ272" t="s">
        <v>3250</v>
      </c>
      <c r="BA272" t="s">
        <v>3250</v>
      </c>
      <c r="BB272" t="s">
        <v>3250</v>
      </c>
      <c r="BC272" t="s">
        <v>3250</v>
      </c>
      <c r="BE272" t="s">
        <v>3250</v>
      </c>
      <c r="BF272" t="s">
        <v>3250</v>
      </c>
      <c r="BG272" t="s">
        <v>3250</v>
      </c>
      <c r="BH272" t="s">
        <v>3250</v>
      </c>
      <c r="BI272" t="s">
        <v>3250</v>
      </c>
      <c r="BK272" t="s">
        <v>3250</v>
      </c>
      <c r="BL272" t="s">
        <v>3250</v>
      </c>
      <c r="BM272" t="s">
        <v>3250</v>
      </c>
      <c r="BN272" t="s">
        <v>3250</v>
      </c>
      <c r="BP272">
        <v>12</v>
      </c>
      <c r="BQ272">
        <v>121</v>
      </c>
      <c r="BR272" t="s">
        <v>2439</v>
      </c>
      <c r="BS272" t="s">
        <v>941</v>
      </c>
      <c r="BV272">
        <v>0</v>
      </c>
      <c r="BW272">
        <v>0</v>
      </c>
      <c r="BX272">
        <v>0</v>
      </c>
      <c r="BY272">
        <v>0</v>
      </c>
      <c r="BZ272">
        <v>0</v>
      </c>
      <c r="CA272">
        <v>0</v>
      </c>
      <c r="CB272">
        <v>0</v>
      </c>
      <c r="CC272">
        <v>0</v>
      </c>
      <c r="CD272">
        <v>0</v>
      </c>
      <c r="CE272" t="s">
        <v>3108</v>
      </c>
      <c r="CF272" t="s">
        <v>3108</v>
      </c>
      <c r="CG272" t="s">
        <v>3108</v>
      </c>
      <c r="CH272" t="s">
        <v>3108</v>
      </c>
    </row>
    <row r="273" spans="1:86" x14ac:dyDescent="0.2">
      <c r="A273" t="s">
        <v>3785</v>
      </c>
      <c r="B273" t="s">
        <v>3785</v>
      </c>
      <c r="C273">
        <v>30542</v>
      </c>
      <c r="D273">
        <v>1310</v>
      </c>
      <c r="E273" t="s">
        <v>3786</v>
      </c>
      <c r="F273" t="s">
        <v>3249</v>
      </c>
      <c r="G273" t="s">
        <v>3249</v>
      </c>
      <c r="H273" t="s">
        <v>3250</v>
      </c>
      <c r="I273" t="s">
        <v>3250</v>
      </c>
      <c r="J273" t="s">
        <v>3250</v>
      </c>
      <c r="K273" t="s">
        <v>3250</v>
      </c>
      <c r="L273">
        <v>4400</v>
      </c>
      <c r="M273" t="s">
        <v>988</v>
      </c>
      <c r="N273">
        <v>4403</v>
      </c>
      <c r="O273" t="s">
        <v>2439</v>
      </c>
      <c r="P273" t="s">
        <v>3108</v>
      </c>
      <c r="Q273" t="s">
        <v>3249</v>
      </c>
      <c r="R273" t="s">
        <v>3249</v>
      </c>
      <c r="S273" t="s">
        <v>472</v>
      </c>
      <c r="T273" t="s">
        <v>3251</v>
      </c>
      <c r="U273">
        <v>140</v>
      </c>
      <c r="V273" t="s">
        <v>1327</v>
      </c>
      <c r="W273">
        <v>140</v>
      </c>
      <c r="X273" t="s">
        <v>1327</v>
      </c>
      <c r="Y273" t="s">
        <v>3250</v>
      </c>
      <c r="Z273" t="s">
        <v>3250</v>
      </c>
      <c r="AA273" t="s">
        <v>3108</v>
      </c>
      <c r="AB273" t="s">
        <v>3108</v>
      </c>
      <c r="AC273" t="s">
        <v>3250</v>
      </c>
      <c r="AD273" t="s">
        <v>3250</v>
      </c>
      <c r="AE273" t="s">
        <v>3250</v>
      </c>
      <c r="AF273" t="s">
        <v>3250</v>
      </c>
      <c r="AG273" t="s">
        <v>3250</v>
      </c>
      <c r="AH273" t="s">
        <v>3250</v>
      </c>
      <c r="AI273" t="s">
        <v>3250</v>
      </c>
      <c r="AJ273" t="s">
        <v>3250</v>
      </c>
      <c r="AL273">
        <v>141</v>
      </c>
      <c r="AM273" t="s">
        <v>1327</v>
      </c>
      <c r="AN273">
        <v>141</v>
      </c>
      <c r="AO273" t="s">
        <v>1327</v>
      </c>
      <c r="AS273" t="s">
        <v>3250</v>
      </c>
      <c r="AT273" t="s">
        <v>3250</v>
      </c>
      <c r="AU273" t="s">
        <v>3250</v>
      </c>
      <c r="AV273" t="s">
        <v>3250</v>
      </c>
      <c r="AW273" t="s">
        <v>3250</v>
      </c>
      <c r="AX273" t="s">
        <v>3250</v>
      </c>
      <c r="AY273" t="s">
        <v>3250</v>
      </c>
      <c r="AZ273" t="s">
        <v>3250</v>
      </c>
      <c r="BA273" t="s">
        <v>3250</v>
      </c>
      <c r="BB273" t="s">
        <v>3250</v>
      </c>
      <c r="BC273" t="s">
        <v>3250</v>
      </c>
      <c r="BE273" t="s">
        <v>3250</v>
      </c>
      <c r="BF273" t="s">
        <v>3250</v>
      </c>
      <c r="BG273" t="s">
        <v>3250</v>
      </c>
      <c r="BH273" t="s">
        <v>3250</v>
      </c>
      <c r="BI273" t="s">
        <v>3250</v>
      </c>
      <c r="BK273" t="s">
        <v>3250</v>
      </c>
      <c r="BL273" t="s">
        <v>3250</v>
      </c>
      <c r="BM273" t="s">
        <v>3250</v>
      </c>
      <c r="BN273" t="s">
        <v>3250</v>
      </c>
      <c r="BP273">
        <v>12</v>
      </c>
      <c r="BQ273">
        <v>121</v>
      </c>
      <c r="BR273" t="s">
        <v>2439</v>
      </c>
      <c r="BS273" t="s">
        <v>941</v>
      </c>
      <c r="BV273">
        <v>0</v>
      </c>
      <c r="BW273">
        <v>0</v>
      </c>
      <c r="BX273">
        <v>0</v>
      </c>
      <c r="BY273">
        <v>0</v>
      </c>
      <c r="BZ273">
        <v>0</v>
      </c>
      <c r="CA273">
        <v>596684</v>
      </c>
      <c r="CB273">
        <v>608744</v>
      </c>
      <c r="CC273">
        <v>645269</v>
      </c>
      <c r="CD273">
        <v>0</v>
      </c>
      <c r="CE273" t="s">
        <v>3108</v>
      </c>
      <c r="CF273" t="s">
        <v>3108</v>
      </c>
      <c r="CG273" t="s">
        <v>3108</v>
      </c>
      <c r="CH273" t="s">
        <v>3108</v>
      </c>
    </row>
    <row r="274" spans="1:86" x14ac:dyDescent="0.2">
      <c r="A274" t="s">
        <v>3787</v>
      </c>
      <c r="B274" t="s">
        <v>3787</v>
      </c>
      <c r="C274">
        <v>30544</v>
      </c>
      <c r="D274">
        <v>1311</v>
      </c>
      <c r="E274" t="s">
        <v>3788</v>
      </c>
      <c r="F274" t="s">
        <v>3249</v>
      </c>
      <c r="G274" t="s">
        <v>3249</v>
      </c>
      <c r="H274" t="s">
        <v>3250</v>
      </c>
      <c r="I274" t="s">
        <v>3250</v>
      </c>
      <c r="J274" t="s">
        <v>3250</v>
      </c>
      <c r="K274" t="s">
        <v>3250</v>
      </c>
      <c r="L274">
        <v>1200</v>
      </c>
      <c r="M274" t="s">
        <v>2368</v>
      </c>
      <c r="N274">
        <v>1204</v>
      </c>
      <c r="O274" t="s">
        <v>1574</v>
      </c>
      <c r="P274" t="s">
        <v>3108</v>
      </c>
      <c r="Q274" t="s">
        <v>3249</v>
      </c>
      <c r="R274" t="s">
        <v>3249</v>
      </c>
      <c r="S274" t="s">
        <v>472</v>
      </c>
      <c r="T274" t="s">
        <v>3789</v>
      </c>
      <c r="U274">
        <v>360</v>
      </c>
      <c r="V274" t="s">
        <v>3790</v>
      </c>
      <c r="W274">
        <v>360</v>
      </c>
      <c r="X274" t="s">
        <v>601</v>
      </c>
      <c r="Y274" t="s">
        <v>3250</v>
      </c>
      <c r="Z274" t="s">
        <v>3250</v>
      </c>
      <c r="AA274" t="s">
        <v>3108</v>
      </c>
      <c r="AB274" t="s">
        <v>3108</v>
      </c>
      <c r="AC274" t="s">
        <v>3250</v>
      </c>
      <c r="AD274" t="s">
        <v>3250</v>
      </c>
      <c r="AE274" t="s">
        <v>3250</v>
      </c>
      <c r="AF274" t="s">
        <v>3250</v>
      </c>
      <c r="AG274" t="s">
        <v>3250</v>
      </c>
      <c r="AH274" t="s">
        <v>3250</v>
      </c>
      <c r="AI274" t="s">
        <v>3250</v>
      </c>
      <c r="AJ274" t="s">
        <v>3250</v>
      </c>
      <c r="AL274">
        <v>364</v>
      </c>
      <c r="AM274" t="s">
        <v>1321</v>
      </c>
      <c r="AN274">
        <v>364</v>
      </c>
      <c r="AO274" t="s">
        <v>1321</v>
      </c>
      <c r="AS274" t="s">
        <v>3250</v>
      </c>
      <c r="AT274" t="s">
        <v>3250</v>
      </c>
      <c r="AU274" t="s">
        <v>3250</v>
      </c>
      <c r="AV274" t="s">
        <v>3250</v>
      </c>
      <c r="AW274" t="s">
        <v>3250</v>
      </c>
      <c r="AX274" t="s">
        <v>3250</v>
      </c>
      <c r="AY274" t="s">
        <v>3250</v>
      </c>
      <c r="AZ274" t="s">
        <v>3250</v>
      </c>
      <c r="BA274" t="s">
        <v>3250</v>
      </c>
      <c r="BB274" t="s">
        <v>3250</v>
      </c>
      <c r="BC274" t="s">
        <v>3250</v>
      </c>
      <c r="BE274" t="s">
        <v>3250</v>
      </c>
      <c r="BF274" t="s">
        <v>3250</v>
      </c>
      <c r="BG274" t="s">
        <v>3250</v>
      </c>
      <c r="BH274" t="s">
        <v>3250</v>
      </c>
      <c r="BI274" t="s">
        <v>3250</v>
      </c>
      <c r="BK274" t="s">
        <v>3250</v>
      </c>
      <c r="BL274" t="s">
        <v>3250</v>
      </c>
      <c r="BM274" t="s">
        <v>3250</v>
      </c>
      <c r="BN274" t="s">
        <v>3250</v>
      </c>
      <c r="BP274">
        <v>1</v>
      </c>
      <c r="BQ274">
        <v>11</v>
      </c>
      <c r="BR274" t="s">
        <v>1574</v>
      </c>
      <c r="BS274" t="s">
        <v>3252</v>
      </c>
      <c r="BV274">
        <v>0</v>
      </c>
      <c r="BW274">
        <v>0</v>
      </c>
      <c r="BX274">
        <v>0</v>
      </c>
      <c r="BY274">
        <v>0</v>
      </c>
      <c r="BZ274">
        <v>0</v>
      </c>
      <c r="CA274">
        <v>0</v>
      </c>
      <c r="CB274">
        <v>0</v>
      </c>
      <c r="CC274">
        <v>0</v>
      </c>
      <c r="CD274">
        <v>0</v>
      </c>
      <c r="CE274" t="s">
        <v>3108</v>
      </c>
      <c r="CF274" t="s">
        <v>3108</v>
      </c>
      <c r="CG274" t="s">
        <v>3108</v>
      </c>
      <c r="CH274" t="s">
        <v>3108</v>
      </c>
    </row>
    <row r="275" spans="1:86" x14ac:dyDescent="0.2">
      <c r="A275" t="s">
        <v>3791</v>
      </c>
      <c r="B275" t="s">
        <v>3791</v>
      </c>
      <c r="C275">
        <v>30547</v>
      </c>
      <c r="D275">
        <v>1314</v>
      </c>
      <c r="E275" t="s">
        <v>3792</v>
      </c>
      <c r="F275" t="s">
        <v>3249</v>
      </c>
      <c r="G275" t="s">
        <v>3249</v>
      </c>
      <c r="H275" t="s">
        <v>3250</v>
      </c>
      <c r="I275" t="s">
        <v>3250</v>
      </c>
      <c r="J275" t="s">
        <v>3250</v>
      </c>
      <c r="K275" t="s">
        <v>3250</v>
      </c>
      <c r="L275">
        <v>1200</v>
      </c>
      <c r="M275" t="s">
        <v>2368</v>
      </c>
      <c r="N275">
        <v>1204</v>
      </c>
      <c r="O275" t="s">
        <v>1574</v>
      </c>
      <c r="P275" t="s">
        <v>3108</v>
      </c>
      <c r="Q275" t="s">
        <v>3249</v>
      </c>
      <c r="R275" t="s">
        <v>3249</v>
      </c>
      <c r="S275" t="s">
        <v>472</v>
      </c>
      <c r="T275" t="s">
        <v>3251</v>
      </c>
      <c r="U275">
        <v>150</v>
      </c>
      <c r="V275" t="s">
        <v>1328</v>
      </c>
      <c r="W275">
        <v>150</v>
      </c>
      <c r="X275" t="s">
        <v>1328</v>
      </c>
      <c r="Y275" t="s">
        <v>3250</v>
      </c>
      <c r="Z275" t="s">
        <v>3250</v>
      </c>
      <c r="AA275" t="s">
        <v>3108</v>
      </c>
      <c r="AB275" t="s">
        <v>3108</v>
      </c>
      <c r="AC275" t="s">
        <v>3250</v>
      </c>
      <c r="AD275" t="s">
        <v>3250</v>
      </c>
      <c r="AE275" t="s">
        <v>3250</v>
      </c>
      <c r="AF275" t="s">
        <v>3250</v>
      </c>
      <c r="AG275" t="s">
        <v>3250</v>
      </c>
      <c r="AH275" t="s">
        <v>3250</v>
      </c>
      <c r="AI275" t="s">
        <v>3250</v>
      </c>
      <c r="AJ275" t="s">
        <v>3250</v>
      </c>
      <c r="AL275" t="s">
        <v>3250</v>
      </c>
      <c r="AM275" t="s">
        <v>3250</v>
      </c>
      <c r="AN275" t="s">
        <v>3250</v>
      </c>
      <c r="AO275" t="s">
        <v>3250</v>
      </c>
      <c r="AS275" t="s">
        <v>3250</v>
      </c>
      <c r="AT275" t="s">
        <v>3250</v>
      </c>
      <c r="AU275" t="s">
        <v>3250</v>
      </c>
      <c r="AV275" t="s">
        <v>3250</v>
      </c>
      <c r="AW275" t="s">
        <v>3250</v>
      </c>
      <c r="AX275" t="s">
        <v>3250</v>
      </c>
      <c r="AY275" t="s">
        <v>3250</v>
      </c>
      <c r="AZ275" t="s">
        <v>3250</v>
      </c>
      <c r="BA275" t="s">
        <v>3250</v>
      </c>
      <c r="BB275" t="s">
        <v>3250</v>
      </c>
      <c r="BC275" t="s">
        <v>3250</v>
      </c>
      <c r="BE275" t="s">
        <v>3250</v>
      </c>
      <c r="BF275" t="s">
        <v>3250</v>
      </c>
      <c r="BG275" t="s">
        <v>3250</v>
      </c>
      <c r="BH275" t="s">
        <v>3250</v>
      </c>
      <c r="BI275" t="s">
        <v>3250</v>
      </c>
      <c r="BK275" t="s">
        <v>3250</v>
      </c>
      <c r="BL275" t="s">
        <v>3250</v>
      </c>
      <c r="BM275" t="s">
        <v>3250</v>
      </c>
      <c r="BN275" t="s">
        <v>3250</v>
      </c>
      <c r="BP275">
        <v>1</v>
      </c>
      <c r="BQ275">
        <v>11</v>
      </c>
      <c r="BR275" t="s">
        <v>1574</v>
      </c>
      <c r="BS275" t="s">
        <v>3252</v>
      </c>
      <c r="BV275">
        <v>0</v>
      </c>
      <c r="BW275">
        <v>0</v>
      </c>
      <c r="BX275">
        <v>0</v>
      </c>
      <c r="BY275">
        <v>0</v>
      </c>
      <c r="BZ275">
        <v>0</v>
      </c>
      <c r="CA275">
        <v>0</v>
      </c>
      <c r="CB275">
        <v>0</v>
      </c>
      <c r="CC275">
        <v>0</v>
      </c>
      <c r="CD275">
        <v>0</v>
      </c>
      <c r="CE275" t="s">
        <v>3108</v>
      </c>
      <c r="CF275" t="s">
        <v>3108</v>
      </c>
      <c r="CG275" t="s">
        <v>3108</v>
      </c>
      <c r="CH275" t="s">
        <v>3108</v>
      </c>
    </row>
    <row r="276" spans="1:86" x14ac:dyDescent="0.2">
      <c r="A276" t="s">
        <v>3793</v>
      </c>
      <c r="B276" t="s">
        <v>3793</v>
      </c>
      <c r="C276">
        <v>30550</v>
      </c>
      <c r="D276">
        <v>1317</v>
      </c>
      <c r="E276" t="s">
        <v>3794</v>
      </c>
      <c r="F276" t="s">
        <v>3249</v>
      </c>
      <c r="G276" t="s">
        <v>3249</v>
      </c>
      <c r="H276" t="s">
        <v>3250</v>
      </c>
      <c r="I276" t="s">
        <v>3250</v>
      </c>
      <c r="J276" t="s">
        <v>3250</v>
      </c>
      <c r="K276" t="s">
        <v>3250</v>
      </c>
      <c r="L276">
        <v>1200</v>
      </c>
      <c r="M276" t="s">
        <v>2368</v>
      </c>
      <c r="N276">
        <v>1204</v>
      </c>
      <c r="O276" t="s">
        <v>1574</v>
      </c>
      <c r="P276" t="s">
        <v>3108</v>
      </c>
      <c r="Q276" t="s">
        <v>3249</v>
      </c>
      <c r="R276" t="s">
        <v>3249</v>
      </c>
      <c r="S276" t="s">
        <v>472</v>
      </c>
      <c r="T276" t="s">
        <v>3251</v>
      </c>
      <c r="U276">
        <v>150</v>
      </c>
      <c r="V276" t="s">
        <v>1328</v>
      </c>
      <c r="W276">
        <v>150</v>
      </c>
      <c r="X276" t="s">
        <v>1328</v>
      </c>
      <c r="Y276" t="s">
        <v>3250</v>
      </c>
      <c r="Z276" t="s">
        <v>3250</v>
      </c>
      <c r="AA276" t="s">
        <v>3108</v>
      </c>
      <c r="AB276" t="s">
        <v>3108</v>
      </c>
      <c r="AC276" t="s">
        <v>3250</v>
      </c>
      <c r="AD276" t="s">
        <v>3250</v>
      </c>
      <c r="AE276" t="s">
        <v>3250</v>
      </c>
      <c r="AF276" t="s">
        <v>3250</v>
      </c>
      <c r="AG276" t="s">
        <v>3250</v>
      </c>
      <c r="AH276" t="s">
        <v>3250</v>
      </c>
      <c r="AI276" t="s">
        <v>3250</v>
      </c>
      <c r="AJ276" t="s">
        <v>3250</v>
      </c>
      <c r="AL276" t="s">
        <v>3250</v>
      </c>
      <c r="AM276" t="s">
        <v>3250</v>
      </c>
      <c r="AN276" t="s">
        <v>3250</v>
      </c>
      <c r="AO276" t="s">
        <v>3250</v>
      </c>
      <c r="AS276" t="s">
        <v>3250</v>
      </c>
      <c r="AT276" t="s">
        <v>3250</v>
      </c>
      <c r="AU276" t="s">
        <v>3250</v>
      </c>
      <c r="AV276" t="s">
        <v>3250</v>
      </c>
      <c r="AW276" t="s">
        <v>3250</v>
      </c>
      <c r="AX276" t="s">
        <v>3250</v>
      </c>
      <c r="AY276" t="s">
        <v>3250</v>
      </c>
      <c r="AZ276" t="s">
        <v>3250</v>
      </c>
      <c r="BA276" t="s">
        <v>3250</v>
      </c>
      <c r="BB276" t="s">
        <v>3250</v>
      </c>
      <c r="BC276" t="s">
        <v>3250</v>
      </c>
      <c r="BE276" t="s">
        <v>3250</v>
      </c>
      <c r="BF276" t="s">
        <v>3250</v>
      </c>
      <c r="BG276" t="s">
        <v>3250</v>
      </c>
      <c r="BH276" t="s">
        <v>3250</v>
      </c>
      <c r="BI276" t="s">
        <v>3250</v>
      </c>
      <c r="BK276" t="s">
        <v>3250</v>
      </c>
      <c r="BL276" t="s">
        <v>3250</v>
      </c>
      <c r="BM276" t="s">
        <v>3250</v>
      </c>
      <c r="BN276" t="s">
        <v>3250</v>
      </c>
      <c r="BP276">
        <v>1</v>
      </c>
      <c r="BQ276">
        <v>11</v>
      </c>
      <c r="BR276" t="s">
        <v>1574</v>
      </c>
      <c r="BS276" t="s">
        <v>3252</v>
      </c>
      <c r="BV276">
        <v>0</v>
      </c>
      <c r="BW276">
        <v>0</v>
      </c>
      <c r="BX276">
        <v>0</v>
      </c>
      <c r="BY276">
        <v>0</v>
      </c>
      <c r="BZ276">
        <v>0</v>
      </c>
      <c r="CA276">
        <v>0</v>
      </c>
      <c r="CB276">
        <v>0</v>
      </c>
      <c r="CC276">
        <v>0</v>
      </c>
      <c r="CD276">
        <v>0</v>
      </c>
      <c r="CE276" t="s">
        <v>3108</v>
      </c>
      <c r="CF276" t="s">
        <v>3108</v>
      </c>
      <c r="CG276" t="s">
        <v>3108</v>
      </c>
      <c r="CH276" t="s">
        <v>3108</v>
      </c>
    </row>
    <row r="277" spans="1:86" x14ac:dyDescent="0.2">
      <c r="A277" t="s">
        <v>3795</v>
      </c>
      <c r="B277" t="s">
        <v>3795</v>
      </c>
      <c r="C277">
        <v>30551</v>
      </c>
      <c r="D277">
        <v>1477</v>
      </c>
      <c r="E277" t="s">
        <v>3796</v>
      </c>
      <c r="F277" t="s">
        <v>3249</v>
      </c>
      <c r="G277" t="s">
        <v>3249</v>
      </c>
      <c r="H277" t="s">
        <v>3250</v>
      </c>
      <c r="I277" t="s">
        <v>3250</v>
      </c>
      <c r="J277" t="s">
        <v>3250</v>
      </c>
      <c r="K277" t="s">
        <v>3250</v>
      </c>
      <c r="L277">
        <v>1200</v>
      </c>
      <c r="M277" t="s">
        <v>2368</v>
      </c>
      <c r="N277">
        <v>1210</v>
      </c>
      <c r="O277" t="s">
        <v>922</v>
      </c>
      <c r="P277" t="s">
        <v>3108</v>
      </c>
      <c r="Q277" t="s">
        <v>3249</v>
      </c>
      <c r="R277" t="s">
        <v>3249</v>
      </c>
      <c r="S277" t="s">
        <v>472</v>
      </c>
      <c r="T277" t="s">
        <v>3251</v>
      </c>
      <c r="U277">
        <v>150</v>
      </c>
      <c r="V277" t="s">
        <v>1328</v>
      </c>
      <c r="W277">
        <v>150</v>
      </c>
      <c r="X277" t="s">
        <v>1328</v>
      </c>
      <c r="Y277" t="s">
        <v>3250</v>
      </c>
      <c r="Z277" t="s">
        <v>3250</v>
      </c>
      <c r="AA277" t="s">
        <v>3108</v>
      </c>
      <c r="AB277" t="s">
        <v>3108</v>
      </c>
      <c r="AC277" t="s">
        <v>3250</v>
      </c>
      <c r="AD277" t="s">
        <v>3250</v>
      </c>
      <c r="AE277" t="s">
        <v>3250</v>
      </c>
      <c r="AF277" t="s">
        <v>3250</v>
      </c>
      <c r="AG277" t="s">
        <v>3250</v>
      </c>
      <c r="AH277" t="s">
        <v>3250</v>
      </c>
      <c r="AI277" t="s">
        <v>3250</v>
      </c>
      <c r="AJ277" t="s">
        <v>3250</v>
      </c>
      <c r="AL277" t="s">
        <v>3250</v>
      </c>
      <c r="AM277" t="s">
        <v>3250</v>
      </c>
      <c r="AN277" t="s">
        <v>3250</v>
      </c>
      <c r="AO277" t="s">
        <v>3250</v>
      </c>
      <c r="AS277" t="s">
        <v>3250</v>
      </c>
      <c r="AT277" t="s">
        <v>3250</v>
      </c>
      <c r="AU277" t="s">
        <v>3250</v>
      </c>
      <c r="AV277" t="s">
        <v>3250</v>
      </c>
      <c r="AW277" t="s">
        <v>3250</v>
      </c>
      <c r="AX277" t="s">
        <v>3250</v>
      </c>
      <c r="AY277" t="s">
        <v>3250</v>
      </c>
      <c r="AZ277" t="s">
        <v>3250</v>
      </c>
      <c r="BA277" t="s">
        <v>3250</v>
      </c>
      <c r="BB277" t="s">
        <v>3250</v>
      </c>
      <c r="BC277" t="s">
        <v>3250</v>
      </c>
      <c r="BE277" t="s">
        <v>3250</v>
      </c>
      <c r="BF277" t="s">
        <v>3250</v>
      </c>
      <c r="BG277" t="s">
        <v>3250</v>
      </c>
      <c r="BH277" t="s">
        <v>3250</v>
      </c>
      <c r="BI277" t="s">
        <v>3250</v>
      </c>
      <c r="BK277" t="s">
        <v>3250</v>
      </c>
      <c r="BL277" t="s">
        <v>3250</v>
      </c>
      <c r="BM277" t="s">
        <v>3250</v>
      </c>
      <c r="BN277" t="s">
        <v>3250</v>
      </c>
      <c r="BP277">
        <v>1</v>
      </c>
      <c r="BQ277">
        <v>16</v>
      </c>
      <c r="BR277" t="s">
        <v>922</v>
      </c>
      <c r="BS277" t="s">
        <v>3252</v>
      </c>
      <c r="BV277">
        <v>-33321</v>
      </c>
      <c r="BW277">
        <v>-33321</v>
      </c>
      <c r="BX277">
        <v>-33321</v>
      </c>
      <c r="BY277">
        <v>0</v>
      </c>
      <c r="BZ277">
        <v>0</v>
      </c>
      <c r="CA277">
        <v>0</v>
      </c>
      <c r="CB277">
        <v>0</v>
      </c>
      <c r="CC277">
        <v>0</v>
      </c>
      <c r="CD277">
        <v>-33321</v>
      </c>
      <c r="CE277" t="s">
        <v>3108</v>
      </c>
      <c r="CF277" t="s">
        <v>3108</v>
      </c>
      <c r="CG277" t="s">
        <v>3108</v>
      </c>
      <c r="CH277" t="s">
        <v>3108</v>
      </c>
    </row>
    <row r="278" spans="1:86" x14ac:dyDescent="0.2">
      <c r="A278" t="s">
        <v>3797</v>
      </c>
      <c r="B278" t="s">
        <v>3797</v>
      </c>
      <c r="C278">
        <v>30552</v>
      </c>
      <c r="D278">
        <v>1319</v>
      </c>
      <c r="E278" t="s">
        <v>3798</v>
      </c>
      <c r="F278" t="s">
        <v>3249</v>
      </c>
      <c r="G278" t="s">
        <v>3249</v>
      </c>
      <c r="H278" t="s">
        <v>3250</v>
      </c>
      <c r="I278" t="s">
        <v>3250</v>
      </c>
      <c r="J278" t="s">
        <v>3250</v>
      </c>
      <c r="K278" t="s">
        <v>3250</v>
      </c>
      <c r="L278">
        <v>1200</v>
      </c>
      <c r="M278" t="s">
        <v>2368</v>
      </c>
      <c r="N278">
        <v>1204</v>
      </c>
      <c r="O278" t="s">
        <v>1574</v>
      </c>
      <c r="P278" t="s">
        <v>3108</v>
      </c>
      <c r="Q278" t="s">
        <v>3249</v>
      </c>
      <c r="R278" t="s">
        <v>3249</v>
      </c>
      <c r="S278" t="s">
        <v>472</v>
      </c>
      <c r="T278" t="s">
        <v>3251</v>
      </c>
      <c r="U278">
        <v>150</v>
      </c>
      <c r="V278" t="s">
        <v>1328</v>
      </c>
      <c r="W278">
        <v>150</v>
      </c>
      <c r="X278" t="s">
        <v>1328</v>
      </c>
      <c r="Y278" t="s">
        <v>3250</v>
      </c>
      <c r="Z278" t="s">
        <v>3250</v>
      </c>
      <c r="AA278" t="s">
        <v>3108</v>
      </c>
      <c r="AB278" t="s">
        <v>3108</v>
      </c>
      <c r="AC278" t="s">
        <v>3250</v>
      </c>
      <c r="AD278" t="s">
        <v>3250</v>
      </c>
      <c r="AE278" t="s">
        <v>3250</v>
      </c>
      <c r="AF278" t="s">
        <v>3250</v>
      </c>
      <c r="AG278" t="s">
        <v>3250</v>
      </c>
      <c r="AH278" t="s">
        <v>3250</v>
      </c>
      <c r="AI278" t="s">
        <v>3250</v>
      </c>
      <c r="AJ278" t="s">
        <v>3250</v>
      </c>
      <c r="AL278" t="s">
        <v>3250</v>
      </c>
      <c r="AM278" t="s">
        <v>3250</v>
      </c>
      <c r="AN278" t="s">
        <v>3250</v>
      </c>
      <c r="AO278" t="s">
        <v>3250</v>
      </c>
      <c r="AS278" t="s">
        <v>3250</v>
      </c>
      <c r="AT278" t="s">
        <v>3250</v>
      </c>
      <c r="AU278" t="s">
        <v>3250</v>
      </c>
      <c r="AV278" t="s">
        <v>3250</v>
      </c>
      <c r="AW278" t="s">
        <v>3250</v>
      </c>
      <c r="AX278" t="s">
        <v>3250</v>
      </c>
      <c r="AY278" t="s">
        <v>3250</v>
      </c>
      <c r="AZ278" t="s">
        <v>3250</v>
      </c>
      <c r="BA278" t="s">
        <v>3250</v>
      </c>
      <c r="BB278" t="s">
        <v>3250</v>
      </c>
      <c r="BC278" t="s">
        <v>3250</v>
      </c>
      <c r="BE278" t="s">
        <v>3250</v>
      </c>
      <c r="BF278" t="s">
        <v>3250</v>
      </c>
      <c r="BG278" t="s">
        <v>3250</v>
      </c>
      <c r="BH278" t="s">
        <v>3250</v>
      </c>
      <c r="BI278" t="s">
        <v>3250</v>
      </c>
      <c r="BK278" t="s">
        <v>3250</v>
      </c>
      <c r="BL278" t="s">
        <v>3250</v>
      </c>
      <c r="BM278" t="s">
        <v>3250</v>
      </c>
      <c r="BN278" t="s">
        <v>3250</v>
      </c>
      <c r="BP278">
        <v>1</v>
      </c>
      <c r="BQ278">
        <v>11</v>
      </c>
      <c r="BR278" t="s">
        <v>1574</v>
      </c>
      <c r="BS278" t="s">
        <v>3252</v>
      </c>
      <c r="BV278">
        <v>-14814790</v>
      </c>
      <c r="BW278">
        <v>-6848171</v>
      </c>
      <c r="BX278">
        <v>23801</v>
      </c>
      <c r="BY278">
        <v>0</v>
      </c>
      <c r="BZ278">
        <v>0</v>
      </c>
      <c r="CA278">
        <v>0</v>
      </c>
      <c r="CB278">
        <v>0</v>
      </c>
      <c r="CC278">
        <v>0</v>
      </c>
      <c r="CD278">
        <v>-21352196</v>
      </c>
      <c r="CE278" t="s">
        <v>3108</v>
      </c>
      <c r="CF278" t="s">
        <v>3108</v>
      </c>
      <c r="CG278" t="s">
        <v>3108</v>
      </c>
      <c r="CH278" t="s">
        <v>3108</v>
      </c>
    </row>
    <row r="279" spans="1:86" x14ac:dyDescent="0.2">
      <c r="A279" t="s">
        <v>3799</v>
      </c>
      <c r="B279" t="s">
        <v>3799</v>
      </c>
      <c r="C279">
        <v>30553</v>
      </c>
      <c r="D279">
        <v>1320</v>
      </c>
      <c r="E279" t="s">
        <v>3800</v>
      </c>
      <c r="F279" t="s">
        <v>3249</v>
      </c>
      <c r="G279" t="s">
        <v>3249</v>
      </c>
      <c r="H279" t="s">
        <v>3250</v>
      </c>
      <c r="I279" t="s">
        <v>3250</v>
      </c>
      <c r="J279" t="s">
        <v>3250</v>
      </c>
      <c r="K279" t="s">
        <v>3250</v>
      </c>
      <c r="L279">
        <v>1200</v>
      </c>
      <c r="M279" t="s">
        <v>2368</v>
      </c>
      <c r="N279">
        <v>1204</v>
      </c>
      <c r="O279" t="s">
        <v>1574</v>
      </c>
      <c r="P279" t="s">
        <v>3108</v>
      </c>
      <c r="Q279" t="s">
        <v>3249</v>
      </c>
      <c r="R279" t="s">
        <v>3249</v>
      </c>
      <c r="S279" t="s">
        <v>472</v>
      </c>
      <c r="T279" t="s">
        <v>3789</v>
      </c>
      <c r="U279">
        <v>360</v>
      </c>
      <c r="V279" t="s">
        <v>3790</v>
      </c>
      <c r="W279">
        <v>360</v>
      </c>
      <c r="X279" t="s">
        <v>601</v>
      </c>
      <c r="Y279" t="s">
        <v>3250</v>
      </c>
      <c r="Z279" t="s">
        <v>3250</v>
      </c>
      <c r="AA279" t="s">
        <v>3108</v>
      </c>
      <c r="AB279" t="s">
        <v>3108</v>
      </c>
      <c r="AC279" t="s">
        <v>3250</v>
      </c>
      <c r="AD279" t="s">
        <v>3250</v>
      </c>
      <c r="AE279" t="s">
        <v>3250</v>
      </c>
      <c r="AF279" t="s">
        <v>3250</v>
      </c>
      <c r="AG279" t="s">
        <v>3250</v>
      </c>
      <c r="AH279" t="s">
        <v>3250</v>
      </c>
      <c r="AI279" t="s">
        <v>3250</v>
      </c>
      <c r="AJ279" t="s">
        <v>3250</v>
      </c>
      <c r="AL279">
        <v>361</v>
      </c>
      <c r="AM279" t="s">
        <v>2523</v>
      </c>
      <c r="AN279">
        <v>361</v>
      </c>
      <c r="AO279" t="s">
        <v>2523</v>
      </c>
      <c r="AS279" t="s">
        <v>3250</v>
      </c>
      <c r="AT279" t="s">
        <v>3250</v>
      </c>
      <c r="AU279" t="s">
        <v>3250</v>
      </c>
      <c r="AV279" t="s">
        <v>3250</v>
      </c>
      <c r="AW279" t="s">
        <v>3250</v>
      </c>
      <c r="AX279" t="s">
        <v>3250</v>
      </c>
      <c r="AY279" t="s">
        <v>3250</v>
      </c>
      <c r="AZ279" t="s">
        <v>3250</v>
      </c>
      <c r="BA279" t="s">
        <v>3250</v>
      </c>
      <c r="BB279" t="s">
        <v>3250</v>
      </c>
      <c r="BC279" t="s">
        <v>3250</v>
      </c>
      <c r="BE279" t="s">
        <v>3250</v>
      </c>
      <c r="BF279" t="s">
        <v>3250</v>
      </c>
      <c r="BG279" t="s">
        <v>3250</v>
      </c>
      <c r="BH279" t="s">
        <v>3250</v>
      </c>
      <c r="BI279" t="s">
        <v>3250</v>
      </c>
      <c r="BK279" t="s">
        <v>3250</v>
      </c>
      <c r="BL279" t="s">
        <v>3250</v>
      </c>
      <c r="BM279" t="s">
        <v>3250</v>
      </c>
      <c r="BN279" t="s">
        <v>3250</v>
      </c>
      <c r="BP279">
        <v>1</v>
      </c>
      <c r="BQ279">
        <v>11</v>
      </c>
      <c r="BR279" t="s">
        <v>1574</v>
      </c>
      <c r="BS279" t="s">
        <v>3252</v>
      </c>
      <c r="BV279">
        <v>1784000</v>
      </c>
      <c r="BW279">
        <v>1619625</v>
      </c>
      <c r="BX279">
        <v>1414906</v>
      </c>
      <c r="BY279">
        <v>0</v>
      </c>
      <c r="BZ279">
        <v>0</v>
      </c>
      <c r="CA279">
        <v>0</v>
      </c>
      <c r="CB279">
        <v>0</v>
      </c>
      <c r="CC279">
        <v>0</v>
      </c>
      <c r="CD279">
        <v>1784000</v>
      </c>
      <c r="CE279" t="s">
        <v>3108</v>
      </c>
      <c r="CF279" t="s">
        <v>3108</v>
      </c>
      <c r="CG279" t="s">
        <v>3108</v>
      </c>
      <c r="CH279" t="s">
        <v>3108</v>
      </c>
    </row>
    <row r="280" spans="1:86" x14ac:dyDescent="0.2">
      <c r="A280" t="s">
        <v>3801</v>
      </c>
      <c r="B280" t="s">
        <v>3801</v>
      </c>
      <c r="C280">
        <v>30554</v>
      </c>
      <c r="D280">
        <v>1321</v>
      </c>
      <c r="E280" t="s">
        <v>3802</v>
      </c>
      <c r="F280" t="s">
        <v>3249</v>
      </c>
      <c r="G280" t="s">
        <v>3249</v>
      </c>
      <c r="H280" t="s">
        <v>3250</v>
      </c>
      <c r="I280" t="s">
        <v>3250</v>
      </c>
      <c r="J280" t="s">
        <v>3250</v>
      </c>
      <c r="K280" t="s">
        <v>3250</v>
      </c>
      <c r="L280">
        <v>1200</v>
      </c>
      <c r="M280" t="s">
        <v>2368</v>
      </c>
      <c r="N280">
        <v>1204</v>
      </c>
      <c r="O280" t="s">
        <v>1574</v>
      </c>
      <c r="P280" t="s">
        <v>3108</v>
      </c>
      <c r="Q280" t="s">
        <v>3249</v>
      </c>
      <c r="R280" t="s">
        <v>3249</v>
      </c>
      <c r="S280" t="s">
        <v>472</v>
      </c>
      <c r="T280" t="s">
        <v>3789</v>
      </c>
      <c r="U280">
        <v>360</v>
      </c>
      <c r="V280" t="s">
        <v>3790</v>
      </c>
      <c r="W280">
        <v>360</v>
      </c>
      <c r="X280" t="s">
        <v>601</v>
      </c>
      <c r="Y280" t="s">
        <v>3250</v>
      </c>
      <c r="Z280" t="s">
        <v>3250</v>
      </c>
      <c r="AA280" t="s">
        <v>3108</v>
      </c>
      <c r="AB280" t="s">
        <v>3108</v>
      </c>
      <c r="AC280" t="s">
        <v>3250</v>
      </c>
      <c r="AD280" t="s">
        <v>3250</v>
      </c>
      <c r="AE280" t="s">
        <v>3250</v>
      </c>
      <c r="AF280" t="s">
        <v>3250</v>
      </c>
      <c r="AG280" t="s">
        <v>3250</v>
      </c>
      <c r="AH280" t="s">
        <v>3250</v>
      </c>
      <c r="AI280" t="s">
        <v>3250</v>
      </c>
      <c r="AJ280" t="s">
        <v>3250</v>
      </c>
      <c r="AL280">
        <v>361</v>
      </c>
      <c r="AM280" t="s">
        <v>2523</v>
      </c>
      <c r="AN280">
        <v>361</v>
      </c>
      <c r="AO280" t="s">
        <v>2523</v>
      </c>
      <c r="AS280" t="s">
        <v>3250</v>
      </c>
      <c r="AT280" t="s">
        <v>3250</v>
      </c>
      <c r="AU280" t="s">
        <v>3250</v>
      </c>
      <c r="AV280" t="s">
        <v>3250</v>
      </c>
      <c r="AW280" t="s">
        <v>3250</v>
      </c>
      <c r="AX280" t="s">
        <v>3250</v>
      </c>
      <c r="AY280" t="s">
        <v>3250</v>
      </c>
      <c r="AZ280" t="s">
        <v>3250</v>
      </c>
      <c r="BA280" t="s">
        <v>3250</v>
      </c>
      <c r="BB280" t="s">
        <v>3250</v>
      </c>
      <c r="BC280" t="s">
        <v>3250</v>
      </c>
      <c r="BE280" t="s">
        <v>3250</v>
      </c>
      <c r="BF280" t="s">
        <v>3250</v>
      </c>
      <c r="BG280" t="s">
        <v>3250</v>
      </c>
      <c r="BH280" t="s">
        <v>3250</v>
      </c>
      <c r="BI280" t="s">
        <v>3250</v>
      </c>
      <c r="BK280" t="s">
        <v>3250</v>
      </c>
      <c r="BL280" t="s">
        <v>3250</v>
      </c>
      <c r="BM280" t="s">
        <v>3250</v>
      </c>
      <c r="BN280" t="s">
        <v>3250</v>
      </c>
      <c r="BP280">
        <v>1</v>
      </c>
      <c r="BQ280">
        <v>11</v>
      </c>
      <c r="BR280" t="s">
        <v>1574</v>
      </c>
      <c r="BS280" t="s">
        <v>3252</v>
      </c>
      <c r="BV280">
        <v>0</v>
      </c>
      <c r="BW280">
        <v>0</v>
      </c>
      <c r="BX280">
        <v>0</v>
      </c>
      <c r="BY280">
        <v>0</v>
      </c>
      <c r="BZ280">
        <v>0</v>
      </c>
      <c r="CA280">
        <v>0</v>
      </c>
      <c r="CB280">
        <v>0</v>
      </c>
      <c r="CC280">
        <v>0</v>
      </c>
      <c r="CD280">
        <v>0</v>
      </c>
      <c r="CE280" t="s">
        <v>3108</v>
      </c>
      <c r="CF280" t="s">
        <v>3108</v>
      </c>
      <c r="CG280" t="s">
        <v>3108</v>
      </c>
      <c r="CH280" t="s">
        <v>3108</v>
      </c>
    </row>
    <row r="281" spans="1:86" x14ac:dyDescent="0.2">
      <c r="A281" t="s">
        <v>3803</v>
      </c>
      <c r="B281" t="s">
        <v>3803</v>
      </c>
      <c r="C281">
        <v>30555</v>
      </c>
      <c r="D281">
        <v>1322</v>
      </c>
      <c r="E281" t="s">
        <v>3804</v>
      </c>
      <c r="F281" t="s">
        <v>3249</v>
      </c>
      <c r="G281" t="s">
        <v>3249</v>
      </c>
      <c r="H281" t="s">
        <v>3250</v>
      </c>
      <c r="I281" t="s">
        <v>3250</v>
      </c>
      <c r="J281" t="s">
        <v>3250</v>
      </c>
      <c r="K281" t="s">
        <v>3250</v>
      </c>
      <c r="L281">
        <v>1200</v>
      </c>
      <c r="M281" t="s">
        <v>2368</v>
      </c>
      <c r="N281">
        <v>1204</v>
      </c>
      <c r="O281" t="s">
        <v>1574</v>
      </c>
      <c r="P281" t="s">
        <v>3108</v>
      </c>
      <c r="Q281" t="s">
        <v>3249</v>
      </c>
      <c r="R281" t="s">
        <v>3249</v>
      </c>
      <c r="S281" t="s">
        <v>472</v>
      </c>
      <c r="T281" t="s">
        <v>3789</v>
      </c>
      <c r="U281">
        <v>360</v>
      </c>
      <c r="V281" t="s">
        <v>3790</v>
      </c>
      <c r="W281">
        <v>360</v>
      </c>
      <c r="X281" t="s">
        <v>601</v>
      </c>
      <c r="Y281" t="s">
        <v>3250</v>
      </c>
      <c r="Z281" t="s">
        <v>3250</v>
      </c>
      <c r="AA281" t="s">
        <v>3108</v>
      </c>
      <c r="AB281" t="s">
        <v>3108</v>
      </c>
      <c r="AC281" t="s">
        <v>3250</v>
      </c>
      <c r="AD281" t="s">
        <v>3250</v>
      </c>
      <c r="AE281" t="s">
        <v>3250</v>
      </c>
      <c r="AF281" t="s">
        <v>3250</v>
      </c>
      <c r="AG281" t="s">
        <v>3250</v>
      </c>
      <c r="AH281" t="s">
        <v>3250</v>
      </c>
      <c r="AI281" t="s">
        <v>3250</v>
      </c>
      <c r="AJ281" t="s">
        <v>3250</v>
      </c>
      <c r="AL281">
        <v>361</v>
      </c>
      <c r="AM281" t="s">
        <v>2523</v>
      </c>
      <c r="AN281">
        <v>361</v>
      </c>
      <c r="AO281" t="s">
        <v>2523</v>
      </c>
      <c r="AS281" t="s">
        <v>3250</v>
      </c>
      <c r="AT281" t="s">
        <v>3250</v>
      </c>
      <c r="AU281" t="s">
        <v>3250</v>
      </c>
      <c r="AV281" t="s">
        <v>3250</v>
      </c>
      <c r="AW281" t="s">
        <v>3250</v>
      </c>
      <c r="AX281" t="s">
        <v>3250</v>
      </c>
      <c r="AY281" t="s">
        <v>3250</v>
      </c>
      <c r="AZ281" t="s">
        <v>3250</v>
      </c>
      <c r="BA281" t="s">
        <v>3250</v>
      </c>
      <c r="BB281" t="s">
        <v>3250</v>
      </c>
      <c r="BC281" t="s">
        <v>3250</v>
      </c>
      <c r="BE281" t="s">
        <v>3250</v>
      </c>
      <c r="BF281" t="s">
        <v>3250</v>
      </c>
      <c r="BG281" t="s">
        <v>3250</v>
      </c>
      <c r="BH281" t="s">
        <v>3250</v>
      </c>
      <c r="BI281" t="s">
        <v>3250</v>
      </c>
      <c r="BK281" t="s">
        <v>3250</v>
      </c>
      <c r="BL281" t="s">
        <v>3250</v>
      </c>
      <c r="BM281" t="s">
        <v>3250</v>
      </c>
      <c r="BN281" t="s">
        <v>3250</v>
      </c>
      <c r="BP281">
        <v>1</v>
      </c>
      <c r="BQ281">
        <v>11</v>
      </c>
      <c r="BR281" t="s">
        <v>1574</v>
      </c>
      <c r="BS281" t="s">
        <v>3252</v>
      </c>
      <c r="BV281">
        <v>-3554</v>
      </c>
      <c r="BW281">
        <v>0</v>
      </c>
      <c r="BX281">
        <v>0</v>
      </c>
      <c r="BY281">
        <v>0</v>
      </c>
      <c r="BZ281">
        <v>0</v>
      </c>
      <c r="CA281">
        <v>0</v>
      </c>
      <c r="CB281">
        <v>0</v>
      </c>
      <c r="CC281">
        <v>0</v>
      </c>
      <c r="CD281">
        <v>921957</v>
      </c>
      <c r="CE281" t="s">
        <v>3108</v>
      </c>
      <c r="CF281" t="s">
        <v>3108</v>
      </c>
      <c r="CG281" t="s">
        <v>3108</v>
      </c>
      <c r="CH281" t="s">
        <v>3108</v>
      </c>
    </row>
    <row r="282" spans="1:86" x14ac:dyDescent="0.2">
      <c r="A282" t="s">
        <v>3805</v>
      </c>
      <c r="B282" t="s">
        <v>3805</v>
      </c>
      <c r="C282">
        <v>30556</v>
      </c>
      <c r="D282">
        <v>1323</v>
      </c>
      <c r="E282" t="s">
        <v>3806</v>
      </c>
      <c r="F282" t="s">
        <v>3249</v>
      </c>
      <c r="G282" t="s">
        <v>3249</v>
      </c>
      <c r="H282" t="s">
        <v>3250</v>
      </c>
      <c r="I282" t="s">
        <v>3250</v>
      </c>
      <c r="J282" t="s">
        <v>3250</v>
      </c>
      <c r="K282" t="s">
        <v>3250</v>
      </c>
      <c r="L282">
        <v>1200</v>
      </c>
      <c r="M282" t="s">
        <v>2368</v>
      </c>
      <c r="N282">
        <v>1204</v>
      </c>
      <c r="O282" t="s">
        <v>1574</v>
      </c>
      <c r="P282" t="s">
        <v>3108</v>
      </c>
      <c r="Q282" t="s">
        <v>3249</v>
      </c>
      <c r="R282" t="s">
        <v>3249</v>
      </c>
      <c r="S282" t="s">
        <v>472</v>
      </c>
      <c r="T282" t="s">
        <v>3789</v>
      </c>
      <c r="U282">
        <v>360</v>
      </c>
      <c r="V282" t="s">
        <v>3790</v>
      </c>
      <c r="W282">
        <v>360</v>
      </c>
      <c r="X282" t="s">
        <v>601</v>
      </c>
      <c r="Y282" t="s">
        <v>3250</v>
      </c>
      <c r="Z282" t="s">
        <v>3250</v>
      </c>
      <c r="AA282" t="s">
        <v>3108</v>
      </c>
      <c r="AB282" t="s">
        <v>3108</v>
      </c>
      <c r="AC282" t="s">
        <v>3250</v>
      </c>
      <c r="AD282" t="s">
        <v>3250</v>
      </c>
      <c r="AE282" t="s">
        <v>3250</v>
      </c>
      <c r="AF282" t="s">
        <v>3250</v>
      </c>
      <c r="AG282" t="s">
        <v>3250</v>
      </c>
      <c r="AH282" t="s">
        <v>3250</v>
      </c>
      <c r="AI282" t="s">
        <v>3250</v>
      </c>
      <c r="AJ282" t="s">
        <v>3250</v>
      </c>
      <c r="AL282">
        <v>361</v>
      </c>
      <c r="AM282" t="s">
        <v>2523</v>
      </c>
      <c r="AN282">
        <v>361</v>
      </c>
      <c r="AO282" t="s">
        <v>2523</v>
      </c>
      <c r="AS282" t="s">
        <v>3250</v>
      </c>
      <c r="AT282" t="s">
        <v>3250</v>
      </c>
      <c r="AU282" t="s">
        <v>3250</v>
      </c>
      <c r="AV282" t="s">
        <v>3250</v>
      </c>
      <c r="AW282" t="s">
        <v>3250</v>
      </c>
      <c r="AX282" t="s">
        <v>3250</v>
      </c>
      <c r="AY282" t="s">
        <v>3250</v>
      </c>
      <c r="AZ282" t="s">
        <v>3250</v>
      </c>
      <c r="BA282" t="s">
        <v>3250</v>
      </c>
      <c r="BB282" t="s">
        <v>3250</v>
      </c>
      <c r="BC282" t="s">
        <v>3250</v>
      </c>
      <c r="BE282" t="s">
        <v>3250</v>
      </c>
      <c r="BF282" t="s">
        <v>3250</v>
      </c>
      <c r="BG282" t="s">
        <v>3250</v>
      </c>
      <c r="BH282" t="s">
        <v>3250</v>
      </c>
      <c r="BI282" t="s">
        <v>3250</v>
      </c>
      <c r="BK282" t="s">
        <v>3250</v>
      </c>
      <c r="BL282" t="s">
        <v>3250</v>
      </c>
      <c r="BM282" t="s">
        <v>3250</v>
      </c>
      <c r="BN282" t="s">
        <v>3250</v>
      </c>
      <c r="BP282">
        <v>1</v>
      </c>
      <c r="BQ282">
        <v>11</v>
      </c>
      <c r="BR282" t="s">
        <v>1574</v>
      </c>
      <c r="BS282" t="s">
        <v>3252</v>
      </c>
      <c r="BV282">
        <v>0</v>
      </c>
      <c r="BW282">
        <v>0</v>
      </c>
      <c r="BX282">
        <v>0</v>
      </c>
      <c r="BY282">
        <v>0</v>
      </c>
      <c r="BZ282">
        <v>0</v>
      </c>
      <c r="CA282">
        <v>0</v>
      </c>
      <c r="CB282">
        <v>0</v>
      </c>
      <c r="CC282">
        <v>0</v>
      </c>
      <c r="CD282">
        <v>0</v>
      </c>
      <c r="CE282" t="s">
        <v>3108</v>
      </c>
      <c r="CF282" t="s">
        <v>3108</v>
      </c>
      <c r="CG282" t="s">
        <v>3108</v>
      </c>
      <c r="CH282" t="s">
        <v>3108</v>
      </c>
    </row>
    <row r="283" spans="1:86" x14ac:dyDescent="0.2">
      <c r="A283" t="s">
        <v>3807</v>
      </c>
      <c r="B283" t="s">
        <v>3807</v>
      </c>
      <c r="C283">
        <v>30557</v>
      </c>
      <c r="D283">
        <v>1324</v>
      </c>
      <c r="E283" t="s">
        <v>3808</v>
      </c>
      <c r="F283" t="s">
        <v>3249</v>
      </c>
      <c r="G283" t="s">
        <v>3249</v>
      </c>
      <c r="H283" t="s">
        <v>3250</v>
      </c>
      <c r="I283" t="s">
        <v>3250</v>
      </c>
      <c r="J283" t="s">
        <v>3250</v>
      </c>
      <c r="K283" t="s">
        <v>3250</v>
      </c>
      <c r="L283">
        <v>1200</v>
      </c>
      <c r="M283" t="s">
        <v>2368</v>
      </c>
      <c r="N283">
        <v>1204</v>
      </c>
      <c r="O283" t="s">
        <v>1574</v>
      </c>
      <c r="P283" t="s">
        <v>3108</v>
      </c>
      <c r="Q283" t="s">
        <v>3249</v>
      </c>
      <c r="R283" t="s">
        <v>3249</v>
      </c>
      <c r="S283" t="s">
        <v>472</v>
      </c>
      <c r="T283" t="s">
        <v>3789</v>
      </c>
      <c r="U283">
        <v>360</v>
      </c>
      <c r="V283" t="s">
        <v>3790</v>
      </c>
      <c r="W283">
        <v>360</v>
      </c>
      <c r="X283" t="s">
        <v>601</v>
      </c>
      <c r="Y283" t="s">
        <v>3250</v>
      </c>
      <c r="Z283" t="s">
        <v>3250</v>
      </c>
      <c r="AA283" t="s">
        <v>3108</v>
      </c>
      <c r="AB283" t="s">
        <v>3108</v>
      </c>
      <c r="AC283" t="s">
        <v>3250</v>
      </c>
      <c r="AD283" t="s">
        <v>3250</v>
      </c>
      <c r="AE283" t="s">
        <v>3250</v>
      </c>
      <c r="AF283" t="s">
        <v>3250</v>
      </c>
      <c r="AG283" t="s">
        <v>3250</v>
      </c>
      <c r="AH283" t="s">
        <v>3250</v>
      </c>
      <c r="AI283" t="s">
        <v>3250</v>
      </c>
      <c r="AJ283" t="s">
        <v>3250</v>
      </c>
      <c r="AL283">
        <v>361</v>
      </c>
      <c r="AM283" t="s">
        <v>2523</v>
      </c>
      <c r="AN283">
        <v>361</v>
      </c>
      <c r="AO283" t="s">
        <v>2523</v>
      </c>
      <c r="AS283" t="s">
        <v>3250</v>
      </c>
      <c r="AT283" t="s">
        <v>3250</v>
      </c>
      <c r="AU283" t="s">
        <v>3250</v>
      </c>
      <c r="AV283" t="s">
        <v>3250</v>
      </c>
      <c r="AW283" t="s">
        <v>3250</v>
      </c>
      <c r="AX283" t="s">
        <v>3250</v>
      </c>
      <c r="AY283" t="s">
        <v>3250</v>
      </c>
      <c r="AZ283" t="s">
        <v>3250</v>
      </c>
      <c r="BA283" t="s">
        <v>3250</v>
      </c>
      <c r="BB283" t="s">
        <v>3250</v>
      </c>
      <c r="BC283" t="s">
        <v>3250</v>
      </c>
      <c r="BE283" t="s">
        <v>3250</v>
      </c>
      <c r="BF283" t="s">
        <v>3250</v>
      </c>
      <c r="BG283" t="s">
        <v>3250</v>
      </c>
      <c r="BH283" t="s">
        <v>3250</v>
      </c>
      <c r="BI283" t="s">
        <v>3250</v>
      </c>
      <c r="BK283" t="s">
        <v>3250</v>
      </c>
      <c r="BL283" t="s">
        <v>3250</v>
      </c>
      <c r="BM283" t="s">
        <v>3250</v>
      </c>
      <c r="BN283" t="s">
        <v>3250</v>
      </c>
      <c r="BP283">
        <v>1</v>
      </c>
      <c r="BQ283">
        <v>11</v>
      </c>
      <c r="BR283" t="s">
        <v>1574</v>
      </c>
      <c r="BS283" t="s">
        <v>3252</v>
      </c>
      <c r="BV283">
        <v>5384</v>
      </c>
      <c r="BW283">
        <v>-898</v>
      </c>
      <c r="BX283">
        <v>-862</v>
      </c>
      <c r="BY283">
        <v>0</v>
      </c>
      <c r="BZ283">
        <v>0</v>
      </c>
      <c r="CA283">
        <v>0</v>
      </c>
      <c r="CB283">
        <v>0</v>
      </c>
      <c r="CC283">
        <v>0</v>
      </c>
      <c r="CD283">
        <v>-32219</v>
      </c>
      <c r="CE283" t="s">
        <v>3108</v>
      </c>
      <c r="CF283" t="s">
        <v>3108</v>
      </c>
      <c r="CG283" t="s">
        <v>3108</v>
      </c>
      <c r="CH283" t="s">
        <v>3108</v>
      </c>
    </row>
    <row r="284" spans="1:86" x14ac:dyDescent="0.2">
      <c r="A284" t="s">
        <v>3809</v>
      </c>
      <c r="B284" t="s">
        <v>3809</v>
      </c>
      <c r="C284">
        <v>30558</v>
      </c>
      <c r="D284">
        <v>1325</v>
      </c>
      <c r="E284" t="s">
        <v>3810</v>
      </c>
      <c r="F284" t="s">
        <v>3249</v>
      </c>
      <c r="G284" t="s">
        <v>3249</v>
      </c>
      <c r="H284" t="s">
        <v>3250</v>
      </c>
      <c r="I284" t="s">
        <v>3250</v>
      </c>
      <c r="J284" t="s">
        <v>3250</v>
      </c>
      <c r="K284" t="s">
        <v>3250</v>
      </c>
      <c r="L284">
        <v>1200</v>
      </c>
      <c r="M284" t="s">
        <v>2368</v>
      </c>
      <c r="N284">
        <v>1204</v>
      </c>
      <c r="O284" t="s">
        <v>1574</v>
      </c>
      <c r="P284" t="s">
        <v>3108</v>
      </c>
      <c r="Q284" t="s">
        <v>3249</v>
      </c>
      <c r="R284" t="s">
        <v>3249</v>
      </c>
      <c r="S284" t="s">
        <v>472</v>
      </c>
      <c r="T284" t="s">
        <v>3789</v>
      </c>
      <c r="U284">
        <v>360</v>
      </c>
      <c r="V284" t="s">
        <v>3790</v>
      </c>
      <c r="W284">
        <v>360</v>
      </c>
      <c r="X284" t="s">
        <v>601</v>
      </c>
      <c r="Y284" t="s">
        <v>3250</v>
      </c>
      <c r="Z284" t="s">
        <v>3250</v>
      </c>
      <c r="AA284" t="s">
        <v>3108</v>
      </c>
      <c r="AB284" t="s">
        <v>3108</v>
      </c>
      <c r="AC284" t="s">
        <v>3250</v>
      </c>
      <c r="AD284" t="s">
        <v>3250</v>
      </c>
      <c r="AE284" t="s">
        <v>3250</v>
      </c>
      <c r="AF284" t="s">
        <v>3250</v>
      </c>
      <c r="AG284" t="s">
        <v>3250</v>
      </c>
      <c r="AH284" t="s">
        <v>3250</v>
      </c>
      <c r="AI284" t="s">
        <v>3250</v>
      </c>
      <c r="AJ284" t="s">
        <v>3250</v>
      </c>
      <c r="AL284">
        <v>361</v>
      </c>
      <c r="AM284" t="s">
        <v>2523</v>
      </c>
      <c r="AN284">
        <v>361</v>
      </c>
      <c r="AO284" t="s">
        <v>2523</v>
      </c>
      <c r="AS284" t="s">
        <v>3250</v>
      </c>
      <c r="AT284" t="s">
        <v>3250</v>
      </c>
      <c r="AU284" t="s">
        <v>3250</v>
      </c>
      <c r="AV284" t="s">
        <v>3250</v>
      </c>
      <c r="AW284" t="s">
        <v>3250</v>
      </c>
      <c r="AX284" t="s">
        <v>3250</v>
      </c>
      <c r="AY284" t="s">
        <v>3250</v>
      </c>
      <c r="AZ284" t="s">
        <v>3250</v>
      </c>
      <c r="BA284" t="s">
        <v>3250</v>
      </c>
      <c r="BB284" t="s">
        <v>3250</v>
      </c>
      <c r="BC284" t="s">
        <v>3250</v>
      </c>
      <c r="BE284" t="s">
        <v>3250</v>
      </c>
      <c r="BF284" t="s">
        <v>3250</v>
      </c>
      <c r="BG284" t="s">
        <v>3250</v>
      </c>
      <c r="BH284" t="s">
        <v>3250</v>
      </c>
      <c r="BI284" t="s">
        <v>3250</v>
      </c>
      <c r="BK284" t="s">
        <v>3250</v>
      </c>
      <c r="BL284" t="s">
        <v>3250</v>
      </c>
      <c r="BM284" t="s">
        <v>3250</v>
      </c>
      <c r="BN284" t="s">
        <v>3250</v>
      </c>
      <c r="BP284">
        <v>1</v>
      </c>
      <c r="BQ284">
        <v>11</v>
      </c>
      <c r="BR284" t="s">
        <v>1574</v>
      </c>
      <c r="BS284" t="s">
        <v>3252</v>
      </c>
      <c r="BV284">
        <v>-28625</v>
      </c>
      <c r="BW284">
        <v>0</v>
      </c>
      <c r="BX284">
        <v>419</v>
      </c>
      <c r="BY284">
        <v>0</v>
      </c>
      <c r="BZ284">
        <v>0</v>
      </c>
      <c r="CA284">
        <v>0</v>
      </c>
      <c r="CB284">
        <v>0</v>
      </c>
      <c r="CC284">
        <v>0</v>
      </c>
      <c r="CD284">
        <v>13495</v>
      </c>
      <c r="CE284" t="s">
        <v>3108</v>
      </c>
      <c r="CF284" t="s">
        <v>3108</v>
      </c>
      <c r="CG284" t="s">
        <v>3108</v>
      </c>
      <c r="CH284" t="s">
        <v>3108</v>
      </c>
    </row>
    <row r="285" spans="1:86" x14ac:dyDescent="0.2">
      <c r="A285" t="s">
        <v>3811</v>
      </c>
      <c r="B285" t="s">
        <v>3811</v>
      </c>
      <c r="C285">
        <v>30559</v>
      </c>
      <c r="D285">
        <v>1326</v>
      </c>
      <c r="E285" t="s">
        <v>3812</v>
      </c>
      <c r="F285" t="s">
        <v>3249</v>
      </c>
      <c r="G285" t="s">
        <v>3249</v>
      </c>
      <c r="H285" t="s">
        <v>3250</v>
      </c>
      <c r="I285" t="s">
        <v>3250</v>
      </c>
      <c r="J285" t="s">
        <v>3250</v>
      </c>
      <c r="K285" t="s">
        <v>3250</v>
      </c>
      <c r="L285">
        <v>1200</v>
      </c>
      <c r="M285" t="s">
        <v>2368</v>
      </c>
      <c r="N285">
        <v>1204</v>
      </c>
      <c r="O285" t="s">
        <v>1574</v>
      </c>
      <c r="P285" t="s">
        <v>3108</v>
      </c>
      <c r="Q285" t="s">
        <v>3249</v>
      </c>
      <c r="R285" t="s">
        <v>3249</v>
      </c>
      <c r="S285" t="s">
        <v>472</v>
      </c>
      <c r="T285" t="s">
        <v>3789</v>
      </c>
      <c r="U285">
        <v>360</v>
      </c>
      <c r="V285" t="s">
        <v>3790</v>
      </c>
      <c r="W285">
        <v>360</v>
      </c>
      <c r="X285" t="s">
        <v>601</v>
      </c>
      <c r="Y285" t="s">
        <v>3250</v>
      </c>
      <c r="Z285" t="s">
        <v>3250</v>
      </c>
      <c r="AA285" t="s">
        <v>3108</v>
      </c>
      <c r="AB285" t="s">
        <v>3108</v>
      </c>
      <c r="AC285" t="s">
        <v>3250</v>
      </c>
      <c r="AD285" t="s">
        <v>3250</v>
      </c>
      <c r="AE285" t="s">
        <v>3250</v>
      </c>
      <c r="AF285" t="s">
        <v>3250</v>
      </c>
      <c r="AG285" t="s">
        <v>3250</v>
      </c>
      <c r="AH285" t="s">
        <v>3250</v>
      </c>
      <c r="AI285" t="s">
        <v>3250</v>
      </c>
      <c r="AJ285" t="s">
        <v>3250</v>
      </c>
      <c r="AL285">
        <v>361</v>
      </c>
      <c r="AM285" t="s">
        <v>2523</v>
      </c>
      <c r="AN285">
        <v>361</v>
      </c>
      <c r="AO285" t="s">
        <v>2523</v>
      </c>
      <c r="AS285" t="s">
        <v>3250</v>
      </c>
      <c r="AT285" t="s">
        <v>3250</v>
      </c>
      <c r="AU285" t="s">
        <v>3250</v>
      </c>
      <c r="AV285" t="s">
        <v>3250</v>
      </c>
      <c r="AW285" t="s">
        <v>3250</v>
      </c>
      <c r="AX285" t="s">
        <v>3250</v>
      </c>
      <c r="AY285" t="s">
        <v>3250</v>
      </c>
      <c r="AZ285" t="s">
        <v>3250</v>
      </c>
      <c r="BA285" t="s">
        <v>3250</v>
      </c>
      <c r="BB285" t="s">
        <v>3250</v>
      </c>
      <c r="BC285" t="s">
        <v>3250</v>
      </c>
      <c r="BE285" t="s">
        <v>3250</v>
      </c>
      <c r="BF285" t="s">
        <v>3250</v>
      </c>
      <c r="BG285" t="s">
        <v>3250</v>
      </c>
      <c r="BH285" t="s">
        <v>3250</v>
      </c>
      <c r="BI285" t="s">
        <v>3250</v>
      </c>
      <c r="BK285" t="s">
        <v>3250</v>
      </c>
      <c r="BL285" t="s">
        <v>3250</v>
      </c>
      <c r="BM285" t="s">
        <v>3250</v>
      </c>
      <c r="BN285" t="s">
        <v>3250</v>
      </c>
      <c r="BP285">
        <v>1</v>
      </c>
      <c r="BQ285">
        <v>11</v>
      </c>
      <c r="BR285" t="s">
        <v>1574</v>
      </c>
      <c r="BS285" t="s">
        <v>3252</v>
      </c>
      <c r="BV285">
        <v>-16672</v>
      </c>
      <c r="BW285">
        <v>76827</v>
      </c>
      <c r="BX285">
        <v>76827</v>
      </c>
      <c r="BY285">
        <v>0</v>
      </c>
      <c r="BZ285">
        <v>0</v>
      </c>
      <c r="CA285">
        <v>0</v>
      </c>
      <c r="CB285">
        <v>0</v>
      </c>
      <c r="CC285">
        <v>0</v>
      </c>
      <c r="CD285">
        <v>-959826</v>
      </c>
      <c r="CE285" t="s">
        <v>3108</v>
      </c>
      <c r="CF285" t="s">
        <v>3108</v>
      </c>
      <c r="CG285" t="s">
        <v>3108</v>
      </c>
      <c r="CH285" t="s">
        <v>3108</v>
      </c>
    </row>
    <row r="286" spans="1:86" x14ac:dyDescent="0.2">
      <c r="A286" t="s">
        <v>3813</v>
      </c>
      <c r="B286" t="s">
        <v>3813</v>
      </c>
      <c r="C286">
        <v>30560</v>
      </c>
      <c r="D286">
        <v>1327</v>
      </c>
      <c r="E286" t="s">
        <v>3814</v>
      </c>
      <c r="F286" t="s">
        <v>3249</v>
      </c>
      <c r="G286" t="s">
        <v>3249</v>
      </c>
      <c r="H286" t="s">
        <v>3250</v>
      </c>
      <c r="I286" t="s">
        <v>3250</v>
      </c>
      <c r="J286" t="s">
        <v>3250</v>
      </c>
      <c r="K286" t="s">
        <v>3250</v>
      </c>
      <c r="L286">
        <v>1200</v>
      </c>
      <c r="M286" t="s">
        <v>2368</v>
      </c>
      <c r="N286">
        <v>1204</v>
      </c>
      <c r="O286" t="s">
        <v>1574</v>
      </c>
      <c r="P286" t="s">
        <v>3108</v>
      </c>
      <c r="Q286" t="s">
        <v>3249</v>
      </c>
      <c r="R286" t="s">
        <v>3249</v>
      </c>
      <c r="S286" t="s">
        <v>472</v>
      </c>
      <c r="T286" t="s">
        <v>3789</v>
      </c>
      <c r="U286">
        <v>360</v>
      </c>
      <c r="V286" t="s">
        <v>3790</v>
      </c>
      <c r="W286">
        <v>360</v>
      </c>
      <c r="X286" t="s">
        <v>601</v>
      </c>
      <c r="Y286" t="s">
        <v>3250</v>
      </c>
      <c r="Z286" t="s">
        <v>3250</v>
      </c>
      <c r="AA286" t="s">
        <v>3108</v>
      </c>
      <c r="AB286" t="s">
        <v>3108</v>
      </c>
      <c r="AC286" t="s">
        <v>3250</v>
      </c>
      <c r="AD286" t="s">
        <v>3250</v>
      </c>
      <c r="AE286" t="s">
        <v>3250</v>
      </c>
      <c r="AF286" t="s">
        <v>3250</v>
      </c>
      <c r="AG286" t="s">
        <v>3250</v>
      </c>
      <c r="AH286" t="s">
        <v>3250</v>
      </c>
      <c r="AI286" t="s">
        <v>3250</v>
      </c>
      <c r="AJ286" t="s">
        <v>3250</v>
      </c>
      <c r="AL286">
        <v>361</v>
      </c>
      <c r="AM286" t="s">
        <v>2523</v>
      </c>
      <c r="AN286">
        <v>361</v>
      </c>
      <c r="AO286" t="s">
        <v>2523</v>
      </c>
      <c r="AS286" t="s">
        <v>3250</v>
      </c>
      <c r="AT286" t="s">
        <v>3250</v>
      </c>
      <c r="AU286" t="s">
        <v>3250</v>
      </c>
      <c r="AV286" t="s">
        <v>3250</v>
      </c>
      <c r="AW286" t="s">
        <v>3250</v>
      </c>
      <c r="AX286" t="s">
        <v>3250</v>
      </c>
      <c r="AY286" t="s">
        <v>3250</v>
      </c>
      <c r="AZ286" t="s">
        <v>3250</v>
      </c>
      <c r="BA286" t="s">
        <v>3250</v>
      </c>
      <c r="BB286" t="s">
        <v>3250</v>
      </c>
      <c r="BC286" t="s">
        <v>3250</v>
      </c>
      <c r="BE286" t="s">
        <v>3250</v>
      </c>
      <c r="BF286" t="s">
        <v>3250</v>
      </c>
      <c r="BG286" t="s">
        <v>3250</v>
      </c>
      <c r="BH286" t="s">
        <v>3250</v>
      </c>
      <c r="BI286" t="s">
        <v>3250</v>
      </c>
      <c r="BK286" t="s">
        <v>3250</v>
      </c>
      <c r="BL286" t="s">
        <v>3250</v>
      </c>
      <c r="BM286" t="s">
        <v>3250</v>
      </c>
      <c r="BN286" t="s">
        <v>3250</v>
      </c>
      <c r="BP286">
        <v>1</v>
      </c>
      <c r="BQ286">
        <v>11</v>
      </c>
      <c r="BR286" t="s">
        <v>1574</v>
      </c>
      <c r="BS286" t="s">
        <v>3252</v>
      </c>
      <c r="BV286">
        <v>213853</v>
      </c>
      <c r="BW286">
        <v>213853</v>
      </c>
      <c r="BX286">
        <v>1640</v>
      </c>
      <c r="BY286">
        <v>0</v>
      </c>
      <c r="BZ286">
        <v>0</v>
      </c>
      <c r="CA286">
        <v>0</v>
      </c>
      <c r="CB286">
        <v>0</v>
      </c>
      <c r="CC286">
        <v>0</v>
      </c>
      <c r="CD286">
        <v>213853</v>
      </c>
      <c r="CE286" t="s">
        <v>3108</v>
      </c>
      <c r="CF286" t="s">
        <v>3108</v>
      </c>
      <c r="CG286" t="s">
        <v>3108</v>
      </c>
      <c r="CH286" t="s">
        <v>3108</v>
      </c>
    </row>
    <row r="287" spans="1:86" x14ac:dyDescent="0.2">
      <c r="A287" t="s">
        <v>3815</v>
      </c>
      <c r="B287" t="s">
        <v>3815</v>
      </c>
      <c r="C287">
        <v>30561</v>
      </c>
      <c r="D287">
        <v>1328</v>
      </c>
      <c r="E287" t="s">
        <v>3816</v>
      </c>
      <c r="F287" t="s">
        <v>3249</v>
      </c>
      <c r="G287" t="s">
        <v>3249</v>
      </c>
      <c r="H287" t="s">
        <v>3250</v>
      </c>
      <c r="I287" t="s">
        <v>3250</v>
      </c>
      <c r="J287" t="s">
        <v>3250</v>
      </c>
      <c r="K287" t="s">
        <v>3250</v>
      </c>
      <c r="L287">
        <v>1200</v>
      </c>
      <c r="M287" t="s">
        <v>2368</v>
      </c>
      <c r="N287">
        <v>1204</v>
      </c>
      <c r="O287" t="s">
        <v>1574</v>
      </c>
      <c r="P287" t="s">
        <v>3108</v>
      </c>
      <c r="Q287" t="s">
        <v>3249</v>
      </c>
      <c r="R287" t="s">
        <v>3249</v>
      </c>
      <c r="S287" t="s">
        <v>472</v>
      </c>
      <c r="T287" t="s">
        <v>3789</v>
      </c>
      <c r="U287">
        <v>360</v>
      </c>
      <c r="V287" t="s">
        <v>3790</v>
      </c>
      <c r="W287">
        <v>360</v>
      </c>
      <c r="X287" t="s">
        <v>601</v>
      </c>
      <c r="Y287" t="s">
        <v>3250</v>
      </c>
      <c r="Z287" t="s">
        <v>3250</v>
      </c>
      <c r="AA287" t="s">
        <v>3108</v>
      </c>
      <c r="AB287" t="s">
        <v>3108</v>
      </c>
      <c r="AC287" t="s">
        <v>3250</v>
      </c>
      <c r="AD287" t="s">
        <v>3250</v>
      </c>
      <c r="AE287" t="s">
        <v>3250</v>
      </c>
      <c r="AF287" t="s">
        <v>3250</v>
      </c>
      <c r="AG287" t="s">
        <v>3250</v>
      </c>
      <c r="AH287" t="s">
        <v>3250</v>
      </c>
      <c r="AI287" t="s">
        <v>3250</v>
      </c>
      <c r="AJ287" t="s">
        <v>3250</v>
      </c>
      <c r="AL287">
        <v>361</v>
      </c>
      <c r="AM287" t="s">
        <v>2523</v>
      </c>
      <c r="AN287">
        <v>361</v>
      </c>
      <c r="AO287" t="s">
        <v>2523</v>
      </c>
      <c r="AS287" t="s">
        <v>3250</v>
      </c>
      <c r="AT287" t="s">
        <v>3250</v>
      </c>
      <c r="AU287" t="s">
        <v>3250</v>
      </c>
      <c r="AV287" t="s">
        <v>3250</v>
      </c>
      <c r="AW287" t="s">
        <v>3250</v>
      </c>
      <c r="AX287" t="s">
        <v>3250</v>
      </c>
      <c r="AY287" t="s">
        <v>3250</v>
      </c>
      <c r="AZ287" t="s">
        <v>3250</v>
      </c>
      <c r="BA287" t="s">
        <v>3250</v>
      </c>
      <c r="BB287" t="s">
        <v>3250</v>
      </c>
      <c r="BC287" t="s">
        <v>3250</v>
      </c>
      <c r="BE287" t="s">
        <v>3250</v>
      </c>
      <c r="BF287" t="s">
        <v>3250</v>
      </c>
      <c r="BG287" t="s">
        <v>3250</v>
      </c>
      <c r="BH287" t="s">
        <v>3250</v>
      </c>
      <c r="BI287" t="s">
        <v>3250</v>
      </c>
      <c r="BK287" t="s">
        <v>3250</v>
      </c>
      <c r="BL287" t="s">
        <v>3250</v>
      </c>
      <c r="BM287" t="s">
        <v>3250</v>
      </c>
      <c r="BN287" t="s">
        <v>3250</v>
      </c>
      <c r="BP287">
        <v>1</v>
      </c>
      <c r="BQ287">
        <v>11</v>
      </c>
      <c r="BR287" t="s">
        <v>1574</v>
      </c>
      <c r="BS287" t="s">
        <v>3252</v>
      </c>
      <c r="BV287">
        <v>132162</v>
      </c>
      <c r="BW287">
        <v>28008</v>
      </c>
      <c r="BX287">
        <v>53388</v>
      </c>
      <c r="BY287">
        <v>0</v>
      </c>
      <c r="BZ287">
        <v>0</v>
      </c>
      <c r="CA287">
        <v>0</v>
      </c>
      <c r="CB287">
        <v>0</v>
      </c>
      <c r="CC287">
        <v>0</v>
      </c>
      <c r="CD287">
        <v>-3370372</v>
      </c>
      <c r="CE287" t="s">
        <v>3108</v>
      </c>
      <c r="CF287" t="s">
        <v>3108</v>
      </c>
      <c r="CG287" t="s">
        <v>3108</v>
      </c>
      <c r="CH287" t="s">
        <v>3108</v>
      </c>
    </row>
    <row r="288" spans="1:86" x14ac:dyDescent="0.2">
      <c r="A288" t="s">
        <v>3817</v>
      </c>
      <c r="B288" t="s">
        <v>3817</v>
      </c>
      <c r="C288">
        <v>30562</v>
      </c>
      <c r="D288">
        <v>1329</v>
      </c>
      <c r="E288" t="s">
        <v>3818</v>
      </c>
      <c r="F288" t="s">
        <v>3249</v>
      </c>
      <c r="G288" t="s">
        <v>3249</v>
      </c>
      <c r="H288" t="s">
        <v>3250</v>
      </c>
      <c r="I288" t="s">
        <v>3250</v>
      </c>
      <c r="J288" t="s">
        <v>3250</v>
      </c>
      <c r="K288" t="s">
        <v>3250</v>
      </c>
      <c r="L288">
        <v>1200</v>
      </c>
      <c r="M288" t="s">
        <v>2368</v>
      </c>
      <c r="N288">
        <v>1204</v>
      </c>
      <c r="O288" t="s">
        <v>1574</v>
      </c>
      <c r="P288" t="s">
        <v>3108</v>
      </c>
      <c r="Q288" t="s">
        <v>3249</v>
      </c>
      <c r="R288" t="s">
        <v>3249</v>
      </c>
      <c r="S288" t="s">
        <v>472</v>
      </c>
      <c r="T288" t="s">
        <v>3789</v>
      </c>
      <c r="U288">
        <v>360</v>
      </c>
      <c r="V288" t="s">
        <v>3790</v>
      </c>
      <c r="W288">
        <v>360</v>
      </c>
      <c r="X288" t="s">
        <v>601</v>
      </c>
      <c r="Y288" t="s">
        <v>3250</v>
      </c>
      <c r="Z288" t="s">
        <v>3250</v>
      </c>
      <c r="AA288" t="s">
        <v>3108</v>
      </c>
      <c r="AB288" t="s">
        <v>3108</v>
      </c>
      <c r="AC288" t="s">
        <v>3250</v>
      </c>
      <c r="AD288" t="s">
        <v>3250</v>
      </c>
      <c r="AE288" t="s">
        <v>3250</v>
      </c>
      <c r="AF288" t="s">
        <v>3250</v>
      </c>
      <c r="AG288" t="s">
        <v>3250</v>
      </c>
      <c r="AH288" t="s">
        <v>3250</v>
      </c>
      <c r="AI288" t="s">
        <v>3250</v>
      </c>
      <c r="AJ288" t="s">
        <v>3250</v>
      </c>
      <c r="AL288">
        <v>361</v>
      </c>
      <c r="AM288" t="s">
        <v>2523</v>
      </c>
      <c r="AN288">
        <v>361</v>
      </c>
      <c r="AO288" t="s">
        <v>2523</v>
      </c>
      <c r="AS288" t="s">
        <v>3250</v>
      </c>
      <c r="AT288" t="s">
        <v>3250</v>
      </c>
      <c r="AU288" t="s">
        <v>3250</v>
      </c>
      <c r="AV288" t="s">
        <v>3250</v>
      </c>
      <c r="AW288" t="s">
        <v>3250</v>
      </c>
      <c r="AX288" t="s">
        <v>3250</v>
      </c>
      <c r="AY288" t="s">
        <v>3250</v>
      </c>
      <c r="AZ288" t="s">
        <v>3250</v>
      </c>
      <c r="BA288" t="s">
        <v>3250</v>
      </c>
      <c r="BB288" t="s">
        <v>3250</v>
      </c>
      <c r="BC288" t="s">
        <v>3250</v>
      </c>
      <c r="BE288" t="s">
        <v>3250</v>
      </c>
      <c r="BF288" t="s">
        <v>3250</v>
      </c>
      <c r="BG288" t="s">
        <v>3250</v>
      </c>
      <c r="BH288" t="s">
        <v>3250</v>
      </c>
      <c r="BI288" t="s">
        <v>3250</v>
      </c>
      <c r="BK288" t="s">
        <v>3250</v>
      </c>
      <c r="BL288" t="s">
        <v>3250</v>
      </c>
      <c r="BM288" t="s">
        <v>3250</v>
      </c>
      <c r="BN288" t="s">
        <v>3250</v>
      </c>
      <c r="BP288">
        <v>1</v>
      </c>
      <c r="BQ288">
        <v>11</v>
      </c>
      <c r="BR288" t="s">
        <v>1574</v>
      </c>
      <c r="BS288" t="s">
        <v>3252</v>
      </c>
      <c r="BV288">
        <v>0</v>
      </c>
      <c r="BW288">
        <v>0</v>
      </c>
      <c r="BX288">
        <v>0</v>
      </c>
      <c r="BY288">
        <v>0</v>
      </c>
      <c r="BZ288">
        <v>0</v>
      </c>
      <c r="CA288">
        <v>0</v>
      </c>
      <c r="CB288">
        <v>0</v>
      </c>
      <c r="CC288">
        <v>0</v>
      </c>
      <c r="CD288">
        <v>0</v>
      </c>
      <c r="CE288" t="s">
        <v>3108</v>
      </c>
      <c r="CF288" t="s">
        <v>3108</v>
      </c>
      <c r="CG288" t="s">
        <v>3108</v>
      </c>
      <c r="CH288" t="s">
        <v>3108</v>
      </c>
    </row>
    <row r="289" spans="1:86" x14ac:dyDescent="0.2">
      <c r="A289" t="s">
        <v>3819</v>
      </c>
      <c r="B289" t="s">
        <v>3819</v>
      </c>
      <c r="C289">
        <v>30563</v>
      </c>
      <c r="D289">
        <v>1330</v>
      </c>
      <c r="E289" t="s">
        <v>3820</v>
      </c>
      <c r="F289" t="s">
        <v>3249</v>
      </c>
      <c r="G289" t="s">
        <v>3249</v>
      </c>
      <c r="H289" t="s">
        <v>3250</v>
      </c>
      <c r="I289" t="s">
        <v>3250</v>
      </c>
      <c r="J289" t="s">
        <v>3250</v>
      </c>
      <c r="K289" t="s">
        <v>3250</v>
      </c>
      <c r="L289">
        <v>1200</v>
      </c>
      <c r="M289" t="s">
        <v>2368</v>
      </c>
      <c r="N289">
        <v>1204</v>
      </c>
      <c r="O289" t="s">
        <v>1574</v>
      </c>
      <c r="P289" t="s">
        <v>3108</v>
      </c>
      <c r="Q289" t="s">
        <v>3249</v>
      </c>
      <c r="R289" t="s">
        <v>3249</v>
      </c>
      <c r="S289" t="s">
        <v>472</v>
      </c>
      <c r="T289" t="s">
        <v>3789</v>
      </c>
      <c r="U289">
        <v>360</v>
      </c>
      <c r="V289" t="s">
        <v>3790</v>
      </c>
      <c r="W289">
        <v>360</v>
      </c>
      <c r="X289" t="s">
        <v>601</v>
      </c>
      <c r="Y289" t="s">
        <v>3250</v>
      </c>
      <c r="Z289" t="s">
        <v>3250</v>
      </c>
      <c r="AA289" t="s">
        <v>3108</v>
      </c>
      <c r="AB289" t="s">
        <v>3108</v>
      </c>
      <c r="AC289" t="s">
        <v>3250</v>
      </c>
      <c r="AD289" t="s">
        <v>3250</v>
      </c>
      <c r="AE289" t="s">
        <v>3250</v>
      </c>
      <c r="AF289" t="s">
        <v>3250</v>
      </c>
      <c r="AG289" t="s">
        <v>3250</v>
      </c>
      <c r="AH289" t="s">
        <v>3250</v>
      </c>
      <c r="AI289" t="s">
        <v>3250</v>
      </c>
      <c r="AJ289" t="s">
        <v>3250</v>
      </c>
      <c r="AL289">
        <v>361</v>
      </c>
      <c r="AM289" t="s">
        <v>2523</v>
      </c>
      <c r="AN289">
        <v>361</v>
      </c>
      <c r="AO289" t="s">
        <v>2523</v>
      </c>
      <c r="AS289" t="s">
        <v>3250</v>
      </c>
      <c r="AT289" t="s">
        <v>3250</v>
      </c>
      <c r="AU289" t="s">
        <v>3250</v>
      </c>
      <c r="AV289" t="s">
        <v>3250</v>
      </c>
      <c r="AW289" t="s">
        <v>3250</v>
      </c>
      <c r="AX289" t="s">
        <v>3250</v>
      </c>
      <c r="AY289" t="s">
        <v>3250</v>
      </c>
      <c r="AZ289" t="s">
        <v>3250</v>
      </c>
      <c r="BA289" t="s">
        <v>3250</v>
      </c>
      <c r="BB289" t="s">
        <v>3250</v>
      </c>
      <c r="BC289" t="s">
        <v>3250</v>
      </c>
      <c r="BE289" t="s">
        <v>3250</v>
      </c>
      <c r="BF289" t="s">
        <v>3250</v>
      </c>
      <c r="BG289" t="s">
        <v>3250</v>
      </c>
      <c r="BH289" t="s">
        <v>3250</v>
      </c>
      <c r="BI289" t="s">
        <v>3250</v>
      </c>
      <c r="BK289" t="s">
        <v>3250</v>
      </c>
      <c r="BL289" t="s">
        <v>3250</v>
      </c>
      <c r="BM289" t="s">
        <v>3250</v>
      </c>
      <c r="BN289" t="s">
        <v>3250</v>
      </c>
      <c r="BP289">
        <v>1</v>
      </c>
      <c r="BQ289">
        <v>11</v>
      </c>
      <c r="BR289" t="s">
        <v>1574</v>
      </c>
      <c r="BS289" t="s">
        <v>3252</v>
      </c>
      <c r="BV289">
        <v>0</v>
      </c>
      <c r="BW289">
        <v>0</v>
      </c>
      <c r="BX289">
        <v>3280</v>
      </c>
      <c r="BY289">
        <v>0</v>
      </c>
      <c r="BZ289">
        <v>0</v>
      </c>
      <c r="CA289">
        <v>0</v>
      </c>
      <c r="CB289">
        <v>0</v>
      </c>
      <c r="CC289">
        <v>0</v>
      </c>
      <c r="CD289">
        <v>345380</v>
      </c>
      <c r="CE289" t="s">
        <v>3108</v>
      </c>
      <c r="CF289" t="s">
        <v>3108</v>
      </c>
      <c r="CG289" t="s">
        <v>3108</v>
      </c>
      <c r="CH289" t="s">
        <v>3108</v>
      </c>
    </row>
    <row r="290" spans="1:86" x14ac:dyDescent="0.2">
      <c r="A290" t="s">
        <v>3821</v>
      </c>
      <c r="B290" t="s">
        <v>3821</v>
      </c>
      <c r="C290">
        <v>30564</v>
      </c>
      <c r="D290">
        <v>1331</v>
      </c>
      <c r="E290" t="s">
        <v>3822</v>
      </c>
      <c r="F290" t="s">
        <v>3249</v>
      </c>
      <c r="G290" t="s">
        <v>3249</v>
      </c>
      <c r="H290" t="s">
        <v>3250</v>
      </c>
      <c r="I290" t="s">
        <v>3250</v>
      </c>
      <c r="J290" t="s">
        <v>3250</v>
      </c>
      <c r="K290" t="s">
        <v>3250</v>
      </c>
      <c r="L290">
        <v>1200</v>
      </c>
      <c r="M290" t="s">
        <v>2368</v>
      </c>
      <c r="N290">
        <v>1204</v>
      </c>
      <c r="O290" t="s">
        <v>1574</v>
      </c>
      <c r="P290" t="s">
        <v>3108</v>
      </c>
      <c r="Q290" t="s">
        <v>3249</v>
      </c>
      <c r="R290" t="s">
        <v>3249</v>
      </c>
      <c r="S290" t="s">
        <v>472</v>
      </c>
      <c r="T290" t="s">
        <v>3789</v>
      </c>
      <c r="U290">
        <v>360</v>
      </c>
      <c r="V290" t="s">
        <v>3790</v>
      </c>
      <c r="W290">
        <v>360</v>
      </c>
      <c r="X290" t="s">
        <v>601</v>
      </c>
      <c r="Y290" t="s">
        <v>3250</v>
      </c>
      <c r="Z290" t="s">
        <v>3250</v>
      </c>
      <c r="AA290" t="s">
        <v>3108</v>
      </c>
      <c r="AB290" t="s">
        <v>3108</v>
      </c>
      <c r="AC290" t="s">
        <v>3250</v>
      </c>
      <c r="AD290" t="s">
        <v>3250</v>
      </c>
      <c r="AE290" t="s">
        <v>3250</v>
      </c>
      <c r="AF290" t="s">
        <v>3250</v>
      </c>
      <c r="AG290" t="s">
        <v>3250</v>
      </c>
      <c r="AH290" t="s">
        <v>3250</v>
      </c>
      <c r="AI290" t="s">
        <v>3250</v>
      </c>
      <c r="AJ290" t="s">
        <v>3250</v>
      </c>
      <c r="AL290">
        <v>361</v>
      </c>
      <c r="AM290" t="s">
        <v>2523</v>
      </c>
      <c r="AN290">
        <v>361</v>
      </c>
      <c r="AO290" t="s">
        <v>2523</v>
      </c>
      <c r="AS290" t="s">
        <v>3250</v>
      </c>
      <c r="AT290" t="s">
        <v>3250</v>
      </c>
      <c r="AU290" t="s">
        <v>3250</v>
      </c>
      <c r="AV290" t="s">
        <v>3250</v>
      </c>
      <c r="AW290" t="s">
        <v>3250</v>
      </c>
      <c r="AX290" t="s">
        <v>3250</v>
      </c>
      <c r="AY290" t="s">
        <v>3250</v>
      </c>
      <c r="AZ290" t="s">
        <v>3250</v>
      </c>
      <c r="BA290" t="s">
        <v>3250</v>
      </c>
      <c r="BB290" t="s">
        <v>3250</v>
      </c>
      <c r="BC290" t="s">
        <v>3250</v>
      </c>
      <c r="BE290" t="s">
        <v>3250</v>
      </c>
      <c r="BF290" t="s">
        <v>3250</v>
      </c>
      <c r="BG290" t="s">
        <v>3250</v>
      </c>
      <c r="BH290" t="s">
        <v>3250</v>
      </c>
      <c r="BI290" t="s">
        <v>3250</v>
      </c>
      <c r="BK290" t="s">
        <v>3250</v>
      </c>
      <c r="BL290" t="s">
        <v>3250</v>
      </c>
      <c r="BM290" t="s">
        <v>3250</v>
      </c>
      <c r="BN290" t="s">
        <v>3250</v>
      </c>
      <c r="BP290">
        <v>1</v>
      </c>
      <c r="BQ290">
        <v>11</v>
      </c>
      <c r="BR290" t="s">
        <v>1574</v>
      </c>
      <c r="BS290" t="s">
        <v>3252</v>
      </c>
      <c r="BV290">
        <v>0</v>
      </c>
      <c r="BW290">
        <v>0</v>
      </c>
      <c r="BX290">
        <v>0</v>
      </c>
      <c r="BY290">
        <v>0</v>
      </c>
      <c r="BZ290">
        <v>0</v>
      </c>
      <c r="CA290">
        <v>0</v>
      </c>
      <c r="CB290">
        <v>0</v>
      </c>
      <c r="CC290">
        <v>0</v>
      </c>
      <c r="CD290">
        <v>0</v>
      </c>
      <c r="CE290" t="s">
        <v>3108</v>
      </c>
      <c r="CF290" t="s">
        <v>3108</v>
      </c>
      <c r="CG290" t="s">
        <v>3108</v>
      </c>
      <c r="CH290" t="s">
        <v>3108</v>
      </c>
    </row>
    <row r="291" spans="1:86" x14ac:dyDescent="0.2">
      <c r="A291" t="s">
        <v>3823</v>
      </c>
      <c r="B291" t="s">
        <v>3823</v>
      </c>
      <c r="C291">
        <v>30565</v>
      </c>
      <c r="D291">
        <v>1332</v>
      </c>
      <c r="E291" t="s">
        <v>3824</v>
      </c>
      <c r="F291" t="s">
        <v>3249</v>
      </c>
      <c r="G291" t="s">
        <v>3249</v>
      </c>
      <c r="H291" t="s">
        <v>3250</v>
      </c>
      <c r="I291" t="s">
        <v>3250</v>
      </c>
      <c r="J291" t="s">
        <v>3250</v>
      </c>
      <c r="K291" t="s">
        <v>3250</v>
      </c>
      <c r="L291">
        <v>1200</v>
      </c>
      <c r="M291" t="s">
        <v>2368</v>
      </c>
      <c r="N291">
        <v>1204</v>
      </c>
      <c r="O291" t="s">
        <v>1574</v>
      </c>
      <c r="P291" t="s">
        <v>3108</v>
      </c>
      <c r="Q291" t="s">
        <v>3249</v>
      </c>
      <c r="R291" t="s">
        <v>3249</v>
      </c>
      <c r="S291" t="s">
        <v>472</v>
      </c>
      <c r="T291" t="s">
        <v>3789</v>
      </c>
      <c r="U291">
        <v>360</v>
      </c>
      <c r="V291" t="s">
        <v>3790</v>
      </c>
      <c r="W291">
        <v>360</v>
      </c>
      <c r="X291" t="s">
        <v>601</v>
      </c>
      <c r="Y291" t="s">
        <v>3250</v>
      </c>
      <c r="Z291" t="s">
        <v>3250</v>
      </c>
      <c r="AA291" t="s">
        <v>3108</v>
      </c>
      <c r="AB291" t="s">
        <v>3108</v>
      </c>
      <c r="AC291" t="s">
        <v>3250</v>
      </c>
      <c r="AD291" t="s">
        <v>3250</v>
      </c>
      <c r="AE291" t="s">
        <v>3250</v>
      </c>
      <c r="AF291" t="s">
        <v>3250</v>
      </c>
      <c r="AG291" t="s">
        <v>3250</v>
      </c>
      <c r="AH291" t="s">
        <v>3250</v>
      </c>
      <c r="AI291" t="s">
        <v>3250</v>
      </c>
      <c r="AJ291" t="s">
        <v>3250</v>
      </c>
      <c r="AL291">
        <v>361</v>
      </c>
      <c r="AM291" t="s">
        <v>2523</v>
      </c>
      <c r="AN291">
        <v>361</v>
      </c>
      <c r="AO291" t="s">
        <v>2523</v>
      </c>
      <c r="AS291" t="s">
        <v>3250</v>
      </c>
      <c r="AT291" t="s">
        <v>3250</v>
      </c>
      <c r="AU291" t="s">
        <v>3250</v>
      </c>
      <c r="AV291" t="s">
        <v>3250</v>
      </c>
      <c r="AW291" t="s">
        <v>3250</v>
      </c>
      <c r="AX291" t="s">
        <v>3250</v>
      </c>
      <c r="AY291" t="s">
        <v>3250</v>
      </c>
      <c r="AZ291" t="s">
        <v>3250</v>
      </c>
      <c r="BA291" t="s">
        <v>3250</v>
      </c>
      <c r="BB291" t="s">
        <v>3250</v>
      </c>
      <c r="BC291" t="s">
        <v>3250</v>
      </c>
      <c r="BE291" t="s">
        <v>3250</v>
      </c>
      <c r="BF291" t="s">
        <v>3250</v>
      </c>
      <c r="BG291" t="s">
        <v>3250</v>
      </c>
      <c r="BH291" t="s">
        <v>3250</v>
      </c>
      <c r="BI291" t="s">
        <v>3250</v>
      </c>
      <c r="BK291" t="s">
        <v>3250</v>
      </c>
      <c r="BL291" t="s">
        <v>3250</v>
      </c>
      <c r="BM291" t="s">
        <v>3250</v>
      </c>
      <c r="BN291" t="s">
        <v>3250</v>
      </c>
      <c r="BP291">
        <v>1</v>
      </c>
      <c r="BQ291">
        <v>11</v>
      </c>
      <c r="BR291" t="s">
        <v>1574</v>
      </c>
      <c r="BS291" t="s">
        <v>3252</v>
      </c>
      <c r="BV291">
        <v>0</v>
      </c>
      <c r="BW291">
        <v>0</v>
      </c>
      <c r="BX291">
        <v>0</v>
      </c>
      <c r="BY291">
        <v>0</v>
      </c>
      <c r="BZ291">
        <v>0</v>
      </c>
      <c r="CA291">
        <v>0</v>
      </c>
      <c r="CB291">
        <v>0</v>
      </c>
      <c r="CC291">
        <v>0</v>
      </c>
      <c r="CD291">
        <v>0</v>
      </c>
      <c r="CE291" t="s">
        <v>3108</v>
      </c>
      <c r="CF291" t="s">
        <v>3108</v>
      </c>
      <c r="CG291" t="s">
        <v>3108</v>
      </c>
      <c r="CH291" t="s">
        <v>3108</v>
      </c>
    </row>
    <row r="292" spans="1:86" x14ac:dyDescent="0.2">
      <c r="A292" t="s">
        <v>3825</v>
      </c>
      <c r="B292" t="s">
        <v>3825</v>
      </c>
      <c r="C292">
        <v>30566</v>
      </c>
      <c r="D292">
        <v>1333</v>
      </c>
      <c r="E292" t="s">
        <v>3826</v>
      </c>
      <c r="F292" t="s">
        <v>3249</v>
      </c>
      <c r="G292" t="s">
        <v>3249</v>
      </c>
      <c r="H292" t="s">
        <v>3250</v>
      </c>
      <c r="I292" t="s">
        <v>3250</v>
      </c>
      <c r="J292" t="s">
        <v>3250</v>
      </c>
      <c r="K292" t="s">
        <v>3250</v>
      </c>
      <c r="L292">
        <v>1200</v>
      </c>
      <c r="M292" t="s">
        <v>2368</v>
      </c>
      <c r="N292">
        <v>1204</v>
      </c>
      <c r="O292" t="s">
        <v>1574</v>
      </c>
      <c r="P292" t="s">
        <v>3108</v>
      </c>
      <c r="Q292" t="s">
        <v>3249</v>
      </c>
      <c r="R292" t="s">
        <v>3249</v>
      </c>
      <c r="S292" t="s">
        <v>472</v>
      </c>
      <c r="T292" t="s">
        <v>3789</v>
      </c>
      <c r="U292">
        <v>360</v>
      </c>
      <c r="V292" t="s">
        <v>3790</v>
      </c>
      <c r="W292">
        <v>360</v>
      </c>
      <c r="X292" t="s">
        <v>601</v>
      </c>
      <c r="Y292" t="s">
        <v>3250</v>
      </c>
      <c r="Z292" t="s">
        <v>3250</v>
      </c>
      <c r="AA292" t="s">
        <v>3108</v>
      </c>
      <c r="AB292" t="s">
        <v>3108</v>
      </c>
      <c r="AC292" t="s">
        <v>3250</v>
      </c>
      <c r="AD292" t="s">
        <v>3250</v>
      </c>
      <c r="AE292" t="s">
        <v>3250</v>
      </c>
      <c r="AF292" t="s">
        <v>3250</v>
      </c>
      <c r="AG292" t="s">
        <v>3250</v>
      </c>
      <c r="AH292" t="s">
        <v>3250</v>
      </c>
      <c r="AI292" t="s">
        <v>3250</v>
      </c>
      <c r="AJ292" t="s">
        <v>3250</v>
      </c>
      <c r="AL292">
        <v>361</v>
      </c>
      <c r="AM292" t="s">
        <v>2523</v>
      </c>
      <c r="AN292">
        <v>361</v>
      </c>
      <c r="AO292" t="s">
        <v>2523</v>
      </c>
      <c r="AS292" t="s">
        <v>3250</v>
      </c>
      <c r="AT292" t="s">
        <v>3250</v>
      </c>
      <c r="AU292" t="s">
        <v>3250</v>
      </c>
      <c r="AV292" t="s">
        <v>3250</v>
      </c>
      <c r="AW292" t="s">
        <v>3250</v>
      </c>
      <c r="AX292" t="s">
        <v>3250</v>
      </c>
      <c r="AY292" t="s">
        <v>3250</v>
      </c>
      <c r="AZ292" t="s">
        <v>3250</v>
      </c>
      <c r="BA292" t="s">
        <v>3250</v>
      </c>
      <c r="BB292" t="s">
        <v>3250</v>
      </c>
      <c r="BC292" t="s">
        <v>3250</v>
      </c>
      <c r="BE292" t="s">
        <v>3250</v>
      </c>
      <c r="BF292" t="s">
        <v>3250</v>
      </c>
      <c r="BG292" t="s">
        <v>3250</v>
      </c>
      <c r="BH292" t="s">
        <v>3250</v>
      </c>
      <c r="BI292" t="s">
        <v>3250</v>
      </c>
      <c r="BK292" t="s">
        <v>3250</v>
      </c>
      <c r="BL292" t="s">
        <v>3250</v>
      </c>
      <c r="BM292" t="s">
        <v>3250</v>
      </c>
      <c r="BN292" t="s">
        <v>3250</v>
      </c>
      <c r="BP292">
        <v>1</v>
      </c>
      <c r="BQ292">
        <v>11</v>
      </c>
      <c r="BR292" t="s">
        <v>1574</v>
      </c>
      <c r="BS292" t="s">
        <v>3252</v>
      </c>
      <c r="BV292">
        <v>0</v>
      </c>
      <c r="BW292">
        <v>0</v>
      </c>
      <c r="BX292">
        <v>0</v>
      </c>
      <c r="BY292">
        <v>0</v>
      </c>
      <c r="BZ292">
        <v>0</v>
      </c>
      <c r="CA292">
        <v>0</v>
      </c>
      <c r="CB292">
        <v>0</v>
      </c>
      <c r="CC292">
        <v>0</v>
      </c>
      <c r="CD292">
        <v>0</v>
      </c>
      <c r="CE292" t="s">
        <v>3108</v>
      </c>
      <c r="CF292" t="s">
        <v>3108</v>
      </c>
      <c r="CG292" t="s">
        <v>3108</v>
      </c>
      <c r="CH292" t="s">
        <v>3108</v>
      </c>
    </row>
    <row r="293" spans="1:86" x14ac:dyDescent="0.2">
      <c r="A293" t="s">
        <v>3827</v>
      </c>
      <c r="B293" t="s">
        <v>3827</v>
      </c>
      <c r="C293">
        <v>30567</v>
      </c>
      <c r="D293">
        <v>1334</v>
      </c>
      <c r="E293" t="s">
        <v>3828</v>
      </c>
      <c r="F293" t="s">
        <v>3249</v>
      </c>
      <c r="G293" t="s">
        <v>3249</v>
      </c>
      <c r="H293" t="s">
        <v>3250</v>
      </c>
      <c r="I293" t="s">
        <v>3250</v>
      </c>
      <c r="J293" t="s">
        <v>3250</v>
      </c>
      <c r="K293" t="s">
        <v>3250</v>
      </c>
      <c r="L293">
        <v>1200</v>
      </c>
      <c r="M293" t="s">
        <v>2368</v>
      </c>
      <c r="N293">
        <v>1204</v>
      </c>
      <c r="O293" t="s">
        <v>1574</v>
      </c>
      <c r="P293" t="s">
        <v>3108</v>
      </c>
      <c r="Q293" t="s">
        <v>3249</v>
      </c>
      <c r="R293" t="s">
        <v>3249</v>
      </c>
      <c r="S293" t="s">
        <v>472</v>
      </c>
      <c r="T293" t="s">
        <v>3789</v>
      </c>
      <c r="U293">
        <v>360</v>
      </c>
      <c r="V293" t="s">
        <v>3790</v>
      </c>
      <c r="W293">
        <v>360</v>
      </c>
      <c r="X293" t="s">
        <v>601</v>
      </c>
      <c r="Y293" t="s">
        <v>3250</v>
      </c>
      <c r="Z293" t="s">
        <v>3250</v>
      </c>
      <c r="AA293" t="s">
        <v>3108</v>
      </c>
      <c r="AB293" t="s">
        <v>3108</v>
      </c>
      <c r="AC293" t="s">
        <v>3250</v>
      </c>
      <c r="AD293" t="s">
        <v>3250</v>
      </c>
      <c r="AE293" t="s">
        <v>3250</v>
      </c>
      <c r="AF293" t="s">
        <v>3250</v>
      </c>
      <c r="AG293" t="s">
        <v>3250</v>
      </c>
      <c r="AH293" t="s">
        <v>3250</v>
      </c>
      <c r="AI293" t="s">
        <v>3250</v>
      </c>
      <c r="AJ293" t="s">
        <v>3250</v>
      </c>
      <c r="AL293">
        <v>361</v>
      </c>
      <c r="AM293" t="s">
        <v>2523</v>
      </c>
      <c r="AN293">
        <v>361</v>
      </c>
      <c r="AO293" t="s">
        <v>2523</v>
      </c>
      <c r="AS293" t="s">
        <v>3250</v>
      </c>
      <c r="AT293" t="s">
        <v>3250</v>
      </c>
      <c r="AU293" t="s">
        <v>3250</v>
      </c>
      <c r="AV293" t="s">
        <v>3250</v>
      </c>
      <c r="AW293" t="s">
        <v>3250</v>
      </c>
      <c r="AX293" t="s">
        <v>3250</v>
      </c>
      <c r="AY293" t="s">
        <v>3250</v>
      </c>
      <c r="AZ293" t="s">
        <v>3250</v>
      </c>
      <c r="BA293" t="s">
        <v>3250</v>
      </c>
      <c r="BB293" t="s">
        <v>3250</v>
      </c>
      <c r="BC293" t="s">
        <v>3250</v>
      </c>
      <c r="BE293" t="s">
        <v>3250</v>
      </c>
      <c r="BF293" t="s">
        <v>3250</v>
      </c>
      <c r="BG293" t="s">
        <v>3250</v>
      </c>
      <c r="BH293" t="s">
        <v>3250</v>
      </c>
      <c r="BI293" t="s">
        <v>3250</v>
      </c>
      <c r="BK293" t="s">
        <v>3250</v>
      </c>
      <c r="BL293" t="s">
        <v>3250</v>
      </c>
      <c r="BM293" t="s">
        <v>3250</v>
      </c>
      <c r="BN293" t="s">
        <v>3250</v>
      </c>
      <c r="BP293">
        <v>1</v>
      </c>
      <c r="BQ293">
        <v>11</v>
      </c>
      <c r="BR293" t="s">
        <v>1574</v>
      </c>
      <c r="BS293" t="s">
        <v>3252</v>
      </c>
      <c r="BV293">
        <v>-74170</v>
      </c>
      <c r="BW293">
        <v>72911</v>
      </c>
      <c r="BX293">
        <v>391427</v>
      </c>
      <c r="BY293">
        <v>0</v>
      </c>
      <c r="BZ293">
        <v>0</v>
      </c>
      <c r="CA293">
        <v>0</v>
      </c>
      <c r="CB293">
        <v>0</v>
      </c>
      <c r="CC293">
        <v>0</v>
      </c>
      <c r="CD293">
        <v>4155828</v>
      </c>
      <c r="CE293" t="s">
        <v>3108</v>
      </c>
      <c r="CF293" t="s">
        <v>3108</v>
      </c>
      <c r="CG293" t="s">
        <v>3108</v>
      </c>
      <c r="CH293" t="s">
        <v>3108</v>
      </c>
    </row>
    <row r="294" spans="1:86" x14ac:dyDescent="0.2">
      <c r="A294" t="s">
        <v>3829</v>
      </c>
      <c r="B294" t="s">
        <v>3829</v>
      </c>
      <c r="C294">
        <v>30568</v>
      </c>
      <c r="D294">
        <v>1335</v>
      </c>
      <c r="E294" t="s">
        <v>3830</v>
      </c>
      <c r="F294" t="s">
        <v>3249</v>
      </c>
      <c r="G294" t="s">
        <v>3249</v>
      </c>
      <c r="H294" t="s">
        <v>3250</v>
      </c>
      <c r="I294" t="s">
        <v>3250</v>
      </c>
      <c r="J294" t="s">
        <v>3250</v>
      </c>
      <c r="K294" t="s">
        <v>3250</v>
      </c>
      <c r="L294">
        <v>1200</v>
      </c>
      <c r="M294" t="s">
        <v>2368</v>
      </c>
      <c r="N294">
        <v>1204</v>
      </c>
      <c r="O294" t="s">
        <v>1574</v>
      </c>
      <c r="P294" t="s">
        <v>3108</v>
      </c>
      <c r="Q294" t="s">
        <v>3249</v>
      </c>
      <c r="R294" t="s">
        <v>3249</v>
      </c>
      <c r="S294" t="s">
        <v>472</v>
      </c>
      <c r="T294" t="s">
        <v>3789</v>
      </c>
      <c r="U294">
        <v>360</v>
      </c>
      <c r="V294" t="s">
        <v>3790</v>
      </c>
      <c r="W294">
        <v>360</v>
      </c>
      <c r="X294" t="s">
        <v>601</v>
      </c>
      <c r="Y294" t="s">
        <v>3250</v>
      </c>
      <c r="Z294" t="s">
        <v>3250</v>
      </c>
      <c r="AA294" t="s">
        <v>3108</v>
      </c>
      <c r="AB294" t="s">
        <v>3108</v>
      </c>
      <c r="AC294" t="s">
        <v>3250</v>
      </c>
      <c r="AD294" t="s">
        <v>3250</v>
      </c>
      <c r="AE294" t="s">
        <v>3250</v>
      </c>
      <c r="AF294" t="s">
        <v>3250</v>
      </c>
      <c r="AG294" t="s">
        <v>3250</v>
      </c>
      <c r="AH294" t="s">
        <v>3250</v>
      </c>
      <c r="AI294" t="s">
        <v>3250</v>
      </c>
      <c r="AJ294" t="s">
        <v>3250</v>
      </c>
      <c r="AL294">
        <v>361</v>
      </c>
      <c r="AM294" t="s">
        <v>2523</v>
      </c>
      <c r="AN294">
        <v>361</v>
      </c>
      <c r="AO294" t="s">
        <v>2523</v>
      </c>
      <c r="AS294" t="s">
        <v>3250</v>
      </c>
      <c r="AT294" t="s">
        <v>3250</v>
      </c>
      <c r="AU294" t="s">
        <v>3250</v>
      </c>
      <c r="AV294" t="s">
        <v>3250</v>
      </c>
      <c r="AW294" t="s">
        <v>3250</v>
      </c>
      <c r="AX294" t="s">
        <v>3250</v>
      </c>
      <c r="AY294" t="s">
        <v>3250</v>
      </c>
      <c r="AZ294" t="s">
        <v>3250</v>
      </c>
      <c r="BA294" t="s">
        <v>3250</v>
      </c>
      <c r="BB294" t="s">
        <v>3250</v>
      </c>
      <c r="BC294" t="s">
        <v>3250</v>
      </c>
      <c r="BE294" t="s">
        <v>3250</v>
      </c>
      <c r="BF294" t="s">
        <v>3250</v>
      </c>
      <c r="BG294" t="s">
        <v>3250</v>
      </c>
      <c r="BH294" t="s">
        <v>3250</v>
      </c>
      <c r="BI294" t="s">
        <v>3250</v>
      </c>
      <c r="BK294" t="s">
        <v>3250</v>
      </c>
      <c r="BL294" t="s">
        <v>3250</v>
      </c>
      <c r="BM294" t="s">
        <v>3250</v>
      </c>
      <c r="BN294" t="s">
        <v>3250</v>
      </c>
      <c r="BP294">
        <v>1</v>
      </c>
      <c r="BQ294">
        <v>11</v>
      </c>
      <c r="BR294" t="s">
        <v>1574</v>
      </c>
      <c r="BS294" t="s">
        <v>3252</v>
      </c>
      <c r="BV294">
        <v>0</v>
      </c>
      <c r="BW294">
        <v>0</v>
      </c>
      <c r="BX294">
        <v>0</v>
      </c>
      <c r="BY294">
        <v>0</v>
      </c>
      <c r="BZ294">
        <v>0</v>
      </c>
      <c r="CA294">
        <v>0</v>
      </c>
      <c r="CB294">
        <v>0</v>
      </c>
      <c r="CC294">
        <v>0</v>
      </c>
      <c r="CD294">
        <v>0</v>
      </c>
      <c r="CE294" t="s">
        <v>3108</v>
      </c>
      <c r="CF294" t="s">
        <v>3108</v>
      </c>
      <c r="CG294" t="s">
        <v>3108</v>
      </c>
      <c r="CH294" t="s">
        <v>3108</v>
      </c>
    </row>
    <row r="295" spans="1:86" x14ac:dyDescent="0.2">
      <c r="A295" t="s">
        <v>3831</v>
      </c>
      <c r="B295" t="s">
        <v>3831</v>
      </c>
      <c r="C295">
        <v>30569</v>
      </c>
      <c r="D295">
        <v>1336</v>
      </c>
      <c r="E295" t="s">
        <v>3832</v>
      </c>
      <c r="F295" t="s">
        <v>3249</v>
      </c>
      <c r="G295" t="s">
        <v>3249</v>
      </c>
      <c r="H295" t="s">
        <v>3250</v>
      </c>
      <c r="I295" t="s">
        <v>3250</v>
      </c>
      <c r="J295" t="s">
        <v>3250</v>
      </c>
      <c r="K295" t="s">
        <v>3250</v>
      </c>
      <c r="L295">
        <v>1200</v>
      </c>
      <c r="M295" t="s">
        <v>2368</v>
      </c>
      <c r="N295">
        <v>1204</v>
      </c>
      <c r="O295" t="s">
        <v>1574</v>
      </c>
      <c r="P295" t="s">
        <v>3108</v>
      </c>
      <c r="Q295" t="s">
        <v>3249</v>
      </c>
      <c r="R295" t="s">
        <v>3249</v>
      </c>
      <c r="S295" t="s">
        <v>472</v>
      </c>
      <c r="T295" t="s">
        <v>3789</v>
      </c>
      <c r="U295">
        <v>360</v>
      </c>
      <c r="V295" t="s">
        <v>3790</v>
      </c>
      <c r="W295">
        <v>360</v>
      </c>
      <c r="X295" t="s">
        <v>601</v>
      </c>
      <c r="Y295" t="s">
        <v>3250</v>
      </c>
      <c r="Z295" t="s">
        <v>3250</v>
      </c>
      <c r="AA295" t="s">
        <v>3108</v>
      </c>
      <c r="AB295" t="s">
        <v>3108</v>
      </c>
      <c r="AC295" t="s">
        <v>3250</v>
      </c>
      <c r="AD295" t="s">
        <v>3250</v>
      </c>
      <c r="AE295" t="s">
        <v>3250</v>
      </c>
      <c r="AF295" t="s">
        <v>3250</v>
      </c>
      <c r="AG295" t="s">
        <v>3250</v>
      </c>
      <c r="AH295" t="s">
        <v>3250</v>
      </c>
      <c r="AI295" t="s">
        <v>3250</v>
      </c>
      <c r="AJ295" t="s">
        <v>3250</v>
      </c>
      <c r="AL295">
        <v>361</v>
      </c>
      <c r="AM295" t="s">
        <v>2523</v>
      </c>
      <c r="AN295">
        <v>361</v>
      </c>
      <c r="AO295" t="s">
        <v>2523</v>
      </c>
      <c r="AS295" t="s">
        <v>3250</v>
      </c>
      <c r="AT295" t="s">
        <v>3250</v>
      </c>
      <c r="AU295" t="s">
        <v>3250</v>
      </c>
      <c r="AV295" t="s">
        <v>3250</v>
      </c>
      <c r="AW295" t="s">
        <v>3250</v>
      </c>
      <c r="AX295" t="s">
        <v>3250</v>
      </c>
      <c r="AY295" t="s">
        <v>3250</v>
      </c>
      <c r="AZ295" t="s">
        <v>3250</v>
      </c>
      <c r="BA295" t="s">
        <v>3250</v>
      </c>
      <c r="BB295" t="s">
        <v>3250</v>
      </c>
      <c r="BC295" t="s">
        <v>3250</v>
      </c>
      <c r="BE295" t="s">
        <v>3250</v>
      </c>
      <c r="BF295" t="s">
        <v>3250</v>
      </c>
      <c r="BG295" t="s">
        <v>3250</v>
      </c>
      <c r="BH295" t="s">
        <v>3250</v>
      </c>
      <c r="BI295" t="s">
        <v>3250</v>
      </c>
      <c r="BK295" t="s">
        <v>3250</v>
      </c>
      <c r="BL295" t="s">
        <v>3250</v>
      </c>
      <c r="BM295" t="s">
        <v>3250</v>
      </c>
      <c r="BN295" t="s">
        <v>3250</v>
      </c>
      <c r="BP295">
        <v>1</v>
      </c>
      <c r="BQ295">
        <v>11</v>
      </c>
      <c r="BR295" t="s">
        <v>1574</v>
      </c>
      <c r="BS295" t="s">
        <v>3252</v>
      </c>
      <c r="BV295">
        <v>2211442</v>
      </c>
      <c r="BW295">
        <v>1932192</v>
      </c>
      <c r="BX295">
        <v>1572440</v>
      </c>
      <c r="BY295">
        <v>-1932192</v>
      </c>
      <c r="BZ295">
        <v>0</v>
      </c>
      <c r="CA295">
        <v>-3935435</v>
      </c>
      <c r="CB295">
        <v>-3935435</v>
      </c>
      <c r="CC295">
        <v>-3935435</v>
      </c>
      <c r="CD295">
        <v>1267527</v>
      </c>
      <c r="CE295" t="s">
        <v>3108</v>
      </c>
      <c r="CF295" t="s">
        <v>3108</v>
      </c>
      <c r="CG295" t="s">
        <v>3108</v>
      </c>
      <c r="CH295" t="s">
        <v>3108</v>
      </c>
    </row>
    <row r="296" spans="1:86" x14ac:dyDescent="0.2">
      <c r="A296" t="s">
        <v>3833</v>
      </c>
      <c r="B296" t="s">
        <v>3833</v>
      </c>
      <c r="C296">
        <v>30570</v>
      </c>
      <c r="D296">
        <v>1337</v>
      </c>
      <c r="E296" t="s">
        <v>3834</v>
      </c>
      <c r="F296" t="s">
        <v>3249</v>
      </c>
      <c r="G296" t="s">
        <v>3249</v>
      </c>
      <c r="H296" t="s">
        <v>3250</v>
      </c>
      <c r="I296" t="s">
        <v>3250</v>
      </c>
      <c r="J296" t="s">
        <v>3250</v>
      </c>
      <c r="K296" t="s">
        <v>3250</v>
      </c>
      <c r="L296">
        <v>1200</v>
      </c>
      <c r="M296" t="s">
        <v>2368</v>
      </c>
      <c r="N296">
        <v>1204</v>
      </c>
      <c r="O296" t="s">
        <v>1574</v>
      </c>
      <c r="P296" t="s">
        <v>3108</v>
      </c>
      <c r="Q296" t="s">
        <v>3249</v>
      </c>
      <c r="R296" t="s">
        <v>3249</v>
      </c>
      <c r="S296" t="s">
        <v>472</v>
      </c>
      <c r="T296" t="s">
        <v>3789</v>
      </c>
      <c r="U296">
        <v>360</v>
      </c>
      <c r="V296" t="s">
        <v>3790</v>
      </c>
      <c r="W296">
        <v>360</v>
      </c>
      <c r="X296" t="s">
        <v>601</v>
      </c>
      <c r="Y296" t="s">
        <v>3250</v>
      </c>
      <c r="Z296" t="s">
        <v>3250</v>
      </c>
      <c r="AA296" t="s">
        <v>3108</v>
      </c>
      <c r="AB296" t="s">
        <v>3108</v>
      </c>
      <c r="AC296" t="s">
        <v>3250</v>
      </c>
      <c r="AD296" t="s">
        <v>3250</v>
      </c>
      <c r="AE296" t="s">
        <v>3250</v>
      </c>
      <c r="AF296" t="s">
        <v>3250</v>
      </c>
      <c r="AG296" t="s">
        <v>3250</v>
      </c>
      <c r="AH296" t="s">
        <v>3250</v>
      </c>
      <c r="AI296" t="s">
        <v>3250</v>
      </c>
      <c r="AJ296" t="s">
        <v>3250</v>
      </c>
      <c r="AL296">
        <v>361</v>
      </c>
      <c r="AM296" t="s">
        <v>2523</v>
      </c>
      <c r="AN296">
        <v>361</v>
      </c>
      <c r="AO296" t="s">
        <v>2523</v>
      </c>
      <c r="AS296" t="s">
        <v>3250</v>
      </c>
      <c r="AT296" t="s">
        <v>3250</v>
      </c>
      <c r="AU296" t="s">
        <v>3250</v>
      </c>
      <c r="AV296" t="s">
        <v>3250</v>
      </c>
      <c r="AW296" t="s">
        <v>3250</v>
      </c>
      <c r="AX296" t="s">
        <v>3250</v>
      </c>
      <c r="AY296" t="s">
        <v>3250</v>
      </c>
      <c r="AZ296" t="s">
        <v>3250</v>
      </c>
      <c r="BA296" t="s">
        <v>3250</v>
      </c>
      <c r="BB296" t="s">
        <v>3250</v>
      </c>
      <c r="BC296" t="s">
        <v>3250</v>
      </c>
      <c r="BE296" t="s">
        <v>3250</v>
      </c>
      <c r="BF296" t="s">
        <v>3250</v>
      </c>
      <c r="BG296" t="s">
        <v>3250</v>
      </c>
      <c r="BH296" t="s">
        <v>3250</v>
      </c>
      <c r="BI296" t="s">
        <v>3250</v>
      </c>
      <c r="BK296" t="s">
        <v>3250</v>
      </c>
      <c r="BL296" t="s">
        <v>3250</v>
      </c>
      <c r="BM296" t="s">
        <v>3250</v>
      </c>
      <c r="BN296" t="s">
        <v>3250</v>
      </c>
      <c r="BP296">
        <v>1</v>
      </c>
      <c r="BQ296">
        <v>11</v>
      </c>
      <c r="BR296" t="s">
        <v>1574</v>
      </c>
      <c r="BS296" t="s">
        <v>3252</v>
      </c>
      <c r="BV296">
        <v>0</v>
      </c>
      <c r="BW296">
        <v>0</v>
      </c>
      <c r="BX296">
        <v>0</v>
      </c>
      <c r="BY296">
        <v>0</v>
      </c>
      <c r="BZ296">
        <v>0</v>
      </c>
      <c r="CA296">
        <v>0</v>
      </c>
      <c r="CB296">
        <v>0</v>
      </c>
      <c r="CC296">
        <v>0</v>
      </c>
      <c r="CD296">
        <v>0</v>
      </c>
      <c r="CE296" t="s">
        <v>3108</v>
      </c>
      <c r="CF296" t="s">
        <v>3108</v>
      </c>
      <c r="CG296" t="s">
        <v>3108</v>
      </c>
      <c r="CH296" t="s">
        <v>3108</v>
      </c>
    </row>
    <row r="297" spans="1:86" x14ac:dyDescent="0.2">
      <c r="A297" t="s">
        <v>3835</v>
      </c>
      <c r="B297" t="s">
        <v>3835</v>
      </c>
      <c r="C297">
        <v>30573</v>
      </c>
      <c r="D297">
        <v>1496</v>
      </c>
      <c r="E297" t="s">
        <v>3836</v>
      </c>
      <c r="F297">
        <v>2700</v>
      </c>
      <c r="G297" t="s">
        <v>411</v>
      </c>
      <c r="H297" t="s">
        <v>3837</v>
      </c>
      <c r="I297" t="s">
        <v>2532</v>
      </c>
      <c r="J297">
        <v>2702</v>
      </c>
      <c r="K297" t="s">
        <v>2532</v>
      </c>
      <c r="L297">
        <v>1200</v>
      </c>
      <c r="M297" t="s">
        <v>2368</v>
      </c>
      <c r="N297">
        <v>1210</v>
      </c>
      <c r="O297" t="s">
        <v>922</v>
      </c>
      <c r="P297" t="s">
        <v>3108</v>
      </c>
      <c r="Q297" t="s">
        <v>3249</v>
      </c>
      <c r="R297" t="s">
        <v>3249</v>
      </c>
      <c r="S297" t="s">
        <v>810</v>
      </c>
      <c r="T297" t="s">
        <v>2754</v>
      </c>
      <c r="U297" t="s">
        <v>3250</v>
      </c>
      <c r="V297" t="s">
        <v>3250</v>
      </c>
      <c r="W297" t="s">
        <v>3250</v>
      </c>
      <c r="X297" t="s">
        <v>3250</v>
      </c>
      <c r="Y297" t="s">
        <v>3250</v>
      </c>
      <c r="Z297" t="s">
        <v>3250</v>
      </c>
      <c r="AA297" t="s">
        <v>3108</v>
      </c>
      <c r="AB297" t="s">
        <v>3108</v>
      </c>
      <c r="AC297" t="s">
        <v>3250</v>
      </c>
      <c r="AD297" t="s">
        <v>3250</v>
      </c>
      <c r="AE297" t="s">
        <v>3250</v>
      </c>
      <c r="AF297" t="s">
        <v>3250</v>
      </c>
      <c r="AG297" t="s">
        <v>3250</v>
      </c>
      <c r="AH297" t="s">
        <v>3250</v>
      </c>
      <c r="AI297" t="s">
        <v>3250</v>
      </c>
      <c r="AJ297" t="s">
        <v>3250</v>
      </c>
      <c r="AL297" t="s">
        <v>3250</v>
      </c>
      <c r="AM297" t="s">
        <v>3250</v>
      </c>
      <c r="AN297" t="s">
        <v>3250</v>
      </c>
      <c r="AO297" t="s">
        <v>3250</v>
      </c>
      <c r="AS297" t="s">
        <v>3250</v>
      </c>
      <c r="AT297" t="s">
        <v>3250</v>
      </c>
      <c r="AU297" t="s">
        <v>3250</v>
      </c>
      <c r="AV297" t="s">
        <v>3250</v>
      </c>
      <c r="AW297" t="s">
        <v>3250</v>
      </c>
      <c r="AX297" t="s">
        <v>3250</v>
      </c>
      <c r="AY297" t="s">
        <v>3250</v>
      </c>
      <c r="AZ297" t="s">
        <v>3250</v>
      </c>
      <c r="BA297" t="s">
        <v>3250</v>
      </c>
      <c r="BB297" t="s">
        <v>3250</v>
      </c>
      <c r="BC297" t="s">
        <v>3250</v>
      </c>
      <c r="BE297" t="s">
        <v>3250</v>
      </c>
      <c r="BF297" t="s">
        <v>3250</v>
      </c>
      <c r="BG297" t="s">
        <v>3250</v>
      </c>
      <c r="BH297" t="s">
        <v>3250</v>
      </c>
      <c r="BI297" t="s">
        <v>3250</v>
      </c>
      <c r="BK297" t="s">
        <v>3250</v>
      </c>
      <c r="BL297" t="s">
        <v>3250</v>
      </c>
      <c r="BM297" t="s">
        <v>3250</v>
      </c>
      <c r="BN297" t="s">
        <v>3250</v>
      </c>
      <c r="BP297">
        <v>1</v>
      </c>
      <c r="BQ297">
        <v>16</v>
      </c>
      <c r="BR297" t="s">
        <v>922</v>
      </c>
      <c r="BS297" t="s">
        <v>3252</v>
      </c>
      <c r="BV297">
        <v>0</v>
      </c>
      <c r="BW297">
        <v>0</v>
      </c>
      <c r="BX297">
        <v>10</v>
      </c>
      <c r="BY297">
        <v>0</v>
      </c>
      <c r="BZ297">
        <v>0</v>
      </c>
      <c r="CA297">
        <v>0</v>
      </c>
      <c r="CB297">
        <v>0</v>
      </c>
      <c r="CC297">
        <v>0</v>
      </c>
      <c r="CD297">
        <v>0</v>
      </c>
      <c r="CE297" t="s">
        <v>3108</v>
      </c>
      <c r="CF297" t="s">
        <v>3108</v>
      </c>
      <c r="CG297" t="s">
        <v>3108</v>
      </c>
      <c r="CH297" t="s">
        <v>3108</v>
      </c>
    </row>
    <row r="298" spans="1:86" x14ac:dyDescent="0.2">
      <c r="A298" t="s">
        <v>3838</v>
      </c>
      <c r="B298" t="s">
        <v>3838</v>
      </c>
      <c r="C298">
        <v>30601</v>
      </c>
      <c r="D298">
        <v>532</v>
      </c>
      <c r="E298" t="s">
        <v>3839</v>
      </c>
      <c r="F298">
        <v>200</v>
      </c>
      <c r="G298" t="s">
        <v>467</v>
      </c>
      <c r="H298">
        <v>200</v>
      </c>
      <c r="I298" t="s">
        <v>3840</v>
      </c>
      <c r="J298" t="s">
        <v>3250</v>
      </c>
      <c r="K298" t="s">
        <v>3250</v>
      </c>
      <c r="L298">
        <v>1200</v>
      </c>
      <c r="M298" t="s">
        <v>2368</v>
      </c>
      <c r="N298">
        <v>1204</v>
      </c>
      <c r="O298" t="s">
        <v>1574</v>
      </c>
      <c r="P298" t="s">
        <v>3108</v>
      </c>
      <c r="Q298" t="s">
        <v>3249</v>
      </c>
      <c r="R298" t="s">
        <v>3249</v>
      </c>
      <c r="S298" t="s">
        <v>472</v>
      </c>
      <c r="T298" t="s">
        <v>2759</v>
      </c>
      <c r="U298" t="s">
        <v>3250</v>
      </c>
      <c r="V298" t="s">
        <v>3250</v>
      </c>
      <c r="W298" t="s">
        <v>3250</v>
      </c>
      <c r="X298" t="s">
        <v>3250</v>
      </c>
      <c r="Y298" t="s">
        <v>3250</v>
      </c>
      <c r="Z298" t="s">
        <v>3250</v>
      </c>
      <c r="AA298" t="s">
        <v>3108</v>
      </c>
      <c r="AB298" t="s">
        <v>3108</v>
      </c>
      <c r="AC298" t="s">
        <v>3250</v>
      </c>
      <c r="AD298" t="s">
        <v>3250</v>
      </c>
      <c r="AE298" t="s">
        <v>3250</v>
      </c>
      <c r="AF298" t="s">
        <v>3250</v>
      </c>
      <c r="AG298" t="s">
        <v>3250</v>
      </c>
      <c r="AH298" t="s">
        <v>3250</v>
      </c>
      <c r="AI298" t="s">
        <v>3250</v>
      </c>
      <c r="AJ298" t="s">
        <v>3250</v>
      </c>
      <c r="AL298" t="s">
        <v>3250</v>
      </c>
      <c r="AM298" t="s">
        <v>3250</v>
      </c>
      <c r="AN298" t="s">
        <v>3250</v>
      </c>
      <c r="AO298" t="s">
        <v>3250</v>
      </c>
      <c r="AS298" t="s">
        <v>3250</v>
      </c>
      <c r="AT298" t="s">
        <v>3250</v>
      </c>
      <c r="AU298" t="s">
        <v>3250</v>
      </c>
      <c r="AV298" t="s">
        <v>3250</v>
      </c>
      <c r="AW298" t="s">
        <v>3250</v>
      </c>
      <c r="AX298" t="s">
        <v>3250</v>
      </c>
      <c r="AY298" t="s">
        <v>3250</v>
      </c>
      <c r="AZ298" t="s">
        <v>3250</v>
      </c>
      <c r="BA298" t="s">
        <v>3250</v>
      </c>
      <c r="BB298" t="s">
        <v>3250</v>
      </c>
      <c r="BC298" t="s">
        <v>3250</v>
      </c>
      <c r="BE298" t="s">
        <v>3250</v>
      </c>
      <c r="BF298" t="s">
        <v>3250</v>
      </c>
      <c r="BG298" t="s">
        <v>3250</v>
      </c>
      <c r="BH298" t="s">
        <v>3250</v>
      </c>
      <c r="BI298" t="s">
        <v>3250</v>
      </c>
      <c r="BK298" t="s">
        <v>3250</v>
      </c>
      <c r="BL298" t="s">
        <v>3250</v>
      </c>
      <c r="BM298" t="s">
        <v>3250</v>
      </c>
      <c r="BN298" t="s">
        <v>3250</v>
      </c>
      <c r="BP298">
        <v>1</v>
      </c>
      <c r="BQ298">
        <v>11</v>
      </c>
      <c r="BR298" t="s">
        <v>1574</v>
      </c>
      <c r="BS298" t="s">
        <v>3252</v>
      </c>
      <c r="BV298">
        <v>0</v>
      </c>
      <c r="BW298">
        <v>563</v>
      </c>
      <c r="BX298">
        <v>536</v>
      </c>
      <c r="BY298">
        <v>0</v>
      </c>
      <c r="BZ298">
        <v>0</v>
      </c>
      <c r="CA298">
        <v>0</v>
      </c>
      <c r="CB298">
        <v>0</v>
      </c>
      <c r="CC298">
        <v>0</v>
      </c>
      <c r="CD298">
        <v>0</v>
      </c>
      <c r="CE298" t="s">
        <v>3108</v>
      </c>
      <c r="CF298" t="s">
        <v>3108</v>
      </c>
      <c r="CG298" t="s">
        <v>3108</v>
      </c>
      <c r="CH298" t="s">
        <v>3108</v>
      </c>
    </row>
    <row r="299" spans="1:86" x14ac:dyDescent="0.2">
      <c r="A299" t="s">
        <v>3841</v>
      </c>
      <c r="B299" t="s">
        <v>3841</v>
      </c>
      <c r="C299">
        <v>30602</v>
      </c>
      <c r="D299">
        <v>533</v>
      </c>
      <c r="E299" t="s">
        <v>3842</v>
      </c>
      <c r="F299">
        <v>200</v>
      </c>
      <c r="G299" t="s">
        <v>467</v>
      </c>
      <c r="H299">
        <v>200</v>
      </c>
      <c r="I299" t="s">
        <v>3840</v>
      </c>
      <c r="J299" t="s">
        <v>3250</v>
      </c>
      <c r="K299" t="s">
        <v>3250</v>
      </c>
      <c r="L299">
        <v>1200</v>
      </c>
      <c r="M299" t="s">
        <v>2368</v>
      </c>
      <c r="N299">
        <v>1204</v>
      </c>
      <c r="O299" t="s">
        <v>1574</v>
      </c>
      <c r="P299" t="s">
        <v>3108</v>
      </c>
      <c r="Q299" t="s">
        <v>3249</v>
      </c>
      <c r="R299" t="s">
        <v>3249</v>
      </c>
      <c r="S299" t="s">
        <v>472</v>
      </c>
      <c r="T299" t="s">
        <v>2759</v>
      </c>
      <c r="U299" t="s">
        <v>3250</v>
      </c>
      <c r="V299" t="s">
        <v>3250</v>
      </c>
      <c r="W299" t="s">
        <v>3250</v>
      </c>
      <c r="X299" t="s">
        <v>3250</v>
      </c>
      <c r="Y299" t="s">
        <v>3250</v>
      </c>
      <c r="Z299" t="s">
        <v>3250</v>
      </c>
      <c r="AA299" t="s">
        <v>3108</v>
      </c>
      <c r="AB299" t="s">
        <v>3108</v>
      </c>
      <c r="AC299" t="s">
        <v>3250</v>
      </c>
      <c r="AD299" t="s">
        <v>3250</v>
      </c>
      <c r="AE299" t="s">
        <v>3250</v>
      </c>
      <c r="AF299" t="s">
        <v>3250</v>
      </c>
      <c r="AG299" t="s">
        <v>3250</v>
      </c>
      <c r="AH299" t="s">
        <v>3250</v>
      </c>
      <c r="AI299" t="s">
        <v>3250</v>
      </c>
      <c r="AJ299" t="s">
        <v>3250</v>
      </c>
      <c r="AL299" t="s">
        <v>3250</v>
      </c>
      <c r="AM299" t="s">
        <v>3250</v>
      </c>
      <c r="AN299" t="s">
        <v>3250</v>
      </c>
      <c r="AO299" t="s">
        <v>3250</v>
      </c>
      <c r="AS299" t="s">
        <v>3250</v>
      </c>
      <c r="AT299" t="s">
        <v>3250</v>
      </c>
      <c r="AU299" t="s">
        <v>3250</v>
      </c>
      <c r="AV299" t="s">
        <v>3250</v>
      </c>
      <c r="AW299" t="s">
        <v>3250</v>
      </c>
      <c r="AX299" t="s">
        <v>3250</v>
      </c>
      <c r="AY299" t="s">
        <v>3250</v>
      </c>
      <c r="AZ299" t="s">
        <v>3250</v>
      </c>
      <c r="BA299" t="s">
        <v>3250</v>
      </c>
      <c r="BB299" t="s">
        <v>3250</v>
      </c>
      <c r="BC299" t="s">
        <v>3250</v>
      </c>
      <c r="BE299" t="s">
        <v>3250</v>
      </c>
      <c r="BF299" t="s">
        <v>3250</v>
      </c>
      <c r="BG299" t="s">
        <v>3250</v>
      </c>
      <c r="BH299" t="s">
        <v>3250</v>
      </c>
      <c r="BI299" t="s">
        <v>3250</v>
      </c>
      <c r="BK299" t="s">
        <v>3250</v>
      </c>
      <c r="BL299" t="s">
        <v>3250</v>
      </c>
      <c r="BM299" t="s">
        <v>3250</v>
      </c>
      <c r="BN299" t="s">
        <v>3250</v>
      </c>
      <c r="BP299">
        <v>1</v>
      </c>
      <c r="BQ299">
        <v>11</v>
      </c>
      <c r="BR299" t="s">
        <v>1574</v>
      </c>
      <c r="BS299" t="s">
        <v>3252</v>
      </c>
      <c r="BV299">
        <v>0</v>
      </c>
      <c r="BW299">
        <v>0</v>
      </c>
      <c r="BX299">
        <v>0</v>
      </c>
      <c r="BY299">
        <v>-1927939</v>
      </c>
      <c r="BZ299">
        <v>-1927939</v>
      </c>
      <c r="CA299">
        <v>-2003128</v>
      </c>
      <c r="CB299">
        <v>-2083254</v>
      </c>
      <c r="CC299">
        <v>-2166584</v>
      </c>
      <c r="CD299">
        <v>0</v>
      </c>
      <c r="CE299" t="s">
        <v>3108</v>
      </c>
      <c r="CF299" t="s">
        <v>3108</v>
      </c>
      <c r="CG299" t="s">
        <v>3108</v>
      </c>
      <c r="CH299" t="s">
        <v>3108</v>
      </c>
    </row>
    <row r="300" spans="1:86" x14ac:dyDescent="0.2">
      <c r="A300" t="s">
        <v>3843</v>
      </c>
      <c r="B300" t="s">
        <v>3843</v>
      </c>
      <c r="C300">
        <v>30603</v>
      </c>
      <c r="D300">
        <v>534</v>
      </c>
      <c r="E300" t="s">
        <v>3844</v>
      </c>
      <c r="F300">
        <v>200</v>
      </c>
      <c r="G300" t="s">
        <v>467</v>
      </c>
      <c r="H300">
        <v>200</v>
      </c>
      <c r="I300" t="s">
        <v>3840</v>
      </c>
      <c r="J300" t="s">
        <v>3250</v>
      </c>
      <c r="K300" t="s">
        <v>3250</v>
      </c>
      <c r="L300">
        <v>1200</v>
      </c>
      <c r="M300" t="s">
        <v>2368</v>
      </c>
      <c r="N300">
        <v>1204</v>
      </c>
      <c r="O300" t="s">
        <v>1574</v>
      </c>
      <c r="P300" t="s">
        <v>3108</v>
      </c>
      <c r="Q300" t="s">
        <v>3249</v>
      </c>
      <c r="R300" t="s">
        <v>3249</v>
      </c>
      <c r="S300" t="s">
        <v>472</v>
      </c>
      <c r="T300" t="s">
        <v>2759</v>
      </c>
      <c r="U300" t="s">
        <v>3250</v>
      </c>
      <c r="V300" t="s">
        <v>3250</v>
      </c>
      <c r="W300" t="s">
        <v>3250</v>
      </c>
      <c r="X300" t="s">
        <v>3250</v>
      </c>
      <c r="Y300" t="s">
        <v>3250</v>
      </c>
      <c r="Z300" t="s">
        <v>3250</v>
      </c>
      <c r="AA300" t="s">
        <v>3108</v>
      </c>
      <c r="AB300" t="s">
        <v>3108</v>
      </c>
      <c r="AC300" t="s">
        <v>3250</v>
      </c>
      <c r="AD300" t="s">
        <v>3250</v>
      </c>
      <c r="AE300" t="s">
        <v>3250</v>
      </c>
      <c r="AF300" t="s">
        <v>3250</v>
      </c>
      <c r="AG300" t="s">
        <v>3250</v>
      </c>
      <c r="AH300" t="s">
        <v>3250</v>
      </c>
      <c r="AI300" t="s">
        <v>3250</v>
      </c>
      <c r="AJ300" t="s">
        <v>3250</v>
      </c>
      <c r="AL300" t="s">
        <v>3250</v>
      </c>
      <c r="AM300" t="s">
        <v>3250</v>
      </c>
      <c r="AN300" t="s">
        <v>3250</v>
      </c>
      <c r="AO300" t="s">
        <v>3250</v>
      </c>
      <c r="AS300" t="s">
        <v>3250</v>
      </c>
      <c r="AT300" t="s">
        <v>3250</v>
      </c>
      <c r="AU300" t="s">
        <v>3250</v>
      </c>
      <c r="AV300" t="s">
        <v>3250</v>
      </c>
      <c r="AW300" t="s">
        <v>3250</v>
      </c>
      <c r="AX300" t="s">
        <v>3250</v>
      </c>
      <c r="AY300" t="s">
        <v>3250</v>
      </c>
      <c r="AZ300" t="s">
        <v>3250</v>
      </c>
      <c r="BA300" t="s">
        <v>3250</v>
      </c>
      <c r="BB300" t="s">
        <v>3250</v>
      </c>
      <c r="BC300" t="s">
        <v>3250</v>
      </c>
      <c r="BE300" t="s">
        <v>3250</v>
      </c>
      <c r="BF300" t="s">
        <v>3250</v>
      </c>
      <c r="BG300" t="s">
        <v>3250</v>
      </c>
      <c r="BH300" t="s">
        <v>3250</v>
      </c>
      <c r="BI300" t="s">
        <v>3250</v>
      </c>
      <c r="BK300" t="s">
        <v>3250</v>
      </c>
      <c r="BL300" t="s">
        <v>3250</v>
      </c>
      <c r="BM300" t="s">
        <v>3250</v>
      </c>
      <c r="BN300" t="s">
        <v>3250</v>
      </c>
      <c r="BP300">
        <v>1</v>
      </c>
      <c r="BQ300">
        <v>11</v>
      </c>
      <c r="BR300" t="s">
        <v>1574</v>
      </c>
      <c r="BS300" t="s">
        <v>3252</v>
      </c>
      <c r="BV300">
        <v>4194468</v>
      </c>
      <c r="BW300">
        <v>4145671</v>
      </c>
      <c r="BX300">
        <v>3951768</v>
      </c>
      <c r="BY300">
        <v>-3495474</v>
      </c>
      <c r="BZ300">
        <v>-3495474</v>
      </c>
      <c r="CA300">
        <v>-3631798</v>
      </c>
      <c r="CB300">
        <v>-3777069</v>
      </c>
      <c r="CC300">
        <v>-3928152</v>
      </c>
      <c r="CD300">
        <v>3647631</v>
      </c>
      <c r="CE300" t="s">
        <v>3108</v>
      </c>
      <c r="CF300" t="s">
        <v>3108</v>
      </c>
      <c r="CG300" t="s">
        <v>3108</v>
      </c>
      <c r="CH300" t="s">
        <v>3108</v>
      </c>
    </row>
    <row r="301" spans="1:86" x14ac:dyDescent="0.2">
      <c r="A301" t="s">
        <v>3845</v>
      </c>
      <c r="B301" t="s">
        <v>3845</v>
      </c>
      <c r="C301">
        <v>30604</v>
      </c>
      <c r="D301">
        <v>535</v>
      </c>
      <c r="E301" t="s">
        <v>3846</v>
      </c>
      <c r="F301">
        <v>200</v>
      </c>
      <c r="G301" t="s">
        <v>467</v>
      </c>
      <c r="H301">
        <v>200</v>
      </c>
      <c r="I301" t="s">
        <v>3840</v>
      </c>
      <c r="J301" t="s">
        <v>3250</v>
      </c>
      <c r="K301" t="s">
        <v>3250</v>
      </c>
      <c r="L301">
        <v>1200</v>
      </c>
      <c r="M301" t="s">
        <v>2368</v>
      </c>
      <c r="N301">
        <v>1204</v>
      </c>
      <c r="O301" t="s">
        <v>1574</v>
      </c>
      <c r="P301" t="s">
        <v>3108</v>
      </c>
      <c r="Q301" t="s">
        <v>3249</v>
      </c>
      <c r="R301" t="s">
        <v>3249</v>
      </c>
      <c r="S301" t="s">
        <v>472</v>
      </c>
      <c r="T301" t="s">
        <v>2759</v>
      </c>
      <c r="U301" t="s">
        <v>3250</v>
      </c>
      <c r="V301" t="s">
        <v>3250</v>
      </c>
      <c r="W301" t="s">
        <v>3250</v>
      </c>
      <c r="X301" t="s">
        <v>3250</v>
      </c>
      <c r="Y301" t="s">
        <v>3250</v>
      </c>
      <c r="Z301" t="s">
        <v>3250</v>
      </c>
      <c r="AA301" t="s">
        <v>3108</v>
      </c>
      <c r="AB301" t="s">
        <v>3108</v>
      </c>
      <c r="AC301" t="s">
        <v>3250</v>
      </c>
      <c r="AD301" t="s">
        <v>3250</v>
      </c>
      <c r="AE301" t="s">
        <v>3250</v>
      </c>
      <c r="AF301" t="s">
        <v>3250</v>
      </c>
      <c r="AG301" t="s">
        <v>3250</v>
      </c>
      <c r="AH301" t="s">
        <v>3250</v>
      </c>
      <c r="AI301" t="s">
        <v>3250</v>
      </c>
      <c r="AJ301" t="s">
        <v>3250</v>
      </c>
      <c r="AL301" t="s">
        <v>3250</v>
      </c>
      <c r="AM301" t="s">
        <v>3250</v>
      </c>
      <c r="AN301" t="s">
        <v>3250</v>
      </c>
      <c r="AO301" t="s">
        <v>3250</v>
      </c>
      <c r="AS301" t="s">
        <v>3250</v>
      </c>
      <c r="AT301" t="s">
        <v>3250</v>
      </c>
      <c r="AU301" t="s">
        <v>3250</v>
      </c>
      <c r="AV301" t="s">
        <v>3250</v>
      </c>
      <c r="AW301" t="s">
        <v>3250</v>
      </c>
      <c r="AX301" t="s">
        <v>3250</v>
      </c>
      <c r="AY301" t="s">
        <v>3250</v>
      </c>
      <c r="AZ301" t="s">
        <v>3250</v>
      </c>
      <c r="BA301" t="s">
        <v>3250</v>
      </c>
      <c r="BB301" t="s">
        <v>3250</v>
      </c>
      <c r="BC301" t="s">
        <v>3250</v>
      </c>
      <c r="BE301" t="s">
        <v>3250</v>
      </c>
      <c r="BF301" t="s">
        <v>3250</v>
      </c>
      <c r="BG301" t="s">
        <v>3250</v>
      </c>
      <c r="BH301" t="s">
        <v>3250</v>
      </c>
      <c r="BI301" t="s">
        <v>3250</v>
      </c>
      <c r="BK301" t="s">
        <v>3250</v>
      </c>
      <c r="BL301" t="s">
        <v>3250</v>
      </c>
      <c r="BM301" t="s">
        <v>3250</v>
      </c>
      <c r="BN301" t="s">
        <v>3250</v>
      </c>
      <c r="BP301">
        <v>1</v>
      </c>
      <c r="BQ301">
        <v>11</v>
      </c>
      <c r="BR301" t="s">
        <v>1574</v>
      </c>
      <c r="BS301" t="s">
        <v>3252</v>
      </c>
      <c r="BV301">
        <v>4549666</v>
      </c>
      <c r="BW301">
        <v>2758897</v>
      </c>
      <c r="BX301">
        <v>2976249</v>
      </c>
      <c r="BY301">
        <v>-3589614</v>
      </c>
      <c r="BZ301">
        <v>-3589614</v>
      </c>
      <c r="CA301">
        <v>-3729609</v>
      </c>
      <c r="CB301">
        <v>-3878793</v>
      </c>
      <c r="CC301">
        <v>-4033945</v>
      </c>
      <c r="CD301">
        <v>5984285</v>
      </c>
      <c r="CE301" t="s">
        <v>3108</v>
      </c>
      <c r="CF301" t="s">
        <v>3108</v>
      </c>
      <c r="CG301" t="s">
        <v>3108</v>
      </c>
      <c r="CH301" t="s">
        <v>3108</v>
      </c>
    </row>
    <row r="302" spans="1:86" x14ac:dyDescent="0.2">
      <c r="A302" t="s">
        <v>3847</v>
      </c>
      <c r="B302" t="s">
        <v>3847</v>
      </c>
      <c r="C302">
        <v>30605</v>
      </c>
      <c r="D302">
        <v>536</v>
      </c>
      <c r="E302" t="s">
        <v>3848</v>
      </c>
      <c r="F302">
        <v>200</v>
      </c>
      <c r="G302" t="s">
        <v>467</v>
      </c>
      <c r="H302">
        <v>200</v>
      </c>
      <c r="I302" t="s">
        <v>3840</v>
      </c>
      <c r="J302" t="s">
        <v>3250</v>
      </c>
      <c r="K302" t="s">
        <v>3250</v>
      </c>
      <c r="L302">
        <v>1200</v>
      </c>
      <c r="M302" t="s">
        <v>2368</v>
      </c>
      <c r="N302">
        <v>1204</v>
      </c>
      <c r="O302" t="s">
        <v>1574</v>
      </c>
      <c r="P302" t="s">
        <v>3108</v>
      </c>
      <c r="Q302" t="s">
        <v>3249</v>
      </c>
      <c r="R302" t="s">
        <v>3249</v>
      </c>
      <c r="S302" t="s">
        <v>472</v>
      </c>
      <c r="T302" t="s">
        <v>2759</v>
      </c>
      <c r="U302" t="s">
        <v>3250</v>
      </c>
      <c r="V302" t="s">
        <v>3250</v>
      </c>
      <c r="W302" t="s">
        <v>3250</v>
      </c>
      <c r="X302" t="s">
        <v>3250</v>
      </c>
      <c r="Y302" t="s">
        <v>3250</v>
      </c>
      <c r="Z302" t="s">
        <v>3250</v>
      </c>
      <c r="AA302" t="s">
        <v>3108</v>
      </c>
      <c r="AB302" t="s">
        <v>3108</v>
      </c>
      <c r="AC302" t="s">
        <v>3250</v>
      </c>
      <c r="AD302" t="s">
        <v>3250</v>
      </c>
      <c r="AE302" t="s">
        <v>3250</v>
      </c>
      <c r="AF302" t="s">
        <v>3250</v>
      </c>
      <c r="AG302" t="s">
        <v>3250</v>
      </c>
      <c r="AH302" t="s">
        <v>3250</v>
      </c>
      <c r="AI302" t="s">
        <v>3250</v>
      </c>
      <c r="AJ302" t="s">
        <v>3250</v>
      </c>
      <c r="AL302" t="s">
        <v>3250</v>
      </c>
      <c r="AM302" t="s">
        <v>3250</v>
      </c>
      <c r="AN302" t="s">
        <v>3250</v>
      </c>
      <c r="AO302" t="s">
        <v>3250</v>
      </c>
      <c r="AS302" t="s">
        <v>3250</v>
      </c>
      <c r="AT302" t="s">
        <v>3250</v>
      </c>
      <c r="AU302" t="s">
        <v>3250</v>
      </c>
      <c r="AV302" t="s">
        <v>3250</v>
      </c>
      <c r="AW302" t="s">
        <v>3250</v>
      </c>
      <c r="AX302" t="s">
        <v>3250</v>
      </c>
      <c r="AY302" t="s">
        <v>3250</v>
      </c>
      <c r="AZ302" t="s">
        <v>3250</v>
      </c>
      <c r="BA302" t="s">
        <v>3250</v>
      </c>
      <c r="BB302" t="s">
        <v>3250</v>
      </c>
      <c r="BC302" t="s">
        <v>3250</v>
      </c>
      <c r="BE302" t="s">
        <v>3250</v>
      </c>
      <c r="BF302" t="s">
        <v>3250</v>
      </c>
      <c r="BG302" t="s">
        <v>3250</v>
      </c>
      <c r="BH302" t="s">
        <v>3250</v>
      </c>
      <c r="BI302" t="s">
        <v>3250</v>
      </c>
      <c r="BK302" t="s">
        <v>3250</v>
      </c>
      <c r="BL302" t="s">
        <v>3250</v>
      </c>
      <c r="BM302" t="s">
        <v>3250</v>
      </c>
      <c r="BN302" t="s">
        <v>3250</v>
      </c>
      <c r="BP302">
        <v>1</v>
      </c>
      <c r="BQ302">
        <v>11</v>
      </c>
      <c r="BR302" t="s">
        <v>1574</v>
      </c>
      <c r="BS302" t="s">
        <v>3252</v>
      </c>
      <c r="BV302">
        <v>2331515</v>
      </c>
      <c r="BW302">
        <v>726129</v>
      </c>
      <c r="BX302">
        <v>711094</v>
      </c>
      <c r="BY302">
        <v>-2152274</v>
      </c>
      <c r="BZ302">
        <v>-2152274</v>
      </c>
      <c r="CA302">
        <v>-2236212</v>
      </c>
      <c r="CB302">
        <v>-2325661</v>
      </c>
      <c r="CC302">
        <v>-2418688</v>
      </c>
      <c r="CD302">
        <v>2033979</v>
      </c>
      <c r="CE302" t="s">
        <v>3108</v>
      </c>
      <c r="CF302" t="s">
        <v>3108</v>
      </c>
      <c r="CG302" t="s">
        <v>3108</v>
      </c>
      <c r="CH302" t="s">
        <v>3108</v>
      </c>
    </row>
    <row r="303" spans="1:86" x14ac:dyDescent="0.2">
      <c r="A303" t="s">
        <v>3849</v>
      </c>
      <c r="B303" t="s">
        <v>3849</v>
      </c>
      <c r="C303">
        <v>30606</v>
      </c>
      <c r="D303">
        <v>537</v>
      </c>
      <c r="E303" t="s">
        <v>3850</v>
      </c>
      <c r="F303">
        <v>200</v>
      </c>
      <c r="G303" t="s">
        <v>467</v>
      </c>
      <c r="H303">
        <v>200</v>
      </c>
      <c r="I303" t="s">
        <v>3840</v>
      </c>
      <c r="J303" t="s">
        <v>3250</v>
      </c>
      <c r="K303" t="s">
        <v>3250</v>
      </c>
      <c r="L303">
        <v>1200</v>
      </c>
      <c r="M303" t="s">
        <v>2368</v>
      </c>
      <c r="N303">
        <v>1204</v>
      </c>
      <c r="O303" t="s">
        <v>1574</v>
      </c>
      <c r="P303" t="s">
        <v>3108</v>
      </c>
      <c r="Q303" t="s">
        <v>3249</v>
      </c>
      <c r="R303" t="s">
        <v>3249</v>
      </c>
      <c r="S303" t="s">
        <v>472</v>
      </c>
      <c r="T303" t="s">
        <v>2759</v>
      </c>
      <c r="U303" t="s">
        <v>3250</v>
      </c>
      <c r="V303" t="s">
        <v>3250</v>
      </c>
      <c r="W303" t="s">
        <v>3250</v>
      </c>
      <c r="X303" t="s">
        <v>3250</v>
      </c>
      <c r="Y303" t="s">
        <v>3250</v>
      </c>
      <c r="Z303" t="s">
        <v>3250</v>
      </c>
      <c r="AA303" t="s">
        <v>3108</v>
      </c>
      <c r="AB303" t="s">
        <v>3108</v>
      </c>
      <c r="AC303" t="s">
        <v>3250</v>
      </c>
      <c r="AD303" t="s">
        <v>3250</v>
      </c>
      <c r="AE303" t="s">
        <v>3250</v>
      </c>
      <c r="AF303" t="s">
        <v>3250</v>
      </c>
      <c r="AG303" t="s">
        <v>3250</v>
      </c>
      <c r="AH303" t="s">
        <v>3250</v>
      </c>
      <c r="AI303" t="s">
        <v>3250</v>
      </c>
      <c r="AJ303" t="s">
        <v>3250</v>
      </c>
      <c r="AL303" t="s">
        <v>3250</v>
      </c>
      <c r="AM303" t="s">
        <v>3250</v>
      </c>
      <c r="AN303" t="s">
        <v>3250</v>
      </c>
      <c r="AO303" t="s">
        <v>3250</v>
      </c>
      <c r="AS303" t="s">
        <v>3250</v>
      </c>
      <c r="AT303" t="s">
        <v>3250</v>
      </c>
      <c r="AU303" t="s">
        <v>3250</v>
      </c>
      <c r="AV303" t="s">
        <v>3250</v>
      </c>
      <c r="AW303" t="s">
        <v>3250</v>
      </c>
      <c r="AX303" t="s">
        <v>3250</v>
      </c>
      <c r="AY303" t="s">
        <v>3250</v>
      </c>
      <c r="AZ303" t="s">
        <v>3250</v>
      </c>
      <c r="BA303" t="s">
        <v>3250</v>
      </c>
      <c r="BB303" t="s">
        <v>3250</v>
      </c>
      <c r="BC303" t="s">
        <v>3250</v>
      </c>
      <c r="BE303" t="s">
        <v>3250</v>
      </c>
      <c r="BF303" t="s">
        <v>3250</v>
      </c>
      <c r="BG303" t="s">
        <v>3250</v>
      </c>
      <c r="BH303" t="s">
        <v>3250</v>
      </c>
      <c r="BI303" t="s">
        <v>3250</v>
      </c>
      <c r="BK303" t="s">
        <v>3250</v>
      </c>
      <c r="BL303" t="s">
        <v>3250</v>
      </c>
      <c r="BM303" t="s">
        <v>3250</v>
      </c>
      <c r="BN303" t="s">
        <v>3250</v>
      </c>
      <c r="BP303">
        <v>1</v>
      </c>
      <c r="BQ303">
        <v>11</v>
      </c>
      <c r="BR303" t="s">
        <v>1574</v>
      </c>
      <c r="BS303" t="s">
        <v>3252</v>
      </c>
      <c r="BV303">
        <v>2910263</v>
      </c>
      <c r="BW303">
        <v>5689594</v>
      </c>
      <c r="BX303">
        <v>6329388</v>
      </c>
      <c r="BY303">
        <v>-3662632</v>
      </c>
      <c r="BZ303">
        <v>-3662632</v>
      </c>
      <c r="CA303">
        <v>-3805475</v>
      </c>
      <c r="CB303">
        <v>-3957694</v>
      </c>
      <c r="CC303">
        <v>-4116001</v>
      </c>
      <c r="CD303">
        <v>3273747</v>
      </c>
      <c r="CE303" t="s">
        <v>3108</v>
      </c>
      <c r="CF303" t="s">
        <v>3108</v>
      </c>
      <c r="CG303" t="s">
        <v>3108</v>
      </c>
      <c r="CH303" t="s">
        <v>3108</v>
      </c>
    </row>
    <row r="304" spans="1:86" x14ac:dyDescent="0.2">
      <c r="A304" t="s">
        <v>3851</v>
      </c>
      <c r="B304" t="s">
        <v>3851</v>
      </c>
      <c r="C304">
        <v>30607</v>
      </c>
      <c r="D304">
        <v>538</v>
      </c>
      <c r="E304" t="s">
        <v>3852</v>
      </c>
      <c r="F304">
        <v>200</v>
      </c>
      <c r="G304" t="s">
        <v>467</v>
      </c>
      <c r="H304">
        <v>200</v>
      </c>
      <c r="I304" t="s">
        <v>3840</v>
      </c>
      <c r="J304" t="s">
        <v>3250</v>
      </c>
      <c r="K304" t="s">
        <v>3250</v>
      </c>
      <c r="L304">
        <v>1200</v>
      </c>
      <c r="M304" t="s">
        <v>2368</v>
      </c>
      <c r="N304">
        <v>1204</v>
      </c>
      <c r="O304" t="s">
        <v>1574</v>
      </c>
      <c r="P304" t="s">
        <v>3108</v>
      </c>
      <c r="Q304" t="s">
        <v>3249</v>
      </c>
      <c r="R304" t="s">
        <v>3249</v>
      </c>
      <c r="S304" t="s">
        <v>472</v>
      </c>
      <c r="T304" t="s">
        <v>2759</v>
      </c>
      <c r="U304" t="s">
        <v>3250</v>
      </c>
      <c r="V304" t="s">
        <v>3250</v>
      </c>
      <c r="W304" t="s">
        <v>3250</v>
      </c>
      <c r="X304" t="s">
        <v>3250</v>
      </c>
      <c r="Y304" t="s">
        <v>3250</v>
      </c>
      <c r="Z304" t="s">
        <v>3250</v>
      </c>
      <c r="AA304" t="s">
        <v>3108</v>
      </c>
      <c r="AB304" t="s">
        <v>3108</v>
      </c>
      <c r="AC304" t="s">
        <v>3250</v>
      </c>
      <c r="AD304" t="s">
        <v>3250</v>
      </c>
      <c r="AE304" t="s">
        <v>3250</v>
      </c>
      <c r="AF304" t="s">
        <v>3250</v>
      </c>
      <c r="AG304" t="s">
        <v>3250</v>
      </c>
      <c r="AH304" t="s">
        <v>3250</v>
      </c>
      <c r="AI304" t="s">
        <v>3250</v>
      </c>
      <c r="AJ304" t="s">
        <v>3250</v>
      </c>
      <c r="AL304" t="s">
        <v>3250</v>
      </c>
      <c r="AM304" t="s">
        <v>3250</v>
      </c>
      <c r="AN304" t="s">
        <v>3250</v>
      </c>
      <c r="AO304" t="s">
        <v>3250</v>
      </c>
      <c r="AS304" t="s">
        <v>3250</v>
      </c>
      <c r="AT304" t="s">
        <v>3250</v>
      </c>
      <c r="AU304" t="s">
        <v>3250</v>
      </c>
      <c r="AV304" t="s">
        <v>3250</v>
      </c>
      <c r="AW304" t="s">
        <v>3250</v>
      </c>
      <c r="AX304" t="s">
        <v>3250</v>
      </c>
      <c r="AY304" t="s">
        <v>3250</v>
      </c>
      <c r="AZ304" t="s">
        <v>3250</v>
      </c>
      <c r="BA304" t="s">
        <v>3250</v>
      </c>
      <c r="BB304" t="s">
        <v>3250</v>
      </c>
      <c r="BC304" t="s">
        <v>3250</v>
      </c>
      <c r="BE304" t="s">
        <v>3250</v>
      </c>
      <c r="BF304" t="s">
        <v>3250</v>
      </c>
      <c r="BG304" t="s">
        <v>3250</v>
      </c>
      <c r="BH304" t="s">
        <v>3250</v>
      </c>
      <c r="BI304" t="s">
        <v>3250</v>
      </c>
      <c r="BK304" t="s">
        <v>3250</v>
      </c>
      <c r="BL304" t="s">
        <v>3250</v>
      </c>
      <c r="BM304" t="s">
        <v>3250</v>
      </c>
      <c r="BN304" t="s">
        <v>3250</v>
      </c>
      <c r="BP304">
        <v>1</v>
      </c>
      <c r="BQ304">
        <v>11</v>
      </c>
      <c r="BR304" t="s">
        <v>1574</v>
      </c>
      <c r="BS304" t="s">
        <v>3252</v>
      </c>
      <c r="BV304">
        <v>0</v>
      </c>
      <c r="BW304">
        <v>103401</v>
      </c>
      <c r="BX304">
        <v>98550</v>
      </c>
      <c r="BY304">
        <v>0</v>
      </c>
      <c r="BZ304">
        <v>0</v>
      </c>
      <c r="CA304">
        <v>0</v>
      </c>
      <c r="CB304">
        <v>0</v>
      </c>
      <c r="CC304">
        <v>0</v>
      </c>
      <c r="CD304">
        <v>0</v>
      </c>
      <c r="CE304" t="s">
        <v>3108</v>
      </c>
      <c r="CF304" t="s">
        <v>3108</v>
      </c>
      <c r="CG304" t="s">
        <v>3108</v>
      </c>
      <c r="CH304" t="s">
        <v>3108</v>
      </c>
    </row>
    <row r="305" spans="1:86" x14ac:dyDescent="0.2">
      <c r="A305" t="s">
        <v>3853</v>
      </c>
      <c r="B305" t="s">
        <v>3853</v>
      </c>
      <c r="C305">
        <v>30608</v>
      </c>
      <c r="D305">
        <v>539</v>
      </c>
      <c r="E305" t="s">
        <v>3854</v>
      </c>
      <c r="F305">
        <v>200</v>
      </c>
      <c r="G305" t="s">
        <v>467</v>
      </c>
      <c r="H305">
        <v>200</v>
      </c>
      <c r="I305" t="s">
        <v>3840</v>
      </c>
      <c r="J305" t="s">
        <v>3250</v>
      </c>
      <c r="K305" t="s">
        <v>3250</v>
      </c>
      <c r="L305">
        <v>1200</v>
      </c>
      <c r="M305" t="s">
        <v>2368</v>
      </c>
      <c r="N305">
        <v>1204</v>
      </c>
      <c r="O305" t="s">
        <v>1574</v>
      </c>
      <c r="P305" t="s">
        <v>3108</v>
      </c>
      <c r="Q305" t="s">
        <v>3249</v>
      </c>
      <c r="R305" t="s">
        <v>3249</v>
      </c>
      <c r="S305" t="s">
        <v>472</v>
      </c>
      <c r="T305" t="s">
        <v>2759</v>
      </c>
      <c r="U305" t="s">
        <v>3250</v>
      </c>
      <c r="V305" t="s">
        <v>3250</v>
      </c>
      <c r="W305" t="s">
        <v>3250</v>
      </c>
      <c r="X305" t="s">
        <v>3250</v>
      </c>
      <c r="Y305" t="s">
        <v>3250</v>
      </c>
      <c r="Z305" t="s">
        <v>3250</v>
      </c>
      <c r="AA305" t="s">
        <v>3108</v>
      </c>
      <c r="AB305" t="s">
        <v>3108</v>
      </c>
      <c r="AC305" t="s">
        <v>3250</v>
      </c>
      <c r="AD305" t="s">
        <v>3250</v>
      </c>
      <c r="AE305" t="s">
        <v>3250</v>
      </c>
      <c r="AF305" t="s">
        <v>3250</v>
      </c>
      <c r="AG305" t="s">
        <v>3250</v>
      </c>
      <c r="AH305" t="s">
        <v>3250</v>
      </c>
      <c r="AI305" t="s">
        <v>3250</v>
      </c>
      <c r="AJ305" t="s">
        <v>3250</v>
      </c>
      <c r="AL305" t="s">
        <v>3250</v>
      </c>
      <c r="AM305" t="s">
        <v>3250</v>
      </c>
      <c r="AN305" t="s">
        <v>3250</v>
      </c>
      <c r="AO305" t="s">
        <v>3250</v>
      </c>
      <c r="AS305" t="s">
        <v>3250</v>
      </c>
      <c r="AT305" t="s">
        <v>3250</v>
      </c>
      <c r="AU305" t="s">
        <v>3250</v>
      </c>
      <c r="AV305" t="s">
        <v>3250</v>
      </c>
      <c r="AW305" t="s">
        <v>3250</v>
      </c>
      <c r="AX305" t="s">
        <v>3250</v>
      </c>
      <c r="AY305" t="s">
        <v>3250</v>
      </c>
      <c r="AZ305" t="s">
        <v>3250</v>
      </c>
      <c r="BA305" t="s">
        <v>3250</v>
      </c>
      <c r="BB305" t="s">
        <v>3250</v>
      </c>
      <c r="BC305" t="s">
        <v>3250</v>
      </c>
      <c r="BE305" t="s">
        <v>3250</v>
      </c>
      <c r="BF305" t="s">
        <v>3250</v>
      </c>
      <c r="BG305" t="s">
        <v>3250</v>
      </c>
      <c r="BH305" t="s">
        <v>3250</v>
      </c>
      <c r="BI305" t="s">
        <v>3250</v>
      </c>
      <c r="BK305" t="s">
        <v>3250</v>
      </c>
      <c r="BL305" t="s">
        <v>3250</v>
      </c>
      <c r="BM305" t="s">
        <v>3250</v>
      </c>
      <c r="BN305" t="s">
        <v>3250</v>
      </c>
      <c r="BP305">
        <v>1</v>
      </c>
      <c r="BQ305">
        <v>11</v>
      </c>
      <c r="BR305" t="s">
        <v>1574</v>
      </c>
      <c r="BS305" t="s">
        <v>3252</v>
      </c>
      <c r="BV305">
        <v>0</v>
      </c>
      <c r="BW305">
        <v>39084</v>
      </c>
      <c r="BX305">
        <v>37243</v>
      </c>
      <c r="BY305">
        <v>-317724</v>
      </c>
      <c r="BZ305">
        <v>-317724</v>
      </c>
      <c r="CA305">
        <v>-330116</v>
      </c>
      <c r="CB305">
        <v>-343320</v>
      </c>
      <c r="CC305">
        <v>-357053</v>
      </c>
      <c r="CD305">
        <v>0</v>
      </c>
      <c r="CE305" t="s">
        <v>3108</v>
      </c>
      <c r="CF305" t="s">
        <v>3108</v>
      </c>
      <c r="CG305" t="s">
        <v>3108</v>
      </c>
      <c r="CH305" t="s">
        <v>3108</v>
      </c>
    </row>
    <row r="306" spans="1:86" x14ac:dyDescent="0.2">
      <c r="A306" t="s">
        <v>3855</v>
      </c>
      <c r="B306" t="s">
        <v>3855</v>
      </c>
      <c r="C306">
        <v>30609</v>
      </c>
      <c r="D306">
        <v>540</v>
      </c>
      <c r="E306" t="s">
        <v>3856</v>
      </c>
      <c r="F306">
        <v>200</v>
      </c>
      <c r="G306" t="s">
        <v>467</v>
      </c>
      <c r="H306">
        <v>200</v>
      </c>
      <c r="I306" t="s">
        <v>3840</v>
      </c>
      <c r="J306" t="s">
        <v>3250</v>
      </c>
      <c r="K306" t="s">
        <v>3250</v>
      </c>
      <c r="L306">
        <v>1200</v>
      </c>
      <c r="M306" t="s">
        <v>2368</v>
      </c>
      <c r="N306">
        <v>1204</v>
      </c>
      <c r="O306" t="s">
        <v>1574</v>
      </c>
      <c r="P306" t="s">
        <v>3108</v>
      </c>
      <c r="Q306" t="s">
        <v>3249</v>
      </c>
      <c r="R306" t="s">
        <v>3249</v>
      </c>
      <c r="S306" t="s">
        <v>472</v>
      </c>
      <c r="T306" t="s">
        <v>2759</v>
      </c>
      <c r="U306" t="s">
        <v>3250</v>
      </c>
      <c r="V306" t="s">
        <v>3250</v>
      </c>
      <c r="W306" t="s">
        <v>3250</v>
      </c>
      <c r="X306" t="s">
        <v>3250</v>
      </c>
      <c r="Y306" t="s">
        <v>3250</v>
      </c>
      <c r="Z306" t="s">
        <v>3250</v>
      </c>
      <c r="AA306" t="s">
        <v>3108</v>
      </c>
      <c r="AB306" t="s">
        <v>3108</v>
      </c>
      <c r="AC306" t="s">
        <v>3250</v>
      </c>
      <c r="AD306" t="s">
        <v>3250</v>
      </c>
      <c r="AE306" t="s">
        <v>3250</v>
      </c>
      <c r="AF306" t="s">
        <v>3250</v>
      </c>
      <c r="AG306" t="s">
        <v>3250</v>
      </c>
      <c r="AH306" t="s">
        <v>3250</v>
      </c>
      <c r="AI306" t="s">
        <v>3250</v>
      </c>
      <c r="AJ306" t="s">
        <v>3250</v>
      </c>
      <c r="AL306" t="s">
        <v>3250</v>
      </c>
      <c r="AM306" t="s">
        <v>3250</v>
      </c>
      <c r="AN306" t="s">
        <v>3250</v>
      </c>
      <c r="AO306" t="s">
        <v>3250</v>
      </c>
      <c r="AS306" t="s">
        <v>3250</v>
      </c>
      <c r="AT306" t="s">
        <v>3250</v>
      </c>
      <c r="AU306" t="s">
        <v>3250</v>
      </c>
      <c r="AV306" t="s">
        <v>3250</v>
      </c>
      <c r="AW306" t="s">
        <v>3250</v>
      </c>
      <c r="AX306" t="s">
        <v>3250</v>
      </c>
      <c r="AY306" t="s">
        <v>3250</v>
      </c>
      <c r="AZ306" t="s">
        <v>3250</v>
      </c>
      <c r="BA306" t="s">
        <v>3250</v>
      </c>
      <c r="BB306" t="s">
        <v>3250</v>
      </c>
      <c r="BC306" t="s">
        <v>3250</v>
      </c>
      <c r="BE306" t="s">
        <v>3250</v>
      </c>
      <c r="BF306" t="s">
        <v>3250</v>
      </c>
      <c r="BG306" t="s">
        <v>3250</v>
      </c>
      <c r="BH306" t="s">
        <v>3250</v>
      </c>
      <c r="BI306" t="s">
        <v>3250</v>
      </c>
      <c r="BK306" t="s">
        <v>3250</v>
      </c>
      <c r="BL306" t="s">
        <v>3250</v>
      </c>
      <c r="BM306" t="s">
        <v>3250</v>
      </c>
      <c r="BN306" t="s">
        <v>3250</v>
      </c>
      <c r="BP306">
        <v>1</v>
      </c>
      <c r="BQ306">
        <v>11</v>
      </c>
      <c r="BR306" t="s">
        <v>1574</v>
      </c>
      <c r="BS306" t="s">
        <v>3252</v>
      </c>
      <c r="BV306">
        <v>0</v>
      </c>
      <c r="BW306">
        <v>-19023</v>
      </c>
      <c r="BX306">
        <v>0</v>
      </c>
      <c r="BY306">
        <v>0</v>
      </c>
      <c r="BZ306">
        <v>0</v>
      </c>
      <c r="CA306">
        <v>0</v>
      </c>
      <c r="CB306">
        <v>0</v>
      </c>
      <c r="CC306">
        <v>0</v>
      </c>
      <c r="CD306">
        <v>0</v>
      </c>
      <c r="CE306" t="s">
        <v>3108</v>
      </c>
      <c r="CF306" t="s">
        <v>3108</v>
      </c>
      <c r="CG306" t="s">
        <v>3108</v>
      </c>
      <c r="CH306" t="s">
        <v>3108</v>
      </c>
    </row>
    <row r="307" spans="1:86" x14ac:dyDescent="0.2">
      <c r="A307" t="s">
        <v>3857</v>
      </c>
      <c r="B307" t="s">
        <v>3857</v>
      </c>
      <c r="C307">
        <v>30610</v>
      </c>
      <c r="D307">
        <v>541</v>
      </c>
      <c r="E307" t="s">
        <v>3858</v>
      </c>
      <c r="F307">
        <v>200</v>
      </c>
      <c r="G307" t="s">
        <v>467</v>
      </c>
      <c r="H307">
        <v>200</v>
      </c>
      <c r="I307" t="s">
        <v>3840</v>
      </c>
      <c r="J307" t="s">
        <v>3250</v>
      </c>
      <c r="K307" t="s">
        <v>3250</v>
      </c>
      <c r="L307">
        <v>1200</v>
      </c>
      <c r="M307" t="s">
        <v>2368</v>
      </c>
      <c r="N307">
        <v>1204</v>
      </c>
      <c r="O307" t="s">
        <v>1574</v>
      </c>
      <c r="P307" t="s">
        <v>3108</v>
      </c>
      <c r="Q307" t="s">
        <v>3249</v>
      </c>
      <c r="R307" t="s">
        <v>3249</v>
      </c>
      <c r="S307" t="s">
        <v>472</v>
      </c>
      <c r="T307" t="s">
        <v>2759</v>
      </c>
      <c r="U307" t="s">
        <v>3250</v>
      </c>
      <c r="V307" t="s">
        <v>3250</v>
      </c>
      <c r="W307" t="s">
        <v>3250</v>
      </c>
      <c r="X307" t="s">
        <v>3250</v>
      </c>
      <c r="Y307" t="s">
        <v>3250</v>
      </c>
      <c r="Z307" t="s">
        <v>3250</v>
      </c>
      <c r="AA307" t="s">
        <v>3108</v>
      </c>
      <c r="AB307" t="s">
        <v>3108</v>
      </c>
      <c r="AC307" t="s">
        <v>3250</v>
      </c>
      <c r="AD307" t="s">
        <v>3250</v>
      </c>
      <c r="AE307" t="s">
        <v>3250</v>
      </c>
      <c r="AF307" t="s">
        <v>3250</v>
      </c>
      <c r="AG307" t="s">
        <v>3250</v>
      </c>
      <c r="AH307" t="s">
        <v>3250</v>
      </c>
      <c r="AI307" t="s">
        <v>3250</v>
      </c>
      <c r="AJ307" t="s">
        <v>3250</v>
      </c>
      <c r="AL307" t="s">
        <v>3250</v>
      </c>
      <c r="AM307" t="s">
        <v>3250</v>
      </c>
      <c r="AN307" t="s">
        <v>3250</v>
      </c>
      <c r="AO307" t="s">
        <v>3250</v>
      </c>
      <c r="AS307" t="s">
        <v>3250</v>
      </c>
      <c r="AT307" t="s">
        <v>3250</v>
      </c>
      <c r="AU307" t="s">
        <v>3250</v>
      </c>
      <c r="AV307" t="s">
        <v>3250</v>
      </c>
      <c r="AW307" t="s">
        <v>3250</v>
      </c>
      <c r="AX307" t="s">
        <v>3250</v>
      </c>
      <c r="AY307" t="s">
        <v>3250</v>
      </c>
      <c r="AZ307" t="s">
        <v>3250</v>
      </c>
      <c r="BA307" t="s">
        <v>3250</v>
      </c>
      <c r="BB307" t="s">
        <v>3250</v>
      </c>
      <c r="BC307" t="s">
        <v>3250</v>
      </c>
      <c r="BE307" t="s">
        <v>3250</v>
      </c>
      <c r="BF307" t="s">
        <v>3250</v>
      </c>
      <c r="BG307" t="s">
        <v>3250</v>
      </c>
      <c r="BH307" t="s">
        <v>3250</v>
      </c>
      <c r="BI307" t="s">
        <v>3250</v>
      </c>
      <c r="BK307" t="s">
        <v>3250</v>
      </c>
      <c r="BL307" t="s">
        <v>3250</v>
      </c>
      <c r="BM307" t="s">
        <v>3250</v>
      </c>
      <c r="BN307" t="s">
        <v>3250</v>
      </c>
      <c r="BP307">
        <v>1</v>
      </c>
      <c r="BQ307">
        <v>11</v>
      </c>
      <c r="BR307" t="s">
        <v>1574</v>
      </c>
      <c r="BS307" t="s">
        <v>3252</v>
      </c>
      <c r="BV307">
        <v>0</v>
      </c>
      <c r="BW307">
        <v>0</v>
      </c>
      <c r="BX307">
        <v>0</v>
      </c>
      <c r="BY307">
        <v>0</v>
      </c>
      <c r="BZ307">
        <v>0</v>
      </c>
      <c r="CA307">
        <v>0</v>
      </c>
      <c r="CB307">
        <v>0</v>
      </c>
      <c r="CC307">
        <v>0</v>
      </c>
      <c r="CD307">
        <v>0</v>
      </c>
      <c r="CE307" t="s">
        <v>3108</v>
      </c>
      <c r="CF307" t="s">
        <v>3108</v>
      </c>
      <c r="CG307" t="s">
        <v>3108</v>
      </c>
      <c r="CH307" t="s">
        <v>3108</v>
      </c>
    </row>
    <row r="308" spans="1:86" x14ac:dyDescent="0.2">
      <c r="A308" t="s">
        <v>3859</v>
      </c>
      <c r="B308" t="s">
        <v>3859</v>
      </c>
      <c r="C308">
        <v>30611</v>
      </c>
      <c r="D308">
        <v>542</v>
      </c>
      <c r="E308" t="s">
        <v>3860</v>
      </c>
      <c r="F308">
        <v>200</v>
      </c>
      <c r="G308" t="s">
        <v>467</v>
      </c>
      <c r="H308">
        <v>200</v>
      </c>
      <c r="I308" t="s">
        <v>3840</v>
      </c>
      <c r="J308" t="s">
        <v>3250</v>
      </c>
      <c r="K308" t="s">
        <v>3250</v>
      </c>
      <c r="L308">
        <v>1200</v>
      </c>
      <c r="M308" t="s">
        <v>2368</v>
      </c>
      <c r="N308">
        <v>1204</v>
      </c>
      <c r="O308" t="s">
        <v>1574</v>
      </c>
      <c r="P308" t="s">
        <v>3108</v>
      </c>
      <c r="Q308" t="s">
        <v>3249</v>
      </c>
      <c r="R308" t="s">
        <v>3249</v>
      </c>
      <c r="S308" t="s">
        <v>472</v>
      </c>
      <c r="T308" t="s">
        <v>2759</v>
      </c>
      <c r="U308" t="s">
        <v>3250</v>
      </c>
      <c r="V308" t="s">
        <v>3250</v>
      </c>
      <c r="W308" t="s">
        <v>3250</v>
      </c>
      <c r="X308" t="s">
        <v>3250</v>
      </c>
      <c r="Y308" t="s">
        <v>3250</v>
      </c>
      <c r="Z308" t="s">
        <v>3250</v>
      </c>
      <c r="AA308" t="s">
        <v>3108</v>
      </c>
      <c r="AB308" t="s">
        <v>3108</v>
      </c>
      <c r="AC308" t="s">
        <v>3250</v>
      </c>
      <c r="AD308" t="s">
        <v>3250</v>
      </c>
      <c r="AE308" t="s">
        <v>3250</v>
      </c>
      <c r="AF308" t="s">
        <v>3250</v>
      </c>
      <c r="AG308" t="s">
        <v>3250</v>
      </c>
      <c r="AH308" t="s">
        <v>3250</v>
      </c>
      <c r="AI308" t="s">
        <v>3250</v>
      </c>
      <c r="AJ308" t="s">
        <v>3250</v>
      </c>
      <c r="AL308" t="s">
        <v>3250</v>
      </c>
      <c r="AM308" t="s">
        <v>3250</v>
      </c>
      <c r="AN308" t="s">
        <v>3250</v>
      </c>
      <c r="AO308" t="s">
        <v>3250</v>
      </c>
      <c r="AS308" t="s">
        <v>3250</v>
      </c>
      <c r="AT308" t="s">
        <v>3250</v>
      </c>
      <c r="AU308" t="s">
        <v>3250</v>
      </c>
      <c r="AV308" t="s">
        <v>3250</v>
      </c>
      <c r="AW308" t="s">
        <v>3250</v>
      </c>
      <c r="AX308" t="s">
        <v>3250</v>
      </c>
      <c r="AY308" t="s">
        <v>3250</v>
      </c>
      <c r="AZ308" t="s">
        <v>3250</v>
      </c>
      <c r="BA308" t="s">
        <v>3250</v>
      </c>
      <c r="BB308" t="s">
        <v>3250</v>
      </c>
      <c r="BC308" t="s">
        <v>3250</v>
      </c>
      <c r="BE308" t="s">
        <v>3250</v>
      </c>
      <c r="BF308" t="s">
        <v>3250</v>
      </c>
      <c r="BG308" t="s">
        <v>3250</v>
      </c>
      <c r="BH308" t="s">
        <v>3250</v>
      </c>
      <c r="BI308" t="s">
        <v>3250</v>
      </c>
      <c r="BK308" t="s">
        <v>3250</v>
      </c>
      <c r="BL308" t="s">
        <v>3250</v>
      </c>
      <c r="BM308" t="s">
        <v>3250</v>
      </c>
      <c r="BN308" t="s">
        <v>3250</v>
      </c>
      <c r="BP308">
        <v>1</v>
      </c>
      <c r="BQ308">
        <v>11</v>
      </c>
      <c r="BR308" t="s">
        <v>1574</v>
      </c>
      <c r="BS308" t="s">
        <v>3252</v>
      </c>
      <c r="BV308">
        <v>1476036</v>
      </c>
      <c r="BW308">
        <v>0</v>
      </c>
      <c r="BX308">
        <v>0</v>
      </c>
      <c r="BY308">
        <v>0</v>
      </c>
      <c r="BZ308">
        <v>0</v>
      </c>
      <c r="CA308">
        <v>0</v>
      </c>
      <c r="CB308">
        <v>0</v>
      </c>
      <c r="CC308">
        <v>0</v>
      </c>
      <c r="CD308">
        <v>1332858</v>
      </c>
      <c r="CE308" t="s">
        <v>3108</v>
      </c>
      <c r="CF308" t="s">
        <v>3108</v>
      </c>
      <c r="CG308" t="s">
        <v>3108</v>
      </c>
      <c r="CH308" t="s">
        <v>3108</v>
      </c>
    </row>
    <row r="309" spans="1:86" x14ac:dyDescent="0.2">
      <c r="A309" t="s">
        <v>3861</v>
      </c>
      <c r="B309" t="s">
        <v>3861</v>
      </c>
      <c r="C309">
        <v>30612</v>
      </c>
      <c r="D309">
        <v>543</v>
      </c>
      <c r="E309" t="s">
        <v>3862</v>
      </c>
      <c r="F309">
        <v>200</v>
      </c>
      <c r="G309" t="s">
        <v>467</v>
      </c>
      <c r="H309">
        <v>200</v>
      </c>
      <c r="I309" t="s">
        <v>3840</v>
      </c>
      <c r="J309" t="s">
        <v>3250</v>
      </c>
      <c r="K309" t="s">
        <v>3250</v>
      </c>
      <c r="L309">
        <v>1200</v>
      </c>
      <c r="M309" t="s">
        <v>2368</v>
      </c>
      <c r="N309">
        <v>1204</v>
      </c>
      <c r="O309" t="s">
        <v>1574</v>
      </c>
      <c r="P309" t="s">
        <v>3108</v>
      </c>
      <c r="Q309" t="s">
        <v>3249</v>
      </c>
      <c r="R309" t="s">
        <v>3249</v>
      </c>
      <c r="S309" t="s">
        <v>472</v>
      </c>
      <c r="T309" t="s">
        <v>2759</v>
      </c>
      <c r="U309" t="s">
        <v>3250</v>
      </c>
      <c r="V309" t="s">
        <v>3250</v>
      </c>
      <c r="W309" t="s">
        <v>3250</v>
      </c>
      <c r="X309" t="s">
        <v>3250</v>
      </c>
      <c r="Y309" t="s">
        <v>3250</v>
      </c>
      <c r="Z309" t="s">
        <v>3250</v>
      </c>
      <c r="AA309" t="s">
        <v>3108</v>
      </c>
      <c r="AB309" t="s">
        <v>3108</v>
      </c>
      <c r="AC309" t="s">
        <v>3250</v>
      </c>
      <c r="AD309" t="s">
        <v>3250</v>
      </c>
      <c r="AE309" t="s">
        <v>3250</v>
      </c>
      <c r="AF309" t="s">
        <v>3250</v>
      </c>
      <c r="AG309" t="s">
        <v>3250</v>
      </c>
      <c r="AH309" t="s">
        <v>3250</v>
      </c>
      <c r="AI309" t="s">
        <v>3250</v>
      </c>
      <c r="AJ309" t="s">
        <v>3250</v>
      </c>
      <c r="AL309" t="s">
        <v>3250</v>
      </c>
      <c r="AM309" t="s">
        <v>3250</v>
      </c>
      <c r="AN309" t="s">
        <v>3250</v>
      </c>
      <c r="AO309" t="s">
        <v>3250</v>
      </c>
      <c r="AS309" t="s">
        <v>3250</v>
      </c>
      <c r="AT309" t="s">
        <v>3250</v>
      </c>
      <c r="AU309" t="s">
        <v>3250</v>
      </c>
      <c r="AV309" t="s">
        <v>3250</v>
      </c>
      <c r="AW309" t="s">
        <v>3250</v>
      </c>
      <c r="AX309" t="s">
        <v>3250</v>
      </c>
      <c r="AY309" t="s">
        <v>3250</v>
      </c>
      <c r="AZ309" t="s">
        <v>3250</v>
      </c>
      <c r="BA309" t="s">
        <v>3250</v>
      </c>
      <c r="BB309" t="s">
        <v>3250</v>
      </c>
      <c r="BC309" t="s">
        <v>3250</v>
      </c>
      <c r="BE309" t="s">
        <v>3250</v>
      </c>
      <c r="BF309" t="s">
        <v>3250</v>
      </c>
      <c r="BG309" t="s">
        <v>3250</v>
      </c>
      <c r="BH309" t="s">
        <v>3250</v>
      </c>
      <c r="BI309" t="s">
        <v>3250</v>
      </c>
      <c r="BK309" t="s">
        <v>3250</v>
      </c>
      <c r="BL309" t="s">
        <v>3250</v>
      </c>
      <c r="BM309" t="s">
        <v>3250</v>
      </c>
      <c r="BN309" t="s">
        <v>3250</v>
      </c>
      <c r="BP309">
        <v>1</v>
      </c>
      <c r="BQ309">
        <v>11</v>
      </c>
      <c r="BR309" t="s">
        <v>1574</v>
      </c>
      <c r="BS309" t="s">
        <v>3252</v>
      </c>
      <c r="BV309">
        <v>0</v>
      </c>
      <c r="BW309">
        <v>18173</v>
      </c>
      <c r="BX309">
        <v>17307</v>
      </c>
      <c r="BY309">
        <v>0</v>
      </c>
      <c r="BZ309">
        <v>0</v>
      </c>
      <c r="CA309">
        <v>0</v>
      </c>
      <c r="CB309">
        <v>0</v>
      </c>
      <c r="CC309">
        <v>0</v>
      </c>
      <c r="CD309">
        <v>0</v>
      </c>
      <c r="CE309" t="s">
        <v>3108</v>
      </c>
      <c r="CF309" t="s">
        <v>3108</v>
      </c>
      <c r="CG309" t="s">
        <v>3108</v>
      </c>
      <c r="CH309" t="s">
        <v>3108</v>
      </c>
    </row>
    <row r="310" spans="1:86" x14ac:dyDescent="0.2">
      <c r="A310" t="s">
        <v>3863</v>
      </c>
      <c r="B310" t="s">
        <v>3863</v>
      </c>
      <c r="C310">
        <v>30613</v>
      </c>
      <c r="D310">
        <v>544</v>
      </c>
      <c r="E310" t="s">
        <v>3864</v>
      </c>
      <c r="F310">
        <v>200</v>
      </c>
      <c r="G310" t="s">
        <v>467</v>
      </c>
      <c r="H310">
        <v>200</v>
      </c>
      <c r="I310" t="s">
        <v>3840</v>
      </c>
      <c r="J310" t="s">
        <v>3250</v>
      </c>
      <c r="K310" t="s">
        <v>3250</v>
      </c>
      <c r="L310">
        <v>1200</v>
      </c>
      <c r="M310" t="s">
        <v>2368</v>
      </c>
      <c r="N310">
        <v>1204</v>
      </c>
      <c r="O310" t="s">
        <v>1574</v>
      </c>
      <c r="P310" t="s">
        <v>3108</v>
      </c>
      <c r="Q310" t="s">
        <v>3249</v>
      </c>
      <c r="R310" t="s">
        <v>3249</v>
      </c>
      <c r="S310" t="s">
        <v>472</v>
      </c>
      <c r="T310" t="s">
        <v>2759</v>
      </c>
      <c r="U310" t="s">
        <v>3250</v>
      </c>
      <c r="V310" t="s">
        <v>3250</v>
      </c>
      <c r="W310" t="s">
        <v>3250</v>
      </c>
      <c r="X310" t="s">
        <v>3250</v>
      </c>
      <c r="Y310" t="s">
        <v>3250</v>
      </c>
      <c r="Z310" t="s">
        <v>3250</v>
      </c>
      <c r="AA310" t="s">
        <v>3108</v>
      </c>
      <c r="AB310" t="s">
        <v>3108</v>
      </c>
      <c r="AC310" t="s">
        <v>3250</v>
      </c>
      <c r="AD310" t="s">
        <v>3250</v>
      </c>
      <c r="AE310" t="s">
        <v>3250</v>
      </c>
      <c r="AF310" t="s">
        <v>3250</v>
      </c>
      <c r="AG310" t="s">
        <v>3250</v>
      </c>
      <c r="AH310" t="s">
        <v>3250</v>
      </c>
      <c r="AI310" t="s">
        <v>3250</v>
      </c>
      <c r="AJ310" t="s">
        <v>3250</v>
      </c>
      <c r="AL310" t="s">
        <v>3250</v>
      </c>
      <c r="AM310" t="s">
        <v>3250</v>
      </c>
      <c r="AN310" t="s">
        <v>3250</v>
      </c>
      <c r="AO310" t="s">
        <v>3250</v>
      </c>
      <c r="AS310" t="s">
        <v>3250</v>
      </c>
      <c r="AT310" t="s">
        <v>3250</v>
      </c>
      <c r="AU310" t="s">
        <v>3250</v>
      </c>
      <c r="AV310" t="s">
        <v>3250</v>
      </c>
      <c r="AW310" t="s">
        <v>3250</v>
      </c>
      <c r="AX310" t="s">
        <v>3250</v>
      </c>
      <c r="AY310" t="s">
        <v>3250</v>
      </c>
      <c r="AZ310" t="s">
        <v>3250</v>
      </c>
      <c r="BA310" t="s">
        <v>3250</v>
      </c>
      <c r="BB310" t="s">
        <v>3250</v>
      </c>
      <c r="BC310" t="s">
        <v>3250</v>
      </c>
      <c r="BE310" t="s">
        <v>3250</v>
      </c>
      <c r="BF310" t="s">
        <v>3250</v>
      </c>
      <c r="BG310" t="s">
        <v>3250</v>
      </c>
      <c r="BH310" t="s">
        <v>3250</v>
      </c>
      <c r="BI310" t="s">
        <v>3250</v>
      </c>
      <c r="BK310" t="s">
        <v>3250</v>
      </c>
      <c r="BL310" t="s">
        <v>3250</v>
      </c>
      <c r="BM310" t="s">
        <v>3250</v>
      </c>
      <c r="BN310" t="s">
        <v>3250</v>
      </c>
      <c r="BP310">
        <v>1</v>
      </c>
      <c r="BQ310">
        <v>11</v>
      </c>
      <c r="BR310" t="s">
        <v>1574</v>
      </c>
      <c r="BS310" t="s">
        <v>3252</v>
      </c>
      <c r="BV310">
        <v>0</v>
      </c>
      <c r="BW310">
        <v>121450</v>
      </c>
      <c r="BX310">
        <v>116722</v>
      </c>
      <c r="BY310">
        <v>0</v>
      </c>
      <c r="BZ310">
        <v>0</v>
      </c>
      <c r="CA310">
        <v>0</v>
      </c>
      <c r="CB310">
        <v>0</v>
      </c>
      <c r="CC310">
        <v>0</v>
      </c>
      <c r="CD310">
        <v>0</v>
      </c>
      <c r="CE310" t="s">
        <v>3108</v>
      </c>
      <c r="CF310" t="s">
        <v>3108</v>
      </c>
      <c r="CG310" t="s">
        <v>3108</v>
      </c>
      <c r="CH310" t="s">
        <v>3108</v>
      </c>
    </row>
    <row r="311" spans="1:86" x14ac:dyDescent="0.2">
      <c r="A311" t="s">
        <v>3865</v>
      </c>
      <c r="B311" t="s">
        <v>3865</v>
      </c>
      <c r="C311">
        <v>30614</v>
      </c>
      <c r="D311">
        <v>545</v>
      </c>
      <c r="E311" t="s">
        <v>3866</v>
      </c>
      <c r="F311">
        <v>200</v>
      </c>
      <c r="G311" t="s">
        <v>467</v>
      </c>
      <c r="H311">
        <v>200</v>
      </c>
      <c r="I311" t="s">
        <v>3840</v>
      </c>
      <c r="J311" t="s">
        <v>3250</v>
      </c>
      <c r="K311" t="s">
        <v>3250</v>
      </c>
      <c r="L311">
        <v>1200</v>
      </c>
      <c r="M311" t="s">
        <v>2368</v>
      </c>
      <c r="N311">
        <v>1204</v>
      </c>
      <c r="O311" t="s">
        <v>1574</v>
      </c>
      <c r="P311" t="s">
        <v>3108</v>
      </c>
      <c r="Q311" t="s">
        <v>3249</v>
      </c>
      <c r="R311" t="s">
        <v>3249</v>
      </c>
      <c r="S311" t="s">
        <v>472</v>
      </c>
      <c r="T311" t="s">
        <v>2759</v>
      </c>
      <c r="U311" t="s">
        <v>3250</v>
      </c>
      <c r="V311" t="s">
        <v>3250</v>
      </c>
      <c r="W311" t="s">
        <v>3250</v>
      </c>
      <c r="X311" t="s">
        <v>3250</v>
      </c>
      <c r="Y311" t="s">
        <v>3250</v>
      </c>
      <c r="Z311" t="s">
        <v>3250</v>
      </c>
      <c r="AA311" t="s">
        <v>3108</v>
      </c>
      <c r="AB311" t="s">
        <v>3108</v>
      </c>
      <c r="AC311" t="s">
        <v>3250</v>
      </c>
      <c r="AD311" t="s">
        <v>3250</v>
      </c>
      <c r="AE311" t="s">
        <v>3250</v>
      </c>
      <c r="AF311" t="s">
        <v>3250</v>
      </c>
      <c r="AG311" t="s">
        <v>3250</v>
      </c>
      <c r="AH311" t="s">
        <v>3250</v>
      </c>
      <c r="AI311" t="s">
        <v>3250</v>
      </c>
      <c r="AJ311" t="s">
        <v>3250</v>
      </c>
      <c r="AL311" t="s">
        <v>3250</v>
      </c>
      <c r="AM311" t="s">
        <v>3250</v>
      </c>
      <c r="AN311" t="s">
        <v>3250</v>
      </c>
      <c r="AO311" t="s">
        <v>3250</v>
      </c>
      <c r="AS311" t="s">
        <v>3250</v>
      </c>
      <c r="AT311" t="s">
        <v>3250</v>
      </c>
      <c r="AU311" t="s">
        <v>3250</v>
      </c>
      <c r="AV311" t="s">
        <v>3250</v>
      </c>
      <c r="AW311" t="s">
        <v>3250</v>
      </c>
      <c r="AX311" t="s">
        <v>3250</v>
      </c>
      <c r="AY311" t="s">
        <v>3250</v>
      </c>
      <c r="AZ311" t="s">
        <v>3250</v>
      </c>
      <c r="BA311" t="s">
        <v>3250</v>
      </c>
      <c r="BB311" t="s">
        <v>3250</v>
      </c>
      <c r="BC311" t="s">
        <v>3250</v>
      </c>
      <c r="BE311" t="s">
        <v>3250</v>
      </c>
      <c r="BF311" t="s">
        <v>3250</v>
      </c>
      <c r="BG311" t="s">
        <v>3250</v>
      </c>
      <c r="BH311" t="s">
        <v>3250</v>
      </c>
      <c r="BI311" t="s">
        <v>3250</v>
      </c>
      <c r="BK311" t="s">
        <v>3250</v>
      </c>
      <c r="BL311" t="s">
        <v>3250</v>
      </c>
      <c r="BM311" t="s">
        <v>3250</v>
      </c>
      <c r="BN311" t="s">
        <v>3250</v>
      </c>
      <c r="BP311">
        <v>1</v>
      </c>
      <c r="BQ311">
        <v>11</v>
      </c>
      <c r="BR311" t="s">
        <v>1574</v>
      </c>
      <c r="BS311" t="s">
        <v>3252</v>
      </c>
      <c r="BV311">
        <v>0</v>
      </c>
      <c r="BW311">
        <v>1136745</v>
      </c>
      <c r="BX311">
        <v>890261</v>
      </c>
      <c r="BY311">
        <v>-1507430</v>
      </c>
      <c r="BZ311">
        <v>-1507430</v>
      </c>
      <c r="CA311">
        <v>-1566220</v>
      </c>
      <c r="CB311">
        <v>-1628869</v>
      </c>
      <c r="CC311">
        <v>-1694023</v>
      </c>
      <c r="CD311">
        <v>0</v>
      </c>
      <c r="CE311" t="s">
        <v>3108</v>
      </c>
      <c r="CF311" t="s">
        <v>3108</v>
      </c>
      <c r="CG311" t="s">
        <v>3108</v>
      </c>
      <c r="CH311" t="s">
        <v>3108</v>
      </c>
    </row>
    <row r="312" spans="1:86" x14ac:dyDescent="0.2">
      <c r="A312" t="s">
        <v>3867</v>
      </c>
      <c r="B312" t="s">
        <v>3867</v>
      </c>
      <c r="C312">
        <v>30615</v>
      </c>
      <c r="D312">
        <v>546</v>
      </c>
      <c r="E312" t="s">
        <v>3868</v>
      </c>
      <c r="F312">
        <v>200</v>
      </c>
      <c r="G312" t="s">
        <v>467</v>
      </c>
      <c r="H312">
        <v>200</v>
      </c>
      <c r="I312" t="s">
        <v>3840</v>
      </c>
      <c r="J312" t="s">
        <v>3250</v>
      </c>
      <c r="K312" t="s">
        <v>3250</v>
      </c>
      <c r="L312">
        <v>1200</v>
      </c>
      <c r="M312" t="s">
        <v>2368</v>
      </c>
      <c r="N312">
        <v>1204</v>
      </c>
      <c r="O312" t="s">
        <v>1574</v>
      </c>
      <c r="P312" t="s">
        <v>3108</v>
      </c>
      <c r="Q312" t="s">
        <v>3249</v>
      </c>
      <c r="R312" t="s">
        <v>3249</v>
      </c>
      <c r="S312" t="s">
        <v>472</v>
      </c>
      <c r="T312" t="s">
        <v>2759</v>
      </c>
      <c r="U312" t="s">
        <v>3250</v>
      </c>
      <c r="V312" t="s">
        <v>3250</v>
      </c>
      <c r="W312" t="s">
        <v>3250</v>
      </c>
      <c r="X312" t="s">
        <v>3250</v>
      </c>
      <c r="Y312" t="s">
        <v>3250</v>
      </c>
      <c r="Z312" t="s">
        <v>3250</v>
      </c>
      <c r="AA312" t="s">
        <v>3108</v>
      </c>
      <c r="AB312" t="s">
        <v>3108</v>
      </c>
      <c r="AC312" t="s">
        <v>3250</v>
      </c>
      <c r="AD312" t="s">
        <v>3250</v>
      </c>
      <c r="AE312" t="s">
        <v>3250</v>
      </c>
      <c r="AF312" t="s">
        <v>3250</v>
      </c>
      <c r="AG312" t="s">
        <v>3250</v>
      </c>
      <c r="AH312" t="s">
        <v>3250</v>
      </c>
      <c r="AI312" t="s">
        <v>3250</v>
      </c>
      <c r="AJ312" t="s">
        <v>3250</v>
      </c>
      <c r="AL312" t="s">
        <v>3250</v>
      </c>
      <c r="AM312" t="s">
        <v>3250</v>
      </c>
      <c r="AN312" t="s">
        <v>3250</v>
      </c>
      <c r="AO312" t="s">
        <v>3250</v>
      </c>
      <c r="AS312" t="s">
        <v>3250</v>
      </c>
      <c r="AT312" t="s">
        <v>3250</v>
      </c>
      <c r="AU312" t="s">
        <v>3250</v>
      </c>
      <c r="AV312" t="s">
        <v>3250</v>
      </c>
      <c r="AW312" t="s">
        <v>3250</v>
      </c>
      <c r="AX312" t="s">
        <v>3250</v>
      </c>
      <c r="AY312" t="s">
        <v>3250</v>
      </c>
      <c r="AZ312" t="s">
        <v>3250</v>
      </c>
      <c r="BA312" t="s">
        <v>3250</v>
      </c>
      <c r="BB312" t="s">
        <v>3250</v>
      </c>
      <c r="BC312" t="s">
        <v>3250</v>
      </c>
      <c r="BE312" t="s">
        <v>3250</v>
      </c>
      <c r="BF312" t="s">
        <v>3250</v>
      </c>
      <c r="BG312" t="s">
        <v>3250</v>
      </c>
      <c r="BH312" t="s">
        <v>3250</v>
      </c>
      <c r="BI312" t="s">
        <v>3250</v>
      </c>
      <c r="BK312" t="s">
        <v>3250</v>
      </c>
      <c r="BL312" t="s">
        <v>3250</v>
      </c>
      <c r="BM312" t="s">
        <v>3250</v>
      </c>
      <c r="BN312" t="s">
        <v>3250</v>
      </c>
      <c r="BP312">
        <v>1</v>
      </c>
      <c r="BQ312">
        <v>11</v>
      </c>
      <c r="BR312" t="s">
        <v>1574</v>
      </c>
      <c r="BS312" t="s">
        <v>3252</v>
      </c>
      <c r="BV312">
        <v>4146591</v>
      </c>
      <c r="BW312">
        <v>1165490</v>
      </c>
      <c r="BX312">
        <v>479295</v>
      </c>
      <c r="BY312">
        <v>-4635965</v>
      </c>
      <c r="BZ312">
        <v>-4635965</v>
      </c>
      <c r="CA312">
        <v>-4816767</v>
      </c>
      <c r="CB312">
        <v>-5009438</v>
      </c>
      <c r="CC312">
        <v>-5209816</v>
      </c>
      <c r="CD312">
        <v>3651156</v>
      </c>
      <c r="CE312" t="s">
        <v>3108</v>
      </c>
      <c r="CF312" t="s">
        <v>3108</v>
      </c>
      <c r="CG312" t="s">
        <v>3108</v>
      </c>
      <c r="CH312" t="s">
        <v>3108</v>
      </c>
    </row>
    <row r="313" spans="1:86" x14ac:dyDescent="0.2">
      <c r="A313" t="s">
        <v>3869</v>
      </c>
      <c r="B313" t="s">
        <v>3869</v>
      </c>
      <c r="C313">
        <v>40601</v>
      </c>
      <c r="D313">
        <v>547</v>
      </c>
      <c r="E313" t="s">
        <v>3839</v>
      </c>
      <c r="F313">
        <v>200</v>
      </c>
      <c r="G313" t="s">
        <v>467</v>
      </c>
      <c r="H313">
        <v>200</v>
      </c>
      <c r="I313" t="s">
        <v>3840</v>
      </c>
      <c r="J313" t="s">
        <v>3250</v>
      </c>
      <c r="K313" t="s">
        <v>3250</v>
      </c>
      <c r="L313">
        <v>1200</v>
      </c>
      <c r="M313" t="s">
        <v>2368</v>
      </c>
      <c r="N313">
        <v>1204</v>
      </c>
      <c r="O313" t="s">
        <v>1574</v>
      </c>
      <c r="P313" t="s">
        <v>3108</v>
      </c>
      <c r="Q313" t="s">
        <v>3249</v>
      </c>
      <c r="R313" t="s">
        <v>3249</v>
      </c>
      <c r="S313" t="s">
        <v>810</v>
      </c>
      <c r="T313" t="s">
        <v>2759</v>
      </c>
      <c r="U313" t="s">
        <v>3250</v>
      </c>
      <c r="V313" t="s">
        <v>3250</v>
      </c>
      <c r="W313" t="s">
        <v>3250</v>
      </c>
      <c r="X313" t="s">
        <v>3250</v>
      </c>
      <c r="Y313" t="s">
        <v>3250</v>
      </c>
      <c r="Z313" t="s">
        <v>3250</v>
      </c>
      <c r="AA313" t="s">
        <v>3108</v>
      </c>
      <c r="AB313" t="s">
        <v>3108</v>
      </c>
      <c r="AC313" t="s">
        <v>3250</v>
      </c>
      <c r="AD313" t="s">
        <v>3250</v>
      </c>
      <c r="AE313" t="s">
        <v>3250</v>
      </c>
      <c r="AF313" t="s">
        <v>3250</v>
      </c>
      <c r="AG313" t="s">
        <v>3250</v>
      </c>
      <c r="AH313" t="s">
        <v>3250</v>
      </c>
      <c r="AI313" t="s">
        <v>3250</v>
      </c>
      <c r="AJ313" t="s">
        <v>3250</v>
      </c>
      <c r="AL313" t="s">
        <v>3250</v>
      </c>
      <c r="AM313" t="s">
        <v>3250</v>
      </c>
      <c r="AN313" t="s">
        <v>3250</v>
      </c>
      <c r="AO313" t="s">
        <v>3250</v>
      </c>
      <c r="AS313" t="s">
        <v>3250</v>
      </c>
      <c r="AT313" t="s">
        <v>3250</v>
      </c>
      <c r="AU313" t="s">
        <v>3250</v>
      </c>
      <c r="AV313" t="s">
        <v>3250</v>
      </c>
      <c r="AW313" t="s">
        <v>3250</v>
      </c>
      <c r="AX313" t="s">
        <v>3250</v>
      </c>
      <c r="AY313" t="s">
        <v>3250</v>
      </c>
      <c r="AZ313" t="s">
        <v>3250</v>
      </c>
      <c r="BA313" t="s">
        <v>3250</v>
      </c>
      <c r="BB313" t="s">
        <v>3250</v>
      </c>
      <c r="BC313" t="s">
        <v>3250</v>
      </c>
      <c r="BE313" t="s">
        <v>3250</v>
      </c>
      <c r="BF313" t="s">
        <v>3250</v>
      </c>
      <c r="BG313" t="s">
        <v>3250</v>
      </c>
      <c r="BH313" t="s">
        <v>3250</v>
      </c>
      <c r="BI313" t="s">
        <v>3250</v>
      </c>
      <c r="BK313" t="s">
        <v>3250</v>
      </c>
      <c r="BL313" t="s">
        <v>3250</v>
      </c>
      <c r="BM313" t="s">
        <v>3250</v>
      </c>
      <c r="BN313" t="s">
        <v>3250</v>
      </c>
      <c r="BP313">
        <v>1</v>
      </c>
      <c r="BQ313">
        <v>11</v>
      </c>
      <c r="BR313" t="s">
        <v>1574</v>
      </c>
      <c r="BS313" t="s">
        <v>3252</v>
      </c>
      <c r="BV313">
        <v>0</v>
      </c>
      <c r="BW313">
        <v>0</v>
      </c>
      <c r="BX313">
        <v>0</v>
      </c>
      <c r="BY313">
        <v>0</v>
      </c>
      <c r="BZ313">
        <v>0</v>
      </c>
      <c r="CA313">
        <v>0</v>
      </c>
      <c r="CB313">
        <v>0</v>
      </c>
      <c r="CC313">
        <v>0</v>
      </c>
      <c r="CD313">
        <v>0</v>
      </c>
      <c r="CE313" t="s">
        <v>3108</v>
      </c>
      <c r="CF313" t="s">
        <v>3108</v>
      </c>
      <c r="CG313" t="s">
        <v>3108</v>
      </c>
      <c r="CH313" t="s">
        <v>3108</v>
      </c>
    </row>
    <row r="314" spans="1:86" x14ac:dyDescent="0.2">
      <c r="A314" t="s">
        <v>3870</v>
      </c>
      <c r="B314" t="s">
        <v>3870</v>
      </c>
      <c r="C314">
        <v>40602</v>
      </c>
      <c r="D314">
        <v>548</v>
      </c>
      <c r="E314" t="s">
        <v>3842</v>
      </c>
      <c r="F314">
        <v>200</v>
      </c>
      <c r="G314" t="s">
        <v>467</v>
      </c>
      <c r="H314">
        <v>200</v>
      </c>
      <c r="I314" t="s">
        <v>3840</v>
      </c>
      <c r="J314" t="s">
        <v>3250</v>
      </c>
      <c r="K314" t="s">
        <v>3250</v>
      </c>
      <c r="L314">
        <v>1200</v>
      </c>
      <c r="M314" t="s">
        <v>2368</v>
      </c>
      <c r="N314">
        <v>1204</v>
      </c>
      <c r="O314" t="s">
        <v>1574</v>
      </c>
      <c r="P314" t="s">
        <v>3108</v>
      </c>
      <c r="Q314" t="s">
        <v>3249</v>
      </c>
      <c r="R314" t="s">
        <v>3249</v>
      </c>
      <c r="S314" t="s">
        <v>810</v>
      </c>
      <c r="T314" t="s">
        <v>2759</v>
      </c>
      <c r="U314" t="s">
        <v>3250</v>
      </c>
      <c r="V314" t="s">
        <v>3250</v>
      </c>
      <c r="W314" t="s">
        <v>3250</v>
      </c>
      <c r="X314" t="s">
        <v>3250</v>
      </c>
      <c r="Y314" t="s">
        <v>3250</v>
      </c>
      <c r="Z314" t="s">
        <v>3250</v>
      </c>
      <c r="AA314" t="s">
        <v>3108</v>
      </c>
      <c r="AB314" t="s">
        <v>3108</v>
      </c>
      <c r="AC314" t="s">
        <v>3250</v>
      </c>
      <c r="AD314" t="s">
        <v>3250</v>
      </c>
      <c r="AE314" t="s">
        <v>3250</v>
      </c>
      <c r="AF314" t="s">
        <v>3250</v>
      </c>
      <c r="AG314" t="s">
        <v>3250</v>
      </c>
      <c r="AH314" t="s">
        <v>3250</v>
      </c>
      <c r="AI314" t="s">
        <v>3250</v>
      </c>
      <c r="AJ314" t="s">
        <v>3250</v>
      </c>
      <c r="AL314" t="s">
        <v>3250</v>
      </c>
      <c r="AM314" t="s">
        <v>3250</v>
      </c>
      <c r="AN314" t="s">
        <v>3250</v>
      </c>
      <c r="AO314" t="s">
        <v>3250</v>
      </c>
      <c r="AS314" t="s">
        <v>3250</v>
      </c>
      <c r="AT314" t="s">
        <v>3250</v>
      </c>
      <c r="AU314" t="s">
        <v>3250</v>
      </c>
      <c r="AV314" t="s">
        <v>3250</v>
      </c>
      <c r="AW314" t="s">
        <v>3250</v>
      </c>
      <c r="AX314" t="s">
        <v>3250</v>
      </c>
      <c r="AY314" t="s">
        <v>3250</v>
      </c>
      <c r="AZ314" t="s">
        <v>3250</v>
      </c>
      <c r="BA314" t="s">
        <v>3250</v>
      </c>
      <c r="BB314" t="s">
        <v>3250</v>
      </c>
      <c r="BC314" t="s">
        <v>3250</v>
      </c>
      <c r="BE314" t="s">
        <v>3250</v>
      </c>
      <c r="BF314" t="s">
        <v>3250</v>
      </c>
      <c r="BG314" t="s">
        <v>3250</v>
      </c>
      <c r="BH314" t="s">
        <v>3250</v>
      </c>
      <c r="BI314" t="s">
        <v>3250</v>
      </c>
      <c r="BK314" t="s">
        <v>3250</v>
      </c>
      <c r="BL314" t="s">
        <v>3250</v>
      </c>
      <c r="BM314" t="s">
        <v>3250</v>
      </c>
      <c r="BN314" t="s">
        <v>3250</v>
      </c>
      <c r="BP314">
        <v>1</v>
      </c>
      <c r="BQ314">
        <v>11</v>
      </c>
      <c r="BR314" t="s">
        <v>1574</v>
      </c>
      <c r="BS314" t="s">
        <v>3252</v>
      </c>
      <c r="BV314">
        <v>0</v>
      </c>
      <c r="BW314">
        <v>0</v>
      </c>
      <c r="BX314">
        <v>0</v>
      </c>
      <c r="BY314">
        <v>0</v>
      </c>
      <c r="BZ314">
        <v>0</v>
      </c>
      <c r="CA314">
        <v>0</v>
      </c>
      <c r="CB314">
        <v>0</v>
      </c>
      <c r="CC314">
        <v>0</v>
      </c>
      <c r="CD314">
        <v>0</v>
      </c>
      <c r="CE314" t="s">
        <v>3108</v>
      </c>
      <c r="CF314" t="s">
        <v>3108</v>
      </c>
      <c r="CG314" t="s">
        <v>3108</v>
      </c>
      <c r="CH314" t="s">
        <v>3108</v>
      </c>
    </row>
    <row r="315" spans="1:86" x14ac:dyDescent="0.2">
      <c r="A315" t="s">
        <v>3871</v>
      </c>
      <c r="B315" t="s">
        <v>3871</v>
      </c>
      <c r="C315">
        <v>40603</v>
      </c>
      <c r="D315">
        <v>549</v>
      </c>
      <c r="E315" t="s">
        <v>3844</v>
      </c>
      <c r="F315">
        <v>200</v>
      </c>
      <c r="G315" t="s">
        <v>467</v>
      </c>
      <c r="H315">
        <v>200</v>
      </c>
      <c r="I315" t="s">
        <v>3840</v>
      </c>
      <c r="J315" t="s">
        <v>3250</v>
      </c>
      <c r="K315" t="s">
        <v>3250</v>
      </c>
      <c r="L315">
        <v>1200</v>
      </c>
      <c r="M315" t="s">
        <v>2368</v>
      </c>
      <c r="N315">
        <v>1204</v>
      </c>
      <c r="O315" t="s">
        <v>1574</v>
      </c>
      <c r="P315" t="s">
        <v>3108</v>
      </c>
      <c r="Q315" t="s">
        <v>3249</v>
      </c>
      <c r="R315" t="s">
        <v>3249</v>
      </c>
      <c r="S315" t="s">
        <v>810</v>
      </c>
      <c r="T315" t="s">
        <v>2759</v>
      </c>
      <c r="U315" t="s">
        <v>3250</v>
      </c>
      <c r="V315" t="s">
        <v>3250</v>
      </c>
      <c r="W315" t="s">
        <v>3250</v>
      </c>
      <c r="X315" t="s">
        <v>3250</v>
      </c>
      <c r="Y315" t="s">
        <v>3250</v>
      </c>
      <c r="Z315" t="s">
        <v>3250</v>
      </c>
      <c r="AA315" t="s">
        <v>3108</v>
      </c>
      <c r="AB315" t="s">
        <v>3108</v>
      </c>
      <c r="AC315" t="s">
        <v>3250</v>
      </c>
      <c r="AD315" t="s">
        <v>3250</v>
      </c>
      <c r="AE315" t="s">
        <v>3250</v>
      </c>
      <c r="AF315" t="s">
        <v>3250</v>
      </c>
      <c r="AG315" t="s">
        <v>3250</v>
      </c>
      <c r="AH315" t="s">
        <v>3250</v>
      </c>
      <c r="AI315" t="s">
        <v>3250</v>
      </c>
      <c r="AJ315" t="s">
        <v>3250</v>
      </c>
      <c r="AL315" t="s">
        <v>3250</v>
      </c>
      <c r="AM315" t="s">
        <v>3250</v>
      </c>
      <c r="AN315" t="s">
        <v>3250</v>
      </c>
      <c r="AO315" t="s">
        <v>3250</v>
      </c>
      <c r="AS315" t="s">
        <v>3250</v>
      </c>
      <c r="AT315" t="s">
        <v>3250</v>
      </c>
      <c r="AU315" t="s">
        <v>3250</v>
      </c>
      <c r="AV315" t="s">
        <v>3250</v>
      </c>
      <c r="AW315" t="s">
        <v>3250</v>
      </c>
      <c r="AX315" t="s">
        <v>3250</v>
      </c>
      <c r="AY315" t="s">
        <v>3250</v>
      </c>
      <c r="AZ315" t="s">
        <v>3250</v>
      </c>
      <c r="BA315" t="s">
        <v>3250</v>
      </c>
      <c r="BB315" t="s">
        <v>3250</v>
      </c>
      <c r="BC315" t="s">
        <v>3250</v>
      </c>
      <c r="BE315" t="s">
        <v>3250</v>
      </c>
      <c r="BF315" t="s">
        <v>3250</v>
      </c>
      <c r="BG315" t="s">
        <v>3250</v>
      </c>
      <c r="BH315" t="s">
        <v>3250</v>
      </c>
      <c r="BI315" t="s">
        <v>3250</v>
      </c>
      <c r="BK315" t="s">
        <v>3250</v>
      </c>
      <c r="BL315" t="s">
        <v>3250</v>
      </c>
      <c r="BM315" t="s">
        <v>3250</v>
      </c>
      <c r="BN315" t="s">
        <v>3250</v>
      </c>
      <c r="BP315">
        <v>1</v>
      </c>
      <c r="BQ315">
        <v>11</v>
      </c>
      <c r="BR315" t="s">
        <v>1574</v>
      </c>
      <c r="BS315" t="s">
        <v>3252</v>
      </c>
      <c r="BV315">
        <v>0</v>
      </c>
      <c r="BW315">
        <v>0</v>
      </c>
      <c r="BX315">
        <v>0</v>
      </c>
      <c r="BY315">
        <v>0</v>
      </c>
      <c r="BZ315">
        <v>0</v>
      </c>
      <c r="CA315">
        <v>0</v>
      </c>
      <c r="CB315">
        <v>0</v>
      </c>
      <c r="CC315">
        <v>0</v>
      </c>
      <c r="CD315">
        <v>0</v>
      </c>
      <c r="CE315" t="s">
        <v>3108</v>
      </c>
      <c r="CF315" t="s">
        <v>3108</v>
      </c>
      <c r="CG315" t="s">
        <v>3108</v>
      </c>
      <c r="CH315" t="s">
        <v>3108</v>
      </c>
    </row>
    <row r="316" spans="1:86" x14ac:dyDescent="0.2">
      <c r="A316" t="s">
        <v>3872</v>
      </c>
      <c r="B316" t="s">
        <v>3872</v>
      </c>
      <c r="C316">
        <v>40604</v>
      </c>
      <c r="D316">
        <v>550</v>
      </c>
      <c r="E316" t="s">
        <v>3846</v>
      </c>
      <c r="F316">
        <v>200</v>
      </c>
      <c r="G316" t="s">
        <v>467</v>
      </c>
      <c r="H316">
        <v>200</v>
      </c>
      <c r="I316" t="s">
        <v>3840</v>
      </c>
      <c r="J316" t="s">
        <v>3250</v>
      </c>
      <c r="K316" t="s">
        <v>3250</v>
      </c>
      <c r="L316">
        <v>1200</v>
      </c>
      <c r="M316" t="s">
        <v>2368</v>
      </c>
      <c r="N316">
        <v>1204</v>
      </c>
      <c r="O316" t="s">
        <v>1574</v>
      </c>
      <c r="P316" t="s">
        <v>3108</v>
      </c>
      <c r="Q316" t="s">
        <v>3249</v>
      </c>
      <c r="R316" t="s">
        <v>3249</v>
      </c>
      <c r="S316" t="s">
        <v>810</v>
      </c>
      <c r="T316" t="s">
        <v>2759</v>
      </c>
      <c r="U316" t="s">
        <v>3250</v>
      </c>
      <c r="V316" t="s">
        <v>3250</v>
      </c>
      <c r="W316" t="s">
        <v>3250</v>
      </c>
      <c r="X316" t="s">
        <v>3250</v>
      </c>
      <c r="Y316" t="s">
        <v>3250</v>
      </c>
      <c r="Z316" t="s">
        <v>3250</v>
      </c>
      <c r="AA316" t="s">
        <v>3108</v>
      </c>
      <c r="AB316" t="s">
        <v>3108</v>
      </c>
      <c r="AC316" t="s">
        <v>3250</v>
      </c>
      <c r="AD316" t="s">
        <v>3250</v>
      </c>
      <c r="AE316" t="s">
        <v>3250</v>
      </c>
      <c r="AF316" t="s">
        <v>3250</v>
      </c>
      <c r="AG316" t="s">
        <v>3250</v>
      </c>
      <c r="AH316" t="s">
        <v>3250</v>
      </c>
      <c r="AI316" t="s">
        <v>3250</v>
      </c>
      <c r="AJ316" t="s">
        <v>3250</v>
      </c>
      <c r="AL316" t="s">
        <v>3250</v>
      </c>
      <c r="AM316" t="s">
        <v>3250</v>
      </c>
      <c r="AN316" t="s">
        <v>3250</v>
      </c>
      <c r="AO316" t="s">
        <v>3250</v>
      </c>
      <c r="AS316" t="s">
        <v>3250</v>
      </c>
      <c r="AT316" t="s">
        <v>3250</v>
      </c>
      <c r="AU316" t="s">
        <v>3250</v>
      </c>
      <c r="AV316" t="s">
        <v>3250</v>
      </c>
      <c r="AW316" t="s">
        <v>3250</v>
      </c>
      <c r="AX316" t="s">
        <v>3250</v>
      </c>
      <c r="AY316" t="s">
        <v>3250</v>
      </c>
      <c r="AZ316" t="s">
        <v>3250</v>
      </c>
      <c r="BA316" t="s">
        <v>3250</v>
      </c>
      <c r="BB316" t="s">
        <v>3250</v>
      </c>
      <c r="BC316" t="s">
        <v>3250</v>
      </c>
      <c r="BE316" t="s">
        <v>3250</v>
      </c>
      <c r="BF316" t="s">
        <v>3250</v>
      </c>
      <c r="BG316" t="s">
        <v>3250</v>
      </c>
      <c r="BH316" t="s">
        <v>3250</v>
      </c>
      <c r="BI316" t="s">
        <v>3250</v>
      </c>
      <c r="BK316" t="s">
        <v>3250</v>
      </c>
      <c r="BL316" t="s">
        <v>3250</v>
      </c>
      <c r="BM316" t="s">
        <v>3250</v>
      </c>
      <c r="BN316" t="s">
        <v>3250</v>
      </c>
      <c r="BP316">
        <v>1</v>
      </c>
      <c r="BQ316">
        <v>11</v>
      </c>
      <c r="BR316" t="s">
        <v>1574</v>
      </c>
      <c r="BS316" t="s">
        <v>3252</v>
      </c>
      <c r="BV316">
        <v>-1149889</v>
      </c>
      <c r="BW316">
        <v>-31395</v>
      </c>
      <c r="BX316">
        <v>-30314</v>
      </c>
      <c r="BY316">
        <v>28043</v>
      </c>
      <c r="BZ316">
        <v>28043</v>
      </c>
      <c r="CA316">
        <v>29136</v>
      </c>
      <c r="CB316">
        <v>30302</v>
      </c>
      <c r="CC316">
        <v>31514</v>
      </c>
      <c r="CD316">
        <v>-2996414</v>
      </c>
      <c r="CE316" t="s">
        <v>3108</v>
      </c>
      <c r="CF316" t="s">
        <v>3108</v>
      </c>
      <c r="CG316" t="s">
        <v>3108</v>
      </c>
      <c r="CH316" t="s">
        <v>3108</v>
      </c>
    </row>
    <row r="317" spans="1:86" x14ac:dyDescent="0.2">
      <c r="A317" t="s">
        <v>3873</v>
      </c>
      <c r="B317" t="s">
        <v>3873</v>
      </c>
      <c r="C317">
        <v>40605</v>
      </c>
      <c r="D317">
        <v>551</v>
      </c>
      <c r="E317" t="s">
        <v>3848</v>
      </c>
      <c r="F317">
        <v>200</v>
      </c>
      <c r="G317" t="s">
        <v>467</v>
      </c>
      <c r="H317">
        <v>200</v>
      </c>
      <c r="I317" t="s">
        <v>3840</v>
      </c>
      <c r="J317" t="s">
        <v>3250</v>
      </c>
      <c r="K317" t="s">
        <v>3250</v>
      </c>
      <c r="L317">
        <v>1200</v>
      </c>
      <c r="M317" t="s">
        <v>2368</v>
      </c>
      <c r="N317">
        <v>1204</v>
      </c>
      <c r="O317" t="s">
        <v>1574</v>
      </c>
      <c r="P317" t="s">
        <v>3108</v>
      </c>
      <c r="Q317" t="s">
        <v>3249</v>
      </c>
      <c r="R317" t="s">
        <v>3249</v>
      </c>
      <c r="S317" t="s">
        <v>810</v>
      </c>
      <c r="T317" t="s">
        <v>2759</v>
      </c>
      <c r="U317" t="s">
        <v>3250</v>
      </c>
      <c r="V317" t="s">
        <v>3250</v>
      </c>
      <c r="W317" t="s">
        <v>3250</v>
      </c>
      <c r="X317" t="s">
        <v>3250</v>
      </c>
      <c r="Y317" t="s">
        <v>3250</v>
      </c>
      <c r="Z317" t="s">
        <v>3250</v>
      </c>
      <c r="AA317" t="s">
        <v>3108</v>
      </c>
      <c r="AB317" t="s">
        <v>3108</v>
      </c>
      <c r="AC317" t="s">
        <v>3250</v>
      </c>
      <c r="AD317" t="s">
        <v>3250</v>
      </c>
      <c r="AE317" t="s">
        <v>3250</v>
      </c>
      <c r="AF317" t="s">
        <v>3250</v>
      </c>
      <c r="AG317" t="s">
        <v>3250</v>
      </c>
      <c r="AH317" t="s">
        <v>3250</v>
      </c>
      <c r="AI317" t="s">
        <v>3250</v>
      </c>
      <c r="AJ317" t="s">
        <v>3250</v>
      </c>
      <c r="AL317" t="s">
        <v>3250</v>
      </c>
      <c r="AM317" t="s">
        <v>3250</v>
      </c>
      <c r="AN317" t="s">
        <v>3250</v>
      </c>
      <c r="AO317" t="s">
        <v>3250</v>
      </c>
      <c r="AS317" t="s">
        <v>3250</v>
      </c>
      <c r="AT317" t="s">
        <v>3250</v>
      </c>
      <c r="AU317" t="s">
        <v>3250</v>
      </c>
      <c r="AV317" t="s">
        <v>3250</v>
      </c>
      <c r="AW317" t="s">
        <v>3250</v>
      </c>
      <c r="AX317" t="s">
        <v>3250</v>
      </c>
      <c r="AY317" t="s">
        <v>3250</v>
      </c>
      <c r="AZ317" t="s">
        <v>3250</v>
      </c>
      <c r="BA317" t="s">
        <v>3250</v>
      </c>
      <c r="BB317" t="s">
        <v>3250</v>
      </c>
      <c r="BC317" t="s">
        <v>3250</v>
      </c>
      <c r="BE317" t="s">
        <v>3250</v>
      </c>
      <c r="BF317" t="s">
        <v>3250</v>
      </c>
      <c r="BG317" t="s">
        <v>3250</v>
      </c>
      <c r="BH317" t="s">
        <v>3250</v>
      </c>
      <c r="BI317" t="s">
        <v>3250</v>
      </c>
      <c r="BK317" t="s">
        <v>3250</v>
      </c>
      <c r="BL317" t="s">
        <v>3250</v>
      </c>
      <c r="BM317" t="s">
        <v>3250</v>
      </c>
      <c r="BN317" t="s">
        <v>3250</v>
      </c>
      <c r="BP317">
        <v>1</v>
      </c>
      <c r="BQ317">
        <v>11</v>
      </c>
      <c r="BR317" t="s">
        <v>1574</v>
      </c>
      <c r="BS317" t="s">
        <v>3252</v>
      </c>
      <c r="BV317">
        <v>0</v>
      </c>
      <c r="BW317">
        <v>0</v>
      </c>
      <c r="BX317">
        <v>0</v>
      </c>
      <c r="BY317">
        <v>0</v>
      </c>
      <c r="BZ317">
        <v>0</v>
      </c>
      <c r="CA317">
        <v>0</v>
      </c>
      <c r="CB317">
        <v>0</v>
      </c>
      <c r="CC317">
        <v>0</v>
      </c>
      <c r="CD317">
        <v>0</v>
      </c>
      <c r="CE317" t="s">
        <v>3108</v>
      </c>
      <c r="CF317" t="s">
        <v>3108</v>
      </c>
      <c r="CG317" t="s">
        <v>3108</v>
      </c>
      <c r="CH317" t="s">
        <v>3108</v>
      </c>
    </row>
    <row r="318" spans="1:86" x14ac:dyDescent="0.2">
      <c r="A318" t="s">
        <v>3874</v>
      </c>
      <c r="B318" t="s">
        <v>3874</v>
      </c>
      <c r="C318">
        <v>40606</v>
      </c>
      <c r="D318">
        <v>552</v>
      </c>
      <c r="E318" t="s">
        <v>3850</v>
      </c>
      <c r="F318">
        <v>200</v>
      </c>
      <c r="G318" t="s">
        <v>467</v>
      </c>
      <c r="H318">
        <v>200</v>
      </c>
      <c r="I318" t="s">
        <v>3840</v>
      </c>
      <c r="J318" t="s">
        <v>3250</v>
      </c>
      <c r="K318" t="s">
        <v>3250</v>
      </c>
      <c r="L318">
        <v>1200</v>
      </c>
      <c r="M318" t="s">
        <v>2368</v>
      </c>
      <c r="N318">
        <v>1204</v>
      </c>
      <c r="O318" t="s">
        <v>1574</v>
      </c>
      <c r="P318" t="s">
        <v>3108</v>
      </c>
      <c r="Q318" t="s">
        <v>3249</v>
      </c>
      <c r="R318" t="s">
        <v>3249</v>
      </c>
      <c r="S318" t="s">
        <v>810</v>
      </c>
      <c r="T318" t="s">
        <v>2759</v>
      </c>
      <c r="U318" t="s">
        <v>3250</v>
      </c>
      <c r="V318" t="s">
        <v>3250</v>
      </c>
      <c r="W318" t="s">
        <v>3250</v>
      </c>
      <c r="X318" t="s">
        <v>3250</v>
      </c>
      <c r="Y318" t="s">
        <v>3250</v>
      </c>
      <c r="Z318" t="s">
        <v>3250</v>
      </c>
      <c r="AA318" t="s">
        <v>3108</v>
      </c>
      <c r="AB318" t="s">
        <v>3108</v>
      </c>
      <c r="AC318" t="s">
        <v>3250</v>
      </c>
      <c r="AD318" t="s">
        <v>3250</v>
      </c>
      <c r="AE318" t="s">
        <v>3250</v>
      </c>
      <c r="AF318" t="s">
        <v>3250</v>
      </c>
      <c r="AG318" t="s">
        <v>3250</v>
      </c>
      <c r="AH318" t="s">
        <v>3250</v>
      </c>
      <c r="AI318" t="s">
        <v>3250</v>
      </c>
      <c r="AJ318" t="s">
        <v>3250</v>
      </c>
      <c r="AL318" t="s">
        <v>3250</v>
      </c>
      <c r="AM318" t="s">
        <v>3250</v>
      </c>
      <c r="AN318" t="s">
        <v>3250</v>
      </c>
      <c r="AO318" t="s">
        <v>3250</v>
      </c>
      <c r="AS318" t="s">
        <v>3250</v>
      </c>
      <c r="AT318" t="s">
        <v>3250</v>
      </c>
      <c r="AU318" t="s">
        <v>3250</v>
      </c>
      <c r="AV318" t="s">
        <v>3250</v>
      </c>
      <c r="AW318" t="s">
        <v>3250</v>
      </c>
      <c r="AX318" t="s">
        <v>3250</v>
      </c>
      <c r="AY318" t="s">
        <v>3250</v>
      </c>
      <c r="AZ318" t="s">
        <v>3250</v>
      </c>
      <c r="BA318" t="s">
        <v>3250</v>
      </c>
      <c r="BB318" t="s">
        <v>3250</v>
      </c>
      <c r="BC318" t="s">
        <v>3250</v>
      </c>
      <c r="BE318" t="s">
        <v>3250</v>
      </c>
      <c r="BF318" t="s">
        <v>3250</v>
      </c>
      <c r="BG318" t="s">
        <v>3250</v>
      </c>
      <c r="BH318" t="s">
        <v>3250</v>
      </c>
      <c r="BI318" t="s">
        <v>3250</v>
      </c>
      <c r="BK318" t="s">
        <v>3250</v>
      </c>
      <c r="BL318" t="s">
        <v>3250</v>
      </c>
      <c r="BM318" t="s">
        <v>3250</v>
      </c>
      <c r="BN318" t="s">
        <v>3250</v>
      </c>
      <c r="BP318">
        <v>1</v>
      </c>
      <c r="BQ318">
        <v>11</v>
      </c>
      <c r="BR318" t="s">
        <v>1574</v>
      </c>
      <c r="BS318" t="s">
        <v>3252</v>
      </c>
      <c r="BV318">
        <v>0</v>
      </c>
      <c r="BW318">
        <v>0</v>
      </c>
      <c r="BX318">
        <v>0</v>
      </c>
      <c r="BY318">
        <v>0</v>
      </c>
      <c r="BZ318">
        <v>0</v>
      </c>
      <c r="CA318">
        <v>0</v>
      </c>
      <c r="CB318">
        <v>0</v>
      </c>
      <c r="CC318">
        <v>0</v>
      </c>
      <c r="CD318">
        <v>0</v>
      </c>
      <c r="CE318" t="s">
        <v>3108</v>
      </c>
      <c r="CF318" t="s">
        <v>3108</v>
      </c>
      <c r="CG318" t="s">
        <v>3108</v>
      </c>
      <c r="CH318" t="s">
        <v>3108</v>
      </c>
    </row>
    <row r="319" spans="1:86" x14ac:dyDescent="0.2">
      <c r="A319" t="s">
        <v>3875</v>
      </c>
      <c r="B319" t="s">
        <v>3875</v>
      </c>
      <c r="C319">
        <v>40607</v>
      </c>
      <c r="D319">
        <v>553</v>
      </c>
      <c r="E319" t="s">
        <v>3852</v>
      </c>
      <c r="F319">
        <v>200</v>
      </c>
      <c r="G319" t="s">
        <v>467</v>
      </c>
      <c r="H319">
        <v>200</v>
      </c>
      <c r="I319" t="s">
        <v>3840</v>
      </c>
      <c r="J319" t="s">
        <v>3250</v>
      </c>
      <c r="K319" t="s">
        <v>3250</v>
      </c>
      <c r="L319">
        <v>1200</v>
      </c>
      <c r="M319" t="s">
        <v>2368</v>
      </c>
      <c r="N319">
        <v>1204</v>
      </c>
      <c r="O319" t="s">
        <v>1574</v>
      </c>
      <c r="P319" t="s">
        <v>3108</v>
      </c>
      <c r="Q319" t="s">
        <v>3249</v>
      </c>
      <c r="R319" t="s">
        <v>3249</v>
      </c>
      <c r="S319" t="s">
        <v>810</v>
      </c>
      <c r="T319" t="s">
        <v>2759</v>
      </c>
      <c r="U319" t="s">
        <v>3250</v>
      </c>
      <c r="V319" t="s">
        <v>3250</v>
      </c>
      <c r="W319" t="s">
        <v>3250</v>
      </c>
      <c r="X319" t="s">
        <v>3250</v>
      </c>
      <c r="Y319" t="s">
        <v>3250</v>
      </c>
      <c r="Z319" t="s">
        <v>3250</v>
      </c>
      <c r="AA319" t="s">
        <v>3108</v>
      </c>
      <c r="AB319" t="s">
        <v>3108</v>
      </c>
      <c r="AC319" t="s">
        <v>3250</v>
      </c>
      <c r="AD319" t="s">
        <v>3250</v>
      </c>
      <c r="AE319" t="s">
        <v>3250</v>
      </c>
      <c r="AF319" t="s">
        <v>3250</v>
      </c>
      <c r="AG319" t="s">
        <v>3250</v>
      </c>
      <c r="AH319" t="s">
        <v>3250</v>
      </c>
      <c r="AI319" t="s">
        <v>3250</v>
      </c>
      <c r="AJ319" t="s">
        <v>3250</v>
      </c>
      <c r="AL319" t="s">
        <v>3250</v>
      </c>
      <c r="AM319" t="s">
        <v>3250</v>
      </c>
      <c r="AN319" t="s">
        <v>3250</v>
      </c>
      <c r="AO319" t="s">
        <v>3250</v>
      </c>
      <c r="AS319" t="s">
        <v>3250</v>
      </c>
      <c r="AT319" t="s">
        <v>3250</v>
      </c>
      <c r="AU319" t="s">
        <v>3250</v>
      </c>
      <c r="AV319" t="s">
        <v>3250</v>
      </c>
      <c r="AW319" t="s">
        <v>3250</v>
      </c>
      <c r="AX319" t="s">
        <v>3250</v>
      </c>
      <c r="AY319" t="s">
        <v>3250</v>
      </c>
      <c r="AZ319" t="s">
        <v>3250</v>
      </c>
      <c r="BA319" t="s">
        <v>3250</v>
      </c>
      <c r="BB319" t="s">
        <v>3250</v>
      </c>
      <c r="BC319" t="s">
        <v>3250</v>
      </c>
      <c r="BE319" t="s">
        <v>3250</v>
      </c>
      <c r="BF319" t="s">
        <v>3250</v>
      </c>
      <c r="BG319" t="s">
        <v>3250</v>
      </c>
      <c r="BH319" t="s">
        <v>3250</v>
      </c>
      <c r="BI319" t="s">
        <v>3250</v>
      </c>
      <c r="BK319" t="s">
        <v>3250</v>
      </c>
      <c r="BL319" t="s">
        <v>3250</v>
      </c>
      <c r="BM319" t="s">
        <v>3250</v>
      </c>
      <c r="BN319" t="s">
        <v>3250</v>
      </c>
      <c r="BP319">
        <v>1</v>
      </c>
      <c r="BQ319">
        <v>11</v>
      </c>
      <c r="BR319" t="s">
        <v>1574</v>
      </c>
      <c r="BS319" t="s">
        <v>3252</v>
      </c>
      <c r="BV319">
        <v>0</v>
      </c>
      <c r="BW319">
        <v>0</v>
      </c>
      <c r="BX319">
        <v>0</v>
      </c>
      <c r="BY319">
        <v>0</v>
      </c>
      <c r="BZ319">
        <v>0</v>
      </c>
      <c r="CA319">
        <v>0</v>
      </c>
      <c r="CB319">
        <v>0</v>
      </c>
      <c r="CC319">
        <v>0</v>
      </c>
      <c r="CD319">
        <v>0</v>
      </c>
      <c r="CE319" t="s">
        <v>3108</v>
      </c>
      <c r="CF319" t="s">
        <v>3108</v>
      </c>
      <c r="CG319" t="s">
        <v>3108</v>
      </c>
      <c r="CH319" t="s">
        <v>3108</v>
      </c>
    </row>
    <row r="320" spans="1:86" x14ac:dyDescent="0.2">
      <c r="A320" t="s">
        <v>3876</v>
      </c>
      <c r="B320" t="s">
        <v>3876</v>
      </c>
      <c r="C320">
        <v>40608</v>
      </c>
      <c r="D320">
        <v>554</v>
      </c>
      <c r="E320" t="s">
        <v>3854</v>
      </c>
      <c r="F320">
        <v>200</v>
      </c>
      <c r="G320" t="s">
        <v>467</v>
      </c>
      <c r="H320">
        <v>200</v>
      </c>
      <c r="I320" t="s">
        <v>3840</v>
      </c>
      <c r="J320" t="s">
        <v>3250</v>
      </c>
      <c r="K320" t="s">
        <v>3250</v>
      </c>
      <c r="L320">
        <v>1200</v>
      </c>
      <c r="M320" t="s">
        <v>2368</v>
      </c>
      <c r="N320">
        <v>1204</v>
      </c>
      <c r="O320" t="s">
        <v>1574</v>
      </c>
      <c r="P320" t="s">
        <v>3108</v>
      </c>
      <c r="Q320" t="s">
        <v>3249</v>
      </c>
      <c r="R320" t="s">
        <v>3249</v>
      </c>
      <c r="S320" t="s">
        <v>810</v>
      </c>
      <c r="T320" t="s">
        <v>2759</v>
      </c>
      <c r="U320" t="s">
        <v>3250</v>
      </c>
      <c r="V320" t="s">
        <v>3250</v>
      </c>
      <c r="W320" t="s">
        <v>3250</v>
      </c>
      <c r="X320" t="s">
        <v>3250</v>
      </c>
      <c r="Y320" t="s">
        <v>3250</v>
      </c>
      <c r="Z320" t="s">
        <v>3250</v>
      </c>
      <c r="AA320" t="s">
        <v>3108</v>
      </c>
      <c r="AB320" t="s">
        <v>3108</v>
      </c>
      <c r="AC320" t="s">
        <v>3250</v>
      </c>
      <c r="AD320" t="s">
        <v>3250</v>
      </c>
      <c r="AE320" t="s">
        <v>3250</v>
      </c>
      <c r="AF320" t="s">
        <v>3250</v>
      </c>
      <c r="AG320" t="s">
        <v>3250</v>
      </c>
      <c r="AH320" t="s">
        <v>3250</v>
      </c>
      <c r="AI320" t="s">
        <v>3250</v>
      </c>
      <c r="AJ320" t="s">
        <v>3250</v>
      </c>
      <c r="AL320" t="s">
        <v>3250</v>
      </c>
      <c r="AM320" t="s">
        <v>3250</v>
      </c>
      <c r="AN320" t="s">
        <v>3250</v>
      </c>
      <c r="AO320" t="s">
        <v>3250</v>
      </c>
      <c r="AS320" t="s">
        <v>3250</v>
      </c>
      <c r="AT320" t="s">
        <v>3250</v>
      </c>
      <c r="AU320" t="s">
        <v>3250</v>
      </c>
      <c r="AV320" t="s">
        <v>3250</v>
      </c>
      <c r="AW320" t="s">
        <v>3250</v>
      </c>
      <c r="AX320" t="s">
        <v>3250</v>
      </c>
      <c r="AY320" t="s">
        <v>3250</v>
      </c>
      <c r="AZ320" t="s">
        <v>3250</v>
      </c>
      <c r="BA320" t="s">
        <v>3250</v>
      </c>
      <c r="BB320" t="s">
        <v>3250</v>
      </c>
      <c r="BC320" t="s">
        <v>3250</v>
      </c>
      <c r="BE320" t="s">
        <v>3250</v>
      </c>
      <c r="BF320" t="s">
        <v>3250</v>
      </c>
      <c r="BG320" t="s">
        <v>3250</v>
      </c>
      <c r="BH320" t="s">
        <v>3250</v>
      </c>
      <c r="BI320" t="s">
        <v>3250</v>
      </c>
      <c r="BK320" t="s">
        <v>3250</v>
      </c>
      <c r="BL320" t="s">
        <v>3250</v>
      </c>
      <c r="BM320" t="s">
        <v>3250</v>
      </c>
      <c r="BN320" t="s">
        <v>3250</v>
      </c>
      <c r="BP320">
        <v>1</v>
      </c>
      <c r="BQ320">
        <v>11</v>
      </c>
      <c r="BR320" t="s">
        <v>1574</v>
      </c>
      <c r="BS320" t="s">
        <v>3252</v>
      </c>
      <c r="BV320">
        <v>0</v>
      </c>
      <c r="BW320">
        <v>0</v>
      </c>
      <c r="BX320">
        <v>0</v>
      </c>
      <c r="BY320">
        <v>0</v>
      </c>
      <c r="BZ320">
        <v>0</v>
      </c>
      <c r="CA320">
        <v>0</v>
      </c>
      <c r="CB320">
        <v>0</v>
      </c>
      <c r="CC320">
        <v>0</v>
      </c>
      <c r="CD320">
        <v>0</v>
      </c>
      <c r="CE320" t="s">
        <v>3108</v>
      </c>
      <c r="CF320" t="s">
        <v>3108</v>
      </c>
      <c r="CG320" t="s">
        <v>3108</v>
      </c>
      <c r="CH320" t="s">
        <v>3108</v>
      </c>
    </row>
    <row r="321" spans="1:86" x14ac:dyDescent="0.2">
      <c r="A321" t="s">
        <v>3877</v>
      </c>
      <c r="B321" t="s">
        <v>3877</v>
      </c>
      <c r="C321">
        <v>40609</v>
      </c>
      <c r="D321">
        <v>555</v>
      </c>
      <c r="E321" t="s">
        <v>3856</v>
      </c>
      <c r="F321">
        <v>200</v>
      </c>
      <c r="G321" t="s">
        <v>467</v>
      </c>
      <c r="H321">
        <v>200</v>
      </c>
      <c r="I321" t="s">
        <v>3840</v>
      </c>
      <c r="J321" t="s">
        <v>3250</v>
      </c>
      <c r="K321" t="s">
        <v>3250</v>
      </c>
      <c r="L321">
        <v>1200</v>
      </c>
      <c r="M321" t="s">
        <v>2368</v>
      </c>
      <c r="N321">
        <v>1204</v>
      </c>
      <c r="O321" t="s">
        <v>1574</v>
      </c>
      <c r="P321" t="s">
        <v>3108</v>
      </c>
      <c r="Q321" t="s">
        <v>3249</v>
      </c>
      <c r="R321" t="s">
        <v>3249</v>
      </c>
      <c r="S321" t="s">
        <v>810</v>
      </c>
      <c r="T321" t="s">
        <v>2759</v>
      </c>
      <c r="U321" t="s">
        <v>3250</v>
      </c>
      <c r="V321" t="s">
        <v>3250</v>
      </c>
      <c r="W321" t="s">
        <v>3250</v>
      </c>
      <c r="X321" t="s">
        <v>3250</v>
      </c>
      <c r="Y321" t="s">
        <v>3250</v>
      </c>
      <c r="Z321" t="s">
        <v>3250</v>
      </c>
      <c r="AA321" t="s">
        <v>3108</v>
      </c>
      <c r="AB321" t="s">
        <v>3108</v>
      </c>
      <c r="AC321" t="s">
        <v>3250</v>
      </c>
      <c r="AD321" t="s">
        <v>3250</v>
      </c>
      <c r="AE321" t="s">
        <v>3250</v>
      </c>
      <c r="AF321" t="s">
        <v>3250</v>
      </c>
      <c r="AG321" t="s">
        <v>3250</v>
      </c>
      <c r="AH321" t="s">
        <v>3250</v>
      </c>
      <c r="AI321" t="s">
        <v>3250</v>
      </c>
      <c r="AJ321" t="s">
        <v>3250</v>
      </c>
      <c r="AL321" t="s">
        <v>3250</v>
      </c>
      <c r="AM321" t="s">
        <v>3250</v>
      </c>
      <c r="AN321" t="s">
        <v>3250</v>
      </c>
      <c r="AO321" t="s">
        <v>3250</v>
      </c>
      <c r="AS321" t="s">
        <v>3250</v>
      </c>
      <c r="AT321" t="s">
        <v>3250</v>
      </c>
      <c r="AU321" t="s">
        <v>3250</v>
      </c>
      <c r="AV321" t="s">
        <v>3250</v>
      </c>
      <c r="AW321" t="s">
        <v>3250</v>
      </c>
      <c r="AX321" t="s">
        <v>3250</v>
      </c>
      <c r="AY321" t="s">
        <v>3250</v>
      </c>
      <c r="AZ321" t="s">
        <v>3250</v>
      </c>
      <c r="BA321" t="s">
        <v>3250</v>
      </c>
      <c r="BB321" t="s">
        <v>3250</v>
      </c>
      <c r="BC321" t="s">
        <v>3250</v>
      </c>
      <c r="BE321" t="s">
        <v>3250</v>
      </c>
      <c r="BF321" t="s">
        <v>3250</v>
      </c>
      <c r="BG321" t="s">
        <v>3250</v>
      </c>
      <c r="BH321" t="s">
        <v>3250</v>
      </c>
      <c r="BI321" t="s">
        <v>3250</v>
      </c>
      <c r="BK321" t="s">
        <v>3250</v>
      </c>
      <c r="BL321" t="s">
        <v>3250</v>
      </c>
      <c r="BM321" t="s">
        <v>3250</v>
      </c>
      <c r="BN321" t="s">
        <v>3250</v>
      </c>
      <c r="BP321">
        <v>1</v>
      </c>
      <c r="BQ321">
        <v>11</v>
      </c>
      <c r="BR321" t="s">
        <v>1574</v>
      </c>
      <c r="BS321" t="s">
        <v>3252</v>
      </c>
      <c r="BV321">
        <v>0</v>
      </c>
      <c r="BW321">
        <v>0</v>
      </c>
      <c r="BX321">
        <v>0</v>
      </c>
      <c r="BY321">
        <v>0</v>
      </c>
      <c r="BZ321">
        <v>0</v>
      </c>
      <c r="CA321">
        <v>0</v>
      </c>
      <c r="CB321">
        <v>0</v>
      </c>
      <c r="CC321">
        <v>0</v>
      </c>
      <c r="CD321">
        <v>0</v>
      </c>
      <c r="CE321" t="s">
        <v>3108</v>
      </c>
      <c r="CF321" t="s">
        <v>3108</v>
      </c>
      <c r="CG321" t="s">
        <v>3108</v>
      </c>
      <c r="CH321" t="s">
        <v>3108</v>
      </c>
    </row>
    <row r="322" spans="1:86" x14ac:dyDescent="0.2">
      <c r="A322" t="s">
        <v>3878</v>
      </c>
      <c r="B322" t="s">
        <v>3878</v>
      </c>
      <c r="C322">
        <v>40610</v>
      </c>
      <c r="D322">
        <v>556</v>
      </c>
      <c r="E322" t="s">
        <v>3858</v>
      </c>
      <c r="F322">
        <v>200</v>
      </c>
      <c r="G322" t="s">
        <v>467</v>
      </c>
      <c r="H322">
        <v>200</v>
      </c>
      <c r="I322" t="s">
        <v>3840</v>
      </c>
      <c r="J322" t="s">
        <v>3250</v>
      </c>
      <c r="K322" t="s">
        <v>3250</v>
      </c>
      <c r="L322">
        <v>1200</v>
      </c>
      <c r="M322" t="s">
        <v>2368</v>
      </c>
      <c r="N322">
        <v>1204</v>
      </c>
      <c r="O322" t="s">
        <v>1574</v>
      </c>
      <c r="P322" t="s">
        <v>3108</v>
      </c>
      <c r="Q322" t="s">
        <v>3249</v>
      </c>
      <c r="R322" t="s">
        <v>3249</v>
      </c>
      <c r="S322" t="s">
        <v>810</v>
      </c>
      <c r="T322" t="s">
        <v>2759</v>
      </c>
      <c r="U322" t="s">
        <v>3250</v>
      </c>
      <c r="V322" t="s">
        <v>3250</v>
      </c>
      <c r="W322" t="s">
        <v>3250</v>
      </c>
      <c r="X322" t="s">
        <v>3250</v>
      </c>
      <c r="Y322" t="s">
        <v>3250</v>
      </c>
      <c r="Z322" t="s">
        <v>3250</v>
      </c>
      <c r="AA322" t="s">
        <v>3108</v>
      </c>
      <c r="AB322" t="s">
        <v>3108</v>
      </c>
      <c r="AC322" t="s">
        <v>3250</v>
      </c>
      <c r="AD322" t="s">
        <v>3250</v>
      </c>
      <c r="AE322" t="s">
        <v>3250</v>
      </c>
      <c r="AF322" t="s">
        <v>3250</v>
      </c>
      <c r="AG322" t="s">
        <v>3250</v>
      </c>
      <c r="AH322" t="s">
        <v>3250</v>
      </c>
      <c r="AI322" t="s">
        <v>3250</v>
      </c>
      <c r="AJ322" t="s">
        <v>3250</v>
      </c>
      <c r="AL322" t="s">
        <v>3250</v>
      </c>
      <c r="AM322" t="s">
        <v>3250</v>
      </c>
      <c r="AN322" t="s">
        <v>3250</v>
      </c>
      <c r="AO322" t="s">
        <v>3250</v>
      </c>
      <c r="AS322" t="s">
        <v>3250</v>
      </c>
      <c r="AT322" t="s">
        <v>3250</v>
      </c>
      <c r="AU322" t="s">
        <v>3250</v>
      </c>
      <c r="AV322" t="s">
        <v>3250</v>
      </c>
      <c r="AW322" t="s">
        <v>3250</v>
      </c>
      <c r="AX322" t="s">
        <v>3250</v>
      </c>
      <c r="AY322" t="s">
        <v>3250</v>
      </c>
      <c r="AZ322" t="s">
        <v>3250</v>
      </c>
      <c r="BA322" t="s">
        <v>3250</v>
      </c>
      <c r="BB322" t="s">
        <v>3250</v>
      </c>
      <c r="BC322" t="s">
        <v>3250</v>
      </c>
      <c r="BE322" t="s">
        <v>3250</v>
      </c>
      <c r="BF322" t="s">
        <v>3250</v>
      </c>
      <c r="BG322" t="s">
        <v>3250</v>
      </c>
      <c r="BH322" t="s">
        <v>3250</v>
      </c>
      <c r="BI322" t="s">
        <v>3250</v>
      </c>
      <c r="BK322" t="s">
        <v>3250</v>
      </c>
      <c r="BL322" t="s">
        <v>3250</v>
      </c>
      <c r="BM322" t="s">
        <v>3250</v>
      </c>
      <c r="BN322" t="s">
        <v>3250</v>
      </c>
      <c r="BP322">
        <v>1</v>
      </c>
      <c r="BQ322">
        <v>11</v>
      </c>
      <c r="BR322" t="s">
        <v>1574</v>
      </c>
      <c r="BS322" t="s">
        <v>3252</v>
      </c>
      <c r="BV322">
        <v>0</v>
      </c>
      <c r="BW322">
        <v>0</v>
      </c>
      <c r="BX322">
        <v>0</v>
      </c>
      <c r="BY322">
        <v>0</v>
      </c>
      <c r="BZ322">
        <v>0</v>
      </c>
      <c r="CA322">
        <v>0</v>
      </c>
      <c r="CB322">
        <v>0</v>
      </c>
      <c r="CC322">
        <v>0</v>
      </c>
      <c r="CD322">
        <v>0</v>
      </c>
      <c r="CE322" t="s">
        <v>3108</v>
      </c>
      <c r="CF322" t="s">
        <v>3108</v>
      </c>
      <c r="CG322" t="s">
        <v>3108</v>
      </c>
      <c r="CH322" t="s">
        <v>3108</v>
      </c>
    </row>
    <row r="323" spans="1:86" x14ac:dyDescent="0.2">
      <c r="A323" t="s">
        <v>3879</v>
      </c>
      <c r="B323" t="s">
        <v>3879</v>
      </c>
      <c r="C323">
        <v>40611</v>
      </c>
      <c r="D323">
        <v>557</v>
      </c>
      <c r="E323" t="s">
        <v>3860</v>
      </c>
      <c r="F323">
        <v>200</v>
      </c>
      <c r="G323" t="s">
        <v>467</v>
      </c>
      <c r="H323">
        <v>200</v>
      </c>
      <c r="I323" t="s">
        <v>3840</v>
      </c>
      <c r="J323" t="s">
        <v>3250</v>
      </c>
      <c r="K323" t="s">
        <v>3250</v>
      </c>
      <c r="L323">
        <v>1200</v>
      </c>
      <c r="M323" t="s">
        <v>2368</v>
      </c>
      <c r="N323">
        <v>1204</v>
      </c>
      <c r="O323" t="s">
        <v>1574</v>
      </c>
      <c r="P323" t="s">
        <v>3108</v>
      </c>
      <c r="Q323" t="s">
        <v>3249</v>
      </c>
      <c r="R323" t="s">
        <v>3249</v>
      </c>
      <c r="S323" t="s">
        <v>810</v>
      </c>
      <c r="T323" t="s">
        <v>2759</v>
      </c>
      <c r="U323" t="s">
        <v>3250</v>
      </c>
      <c r="V323" t="s">
        <v>3250</v>
      </c>
      <c r="W323" t="s">
        <v>3250</v>
      </c>
      <c r="X323" t="s">
        <v>3250</v>
      </c>
      <c r="Y323" t="s">
        <v>3250</v>
      </c>
      <c r="Z323" t="s">
        <v>3250</v>
      </c>
      <c r="AA323" t="s">
        <v>3108</v>
      </c>
      <c r="AB323" t="s">
        <v>3108</v>
      </c>
      <c r="AC323" t="s">
        <v>3250</v>
      </c>
      <c r="AD323" t="s">
        <v>3250</v>
      </c>
      <c r="AE323" t="s">
        <v>3250</v>
      </c>
      <c r="AF323" t="s">
        <v>3250</v>
      </c>
      <c r="AG323" t="s">
        <v>3250</v>
      </c>
      <c r="AH323" t="s">
        <v>3250</v>
      </c>
      <c r="AI323" t="s">
        <v>3250</v>
      </c>
      <c r="AJ323" t="s">
        <v>3250</v>
      </c>
      <c r="AL323" t="s">
        <v>3250</v>
      </c>
      <c r="AM323" t="s">
        <v>3250</v>
      </c>
      <c r="AN323" t="s">
        <v>3250</v>
      </c>
      <c r="AO323" t="s">
        <v>3250</v>
      </c>
      <c r="AS323" t="s">
        <v>3250</v>
      </c>
      <c r="AT323" t="s">
        <v>3250</v>
      </c>
      <c r="AU323" t="s">
        <v>3250</v>
      </c>
      <c r="AV323" t="s">
        <v>3250</v>
      </c>
      <c r="AW323" t="s">
        <v>3250</v>
      </c>
      <c r="AX323" t="s">
        <v>3250</v>
      </c>
      <c r="AY323" t="s">
        <v>3250</v>
      </c>
      <c r="AZ323" t="s">
        <v>3250</v>
      </c>
      <c r="BA323" t="s">
        <v>3250</v>
      </c>
      <c r="BB323" t="s">
        <v>3250</v>
      </c>
      <c r="BC323" t="s">
        <v>3250</v>
      </c>
      <c r="BE323" t="s">
        <v>3250</v>
      </c>
      <c r="BF323" t="s">
        <v>3250</v>
      </c>
      <c r="BG323" t="s">
        <v>3250</v>
      </c>
      <c r="BH323" t="s">
        <v>3250</v>
      </c>
      <c r="BI323" t="s">
        <v>3250</v>
      </c>
      <c r="BK323" t="s">
        <v>3250</v>
      </c>
      <c r="BL323" t="s">
        <v>3250</v>
      </c>
      <c r="BM323" t="s">
        <v>3250</v>
      </c>
      <c r="BN323" t="s">
        <v>3250</v>
      </c>
      <c r="BP323">
        <v>1</v>
      </c>
      <c r="BQ323">
        <v>11</v>
      </c>
      <c r="BR323" t="s">
        <v>1574</v>
      </c>
      <c r="BS323" t="s">
        <v>3252</v>
      </c>
      <c r="BV323">
        <v>0</v>
      </c>
      <c r="BW323">
        <v>0</v>
      </c>
      <c r="BX323">
        <v>0</v>
      </c>
      <c r="BY323">
        <v>0</v>
      </c>
      <c r="BZ323">
        <v>0</v>
      </c>
      <c r="CA323">
        <v>0</v>
      </c>
      <c r="CB323">
        <v>0</v>
      </c>
      <c r="CC323">
        <v>0</v>
      </c>
      <c r="CD323">
        <v>0</v>
      </c>
      <c r="CE323" t="s">
        <v>3108</v>
      </c>
      <c r="CF323" t="s">
        <v>3108</v>
      </c>
      <c r="CG323" t="s">
        <v>3108</v>
      </c>
      <c r="CH323" t="s">
        <v>3108</v>
      </c>
    </row>
    <row r="324" spans="1:86" x14ac:dyDescent="0.2">
      <c r="A324" t="s">
        <v>3880</v>
      </c>
      <c r="B324" t="s">
        <v>3880</v>
      </c>
      <c r="C324">
        <v>40612</v>
      </c>
      <c r="D324">
        <v>558</v>
      </c>
      <c r="E324" t="s">
        <v>3862</v>
      </c>
      <c r="F324">
        <v>200</v>
      </c>
      <c r="G324" t="s">
        <v>467</v>
      </c>
      <c r="H324">
        <v>200</v>
      </c>
      <c r="I324" t="s">
        <v>3840</v>
      </c>
      <c r="J324" t="s">
        <v>3250</v>
      </c>
      <c r="K324" t="s">
        <v>3250</v>
      </c>
      <c r="L324">
        <v>1200</v>
      </c>
      <c r="M324" t="s">
        <v>2368</v>
      </c>
      <c r="N324">
        <v>1204</v>
      </c>
      <c r="O324" t="s">
        <v>1574</v>
      </c>
      <c r="P324" t="s">
        <v>3108</v>
      </c>
      <c r="Q324" t="s">
        <v>3249</v>
      </c>
      <c r="R324" t="s">
        <v>3249</v>
      </c>
      <c r="S324" t="s">
        <v>810</v>
      </c>
      <c r="T324" t="s">
        <v>2759</v>
      </c>
      <c r="U324" t="s">
        <v>3250</v>
      </c>
      <c r="V324" t="s">
        <v>3250</v>
      </c>
      <c r="W324" t="s">
        <v>3250</v>
      </c>
      <c r="X324" t="s">
        <v>3250</v>
      </c>
      <c r="Y324" t="s">
        <v>3250</v>
      </c>
      <c r="Z324" t="s">
        <v>3250</v>
      </c>
      <c r="AA324" t="s">
        <v>3108</v>
      </c>
      <c r="AB324" t="s">
        <v>3108</v>
      </c>
      <c r="AC324" t="s">
        <v>3250</v>
      </c>
      <c r="AD324" t="s">
        <v>3250</v>
      </c>
      <c r="AE324" t="s">
        <v>3250</v>
      </c>
      <c r="AF324" t="s">
        <v>3250</v>
      </c>
      <c r="AG324" t="s">
        <v>3250</v>
      </c>
      <c r="AH324" t="s">
        <v>3250</v>
      </c>
      <c r="AI324" t="s">
        <v>3250</v>
      </c>
      <c r="AJ324" t="s">
        <v>3250</v>
      </c>
      <c r="AL324" t="s">
        <v>3250</v>
      </c>
      <c r="AM324" t="s">
        <v>3250</v>
      </c>
      <c r="AN324" t="s">
        <v>3250</v>
      </c>
      <c r="AO324" t="s">
        <v>3250</v>
      </c>
      <c r="AS324" t="s">
        <v>3250</v>
      </c>
      <c r="AT324" t="s">
        <v>3250</v>
      </c>
      <c r="AU324" t="s">
        <v>3250</v>
      </c>
      <c r="AV324" t="s">
        <v>3250</v>
      </c>
      <c r="AW324" t="s">
        <v>3250</v>
      </c>
      <c r="AX324" t="s">
        <v>3250</v>
      </c>
      <c r="AY324" t="s">
        <v>3250</v>
      </c>
      <c r="AZ324" t="s">
        <v>3250</v>
      </c>
      <c r="BA324" t="s">
        <v>3250</v>
      </c>
      <c r="BB324" t="s">
        <v>3250</v>
      </c>
      <c r="BC324" t="s">
        <v>3250</v>
      </c>
      <c r="BE324" t="s">
        <v>3250</v>
      </c>
      <c r="BF324" t="s">
        <v>3250</v>
      </c>
      <c r="BG324" t="s">
        <v>3250</v>
      </c>
      <c r="BH324" t="s">
        <v>3250</v>
      </c>
      <c r="BI324" t="s">
        <v>3250</v>
      </c>
      <c r="BK324" t="s">
        <v>3250</v>
      </c>
      <c r="BL324" t="s">
        <v>3250</v>
      </c>
      <c r="BM324" t="s">
        <v>3250</v>
      </c>
      <c r="BN324" t="s">
        <v>3250</v>
      </c>
      <c r="BP324">
        <v>1</v>
      </c>
      <c r="BQ324">
        <v>11</v>
      </c>
      <c r="BR324" t="s">
        <v>1574</v>
      </c>
      <c r="BS324" t="s">
        <v>3252</v>
      </c>
      <c r="BV324">
        <v>0</v>
      </c>
      <c r="BW324">
        <v>0</v>
      </c>
      <c r="BX324">
        <v>0</v>
      </c>
      <c r="BY324">
        <v>0</v>
      </c>
      <c r="BZ324">
        <v>0</v>
      </c>
      <c r="CA324">
        <v>0</v>
      </c>
      <c r="CB324">
        <v>0</v>
      </c>
      <c r="CC324">
        <v>0</v>
      </c>
      <c r="CD324">
        <v>0</v>
      </c>
      <c r="CE324" t="s">
        <v>3108</v>
      </c>
      <c r="CF324" t="s">
        <v>3108</v>
      </c>
      <c r="CG324" t="s">
        <v>3108</v>
      </c>
      <c r="CH324" t="s">
        <v>3108</v>
      </c>
    </row>
    <row r="325" spans="1:86" x14ac:dyDescent="0.2">
      <c r="A325" t="s">
        <v>3881</v>
      </c>
      <c r="B325" t="s">
        <v>3881</v>
      </c>
      <c r="C325">
        <v>40613</v>
      </c>
      <c r="D325">
        <v>559</v>
      </c>
      <c r="E325" t="s">
        <v>3864</v>
      </c>
      <c r="F325">
        <v>200</v>
      </c>
      <c r="G325" t="s">
        <v>467</v>
      </c>
      <c r="H325">
        <v>200</v>
      </c>
      <c r="I325" t="s">
        <v>3840</v>
      </c>
      <c r="J325" t="s">
        <v>3250</v>
      </c>
      <c r="K325" t="s">
        <v>3250</v>
      </c>
      <c r="L325">
        <v>1200</v>
      </c>
      <c r="M325" t="s">
        <v>2368</v>
      </c>
      <c r="N325">
        <v>1204</v>
      </c>
      <c r="O325" t="s">
        <v>1574</v>
      </c>
      <c r="P325" t="s">
        <v>3108</v>
      </c>
      <c r="Q325" t="s">
        <v>3249</v>
      </c>
      <c r="R325" t="s">
        <v>3249</v>
      </c>
      <c r="S325" t="s">
        <v>810</v>
      </c>
      <c r="T325" t="s">
        <v>2759</v>
      </c>
      <c r="U325" t="s">
        <v>3250</v>
      </c>
      <c r="V325" t="s">
        <v>3250</v>
      </c>
      <c r="W325" t="s">
        <v>3250</v>
      </c>
      <c r="X325" t="s">
        <v>3250</v>
      </c>
      <c r="Y325" t="s">
        <v>3250</v>
      </c>
      <c r="Z325" t="s">
        <v>3250</v>
      </c>
      <c r="AA325" t="s">
        <v>3108</v>
      </c>
      <c r="AB325" t="s">
        <v>3108</v>
      </c>
      <c r="AC325" t="s">
        <v>3250</v>
      </c>
      <c r="AD325" t="s">
        <v>3250</v>
      </c>
      <c r="AE325" t="s">
        <v>3250</v>
      </c>
      <c r="AF325" t="s">
        <v>3250</v>
      </c>
      <c r="AG325" t="s">
        <v>3250</v>
      </c>
      <c r="AH325" t="s">
        <v>3250</v>
      </c>
      <c r="AI325" t="s">
        <v>3250</v>
      </c>
      <c r="AJ325" t="s">
        <v>3250</v>
      </c>
      <c r="AL325" t="s">
        <v>3250</v>
      </c>
      <c r="AM325" t="s">
        <v>3250</v>
      </c>
      <c r="AN325" t="s">
        <v>3250</v>
      </c>
      <c r="AO325" t="s">
        <v>3250</v>
      </c>
      <c r="AS325" t="s">
        <v>3250</v>
      </c>
      <c r="AT325" t="s">
        <v>3250</v>
      </c>
      <c r="AU325" t="s">
        <v>3250</v>
      </c>
      <c r="AV325" t="s">
        <v>3250</v>
      </c>
      <c r="AW325" t="s">
        <v>3250</v>
      </c>
      <c r="AX325" t="s">
        <v>3250</v>
      </c>
      <c r="AY325" t="s">
        <v>3250</v>
      </c>
      <c r="AZ325" t="s">
        <v>3250</v>
      </c>
      <c r="BA325" t="s">
        <v>3250</v>
      </c>
      <c r="BB325" t="s">
        <v>3250</v>
      </c>
      <c r="BC325" t="s">
        <v>3250</v>
      </c>
      <c r="BE325" t="s">
        <v>3250</v>
      </c>
      <c r="BF325" t="s">
        <v>3250</v>
      </c>
      <c r="BG325" t="s">
        <v>3250</v>
      </c>
      <c r="BH325" t="s">
        <v>3250</v>
      </c>
      <c r="BI325" t="s">
        <v>3250</v>
      </c>
      <c r="BK325" t="s">
        <v>3250</v>
      </c>
      <c r="BL325" t="s">
        <v>3250</v>
      </c>
      <c r="BM325" t="s">
        <v>3250</v>
      </c>
      <c r="BN325" t="s">
        <v>3250</v>
      </c>
      <c r="BP325">
        <v>1</v>
      </c>
      <c r="BQ325">
        <v>11</v>
      </c>
      <c r="BR325" t="s">
        <v>1574</v>
      </c>
      <c r="BS325" t="s">
        <v>3252</v>
      </c>
      <c r="BV325">
        <v>0</v>
      </c>
      <c r="BW325">
        <v>0</v>
      </c>
      <c r="BX325">
        <v>0</v>
      </c>
      <c r="BY325">
        <v>0</v>
      </c>
      <c r="BZ325">
        <v>0</v>
      </c>
      <c r="CA325">
        <v>0</v>
      </c>
      <c r="CB325">
        <v>0</v>
      </c>
      <c r="CC325">
        <v>0</v>
      </c>
      <c r="CD325">
        <v>0</v>
      </c>
      <c r="CE325" t="s">
        <v>3108</v>
      </c>
      <c r="CF325" t="s">
        <v>3108</v>
      </c>
      <c r="CG325" t="s">
        <v>3108</v>
      </c>
      <c r="CH325" t="s">
        <v>3108</v>
      </c>
    </row>
    <row r="326" spans="1:86" x14ac:dyDescent="0.2">
      <c r="A326" t="s">
        <v>3882</v>
      </c>
      <c r="B326" t="s">
        <v>3882</v>
      </c>
      <c r="C326">
        <v>40614</v>
      </c>
      <c r="D326">
        <v>560</v>
      </c>
      <c r="E326" t="s">
        <v>3866</v>
      </c>
      <c r="F326">
        <v>200</v>
      </c>
      <c r="G326" t="s">
        <v>467</v>
      </c>
      <c r="H326">
        <v>200</v>
      </c>
      <c r="I326" t="s">
        <v>3840</v>
      </c>
      <c r="J326" t="s">
        <v>3250</v>
      </c>
      <c r="K326" t="s">
        <v>3250</v>
      </c>
      <c r="L326">
        <v>1200</v>
      </c>
      <c r="M326" t="s">
        <v>2368</v>
      </c>
      <c r="N326">
        <v>1204</v>
      </c>
      <c r="O326" t="s">
        <v>1574</v>
      </c>
      <c r="P326" t="s">
        <v>3108</v>
      </c>
      <c r="Q326" t="s">
        <v>3249</v>
      </c>
      <c r="R326" t="s">
        <v>3249</v>
      </c>
      <c r="S326" t="s">
        <v>810</v>
      </c>
      <c r="T326" t="s">
        <v>2759</v>
      </c>
      <c r="U326" t="s">
        <v>3250</v>
      </c>
      <c r="V326" t="s">
        <v>3250</v>
      </c>
      <c r="W326" t="s">
        <v>3250</v>
      </c>
      <c r="X326" t="s">
        <v>3250</v>
      </c>
      <c r="Y326" t="s">
        <v>3250</v>
      </c>
      <c r="Z326" t="s">
        <v>3250</v>
      </c>
      <c r="AA326" t="s">
        <v>3108</v>
      </c>
      <c r="AB326" t="s">
        <v>3108</v>
      </c>
      <c r="AC326" t="s">
        <v>3250</v>
      </c>
      <c r="AD326" t="s">
        <v>3250</v>
      </c>
      <c r="AE326" t="s">
        <v>3250</v>
      </c>
      <c r="AF326" t="s">
        <v>3250</v>
      </c>
      <c r="AG326" t="s">
        <v>3250</v>
      </c>
      <c r="AH326" t="s">
        <v>3250</v>
      </c>
      <c r="AI326" t="s">
        <v>3250</v>
      </c>
      <c r="AJ326" t="s">
        <v>3250</v>
      </c>
      <c r="AL326" t="s">
        <v>3250</v>
      </c>
      <c r="AM326" t="s">
        <v>3250</v>
      </c>
      <c r="AN326" t="s">
        <v>3250</v>
      </c>
      <c r="AO326" t="s">
        <v>3250</v>
      </c>
      <c r="AS326" t="s">
        <v>3250</v>
      </c>
      <c r="AT326" t="s">
        <v>3250</v>
      </c>
      <c r="AU326" t="s">
        <v>3250</v>
      </c>
      <c r="AV326" t="s">
        <v>3250</v>
      </c>
      <c r="AW326" t="s">
        <v>3250</v>
      </c>
      <c r="AX326" t="s">
        <v>3250</v>
      </c>
      <c r="AY326" t="s">
        <v>3250</v>
      </c>
      <c r="AZ326" t="s">
        <v>3250</v>
      </c>
      <c r="BA326" t="s">
        <v>3250</v>
      </c>
      <c r="BB326" t="s">
        <v>3250</v>
      </c>
      <c r="BC326" t="s">
        <v>3250</v>
      </c>
      <c r="BE326" t="s">
        <v>3250</v>
      </c>
      <c r="BF326" t="s">
        <v>3250</v>
      </c>
      <c r="BG326" t="s">
        <v>3250</v>
      </c>
      <c r="BH326" t="s">
        <v>3250</v>
      </c>
      <c r="BI326" t="s">
        <v>3250</v>
      </c>
      <c r="BK326" t="s">
        <v>3250</v>
      </c>
      <c r="BL326" t="s">
        <v>3250</v>
      </c>
      <c r="BM326" t="s">
        <v>3250</v>
      </c>
      <c r="BN326" t="s">
        <v>3250</v>
      </c>
      <c r="BP326">
        <v>1</v>
      </c>
      <c r="BQ326">
        <v>11</v>
      </c>
      <c r="BR326" t="s">
        <v>1574</v>
      </c>
      <c r="BS326" t="s">
        <v>3252</v>
      </c>
      <c r="BV326">
        <v>0</v>
      </c>
      <c r="BW326">
        <v>0</v>
      </c>
      <c r="BX326">
        <v>0</v>
      </c>
      <c r="BY326">
        <v>0</v>
      </c>
      <c r="BZ326">
        <v>0</v>
      </c>
      <c r="CA326">
        <v>0</v>
      </c>
      <c r="CB326">
        <v>0</v>
      </c>
      <c r="CC326">
        <v>0</v>
      </c>
      <c r="CD326">
        <v>0</v>
      </c>
      <c r="CE326" t="s">
        <v>3108</v>
      </c>
      <c r="CF326" t="s">
        <v>3108</v>
      </c>
      <c r="CG326" t="s">
        <v>3108</v>
      </c>
      <c r="CH326" t="s">
        <v>3108</v>
      </c>
    </row>
    <row r="327" spans="1:86" x14ac:dyDescent="0.2">
      <c r="A327" t="s">
        <v>3883</v>
      </c>
      <c r="B327" t="s">
        <v>3883</v>
      </c>
      <c r="C327">
        <v>40615</v>
      </c>
      <c r="D327">
        <v>561</v>
      </c>
      <c r="E327" t="s">
        <v>3868</v>
      </c>
      <c r="F327">
        <v>200</v>
      </c>
      <c r="G327" t="s">
        <v>467</v>
      </c>
      <c r="H327">
        <v>200</v>
      </c>
      <c r="I327" t="s">
        <v>3840</v>
      </c>
      <c r="J327" t="s">
        <v>3250</v>
      </c>
      <c r="K327" t="s">
        <v>3250</v>
      </c>
      <c r="L327">
        <v>1200</v>
      </c>
      <c r="M327" t="s">
        <v>2368</v>
      </c>
      <c r="N327">
        <v>1204</v>
      </c>
      <c r="O327" t="s">
        <v>1574</v>
      </c>
      <c r="P327" t="s">
        <v>3108</v>
      </c>
      <c r="Q327" t="s">
        <v>3249</v>
      </c>
      <c r="R327" t="s">
        <v>3249</v>
      </c>
      <c r="S327" t="s">
        <v>810</v>
      </c>
      <c r="T327" t="s">
        <v>2759</v>
      </c>
      <c r="U327" t="s">
        <v>3250</v>
      </c>
      <c r="V327" t="s">
        <v>3250</v>
      </c>
      <c r="W327" t="s">
        <v>3250</v>
      </c>
      <c r="X327" t="s">
        <v>3250</v>
      </c>
      <c r="Y327" t="s">
        <v>3250</v>
      </c>
      <c r="Z327" t="s">
        <v>3250</v>
      </c>
      <c r="AA327" t="s">
        <v>3108</v>
      </c>
      <c r="AB327" t="s">
        <v>3108</v>
      </c>
      <c r="AC327" t="s">
        <v>3250</v>
      </c>
      <c r="AD327" t="s">
        <v>3250</v>
      </c>
      <c r="AE327" t="s">
        <v>3250</v>
      </c>
      <c r="AF327" t="s">
        <v>3250</v>
      </c>
      <c r="AG327" t="s">
        <v>3250</v>
      </c>
      <c r="AH327" t="s">
        <v>3250</v>
      </c>
      <c r="AI327" t="s">
        <v>3250</v>
      </c>
      <c r="AJ327" t="s">
        <v>3250</v>
      </c>
      <c r="AL327" t="s">
        <v>3250</v>
      </c>
      <c r="AM327" t="s">
        <v>3250</v>
      </c>
      <c r="AN327" t="s">
        <v>3250</v>
      </c>
      <c r="AO327" t="s">
        <v>3250</v>
      </c>
      <c r="AS327" t="s">
        <v>3250</v>
      </c>
      <c r="AT327" t="s">
        <v>3250</v>
      </c>
      <c r="AU327" t="s">
        <v>3250</v>
      </c>
      <c r="AV327" t="s">
        <v>3250</v>
      </c>
      <c r="AW327" t="s">
        <v>3250</v>
      </c>
      <c r="AX327" t="s">
        <v>3250</v>
      </c>
      <c r="AY327" t="s">
        <v>3250</v>
      </c>
      <c r="AZ327" t="s">
        <v>3250</v>
      </c>
      <c r="BA327" t="s">
        <v>3250</v>
      </c>
      <c r="BB327" t="s">
        <v>3250</v>
      </c>
      <c r="BC327" t="s">
        <v>3250</v>
      </c>
      <c r="BE327" t="s">
        <v>3250</v>
      </c>
      <c r="BF327" t="s">
        <v>3250</v>
      </c>
      <c r="BG327" t="s">
        <v>3250</v>
      </c>
      <c r="BH327" t="s">
        <v>3250</v>
      </c>
      <c r="BI327" t="s">
        <v>3250</v>
      </c>
      <c r="BK327" t="s">
        <v>3250</v>
      </c>
      <c r="BL327" t="s">
        <v>3250</v>
      </c>
      <c r="BM327" t="s">
        <v>3250</v>
      </c>
      <c r="BN327" t="s">
        <v>3250</v>
      </c>
      <c r="BP327">
        <v>1</v>
      </c>
      <c r="BQ327">
        <v>11</v>
      </c>
      <c r="BR327" t="s">
        <v>1574</v>
      </c>
      <c r="BS327" t="s">
        <v>3252</v>
      </c>
      <c r="BV327">
        <v>0</v>
      </c>
      <c r="BW327">
        <v>0</v>
      </c>
      <c r="BX327">
        <v>0</v>
      </c>
      <c r="BY327">
        <v>0</v>
      </c>
      <c r="BZ327">
        <v>0</v>
      </c>
      <c r="CA327">
        <v>0</v>
      </c>
      <c r="CB327">
        <v>0</v>
      </c>
      <c r="CC327">
        <v>0</v>
      </c>
      <c r="CD327">
        <v>0</v>
      </c>
      <c r="CE327" t="s">
        <v>3108</v>
      </c>
      <c r="CF327" t="s">
        <v>3108</v>
      </c>
      <c r="CG327" t="s">
        <v>3108</v>
      </c>
      <c r="CH327" t="s">
        <v>3108</v>
      </c>
    </row>
    <row r="328" spans="1:86" x14ac:dyDescent="0.2">
      <c r="A328" t="s">
        <v>3884</v>
      </c>
      <c r="B328" t="s">
        <v>3884</v>
      </c>
      <c r="C328">
        <v>40616</v>
      </c>
      <c r="D328">
        <v>562</v>
      </c>
      <c r="E328" t="s">
        <v>3839</v>
      </c>
      <c r="F328">
        <v>200</v>
      </c>
      <c r="G328" t="s">
        <v>467</v>
      </c>
      <c r="H328">
        <v>200</v>
      </c>
      <c r="I328" t="s">
        <v>3840</v>
      </c>
      <c r="J328" t="s">
        <v>3250</v>
      </c>
      <c r="K328" t="s">
        <v>3250</v>
      </c>
      <c r="L328">
        <v>1200</v>
      </c>
      <c r="M328" t="s">
        <v>2368</v>
      </c>
      <c r="N328">
        <v>1204</v>
      </c>
      <c r="O328" t="s">
        <v>1574</v>
      </c>
      <c r="P328" t="s">
        <v>3108</v>
      </c>
      <c r="Q328" t="s">
        <v>3249</v>
      </c>
      <c r="R328" t="s">
        <v>3249</v>
      </c>
      <c r="S328" t="s">
        <v>810</v>
      </c>
      <c r="T328" t="s">
        <v>2759</v>
      </c>
      <c r="U328" t="s">
        <v>3250</v>
      </c>
      <c r="V328" t="s">
        <v>3250</v>
      </c>
      <c r="W328" t="s">
        <v>3250</v>
      </c>
      <c r="X328" t="s">
        <v>3250</v>
      </c>
      <c r="Y328" t="s">
        <v>3250</v>
      </c>
      <c r="Z328" t="s">
        <v>3250</v>
      </c>
      <c r="AA328" t="s">
        <v>3108</v>
      </c>
      <c r="AB328" t="s">
        <v>3108</v>
      </c>
      <c r="AC328" t="s">
        <v>3250</v>
      </c>
      <c r="AD328" t="s">
        <v>3250</v>
      </c>
      <c r="AE328" t="s">
        <v>3250</v>
      </c>
      <c r="AF328" t="s">
        <v>3250</v>
      </c>
      <c r="AG328" t="s">
        <v>3250</v>
      </c>
      <c r="AH328" t="s">
        <v>3250</v>
      </c>
      <c r="AI328" t="s">
        <v>3250</v>
      </c>
      <c r="AJ328" t="s">
        <v>3250</v>
      </c>
      <c r="AL328" t="s">
        <v>3250</v>
      </c>
      <c r="AM328" t="s">
        <v>3250</v>
      </c>
      <c r="AN328" t="s">
        <v>3250</v>
      </c>
      <c r="AO328" t="s">
        <v>3250</v>
      </c>
      <c r="AS328" t="s">
        <v>3250</v>
      </c>
      <c r="AT328" t="s">
        <v>3250</v>
      </c>
      <c r="AU328" t="s">
        <v>3250</v>
      </c>
      <c r="AV328" t="s">
        <v>3250</v>
      </c>
      <c r="AW328" t="s">
        <v>3250</v>
      </c>
      <c r="AX328" t="s">
        <v>3250</v>
      </c>
      <c r="AY328" t="s">
        <v>3250</v>
      </c>
      <c r="AZ328" t="s">
        <v>3250</v>
      </c>
      <c r="BA328" t="s">
        <v>3250</v>
      </c>
      <c r="BB328" t="s">
        <v>3250</v>
      </c>
      <c r="BC328" t="s">
        <v>3250</v>
      </c>
      <c r="BE328" t="s">
        <v>3250</v>
      </c>
      <c r="BF328" t="s">
        <v>3250</v>
      </c>
      <c r="BG328" t="s">
        <v>3250</v>
      </c>
      <c r="BH328" t="s">
        <v>3250</v>
      </c>
      <c r="BI328" t="s">
        <v>3250</v>
      </c>
      <c r="BK328" t="s">
        <v>3250</v>
      </c>
      <c r="BL328" t="s">
        <v>3250</v>
      </c>
      <c r="BM328" t="s">
        <v>3250</v>
      </c>
      <c r="BN328" t="s">
        <v>3250</v>
      </c>
      <c r="BP328">
        <v>1</v>
      </c>
      <c r="BQ328">
        <v>11</v>
      </c>
      <c r="BR328" t="s">
        <v>1574</v>
      </c>
      <c r="BS328" t="s">
        <v>3252</v>
      </c>
      <c r="BV328">
        <v>0</v>
      </c>
      <c r="BW328">
        <v>0</v>
      </c>
      <c r="BX328">
        <v>0</v>
      </c>
      <c r="BY328">
        <v>0</v>
      </c>
      <c r="BZ328">
        <v>0</v>
      </c>
      <c r="CA328">
        <v>0</v>
      </c>
      <c r="CB328">
        <v>0</v>
      </c>
      <c r="CC328">
        <v>0</v>
      </c>
      <c r="CD328">
        <v>0</v>
      </c>
      <c r="CE328" t="s">
        <v>3108</v>
      </c>
      <c r="CF328" t="s">
        <v>3108</v>
      </c>
      <c r="CG328" t="s">
        <v>3108</v>
      </c>
      <c r="CH328" t="s">
        <v>3108</v>
      </c>
    </row>
    <row r="329" spans="1:86" x14ac:dyDescent="0.2">
      <c r="A329" t="s">
        <v>3885</v>
      </c>
      <c r="B329" t="s">
        <v>3885</v>
      </c>
      <c r="C329">
        <v>40617</v>
      </c>
      <c r="D329">
        <v>563</v>
      </c>
      <c r="E329" t="s">
        <v>3842</v>
      </c>
      <c r="F329">
        <v>200</v>
      </c>
      <c r="G329" t="s">
        <v>467</v>
      </c>
      <c r="H329">
        <v>200</v>
      </c>
      <c r="I329" t="s">
        <v>3840</v>
      </c>
      <c r="J329" t="s">
        <v>3250</v>
      </c>
      <c r="K329" t="s">
        <v>3250</v>
      </c>
      <c r="L329">
        <v>1200</v>
      </c>
      <c r="M329" t="s">
        <v>2368</v>
      </c>
      <c r="N329">
        <v>1204</v>
      </c>
      <c r="O329" t="s">
        <v>1574</v>
      </c>
      <c r="P329" t="s">
        <v>3108</v>
      </c>
      <c r="Q329" t="s">
        <v>3249</v>
      </c>
      <c r="R329" t="s">
        <v>3249</v>
      </c>
      <c r="S329" t="s">
        <v>810</v>
      </c>
      <c r="T329" t="s">
        <v>2759</v>
      </c>
      <c r="U329" t="s">
        <v>3250</v>
      </c>
      <c r="V329" t="s">
        <v>3250</v>
      </c>
      <c r="W329" t="s">
        <v>3250</v>
      </c>
      <c r="X329" t="s">
        <v>3250</v>
      </c>
      <c r="Y329" t="s">
        <v>3250</v>
      </c>
      <c r="Z329" t="s">
        <v>3250</v>
      </c>
      <c r="AA329" t="s">
        <v>3108</v>
      </c>
      <c r="AB329" t="s">
        <v>3108</v>
      </c>
      <c r="AC329" t="s">
        <v>3250</v>
      </c>
      <c r="AD329" t="s">
        <v>3250</v>
      </c>
      <c r="AE329" t="s">
        <v>3250</v>
      </c>
      <c r="AF329" t="s">
        <v>3250</v>
      </c>
      <c r="AG329" t="s">
        <v>3250</v>
      </c>
      <c r="AH329" t="s">
        <v>3250</v>
      </c>
      <c r="AI329" t="s">
        <v>3250</v>
      </c>
      <c r="AJ329" t="s">
        <v>3250</v>
      </c>
      <c r="AL329" t="s">
        <v>3250</v>
      </c>
      <c r="AM329" t="s">
        <v>3250</v>
      </c>
      <c r="AN329" t="s">
        <v>3250</v>
      </c>
      <c r="AO329" t="s">
        <v>3250</v>
      </c>
      <c r="AS329" t="s">
        <v>3250</v>
      </c>
      <c r="AT329" t="s">
        <v>3250</v>
      </c>
      <c r="AU329" t="s">
        <v>3250</v>
      </c>
      <c r="AV329" t="s">
        <v>3250</v>
      </c>
      <c r="AW329" t="s">
        <v>3250</v>
      </c>
      <c r="AX329" t="s">
        <v>3250</v>
      </c>
      <c r="AY329" t="s">
        <v>3250</v>
      </c>
      <c r="AZ329" t="s">
        <v>3250</v>
      </c>
      <c r="BA329" t="s">
        <v>3250</v>
      </c>
      <c r="BB329" t="s">
        <v>3250</v>
      </c>
      <c r="BC329" t="s">
        <v>3250</v>
      </c>
      <c r="BE329" t="s">
        <v>3250</v>
      </c>
      <c r="BF329" t="s">
        <v>3250</v>
      </c>
      <c r="BG329" t="s">
        <v>3250</v>
      </c>
      <c r="BH329" t="s">
        <v>3250</v>
      </c>
      <c r="BI329" t="s">
        <v>3250</v>
      </c>
      <c r="BK329" t="s">
        <v>3250</v>
      </c>
      <c r="BL329" t="s">
        <v>3250</v>
      </c>
      <c r="BM329" t="s">
        <v>3250</v>
      </c>
      <c r="BN329" t="s">
        <v>3250</v>
      </c>
      <c r="BP329">
        <v>1</v>
      </c>
      <c r="BQ329">
        <v>11</v>
      </c>
      <c r="BR329" t="s">
        <v>1574</v>
      </c>
      <c r="BS329" t="s">
        <v>3252</v>
      </c>
      <c r="BV329">
        <v>0</v>
      </c>
      <c r="BW329">
        <v>0</v>
      </c>
      <c r="BX329">
        <v>0</v>
      </c>
      <c r="BY329">
        <v>0</v>
      </c>
      <c r="BZ329">
        <v>0</v>
      </c>
      <c r="CA329">
        <v>0</v>
      </c>
      <c r="CB329">
        <v>0</v>
      </c>
      <c r="CC329">
        <v>0</v>
      </c>
      <c r="CD329">
        <v>0</v>
      </c>
      <c r="CE329" t="s">
        <v>3108</v>
      </c>
      <c r="CF329" t="s">
        <v>3108</v>
      </c>
      <c r="CG329" t="s">
        <v>3108</v>
      </c>
      <c r="CH329" t="s">
        <v>3108</v>
      </c>
    </row>
    <row r="330" spans="1:86" x14ac:dyDescent="0.2">
      <c r="A330" t="s">
        <v>3886</v>
      </c>
      <c r="B330" t="s">
        <v>3886</v>
      </c>
      <c r="C330">
        <v>40618</v>
      </c>
      <c r="D330">
        <v>564</v>
      </c>
      <c r="E330" t="s">
        <v>3844</v>
      </c>
      <c r="F330">
        <v>200</v>
      </c>
      <c r="G330" t="s">
        <v>467</v>
      </c>
      <c r="H330">
        <v>200</v>
      </c>
      <c r="I330" t="s">
        <v>3840</v>
      </c>
      <c r="J330" t="s">
        <v>3250</v>
      </c>
      <c r="K330" t="s">
        <v>3250</v>
      </c>
      <c r="L330">
        <v>1200</v>
      </c>
      <c r="M330" t="s">
        <v>2368</v>
      </c>
      <c r="N330">
        <v>1204</v>
      </c>
      <c r="O330" t="s">
        <v>1574</v>
      </c>
      <c r="P330" t="s">
        <v>3108</v>
      </c>
      <c r="Q330" t="s">
        <v>3249</v>
      </c>
      <c r="R330" t="s">
        <v>3249</v>
      </c>
      <c r="S330" t="s">
        <v>810</v>
      </c>
      <c r="T330" t="s">
        <v>2759</v>
      </c>
      <c r="U330" t="s">
        <v>3250</v>
      </c>
      <c r="V330" t="s">
        <v>3250</v>
      </c>
      <c r="W330" t="s">
        <v>3250</v>
      </c>
      <c r="X330" t="s">
        <v>3250</v>
      </c>
      <c r="Y330" t="s">
        <v>3250</v>
      </c>
      <c r="Z330" t="s">
        <v>3250</v>
      </c>
      <c r="AA330" t="s">
        <v>3108</v>
      </c>
      <c r="AB330" t="s">
        <v>3108</v>
      </c>
      <c r="AC330" t="s">
        <v>3250</v>
      </c>
      <c r="AD330" t="s">
        <v>3250</v>
      </c>
      <c r="AE330" t="s">
        <v>3250</v>
      </c>
      <c r="AF330" t="s">
        <v>3250</v>
      </c>
      <c r="AG330" t="s">
        <v>3250</v>
      </c>
      <c r="AH330" t="s">
        <v>3250</v>
      </c>
      <c r="AI330" t="s">
        <v>3250</v>
      </c>
      <c r="AJ330" t="s">
        <v>3250</v>
      </c>
      <c r="AL330" t="s">
        <v>3250</v>
      </c>
      <c r="AM330" t="s">
        <v>3250</v>
      </c>
      <c r="AN330" t="s">
        <v>3250</v>
      </c>
      <c r="AO330" t="s">
        <v>3250</v>
      </c>
      <c r="AS330" t="s">
        <v>3250</v>
      </c>
      <c r="AT330" t="s">
        <v>3250</v>
      </c>
      <c r="AU330" t="s">
        <v>3250</v>
      </c>
      <c r="AV330" t="s">
        <v>3250</v>
      </c>
      <c r="AW330" t="s">
        <v>3250</v>
      </c>
      <c r="AX330" t="s">
        <v>3250</v>
      </c>
      <c r="AY330" t="s">
        <v>3250</v>
      </c>
      <c r="AZ330" t="s">
        <v>3250</v>
      </c>
      <c r="BA330" t="s">
        <v>3250</v>
      </c>
      <c r="BB330" t="s">
        <v>3250</v>
      </c>
      <c r="BC330" t="s">
        <v>3250</v>
      </c>
      <c r="BE330" t="s">
        <v>3250</v>
      </c>
      <c r="BF330" t="s">
        <v>3250</v>
      </c>
      <c r="BG330" t="s">
        <v>3250</v>
      </c>
      <c r="BH330" t="s">
        <v>3250</v>
      </c>
      <c r="BI330" t="s">
        <v>3250</v>
      </c>
      <c r="BK330" t="s">
        <v>3250</v>
      </c>
      <c r="BL330" t="s">
        <v>3250</v>
      </c>
      <c r="BM330" t="s">
        <v>3250</v>
      </c>
      <c r="BN330" t="s">
        <v>3250</v>
      </c>
      <c r="BP330">
        <v>1</v>
      </c>
      <c r="BQ330">
        <v>11</v>
      </c>
      <c r="BR330" t="s">
        <v>1574</v>
      </c>
      <c r="BS330" t="s">
        <v>3252</v>
      </c>
      <c r="BV330">
        <v>0</v>
      </c>
      <c r="BW330">
        <v>0</v>
      </c>
      <c r="BX330">
        <v>0</v>
      </c>
      <c r="BY330">
        <v>0</v>
      </c>
      <c r="BZ330">
        <v>0</v>
      </c>
      <c r="CA330">
        <v>0</v>
      </c>
      <c r="CB330">
        <v>0</v>
      </c>
      <c r="CC330">
        <v>0</v>
      </c>
      <c r="CD330">
        <v>0</v>
      </c>
      <c r="CE330" t="s">
        <v>3108</v>
      </c>
      <c r="CF330" t="s">
        <v>3108</v>
      </c>
      <c r="CG330" t="s">
        <v>3108</v>
      </c>
      <c r="CH330" t="s">
        <v>3108</v>
      </c>
    </row>
    <row r="331" spans="1:86" x14ac:dyDescent="0.2">
      <c r="A331" t="s">
        <v>3887</v>
      </c>
      <c r="B331" t="s">
        <v>3887</v>
      </c>
      <c r="C331">
        <v>40619</v>
      </c>
      <c r="D331">
        <v>565</v>
      </c>
      <c r="E331" t="s">
        <v>3846</v>
      </c>
      <c r="F331">
        <v>200</v>
      </c>
      <c r="G331" t="s">
        <v>467</v>
      </c>
      <c r="H331">
        <v>200</v>
      </c>
      <c r="I331" t="s">
        <v>3840</v>
      </c>
      <c r="J331" t="s">
        <v>3250</v>
      </c>
      <c r="K331" t="s">
        <v>3250</v>
      </c>
      <c r="L331">
        <v>1200</v>
      </c>
      <c r="M331" t="s">
        <v>2368</v>
      </c>
      <c r="N331">
        <v>1204</v>
      </c>
      <c r="O331" t="s">
        <v>1574</v>
      </c>
      <c r="P331" t="s">
        <v>3108</v>
      </c>
      <c r="Q331" t="s">
        <v>3249</v>
      </c>
      <c r="R331" t="s">
        <v>3249</v>
      </c>
      <c r="S331" t="s">
        <v>810</v>
      </c>
      <c r="T331" t="s">
        <v>2759</v>
      </c>
      <c r="U331" t="s">
        <v>3250</v>
      </c>
      <c r="V331" t="s">
        <v>3250</v>
      </c>
      <c r="W331" t="s">
        <v>3250</v>
      </c>
      <c r="X331" t="s">
        <v>3250</v>
      </c>
      <c r="Y331" t="s">
        <v>3250</v>
      </c>
      <c r="Z331" t="s">
        <v>3250</v>
      </c>
      <c r="AA331" t="s">
        <v>3108</v>
      </c>
      <c r="AB331" t="s">
        <v>3108</v>
      </c>
      <c r="AC331" t="s">
        <v>3250</v>
      </c>
      <c r="AD331" t="s">
        <v>3250</v>
      </c>
      <c r="AE331" t="s">
        <v>3250</v>
      </c>
      <c r="AF331" t="s">
        <v>3250</v>
      </c>
      <c r="AG331" t="s">
        <v>3250</v>
      </c>
      <c r="AH331" t="s">
        <v>3250</v>
      </c>
      <c r="AI331" t="s">
        <v>3250</v>
      </c>
      <c r="AJ331" t="s">
        <v>3250</v>
      </c>
      <c r="AL331" t="s">
        <v>3250</v>
      </c>
      <c r="AM331" t="s">
        <v>3250</v>
      </c>
      <c r="AN331" t="s">
        <v>3250</v>
      </c>
      <c r="AO331" t="s">
        <v>3250</v>
      </c>
      <c r="AS331" t="s">
        <v>3250</v>
      </c>
      <c r="AT331" t="s">
        <v>3250</v>
      </c>
      <c r="AU331" t="s">
        <v>3250</v>
      </c>
      <c r="AV331" t="s">
        <v>3250</v>
      </c>
      <c r="AW331" t="s">
        <v>3250</v>
      </c>
      <c r="AX331" t="s">
        <v>3250</v>
      </c>
      <c r="AY331" t="s">
        <v>3250</v>
      </c>
      <c r="AZ331" t="s">
        <v>3250</v>
      </c>
      <c r="BA331" t="s">
        <v>3250</v>
      </c>
      <c r="BB331" t="s">
        <v>3250</v>
      </c>
      <c r="BC331" t="s">
        <v>3250</v>
      </c>
      <c r="BE331" t="s">
        <v>3250</v>
      </c>
      <c r="BF331" t="s">
        <v>3250</v>
      </c>
      <c r="BG331" t="s">
        <v>3250</v>
      </c>
      <c r="BH331" t="s">
        <v>3250</v>
      </c>
      <c r="BI331" t="s">
        <v>3250</v>
      </c>
      <c r="BK331" t="s">
        <v>3250</v>
      </c>
      <c r="BL331" t="s">
        <v>3250</v>
      </c>
      <c r="BM331" t="s">
        <v>3250</v>
      </c>
      <c r="BN331" t="s">
        <v>3250</v>
      </c>
      <c r="BP331">
        <v>1</v>
      </c>
      <c r="BQ331">
        <v>11</v>
      </c>
      <c r="BR331" t="s">
        <v>1574</v>
      </c>
      <c r="BS331" t="s">
        <v>3252</v>
      </c>
      <c r="BV331">
        <v>0</v>
      </c>
      <c r="BW331">
        <v>0</v>
      </c>
      <c r="BX331">
        <v>0</v>
      </c>
      <c r="BY331">
        <v>0</v>
      </c>
      <c r="BZ331">
        <v>0</v>
      </c>
      <c r="CA331">
        <v>0</v>
      </c>
      <c r="CB331">
        <v>0</v>
      </c>
      <c r="CC331">
        <v>0</v>
      </c>
      <c r="CD331">
        <v>0</v>
      </c>
      <c r="CE331" t="s">
        <v>3108</v>
      </c>
      <c r="CF331" t="s">
        <v>3108</v>
      </c>
      <c r="CG331" t="s">
        <v>3108</v>
      </c>
      <c r="CH331" t="s">
        <v>3108</v>
      </c>
    </row>
    <row r="332" spans="1:86" x14ac:dyDescent="0.2">
      <c r="A332" t="s">
        <v>3888</v>
      </c>
      <c r="B332" t="s">
        <v>3888</v>
      </c>
      <c r="C332">
        <v>40620</v>
      </c>
      <c r="D332">
        <v>566</v>
      </c>
      <c r="E332" t="s">
        <v>3848</v>
      </c>
      <c r="F332">
        <v>200</v>
      </c>
      <c r="G332" t="s">
        <v>467</v>
      </c>
      <c r="H332">
        <v>200</v>
      </c>
      <c r="I332" t="s">
        <v>3840</v>
      </c>
      <c r="J332" t="s">
        <v>3250</v>
      </c>
      <c r="K332" t="s">
        <v>3250</v>
      </c>
      <c r="L332">
        <v>1200</v>
      </c>
      <c r="M332" t="s">
        <v>2368</v>
      </c>
      <c r="N332">
        <v>1204</v>
      </c>
      <c r="O332" t="s">
        <v>1574</v>
      </c>
      <c r="P332" t="s">
        <v>3108</v>
      </c>
      <c r="Q332" t="s">
        <v>3249</v>
      </c>
      <c r="R332" t="s">
        <v>3249</v>
      </c>
      <c r="S332" t="s">
        <v>810</v>
      </c>
      <c r="T332" t="s">
        <v>2759</v>
      </c>
      <c r="U332" t="s">
        <v>3250</v>
      </c>
      <c r="V332" t="s">
        <v>3250</v>
      </c>
      <c r="W332" t="s">
        <v>3250</v>
      </c>
      <c r="X332" t="s">
        <v>3250</v>
      </c>
      <c r="Y332" t="s">
        <v>3250</v>
      </c>
      <c r="Z332" t="s">
        <v>3250</v>
      </c>
      <c r="AA332" t="s">
        <v>3108</v>
      </c>
      <c r="AB332" t="s">
        <v>3108</v>
      </c>
      <c r="AC332" t="s">
        <v>3250</v>
      </c>
      <c r="AD332" t="s">
        <v>3250</v>
      </c>
      <c r="AE332" t="s">
        <v>3250</v>
      </c>
      <c r="AF332" t="s">
        <v>3250</v>
      </c>
      <c r="AG332" t="s">
        <v>3250</v>
      </c>
      <c r="AH332" t="s">
        <v>3250</v>
      </c>
      <c r="AI332" t="s">
        <v>3250</v>
      </c>
      <c r="AJ332" t="s">
        <v>3250</v>
      </c>
      <c r="AL332" t="s">
        <v>3250</v>
      </c>
      <c r="AM332" t="s">
        <v>3250</v>
      </c>
      <c r="AN332" t="s">
        <v>3250</v>
      </c>
      <c r="AO332" t="s">
        <v>3250</v>
      </c>
      <c r="AS332" t="s">
        <v>3250</v>
      </c>
      <c r="AT332" t="s">
        <v>3250</v>
      </c>
      <c r="AU332" t="s">
        <v>3250</v>
      </c>
      <c r="AV332" t="s">
        <v>3250</v>
      </c>
      <c r="AW332" t="s">
        <v>3250</v>
      </c>
      <c r="AX332" t="s">
        <v>3250</v>
      </c>
      <c r="AY332" t="s">
        <v>3250</v>
      </c>
      <c r="AZ332" t="s">
        <v>3250</v>
      </c>
      <c r="BA332" t="s">
        <v>3250</v>
      </c>
      <c r="BB332" t="s">
        <v>3250</v>
      </c>
      <c r="BC332" t="s">
        <v>3250</v>
      </c>
      <c r="BE332" t="s">
        <v>3250</v>
      </c>
      <c r="BF332" t="s">
        <v>3250</v>
      </c>
      <c r="BG332" t="s">
        <v>3250</v>
      </c>
      <c r="BH332" t="s">
        <v>3250</v>
      </c>
      <c r="BI332" t="s">
        <v>3250</v>
      </c>
      <c r="BK332" t="s">
        <v>3250</v>
      </c>
      <c r="BL332" t="s">
        <v>3250</v>
      </c>
      <c r="BM332" t="s">
        <v>3250</v>
      </c>
      <c r="BN332" t="s">
        <v>3250</v>
      </c>
      <c r="BP332">
        <v>1</v>
      </c>
      <c r="BQ332">
        <v>11</v>
      </c>
      <c r="BR332" t="s">
        <v>1574</v>
      </c>
      <c r="BS332" t="s">
        <v>3252</v>
      </c>
      <c r="BV332">
        <v>0</v>
      </c>
      <c r="BW332">
        <v>0</v>
      </c>
      <c r="BX332">
        <v>0</v>
      </c>
      <c r="BY332">
        <v>0</v>
      </c>
      <c r="BZ332">
        <v>0</v>
      </c>
      <c r="CA332">
        <v>0</v>
      </c>
      <c r="CB332">
        <v>0</v>
      </c>
      <c r="CC332">
        <v>0</v>
      </c>
      <c r="CD332">
        <v>0</v>
      </c>
      <c r="CE332" t="s">
        <v>3108</v>
      </c>
      <c r="CF332" t="s">
        <v>3108</v>
      </c>
      <c r="CG332" t="s">
        <v>3108</v>
      </c>
      <c r="CH332" t="s">
        <v>3108</v>
      </c>
    </row>
    <row r="333" spans="1:86" x14ac:dyDescent="0.2">
      <c r="A333" t="s">
        <v>3889</v>
      </c>
      <c r="B333" t="s">
        <v>3889</v>
      </c>
      <c r="C333">
        <v>40621</v>
      </c>
      <c r="D333">
        <v>567</v>
      </c>
      <c r="E333" t="s">
        <v>3850</v>
      </c>
      <c r="F333">
        <v>200</v>
      </c>
      <c r="G333" t="s">
        <v>467</v>
      </c>
      <c r="H333">
        <v>200</v>
      </c>
      <c r="I333" t="s">
        <v>3840</v>
      </c>
      <c r="J333" t="s">
        <v>3250</v>
      </c>
      <c r="K333" t="s">
        <v>3250</v>
      </c>
      <c r="L333">
        <v>1200</v>
      </c>
      <c r="M333" t="s">
        <v>2368</v>
      </c>
      <c r="N333">
        <v>1204</v>
      </c>
      <c r="O333" t="s">
        <v>1574</v>
      </c>
      <c r="P333" t="s">
        <v>3108</v>
      </c>
      <c r="Q333" t="s">
        <v>3249</v>
      </c>
      <c r="R333" t="s">
        <v>3249</v>
      </c>
      <c r="S333" t="s">
        <v>810</v>
      </c>
      <c r="T333" t="s">
        <v>2759</v>
      </c>
      <c r="U333" t="s">
        <v>3250</v>
      </c>
      <c r="V333" t="s">
        <v>3250</v>
      </c>
      <c r="W333" t="s">
        <v>3250</v>
      </c>
      <c r="X333" t="s">
        <v>3250</v>
      </c>
      <c r="Y333" t="s">
        <v>3250</v>
      </c>
      <c r="Z333" t="s">
        <v>3250</v>
      </c>
      <c r="AA333" t="s">
        <v>3108</v>
      </c>
      <c r="AB333" t="s">
        <v>3108</v>
      </c>
      <c r="AC333" t="s">
        <v>3250</v>
      </c>
      <c r="AD333" t="s">
        <v>3250</v>
      </c>
      <c r="AE333" t="s">
        <v>3250</v>
      </c>
      <c r="AF333" t="s">
        <v>3250</v>
      </c>
      <c r="AG333" t="s">
        <v>3250</v>
      </c>
      <c r="AH333" t="s">
        <v>3250</v>
      </c>
      <c r="AI333" t="s">
        <v>3250</v>
      </c>
      <c r="AJ333" t="s">
        <v>3250</v>
      </c>
      <c r="AL333" t="s">
        <v>3250</v>
      </c>
      <c r="AM333" t="s">
        <v>3250</v>
      </c>
      <c r="AN333" t="s">
        <v>3250</v>
      </c>
      <c r="AO333" t="s">
        <v>3250</v>
      </c>
      <c r="AS333" t="s">
        <v>3250</v>
      </c>
      <c r="AT333" t="s">
        <v>3250</v>
      </c>
      <c r="AU333" t="s">
        <v>3250</v>
      </c>
      <c r="AV333" t="s">
        <v>3250</v>
      </c>
      <c r="AW333" t="s">
        <v>3250</v>
      </c>
      <c r="AX333" t="s">
        <v>3250</v>
      </c>
      <c r="AY333" t="s">
        <v>3250</v>
      </c>
      <c r="AZ333" t="s">
        <v>3250</v>
      </c>
      <c r="BA333" t="s">
        <v>3250</v>
      </c>
      <c r="BB333" t="s">
        <v>3250</v>
      </c>
      <c r="BC333" t="s">
        <v>3250</v>
      </c>
      <c r="BE333" t="s">
        <v>3250</v>
      </c>
      <c r="BF333" t="s">
        <v>3250</v>
      </c>
      <c r="BG333" t="s">
        <v>3250</v>
      </c>
      <c r="BH333" t="s">
        <v>3250</v>
      </c>
      <c r="BI333" t="s">
        <v>3250</v>
      </c>
      <c r="BK333" t="s">
        <v>3250</v>
      </c>
      <c r="BL333" t="s">
        <v>3250</v>
      </c>
      <c r="BM333" t="s">
        <v>3250</v>
      </c>
      <c r="BN333" t="s">
        <v>3250</v>
      </c>
      <c r="BP333">
        <v>1</v>
      </c>
      <c r="BQ333">
        <v>11</v>
      </c>
      <c r="BR333" t="s">
        <v>1574</v>
      </c>
      <c r="BS333" t="s">
        <v>3252</v>
      </c>
      <c r="BV333">
        <v>0</v>
      </c>
      <c r="BW333">
        <v>0</v>
      </c>
      <c r="BX333">
        <v>0</v>
      </c>
      <c r="BY333">
        <v>0</v>
      </c>
      <c r="BZ333">
        <v>0</v>
      </c>
      <c r="CA333">
        <v>0</v>
      </c>
      <c r="CB333">
        <v>0</v>
      </c>
      <c r="CC333">
        <v>0</v>
      </c>
      <c r="CD333">
        <v>0</v>
      </c>
      <c r="CE333" t="s">
        <v>3108</v>
      </c>
      <c r="CF333" t="s">
        <v>3108</v>
      </c>
      <c r="CG333" t="s">
        <v>3108</v>
      </c>
      <c r="CH333" t="s">
        <v>3108</v>
      </c>
    </row>
    <row r="334" spans="1:86" x14ac:dyDescent="0.2">
      <c r="A334" t="s">
        <v>3890</v>
      </c>
      <c r="B334" t="s">
        <v>3890</v>
      </c>
      <c r="C334">
        <v>40622</v>
      </c>
      <c r="D334">
        <v>568</v>
      </c>
      <c r="E334" t="s">
        <v>3852</v>
      </c>
      <c r="F334">
        <v>200</v>
      </c>
      <c r="G334" t="s">
        <v>467</v>
      </c>
      <c r="H334">
        <v>200</v>
      </c>
      <c r="I334" t="s">
        <v>3840</v>
      </c>
      <c r="J334" t="s">
        <v>3250</v>
      </c>
      <c r="K334" t="s">
        <v>3250</v>
      </c>
      <c r="L334">
        <v>1200</v>
      </c>
      <c r="M334" t="s">
        <v>2368</v>
      </c>
      <c r="N334">
        <v>1204</v>
      </c>
      <c r="O334" t="s">
        <v>1574</v>
      </c>
      <c r="P334" t="s">
        <v>3108</v>
      </c>
      <c r="Q334" t="s">
        <v>3249</v>
      </c>
      <c r="R334" t="s">
        <v>3249</v>
      </c>
      <c r="S334" t="s">
        <v>810</v>
      </c>
      <c r="T334" t="s">
        <v>2759</v>
      </c>
      <c r="U334" t="s">
        <v>3250</v>
      </c>
      <c r="V334" t="s">
        <v>3250</v>
      </c>
      <c r="W334" t="s">
        <v>3250</v>
      </c>
      <c r="X334" t="s">
        <v>3250</v>
      </c>
      <c r="Y334" t="s">
        <v>3250</v>
      </c>
      <c r="Z334" t="s">
        <v>3250</v>
      </c>
      <c r="AA334" t="s">
        <v>3108</v>
      </c>
      <c r="AB334" t="s">
        <v>3108</v>
      </c>
      <c r="AC334" t="s">
        <v>3250</v>
      </c>
      <c r="AD334" t="s">
        <v>3250</v>
      </c>
      <c r="AE334" t="s">
        <v>3250</v>
      </c>
      <c r="AF334" t="s">
        <v>3250</v>
      </c>
      <c r="AG334" t="s">
        <v>3250</v>
      </c>
      <c r="AH334" t="s">
        <v>3250</v>
      </c>
      <c r="AI334" t="s">
        <v>3250</v>
      </c>
      <c r="AJ334" t="s">
        <v>3250</v>
      </c>
      <c r="AL334" t="s">
        <v>3250</v>
      </c>
      <c r="AM334" t="s">
        <v>3250</v>
      </c>
      <c r="AN334" t="s">
        <v>3250</v>
      </c>
      <c r="AO334" t="s">
        <v>3250</v>
      </c>
      <c r="AS334" t="s">
        <v>3250</v>
      </c>
      <c r="AT334" t="s">
        <v>3250</v>
      </c>
      <c r="AU334" t="s">
        <v>3250</v>
      </c>
      <c r="AV334" t="s">
        <v>3250</v>
      </c>
      <c r="AW334" t="s">
        <v>3250</v>
      </c>
      <c r="AX334" t="s">
        <v>3250</v>
      </c>
      <c r="AY334" t="s">
        <v>3250</v>
      </c>
      <c r="AZ334" t="s">
        <v>3250</v>
      </c>
      <c r="BA334" t="s">
        <v>3250</v>
      </c>
      <c r="BB334" t="s">
        <v>3250</v>
      </c>
      <c r="BC334" t="s">
        <v>3250</v>
      </c>
      <c r="BE334" t="s">
        <v>3250</v>
      </c>
      <c r="BF334" t="s">
        <v>3250</v>
      </c>
      <c r="BG334" t="s">
        <v>3250</v>
      </c>
      <c r="BH334" t="s">
        <v>3250</v>
      </c>
      <c r="BI334" t="s">
        <v>3250</v>
      </c>
      <c r="BK334" t="s">
        <v>3250</v>
      </c>
      <c r="BL334" t="s">
        <v>3250</v>
      </c>
      <c r="BM334" t="s">
        <v>3250</v>
      </c>
      <c r="BN334" t="s">
        <v>3250</v>
      </c>
      <c r="BP334">
        <v>1</v>
      </c>
      <c r="BQ334">
        <v>11</v>
      </c>
      <c r="BR334" t="s">
        <v>1574</v>
      </c>
      <c r="BS334" t="s">
        <v>3252</v>
      </c>
      <c r="BV334">
        <v>0</v>
      </c>
      <c r="BW334">
        <v>0</v>
      </c>
      <c r="BX334">
        <v>0</v>
      </c>
      <c r="BY334">
        <v>0</v>
      </c>
      <c r="BZ334">
        <v>0</v>
      </c>
      <c r="CA334">
        <v>0</v>
      </c>
      <c r="CB334">
        <v>0</v>
      </c>
      <c r="CC334">
        <v>0</v>
      </c>
      <c r="CD334">
        <v>0</v>
      </c>
      <c r="CE334" t="s">
        <v>3108</v>
      </c>
      <c r="CF334" t="s">
        <v>3108</v>
      </c>
      <c r="CG334" t="s">
        <v>3108</v>
      </c>
      <c r="CH334" t="s">
        <v>3108</v>
      </c>
    </row>
    <row r="335" spans="1:86" x14ac:dyDescent="0.2">
      <c r="A335" t="s">
        <v>3891</v>
      </c>
      <c r="B335" t="s">
        <v>3891</v>
      </c>
      <c r="C335">
        <v>40623</v>
      </c>
      <c r="D335">
        <v>569</v>
      </c>
      <c r="E335" t="s">
        <v>3854</v>
      </c>
      <c r="F335">
        <v>200</v>
      </c>
      <c r="G335" t="s">
        <v>467</v>
      </c>
      <c r="H335">
        <v>200</v>
      </c>
      <c r="I335" t="s">
        <v>3840</v>
      </c>
      <c r="J335" t="s">
        <v>3250</v>
      </c>
      <c r="K335" t="s">
        <v>3250</v>
      </c>
      <c r="L335">
        <v>1200</v>
      </c>
      <c r="M335" t="s">
        <v>2368</v>
      </c>
      <c r="N335">
        <v>1204</v>
      </c>
      <c r="O335" t="s">
        <v>1574</v>
      </c>
      <c r="P335" t="s">
        <v>3108</v>
      </c>
      <c r="Q335" t="s">
        <v>3249</v>
      </c>
      <c r="R335" t="s">
        <v>3249</v>
      </c>
      <c r="S335" t="s">
        <v>810</v>
      </c>
      <c r="T335" t="s">
        <v>2759</v>
      </c>
      <c r="U335" t="s">
        <v>3250</v>
      </c>
      <c r="V335" t="s">
        <v>3250</v>
      </c>
      <c r="W335" t="s">
        <v>3250</v>
      </c>
      <c r="X335" t="s">
        <v>3250</v>
      </c>
      <c r="Y335" t="s">
        <v>3250</v>
      </c>
      <c r="Z335" t="s">
        <v>3250</v>
      </c>
      <c r="AA335" t="s">
        <v>3108</v>
      </c>
      <c r="AB335" t="s">
        <v>3108</v>
      </c>
      <c r="AC335" t="s">
        <v>3250</v>
      </c>
      <c r="AD335" t="s">
        <v>3250</v>
      </c>
      <c r="AE335" t="s">
        <v>3250</v>
      </c>
      <c r="AF335" t="s">
        <v>3250</v>
      </c>
      <c r="AG335" t="s">
        <v>3250</v>
      </c>
      <c r="AH335" t="s">
        <v>3250</v>
      </c>
      <c r="AI335" t="s">
        <v>3250</v>
      </c>
      <c r="AJ335" t="s">
        <v>3250</v>
      </c>
      <c r="AL335" t="s">
        <v>3250</v>
      </c>
      <c r="AM335" t="s">
        <v>3250</v>
      </c>
      <c r="AN335" t="s">
        <v>3250</v>
      </c>
      <c r="AO335" t="s">
        <v>3250</v>
      </c>
      <c r="AS335" t="s">
        <v>3250</v>
      </c>
      <c r="AT335" t="s">
        <v>3250</v>
      </c>
      <c r="AU335" t="s">
        <v>3250</v>
      </c>
      <c r="AV335" t="s">
        <v>3250</v>
      </c>
      <c r="AW335" t="s">
        <v>3250</v>
      </c>
      <c r="AX335" t="s">
        <v>3250</v>
      </c>
      <c r="AY335" t="s">
        <v>3250</v>
      </c>
      <c r="AZ335" t="s">
        <v>3250</v>
      </c>
      <c r="BA335" t="s">
        <v>3250</v>
      </c>
      <c r="BB335" t="s">
        <v>3250</v>
      </c>
      <c r="BC335" t="s">
        <v>3250</v>
      </c>
      <c r="BE335" t="s">
        <v>3250</v>
      </c>
      <c r="BF335" t="s">
        <v>3250</v>
      </c>
      <c r="BG335" t="s">
        <v>3250</v>
      </c>
      <c r="BH335" t="s">
        <v>3250</v>
      </c>
      <c r="BI335" t="s">
        <v>3250</v>
      </c>
      <c r="BK335" t="s">
        <v>3250</v>
      </c>
      <c r="BL335" t="s">
        <v>3250</v>
      </c>
      <c r="BM335" t="s">
        <v>3250</v>
      </c>
      <c r="BN335" t="s">
        <v>3250</v>
      </c>
      <c r="BP335">
        <v>1</v>
      </c>
      <c r="BQ335">
        <v>11</v>
      </c>
      <c r="BR335" t="s">
        <v>1574</v>
      </c>
      <c r="BS335" t="s">
        <v>3252</v>
      </c>
      <c r="BV335">
        <v>0</v>
      </c>
      <c r="BW335">
        <v>0</v>
      </c>
      <c r="BX335">
        <v>0</v>
      </c>
      <c r="BY335">
        <v>0</v>
      </c>
      <c r="BZ335">
        <v>0</v>
      </c>
      <c r="CA335">
        <v>0</v>
      </c>
      <c r="CB335">
        <v>0</v>
      </c>
      <c r="CC335">
        <v>0</v>
      </c>
      <c r="CD335">
        <v>0</v>
      </c>
      <c r="CE335" t="s">
        <v>3108</v>
      </c>
      <c r="CF335" t="s">
        <v>3108</v>
      </c>
      <c r="CG335" t="s">
        <v>3108</v>
      </c>
      <c r="CH335" t="s">
        <v>3108</v>
      </c>
    </row>
    <row r="336" spans="1:86" x14ac:dyDescent="0.2">
      <c r="A336" t="s">
        <v>3892</v>
      </c>
      <c r="B336" t="s">
        <v>3892</v>
      </c>
      <c r="C336">
        <v>40624</v>
      </c>
      <c r="D336">
        <v>570</v>
      </c>
      <c r="E336" t="s">
        <v>3856</v>
      </c>
      <c r="F336">
        <v>200</v>
      </c>
      <c r="G336" t="s">
        <v>467</v>
      </c>
      <c r="H336">
        <v>200</v>
      </c>
      <c r="I336" t="s">
        <v>3840</v>
      </c>
      <c r="J336" t="s">
        <v>3250</v>
      </c>
      <c r="K336" t="s">
        <v>3250</v>
      </c>
      <c r="L336">
        <v>1200</v>
      </c>
      <c r="M336" t="s">
        <v>2368</v>
      </c>
      <c r="N336">
        <v>1204</v>
      </c>
      <c r="O336" t="s">
        <v>1574</v>
      </c>
      <c r="P336" t="s">
        <v>3108</v>
      </c>
      <c r="Q336" t="s">
        <v>3249</v>
      </c>
      <c r="R336" t="s">
        <v>3249</v>
      </c>
      <c r="S336" t="s">
        <v>810</v>
      </c>
      <c r="T336" t="s">
        <v>2759</v>
      </c>
      <c r="U336" t="s">
        <v>3250</v>
      </c>
      <c r="V336" t="s">
        <v>3250</v>
      </c>
      <c r="W336" t="s">
        <v>3250</v>
      </c>
      <c r="X336" t="s">
        <v>3250</v>
      </c>
      <c r="Y336" t="s">
        <v>3250</v>
      </c>
      <c r="Z336" t="s">
        <v>3250</v>
      </c>
      <c r="AA336" t="s">
        <v>3108</v>
      </c>
      <c r="AB336" t="s">
        <v>3108</v>
      </c>
      <c r="AC336" t="s">
        <v>3250</v>
      </c>
      <c r="AD336" t="s">
        <v>3250</v>
      </c>
      <c r="AE336" t="s">
        <v>3250</v>
      </c>
      <c r="AF336" t="s">
        <v>3250</v>
      </c>
      <c r="AG336" t="s">
        <v>3250</v>
      </c>
      <c r="AH336" t="s">
        <v>3250</v>
      </c>
      <c r="AI336" t="s">
        <v>3250</v>
      </c>
      <c r="AJ336" t="s">
        <v>3250</v>
      </c>
      <c r="AL336" t="s">
        <v>3250</v>
      </c>
      <c r="AM336" t="s">
        <v>3250</v>
      </c>
      <c r="AN336" t="s">
        <v>3250</v>
      </c>
      <c r="AO336" t="s">
        <v>3250</v>
      </c>
      <c r="AS336" t="s">
        <v>3250</v>
      </c>
      <c r="AT336" t="s">
        <v>3250</v>
      </c>
      <c r="AU336" t="s">
        <v>3250</v>
      </c>
      <c r="AV336" t="s">
        <v>3250</v>
      </c>
      <c r="AW336" t="s">
        <v>3250</v>
      </c>
      <c r="AX336" t="s">
        <v>3250</v>
      </c>
      <c r="AY336" t="s">
        <v>3250</v>
      </c>
      <c r="AZ336" t="s">
        <v>3250</v>
      </c>
      <c r="BA336" t="s">
        <v>3250</v>
      </c>
      <c r="BB336" t="s">
        <v>3250</v>
      </c>
      <c r="BC336" t="s">
        <v>3250</v>
      </c>
      <c r="BE336" t="s">
        <v>3250</v>
      </c>
      <c r="BF336" t="s">
        <v>3250</v>
      </c>
      <c r="BG336" t="s">
        <v>3250</v>
      </c>
      <c r="BH336" t="s">
        <v>3250</v>
      </c>
      <c r="BI336" t="s">
        <v>3250</v>
      </c>
      <c r="BK336" t="s">
        <v>3250</v>
      </c>
      <c r="BL336" t="s">
        <v>3250</v>
      </c>
      <c r="BM336" t="s">
        <v>3250</v>
      </c>
      <c r="BN336" t="s">
        <v>3250</v>
      </c>
      <c r="BP336">
        <v>1</v>
      </c>
      <c r="BQ336">
        <v>11</v>
      </c>
      <c r="BR336" t="s">
        <v>1574</v>
      </c>
      <c r="BS336" t="s">
        <v>3252</v>
      </c>
      <c r="BV336">
        <v>0</v>
      </c>
      <c r="BW336">
        <v>0</v>
      </c>
      <c r="BX336">
        <v>0</v>
      </c>
      <c r="BY336">
        <v>0</v>
      </c>
      <c r="BZ336">
        <v>0</v>
      </c>
      <c r="CA336">
        <v>0</v>
      </c>
      <c r="CB336">
        <v>0</v>
      </c>
      <c r="CC336">
        <v>0</v>
      </c>
      <c r="CD336">
        <v>0</v>
      </c>
      <c r="CE336" t="s">
        <v>3108</v>
      </c>
      <c r="CF336" t="s">
        <v>3108</v>
      </c>
      <c r="CG336" t="s">
        <v>3108</v>
      </c>
      <c r="CH336" t="s">
        <v>3108</v>
      </c>
    </row>
    <row r="337" spans="1:86" x14ac:dyDescent="0.2">
      <c r="A337" t="s">
        <v>3893</v>
      </c>
      <c r="B337" t="s">
        <v>3893</v>
      </c>
      <c r="C337">
        <v>40625</v>
      </c>
      <c r="D337">
        <v>571</v>
      </c>
      <c r="E337" t="s">
        <v>3858</v>
      </c>
      <c r="F337">
        <v>200</v>
      </c>
      <c r="G337" t="s">
        <v>467</v>
      </c>
      <c r="H337">
        <v>200</v>
      </c>
      <c r="I337" t="s">
        <v>3840</v>
      </c>
      <c r="J337" t="s">
        <v>3250</v>
      </c>
      <c r="K337" t="s">
        <v>3250</v>
      </c>
      <c r="L337">
        <v>1200</v>
      </c>
      <c r="M337" t="s">
        <v>2368</v>
      </c>
      <c r="N337">
        <v>1204</v>
      </c>
      <c r="O337" t="s">
        <v>1574</v>
      </c>
      <c r="P337" t="s">
        <v>3108</v>
      </c>
      <c r="Q337" t="s">
        <v>3249</v>
      </c>
      <c r="R337" t="s">
        <v>3249</v>
      </c>
      <c r="S337" t="s">
        <v>810</v>
      </c>
      <c r="T337" t="s">
        <v>2759</v>
      </c>
      <c r="U337" t="s">
        <v>3250</v>
      </c>
      <c r="V337" t="s">
        <v>3250</v>
      </c>
      <c r="W337" t="s">
        <v>3250</v>
      </c>
      <c r="X337" t="s">
        <v>3250</v>
      </c>
      <c r="Y337" t="s">
        <v>3250</v>
      </c>
      <c r="Z337" t="s">
        <v>3250</v>
      </c>
      <c r="AA337" t="s">
        <v>3108</v>
      </c>
      <c r="AB337" t="s">
        <v>3108</v>
      </c>
      <c r="AC337" t="s">
        <v>3250</v>
      </c>
      <c r="AD337" t="s">
        <v>3250</v>
      </c>
      <c r="AE337" t="s">
        <v>3250</v>
      </c>
      <c r="AF337" t="s">
        <v>3250</v>
      </c>
      <c r="AG337" t="s">
        <v>3250</v>
      </c>
      <c r="AH337" t="s">
        <v>3250</v>
      </c>
      <c r="AI337" t="s">
        <v>3250</v>
      </c>
      <c r="AJ337" t="s">
        <v>3250</v>
      </c>
      <c r="AL337" t="s">
        <v>3250</v>
      </c>
      <c r="AM337" t="s">
        <v>3250</v>
      </c>
      <c r="AN337" t="s">
        <v>3250</v>
      </c>
      <c r="AO337" t="s">
        <v>3250</v>
      </c>
      <c r="AS337" t="s">
        <v>3250</v>
      </c>
      <c r="AT337" t="s">
        <v>3250</v>
      </c>
      <c r="AU337" t="s">
        <v>3250</v>
      </c>
      <c r="AV337" t="s">
        <v>3250</v>
      </c>
      <c r="AW337" t="s">
        <v>3250</v>
      </c>
      <c r="AX337" t="s">
        <v>3250</v>
      </c>
      <c r="AY337" t="s">
        <v>3250</v>
      </c>
      <c r="AZ337" t="s">
        <v>3250</v>
      </c>
      <c r="BA337" t="s">
        <v>3250</v>
      </c>
      <c r="BB337" t="s">
        <v>3250</v>
      </c>
      <c r="BC337" t="s">
        <v>3250</v>
      </c>
      <c r="BE337" t="s">
        <v>3250</v>
      </c>
      <c r="BF337" t="s">
        <v>3250</v>
      </c>
      <c r="BG337" t="s">
        <v>3250</v>
      </c>
      <c r="BH337" t="s">
        <v>3250</v>
      </c>
      <c r="BI337" t="s">
        <v>3250</v>
      </c>
      <c r="BK337" t="s">
        <v>3250</v>
      </c>
      <c r="BL337" t="s">
        <v>3250</v>
      </c>
      <c r="BM337" t="s">
        <v>3250</v>
      </c>
      <c r="BN337" t="s">
        <v>3250</v>
      </c>
      <c r="BP337">
        <v>1</v>
      </c>
      <c r="BQ337">
        <v>11</v>
      </c>
      <c r="BR337" t="s">
        <v>1574</v>
      </c>
      <c r="BS337" t="s">
        <v>3252</v>
      </c>
      <c r="BV337">
        <v>0</v>
      </c>
      <c r="BW337">
        <v>0</v>
      </c>
      <c r="BX337">
        <v>0</v>
      </c>
      <c r="BY337">
        <v>0</v>
      </c>
      <c r="BZ337">
        <v>0</v>
      </c>
      <c r="CA337">
        <v>0</v>
      </c>
      <c r="CB337">
        <v>0</v>
      </c>
      <c r="CC337">
        <v>0</v>
      </c>
      <c r="CD337">
        <v>0</v>
      </c>
      <c r="CE337" t="s">
        <v>3108</v>
      </c>
      <c r="CF337" t="s">
        <v>3108</v>
      </c>
      <c r="CG337" t="s">
        <v>3108</v>
      </c>
      <c r="CH337" t="s">
        <v>3108</v>
      </c>
    </row>
    <row r="338" spans="1:86" x14ac:dyDescent="0.2">
      <c r="A338" t="s">
        <v>3894</v>
      </c>
      <c r="B338" t="s">
        <v>3894</v>
      </c>
      <c r="C338">
        <v>40626</v>
      </c>
      <c r="D338">
        <v>572</v>
      </c>
      <c r="E338" t="s">
        <v>3860</v>
      </c>
      <c r="F338">
        <v>200</v>
      </c>
      <c r="G338" t="s">
        <v>467</v>
      </c>
      <c r="H338">
        <v>200</v>
      </c>
      <c r="I338" t="s">
        <v>3840</v>
      </c>
      <c r="J338" t="s">
        <v>3250</v>
      </c>
      <c r="K338" t="s">
        <v>3250</v>
      </c>
      <c r="L338">
        <v>1200</v>
      </c>
      <c r="M338" t="s">
        <v>2368</v>
      </c>
      <c r="N338">
        <v>1204</v>
      </c>
      <c r="O338" t="s">
        <v>1574</v>
      </c>
      <c r="P338" t="s">
        <v>3108</v>
      </c>
      <c r="Q338" t="s">
        <v>3249</v>
      </c>
      <c r="R338" t="s">
        <v>3249</v>
      </c>
      <c r="S338" t="s">
        <v>810</v>
      </c>
      <c r="T338" t="s">
        <v>2759</v>
      </c>
      <c r="U338" t="s">
        <v>3250</v>
      </c>
      <c r="V338" t="s">
        <v>3250</v>
      </c>
      <c r="W338" t="s">
        <v>3250</v>
      </c>
      <c r="X338" t="s">
        <v>3250</v>
      </c>
      <c r="Y338" t="s">
        <v>3250</v>
      </c>
      <c r="Z338" t="s">
        <v>3250</v>
      </c>
      <c r="AA338" t="s">
        <v>3108</v>
      </c>
      <c r="AB338" t="s">
        <v>3108</v>
      </c>
      <c r="AC338" t="s">
        <v>3250</v>
      </c>
      <c r="AD338" t="s">
        <v>3250</v>
      </c>
      <c r="AE338" t="s">
        <v>3250</v>
      </c>
      <c r="AF338" t="s">
        <v>3250</v>
      </c>
      <c r="AG338" t="s">
        <v>3250</v>
      </c>
      <c r="AH338" t="s">
        <v>3250</v>
      </c>
      <c r="AI338" t="s">
        <v>3250</v>
      </c>
      <c r="AJ338" t="s">
        <v>3250</v>
      </c>
      <c r="AL338" t="s">
        <v>3250</v>
      </c>
      <c r="AM338" t="s">
        <v>3250</v>
      </c>
      <c r="AN338" t="s">
        <v>3250</v>
      </c>
      <c r="AO338" t="s">
        <v>3250</v>
      </c>
      <c r="AS338" t="s">
        <v>3250</v>
      </c>
      <c r="AT338" t="s">
        <v>3250</v>
      </c>
      <c r="AU338" t="s">
        <v>3250</v>
      </c>
      <c r="AV338" t="s">
        <v>3250</v>
      </c>
      <c r="AW338" t="s">
        <v>3250</v>
      </c>
      <c r="AX338" t="s">
        <v>3250</v>
      </c>
      <c r="AY338" t="s">
        <v>3250</v>
      </c>
      <c r="AZ338" t="s">
        <v>3250</v>
      </c>
      <c r="BA338" t="s">
        <v>3250</v>
      </c>
      <c r="BB338" t="s">
        <v>3250</v>
      </c>
      <c r="BC338" t="s">
        <v>3250</v>
      </c>
      <c r="BE338" t="s">
        <v>3250</v>
      </c>
      <c r="BF338" t="s">
        <v>3250</v>
      </c>
      <c r="BG338" t="s">
        <v>3250</v>
      </c>
      <c r="BH338" t="s">
        <v>3250</v>
      </c>
      <c r="BI338" t="s">
        <v>3250</v>
      </c>
      <c r="BK338" t="s">
        <v>3250</v>
      </c>
      <c r="BL338" t="s">
        <v>3250</v>
      </c>
      <c r="BM338" t="s">
        <v>3250</v>
      </c>
      <c r="BN338" t="s">
        <v>3250</v>
      </c>
      <c r="BP338">
        <v>1</v>
      </c>
      <c r="BQ338">
        <v>11</v>
      </c>
      <c r="BR338" t="s">
        <v>1574</v>
      </c>
      <c r="BS338" t="s">
        <v>3252</v>
      </c>
      <c r="BV338">
        <v>0</v>
      </c>
      <c r="BW338">
        <v>0</v>
      </c>
      <c r="BX338">
        <v>0</v>
      </c>
      <c r="BY338">
        <v>0</v>
      </c>
      <c r="BZ338">
        <v>0</v>
      </c>
      <c r="CA338">
        <v>0</v>
      </c>
      <c r="CB338">
        <v>0</v>
      </c>
      <c r="CC338">
        <v>0</v>
      </c>
      <c r="CD338">
        <v>0</v>
      </c>
      <c r="CE338" t="s">
        <v>3108</v>
      </c>
      <c r="CF338" t="s">
        <v>3108</v>
      </c>
      <c r="CG338" t="s">
        <v>3108</v>
      </c>
      <c r="CH338" t="s">
        <v>3108</v>
      </c>
    </row>
    <row r="339" spans="1:86" x14ac:dyDescent="0.2">
      <c r="A339" t="s">
        <v>3895</v>
      </c>
      <c r="B339" t="s">
        <v>3895</v>
      </c>
      <c r="C339">
        <v>40627</v>
      </c>
      <c r="D339">
        <v>573</v>
      </c>
      <c r="E339" t="s">
        <v>3862</v>
      </c>
      <c r="F339">
        <v>200</v>
      </c>
      <c r="G339" t="s">
        <v>467</v>
      </c>
      <c r="H339">
        <v>200</v>
      </c>
      <c r="I339" t="s">
        <v>3840</v>
      </c>
      <c r="J339" t="s">
        <v>3250</v>
      </c>
      <c r="K339" t="s">
        <v>3250</v>
      </c>
      <c r="L339">
        <v>1200</v>
      </c>
      <c r="M339" t="s">
        <v>2368</v>
      </c>
      <c r="N339">
        <v>1204</v>
      </c>
      <c r="O339" t="s">
        <v>1574</v>
      </c>
      <c r="P339" t="s">
        <v>3108</v>
      </c>
      <c r="Q339" t="s">
        <v>3249</v>
      </c>
      <c r="R339" t="s">
        <v>3249</v>
      </c>
      <c r="S339" t="s">
        <v>810</v>
      </c>
      <c r="T339" t="s">
        <v>2759</v>
      </c>
      <c r="U339" t="s">
        <v>3250</v>
      </c>
      <c r="V339" t="s">
        <v>3250</v>
      </c>
      <c r="W339" t="s">
        <v>3250</v>
      </c>
      <c r="X339" t="s">
        <v>3250</v>
      </c>
      <c r="Y339" t="s">
        <v>3250</v>
      </c>
      <c r="Z339" t="s">
        <v>3250</v>
      </c>
      <c r="AA339" t="s">
        <v>3108</v>
      </c>
      <c r="AB339" t="s">
        <v>3108</v>
      </c>
      <c r="AC339" t="s">
        <v>3250</v>
      </c>
      <c r="AD339" t="s">
        <v>3250</v>
      </c>
      <c r="AE339" t="s">
        <v>3250</v>
      </c>
      <c r="AF339" t="s">
        <v>3250</v>
      </c>
      <c r="AG339" t="s">
        <v>3250</v>
      </c>
      <c r="AH339" t="s">
        <v>3250</v>
      </c>
      <c r="AI339" t="s">
        <v>3250</v>
      </c>
      <c r="AJ339" t="s">
        <v>3250</v>
      </c>
      <c r="AL339" t="s">
        <v>3250</v>
      </c>
      <c r="AM339" t="s">
        <v>3250</v>
      </c>
      <c r="AN339" t="s">
        <v>3250</v>
      </c>
      <c r="AO339" t="s">
        <v>3250</v>
      </c>
      <c r="AS339" t="s">
        <v>3250</v>
      </c>
      <c r="AT339" t="s">
        <v>3250</v>
      </c>
      <c r="AU339" t="s">
        <v>3250</v>
      </c>
      <c r="AV339" t="s">
        <v>3250</v>
      </c>
      <c r="AW339" t="s">
        <v>3250</v>
      </c>
      <c r="AX339" t="s">
        <v>3250</v>
      </c>
      <c r="AY339" t="s">
        <v>3250</v>
      </c>
      <c r="AZ339" t="s">
        <v>3250</v>
      </c>
      <c r="BA339" t="s">
        <v>3250</v>
      </c>
      <c r="BB339" t="s">
        <v>3250</v>
      </c>
      <c r="BC339" t="s">
        <v>3250</v>
      </c>
      <c r="BE339" t="s">
        <v>3250</v>
      </c>
      <c r="BF339" t="s">
        <v>3250</v>
      </c>
      <c r="BG339" t="s">
        <v>3250</v>
      </c>
      <c r="BH339" t="s">
        <v>3250</v>
      </c>
      <c r="BI339" t="s">
        <v>3250</v>
      </c>
      <c r="BK339" t="s">
        <v>3250</v>
      </c>
      <c r="BL339" t="s">
        <v>3250</v>
      </c>
      <c r="BM339" t="s">
        <v>3250</v>
      </c>
      <c r="BN339" t="s">
        <v>3250</v>
      </c>
      <c r="BP339">
        <v>1</v>
      </c>
      <c r="BQ339">
        <v>11</v>
      </c>
      <c r="BR339" t="s">
        <v>1574</v>
      </c>
      <c r="BS339" t="s">
        <v>3252</v>
      </c>
      <c r="BV339">
        <v>0</v>
      </c>
      <c r="BW339">
        <v>0</v>
      </c>
      <c r="BX339">
        <v>0</v>
      </c>
      <c r="BY339">
        <v>0</v>
      </c>
      <c r="BZ339">
        <v>0</v>
      </c>
      <c r="CA339">
        <v>0</v>
      </c>
      <c r="CB339">
        <v>0</v>
      </c>
      <c r="CC339">
        <v>0</v>
      </c>
      <c r="CD339">
        <v>0</v>
      </c>
      <c r="CE339" t="s">
        <v>3108</v>
      </c>
      <c r="CF339" t="s">
        <v>3108</v>
      </c>
      <c r="CG339" t="s">
        <v>3108</v>
      </c>
      <c r="CH339" t="s">
        <v>3108</v>
      </c>
    </row>
    <row r="340" spans="1:86" x14ac:dyDescent="0.2">
      <c r="A340" t="s">
        <v>3896</v>
      </c>
      <c r="B340" t="s">
        <v>3896</v>
      </c>
      <c r="C340">
        <v>40628</v>
      </c>
      <c r="D340">
        <v>574</v>
      </c>
      <c r="E340" t="s">
        <v>3864</v>
      </c>
      <c r="F340">
        <v>200</v>
      </c>
      <c r="G340" t="s">
        <v>467</v>
      </c>
      <c r="H340">
        <v>200</v>
      </c>
      <c r="I340" t="s">
        <v>3840</v>
      </c>
      <c r="J340" t="s">
        <v>3250</v>
      </c>
      <c r="K340" t="s">
        <v>3250</v>
      </c>
      <c r="L340">
        <v>1200</v>
      </c>
      <c r="M340" t="s">
        <v>2368</v>
      </c>
      <c r="N340">
        <v>1204</v>
      </c>
      <c r="O340" t="s">
        <v>1574</v>
      </c>
      <c r="P340" t="s">
        <v>3108</v>
      </c>
      <c r="Q340" t="s">
        <v>3249</v>
      </c>
      <c r="R340" t="s">
        <v>3249</v>
      </c>
      <c r="S340" t="s">
        <v>810</v>
      </c>
      <c r="T340" t="s">
        <v>2759</v>
      </c>
      <c r="U340" t="s">
        <v>3250</v>
      </c>
      <c r="V340" t="s">
        <v>3250</v>
      </c>
      <c r="W340" t="s">
        <v>3250</v>
      </c>
      <c r="X340" t="s">
        <v>3250</v>
      </c>
      <c r="Y340" t="s">
        <v>3250</v>
      </c>
      <c r="Z340" t="s">
        <v>3250</v>
      </c>
      <c r="AA340" t="s">
        <v>3108</v>
      </c>
      <c r="AB340" t="s">
        <v>3108</v>
      </c>
      <c r="AC340" t="s">
        <v>3250</v>
      </c>
      <c r="AD340" t="s">
        <v>3250</v>
      </c>
      <c r="AE340" t="s">
        <v>3250</v>
      </c>
      <c r="AF340" t="s">
        <v>3250</v>
      </c>
      <c r="AG340" t="s">
        <v>3250</v>
      </c>
      <c r="AH340" t="s">
        <v>3250</v>
      </c>
      <c r="AI340" t="s">
        <v>3250</v>
      </c>
      <c r="AJ340" t="s">
        <v>3250</v>
      </c>
      <c r="AL340" t="s">
        <v>3250</v>
      </c>
      <c r="AM340" t="s">
        <v>3250</v>
      </c>
      <c r="AN340" t="s">
        <v>3250</v>
      </c>
      <c r="AO340" t="s">
        <v>3250</v>
      </c>
      <c r="AS340" t="s">
        <v>3250</v>
      </c>
      <c r="AT340" t="s">
        <v>3250</v>
      </c>
      <c r="AU340" t="s">
        <v>3250</v>
      </c>
      <c r="AV340" t="s">
        <v>3250</v>
      </c>
      <c r="AW340" t="s">
        <v>3250</v>
      </c>
      <c r="AX340" t="s">
        <v>3250</v>
      </c>
      <c r="AY340" t="s">
        <v>3250</v>
      </c>
      <c r="AZ340" t="s">
        <v>3250</v>
      </c>
      <c r="BA340" t="s">
        <v>3250</v>
      </c>
      <c r="BB340" t="s">
        <v>3250</v>
      </c>
      <c r="BC340" t="s">
        <v>3250</v>
      </c>
      <c r="BE340" t="s">
        <v>3250</v>
      </c>
      <c r="BF340" t="s">
        <v>3250</v>
      </c>
      <c r="BG340" t="s">
        <v>3250</v>
      </c>
      <c r="BH340" t="s">
        <v>3250</v>
      </c>
      <c r="BI340" t="s">
        <v>3250</v>
      </c>
      <c r="BK340" t="s">
        <v>3250</v>
      </c>
      <c r="BL340" t="s">
        <v>3250</v>
      </c>
      <c r="BM340" t="s">
        <v>3250</v>
      </c>
      <c r="BN340" t="s">
        <v>3250</v>
      </c>
      <c r="BP340">
        <v>1</v>
      </c>
      <c r="BQ340">
        <v>11</v>
      </c>
      <c r="BR340" t="s">
        <v>1574</v>
      </c>
      <c r="BS340" t="s">
        <v>3252</v>
      </c>
      <c r="BV340">
        <v>0</v>
      </c>
      <c r="BW340">
        <v>0</v>
      </c>
      <c r="BX340">
        <v>0</v>
      </c>
      <c r="BY340">
        <v>0</v>
      </c>
      <c r="BZ340">
        <v>0</v>
      </c>
      <c r="CA340">
        <v>0</v>
      </c>
      <c r="CB340">
        <v>0</v>
      </c>
      <c r="CC340">
        <v>0</v>
      </c>
      <c r="CD340">
        <v>0</v>
      </c>
      <c r="CE340" t="s">
        <v>3108</v>
      </c>
      <c r="CF340" t="s">
        <v>3108</v>
      </c>
      <c r="CG340" t="s">
        <v>3108</v>
      </c>
      <c r="CH340" t="s">
        <v>3108</v>
      </c>
    </row>
    <row r="341" spans="1:86" x14ac:dyDescent="0.2">
      <c r="A341" t="s">
        <v>3897</v>
      </c>
      <c r="B341" t="s">
        <v>3897</v>
      </c>
      <c r="C341">
        <v>40629</v>
      </c>
      <c r="D341">
        <v>575</v>
      </c>
      <c r="E341" t="s">
        <v>3866</v>
      </c>
      <c r="F341">
        <v>200</v>
      </c>
      <c r="G341" t="s">
        <v>467</v>
      </c>
      <c r="H341">
        <v>200</v>
      </c>
      <c r="I341" t="s">
        <v>3840</v>
      </c>
      <c r="J341" t="s">
        <v>3250</v>
      </c>
      <c r="K341" t="s">
        <v>3250</v>
      </c>
      <c r="L341">
        <v>1200</v>
      </c>
      <c r="M341" t="s">
        <v>2368</v>
      </c>
      <c r="N341">
        <v>1204</v>
      </c>
      <c r="O341" t="s">
        <v>1574</v>
      </c>
      <c r="P341" t="s">
        <v>3108</v>
      </c>
      <c r="Q341" t="s">
        <v>3249</v>
      </c>
      <c r="R341" t="s">
        <v>3249</v>
      </c>
      <c r="S341" t="s">
        <v>810</v>
      </c>
      <c r="T341" t="s">
        <v>2759</v>
      </c>
      <c r="U341" t="s">
        <v>3250</v>
      </c>
      <c r="V341" t="s">
        <v>3250</v>
      </c>
      <c r="W341" t="s">
        <v>3250</v>
      </c>
      <c r="X341" t="s">
        <v>3250</v>
      </c>
      <c r="Y341" t="s">
        <v>3250</v>
      </c>
      <c r="Z341" t="s">
        <v>3250</v>
      </c>
      <c r="AA341" t="s">
        <v>3108</v>
      </c>
      <c r="AB341" t="s">
        <v>3108</v>
      </c>
      <c r="AC341" t="s">
        <v>3250</v>
      </c>
      <c r="AD341" t="s">
        <v>3250</v>
      </c>
      <c r="AE341" t="s">
        <v>3250</v>
      </c>
      <c r="AF341" t="s">
        <v>3250</v>
      </c>
      <c r="AG341" t="s">
        <v>3250</v>
      </c>
      <c r="AH341" t="s">
        <v>3250</v>
      </c>
      <c r="AI341" t="s">
        <v>3250</v>
      </c>
      <c r="AJ341" t="s">
        <v>3250</v>
      </c>
      <c r="AL341" t="s">
        <v>3250</v>
      </c>
      <c r="AM341" t="s">
        <v>3250</v>
      </c>
      <c r="AN341" t="s">
        <v>3250</v>
      </c>
      <c r="AO341" t="s">
        <v>3250</v>
      </c>
      <c r="AS341" t="s">
        <v>3250</v>
      </c>
      <c r="AT341" t="s">
        <v>3250</v>
      </c>
      <c r="AU341" t="s">
        <v>3250</v>
      </c>
      <c r="AV341" t="s">
        <v>3250</v>
      </c>
      <c r="AW341" t="s">
        <v>3250</v>
      </c>
      <c r="AX341" t="s">
        <v>3250</v>
      </c>
      <c r="AY341" t="s">
        <v>3250</v>
      </c>
      <c r="AZ341" t="s">
        <v>3250</v>
      </c>
      <c r="BA341" t="s">
        <v>3250</v>
      </c>
      <c r="BB341" t="s">
        <v>3250</v>
      </c>
      <c r="BC341" t="s">
        <v>3250</v>
      </c>
      <c r="BE341" t="s">
        <v>3250</v>
      </c>
      <c r="BF341" t="s">
        <v>3250</v>
      </c>
      <c r="BG341" t="s">
        <v>3250</v>
      </c>
      <c r="BH341" t="s">
        <v>3250</v>
      </c>
      <c r="BI341" t="s">
        <v>3250</v>
      </c>
      <c r="BK341" t="s">
        <v>3250</v>
      </c>
      <c r="BL341" t="s">
        <v>3250</v>
      </c>
      <c r="BM341" t="s">
        <v>3250</v>
      </c>
      <c r="BN341" t="s">
        <v>3250</v>
      </c>
      <c r="BP341">
        <v>1</v>
      </c>
      <c r="BQ341">
        <v>11</v>
      </c>
      <c r="BR341" t="s">
        <v>1574</v>
      </c>
      <c r="BS341" t="s">
        <v>3252</v>
      </c>
      <c r="BV341">
        <v>0</v>
      </c>
      <c r="BW341">
        <v>0</v>
      </c>
      <c r="BX341">
        <v>0</v>
      </c>
      <c r="BY341">
        <v>0</v>
      </c>
      <c r="BZ341">
        <v>0</v>
      </c>
      <c r="CA341">
        <v>0</v>
      </c>
      <c r="CB341">
        <v>0</v>
      </c>
      <c r="CC341">
        <v>0</v>
      </c>
      <c r="CD341">
        <v>0</v>
      </c>
      <c r="CE341" t="s">
        <v>3108</v>
      </c>
      <c r="CF341" t="s">
        <v>3108</v>
      </c>
      <c r="CG341" t="s">
        <v>3108</v>
      </c>
      <c r="CH341" t="s">
        <v>3108</v>
      </c>
    </row>
    <row r="342" spans="1:86" x14ac:dyDescent="0.2">
      <c r="A342" t="s">
        <v>3898</v>
      </c>
      <c r="B342" t="s">
        <v>3898</v>
      </c>
      <c r="C342">
        <v>40630</v>
      </c>
      <c r="D342">
        <v>576</v>
      </c>
      <c r="E342" t="s">
        <v>3868</v>
      </c>
      <c r="F342">
        <v>200</v>
      </c>
      <c r="G342" t="s">
        <v>467</v>
      </c>
      <c r="H342">
        <v>200</v>
      </c>
      <c r="I342" t="s">
        <v>3840</v>
      </c>
      <c r="J342" t="s">
        <v>3250</v>
      </c>
      <c r="K342" t="s">
        <v>3250</v>
      </c>
      <c r="L342">
        <v>1200</v>
      </c>
      <c r="M342" t="s">
        <v>2368</v>
      </c>
      <c r="N342">
        <v>1204</v>
      </c>
      <c r="O342" t="s">
        <v>1574</v>
      </c>
      <c r="P342" t="s">
        <v>3108</v>
      </c>
      <c r="Q342" t="s">
        <v>3249</v>
      </c>
      <c r="R342" t="s">
        <v>3249</v>
      </c>
      <c r="S342" t="s">
        <v>810</v>
      </c>
      <c r="T342" t="s">
        <v>2759</v>
      </c>
      <c r="U342" t="s">
        <v>3250</v>
      </c>
      <c r="V342" t="s">
        <v>3250</v>
      </c>
      <c r="W342" t="s">
        <v>3250</v>
      </c>
      <c r="X342" t="s">
        <v>3250</v>
      </c>
      <c r="Y342" t="s">
        <v>3250</v>
      </c>
      <c r="Z342" t="s">
        <v>3250</v>
      </c>
      <c r="AA342" t="s">
        <v>3108</v>
      </c>
      <c r="AB342" t="s">
        <v>3108</v>
      </c>
      <c r="AC342" t="s">
        <v>3250</v>
      </c>
      <c r="AD342" t="s">
        <v>3250</v>
      </c>
      <c r="AE342" t="s">
        <v>3250</v>
      </c>
      <c r="AF342" t="s">
        <v>3250</v>
      </c>
      <c r="AG342" t="s">
        <v>3250</v>
      </c>
      <c r="AH342" t="s">
        <v>3250</v>
      </c>
      <c r="AI342" t="s">
        <v>3250</v>
      </c>
      <c r="AJ342" t="s">
        <v>3250</v>
      </c>
      <c r="AL342" t="s">
        <v>3250</v>
      </c>
      <c r="AM342" t="s">
        <v>3250</v>
      </c>
      <c r="AN342" t="s">
        <v>3250</v>
      </c>
      <c r="AO342" t="s">
        <v>3250</v>
      </c>
      <c r="AS342" t="s">
        <v>3250</v>
      </c>
      <c r="AT342" t="s">
        <v>3250</v>
      </c>
      <c r="AU342" t="s">
        <v>3250</v>
      </c>
      <c r="AV342" t="s">
        <v>3250</v>
      </c>
      <c r="AW342" t="s">
        <v>3250</v>
      </c>
      <c r="AX342" t="s">
        <v>3250</v>
      </c>
      <c r="AY342" t="s">
        <v>3250</v>
      </c>
      <c r="AZ342" t="s">
        <v>3250</v>
      </c>
      <c r="BA342" t="s">
        <v>3250</v>
      </c>
      <c r="BB342" t="s">
        <v>3250</v>
      </c>
      <c r="BC342" t="s">
        <v>3250</v>
      </c>
      <c r="BE342" t="s">
        <v>3250</v>
      </c>
      <c r="BF342" t="s">
        <v>3250</v>
      </c>
      <c r="BG342" t="s">
        <v>3250</v>
      </c>
      <c r="BH342" t="s">
        <v>3250</v>
      </c>
      <c r="BI342" t="s">
        <v>3250</v>
      </c>
      <c r="BK342" t="s">
        <v>3250</v>
      </c>
      <c r="BL342" t="s">
        <v>3250</v>
      </c>
      <c r="BM342" t="s">
        <v>3250</v>
      </c>
      <c r="BN342" t="s">
        <v>3250</v>
      </c>
      <c r="BP342">
        <v>1</v>
      </c>
      <c r="BQ342">
        <v>11</v>
      </c>
      <c r="BR342" t="s">
        <v>1574</v>
      </c>
      <c r="BS342" t="s">
        <v>3252</v>
      </c>
      <c r="BV342">
        <v>0</v>
      </c>
      <c r="BW342">
        <v>0</v>
      </c>
      <c r="BX342">
        <v>0</v>
      </c>
      <c r="BY342">
        <v>0</v>
      </c>
      <c r="BZ342">
        <v>0</v>
      </c>
      <c r="CA342">
        <v>0</v>
      </c>
      <c r="CB342">
        <v>0</v>
      </c>
      <c r="CC342">
        <v>0</v>
      </c>
      <c r="CD342">
        <v>0</v>
      </c>
      <c r="CE342" t="s">
        <v>3108</v>
      </c>
      <c r="CF342" t="s">
        <v>3108</v>
      </c>
      <c r="CG342" t="s">
        <v>3108</v>
      </c>
      <c r="CH342" t="s">
        <v>3108</v>
      </c>
    </row>
    <row r="343" spans="1:86" x14ac:dyDescent="0.2">
      <c r="A343" t="s">
        <v>3899</v>
      </c>
      <c r="B343" t="s">
        <v>3899</v>
      </c>
      <c r="C343">
        <v>40631</v>
      </c>
      <c r="D343">
        <v>577</v>
      </c>
      <c r="E343" t="s">
        <v>3839</v>
      </c>
      <c r="F343">
        <v>200</v>
      </c>
      <c r="G343" t="s">
        <v>467</v>
      </c>
      <c r="H343">
        <v>200</v>
      </c>
      <c r="I343" t="s">
        <v>3840</v>
      </c>
      <c r="J343" t="s">
        <v>3250</v>
      </c>
      <c r="K343" t="s">
        <v>3250</v>
      </c>
      <c r="L343">
        <v>1200</v>
      </c>
      <c r="M343" t="s">
        <v>2368</v>
      </c>
      <c r="N343">
        <v>1204</v>
      </c>
      <c r="O343" t="s">
        <v>1574</v>
      </c>
      <c r="P343" t="s">
        <v>3108</v>
      </c>
      <c r="Q343" t="s">
        <v>3249</v>
      </c>
      <c r="R343" t="s">
        <v>3249</v>
      </c>
      <c r="S343" t="s">
        <v>810</v>
      </c>
      <c r="T343" t="s">
        <v>2759</v>
      </c>
      <c r="U343" t="s">
        <v>3250</v>
      </c>
      <c r="V343" t="s">
        <v>3250</v>
      </c>
      <c r="W343" t="s">
        <v>3250</v>
      </c>
      <c r="X343" t="s">
        <v>3250</v>
      </c>
      <c r="Y343" t="s">
        <v>3250</v>
      </c>
      <c r="Z343" t="s">
        <v>3250</v>
      </c>
      <c r="AA343" t="s">
        <v>3108</v>
      </c>
      <c r="AB343" t="s">
        <v>3108</v>
      </c>
      <c r="AC343" t="s">
        <v>3250</v>
      </c>
      <c r="AD343" t="s">
        <v>3250</v>
      </c>
      <c r="AE343" t="s">
        <v>3250</v>
      </c>
      <c r="AF343" t="s">
        <v>3250</v>
      </c>
      <c r="AG343" t="s">
        <v>3250</v>
      </c>
      <c r="AH343" t="s">
        <v>3250</v>
      </c>
      <c r="AI343" t="s">
        <v>3250</v>
      </c>
      <c r="AJ343" t="s">
        <v>3250</v>
      </c>
      <c r="AL343" t="s">
        <v>3250</v>
      </c>
      <c r="AM343" t="s">
        <v>3250</v>
      </c>
      <c r="AN343" t="s">
        <v>3250</v>
      </c>
      <c r="AO343" t="s">
        <v>3250</v>
      </c>
      <c r="AS343" t="s">
        <v>3250</v>
      </c>
      <c r="AT343" t="s">
        <v>3250</v>
      </c>
      <c r="AU343" t="s">
        <v>3250</v>
      </c>
      <c r="AV343" t="s">
        <v>3250</v>
      </c>
      <c r="AW343" t="s">
        <v>3250</v>
      </c>
      <c r="AX343" t="s">
        <v>3250</v>
      </c>
      <c r="AY343" t="s">
        <v>3250</v>
      </c>
      <c r="AZ343" t="s">
        <v>3250</v>
      </c>
      <c r="BA343" t="s">
        <v>3250</v>
      </c>
      <c r="BB343" t="s">
        <v>3250</v>
      </c>
      <c r="BC343" t="s">
        <v>3250</v>
      </c>
      <c r="BE343" t="s">
        <v>3250</v>
      </c>
      <c r="BF343" t="s">
        <v>3250</v>
      </c>
      <c r="BG343" t="s">
        <v>3250</v>
      </c>
      <c r="BH343" t="s">
        <v>3250</v>
      </c>
      <c r="BI343" t="s">
        <v>3250</v>
      </c>
      <c r="BK343" t="s">
        <v>3250</v>
      </c>
      <c r="BL343" t="s">
        <v>3250</v>
      </c>
      <c r="BM343" t="s">
        <v>3250</v>
      </c>
      <c r="BN343" t="s">
        <v>3250</v>
      </c>
      <c r="BP343">
        <v>1</v>
      </c>
      <c r="BQ343">
        <v>11</v>
      </c>
      <c r="BR343" t="s">
        <v>1574</v>
      </c>
      <c r="BS343" t="s">
        <v>3252</v>
      </c>
      <c r="BV343">
        <v>0</v>
      </c>
      <c r="BW343">
        <v>-50</v>
      </c>
      <c r="BX343">
        <v>-48</v>
      </c>
      <c r="BY343">
        <v>478</v>
      </c>
      <c r="BZ343">
        <v>478</v>
      </c>
      <c r="CA343">
        <v>497</v>
      </c>
      <c r="CB343">
        <v>517</v>
      </c>
      <c r="CC343">
        <v>537</v>
      </c>
      <c r="CD343">
        <v>0</v>
      </c>
      <c r="CE343" t="s">
        <v>3108</v>
      </c>
      <c r="CF343" t="s">
        <v>3108</v>
      </c>
      <c r="CG343" t="s">
        <v>3108</v>
      </c>
      <c r="CH343" t="s">
        <v>3108</v>
      </c>
    </row>
    <row r="344" spans="1:86" x14ac:dyDescent="0.2">
      <c r="A344" t="s">
        <v>3900</v>
      </c>
      <c r="B344" t="s">
        <v>3900</v>
      </c>
      <c r="C344">
        <v>40632</v>
      </c>
      <c r="D344">
        <v>578</v>
      </c>
      <c r="E344" t="s">
        <v>3842</v>
      </c>
      <c r="F344">
        <v>200</v>
      </c>
      <c r="G344" t="s">
        <v>467</v>
      </c>
      <c r="H344">
        <v>200</v>
      </c>
      <c r="I344" t="s">
        <v>3840</v>
      </c>
      <c r="J344" t="s">
        <v>3250</v>
      </c>
      <c r="K344" t="s">
        <v>3250</v>
      </c>
      <c r="L344">
        <v>1200</v>
      </c>
      <c r="M344" t="s">
        <v>2368</v>
      </c>
      <c r="N344">
        <v>1204</v>
      </c>
      <c r="O344" t="s">
        <v>1574</v>
      </c>
      <c r="P344" t="s">
        <v>3108</v>
      </c>
      <c r="Q344" t="s">
        <v>3249</v>
      </c>
      <c r="R344" t="s">
        <v>3249</v>
      </c>
      <c r="S344" t="s">
        <v>810</v>
      </c>
      <c r="T344" t="s">
        <v>2759</v>
      </c>
      <c r="U344" t="s">
        <v>3250</v>
      </c>
      <c r="V344" t="s">
        <v>3250</v>
      </c>
      <c r="W344" t="s">
        <v>3250</v>
      </c>
      <c r="X344" t="s">
        <v>3250</v>
      </c>
      <c r="Y344" t="s">
        <v>3250</v>
      </c>
      <c r="Z344" t="s">
        <v>3250</v>
      </c>
      <c r="AA344" t="s">
        <v>3108</v>
      </c>
      <c r="AB344" t="s">
        <v>3108</v>
      </c>
      <c r="AC344" t="s">
        <v>3250</v>
      </c>
      <c r="AD344" t="s">
        <v>3250</v>
      </c>
      <c r="AE344" t="s">
        <v>3250</v>
      </c>
      <c r="AF344" t="s">
        <v>3250</v>
      </c>
      <c r="AG344" t="s">
        <v>3250</v>
      </c>
      <c r="AH344" t="s">
        <v>3250</v>
      </c>
      <c r="AI344" t="s">
        <v>3250</v>
      </c>
      <c r="AJ344" t="s">
        <v>3250</v>
      </c>
      <c r="AL344" t="s">
        <v>3250</v>
      </c>
      <c r="AM344" t="s">
        <v>3250</v>
      </c>
      <c r="AN344" t="s">
        <v>3250</v>
      </c>
      <c r="AO344" t="s">
        <v>3250</v>
      </c>
      <c r="AS344" t="s">
        <v>3250</v>
      </c>
      <c r="AT344" t="s">
        <v>3250</v>
      </c>
      <c r="AU344" t="s">
        <v>3250</v>
      </c>
      <c r="AV344" t="s">
        <v>3250</v>
      </c>
      <c r="AW344" t="s">
        <v>3250</v>
      </c>
      <c r="AX344" t="s">
        <v>3250</v>
      </c>
      <c r="AY344" t="s">
        <v>3250</v>
      </c>
      <c r="AZ344" t="s">
        <v>3250</v>
      </c>
      <c r="BA344" t="s">
        <v>3250</v>
      </c>
      <c r="BB344" t="s">
        <v>3250</v>
      </c>
      <c r="BC344" t="s">
        <v>3250</v>
      </c>
      <c r="BE344" t="s">
        <v>3250</v>
      </c>
      <c r="BF344" t="s">
        <v>3250</v>
      </c>
      <c r="BG344" t="s">
        <v>3250</v>
      </c>
      <c r="BH344" t="s">
        <v>3250</v>
      </c>
      <c r="BI344" t="s">
        <v>3250</v>
      </c>
      <c r="BK344" t="s">
        <v>3250</v>
      </c>
      <c r="BL344" t="s">
        <v>3250</v>
      </c>
      <c r="BM344" t="s">
        <v>3250</v>
      </c>
      <c r="BN344" t="s">
        <v>3250</v>
      </c>
      <c r="BP344">
        <v>1</v>
      </c>
      <c r="BQ344">
        <v>11</v>
      </c>
      <c r="BR344" t="s">
        <v>1574</v>
      </c>
      <c r="BS344" t="s">
        <v>3252</v>
      </c>
      <c r="BV344">
        <v>0</v>
      </c>
      <c r="BW344">
        <v>0</v>
      </c>
      <c r="BX344">
        <v>0</v>
      </c>
      <c r="BY344">
        <v>0</v>
      </c>
      <c r="BZ344">
        <v>0</v>
      </c>
      <c r="CA344">
        <v>0</v>
      </c>
      <c r="CB344">
        <v>0</v>
      </c>
      <c r="CC344">
        <v>0</v>
      </c>
      <c r="CD344">
        <v>0</v>
      </c>
      <c r="CE344" t="s">
        <v>3108</v>
      </c>
      <c r="CF344" t="s">
        <v>3108</v>
      </c>
      <c r="CG344" t="s">
        <v>3108</v>
      </c>
      <c r="CH344" t="s">
        <v>3108</v>
      </c>
    </row>
    <row r="345" spans="1:86" x14ac:dyDescent="0.2">
      <c r="A345" t="s">
        <v>3901</v>
      </c>
      <c r="B345" t="s">
        <v>3901</v>
      </c>
      <c r="C345">
        <v>40633</v>
      </c>
      <c r="D345">
        <v>579</v>
      </c>
      <c r="E345" t="s">
        <v>3844</v>
      </c>
      <c r="F345">
        <v>200</v>
      </c>
      <c r="G345" t="s">
        <v>467</v>
      </c>
      <c r="H345">
        <v>200</v>
      </c>
      <c r="I345" t="s">
        <v>3840</v>
      </c>
      <c r="J345" t="s">
        <v>3250</v>
      </c>
      <c r="K345" t="s">
        <v>3250</v>
      </c>
      <c r="L345">
        <v>1200</v>
      </c>
      <c r="M345" t="s">
        <v>2368</v>
      </c>
      <c r="N345">
        <v>1204</v>
      </c>
      <c r="O345" t="s">
        <v>1574</v>
      </c>
      <c r="P345" t="s">
        <v>3108</v>
      </c>
      <c r="Q345" t="s">
        <v>3249</v>
      </c>
      <c r="R345" t="s">
        <v>3249</v>
      </c>
      <c r="S345" t="s">
        <v>810</v>
      </c>
      <c r="T345" t="s">
        <v>2759</v>
      </c>
      <c r="U345" t="s">
        <v>3250</v>
      </c>
      <c r="V345" t="s">
        <v>3250</v>
      </c>
      <c r="W345" t="s">
        <v>3250</v>
      </c>
      <c r="X345" t="s">
        <v>3250</v>
      </c>
      <c r="Y345" t="s">
        <v>3250</v>
      </c>
      <c r="Z345" t="s">
        <v>3250</v>
      </c>
      <c r="AA345" t="s">
        <v>3108</v>
      </c>
      <c r="AB345" t="s">
        <v>3108</v>
      </c>
      <c r="AC345" t="s">
        <v>3250</v>
      </c>
      <c r="AD345" t="s">
        <v>3250</v>
      </c>
      <c r="AE345" t="s">
        <v>3250</v>
      </c>
      <c r="AF345" t="s">
        <v>3250</v>
      </c>
      <c r="AG345" t="s">
        <v>3250</v>
      </c>
      <c r="AH345" t="s">
        <v>3250</v>
      </c>
      <c r="AI345" t="s">
        <v>3250</v>
      </c>
      <c r="AJ345" t="s">
        <v>3250</v>
      </c>
      <c r="AL345" t="s">
        <v>3250</v>
      </c>
      <c r="AM345" t="s">
        <v>3250</v>
      </c>
      <c r="AN345" t="s">
        <v>3250</v>
      </c>
      <c r="AO345" t="s">
        <v>3250</v>
      </c>
      <c r="AS345" t="s">
        <v>3250</v>
      </c>
      <c r="AT345" t="s">
        <v>3250</v>
      </c>
      <c r="AU345" t="s">
        <v>3250</v>
      </c>
      <c r="AV345" t="s">
        <v>3250</v>
      </c>
      <c r="AW345" t="s">
        <v>3250</v>
      </c>
      <c r="AX345" t="s">
        <v>3250</v>
      </c>
      <c r="AY345" t="s">
        <v>3250</v>
      </c>
      <c r="AZ345" t="s">
        <v>3250</v>
      </c>
      <c r="BA345" t="s">
        <v>3250</v>
      </c>
      <c r="BB345" t="s">
        <v>3250</v>
      </c>
      <c r="BC345" t="s">
        <v>3250</v>
      </c>
      <c r="BE345" t="s">
        <v>3250</v>
      </c>
      <c r="BF345" t="s">
        <v>3250</v>
      </c>
      <c r="BG345" t="s">
        <v>3250</v>
      </c>
      <c r="BH345" t="s">
        <v>3250</v>
      </c>
      <c r="BI345" t="s">
        <v>3250</v>
      </c>
      <c r="BK345" t="s">
        <v>3250</v>
      </c>
      <c r="BL345" t="s">
        <v>3250</v>
      </c>
      <c r="BM345" t="s">
        <v>3250</v>
      </c>
      <c r="BN345" t="s">
        <v>3250</v>
      </c>
      <c r="BP345">
        <v>1</v>
      </c>
      <c r="BQ345">
        <v>11</v>
      </c>
      <c r="BR345" t="s">
        <v>1574</v>
      </c>
      <c r="BS345" t="s">
        <v>3252</v>
      </c>
      <c r="BV345">
        <v>0</v>
      </c>
      <c r="BW345">
        <v>0</v>
      </c>
      <c r="BX345">
        <v>0</v>
      </c>
      <c r="BY345">
        <v>0</v>
      </c>
      <c r="BZ345">
        <v>0</v>
      </c>
      <c r="CA345">
        <v>0</v>
      </c>
      <c r="CB345">
        <v>0</v>
      </c>
      <c r="CC345">
        <v>0</v>
      </c>
      <c r="CD345">
        <v>0</v>
      </c>
      <c r="CE345" t="s">
        <v>3108</v>
      </c>
      <c r="CF345" t="s">
        <v>3108</v>
      </c>
      <c r="CG345" t="s">
        <v>3108</v>
      </c>
      <c r="CH345" t="s">
        <v>3108</v>
      </c>
    </row>
    <row r="346" spans="1:86" x14ac:dyDescent="0.2">
      <c r="A346" t="s">
        <v>3902</v>
      </c>
      <c r="B346" t="s">
        <v>3902</v>
      </c>
      <c r="C346">
        <v>40634</v>
      </c>
      <c r="D346">
        <v>580</v>
      </c>
      <c r="E346" t="s">
        <v>3846</v>
      </c>
      <c r="F346">
        <v>200</v>
      </c>
      <c r="G346" t="s">
        <v>467</v>
      </c>
      <c r="H346">
        <v>200</v>
      </c>
      <c r="I346" t="s">
        <v>3840</v>
      </c>
      <c r="J346" t="s">
        <v>3250</v>
      </c>
      <c r="K346" t="s">
        <v>3250</v>
      </c>
      <c r="L346">
        <v>1200</v>
      </c>
      <c r="M346" t="s">
        <v>2368</v>
      </c>
      <c r="N346">
        <v>1204</v>
      </c>
      <c r="O346" t="s">
        <v>1574</v>
      </c>
      <c r="P346" t="s">
        <v>3108</v>
      </c>
      <c r="Q346" t="s">
        <v>3249</v>
      </c>
      <c r="R346" t="s">
        <v>3249</v>
      </c>
      <c r="S346" t="s">
        <v>810</v>
      </c>
      <c r="T346" t="s">
        <v>2759</v>
      </c>
      <c r="U346" t="s">
        <v>3250</v>
      </c>
      <c r="V346" t="s">
        <v>3250</v>
      </c>
      <c r="W346" t="s">
        <v>3250</v>
      </c>
      <c r="X346" t="s">
        <v>3250</v>
      </c>
      <c r="Y346" t="s">
        <v>3250</v>
      </c>
      <c r="Z346" t="s">
        <v>3250</v>
      </c>
      <c r="AA346" t="s">
        <v>3108</v>
      </c>
      <c r="AB346" t="s">
        <v>3108</v>
      </c>
      <c r="AC346" t="s">
        <v>3250</v>
      </c>
      <c r="AD346" t="s">
        <v>3250</v>
      </c>
      <c r="AE346" t="s">
        <v>3250</v>
      </c>
      <c r="AF346" t="s">
        <v>3250</v>
      </c>
      <c r="AG346" t="s">
        <v>3250</v>
      </c>
      <c r="AH346" t="s">
        <v>3250</v>
      </c>
      <c r="AI346" t="s">
        <v>3250</v>
      </c>
      <c r="AJ346" t="s">
        <v>3250</v>
      </c>
      <c r="AL346" t="s">
        <v>3250</v>
      </c>
      <c r="AM346" t="s">
        <v>3250</v>
      </c>
      <c r="AN346" t="s">
        <v>3250</v>
      </c>
      <c r="AO346" t="s">
        <v>3250</v>
      </c>
      <c r="AS346" t="s">
        <v>3250</v>
      </c>
      <c r="AT346" t="s">
        <v>3250</v>
      </c>
      <c r="AU346" t="s">
        <v>3250</v>
      </c>
      <c r="AV346" t="s">
        <v>3250</v>
      </c>
      <c r="AW346" t="s">
        <v>3250</v>
      </c>
      <c r="AX346" t="s">
        <v>3250</v>
      </c>
      <c r="AY346" t="s">
        <v>3250</v>
      </c>
      <c r="AZ346" t="s">
        <v>3250</v>
      </c>
      <c r="BA346" t="s">
        <v>3250</v>
      </c>
      <c r="BB346" t="s">
        <v>3250</v>
      </c>
      <c r="BC346" t="s">
        <v>3250</v>
      </c>
      <c r="BE346" t="s">
        <v>3250</v>
      </c>
      <c r="BF346" t="s">
        <v>3250</v>
      </c>
      <c r="BG346" t="s">
        <v>3250</v>
      </c>
      <c r="BH346" t="s">
        <v>3250</v>
      </c>
      <c r="BI346" t="s">
        <v>3250</v>
      </c>
      <c r="BK346" t="s">
        <v>3250</v>
      </c>
      <c r="BL346" t="s">
        <v>3250</v>
      </c>
      <c r="BM346" t="s">
        <v>3250</v>
      </c>
      <c r="BN346" t="s">
        <v>3250</v>
      </c>
      <c r="BP346">
        <v>1</v>
      </c>
      <c r="BQ346">
        <v>11</v>
      </c>
      <c r="BR346" t="s">
        <v>1574</v>
      </c>
      <c r="BS346" t="s">
        <v>3252</v>
      </c>
      <c r="BV346">
        <v>0</v>
      </c>
      <c r="BW346">
        <v>0</v>
      </c>
      <c r="BX346">
        <v>0</v>
      </c>
      <c r="BY346">
        <v>0</v>
      </c>
      <c r="BZ346">
        <v>0</v>
      </c>
      <c r="CA346">
        <v>0</v>
      </c>
      <c r="CB346">
        <v>0</v>
      </c>
      <c r="CC346">
        <v>0</v>
      </c>
      <c r="CD346">
        <v>0</v>
      </c>
      <c r="CE346" t="s">
        <v>3108</v>
      </c>
      <c r="CF346" t="s">
        <v>3108</v>
      </c>
      <c r="CG346" t="s">
        <v>3108</v>
      </c>
      <c r="CH346" t="s">
        <v>3108</v>
      </c>
    </row>
    <row r="347" spans="1:86" x14ac:dyDescent="0.2">
      <c r="A347" t="s">
        <v>3903</v>
      </c>
      <c r="B347" t="s">
        <v>3903</v>
      </c>
      <c r="C347">
        <v>40635</v>
      </c>
      <c r="D347">
        <v>581</v>
      </c>
      <c r="E347" t="s">
        <v>3848</v>
      </c>
      <c r="F347">
        <v>200</v>
      </c>
      <c r="G347" t="s">
        <v>467</v>
      </c>
      <c r="H347">
        <v>200</v>
      </c>
      <c r="I347" t="s">
        <v>3840</v>
      </c>
      <c r="J347" t="s">
        <v>3250</v>
      </c>
      <c r="K347" t="s">
        <v>3250</v>
      </c>
      <c r="L347">
        <v>1200</v>
      </c>
      <c r="M347" t="s">
        <v>2368</v>
      </c>
      <c r="N347">
        <v>1204</v>
      </c>
      <c r="O347" t="s">
        <v>1574</v>
      </c>
      <c r="P347" t="s">
        <v>3108</v>
      </c>
      <c r="Q347" t="s">
        <v>3249</v>
      </c>
      <c r="R347" t="s">
        <v>3249</v>
      </c>
      <c r="S347" t="s">
        <v>810</v>
      </c>
      <c r="T347" t="s">
        <v>2759</v>
      </c>
      <c r="U347" t="s">
        <v>3250</v>
      </c>
      <c r="V347" t="s">
        <v>3250</v>
      </c>
      <c r="W347" t="s">
        <v>3250</v>
      </c>
      <c r="X347" t="s">
        <v>3250</v>
      </c>
      <c r="Y347" t="s">
        <v>3250</v>
      </c>
      <c r="Z347" t="s">
        <v>3250</v>
      </c>
      <c r="AA347" t="s">
        <v>3108</v>
      </c>
      <c r="AB347" t="s">
        <v>3108</v>
      </c>
      <c r="AC347" t="s">
        <v>3250</v>
      </c>
      <c r="AD347" t="s">
        <v>3250</v>
      </c>
      <c r="AE347" t="s">
        <v>3250</v>
      </c>
      <c r="AF347" t="s">
        <v>3250</v>
      </c>
      <c r="AG347" t="s">
        <v>3250</v>
      </c>
      <c r="AH347" t="s">
        <v>3250</v>
      </c>
      <c r="AI347" t="s">
        <v>3250</v>
      </c>
      <c r="AJ347" t="s">
        <v>3250</v>
      </c>
      <c r="AL347" t="s">
        <v>3250</v>
      </c>
      <c r="AM347" t="s">
        <v>3250</v>
      </c>
      <c r="AN347" t="s">
        <v>3250</v>
      </c>
      <c r="AO347" t="s">
        <v>3250</v>
      </c>
      <c r="AS347" t="s">
        <v>3250</v>
      </c>
      <c r="AT347" t="s">
        <v>3250</v>
      </c>
      <c r="AU347" t="s">
        <v>3250</v>
      </c>
      <c r="AV347" t="s">
        <v>3250</v>
      </c>
      <c r="AW347" t="s">
        <v>3250</v>
      </c>
      <c r="AX347" t="s">
        <v>3250</v>
      </c>
      <c r="AY347" t="s">
        <v>3250</v>
      </c>
      <c r="AZ347" t="s">
        <v>3250</v>
      </c>
      <c r="BA347" t="s">
        <v>3250</v>
      </c>
      <c r="BB347" t="s">
        <v>3250</v>
      </c>
      <c r="BC347" t="s">
        <v>3250</v>
      </c>
      <c r="BE347" t="s">
        <v>3250</v>
      </c>
      <c r="BF347" t="s">
        <v>3250</v>
      </c>
      <c r="BG347" t="s">
        <v>3250</v>
      </c>
      <c r="BH347" t="s">
        <v>3250</v>
      </c>
      <c r="BI347" t="s">
        <v>3250</v>
      </c>
      <c r="BK347" t="s">
        <v>3250</v>
      </c>
      <c r="BL347" t="s">
        <v>3250</v>
      </c>
      <c r="BM347" t="s">
        <v>3250</v>
      </c>
      <c r="BN347" t="s">
        <v>3250</v>
      </c>
      <c r="BP347">
        <v>1</v>
      </c>
      <c r="BQ347">
        <v>11</v>
      </c>
      <c r="BR347" t="s">
        <v>1574</v>
      </c>
      <c r="BS347" t="s">
        <v>3252</v>
      </c>
      <c r="BV347">
        <v>0</v>
      </c>
      <c r="BW347">
        <v>-6919</v>
      </c>
      <c r="BX347">
        <v>-6617</v>
      </c>
      <c r="BY347">
        <v>6726</v>
      </c>
      <c r="BZ347">
        <v>6726</v>
      </c>
      <c r="CA347">
        <v>6988</v>
      </c>
      <c r="CB347">
        <v>7268</v>
      </c>
      <c r="CC347">
        <v>7559</v>
      </c>
      <c r="CD347">
        <v>0</v>
      </c>
      <c r="CE347" t="s">
        <v>3108</v>
      </c>
      <c r="CF347" t="s">
        <v>3108</v>
      </c>
      <c r="CG347" t="s">
        <v>3108</v>
      </c>
      <c r="CH347" t="s">
        <v>3108</v>
      </c>
    </row>
    <row r="348" spans="1:86" x14ac:dyDescent="0.2">
      <c r="A348" t="s">
        <v>3904</v>
      </c>
      <c r="B348" t="s">
        <v>3904</v>
      </c>
      <c r="C348">
        <v>40636</v>
      </c>
      <c r="D348">
        <v>582</v>
      </c>
      <c r="E348" t="s">
        <v>3850</v>
      </c>
      <c r="F348">
        <v>200</v>
      </c>
      <c r="G348" t="s">
        <v>467</v>
      </c>
      <c r="H348">
        <v>200</v>
      </c>
      <c r="I348" t="s">
        <v>3840</v>
      </c>
      <c r="J348" t="s">
        <v>3250</v>
      </c>
      <c r="K348" t="s">
        <v>3250</v>
      </c>
      <c r="L348">
        <v>1200</v>
      </c>
      <c r="M348" t="s">
        <v>2368</v>
      </c>
      <c r="N348">
        <v>1204</v>
      </c>
      <c r="O348" t="s">
        <v>1574</v>
      </c>
      <c r="P348" t="s">
        <v>3108</v>
      </c>
      <c r="Q348" t="s">
        <v>3249</v>
      </c>
      <c r="R348" t="s">
        <v>3249</v>
      </c>
      <c r="S348" t="s">
        <v>810</v>
      </c>
      <c r="T348" t="s">
        <v>2759</v>
      </c>
      <c r="U348" t="s">
        <v>3250</v>
      </c>
      <c r="V348" t="s">
        <v>3250</v>
      </c>
      <c r="W348" t="s">
        <v>3250</v>
      </c>
      <c r="X348" t="s">
        <v>3250</v>
      </c>
      <c r="Y348" t="s">
        <v>3250</v>
      </c>
      <c r="Z348" t="s">
        <v>3250</v>
      </c>
      <c r="AA348" t="s">
        <v>3108</v>
      </c>
      <c r="AB348" t="s">
        <v>3108</v>
      </c>
      <c r="AC348" t="s">
        <v>3250</v>
      </c>
      <c r="AD348" t="s">
        <v>3250</v>
      </c>
      <c r="AE348" t="s">
        <v>3250</v>
      </c>
      <c r="AF348" t="s">
        <v>3250</v>
      </c>
      <c r="AG348" t="s">
        <v>3250</v>
      </c>
      <c r="AH348" t="s">
        <v>3250</v>
      </c>
      <c r="AI348" t="s">
        <v>3250</v>
      </c>
      <c r="AJ348" t="s">
        <v>3250</v>
      </c>
      <c r="AL348" t="s">
        <v>3250</v>
      </c>
      <c r="AM348" t="s">
        <v>3250</v>
      </c>
      <c r="AN348" t="s">
        <v>3250</v>
      </c>
      <c r="AO348" t="s">
        <v>3250</v>
      </c>
      <c r="AS348" t="s">
        <v>3250</v>
      </c>
      <c r="AT348" t="s">
        <v>3250</v>
      </c>
      <c r="AU348" t="s">
        <v>3250</v>
      </c>
      <c r="AV348" t="s">
        <v>3250</v>
      </c>
      <c r="AW348" t="s">
        <v>3250</v>
      </c>
      <c r="AX348" t="s">
        <v>3250</v>
      </c>
      <c r="AY348" t="s">
        <v>3250</v>
      </c>
      <c r="AZ348" t="s">
        <v>3250</v>
      </c>
      <c r="BA348" t="s">
        <v>3250</v>
      </c>
      <c r="BB348" t="s">
        <v>3250</v>
      </c>
      <c r="BC348" t="s">
        <v>3250</v>
      </c>
      <c r="BE348" t="s">
        <v>3250</v>
      </c>
      <c r="BF348" t="s">
        <v>3250</v>
      </c>
      <c r="BG348" t="s">
        <v>3250</v>
      </c>
      <c r="BH348" t="s">
        <v>3250</v>
      </c>
      <c r="BI348" t="s">
        <v>3250</v>
      </c>
      <c r="BK348" t="s">
        <v>3250</v>
      </c>
      <c r="BL348" t="s">
        <v>3250</v>
      </c>
      <c r="BM348" t="s">
        <v>3250</v>
      </c>
      <c r="BN348" t="s">
        <v>3250</v>
      </c>
      <c r="BP348">
        <v>1</v>
      </c>
      <c r="BQ348">
        <v>11</v>
      </c>
      <c r="BR348" t="s">
        <v>1574</v>
      </c>
      <c r="BS348" t="s">
        <v>3252</v>
      </c>
      <c r="BV348">
        <v>-5810</v>
      </c>
      <c r="BW348">
        <v>-8237</v>
      </c>
      <c r="BX348">
        <v>-6721</v>
      </c>
      <c r="BY348">
        <v>6374</v>
      </c>
      <c r="BZ348">
        <v>6374</v>
      </c>
      <c r="CA348">
        <v>6623</v>
      </c>
      <c r="CB348">
        <v>6887</v>
      </c>
      <c r="CC348">
        <v>7163</v>
      </c>
      <c r="CD348">
        <v>-5071</v>
      </c>
      <c r="CE348" t="s">
        <v>3108</v>
      </c>
      <c r="CF348" t="s">
        <v>3108</v>
      </c>
      <c r="CG348" t="s">
        <v>3108</v>
      </c>
      <c r="CH348" t="s">
        <v>3108</v>
      </c>
    </row>
    <row r="349" spans="1:86" x14ac:dyDescent="0.2">
      <c r="A349" t="s">
        <v>3905</v>
      </c>
      <c r="B349" t="s">
        <v>3905</v>
      </c>
      <c r="C349">
        <v>40637</v>
      </c>
      <c r="D349">
        <v>583</v>
      </c>
      <c r="E349" t="s">
        <v>3852</v>
      </c>
      <c r="F349">
        <v>200</v>
      </c>
      <c r="G349" t="s">
        <v>467</v>
      </c>
      <c r="H349">
        <v>200</v>
      </c>
      <c r="I349" t="s">
        <v>3840</v>
      </c>
      <c r="J349" t="s">
        <v>3250</v>
      </c>
      <c r="K349" t="s">
        <v>3250</v>
      </c>
      <c r="L349">
        <v>1200</v>
      </c>
      <c r="M349" t="s">
        <v>2368</v>
      </c>
      <c r="N349">
        <v>1204</v>
      </c>
      <c r="O349" t="s">
        <v>1574</v>
      </c>
      <c r="P349" t="s">
        <v>3108</v>
      </c>
      <c r="Q349" t="s">
        <v>3249</v>
      </c>
      <c r="R349" t="s">
        <v>3249</v>
      </c>
      <c r="S349" t="s">
        <v>810</v>
      </c>
      <c r="T349" t="s">
        <v>2759</v>
      </c>
      <c r="U349" t="s">
        <v>3250</v>
      </c>
      <c r="V349" t="s">
        <v>3250</v>
      </c>
      <c r="W349" t="s">
        <v>3250</v>
      </c>
      <c r="X349" t="s">
        <v>3250</v>
      </c>
      <c r="Y349" t="s">
        <v>3250</v>
      </c>
      <c r="Z349" t="s">
        <v>3250</v>
      </c>
      <c r="AA349" t="s">
        <v>3108</v>
      </c>
      <c r="AB349" t="s">
        <v>3108</v>
      </c>
      <c r="AC349" t="s">
        <v>3250</v>
      </c>
      <c r="AD349" t="s">
        <v>3250</v>
      </c>
      <c r="AE349" t="s">
        <v>3250</v>
      </c>
      <c r="AF349" t="s">
        <v>3250</v>
      </c>
      <c r="AG349" t="s">
        <v>3250</v>
      </c>
      <c r="AH349" t="s">
        <v>3250</v>
      </c>
      <c r="AI349" t="s">
        <v>3250</v>
      </c>
      <c r="AJ349" t="s">
        <v>3250</v>
      </c>
      <c r="AL349" t="s">
        <v>3250</v>
      </c>
      <c r="AM349" t="s">
        <v>3250</v>
      </c>
      <c r="AN349" t="s">
        <v>3250</v>
      </c>
      <c r="AO349" t="s">
        <v>3250</v>
      </c>
      <c r="AS349" t="s">
        <v>3250</v>
      </c>
      <c r="AT349" t="s">
        <v>3250</v>
      </c>
      <c r="AU349" t="s">
        <v>3250</v>
      </c>
      <c r="AV349" t="s">
        <v>3250</v>
      </c>
      <c r="AW349" t="s">
        <v>3250</v>
      </c>
      <c r="AX349" t="s">
        <v>3250</v>
      </c>
      <c r="AY349" t="s">
        <v>3250</v>
      </c>
      <c r="AZ349" t="s">
        <v>3250</v>
      </c>
      <c r="BA349" t="s">
        <v>3250</v>
      </c>
      <c r="BB349" t="s">
        <v>3250</v>
      </c>
      <c r="BC349" t="s">
        <v>3250</v>
      </c>
      <c r="BE349" t="s">
        <v>3250</v>
      </c>
      <c r="BF349" t="s">
        <v>3250</v>
      </c>
      <c r="BG349" t="s">
        <v>3250</v>
      </c>
      <c r="BH349" t="s">
        <v>3250</v>
      </c>
      <c r="BI349" t="s">
        <v>3250</v>
      </c>
      <c r="BK349" t="s">
        <v>3250</v>
      </c>
      <c r="BL349" t="s">
        <v>3250</v>
      </c>
      <c r="BM349" t="s">
        <v>3250</v>
      </c>
      <c r="BN349" t="s">
        <v>3250</v>
      </c>
      <c r="BP349">
        <v>1</v>
      </c>
      <c r="BQ349">
        <v>11</v>
      </c>
      <c r="BR349" t="s">
        <v>1574</v>
      </c>
      <c r="BS349" t="s">
        <v>3252</v>
      </c>
      <c r="BV349">
        <v>0</v>
      </c>
      <c r="BW349">
        <v>-994</v>
      </c>
      <c r="BX349">
        <v>-966</v>
      </c>
      <c r="BY349">
        <v>1082</v>
      </c>
      <c r="BZ349">
        <v>1082</v>
      </c>
      <c r="CA349">
        <v>1125</v>
      </c>
      <c r="CB349">
        <v>1169</v>
      </c>
      <c r="CC349">
        <v>1216</v>
      </c>
      <c r="CD349">
        <v>0</v>
      </c>
      <c r="CE349" t="s">
        <v>3108</v>
      </c>
      <c r="CF349" t="s">
        <v>3108</v>
      </c>
      <c r="CG349" t="s">
        <v>3108</v>
      </c>
      <c r="CH349" t="s">
        <v>3108</v>
      </c>
    </row>
    <row r="350" spans="1:86" x14ac:dyDescent="0.2">
      <c r="A350" t="s">
        <v>3906</v>
      </c>
      <c r="B350" t="s">
        <v>3906</v>
      </c>
      <c r="C350">
        <v>40638</v>
      </c>
      <c r="D350">
        <v>584</v>
      </c>
      <c r="E350" t="s">
        <v>3854</v>
      </c>
      <c r="F350">
        <v>200</v>
      </c>
      <c r="G350" t="s">
        <v>467</v>
      </c>
      <c r="H350">
        <v>200</v>
      </c>
      <c r="I350" t="s">
        <v>3840</v>
      </c>
      <c r="J350" t="s">
        <v>3250</v>
      </c>
      <c r="K350" t="s">
        <v>3250</v>
      </c>
      <c r="L350">
        <v>1200</v>
      </c>
      <c r="M350" t="s">
        <v>2368</v>
      </c>
      <c r="N350">
        <v>1204</v>
      </c>
      <c r="O350" t="s">
        <v>1574</v>
      </c>
      <c r="P350" t="s">
        <v>3108</v>
      </c>
      <c r="Q350" t="s">
        <v>3249</v>
      </c>
      <c r="R350" t="s">
        <v>3249</v>
      </c>
      <c r="S350" t="s">
        <v>810</v>
      </c>
      <c r="T350" t="s">
        <v>2759</v>
      </c>
      <c r="U350" t="s">
        <v>3250</v>
      </c>
      <c r="V350" t="s">
        <v>3250</v>
      </c>
      <c r="W350" t="s">
        <v>3250</v>
      </c>
      <c r="X350" t="s">
        <v>3250</v>
      </c>
      <c r="Y350" t="s">
        <v>3250</v>
      </c>
      <c r="Z350" t="s">
        <v>3250</v>
      </c>
      <c r="AA350" t="s">
        <v>3108</v>
      </c>
      <c r="AB350" t="s">
        <v>3108</v>
      </c>
      <c r="AC350" t="s">
        <v>3250</v>
      </c>
      <c r="AD350" t="s">
        <v>3250</v>
      </c>
      <c r="AE350" t="s">
        <v>3250</v>
      </c>
      <c r="AF350" t="s">
        <v>3250</v>
      </c>
      <c r="AG350" t="s">
        <v>3250</v>
      </c>
      <c r="AH350" t="s">
        <v>3250</v>
      </c>
      <c r="AI350" t="s">
        <v>3250</v>
      </c>
      <c r="AJ350" t="s">
        <v>3250</v>
      </c>
      <c r="AL350" t="s">
        <v>3250</v>
      </c>
      <c r="AM350" t="s">
        <v>3250</v>
      </c>
      <c r="AN350" t="s">
        <v>3250</v>
      </c>
      <c r="AO350" t="s">
        <v>3250</v>
      </c>
      <c r="AS350" t="s">
        <v>3250</v>
      </c>
      <c r="AT350" t="s">
        <v>3250</v>
      </c>
      <c r="AU350" t="s">
        <v>3250</v>
      </c>
      <c r="AV350" t="s">
        <v>3250</v>
      </c>
      <c r="AW350" t="s">
        <v>3250</v>
      </c>
      <c r="AX350" t="s">
        <v>3250</v>
      </c>
      <c r="AY350" t="s">
        <v>3250</v>
      </c>
      <c r="AZ350" t="s">
        <v>3250</v>
      </c>
      <c r="BA350" t="s">
        <v>3250</v>
      </c>
      <c r="BB350" t="s">
        <v>3250</v>
      </c>
      <c r="BC350" t="s">
        <v>3250</v>
      </c>
      <c r="BE350" t="s">
        <v>3250</v>
      </c>
      <c r="BF350" t="s">
        <v>3250</v>
      </c>
      <c r="BG350" t="s">
        <v>3250</v>
      </c>
      <c r="BH350" t="s">
        <v>3250</v>
      </c>
      <c r="BI350" t="s">
        <v>3250</v>
      </c>
      <c r="BK350" t="s">
        <v>3250</v>
      </c>
      <c r="BL350" t="s">
        <v>3250</v>
      </c>
      <c r="BM350" t="s">
        <v>3250</v>
      </c>
      <c r="BN350" t="s">
        <v>3250</v>
      </c>
      <c r="BP350">
        <v>1</v>
      </c>
      <c r="BQ350">
        <v>11</v>
      </c>
      <c r="BR350" t="s">
        <v>1574</v>
      </c>
      <c r="BS350" t="s">
        <v>3252</v>
      </c>
      <c r="BV350">
        <v>0</v>
      </c>
      <c r="BW350">
        <v>-373</v>
      </c>
      <c r="BX350">
        <v>-355</v>
      </c>
      <c r="BY350">
        <v>361</v>
      </c>
      <c r="BZ350">
        <v>361</v>
      </c>
      <c r="CA350">
        <v>375</v>
      </c>
      <c r="CB350">
        <v>390</v>
      </c>
      <c r="CC350">
        <v>406</v>
      </c>
      <c r="CD350">
        <v>0</v>
      </c>
      <c r="CE350" t="s">
        <v>3108</v>
      </c>
      <c r="CF350" t="s">
        <v>3108</v>
      </c>
      <c r="CG350" t="s">
        <v>3108</v>
      </c>
      <c r="CH350" t="s">
        <v>3108</v>
      </c>
    </row>
    <row r="351" spans="1:86" x14ac:dyDescent="0.2">
      <c r="A351" t="s">
        <v>3907</v>
      </c>
      <c r="B351" t="s">
        <v>3907</v>
      </c>
      <c r="C351">
        <v>40639</v>
      </c>
      <c r="D351">
        <v>585</v>
      </c>
      <c r="E351" t="s">
        <v>3856</v>
      </c>
      <c r="F351">
        <v>200</v>
      </c>
      <c r="G351" t="s">
        <v>467</v>
      </c>
      <c r="H351">
        <v>200</v>
      </c>
      <c r="I351" t="s">
        <v>3840</v>
      </c>
      <c r="J351" t="s">
        <v>3250</v>
      </c>
      <c r="K351" t="s">
        <v>3250</v>
      </c>
      <c r="L351">
        <v>1200</v>
      </c>
      <c r="M351" t="s">
        <v>2368</v>
      </c>
      <c r="N351">
        <v>1204</v>
      </c>
      <c r="O351" t="s">
        <v>1574</v>
      </c>
      <c r="P351" t="s">
        <v>3108</v>
      </c>
      <c r="Q351" t="s">
        <v>3249</v>
      </c>
      <c r="R351" t="s">
        <v>3249</v>
      </c>
      <c r="S351" t="s">
        <v>810</v>
      </c>
      <c r="T351" t="s">
        <v>2759</v>
      </c>
      <c r="U351" t="s">
        <v>3250</v>
      </c>
      <c r="V351" t="s">
        <v>3250</v>
      </c>
      <c r="W351" t="s">
        <v>3250</v>
      </c>
      <c r="X351" t="s">
        <v>3250</v>
      </c>
      <c r="Y351" t="s">
        <v>3250</v>
      </c>
      <c r="Z351" t="s">
        <v>3250</v>
      </c>
      <c r="AA351" t="s">
        <v>3108</v>
      </c>
      <c r="AB351" t="s">
        <v>3108</v>
      </c>
      <c r="AC351" t="s">
        <v>3250</v>
      </c>
      <c r="AD351" t="s">
        <v>3250</v>
      </c>
      <c r="AE351" t="s">
        <v>3250</v>
      </c>
      <c r="AF351" t="s">
        <v>3250</v>
      </c>
      <c r="AG351" t="s">
        <v>3250</v>
      </c>
      <c r="AH351" t="s">
        <v>3250</v>
      </c>
      <c r="AI351" t="s">
        <v>3250</v>
      </c>
      <c r="AJ351" t="s">
        <v>3250</v>
      </c>
      <c r="AL351" t="s">
        <v>3250</v>
      </c>
      <c r="AM351" t="s">
        <v>3250</v>
      </c>
      <c r="AN351" t="s">
        <v>3250</v>
      </c>
      <c r="AO351" t="s">
        <v>3250</v>
      </c>
      <c r="AS351" t="s">
        <v>3250</v>
      </c>
      <c r="AT351" t="s">
        <v>3250</v>
      </c>
      <c r="AU351" t="s">
        <v>3250</v>
      </c>
      <c r="AV351" t="s">
        <v>3250</v>
      </c>
      <c r="AW351" t="s">
        <v>3250</v>
      </c>
      <c r="AX351" t="s">
        <v>3250</v>
      </c>
      <c r="AY351" t="s">
        <v>3250</v>
      </c>
      <c r="AZ351" t="s">
        <v>3250</v>
      </c>
      <c r="BA351" t="s">
        <v>3250</v>
      </c>
      <c r="BB351" t="s">
        <v>3250</v>
      </c>
      <c r="BC351" t="s">
        <v>3250</v>
      </c>
      <c r="BE351" t="s">
        <v>3250</v>
      </c>
      <c r="BF351" t="s">
        <v>3250</v>
      </c>
      <c r="BG351" t="s">
        <v>3250</v>
      </c>
      <c r="BH351" t="s">
        <v>3250</v>
      </c>
      <c r="BI351" t="s">
        <v>3250</v>
      </c>
      <c r="BK351" t="s">
        <v>3250</v>
      </c>
      <c r="BL351" t="s">
        <v>3250</v>
      </c>
      <c r="BM351" t="s">
        <v>3250</v>
      </c>
      <c r="BN351" t="s">
        <v>3250</v>
      </c>
      <c r="BP351">
        <v>1</v>
      </c>
      <c r="BQ351">
        <v>11</v>
      </c>
      <c r="BR351" t="s">
        <v>1574</v>
      </c>
      <c r="BS351" t="s">
        <v>3252</v>
      </c>
      <c r="BV351">
        <v>0</v>
      </c>
      <c r="BW351">
        <v>0</v>
      </c>
      <c r="BX351">
        <v>0</v>
      </c>
      <c r="BY351">
        <v>0</v>
      </c>
      <c r="BZ351">
        <v>0</v>
      </c>
      <c r="CA351">
        <v>0</v>
      </c>
      <c r="CB351">
        <v>0</v>
      </c>
      <c r="CC351">
        <v>0</v>
      </c>
      <c r="CD351">
        <v>0</v>
      </c>
      <c r="CE351" t="s">
        <v>3108</v>
      </c>
      <c r="CF351" t="s">
        <v>3108</v>
      </c>
      <c r="CG351" t="s">
        <v>3108</v>
      </c>
      <c r="CH351" t="s">
        <v>3108</v>
      </c>
    </row>
    <row r="352" spans="1:86" x14ac:dyDescent="0.2">
      <c r="A352" t="s">
        <v>3908</v>
      </c>
      <c r="B352" t="s">
        <v>3908</v>
      </c>
      <c r="C352">
        <v>40640</v>
      </c>
      <c r="D352">
        <v>586</v>
      </c>
      <c r="E352" t="s">
        <v>3858</v>
      </c>
      <c r="F352">
        <v>200</v>
      </c>
      <c r="G352" t="s">
        <v>467</v>
      </c>
      <c r="H352">
        <v>200</v>
      </c>
      <c r="I352" t="s">
        <v>3840</v>
      </c>
      <c r="J352" t="s">
        <v>3250</v>
      </c>
      <c r="K352" t="s">
        <v>3250</v>
      </c>
      <c r="L352">
        <v>1200</v>
      </c>
      <c r="M352" t="s">
        <v>2368</v>
      </c>
      <c r="N352">
        <v>1204</v>
      </c>
      <c r="O352" t="s">
        <v>1574</v>
      </c>
      <c r="P352" t="s">
        <v>3108</v>
      </c>
      <c r="Q352" t="s">
        <v>3249</v>
      </c>
      <c r="R352" t="s">
        <v>3249</v>
      </c>
      <c r="S352" t="s">
        <v>810</v>
      </c>
      <c r="T352" t="s">
        <v>2759</v>
      </c>
      <c r="U352" t="s">
        <v>3250</v>
      </c>
      <c r="V352" t="s">
        <v>3250</v>
      </c>
      <c r="W352" t="s">
        <v>3250</v>
      </c>
      <c r="X352" t="s">
        <v>3250</v>
      </c>
      <c r="Y352" t="s">
        <v>3250</v>
      </c>
      <c r="Z352" t="s">
        <v>3250</v>
      </c>
      <c r="AA352" t="s">
        <v>3108</v>
      </c>
      <c r="AB352" t="s">
        <v>3108</v>
      </c>
      <c r="AC352" t="s">
        <v>3250</v>
      </c>
      <c r="AD352" t="s">
        <v>3250</v>
      </c>
      <c r="AE352" t="s">
        <v>3250</v>
      </c>
      <c r="AF352" t="s">
        <v>3250</v>
      </c>
      <c r="AG352" t="s">
        <v>3250</v>
      </c>
      <c r="AH352" t="s">
        <v>3250</v>
      </c>
      <c r="AI352" t="s">
        <v>3250</v>
      </c>
      <c r="AJ352" t="s">
        <v>3250</v>
      </c>
      <c r="AL352" t="s">
        <v>3250</v>
      </c>
      <c r="AM352" t="s">
        <v>3250</v>
      </c>
      <c r="AN352" t="s">
        <v>3250</v>
      </c>
      <c r="AO352" t="s">
        <v>3250</v>
      </c>
      <c r="AS352" t="s">
        <v>3250</v>
      </c>
      <c r="AT352" t="s">
        <v>3250</v>
      </c>
      <c r="AU352" t="s">
        <v>3250</v>
      </c>
      <c r="AV352" t="s">
        <v>3250</v>
      </c>
      <c r="AW352" t="s">
        <v>3250</v>
      </c>
      <c r="AX352" t="s">
        <v>3250</v>
      </c>
      <c r="AY352" t="s">
        <v>3250</v>
      </c>
      <c r="AZ352" t="s">
        <v>3250</v>
      </c>
      <c r="BA352" t="s">
        <v>3250</v>
      </c>
      <c r="BB352" t="s">
        <v>3250</v>
      </c>
      <c r="BC352" t="s">
        <v>3250</v>
      </c>
      <c r="BE352" t="s">
        <v>3250</v>
      </c>
      <c r="BF352" t="s">
        <v>3250</v>
      </c>
      <c r="BG352" t="s">
        <v>3250</v>
      </c>
      <c r="BH352" t="s">
        <v>3250</v>
      </c>
      <c r="BI352" t="s">
        <v>3250</v>
      </c>
      <c r="BK352" t="s">
        <v>3250</v>
      </c>
      <c r="BL352" t="s">
        <v>3250</v>
      </c>
      <c r="BM352" t="s">
        <v>3250</v>
      </c>
      <c r="BN352" t="s">
        <v>3250</v>
      </c>
      <c r="BP352">
        <v>1</v>
      </c>
      <c r="BQ352">
        <v>11</v>
      </c>
      <c r="BR352" t="s">
        <v>1574</v>
      </c>
      <c r="BS352" t="s">
        <v>3252</v>
      </c>
      <c r="BV352">
        <v>0</v>
      </c>
      <c r="BW352">
        <v>0</v>
      </c>
      <c r="BX352">
        <v>0</v>
      </c>
      <c r="BY352">
        <v>0</v>
      </c>
      <c r="BZ352">
        <v>0</v>
      </c>
      <c r="CA352">
        <v>0</v>
      </c>
      <c r="CB352">
        <v>0</v>
      </c>
      <c r="CC352">
        <v>0</v>
      </c>
      <c r="CD352">
        <v>0</v>
      </c>
      <c r="CE352" t="s">
        <v>3108</v>
      </c>
      <c r="CF352" t="s">
        <v>3108</v>
      </c>
      <c r="CG352" t="s">
        <v>3108</v>
      </c>
      <c r="CH352" t="s">
        <v>3108</v>
      </c>
    </row>
    <row r="353" spans="1:86" x14ac:dyDescent="0.2">
      <c r="A353" t="s">
        <v>3909</v>
      </c>
      <c r="B353" t="s">
        <v>3909</v>
      </c>
      <c r="C353">
        <v>40641</v>
      </c>
      <c r="D353">
        <v>587</v>
      </c>
      <c r="E353" t="s">
        <v>3860</v>
      </c>
      <c r="F353">
        <v>200</v>
      </c>
      <c r="G353" t="s">
        <v>467</v>
      </c>
      <c r="H353">
        <v>200</v>
      </c>
      <c r="I353" t="s">
        <v>3840</v>
      </c>
      <c r="J353" t="s">
        <v>3250</v>
      </c>
      <c r="K353" t="s">
        <v>3250</v>
      </c>
      <c r="L353">
        <v>1200</v>
      </c>
      <c r="M353" t="s">
        <v>2368</v>
      </c>
      <c r="N353">
        <v>1204</v>
      </c>
      <c r="O353" t="s">
        <v>1574</v>
      </c>
      <c r="P353" t="s">
        <v>3108</v>
      </c>
      <c r="Q353" t="s">
        <v>3249</v>
      </c>
      <c r="R353" t="s">
        <v>3249</v>
      </c>
      <c r="S353" t="s">
        <v>810</v>
      </c>
      <c r="T353" t="s">
        <v>2759</v>
      </c>
      <c r="U353" t="s">
        <v>3250</v>
      </c>
      <c r="V353" t="s">
        <v>3250</v>
      </c>
      <c r="W353" t="s">
        <v>3250</v>
      </c>
      <c r="X353" t="s">
        <v>3250</v>
      </c>
      <c r="Y353" t="s">
        <v>3250</v>
      </c>
      <c r="Z353" t="s">
        <v>3250</v>
      </c>
      <c r="AA353" t="s">
        <v>3108</v>
      </c>
      <c r="AB353" t="s">
        <v>3108</v>
      </c>
      <c r="AC353" t="s">
        <v>3250</v>
      </c>
      <c r="AD353" t="s">
        <v>3250</v>
      </c>
      <c r="AE353" t="s">
        <v>3250</v>
      </c>
      <c r="AF353" t="s">
        <v>3250</v>
      </c>
      <c r="AG353" t="s">
        <v>3250</v>
      </c>
      <c r="AH353" t="s">
        <v>3250</v>
      </c>
      <c r="AI353" t="s">
        <v>3250</v>
      </c>
      <c r="AJ353" t="s">
        <v>3250</v>
      </c>
      <c r="AL353" t="s">
        <v>3250</v>
      </c>
      <c r="AM353" t="s">
        <v>3250</v>
      </c>
      <c r="AN353" t="s">
        <v>3250</v>
      </c>
      <c r="AO353" t="s">
        <v>3250</v>
      </c>
      <c r="AS353" t="s">
        <v>3250</v>
      </c>
      <c r="AT353" t="s">
        <v>3250</v>
      </c>
      <c r="AU353" t="s">
        <v>3250</v>
      </c>
      <c r="AV353" t="s">
        <v>3250</v>
      </c>
      <c r="AW353" t="s">
        <v>3250</v>
      </c>
      <c r="AX353" t="s">
        <v>3250</v>
      </c>
      <c r="AY353" t="s">
        <v>3250</v>
      </c>
      <c r="AZ353" t="s">
        <v>3250</v>
      </c>
      <c r="BA353" t="s">
        <v>3250</v>
      </c>
      <c r="BB353" t="s">
        <v>3250</v>
      </c>
      <c r="BC353" t="s">
        <v>3250</v>
      </c>
      <c r="BE353" t="s">
        <v>3250</v>
      </c>
      <c r="BF353" t="s">
        <v>3250</v>
      </c>
      <c r="BG353" t="s">
        <v>3250</v>
      </c>
      <c r="BH353" t="s">
        <v>3250</v>
      </c>
      <c r="BI353" t="s">
        <v>3250</v>
      </c>
      <c r="BK353" t="s">
        <v>3250</v>
      </c>
      <c r="BL353" t="s">
        <v>3250</v>
      </c>
      <c r="BM353" t="s">
        <v>3250</v>
      </c>
      <c r="BN353" t="s">
        <v>3250</v>
      </c>
      <c r="BP353">
        <v>1</v>
      </c>
      <c r="BQ353">
        <v>11</v>
      </c>
      <c r="BR353" t="s">
        <v>1574</v>
      </c>
      <c r="BS353" t="s">
        <v>3252</v>
      </c>
      <c r="BV353">
        <v>0</v>
      </c>
      <c r="BW353">
        <v>0</v>
      </c>
      <c r="BX353">
        <v>0</v>
      </c>
      <c r="BY353">
        <v>0</v>
      </c>
      <c r="BZ353">
        <v>0</v>
      </c>
      <c r="CA353">
        <v>0</v>
      </c>
      <c r="CB353">
        <v>0</v>
      </c>
      <c r="CC353">
        <v>0</v>
      </c>
      <c r="CD353">
        <v>0</v>
      </c>
      <c r="CE353" t="s">
        <v>3108</v>
      </c>
      <c r="CF353" t="s">
        <v>3108</v>
      </c>
      <c r="CG353" t="s">
        <v>3108</v>
      </c>
      <c r="CH353" t="s">
        <v>3108</v>
      </c>
    </row>
    <row r="354" spans="1:86" x14ac:dyDescent="0.2">
      <c r="A354" t="s">
        <v>3910</v>
      </c>
      <c r="B354" t="s">
        <v>3910</v>
      </c>
      <c r="C354">
        <v>40642</v>
      </c>
      <c r="D354">
        <v>588</v>
      </c>
      <c r="E354" t="s">
        <v>3862</v>
      </c>
      <c r="F354">
        <v>200</v>
      </c>
      <c r="G354" t="s">
        <v>467</v>
      </c>
      <c r="H354">
        <v>200</v>
      </c>
      <c r="I354" t="s">
        <v>3840</v>
      </c>
      <c r="J354" t="s">
        <v>3250</v>
      </c>
      <c r="K354" t="s">
        <v>3250</v>
      </c>
      <c r="L354">
        <v>1200</v>
      </c>
      <c r="M354" t="s">
        <v>2368</v>
      </c>
      <c r="N354">
        <v>1204</v>
      </c>
      <c r="O354" t="s">
        <v>1574</v>
      </c>
      <c r="P354" t="s">
        <v>3108</v>
      </c>
      <c r="Q354" t="s">
        <v>3249</v>
      </c>
      <c r="R354" t="s">
        <v>3249</v>
      </c>
      <c r="S354" t="s">
        <v>810</v>
      </c>
      <c r="T354" t="s">
        <v>2759</v>
      </c>
      <c r="U354" t="s">
        <v>3250</v>
      </c>
      <c r="V354" t="s">
        <v>3250</v>
      </c>
      <c r="W354" t="s">
        <v>3250</v>
      </c>
      <c r="X354" t="s">
        <v>3250</v>
      </c>
      <c r="Y354" t="s">
        <v>3250</v>
      </c>
      <c r="Z354" t="s">
        <v>3250</v>
      </c>
      <c r="AA354" t="s">
        <v>3108</v>
      </c>
      <c r="AB354" t="s">
        <v>3108</v>
      </c>
      <c r="AC354" t="s">
        <v>3250</v>
      </c>
      <c r="AD354" t="s">
        <v>3250</v>
      </c>
      <c r="AE354" t="s">
        <v>3250</v>
      </c>
      <c r="AF354" t="s">
        <v>3250</v>
      </c>
      <c r="AG354" t="s">
        <v>3250</v>
      </c>
      <c r="AH354" t="s">
        <v>3250</v>
      </c>
      <c r="AI354" t="s">
        <v>3250</v>
      </c>
      <c r="AJ354" t="s">
        <v>3250</v>
      </c>
      <c r="AL354" t="s">
        <v>3250</v>
      </c>
      <c r="AM354" t="s">
        <v>3250</v>
      </c>
      <c r="AN354" t="s">
        <v>3250</v>
      </c>
      <c r="AO354" t="s">
        <v>3250</v>
      </c>
      <c r="AS354" t="s">
        <v>3250</v>
      </c>
      <c r="AT354" t="s">
        <v>3250</v>
      </c>
      <c r="AU354" t="s">
        <v>3250</v>
      </c>
      <c r="AV354" t="s">
        <v>3250</v>
      </c>
      <c r="AW354" t="s">
        <v>3250</v>
      </c>
      <c r="AX354" t="s">
        <v>3250</v>
      </c>
      <c r="AY354" t="s">
        <v>3250</v>
      </c>
      <c r="AZ354" t="s">
        <v>3250</v>
      </c>
      <c r="BA354" t="s">
        <v>3250</v>
      </c>
      <c r="BB354" t="s">
        <v>3250</v>
      </c>
      <c r="BC354" t="s">
        <v>3250</v>
      </c>
      <c r="BE354" t="s">
        <v>3250</v>
      </c>
      <c r="BF354" t="s">
        <v>3250</v>
      </c>
      <c r="BG354" t="s">
        <v>3250</v>
      </c>
      <c r="BH354" t="s">
        <v>3250</v>
      </c>
      <c r="BI354" t="s">
        <v>3250</v>
      </c>
      <c r="BK354" t="s">
        <v>3250</v>
      </c>
      <c r="BL354" t="s">
        <v>3250</v>
      </c>
      <c r="BM354" t="s">
        <v>3250</v>
      </c>
      <c r="BN354" t="s">
        <v>3250</v>
      </c>
      <c r="BP354">
        <v>1</v>
      </c>
      <c r="BQ354">
        <v>11</v>
      </c>
      <c r="BR354" t="s">
        <v>1574</v>
      </c>
      <c r="BS354" t="s">
        <v>3252</v>
      </c>
      <c r="BV354">
        <v>0</v>
      </c>
      <c r="BW354">
        <v>-76</v>
      </c>
      <c r="BX354">
        <v>-72</v>
      </c>
      <c r="BY354">
        <v>73</v>
      </c>
      <c r="BZ354">
        <v>73</v>
      </c>
      <c r="CA354">
        <v>76</v>
      </c>
      <c r="CB354">
        <v>79</v>
      </c>
      <c r="CC354">
        <v>82</v>
      </c>
      <c r="CD354">
        <v>0</v>
      </c>
      <c r="CE354" t="s">
        <v>3108</v>
      </c>
      <c r="CF354" t="s">
        <v>3108</v>
      </c>
      <c r="CG354" t="s">
        <v>3108</v>
      </c>
      <c r="CH354" t="s">
        <v>3108</v>
      </c>
    </row>
    <row r="355" spans="1:86" x14ac:dyDescent="0.2">
      <c r="A355" t="s">
        <v>3911</v>
      </c>
      <c r="B355" t="s">
        <v>3911</v>
      </c>
      <c r="C355">
        <v>40643</v>
      </c>
      <c r="D355">
        <v>589</v>
      </c>
      <c r="E355" t="s">
        <v>3864</v>
      </c>
      <c r="F355">
        <v>200</v>
      </c>
      <c r="G355" t="s">
        <v>467</v>
      </c>
      <c r="H355">
        <v>200</v>
      </c>
      <c r="I355" t="s">
        <v>3840</v>
      </c>
      <c r="J355" t="s">
        <v>3250</v>
      </c>
      <c r="K355" t="s">
        <v>3250</v>
      </c>
      <c r="L355">
        <v>1200</v>
      </c>
      <c r="M355" t="s">
        <v>2368</v>
      </c>
      <c r="N355">
        <v>1204</v>
      </c>
      <c r="O355" t="s">
        <v>1574</v>
      </c>
      <c r="P355" t="s">
        <v>3108</v>
      </c>
      <c r="Q355" t="s">
        <v>3249</v>
      </c>
      <c r="R355" t="s">
        <v>3249</v>
      </c>
      <c r="S355" t="s">
        <v>810</v>
      </c>
      <c r="T355" t="s">
        <v>2759</v>
      </c>
      <c r="U355" t="s">
        <v>3250</v>
      </c>
      <c r="V355" t="s">
        <v>3250</v>
      </c>
      <c r="W355" t="s">
        <v>3250</v>
      </c>
      <c r="X355" t="s">
        <v>3250</v>
      </c>
      <c r="Y355" t="s">
        <v>3250</v>
      </c>
      <c r="Z355" t="s">
        <v>3250</v>
      </c>
      <c r="AA355" t="s">
        <v>3108</v>
      </c>
      <c r="AB355" t="s">
        <v>3108</v>
      </c>
      <c r="AC355" t="s">
        <v>3250</v>
      </c>
      <c r="AD355" t="s">
        <v>3250</v>
      </c>
      <c r="AE355" t="s">
        <v>3250</v>
      </c>
      <c r="AF355" t="s">
        <v>3250</v>
      </c>
      <c r="AG355" t="s">
        <v>3250</v>
      </c>
      <c r="AH355" t="s">
        <v>3250</v>
      </c>
      <c r="AI355" t="s">
        <v>3250</v>
      </c>
      <c r="AJ355" t="s">
        <v>3250</v>
      </c>
      <c r="AL355" t="s">
        <v>3250</v>
      </c>
      <c r="AM355" t="s">
        <v>3250</v>
      </c>
      <c r="AN355" t="s">
        <v>3250</v>
      </c>
      <c r="AO355" t="s">
        <v>3250</v>
      </c>
      <c r="AS355" t="s">
        <v>3250</v>
      </c>
      <c r="AT355" t="s">
        <v>3250</v>
      </c>
      <c r="AU355" t="s">
        <v>3250</v>
      </c>
      <c r="AV355" t="s">
        <v>3250</v>
      </c>
      <c r="AW355" t="s">
        <v>3250</v>
      </c>
      <c r="AX355" t="s">
        <v>3250</v>
      </c>
      <c r="AY355" t="s">
        <v>3250</v>
      </c>
      <c r="AZ355" t="s">
        <v>3250</v>
      </c>
      <c r="BA355" t="s">
        <v>3250</v>
      </c>
      <c r="BB355" t="s">
        <v>3250</v>
      </c>
      <c r="BC355" t="s">
        <v>3250</v>
      </c>
      <c r="BE355" t="s">
        <v>3250</v>
      </c>
      <c r="BF355" t="s">
        <v>3250</v>
      </c>
      <c r="BG355" t="s">
        <v>3250</v>
      </c>
      <c r="BH355" t="s">
        <v>3250</v>
      </c>
      <c r="BI355" t="s">
        <v>3250</v>
      </c>
      <c r="BK355" t="s">
        <v>3250</v>
      </c>
      <c r="BL355" t="s">
        <v>3250</v>
      </c>
      <c r="BM355" t="s">
        <v>3250</v>
      </c>
      <c r="BN355" t="s">
        <v>3250</v>
      </c>
      <c r="BP355">
        <v>1</v>
      </c>
      <c r="BQ355">
        <v>11</v>
      </c>
      <c r="BR355" t="s">
        <v>1574</v>
      </c>
      <c r="BS355" t="s">
        <v>3252</v>
      </c>
      <c r="BV355">
        <v>0</v>
      </c>
      <c r="BW355">
        <v>-97160</v>
      </c>
      <c r="BX355">
        <v>-69859</v>
      </c>
      <c r="BY355">
        <v>70037</v>
      </c>
      <c r="BZ355">
        <v>70037</v>
      </c>
      <c r="CA355">
        <v>72769</v>
      </c>
      <c r="CB355">
        <v>75679</v>
      </c>
      <c r="CC355">
        <v>78706</v>
      </c>
      <c r="CD355">
        <v>0</v>
      </c>
      <c r="CE355" t="s">
        <v>3108</v>
      </c>
      <c r="CF355" t="s">
        <v>3108</v>
      </c>
      <c r="CG355" t="s">
        <v>3108</v>
      </c>
      <c r="CH355" t="s">
        <v>3108</v>
      </c>
    </row>
    <row r="356" spans="1:86" x14ac:dyDescent="0.2">
      <c r="A356" t="s">
        <v>3912</v>
      </c>
      <c r="B356" t="s">
        <v>3912</v>
      </c>
      <c r="C356">
        <v>40644</v>
      </c>
      <c r="D356">
        <v>590</v>
      </c>
      <c r="E356" t="s">
        <v>3866</v>
      </c>
      <c r="F356">
        <v>200</v>
      </c>
      <c r="G356" t="s">
        <v>467</v>
      </c>
      <c r="H356">
        <v>200</v>
      </c>
      <c r="I356" t="s">
        <v>3840</v>
      </c>
      <c r="J356" t="s">
        <v>3250</v>
      </c>
      <c r="K356" t="s">
        <v>3250</v>
      </c>
      <c r="L356">
        <v>1200</v>
      </c>
      <c r="M356" t="s">
        <v>2368</v>
      </c>
      <c r="N356">
        <v>1204</v>
      </c>
      <c r="O356" t="s">
        <v>1574</v>
      </c>
      <c r="P356" t="s">
        <v>3108</v>
      </c>
      <c r="Q356" t="s">
        <v>3249</v>
      </c>
      <c r="R356" t="s">
        <v>3249</v>
      </c>
      <c r="S356" t="s">
        <v>810</v>
      </c>
      <c r="T356" t="s">
        <v>2759</v>
      </c>
      <c r="U356" t="s">
        <v>3250</v>
      </c>
      <c r="V356" t="s">
        <v>3250</v>
      </c>
      <c r="W356" t="s">
        <v>3250</v>
      </c>
      <c r="X356" t="s">
        <v>3250</v>
      </c>
      <c r="Y356" t="s">
        <v>3250</v>
      </c>
      <c r="Z356" t="s">
        <v>3250</v>
      </c>
      <c r="AA356" t="s">
        <v>3108</v>
      </c>
      <c r="AB356" t="s">
        <v>3108</v>
      </c>
      <c r="AC356" t="s">
        <v>3250</v>
      </c>
      <c r="AD356" t="s">
        <v>3250</v>
      </c>
      <c r="AE356" t="s">
        <v>3250</v>
      </c>
      <c r="AF356" t="s">
        <v>3250</v>
      </c>
      <c r="AG356" t="s">
        <v>3250</v>
      </c>
      <c r="AH356" t="s">
        <v>3250</v>
      </c>
      <c r="AI356" t="s">
        <v>3250</v>
      </c>
      <c r="AJ356" t="s">
        <v>3250</v>
      </c>
      <c r="AL356" t="s">
        <v>3250</v>
      </c>
      <c r="AM356" t="s">
        <v>3250</v>
      </c>
      <c r="AN356" t="s">
        <v>3250</v>
      </c>
      <c r="AO356" t="s">
        <v>3250</v>
      </c>
      <c r="AS356" t="s">
        <v>3250</v>
      </c>
      <c r="AT356" t="s">
        <v>3250</v>
      </c>
      <c r="AU356" t="s">
        <v>3250</v>
      </c>
      <c r="AV356" t="s">
        <v>3250</v>
      </c>
      <c r="AW356" t="s">
        <v>3250</v>
      </c>
      <c r="AX356" t="s">
        <v>3250</v>
      </c>
      <c r="AY356" t="s">
        <v>3250</v>
      </c>
      <c r="AZ356" t="s">
        <v>3250</v>
      </c>
      <c r="BA356" t="s">
        <v>3250</v>
      </c>
      <c r="BB356" t="s">
        <v>3250</v>
      </c>
      <c r="BC356" t="s">
        <v>3250</v>
      </c>
      <c r="BE356" t="s">
        <v>3250</v>
      </c>
      <c r="BF356" t="s">
        <v>3250</v>
      </c>
      <c r="BG356" t="s">
        <v>3250</v>
      </c>
      <c r="BH356" t="s">
        <v>3250</v>
      </c>
      <c r="BI356" t="s">
        <v>3250</v>
      </c>
      <c r="BK356" t="s">
        <v>3250</v>
      </c>
      <c r="BL356" t="s">
        <v>3250</v>
      </c>
      <c r="BM356" t="s">
        <v>3250</v>
      </c>
      <c r="BN356" t="s">
        <v>3250</v>
      </c>
      <c r="BP356">
        <v>1</v>
      </c>
      <c r="BQ356">
        <v>11</v>
      </c>
      <c r="BR356" t="s">
        <v>1574</v>
      </c>
      <c r="BS356" t="s">
        <v>3252</v>
      </c>
      <c r="BV356">
        <v>0</v>
      </c>
      <c r="BW356">
        <v>0</v>
      </c>
      <c r="BX356">
        <v>0</v>
      </c>
      <c r="BY356">
        <v>0</v>
      </c>
      <c r="BZ356">
        <v>0</v>
      </c>
      <c r="CA356">
        <v>0</v>
      </c>
      <c r="CB356">
        <v>0</v>
      </c>
      <c r="CC356">
        <v>0</v>
      </c>
      <c r="CD356">
        <v>0</v>
      </c>
      <c r="CE356" t="s">
        <v>3108</v>
      </c>
      <c r="CF356" t="s">
        <v>3108</v>
      </c>
      <c r="CG356" t="s">
        <v>3108</v>
      </c>
      <c r="CH356" t="s">
        <v>3108</v>
      </c>
    </row>
    <row r="357" spans="1:86" x14ac:dyDescent="0.2">
      <c r="A357" t="s">
        <v>3913</v>
      </c>
      <c r="B357" t="s">
        <v>3913</v>
      </c>
      <c r="C357">
        <v>40645</v>
      </c>
      <c r="D357">
        <v>591</v>
      </c>
      <c r="E357" t="s">
        <v>3868</v>
      </c>
      <c r="F357">
        <v>200</v>
      </c>
      <c r="G357" t="s">
        <v>467</v>
      </c>
      <c r="H357">
        <v>200</v>
      </c>
      <c r="I357" t="s">
        <v>3840</v>
      </c>
      <c r="J357" t="s">
        <v>3250</v>
      </c>
      <c r="K357" t="s">
        <v>3250</v>
      </c>
      <c r="L357">
        <v>1200</v>
      </c>
      <c r="M357" t="s">
        <v>2368</v>
      </c>
      <c r="N357">
        <v>1204</v>
      </c>
      <c r="O357" t="s">
        <v>1574</v>
      </c>
      <c r="P357" t="s">
        <v>3108</v>
      </c>
      <c r="Q357" t="s">
        <v>3249</v>
      </c>
      <c r="R357" t="s">
        <v>3249</v>
      </c>
      <c r="S357" t="s">
        <v>810</v>
      </c>
      <c r="T357" t="s">
        <v>2759</v>
      </c>
      <c r="U357" t="s">
        <v>3250</v>
      </c>
      <c r="V357" t="s">
        <v>3250</v>
      </c>
      <c r="W357" t="s">
        <v>3250</v>
      </c>
      <c r="X357" t="s">
        <v>3250</v>
      </c>
      <c r="Y357" t="s">
        <v>3250</v>
      </c>
      <c r="Z357" t="s">
        <v>3250</v>
      </c>
      <c r="AA357" t="s">
        <v>3108</v>
      </c>
      <c r="AB357" t="s">
        <v>3108</v>
      </c>
      <c r="AC357" t="s">
        <v>3250</v>
      </c>
      <c r="AD357" t="s">
        <v>3250</v>
      </c>
      <c r="AE357" t="s">
        <v>3250</v>
      </c>
      <c r="AF357" t="s">
        <v>3250</v>
      </c>
      <c r="AG357" t="s">
        <v>3250</v>
      </c>
      <c r="AH357" t="s">
        <v>3250</v>
      </c>
      <c r="AI357" t="s">
        <v>3250</v>
      </c>
      <c r="AJ357" t="s">
        <v>3250</v>
      </c>
      <c r="AL357" t="s">
        <v>3250</v>
      </c>
      <c r="AM357" t="s">
        <v>3250</v>
      </c>
      <c r="AN357" t="s">
        <v>3250</v>
      </c>
      <c r="AO357" t="s">
        <v>3250</v>
      </c>
      <c r="AS357" t="s">
        <v>3250</v>
      </c>
      <c r="AT357" t="s">
        <v>3250</v>
      </c>
      <c r="AU357" t="s">
        <v>3250</v>
      </c>
      <c r="AV357" t="s">
        <v>3250</v>
      </c>
      <c r="AW357" t="s">
        <v>3250</v>
      </c>
      <c r="AX357" t="s">
        <v>3250</v>
      </c>
      <c r="AY357" t="s">
        <v>3250</v>
      </c>
      <c r="AZ357" t="s">
        <v>3250</v>
      </c>
      <c r="BA357" t="s">
        <v>3250</v>
      </c>
      <c r="BB357" t="s">
        <v>3250</v>
      </c>
      <c r="BC357" t="s">
        <v>3250</v>
      </c>
      <c r="BE357" t="s">
        <v>3250</v>
      </c>
      <c r="BF357" t="s">
        <v>3250</v>
      </c>
      <c r="BG357" t="s">
        <v>3250</v>
      </c>
      <c r="BH357" t="s">
        <v>3250</v>
      </c>
      <c r="BI357" t="s">
        <v>3250</v>
      </c>
      <c r="BK357" t="s">
        <v>3250</v>
      </c>
      <c r="BL357" t="s">
        <v>3250</v>
      </c>
      <c r="BM357" t="s">
        <v>3250</v>
      </c>
      <c r="BN357" t="s">
        <v>3250</v>
      </c>
      <c r="BP357">
        <v>1</v>
      </c>
      <c r="BQ357">
        <v>11</v>
      </c>
      <c r="BR357" t="s">
        <v>1574</v>
      </c>
      <c r="BS357" t="s">
        <v>3252</v>
      </c>
      <c r="BV357">
        <v>-11714</v>
      </c>
      <c r="BW357">
        <v>-5970</v>
      </c>
      <c r="BX357">
        <v>-6534</v>
      </c>
      <c r="BY357">
        <v>6982</v>
      </c>
      <c r="BZ357">
        <v>6982</v>
      </c>
      <c r="CA357">
        <v>7255</v>
      </c>
      <c r="CB357">
        <v>7544</v>
      </c>
      <c r="CC357">
        <v>7846</v>
      </c>
      <c r="CD357">
        <v>-11286</v>
      </c>
      <c r="CE357" t="s">
        <v>3108</v>
      </c>
      <c r="CF357" t="s">
        <v>3108</v>
      </c>
      <c r="CG357" t="s">
        <v>3108</v>
      </c>
      <c r="CH357" t="s">
        <v>3108</v>
      </c>
    </row>
    <row r="358" spans="1:86" x14ac:dyDescent="0.2">
      <c r="A358" t="s">
        <v>3914</v>
      </c>
      <c r="B358" t="s">
        <v>3914</v>
      </c>
      <c r="C358">
        <v>40646</v>
      </c>
      <c r="D358">
        <v>592</v>
      </c>
      <c r="E358" t="s">
        <v>3839</v>
      </c>
      <c r="F358">
        <v>200</v>
      </c>
      <c r="G358" t="s">
        <v>467</v>
      </c>
      <c r="H358">
        <v>200</v>
      </c>
      <c r="I358" t="s">
        <v>3840</v>
      </c>
      <c r="J358" t="s">
        <v>3250</v>
      </c>
      <c r="K358" t="s">
        <v>3250</v>
      </c>
      <c r="L358">
        <v>1200</v>
      </c>
      <c r="M358" t="s">
        <v>2368</v>
      </c>
      <c r="N358">
        <v>1204</v>
      </c>
      <c r="O358" t="s">
        <v>1574</v>
      </c>
      <c r="P358" t="s">
        <v>3108</v>
      </c>
      <c r="Q358" t="s">
        <v>3249</v>
      </c>
      <c r="R358" t="s">
        <v>3249</v>
      </c>
      <c r="S358" t="s">
        <v>810</v>
      </c>
      <c r="T358" t="s">
        <v>2759</v>
      </c>
      <c r="U358" t="s">
        <v>3250</v>
      </c>
      <c r="V358" t="s">
        <v>3250</v>
      </c>
      <c r="W358" t="s">
        <v>3250</v>
      </c>
      <c r="X358" t="s">
        <v>3250</v>
      </c>
      <c r="Y358" t="s">
        <v>3250</v>
      </c>
      <c r="Z358" t="s">
        <v>3250</v>
      </c>
      <c r="AA358" t="s">
        <v>3108</v>
      </c>
      <c r="AB358" t="s">
        <v>3108</v>
      </c>
      <c r="AC358" t="s">
        <v>3250</v>
      </c>
      <c r="AD358" t="s">
        <v>3250</v>
      </c>
      <c r="AE358" t="s">
        <v>3250</v>
      </c>
      <c r="AF358" t="s">
        <v>3250</v>
      </c>
      <c r="AG358" t="s">
        <v>3250</v>
      </c>
      <c r="AH358" t="s">
        <v>3250</v>
      </c>
      <c r="AI358" t="s">
        <v>3250</v>
      </c>
      <c r="AJ358" t="s">
        <v>3250</v>
      </c>
      <c r="AL358" t="s">
        <v>3250</v>
      </c>
      <c r="AM358" t="s">
        <v>3250</v>
      </c>
      <c r="AN358" t="s">
        <v>3250</v>
      </c>
      <c r="AO358" t="s">
        <v>3250</v>
      </c>
      <c r="AS358" t="s">
        <v>3250</v>
      </c>
      <c r="AT358" t="s">
        <v>3250</v>
      </c>
      <c r="AU358" t="s">
        <v>3250</v>
      </c>
      <c r="AV358" t="s">
        <v>3250</v>
      </c>
      <c r="AW358" t="s">
        <v>3250</v>
      </c>
      <c r="AX358" t="s">
        <v>3250</v>
      </c>
      <c r="AY358" t="s">
        <v>3250</v>
      </c>
      <c r="AZ358" t="s">
        <v>3250</v>
      </c>
      <c r="BA358" t="s">
        <v>3250</v>
      </c>
      <c r="BB358" t="s">
        <v>3250</v>
      </c>
      <c r="BC358" t="s">
        <v>3250</v>
      </c>
      <c r="BE358" t="s">
        <v>3250</v>
      </c>
      <c r="BF358" t="s">
        <v>3250</v>
      </c>
      <c r="BG358" t="s">
        <v>3250</v>
      </c>
      <c r="BH358" t="s">
        <v>3250</v>
      </c>
      <c r="BI358" t="s">
        <v>3250</v>
      </c>
      <c r="BK358" t="s">
        <v>3250</v>
      </c>
      <c r="BL358" t="s">
        <v>3250</v>
      </c>
      <c r="BM358" t="s">
        <v>3250</v>
      </c>
      <c r="BN358" t="s">
        <v>3250</v>
      </c>
      <c r="BP358">
        <v>1</v>
      </c>
      <c r="BQ358">
        <v>11</v>
      </c>
      <c r="BR358" t="s">
        <v>1574</v>
      </c>
      <c r="BS358" t="s">
        <v>3252</v>
      </c>
      <c r="BV358">
        <v>0</v>
      </c>
      <c r="BW358">
        <v>0</v>
      </c>
      <c r="BX358">
        <v>0</v>
      </c>
      <c r="BY358">
        <v>0</v>
      </c>
      <c r="BZ358">
        <v>0</v>
      </c>
      <c r="CA358">
        <v>0</v>
      </c>
      <c r="CB358">
        <v>0</v>
      </c>
      <c r="CC358">
        <v>0</v>
      </c>
      <c r="CD358">
        <v>0</v>
      </c>
      <c r="CE358" t="s">
        <v>3108</v>
      </c>
      <c r="CF358" t="s">
        <v>3108</v>
      </c>
      <c r="CG358" t="s">
        <v>3108</v>
      </c>
      <c r="CH358" t="s">
        <v>3108</v>
      </c>
    </row>
    <row r="359" spans="1:86" x14ac:dyDescent="0.2">
      <c r="A359" t="s">
        <v>3915</v>
      </c>
      <c r="B359" t="s">
        <v>3915</v>
      </c>
      <c r="C359">
        <v>40647</v>
      </c>
      <c r="D359">
        <v>593</v>
      </c>
      <c r="E359" t="s">
        <v>3842</v>
      </c>
      <c r="F359">
        <v>200</v>
      </c>
      <c r="G359" t="s">
        <v>467</v>
      </c>
      <c r="H359">
        <v>200</v>
      </c>
      <c r="I359" t="s">
        <v>3840</v>
      </c>
      <c r="J359" t="s">
        <v>3250</v>
      </c>
      <c r="K359" t="s">
        <v>3250</v>
      </c>
      <c r="L359">
        <v>1200</v>
      </c>
      <c r="M359" t="s">
        <v>2368</v>
      </c>
      <c r="N359">
        <v>1204</v>
      </c>
      <c r="O359" t="s">
        <v>1574</v>
      </c>
      <c r="P359" t="s">
        <v>3108</v>
      </c>
      <c r="Q359" t="s">
        <v>3249</v>
      </c>
      <c r="R359" t="s">
        <v>3249</v>
      </c>
      <c r="S359" t="s">
        <v>810</v>
      </c>
      <c r="T359" t="s">
        <v>2759</v>
      </c>
      <c r="U359" t="s">
        <v>3250</v>
      </c>
      <c r="V359" t="s">
        <v>3250</v>
      </c>
      <c r="W359" t="s">
        <v>3250</v>
      </c>
      <c r="X359" t="s">
        <v>3250</v>
      </c>
      <c r="Y359" t="s">
        <v>3250</v>
      </c>
      <c r="Z359" t="s">
        <v>3250</v>
      </c>
      <c r="AA359" t="s">
        <v>3108</v>
      </c>
      <c r="AB359" t="s">
        <v>3108</v>
      </c>
      <c r="AC359" t="s">
        <v>3250</v>
      </c>
      <c r="AD359" t="s">
        <v>3250</v>
      </c>
      <c r="AE359" t="s">
        <v>3250</v>
      </c>
      <c r="AF359" t="s">
        <v>3250</v>
      </c>
      <c r="AG359" t="s">
        <v>3250</v>
      </c>
      <c r="AH359" t="s">
        <v>3250</v>
      </c>
      <c r="AI359" t="s">
        <v>3250</v>
      </c>
      <c r="AJ359" t="s">
        <v>3250</v>
      </c>
      <c r="AL359" t="s">
        <v>3250</v>
      </c>
      <c r="AM359" t="s">
        <v>3250</v>
      </c>
      <c r="AN359" t="s">
        <v>3250</v>
      </c>
      <c r="AO359" t="s">
        <v>3250</v>
      </c>
      <c r="AS359" t="s">
        <v>3250</v>
      </c>
      <c r="AT359" t="s">
        <v>3250</v>
      </c>
      <c r="AU359" t="s">
        <v>3250</v>
      </c>
      <c r="AV359" t="s">
        <v>3250</v>
      </c>
      <c r="AW359" t="s">
        <v>3250</v>
      </c>
      <c r="AX359" t="s">
        <v>3250</v>
      </c>
      <c r="AY359" t="s">
        <v>3250</v>
      </c>
      <c r="AZ359" t="s">
        <v>3250</v>
      </c>
      <c r="BA359" t="s">
        <v>3250</v>
      </c>
      <c r="BB359" t="s">
        <v>3250</v>
      </c>
      <c r="BC359" t="s">
        <v>3250</v>
      </c>
      <c r="BE359" t="s">
        <v>3250</v>
      </c>
      <c r="BF359" t="s">
        <v>3250</v>
      </c>
      <c r="BG359" t="s">
        <v>3250</v>
      </c>
      <c r="BH359" t="s">
        <v>3250</v>
      </c>
      <c r="BI359" t="s">
        <v>3250</v>
      </c>
      <c r="BK359" t="s">
        <v>3250</v>
      </c>
      <c r="BL359" t="s">
        <v>3250</v>
      </c>
      <c r="BM359" t="s">
        <v>3250</v>
      </c>
      <c r="BN359" t="s">
        <v>3250</v>
      </c>
      <c r="BP359">
        <v>1</v>
      </c>
      <c r="BQ359">
        <v>11</v>
      </c>
      <c r="BR359" t="s">
        <v>1574</v>
      </c>
      <c r="BS359" t="s">
        <v>3252</v>
      </c>
      <c r="BV359">
        <v>0</v>
      </c>
      <c r="BW359">
        <v>0</v>
      </c>
      <c r="BX359">
        <v>0</v>
      </c>
      <c r="BY359">
        <v>0</v>
      </c>
      <c r="BZ359">
        <v>0</v>
      </c>
      <c r="CA359">
        <v>0</v>
      </c>
      <c r="CB359">
        <v>0</v>
      </c>
      <c r="CC359">
        <v>0</v>
      </c>
      <c r="CD359">
        <v>0</v>
      </c>
      <c r="CE359" t="s">
        <v>3108</v>
      </c>
      <c r="CF359" t="s">
        <v>3108</v>
      </c>
      <c r="CG359" t="s">
        <v>3108</v>
      </c>
      <c r="CH359" t="s">
        <v>3108</v>
      </c>
    </row>
    <row r="360" spans="1:86" x14ac:dyDescent="0.2">
      <c r="A360" t="s">
        <v>3916</v>
      </c>
      <c r="B360" t="s">
        <v>3916</v>
      </c>
      <c r="C360">
        <v>40648</v>
      </c>
      <c r="D360">
        <v>594</v>
      </c>
      <c r="E360" t="s">
        <v>3844</v>
      </c>
      <c r="F360">
        <v>200</v>
      </c>
      <c r="G360" t="s">
        <v>467</v>
      </c>
      <c r="H360">
        <v>200</v>
      </c>
      <c r="I360" t="s">
        <v>3840</v>
      </c>
      <c r="J360" t="s">
        <v>3250</v>
      </c>
      <c r="K360" t="s">
        <v>3250</v>
      </c>
      <c r="L360">
        <v>1200</v>
      </c>
      <c r="M360" t="s">
        <v>2368</v>
      </c>
      <c r="N360">
        <v>1204</v>
      </c>
      <c r="O360" t="s">
        <v>1574</v>
      </c>
      <c r="P360" t="s">
        <v>3108</v>
      </c>
      <c r="Q360" t="s">
        <v>3249</v>
      </c>
      <c r="R360" t="s">
        <v>3249</v>
      </c>
      <c r="S360" t="s">
        <v>810</v>
      </c>
      <c r="T360" t="s">
        <v>2759</v>
      </c>
      <c r="U360" t="s">
        <v>3250</v>
      </c>
      <c r="V360" t="s">
        <v>3250</v>
      </c>
      <c r="W360" t="s">
        <v>3250</v>
      </c>
      <c r="X360" t="s">
        <v>3250</v>
      </c>
      <c r="Y360" t="s">
        <v>3250</v>
      </c>
      <c r="Z360" t="s">
        <v>3250</v>
      </c>
      <c r="AA360" t="s">
        <v>3108</v>
      </c>
      <c r="AB360" t="s">
        <v>3108</v>
      </c>
      <c r="AC360" t="s">
        <v>3250</v>
      </c>
      <c r="AD360" t="s">
        <v>3250</v>
      </c>
      <c r="AE360" t="s">
        <v>3250</v>
      </c>
      <c r="AF360" t="s">
        <v>3250</v>
      </c>
      <c r="AG360" t="s">
        <v>3250</v>
      </c>
      <c r="AH360" t="s">
        <v>3250</v>
      </c>
      <c r="AI360" t="s">
        <v>3250</v>
      </c>
      <c r="AJ360" t="s">
        <v>3250</v>
      </c>
      <c r="AL360" t="s">
        <v>3250</v>
      </c>
      <c r="AM360" t="s">
        <v>3250</v>
      </c>
      <c r="AN360" t="s">
        <v>3250</v>
      </c>
      <c r="AO360" t="s">
        <v>3250</v>
      </c>
      <c r="AS360" t="s">
        <v>3250</v>
      </c>
      <c r="AT360" t="s">
        <v>3250</v>
      </c>
      <c r="AU360" t="s">
        <v>3250</v>
      </c>
      <c r="AV360" t="s">
        <v>3250</v>
      </c>
      <c r="AW360" t="s">
        <v>3250</v>
      </c>
      <c r="AX360" t="s">
        <v>3250</v>
      </c>
      <c r="AY360" t="s">
        <v>3250</v>
      </c>
      <c r="AZ360" t="s">
        <v>3250</v>
      </c>
      <c r="BA360" t="s">
        <v>3250</v>
      </c>
      <c r="BB360" t="s">
        <v>3250</v>
      </c>
      <c r="BC360" t="s">
        <v>3250</v>
      </c>
      <c r="BE360" t="s">
        <v>3250</v>
      </c>
      <c r="BF360" t="s">
        <v>3250</v>
      </c>
      <c r="BG360" t="s">
        <v>3250</v>
      </c>
      <c r="BH360" t="s">
        <v>3250</v>
      </c>
      <c r="BI360" t="s">
        <v>3250</v>
      </c>
      <c r="BK360" t="s">
        <v>3250</v>
      </c>
      <c r="BL360" t="s">
        <v>3250</v>
      </c>
      <c r="BM360" t="s">
        <v>3250</v>
      </c>
      <c r="BN360" t="s">
        <v>3250</v>
      </c>
      <c r="BP360">
        <v>1</v>
      </c>
      <c r="BQ360">
        <v>11</v>
      </c>
      <c r="BR360" t="s">
        <v>1574</v>
      </c>
      <c r="BS360" t="s">
        <v>3252</v>
      </c>
      <c r="BV360">
        <v>-1071790</v>
      </c>
      <c r="BW360">
        <v>-1443142</v>
      </c>
      <c r="BX360">
        <v>-1381484</v>
      </c>
      <c r="BY360">
        <v>1233930</v>
      </c>
      <c r="BZ360">
        <v>1233930</v>
      </c>
      <c r="CA360">
        <v>1282053</v>
      </c>
      <c r="CB360">
        <v>1333335</v>
      </c>
      <c r="CC360">
        <v>1386669</v>
      </c>
      <c r="CD360">
        <v>-906437</v>
      </c>
      <c r="CE360" t="s">
        <v>3108</v>
      </c>
      <c r="CF360" t="s">
        <v>3108</v>
      </c>
      <c r="CG360" t="s">
        <v>3108</v>
      </c>
      <c r="CH360" t="s">
        <v>3108</v>
      </c>
    </row>
    <row r="361" spans="1:86" x14ac:dyDescent="0.2">
      <c r="A361" t="s">
        <v>3917</v>
      </c>
      <c r="B361" t="s">
        <v>3917</v>
      </c>
      <c r="C361">
        <v>40649</v>
      </c>
      <c r="D361">
        <v>595</v>
      </c>
      <c r="E361" t="s">
        <v>3846</v>
      </c>
      <c r="F361">
        <v>200</v>
      </c>
      <c r="G361" t="s">
        <v>467</v>
      </c>
      <c r="H361">
        <v>200</v>
      </c>
      <c r="I361" t="s">
        <v>3840</v>
      </c>
      <c r="J361" t="s">
        <v>3250</v>
      </c>
      <c r="K361" t="s">
        <v>3250</v>
      </c>
      <c r="L361">
        <v>1200</v>
      </c>
      <c r="M361" t="s">
        <v>2368</v>
      </c>
      <c r="N361">
        <v>1204</v>
      </c>
      <c r="O361" t="s">
        <v>1574</v>
      </c>
      <c r="P361" t="s">
        <v>3108</v>
      </c>
      <c r="Q361" t="s">
        <v>3249</v>
      </c>
      <c r="R361" t="s">
        <v>3249</v>
      </c>
      <c r="S361" t="s">
        <v>810</v>
      </c>
      <c r="T361" t="s">
        <v>2759</v>
      </c>
      <c r="U361" t="s">
        <v>3250</v>
      </c>
      <c r="V361" t="s">
        <v>3250</v>
      </c>
      <c r="W361" t="s">
        <v>3250</v>
      </c>
      <c r="X361" t="s">
        <v>3250</v>
      </c>
      <c r="Y361" t="s">
        <v>3250</v>
      </c>
      <c r="Z361" t="s">
        <v>3250</v>
      </c>
      <c r="AA361" t="s">
        <v>3108</v>
      </c>
      <c r="AB361" t="s">
        <v>3108</v>
      </c>
      <c r="AC361" t="s">
        <v>3250</v>
      </c>
      <c r="AD361" t="s">
        <v>3250</v>
      </c>
      <c r="AE361" t="s">
        <v>3250</v>
      </c>
      <c r="AF361" t="s">
        <v>3250</v>
      </c>
      <c r="AG361" t="s">
        <v>3250</v>
      </c>
      <c r="AH361" t="s">
        <v>3250</v>
      </c>
      <c r="AI361" t="s">
        <v>3250</v>
      </c>
      <c r="AJ361" t="s">
        <v>3250</v>
      </c>
      <c r="AL361" t="s">
        <v>3250</v>
      </c>
      <c r="AM361" t="s">
        <v>3250</v>
      </c>
      <c r="AN361" t="s">
        <v>3250</v>
      </c>
      <c r="AO361" t="s">
        <v>3250</v>
      </c>
      <c r="AS361" t="s">
        <v>3250</v>
      </c>
      <c r="AT361" t="s">
        <v>3250</v>
      </c>
      <c r="AU361" t="s">
        <v>3250</v>
      </c>
      <c r="AV361" t="s">
        <v>3250</v>
      </c>
      <c r="AW361" t="s">
        <v>3250</v>
      </c>
      <c r="AX361" t="s">
        <v>3250</v>
      </c>
      <c r="AY361" t="s">
        <v>3250</v>
      </c>
      <c r="AZ361" t="s">
        <v>3250</v>
      </c>
      <c r="BA361" t="s">
        <v>3250</v>
      </c>
      <c r="BB361" t="s">
        <v>3250</v>
      </c>
      <c r="BC361" t="s">
        <v>3250</v>
      </c>
      <c r="BE361" t="s">
        <v>3250</v>
      </c>
      <c r="BF361" t="s">
        <v>3250</v>
      </c>
      <c r="BG361" t="s">
        <v>3250</v>
      </c>
      <c r="BH361" t="s">
        <v>3250</v>
      </c>
      <c r="BI361" t="s">
        <v>3250</v>
      </c>
      <c r="BK361" t="s">
        <v>3250</v>
      </c>
      <c r="BL361" t="s">
        <v>3250</v>
      </c>
      <c r="BM361" t="s">
        <v>3250</v>
      </c>
      <c r="BN361" t="s">
        <v>3250</v>
      </c>
      <c r="BP361">
        <v>1</v>
      </c>
      <c r="BQ361">
        <v>11</v>
      </c>
      <c r="BR361" t="s">
        <v>1574</v>
      </c>
      <c r="BS361" t="s">
        <v>3252</v>
      </c>
      <c r="BV361">
        <v>0</v>
      </c>
      <c r="BW361">
        <v>0</v>
      </c>
      <c r="BX361">
        <v>0</v>
      </c>
      <c r="BY361">
        <v>0</v>
      </c>
      <c r="BZ361">
        <v>0</v>
      </c>
      <c r="CA361">
        <v>0</v>
      </c>
      <c r="CB361">
        <v>0</v>
      </c>
      <c r="CC361">
        <v>0</v>
      </c>
      <c r="CD361">
        <v>0</v>
      </c>
      <c r="CE361" t="s">
        <v>3108</v>
      </c>
      <c r="CF361" t="s">
        <v>3108</v>
      </c>
      <c r="CG361" t="s">
        <v>3108</v>
      </c>
      <c r="CH361" t="s">
        <v>3108</v>
      </c>
    </row>
    <row r="362" spans="1:86" x14ac:dyDescent="0.2">
      <c r="A362" t="s">
        <v>3918</v>
      </c>
      <c r="B362" t="s">
        <v>3918</v>
      </c>
      <c r="C362">
        <v>40650</v>
      </c>
      <c r="D362">
        <v>596</v>
      </c>
      <c r="E362" t="s">
        <v>3848</v>
      </c>
      <c r="F362">
        <v>200</v>
      </c>
      <c r="G362" t="s">
        <v>467</v>
      </c>
      <c r="H362">
        <v>200</v>
      </c>
      <c r="I362" t="s">
        <v>3840</v>
      </c>
      <c r="J362" t="s">
        <v>3250</v>
      </c>
      <c r="K362" t="s">
        <v>3250</v>
      </c>
      <c r="L362">
        <v>1200</v>
      </c>
      <c r="M362" t="s">
        <v>2368</v>
      </c>
      <c r="N362">
        <v>1204</v>
      </c>
      <c r="O362" t="s">
        <v>1574</v>
      </c>
      <c r="P362" t="s">
        <v>3108</v>
      </c>
      <c r="Q362" t="s">
        <v>3249</v>
      </c>
      <c r="R362" t="s">
        <v>3249</v>
      </c>
      <c r="S362" t="s">
        <v>810</v>
      </c>
      <c r="T362" t="s">
        <v>2759</v>
      </c>
      <c r="U362" t="s">
        <v>3250</v>
      </c>
      <c r="V362" t="s">
        <v>3250</v>
      </c>
      <c r="W362" t="s">
        <v>3250</v>
      </c>
      <c r="X362" t="s">
        <v>3250</v>
      </c>
      <c r="Y362" t="s">
        <v>3250</v>
      </c>
      <c r="Z362" t="s">
        <v>3250</v>
      </c>
      <c r="AA362" t="s">
        <v>3108</v>
      </c>
      <c r="AB362" t="s">
        <v>3108</v>
      </c>
      <c r="AC362" t="s">
        <v>3250</v>
      </c>
      <c r="AD362" t="s">
        <v>3250</v>
      </c>
      <c r="AE362" t="s">
        <v>3250</v>
      </c>
      <c r="AF362" t="s">
        <v>3250</v>
      </c>
      <c r="AG362" t="s">
        <v>3250</v>
      </c>
      <c r="AH362" t="s">
        <v>3250</v>
      </c>
      <c r="AI362" t="s">
        <v>3250</v>
      </c>
      <c r="AJ362" t="s">
        <v>3250</v>
      </c>
      <c r="AL362" t="s">
        <v>3250</v>
      </c>
      <c r="AM362" t="s">
        <v>3250</v>
      </c>
      <c r="AN362" t="s">
        <v>3250</v>
      </c>
      <c r="AO362" t="s">
        <v>3250</v>
      </c>
      <c r="AS362" t="s">
        <v>3250</v>
      </c>
      <c r="AT362" t="s">
        <v>3250</v>
      </c>
      <c r="AU362" t="s">
        <v>3250</v>
      </c>
      <c r="AV362" t="s">
        <v>3250</v>
      </c>
      <c r="AW362" t="s">
        <v>3250</v>
      </c>
      <c r="AX362" t="s">
        <v>3250</v>
      </c>
      <c r="AY362" t="s">
        <v>3250</v>
      </c>
      <c r="AZ362" t="s">
        <v>3250</v>
      </c>
      <c r="BA362" t="s">
        <v>3250</v>
      </c>
      <c r="BB362" t="s">
        <v>3250</v>
      </c>
      <c r="BC362" t="s">
        <v>3250</v>
      </c>
      <c r="BE362" t="s">
        <v>3250</v>
      </c>
      <c r="BF362" t="s">
        <v>3250</v>
      </c>
      <c r="BG362" t="s">
        <v>3250</v>
      </c>
      <c r="BH362" t="s">
        <v>3250</v>
      </c>
      <c r="BI362" t="s">
        <v>3250</v>
      </c>
      <c r="BK362" t="s">
        <v>3250</v>
      </c>
      <c r="BL362" t="s">
        <v>3250</v>
      </c>
      <c r="BM362" t="s">
        <v>3250</v>
      </c>
      <c r="BN362" t="s">
        <v>3250</v>
      </c>
      <c r="BP362">
        <v>1</v>
      </c>
      <c r="BQ362">
        <v>11</v>
      </c>
      <c r="BR362" t="s">
        <v>1574</v>
      </c>
      <c r="BS362" t="s">
        <v>3252</v>
      </c>
      <c r="BV362">
        <v>0</v>
      </c>
      <c r="BW362">
        <v>0</v>
      </c>
      <c r="BX362">
        <v>0</v>
      </c>
      <c r="BY362">
        <v>0</v>
      </c>
      <c r="BZ362">
        <v>0</v>
      </c>
      <c r="CA362">
        <v>0</v>
      </c>
      <c r="CB362">
        <v>0</v>
      </c>
      <c r="CC362">
        <v>0</v>
      </c>
      <c r="CD362">
        <v>0</v>
      </c>
      <c r="CE362" t="s">
        <v>3108</v>
      </c>
      <c r="CF362" t="s">
        <v>3108</v>
      </c>
      <c r="CG362" t="s">
        <v>3108</v>
      </c>
      <c r="CH362" t="s">
        <v>3108</v>
      </c>
    </row>
    <row r="363" spans="1:86" x14ac:dyDescent="0.2">
      <c r="A363" t="s">
        <v>3919</v>
      </c>
      <c r="B363" t="s">
        <v>3919</v>
      </c>
      <c r="C363">
        <v>40651</v>
      </c>
      <c r="D363">
        <v>597</v>
      </c>
      <c r="E363" t="s">
        <v>3850</v>
      </c>
      <c r="F363">
        <v>200</v>
      </c>
      <c r="G363" t="s">
        <v>467</v>
      </c>
      <c r="H363">
        <v>200</v>
      </c>
      <c r="I363" t="s">
        <v>3840</v>
      </c>
      <c r="J363" t="s">
        <v>3250</v>
      </c>
      <c r="K363" t="s">
        <v>3250</v>
      </c>
      <c r="L363">
        <v>1200</v>
      </c>
      <c r="M363" t="s">
        <v>2368</v>
      </c>
      <c r="N363">
        <v>1204</v>
      </c>
      <c r="O363" t="s">
        <v>1574</v>
      </c>
      <c r="P363" t="s">
        <v>3108</v>
      </c>
      <c r="Q363" t="s">
        <v>3249</v>
      </c>
      <c r="R363" t="s">
        <v>3249</v>
      </c>
      <c r="S363" t="s">
        <v>810</v>
      </c>
      <c r="T363" t="s">
        <v>2759</v>
      </c>
      <c r="U363" t="s">
        <v>3250</v>
      </c>
      <c r="V363" t="s">
        <v>3250</v>
      </c>
      <c r="W363" t="s">
        <v>3250</v>
      </c>
      <c r="X363" t="s">
        <v>3250</v>
      </c>
      <c r="Y363" t="s">
        <v>3250</v>
      </c>
      <c r="Z363" t="s">
        <v>3250</v>
      </c>
      <c r="AA363" t="s">
        <v>3108</v>
      </c>
      <c r="AB363" t="s">
        <v>3108</v>
      </c>
      <c r="AC363" t="s">
        <v>3250</v>
      </c>
      <c r="AD363" t="s">
        <v>3250</v>
      </c>
      <c r="AE363" t="s">
        <v>3250</v>
      </c>
      <c r="AF363" t="s">
        <v>3250</v>
      </c>
      <c r="AG363" t="s">
        <v>3250</v>
      </c>
      <c r="AH363" t="s">
        <v>3250</v>
      </c>
      <c r="AI363" t="s">
        <v>3250</v>
      </c>
      <c r="AJ363" t="s">
        <v>3250</v>
      </c>
      <c r="AL363" t="s">
        <v>3250</v>
      </c>
      <c r="AM363" t="s">
        <v>3250</v>
      </c>
      <c r="AN363" t="s">
        <v>3250</v>
      </c>
      <c r="AO363" t="s">
        <v>3250</v>
      </c>
      <c r="AS363" t="s">
        <v>3250</v>
      </c>
      <c r="AT363" t="s">
        <v>3250</v>
      </c>
      <c r="AU363" t="s">
        <v>3250</v>
      </c>
      <c r="AV363" t="s">
        <v>3250</v>
      </c>
      <c r="AW363" t="s">
        <v>3250</v>
      </c>
      <c r="AX363" t="s">
        <v>3250</v>
      </c>
      <c r="AY363" t="s">
        <v>3250</v>
      </c>
      <c r="AZ363" t="s">
        <v>3250</v>
      </c>
      <c r="BA363" t="s">
        <v>3250</v>
      </c>
      <c r="BB363" t="s">
        <v>3250</v>
      </c>
      <c r="BC363" t="s">
        <v>3250</v>
      </c>
      <c r="BE363" t="s">
        <v>3250</v>
      </c>
      <c r="BF363" t="s">
        <v>3250</v>
      </c>
      <c r="BG363" t="s">
        <v>3250</v>
      </c>
      <c r="BH363" t="s">
        <v>3250</v>
      </c>
      <c r="BI363" t="s">
        <v>3250</v>
      </c>
      <c r="BK363" t="s">
        <v>3250</v>
      </c>
      <c r="BL363" t="s">
        <v>3250</v>
      </c>
      <c r="BM363" t="s">
        <v>3250</v>
      </c>
      <c r="BN363" t="s">
        <v>3250</v>
      </c>
      <c r="BP363">
        <v>1</v>
      </c>
      <c r="BQ363">
        <v>11</v>
      </c>
      <c r="BR363" t="s">
        <v>1574</v>
      </c>
      <c r="BS363" t="s">
        <v>3252</v>
      </c>
      <c r="BV363">
        <v>0</v>
      </c>
      <c r="BW363">
        <v>0</v>
      </c>
      <c r="BX363">
        <v>0</v>
      </c>
      <c r="BY363">
        <v>0</v>
      </c>
      <c r="BZ363">
        <v>0</v>
      </c>
      <c r="CA363">
        <v>0</v>
      </c>
      <c r="CB363">
        <v>0</v>
      </c>
      <c r="CC363">
        <v>0</v>
      </c>
      <c r="CD363">
        <v>0</v>
      </c>
      <c r="CE363" t="s">
        <v>3108</v>
      </c>
      <c r="CF363" t="s">
        <v>3108</v>
      </c>
      <c r="CG363" t="s">
        <v>3108</v>
      </c>
      <c r="CH363" t="s">
        <v>3108</v>
      </c>
    </row>
    <row r="364" spans="1:86" x14ac:dyDescent="0.2">
      <c r="A364" t="s">
        <v>3920</v>
      </c>
      <c r="B364" t="s">
        <v>3920</v>
      </c>
      <c r="C364">
        <v>40652</v>
      </c>
      <c r="D364">
        <v>598</v>
      </c>
      <c r="E364" t="s">
        <v>3852</v>
      </c>
      <c r="F364">
        <v>200</v>
      </c>
      <c r="G364" t="s">
        <v>467</v>
      </c>
      <c r="H364">
        <v>200</v>
      </c>
      <c r="I364" t="s">
        <v>3840</v>
      </c>
      <c r="J364" t="s">
        <v>3250</v>
      </c>
      <c r="K364" t="s">
        <v>3250</v>
      </c>
      <c r="L364">
        <v>1200</v>
      </c>
      <c r="M364" t="s">
        <v>2368</v>
      </c>
      <c r="N364">
        <v>1210</v>
      </c>
      <c r="O364" t="s">
        <v>922</v>
      </c>
      <c r="P364" t="s">
        <v>3108</v>
      </c>
      <c r="Q364" t="s">
        <v>3249</v>
      </c>
      <c r="R364" t="s">
        <v>3249</v>
      </c>
      <c r="S364" t="s">
        <v>810</v>
      </c>
      <c r="T364" t="s">
        <v>2759</v>
      </c>
      <c r="U364" t="s">
        <v>3250</v>
      </c>
      <c r="V364" t="s">
        <v>3250</v>
      </c>
      <c r="W364" t="s">
        <v>3250</v>
      </c>
      <c r="X364" t="s">
        <v>3250</v>
      </c>
      <c r="Y364" t="s">
        <v>3250</v>
      </c>
      <c r="Z364" t="s">
        <v>3250</v>
      </c>
      <c r="AA364" t="s">
        <v>3108</v>
      </c>
      <c r="AB364" t="s">
        <v>3108</v>
      </c>
      <c r="AC364" t="s">
        <v>3250</v>
      </c>
      <c r="AD364" t="s">
        <v>3250</v>
      </c>
      <c r="AE364" t="s">
        <v>3250</v>
      </c>
      <c r="AF364" t="s">
        <v>3250</v>
      </c>
      <c r="AG364" t="s">
        <v>3250</v>
      </c>
      <c r="AH364" t="s">
        <v>3250</v>
      </c>
      <c r="AI364" t="s">
        <v>3250</v>
      </c>
      <c r="AJ364" t="s">
        <v>3250</v>
      </c>
      <c r="AL364" t="s">
        <v>3250</v>
      </c>
      <c r="AM364" t="s">
        <v>3250</v>
      </c>
      <c r="AN364" t="s">
        <v>3250</v>
      </c>
      <c r="AO364" t="s">
        <v>3250</v>
      </c>
      <c r="AS364" t="s">
        <v>3250</v>
      </c>
      <c r="AT364" t="s">
        <v>3250</v>
      </c>
      <c r="AU364" t="s">
        <v>3250</v>
      </c>
      <c r="AV364" t="s">
        <v>3250</v>
      </c>
      <c r="AW364" t="s">
        <v>3250</v>
      </c>
      <c r="AX364" t="s">
        <v>3250</v>
      </c>
      <c r="AY364" t="s">
        <v>3250</v>
      </c>
      <c r="AZ364" t="s">
        <v>3250</v>
      </c>
      <c r="BA364" t="s">
        <v>3250</v>
      </c>
      <c r="BB364" t="s">
        <v>3250</v>
      </c>
      <c r="BC364" t="s">
        <v>3250</v>
      </c>
      <c r="BE364" t="s">
        <v>3250</v>
      </c>
      <c r="BF364" t="s">
        <v>3250</v>
      </c>
      <c r="BG364" t="s">
        <v>3250</v>
      </c>
      <c r="BH364" t="s">
        <v>3250</v>
      </c>
      <c r="BI364" t="s">
        <v>3250</v>
      </c>
      <c r="BK364" t="s">
        <v>3250</v>
      </c>
      <c r="BL364" t="s">
        <v>3250</v>
      </c>
      <c r="BM364" t="s">
        <v>3250</v>
      </c>
      <c r="BN364" t="s">
        <v>3250</v>
      </c>
      <c r="BP364">
        <v>1</v>
      </c>
      <c r="BQ364">
        <v>16</v>
      </c>
      <c r="BR364" t="s">
        <v>922</v>
      </c>
      <c r="BS364" t="s">
        <v>3252</v>
      </c>
      <c r="BV364">
        <v>0</v>
      </c>
      <c r="BW364">
        <v>0</v>
      </c>
      <c r="BX364">
        <v>0</v>
      </c>
      <c r="BY364">
        <v>0</v>
      </c>
      <c r="BZ364">
        <v>0</v>
      </c>
      <c r="CA364">
        <v>0</v>
      </c>
      <c r="CB364">
        <v>0</v>
      </c>
      <c r="CC364">
        <v>0</v>
      </c>
      <c r="CD364">
        <v>0</v>
      </c>
      <c r="CE364" t="s">
        <v>3108</v>
      </c>
      <c r="CF364" t="s">
        <v>3108</v>
      </c>
      <c r="CG364" t="s">
        <v>3108</v>
      </c>
      <c r="CH364" t="s">
        <v>3108</v>
      </c>
    </row>
    <row r="365" spans="1:86" x14ac:dyDescent="0.2">
      <c r="A365" t="s">
        <v>3921</v>
      </c>
      <c r="B365" t="s">
        <v>3921</v>
      </c>
      <c r="C365">
        <v>40653</v>
      </c>
      <c r="D365">
        <v>599</v>
      </c>
      <c r="E365" t="s">
        <v>3854</v>
      </c>
      <c r="F365">
        <v>200</v>
      </c>
      <c r="G365" t="s">
        <v>467</v>
      </c>
      <c r="H365">
        <v>200</v>
      </c>
      <c r="I365" t="s">
        <v>3840</v>
      </c>
      <c r="J365" t="s">
        <v>3250</v>
      </c>
      <c r="K365" t="s">
        <v>3250</v>
      </c>
      <c r="L365">
        <v>1200</v>
      </c>
      <c r="M365" t="s">
        <v>2368</v>
      </c>
      <c r="N365">
        <v>1204</v>
      </c>
      <c r="O365" t="s">
        <v>1574</v>
      </c>
      <c r="P365" t="s">
        <v>3108</v>
      </c>
      <c r="Q365" t="s">
        <v>3249</v>
      </c>
      <c r="R365" t="s">
        <v>3249</v>
      </c>
      <c r="S365" t="s">
        <v>810</v>
      </c>
      <c r="T365" t="s">
        <v>2759</v>
      </c>
      <c r="U365" t="s">
        <v>3250</v>
      </c>
      <c r="V365" t="s">
        <v>3250</v>
      </c>
      <c r="W365" t="s">
        <v>3250</v>
      </c>
      <c r="X365" t="s">
        <v>3250</v>
      </c>
      <c r="Y365" t="s">
        <v>3250</v>
      </c>
      <c r="Z365" t="s">
        <v>3250</v>
      </c>
      <c r="AA365" t="s">
        <v>3108</v>
      </c>
      <c r="AB365" t="s">
        <v>3108</v>
      </c>
      <c r="AC365" t="s">
        <v>3250</v>
      </c>
      <c r="AD365" t="s">
        <v>3250</v>
      </c>
      <c r="AE365" t="s">
        <v>3250</v>
      </c>
      <c r="AF365" t="s">
        <v>3250</v>
      </c>
      <c r="AG365" t="s">
        <v>3250</v>
      </c>
      <c r="AH365" t="s">
        <v>3250</v>
      </c>
      <c r="AI365" t="s">
        <v>3250</v>
      </c>
      <c r="AJ365" t="s">
        <v>3250</v>
      </c>
      <c r="AL365" t="s">
        <v>3250</v>
      </c>
      <c r="AM365" t="s">
        <v>3250</v>
      </c>
      <c r="AN365" t="s">
        <v>3250</v>
      </c>
      <c r="AO365" t="s">
        <v>3250</v>
      </c>
      <c r="AS365" t="s">
        <v>3250</v>
      </c>
      <c r="AT365" t="s">
        <v>3250</v>
      </c>
      <c r="AU365" t="s">
        <v>3250</v>
      </c>
      <c r="AV365" t="s">
        <v>3250</v>
      </c>
      <c r="AW365" t="s">
        <v>3250</v>
      </c>
      <c r="AX365" t="s">
        <v>3250</v>
      </c>
      <c r="AY365" t="s">
        <v>3250</v>
      </c>
      <c r="AZ365" t="s">
        <v>3250</v>
      </c>
      <c r="BA365" t="s">
        <v>3250</v>
      </c>
      <c r="BB365" t="s">
        <v>3250</v>
      </c>
      <c r="BC365" t="s">
        <v>3250</v>
      </c>
      <c r="BE365" t="s">
        <v>3250</v>
      </c>
      <c r="BF365" t="s">
        <v>3250</v>
      </c>
      <c r="BG365" t="s">
        <v>3250</v>
      </c>
      <c r="BH365" t="s">
        <v>3250</v>
      </c>
      <c r="BI365" t="s">
        <v>3250</v>
      </c>
      <c r="BK365" t="s">
        <v>3250</v>
      </c>
      <c r="BL365" t="s">
        <v>3250</v>
      </c>
      <c r="BM365" t="s">
        <v>3250</v>
      </c>
      <c r="BN365" t="s">
        <v>3250</v>
      </c>
      <c r="BP365">
        <v>1</v>
      </c>
      <c r="BQ365">
        <v>11</v>
      </c>
      <c r="BR365" t="s">
        <v>1574</v>
      </c>
      <c r="BS365" t="s">
        <v>3252</v>
      </c>
      <c r="BV365">
        <v>0</v>
      </c>
      <c r="BW365">
        <v>0</v>
      </c>
      <c r="BX365">
        <v>0</v>
      </c>
      <c r="BY365">
        <v>0</v>
      </c>
      <c r="BZ365">
        <v>0</v>
      </c>
      <c r="CA365">
        <v>0</v>
      </c>
      <c r="CB365">
        <v>0</v>
      </c>
      <c r="CC365">
        <v>0</v>
      </c>
      <c r="CD365">
        <v>0</v>
      </c>
      <c r="CE365" t="s">
        <v>3108</v>
      </c>
      <c r="CF365" t="s">
        <v>3108</v>
      </c>
      <c r="CG365" t="s">
        <v>3108</v>
      </c>
      <c r="CH365" t="s">
        <v>3108</v>
      </c>
    </row>
    <row r="366" spans="1:86" x14ac:dyDescent="0.2">
      <c r="A366" t="s">
        <v>3922</v>
      </c>
      <c r="B366" t="s">
        <v>3922</v>
      </c>
      <c r="C366">
        <v>40654</v>
      </c>
      <c r="D366">
        <v>600</v>
      </c>
      <c r="E366" t="s">
        <v>3856</v>
      </c>
      <c r="F366">
        <v>200</v>
      </c>
      <c r="G366" t="s">
        <v>467</v>
      </c>
      <c r="H366">
        <v>200</v>
      </c>
      <c r="I366" t="s">
        <v>3840</v>
      </c>
      <c r="J366" t="s">
        <v>3250</v>
      </c>
      <c r="K366" t="s">
        <v>3250</v>
      </c>
      <c r="L366">
        <v>1200</v>
      </c>
      <c r="M366" t="s">
        <v>2368</v>
      </c>
      <c r="N366">
        <v>1204</v>
      </c>
      <c r="O366" t="s">
        <v>1574</v>
      </c>
      <c r="P366" t="s">
        <v>3108</v>
      </c>
      <c r="Q366" t="s">
        <v>3249</v>
      </c>
      <c r="R366" t="s">
        <v>3249</v>
      </c>
      <c r="S366" t="s">
        <v>810</v>
      </c>
      <c r="T366" t="s">
        <v>2759</v>
      </c>
      <c r="U366" t="s">
        <v>3250</v>
      </c>
      <c r="V366" t="s">
        <v>3250</v>
      </c>
      <c r="W366" t="s">
        <v>3250</v>
      </c>
      <c r="X366" t="s">
        <v>3250</v>
      </c>
      <c r="Y366" t="s">
        <v>3250</v>
      </c>
      <c r="Z366" t="s">
        <v>3250</v>
      </c>
      <c r="AA366" t="s">
        <v>3108</v>
      </c>
      <c r="AB366" t="s">
        <v>3108</v>
      </c>
      <c r="AC366" t="s">
        <v>3250</v>
      </c>
      <c r="AD366" t="s">
        <v>3250</v>
      </c>
      <c r="AE366" t="s">
        <v>3250</v>
      </c>
      <c r="AF366" t="s">
        <v>3250</v>
      </c>
      <c r="AG366" t="s">
        <v>3250</v>
      </c>
      <c r="AH366" t="s">
        <v>3250</v>
      </c>
      <c r="AI366" t="s">
        <v>3250</v>
      </c>
      <c r="AJ366" t="s">
        <v>3250</v>
      </c>
      <c r="AL366" t="s">
        <v>3250</v>
      </c>
      <c r="AM366" t="s">
        <v>3250</v>
      </c>
      <c r="AN366" t="s">
        <v>3250</v>
      </c>
      <c r="AO366" t="s">
        <v>3250</v>
      </c>
      <c r="AS366" t="s">
        <v>3250</v>
      </c>
      <c r="AT366" t="s">
        <v>3250</v>
      </c>
      <c r="AU366" t="s">
        <v>3250</v>
      </c>
      <c r="AV366" t="s">
        <v>3250</v>
      </c>
      <c r="AW366" t="s">
        <v>3250</v>
      </c>
      <c r="AX366" t="s">
        <v>3250</v>
      </c>
      <c r="AY366" t="s">
        <v>3250</v>
      </c>
      <c r="AZ366" t="s">
        <v>3250</v>
      </c>
      <c r="BA366" t="s">
        <v>3250</v>
      </c>
      <c r="BB366" t="s">
        <v>3250</v>
      </c>
      <c r="BC366" t="s">
        <v>3250</v>
      </c>
      <c r="BE366" t="s">
        <v>3250</v>
      </c>
      <c r="BF366" t="s">
        <v>3250</v>
      </c>
      <c r="BG366" t="s">
        <v>3250</v>
      </c>
      <c r="BH366" t="s">
        <v>3250</v>
      </c>
      <c r="BI366" t="s">
        <v>3250</v>
      </c>
      <c r="BK366" t="s">
        <v>3250</v>
      </c>
      <c r="BL366" t="s">
        <v>3250</v>
      </c>
      <c r="BM366" t="s">
        <v>3250</v>
      </c>
      <c r="BN366" t="s">
        <v>3250</v>
      </c>
      <c r="BP366">
        <v>1</v>
      </c>
      <c r="BQ366">
        <v>11</v>
      </c>
      <c r="BR366" t="s">
        <v>1574</v>
      </c>
      <c r="BS366" t="s">
        <v>3252</v>
      </c>
      <c r="BV366">
        <v>0</v>
      </c>
      <c r="BW366">
        <v>0</v>
      </c>
      <c r="BX366">
        <v>0</v>
      </c>
      <c r="BY366">
        <v>0</v>
      </c>
      <c r="BZ366">
        <v>0</v>
      </c>
      <c r="CA366">
        <v>0</v>
      </c>
      <c r="CB366">
        <v>0</v>
      </c>
      <c r="CC366">
        <v>0</v>
      </c>
      <c r="CD366">
        <v>0</v>
      </c>
      <c r="CE366" t="s">
        <v>3108</v>
      </c>
      <c r="CF366" t="s">
        <v>3108</v>
      </c>
      <c r="CG366" t="s">
        <v>3108</v>
      </c>
      <c r="CH366" t="s">
        <v>3108</v>
      </c>
    </row>
    <row r="367" spans="1:86" x14ac:dyDescent="0.2">
      <c r="A367" t="s">
        <v>3923</v>
      </c>
      <c r="B367" t="s">
        <v>3923</v>
      </c>
      <c r="C367">
        <v>40655</v>
      </c>
      <c r="D367">
        <v>601</v>
      </c>
      <c r="E367" t="s">
        <v>3858</v>
      </c>
      <c r="F367">
        <v>200</v>
      </c>
      <c r="G367" t="s">
        <v>467</v>
      </c>
      <c r="H367">
        <v>200</v>
      </c>
      <c r="I367" t="s">
        <v>3840</v>
      </c>
      <c r="J367" t="s">
        <v>3250</v>
      </c>
      <c r="K367" t="s">
        <v>3250</v>
      </c>
      <c r="L367">
        <v>1200</v>
      </c>
      <c r="M367" t="s">
        <v>2368</v>
      </c>
      <c r="N367">
        <v>1204</v>
      </c>
      <c r="O367" t="s">
        <v>1574</v>
      </c>
      <c r="P367" t="s">
        <v>3108</v>
      </c>
      <c r="Q367" t="s">
        <v>3249</v>
      </c>
      <c r="R367" t="s">
        <v>3249</v>
      </c>
      <c r="S367" t="s">
        <v>810</v>
      </c>
      <c r="T367" t="s">
        <v>2759</v>
      </c>
      <c r="U367" t="s">
        <v>3250</v>
      </c>
      <c r="V367" t="s">
        <v>3250</v>
      </c>
      <c r="W367" t="s">
        <v>3250</v>
      </c>
      <c r="X367" t="s">
        <v>3250</v>
      </c>
      <c r="Y367" t="s">
        <v>3250</v>
      </c>
      <c r="Z367" t="s">
        <v>3250</v>
      </c>
      <c r="AA367" t="s">
        <v>3108</v>
      </c>
      <c r="AB367" t="s">
        <v>3108</v>
      </c>
      <c r="AC367" t="s">
        <v>3250</v>
      </c>
      <c r="AD367" t="s">
        <v>3250</v>
      </c>
      <c r="AE367" t="s">
        <v>3250</v>
      </c>
      <c r="AF367" t="s">
        <v>3250</v>
      </c>
      <c r="AG367" t="s">
        <v>3250</v>
      </c>
      <c r="AH367" t="s">
        <v>3250</v>
      </c>
      <c r="AI367" t="s">
        <v>3250</v>
      </c>
      <c r="AJ367" t="s">
        <v>3250</v>
      </c>
      <c r="AL367" t="s">
        <v>3250</v>
      </c>
      <c r="AM367" t="s">
        <v>3250</v>
      </c>
      <c r="AN367" t="s">
        <v>3250</v>
      </c>
      <c r="AO367" t="s">
        <v>3250</v>
      </c>
      <c r="AS367" t="s">
        <v>3250</v>
      </c>
      <c r="AT367" t="s">
        <v>3250</v>
      </c>
      <c r="AU367" t="s">
        <v>3250</v>
      </c>
      <c r="AV367" t="s">
        <v>3250</v>
      </c>
      <c r="AW367" t="s">
        <v>3250</v>
      </c>
      <c r="AX367" t="s">
        <v>3250</v>
      </c>
      <c r="AY367" t="s">
        <v>3250</v>
      </c>
      <c r="AZ367" t="s">
        <v>3250</v>
      </c>
      <c r="BA367" t="s">
        <v>3250</v>
      </c>
      <c r="BB367" t="s">
        <v>3250</v>
      </c>
      <c r="BC367" t="s">
        <v>3250</v>
      </c>
      <c r="BE367" t="s">
        <v>3250</v>
      </c>
      <c r="BF367" t="s">
        <v>3250</v>
      </c>
      <c r="BG367" t="s">
        <v>3250</v>
      </c>
      <c r="BH367" t="s">
        <v>3250</v>
      </c>
      <c r="BI367" t="s">
        <v>3250</v>
      </c>
      <c r="BK367" t="s">
        <v>3250</v>
      </c>
      <c r="BL367" t="s">
        <v>3250</v>
      </c>
      <c r="BM367" t="s">
        <v>3250</v>
      </c>
      <c r="BN367" t="s">
        <v>3250</v>
      </c>
      <c r="BP367">
        <v>1</v>
      </c>
      <c r="BQ367">
        <v>11</v>
      </c>
      <c r="BR367" t="s">
        <v>1574</v>
      </c>
      <c r="BS367" t="s">
        <v>3252</v>
      </c>
      <c r="BV367">
        <v>0</v>
      </c>
      <c r="BW367">
        <v>0</v>
      </c>
      <c r="BX367">
        <v>0</v>
      </c>
      <c r="BY367">
        <v>0</v>
      </c>
      <c r="BZ367">
        <v>0</v>
      </c>
      <c r="CA367">
        <v>0</v>
      </c>
      <c r="CB367">
        <v>0</v>
      </c>
      <c r="CC367">
        <v>0</v>
      </c>
      <c r="CD367">
        <v>0</v>
      </c>
      <c r="CE367" t="s">
        <v>3108</v>
      </c>
      <c r="CF367" t="s">
        <v>3108</v>
      </c>
      <c r="CG367" t="s">
        <v>3108</v>
      </c>
      <c r="CH367" t="s">
        <v>3108</v>
      </c>
    </row>
    <row r="368" spans="1:86" x14ac:dyDescent="0.2">
      <c r="A368" t="s">
        <v>3924</v>
      </c>
      <c r="B368" t="s">
        <v>3924</v>
      </c>
      <c r="C368">
        <v>40656</v>
      </c>
      <c r="D368">
        <v>602</v>
      </c>
      <c r="E368" t="s">
        <v>3860</v>
      </c>
      <c r="F368">
        <v>200</v>
      </c>
      <c r="G368" t="s">
        <v>467</v>
      </c>
      <c r="H368">
        <v>200</v>
      </c>
      <c r="I368" t="s">
        <v>3840</v>
      </c>
      <c r="J368" t="s">
        <v>3250</v>
      </c>
      <c r="K368" t="s">
        <v>3250</v>
      </c>
      <c r="L368">
        <v>1200</v>
      </c>
      <c r="M368" t="s">
        <v>2368</v>
      </c>
      <c r="N368">
        <v>1204</v>
      </c>
      <c r="O368" t="s">
        <v>1574</v>
      </c>
      <c r="P368" t="s">
        <v>3108</v>
      </c>
      <c r="Q368" t="s">
        <v>3249</v>
      </c>
      <c r="R368" t="s">
        <v>3249</v>
      </c>
      <c r="S368" t="s">
        <v>810</v>
      </c>
      <c r="T368" t="s">
        <v>2759</v>
      </c>
      <c r="U368" t="s">
        <v>3250</v>
      </c>
      <c r="V368" t="s">
        <v>3250</v>
      </c>
      <c r="W368" t="s">
        <v>3250</v>
      </c>
      <c r="X368" t="s">
        <v>3250</v>
      </c>
      <c r="Y368" t="s">
        <v>3250</v>
      </c>
      <c r="Z368" t="s">
        <v>3250</v>
      </c>
      <c r="AA368" t="s">
        <v>3108</v>
      </c>
      <c r="AB368" t="s">
        <v>3108</v>
      </c>
      <c r="AC368" t="s">
        <v>3250</v>
      </c>
      <c r="AD368" t="s">
        <v>3250</v>
      </c>
      <c r="AE368" t="s">
        <v>3250</v>
      </c>
      <c r="AF368" t="s">
        <v>3250</v>
      </c>
      <c r="AG368" t="s">
        <v>3250</v>
      </c>
      <c r="AH368" t="s">
        <v>3250</v>
      </c>
      <c r="AI368" t="s">
        <v>3250</v>
      </c>
      <c r="AJ368" t="s">
        <v>3250</v>
      </c>
      <c r="AL368" t="s">
        <v>3250</v>
      </c>
      <c r="AM368" t="s">
        <v>3250</v>
      </c>
      <c r="AN368" t="s">
        <v>3250</v>
      </c>
      <c r="AO368" t="s">
        <v>3250</v>
      </c>
      <c r="AS368" t="s">
        <v>3250</v>
      </c>
      <c r="AT368" t="s">
        <v>3250</v>
      </c>
      <c r="AU368" t="s">
        <v>3250</v>
      </c>
      <c r="AV368" t="s">
        <v>3250</v>
      </c>
      <c r="AW368" t="s">
        <v>3250</v>
      </c>
      <c r="AX368" t="s">
        <v>3250</v>
      </c>
      <c r="AY368" t="s">
        <v>3250</v>
      </c>
      <c r="AZ368" t="s">
        <v>3250</v>
      </c>
      <c r="BA368" t="s">
        <v>3250</v>
      </c>
      <c r="BB368" t="s">
        <v>3250</v>
      </c>
      <c r="BC368" t="s">
        <v>3250</v>
      </c>
      <c r="BE368" t="s">
        <v>3250</v>
      </c>
      <c r="BF368" t="s">
        <v>3250</v>
      </c>
      <c r="BG368" t="s">
        <v>3250</v>
      </c>
      <c r="BH368" t="s">
        <v>3250</v>
      </c>
      <c r="BI368" t="s">
        <v>3250</v>
      </c>
      <c r="BK368" t="s">
        <v>3250</v>
      </c>
      <c r="BL368" t="s">
        <v>3250</v>
      </c>
      <c r="BM368" t="s">
        <v>3250</v>
      </c>
      <c r="BN368" t="s">
        <v>3250</v>
      </c>
      <c r="BP368">
        <v>1</v>
      </c>
      <c r="BQ368">
        <v>11</v>
      </c>
      <c r="BR368" t="s">
        <v>1574</v>
      </c>
      <c r="BS368" t="s">
        <v>3252</v>
      </c>
      <c r="BV368">
        <v>0</v>
      </c>
      <c r="BW368">
        <v>0</v>
      </c>
      <c r="BX368">
        <v>0</v>
      </c>
      <c r="BY368">
        <v>0</v>
      </c>
      <c r="BZ368">
        <v>0</v>
      </c>
      <c r="CA368">
        <v>0</v>
      </c>
      <c r="CB368">
        <v>0</v>
      </c>
      <c r="CC368">
        <v>0</v>
      </c>
      <c r="CD368">
        <v>0</v>
      </c>
      <c r="CE368" t="s">
        <v>3108</v>
      </c>
      <c r="CF368" t="s">
        <v>3108</v>
      </c>
      <c r="CG368" t="s">
        <v>3108</v>
      </c>
      <c r="CH368" t="s">
        <v>3108</v>
      </c>
    </row>
    <row r="369" spans="1:86" x14ac:dyDescent="0.2">
      <c r="A369" t="s">
        <v>3925</v>
      </c>
      <c r="B369" t="s">
        <v>3925</v>
      </c>
      <c r="C369">
        <v>40657</v>
      </c>
      <c r="D369">
        <v>603</v>
      </c>
      <c r="E369" t="s">
        <v>3862</v>
      </c>
      <c r="F369">
        <v>200</v>
      </c>
      <c r="G369" t="s">
        <v>467</v>
      </c>
      <c r="H369">
        <v>200</v>
      </c>
      <c r="I369" t="s">
        <v>3840</v>
      </c>
      <c r="J369" t="s">
        <v>3250</v>
      </c>
      <c r="K369" t="s">
        <v>3250</v>
      </c>
      <c r="L369">
        <v>1200</v>
      </c>
      <c r="M369" t="s">
        <v>2368</v>
      </c>
      <c r="N369">
        <v>1204</v>
      </c>
      <c r="O369" t="s">
        <v>1574</v>
      </c>
      <c r="P369" t="s">
        <v>3108</v>
      </c>
      <c r="Q369" t="s">
        <v>3249</v>
      </c>
      <c r="R369" t="s">
        <v>3249</v>
      </c>
      <c r="S369" t="s">
        <v>810</v>
      </c>
      <c r="T369" t="s">
        <v>2759</v>
      </c>
      <c r="U369" t="s">
        <v>3250</v>
      </c>
      <c r="V369" t="s">
        <v>3250</v>
      </c>
      <c r="W369" t="s">
        <v>3250</v>
      </c>
      <c r="X369" t="s">
        <v>3250</v>
      </c>
      <c r="Y369" t="s">
        <v>3250</v>
      </c>
      <c r="Z369" t="s">
        <v>3250</v>
      </c>
      <c r="AA369" t="s">
        <v>3108</v>
      </c>
      <c r="AB369" t="s">
        <v>3108</v>
      </c>
      <c r="AC369" t="s">
        <v>3250</v>
      </c>
      <c r="AD369" t="s">
        <v>3250</v>
      </c>
      <c r="AE369" t="s">
        <v>3250</v>
      </c>
      <c r="AF369" t="s">
        <v>3250</v>
      </c>
      <c r="AG369" t="s">
        <v>3250</v>
      </c>
      <c r="AH369" t="s">
        <v>3250</v>
      </c>
      <c r="AI369" t="s">
        <v>3250</v>
      </c>
      <c r="AJ369" t="s">
        <v>3250</v>
      </c>
      <c r="AL369" t="s">
        <v>3250</v>
      </c>
      <c r="AM369" t="s">
        <v>3250</v>
      </c>
      <c r="AN369" t="s">
        <v>3250</v>
      </c>
      <c r="AO369" t="s">
        <v>3250</v>
      </c>
      <c r="AS369" t="s">
        <v>3250</v>
      </c>
      <c r="AT369" t="s">
        <v>3250</v>
      </c>
      <c r="AU369" t="s">
        <v>3250</v>
      </c>
      <c r="AV369" t="s">
        <v>3250</v>
      </c>
      <c r="AW369" t="s">
        <v>3250</v>
      </c>
      <c r="AX369" t="s">
        <v>3250</v>
      </c>
      <c r="AY369" t="s">
        <v>3250</v>
      </c>
      <c r="AZ369" t="s">
        <v>3250</v>
      </c>
      <c r="BA369" t="s">
        <v>3250</v>
      </c>
      <c r="BB369" t="s">
        <v>3250</v>
      </c>
      <c r="BC369" t="s">
        <v>3250</v>
      </c>
      <c r="BE369" t="s">
        <v>3250</v>
      </c>
      <c r="BF369" t="s">
        <v>3250</v>
      </c>
      <c r="BG369" t="s">
        <v>3250</v>
      </c>
      <c r="BH369" t="s">
        <v>3250</v>
      </c>
      <c r="BI369" t="s">
        <v>3250</v>
      </c>
      <c r="BK369" t="s">
        <v>3250</v>
      </c>
      <c r="BL369" t="s">
        <v>3250</v>
      </c>
      <c r="BM369" t="s">
        <v>3250</v>
      </c>
      <c r="BN369" t="s">
        <v>3250</v>
      </c>
      <c r="BP369">
        <v>1</v>
      </c>
      <c r="BQ369">
        <v>11</v>
      </c>
      <c r="BR369" t="s">
        <v>1574</v>
      </c>
      <c r="BS369" t="s">
        <v>3252</v>
      </c>
      <c r="BV369">
        <v>0</v>
      </c>
      <c r="BW369">
        <v>0</v>
      </c>
      <c r="BX369">
        <v>0</v>
      </c>
      <c r="BY369">
        <v>0</v>
      </c>
      <c r="BZ369">
        <v>0</v>
      </c>
      <c r="CA369">
        <v>0</v>
      </c>
      <c r="CB369">
        <v>0</v>
      </c>
      <c r="CC369">
        <v>0</v>
      </c>
      <c r="CD369">
        <v>0</v>
      </c>
      <c r="CE369" t="s">
        <v>3108</v>
      </c>
      <c r="CF369" t="s">
        <v>3108</v>
      </c>
      <c r="CG369" t="s">
        <v>3108</v>
      </c>
      <c r="CH369" t="s">
        <v>3108</v>
      </c>
    </row>
    <row r="370" spans="1:86" x14ac:dyDescent="0.2">
      <c r="A370" t="s">
        <v>3926</v>
      </c>
      <c r="B370" t="s">
        <v>3926</v>
      </c>
      <c r="C370">
        <v>40658</v>
      </c>
      <c r="D370">
        <v>604</v>
      </c>
      <c r="E370" t="s">
        <v>3864</v>
      </c>
      <c r="F370">
        <v>200</v>
      </c>
      <c r="G370" t="s">
        <v>467</v>
      </c>
      <c r="H370">
        <v>200</v>
      </c>
      <c r="I370" t="s">
        <v>3840</v>
      </c>
      <c r="J370" t="s">
        <v>3250</v>
      </c>
      <c r="K370" t="s">
        <v>3250</v>
      </c>
      <c r="L370">
        <v>1200</v>
      </c>
      <c r="M370" t="s">
        <v>2368</v>
      </c>
      <c r="N370">
        <v>1204</v>
      </c>
      <c r="O370" t="s">
        <v>1574</v>
      </c>
      <c r="P370" t="s">
        <v>3108</v>
      </c>
      <c r="Q370" t="s">
        <v>3249</v>
      </c>
      <c r="R370" t="s">
        <v>3249</v>
      </c>
      <c r="S370" t="s">
        <v>810</v>
      </c>
      <c r="T370" t="s">
        <v>2759</v>
      </c>
      <c r="U370" t="s">
        <v>3250</v>
      </c>
      <c r="V370" t="s">
        <v>3250</v>
      </c>
      <c r="W370" t="s">
        <v>3250</v>
      </c>
      <c r="X370" t="s">
        <v>3250</v>
      </c>
      <c r="Y370" t="s">
        <v>3250</v>
      </c>
      <c r="Z370" t="s">
        <v>3250</v>
      </c>
      <c r="AA370" t="s">
        <v>3108</v>
      </c>
      <c r="AB370" t="s">
        <v>3108</v>
      </c>
      <c r="AC370" t="s">
        <v>3250</v>
      </c>
      <c r="AD370" t="s">
        <v>3250</v>
      </c>
      <c r="AE370" t="s">
        <v>3250</v>
      </c>
      <c r="AF370" t="s">
        <v>3250</v>
      </c>
      <c r="AG370" t="s">
        <v>3250</v>
      </c>
      <c r="AH370" t="s">
        <v>3250</v>
      </c>
      <c r="AI370" t="s">
        <v>3250</v>
      </c>
      <c r="AJ370" t="s">
        <v>3250</v>
      </c>
      <c r="AL370" t="s">
        <v>3250</v>
      </c>
      <c r="AM370" t="s">
        <v>3250</v>
      </c>
      <c r="AN370" t="s">
        <v>3250</v>
      </c>
      <c r="AO370" t="s">
        <v>3250</v>
      </c>
      <c r="AS370" t="s">
        <v>3250</v>
      </c>
      <c r="AT370" t="s">
        <v>3250</v>
      </c>
      <c r="AU370" t="s">
        <v>3250</v>
      </c>
      <c r="AV370" t="s">
        <v>3250</v>
      </c>
      <c r="AW370" t="s">
        <v>3250</v>
      </c>
      <c r="AX370" t="s">
        <v>3250</v>
      </c>
      <c r="AY370" t="s">
        <v>3250</v>
      </c>
      <c r="AZ370" t="s">
        <v>3250</v>
      </c>
      <c r="BA370" t="s">
        <v>3250</v>
      </c>
      <c r="BB370" t="s">
        <v>3250</v>
      </c>
      <c r="BC370" t="s">
        <v>3250</v>
      </c>
      <c r="BE370" t="s">
        <v>3250</v>
      </c>
      <c r="BF370" t="s">
        <v>3250</v>
      </c>
      <c r="BG370" t="s">
        <v>3250</v>
      </c>
      <c r="BH370" t="s">
        <v>3250</v>
      </c>
      <c r="BI370" t="s">
        <v>3250</v>
      </c>
      <c r="BK370" t="s">
        <v>3250</v>
      </c>
      <c r="BL370" t="s">
        <v>3250</v>
      </c>
      <c r="BM370" t="s">
        <v>3250</v>
      </c>
      <c r="BN370" t="s">
        <v>3250</v>
      </c>
      <c r="BP370">
        <v>1</v>
      </c>
      <c r="BQ370">
        <v>11</v>
      </c>
      <c r="BR370" t="s">
        <v>1574</v>
      </c>
      <c r="BS370" t="s">
        <v>3252</v>
      </c>
      <c r="BV370">
        <v>0</v>
      </c>
      <c r="BW370">
        <v>0</v>
      </c>
      <c r="BX370">
        <v>0</v>
      </c>
      <c r="BY370">
        <v>0</v>
      </c>
      <c r="BZ370">
        <v>0</v>
      </c>
      <c r="CA370">
        <v>0</v>
      </c>
      <c r="CB370">
        <v>0</v>
      </c>
      <c r="CC370">
        <v>0</v>
      </c>
      <c r="CD370">
        <v>0</v>
      </c>
      <c r="CE370" t="s">
        <v>3108</v>
      </c>
      <c r="CF370" t="s">
        <v>3108</v>
      </c>
      <c r="CG370" t="s">
        <v>3108</v>
      </c>
      <c r="CH370" t="s">
        <v>3108</v>
      </c>
    </row>
    <row r="371" spans="1:86" x14ac:dyDescent="0.2">
      <c r="A371" t="s">
        <v>3927</v>
      </c>
      <c r="B371" t="s">
        <v>3927</v>
      </c>
      <c r="C371">
        <v>40659</v>
      </c>
      <c r="D371">
        <v>605</v>
      </c>
      <c r="E371" t="s">
        <v>3866</v>
      </c>
      <c r="F371">
        <v>200</v>
      </c>
      <c r="G371" t="s">
        <v>467</v>
      </c>
      <c r="H371">
        <v>200</v>
      </c>
      <c r="I371" t="s">
        <v>3840</v>
      </c>
      <c r="J371" t="s">
        <v>3250</v>
      </c>
      <c r="K371" t="s">
        <v>3250</v>
      </c>
      <c r="L371">
        <v>1200</v>
      </c>
      <c r="M371" t="s">
        <v>2368</v>
      </c>
      <c r="N371">
        <v>1204</v>
      </c>
      <c r="O371" t="s">
        <v>1574</v>
      </c>
      <c r="P371" t="s">
        <v>3108</v>
      </c>
      <c r="Q371" t="s">
        <v>3249</v>
      </c>
      <c r="R371" t="s">
        <v>3249</v>
      </c>
      <c r="S371" t="s">
        <v>810</v>
      </c>
      <c r="T371" t="s">
        <v>2759</v>
      </c>
      <c r="U371" t="s">
        <v>3250</v>
      </c>
      <c r="V371" t="s">
        <v>3250</v>
      </c>
      <c r="W371" t="s">
        <v>3250</v>
      </c>
      <c r="X371" t="s">
        <v>3250</v>
      </c>
      <c r="Y371" t="s">
        <v>3250</v>
      </c>
      <c r="Z371" t="s">
        <v>3250</v>
      </c>
      <c r="AA371" t="s">
        <v>3108</v>
      </c>
      <c r="AB371" t="s">
        <v>3108</v>
      </c>
      <c r="AC371" t="s">
        <v>3250</v>
      </c>
      <c r="AD371" t="s">
        <v>3250</v>
      </c>
      <c r="AE371" t="s">
        <v>3250</v>
      </c>
      <c r="AF371" t="s">
        <v>3250</v>
      </c>
      <c r="AG371" t="s">
        <v>3250</v>
      </c>
      <c r="AH371" t="s">
        <v>3250</v>
      </c>
      <c r="AI371" t="s">
        <v>3250</v>
      </c>
      <c r="AJ371" t="s">
        <v>3250</v>
      </c>
      <c r="AL371" t="s">
        <v>3250</v>
      </c>
      <c r="AM371" t="s">
        <v>3250</v>
      </c>
      <c r="AN371" t="s">
        <v>3250</v>
      </c>
      <c r="AO371" t="s">
        <v>3250</v>
      </c>
      <c r="AS371" t="s">
        <v>3250</v>
      </c>
      <c r="AT371" t="s">
        <v>3250</v>
      </c>
      <c r="AU371" t="s">
        <v>3250</v>
      </c>
      <c r="AV371" t="s">
        <v>3250</v>
      </c>
      <c r="AW371" t="s">
        <v>3250</v>
      </c>
      <c r="AX371" t="s">
        <v>3250</v>
      </c>
      <c r="AY371" t="s">
        <v>3250</v>
      </c>
      <c r="AZ371" t="s">
        <v>3250</v>
      </c>
      <c r="BA371" t="s">
        <v>3250</v>
      </c>
      <c r="BB371" t="s">
        <v>3250</v>
      </c>
      <c r="BC371" t="s">
        <v>3250</v>
      </c>
      <c r="BE371" t="s">
        <v>3250</v>
      </c>
      <c r="BF371" t="s">
        <v>3250</v>
      </c>
      <c r="BG371" t="s">
        <v>3250</v>
      </c>
      <c r="BH371" t="s">
        <v>3250</v>
      </c>
      <c r="BI371" t="s">
        <v>3250</v>
      </c>
      <c r="BK371" t="s">
        <v>3250</v>
      </c>
      <c r="BL371" t="s">
        <v>3250</v>
      </c>
      <c r="BM371" t="s">
        <v>3250</v>
      </c>
      <c r="BN371" t="s">
        <v>3250</v>
      </c>
      <c r="BP371">
        <v>1</v>
      </c>
      <c r="BQ371">
        <v>11</v>
      </c>
      <c r="BR371" t="s">
        <v>1574</v>
      </c>
      <c r="BS371" t="s">
        <v>3252</v>
      </c>
      <c r="BV371">
        <v>0</v>
      </c>
      <c r="BW371">
        <v>0</v>
      </c>
      <c r="BX371">
        <v>0</v>
      </c>
      <c r="BY371">
        <v>0</v>
      </c>
      <c r="BZ371">
        <v>0</v>
      </c>
      <c r="CA371">
        <v>0</v>
      </c>
      <c r="CB371">
        <v>0</v>
      </c>
      <c r="CC371">
        <v>0</v>
      </c>
      <c r="CD371">
        <v>0</v>
      </c>
      <c r="CE371" t="s">
        <v>3108</v>
      </c>
      <c r="CF371" t="s">
        <v>3108</v>
      </c>
      <c r="CG371" t="s">
        <v>3108</v>
      </c>
      <c r="CH371" t="s">
        <v>3108</v>
      </c>
    </row>
    <row r="372" spans="1:86" x14ac:dyDescent="0.2">
      <c r="A372" t="s">
        <v>3928</v>
      </c>
      <c r="B372" t="s">
        <v>3928</v>
      </c>
      <c r="C372">
        <v>40660</v>
      </c>
      <c r="D372">
        <v>606</v>
      </c>
      <c r="E372" t="s">
        <v>3868</v>
      </c>
      <c r="F372">
        <v>200</v>
      </c>
      <c r="G372" t="s">
        <v>467</v>
      </c>
      <c r="H372">
        <v>200</v>
      </c>
      <c r="I372" t="s">
        <v>3840</v>
      </c>
      <c r="J372" t="s">
        <v>3250</v>
      </c>
      <c r="K372" t="s">
        <v>3250</v>
      </c>
      <c r="L372">
        <v>1200</v>
      </c>
      <c r="M372" t="s">
        <v>2368</v>
      </c>
      <c r="N372">
        <v>1204</v>
      </c>
      <c r="O372" t="s">
        <v>1574</v>
      </c>
      <c r="P372" t="s">
        <v>3108</v>
      </c>
      <c r="Q372" t="s">
        <v>3249</v>
      </c>
      <c r="R372" t="s">
        <v>3249</v>
      </c>
      <c r="S372" t="s">
        <v>810</v>
      </c>
      <c r="T372" t="s">
        <v>2759</v>
      </c>
      <c r="U372" t="s">
        <v>3250</v>
      </c>
      <c r="V372" t="s">
        <v>3250</v>
      </c>
      <c r="W372" t="s">
        <v>3250</v>
      </c>
      <c r="X372" t="s">
        <v>3250</v>
      </c>
      <c r="Y372" t="s">
        <v>3250</v>
      </c>
      <c r="Z372" t="s">
        <v>3250</v>
      </c>
      <c r="AA372" t="s">
        <v>3108</v>
      </c>
      <c r="AB372" t="s">
        <v>3108</v>
      </c>
      <c r="AC372" t="s">
        <v>3250</v>
      </c>
      <c r="AD372" t="s">
        <v>3250</v>
      </c>
      <c r="AE372" t="s">
        <v>3250</v>
      </c>
      <c r="AF372" t="s">
        <v>3250</v>
      </c>
      <c r="AG372" t="s">
        <v>3250</v>
      </c>
      <c r="AH372" t="s">
        <v>3250</v>
      </c>
      <c r="AI372" t="s">
        <v>3250</v>
      </c>
      <c r="AJ372" t="s">
        <v>3250</v>
      </c>
      <c r="AL372" t="s">
        <v>3250</v>
      </c>
      <c r="AM372" t="s">
        <v>3250</v>
      </c>
      <c r="AN372" t="s">
        <v>3250</v>
      </c>
      <c r="AO372" t="s">
        <v>3250</v>
      </c>
      <c r="AS372" t="s">
        <v>3250</v>
      </c>
      <c r="AT372" t="s">
        <v>3250</v>
      </c>
      <c r="AU372" t="s">
        <v>3250</v>
      </c>
      <c r="AV372" t="s">
        <v>3250</v>
      </c>
      <c r="AW372" t="s">
        <v>3250</v>
      </c>
      <c r="AX372" t="s">
        <v>3250</v>
      </c>
      <c r="AY372" t="s">
        <v>3250</v>
      </c>
      <c r="AZ372" t="s">
        <v>3250</v>
      </c>
      <c r="BA372" t="s">
        <v>3250</v>
      </c>
      <c r="BB372" t="s">
        <v>3250</v>
      </c>
      <c r="BC372" t="s">
        <v>3250</v>
      </c>
      <c r="BE372" t="s">
        <v>3250</v>
      </c>
      <c r="BF372" t="s">
        <v>3250</v>
      </c>
      <c r="BG372" t="s">
        <v>3250</v>
      </c>
      <c r="BH372" t="s">
        <v>3250</v>
      </c>
      <c r="BI372" t="s">
        <v>3250</v>
      </c>
      <c r="BK372" t="s">
        <v>3250</v>
      </c>
      <c r="BL372" t="s">
        <v>3250</v>
      </c>
      <c r="BM372" t="s">
        <v>3250</v>
      </c>
      <c r="BN372" t="s">
        <v>3250</v>
      </c>
      <c r="BP372">
        <v>1</v>
      </c>
      <c r="BQ372">
        <v>11</v>
      </c>
      <c r="BR372" t="s">
        <v>1574</v>
      </c>
      <c r="BS372" t="s">
        <v>3252</v>
      </c>
      <c r="BV372">
        <v>0</v>
      </c>
      <c r="BW372">
        <v>0</v>
      </c>
      <c r="BX372">
        <v>0</v>
      </c>
      <c r="BY372">
        <v>0</v>
      </c>
      <c r="BZ372">
        <v>0</v>
      </c>
      <c r="CA372">
        <v>0</v>
      </c>
      <c r="CB372">
        <v>0</v>
      </c>
      <c r="CC372">
        <v>0</v>
      </c>
      <c r="CD372">
        <v>0</v>
      </c>
      <c r="CE372" t="s">
        <v>3108</v>
      </c>
      <c r="CF372" t="s">
        <v>3108</v>
      </c>
      <c r="CG372" t="s">
        <v>3108</v>
      </c>
      <c r="CH372" t="s">
        <v>3108</v>
      </c>
    </row>
    <row r="373" spans="1:86" x14ac:dyDescent="0.2">
      <c r="A373" t="s">
        <v>3929</v>
      </c>
      <c r="B373" t="s">
        <v>3929</v>
      </c>
      <c r="C373">
        <v>40661</v>
      </c>
      <c r="D373">
        <v>607</v>
      </c>
      <c r="E373" t="s">
        <v>3839</v>
      </c>
      <c r="F373">
        <v>200</v>
      </c>
      <c r="G373" t="s">
        <v>467</v>
      </c>
      <c r="H373">
        <v>200</v>
      </c>
      <c r="I373" t="s">
        <v>3840</v>
      </c>
      <c r="J373" t="s">
        <v>3250</v>
      </c>
      <c r="K373" t="s">
        <v>3250</v>
      </c>
      <c r="L373">
        <v>1200</v>
      </c>
      <c r="M373" t="s">
        <v>2368</v>
      </c>
      <c r="N373">
        <v>1204</v>
      </c>
      <c r="O373" t="s">
        <v>1574</v>
      </c>
      <c r="P373" t="s">
        <v>3108</v>
      </c>
      <c r="Q373" t="s">
        <v>3249</v>
      </c>
      <c r="R373" t="s">
        <v>3249</v>
      </c>
      <c r="S373" t="s">
        <v>810</v>
      </c>
      <c r="T373" t="s">
        <v>2759</v>
      </c>
      <c r="U373" t="s">
        <v>3250</v>
      </c>
      <c r="V373" t="s">
        <v>3250</v>
      </c>
      <c r="W373" t="s">
        <v>3250</v>
      </c>
      <c r="X373" t="s">
        <v>3250</v>
      </c>
      <c r="Y373" t="s">
        <v>3250</v>
      </c>
      <c r="Z373" t="s">
        <v>3250</v>
      </c>
      <c r="AA373" t="s">
        <v>3108</v>
      </c>
      <c r="AB373" t="s">
        <v>3108</v>
      </c>
      <c r="AC373" t="s">
        <v>3250</v>
      </c>
      <c r="AD373" t="s">
        <v>3250</v>
      </c>
      <c r="AE373" t="s">
        <v>3250</v>
      </c>
      <c r="AF373" t="s">
        <v>3250</v>
      </c>
      <c r="AG373" t="s">
        <v>3250</v>
      </c>
      <c r="AH373" t="s">
        <v>3250</v>
      </c>
      <c r="AI373" t="s">
        <v>3250</v>
      </c>
      <c r="AJ373" t="s">
        <v>3250</v>
      </c>
      <c r="AL373" t="s">
        <v>3250</v>
      </c>
      <c r="AM373" t="s">
        <v>3250</v>
      </c>
      <c r="AN373" t="s">
        <v>3250</v>
      </c>
      <c r="AO373" t="s">
        <v>3250</v>
      </c>
      <c r="AS373" t="s">
        <v>3250</v>
      </c>
      <c r="AT373" t="s">
        <v>3250</v>
      </c>
      <c r="AU373" t="s">
        <v>3250</v>
      </c>
      <c r="AV373" t="s">
        <v>3250</v>
      </c>
      <c r="AW373" t="s">
        <v>3250</v>
      </c>
      <c r="AX373" t="s">
        <v>3250</v>
      </c>
      <c r="AY373" t="s">
        <v>3250</v>
      </c>
      <c r="AZ373" t="s">
        <v>3250</v>
      </c>
      <c r="BA373" t="s">
        <v>3250</v>
      </c>
      <c r="BB373" t="s">
        <v>3250</v>
      </c>
      <c r="BC373" t="s">
        <v>3250</v>
      </c>
      <c r="BE373" t="s">
        <v>3250</v>
      </c>
      <c r="BF373" t="s">
        <v>3250</v>
      </c>
      <c r="BG373" t="s">
        <v>3250</v>
      </c>
      <c r="BH373" t="s">
        <v>3250</v>
      </c>
      <c r="BI373" t="s">
        <v>3250</v>
      </c>
      <c r="BK373" t="s">
        <v>3250</v>
      </c>
      <c r="BL373" t="s">
        <v>3250</v>
      </c>
      <c r="BM373" t="s">
        <v>3250</v>
      </c>
      <c r="BN373" t="s">
        <v>3250</v>
      </c>
      <c r="BP373">
        <v>1</v>
      </c>
      <c r="BQ373">
        <v>11</v>
      </c>
      <c r="BR373" t="s">
        <v>1574</v>
      </c>
      <c r="BS373" t="s">
        <v>3252</v>
      </c>
      <c r="BV373">
        <v>0</v>
      </c>
      <c r="BW373">
        <v>0</v>
      </c>
      <c r="BX373">
        <v>0</v>
      </c>
      <c r="BY373">
        <v>0</v>
      </c>
      <c r="BZ373">
        <v>0</v>
      </c>
      <c r="CA373">
        <v>0</v>
      </c>
      <c r="CB373">
        <v>0</v>
      </c>
      <c r="CC373">
        <v>0</v>
      </c>
      <c r="CD373">
        <v>0</v>
      </c>
      <c r="CE373" t="s">
        <v>3108</v>
      </c>
      <c r="CF373" t="s">
        <v>3108</v>
      </c>
      <c r="CG373" t="s">
        <v>3108</v>
      </c>
      <c r="CH373" t="s">
        <v>3108</v>
      </c>
    </row>
    <row r="374" spans="1:86" x14ac:dyDescent="0.2">
      <c r="A374" t="s">
        <v>3930</v>
      </c>
      <c r="B374" t="s">
        <v>3930</v>
      </c>
      <c r="C374">
        <v>40662</v>
      </c>
      <c r="D374">
        <v>608</v>
      </c>
      <c r="E374" t="s">
        <v>3842</v>
      </c>
      <c r="F374">
        <v>200</v>
      </c>
      <c r="G374" t="s">
        <v>467</v>
      </c>
      <c r="H374">
        <v>200</v>
      </c>
      <c r="I374" t="s">
        <v>3840</v>
      </c>
      <c r="J374" t="s">
        <v>3250</v>
      </c>
      <c r="K374" t="s">
        <v>3250</v>
      </c>
      <c r="L374">
        <v>1200</v>
      </c>
      <c r="M374" t="s">
        <v>2368</v>
      </c>
      <c r="N374">
        <v>1204</v>
      </c>
      <c r="O374" t="s">
        <v>1574</v>
      </c>
      <c r="P374" t="s">
        <v>3108</v>
      </c>
      <c r="Q374" t="s">
        <v>3249</v>
      </c>
      <c r="R374" t="s">
        <v>3249</v>
      </c>
      <c r="S374" t="s">
        <v>810</v>
      </c>
      <c r="T374" t="s">
        <v>2759</v>
      </c>
      <c r="U374" t="s">
        <v>3250</v>
      </c>
      <c r="V374" t="s">
        <v>3250</v>
      </c>
      <c r="W374" t="s">
        <v>3250</v>
      </c>
      <c r="X374" t="s">
        <v>3250</v>
      </c>
      <c r="Y374" t="s">
        <v>3250</v>
      </c>
      <c r="Z374" t="s">
        <v>3250</v>
      </c>
      <c r="AA374" t="s">
        <v>3108</v>
      </c>
      <c r="AB374" t="s">
        <v>3108</v>
      </c>
      <c r="AC374" t="s">
        <v>3250</v>
      </c>
      <c r="AD374" t="s">
        <v>3250</v>
      </c>
      <c r="AE374" t="s">
        <v>3250</v>
      </c>
      <c r="AF374" t="s">
        <v>3250</v>
      </c>
      <c r="AG374" t="s">
        <v>3250</v>
      </c>
      <c r="AH374" t="s">
        <v>3250</v>
      </c>
      <c r="AI374" t="s">
        <v>3250</v>
      </c>
      <c r="AJ374" t="s">
        <v>3250</v>
      </c>
      <c r="AL374" t="s">
        <v>3250</v>
      </c>
      <c r="AM374" t="s">
        <v>3250</v>
      </c>
      <c r="AN374" t="s">
        <v>3250</v>
      </c>
      <c r="AO374" t="s">
        <v>3250</v>
      </c>
      <c r="AS374" t="s">
        <v>3250</v>
      </c>
      <c r="AT374" t="s">
        <v>3250</v>
      </c>
      <c r="AU374" t="s">
        <v>3250</v>
      </c>
      <c r="AV374" t="s">
        <v>3250</v>
      </c>
      <c r="AW374" t="s">
        <v>3250</v>
      </c>
      <c r="AX374" t="s">
        <v>3250</v>
      </c>
      <c r="AY374" t="s">
        <v>3250</v>
      </c>
      <c r="AZ374" t="s">
        <v>3250</v>
      </c>
      <c r="BA374" t="s">
        <v>3250</v>
      </c>
      <c r="BB374" t="s">
        <v>3250</v>
      </c>
      <c r="BC374" t="s">
        <v>3250</v>
      </c>
      <c r="BE374" t="s">
        <v>3250</v>
      </c>
      <c r="BF374" t="s">
        <v>3250</v>
      </c>
      <c r="BG374" t="s">
        <v>3250</v>
      </c>
      <c r="BH374" t="s">
        <v>3250</v>
      </c>
      <c r="BI374" t="s">
        <v>3250</v>
      </c>
      <c r="BK374" t="s">
        <v>3250</v>
      </c>
      <c r="BL374" t="s">
        <v>3250</v>
      </c>
      <c r="BM374" t="s">
        <v>3250</v>
      </c>
      <c r="BN374" t="s">
        <v>3250</v>
      </c>
      <c r="BP374">
        <v>1</v>
      </c>
      <c r="BQ374">
        <v>11</v>
      </c>
      <c r="BR374" t="s">
        <v>1574</v>
      </c>
      <c r="BS374" t="s">
        <v>3252</v>
      </c>
      <c r="BV374">
        <v>0</v>
      </c>
      <c r="BW374">
        <v>0</v>
      </c>
      <c r="BX374">
        <v>0</v>
      </c>
      <c r="BY374">
        <v>0</v>
      </c>
      <c r="BZ374">
        <v>0</v>
      </c>
      <c r="CA374">
        <v>0</v>
      </c>
      <c r="CB374">
        <v>0</v>
      </c>
      <c r="CC374">
        <v>0</v>
      </c>
      <c r="CD374">
        <v>0</v>
      </c>
      <c r="CE374" t="s">
        <v>3108</v>
      </c>
      <c r="CF374" t="s">
        <v>3108</v>
      </c>
      <c r="CG374" t="s">
        <v>3108</v>
      </c>
      <c r="CH374" t="s">
        <v>3108</v>
      </c>
    </row>
    <row r="375" spans="1:86" x14ac:dyDescent="0.2">
      <c r="A375" t="s">
        <v>3931</v>
      </c>
      <c r="B375" t="s">
        <v>3931</v>
      </c>
      <c r="C375">
        <v>40663</v>
      </c>
      <c r="D375">
        <v>609</v>
      </c>
      <c r="E375" t="s">
        <v>3844</v>
      </c>
      <c r="F375">
        <v>200</v>
      </c>
      <c r="G375" t="s">
        <v>467</v>
      </c>
      <c r="H375">
        <v>200</v>
      </c>
      <c r="I375" t="s">
        <v>3840</v>
      </c>
      <c r="J375" t="s">
        <v>3250</v>
      </c>
      <c r="K375" t="s">
        <v>3250</v>
      </c>
      <c r="L375">
        <v>1200</v>
      </c>
      <c r="M375" t="s">
        <v>2368</v>
      </c>
      <c r="N375">
        <v>1204</v>
      </c>
      <c r="O375" t="s">
        <v>1574</v>
      </c>
      <c r="P375" t="s">
        <v>3108</v>
      </c>
      <c r="Q375" t="s">
        <v>3249</v>
      </c>
      <c r="R375" t="s">
        <v>3249</v>
      </c>
      <c r="S375" t="s">
        <v>810</v>
      </c>
      <c r="T375" t="s">
        <v>2759</v>
      </c>
      <c r="U375" t="s">
        <v>3250</v>
      </c>
      <c r="V375" t="s">
        <v>3250</v>
      </c>
      <c r="W375" t="s">
        <v>3250</v>
      </c>
      <c r="X375" t="s">
        <v>3250</v>
      </c>
      <c r="Y375" t="s">
        <v>3250</v>
      </c>
      <c r="Z375" t="s">
        <v>3250</v>
      </c>
      <c r="AA375" t="s">
        <v>3108</v>
      </c>
      <c r="AB375" t="s">
        <v>3108</v>
      </c>
      <c r="AC375" t="s">
        <v>3250</v>
      </c>
      <c r="AD375" t="s">
        <v>3250</v>
      </c>
      <c r="AE375" t="s">
        <v>3250</v>
      </c>
      <c r="AF375" t="s">
        <v>3250</v>
      </c>
      <c r="AG375" t="s">
        <v>3250</v>
      </c>
      <c r="AH375" t="s">
        <v>3250</v>
      </c>
      <c r="AI375" t="s">
        <v>3250</v>
      </c>
      <c r="AJ375" t="s">
        <v>3250</v>
      </c>
      <c r="AL375" t="s">
        <v>3250</v>
      </c>
      <c r="AM375" t="s">
        <v>3250</v>
      </c>
      <c r="AN375" t="s">
        <v>3250</v>
      </c>
      <c r="AO375" t="s">
        <v>3250</v>
      </c>
      <c r="AS375" t="s">
        <v>3250</v>
      </c>
      <c r="AT375" t="s">
        <v>3250</v>
      </c>
      <c r="AU375" t="s">
        <v>3250</v>
      </c>
      <c r="AV375" t="s">
        <v>3250</v>
      </c>
      <c r="AW375" t="s">
        <v>3250</v>
      </c>
      <c r="AX375" t="s">
        <v>3250</v>
      </c>
      <c r="AY375" t="s">
        <v>3250</v>
      </c>
      <c r="AZ375" t="s">
        <v>3250</v>
      </c>
      <c r="BA375" t="s">
        <v>3250</v>
      </c>
      <c r="BB375" t="s">
        <v>3250</v>
      </c>
      <c r="BC375" t="s">
        <v>3250</v>
      </c>
      <c r="BE375" t="s">
        <v>3250</v>
      </c>
      <c r="BF375" t="s">
        <v>3250</v>
      </c>
      <c r="BG375" t="s">
        <v>3250</v>
      </c>
      <c r="BH375" t="s">
        <v>3250</v>
      </c>
      <c r="BI375" t="s">
        <v>3250</v>
      </c>
      <c r="BK375" t="s">
        <v>3250</v>
      </c>
      <c r="BL375" t="s">
        <v>3250</v>
      </c>
      <c r="BM375" t="s">
        <v>3250</v>
      </c>
      <c r="BN375" t="s">
        <v>3250</v>
      </c>
      <c r="BP375">
        <v>1</v>
      </c>
      <c r="BQ375">
        <v>11</v>
      </c>
      <c r="BR375" t="s">
        <v>1574</v>
      </c>
      <c r="BS375" t="s">
        <v>3252</v>
      </c>
      <c r="BV375">
        <v>0</v>
      </c>
      <c r="BW375">
        <v>0</v>
      </c>
      <c r="BX375">
        <v>0</v>
      </c>
      <c r="BY375">
        <v>0</v>
      </c>
      <c r="BZ375">
        <v>0</v>
      </c>
      <c r="CA375">
        <v>0</v>
      </c>
      <c r="CB375">
        <v>0</v>
      </c>
      <c r="CC375">
        <v>0</v>
      </c>
      <c r="CD375">
        <v>0</v>
      </c>
      <c r="CE375" t="s">
        <v>3108</v>
      </c>
      <c r="CF375" t="s">
        <v>3108</v>
      </c>
      <c r="CG375" t="s">
        <v>3108</v>
      </c>
      <c r="CH375" t="s">
        <v>3108</v>
      </c>
    </row>
    <row r="376" spans="1:86" x14ac:dyDescent="0.2">
      <c r="A376" t="s">
        <v>3932</v>
      </c>
      <c r="B376" t="s">
        <v>3932</v>
      </c>
      <c r="C376">
        <v>40664</v>
      </c>
      <c r="D376">
        <v>610</v>
      </c>
      <c r="E376" t="s">
        <v>3846</v>
      </c>
      <c r="F376">
        <v>200</v>
      </c>
      <c r="G376" t="s">
        <v>467</v>
      </c>
      <c r="H376">
        <v>200</v>
      </c>
      <c r="I376" t="s">
        <v>3840</v>
      </c>
      <c r="J376" t="s">
        <v>3250</v>
      </c>
      <c r="K376" t="s">
        <v>3250</v>
      </c>
      <c r="L376">
        <v>1200</v>
      </c>
      <c r="M376" t="s">
        <v>2368</v>
      </c>
      <c r="N376">
        <v>1204</v>
      </c>
      <c r="O376" t="s">
        <v>1574</v>
      </c>
      <c r="P376" t="s">
        <v>3108</v>
      </c>
      <c r="Q376" t="s">
        <v>3249</v>
      </c>
      <c r="R376" t="s">
        <v>3249</v>
      </c>
      <c r="S376" t="s">
        <v>810</v>
      </c>
      <c r="T376" t="s">
        <v>2759</v>
      </c>
      <c r="U376" t="s">
        <v>3250</v>
      </c>
      <c r="V376" t="s">
        <v>3250</v>
      </c>
      <c r="W376" t="s">
        <v>3250</v>
      </c>
      <c r="X376" t="s">
        <v>3250</v>
      </c>
      <c r="Y376" t="s">
        <v>3250</v>
      </c>
      <c r="Z376" t="s">
        <v>3250</v>
      </c>
      <c r="AA376" t="s">
        <v>3108</v>
      </c>
      <c r="AB376" t="s">
        <v>3108</v>
      </c>
      <c r="AC376" t="s">
        <v>3250</v>
      </c>
      <c r="AD376" t="s">
        <v>3250</v>
      </c>
      <c r="AE376" t="s">
        <v>3250</v>
      </c>
      <c r="AF376" t="s">
        <v>3250</v>
      </c>
      <c r="AG376" t="s">
        <v>3250</v>
      </c>
      <c r="AH376" t="s">
        <v>3250</v>
      </c>
      <c r="AI376" t="s">
        <v>3250</v>
      </c>
      <c r="AJ376" t="s">
        <v>3250</v>
      </c>
      <c r="AL376" t="s">
        <v>3250</v>
      </c>
      <c r="AM376" t="s">
        <v>3250</v>
      </c>
      <c r="AN376" t="s">
        <v>3250</v>
      </c>
      <c r="AO376" t="s">
        <v>3250</v>
      </c>
      <c r="AS376" t="s">
        <v>3250</v>
      </c>
      <c r="AT376" t="s">
        <v>3250</v>
      </c>
      <c r="AU376" t="s">
        <v>3250</v>
      </c>
      <c r="AV376" t="s">
        <v>3250</v>
      </c>
      <c r="AW376" t="s">
        <v>3250</v>
      </c>
      <c r="AX376" t="s">
        <v>3250</v>
      </c>
      <c r="AY376" t="s">
        <v>3250</v>
      </c>
      <c r="AZ376" t="s">
        <v>3250</v>
      </c>
      <c r="BA376" t="s">
        <v>3250</v>
      </c>
      <c r="BB376" t="s">
        <v>3250</v>
      </c>
      <c r="BC376" t="s">
        <v>3250</v>
      </c>
      <c r="BE376" t="s">
        <v>3250</v>
      </c>
      <c r="BF376" t="s">
        <v>3250</v>
      </c>
      <c r="BG376" t="s">
        <v>3250</v>
      </c>
      <c r="BH376" t="s">
        <v>3250</v>
      </c>
      <c r="BI376" t="s">
        <v>3250</v>
      </c>
      <c r="BK376" t="s">
        <v>3250</v>
      </c>
      <c r="BL376" t="s">
        <v>3250</v>
      </c>
      <c r="BM376" t="s">
        <v>3250</v>
      </c>
      <c r="BN376" t="s">
        <v>3250</v>
      </c>
      <c r="BP376">
        <v>1</v>
      </c>
      <c r="BQ376">
        <v>11</v>
      </c>
      <c r="BR376" t="s">
        <v>1574</v>
      </c>
      <c r="BS376" t="s">
        <v>3252</v>
      </c>
      <c r="BV376">
        <v>0</v>
      </c>
      <c r="BW376">
        <v>0</v>
      </c>
      <c r="BX376">
        <v>0</v>
      </c>
      <c r="BY376">
        <v>0</v>
      </c>
      <c r="BZ376">
        <v>0</v>
      </c>
      <c r="CA376">
        <v>0</v>
      </c>
      <c r="CB376">
        <v>0</v>
      </c>
      <c r="CC376">
        <v>0</v>
      </c>
      <c r="CD376">
        <v>0</v>
      </c>
      <c r="CE376" t="s">
        <v>3108</v>
      </c>
      <c r="CF376" t="s">
        <v>3108</v>
      </c>
      <c r="CG376" t="s">
        <v>3108</v>
      </c>
      <c r="CH376" t="s">
        <v>3108</v>
      </c>
    </row>
    <row r="377" spans="1:86" x14ac:dyDescent="0.2">
      <c r="A377" t="s">
        <v>3933</v>
      </c>
      <c r="B377" t="s">
        <v>3933</v>
      </c>
      <c r="C377">
        <v>40665</v>
      </c>
      <c r="D377">
        <v>611</v>
      </c>
      <c r="E377" t="s">
        <v>3848</v>
      </c>
      <c r="F377">
        <v>200</v>
      </c>
      <c r="G377" t="s">
        <v>467</v>
      </c>
      <c r="H377">
        <v>200</v>
      </c>
      <c r="I377" t="s">
        <v>3840</v>
      </c>
      <c r="J377" t="s">
        <v>3250</v>
      </c>
      <c r="K377" t="s">
        <v>3250</v>
      </c>
      <c r="L377">
        <v>1200</v>
      </c>
      <c r="M377" t="s">
        <v>2368</v>
      </c>
      <c r="N377">
        <v>1204</v>
      </c>
      <c r="O377" t="s">
        <v>1574</v>
      </c>
      <c r="P377" t="s">
        <v>3108</v>
      </c>
      <c r="Q377" t="s">
        <v>3249</v>
      </c>
      <c r="R377" t="s">
        <v>3249</v>
      </c>
      <c r="S377" t="s">
        <v>810</v>
      </c>
      <c r="T377" t="s">
        <v>2759</v>
      </c>
      <c r="U377" t="s">
        <v>3250</v>
      </c>
      <c r="V377" t="s">
        <v>3250</v>
      </c>
      <c r="W377" t="s">
        <v>3250</v>
      </c>
      <c r="X377" t="s">
        <v>3250</v>
      </c>
      <c r="Y377" t="s">
        <v>3250</v>
      </c>
      <c r="Z377" t="s">
        <v>3250</v>
      </c>
      <c r="AA377" t="s">
        <v>3108</v>
      </c>
      <c r="AB377" t="s">
        <v>3108</v>
      </c>
      <c r="AC377" t="s">
        <v>3250</v>
      </c>
      <c r="AD377" t="s">
        <v>3250</v>
      </c>
      <c r="AE377" t="s">
        <v>3250</v>
      </c>
      <c r="AF377" t="s">
        <v>3250</v>
      </c>
      <c r="AG377" t="s">
        <v>3250</v>
      </c>
      <c r="AH377" t="s">
        <v>3250</v>
      </c>
      <c r="AI377" t="s">
        <v>3250</v>
      </c>
      <c r="AJ377" t="s">
        <v>3250</v>
      </c>
      <c r="AL377" t="s">
        <v>3250</v>
      </c>
      <c r="AM377" t="s">
        <v>3250</v>
      </c>
      <c r="AN377" t="s">
        <v>3250</v>
      </c>
      <c r="AO377" t="s">
        <v>3250</v>
      </c>
      <c r="AS377" t="s">
        <v>3250</v>
      </c>
      <c r="AT377" t="s">
        <v>3250</v>
      </c>
      <c r="AU377" t="s">
        <v>3250</v>
      </c>
      <c r="AV377" t="s">
        <v>3250</v>
      </c>
      <c r="AW377" t="s">
        <v>3250</v>
      </c>
      <c r="AX377" t="s">
        <v>3250</v>
      </c>
      <c r="AY377" t="s">
        <v>3250</v>
      </c>
      <c r="AZ377" t="s">
        <v>3250</v>
      </c>
      <c r="BA377" t="s">
        <v>3250</v>
      </c>
      <c r="BB377" t="s">
        <v>3250</v>
      </c>
      <c r="BC377" t="s">
        <v>3250</v>
      </c>
      <c r="BE377" t="s">
        <v>3250</v>
      </c>
      <c r="BF377" t="s">
        <v>3250</v>
      </c>
      <c r="BG377" t="s">
        <v>3250</v>
      </c>
      <c r="BH377" t="s">
        <v>3250</v>
      </c>
      <c r="BI377" t="s">
        <v>3250</v>
      </c>
      <c r="BK377" t="s">
        <v>3250</v>
      </c>
      <c r="BL377" t="s">
        <v>3250</v>
      </c>
      <c r="BM377" t="s">
        <v>3250</v>
      </c>
      <c r="BN377" t="s">
        <v>3250</v>
      </c>
      <c r="BP377">
        <v>1</v>
      </c>
      <c r="BQ377">
        <v>11</v>
      </c>
      <c r="BR377" t="s">
        <v>1574</v>
      </c>
      <c r="BS377" t="s">
        <v>3252</v>
      </c>
      <c r="BV377">
        <v>0</v>
      </c>
      <c r="BW377">
        <v>0</v>
      </c>
      <c r="BX377">
        <v>0</v>
      </c>
      <c r="BY377">
        <v>0</v>
      </c>
      <c r="BZ377">
        <v>0</v>
      </c>
      <c r="CA377">
        <v>0</v>
      </c>
      <c r="CB377">
        <v>0</v>
      </c>
      <c r="CC377">
        <v>0</v>
      </c>
      <c r="CD377">
        <v>0</v>
      </c>
      <c r="CE377" t="s">
        <v>3108</v>
      </c>
      <c r="CF377" t="s">
        <v>3108</v>
      </c>
      <c r="CG377" t="s">
        <v>3108</v>
      </c>
      <c r="CH377" t="s">
        <v>3108</v>
      </c>
    </row>
    <row r="378" spans="1:86" x14ac:dyDescent="0.2">
      <c r="A378" t="s">
        <v>3934</v>
      </c>
      <c r="B378" t="s">
        <v>3934</v>
      </c>
      <c r="C378">
        <v>40666</v>
      </c>
      <c r="D378">
        <v>612</v>
      </c>
      <c r="E378" t="s">
        <v>3850</v>
      </c>
      <c r="F378">
        <v>200</v>
      </c>
      <c r="G378" t="s">
        <v>467</v>
      </c>
      <c r="H378">
        <v>200</v>
      </c>
      <c r="I378" t="s">
        <v>3840</v>
      </c>
      <c r="J378" t="s">
        <v>3250</v>
      </c>
      <c r="K378" t="s">
        <v>3250</v>
      </c>
      <c r="L378">
        <v>1200</v>
      </c>
      <c r="M378" t="s">
        <v>2368</v>
      </c>
      <c r="N378">
        <v>1204</v>
      </c>
      <c r="O378" t="s">
        <v>1574</v>
      </c>
      <c r="P378" t="s">
        <v>3108</v>
      </c>
      <c r="Q378" t="s">
        <v>3249</v>
      </c>
      <c r="R378" t="s">
        <v>3249</v>
      </c>
      <c r="S378" t="s">
        <v>810</v>
      </c>
      <c r="T378" t="s">
        <v>2759</v>
      </c>
      <c r="U378" t="s">
        <v>3250</v>
      </c>
      <c r="V378" t="s">
        <v>3250</v>
      </c>
      <c r="W378" t="s">
        <v>3250</v>
      </c>
      <c r="X378" t="s">
        <v>3250</v>
      </c>
      <c r="Y378" t="s">
        <v>3250</v>
      </c>
      <c r="Z378" t="s">
        <v>3250</v>
      </c>
      <c r="AA378" t="s">
        <v>3108</v>
      </c>
      <c r="AB378" t="s">
        <v>3108</v>
      </c>
      <c r="AC378" t="s">
        <v>3250</v>
      </c>
      <c r="AD378" t="s">
        <v>3250</v>
      </c>
      <c r="AE378" t="s">
        <v>3250</v>
      </c>
      <c r="AF378" t="s">
        <v>3250</v>
      </c>
      <c r="AG378" t="s">
        <v>3250</v>
      </c>
      <c r="AH378" t="s">
        <v>3250</v>
      </c>
      <c r="AI378" t="s">
        <v>3250</v>
      </c>
      <c r="AJ378" t="s">
        <v>3250</v>
      </c>
      <c r="AL378" t="s">
        <v>3250</v>
      </c>
      <c r="AM378" t="s">
        <v>3250</v>
      </c>
      <c r="AN378" t="s">
        <v>3250</v>
      </c>
      <c r="AO378" t="s">
        <v>3250</v>
      </c>
      <c r="AS378" t="s">
        <v>3250</v>
      </c>
      <c r="AT378" t="s">
        <v>3250</v>
      </c>
      <c r="AU378" t="s">
        <v>3250</v>
      </c>
      <c r="AV378" t="s">
        <v>3250</v>
      </c>
      <c r="AW378" t="s">
        <v>3250</v>
      </c>
      <c r="AX378" t="s">
        <v>3250</v>
      </c>
      <c r="AY378" t="s">
        <v>3250</v>
      </c>
      <c r="AZ378" t="s">
        <v>3250</v>
      </c>
      <c r="BA378" t="s">
        <v>3250</v>
      </c>
      <c r="BB378" t="s">
        <v>3250</v>
      </c>
      <c r="BC378" t="s">
        <v>3250</v>
      </c>
      <c r="BE378" t="s">
        <v>3250</v>
      </c>
      <c r="BF378" t="s">
        <v>3250</v>
      </c>
      <c r="BG378" t="s">
        <v>3250</v>
      </c>
      <c r="BH378" t="s">
        <v>3250</v>
      </c>
      <c r="BI378" t="s">
        <v>3250</v>
      </c>
      <c r="BK378" t="s">
        <v>3250</v>
      </c>
      <c r="BL378" t="s">
        <v>3250</v>
      </c>
      <c r="BM378" t="s">
        <v>3250</v>
      </c>
      <c r="BN378" t="s">
        <v>3250</v>
      </c>
      <c r="BP378">
        <v>1</v>
      </c>
      <c r="BQ378">
        <v>11</v>
      </c>
      <c r="BR378" t="s">
        <v>1574</v>
      </c>
      <c r="BS378" t="s">
        <v>3252</v>
      </c>
      <c r="BV378">
        <v>0</v>
      </c>
      <c r="BW378">
        <v>0</v>
      </c>
      <c r="BX378">
        <v>0</v>
      </c>
      <c r="BY378">
        <v>0</v>
      </c>
      <c r="BZ378">
        <v>0</v>
      </c>
      <c r="CA378">
        <v>0</v>
      </c>
      <c r="CB378">
        <v>0</v>
      </c>
      <c r="CC378">
        <v>0</v>
      </c>
      <c r="CD378">
        <v>0</v>
      </c>
      <c r="CE378" t="s">
        <v>3108</v>
      </c>
      <c r="CF378" t="s">
        <v>3108</v>
      </c>
      <c r="CG378" t="s">
        <v>3108</v>
      </c>
      <c r="CH378" t="s">
        <v>3108</v>
      </c>
    </row>
    <row r="379" spans="1:86" x14ac:dyDescent="0.2">
      <c r="A379" t="s">
        <v>3935</v>
      </c>
      <c r="B379" t="s">
        <v>3935</v>
      </c>
      <c r="C379">
        <v>40667</v>
      </c>
      <c r="D379">
        <v>613</v>
      </c>
      <c r="E379" t="s">
        <v>3852</v>
      </c>
      <c r="F379">
        <v>200</v>
      </c>
      <c r="G379" t="s">
        <v>467</v>
      </c>
      <c r="H379">
        <v>200</v>
      </c>
      <c r="I379" t="s">
        <v>3840</v>
      </c>
      <c r="J379" t="s">
        <v>3250</v>
      </c>
      <c r="K379" t="s">
        <v>3250</v>
      </c>
      <c r="L379">
        <v>1200</v>
      </c>
      <c r="M379" t="s">
        <v>2368</v>
      </c>
      <c r="N379">
        <v>1204</v>
      </c>
      <c r="O379" t="s">
        <v>1574</v>
      </c>
      <c r="P379" t="s">
        <v>3108</v>
      </c>
      <c r="Q379" t="s">
        <v>3249</v>
      </c>
      <c r="R379" t="s">
        <v>3249</v>
      </c>
      <c r="S379" t="s">
        <v>810</v>
      </c>
      <c r="T379" t="s">
        <v>2759</v>
      </c>
      <c r="U379" t="s">
        <v>3250</v>
      </c>
      <c r="V379" t="s">
        <v>3250</v>
      </c>
      <c r="W379" t="s">
        <v>3250</v>
      </c>
      <c r="X379" t="s">
        <v>3250</v>
      </c>
      <c r="Y379" t="s">
        <v>3250</v>
      </c>
      <c r="Z379" t="s">
        <v>3250</v>
      </c>
      <c r="AA379" t="s">
        <v>3108</v>
      </c>
      <c r="AB379" t="s">
        <v>3108</v>
      </c>
      <c r="AC379" t="s">
        <v>3250</v>
      </c>
      <c r="AD379" t="s">
        <v>3250</v>
      </c>
      <c r="AE379" t="s">
        <v>3250</v>
      </c>
      <c r="AF379" t="s">
        <v>3250</v>
      </c>
      <c r="AG379" t="s">
        <v>3250</v>
      </c>
      <c r="AH379" t="s">
        <v>3250</v>
      </c>
      <c r="AI379" t="s">
        <v>3250</v>
      </c>
      <c r="AJ379" t="s">
        <v>3250</v>
      </c>
      <c r="AL379" t="s">
        <v>3250</v>
      </c>
      <c r="AM379" t="s">
        <v>3250</v>
      </c>
      <c r="AN379" t="s">
        <v>3250</v>
      </c>
      <c r="AO379" t="s">
        <v>3250</v>
      </c>
      <c r="AS379" t="s">
        <v>3250</v>
      </c>
      <c r="AT379" t="s">
        <v>3250</v>
      </c>
      <c r="AU379" t="s">
        <v>3250</v>
      </c>
      <c r="AV379" t="s">
        <v>3250</v>
      </c>
      <c r="AW379" t="s">
        <v>3250</v>
      </c>
      <c r="AX379" t="s">
        <v>3250</v>
      </c>
      <c r="AY379" t="s">
        <v>3250</v>
      </c>
      <c r="AZ379" t="s">
        <v>3250</v>
      </c>
      <c r="BA379" t="s">
        <v>3250</v>
      </c>
      <c r="BB379" t="s">
        <v>3250</v>
      </c>
      <c r="BC379" t="s">
        <v>3250</v>
      </c>
      <c r="BE379" t="s">
        <v>3250</v>
      </c>
      <c r="BF379" t="s">
        <v>3250</v>
      </c>
      <c r="BG379" t="s">
        <v>3250</v>
      </c>
      <c r="BH379" t="s">
        <v>3250</v>
      </c>
      <c r="BI379" t="s">
        <v>3250</v>
      </c>
      <c r="BK379" t="s">
        <v>3250</v>
      </c>
      <c r="BL379" t="s">
        <v>3250</v>
      </c>
      <c r="BM379" t="s">
        <v>3250</v>
      </c>
      <c r="BN379" t="s">
        <v>3250</v>
      </c>
      <c r="BP379">
        <v>1</v>
      </c>
      <c r="BQ379">
        <v>11</v>
      </c>
      <c r="BR379" t="s">
        <v>1574</v>
      </c>
      <c r="BS379" t="s">
        <v>3252</v>
      </c>
      <c r="BV379">
        <v>0</v>
      </c>
      <c r="BW379">
        <v>0</v>
      </c>
      <c r="BX379">
        <v>0</v>
      </c>
      <c r="BY379">
        <v>0</v>
      </c>
      <c r="BZ379">
        <v>0</v>
      </c>
      <c r="CA379">
        <v>0</v>
      </c>
      <c r="CB379">
        <v>0</v>
      </c>
      <c r="CC379">
        <v>0</v>
      </c>
      <c r="CD379">
        <v>0</v>
      </c>
      <c r="CE379" t="s">
        <v>3108</v>
      </c>
      <c r="CF379" t="s">
        <v>3108</v>
      </c>
      <c r="CG379" t="s">
        <v>3108</v>
      </c>
      <c r="CH379" t="s">
        <v>3108</v>
      </c>
    </row>
    <row r="380" spans="1:86" x14ac:dyDescent="0.2">
      <c r="A380" t="s">
        <v>3936</v>
      </c>
      <c r="B380" t="s">
        <v>3936</v>
      </c>
      <c r="C380">
        <v>40668</v>
      </c>
      <c r="D380">
        <v>614</v>
      </c>
      <c r="E380" t="s">
        <v>3854</v>
      </c>
      <c r="F380">
        <v>200</v>
      </c>
      <c r="G380" t="s">
        <v>467</v>
      </c>
      <c r="H380">
        <v>200</v>
      </c>
      <c r="I380" t="s">
        <v>3840</v>
      </c>
      <c r="J380" t="s">
        <v>3250</v>
      </c>
      <c r="K380" t="s">
        <v>3250</v>
      </c>
      <c r="L380">
        <v>1200</v>
      </c>
      <c r="M380" t="s">
        <v>2368</v>
      </c>
      <c r="N380">
        <v>1204</v>
      </c>
      <c r="O380" t="s">
        <v>1574</v>
      </c>
      <c r="P380" t="s">
        <v>3108</v>
      </c>
      <c r="Q380" t="s">
        <v>3249</v>
      </c>
      <c r="R380" t="s">
        <v>3249</v>
      </c>
      <c r="S380" t="s">
        <v>810</v>
      </c>
      <c r="T380" t="s">
        <v>2759</v>
      </c>
      <c r="U380" t="s">
        <v>3250</v>
      </c>
      <c r="V380" t="s">
        <v>3250</v>
      </c>
      <c r="W380" t="s">
        <v>3250</v>
      </c>
      <c r="X380" t="s">
        <v>3250</v>
      </c>
      <c r="Y380" t="s">
        <v>3250</v>
      </c>
      <c r="Z380" t="s">
        <v>3250</v>
      </c>
      <c r="AA380" t="s">
        <v>3108</v>
      </c>
      <c r="AB380" t="s">
        <v>3108</v>
      </c>
      <c r="AC380" t="s">
        <v>3250</v>
      </c>
      <c r="AD380" t="s">
        <v>3250</v>
      </c>
      <c r="AE380" t="s">
        <v>3250</v>
      </c>
      <c r="AF380" t="s">
        <v>3250</v>
      </c>
      <c r="AG380" t="s">
        <v>3250</v>
      </c>
      <c r="AH380" t="s">
        <v>3250</v>
      </c>
      <c r="AI380" t="s">
        <v>3250</v>
      </c>
      <c r="AJ380" t="s">
        <v>3250</v>
      </c>
      <c r="AL380" t="s">
        <v>3250</v>
      </c>
      <c r="AM380" t="s">
        <v>3250</v>
      </c>
      <c r="AN380" t="s">
        <v>3250</v>
      </c>
      <c r="AO380" t="s">
        <v>3250</v>
      </c>
      <c r="AS380" t="s">
        <v>3250</v>
      </c>
      <c r="AT380" t="s">
        <v>3250</v>
      </c>
      <c r="AU380" t="s">
        <v>3250</v>
      </c>
      <c r="AV380" t="s">
        <v>3250</v>
      </c>
      <c r="AW380" t="s">
        <v>3250</v>
      </c>
      <c r="AX380" t="s">
        <v>3250</v>
      </c>
      <c r="AY380" t="s">
        <v>3250</v>
      </c>
      <c r="AZ380" t="s">
        <v>3250</v>
      </c>
      <c r="BA380" t="s">
        <v>3250</v>
      </c>
      <c r="BB380" t="s">
        <v>3250</v>
      </c>
      <c r="BC380" t="s">
        <v>3250</v>
      </c>
      <c r="BE380" t="s">
        <v>3250</v>
      </c>
      <c r="BF380" t="s">
        <v>3250</v>
      </c>
      <c r="BG380" t="s">
        <v>3250</v>
      </c>
      <c r="BH380" t="s">
        <v>3250</v>
      </c>
      <c r="BI380" t="s">
        <v>3250</v>
      </c>
      <c r="BK380" t="s">
        <v>3250</v>
      </c>
      <c r="BL380" t="s">
        <v>3250</v>
      </c>
      <c r="BM380" t="s">
        <v>3250</v>
      </c>
      <c r="BN380" t="s">
        <v>3250</v>
      </c>
      <c r="BP380">
        <v>1</v>
      </c>
      <c r="BQ380">
        <v>11</v>
      </c>
      <c r="BR380" t="s">
        <v>1574</v>
      </c>
      <c r="BS380" t="s">
        <v>3252</v>
      </c>
      <c r="BV380">
        <v>0</v>
      </c>
      <c r="BW380">
        <v>0</v>
      </c>
      <c r="BX380">
        <v>0</v>
      </c>
      <c r="BY380">
        <v>0</v>
      </c>
      <c r="BZ380">
        <v>0</v>
      </c>
      <c r="CA380">
        <v>0</v>
      </c>
      <c r="CB380">
        <v>0</v>
      </c>
      <c r="CC380">
        <v>0</v>
      </c>
      <c r="CD380">
        <v>0</v>
      </c>
      <c r="CE380" t="s">
        <v>3108</v>
      </c>
      <c r="CF380" t="s">
        <v>3108</v>
      </c>
      <c r="CG380" t="s">
        <v>3108</v>
      </c>
      <c r="CH380" t="s">
        <v>3108</v>
      </c>
    </row>
    <row r="381" spans="1:86" x14ac:dyDescent="0.2">
      <c r="A381" t="s">
        <v>3937</v>
      </c>
      <c r="B381" t="s">
        <v>3937</v>
      </c>
      <c r="C381">
        <v>40669</v>
      </c>
      <c r="D381">
        <v>615</v>
      </c>
      <c r="E381" t="s">
        <v>3856</v>
      </c>
      <c r="F381">
        <v>200</v>
      </c>
      <c r="G381" t="s">
        <v>467</v>
      </c>
      <c r="H381">
        <v>200</v>
      </c>
      <c r="I381" t="s">
        <v>3840</v>
      </c>
      <c r="J381" t="s">
        <v>3250</v>
      </c>
      <c r="K381" t="s">
        <v>3250</v>
      </c>
      <c r="L381">
        <v>1200</v>
      </c>
      <c r="M381" t="s">
        <v>2368</v>
      </c>
      <c r="N381">
        <v>1204</v>
      </c>
      <c r="O381" t="s">
        <v>1574</v>
      </c>
      <c r="P381" t="s">
        <v>3108</v>
      </c>
      <c r="Q381" t="s">
        <v>3249</v>
      </c>
      <c r="R381" t="s">
        <v>3249</v>
      </c>
      <c r="S381" t="s">
        <v>810</v>
      </c>
      <c r="T381" t="s">
        <v>2759</v>
      </c>
      <c r="U381" t="s">
        <v>3250</v>
      </c>
      <c r="V381" t="s">
        <v>3250</v>
      </c>
      <c r="W381" t="s">
        <v>3250</v>
      </c>
      <c r="X381" t="s">
        <v>3250</v>
      </c>
      <c r="Y381" t="s">
        <v>3250</v>
      </c>
      <c r="Z381" t="s">
        <v>3250</v>
      </c>
      <c r="AA381" t="s">
        <v>3108</v>
      </c>
      <c r="AB381" t="s">
        <v>3108</v>
      </c>
      <c r="AC381" t="s">
        <v>3250</v>
      </c>
      <c r="AD381" t="s">
        <v>3250</v>
      </c>
      <c r="AE381" t="s">
        <v>3250</v>
      </c>
      <c r="AF381" t="s">
        <v>3250</v>
      </c>
      <c r="AG381" t="s">
        <v>3250</v>
      </c>
      <c r="AH381" t="s">
        <v>3250</v>
      </c>
      <c r="AI381" t="s">
        <v>3250</v>
      </c>
      <c r="AJ381" t="s">
        <v>3250</v>
      </c>
      <c r="AL381" t="s">
        <v>3250</v>
      </c>
      <c r="AM381" t="s">
        <v>3250</v>
      </c>
      <c r="AN381" t="s">
        <v>3250</v>
      </c>
      <c r="AO381" t="s">
        <v>3250</v>
      </c>
      <c r="AS381" t="s">
        <v>3250</v>
      </c>
      <c r="AT381" t="s">
        <v>3250</v>
      </c>
      <c r="AU381" t="s">
        <v>3250</v>
      </c>
      <c r="AV381" t="s">
        <v>3250</v>
      </c>
      <c r="AW381" t="s">
        <v>3250</v>
      </c>
      <c r="AX381" t="s">
        <v>3250</v>
      </c>
      <c r="AY381" t="s">
        <v>3250</v>
      </c>
      <c r="AZ381" t="s">
        <v>3250</v>
      </c>
      <c r="BA381" t="s">
        <v>3250</v>
      </c>
      <c r="BB381" t="s">
        <v>3250</v>
      </c>
      <c r="BC381" t="s">
        <v>3250</v>
      </c>
      <c r="BE381" t="s">
        <v>3250</v>
      </c>
      <c r="BF381" t="s">
        <v>3250</v>
      </c>
      <c r="BG381" t="s">
        <v>3250</v>
      </c>
      <c r="BH381" t="s">
        <v>3250</v>
      </c>
      <c r="BI381" t="s">
        <v>3250</v>
      </c>
      <c r="BK381" t="s">
        <v>3250</v>
      </c>
      <c r="BL381" t="s">
        <v>3250</v>
      </c>
      <c r="BM381" t="s">
        <v>3250</v>
      </c>
      <c r="BN381" t="s">
        <v>3250</v>
      </c>
      <c r="BP381">
        <v>1</v>
      </c>
      <c r="BQ381">
        <v>11</v>
      </c>
      <c r="BR381" t="s">
        <v>1574</v>
      </c>
      <c r="BS381" t="s">
        <v>3252</v>
      </c>
      <c r="BV381">
        <v>0</v>
      </c>
      <c r="BW381">
        <v>0</v>
      </c>
      <c r="BX381">
        <v>0</v>
      </c>
      <c r="BY381">
        <v>0</v>
      </c>
      <c r="BZ381">
        <v>0</v>
      </c>
      <c r="CA381">
        <v>0</v>
      </c>
      <c r="CB381">
        <v>0</v>
      </c>
      <c r="CC381">
        <v>0</v>
      </c>
      <c r="CD381">
        <v>0</v>
      </c>
      <c r="CE381" t="s">
        <v>3108</v>
      </c>
      <c r="CF381" t="s">
        <v>3108</v>
      </c>
      <c r="CG381" t="s">
        <v>3108</v>
      </c>
      <c r="CH381" t="s">
        <v>3108</v>
      </c>
    </row>
    <row r="382" spans="1:86" x14ac:dyDescent="0.2">
      <c r="A382" t="s">
        <v>3938</v>
      </c>
      <c r="B382" t="s">
        <v>3938</v>
      </c>
      <c r="C382">
        <v>40670</v>
      </c>
      <c r="D382">
        <v>616</v>
      </c>
      <c r="E382" t="s">
        <v>3858</v>
      </c>
      <c r="F382">
        <v>200</v>
      </c>
      <c r="G382" t="s">
        <v>467</v>
      </c>
      <c r="H382">
        <v>200</v>
      </c>
      <c r="I382" t="s">
        <v>3840</v>
      </c>
      <c r="J382" t="s">
        <v>3250</v>
      </c>
      <c r="K382" t="s">
        <v>3250</v>
      </c>
      <c r="L382">
        <v>1200</v>
      </c>
      <c r="M382" t="s">
        <v>2368</v>
      </c>
      <c r="N382">
        <v>1204</v>
      </c>
      <c r="O382" t="s">
        <v>1574</v>
      </c>
      <c r="P382" t="s">
        <v>3108</v>
      </c>
      <c r="Q382" t="s">
        <v>3249</v>
      </c>
      <c r="R382" t="s">
        <v>3249</v>
      </c>
      <c r="S382" t="s">
        <v>810</v>
      </c>
      <c r="T382" t="s">
        <v>2759</v>
      </c>
      <c r="U382" t="s">
        <v>3250</v>
      </c>
      <c r="V382" t="s">
        <v>3250</v>
      </c>
      <c r="W382" t="s">
        <v>3250</v>
      </c>
      <c r="X382" t="s">
        <v>3250</v>
      </c>
      <c r="Y382" t="s">
        <v>3250</v>
      </c>
      <c r="Z382" t="s">
        <v>3250</v>
      </c>
      <c r="AA382" t="s">
        <v>3108</v>
      </c>
      <c r="AB382" t="s">
        <v>3108</v>
      </c>
      <c r="AC382" t="s">
        <v>3250</v>
      </c>
      <c r="AD382" t="s">
        <v>3250</v>
      </c>
      <c r="AE382" t="s">
        <v>3250</v>
      </c>
      <c r="AF382" t="s">
        <v>3250</v>
      </c>
      <c r="AG382" t="s">
        <v>3250</v>
      </c>
      <c r="AH382" t="s">
        <v>3250</v>
      </c>
      <c r="AI382" t="s">
        <v>3250</v>
      </c>
      <c r="AJ382" t="s">
        <v>3250</v>
      </c>
      <c r="AL382" t="s">
        <v>3250</v>
      </c>
      <c r="AM382" t="s">
        <v>3250</v>
      </c>
      <c r="AN382" t="s">
        <v>3250</v>
      </c>
      <c r="AO382" t="s">
        <v>3250</v>
      </c>
      <c r="AS382" t="s">
        <v>3250</v>
      </c>
      <c r="AT382" t="s">
        <v>3250</v>
      </c>
      <c r="AU382" t="s">
        <v>3250</v>
      </c>
      <c r="AV382" t="s">
        <v>3250</v>
      </c>
      <c r="AW382" t="s">
        <v>3250</v>
      </c>
      <c r="AX382" t="s">
        <v>3250</v>
      </c>
      <c r="AY382" t="s">
        <v>3250</v>
      </c>
      <c r="AZ382" t="s">
        <v>3250</v>
      </c>
      <c r="BA382" t="s">
        <v>3250</v>
      </c>
      <c r="BB382" t="s">
        <v>3250</v>
      </c>
      <c r="BC382" t="s">
        <v>3250</v>
      </c>
      <c r="BE382" t="s">
        <v>3250</v>
      </c>
      <c r="BF382" t="s">
        <v>3250</v>
      </c>
      <c r="BG382" t="s">
        <v>3250</v>
      </c>
      <c r="BH382" t="s">
        <v>3250</v>
      </c>
      <c r="BI382" t="s">
        <v>3250</v>
      </c>
      <c r="BK382" t="s">
        <v>3250</v>
      </c>
      <c r="BL382" t="s">
        <v>3250</v>
      </c>
      <c r="BM382" t="s">
        <v>3250</v>
      </c>
      <c r="BN382" t="s">
        <v>3250</v>
      </c>
      <c r="BP382">
        <v>1</v>
      </c>
      <c r="BQ382">
        <v>11</v>
      </c>
      <c r="BR382" t="s">
        <v>1574</v>
      </c>
      <c r="BS382" t="s">
        <v>3252</v>
      </c>
      <c r="BV382">
        <v>0</v>
      </c>
      <c r="BW382">
        <v>0</v>
      </c>
      <c r="BX382">
        <v>0</v>
      </c>
      <c r="BY382">
        <v>0</v>
      </c>
      <c r="BZ382">
        <v>0</v>
      </c>
      <c r="CA382">
        <v>0</v>
      </c>
      <c r="CB382">
        <v>0</v>
      </c>
      <c r="CC382">
        <v>0</v>
      </c>
      <c r="CD382">
        <v>0</v>
      </c>
      <c r="CE382" t="s">
        <v>3108</v>
      </c>
      <c r="CF382" t="s">
        <v>3108</v>
      </c>
      <c r="CG382" t="s">
        <v>3108</v>
      </c>
      <c r="CH382" t="s">
        <v>3108</v>
      </c>
    </row>
    <row r="383" spans="1:86" x14ac:dyDescent="0.2">
      <c r="A383" t="s">
        <v>3939</v>
      </c>
      <c r="B383" t="s">
        <v>3939</v>
      </c>
      <c r="C383">
        <v>40671</v>
      </c>
      <c r="D383">
        <v>617</v>
      </c>
      <c r="E383" t="s">
        <v>3860</v>
      </c>
      <c r="F383">
        <v>200</v>
      </c>
      <c r="G383" t="s">
        <v>467</v>
      </c>
      <c r="H383">
        <v>200</v>
      </c>
      <c r="I383" t="s">
        <v>3840</v>
      </c>
      <c r="J383" t="s">
        <v>3250</v>
      </c>
      <c r="K383" t="s">
        <v>3250</v>
      </c>
      <c r="L383">
        <v>1200</v>
      </c>
      <c r="M383" t="s">
        <v>2368</v>
      </c>
      <c r="N383">
        <v>1204</v>
      </c>
      <c r="O383" t="s">
        <v>1574</v>
      </c>
      <c r="P383" t="s">
        <v>3108</v>
      </c>
      <c r="Q383" t="s">
        <v>3249</v>
      </c>
      <c r="R383" t="s">
        <v>3249</v>
      </c>
      <c r="S383" t="s">
        <v>810</v>
      </c>
      <c r="T383" t="s">
        <v>2759</v>
      </c>
      <c r="U383" t="s">
        <v>3250</v>
      </c>
      <c r="V383" t="s">
        <v>3250</v>
      </c>
      <c r="W383" t="s">
        <v>3250</v>
      </c>
      <c r="X383" t="s">
        <v>3250</v>
      </c>
      <c r="Y383" t="s">
        <v>3250</v>
      </c>
      <c r="Z383" t="s">
        <v>3250</v>
      </c>
      <c r="AA383" t="s">
        <v>3108</v>
      </c>
      <c r="AB383" t="s">
        <v>3108</v>
      </c>
      <c r="AC383" t="s">
        <v>3250</v>
      </c>
      <c r="AD383" t="s">
        <v>3250</v>
      </c>
      <c r="AE383" t="s">
        <v>3250</v>
      </c>
      <c r="AF383" t="s">
        <v>3250</v>
      </c>
      <c r="AG383" t="s">
        <v>3250</v>
      </c>
      <c r="AH383" t="s">
        <v>3250</v>
      </c>
      <c r="AI383" t="s">
        <v>3250</v>
      </c>
      <c r="AJ383" t="s">
        <v>3250</v>
      </c>
      <c r="AL383" t="s">
        <v>3250</v>
      </c>
      <c r="AM383" t="s">
        <v>3250</v>
      </c>
      <c r="AN383" t="s">
        <v>3250</v>
      </c>
      <c r="AO383" t="s">
        <v>3250</v>
      </c>
      <c r="AS383" t="s">
        <v>3250</v>
      </c>
      <c r="AT383" t="s">
        <v>3250</v>
      </c>
      <c r="AU383" t="s">
        <v>3250</v>
      </c>
      <c r="AV383" t="s">
        <v>3250</v>
      </c>
      <c r="AW383" t="s">
        <v>3250</v>
      </c>
      <c r="AX383" t="s">
        <v>3250</v>
      </c>
      <c r="AY383" t="s">
        <v>3250</v>
      </c>
      <c r="AZ383" t="s">
        <v>3250</v>
      </c>
      <c r="BA383" t="s">
        <v>3250</v>
      </c>
      <c r="BB383" t="s">
        <v>3250</v>
      </c>
      <c r="BC383" t="s">
        <v>3250</v>
      </c>
      <c r="BE383" t="s">
        <v>3250</v>
      </c>
      <c r="BF383" t="s">
        <v>3250</v>
      </c>
      <c r="BG383" t="s">
        <v>3250</v>
      </c>
      <c r="BH383" t="s">
        <v>3250</v>
      </c>
      <c r="BI383" t="s">
        <v>3250</v>
      </c>
      <c r="BK383" t="s">
        <v>3250</v>
      </c>
      <c r="BL383" t="s">
        <v>3250</v>
      </c>
      <c r="BM383" t="s">
        <v>3250</v>
      </c>
      <c r="BN383" t="s">
        <v>3250</v>
      </c>
      <c r="BP383">
        <v>1</v>
      </c>
      <c r="BQ383">
        <v>11</v>
      </c>
      <c r="BR383" t="s">
        <v>1574</v>
      </c>
      <c r="BS383" t="s">
        <v>3252</v>
      </c>
      <c r="BV383">
        <v>0</v>
      </c>
      <c r="BW383">
        <v>0</v>
      </c>
      <c r="BX383">
        <v>0</v>
      </c>
      <c r="BY383">
        <v>0</v>
      </c>
      <c r="BZ383">
        <v>0</v>
      </c>
      <c r="CA383">
        <v>0</v>
      </c>
      <c r="CB383">
        <v>0</v>
      </c>
      <c r="CC383">
        <v>0</v>
      </c>
      <c r="CD383">
        <v>0</v>
      </c>
      <c r="CE383" t="s">
        <v>3108</v>
      </c>
      <c r="CF383" t="s">
        <v>3108</v>
      </c>
      <c r="CG383" t="s">
        <v>3108</v>
      </c>
      <c r="CH383" t="s">
        <v>3108</v>
      </c>
    </row>
    <row r="384" spans="1:86" x14ac:dyDescent="0.2">
      <c r="A384" t="s">
        <v>3940</v>
      </c>
      <c r="B384" t="s">
        <v>3940</v>
      </c>
      <c r="C384">
        <v>40672</v>
      </c>
      <c r="D384">
        <v>618</v>
      </c>
      <c r="E384" t="s">
        <v>3862</v>
      </c>
      <c r="F384">
        <v>200</v>
      </c>
      <c r="G384" t="s">
        <v>467</v>
      </c>
      <c r="H384">
        <v>200</v>
      </c>
      <c r="I384" t="s">
        <v>3840</v>
      </c>
      <c r="J384" t="s">
        <v>3250</v>
      </c>
      <c r="K384" t="s">
        <v>3250</v>
      </c>
      <c r="L384">
        <v>1200</v>
      </c>
      <c r="M384" t="s">
        <v>2368</v>
      </c>
      <c r="N384">
        <v>1204</v>
      </c>
      <c r="O384" t="s">
        <v>1574</v>
      </c>
      <c r="P384" t="s">
        <v>3108</v>
      </c>
      <c r="Q384" t="s">
        <v>3249</v>
      </c>
      <c r="R384" t="s">
        <v>3249</v>
      </c>
      <c r="S384" t="s">
        <v>810</v>
      </c>
      <c r="T384" t="s">
        <v>2759</v>
      </c>
      <c r="U384" t="s">
        <v>3250</v>
      </c>
      <c r="V384" t="s">
        <v>3250</v>
      </c>
      <c r="W384" t="s">
        <v>3250</v>
      </c>
      <c r="X384" t="s">
        <v>3250</v>
      </c>
      <c r="Y384" t="s">
        <v>3250</v>
      </c>
      <c r="Z384" t="s">
        <v>3250</v>
      </c>
      <c r="AA384" t="s">
        <v>3108</v>
      </c>
      <c r="AB384" t="s">
        <v>3108</v>
      </c>
      <c r="AC384" t="s">
        <v>3250</v>
      </c>
      <c r="AD384" t="s">
        <v>3250</v>
      </c>
      <c r="AE384" t="s">
        <v>3250</v>
      </c>
      <c r="AF384" t="s">
        <v>3250</v>
      </c>
      <c r="AG384" t="s">
        <v>3250</v>
      </c>
      <c r="AH384" t="s">
        <v>3250</v>
      </c>
      <c r="AI384" t="s">
        <v>3250</v>
      </c>
      <c r="AJ384" t="s">
        <v>3250</v>
      </c>
      <c r="AL384" t="s">
        <v>3250</v>
      </c>
      <c r="AM384" t="s">
        <v>3250</v>
      </c>
      <c r="AN384" t="s">
        <v>3250</v>
      </c>
      <c r="AO384" t="s">
        <v>3250</v>
      </c>
      <c r="AS384" t="s">
        <v>3250</v>
      </c>
      <c r="AT384" t="s">
        <v>3250</v>
      </c>
      <c r="AU384" t="s">
        <v>3250</v>
      </c>
      <c r="AV384" t="s">
        <v>3250</v>
      </c>
      <c r="AW384" t="s">
        <v>3250</v>
      </c>
      <c r="AX384" t="s">
        <v>3250</v>
      </c>
      <c r="AY384" t="s">
        <v>3250</v>
      </c>
      <c r="AZ384" t="s">
        <v>3250</v>
      </c>
      <c r="BA384" t="s">
        <v>3250</v>
      </c>
      <c r="BB384" t="s">
        <v>3250</v>
      </c>
      <c r="BC384" t="s">
        <v>3250</v>
      </c>
      <c r="BE384" t="s">
        <v>3250</v>
      </c>
      <c r="BF384" t="s">
        <v>3250</v>
      </c>
      <c r="BG384" t="s">
        <v>3250</v>
      </c>
      <c r="BH384" t="s">
        <v>3250</v>
      </c>
      <c r="BI384" t="s">
        <v>3250</v>
      </c>
      <c r="BK384" t="s">
        <v>3250</v>
      </c>
      <c r="BL384" t="s">
        <v>3250</v>
      </c>
      <c r="BM384" t="s">
        <v>3250</v>
      </c>
      <c r="BN384" t="s">
        <v>3250</v>
      </c>
      <c r="BP384">
        <v>1</v>
      </c>
      <c r="BQ384">
        <v>11</v>
      </c>
      <c r="BR384" t="s">
        <v>1574</v>
      </c>
      <c r="BS384" t="s">
        <v>3252</v>
      </c>
      <c r="BV384">
        <v>0</v>
      </c>
      <c r="BW384">
        <v>0</v>
      </c>
      <c r="BX384">
        <v>0</v>
      </c>
      <c r="BY384">
        <v>0</v>
      </c>
      <c r="BZ384">
        <v>0</v>
      </c>
      <c r="CA384">
        <v>0</v>
      </c>
      <c r="CB384">
        <v>0</v>
      </c>
      <c r="CC384">
        <v>0</v>
      </c>
      <c r="CD384">
        <v>0</v>
      </c>
      <c r="CE384" t="s">
        <v>3108</v>
      </c>
      <c r="CF384" t="s">
        <v>3108</v>
      </c>
      <c r="CG384" t="s">
        <v>3108</v>
      </c>
      <c r="CH384" t="s">
        <v>3108</v>
      </c>
    </row>
    <row r="385" spans="1:86" x14ac:dyDescent="0.2">
      <c r="A385" t="s">
        <v>3941</v>
      </c>
      <c r="B385" t="s">
        <v>3941</v>
      </c>
      <c r="C385">
        <v>40673</v>
      </c>
      <c r="D385">
        <v>619</v>
      </c>
      <c r="E385" t="s">
        <v>3864</v>
      </c>
      <c r="F385">
        <v>200</v>
      </c>
      <c r="G385" t="s">
        <v>467</v>
      </c>
      <c r="H385">
        <v>200</v>
      </c>
      <c r="I385" t="s">
        <v>3840</v>
      </c>
      <c r="J385" t="s">
        <v>3250</v>
      </c>
      <c r="K385" t="s">
        <v>3250</v>
      </c>
      <c r="L385">
        <v>1200</v>
      </c>
      <c r="M385" t="s">
        <v>2368</v>
      </c>
      <c r="N385">
        <v>1204</v>
      </c>
      <c r="O385" t="s">
        <v>1574</v>
      </c>
      <c r="P385" t="s">
        <v>3108</v>
      </c>
      <c r="Q385" t="s">
        <v>3249</v>
      </c>
      <c r="R385" t="s">
        <v>3249</v>
      </c>
      <c r="S385" t="s">
        <v>810</v>
      </c>
      <c r="T385" t="s">
        <v>2759</v>
      </c>
      <c r="U385" t="s">
        <v>3250</v>
      </c>
      <c r="V385" t="s">
        <v>3250</v>
      </c>
      <c r="W385" t="s">
        <v>3250</v>
      </c>
      <c r="X385" t="s">
        <v>3250</v>
      </c>
      <c r="Y385" t="s">
        <v>3250</v>
      </c>
      <c r="Z385" t="s">
        <v>3250</v>
      </c>
      <c r="AA385" t="s">
        <v>3108</v>
      </c>
      <c r="AB385" t="s">
        <v>3108</v>
      </c>
      <c r="AC385" t="s">
        <v>3250</v>
      </c>
      <c r="AD385" t="s">
        <v>3250</v>
      </c>
      <c r="AE385" t="s">
        <v>3250</v>
      </c>
      <c r="AF385" t="s">
        <v>3250</v>
      </c>
      <c r="AG385" t="s">
        <v>3250</v>
      </c>
      <c r="AH385" t="s">
        <v>3250</v>
      </c>
      <c r="AI385" t="s">
        <v>3250</v>
      </c>
      <c r="AJ385" t="s">
        <v>3250</v>
      </c>
      <c r="AL385" t="s">
        <v>3250</v>
      </c>
      <c r="AM385" t="s">
        <v>3250</v>
      </c>
      <c r="AN385" t="s">
        <v>3250</v>
      </c>
      <c r="AO385" t="s">
        <v>3250</v>
      </c>
      <c r="AS385" t="s">
        <v>3250</v>
      </c>
      <c r="AT385" t="s">
        <v>3250</v>
      </c>
      <c r="AU385" t="s">
        <v>3250</v>
      </c>
      <c r="AV385" t="s">
        <v>3250</v>
      </c>
      <c r="AW385" t="s">
        <v>3250</v>
      </c>
      <c r="AX385" t="s">
        <v>3250</v>
      </c>
      <c r="AY385" t="s">
        <v>3250</v>
      </c>
      <c r="AZ385" t="s">
        <v>3250</v>
      </c>
      <c r="BA385" t="s">
        <v>3250</v>
      </c>
      <c r="BB385" t="s">
        <v>3250</v>
      </c>
      <c r="BC385" t="s">
        <v>3250</v>
      </c>
      <c r="BE385" t="s">
        <v>3250</v>
      </c>
      <c r="BF385" t="s">
        <v>3250</v>
      </c>
      <c r="BG385" t="s">
        <v>3250</v>
      </c>
      <c r="BH385" t="s">
        <v>3250</v>
      </c>
      <c r="BI385" t="s">
        <v>3250</v>
      </c>
      <c r="BK385" t="s">
        <v>3250</v>
      </c>
      <c r="BL385" t="s">
        <v>3250</v>
      </c>
      <c r="BM385" t="s">
        <v>3250</v>
      </c>
      <c r="BN385" t="s">
        <v>3250</v>
      </c>
      <c r="BP385">
        <v>1</v>
      </c>
      <c r="BQ385">
        <v>11</v>
      </c>
      <c r="BR385" t="s">
        <v>1574</v>
      </c>
      <c r="BS385" t="s">
        <v>3252</v>
      </c>
      <c r="BV385">
        <v>0</v>
      </c>
      <c r="BW385">
        <v>0</v>
      </c>
      <c r="BX385">
        <v>0</v>
      </c>
      <c r="BY385">
        <v>0</v>
      </c>
      <c r="BZ385">
        <v>0</v>
      </c>
      <c r="CA385">
        <v>0</v>
      </c>
      <c r="CB385">
        <v>0</v>
      </c>
      <c r="CC385">
        <v>0</v>
      </c>
      <c r="CD385">
        <v>0</v>
      </c>
      <c r="CE385" t="s">
        <v>3108</v>
      </c>
      <c r="CF385" t="s">
        <v>3108</v>
      </c>
      <c r="CG385" t="s">
        <v>3108</v>
      </c>
      <c r="CH385" t="s">
        <v>3108</v>
      </c>
    </row>
    <row r="386" spans="1:86" x14ac:dyDescent="0.2">
      <c r="A386" t="s">
        <v>3942</v>
      </c>
      <c r="B386" t="s">
        <v>3942</v>
      </c>
      <c r="C386">
        <v>40674</v>
      </c>
      <c r="D386">
        <v>620</v>
      </c>
      <c r="E386" t="s">
        <v>3866</v>
      </c>
      <c r="F386">
        <v>200</v>
      </c>
      <c r="G386" t="s">
        <v>467</v>
      </c>
      <c r="H386">
        <v>200</v>
      </c>
      <c r="I386" t="s">
        <v>3840</v>
      </c>
      <c r="J386" t="s">
        <v>3250</v>
      </c>
      <c r="K386" t="s">
        <v>3250</v>
      </c>
      <c r="L386">
        <v>1200</v>
      </c>
      <c r="M386" t="s">
        <v>2368</v>
      </c>
      <c r="N386">
        <v>1204</v>
      </c>
      <c r="O386" t="s">
        <v>1574</v>
      </c>
      <c r="P386" t="s">
        <v>3108</v>
      </c>
      <c r="Q386" t="s">
        <v>3249</v>
      </c>
      <c r="R386" t="s">
        <v>3249</v>
      </c>
      <c r="S386" t="s">
        <v>810</v>
      </c>
      <c r="T386" t="s">
        <v>2759</v>
      </c>
      <c r="U386" t="s">
        <v>3250</v>
      </c>
      <c r="V386" t="s">
        <v>3250</v>
      </c>
      <c r="W386" t="s">
        <v>3250</v>
      </c>
      <c r="X386" t="s">
        <v>3250</v>
      </c>
      <c r="Y386" t="s">
        <v>3250</v>
      </c>
      <c r="Z386" t="s">
        <v>3250</v>
      </c>
      <c r="AA386" t="s">
        <v>3108</v>
      </c>
      <c r="AB386" t="s">
        <v>3108</v>
      </c>
      <c r="AC386" t="s">
        <v>3250</v>
      </c>
      <c r="AD386" t="s">
        <v>3250</v>
      </c>
      <c r="AE386" t="s">
        <v>3250</v>
      </c>
      <c r="AF386" t="s">
        <v>3250</v>
      </c>
      <c r="AG386" t="s">
        <v>3250</v>
      </c>
      <c r="AH386" t="s">
        <v>3250</v>
      </c>
      <c r="AI386" t="s">
        <v>3250</v>
      </c>
      <c r="AJ386" t="s">
        <v>3250</v>
      </c>
      <c r="AL386" t="s">
        <v>3250</v>
      </c>
      <c r="AM386" t="s">
        <v>3250</v>
      </c>
      <c r="AN386" t="s">
        <v>3250</v>
      </c>
      <c r="AO386" t="s">
        <v>3250</v>
      </c>
      <c r="AS386" t="s">
        <v>3250</v>
      </c>
      <c r="AT386" t="s">
        <v>3250</v>
      </c>
      <c r="AU386" t="s">
        <v>3250</v>
      </c>
      <c r="AV386" t="s">
        <v>3250</v>
      </c>
      <c r="AW386" t="s">
        <v>3250</v>
      </c>
      <c r="AX386" t="s">
        <v>3250</v>
      </c>
      <c r="AY386" t="s">
        <v>3250</v>
      </c>
      <c r="AZ386" t="s">
        <v>3250</v>
      </c>
      <c r="BA386" t="s">
        <v>3250</v>
      </c>
      <c r="BB386" t="s">
        <v>3250</v>
      </c>
      <c r="BC386" t="s">
        <v>3250</v>
      </c>
      <c r="BE386" t="s">
        <v>3250</v>
      </c>
      <c r="BF386" t="s">
        <v>3250</v>
      </c>
      <c r="BG386" t="s">
        <v>3250</v>
      </c>
      <c r="BH386" t="s">
        <v>3250</v>
      </c>
      <c r="BI386" t="s">
        <v>3250</v>
      </c>
      <c r="BK386" t="s">
        <v>3250</v>
      </c>
      <c r="BL386" t="s">
        <v>3250</v>
      </c>
      <c r="BM386" t="s">
        <v>3250</v>
      </c>
      <c r="BN386" t="s">
        <v>3250</v>
      </c>
      <c r="BP386">
        <v>1</v>
      </c>
      <c r="BQ386">
        <v>11</v>
      </c>
      <c r="BR386" t="s">
        <v>1574</v>
      </c>
      <c r="BS386" t="s">
        <v>3252</v>
      </c>
      <c r="BV386">
        <v>0</v>
      </c>
      <c r="BW386">
        <v>0</v>
      </c>
      <c r="BX386">
        <v>0</v>
      </c>
      <c r="BY386">
        <v>0</v>
      </c>
      <c r="BZ386">
        <v>0</v>
      </c>
      <c r="CA386">
        <v>0</v>
      </c>
      <c r="CB386">
        <v>0</v>
      </c>
      <c r="CC386">
        <v>0</v>
      </c>
      <c r="CD386">
        <v>0</v>
      </c>
      <c r="CE386" t="s">
        <v>3108</v>
      </c>
      <c r="CF386" t="s">
        <v>3108</v>
      </c>
      <c r="CG386" t="s">
        <v>3108</v>
      </c>
      <c r="CH386" t="s">
        <v>3108</v>
      </c>
    </row>
    <row r="387" spans="1:86" x14ac:dyDescent="0.2">
      <c r="A387" t="s">
        <v>3943</v>
      </c>
      <c r="B387" t="s">
        <v>3943</v>
      </c>
      <c r="C387">
        <v>40675</v>
      </c>
      <c r="D387">
        <v>621</v>
      </c>
      <c r="E387" t="s">
        <v>3868</v>
      </c>
      <c r="F387">
        <v>200</v>
      </c>
      <c r="G387" t="s">
        <v>467</v>
      </c>
      <c r="H387">
        <v>200</v>
      </c>
      <c r="I387" t="s">
        <v>3840</v>
      </c>
      <c r="J387" t="s">
        <v>3250</v>
      </c>
      <c r="K387" t="s">
        <v>3250</v>
      </c>
      <c r="L387">
        <v>1200</v>
      </c>
      <c r="M387" t="s">
        <v>2368</v>
      </c>
      <c r="N387">
        <v>1204</v>
      </c>
      <c r="O387" t="s">
        <v>1574</v>
      </c>
      <c r="P387" t="s">
        <v>3108</v>
      </c>
      <c r="Q387" t="s">
        <v>3249</v>
      </c>
      <c r="R387" t="s">
        <v>3249</v>
      </c>
      <c r="S387" t="s">
        <v>810</v>
      </c>
      <c r="T387" t="s">
        <v>2759</v>
      </c>
      <c r="U387" t="s">
        <v>3250</v>
      </c>
      <c r="V387" t="s">
        <v>3250</v>
      </c>
      <c r="W387" t="s">
        <v>3250</v>
      </c>
      <c r="X387" t="s">
        <v>3250</v>
      </c>
      <c r="Y387" t="s">
        <v>3250</v>
      </c>
      <c r="Z387" t="s">
        <v>3250</v>
      </c>
      <c r="AA387" t="s">
        <v>3108</v>
      </c>
      <c r="AB387" t="s">
        <v>3108</v>
      </c>
      <c r="AC387" t="s">
        <v>3250</v>
      </c>
      <c r="AD387" t="s">
        <v>3250</v>
      </c>
      <c r="AE387" t="s">
        <v>3250</v>
      </c>
      <c r="AF387" t="s">
        <v>3250</v>
      </c>
      <c r="AG387" t="s">
        <v>3250</v>
      </c>
      <c r="AH387" t="s">
        <v>3250</v>
      </c>
      <c r="AI387" t="s">
        <v>3250</v>
      </c>
      <c r="AJ387" t="s">
        <v>3250</v>
      </c>
      <c r="AL387" t="s">
        <v>3250</v>
      </c>
      <c r="AM387" t="s">
        <v>3250</v>
      </c>
      <c r="AN387" t="s">
        <v>3250</v>
      </c>
      <c r="AO387" t="s">
        <v>3250</v>
      </c>
      <c r="AS387" t="s">
        <v>3250</v>
      </c>
      <c r="AT387" t="s">
        <v>3250</v>
      </c>
      <c r="AU387" t="s">
        <v>3250</v>
      </c>
      <c r="AV387" t="s">
        <v>3250</v>
      </c>
      <c r="AW387" t="s">
        <v>3250</v>
      </c>
      <c r="AX387" t="s">
        <v>3250</v>
      </c>
      <c r="AY387" t="s">
        <v>3250</v>
      </c>
      <c r="AZ387" t="s">
        <v>3250</v>
      </c>
      <c r="BA387" t="s">
        <v>3250</v>
      </c>
      <c r="BB387" t="s">
        <v>3250</v>
      </c>
      <c r="BC387" t="s">
        <v>3250</v>
      </c>
      <c r="BE387" t="s">
        <v>3250</v>
      </c>
      <c r="BF387" t="s">
        <v>3250</v>
      </c>
      <c r="BG387" t="s">
        <v>3250</v>
      </c>
      <c r="BH387" t="s">
        <v>3250</v>
      </c>
      <c r="BI387" t="s">
        <v>3250</v>
      </c>
      <c r="BK387" t="s">
        <v>3250</v>
      </c>
      <c r="BL387" t="s">
        <v>3250</v>
      </c>
      <c r="BM387" t="s">
        <v>3250</v>
      </c>
      <c r="BN387" t="s">
        <v>3250</v>
      </c>
      <c r="BP387">
        <v>1</v>
      </c>
      <c r="BQ387">
        <v>11</v>
      </c>
      <c r="BR387" t="s">
        <v>1574</v>
      </c>
      <c r="BS387" t="s">
        <v>3252</v>
      </c>
      <c r="BV387">
        <v>0</v>
      </c>
      <c r="BW387">
        <v>0</v>
      </c>
      <c r="BX387">
        <v>0</v>
      </c>
      <c r="BY387">
        <v>0</v>
      </c>
      <c r="BZ387">
        <v>0</v>
      </c>
      <c r="CA387">
        <v>0</v>
      </c>
      <c r="CB387">
        <v>0</v>
      </c>
      <c r="CC387">
        <v>0</v>
      </c>
      <c r="CD387">
        <v>0</v>
      </c>
      <c r="CE387" t="s">
        <v>3108</v>
      </c>
      <c r="CF387" t="s">
        <v>3108</v>
      </c>
      <c r="CG387" t="s">
        <v>3108</v>
      </c>
      <c r="CH387" t="s">
        <v>3108</v>
      </c>
    </row>
    <row r="388" spans="1:86" x14ac:dyDescent="0.2">
      <c r="A388" t="s">
        <v>3944</v>
      </c>
      <c r="B388" t="s">
        <v>3944</v>
      </c>
      <c r="C388">
        <v>40676</v>
      </c>
      <c r="D388">
        <v>622</v>
      </c>
      <c r="E388" t="s">
        <v>3839</v>
      </c>
      <c r="F388">
        <v>200</v>
      </c>
      <c r="G388" t="s">
        <v>467</v>
      </c>
      <c r="H388">
        <v>200</v>
      </c>
      <c r="I388" t="s">
        <v>3840</v>
      </c>
      <c r="J388" t="s">
        <v>3250</v>
      </c>
      <c r="K388" t="s">
        <v>3250</v>
      </c>
      <c r="L388">
        <v>1200</v>
      </c>
      <c r="M388" t="s">
        <v>2368</v>
      </c>
      <c r="N388">
        <v>1204</v>
      </c>
      <c r="O388" t="s">
        <v>1574</v>
      </c>
      <c r="P388" t="s">
        <v>3108</v>
      </c>
      <c r="Q388" t="s">
        <v>3249</v>
      </c>
      <c r="R388" t="s">
        <v>3249</v>
      </c>
      <c r="S388" t="s">
        <v>810</v>
      </c>
      <c r="T388" t="s">
        <v>2759</v>
      </c>
      <c r="U388" t="s">
        <v>3250</v>
      </c>
      <c r="V388" t="s">
        <v>3250</v>
      </c>
      <c r="W388" t="s">
        <v>3250</v>
      </c>
      <c r="X388" t="s">
        <v>3250</v>
      </c>
      <c r="Y388" t="s">
        <v>3250</v>
      </c>
      <c r="Z388" t="s">
        <v>3250</v>
      </c>
      <c r="AA388" t="s">
        <v>3108</v>
      </c>
      <c r="AB388" t="s">
        <v>3108</v>
      </c>
      <c r="AC388" t="s">
        <v>3250</v>
      </c>
      <c r="AD388" t="s">
        <v>3250</v>
      </c>
      <c r="AE388" t="s">
        <v>3250</v>
      </c>
      <c r="AF388" t="s">
        <v>3250</v>
      </c>
      <c r="AG388" t="s">
        <v>3250</v>
      </c>
      <c r="AH388" t="s">
        <v>3250</v>
      </c>
      <c r="AI388" t="s">
        <v>3250</v>
      </c>
      <c r="AJ388" t="s">
        <v>3250</v>
      </c>
      <c r="AL388" t="s">
        <v>3250</v>
      </c>
      <c r="AM388" t="s">
        <v>3250</v>
      </c>
      <c r="AN388" t="s">
        <v>3250</v>
      </c>
      <c r="AO388" t="s">
        <v>3250</v>
      </c>
      <c r="AS388" t="s">
        <v>3250</v>
      </c>
      <c r="AT388" t="s">
        <v>3250</v>
      </c>
      <c r="AU388" t="s">
        <v>3250</v>
      </c>
      <c r="AV388" t="s">
        <v>3250</v>
      </c>
      <c r="AW388" t="s">
        <v>3250</v>
      </c>
      <c r="AX388" t="s">
        <v>3250</v>
      </c>
      <c r="AY388" t="s">
        <v>3250</v>
      </c>
      <c r="AZ388" t="s">
        <v>3250</v>
      </c>
      <c r="BA388" t="s">
        <v>3250</v>
      </c>
      <c r="BB388" t="s">
        <v>3250</v>
      </c>
      <c r="BC388" t="s">
        <v>3250</v>
      </c>
      <c r="BE388" t="s">
        <v>3250</v>
      </c>
      <c r="BF388" t="s">
        <v>3250</v>
      </c>
      <c r="BG388" t="s">
        <v>3250</v>
      </c>
      <c r="BH388" t="s">
        <v>3250</v>
      </c>
      <c r="BI388" t="s">
        <v>3250</v>
      </c>
      <c r="BK388" t="s">
        <v>3250</v>
      </c>
      <c r="BL388" t="s">
        <v>3250</v>
      </c>
      <c r="BM388" t="s">
        <v>3250</v>
      </c>
      <c r="BN388" t="s">
        <v>3250</v>
      </c>
      <c r="BP388">
        <v>1</v>
      </c>
      <c r="BQ388">
        <v>11</v>
      </c>
      <c r="BR388" t="s">
        <v>1574</v>
      </c>
      <c r="BS388" t="s">
        <v>3252</v>
      </c>
      <c r="BV388">
        <v>0</v>
      </c>
      <c r="BW388">
        <v>0</v>
      </c>
      <c r="BX388">
        <v>0</v>
      </c>
      <c r="BY388">
        <v>0</v>
      </c>
      <c r="BZ388">
        <v>0</v>
      </c>
      <c r="CA388">
        <v>0</v>
      </c>
      <c r="CB388">
        <v>0</v>
      </c>
      <c r="CC388">
        <v>0</v>
      </c>
      <c r="CD388">
        <v>0</v>
      </c>
      <c r="CE388" t="s">
        <v>3108</v>
      </c>
      <c r="CF388" t="s">
        <v>3108</v>
      </c>
      <c r="CG388" t="s">
        <v>3108</v>
      </c>
      <c r="CH388" t="s">
        <v>3108</v>
      </c>
    </row>
    <row r="389" spans="1:86" x14ac:dyDescent="0.2">
      <c r="A389" t="s">
        <v>3945</v>
      </c>
      <c r="B389" t="s">
        <v>3945</v>
      </c>
      <c r="C389">
        <v>40677</v>
      </c>
      <c r="D389">
        <v>623</v>
      </c>
      <c r="E389" t="s">
        <v>3842</v>
      </c>
      <c r="F389">
        <v>200</v>
      </c>
      <c r="G389" t="s">
        <v>467</v>
      </c>
      <c r="H389">
        <v>200</v>
      </c>
      <c r="I389" t="s">
        <v>3840</v>
      </c>
      <c r="J389" t="s">
        <v>3250</v>
      </c>
      <c r="K389" t="s">
        <v>3250</v>
      </c>
      <c r="L389">
        <v>1200</v>
      </c>
      <c r="M389" t="s">
        <v>2368</v>
      </c>
      <c r="N389">
        <v>1204</v>
      </c>
      <c r="O389" t="s">
        <v>1574</v>
      </c>
      <c r="P389" t="s">
        <v>3108</v>
      </c>
      <c r="Q389" t="s">
        <v>3249</v>
      </c>
      <c r="R389" t="s">
        <v>3249</v>
      </c>
      <c r="S389" t="s">
        <v>810</v>
      </c>
      <c r="T389" t="s">
        <v>2759</v>
      </c>
      <c r="U389" t="s">
        <v>3250</v>
      </c>
      <c r="V389" t="s">
        <v>3250</v>
      </c>
      <c r="W389" t="s">
        <v>3250</v>
      </c>
      <c r="X389" t="s">
        <v>3250</v>
      </c>
      <c r="Y389" t="s">
        <v>3250</v>
      </c>
      <c r="Z389" t="s">
        <v>3250</v>
      </c>
      <c r="AA389" t="s">
        <v>3108</v>
      </c>
      <c r="AB389" t="s">
        <v>3108</v>
      </c>
      <c r="AC389" t="s">
        <v>3250</v>
      </c>
      <c r="AD389" t="s">
        <v>3250</v>
      </c>
      <c r="AE389" t="s">
        <v>3250</v>
      </c>
      <c r="AF389" t="s">
        <v>3250</v>
      </c>
      <c r="AG389" t="s">
        <v>3250</v>
      </c>
      <c r="AH389" t="s">
        <v>3250</v>
      </c>
      <c r="AI389" t="s">
        <v>3250</v>
      </c>
      <c r="AJ389" t="s">
        <v>3250</v>
      </c>
      <c r="AL389" t="s">
        <v>3250</v>
      </c>
      <c r="AM389" t="s">
        <v>3250</v>
      </c>
      <c r="AN389" t="s">
        <v>3250</v>
      </c>
      <c r="AO389" t="s">
        <v>3250</v>
      </c>
      <c r="AS389" t="s">
        <v>3250</v>
      </c>
      <c r="AT389" t="s">
        <v>3250</v>
      </c>
      <c r="AU389" t="s">
        <v>3250</v>
      </c>
      <c r="AV389" t="s">
        <v>3250</v>
      </c>
      <c r="AW389" t="s">
        <v>3250</v>
      </c>
      <c r="AX389" t="s">
        <v>3250</v>
      </c>
      <c r="AY389" t="s">
        <v>3250</v>
      </c>
      <c r="AZ389" t="s">
        <v>3250</v>
      </c>
      <c r="BA389" t="s">
        <v>3250</v>
      </c>
      <c r="BB389" t="s">
        <v>3250</v>
      </c>
      <c r="BC389" t="s">
        <v>3250</v>
      </c>
      <c r="BE389" t="s">
        <v>3250</v>
      </c>
      <c r="BF389" t="s">
        <v>3250</v>
      </c>
      <c r="BG389" t="s">
        <v>3250</v>
      </c>
      <c r="BH389" t="s">
        <v>3250</v>
      </c>
      <c r="BI389" t="s">
        <v>3250</v>
      </c>
      <c r="BK389" t="s">
        <v>3250</v>
      </c>
      <c r="BL389" t="s">
        <v>3250</v>
      </c>
      <c r="BM389" t="s">
        <v>3250</v>
      </c>
      <c r="BN389" t="s">
        <v>3250</v>
      </c>
      <c r="BP389">
        <v>1</v>
      </c>
      <c r="BQ389">
        <v>11</v>
      </c>
      <c r="BR389" t="s">
        <v>1574</v>
      </c>
      <c r="BS389" t="s">
        <v>3252</v>
      </c>
      <c r="BV389">
        <v>0</v>
      </c>
      <c r="BW389">
        <v>0</v>
      </c>
      <c r="BX389">
        <v>0</v>
      </c>
      <c r="BY389">
        <v>0</v>
      </c>
      <c r="BZ389">
        <v>0</v>
      </c>
      <c r="CA389">
        <v>0</v>
      </c>
      <c r="CB389">
        <v>0</v>
      </c>
      <c r="CC389">
        <v>0</v>
      </c>
      <c r="CD389">
        <v>0</v>
      </c>
      <c r="CE389" t="s">
        <v>3108</v>
      </c>
      <c r="CF389" t="s">
        <v>3108</v>
      </c>
      <c r="CG389" t="s">
        <v>3108</v>
      </c>
      <c r="CH389" t="s">
        <v>3108</v>
      </c>
    </row>
    <row r="390" spans="1:86" x14ac:dyDescent="0.2">
      <c r="A390" t="s">
        <v>3946</v>
      </c>
      <c r="B390" t="s">
        <v>3946</v>
      </c>
      <c r="C390">
        <v>40678</v>
      </c>
      <c r="D390">
        <v>624</v>
      </c>
      <c r="E390" t="s">
        <v>3844</v>
      </c>
      <c r="F390">
        <v>200</v>
      </c>
      <c r="G390" t="s">
        <v>467</v>
      </c>
      <c r="H390">
        <v>200</v>
      </c>
      <c r="I390" t="s">
        <v>3840</v>
      </c>
      <c r="J390" t="s">
        <v>3250</v>
      </c>
      <c r="K390" t="s">
        <v>3250</v>
      </c>
      <c r="L390">
        <v>1200</v>
      </c>
      <c r="M390" t="s">
        <v>2368</v>
      </c>
      <c r="N390">
        <v>1204</v>
      </c>
      <c r="O390" t="s">
        <v>1574</v>
      </c>
      <c r="P390" t="s">
        <v>3108</v>
      </c>
      <c r="Q390" t="s">
        <v>3249</v>
      </c>
      <c r="R390" t="s">
        <v>3249</v>
      </c>
      <c r="S390" t="s">
        <v>810</v>
      </c>
      <c r="T390" t="s">
        <v>2759</v>
      </c>
      <c r="U390" t="s">
        <v>3250</v>
      </c>
      <c r="V390" t="s">
        <v>3250</v>
      </c>
      <c r="W390" t="s">
        <v>3250</v>
      </c>
      <c r="X390" t="s">
        <v>3250</v>
      </c>
      <c r="Y390" t="s">
        <v>3250</v>
      </c>
      <c r="Z390" t="s">
        <v>3250</v>
      </c>
      <c r="AA390" t="s">
        <v>3108</v>
      </c>
      <c r="AB390" t="s">
        <v>3108</v>
      </c>
      <c r="AC390" t="s">
        <v>3250</v>
      </c>
      <c r="AD390" t="s">
        <v>3250</v>
      </c>
      <c r="AE390" t="s">
        <v>3250</v>
      </c>
      <c r="AF390" t="s">
        <v>3250</v>
      </c>
      <c r="AG390" t="s">
        <v>3250</v>
      </c>
      <c r="AH390" t="s">
        <v>3250</v>
      </c>
      <c r="AI390" t="s">
        <v>3250</v>
      </c>
      <c r="AJ390" t="s">
        <v>3250</v>
      </c>
      <c r="AL390" t="s">
        <v>3250</v>
      </c>
      <c r="AM390" t="s">
        <v>3250</v>
      </c>
      <c r="AN390" t="s">
        <v>3250</v>
      </c>
      <c r="AO390" t="s">
        <v>3250</v>
      </c>
      <c r="AS390" t="s">
        <v>3250</v>
      </c>
      <c r="AT390" t="s">
        <v>3250</v>
      </c>
      <c r="AU390" t="s">
        <v>3250</v>
      </c>
      <c r="AV390" t="s">
        <v>3250</v>
      </c>
      <c r="AW390" t="s">
        <v>3250</v>
      </c>
      <c r="AX390" t="s">
        <v>3250</v>
      </c>
      <c r="AY390" t="s">
        <v>3250</v>
      </c>
      <c r="AZ390" t="s">
        <v>3250</v>
      </c>
      <c r="BA390" t="s">
        <v>3250</v>
      </c>
      <c r="BB390" t="s">
        <v>3250</v>
      </c>
      <c r="BC390" t="s">
        <v>3250</v>
      </c>
      <c r="BE390" t="s">
        <v>3250</v>
      </c>
      <c r="BF390" t="s">
        <v>3250</v>
      </c>
      <c r="BG390" t="s">
        <v>3250</v>
      </c>
      <c r="BH390" t="s">
        <v>3250</v>
      </c>
      <c r="BI390" t="s">
        <v>3250</v>
      </c>
      <c r="BK390" t="s">
        <v>3250</v>
      </c>
      <c r="BL390" t="s">
        <v>3250</v>
      </c>
      <c r="BM390" t="s">
        <v>3250</v>
      </c>
      <c r="BN390" t="s">
        <v>3250</v>
      </c>
      <c r="BP390">
        <v>1</v>
      </c>
      <c r="BQ390">
        <v>11</v>
      </c>
      <c r="BR390" t="s">
        <v>1574</v>
      </c>
      <c r="BS390" t="s">
        <v>3252</v>
      </c>
      <c r="BV390">
        <v>0</v>
      </c>
      <c r="BW390">
        <v>0</v>
      </c>
      <c r="BX390">
        <v>0</v>
      </c>
      <c r="BY390">
        <v>153344</v>
      </c>
      <c r="BZ390">
        <v>153344</v>
      </c>
      <c r="CA390">
        <v>159325</v>
      </c>
      <c r="CB390">
        <v>165697</v>
      </c>
      <c r="CC390">
        <v>172325</v>
      </c>
      <c r="CD390">
        <v>0</v>
      </c>
      <c r="CE390" t="s">
        <v>3108</v>
      </c>
      <c r="CF390" t="s">
        <v>3108</v>
      </c>
      <c r="CG390" t="s">
        <v>3108</v>
      </c>
      <c r="CH390" t="s">
        <v>3108</v>
      </c>
    </row>
    <row r="391" spans="1:86" x14ac:dyDescent="0.2">
      <c r="A391" t="s">
        <v>3947</v>
      </c>
      <c r="B391" t="s">
        <v>3947</v>
      </c>
      <c r="C391">
        <v>40679</v>
      </c>
      <c r="D391">
        <v>625</v>
      </c>
      <c r="E391" t="s">
        <v>3846</v>
      </c>
      <c r="F391">
        <v>200</v>
      </c>
      <c r="G391" t="s">
        <v>467</v>
      </c>
      <c r="H391">
        <v>200</v>
      </c>
      <c r="I391" t="s">
        <v>3840</v>
      </c>
      <c r="J391" t="s">
        <v>3250</v>
      </c>
      <c r="K391" t="s">
        <v>3250</v>
      </c>
      <c r="L391">
        <v>1200</v>
      </c>
      <c r="M391" t="s">
        <v>2368</v>
      </c>
      <c r="N391">
        <v>1204</v>
      </c>
      <c r="O391" t="s">
        <v>1574</v>
      </c>
      <c r="P391" t="s">
        <v>3108</v>
      </c>
      <c r="Q391" t="s">
        <v>3249</v>
      </c>
      <c r="R391" t="s">
        <v>3249</v>
      </c>
      <c r="S391" t="s">
        <v>810</v>
      </c>
      <c r="T391" t="s">
        <v>2759</v>
      </c>
      <c r="U391" t="s">
        <v>3250</v>
      </c>
      <c r="V391" t="s">
        <v>3250</v>
      </c>
      <c r="W391" t="s">
        <v>3250</v>
      </c>
      <c r="X391" t="s">
        <v>3250</v>
      </c>
      <c r="Y391" t="s">
        <v>3250</v>
      </c>
      <c r="Z391" t="s">
        <v>3250</v>
      </c>
      <c r="AA391" t="s">
        <v>3108</v>
      </c>
      <c r="AB391" t="s">
        <v>3108</v>
      </c>
      <c r="AC391" t="s">
        <v>3250</v>
      </c>
      <c r="AD391" t="s">
        <v>3250</v>
      </c>
      <c r="AE391" t="s">
        <v>3250</v>
      </c>
      <c r="AF391" t="s">
        <v>3250</v>
      </c>
      <c r="AG391" t="s">
        <v>3250</v>
      </c>
      <c r="AH391" t="s">
        <v>3250</v>
      </c>
      <c r="AI391" t="s">
        <v>3250</v>
      </c>
      <c r="AJ391" t="s">
        <v>3250</v>
      </c>
      <c r="AL391" t="s">
        <v>3250</v>
      </c>
      <c r="AM391" t="s">
        <v>3250</v>
      </c>
      <c r="AN391" t="s">
        <v>3250</v>
      </c>
      <c r="AO391" t="s">
        <v>3250</v>
      </c>
      <c r="AS391" t="s">
        <v>3250</v>
      </c>
      <c r="AT391" t="s">
        <v>3250</v>
      </c>
      <c r="AU391" t="s">
        <v>3250</v>
      </c>
      <c r="AV391" t="s">
        <v>3250</v>
      </c>
      <c r="AW391" t="s">
        <v>3250</v>
      </c>
      <c r="AX391" t="s">
        <v>3250</v>
      </c>
      <c r="AY391" t="s">
        <v>3250</v>
      </c>
      <c r="AZ391" t="s">
        <v>3250</v>
      </c>
      <c r="BA391" t="s">
        <v>3250</v>
      </c>
      <c r="BB391" t="s">
        <v>3250</v>
      </c>
      <c r="BC391" t="s">
        <v>3250</v>
      </c>
      <c r="BE391" t="s">
        <v>3250</v>
      </c>
      <c r="BF391" t="s">
        <v>3250</v>
      </c>
      <c r="BG391" t="s">
        <v>3250</v>
      </c>
      <c r="BH391" t="s">
        <v>3250</v>
      </c>
      <c r="BI391" t="s">
        <v>3250</v>
      </c>
      <c r="BK391" t="s">
        <v>3250</v>
      </c>
      <c r="BL391" t="s">
        <v>3250</v>
      </c>
      <c r="BM391" t="s">
        <v>3250</v>
      </c>
      <c r="BN391" t="s">
        <v>3250</v>
      </c>
      <c r="BP391">
        <v>1</v>
      </c>
      <c r="BQ391">
        <v>11</v>
      </c>
      <c r="BR391" t="s">
        <v>1574</v>
      </c>
      <c r="BS391" t="s">
        <v>3252</v>
      </c>
      <c r="BV391">
        <v>0</v>
      </c>
      <c r="BW391">
        <v>0</v>
      </c>
      <c r="BX391">
        <v>0</v>
      </c>
      <c r="BY391">
        <v>0</v>
      </c>
      <c r="BZ391">
        <v>0</v>
      </c>
      <c r="CA391">
        <v>0</v>
      </c>
      <c r="CB391">
        <v>0</v>
      </c>
      <c r="CC391">
        <v>0</v>
      </c>
      <c r="CD391">
        <v>0</v>
      </c>
      <c r="CE391" t="s">
        <v>3108</v>
      </c>
      <c r="CF391" t="s">
        <v>3108</v>
      </c>
      <c r="CG391" t="s">
        <v>3108</v>
      </c>
      <c r="CH391" t="s">
        <v>3108</v>
      </c>
    </row>
    <row r="392" spans="1:86" x14ac:dyDescent="0.2">
      <c r="A392" t="s">
        <v>3948</v>
      </c>
      <c r="B392" t="s">
        <v>3948</v>
      </c>
      <c r="C392">
        <v>40680</v>
      </c>
      <c r="D392">
        <v>626</v>
      </c>
      <c r="E392" t="s">
        <v>3848</v>
      </c>
      <c r="F392">
        <v>200</v>
      </c>
      <c r="G392" t="s">
        <v>467</v>
      </c>
      <c r="H392">
        <v>200</v>
      </c>
      <c r="I392" t="s">
        <v>3840</v>
      </c>
      <c r="J392" t="s">
        <v>3250</v>
      </c>
      <c r="K392" t="s">
        <v>3250</v>
      </c>
      <c r="L392">
        <v>1200</v>
      </c>
      <c r="M392" t="s">
        <v>2368</v>
      </c>
      <c r="N392">
        <v>1204</v>
      </c>
      <c r="O392" t="s">
        <v>1574</v>
      </c>
      <c r="P392" t="s">
        <v>3108</v>
      </c>
      <c r="Q392" t="s">
        <v>3249</v>
      </c>
      <c r="R392" t="s">
        <v>3249</v>
      </c>
      <c r="S392" t="s">
        <v>810</v>
      </c>
      <c r="T392" t="s">
        <v>2759</v>
      </c>
      <c r="U392" t="s">
        <v>3250</v>
      </c>
      <c r="V392" t="s">
        <v>3250</v>
      </c>
      <c r="W392" t="s">
        <v>3250</v>
      </c>
      <c r="X392" t="s">
        <v>3250</v>
      </c>
      <c r="Y392" t="s">
        <v>3250</v>
      </c>
      <c r="Z392" t="s">
        <v>3250</v>
      </c>
      <c r="AA392" t="s">
        <v>3108</v>
      </c>
      <c r="AB392" t="s">
        <v>3108</v>
      </c>
      <c r="AC392" t="s">
        <v>3250</v>
      </c>
      <c r="AD392" t="s">
        <v>3250</v>
      </c>
      <c r="AE392" t="s">
        <v>3250</v>
      </c>
      <c r="AF392" t="s">
        <v>3250</v>
      </c>
      <c r="AG392" t="s">
        <v>3250</v>
      </c>
      <c r="AH392" t="s">
        <v>3250</v>
      </c>
      <c r="AI392" t="s">
        <v>3250</v>
      </c>
      <c r="AJ392" t="s">
        <v>3250</v>
      </c>
      <c r="AL392" t="s">
        <v>3250</v>
      </c>
      <c r="AM392" t="s">
        <v>3250</v>
      </c>
      <c r="AN392" t="s">
        <v>3250</v>
      </c>
      <c r="AO392" t="s">
        <v>3250</v>
      </c>
      <c r="AS392" t="s">
        <v>3250</v>
      </c>
      <c r="AT392" t="s">
        <v>3250</v>
      </c>
      <c r="AU392" t="s">
        <v>3250</v>
      </c>
      <c r="AV392" t="s">
        <v>3250</v>
      </c>
      <c r="AW392" t="s">
        <v>3250</v>
      </c>
      <c r="AX392" t="s">
        <v>3250</v>
      </c>
      <c r="AY392" t="s">
        <v>3250</v>
      </c>
      <c r="AZ392" t="s">
        <v>3250</v>
      </c>
      <c r="BA392" t="s">
        <v>3250</v>
      </c>
      <c r="BB392" t="s">
        <v>3250</v>
      </c>
      <c r="BC392" t="s">
        <v>3250</v>
      </c>
      <c r="BE392" t="s">
        <v>3250</v>
      </c>
      <c r="BF392" t="s">
        <v>3250</v>
      </c>
      <c r="BG392" t="s">
        <v>3250</v>
      </c>
      <c r="BH392" t="s">
        <v>3250</v>
      </c>
      <c r="BI392" t="s">
        <v>3250</v>
      </c>
      <c r="BK392" t="s">
        <v>3250</v>
      </c>
      <c r="BL392" t="s">
        <v>3250</v>
      </c>
      <c r="BM392" t="s">
        <v>3250</v>
      </c>
      <c r="BN392" t="s">
        <v>3250</v>
      </c>
      <c r="BP392">
        <v>1</v>
      </c>
      <c r="BQ392">
        <v>11</v>
      </c>
      <c r="BR392" t="s">
        <v>1574</v>
      </c>
      <c r="BS392" t="s">
        <v>3252</v>
      </c>
      <c r="BV392">
        <v>0</v>
      </c>
      <c r="BW392">
        <v>0</v>
      </c>
      <c r="BX392">
        <v>0</v>
      </c>
      <c r="BY392">
        <v>0</v>
      </c>
      <c r="BZ392">
        <v>0</v>
      </c>
      <c r="CA392">
        <v>0</v>
      </c>
      <c r="CB392">
        <v>0</v>
      </c>
      <c r="CC392">
        <v>0</v>
      </c>
      <c r="CD392">
        <v>0</v>
      </c>
      <c r="CE392" t="s">
        <v>3108</v>
      </c>
      <c r="CF392" t="s">
        <v>3108</v>
      </c>
      <c r="CG392" t="s">
        <v>3108</v>
      </c>
      <c r="CH392" t="s">
        <v>3108</v>
      </c>
    </row>
    <row r="393" spans="1:86" x14ac:dyDescent="0.2">
      <c r="A393" t="s">
        <v>3949</v>
      </c>
      <c r="B393" t="s">
        <v>3949</v>
      </c>
      <c r="C393">
        <v>40681</v>
      </c>
      <c r="D393">
        <v>627</v>
      </c>
      <c r="E393" t="s">
        <v>3850</v>
      </c>
      <c r="F393">
        <v>200</v>
      </c>
      <c r="G393" t="s">
        <v>467</v>
      </c>
      <c r="H393">
        <v>200</v>
      </c>
      <c r="I393" t="s">
        <v>3840</v>
      </c>
      <c r="J393" t="s">
        <v>3250</v>
      </c>
      <c r="K393" t="s">
        <v>3250</v>
      </c>
      <c r="L393">
        <v>1200</v>
      </c>
      <c r="M393" t="s">
        <v>2368</v>
      </c>
      <c r="N393">
        <v>1204</v>
      </c>
      <c r="O393" t="s">
        <v>1574</v>
      </c>
      <c r="P393" t="s">
        <v>3108</v>
      </c>
      <c r="Q393" t="s">
        <v>3249</v>
      </c>
      <c r="R393" t="s">
        <v>3249</v>
      </c>
      <c r="S393" t="s">
        <v>810</v>
      </c>
      <c r="T393" t="s">
        <v>2759</v>
      </c>
      <c r="U393" t="s">
        <v>3250</v>
      </c>
      <c r="V393" t="s">
        <v>3250</v>
      </c>
      <c r="W393" t="s">
        <v>3250</v>
      </c>
      <c r="X393" t="s">
        <v>3250</v>
      </c>
      <c r="Y393" t="s">
        <v>3250</v>
      </c>
      <c r="Z393" t="s">
        <v>3250</v>
      </c>
      <c r="AA393" t="s">
        <v>3108</v>
      </c>
      <c r="AB393" t="s">
        <v>3108</v>
      </c>
      <c r="AC393" t="s">
        <v>3250</v>
      </c>
      <c r="AD393" t="s">
        <v>3250</v>
      </c>
      <c r="AE393" t="s">
        <v>3250</v>
      </c>
      <c r="AF393" t="s">
        <v>3250</v>
      </c>
      <c r="AG393" t="s">
        <v>3250</v>
      </c>
      <c r="AH393" t="s">
        <v>3250</v>
      </c>
      <c r="AI393" t="s">
        <v>3250</v>
      </c>
      <c r="AJ393" t="s">
        <v>3250</v>
      </c>
      <c r="AL393" t="s">
        <v>3250</v>
      </c>
      <c r="AM393" t="s">
        <v>3250</v>
      </c>
      <c r="AN393" t="s">
        <v>3250</v>
      </c>
      <c r="AO393" t="s">
        <v>3250</v>
      </c>
      <c r="AS393" t="s">
        <v>3250</v>
      </c>
      <c r="AT393" t="s">
        <v>3250</v>
      </c>
      <c r="AU393" t="s">
        <v>3250</v>
      </c>
      <c r="AV393" t="s">
        <v>3250</v>
      </c>
      <c r="AW393" t="s">
        <v>3250</v>
      </c>
      <c r="AX393" t="s">
        <v>3250</v>
      </c>
      <c r="AY393" t="s">
        <v>3250</v>
      </c>
      <c r="AZ393" t="s">
        <v>3250</v>
      </c>
      <c r="BA393" t="s">
        <v>3250</v>
      </c>
      <c r="BB393" t="s">
        <v>3250</v>
      </c>
      <c r="BC393" t="s">
        <v>3250</v>
      </c>
      <c r="BE393" t="s">
        <v>3250</v>
      </c>
      <c r="BF393" t="s">
        <v>3250</v>
      </c>
      <c r="BG393" t="s">
        <v>3250</v>
      </c>
      <c r="BH393" t="s">
        <v>3250</v>
      </c>
      <c r="BI393" t="s">
        <v>3250</v>
      </c>
      <c r="BK393" t="s">
        <v>3250</v>
      </c>
      <c r="BL393" t="s">
        <v>3250</v>
      </c>
      <c r="BM393" t="s">
        <v>3250</v>
      </c>
      <c r="BN393" t="s">
        <v>3250</v>
      </c>
      <c r="BP393">
        <v>1</v>
      </c>
      <c r="BQ393">
        <v>11</v>
      </c>
      <c r="BR393" t="s">
        <v>1574</v>
      </c>
      <c r="BS393" t="s">
        <v>3252</v>
      </c>
      <c r="BV393">
        <v>0</v>
      </c>
      <c r="BW393">
        <v>0</v>
      </c>
      <c r="BX393">
        <v>0</v>
      </c>
      <c r="BY393">
        <v>0</v>
      </c>
      <c r="BZ393">
        <v>0</v>
      </c>
      <c r="CA393">
        <v>0</v>
      </c>
      <c r="CB393">
        <v>0</v>
      </c>
      <c r="CC393">
        <v>0</v>
      </c>
      <c r="CD393">
        <v>0</v>
      </c>
      <c r="CE393" t="s">
        <v>3108</v>
      </c>
      <c r="CF393" t="s">
        <v>3108</v>
      </c>
      <c r="CG393" t="s">
        <v>3108</v>
      </c>
      <c r="CH393" t="s">
        <v>3108</v>
      </c>
    </row>
    <row r="394" spans="1:86" x14ac:dyDescent="0.2">
      <c r="A394" t="s">
        <v>3950</v>
      </c>
      <c r="B394" t="s">
        <v>3950</v>
      </c>
      <c r="C394">
        <v>40682</v>
      </c>
      <c r="D394">
        <v>628</v>
      </c>
      <c r="E394" t="s">
        <v>3852</v>
      </c>
      <c r="F394">
        <v>200</v>
      </c>
      <c r="G394" t="s">
        <v>467</v>
      </c>
      <c r="H394">
        <v>200</v>
      </c>
      <c r="I394" t="s">
        <v>3840</v>
      </c>
      <c r="J394" t="s">
        <v>3250</v>
      </c>
      <c r="K394" t="s">
        <v>3250</v>
      </c>
      <c r="L394">
        <v>1200</v>
      </c>
      <c r="M394" t="s">
        <v>2368</v>
      </c>
      <c r="N394">
        <v>1204</v>
      </c>
      <c r="O394" t="s">
        <v>1574</v>
      </c>
      <c r="P394" t="s">
        <v>3108</v>
      </c>
      <c r="Q394" t="s">
        <v>3249</v>
      </c>
      <c r="R394" t="s">
        <v>3249</v>
      </c>
      <c r="S394" t="s">
        <v>810</v>
      </c>
      <c r="T394" t="s">
        <v>2759</v>
      </c>
      <c r="U394" t="s">
        <v>3250</v>
      </c>
      <c r="V394" t="s">
        <v>3250</v>
      </c>
      <c r="W394" t="s">
        <v>3250</v>
      </c>
      <c r="X394" t="s">
        <v>3250</v>
      </c>
      <c r="Y394" t="s">
        <v>3250</v>
      </c>
      <c r="Z394" t="s">
        <v>3250</v>
      </c>
      <c r="AA394" t="s">
        <v>3108</v>
      </c>
      <c r="AB394" t="s">
        <v>3108</v>
      </c>
      <c r="AC394" t="s">
        <v>3250</v>
      </c>
      <c r="AD394" t="s">
        <v>3250</v>
      </c>
      <c r="AE394" t="s">
        <v>3250</v>
      </c>
      <c r="AF394" t="s">
        <v>3250</v>
      </c>
      <c r="AG394" t="s">
        <v>3250</v>
      </c>
      <c r="AH394" t="s">
        <v>3250</v>
      </c>
      <c r="AI394" t="s">
        <v>3250</v>
      </c>
      <c r="AJ394" t="s">
        <v>3250</v>
      </c>
      <c r="AL394" t="s">
        <v>3250</v>
      </c>
      <c r="AM394" t="s">
        <v>3250</v>
      </c>
      <c r="AN394" t="s">
        <v>3250</v>
      </c>
      <c r="AO394" t="s">
        <v>3250</v>
      </c>
      <c r="AS394" t="s">
        <v>3250</v>
      </c>
      <c r="AT394" t="s">
        <v>3250</v>
      </c>
      <c r="AU394" t="s">
        <v>3250</v>
      </c>
      <c r="AV394" t="s">
        <v>3250</v>
      </c>
      <c r="AW394" t="s">
        <v>3250</v>
      </c>
      <c r="AX394" t="s">
        <v>3250</v>
      </c>
      <c r="AY394" t="s">
        <v>3250</v>
      </c>
      <c r="AZ394" t="s">
        <v>3250</v>
      </c>
      <c r="BA394" t="s">
        <v>3250</v>
      </c>
      <c r="BB394" t="s">
        <v>3250</v>
      </c>
      <c r="BC394" t="s">
        <v>3250</v>
      </c>
      <c r="BE394" t="s">
        <v>3250</v>
      </c>
      <c r="BF394" t="s">
        <v>3250</v>
      </c>
      <c r="BG394" t="s">
        <v>3250</v>
      </c>
      <c r="BH394" t="s">
        <v>3250</v>
      </c>
      <c r="BI394" t="s">
        <v>3250</v>
      </c>
      <c r="BK394" t="s">
        <v>3250</v>
      </c>
      <c r="BL394" t="s">
        <v>3250</v>
      </c>
      <c r="BM394" t="s">
        <v>3250</v>
      </c>
      <c r="BN394" t="s">
        <v>3250</v>
      </c>
      <c r="BP394">
        <v>1</v>
      </c>
      <c r="BQ394">
        <v>11</v>
      </c>
      <c r="BR394" t="s">
        <v>1574</v>
      </c>
      <c r="BS394" t="s">
        <v>3252</v>
      </c>
      <c r="BV394">
        <v>0</v>
      </c>
      <c r="BW394">
        <v>0</v>
      </c>
      <c r="BX394">
        <v>0</v>
      </c>
      <c r="BY394">
        <v>0</v>
      </c>
      <c r="BZ394">
        <v>0</v>
      </c>
      <c r="CA394">
        <v>0</v>
      </c>
      <c r="CB394">
        <v>0</v>
      </c>
      <c r="CC394">
        <v>0</v>
      </c>
      <c r="CD394">
        <v>0</v>
      </c>
      <c r="CE394" t="s">
        <v>3108</v>
      </c>
      <c r="CF394" t="s">
        <v>3108</v>
      </c>
      <c r="CG394" t="s">
        <v>3108</v>
      </c>
      <c r="CH394" t="s">
        <v>3108</v>
      </c>
    </row>
    <row r="395" spans="1:86" x14ac:dyDescent="0.2">
      <c r="A395" t="s">
        <v>3951</v>
      </c>
      <c r="B395" t="s">
        <v>3951</v>
      </c>
      <c r="C395">
        <v>40683</v>
      </c>
      <c r="D395">
        <v>629</v>
      </c>
      <c r="E395" t="s">
        <v>3854</v>
      </c>
      <c r="F395">
        <v>200</v>
      </c>
      <c r="G395" t="s">
        <v>467</v>
      </c>
      <c r="H395">
        <v>200</v>
      </c>
      <c r="I395" t="s">
        <v>3840</v>
      </c>
      <c r="J395" t="s">
        <v>3250</v>
      </c>
      <c r="K395" t="s">
        <v>3250</v>
      </c>
      <c r="L395">
        <v>1200</v>
      </c>
      <c r="M395" t="s">
        <v>2368</v>
      </c>
      <c r="N395">
        <v>1204</v>
      </c>
      <c r="O395" t="s">
        <v>1574</v>
      </c>
      <c r="P395" t="s">
        <v>3108</v>
      </c>
      <c r="Q395" t="s">
        <v>3249</v>
      </c>
      <c r="R395" t="s">
        <v>3249</v>
      </c>
      <c r="S395" t="s">
        <v>810</v>
      </c>
      <c r="T395" t="s">
        <v>2759</v>
      </c>
      <c r="U395" t="s">
        <v>3250</v>
      </c>
      <c r="V395" t="s">
        <v>3250</v>
      </c>
      <c r="W395" t="s">
        <v>3250</v>
      </c>
      <c r="X395" t="s">
        <v>3250</v>
      </c>
      <c r="Y395" t="s">
        <v>3250</v>
      </c>
      <c r="Z395" t="s">
        <v>3250</v>
      </c>
      <c r="AA395" t="s">
        <v>3108</v>
      </c>
      <c r="AB395" t="s">
        <v>3108</v>
      </c>
      <c r="AC395" t="s">
        <v>3250</v>
      </c>
      <c r="AD395" t="s">
        <v>3250</v>
      </c>
      <c r="AE395" t="s">
        <v>3250</v>
      </c>
      <c r="AF395" t="s">
        <v>3250</v>
      </c>
      <c r="AG395" t="s">
        <v>3250</v>
      </c>
      <c r="AH395" t="s">
        <v>3250</v>
      </c>
      <c r="AI395" t="s">
        <v>3250</v>
      </c>
      <c r="AJ395" t="s">
        <v>3250</v>
      </c>
      <c r="AL395" t="s">
        <v>3250</v>
      </c>
      <c r="AM395" t="s">
        <v>3250</v>
      </c>
      <c r="AN395" t="s">
        <v>3250</v>
      </c>
      <c r="AO395" t="s">
        <v>3250</v>
      </c>
      <c r="AS395" t="s">
        <v>3250</v>
      </c>
      <c r="AT395" t="s">
        <v>3250</v>
      </c>
      <c r="AU395" t="s">
        <v>3250</v>
      </c>
      <c r="AV395" t="s">
        <v>3250</v>
      </c>
      <c r="AW395" t="s">
        <v>3250</v>
      </c>
      <c r="AX395" t="s">
        <v>3250</v>
      </c>
      <c r="AY395" t="s">
        <v>3250</v>
      </c>
      <c r="AZ395" t="s">
        <v>3250</v>
      </c>
      <c r="BA395" t="s">
        <v>3250</v>
      </c>
      <c r="BB395" t="s">
        <v>3250</v>
      </c>
      <c r="BC395" t="s">
        <v>3250</v>
      </c>
      <c r="BE395" t="s">
        <v>3250</v>
      </c>
      <c r="BF395" t="s">
        <v>3250</v>
      </c>
      <c r="BG395" t="s">
        <v>3250</v>
      </c>
      <c r="BH395" t="s">
        <v>3250</v>
      </c>
      <c r="BI395" t="s">
        <v>3250</v>
      </c>
      <c r="BK395" t="s">
        <v>3250</v>
      </c>
      <c r="BL395" t="s">
        <v>3250</v>
      </c>
      <c r="BM395" t="s">
        <v>3250</v>
      </c>
      <c r="BN395" t="s">
        <v>3250</v>
      </c>
      <c r="BP395">
        <v>1</v>
      </c>
      <c r="BQ395">
        <v>11</v>
      </c>
      <c r="BR395" t="s">
        <v>1574</v>
      </c>
      <c r="BS395" t="s">
        <v>3252</v>
      </c>
      <c r="BV395">
        <v>0</v>
      </c>
      <c r="BW395">
        <v>0</v>
      </c>
      <c r="BX395">
        <v>0</v>
      </c>
      <c r="BY395">
        <v>0</v>
      </c>
      <c r="BZ395">
        <v>0</v>
      </c>
      <c r="CA395">
        <v>0</v>
      </c>
      <c r="CB395">
        <v>0</v>
      </c>
      <c r="CC395">
        <v>0</v>
      </c>
      <c r="CD395">
        <v>0</v>
      </c>
      <c r="CE395" t="s">
        <v>3108</v>
      </c>
      <c r="CF395" t="s">
        <v>3108</v>
      </c>
      <c r="CG395" t="s">
        <v>3108</v>
      </c>
      <c r="CH395" t="s">
        <v>3108</v>
      </c>
    </row>
    <row r="396" spans="1:86" x14ac:dyDescent="0.2">
      <c r="A396" t="s">
        <v>3952</v>
      </c>
      <c r="B396" t="s">
        <v>3952</v>
      </c>
      <c r="C396">
        <v>40684</v>
      </c>
      <c r="D396">
        <v>630</v>
      </c>
      <c r="E396" t="s">
        <v>3856</v>
      </c>
      <c r="F396">
        <v>200</v>
      </c>
      <c r="G396" t="s">
        <v>467</v>
      </c>
      <c r="H396">
        <v>200</v>
      </c>
      <c r="I396" t="s">
        <v>3840</v>
      </c>
      <c r="J396" t="s">
        <v>3250</v>
      </c>
      <c r="K396" t="s">
        <v>3250</v>
      </c>
      <c r="L396">
        <v>1200</v>
      </c>
      <c r="M396" t="s">
        <v>2368</v>
      </c>
      <c r="N396">
        <v>1204</v>
      </c>
      <c r="O396" t="s">
        <v>1574</v>
      </c>
      <c r="P396" t="s">
        <v>3108</v>
      </c>
      <c r="Q396" t="s">
        <v>3249</v>
      </c>
      <c r="R396" t="s">
        <v>3249</v>
      </c>
      <c r="S396" t="s">
        <v>810</v>
      </c>
      <c r="T396" t="s">
        <v>2759</v>
      </c>
      <c r="U396" t="s">
        <v>3250</v>
      </c>
      <c r="V396" t="s">
        <v>3250</v>
      </c>
      <c r="W396" t="s">
        <v>3250</v>
      </c>
      <c r="X396" t="s">
        <v>3250</v>
      </c>
      <c r="Y396" t="s">
        <v>3250</v>
      </c>
      <c r="Z396" t="s">
        <v>3250</v>
      </c>
      <c r="AA396" t="s">
        <v>3108</v>
      </c>
      <c r="AB396" t="s">
        <v>3108</v>
      </c>
      <c r="AC396" t="s">
        <v>3250</v>
      </c>
      <c r="AD396" t="s">
        <v>3250</v>
      </c>
      <c r="AE396" t="s">
        <v>3250</v>
      </c>
      <c r="AF396" t="s">
        <v>3250</v>
      </c>
      <c r="AG396" t="s">
        <v>3250</v>
      </c>
      <c r="AH396" t="s">
        <v>3250</v>
      </c>
      <c r="AI396" t="s">
        <v>3250</v>
      </c>
      <c r="AJ396" t="s">
        <v>3250</v>
      </c>
      <c r="AL396" t="s">
        <v>3250</v>
      </c>
      <c r="AM396" t="s">
        <v>3250</v>
      </c>
      <c r="AN396" t="s">
        <v>3250</v>
      </c>
      <c r="AO396" t="s">
        <v>3250</v>
      </c>
      <c r="AS396" t="s">
        <v>3250</v>
      </c>
      <c r="AT396" t="s">
        <v>3250</v>
      </c>
      <c r="AU396" t="s">
        <v>3250</v>
      </c>
      <c r="AV396" t="s">
        <v>3250</v>
      </c>
      <c r="AW396" t="s">
        <v>3250</v>
      </c>
      <c r="AX396" t="s">
        <v>3250</v>
      </c>
      <c r="AY396" t="s">
        <v>3250</v>
      </c>
      <c r="AZ396" t="s">
        <v>3250</v>
      </c>
      <c r="BA396" t="s">
        <v>3250</v>
      </c>
      <c r="BB396" t="s">
        <v>3250</v>
      </c>
      <c r="BC396" t="s">
        <v>3250</v>
      </c>
      <c r="BE396" t="s">
        <v>3250</v>
      </c>
      <c r="BF396" t="s">
        <v>3250</v>
      </c>
      <c r="BG396" t="s">
        <v>3250</v>
      </c>
      <c r="BH396" t="s">
        <v>3250</v>
      </c>
      <c r="BI396" t="s">
        <v>3250</v>
      </c>
      <c r="BK396" t="s">
        <v>3250</v>
      </c>
      <c r="BL396" t="s">
        <v>3250</v>
      </c>
      <c r="BM396" t="s">
        <v>3250</v>
      </c>
      <c r="BN396" t="s">
        <v>3250</v>
      </c>
      <c r="BP396">
        <v>1</v>
      </c>
      <c r="BQ396">
        <v>11</v>
      </c>
      <c r="BR396" t="s">
        <v>1574</v>
      </c>
      <c r="BS396" t="s">
        <v>3252</v>
      </c>
      <c r="BV396">
        <v>0</v>
      </c>
      <c r="BW396">
        <v>0</v>
      </c>
      <c r="BX396">
        <v>0</v>
      </c>
      <c r="BY396">
        <v>0</v>
      </c>
      <c r="BZ396">
        <v>0</v>
      </c>
      <c r="CA396">
        <v>0</v>
      </c>
      <c r="CB396">
        <v>0</v>
      </c>
      <c r="CC396">
        <v>0</v>
      </c>
      <c r="CD396">
        <v>0</v>
      </c>
      <c r="CE396" t="s">
        <v>3108</v>
      </c>
      <c r="CF396" t="s">
        <v>3108</v>
      </c>
      <c r="CG396" t="s">
        <v>3108</v>
      </c>
      <c r="CH396" t="s">
        <v>3108</v>
      </c>
    </row>
    <row r="397" spans="1:86" x14ac:dyDescent="0.2">
      <c r="A397" t="s">
        <v>3953</v>
      </c>
      <c r="B397" t="s">
        <v>3953</v>
      </c>
      <c r="C397">
        <v>40685</v>
      </c>
      <c r="D397">
        <v>631</v>
      </c>
      <c r="E397" t="s">
        <v>3858</v>
      </c>
      <c r="F397">
        <v>200</v>
      </c>
      <c r="G397" t="s">
        <v>467</v>
      </c>
      <c r="H397">
        <v>200</v>
      </c>
      <c r="I397" t="s">
        <v>3840</v>
      </c>
      <c r="J397" t="s">
        <v>3250</v>
      </c>
      <c r="K397" t="s">
        <v>3250</v>
      </c>
      <c r="L397">
        <v>1200</v>
      </c>
      <c r="M397" t="s">
        <v>2368</v>
      </c>
      <c r="N397">
        <v>1204</v>
      </c>
      <c r="O397" t="s">
        <v>1574</v>
      </c>
      <c r="P397" t="s">
        <v>3108</v>
      </c>
      <c r="Q397" t="s">
        <v>3249</v>
      </c>
      <c r="R397" t="s">
        <v>3249</v>
      </c>
      <c r="S397" t="s">
        <v>810</v>
      </c>
      <c r="T397" t="s">
        <v>2759</v>
      </c>
      <c r="U397" t="s">
        <v>3250</v>
      </c>
      <c r="V397" t="s">
        <v>3250</v>
      </c>
      <c r="W397" t="s">
        <v>3250</v>
      </c>
      <c r="X397" t="s">
        <v>3250</v>
      </c>
      <c r="Y397" t="s">
        <v>3250</v>
      </c>
      <c r="Z397" t="s">
        <v>3250</v>
      </c>
      <c r="AA397" t="s">
        <v>3108</v>
      </c>
      <c r="AB397" t="s">
        <v>3108</v>
      </c>
      <c r="AC397" t="s">
        <v>3250</v>
      </c>
      <c r="AD397" t="s">
        <v>3250</v>
      </c>
      <c r="AE397" t="s">
        <v>3250</v>
      </c>
      <c r="AF397" t="s">
        <v>3250</v>
      </c>
      <c r="AG397" t="s">
        <v>3250</v>
      </c>
      <c r="AH397" t="s">
        <v>3250</v>
      </c>
      <c r="AI397" t="s">
        <v>3250</v>
      </c>
      <c r="AJ397" t="s">
        <v>3250</v>
      </c>
      <c r="AL397" t="s">
        <v>3250</v>
      </c>
      <c r="AM397" t="s">
        <v>3250</v>
      </c>
      <c r="AN397" t="s">
        <v>3250</v>
      </c>
      <c r="AO397" t="s">
        <v>3250</v>
      </c>
      <c r="AS397" t="s">
        <v>3250</v>
      </c>
      <c r="AT397" t="s">
        <v>3250</v>
      </c>
      <c r="AU397" t="s">
        <v>3250</v>
      </c>
      <c r="AV397" t="s">
        <v>3250</v>
      </c>
      <c r="AW397" t="s">
        <v>3250</v>
      </c>
      <c r="AX397" t="s">
        <v>3250</v>
      </c>
      <c r="AY397" t="s">
        <v>3250</v>
      </c>
      <c r="AZ397" t="s">
        <v>3250</v>
      </c>
      <c r="BA397" t="s">
        <v>3250</v>
      </c>
      <c r="BB397" t="s">
        <v>3250</v>
      </c>
      <c r="BC397" t="s">
        <v>3250</v>
      </c>
      <c r="BE397" t="s">
        <v>3250</v>
      </c>
      <c r="BF397" t="s">
        <v>3250</v>
      </c>
      <c r="BG397" t="s">
        <v>3250</v>
      </c>
      <c r="BH397" t="s">
        <v>3250</v>
      </c>
      <c r="BI397" t="s">
        <v>3250</v>
      </c>
      <c r="BK397" t="s">
        <v>3250</v>
      </c>
      <c r="BL397" t="s">
        <v>3250</v>
      </c>
      <c r="BM397" t="s">
        <v>3250</v>
      </c>
      <c r="BN397" t="s">
        <v>3250</v>
      </c>
      <c r="BP397">
        <v>1</v>
      </c>
      <c r="BQ397">
        <v>11</v>
      </c>
      <c r="BR397" t="s">
        <v>1574</v>
      </c>
      <c r="BS397" t="s">
        <v>3252</v>
      </c>
      <c r="BV397">
        <v>0</v>
      </c>
      <c r="BW397">
        <v>0</v>
      </c>
      <c r="BX397">
        <v>0</v>
      </c>
      <c r="BY397">
        <v>0</v>
      </c>
      <c r="BZ397">
        <v>0</v>
      </c>
      <c r="CA397">
        <v>0</v>
      </c>
      <c r="CB397">
        <v>0</v>
      </c>
      <c r="CC397">
        <v>0</v>
      </c>
      <c r="CD397">
        <v>0</v>
      </c>
      <c r="CE397" t="s">
        <v>3108</v>
      </c>
      <c r="CF397" t="s">
        <v>3108</v>
      </c>
      <c r="CG397" t="s">
        <v>3108</v>
      </c>
      <c r="CH397" t="s">
        <v>3108</v>
      </c>
    </row>
    <row r="398" spans="1:86" x14ac:dyDescent="0.2">
      <c r="A398" t="s">
        <v>3954</v>
      </c>
      <c r="B398" t="s">
        <v>3954</v>
      </c>
      <c r="C398">
        <v>40686</v>
      </c>
      <c r="D398">
        <v>632</v>
      </c>
      <c r="E398" t="s">
        <v>3860</v>
      </c>
      <c r="F398">
        <v>200</v>
      </c>
      <c r="G398" t="s">
        <v>467</v>
      </c>
      <c r="H398">
        <v>200</v>
      </c>
      <c r="I398" t="s">
        <v>3840</v>
      </c>
      <c r="J398" t="s">
        <v>3250</v>
      </c>
      <c r="K398" t="s">
        <v>3250</v>
      </c>
      <c r="L398">
        <v>1200</v>
      </c>
      <c r="M398" t="s">
        <v>2368</v>
      </c>
      <c r="N398">
        <v>1204</v>
      </c>
      <c r="O398" t="s">
        <v>1574</v>
      </c>
      <c r="P398" t="s">
        <v>3108</v>
      </c>
      <c r="Q398" t="s">
        <v>3249</v>
      </c>
      <c r="R398" t="s">
        <v>3249</v>
      </c>
      <c r="S398" t="s">
        <v>810</v>
      </c>
      <c r="T398" t="s">
        <v>2759</v>
      </c>
      <c r="U398" t="s">
        <v>3250</v>
      </c>
      <c r="V398" t="s">
        <v>3250</v>
      </c>
      <c r="W398" t="s">
        <v>3250</v>
      </c>
      <c r="X398" t="s">
        <v>3250</v>
      </c>
      <c r="Y398" t="s">
        <v>3250</v>
      </c>
      <c r="Z398" t="s">
        <v>3250</v>
      </c>
      <c r="AA398" t="s">
        <v>3108</v>
      </c>
      <c r="AB398" t="s">
        <v>3108</v>
      </c>
      <c r="AC398" t="s">
        <v>3250</v>
      </c>
      <c r="AD398" t="s">
        <v>3250</v>
      </c>
      <c r="AE398" t="s">
        <v>3250</v>
      </c>
      <c r="AF398" t="s">
        <v>3250</v>
      </c>
      <c r="AG398" t="s">
        <v>3250</v>
      </c>
      <c r="AH398" t="s">
        <v>3250</v>
      </c>
      <c r="AI398" t="s">
        <v>3250</v>
      </c>
      <c r="AJ398" t="s">
        <v>3250</v>
      </c>
      <c r="AL398" t="s">
        <v>3250</v>
      </c>
      <c r="AM398" t="s">
        <v>3250</v>
      </c>
      <c r="AN398" t="s">
        <v>3250</v>
      </c>
      <c r="AO398" t="s">
        <v>3250</v>
      </c>
      <c r="AS398" t="s">
        <v>3250</v>
      </c>
      <c r="AT398" t="s">
        <v>3250</v>
      </c>
      <c r="AU398" t="s">
        <v>3250</v>
      </c>
      <c r="AV398" t="s">
        <v>3250</v>
      </c>
      <c r="AW398" t="s">
        <v>3250</v>
      </c>
      <c r="AX398" t="s">
        <v>3250</v>
      </c>
      <c r="AY398" t="s">
        <v>3250</v>
      </c>
      <c r="AZ398" t="s">
        <v>3250</v>
      </c>
      <c r="BA398" t="s">
        <v>3250</v>
      </c>
      <c r="BB398" t="s">
        <v>3250</v>
      </c>
      <c r="BC398" t="s">
        <v>3250</v>
      </c>
      <c r="BE398" t="s">
        <v>3250</v>
      </c>
      <c r="BF398" t="s">
        <v>3250</v>
      </c>
      <c r="BG398" t="s">
        <v>3250</v>
      </c>
      <c r="BH398" t="s">
        <v>3250</v>
      </c>
      <c r="BI398" t="s">
        <v>3250</v>
      </c>
      <c r="BK398" t="s">
        <v>3250</v>
      </c>
      <c r="BL398" t="s">
        <v>3250</v>
      </c>
      <c r="BM398" t="s">
        <v>3250</v>
      </c>
      <c r="BN398" t="s">
        <v>3250</v>
      </c>
      <c r="BP398">
        <v>1</v>
      </c>
      <c r="BQ398">
        <v>11</v>
      </c>
      <c r="BR398" t="s">
        <v>1574</v>
      </c>
      <c r="BS398" t="s">
        <v>3252</v>
      </c>
      <c r="BV398">
        <v>-1649</v>
      </c>
      <c r="BW398">
        <v>0</v>
      </c>
      <c r="BX398">
        <v>0</v>
      </c>
      <c r="BY398">
        <v>0</v>
      </c>
      <c r="BZ398">
        <v>0</v>
      </c>
      <c r="CA398">
        <v>0</v>
      </c>
      <c r="CB398">
        <v>0</v>
      </c>
      <c r="CC398">
        <v>0</v>
      </c>
      <c r="CD398">
        <v>0</v>
      </c>
      <c r="CE398" t="s">
        <v>3108</v>
      </c>
      <c r="CF398" t="s">
        <v>3108</v>
      </c>
      <c r="CG398" t="s">
        <v>3108</v>
      </c>
      <c r="CH398" t="s">
        <v>3108</v>
      </c>
    </row>
    <row r="399" spans="1:86" x14ac:dyDescent="0.2">
      <c r="A399" t="s">
        <v>3955</v>
      </c>
      <c r="B399" t="s">
        <v>3955</v>
      </c>
      <c r="C399">
        <v>40687</v>
      </c>
      <c r="D399">
        <v>633</v>
      </c>
      <c r="E399" t="s">
        <v>3862</v>
      </c>
      <c r="F399">
        <v>200</v>
      </c>
      <c r="G399" t="s">
        <v>467</v>
      </c>
      <c r="H399">
        <v>200</v>
      </c>
      <c r="I399" t="s">
        <v>3840</v>
      </c>
      <c r="J399" t="s">
        <v>3250</v>
      </c>
      <c r="K399" t="s">
        <v>3250</v>
      </c>
      <c r="L399">
        <v>1200</v>
      </c>
      <c r="M399" t="s">
        <v>2368</v>
      </c>
      <c r="N399">
        <v>1204</v>
      </c>
      <c r="O399" t="s">
        <v>1574</v>
      </c>
      <c r="P399" t="s">
        <v>3108</v>
      </c>
      <c r="Q399" t="s">
        <v>3249</v>
      </c>
      <c r="R399" t="s">
        <v>3249</v>
      </c>
      <c r="S399" t="s">
        <v>810</v>
      </c>
      <c r="T399" t="s">
        <v>2759</v>
      </c>
      <c r="U399" t="s">
        <v>3250</v>
      </c>
      <c r="V399" t="s">
        <v>3250</v>
      </c>
      <c r="W399" t="s">
        <v>3250</v>
      </c>
      <c r="X399" t="s">
        <v>3250</v>
      </c>
      <c r="Y399" t="s">
        <v>3250</v>
      </c>
      <c r="Z399" t="s">
        <v>3250</v>
      </c>
      <c r="AA399" t="s">
        <v>3108</v>
      </c>
      <c r="AB399" t="s">
        <v>3108</v>
      </c>
      <c r="AC399" t="s">
        <v>3250</v>
      </c>
      <c r="AD399" t="s">
        <v>3250</v>
      </c>
      <c r="AE399" t="s">
        <v>3250</v>
      </c>
      <c r="AF399" t="s">
        <v>3250</v>
      </c>
      <c r="AG399" t="s">
        <v>3250</v>
      </c>
      <c r="AH399" t="s">
        <v>3250</v>
      </c>
      <c r="AI399" t="s">
        <v>3250</v>
      </c>
      <c r="AJ399" t="s">
        <v>3250</v>
      </c>
      <c r="AL399" t="s">
        <v>3250</v>
      </c>
      <c r="AM399" t="s">
        <v>3250</v>
      </c>
      <c r="AN399" t="s">
        <v>3250</v>
      </c>
      <c r="AO399" t="s">
        <v>3250</v>
      </c>
      <c r="AS399" t="s">
        <v>3250</v>
      </c>
      <c r="AT399" t="s">
        <v>3250</v>
      </c>
      <c r="AU399" t="s">
        <v>3250</v>
      </c>
      <c r="AV399" t="s">
        <v>3250</v>
      </c>
      <c r="AW399" t="s">
        <v>3250</v>
      </c>
      <c r="AX399" t="s">
        <v>3250</v>
      </c>
      <c r="AY399" t="s">
        <v>3250</v>
      </c>
      <c r="AZ399" t="s">
        <v>3250</v>
      </c>
      <c r="BA399" t="s">
        <v>3250</v>
      </c>
      <c r="BB399" t="s">
        <v>3250</v>
      </c>
      <c r="BC399" t="s">
        <v>3250</v>
      </c>
      <c r="BE399" t="s">
        <v>3250</v>
      </c>
      <c r="BF399" t="s">
        <v>3250</v>
      </c>
      <c r="BG399" t="s">
        <v>3250</v>
      </c>
      <c r="BH399" t="s">
        <v>3250</v>
      </c>
      <c r="BI399" t="s">
        <v>3250</v>
      </c>
      <c r="BK399" t="s">
        <v>3250</v>
      </c>
      <c r="BL399" t="s">
        <v>3250</v>
      </c>
      <c r="BM399" t="s">
        <v>3250</v>
      </c>
      <c r="BN399" t="s">
        <v>3250</v>
      </c>
      <c r="BP399">
        <v>1</v>
      </c>
      <c r="BQ399">
        <v>11</v>
      </c>
      <c r="BR399" t="s">
        <v>1574</v>
      </c>
      <c r="BS399" t="s">
        <v>3252</v>
      </c>
      <c r="BV399">
        <v>0</v>
      </c>
      <c r="BW399">
        <v>0</v>
      </c>
      <c r="BX399">
        <v>0</v>
      </c>
      <c r="BY399">
        <v>0</v>
      </c>
      <c r="BZ399">
        <v>0</v>
      </c>
      <c r="CA399">
        <v>0</v>
      </c>
      <c r="CB399">
        <v>0</v>
      </c>
      <c r="CC399">
        <v>0</v>
      </c>
      <c r="CD399">
        <v>0</v>
      </c>
      <c r="CE399" t="s">
        <v>3108</v>
      </c>
      <c r="CF399" t="s">
        <v>3108</v>
      </c>
      <c r="CG399" t="s">
        <v>3108</v>
      </c>
      <c r="CH399" t="s">
        <v>3108</v>
      </c>
    </row>
    <row r="400" spans="1:86" x14ac:dyDescent="0.2">
      <c r="A400" t="s">
        <v>3956</v>
      </c>
      <c r="B400" t="s">
        <v>3956</v>
      </c>
      <c r="C400">
        <v>40688</v>
      </c>
      <c r="D400">
        <v>634</v>
      </c>
      <c r="E400" t="s">
        <v>3864</v>
      </c>
      <c r="F400">
        <v>200</v>
      </c>
      <c r="G400" t="s">
        <v>467</v>
      </c>
      <c r="H400">
        <v>200</v>
      </c>
      <c r="I400" t="s">
        <v>3840</v>
      </c>
      <c r="J400" t="s">
        <v>3250</v>
      </c>
      <c r="K400" t="s">
        <v>3250</v>
      </c>
      <c r="L400">
        <v>1200</v>
      </c>
      <c r="M400" t="s">
        <v>2368</v>
      </c>
      <c r="N400">
        <v>1204</v>
      </c>
      <c r="O400" t="s">
        <v>1574</v>
      </c>
      <c r="P400" t="s">
        <v>3108</v>
      </c>
      <c r="Q400" t="s">
        <v>3249</v>
      </c>
      <c r="R400" t="s">
        <v>3249</v>
      </c>
      <c r="S400" t="s">
        <v>810</v>
      </c>
      <c r="T400" t="s">
        <v>2759</v>
      </c>
      <c r="U400" t="s">
        <v>3250</v>
      </c>
      <c r="V400" t="s">
        <v>3250</v>
      </c>
      <c r="W400" t="s">
        <v>3250</v>
      </c>
      <c r="X400" t="s">
        <v>3250</v>
      </c>
      <c r="Y400" t="s">
        <v>3250</v>
      </c>
      <c r="Z400" t="s">
        <v>3250</v>
      </c>
      <c r="AA400" t="s">
        <v>3108</v>
      </c>
      <c r="AB400" t="s">
        <v>3108</v>
      </c>
      <c r="AC400" t="s">
        <v>3250</v>
      </c>
      <c r="AD400" t="s">
        <v>3250</v>
      </c>
      <c r="AE400" t="s">
        <v>3250</v>
      </c>
      <c r="AF400" t="s">
        <v>3250</v>
      </c>
      <c r="AG400" t="s">
        <v>3250</v>
      </c>
      <c r="AH400" t="s">
        <v>3250</v>
      </c>
      <c r="AI400" t="s">
        <v>3250</v>
      </c>
      <c r="AJ400" t="s">
        <v>3250</v>
      </c>
      <c r="AL400" t="s">
        <v>3250</v>
      </c>
      <c r="AM400" t="s">
        <v>3250</v>
      </c>
      <c r="AN400" t="s">
        <v>3250</v>
      </c>
      <c r="AO400" t="s">
        <v>3250</v>
      </c>
      <c r="AS400" t="s">
        <v>3250</v>
      </c>
      <c r="AT400" t="s">
        <v>3250</v>
      </c>
      <c r="AU400" t="s">
        <v>3250</v>
      </c>
      <c r="AV400" t="s">
        <v>3250</v>
      </c>
      <c r="AW400" t="s">
        <v>3250</v>
      </c>
      <c r="AX400" t="s">
        <v>3250</v>
      </c>
      <c r="AY400" t="s">
        <v>3250</v>
      </c>
      <c r="AZ400" t="s">
        <v>3250</v>
      </c>
      <c r="BA400" t="s">
        <v>3250</v>
      </c>
      <c r="BB400" t="s">
        <v>3250</v>
      </c>
      <c r="BC400" t="s">
        <v>3250</v>
      </c>
      <c r="BE400" t="s">
        <v>3250</v>
      </c>
      <c r="BF400" t="s">
        <v>3250</v>
      </c>
      <c r="BG400" t="s">
        <v>3250</v>
      </c>
      <c r="BH400" t="s">
        <v>3250</v>
      </c>
      <c r="BI400" t="s">
        <v>3250</v>
      </c>
      <c r="BK400" t="s">
        <v>3250</v>
      </c>
      <c r="BL400" t="s">
        <v>3250</v>
      </c>
      <c r="BM400" t="s">
        <v>3250</v>
      </c>
      <c r="BN400" t="s">
        <v>3250</v>
      </c>
      <c r="BP400">
        <v>1</v>
      </c>
      <c r="BQ400">
        <v>11</v>
      </c>
      <c r="BR400" t="s">
        <v>1574</v>
      </c>
      <c r="BS400" t="s">
        <v>3252</v>
      </c>
      <c r="BV400">
        <v>0</v>
      </c>
      <c r="BW400">
        <v>0</v>
      </c>
      <c r="BX400">
        <v>0</v>
      </c>
      <c r="BY400">
        <v>0</v>
      </c>
      <c r="BZ400">
        <v>0</v>
      </c>
      <c r="CA400">
        <v>0</v>
      </c>
      <c r="CB400">
        <v>0</v>
      </c>
      <c r="CC400">
        <v>0</v>
      </c>
      <c r="CD400">
        <v>0</v>
      </c>
      <c r="CE400" t="s">
        <v>3108</v>
      </c>
      <c r="CF400" t="s">
        <v>3108</v>
      </c>
      <c r="CG400" t="s">
        <v>3108</v>
      </c>
      <c r="CH400" t="s">
        <v>3108</v>
      </c>
    </row>
    <row r="401" spans="1:86" x14ac:dyDescent="0.2">
      <c r="A401" t="s">
        <v>3957</v>
      </c>
      <c r="B401" t="s">
        <v>3957</v>
      </c>
      <c r="C401">
        <v>40689</v>
      </c>
      <c r="D401">
        <v>635</v>
      </c>
      <c r="E401" t="s">
        <v>3866</v>
      </c>
      <c r="F401">
        <v>200</v>
      </c>
      <c r="G401" t="s">
        <v>467</v>
      </c>
      <c r="H401">
        <v>200</v>
      </c>
      <c r="I401" t="s">
        <v>3840</v>
      </c>
      <c r="J401" t="s">
        <v>3250</v>
      </c>
      <c r="K401" t="s">
        <v>3250</v>
      </c>
      <c r="L401">
        <v>1200</v>
      </c>
      <c r="M401" t="s">
        <v>2368</v>
      </c>
      <c r="N401">
        <v>1204</v>
      </c>
      <c r="O401" t="s">
        <v>1574</v>
      </c>
      <c r="P401" t="s">
        <v>3108</v>
      </c>
      <c r="Q401" t="s">
        <v>3249</v>
      </c>
      <c r="R401" t="s">
        <v>3249</v>
      </c>
      <c r="S401" t="s">
        <v>810</v>
      </c>
      <c r="T401" t="s">
        <v>2759</v>
      </c>
      <c r="U401" t="s">
        <v>3250</v>
      </c>
      <c r="V401" t="s">
        <v>3250</v>
      </c>
      <c r="W401" t="s">
        <v>3250</v>
      </c>
      <c r="X401" t="s">
        <v>3250</v>
      </c>
      <c r="Y401" t="s">
        <v>3250</v>
      </c>
      <c r="Z401" t="s">
        <v>3250</v>
      </c>
      <c r="AA401" t="s">
        <v>3108</v>
      </c>
      <c r="AB401" t="s">
        <v>3108</v>
      </c>
      <c r="AC401" t="s">
        <v>3250</v>
      </c>
      <c r="AD401" t="s">
        <v>3250</v>
      </c>
      <c r="AE401" t="s">
        <v>3250</v>
      </c>
      <c r="AF401" t="s">
        <v>3250</v>
      </c>
      <c r="AG401" t="s">
        <v>3250</v>
      </c>
      <c r="AH401" t="s">
        <v>3250</v>
      </c>
      <c r="AI401" t="s">
        <v>3250</v>
      </c>
      <c r="AJ401" t="s">
        <v>3250</v>
      </c>
      <c r="AL401" t="s">
        <v>3250</v>
      </c>
      <c r="AM401" t="s">
        <v>3250</v>
      </c>
      <c r="AN401" t="s">
        <v>3250</v>
      </c>
      <c r="AO401" t="s">
        <v>3250</v>
      </c>
      <c r="AS401" t="s">
        <v>3250</v>
      </c>
      <c r="AT401" t="s">
        <v>3250</v>
      </c>
      <c r="AU401" t="s">
        <v>3250</v>
      </c>
      <c r="AV401" t="s">
        <v>3250</v>
      </c>
      <c r="AW401" t="s">
        <v>3250</v>
      </c>
      <c r="AX401" t="s">
        <v>3250</v>
      </c>
      <c r="AY401" t="s">
        <v>3250</v>
      </c>
      <c r="AZ401" t="s">
        <v>3250</v>
      </c>
      <c r="BA401" t="s">
        <v>3250</v>
      </c>
      <c r="BB401" t="s">
        <v>3250</v>
      </c>
      <c r="BC401" t="s">
        <v>3250</v>
      </c>
      <c r="BE401" t="s">
        <v>3250</v>
      </c>
      <c r="BF401" t="s">
        <v>3250</v>
      </c>
      <c r="BG401" t="s">
        <v>3250</v>
      </c>
      <c r="BH401" t="s">
        <v>3250</v>
      </c>
      <c r="BI401" t="s">
        <v>3250</v>
      </c>
      <c r="BK401" t="s">
        <v>3250</v>
      </c>
      <c r="BL401" t="s">
        <v>3250</v>
      </c>
      <c r="BM401" t="s">
        <v>3250</v>
      </c>
      <c r="BN401" t="s">
        <v>3250</v>
      </c>
      <c r="BP401">
        <v>1</v>
      </c>
      <c r="BQ401">
        <v>11</v>
      </c>
      <c r="BR401" t="s">
        <v>1574</v>
      </c>
      <c r="BS401" t="s">
        <v>3252</v>
      </c>
      <c r="BV401">
        <v>0</v>
      </c>
      <c r="BW401">
        <v>0</v>
      </c>
      <c r="BX401">
        <v>0</v>
      </c>
      <c r="BY401">
        <v>0</v>
      </c>
      <c r="BZ401">
        <v>0</v>
      </c>
      <c r="CA401">
        <v>0</v>
      </c>
      <c r="CB401">
        <v>0</v>
      </c>
      <c r="CC401">
        <v>0</v>
      </c>
      <c r="CD401">
        <v>0</v>
      </c>
      <c r="CE401" t="s">
        <v>3108</v>
      </c>
      <c r="CF401" t="s">
        <v>3108</v>
      </c>
      <c r="CG401" t="s">
        <v>3108</v>
      </c>
      <c r="CH401" t="s">
        <v>3108</v>
      </c>
    </row>
    <row r="402" spans="1:86" x14ac:dyDescent="0.2">
      <c r="A402" t="s">
        <v>3958</v>
      </c>
      <c r="B402" t="s">
        <v>3958</v>
      </c>
      <c r="C402">
        <v>40690</v>
      </c>
      <c r="D402">
        <v>636</v>
      </c>
      <c r="E402" t="s">
        <v>3868</v>
      </c>
      <c r="F402">
        <v>200</v>
      </c>
      <c r="G402" t="s">
        <v>467</v>
      </c>
      <c r="H402">
        <v>200</v>
      </c>
      <c r="I402" t="s">
        <v>3840</v>
      </c>
      <c r="J402" t="s">
        <v>3250</v>
      </c>
      <c r="K402" t="s">
        <v>3250</v>
      </c>
      <c r="L402">
        <v>1200</v>
      </c>
      <c r="M402" t="s">
        <v>2368</v>
      </c>
      <c r="N402">
        <v>1204</v>
      </c>
      <c r="O402" t="s">
        <v>1574</v>
      </c>
      <c r="P402" t="s">
        <v>3108</v>
      </c>
      <c r="Q402" t="s">
        <v>3249</v>
      </c>
      <c r="R402" t="s">
        <v>3249</v>
      </c>
      <c r="S402" t="s">
        <v>810</v>
      </c>
      <c r="T402" t="s">
        <v>2759</v>
      </c>
      <c r="U402" t="s">
        <v>3250</v>
      </c>
      <c r="V402" t="s">
        <v>3250</v>
      </c>
      <c r="W402" t="s">
        <v>3250</v>
      </c>
      <c r="X402" t="s">
        <v>3250</v>
      </c>
      <c r="Y402" t="s">
        <v>3250</v>
      </c>
      <c r="Z402" t="s">
        <v>3250</v>
      </c>
      <c r="AA402" t="s">
        <v>3108</v>
      </c>
      <c r="AB402" t="s">
        <v>3108</v>
      </c>
      <c r="AC402" t="s">
        <v>3250</v>
      </c>
      <c r="AD402" t="s">
        <v>3250</v>
      </c>
      <c r="AE402" t="s">
        <v>3250</v>
      </c>
      <c r="AF402" t="s">
        <v>3250</v>
      </c>
      <c r="AG402" t="s">
        <v>3250</v>
      </c>
      <c r="AH402" t="s">
        <v>3250</v>
      </c>
      <c r="AI402" t="s">
        <v>3250</v>
      </c>
      <c r="AJ402" t="s">
        <v>3250</v>
      </c>
      <c r="AL402" t="s">
        <v>3250</v>
      </c>
      <c r="AM402" t="s">
        <v>3250</v>
      </c>
      <c r="AN402" t="s">
        <v>3250</v>
      </c>
      <c r="AO402" t="s">
        <v>3250</v>
      </c>
      <c r="AS402" t="s">
        <v>3250</v>
      </c>
      <c r="AT402" t="s">
        <v>3250</v>
      </c>
      <c r="AU402" t="s">
        <v>3250</v>
      </c>
      <c r="AV402" t="s">
        <v>3250</v>
      </c>
      <c r="AW402" t="s">
        <v>3250</v>
      </c>
      <c r="AX402" t="s">
        <v>3250</v>
      </c>
      <c r="AY402" t="s">
        <v>3250</v>
      </c>
      <c r="AZ402" t="s">
        <v>3250</v>
      </c>
      <c r="BA402" t="s">
        <v>3250</v>
      </c>
      <c r="BB402" t="s">
        <v>3250</v>
      </c>
      <c r="BC402" t="s">
        <v>3250</v>
      </c>
      <c r="BE402" t="s">
        <v>3250</v>
      </c>
      <c r="BF402" t="s">
        <v>3250</v>
      </c>
      <c r="BG402" t="s">
        <v>3250</v>
      </c>
      <c r="BH402" t="s">
        <v>3250</v>
      </c>
      <c r="BI402" t="s">
        <v>3250</v>
      </c>
      <c r="BK402" t="s">
        <v>3250</v>
      </c>
      <c r="BL402" t="s">
        <v>3250</v>
      </c>
      <c r="BM402" t="s">
        <v>3250</v>
      </c>
      <c r="BN402" t="s">
        <v>3250</v>
      </c>
      <c r="BP402">
        <v>1</v>
      </c>
      <c r="BQ402">
        <v>11</v>
      </c>
      <c r="BR402" t="s">
        <v>1574</v>
      </c>
      <c r="BS402" t="s">
        <v>3252</v>
      </c>
      <c r="BV402">
        <v>0</v>
      </c>
      <c r="BW402">
        <v>0</v>
      </c>
      <c r="BX402">
        <v>0</v>
      </c>
      <c r="BY402">
        <v>0</v>
      </c>
      <c r="BZ402">
        <v>0</v>
      </c>
      <c r="CA402">
        <v>0</v>
      </c>
      <c r="CB402">
        <v>0</v>
      </c>
      <c r="CC402">
        <v>0</v>
      </c>
      <c r="CD402">
        <v>0</v>
      </c>
      <c r="CE402" t="s">
        <v>3108</v>
      </c>
      <c r="CF402" t="s">
        <v>3108</v>
      </c>
      <c r="CG402" t="s">
        <v>3108</v>
      </c>
      <c r="CH402" t="s">
        <v>3108</v>
      </c>
    </row>
    <row r="403" spans="1:86" x14ac:dyDescent="0.2">
      <c r="A403" t="s">
        <v>3959</v>
      </c>
      <c r="B403" t="s">
        <v>3959</v>
      </c>
      <c r="C403">
        <v>40691</v>
      </c>
      <c r="D403">
        <v>637</v>
      </c>
      <c r="E403" t="s">
        <v>3839</v>
      </c>
      <c r="F403">
        <v>200</v>
      </c>
      <c r="G403" t="s">
        <v>467</v>
      </c>
      <c r="H403">
        <v>200</v>
      </c>
      <c r="I403" t="s">
        <v>3840</v>
      </c>
      <c r="J403" t="s">
        <v>3250</v>
      </c>
      <c r="K403" t="s">
        <v>3250</v>
      </c>
      <c r="L403">
        <v>1200</v>
      </c>
      <c r="M403" t="s">
        <v>2368</v>
      </c>
      <c r="N403">
        <v>1204</v>
      </c>
      <c r="O403" t="s">
        <v>1574</v>
      </c>
      <c r="P403" t="s">
        <v>3108</v>
      </c>
      <c r="Q403" t="s">
        <v>3249</v>
      </c>
      <c r="R403" t="s">
        <v>3249</v>
      </c>
      <c r="S403" t="s">
        <v>810</v>
      </c>
      <c r="T403" t="s">
        <v>2759</v>
      </c>
      <c r="U403" t="s">
        <v>3250</v>
      </c>
      <c r="V403" t="s">
        <v>3250</v>
      </c>
      <c r="W403" t="s">
        <v>3250</v>
      </c>
      <c r="X403" t="s">
        <v>3250</v>
      </c>
      <c r="Y403" t="s">
        <v>3250</v>
      </c>
      <c r="Z403" t="s">
        <v>3250</v>
      </c>
      <c r="AA403" t="s">
        <v>3108</v>
      </c>
      <c r="AB403" t="s">
        <v>3108</v>
      </c>
      <c r="AC403" t="s">
        <v>3250</v>
      </c>
      <c r="AD403" t="s">
        <v>3250</v>
      </c>
      <c r="AE403" t="s">
        <v>3250</v>
      </c>
      <c r="AF403" t="s">
        <v>3250</v>
      </c>
      <c r="AG403" t="s">
        <v>3250</v>
      </c>
      <c r="AH403" t="s">
        <v>3250</v>
      </c>
      <c r="AI403" t="s">
        <v>3250</v>
      </c>
      <c r="AJ403" t="s">
        <v>3250</v>
      </c>
      <c r="AL403" t="s">
        <v>3250</v>
      </c>
      <c r="AM403" t="s">
        <v>3250</v>
      </c>
      <c r="AN403" t="s">
        <v>3250</v>
      </c>
      <c r="AO403" t="s">
        <v>3250</v>
      </c>
      <c r="AS403" t="s">
        <v>3250</v>
      </c>
      <c r="AT403" t="s">
        <v>3250</v>
      </c>
      <c r="AU403" t="s">
        <v>3250</v>
      </c>
      <c r="AV403" t="s">
        <v>3250</v>
      </c>
      <c r="AW403" t="s">
        <v>3250</v>
      </c>
      <c r="AX403" t="s">
        <v>3250</v>
      </c>
      <c r="AY403" t="s">
        <v>3250</v>
      </c>
      <c r="AZ403" t="s">
        <v>3250</v>
      </c>
      <c r="BA403" t="s">
        <v>3250</v>
      </c>
      <c r="BB403" t="s">
        <v>3250</v>
      </c>
      <c r="BC403" t="s">
        <v>3250</v>
      </c>
      <c r="BE403" t="s">
        <v>3250</v>
      </c>
      <c r="BF403" t="s">
        <v>3250</v>
      </c>
      <c r="BG403" t="s">
        <v>3250</v>
      </c>
      <c r="BH403" t="s">
        <v>3250</v>
      </c>
      <c r="BI403" t="s">
        <v>3250</v>
      </c>
      <c r="BK403" t="s">
        <v>3250</v>
      </c>
      <c r="BL403" t="s">
        <v>3250</v>
      </c>
      <c r="BM403" t="s">
        <v>3250</v>
      </c>
      <c r="BN403" t="s">
        <v>3250</v>
      </c>
      <c r="BP403">
        <v>1</v>
      </c>
      <c r="BQ403">
        <v>11</v>
      </c>
      <c r="BR403" t="s">
        <v>1574</v>
      </c>
      <c r="BS403" t="s">
        <v>3252</v>
      </c>
      <c r="BV403">
        <v>0</v>
      </c>
      <c r="BW403">
        <v>0</v>
      </c>
      <c r="BX403">
        <v>0</v>
      </c>
      <c r="BY403">
        <v>0</v>
      </c>
      <c r="BZ403">
        <v>0</v>
      </c>
      <c r="CA403">
        <v>0</v>
      </c>
      <c r="CB403">
        <v>0</v>
      </c>
      <c r="CC403">
        <v>0</v>
      </c>
      <c r="CD403">
        <v>0</v>
      </c>
      <c r="CE403" t="s">
        <v>3108</v>
      </c>
      <c r="CF403" t="s">
        <v>3108</v>
      </c>
      <c r="CG403" t="s">
        <v>3108</v>
      </c>
      <c r="CH403" t="s">
        <v>3108</v>
      </c>
    </row>
    <row r="404" spans="1:86" x14ac:dyDescent="0.2">
      <c r="A404" t="s">
        <v>3960</v>
      </c>
      <c r="B404" t="s">
        <v>3960</v>
      </c>
      <c r="C404">
        <v>40692</v>
      </c>
      <c r="D404">
        <v>638</v>
      </c>
      <c r="E404" t="s">
        <v>3842</v>
      </c>
      <c r="F404">
        <v>200</v>
      </c>
      <c r="G404" t="s">
        <v>467</v>
      </c>
      <c r="H404">
        <v>200</v>
      </c>
      <c r="I404" t="s">
        <v>3840</v>
      </c>
      <c r="J404" t="s">
        <v>3250</v>
      </c>
      <c r="K404" t="s">
        <v>3250</v>
      </c>
      <c r="L404">
        <v>1200</v>
      </c>
      <c r="M404" t="s">
        <v>2368</v>
      </c>
      <c r="N404">
        <v>1204</v>
      </c>
      <c r="O404" t="s">
        <v>1574</v>
      </c>
      <c r="P404" t="s">
        <v>3108</v>
      </c>
      <c r="Q404" t="s">
        <v>3249</v>
      </c>
      <c r="R404" t="s">
        <v>3249</v>
      </c>
      <c r="S404" t="s">
        <v>810</v>
      </c>
      <c r="T404" t="s">
        <v>2759</v>
      </c>
      <c r="U404" t="s">
        <v>3250</v>
      </c>
      <c r="V404" t="s">
        <v>3250</v>
      </c>
      <c r="W404" t="s">
        <v>3250</v>
      </c>
      <c r="X404" t="s">
        <v>3250</v>
      </c>
      <c r="Y404" t="s">
        <v>3250</v>
      </c>
      <c r="Z404" t="s">
        <v>3250</v>
      </c>
      <c r="AA404" t="s">
        <v>3108</v>
      </c>
      <c r="AB404" t="s">
        <v>3108</v>
      </c>
      <c r="AC404" t="s">
        <v>3250</v>
      </c>
      <c r="AD404" t="s">
        <v>3250</v>
      </c>
      <c r="AE404" t="s">
        <v>3250</v>
      </c>
      <c r="AF404" t="s">
        <v>3250</v>
      </c>
      <c r="AG404" t="s">
        <v>3250</v>
      </c>
      <c r="AH404" t="s">
        <v>3250</v>
      </c>
      <c r="AI404" t="s">
        <v>3250</v>
      </c>
      <c r="AJ404" t="s">
        <v>3250</v>
      </c>
      <c r="AL404" t="s">
        <v>3250</v>
      </c>
      <c r="AM404" t="s">
        <v>3250</v>
      </c>
      <c r="AN404" t="s">
        <v>3250</v>
      </c>
      <c r="AO404" t="s">
        <v>3250</v>
      </c>
      <c r="AS404" t="s">
        <v>3250</v>
      </c>
      <c r="AT404" t="s">
        <v>3250</v>
      </c>
      <c r="AU404" t="s">
        <v>3250</v>
      </c>
      <c r="AV404" t="s">
        <v>3250</v>
      </c>
      <c r="AW404" t="s">
        <v>3250</v>
      </c>
      <c r="AX404" t="s">
        <v>3250</v>
      </c>
      <c r="AY404" t="s">
        <v>3250</v>
      </c>
      <c r="AZ404" t="s">
        <v>3250</v>
      </c>
      <c r="BA404" t="s">
        <v>3250</v>
      </c>
      <c r="BB404" t="s">
        <v>3250</v>
      </c>
      <c r="BC404" t="s">
        <v>3250</v>
      </c>
      <c r="BE404" t="s">
        <v>3250</v>
      </c>
      <c r="BF404" t="s">
        <v>3250</v>
      </c>
      <c r="BG404" t="s">
        <v>3250</v>
      </c>
      <c r="BH404" t="s">
        <v>3250</v>
      </c>
      <c r="BI404" t="s">
        <v>3250</v>
      </c>
      <c r="BK404" t="s">
        <v>3250</v>
      </c>
      <c r="BL404" t="s">
        <v>3250</v>
      </c>
      <c r="BM404" t="s">
        <v>3250</v>
      </c>
      <c r="BN404" t="s">
        <v>3250</v>
      </c>
      <c r="BP404">
        <v>1</v>
      </c>
      <c r="BQ404">
        <v>11</v>
      </c>
      <c r="BR404" t="s">
        <v>1574</v>
      </c>
      <c r="BS404" t="s">
        <v>3252</v>
      </c>
      <c r="BV404">
        <v>0</v>
      </c>
      <c r="BW404">
        <v>0</v>
      </c>
      <c r="BX404">
        <v>0</v>
      </c>
      <c r="BY404">
        <v>0</v>
      </c>
      <c r="BZ404">
        <v>0</v>
      </c>
      <c r="CA404">
        <v>0</v>
      </c>
      <c r="CB404">
        <v>0</v>
      </c>
      <c r="CC404">
        <v>0</v>
      </c>
      <c r="CD404">
        <v>0</v>
      </c>
      <c r="CE404" t="s">
        <v>3108</v>
      </c>
      <c r="CF404" t="s">
        <v>3108</v>
      </c>
      <c r="CG404" t="s">
        <v>3108</v>
      </c>
      <c r="CH404" t="s">
        <v>3108</v>
      </c>
    </row>
    <row r="405" spans="1:86" x14ac:dyDescent="0.2">
      <c r="A405" t="s">
        <v>3961</v>
      </c>
      <c r="B405" t="s">
        <v>3961</v>
      </c>
      <c r="C405">
        <v>40693</v>
      </c>
      <c r="D405">
        <v>639</v>
      </c>
      <c r="E405" t="s">
        <v>3844</v>
      </c>
      <c r="F405">
        <v>200</v>
      </c>
      <c r="G405" t="s">
        <v>467</v>
      </c>
      <c r="H405">
        <v>200</v>
      </c>
      <c r="I405" t="s">
        <v>3840</v>
      </c>
      <c r="J405" t="s">
        <v>3250</v>
      </c>
      <c r="K405" t="s">
        <v>3250</v>
      </c>
      <c r="L405">
        <v>1200</v>
      </c>
      <c r="M405" t="s">
        <v>2368</v>
      </c>
      <c r="N405">
        <v>1204</v>
      </c>
      <c r="O405" t="s">
        <v>1574</v>
      </c>
      <c r="P405" t="s">
        <v>3108</v>
      </c>
      <c r="Q405" t="s">
        <v>3249</v>
      </c>
      <c r="R405" t="s">
        <v>3249</v>
      </c>
      <c r="S405" t="s">
        <v>810</v>
      </c>
      <c r="T405" t="s">
        <v>2759</v>
      </c>
      <c r="U405" t="s">
        <v>3250</v>
      </c>
      <c r="V405" t="s">
        <v>3250</v>
      </c>
      <c r="W405" t="s">
        <v>3250</v>
      </c>
      <c r="X405" t="s">
        <v>3250</v>
      </c>
      <c r="Y405" t="s">
        <v>3250</v>
      </c>
      <c r="Z405" t="s">
        <v>3250</v>
      </c>
      <c r="AA405" t="s">
        <v>3108</v>
      </c>
      <c r="AB405" t="s">
        <v>3108</v>
      </c>
      <c r="AC405" t="s">
        <v>3250</v>
      </c>
      <c r="AD405" t="s">
        <v>3250</v>
      </c>
      <c r="AE405" t="s">
        <v>3250</v>
      </c>
      <c r="AF405" t="s">
        <v>3250</v>
      </c>
      <c r="AG405" t="s">
        <v>3250</v>
      </c>
      <c r="AH405" t="s">
        <v>3250</v>
      </c>
      <c r="AI405" t="s">
        <v>3250</v>
      </c>
      <c r="AJ405" t="s">
        <v>3250</v>
      </c>
      <c r="AL405" t="s">
        <v>3250</v>
      </c>
      <c r="AM405" t="s">
        <v>3250</v>
      </c>
      <c r="AN405" t="s">
        <v>3250</v>
      </c>
      <c r="AO405" t="s">
        <v>3250</v>
      </c>
      <c r="AS405" t="s">
        <v>3250</v>
      </c>
      <c r="AT405" t="s">
        <v>3250</v>
      </c>
      <c r="AU405" t="s">
        <v>3250</v>
      </c>
      <c r="AV405" t="s">
        <v>3250</v>
      </c>
      <c r="AW405" t="s">
        <v>3250</v>
      </c>
      <c r="AX405" t="s">
        <v>3250</v>
      </c>
      <c r="AY405" t="s">
        <v>3250</v>
      </c>
      <c r="AZ405" t="s">
        <v>3250</v>
      </c>
      <c r="BA405" t="s">
        <v>3250</v>
      </c>
      <c r="BB405" t="s">
        <v>3250</v>
      </c>
      <c r="BC405" t="s">
        <v>3250</v>
      </c>
      <c r="BE405" t="s">
        <v>3250</v>
      </c>
      <c r="BF405" t="s">
        <v>3250</v>
      </c>
      <c r="BG405" t="s">
        <v>3250</v>
      </c>
      <c r="BH405" t="s">
        <v>3250</v>
      </c>
      <c r="BI405" t="s">
        <v>3250</v>
      </c>
      <c r="BK405" t="s">
        <v>3250</v>
      </c>
      <c r="BL405" t="s">
        <v>3250</v>
      </c>
      <c r="BM405" t="s">
        <v>3250</v>
      </c>
      <c r="BN405" t="s">
        <v>3250</v>
      </c>
      <c r="BP405">
        <v>1</v>
      </c>
      <c r="BQ405">
        <v>11</v>
      </c>
      <c r="BR405" t="s">
        <v>1574</v>
      </c>
      <c r="BS405" t="s">
        <v>3252</v>
      </c>
      <c r="BV405">
        <v>0</v>
      </c>
      <c r="BW405">
        <v>0</v>
      </c>
      <c r="BX405">
        <v>0</v>
      </c>
      <c r="BY405">
        <v>0</v>
      </c>
      <c r="BZ405">
        <v>0</v>
      </c>
      <c r="CA405">
        <v>0</v>
      </c>
      <c r="CB405">
        <v>0</v>
      </c>
      <c r="CC405">
        <v>0</v>
      </c>
      <c r="CD405">
        <v>0</v>
      </c>
      <c r="CE405" t="s">
        <v>3108</v>
      </c>
      <c r="CF405" t="s">
        <v>3108</v>
      </c>
      <c r="CG405" t="s">
        <v>3108</v>
      </c>
      <c r="CH405" t="s">
        <v>3108</v>
      </c>
    </row>
    <row r="406" spans="1:86" x14ac:dyDescent="0.2">
      <c r="A406" t="s">
        <v>3962</v>
      </c>
      <c r="B406" t="s">
        <v>3962</v>
      </c>
      <c r="C406">
        <v>40694</v>
      </c>
      <c r="D406">
        <v>640</v>
      </c>
      <c r="E406" t="s">
        <v>3846</v>
      </c>
      <c r="F406">
        <v>200</v>
      </c>
      <c r="G406" t="s">
        <v>467</v>
      </c>
      <c r="H406">
        <v>200</v>
      </c>
      <c r="I406" t="s">
        <v>3840</v>
      </c>
      <c r="J406" t="s">
        <v>3250</v>
      </c>
      <c r="K406" t="s">
        <v>3250</v>
      </c>
      <c r="L406">
        <v>1200</v>
      </c>
      <c r="M406" t="s">
        <v>2368</v>
      </c>
      <c r="N406">
        <v>1204</v>
      </c>
      <c r="O406" t="s">
        <v>1574</v>
      </c>
      <c r="P406" t="s">
        <v>3108</v>
      </c>
      <c r="Q406" t="s">
        <v>3249</v>
      </c>
      <c r="R406" t="s">
        <v>3249</v>
      </c>
      <c r="S406" t="s">
        <v>810</v>
      </c>
      <c r="T406" t="s">
        <v>2759</v>
      </c>
      <c r="U406" t="s">
        <v>3250</v>
      </c>
      <c r="V406" t="s">
        <v>3250</v>
      </c>
      <c r="W406" t="s">
        <v>3250</v>
      </c>
      <c r="X406" t="s">
        <v>3250</v>
      </c>
      <c r="Y406" t="s">
        <v>3250</v>
      </c>
      <c r="Z406" t="s">
        <v>3250</v>
      </c>
      <c r="AA406" t="s">
        <v>3108</v>
      </c>
      <c r="AB406" t="s">
        <v>3108</v>
      </c>
      <c r="AC406" t="s">
        <v>3250</v>
      </c>
      <c r="AD406" t="s">
        <v>3250</v>
      </c>
      <c r="AE406" t="s">
        <v>3250</v>
      </c>
      <c r="AF406" t="s">
        <v>3250</v>
      </c>
      <c r="AG406" t="s">
        <v>3250</v>
      </c>
      <c r="AH406" t="s">
        <v>3250</v>
      </c>
      <c r="AI406" t="s">
        <v>3250</v>
      </c>
      <c r="AJ406" t="s">
        <v>3250</v>
      </c>
      <c r="AL406" t="s">
        <v>3250</v>
      </c>
      <c r="AM406" t="s">
        <v>3250</v>
      </c>
      <c r="AN406" t="s">
        <v>3250</v>
      </c>
      <c r="AO406" t="s">
        <v>3250</v>
      </c>
      <c r="AS406" t="s">
        <v>3250</v>
      </c>
      <c r="AT406" t="s">
        <v>3250</v>
      </c>
      <c r="AU406" t="s">
        <v>3250</v>
      </c>
      <c r="AV406" t="s">
        <v>3250</v>
      </c>
      <c r="AW406" t="s">
        <v>3250</v>
      </c>
      <c r="AX406" t="s">
        <v>3250</v>
      </c>
      <c r="AY406" t="s">
        <v>3250</v>
      </c>
      <c r="AZ406" t="s">
        <v>3250</v>
      </c>
      <c r="BA406" t="s">
        <v>3250</v>
      </c>
      <c r="BB406" t="s">
        <v>3250</v>
      </c>
      <c r="BC406" t="s">
        <v>3250</v>
      </c>
      <c r="BE406" t="s">
        <v>3250</v>
      </c>
      <c r="BF406" t="s">
        <v>3250</v>
      </c>
      <c r="BG406" t="s">
        <v>3250</v>
      </c>
      <c r="BH406" t="s">
        <v>3250</v>
      </c>
      <c r="BI406" t="s">
        <v>3250</v>
      </c>
      <c r="BK406" t="s">
        <v>3250</v>
      </c>
      <c r="BL406" t="s">
        <v>3250</v>
      </c>
      <c r="BM406" t="s">
        <v>3250</v>
      </c>
      <c r="BN406" t="s">
        <v>3250</v>
      </c>
      <c r="BP406">
        <v>1</v>
      </c>
      <c r="BQ406">
        <v>11</v>
      </c>
      <c r="BR406" t="s">
        <v>1574</v>
      </c>
      <c r="BS406" t="s">
        <v>3252</v>
      </c>
      <c r="BV406">
        <v>0</v>
      </c>
      <c r="BW406">
        <v>0</v>
      </c>
      <c r="BX406">
        <v>0</v>
      </c>
      <c r="BY406">
        <v>0</v>
      </c>
      <c r="BZ406">
        <v>0</v>
      </c>
      <c r="CA406">
        <v>0</v>
      </c>
      <c r="CB406">
        <v>0</v>
      </c>
      <c r="CC406">
        <v>0</v>
      </c>
      <c r="CD406">
        <v>0</v>
      </c>
      <c r="CE406" t="s">
        <v>3108</v>
      </c>
      <c r="CF406" t="s">
        <v>3108</v>
      </c>
      <c r="CG406" t="s">
        <v>3108</v>
      </c>
      <c r="CH406" t="s">
        <v>3108</v>
      </c>
    </row>
    <row r="407" spans="1:86" x14ac:dyDescent="0.2">
      <c r="A407" t="s">
        <v>3963</v>
      </c>
      <c r="B407" t="s">
        <v>3963</v>
      </c>
      <c r="C407">
        <v>40695</v>
      </c>
      <c r="D407">
        <v>641</v>
      </c>
      <c r="E407" t="s">
        <v>3848</v>
      </c>
      <c r="F407">
        <v>200</v>
      </c>
      <c r="G407" t="s">
        <v>467</v>
      </c>
      <c r="H407">
        <v>200</v>
      </c>
      <c r="I407" t="s">
        <v>3840</v>
      </c>
      <c r="J407" t="s">
        <v>3250</v>
      </c>
      <c r="K407" t="s">
        <v>3250</v>
      </c>
      <c r="L407">
        <v>1200</v>
      </c>
      <c r="M407" t="s">
        <v>2368</v>
      </c>
      <c r="N407">
        <v>1204</v>
      </c>
      <c r="O407" t="s">
        <v>1574</v>
      </c>
      <c r="P407" t="s">
        <v>3108</v>
      </c>
      <c r="Q407" t="s">
        <v>3249</v>
      </c>
      <c r="R407" t="s">
        <v>3249</v>
      </c>
      <c r="S407" t="s">
        <v>810</v>
      </c>
      <c r="T407" t="s">
        <v>2759</v>
      </c>
      <c r="U407" t="s">
        <v>3250</v>
      </c>
      <c r="V407" t="s">
        <v>3250</v>
      </c>
      <c r="W407" t="s">
        <v>3250</v>
      </c>
      <c r="X407" t="s">
        <v>3250</v>
      </c>
      <c r="Y407" t="s">
        <v>3250</v>
      </c>
      <c r="Z407" t="s">
        <v>3250</v>
      </c>
      <c r="AA407" t="s">
        <v>3108</v>
      </c>
      <c r="AB407" t="s">
        <v>3108</v>
      </c>
      <c r="AC407" t="s">
        <v>3250</v>
      </c>
      <c r="AD407" t="s">
        <v>3250</v>
      </c>
      <c r="AE407" t="s">
        <v>3250</v>
      </c>
      <c r="AF407" t="s">
        <v>3250</v>
      </c>
      <c r="AG407" t="s">
        <v>3250</v>
      </c>
      <c r="AH407" t="s">
        <v>3250</v>
      </c>
      <c r="AI407" t="s">
        <v>3250</v>
      </c>
      <c r="AJ407" t="s">
        <v>3250</v>
      </c>
      <c r="AL407" t="s">
        <v>3250</v>
      </c>
      <c r="AM407" t="s">
        <v>3250</v>
      </c>
      <c r="AN407" t="s">
        <v>3250</v>
      </c>
      <c r="AO407" t="s">
        <v>3250</v>
      </c>
      <c r="AS407" t="s">
        <v>3250</v>
      </c>
      <c r="AT407" t="s">
        <v>3250</v>
      </c>
      <c r="AU407" t="s">
        <v>3250</v>
      </c>
      <c r="AV407" t="s">
        <v>3250</v>
      </c>
      <c r="AW407" t="s">
        <v>3250</v>
      </c>
      <c r="AX407" t="s">
        <v>3250</v>
      </c>
      <c r="AY407" t="s">
        <v>3250</v>
      </c>
      <c r="AZ407" t="s">
        <v>3250</v>
      </c>
      <c r="BA407" t="s">
        <v>3250</v>
      </c>
      <c r="BB407" t="s">
        <v>3250</v>
      </c>
      <c r="BC407" t="s">
        <v>3250</v>
      </c>
      <c r="BE407" t="s">
        <v>3250</v>
      </c>
      <c r="BF407" t="s">
        <v>3250</v>
      </c>
      <c r="BG407" t="s">
        <v>3250</v>
      </c>
      <c r="BH407" t="s">
        <v>3250</v>
      </c>
      <c r="BI407" t="s">
        <v>3250</v>
      </c>
      <c r="BK407" t="s">
        <v>3250</v>
      </c>
      <c r="BL407" t="s">
        <v>3250</v>
      </c>
      <c r="BM407" t="s">
        <v>3250</v>
      </c>
      <c r="BN407" t="s">
        <v>3250</v>
      </c>
      <c r="BP407">
        <v>1</v>
      </c>
      <c r="BQ407">
        <v>11</v>
      </c>
      <c r="BR407" t="s">
        <v>1574</v>
      </c>
      <c r="BS407" t="s">
        <v>3252</v>
      </c>
      <c r="BV407">
        <v>0</v>
      </c>
      <c r="BW407">
        <v>0</v>
      </c>
      <c r="BX407">
        <v>0</v>
      </c>
      <c r="BY407">
        <v>0</v>
      </c>
      <c r="BZ407">
        <v>0</v>
      </c>
      <c r="CA407">
        <v>0</v>
      </c>
      <c r="CB407">
        <v>0</v>
      </c>
      <c r="CC407">
        <v>0</v>
      </c>
      <c r="CD407">
        <v>0</v>
      </c>
      <c r="CE407" t="s">
        <v>3108</v>
      </c>
      <c r="CF407" t="s">
        <v>3108</v>
      </c>
      <c r="CG407" t="s">
        <v>3108</v>
      </c>
      <c r="CH407" t="s">
        <v>3108</v>
      </c>
    </row>
    <row r="408" spans="1:86" x14ac:dyDescent="0.2">
      <c r="A408" t="s">
        <v>3964</v>
      </c>
      <c r="B408" t="s">
        <v>3964</v>
      </c>
      <c r="C408">
        <v>40696</v>
      </c>
      <c r="D408">
        <v>642</v>
      </c>
      <c r="E408" t="s">
        <v>3850</v>
      </c>
      <c r="F408">
        <v>200</v>
      </c>
      <c r="G408" t="s">
        <v>467</v>
      </c>
      <c r="H408">
        <v>200</v>
      </c>
      <c r="I408" t="s">
        <v>3840</v>
      </c>
      <c r="J408" t="s">
        <v>3250</v>
      </c>
      <c r="K408" t="s">
        <v>3250</v>
      </c>
      <c r="L408">
        <v>1200</v>
      </c>
      <c r="M408" t="s">
        <v>2368</v>
      </c>
      <c r="N408">
        <v>1204</v>
      </c>
      <c r="O408" t="s">
        <v>1574</v>
      </c>
      <c r="P408" t="s">
        <v>3108</v>
      </c>
      <c r="Q408" t="s">
        <v>3249</v>
      </c>
      <c r="R408" t="s">
        <v>3249</v>
      </c>
      <c r="S408" t="s">
        <v>810</v>
      </c>
      <c r="T408" t="s">
        <v>2759</v>
      </c>
      <c r="U408" t="s">
        <v>3250</v>
      </c>
      <c r="V408" t="s">
        <v>3250</v>
      </c>
      <c r="W408" t="s">
        <v>3250</v>
      </c>
      <c r="X408" t="s">
        <v>3250</v>
      </c>
      <c r="Y408" t="s">
        <v>3250</v>
      </c>
      <c r="Z408" t="s">
        <v>3250</v>
      </c>
      <c r="AA408" t="s">
        <v>3108</v>
      </c>
      <c r="AB408" t="s">
        <v>3108</v>
      </c>
      <c r="AC408" t="s">
        <v>3250</v>
      </c>
      <c r="AD408" t="s">
        <v>3250</v>
      </c>
      <c r="AE408" t="s">
        <v>3250</v>
      </c>
      <c r="AF408" t="s">
        <v>3250</v>
      </c>
      <c r="AG408" t="s">
        <v>3250</v>
      </c>
      <c r="AH408" t="s">
        <v>3250</v>
      </c>
      <c r="AI408" t="s">
        <v>3250</v>
      </c>
      <c r="AJ408" t="s">
        <v>3250</v>
      </c>
      <c r="AL408" t="s">
        <v>3250</v>
      </c>
      <c r="AM408" t="s">
        <v>3250</v>
      </c>
      <c r="AN408" t="s">
        <v>3250</v>
      </c>
      <c r="AO408" t="s">
        <v>3250</v>
      </c>
      <c r="AS408" t="s">
        <v>3250</v>
      </c>
      <c r="AT408" t="s">
        <v>3250</v>
      </c>
      <c r="AU408" t="s">
        <v>3250</v>
      </c>
      <c r="AV408" t="s">
        <v>3250</v>
      </c>
      <c r="AW408" t="s">
        <v>3250</v>
      </c>
      <c r="AX408" t="s">
        <v>3250</v>
      </c>
      <c r="AY408" t="s">
        <v>3250</v>
      </c>
      <c r="AZ408" t="s">
        <v>3250</v>
      </c>
      <c r="BA408" t="s">
        <v>3250</v>
      </c>
      <c r="BB408" t="s">
        <v>3250</v>
      </c>
      <c r="BC408" t="s">
        <v>3250</v>
      </c>
      <c r="BE408" t="s">
        <v>3250</v>
      </c>
      <c r="BF408" t="s">
        <v>3250</v>
      </c>
      <c r="BG408" t="s">
        <v>3250</v>
      </c>
      <c r="BH408" t="s">
        <v>3250</v>
      </c>
      <c r="BI408" t="s">
        <v>3250</v>
      </c>
      <c r="BK408" t="s">
        <v>3250</v>
      </c>
      <c r="BL408" t="s">
        <v>3250</v>
      </c>
      <c r="BM408" t="s">
        <v>3250</v>
      </c>
      <c r="BN408" t="s">
        <v>3250</v>
      </c>
      <c r="BP408">
        <v>1</v>
      </c>
      <c r="BQ408">
        <v>11</v>
      </c>
      <c r="BR408" t="s">
        <v>1574</v>
      </c>
      <c r="BS408" t="s">
        <v>3252</v>
      </c>
      <c r="BV408">
        <v>0</v>
      </c>
      <c r="BW408">
        <v>0</v>
      </c>
      <c r="BX408">
        <v>0</v>
      </c>
      <c r="BY408">
        <v>0</v>
      </c>
      <c r="BZ408">
        <v>0</v>
      </c>
      <c r="CA408">
        <v>0</v>
      </c>
      <c r="CB408">
        <v>0</v>
      </c>
      <c r="CC408">
        <v>0</v>
      </c>
      <c r="CD408">
        <v>0</v>
      </c>
      <c r="CE408" t="s">
        <v>3108</v>
      </c>
      <c r="CF408" t="s">
        <v>3108</v>
      </c>
      <c r="CG408" t="s">
        <v>3108</v>
      </c>
      <c r="CH408" t="s">
        <v>3108</v>
      </c>
    </row>
    <row r="409" spans="1:86" x14ac:dyDescent="0.2">
      <c r="A409" t="s">
        <v>3965</v>
      </c>
      <c r="B409" t="s">
        <v>3965</v>
      </c>
      <c r="C409">
        <v>40697</v>
      </c>
      <c r="D409">
        <v>643</v>
      </c>
      <c r="E409" t="s">
        <v>3852</v>
      </c>
      <c r="F409">
        <v>200</v>
      </c>
      <c r="G409" t="s">
        <v>467</v>
      </c>
      <c r="H409">
        <v>200</v>
      </c>
      <c r="I409" t="s">
        <v>3840</v>
      </c>
      <c r="J409" t="s">
        <v>3250</v>
      </c>
      <c r="K409" t="s">
        <v>3250</v>
      </c>
      <c r="L409">
        <v>1200</v>
      </c>
      <c r="M409" t="s">
        <v>2368</v>
      </c>
      <c r="N409">
        <v>1204</v>
      </c>
      <c r="O409" t="s">
        <v>1574</v>
      </c>
      <c r="P409" t="s">
        <v>3108</v>
      </c>
      <c r="Q409" t="s">
        <v>3249</v>
      </c>
      <c r="R409" t="s">
        <v>3249</v>
      </c>
      <c r="S409" t="s">
        <v>810</v>
      </c>
      <c r="T409" t="s">
        <v>2759</v>
      </c>
      <c r="U409" t="s">
        <v>3250</v>
      </c>
      <c r="V409" t="s">
        <v>3250</v>
      </c>
      <c r="W409" t="s">
        <v>3250</v>
      </c>
      <c r="X409" t="s">
        <v>3250</v>
      </c>
      <c r="Y409" t="s">
        <v>3250</v>
      </c>
      <c r="Z409" t="s">
        <v>3250</v>
      </c>
      <c r="AA409" t="s">
        <v>3108</v>
      </c>
      <c r="AB409" t="s">
        <v>3108</v>
      </c>
      <c r="AC409" t="s">
        <v>3250</v>
      </c>
      <c r="AD409" t="s">
        <v>3250</v>
      </c>
      <c r="AE409" t="s">
        <v>3250</v>
      </c>
      <c r="AF409" t="s">
        <v>3250</v>
      </c>
      <c r="AG409" t="s">
        <v>3250</v>
      </c>
      <c r="AH409" t="s">
        <v>3250</v>
      </c>
      <c r="AI409" t="s">
        <v>3250</v>
      </c>
      <c r="AJ409" t="s">
        <v>3250</v>
      </c>
      <c r="AL409" t="s">
        <v>3250</v>
      </c>
      <c r="AM409" t="s">
        <v>3250</v>
      </c>
      <c r="AN409" t="s">
        <v>3250</v>
      </c>
      <c r="AO409" t="s">
        <v>3250</v>
      </c>
      <c r="AS409" t="s">
        <v>3250</v>
      </c>
      <c r="AT409" t="s">
        <v>3250</v>
      </c>
      <c r="AU409" t="s">
        <v>3250</v>
      </c>
      <c r="AV409" t="s">
        <v>3250</v>
      </c>
      <c r="AW409" t="s">
        <v>3250</v>
      </c>
      <c r="AX409" t="s">
        <v>3250</v>
      </c>
      <c r="AY409" t="s">
        <v>3250</v>
      </c>
      <c r="AZ409" t="s">
        <v>3250</v>
      </c>
      <c r="BA409" t="s">
        <v>3250</v>
      </c>
      <c r="BB409" t="s">
        <v>3250</v>
      </c>
      <c r="BC409" t="s">
        <v>3250</v>
      </c>
      <c r="BE409" t="s">
        <v>3250</v>
      </c>
      <c r="BF409" t="s">
        <v>3250</v>
      </c>
      <c r="BG409" t="s">
        <v>3250</v>
      </c>
      <c r="BH409" t="s">
        <v>3250</v>
      </c>
      <c r="BI409" t="s">
        <v>3250</v>
      </c>
      <c r="BK409" t="s">
        <v>3250</v>
      </c>
      <c r="BL409" t="s">
        <v>3250</v>
      </c>
      <c r="BM409" t="s">
        <v>3250</v>
      </c>
      <c r="BN409" t="s">
        <v>3250</v>
      </c>
      <c r="BP409">
        <v>1</v>
      </c>
      <c r="BQ409">
        <v>11</v>
      </c>
      <c r="BR409" t="s">
        <v>1574</v>
      </c>
      <c r="BS409" t="s">
        <v>3252</v>
      </c>
      <c r="BV409">
        <v>0</v>
      </c>
      <c r="BW409">
        <v>0</v>
      </c>
      <c r="BX409">
        <v>0</v>
      </c>
      <c r="BY409">
        <v>0</v>
      </c>
      <c r="BZ409">
        <v>0</v>
      </c>
      <c r="CA409">
        <v>0</v>
      </c>
      <c r="CB409">
        <v>0</v>
      </c>
      <c r="CC409">
        <v>0</v>
      </c>
      <c r="CD409">
        <v>0</v>
      </c>
      <c r="CE409" t="s">
        <v>3108</v>
      </c>
      <c r="CF409" t="s">
        <v>3108</v>
      </c>
      <c r="CG409" t="s">
        <v>3108</v>
      </c>
      <c r="CH409" t="s">
        <v>3108</v>
      </c>
    </row>
    <row r="410" spans="1:86" x14ac:dyDescent="0.2">
      <c r="A410" t="s">
        <v>3966</v>
      </c>
      <c r="B410" t="s">
        <v>3966</v>
      </c>
      <c r="C410">
        <v>40698</v>
      </c>
      <c r="D410">
        <v>644</v>
      </c>
      <c r="E410" t="s">
        <v>3854</v>
      </c>
      <c r="F410">
        <v>200</v>
      </c>
      <c r="G410" t="s">
        <v>467</v>
      </c>
      <c r="H410">
        <v>200</v>
      </c>
      <c r="I410" t="s">
        <v>3840</v>
      </c>
      <c r="J410" t="s">
        <v>3250</v>
      </c>
      <c r="K410" t="s">
        <v>3250</v>
      </c>
      <c r="L410">
        <v>1200</v>
      </c>
      <c r="M410" t="s">
        <v>2368</v>
      </c>
      <c r="N410">
        <v>1204</v>
      </c>
      <c r="O410" t="s">
        <v>1574</v>
      </c>
      <c r="P410" t="s">
        <v>3108</v>
      </c>
      <c r="Q410" t="s">
        <v>3249</v>
      </c>
      <c r="R410" t="s">
        <v>3249</v>
      </c>
      <c r="S410" t="s">
        <v>810</v>
      </c>
      <c r="T410" t="s">
        <v>2759</v>
      </c>
      <c r="U410" t="s">
        <v>3250</v>
      </c>
      <c r="V410" t="s">
        <v>3250</v>
      </c>
      <c r="W410" t="s">
        <v>3250</v>
      </c>
      <c r="X410" t="s">
        <v>3250</v>
      </c>
      <c r="Y410" t="s">
        <v>3250</v>
      </c>
      <c r="Z410" t="s">
        <v>3250</v>
      </c>
      <c r="AA410" t="s">
        <v>3108</v>
      </c>
      <c r="AB410" t="s">
        <v>3108</v>
      </c>
      <c r="AC410" t="s">
        <v>3250</v>
      </c>
      <c r="AD410" t="s">
        <v>3250</v>
      </c>
      <c r="AE410" t="s">
        <v>3250</v>
      </c>
      <c r="AF410" t="s">
        <v>3250</v>
      </c>
      <c r="AG410" t="s">
        <v>3250</v>
      </c>
      <c r="AH410" t="s">
        <v>3250</v>
      </c>
      <c r="AI410" t="s">
        <v>3250</v>
      </c>
      <c r="AJ410" t="s">
        <v>3250</v>
      </c>
      <c r="AL410" t="s">
        <v>3250</v>
      </c>
      <c r="AM410" t="s">
        <v>3250</v>
      </c>
      <c r="AN410" t="s">
        <v>3250</v>
      </c>
      <c r="AO410" t="s">
        <v>3250</v>
      </c>
      <c r="AS410" t="s">
        <v>3250</v>
      </c>
      <c r="AT410" t="s">
        <v>3250</v>
      </c>
      <c r="AU410" t="s">
        <v>3250</v>
      </c>
      <c r="AV410" t="s">
        <v>3250</v>
      </c>
      <c r="AW410" t="s">
        <v>3250</v>
      </c>
      <c r="AX410" t="s">
        <v>3250</v>
      </c>
      <c r="AY410" t="s">
        <v>3250</v>
      </c>
      <c r="AZ410" t="s">
        <v>3250</v>
      </c>
      <c r="BA410" t="s">
        <v>3250</v>
      </c>
      <c r="BB410" t="s">
        <v>3250</v>
      </c>
      <c r="BC410" t="s">
        <v>3250</v>
      </c>
      <c r="BE410" t="s">
        <v>3250</v>
      </c>
      <c r="BF410" t="s">
        <v>3250</v>
      </c>
      <c r="BG410" t="s">
        <v>3250</v>
      </c>
      <c r="BH410" t="s">
        <v>3250</v>
      </c>
      <c r="BI410" t="s">
        <v>3250</v>
      </c>
      <c r="BK410" t="s">
        <v>3250</v>
      </c>
      <c r="BL410" t="s">
        <v>3250</v>
      </c>
      <c r="BM410" t="s">
        <v>3250</v>
      </c>
      <c r="BN410" t="s">
        <v>3250</v>
      </c>
      <c r="BP410">
        <v>1</v>
      </c>
      <c r="BQ410">
        <v>11</v>
      </c>
      <c r="BR410" t="s">
        <v>1574</v>
      </c>
      <c r="BS410" t="s">
        <v>3252</v>
      </c>
      <c r="BV410">
        <v>0</v>
      </c>
      <c r="BW410">
        <v>0</v>
      </c>
      <c r="BX410">
        <v>0</v>
      </c>
      <c r="BY410">
        <v>0</v>
      </c>
      <c r="BZ410">
        <v>0</v>
      </c>
      <c r="CA410">
        <v>0</v>
      </c>
      <c r="CB410">
        <v>0</v>
      </c>
      <c r="CC410">
        <v>0</v>
      </c>
      <c r="CD410">
        <v>0</v>
      </c>
      <c r="CE410" t="s">
        <v>3108</v>
      </c>
      <c r="CF410" t="s">
        <v>3108</v>
      </c>
      <c r="CG410" t="s">
        <v>3108</v>
      </c>
      <c r="CH410" t="s">
        <v>3108</v>
      </c>
    </row>
    <row r="411" spans="1:86" x14ac:dyDescent="0.2">
      <c r="A411" t="s">
        <v>3967</v>
      </c>
      <c r="B411" t="s">
        <v>3967</v>
      </c>
      <c r="C411">
        <v>40699</v>
      </c>
      <c r="D411">
        <v>645</v>
      </c>
      <c r="E411" t="s">
        <v>3856</v>
      </c>
      <c r="F411">
        <v>200</v>
      </c>
      <c r="G411" t="s">
        <v>467</v>
      </c>
      <c r="H411">
        <v>200</v>
      </c>
      <c r="I411" t="s">
        <v>3840</v>
      </c>
      <c r="J411" t="s">
        <v>3250</v>
      </c>
      <c r="K411" t="s">
        <v>3250</v>
      </c>
      <c r="L411">
        <v>1200</v>
      </c>
      <c r="M411" t="s">
        <v>2368</v>
      </c>
      <c r="N411">
        <v>1204</v>
      </c>
      <c r="O411" t="s">
        <v>1574</v>
      </c>
      <c r="P411" t="s">
        <v>3108</v>
      </c>
      <c r="Q411" t="s">
        <v>3249</v>
      </c>
      <c r="R411" t="s">
        <v>3249</v>
      </c>
      <c r="S411" t="s">
        <v>810</v>
      </c>
      <c r="T411" t="s">
        <v>2759</v>
      </c>
      <c r="U411" t="s">
        <v>3250</v>
      </c>
      <c r="V411" t="s">
        <v>3250</v>
      </c>
      <c r="W411" t="s">
        <v>3250</v>
      </c>
      <c r="X411" t="s">
        <v>3250</v>
      </c>
      <c r="Y411" t="s">
        <v>3250</v>
      </c>
      <c r="Z411" t="s">
        <v>3250</v>
      </c>
      <c r="AA411" t="s">
        <v>3108</v>
      </c>
      <c r="AB411" t="s">
        <v>3108</v>
      </c>
      <c r="AC411" t="s">
        <v>3250</v>
      </c>
      <c r="AD411" t="s">
        <v>3250</v>
      </c>
      <c r="AE411" t="s">
        <v>3250</v>
      </c>
      <c r="AF411" t="s">
        <v>3250</v>
      </c>
      <c r="AG411" t="s">
        <v>3250</v>
      </c>
      <c r="AH411" t="s">
        <v>3250</v>
      </c>
      <c r="AI411" t="s">
        <v>3250</v>
      </c>
      <c r="AJ411" t="s">
        <v>3250</v>
      </c>
      <c r="AL411" t="s">
        <v>3250</v>
      </c>
      <c r="AM411" t="s">
        <v>3250</v>
      </c>
      <c r="AN411" t="s">
        <v>3250</v>
      </c>
      <c r="AO411" t="s">
        <v>3250</v>
      </c>
      <c r="AS411" t="s">
        <v>3250</v>
      </c>
      <c r="AT411" t="s">
        <v>3250</v>
      </c>
      <c r="AU411" t="s">
        <v>3250</v>
      </c>
      <c r="AV411" t="s">
        <v>3250</v>
      </c>
      <c r="AW411" t="s">
        <v>3250</v>
      </c>
      <c r="AX411" t="s">
        <v>3250</v>
      </c>
      <c r="AY411" t="s">
        <v>3250</v>
      </c>
      <c r="AZ411" t="s">
        <v>3250</v>
      </c>
      <c r="BA411" t="s">
        <v>3250</v>
      </c>
      <c r="BB411" t="s">
        <v>3250</v>
      </c>
      <c r="BC411" t="s">
        <v>3250</v>
      </c>
      <c r="BE411" t="s">
        <v>3250</v>
      </c>
      <c r="BF411" t="s">
        <v>3250</v>
      </c>
      <c r="BG411" t="s">
        <v>3250</v>
      </c>
      <c r="BH411" t="s">
        <v>3250</v>
      </c>
      <c r="BI411" t="s">
        <v>3250</v>
      </c>
      <c r="BK411" t="s">
        <v>3250</v>
      </c>
      <c r="BL411" t="s">
        <v>3250</v>
      </c>
      <c r="BM411" t="s">
        <v>3250</v>
      </c>
      <c r="BN411" t="s">
        <v>3250</v>
      </c>
      <c r="BP411">
        <v>1</v>
      </c>
      <c r="BQ411">
        <v>11</v>
      </c>
      <c r="BR411" t="s">
        <v>1574</v>
      </c>
      <c r="BS411" t="s">
        <v>3252</v>
      </c>
      <c r="BV411">
        <v>0</v>
      </c>
      <c r="BW411">
        <v>0</v>
      </c>
      <c r="BX411">
        <v>0</v>
      </c>
      <c r="BY411">
        <v>0</v>
      </c>
      <c r="BZ411">
        <v>0</v>
      </c>
      <c r="CA411">
        <v>0</v>
      </c>
      <c r="CB411">
        <v>0</v>
      </c>
      <c r="CC411">
        <v>0</v>
      </c>
      <c r="CD411">
        <v>0</v>
      </c>
      <c r="CE411" t="s">
        <v>3108</v>
      </c>
      <c r="CF411" t="s">
        <v>3108</v>
      </c>
      <c r="CG411" t="s">
        <v>3108</v>
      </c>
      <c r="CH411" t="s">
        <v>3108</v>
      </c>
    </row>
    <row r="412" spans="1:86" x14ac:dyDescent="0.2">
      <c r="A412" t="s">
        <v>3968</v>
      </c>
      <c r="B412" t="s">
        <v>3968</v>
      </c>
      <c r="C412">
        <v>40700</v>
      </c>
      <c r="D412">
        <v>646</v>
      </c>
      <c r="E412" t="s">
        <v>3858</v>
      </c>
      <c r="F412">
        <v>200</v>
      </c>
      <c r="G412" t="s">
        <v>467</v>
      </c>
      <c r="H412">
        <v>200</v>
      </c>
      <c r="I412" t="s">
        <v>3840</v>
      </c>
      <c r="J412" t="s">
        <v>3250</v>
      </c>
      <c r="K412" t="s">
        <v>3250</v>
      </c>
      <c r="L412">
        <v>1200</v>
      </c>
      <c r="M412" t="s">
        <v>2368</v>
      </c>
      <c r="N412">
        <v>1204</v>
      </c>
      <c r="O412" t="s">
        <v>1574</v>
      </c>
      <c r="P412" t="s">
        <v>3108</v>
      </c>
      <c r="Q412" t="s">
        <v>3249</v>
      </c>
      <c r="R412" t="s">
        <v>3249</v>
      </c>
      <c r="S412" t="s">
        <v>810</v>
      </c>
      <c r="T412" t="s">
        <v>2759</v>
      </c>
      <c r="U412" t="s">
        <v>3250</v>
      </c>
      <c r="V412" t="s">
        <v>3250</v>
      </c>
      <c r="W412" t="s">
        <v>3250</v>
      </c>
      <c r="X412" t="s">
        <v>3250</v>
      </c>
      <c r="Y412" t="s">
        <v>3250</v>
      </c>
      <c r="Z412" t="s">
        <v>3250</v>
      </c>
      <c r="AA412" t="s">
        <v>3108</v>
      </c>
      <c r="AB412" t="s">
        <v>3108</v>
      </c>
      <c r="AC412" t="s">
        <v>3250</v>
      </c>
      <c r="AD412" t="s">
        <v>3250</v>
      </c>
      <c r="AE412" t="s">
        <v>3250</v>
      </c>
      <c r="AF412" t="s">
        <v>3250</v>
      </c>
      <c r="AG412" t="s">
        <v>3250</v>
      </c>
      <c r="AH412" t="s">
        <v>3250</v>
      </c>
      <c r="AI412" t="s">
        <v>3250</v>
      </c>
      <c r="AJ412" t="s">
        <v>3250</v>
      </c>
      <c r="AL412" t="s">
        <v>3250</v>
      </c>
      <c r="AM412" t="s">
        <v>3250</v>
      </c>
      <c r="AN412" t="s">
        <v>3250</v>
      </c>
      <c r="AO412" t="s">
        <v>3250</v>
      </c>
      <c r="AS412" t="s">
        <v>3250</v>
      </c>
      <c r="AT412" t="s">
        <v>3250</v>
      </c>
      <c r="AU412" t="s">
        <v>3250</v>
      </c>
      <c r="AV412" t="s">
        <v>3250</v>
      </c>
      <c r="AW412" t="s">
        <v>3250</v>
      </c>
      <c r="AX412" t="s">
        <v>3250</v>
      </c>
      <c r="AY412" t="s">
        <v>3250</v>
      </c>
      <c r="AZ412" t="s">
        <v>3250</v>
      </c>
      <c r="BA412" t="s">
        <v>3250</v>
      </c>
      <c r="BB412" t="s">
        <v>3250</v>
      </c>
      <c r="BC412" t="s">
        <v>3250</v>
      </c>
      <c r="BE412" t="s">
        <v>3250</v>
      </c>
      <c r="BF412" t="s">
        <v>3250</v>
      </c>
      <c r="BG412" t="s">
        <v>3250</v>
      </c>
      <c r="BH412" t="s">
        <v>3250</v>
      </c>
      <c r="BI412" t="s">
        <v>3250</v>
      </c>
      <c r="BK412" t="s">
        <v>3250</v>
      </c>
      <c r="BL412" t="s">
        <v>3250</v>
      </c>
      <c r="BM412" t="s">
        <v>3250</v>
      </c>
      <c r="BN412" t="s">
        <v>3250</v>
      </c>
      <c r="BP412">
        <v>1</v>
      </c>
      <c r="BQ412">
        <v>11</v>
      </c>
      <c r="BR412" t="s">
        <v>1574</v>
      </c>
      <c r="BS412" t="s">
        <v>3252</v>
      </c>
      <c r="BV412">
        <v>0</v>
      </c>
      <c r="BW412">
        <v>0</v>
      </c>
      <c r="BX412">
        <v>0</v>
      </c>
      <c r="BY412">
        <v>0</v>
      </c>
      <c r="BZ412">
        <v>0</v>
      </c>
      <c r="CA412">
        <v>0</v>
      </c>
      <c r="CB412">
        <v>0</v>
      </c>
      <c r="CC412">
        <v>0</v>
      </c>
      <c r="CD412">
        <v>0</v>
      </c>
      <c r="CE412" t="s">
        <v>3108</v>
      </c>
      <c r="CF412" t="s">
        <v>3108</v>
      </c>
      <c r="CG412" t="s">
        <v>3108</v>
      </c>
      <c r="CH412" t="s">
        <v>3108</v>
      </c>
    </row>
    <row r="413" spans="1:86" x14ac:dyDescent="0.2">
      <c r="A413" t="s">
        <v>3969</v>
      </c>
      <c r="B413" t="s">
        <v>3969</v>
      </c>
      <c r="C413">
        <v>40701</v>
      </c>
      <c r="D413">
        <v>647</v>
      </c>
      <c r="E413" t="s">
        <v>3860</v>
      </c>
      <c r="F413">
        <v>200</v>
      </c>
      <c r="G413" t="s">
        <v>467</v>
      </c>
      <c r="H413">
        <v>200</v>
      </c>
      <c r="I413" t="s">
        <v>3840</v>
      </c>
      <c r="J413" t="s">
        <v>3250</v>
      </c>
      <c r="K413" t="s">
        <v>3250</v>
      </c>
      <c r="L413">
        <v>1200</v>
      </c>
      <c r="M413" t="s">
        <v>2368</v>
      </c>
      <c r="N413">
        <v>1204</v>
      </c>
      <c r="O413" t="s">
        <v>1574</v>
      </c>
      <c r="P413" t="s">
        <v>3108</v>
      </c>
      <c r="Q413" t="s">
        <v>3249</v>
      </c>
      <c r="R413" t="s">
        <v>3249</v>
      </c>
      <c r="S413" t="s">
        <v>810</v>
      </c>
      <c r="T413" t="s">
        <v>2759</v>
      </c>
      <c r="U413" t="s">
        <v>3250</v>
      </c>
      <c r="V413" t="s">
        <v>3250</v>
      </c>
      <c r="W413" t="s">
        <v>3250</v>
      </c>
      <c r="X413" t="s">
        <v>3250</v>
      </c>
      <c r="Y413" t="s">
        <v>3250</v>
      </c>
      <c r="Z413" t="s">
        <v>3250</v>
      </c>
      <c r="AA413" t="s">
        <v>3108</v>
      </c>
      <c r="AB413" t="s">
        <v>3108</v>
      </c>
      <c r="AC413" t="s">
        <v>3250</v>
      </c>
      <c r="AD413" t="s">
        <v>3250</v>
      </c>
      <c r="AE413" t="s">
        <v>3250</v>
      </c>
      <c r="AF413" t="s">
        <v>3250</v>
      </c>
      <c r="AG413" t="s">
        <v>3250</v>
      </c>
      <c r="AH413" t="s">
        <v>3250</v>
      </c>
      <c r="AI413" t="s">
        <v>3250</v>
      </c>
      <c r="AJ413" t="s">
        <v>3250</v>
      </c>
      <c r="AL413" t="s">
        <v>3250</v>
      </c>
      <c r="AM413" t="s">
        <v>3250</v>
      </c>
      <c r="AN413" t="s">
        <v>3250</v>
      </c>
      <c r="AO413" t="s">
        <v>3250</v>
      </c>
      <c r="AS413" t="s">
        <v>3250</v>
      </c>
      <c r="AT413" t="s">
        <v>3250</v>
      </c>
      <c r="AU413" t="s">
        <v>3250</v>
      </c>
      <c r="AV413" t="s">
        <v>3250</v>
      </c>
      <c r="AW413" t="s">
        <v>3250</v>
      </c>
      <c r="AX413" t="s">
        <v>3250</v>
      </c>
      <c r="AY413" t="s">
        <v>3250</v>
      </c>
      <c r="AZ413" t="s">
        <v>3250</v>
      </c>
      <c r="BA413" t="s">
        <v>3250</v>
      </c>
      <c r="BB413" t="s">
        <v>3250</v>
      </c>
      <c r="BC413" t="s">
        <v>3250</v>
      </c>
      <c r="BE413" t="s">
        <v>3250</v>
      </c>
      <c r="BF413" t="s">
        <v>3250</v>
      </c>
      <c r="BG413" t="s">
        <v>3250</v>
      </c>
      <c r="BH413" t="s">
        <v>3250</v>
      </c>
      <c r="BI413" t="s">
        <v>3250</v>
      </c>
      <c r="BK413" t="s">
        <v>3250</v>
      </c>
      <c r="BL413" t="s">
        <v>3250</v>
      </c>
      <c r="BM413" t="s">
        <v>3250</v>
      </c>
      <c r="BN413" t="s">
        <v>3250</v>
      </c>
      <c r="BP413">
        <v>1</v>
      </c>
      <c r="BQ413">
        <v>11</v>
      </c>
      <c r="BR413" t="s">
        <v>1574</v>
      </c>
      <c r="BS413" t="s">
        <v>3252</v>
      </c>
      <c r="BV413">
        <v>0</v>
      </c>
      <c r="BW413">
        <v>0</v>
      </c>
      <c r="BX413">
        <v>0</v>
      </c>
      <c r="BY413">
        <v>0</v>
      </c>
      <c r="BZ413">
        <v>0</v>
      </c>
      <c r="CA413">
        <v>0</v>
      </c>
      <c r="CB413">
        <v>0</v>
      </c>
      <c r="CC413">
        <v>0</v>
      </c>
      <c r="CD413">
        <v>0</v>
      </c>
      <c r="CE413" t="s">
        <v>3108</v>
      </c>
      <c r="CF413" t="s">
        <v>3108</v>
      </c>
      <c r="CG413" t="s">
        <v>3108</v>
      </c>
      <c r="CH413" t="s">
        <v>3108</v>
      </c>
    </row>
    <row r="414" spans="1:86" x14ac:dyDescent="0.2">
      <c r="A414" t="s">
        <v>3970</v>
      </c>
      <c r="B414" t="s">
        <v>3970</v>
      </c>
      <c r="C414">
        <v>40702</v>
      </c>
      <c r="D414">
        <v>648</v>
      </c>
      <c r="E414" t="s">
        <v>3862</v>
      </c>
      <c r="F414">
        <v>200</v>
      </c>
      <c r="G414" t="s">
        <v>467</v>
      </c>
      <c r="H414">
        <v>200</v>
      </c>
      <c r="I414" t="s">
        <v>3840</v>
      </c>
      <c r="J414" t="s">
        <v>3250</v>
      </c>
      <c r="K414" t="s">
        <v>3250</v>
      </c>
      <c r="L414">
        <v>1200</v>
      </c>
      <c r="M414" t="s">
        <v>2368</v>
      </c>
      <c r="N414">
        <v>1204</v>
      </c>
      <c r="O414" t="s">
        <v>1574</v>
      </c>
      <c r="P414" t="s">
        <v>3108</v>
      </c>
      <c r="Q414" t="s">
        <v>3249</v>
      </c>
      <c r="R414" t="s">
        <v>3249</v>
      </c>
      <c r="S414" t="s">
        <v>810</v>
      </c>
      <c r="T414" t="s">
        <v>2759</v>
      </c>
      <c r="U414" t="s">
        <v>3250</v>
      </c>
      <c r="V414" t="s">
        <v>3250</v>
      </c>
      <c r="W414" t="s">
        <v>3250</v>
      </c>
      <c r="X414" t="s">
        <v>3250</v>
      </c>
      <c r="Y414" t="s">
        <v>3250</v>
      </c>
      <c r="Z414" t="s">
        <v>3250</v>
      </c>
      <c r="AA414" t="s">
        <v>3108</v>
      </c>
      <c r="AB414" t="s">
        <v>3108</v>
      </c>
      <c r="AC414" t="s">
        <v>3250</v>
      </c>
      <c r="AD414" t="s">
        <v>3250</v>
      </c>
      <c r="AE414" t="s">
        <v>3250</v>
      </c>
      <c r="AF414" t="s">
        <v>3250</v>
      </c>
      <c r="AG414" t="s">
        <v>3250</v>
      </c>
      <c r="AH414" t="s">
        <v>3250</v>
      </c>
      <c r="AI414" t="s">
        <v>3250</v>
      </c>
      <c r="AJ414" t="s">
        <v>3250</v>
      </c>
      <c r="AL414" t="s">
        <v>3250</v>
      </c>
      <c r="AM414" t="s">
        <v>3250</v>
      </c>
      <c r="AN414" t="s">
        <v>3250</v>
      </c>
      <c r="AO414" t="s">
        <v>3250</v>
      </c>
      <c r="AS414" t="s">
        <v>3250</v>
      </c>
      <c r="AT414" t="s">
        <v>3250</v>
      </c>
      <c r="AU414" t="s">
        <v>3250</v>
      </c>
      <c r="AV414" t="s">
        <v>3250</v>
      </c>
      <c r="AW414" t="s">
        <v>3250</v>
      </c>
      <c r="AX414" t="s">
        <v>3250</v>
      </c>
      <c r="AY414" t="s">
        <v>3250</v>
      </c>
      <c r="AZ414" t="s">
        <v>3250</v>
      </c>
      <c r="BA414" t="s">
        <v>3250</v>
      </c>
      <c r="BB414" t="s">
        <v>3250</v>
      </c>
      <c r="BC414" t="s">
        <v>3250</v>
      </c>
      <c r="BE414" t="s">
        <v>3250</v>
      </c>
      <c r="BF414" t="s">
        <v>3250</v>
      </c>
      <c r="BG414" t="s">
        <v>3250</v>
      </c>
      <c r="BH414" t="s">
        <v>3250</v>
      </c>
      <c r="BI414" t="s">
        <v>3250</v>
      </c>
      <c r="BK414" t="s">
        <v>3250</v>
      </c>
      <c r="BL414" t="s">
        <v>3250</v>
      </c>
      <c r="BM414" t="s">
        <v>3250</v>
      </c>
      <c r="BN414" t="s">
        <v>3250</v>
      </c>
      <c r="BP414">
        <v>1</v>
      </c>
      <c r="BQ414">
        <v>11</v>
      </c>
      <c r="BR414" t="s">
        <v>1574</v>
      </c>
      <c r="BS414" t="s">
        <v>3252</v>
      </c>
      <c r="BV414">
        <v>0</v>
      </c>
      <c r="BW414">
        <v>0</v>
      </c>
      <c r="BX414">
        <v>0</v>
      </c>
      <c r="BY414">
        <v>0</v>
      </c>
      <c r="BZ414">
        <v>0</v>
      </c>
      <c r="CA414">
        <v>0</v>
      </c>
      <c r="CB414">
        <v>0</v>
      </c>
      <c r="CC414">
        <v>0</v>
      </c>
      <c r="CD414">
        <v>0</v>
      </c>
      <c r="CE414" t="s">
        <v>3108</v>
      </c>
      <c r="CF414" t="s">
        <v>3108</v>
      </c>
      <c r="CG414" t="s">
        <v>3108</v>
      </c>
      <c r="CH414" t="s">
        <v>3108</v>
      </c>
    </row>
    <row r="415" spans="1:86" x14ac:dyDescent="0.2">
      <c r="A415" t="s">
        <v>3971</v>
      </c>
      <c r="B415" t="s">
        <v>3971</v>
      </c>
      <c r="C415">
        <v>40703</v>
      </c>
      <c r="D415">
        <v>649</v>
      </c>
      <c r="E415" t="s">
        <v>3864</v>
      </c>
      <c r="F415">
        <v>200</v>
      </c>
      <c r="G415" t="s">
        <v>467</v>
      </c>
      <c r="H415">
        <v>200</v>
      </c>
      <c r="I415" t="s">
        <v>3840</v>
      </c>
      <c r="J415" t="s">
        <v>3250</v>
      </c>
      <c r="K415" t="s">
        <v>3250</v>
      </c>
      <c r="L415">
        <v>1200</v>
      </c>
      <c r="M415" t="s">
        <v>2368</v>
      </c>
      <c r="N415">
        <v>1204</v>
      </c>
      <c r="O415" t="s">
        <v>1574</v>
      </c>
      <c r="P415" t="s">
        <v>3108</v>
      </c>
      <c r="Q415" t="s">
        <v>3249</v>
      </c>
      <c r="R415" t="s">
        <v>3249</v>
      </c>
      <c r="S415" t="s">
        <v>810</v>
      </c>
      <c r="T415" t="s">
        <v>2759</v>
      </c>
      <c r="U415" t="s">
        <v>3250</v>
      </c>
      <c r="V415" t="s">
        <v>3250</v>
      </c>
      <c r="W415" t="s">
        <v>3250</v>
      </c>
      <c r="X415" t="s">
        <v>3250</v>
      </c>
      <c r="Y415" t="s">
        <v>3250</v>
      </c>
      <c r="Z415" t="s">
        <v>3250</v>
      </c>
      <c r="AA415" t="s">
        <v>3108</v>
      </c>
      <c r="AB415" t="s">
        <v>3108</v>
      </c>
      <c r="AC415" t="s">
        <v>3250</v>
      </c>
      <c r="AD415" t="s">
        <v>3250</v>
      </c>
      <c r="AE415" t="s">
        <v>3250</v>
      </c>
      <c r="AF415" t="s">
        <v>3250</v>
      </c>
      <c r="AG415" t="s">
        <v>3250</v>
      </c>
      <c r="AH415" t="s">
        <v>3250</v>
      </c>
      <c r="AI415" t="s">
        <v>3250</v>
      </c>
      <c r="AJ415" t="s">
        <v>3250</v>
      </c>
      <c r="AL415" t="s">
        <v>3250</v>
      </c>
      <c r="AM415" t="s">
        <v>3250</v>
      </c>
      <c r="AN415" t="s">
        <v>3250</v>
      </c>
      <c r="AO415" t="s">
        <v>3250</v>
      </c>
      <c r="AS415" t="s">
        <v>3250</v>
      </c>
      <c r="AT415" t="s">
        <v>3250</v>
      </c>
      <c r="AU415" t="s">
        <v>3250</v>
      </c>
      <c r="AV415" t="s">
        <v>3250</v>
      </c>
      <c r="AW415" t="s">
        <v>3250</v>
      </c>
      <c r="AX415" t="s">
        <v>3250</v>
      </c>
      <c r="AY415" t="s">
        <v>3250</v>
      </c>
      <c r="AZ415" t="s">
        <v>3250</v>
      </c>
      <c r="BA415" t="s">
        <v>3250</v>
      </c>
      <c r="BB415" t="s">
        <v>3250</v>
      </c>
      <c r="BC415" t="s">
        <v>3250</v>
      </c>
      <c r="BE415" t="s">
        <v>3250</v>
      </c>
      <c r="BF415" t="s">
        <v>3250</v>
      </c>
      <c r="BG415" t="s">
        <v>3250</v>
      </c>
      <c r="BH415" t="s">
        <v>3250</v>
      </c>
      <c r="BI415" t="s">
        <v>3250</v>
      </c>
      <c r="BK415" t="s">
        <v>3250</v>
      </c>
      <c r="BL415" t="s">
        <v>3250</v>
      </c>
      <c r="BM415" t="s">
        <v>3250</v>
      </c>
      <c r="BN415" t="s">
        <v>3250</v>
      </c>
      <c r="BP415">
        <v>1</v>
      </c>
      <c r="BQ415">
        <v>11</v>
      </c>
      <c r="BR415" t="s">
        <v>1574</v>
      </c>
      <c r="BS415" t="s">
        <v>3252</v>
      </c>
      <c r="BV415">
        <v>0</v>
      </c>
      <c r="BW415">
        <v>0</v>
      </c>
      <c r="BX415">
        <v>0</v>
      </c>
      <c r="BY415">
        <v>0</v>
      </c>
      <c r="BZ415">
        <v>0</v>
      </c>
      <c r="CA415">
        <v>0</v>
      </c>
      <c r="CB415">
        <v>0</v>
      </c>
      <c r="CC415">
        <v>0</v>
      </c>
      <c r="CD415">
        <v>0</v>
      </c>
      <c r="CE415" t="s">
        <v>3108</v>
      </c>
      <c r="CF415" t="s">
        <v>3108</v>
      </c>
      <c r="CG415" t="s">
        <v>3108</v>
      </c>
      <c r="CH415" t="s">
        <v>3108</v>
      </c>
    </row>
    <row r="416" spans="1:86" x14ac:dyDescent="0.2">
      <c r="A416" t="s">
        <v>3972</v>
      </c>
      <c r="B416" t="s">
        <v>3972</v>
      </c>
      <c r="C416">
        <v>40704</v>
      </c>
      <c r="D416">
        <v>650</v>
      </c>
      <c r="E416" t="s">
        <v>3866</v>
      </c>
      <c r="F416">
        <v>200</v>
      </c>
      <c r="G416" t="s">
        <v>467</v>
      </c>
      <c r="H416">
        <v>200</v>
      </c>
      <c r="I416" t="s">
        <v>3840</v>
      </c>
      <c r="J416" t="s">
        <v>3250</v>
      </c>
      <c r="K416" t="s">
        <v>3250</v>
      </c>
      <c r="L416">
        <v>1200</v>
      </c>
      <c r="M416" t="s">
        <v>2368</v>
      </c>
      <c r="N416">
        <v>1204</v>
      </c>
      <c r="O416" t="s">
        <v>1574</v>
      </c>
      <c r="P416" t="s">
        <v>3108</v>
      </c>
      <c r="Q416" t="s">
        <v>3249</v>
      </c>
      <c r="R416" t="s">
        <v>3249</v>
      </c>
      <c r="S416" t="s">
        <v>810</v>
      </c>
      <c r="T416" t="s">
        <v>2759</v>
      </c>
      <c r="U416" t="s">
        <v>3250</v>
      </c>
      <c r="V416" t="s">
        <v>3250</v>
      </c>
      <c r="W416" t="s">
        <v>3250</v>
      </c>
      <c r="X416" t="s">
        <v>3250</v>
      </c>
      <c r="Y416" t="s">
        <v>3250</v>
      </c>
      <c r="Z416" t="s">
        <v>3250</v>
      </c>
      <c r="AA416" t="s">
        <v>3108</v>
      </c>
      <c r="AB416" t="s">
        <v>3108</v>
      </c>
      <c r="AC416" t="s">
        <v>3250</v>
      </c>
      <c r="AD416" t="s">
        <v>3250</v>
      </c>
      <c r="AE416" t="s">
        <v>3250</v>
      </c>
      <c r="AF416" t="s">
        <v>3250</v>
      </c>
      <c r="AG416" t="s">
        <v>3250</v>
      </c>
      <c r="AH416" t="s">
        <v>3250</v>
      </c>
      <c r="AI416" t="s">
        <v>3250</v>
      </c>
      <c r="AJ416" t="s">
        <v>3250</v>
      </c>
      <c r="AL416" t="s">
        <v>3250</v>
      </c>
      <c r="AM416" t="s">
        <v>3250</v>
      </c>
      <c r="AN416" t="s">
        <v>3250</v>
      </c>
      <c r="AO416" t="s">
        <v>3250</v>
      </c>
      <c r="AS416" t="s">
        <v>3250</v>
      </c>
      <c r="AT416" t="s">
        <v>3250</v>
      </c>
      <c r="AU416" t="s">
        <v>3250</v>
      </c>
      <c r="AV416" t="s">
        <v>3250</v>
      </c>
      <c r="AW416" t="s">
        <v>3250</v>
      </c>
      <c r="AX416" t="s">
        <v>3250</v>
      </c>
      <c r="AY416" t="s">
        <v>3250</v>
      </c>
      <c r="AZ416" t="s">
        <v>3250</v>
      </c>
      <c r="BA416" t="s">
        <v>3250</v>
      </c>
      <c r="BB416" t="s">
        <v>3250</v>
      </c>
      <c r="BC416" t="s">
        <v>3250</v>
      </c>
      <c r="BE416" t="s">
        <v>3250</v>
      </c>
      <c r="BF416" t="s">
        <v>3250</v>
      </c>
      <c r="BG416" t="s">
        <v>3250</v>
      </c>
      <c r="BH416" t="s">
        <v>3250</v>
      </c>
      <c r="BI416" t="s">
        <v>3250</v>
      </c>
      <c r="BK416" t="s">
        <v>3250</v>
      </c>
      <c r="BL416" t="s">
        <v>3250</v>
      </c>
      <c r="BM416" t="s">
        <v>3250</v>
      </c>
      <c r="BN416" t="s">
        <v>3250</v>
      </c>
      <c r="BP416">
        <v>1</v>
      </c>
      <c r="BQ416">
        <v>11</v>
      </c>
      <c r="BR416" t="s">
        <v>1574</v>
      </c>
      <c r="BS416" t="s">
        <v>3252</v>
      </c>
      <c r="BV416">
        <v>0</v>
      </c>
      <c r="BW416">
        <v>0</v>
      </c>
      <c r="BX416">
        <v>0</v>
      </c>
      <c r="BY416">
        <v>0</v>
      </c>
      <c r="BZ416">
        <v>0</v>
      </c>
      <c r="CA416">
        <v>0</v>
      </c>
      <c r="CB416">
        <v>0</v>
      </c>
      <c r="CC416">
        <v>0</v>
      </c>
      <c r="CD416">
        <v>0</v>
      </c>
      <c r="CE416" t="s">
        <v>3108</v>
      </c>
      <c r="CF416" t="s">
        <v>3108</v>
      </c>
      <c r="CG416" t="s">
        <v>3108</v>
      </c>
      <c r="CH416" t="s">
        <v>3108</v>
      </c>
    </row>
    <row r="417" spans="1:86" x14ac:dyDescent="0.2">
      <c r="A417" t="s">
        <v>3973</v>
      </c>
      <c r="B417" t="s">
        <v>3973</v>
      </c>
      <c r="C417">
        <v>40705</v>
      </c>
      <c r="D417">
        <v>651</v>
      </c>
      <c r="E417" t="s">
        <v>3868</v>
      </c>
      <c r="F417">
        <v>200</v>
      </c>
      <c r="G417" t="s">
        <v>467</v>
      </c>
      <c r="H417">
        <v>200</v>
      </c>
      <c r="I417" t="s">
        <v>3840</v>
      </c>
      <c r="J417" t="s">
        <v>3250</v>
      </c>
      <c r="K417" t="s">
        <v>3250</v>
      </c>
      <c r="L417">
        <v>1200</v>
      </c>
      <c r="M417" t="s">
        <v>2368</v>
      </c>
      <c r="N417">
        <v>1204</v>
      </c>
      <c r="O417" t="s">
        <v>1574</v>
      </c>
      <c r="P417" t="s">
        <v>3108</v>
      </c>
      <c r="Q417" t="s">
        <v>3249</v>
      </c>
      <c r="R417" t="s">
        <v>3249</v>
      </c>
      <c r="S417" t="s">
        <v>810</v>
      </c>
      <c r="T417" t="s">
        <v>2759</v>
      </c>
      <c r="U417" t="s">
        <v>3250</v>
      </c>
      <c r="V417" t="s">
        <v>3250</v>
      </c>
      <c r="W417" t="s">
        <v>3250</v>
      </c>
      <c r="X417" t="s">
        <v>3250</v>
      </c>
      <c r="Y417" t="s">
        <v>3250</v>
      </c>
      <c r="Z417" t="s">
        <v>3250</v>
      </c>
      <c r="AA417" t="s">
        <v>3108</v>
      </c>
      <c r="AB417" t="s">
        <v>3108</v>
      </c>
      <c r="AC417" t="s">
        <v>3250</v>
      </c>
      <c r="AD417" t="s">
        <v>3250</v>
      </c>
      <c r="AE417" t="s">
        <v>3250</v>
      </c>
      <c r="AF417" t="s">
        <v>3250</v>
      </c>
      <c r="AG417" t="s">
        <v>3250</v>
      </c>
      <c r="AH417" t="s">
        <v>3250</v>
      </c>
      <c r="AI417" t="s">
        <v>3250</v>
      </c>
      <c r="AJ417" t="s">
        <v>3250</v>
      </c>
      <c r="AL417" t="s">
        <v>3250</v>
      </c>
      <c r="AM417" t="s">
        <v>3250</v>
      </c>
      <c r="AN417" t="s">
        <v>3250</v>
      </c>
      <c r="AO417" t="s">
        <v>3250</v>
      </c>
      <c r="AS417" t="s">
        <v>3250</v>
      </c>
      <c r="AT417" t="s">
        <v>3250</v>
      </c>
      <c r="AU417" t="s">
        <v>3250</v>
      </c>
      <c r="AV417" t="s">
        <v>3250</v>
      </c>
      <c r="AW417" t="s">
        <v>3250</v>
      </c>
      <c r="AX417" t="s">
        <v>3250</v>
      </c>
      <c r="AY417" t="s">
        <v>3250</v>
      </c>
      <c r="AZ417" t="s">
        <v>3250</v>
      </c>
      <c r="BA417" t="s">
        <v>3250</v>
      </c>
      <c r="BB417" t="s">
        <v>3250</v>
      </c>
      <c r="BC417" t="s">
        <v>3250</v>
      </c>
      <c r="BE417" t="s">
        <v>3250</v>
      </c>
      <c r="BF417" t="s">
        <v>3250</v>
      </c>
      <c r="BG417" t="s">
        <v>3250</v>
      </c>
      <c r="BH417" t="s">
        <v>3250</v>
      </c>
      <c r="BI417" t="s">
        <v>3250</v>
      </c>
      <c r="BK417" t="s">
        <v>3250</v>
      </c>
      <c r="BL417" t="s">
        <v>3250</v>
      </c>
      <c r="BM417" t="s">
        <v>3250</v>
      </c>
      <c r="BN417" t="s">
        <v>3250</v>
      </c>
      <c r="BP417">
        <v>1</v>
      </c>
      <c r="BQ417">
        <v>11</v>
      </c>
      <c r="BR417" t="s">
        <v>1574</v>
      </c>
      <c r="BS417" t="s">
        <v>3252</v>
      </c>
      <c r="BV417">
        <v>0</v>
      </c>
      <c r="BW417">
        <v>0</v>
      </c>
      <c r="BX417">
        <v>0</v>
      </c>
      <c r="BY417">
        <v>0</v>
      </c>
      <c r="BZ417">
        <v>0</v>
      </c>
      <c r="CA417">
        <v>0</v>
      </c>
      <c r="CB417">
        <v>0</v>
      </c>
      <c r="CC417">
        <v>0</v>
      </c>
      <c r="CD417">
        <v>0</v>
      </c>
      <c r="CE417" t="s">
        <v>3108</v>
      </c>
      <c r="CF417" t="s">
        <v>3108</v>
      </c>
      <c r="CG417" t="s">
        <v>3108</v>
      </c>
      <c r="CH417" t="s">
        <v>3108</v>
      </c>
    </row>
    <row r="418" spans="1:86" x14ac:dyDescent="0.2">
      <c r="A418" t="s">
        <v>3974</v>
      </c>
      <c r="B418" t="s">
        <v>3974</v>
      </c>
      <c r="C418">
        <v>40706</v>
      </c>
      <c r="D418">
        <v>652</v>
      </c>
      <c r="E418" t="s">
        <v>3839</v>
      </c>
      <c r="F418">
        <v>200</v>
      </c>
      <c r="G418" t="s">
        <v>467</v>
      </c>
      <c r="H418">
        <v>200</v>
      </c>
      <c r="I418" t="s">
        <v>3840</v>
      </c>
      <c r="J418" t="s">
        <v>3250</v>
      </c>
      <c r="K418" t="s">
        <v>3250</v>
      </c>
      <c r="L418">
        <v>1200</v>
      </c>
      <c r="M418" t="s">
        <v>2368</v>
      </c>
      <c r="N418">
        <v>1204</v>
      </c>
      <c r="O418" t="s">
        <v>1574</v>
      </c>
      <c r="P418" t="s">
        <v>3108</v>
      </c>
      <c r="Q418" t="s">
        <v>3249</v>
      </c>
      <c r="R418" t="s">
        <v>3249</v>
      </c>
      <c r="S418" t="s">
        <v>810</v>
      </c>
      <c r="T418" t="s">
        <v>2759</v>
      </c>
      <c r="U418" t="s">
        <v>3250</v>
      </c>
      <c r="V418" t="s">
        <v>3250</v>
      </c>
      <c r="W418" t="s">
        <v>3250</v>
      </c>
      <c r="X418" t="s">
        <v>3250</v>
      </c>
      <c r="Y418" t="s">
        <v>3250</v>
      </c>
      <c r="Z418" t="s">
        <v>3250</v>
      </c>
      <c r="AA418" t="s">
        <v>3108</v>
      </c>
      <c r="AB418" t="s">
        <v>3108</v>
      </c>
      <c r="AC418" t="s">
        <v>3250</v>
      </c>
      <c r="AD418" t="s">
        <v>3250</v>
      </c>
      <c r="AE418" t="s">
        <v>3250</v>
      </c>
      <c r="AF418" t="s">
        <v>3250</v>
      </c>
      <c r="AG418" t="s">
        <v>3250</v>
      </c>
      <c r="AH418" t="s">
        <v>3250</v>
      </c>
      <c r="AI418" t="s">
        <v>3250</v>
      </c>
      <c r="AJ418" t="s">
        <v>3250</v>
      </c>
      <c r="AL418" t="s">
        <v>3250</v>
      </c>
      <c r="AM418" t="s">
        <v>3250</v>
      </c>
      <c r="AN418" t="s">
        <v>3250</v>
      </c>
      <c r="AO418" t="s">
        <v>3250</v>
      </c>
      <c r="AS418" t="s">
        <v>3250</v>
      </c>
      <c r="AT418" t="s">
        <v>3250</v>
      </c>
      <c r="AU418" t="s">
        <v>3250</v>
      </c>
      <c r="AV418" t="s">
        <v>3250</v>
      </c>
      <c r="AW418" t="s">
        <v>3250</v>
      </c>
      <c r="AX418" t="s">
        <v>3250</v>
      </c>
      <c r="AY418" t="s">
        <v>3250</v>
      </c>
      <c r="AZ418" t="s">
        <v>3250</v>
      </c>
      <c r="BA418" t="s">
        <v>3250</v>
      </c>
      <c r="BB418" t="s">
        <v>3250</v>
      </c>
      <c r="BC418" t="s">
        <v>3250</v>
      </c>
      <c r="BE418" t="s">
        <v>3250</v>
      </c>
      <c r="BF418" t="s">
        <v>3250</v>
      </c>
      <c r="BG418" t="s">
        <v>3250</v>
      </c>
      <c r="BH418" t="s">
        <v>3250</v>
      </c>
      <c r="BI418" t="s">
        <v>3250</v>
      </c>
      <c r="BK418" t="s">
        <v>3250</v>
      </c>
      <c r="BL418" t="s">
        <v>3250</v>
      </c>
      <c r="BM418" t="s">
        <v>3250</v>
      </c>
      <c r="BN418" t="s">
        <v>3250</v>
      </c>
      <c r="BP418">
        <v>1</v>
      </c>
      <c r="BQ418">
        <v>11</v>
      </c>
      <c r="BR418" t="s">
        <v>1574</v>
      </c>
      <c r="BS418" t="s">
        <v>3252</v>
      </c>
      <c r="BV418">
        <v>0</v>
      </c>
      <c r="BW418">
        <v>0</v>
      </c>
      <c r="BX418">
        <v>0</v>
      </c>
      <c r="BY418">
        <v>0</v>
      </c>
      <c r="BZ418">
        <v>0</v>
      </c>
      <c r="CA418">
        <v>0</v>
      </c>
      <c r="CB418">
        <v>0</v>
      </c>
      <c r="CC418">
        <v>0</v>
      </c>
      <c r="CD418">
        <v>0</v>
      </c>
      <c r="CE418" t="s">
        <v>3108</v>
      </c>
      <c r="CF418" t="s">
        <v>3108</v>
      </c>
      <c r="CG418" t="s">
        <v>3108</v>
      </c>
      <c r="CH418" t="s">
        <v>3108</v>
      </c>
    </row>
    <row r="419" spans="1:86" x14ac:dyDescent="0.2">
      <c r="A419" t="s">
        <v>3975</v>
      </c>
      <c r="B419" t="s">
        <v>3975</v>
      </c>
      <c r="C419">
        <v>40707</v>
      </c>
      <c r="D419">
        <v>653</v>
      </c>
      <c r="E419" t="s">
        <v>3842</v>
      </c>
      <c r="F419">
        <v>200</v>
      </c>
      <c r="G419" t="s">
        <v>467</v>
      </c>
      <c r="H419">
        <v>200</v>
      </c>
      <c r="I419" t="s">
        <v>3840</v>
      </c>
      <c r="J419" t="s">
        <v>3250</v>
      </c>
      <c r="K419" t="s">
        <v>3250</v>
      </c>
      <c r="L419">
        <v>1200</v>
      </c>
      <c r="M419" t="s">
        <v>2368</v>
      </c>
      <c r="N419">
        <v>1204</v>
      </c>
      <c r="O419" t="s">
        <v>1574</v>
      </c>
      <c r="P419" t="s">
        <v>3108</v>
      </c>
      <c r="Q419" t="s">
        <v>3249</v>
      </c>
      <c r="R419" t="s">
        <v>3249</v>
      </c>
      <c r="S419" t="s">
        <v>810</v>
      </c>
      <c r="T419" t="s">
        <v>2759</v>
      </c>
      <c r="U419" t="s">
        <v>3250</v>
      </c>
      <c r="V419" t="s">
        <v>3250</v>
      </c>
      <c r="W419" t="s">
        <v>3250</v>
      </c>
      <c r="X419" t="s">
        <v>3250</v>
      </c>
      <c r="Y419" t="s">
        <v>3250</v>
      </c>
      <c r="Z419" t="s">
        <v>3250</v>
      </c>
      <c r="AA419" t="s">
        <v>3108</v>
      </c>
      <c r="AB419" t="s">
        <v>3108</v>
      </c>
      <c r="AC419" t="s">
        <v>3250</v>
      </c>
      <c r="AD419" t="s">
        <v>3250</v>
      </c>
      <c r="AE419" t="s">
        <v>3250</v>
      </c>
      <c r="AF419" t="s">
        <v>3250</v>
      </c>
      <c r="AG419" t="s">
        <v>3250</v>
      </c>
      <c r="AH419" t="s">
        <v>3250</v>
      </c>
      <c r="AI419" t="s">
        <v>3250</v>
      </c>
      <c r="AJ419" t="s">
        <v>3250</v>
      </c>
      <c r="AL419" t="s">
        <v>3250</v>
      </c>
      <c r="AM419" t="s">
        <v>3250</v>
      </c>
      <c r="AN419" t="s">
        <v>3250</v>
      </c>
      <c r="AO419" t="s">
        <v>3250</v>
      </c>
      <c r="AS419" t="s">
        <v>3250</v>
      </c>
      <c r="AT419" t="s">
        <v>3250</v>
      </c>
      <c r="AU419" t="s">
        <v>3250</v>
      </c>
      <c r="AV419" t="s">
        <v>3250</v>
      </c>
      <c r="AW419" t="s">
        <v>3250</v>
      </c>
      <c r="AX419" t="s">
        <v>3250</v>
      </c>
      <c r="AY419" t="s">
        <v>3250</v>
      </c>
      <c r="AZ419" t="s">
        <v>3250</v>
      </c>
      <c r="BA419" t="s">
        <v>3250</v>
      </c>
      <c r="BB419" t="s">
        <v>3250</v>
      </c>
      <c r="BC419" t="s">
        <v>3250</v>
      </c>
      <c r="BE419" t="s">
        <v>3250</v>
      </c>
      <c r="BF419" t="s">
        <v>3250</v>
      </c>
      <c r="BG419" t="s">
        <v>3250</v>
      </c>
      <c r="BH419" t="s">
        <v>3250</v>
      </c>
      <c r="BI419" t="s">
        <v>3250</v>
      </c>
      <c r="BK419" t="s">
        <v>3250</v>
      </c>
      <c r="BL419" t="s">
        <v>3250</v>
      </c>
      <c r="BM419" t="s">
        <v>3250</v>
      </c>
      <c r="BN419" t="s">
        <v>3250</v>
      </c>
      <c r="BP419">
        <v>1</v>
      </c>
      <c r="BQ419">
        <v>11</v>
      </c>
      <c r="BR419" t="s">
        <v>1574</v>
      </c>
      <c r="BS419" t="s">
        <v>3252</v>
      </c>
      <c r="BV419">
        <v>0</v>
      </c>
      <c r="BW419">
        <v>0</v>
      </c>
      <c r="BX419">
        <v>0</v>
      </c>
      <c r="BY419">
        <v>0</v>
      </c>
      <c r="BZ419">
        <v>0</v>
      </c>
      <c r="CA419">
        <v>0</v>
      </c>
      <c r="CB419">
        <v>0</v>
      </c>
      <c r="CC419">
        <v>0</v>
      </c>
      <c r="CD419">
        <v>0</v>
      </c>
      <c r="CE419" t="s">
        <v>3108</v>
      </c>
      <c r="CF419" t="s">
        <v>3108</v>
      </c>
      <c r="CG419" t="s">
        <v>3108</v>
      </c>
      <c r="CH419" t="s">
        <v>3108</v>
      </c>
    </row>
    <row r="420" spans="1:86" x14ac:dyDescent="0.2">
      <c r="A420" t="s">
        <v>3976</v>
      </c>
      <c r="B420" t="s">
        <v>3976</v>
      </c>
      <c r="C420">
        <v>40708</v>
      </c>
      <c r="D420">
        <v>654</v>
      </c>
      <c r="E420" t="s">
        <v>3844</v>
      </c>
      <c r="F420">
        <v>200</v>
      </c>
      <c r="G420" t="s">
        <v>467</v>
      </c>
      <c r="H420">
        <v>200</v>
      </c>
      <c r="I420" t="s">
        <v>3840</v>
      </c>
      <c r="J420" t="s">
        <v>3250</v>
      </c>
      <c r="K420" t="s">
        <v>3250</v>
      </c>
      <c r="L420">
        <v>1200</v>
      </c>
      <c r="M420" t="s">
        <v>2368</v>
      </c>
      <c r="N420">
        <v>1204</v>
      </c>
      <c r="O420" t="s">
        <v>1574</v>
      </c>
      <c r="P420" t="s">
        <v>3108</v>
      </c>
      <c r="Q420" t="s">
        <v>3249</v>
      </c>
      <c r="R420" t="s">
        <v>3249</v>
      </c>
      <c r="S420" t="s">
        <v>810</v>
      </c>
      <c r="T420" t="s">
        <v>2759</v>
      </c>
      <c r="U420" t="s">
        <v>3250</v>
      </c>
      <c r="V420" t="s">
        <v>3250</v>
      </c>
      <c r="W420" t="s">
        <v>3250</v>
      </c>
      <c r="X420" t="s">
        <v>3250</v>
      </c>
      <c r="Y420" t="s">
        <v>3250</v>
      </c>
      <c r="Z420" t="s">
        <v>3250</v>
      </c>
      <c r="AA420" t="s">
        <v>3108</v>
      </c>
      <c r="AB420" t="s">
        <v>3108</v>
      </c>
      <c r="AC420" t="s">
        <v>3250</v>
      </c>
      <c r="AD420" t="s">
        <v>3250</v>
      </c>
      <c r="AE420" t="s">
        <v>3250</v>
      </c>
      <c r="AF420" t="s">
        <v>3250</v>
      </c>
      <c r="AG420" t="s">
        <v>3250</v>
      </c>
      <c r="AH420" t="s">
        <v>3250</v>
      </c>
      <c r="AI420" t="s">
        <v>3250</v>
      </c>
      <c r="AJ420" t="s">
        <v>3250</v>
      </c>
      <c r="AL420" t="s">
        <v>3250</v>
      </c>
      <c r="AM420" t="s">
        <v>3250</v>
      </c>
      <c r="AN420" t="s">
        <v>3250</v>
      </c>
      <c r="AO420" t="s">
        <v>3250</v>
      </c>
      <c r="AS420" t="s">
        <v>3250</v>
      </c>
      <c r="AT420" t="s">
        <v>3250</v>
      </c>
      <c r="AU420" t="s">
        <v>3250</v>
      </c>
      <c r="AV420" t="s">
        <v>3250</v>
      </c>
      <c r="AW420" t="s">
        <v>3250</v>
      </c>
      <c r="AX420" t="s">
        <v>3250</v>
      </c>
      <c r="AY420" t="s">
        <v>3250</v>
      </c>
      <c r="AZ420" t="s">
        <v>3250</v>
      </c>
      <c r="BA420" t="s">
        <v>3250</v>
      </c>
      <c r="BB420" t="s">
        <v>3250</v>
      </c>
      <c r="BC420" t="s">
        <v>3250</v>
      </c>
      <c r="BE420" t="s">
        <v>3250</v>
      </c>
      <c r="BF420" t="s">
        <v>3250</v>
      </c>
      <c r="BG420" t="s">
        <v>3250</v>
      </c>
      <c r="BH420" t="s">
        <v>3250</v>
      </c>
      <c r="BI420" t="s">
        <v>3250</v>
      </c>
      <c r="BK420" t="s">
        <v>3250</v>
      </c>
      <c r="BL420" t="s">
        <v>3250</v>
      </c>
      <c r="BM420" t="s">
        <v>3250</v>
      </c>
      <c r="BN420" t="s">
        <v>3250</v>
      </c>
      <c r="BP420">
        <v>1</v>
      </c>
      <c r="BQ420">
        <v>11</v>
      </c>
      <c r="BR420" t="s">
        <v>1574</v>
      </c>
      <c r="BS420" t="s">
        <v>3252</v>
      </c>
      <c r="BV420">
        <v>0</v>
      </c>
      <c r="BW420">
        <v>0</v>
      </c>
      <c r="BX420">
        <v>0</v>
      </c>
      <c r="BY420">
        <v>0</v>
      </c>
      <c r="BZ420">
        <v>0</v>
      </c>
      <c r="CA420">
        <v>0</v>
      </c>
      <c r="CB420">
        <v>0</v>
      </c>
      <c r="CC420">
        <v>0</v>
      </c>
      <c r="CD420">
        <v>0</v>
      </c>
      <c r="CE420" t="s">
        <v>3108</v>
      </c>
      <c r="CF420" t="s">
        <v>3108</v>
      </c>
      <c r="CG420" t="s">
        <v>3108</v>
      </c>
      <c r="CH420" t="s">
        <v>3108</v>
      </c>
    </row>
    <row r="421" spans="1:86" x14ac:dyDescent="0.2">
      <c r="A421" t="s">
        <v>3977</v>
      </c>
      <c r="B421" t="s">
        <v>3977</v>
      </c>
      <c r="C421">
        <v>40709</v>
      </c>
      <c r="D421">
        <v>655</v>
      </c>
      <c r="E421" t="s">
        <v>3846</v>
      </c>
      <c r="F421">
        <v>200</v>
      </c>
      <c r="G421" t="s">
        <v>467</v>
      </c>
      <c r="H421">
        <v>200</v>
      </c>
      <c r="I421" t="s">
        <v>3840</v>
      </c>
      <c r="J421" t="s">
        <v>3250</v>
      </c>
      <c r="K421" t="s">
        <v>3250</v>
      </c>
      <c r="L421">
        <v>1200</v>
      </c>
      <c r="M421" t="s">
        <v>2368</v>
      </c>
      <c r="N421">
        <v>1204</v>
      </c>
      <c r="O421" t="s">
        <v>1574</v>
      </c>
      <c r="P421" t="s">
        <v>3108</v>
      </c>
      <c r="Q421" t="s">
        <v>3249</v>
      </c>
      <c r="R421" t="s">
        <v>3249</v>
      </c>
      <c r="S421" t="s">
        <v>810</v>
      </c>
      <c r="T421" t="s">
        <v>2759</v>
      </c>
      <c r="U421" t="s">
        <v>3250</v>
      </c>
      <c r="V421" t="s">
        <v>3250</v>
      </c>
      <c r="W421" t="s">
        <v>3250</v>
      </c>
      <c r="X421" t="s">
        <v>3250</v>
      </c>
      <c r="Y421" t="s">
        <v>3250</v>
      </c>
      <c r="Z421" t="s">
        <v>3250</v>
      </c>
      <c r="AA421" t="s">
        <v>3108</v>
      </c>
      <c r="AB421" t="s">
        <v>3108</v>
      </c>
      <c r="AC421" t="s">
        <v>3250</v>
      </c>
      <c r="AD421" t="s">
        <v>3250</v>
      </c>
      <c r="AE421" t="s">
        <v>3250</v>
      </c>
      <c r="AF421" t="s">
        <v>3250</v>
      </c>
      <c r="AG421" t="s">
        <v>3250</v>
      </c>
      <c r="AH421" t="s">
        <v>3250</v>
      </c>
      <c r="AI421" t="s">
        <v>3250</v>
      </c>
      <c r="AJ421" t="s">
        <v>3250</v>
      </c>
      <c r="AL421" t="s">
        <v>3250</v>
      </c>
      <c r="AM421" t="s">
        <v>3250</v>
      </c>
      <c r="AN421" t="s">
        <v>3250</v>
      </c>
      <c r="AO421" t="s">
        <v>3250</v>
      </c>
      <c r="AS421" t="s">
        <v>3250</v>
      </c>
      <c r="AT421" t="s">
        <v>3250</v>
      </c>
      <c r="AU421" t="s">
        <v>3250</v>
      </c>
      <c r="AV421" t="s">
        <v>3250</v>
      </c>
      <c r="AW421" t="s">
        <v>3250</v>
      </c>
      <c r="AX421" t="s">
        <v>3250</v>
      </c>
      <c r="AY421" t="s">
        <v>3250</v>
      </c>
      <c r="AZ421" t="s">
        <v>3250</v>
      </c>
      <c r="BA421" t="s">
        <v>3250</v>
      </c>
      <c r="BB421" t="s">
        <v>3250</v>
      </c>
      <c r="BC421" t="s">
        <v>3250</v>
      </c>
      <c r="BE421" t="s">
        <v>3250</v>
      </c>
      <c r="BF421" t="s">
        <v>3250</v>
      </c>
      <c r="BG421" t="s">
        <v>3250</v>
      </c>
      <c r="BH421" t="s">
        <v>3250</v>
      </c>
      <c r="BI421" t="s">
        <v>3250</v>
      </c>
      <c r="BK421" t="s">
        <v>3250</v>
      </c>
      <c r="BL421" t="s">
        <v>3250</v>
      </c>
      <c r="BM421" t="s">
        <v>3250</v>
      </c>
      <c r="BN421" t="s">
        <v>3250</v>
      </c>
      <c r="BP421">
        <v>1</v>
      </c>
      <c r="BQ421">
        <v>11</v>
      </c>
      <c r="BR421" t="s">
        <v>1574</v>
      </c>
      <c r="BS421" t="s">
        <v>3252</v>
      </c>
      <c r="BV421">
        <v>0</v>
      </c>
      <c r="BW421">
        <v>0</v>
      </c>
      <c r="BX421">
        <v>0</v>
      </c>
      <c r="BY421">
        <v>0</v>
      </c>
      <c r="BZ421">
        <v>0</v>
      </c>
      <c r="CA421">
        <v>0</v>
      </c>
      <c r="CB421">
        <v>0</v>
      </c>
      <c r="CC421">
        <v>0</v>
      </c>
      <c r="CD421">
        <v>0</v>
      </c>
      <c r="CE421" t="s">
        <v>3108</v>
      </c>
      <c r="CF421" t="s">
        <v>3108</v>
      </c>
      <c r="CG421" t="s">
        <v>3108</v>
      </c>
      <c r="CH421" t="s">
        <v>3108</v>
      </c>
    </row>
    <row r="422" spans="1:86" x14ac:dyDescent="0.2">
      <c r="A422" t="s">
        <v>3978</v>
      </c>
      <c r="B422" t="s">
        <v>3978</v>
      </c>
      <c r="C422">
        <v>40710</v>
      </c>
      <c r="D422">
        <v>656</v>
      </c>
      <c r="E422" t="s">
        <v>3848</v>
      </c>
      <c r="F422">
        <v>200</v>
      </c>
      <c r="G422" t="s">
        <v>467</v>
      </c>
      <c r="H422">
        <v>200</v>
      </c>
      <c r="I422" t="s">
        <v>3840</v>
      </c>
      <c r="J422" t="s">
        <v>3250</v>
      </c>
      <c r="K422" t="s">
        <v>3250</v>
      </c>
      <c r="L422">
        <v>1200</v>
      </c>
      <c r="M422" t="s">
        <v>2368</v>
      </c>
      <c r="N422">
        <v>1204</v>
      </c>
      <c r="O422" t="s">
        <v>1574</v>
      </c>
      <c r="P422" t="s">
        <v>3108</v>
      </c>
      <c r="Q422" t="s">
        <v>3249</v>
      </c>
      <c r="R422" t="s">
        <v>3249</v>
      </c>
      <c r="S422" t="s">
        <v>810</v>
      </c>
      <c r="T422" t="s">
        <v>2759</v>
      </c>
      <c r="U422" t="s">
        <v>3250</v>
      </c>
      <c r="V422" t="s">
        <v>3250</v>
      </c>
      <c r="W422" t="s">
        <v>3250</v>
      </c>
      <c r="X422" t="s">
        <v>3250</v>
      </c>
      <c r="Y422" t="s">
        <v>3250</v>
      </c>
      <c r="Z422" t="s">
        <v>3250</v>
      </c>
      <c r="AA422" t="s">
        <v>3108</v>
      </c>
      <c r="AB422" t="s">
        <v>3108</v>
      </c>
      <c r="AC422" t="s">
        <v>3250</v>
      </c>
      <c r="AD422" t="s">
        <v>3250</v>
      </c>
      <c r="AE422" t="s">
        <v>3250</v>
      </c>
      <c r="AF422" t="s">
        <v>3250</v>
      </c>
      <c r="AG422" t="s">
        <v>3250</v>
      </c>
      <c r="AH422" t="s">
        <v>3250</v>
      </c>
      <c r="AI422" t="s">
        <v>3250</v>
      </c>
      <c r="AJ422" t="s">
        <v>3250</v>
      </c>
      <c r="AL422" t="s">
        <v>3250</v>
      </c>
      <c r="AM422" t="s">
        <v>3250</v>
      </c>
      <c r="AN422" t="s">
        <v>3250</v>
      </c>
      <c r="AO422" t="s">
        <v>3250</v>
      </c>
      <c r="AS422" t="s">
        <v>3250</v>
      </c>
      <c r="AT422" t="s">
        <v>3250</v>
      </c>
      <c r="AU422" t="s">
        <v>3250</v>
      </c>
      <c r="AV422" t="s">
        <v>3250</v>
      </c>
      <c r="AW422" t="s">
        <v>3250</v>
      </c>
      <c r="AX422" t="s">
        <v>3250</v>
      </c>
      <c r="AY422" t="s">
        <v>3250</v>
      </c>
      <c r="AZ422" t="s">
        <v>3250</v>
      </c>
      <c r="BA422" t="s">
        <v>3250</v>
      </c>
      <c r="BB422" t="s">
        <v>3250</v>
      </c>
      <c r="BC422" t="s">
        <v>3250</v>
      </c>
      <c r="BE422" t="s">
        <v>3250</v>
      </c>
      <c r="BF422" t="s">
        <v>3250</v>
      </c>
      <c r="BG422" t="s">
        <v>3250</v>
      </c>
      <c r="BH422" t="s">
        <v>3250</v>
      </c>
      <c r="BI422" t="s">
        <v>3250</v>
      </c>
      <c r="BK422" t="s">
        <v>3250</v>
      </c>
      <c r="BL422" t="s">
        <v>3250</v>
      </c>
      <c r="BM422" t="s">
        <v>3250</v>
      </c>
      <c r="BN422" t="s">
        <v>3250</v>
      </c>
      <c r="BP422">
        <v>1</v>
      </c>
      <c r="BQ422">
        <v>11</v>
      </c>
      <c r="BR422" t="s">
        <v>1574</v>
      </c>
      <c r="BS422" t="s">
        <v>3252</v>
      </c>
      <c r="BV422">
        <v>0</v>
      </c>
      <c r="BW422">
        <v>0</v>
      </c>
      <c r="BX422">
        <v>0</v>
      </c>
      <c r="BY422">
        <v>0</v>
      </c>
      <c r="BZ422">
        <v>0</v>
      </c>
      <c r="CA422">
        <v>0</v>
      </c>
      <c r="CB422">
        <v>0</v>
      </c>
      <c r="CC422">
        <v>0</v>
      </c>
      <c r="CD422">
        <v>0</v>
      </c>
      <c r="CE422" t="s">
        <v>3108</v>
      </c>
      <c r="CF422" t="s">
        <v>3108</v>
      </c>
      <c r="CG422" t="s">
        <v>3108</v>
      </c>
      <c r="CH422" t="s">
        <v>3108</v>
      </c>
    </row>
    <row r="423" spans="1:86" x14ac:dyDescent="0.2">
      <c r="A423" t="s">
        <v>3979</v>
      </c>
      <c r="B423" t="s">
        <v>3979</v>
      </c>
      <c r="C423">
        <v>40711</v>
      </c>
      <c r="D423">
        <v>657</v>
      </c>
      <c r="E423" t="s">
        <v>3850</v>
      </c>
      <c r="F423">
        <v>200</v>
      </c>
      <c r="G423" t="s">
        <v>467</v>
      </c>
      <c r="H423">
        <v>200</v>
      </c>
      <c r="I423" t="s">
        <v>3840</v>
      </c>
      <c r="J423" t="s">
        <v>3250</v>
      </c>
      <c r="K423" t="s">
        <v>3250</v>
      </c>
      <c r="L423">
        <v>1200</v>
      </c>
      <c r="M423" t="s">
        <v>2368</v>
      </c>
      <c r="N423">
        <v>1204</v>
      </c>
      <c r="O423" t="s">
        <v>1574</v>
      </c>
      <c r="P423" t="s">
        <v>3108</v>
      </c>
      <c r="Q423" t="s">
        <v>3249</v>
      </c>
      <c r="R423" t="s">
        <v>3249</v>
      </c>
      <c r="S423" t="s">
        <v>810</v>
      </c>
      <c r="T423" t="s">
        <v>2759</v>
      </c>
      <c r="U423" t="s">
        <v>3250</v>
      </c>
      <c r="V423" t="s">
        <v>3250</v>
      </c>
      <c r="W423" t="s">
        <v>3250</v>
      </c>
      <c r="X423" t="s">
        <v>3250</v>
      </c>
      <c r="Y423" t="s">
        <v>3250</v>
      </c>
      <c r="Z423" t="s">
        <v>3250</v>
      </c>
      <c r="AA423" t="s">
        <v>3108</v>
      </c>
      <c r="AB423" t="s">
        <v>3108</v>
      </c>
      <c r="AC423" t="s">
        <v>3250</v>
      </c>
      <c r="AD423" t="s">
        <v>3250</v>
      </c>
      <c r="AE423" t="s">
        <v>3250</v>
      </c>
      <c r="AF423" t="s">
        <v>3250</v>
      </c>
      <c r="AG423" t="s">
        <v>3250</v>
      </c>
      <c r="AH423" t="s">
        <v>3250</v>
      </c>
      <c r="AI423" t="s">
        <v>3250</v>
      </c>
      <c r="AJ423" t="s">
        <v>3250</v>
      </c>
      <c r="AL423" t="s">
        <v>3250</v>
      </c>
      <c r="AM423" t="s">
        <v>3250</v>
      </c>
      <c r="AN423" t="s">
        <v>3250</v>
      </c>
      <c r="AO423" t="s">
        <v>3250</v>
      </c>
      <c r="AS423" t="s">
        <v>3250</v>
      </c>
      <c r="AT423" t="s">
        <v>3250</v>
      </c>
      <c r="AU423" t="s">
        <v>3250</v>
      </c>
      <c r="AV423" t="s">
        <v>3250</v>
      </c>
      <c r="AW423" t="s">
        <v>3250</v>
      </c>
      <c r="AX423" t="s">
        <v>3250</v>
      </c>
      <c r="AY423" t="s">
        <v>3250</v>
      </c>
      <c r="AZ423" t="s">
        <v>3250</v>
      </c>
      <c r="BA423" t="s">
        <v>3250</v>
      </c>
      <c r="BB423" t="s">
        <v>3250</v>
      </c>
      <c r="BC423" t="s">
        <v>3250</v>
      </c>
      <c r="BE423" t="s">
        <v>3250</v>
      </c>
      <c r="BF423" t="s">
        <v>3250</v>
      </c>
      <c r="BG423" t="s">
        <v>3250</v>
      </c>
      <c r="BH423" t="s">
        <v>3250</v>
      </c>
      <c r="BI423" t="s">
        <v>3250</v>
      </c>
      <c r="BK423" t="s">
        <v>3250</v>
      </c>
      <c r="BL423" t="s">
        <v>3250</v>
      </c>
      <c r="BM423" t="s">
        <v>3250</v>
      </c>
      <c r="BN423" t="s">
        <v>3250</v>
      </c>
      <c r="BP423">
        <v>1</v>
      </c>
      <c r="BQ423">
        <v>11</v>
      </c>
      <c r="BR423" t="s">
        <v>1574</v>
      </c>
      <c r="BS423" t="s">
        <v>3252</v>
      </c>
      <c r="BV423">
        <v>0</v>
      </c>
      <c r="BW423">
        <v>0</v>
      </c>
      <c r="BX423">
        <v>0</v>
      </c>
      <c r="BY423">
        <v>0</v>
      </c>
      <c r="BZ423">
        <v>0</v>
      </c>
      <c r="CA423">
        <v>0</v>
      </c>
      <c r="CB423">
        <v>0</v>
      </c>
      <c r="CC423">
        <v>0</v>
      </c>
      <c r="CD423">
        <v>0</v>
      </c>
      <c r="CE423" t="s">
        <v>3108</v>
      </c>
      <c r="CF423" t="s">
        <v>3108</v>
      </c>
      <c r="CG423" t="s">
        <v>3108</v>
      </c>
      <c r="CH423" t="s">
        <v>3108</v>
      </c>
    </row>
    <row r="424" spans="1:86" x14ac:dyDescent="0.2">
      <c r="A424" t="s">
        <v>3980</v>
      </c>
      <c r="B424" t="s">
        <v>3980</v>
      </c>
      <c r="C424">
        <v>40712</v>
      </c>
      <c r="D424">
        <v>658</v>
      </c>
      <c r="E424" t="s">
        <v>3852</v>
      </c>
      <c r="F424">
        <v>200</v>
      </c>
      <c r="G424" t="s">
        <v>467</v>
      </c>
      <c r="H424">
        <v>200</v>
      </c>
      <c r="I424" t="s">
        <v>3840</v>
      </c>
      <c r="J424" t="s">
        <v>3250</v>
      </c>
      <c r="K424" t="s">
        <v>3250</v>
      </c>
      <c r="L424">
        <v>1200</v>
      </c>
      <c r="M424" t="s">
        <v>2368</v>
      </c>
      <c r="N424">
        <v>1204</v>
      </c>
      <c r="O424" t="s">
        <v>1574</v>
      </c>
      <c r="P424" t="s">
        <v>3108</v>
      </c>
      <c r="Q424" t="s">
        <v>3249</v>
      </c>
      <c r="R424" t="s">
        <v>3249</v>
      </c>
      <c r="S424" t="s">
        <v>810</v>
      </c>
      <c r="T424" t="s">
        <v>2759</v>
      </c>
      <c r="U424" t="s">
        <v>3250</v>
      </c>
      <c r="V424" t="s">
        <v>3250</v>
      </c>
      <c r="W424" t="s">
        <v>3250</v>
      </c>
      <c r="X424" t="s">
        <v>3250</v>
      </c>
      <c r="Y424" t="s">
        <v>3250</v>
      </c>
      <c r="Z424" t="s">
        <v>3250</v>
      </c>
      <c r="AA424" t="s">
        <v>3108</v>
      </c>
      <c r="AB424" t="s">
        <v>3108</v>
      </c>
      <c r="AC424" t="s">
        <v>3250</v>
      </c>
      <c r="AD424" t="s">
        <v>3250</v>
      </c>
      <c r="AE424" t="s">
        <v>3250</v>
      </c>
      <c r="AF424" t="s">
        <v>3250</v>
      </c>
      <c r="AG424" t="s">
        <v>3250</v>
      </c>
      <c r="AH424" t="s">
        <v>3250</v>
      </c>
      <c r="AI424" t="s">
        <v>3250</v>
      </c>
      <c r="AJ424" t="s">
        <v>3250</v>
      </c>
      <c r="AL424" t="s">
        <v>3250</v>
      </c>
      <c r="AM424" t="s">
        <v>3250</v>
      </c>
      <c r="AN424" t="s">
        <v>3250</v>
      </c>
      <c r="AO424" t="s">
        <v>3250</v>
      </c>
      <c r="AS424" t="s">
        <v>3250</v>
      </c>
      <c r="AT424" t="s">
        <v>3250</v>
      </c>
      <c r="AU424" t="s">
        <v>3250</v>
      </c>
      <c r="AV424" t="s">
        <v>3250</v>
      </c>
      <c r="AW424" t="s">
        <v>3250</v>
      </c>
      <c r="AX424" t="s">
        <v>3250</v>
      </c>
      <c r="AY424" t="s">
        <v>3250</v>
      </c>
      <c r="AZ424" t="s">
        <v>3250</v>
      </c>
      <c r="BA424" t="s">
        <v>3250</v>
      </c>
      <c r="BB424" t="s">
        <v>3250</v>
      </c>
      <c r="BC424" t="s">
        <v>3250</v>
      </c>
      <c r="BE424" t="s">
        <v>3250</v>
      </c>
      <c r="BF424" t="s">
        <v>3250</v>
      </c>
      <c r="BG424" t="s">
        <v>3250</v>
      </c>
      <c r="BH424" t="s">
        <v>3250</v>
      </c>
      <c r="BI424" t="s">
        <v>3250</v>
      </c>
      <c r="BK424" t="s">
        <v>3250</v>
      </c>
      <c r="BL424" t="s">
        <v>3250</v>
      </c>
      <c r="BM424" t="s">
        <v>3250</v>
      </c>
      <c r="BN424" t="s">
        <v>3250</v>
      </c>
      <c r="BP424">
        <v>1</v>
      </c>
      <c r="BQ424">
        <v>11</v>
      </c>
      <c r="BR424" t="s">
        <v>1574</v>
      </c>
      <c r="BS424" t="s">
        <v>3252</v>
      </c>
      <c r="BV424">
        <v>0</v>
      </c>
      <c r="BW424">
        <v>0</v>
      </c>
      <c r="BX424">
        <v>0</v>
      </c>
      <c r="BY424">
        <v>0</v>
      </c>
      <c r="BZ424">
        <v>0</v>
      </c>
      <c r="CA424">
        <v>0</v>
      </c>
      <c r="CB424">
        <v>0</v>
      </c>
      <c r="CC424">
        <v>0</v>
      </c>
      <c r="CD424">
        <v>0</v>
      </c>
      <c r="CE424" t="s">
        <v>3108</v>
      </c>
      <c r="CF424" t="s">
        <v>3108</v>
      </c>
      <c r="CG424" t="s">
        <v>3108</v>
      </c>
      <c r="CH424" t="s">
        <v>3108</v>
      </c>
    </row>
    <row r="425" spans="1:86" x14ac:dyDescent="0.2">
      <c r="A425" t="s">
        <v>3981</v>
      </c>
      <c r="B425" t="s">
        <v>3981</v>
      </c>
      <c r="C425">
        <v>40713</v>
      </c>
      <c r="D425">
        <v>659</v>
      </c>
      <c r="E425" t="s">
        <v>3854</v>
      </c>
      <c r="F425">
        <v>200</v>
      </c>
      <c r="G425" t="s">
        <v>467</v>
      </c>
      <c r="H425">
        <v>200</v>
      </c>
      <c r="I425" t="s">
        <v>3840</v>
      </c>
      <c r="J425" t="s">
        <v>3250</v>
      </c>
      <c r="K425" t="s">
        <v>3250</v>
      </c>
      <c r="L425">
        <v>1200</v>
      </c>
      <c r="M425" t="s">
        <v>2368</v>
      </c>
      <c r="N425">
        <v>1204</v>
      </c>
      <c r="O425" t="s">
        <v>1574</v>
      </c>
      <c r="P425" t="s">
        <v>3108</v>
      </c>
      <c r="Q425" t="s">
        <v>3249</v>
      </c>
      <c r="R425" t="s">
        <v>3249</v>
      </c>
      <c r="S425" t="s">
        <v>810</v>
      </c>
      <c r="T425" t="s">
        <v>2759</v>
      </c>
      <c r="U425" t="s">
        <v>3250</v>
      </c>
      <c r="V425" t="s">
        <v>3250</v>
      </c>
      <c r="W425" t="s">
        <v>3250</v>
      </c>
      <c r="X425" t="s">
        <v>3250</v>
      </c>
      <c r="Y425" t="s">
        <v>3250</v>
      </c>
      <c r="Z425" t="s">
        <v>3250</v>
      </c>
      <c r="AA425" t="s">
        <v>3108</v>
      </c>
      <c r="AB425" t="s">
        <v>3108</v>
      </c>
      <c r="AC425" t="s">
        <v>3250</v>
      </c>
      <c r="AD425" t="s">
        <v>3250</v>
      </c>
      <c r="AE425" t="s">
        <v>3250</v>
      </c>
      <c r="AF425" t="s">
        <v>3250</v>
      </c>
      <c r="AG425" t="s">
        <v>3250</v>
      </c>
      <c r="AH425" t="s">
        <v>3250</v>
      </c>
      <c r="AI425" t="s">
        <v>3250</v>
      </c>
      <c r="AJ425" t="s">
        <v>3250</v>
      </c>
      <c r="AL425" t="s">
        <v>3250</v>
      </c>
      <c r="AM425" t="s">
        <v>3250</v>
      </c>
      <c r="AN425" t="s">
        <v>3250</v>
      </c>
      <c r="AO425" t="s">
        <v>3250</v>
      </c>
      <c r="AS425" t="s">
        <v>3250</v>
      </c>
      <c r="AT425" t="s">
        <v>3250</v>
      </c>
      <c r="AU425" t="s">
        <v>3250</v>
      </c>
      <c r="AV425" t="s">
        <v>3250</v>
      </c>
      <c r="AW425" t="s">
        <v>3250</v>
      </c>
      <c r="AX425" t="s">
        <v>3250</v>
      </c>
      <c r="AY425" t="s">
        <v>3250</v>
      </c>
      <c r="AZ425" t="s">
        <v>3250</v>
      </c>
      <c r="BA425" t="s">
        <v>3250</v>
      </c>
      <c r="BB425" t="s">
        <v>3250</v>
      </c>
      <c r="BC425" t="s">
        <v>3250</v>
      </c>
      <c r="BE425" t="s">
        <v>3250</v>
      </c>
      <c r="BF425" t="s">
        <v>3250</v>
      </c>
      <c r="BG425" t="s">
        <v>3250</v>
      </c>
      <c r="BH425" t="s">
        <v>3250</v>
      </c>
      <c r="BI425" t="s">
        <v>3250</v>
      </c>
      <c r="BK425" t="s">
        <v>3250</v>
      </c>
      <c r="BL425" t="s">
        <v>3250</v>
      </c>
      <c r="BM425" t="s">
        <v>3250</v>
      </c>
      <c r="BN425" t="s">
        <v>3250</v>
      </c>
      <c r="BP425">
        <v>1</v>
      </c>
      <c r="BQ425">
        <v>11</v>
      </c>
      <c r="BR425" t="s">
        <v>1574</v>
      </c>
      <c r="BS425" t="s">
        <v>3252</v>
      </c>
      <c r="BV425">
        <v>0</v>
      </c>
      <c r="BW425">
        <v>0</v>
      </c>
      <c r="BX425">
        <v>0</v>
      </c>
      <c r="BY425">
        <v>0</v>
      </c>
      <c r="BZ425">
        <v>0</v>
      </c>
      <c r="CA425">
        <v>0</v>
      </c>
      <c r="CB425">
        <v>0</v>
      </c>
      <c r="CC425">
        <v>0</v>
      </c>
      <c r="CD425">
        <v>0</v>
      </c>
      <c r="CE425" t="s">
        <v>3108</v>
      </c>
      <c r="CF425" t="s">
        <v>3108</v>
      </c>
      <c r="CG425" t="s">
        <v>3108</v>
      </c>
      <c r="CH425" t="s">
        <v>3108</v>
      </c>
    </row>
    <row r="426" spans="1:86" x14ac:dyDescent="0.2">
      <c r="A426" t="s">
        <v>3982</v>
      </c>
      <c r="B426" t="s">
        <v>3982</v>
      </c>
      <c r="C426">
        <v>40714</v>
      </c>
      <c r="D426">
        <v>660</v>
      </c>
      <c r="E426" t="s">
        <v>3856</v>
      </c>
      <c r="F426">
        <v>200</v>
      </c>
      <c r="G426" t="s">
        <v>467</v>
      </c>
      <c r="H426">
        <v>200</v>
      </c>
      <c r="I426" t="s">
        <v>3840</v>
      </c>
      <c r="J426" t="s">
        <v>3250</v>
      </c>
      <c r="K426" t="s">
        <v>3250</v>
      </c>
      <c r="L426">
        <v>1200</v>
      </c>
      <c r="M426" t="s">
        <v>2368</v>
      </c>
      <c r="N426">
        <v>1204</v>
      </c>
      <c r="O426" t="s">
        <v>1574</v>
      </c>
      <c r="P426" t="s">
        <v>3108</v>
      </c>
      <c r="Q426" t="s">
        <v>3249</v>
      </c>
      <c r="R426" t="s">
        <v>3249</v>
      </c>
      <c r="S426" t="s">
        <v>810</v>
      </c>
      <c r="T426" t="s">
        <v>2759</v>
      </c>
      <c r="U426" t="s">
        <v>3250</v>
      </c>
      <c r="V426" t="s">
        <v>3250</v>
      </c>
      <c r="W426" t="s">
        <v>3250</v>
      </c>
      <c r="X426" t="s">
        <v>3250</v>
      </c>
      <c r="Y426" t="s">
        <v>3250</v>
      </c>
      <c r="Z426" t="s">
        <v>3250</v>
      </c>
      <c r="AA426" t="s">
        <v>3108</v>
      </c>
      <c r="AB426" t="s">
        <v>3108</v>
      </c>
      <c r="AC426" t="s">
        <v>3250</v>
      </c>
      <c r="AD426" t="s">
        <v>3250</v>
      </c>
      <c r="AE426" t="s">
        <v>3250</v>
      </c>
      <c r="AF426" t="s">
        <v>3250</v>
      </c>
      <c r="AG426" t="s">
        <v>3250</v>
      </c>
      <c r="AH426" t="s">
        <v>3250</v>
      </c>
      <c r="AI426" t="s">
        <v>3250</v>
      </c>
      <c r="AJ426" t="s">
        <v>3250</v>
      </c>
      <c r="AL426" t="s">
        <v>3250</v>
      </c>
      <c r="AM426" t="s">
        <v>3250</v>
      </c>
      <c r="AN426" t="s">
        <v>3250</v>
      </c>
      <c r="AO426" t="s">
        <v>3250</v>
      </c>
      <c r="AS426" t="s">
        <v>3250</v>
      </c>
      <c r="AT426" t="s">
        <v>3250</v>
      </c>
      <c r="AU426" t="s">
        <v>3250</v>
      </c>
      <c r="AV426" t="s">
        <v>3250</v>
      </c>
      <c r="AW426" t="s">
        <v>3250</v>
      </c>
      <c r="AX426" t="s">
        <v>3250</v>
      </c>
      <c r="AY426" t="s">
        <v>3250</v>
      </c>
      <c r="AZ426" t="s">
        <v>3250</v>
      </c>
      <c r="BA426" t="s">
        <v>3250</v>
      </c>
      <c r="BB426" t="s">
        <v>3250</v>
      </c>
      <c r="BC426" t="s">
        <v>3250</v>
      </c>
      <c r="BE426" t="s">
        <v>3250</v>
      </c>
      <c r="BF426" t="s">
        <v>3250</v>
      </c>
      <c r="BG426" t="s">
        <v>3250</v>
      </c>
      <c r="BH426" t="s">
        <v>3250</v>
      </c>
      <c r="BI426" t="s">
        <v>3250</v>
      </c>
      <c r="BK426" t="s">
        <v>3250</v>
      </c>
      <c r="BL426" t="s">
        <v>3250</v>
      </c>
      <c r="BM426" t="s">
        <v>3250</v>
      </c>
      <c r="BN426" t="s">
        <v>3250</v>
      </c>
      <c r="BP426">
        <v>1</v>
      </c>
      <c r="BQ426">
        <v>11</v>
      </c>
      <c r="BR426" t="s">
        <v>1574</v>
      </c>
      <c r="BS426" t="s">
        <v>3252</v>
      </c>
      <c r="BV426">
        <v>0</v>
      </c>
      <c r="BW426">
        <v>0</v>
      </c>
      <c r="BX426">
        <v>0</v>
      </c>
      <c r="BY426">
        <v>0</v>
      </c>
      <c r="BZ426">
        <v>0</v>
      </c>
      <c r="CA426">
        <v>0</v>
      </c>
      <c r="CB426">
        <v>0</v>
      </c>
      <c r="CC426">
        <v>0</v>
      </c>
      <c r="CD426">
        <v>0</v>
      </c>
      <c r="CE426" t="s">
        <v>3108</v>
      </c>
      <c r="CF426" t="s">
        <v>3108</v>
      </c>
      <c r="CG426" t="s">
        <v>3108</v>
      </c>
      <c r="CH426" t="s">
        <v>3108</v>
      </c>
    </row>
    <row r="427" spans="1:86" x14ac:dyDescent="0.2">
      <c r="A427" t="s">
        <v>3983</v>
      </c>
      <c r="B427" t="s">
        <v>3983</v>
      </c>
      <c r="C427">
        <v>40715</v>
      </c>
      <c r="D427">
        <v>661</v>
      </c>
      <c r="E427" t="s">
        <v>3858</v>
      </c>
      <c r="F427">
        <v>200</v>
      </c>
      <c r="G427" t="s">
        <v>467</v>
      </c>
      <c r="H427">
        <v>200</v>
      </c>
      <c r="I427" t="s">
        <v>3840</v>
      </c>
      <c r="J427" t="s">
        <v>3250</v>
      </c>
      <c r="K427" t="s">
        <v>3250</v>
      </c>
      <c r="L427">
        <v>1200</v>
      </c>
      <c r="M427" t="s">
        <v>2368</v>
      </c>
      <c r="N427">
        <v>1204</v>
      </c>
      <c r="O427" t="s">
        <v>1574</v>
      </c>
      <c r="P427" t="s">
        <v>3108</v>
      </c>
      <c r="Q427" t="s">
        <v>3249</v>
      </c>
      <c r="R427" t="s">
        <v>3249</v>
      </c>
      <c r="S427" t="s">
        <v>810</v>
      </c>
      <c r="T427" t="s">
        <v>2759</v>
      </c>
      <c r="U427" t="s">
        <v>3250</v>
      </c>
      <c r="V427" t="s">
        <v>3250</v>
      </c>
      <c r="W427" t="s">
        <v>3250</v>
      </c>
      <c r="X427" t="s">
        <v>3250</v>
      </c>
      <c r="Y427" t="s">
        <v>3250</v>
      </c>
      <c r="Z427" t="s">
        <v>3250</v>
      </c>
      <c r="AA427" t="s">
        <v>3108</v>
      </c>
      <c r="AB427" t="s">
        <v>3108</v>
      </c>
      <c r="AC427" t="s">
        <v>3250</v>
      </c>
      <c r="AD427" t="s">
        <v>3250</v>
      </c>
      <c r="AE427" t="s">
        <v>3250</v>
      </c>
      <c r="AF427" t="s">
        <v>3250</v>
      </c>
      <c r="AG427" t="s">
        <v>3250</v>
      </c>
      <c r="AH427" t="s">
        <v>3250</v>
      </c>
      <c r="AI427" t="s">
        <v>3250</v>
      </c>
      <c r="AJ427" t="s">
        <v>3250</v>
      </c>
      <c r="AL427" t="s">
        <v>3250</v>
      </c>
      <c r="AM427" t="s">
        <v>3250</v>
      </c>
      <c r="AN427" t="s">
        <v>3250</v>
      </c>
      <c r="AO427" t="s">
        <v>3250</v>
      </c>
      <c r="AS427" t="s">
        <v>3250</v>
      </c>
      <c r="AT427" t="s">
        <v>3250</v>
      </c>
      <c r="AU427" t="s">
        <v>3250</v>
      </c>
      <c r="AV427" t="s">
        <v>3250</v>
      </c>
      <c r="AW427" t="s">
        <v>3250</v>
      </c>
      <c r="AX427" t="s">
        <v>3250</v>
      </c>
      <c r="AY427" t="s">
        <v>3250</v>
      </c>
      <c r="AZ427" t="s">
        <v>3250</v>
      </c>
      <c r="BA427" t="s">
        <v>3250</v>
      </c>
      <c r="BB427" t="s">
        <v>3250</v>
      </c>
      <c r="BC427" t="s">
        <v>3250</v>
      </c>
      <c r="BE427" t="s">
        <v>3250</v>
      </c>
      <c r="BF427" t="s">
        <v>3250</v>
      </c>
      <c r="BG427" t="s">
        <v>3250</v>
      </c>
      <c r="BH427" t="s">
        <v>3250</v>
      </c>
      <c r="BI427" t="s">
        <v>3250</v>
      </c>
      <c r="BK427" t="s">
        <v>3250</v>
      </c>
      <c r="BL427" t="s">
        <v>3250</v>
      </c>
      <c r="BM427" t="s">
        <v>3250</v>
      </c>
      <c r="BN427" t="s">
        <v>3250</v>
      </c>
      <c r="BP427">
        <v>1</v>
      </c>
      <c r="BQ427">
        <v>11</v>
      </c>
      <c r="BR427" t="s">
        <v>1574</v>
      </c>
      <c r="BS427" t="s">
        <v>3252</v>
      </c>
      <c r="BV427">
        <v>0</v>
      </c>
      <c r="BW427">
        <v>0</v>
      </c>
      <c r="BX427">
        <v>0</v>
      </c>
      <c r="BY427">
        <v>0</v>
      </c>
      <c r="BZ427">
        <v>0</v>
      </c>
      <c r="CA427">
        <v>0</v>
      </c>
      <c r="CB427">
        <v>0</v>
      </c>
      <c r="CC427">
        <v>0</v>
      </c>
      <c r="CD427">
        <v>0</v>
      </c>
      <c r="CE427" t="s">
        <v>3108</v>
      </c>
      <c r="CF427" t="s">
        <v>3108</v>
      </c>
      <c r="CG427" t="s">
        <v>3108</v>
      </c>
      <c r="CH427" t="s">
        <v>3108</v>
      </c>
    </row>
    <row r="428" spans="1:86" x14ac:dyDescent="0.2">
      <c r="A428" t="s">
        <v>3984</v>
      </c>
      <c r="B428" t="s">
        <v>3984</v>
      </c>
      <c r="C428">
        <v>40716</v>
      </c>
      <c r="D428">
        <v>662</v>
      </c>
      <c r="E428" t="s">
        <v>3860</v>
      </c>
      <c r="F428">
        <v>200</v>
      </c>
      <c r="G428" t="s">
        <v>467</v>
      </c>
      <c r="H428">
        <v>200</v>
      </c>
      <c r="I428" t="s">
        <v>3840</v>
      </c>
      <c r="J428" t="s">
        <v>3250</v>
      </c>
      <c r="K428" t="s">
        <v>3250</v>
      </c>
      <c r="L428">
        <v>1200</v>
      </c>
      <c r="M428" t="s">
        <v>2368</v>
      </c>
      <c r="N428">
        <v>1204</v>
      </c>
      <c r="O428" t="s">
        <v>1574</v>
      </c>
      <c r="P428" t="s">
        <v>3108</v>
      </c>
      <c r="Q428" t="s">
        <v>3249</v>
      </c>
      <c r="R428" t="s">
        <v>3249</v>
      </c>
      <c r="S428" t="s">
        <v>810</v>
      </c>
      <c r="T428" t="s">
        <v>2759</v>
      </c>
      <c r="U428" t="s">
        <v>3250</v>
      </c>
      <c r="V428" t="s">
        <v>3250</v>
      </c>
      <c r="W428" t="s">
        <v>3250</v>
      </c>
      <c r="X428" t="s">
        <v>3250</v>
      </c>
      <c r="Y428" t="s">
        <v>3250</v>
      </c>
      <c r="Z428" t="s">
        <v>3250</v>
      </c>
      <c r="AA428" t="s">
        <v>3108</v>
      </c>
      <c r="AB428" t="s">
        <v>3108</v>
      </c>
      <c r="AC428" t="s">
        <v>3250</v>
      </c>
      <c r="AD428" t="s">
        <v>3250</v>
      </c>
      <c r="AE428" t="s">
        <v>3250</v>
      </c>
      <c r="AF428" t="s">
        <v>3250</v>
      </c>
      <c r="AG428" t="s">
        <v>3250</v>
      </c>
      <c r="AH428" t="s">
        <v>3250</v>
      </c>
      <c r="AI428" t="s">
        <v>3250</v>
      </c>
      <c r="AJ428" t="s">
        <v>3250</v>
      </c>
      <c r="AL428" t="s">
        <v>3250</v>
      </c>
      <c r="AM428" t="s">
        <v>3250</v>
      </c>
      <c r="AN428" t="s">
        <v>3250</v>
      </c>
      <c r="AO428" t="s">
        <v>3250</v>
      </c>
      <c r="AS428" t="s">
        <v>3250</v>
      </c>
      <c r="AT428" t="s">
        <v>3250</v>
      </c>
      <c r="AU428" t="s">
        <v>3250</v>
      </c>
      <c r="AV428" t="s">
        <v>3250</v>
      </c>
      <c r="AW428" t="s">
        <v>3250</v>
      </c>
      <c r="AX428" t="s">
        <v>3250</v>
      </c>
      <c r="AY428" t="s">
        <v>3250</v>
      </c>
      <c r="AZ428" t="s">
        <v>3250</v>
      </c>
      <c r="BA428" t="s">
        <v>3250</v>
      </c>
      <c r="BB428" t="s">
        <v>3250</v>
      </c>
      <c r="BC428" t="s">
        <v>3250</v>
      </c>
      <c r="BE428" t="s">
        <v>3250</v>
      </c>
      <c r="BF428" t="s">
        <v>3250</v>
      </c>
      <c r="BG428" t="s">
        <v>3250</v>
      </c>
      <c r="BH428" t="s">
        <v>3250</v>
      </c>
      <c r="BI428" t="s">
        <v>3250</v>
      </c>
      <c r="BK428" t="s">
        <v>3250</v>
      </c>
      <c r="BL428" t="s">
        <v>3250</v>
      </c>
      <c r="BM428" t="s">
        <v>3250</v>
      </c>
      <c r="BN428" t="s">
        <v>3250</v>
      </c>
      <c r="BP428">
        <v>1</v>
      </c>
      <c r="BQ428">
        <v>11</v>
      </c>
      <c r="BR428" t="s">
        <v>1574</v>
      </c>
      <c r="BS428" t="s">
        <v>3252</v>
      </c>
      <c r="BV428">
        <v>0</v>
      </c>
      <c r="BW428">
        <v>0</v>
      </c>
      <c r="BX428">
        <v>0</v>
      </c>
      <c r="BY428">
        <v>0</v>
      </c>
      <c r="BZ428">
        <v>0</v>
      </c>
      <c r="CA428">
        <v>0</v>
      </c>
      <c r="CB428">
        <v>0</v>
      </c>
      <c r="CC428">
        <v>0</v>
      </c>
      <c r="CD428">
        <v>0</v>
      </c>
      <c r="CE428" t="s">
        <v>3108</v>
      </c>
      <c r="CF428" t="s">
        <v>3108</v>
      </c>
      <c r="CG428" t="s">
        <v>3108</v>
      </c>
      <c r="CH428" t="s">
        <v>3108</v>
      </c>
    </row>
    <row r="429" spans="1:86" x14ac:dyDescent="0.2">
      <c r="A429" t="s">
        <v>3985</v>
      </c>
      <c r="B429" t="s">
        <v>3985</v>
      </c>
      <c r="C429">
        <v>40717</v>
      </c>
      <c r="D429">
        <v>663</v>
      </c>
      <c r="E429" t="s">
        <v>3862</v>
      </c>
      <c r="F429">
        <v>200</v>
      </c>
      <c r="G429" t="s">
        <v>467</v>
      </c>
      <c r="H429">
        <v>200</v>
      </c>
      <c r="I429" t="s">
        <v>3840</v>
      </c>
      <c r="J429" t="s">
        <v>3250</v>
      </c>
      <c r="K429" t="s">
        <v>3250</v>
      </c>
      <c r="L429">
        <v>1200</v>
      </c>
      <c r="M429" t="s">
        <v>2368</v>
      </c>
      <c r="N429">
        <v>1204</v>
      </c>
      <c r="O429" t="s">
        <v>1574</v>
      </c>
      <c r="P429" t="s">
        <v>3108</v>
      </c>
      <c r="Q429" t="s">
        <v>3249</v>
      </c>
      <c r="R429" t="s">
        <v>3249</v>
      </c>
      <c r="S429" t="s">
        <v>810</v>
      </c>
      <c r="T429" t="s">
        <v>2759</v>
      </c>
      <c r="U429" t="s">
        <v>3250</v>
      </c>
      <c r="V429" t="s">
        <v>3250</v>
      </c>
      <c r="W429" t="s">
        <v>3250</v>
      </c>
      <c r="X429" t="s">
        <v>3250</v>
      </c>
      <c r="Y429" t="s">
        <v>3250</v>
      </c>
      <c r="Z429" t="s">
        <v>3250</v>
      </c>
      <c r="AA429" t="s">
        <v>3108</v>
      </c>
      <c r="AB429" t="s">
        <v>3108</v>
      </c>
      <c r="AC429" t="s">
        <v>3250</v>
      </c>
      <c r="AD429" t="s">
        <v>3250</v>
      </c>
      <c r="AE429" t="s">
        <v>3250</v>
      </c>
      <c r="AF429" t="s">
        <v>3250</v>
      </c>
      <c r="AG429" t="s">
        <v>3250</v>
      </c>
      <c r="AH429" t="s">
        <v>3250</v>
      </c>
      <c r="AI429" t="s">
        <v>3250</v>
      </c>
      <c r="AJ429" t="s">
        <v>3250</v>
      </c>
      <c r="AL429" t="s">
        <v>3250</v>
      </c>
      <c r="AM429" t="s">
        <v>3250</v>
      </c>
      <c r="AN429" t="s">
        <v>3250</v>
      </c>
      <c r="AO429" t="s">
        <v>3250</v>
      </c>
      <c r="AS429" t="s">
        <v>3250</v>
      </c>
      <c r="AT429" t="s">
        <v>3250</v>
      </c>
      <c r="AU429" t="s">
        <v>3250</v>
      </c>
      <c r="AV429" t="s">
        <v>3250</v>
      </c>
      <c r="AW429" t="s">
        <v>3250</v>
      </c>
      <c r="AX429" t="s">
        <v>3250</v>
      </c>
      <c r="AY429" t="s">
        <v>3250</v>
      </c>
      <c r="AZ429" t="s">
        <v>3250</v>
      </c>
      <c r="BA429" t="s">
        <v>3250</v>
      </c>
      <c r="BB429" t="s">
        <v>3250</v>
      </c>
      <c r="BC429" t="s">
        <v>3250</v>
      </c>
      <c r="BE429" t="s">
        <v>3250</v>
      </c>
      <c r="BF429" t="s">
        <v>3250</v>
      </c>
      <c r="BG429" t="s">
        <v>3250</v>
      </c>
      <c r="BH429" t="s">
        <v>3250</v>
      </c>
      <c r="BI429" t="s">
        <v>3250</v>
      </c>
      <c r="BK429" t="s">
        <v>3250</v>
      </c>
      <c r="BL429" t="s">
        <v>3250</v>
      </c>
      <c r="BM429" t="s">
        <v>3250</v>
      </c>
      <c r="BN429" t="s">
        <v>3250</v>
      </c>
      <c r="BP429">
        <v>1</v>
      </c>
      <c r="BQ429">
        <v>11</v>
      </c>
      <c r="BR429" t="s">
        <v>1574</v>
      </c>
      <c r="BS429" t="s">
        <v>3252</v>
      </c>
      <c r="BV429">
        <v>0</v>
      </c>
      <c r="BW429">
        <v>0</v>
      </c>
      <c r="BX429">
        <v>0</v>
      </c>
      <c r="BY429">
        <v>0</v>
      </c>
      <c r="BZ429">
        <v>0</v>
      </c>
      <c r="CA429">
        <v>0</v>
      </c>
      <c r="CB429">
        <v>0</v>
      </c>
      <c r="CC429">
        <v>0</v>
      </c>
      <c r="CD429">
        <v>0</v>
      </c>
      <c r="CE429" t="s">
        <v>3108</v>
      </c>
      <c r="CF429" t="s">
        <v>3108</v>
      </c>
      <c r="CG429" t="s">
        <v>3108</v>
      </c>
      <c r="CH429" t="s">
        <v>3108</v>
      </c>
    </row>
    <row r="430" spans="1:86" x14ac:dyDescent="0.2">
      <c r="A430" t="s">
        <v>3986</v>
      </c>
      <c r="B430" t="s">
        <v>3986</v>
      </c>
      <c r="C430">
        <v>40718</v>
      </c>
      <c r="D430">
        <v>664</v>
      </c>
      <c r="E430" t="s">
        <v>3864</v>
      </c>
      <c r="F430">
        <v>200</v>
      </c>
      <c r="G430" t="s">
        <v>467</v>
      </c>
      <c r="H430">
        <v>200</v>
      </c>
      <c r="I430" t="s">
        <v>3840</v>
      </c>
      <c r="J430" t="s">
        <v>3250</v>
      </c>
      <c r="K430" t="s">
        <v>3250</v>
      </c>
      <c r="L430">
        <v>1200</v>
      </c>
      <c r="M430" t="s">
        <v>2368</v>
      </c>
      <c r="N430">
        <v>1204</v>
      </c>
      <c r="O430" t="s">
        <v>1574</v>
      </c>
      <c r="P430" t="s">
        <v>3108</v>
      </c>
      <c r="Q430" t="s">
        <v>3249</v>
      </c>
      <c r="R430" t="s">
        <v>3249</v>
      </c>
      <c r="S430" t="s">
        <v>810</v>
      </c>
      <c r="T430" t="s">
        <v>2759</v>
      </c>
      <c r="U430" t="s">
        <v>3250</v>
      </c>
      <c r="V430" t="s">
        <v>3250</v>
      </c>
      <c r="W430" t="s">
        <v>3250</v>
      </c>
      <c r="X430" t="s">
        <v>3250</v>
      </c>
      <c r="Y430" t="s">
        <v>3250</v>
      </c>
      <c r="Z430" t="s">
        <v>3250</v>
      </c>
      <c r="AA430" t="s">
        <v>3108</v>
      </c>
      <c r="AB430" t="s">
        <v>3108</v>
      </c>
      <c r="AC430" t="s">
        <v>3250</v>
      </c>
      <c r="AD430" t="s">
        <v>3250</v>
      </c>
      <c r="AE430" t="s">
        <v>3250</v>
      </c>
      <c r="AF430" t="s">
        <v>3250</v>
      </c>
      <c r="AG430" t="s">
        <v>3250</v>
      </c>
      <c r="AH430" t="s">
        <v>3250</v>
      </c>
      <c r="AI430" t="s">
        <v>3250</v>
      </c>
      <c r="AJ430" t="s">
        <v>3250</v>
      </c>
      <c r="AL430" t="s">
        <v>3250</v>
      </c>
      <c r="AM430" t="s">
        <v>3250</v>
      </c>
      <c r="AN430" t="s">
        <v>3250</v>
      </c>
      <c r="AO430" t="s">
        <v>3250</v>
      </c>
      <c r="AS430" t="s">
        <v>3250</v>
      </c>
      <c r="AT430" t="s">
        <v>3250</v>
      </c>
      <c r="AU430" t="s">
        <v>3250</v>
      </c>
      <c r="AV430" t="s">
        <v>3250</v>
      </c>
      <c r="AW430" t="s">
        <v>3250</v>
      </c>
      <c r="AX430" t="s">
        <v>3250</v>
      </c>
      <c r="AY430" t="s">
        <v>3250</v>
      </c>
      <c r="AZ430" t="s">
        <v>3250</v>
      </c>
      <c r="BA430" t="s">
        <v>3250</v>
      </c>
      <c r="BB430" t="s">
        <v>3250</v>
      </c>
      <c r="BC430" t="s">
        <v>3250</v>
      </c>
      <c r="BE430" t="s">
        <v>3250</v>
      </c>
      <c r="BF430" t="s">
        <v>3250</v>
      </c>
      <c r="BG430" t="s">
        <v>3250</v>
      </c>
      <c r="BH430" t="s">
        <v>3250</v>
      </c>
      <c r="BI430" t="s">
        <v>3250</v>
      </c>
      <c r="BK430" t="s">
        <v>3250</v>
      </c>
      <c r="BL430" t="s">
        <v>3250</v>
      </c>
      <c r="BM430" t="s">
        <v>3250</v>
      </c>
      <c r="BN430" t="s">
        <v>3250</v>
      </c>
      <c r="BP430">
        <v>1</v>
      </c>
      <c r="BQ430">
        <v>11</v>
      </c>
      <c r="BR430" t="s">
        <v>1574</v>
      </c>
      <c r="BS430" t="s">
        <v>3252</v>
      </c>
      <c r="BV430">
        <v>0</v>
      </c>
      <c r="BW430">
        <v>0</v>
      </c>
      <c r="BX430">
        <v>0</v>
      </c>
      <c r="BY430">
        <v>0</v>
      </c>
      <c r="BZ430">
        <v>0</v>
      </c>
      <c r="CA430">
        <v>0</v>
      </c>
      <c r="CB430">
        <v>0</v>
      </c>
      <c r="CC430">
        <v>0</v>
      </c>
      <c r="CD430">
        <v>0</v>
      </c>
      <c r="CE430" t="s">
        <v>3108</v>
      </c>
      <c r="CF430" t="s">
        <v>3108</v>
      </c>
      <c r="CG430" t="s">
        <v>3108</v>
      </c>
      <c r="CH430" t="s">
        <v>3108</v>
      </c>
    </row>
    <row r="431" spans="1:86" x14ac:dyDescent="0.2">
      <c r="A431" t="s">
        <v>3987</v>
      </c>
      <c r="B431" t="s">
        <v>3987</v>
      </c>
      <c r="C431">
        <v>40719</v>
      </c>
      <c r="D431">
        <v>665</v>
      </c>
      <c r="E431" t="s">
        <v>3866</v>
      </c>
      <c r="F431">
        <v>200</v>
      </c>
      <c r="G431" t="s">
        <v>467</v>
      </c>
      <c r="H431">
        <v>200</v>
      </c>
      <c r="I431" t="s">
        <v>3840</v>
      </c>
      <c r="J431" t="s">
        <v>3250</v>
      </c>
      <c r="K431" t="s">
        <v>3250</v>
      </c>
      <c r="L431">
        <v>1200</v>
      </c>
      <c r="M431" t="s">
        <v>2368</v>
      </c>
      <c r="N431">
        <v>1204</v>
      </c>
      <c r="O431" t="s">
        <v>1574</v>
      </c>
      <c r="P431" t="s">
        <v>3108</v>
      </c>
      <c r="Q431" t="s">
        <v>3249</v>
      </c>
      <c r="R431" t="s">
        <v>3249</v>
      </c>
      <c r="S431" t="s">
        <v>810</v>
      </c>
      <c r="T431" t="s">
        <v>2759</v>
      </c>
      <c r="U431" t="s">
        <v>3250</v>
      </c>
      <c r="V431" t="s">
        <v>3250</v>
      </c>
      <c r="W431" t="s">
        <v>3250</v>
      </c>
      <c r="X431" t="s">
        <v>3250</v>
      </c>
      <c r="Y431" t="s">
        <v>3250</v>
      </c>
      <c r="Z431" t="s">
        <v>3250</v>
      </c>
      <c r="AA431" t="s">
        <v>3108</v>
      </c>
      <c r="AB431" t="s">
        <v>3108</v>
      </c>
      <c r="AC431" t="s">
        <v>3250</v>
      </c>
      <c r="AD431" t="s">
        <v>3250</v>
      </c>
      <c r="AE431" t="s">
        <v>3250</v>
      </c>
      <c r="AF431" t="s">
        <v>3250</v>
      </c>
      <c r="AG431" t="s">
        <v>3250</v>
      </c>
      <c r="AH431" t="s">
        <v>3250</v>
      </c>
      <c r="AI431" t="s">
        <v>3250</v>
      </c>
      <c r="AJ431" t="s">
        <v>3250</v>
      </c>
      <c r="AL431" t="s">
        <v>3250</v>
      </c>
      <c r="AM431" t="s">
        <v>3250</v>
      </c>
      <c r="AN431" t="s">
        <v>3250</v>
      </c>
      <c r="AO431" t="s">
        <v>3250</v>
      </c>
      <c r="AS431" t="s">
        <v>3250</v>
      </c>
      <c r="AT431" t="s">
        <v>3250</v>
      </c>
      <c r="AU431" t="s">
        <v>3250</v>
      </c>
      <c r="AV431" t="s">
        <v>3250</v>
      </c>
      <c r="AW431" t="s">
        <v>3250</v>
      </c>
      <c r="AX431" t="s">
        <v>3250</v>
      </c>
      <c r="AY431" t="s">
        <v>3250</v>
      </c>
      <c r="AZ431" t="s">
        <v>3250</v>
      </c>
      <c r="BA431" t="s">
        <v>3250</v>
      </c>
      <c r="BB431" t="s">
        <v>3250</v>
      </c>
      <c r="BC431" t="s">
        <v>3250</v>
      </c>
      <c r="BE431" t="s">
        <v>3250</v>
      </c>
      <c r="BF431" t="s">
        <v>3250</v>
      </c>
      <c r="BG431" t="s">
        <v>3250</v>
      </c>
      <c r="BH431" t="s">
        <v>3250</v>
      </c>
      <c r="BI431" t="s">
        <v>3250</v>
      </c>
      <c r="BK431" t="s">
        <v>3250</v>
      </c>
      <c r="BL431" t="s">
        <v>3250</v>
      </c>
      <c r="BM431" t="s">
        <v>3250</v>
      </c>
      <c r="BN431" t="s">
        <v>3250</v>
      </c>
      <c r="BP431">
        <v>1</v>
      </c>
      <c r="BQ431">
        <v>11</v>
      </c>
      <c r="BR431" t="s">
        <v>1574</v>
      </c>
      <c r="BS431" t="s">
        <v>3252</v>
      </c>
      <c r="BV431">
        <v>0</v>
      </c>
      <c r="BW431">
        <v>0</v>
      </c>
      <c r="BX431">
        <v>0</v>
      </c>
      <c r="BY431">
        <v>0</v>
      </c>
      <c r="BZ431">
        <v>0</v>
      </c>
      <c r="CA431">
        <v>0</v>
      </c>
      <c r="CB431">
        <v>0</v>
      </c>
      <c r="CC431">
        <v>0</v>
      </c>
      <c r="CD431">
        <v>0</v>
      </c>
      <c r="CE431" t="s">
        <v>3108</v>
      </c>
      <c r="CF431" t="s">
        <v>3108</v>
      </c>
      <c r="CG431" t="s">
        <v>3108</v>
      </c>
      <c r="CH431" t="s">
        <v>3108</v>
      </c>
    </row>
    <row r="432" spans="1:86" x14ac:dyDescent="0.2">
      <c r="A432" t="s">
        <v>3988</v>
      </c>
      <c r="B432" t="s">
        <v>3988</v>
      </c>
      <c r="C432">
        <v>40720</v>
      </c>
      <c r="D432">
        <v>666</v>
      </c>
      <c r="E432" t="s">
        <v>3868</v>
      </c>
      <c r="F432">
        <v>200</v>
      </c>
      <c r="G432" t="s">
        <v>467</v>
      </c>
      <c r="H432">
        <v>200</v>
      </c>
      <c r="I432" t="s">
        <v>3840</v>
      </c>
      <c r="J432" t="s">
        <v>3250</v>
      </c>
      <c r="K432" t="s">
        <v>3250</v>
      </c>
      <c r="L432">
        <v>1200</v>
      </c>
      <c r="M432" t="s">
        <v>2368</v>
      </c>
      <c r="N432">
        <v>1204</v>
      </c>
      <c r="O432" t="s">
        <v>1574</v>
      </c>
      <c r="P432" t="s">
        <v>3108</v>
      </c>
      <c r="Q432" t="s">
        <v>3249</v>
      </c>
      <c r="R432" t="s">
        <v>3249</v>
      </c>
      <c r="S432" t="s">
        <v>810</v>
      </c>
      <c r="T432" t="s">
        <v>2759</v>
      </c>
      <c r="U432" t="s">
        <v>3250</v>
      </c>
      <c r="V432" t="s">
        <v>3250</v>
      </c>
      <c r="W432" t="s">
        <v>3250</v>
      </c>
      <c r="X432" t="s">
        <v>3250</v>
      </c>
      <c r="Y432" t="s">
        <v>3250</v>
      </c>
      <c r="Z432" t="s">
        <v>3250</v>
      </c>
      <c r="AA432" t="s">
        <v>3108</v>
      </c>
      <c r="AB432" t="s">
        <v>3108</v>
      </c>
      <c r="AC432" t="s">
        <v>3250</v>
      </c>
      <c r="AD432" t="s">
        <v>3250</v>
      </c>
      <c r="AE432" t="s">
        <v>3250</v>
      </c>
      <c r="AF432" t="s">
        <v>3250</v>
      </c>
      <c r="AG432" t="s">
        <v>3250</v>
      </c>
      <c r="AH432" t="s">
        <v>3250</v>
      </c>
      <c r="AI432" t="s">
        <v>3250</v>
      </c>
      <c r="AJ432" t="s">
        <v>3250</v>
      </c>
      <c r="AL432" t="s">
        <v>3250</v>
      </c>
      <c r="AM432" t="s">
        <v>3250</v>
      </c>
      <c r="AN432" t="s">
        <v>3250</v>
      </c>
      <c r="AO432" t="s">
        <v>3250</v>
      </c>
      <c r="AS432" t="s">
        <v>3250</v>
      </c>
      <c r="AT432" t="s">
        <v>3250</v>
      </c>
      <c r="AU432" t="s">
        <v>3250</v>
      </c>
      <c r="AV432" t="s">
        <v>3250</v>
      </c>
      <c r="AW432" t="s">
        <v>3250</v>
      </c>
      <c r="AX432" t="s">
        <v>3250</v>
      </c>
      <c r="AY432" t="s">
        <v>3250</v>
      </c>
      <c r="AZ432" t="s">
        <v>3250</v>
      </c>
      <c r="BA432" t="s">
        <v>3250</v>
      </c>
      <c r="BB432" t="s">
        <v>3250</v>
      </c>
      <c r="BC432" t="s">
        <v>3250</v>
      </c>
      <c r="BE432" t="s">
        <v>3250</v>
      </c>
      <c r="BF432" t="s">
        <v>3250</v>
      </c>
      <c r="BG432" t="s">
        <v>3250</v>
      </c>
      <c r="BH432" t="s">
        <v>3250</v>
      </c>
      <c r="BI432" t="s">
        <v>3250</v>
      </c>
      <c r="BK432" t="s">
        <v>3250</v>
      </c>
      <c r="BL432" t="s">
        <v>3250</v>
      </c>
      <c r="BM432" t="s">
        <v>3250</v>
      </c>
      <c r="BN432" t="s">
        <v>3250</v>
      </c>
      <c r="BP432">
        <v>1</v>
      </c>
      <c r="BQ432">
        <v>11</v>
      </c>
      <c r="BR432" t="s">
        <v>1574</v>
      </c>
      <c r="BS432" t="s">
        <v>3252</v>
      </c>
      <c r="BV432">
        <v>0</v>
      </c>
      <c r="BW432">
        <v>0</v>
      </c>
      <c r="BX432">
        <v>0</v>
      </c>
      <c r="BY432">
        <v>0</v>
      </c>
      <c r="BZ432">
        <v>0</v>
      </c>
      <c r="CA432">
        <v>0</v>
      </c>
      <c r="CB432">
        <v>0</v>
      </c>
      <c r="CC432">
        <v>0</v>
      </c>
      <c r="CD432">
        <v>0</v>
      </c>
      <c r="CE432" t="s">
        <v>3108</v>
      </c>
      <c r="CF432" t="s">
        <v>3108</v>
      </c>
      <c r="CG432" t="s">
        <v>3108</v>
      </c>
      <c r="CH432" t="s">
        <v>3108</v>
      </c>
    </row>
    <row r="433" spans="1:86" x14ac:dyDescent="0.2">
      <c r="A433" t="s">
        <v>3989</v>
      </c>
      <c r="B433" t="s">
        <v>3989</v>
      </c>
      <c r="C433">
        <v>40721</v>
      </c>
      <c r="D433">
        <v>181</v>
      </c>
      <c r="E433" t="s">
        <v>3990</v>
      </c>
      <c r="F433">
        <v>2900</v>
      </c>
      <c r="G433" t="s">
        <v>822</v>
      </c>
      <c r="H433" t="s">
        <v>3108</v>
      </c>
      <c r="I433" t="s">
        <v>3108</v>
      </c>
      <c r="J433">
        <v>2904</v>
      </c>
      <c r="K433" t="s">
        <v>1690</v>
      </c>
      <c r="L433">
        <v>2500</v>
      </c>
      <c r="M433" t="s">
        <v>1551</v>
      </c>
      <c r="N433">
        <v>2502</v>
      </c>
      <c r="O433" t="s">
        <v>2379</v>
      </c>
      <c r="P433" t="s">
        <v>3108</v>
      </c>
      <c r="Q433" t="s">
        <v>3249</v>
      </c>
      <c r="R433" t="s">
        <v>3249</v>
      </c>
      <c r="S433" t="s">
        <v>810</v>
      </c>
      <c r="T433" t="s">
        <v>2754</v>
      </c>
      <c r="U433" t="s">
        <v>3250</v>
      </c>
      <c r="V433" t="s">
        <v>3250</v>
      </c>
      <c r="W433" t="s">
        <v>3250</v>
      </c>
      <c r="X433" t="s">
        <v>3250</v>
      </c>
      <c r="Y433" t="s">
        <v>3250</v>
      </c>
      <c r="Z433" t="s">
        <v>3250</v>
      </c>
      <c r="AA433" t="s">
        <v>3108</v>
      </c>
      <c r="AB433" t="s">
        <v>3108</v>
      </c>
      <c r="AC433" t="s">
        <v>3250</v>
      </c>
      <c r="AD433" t="s">
        <v>3250</v>
      </c>
      <c r="AE433" t="s">
        <v>3250</v>
      </c>
      <c r="AF433" t="s">
        <v>3250</v>
      </c>
      <c r="AG433" t="s">
        <v>3250</v>
      </c>
      <c r="AH433" t="s">
        <v>3250</v>
      </c>
      <c r="AI433" t="s">
        <v>3250</v>
      </c>
      <c r="AJ433" t="s">
        <v>3250</v>
      </c>
      <c r="AL433" t="s">
        <v>3250</v>
      </c>
      <c r="AM433" t="s">
        <v>3250</v>
      </c>
      <c r="AN433" t="s">
        <v>3250</v>
      </c>
      <c r="AO433" t="s">
        <v>3250</v>
      </c>
      <c r="AS433" t="s">
        <v>3250</v>
      </c>
      <c r="AT433" t="s">
        <v>3250</v>
      </c>
      <c r="AU433" t="s">
        <v>3250</v>
      </c>
      <c r="AV433" t="s">
        <v>3250</v>
      </c>
      <c r="AW433" t="s">
        <v>3250</v>
      </c>
      <c r="AX433" t="s">
        <v>3250</v>
      </c>
      <c r="AY433" t="s">
        <v>3250</v>
      </c>
      <c r="AZ433" t="s">
        <v>3250</v>
      </c>
      <c r="BA433" t="s">
        <v>3250</v>
      </c>
      <c r="BB433" t="s">
        <v>3250</v>
      </c>
      <c r="BC433" t="s">
        <v>3250</v>
      </c>
      <c r="BE433" t="s">
        <v>3250</v>
      </c>
      <c r="BF433" t="s">
        <v>3250</v>
      </c>
      <c r="BG433" t="s">
        <v>3250</v>
      </c>
      <c r="BH433" t="s">
        <v>3250</v>
      </c>
      <c r="BI433" t="s">
        <v>3250</v>
      </c>
      <c r="BK433" t="s">
        <v>3250</v>
      </c>
      <c r="BL433" t="s">
        <v>3250</v>
      </c>
      <c r="BM433" t="s">
        <v>3250</v>
      </c>
      <c r="BN433" t="s">
        <v>3250</v>
      </c>
      <c r="BP433">
        <v>15</v>
      </c>
      <c r="BQ433">
        <v>151</v>
      </c>
      <c r="BR433" t="s">
        <v>2379</v>
      </c>
      <c r="BS433" t="s">
        <v>1551</v>
      </c>
      <c r="BV433">
        <v>0</v>
      </c>
      <c r="BW433">
        <v>0</v>
      </c>
      <c r="BX433">
        <v>5005</v>
      </c>
      <c r="BY433">
        <v>0</v>
      </c>
      <c r="BZ433">
        <v>0</v>
      </c>
      <c r="CA433">
        <v>0</v>
      </c>
      <c r="CB433">
        <v>0</v>
      </c>
      <c r="CC433">
        <v>0</v>
      </c>
      <c r="CD433">
        <v>0</v>
      </c>
      <c r="CE433" t="s">
        <v>3108</v>
      </c>
      <c r="CF433" t="s">
        <v>3108</v>
      </c>
      <c r="CG433" t="s">
        <v>3108</v>
      </c>
      <c r="CH433" t="s">
        <v>3108</v>
      </c>
    </row>
    <row r="434" spans="1:86" x14ac:dyDescent="0.2">
      <c r="A434" t="s">
        <v>3991</v>
      </c>
      <c r="B434" t="s">
        <v>3991</v>
      </c>
      <c r="C434">
        <v>40722</v>
      </c>
      <c r="D434">
        <v>182</v>
      </c>
      <c r="E434" t="s">
        <v>3992</v>
      </c>
      <c r="F434">
        <v>2900</v>
      </c>
      <c r="G434" t="s">
        <v>822</v>
      </c>
      <c r="H434" t="s">
        <v>3108</v>
      </c>
      <c r="I434" t="s">
        <v>3108</v>
      </c>
      <c r="J434">
        <v>2904</v>
      </c>
      <c r="K434" t="s">
        <v>1690</v>
      </c>
      <c r="L434">
        <v>2500</v>
      </c>
      <c r="M434" t="s">
        <v>1551</v>
      </c>
      <c r="N434">
        <v>2502</v>
      </c>
      <c r="O434" t="s">
        <v>2379</v>
      </c>
      <c r="P434" t="s">
        <v>3108</v>
      </c>
      <c r="Q434" t="s">
        <v>3249</v>
      </c>
      <c r="R434" t="s">
        <v>3249</v>
      </c>
      <c r="S434" t="s">
        <v>810</v>
      </c>
      <c r="T434" t="s">
        <v>2754</v>
      </c>
      <c r="U434" t="s">
        <v>3250</v>
      </c>
      <c r="V434" t="s">
        <v>3250</v>
      </c>
      <c r="W434" t="s">
        <v>3250</v>
      </c>
      <c r="X434" t="s">
        <v>3250</v>
      </c>
      <c r="Y434" t="s">
        <v>3250</v>
      </c>
      <c r="Z434" t="s">
        <v>3250</v>
      </c>
      <c r="AA434" t="s">
        <v>3108</v>
      </c>
      <c r="AB434" t="s">
        <v>3108</v>
      </c>
      <c r="AC434" t="s">
        <v>3250</v>
      </c>
      <c r="AD434" t="s">
        <v>3250</v>
      </c>
      <c r="AE434" t="s">
        <v>3250</v>
      </c>
      <c r="AF434" t="s">
        <v>3250</v>
      </c>
      <c r="AG434" t="s">
        <v>3250</v>
      </c>
      <c r="AH434" t="s">
        <v>3250</v>
      </c>
      <c r="AI434" t="s">
        <v>3250</v>
      </c>
      <c r="AJ434" t="s">
        <v>3250</v>
      </c>
      <c r="AL434" t="s">
        <v>3250</v>
      </c>
      <c r="AM434" t="s">
        <v>3250</v>
      </c>
      <c r="AN434" t="s">
        <v>3250</v>
      </c>
      <c r="AO434" t="s">
        <v>3250</v>
      </c>
      <c r="AS434" t="s">
        <v>3250</v>
      </c>
      <c r="AT434" t="s">
        <v>3250</v>
      </c>
      <c r="AU434" t="s">
        <v>3250</v>
      </c>
      <c r="AV434" t="s">
        <v>3250</v>
      </c>
      <c r="AW434" t="s">
        <v>3250</v>
      </c>
      <c r="AX434" t="s">
        <v>3250</v>
      </c>
      <c r="AY434" t="s">
        <v>3250</v>
      </c>
      <c r="AZ434" t="s">
        <v>3250</v>
      </c>
      <c r="BA434" t="s">
        <v>3250</v>
      </c>
      <c r="BB434" t="s">
        <v>3250</v>
      </c>
      <c r="BC434" t="s">
        <v>3250</v>
      </c>
      <c r="BE434" t="s">
        <v>3250</v>
      </c>
      <c r="BF434" t="s">
        <v>3250</v>
      </c>
      <c r="BG434" t="s">
        <v>3250</v>
      </c>
      <c r="BH434" t="s">
        <v>3250</v>
      </c>
      <c r="BI434" t="s">
        <v>3250</v>
      </c>
      <c r="BK434" t="s">
        <v>3250</v>
      </c>
      <c r="BL434" t="s">
        <v>3250</v>
      </c>
      <c r="BM434" t="s">
        <v>3250</v>
      </c>
      <c r="BN434" t="s">
        <v>3250</v>
      </c>
      <c r="BP434">
        <v>15</v>
      </c>
      <c r="BQ434">
        <v>151</v>
      </c>
      <c r="BR434" t="s">
        <v>2379</v>
      </c>
      <c r="BS434" t="s">
        <v>1551</v>
      </c>
      <c r="BV434">
        <v>0</v>
      </c>
      <c r="BW434">
        <v>0</v>
      </c>
      <c r="BX434">
        <v>49080</v>
      </c>
      <c r="BY434">
        <v>0</v>
      </c>
      <c r="BZ434">
        <v>0</v>
      </c>
      <c r="CA434">
        <v>0</v>
      </c>
      <c r="CB434">
        <v>0</v>
      </c>
      <c r="CC434">
        <v>0</v>
      </c>
      <c r="CD434">
        <v>0</v>
      </c>
      <c r="CE434" t="s">
        <v>3108</v>
      </c>
      <c r="CF434" t="s">
        <v>3108</v>
      </c>
      <c r="CG434" t="s">
        <v>3108</v>
      </c>
      <c r="CH434" t="s">
        <v>3108</v>
      </c>
    </row>
    <row r="435" spans="1:86" x14ac:dyDescent="0.2">
      <c r="A435" t="s">
        <v>3993</v>
      </c>
      <c r="B435" t="s">
        <v>3993</v>
      </c>
      <c r="C435">
        <v>40723</v>
      </c>
      <c r="D435">
        <v>183</v>
      </c>
      <c r="E435" t="s">
        <v>3994</v>
      </c>
      <c r="F435">
        <v>2600</v>
      </c>
      <c r="G435" t="s">
        <v>1334</v>
      </c>
      <c r="H435">
        <v>2600</v>
      </c>
      <c r="I435" t="s">
        <v>1334</v>
      </c>
      <c r="J435" t="s">
        <v>3250</v>
      </c>
      <c r="K435" t="s">
        <v>3250</v>
      </c>
      <c r="L435">
        <v>2500</v>
      </c>
      <c r="M435" t="s">
        <v>1551</v>
      </c>
      <c r="N435">
        <v>2502</v>
      </c>
      <c r="O435" t="s">
        <v>2379</v>
      </c>
      <c r="P435" t="s">
        <v>3108</v>
      </c>
      <c r="Q435" t="s">
        <v>3249</v>
      </c>
      <c r="R435" t="s">
        <v>3249</v>
      </c>
      <c r="S435" t="s">
        <v>810</v>
      </c>
      <c r="T435" t="s">
        <v>2754</v>
      </c>
      <c r="U435" t="s">
        <v>3250</v>
      </c>
      <c r="V435" t="s">
        <v>3250</v>
      </c>
      <c r="W435" t="s">
        <v>3250</v>
      </c>
      <c r="X435" t="s">
        <v>3250</v>
      </c>
      <c r="Y435" t="s">
        <v>3250</v>
      </c>
      <c r="Z435" t="s">
        <v>3250</v>
      </c>
      <c r="AA435" t="s">
        <v>3108</v>
      </c>
      <c r="AB435" t="s">
        <v>3108</v>
      </c>
      <c r="AC435" t="s">
        <v>3250</v>
      </c>
      <c r="AD435" t="s">
        <v>3250</v>
      </c>
      <c r="AE435" t="s">
        <v>3250</v>
      </c>
      <c r="AF435" t="s">
        <v>3250</v>
      </c>
      <c r="AG435" t="s">
        <v>3250</v>
      </c>
      <c r="AH435" t="s">
        <v>3250</v>
      </c>
      <c r="AI435" t="s">
        <v>3250</v>
      </c>
      <c r="AJ435" t="s">
        <v>3250</v>
      </c>
      <c r="AL435" t="s">
        <v>3250</v>
      </c>
      <c r="AM435" t="s">
        <v>3250</v>
      </c>
      <c r="AN435" t="s">
        <v>3250</v>
      </c>
      <c r="AO435" t="s">
        <v>3250</v>
      </c>
      <c r="AS435" t="s">
        <v>3250</v>
      </c>
      <c r="AT435" t="s">
        <v>3250</v>
      </c>
      <c r="AU435" t="s">
        <v>3250</v>
      </c>
      <c r="AV435" t="s">
        <v>3250</v>
      </c>
      <c r="AW435" t="s">
        <v>3250</v>
      </c>
      <c r="AX435" t="s">
        <v>3250</v>
      </c>
      <c r="AY435" t="s">
        <v>3250</v>
      </c>
      <c r="AZ435" t="s">
        <v>3250</v>
      </c>
      <c r="BA435" t="s">
        <v>3250</v>
      </c>
      <c r="BB435" t="s">
        <v>3250</v>
      </c>
      <c r="BC435" t="s">
        <v>3250</v>
      </c>
      <c r="BE435" t="s">
        <v>3250</v>
      </c>
      <c r="BF435" t="s">
        <v>3250</v>
      </c>
      <c r="BG435" t="s">
        <v>3250</v>
      </c>
      <c r="BH435" t="s">
        <v>3250</v>
      </c>
      <c r="BI435" t="s">
        <v>3250</v>
      </c>
      <c r="BK435" t="s">
        <v>3250</v>
      </c>
      <c r="BL435" t="s">
        <v>3250</v>
      </c>
      <c r="BM435" t="s">
        <v>3250</v>
      </c>
      <c r="BN435" t="s">
        <v>3250</v>
      </c>
      <c r="BP435">
        <v>15</v>
      </c>
      <c r="BQ435">
        <v>151</v>
      </c>
      <c r="BR435" t="s">
        <v>2379</v>
      </c>
      <c r="BS435" t="s">
        <v>1551</v>
      </c>
      <c r="BV435">
        <v>0</v>
      </c>
      <c r="BW435">
        <v>0</v>
      </c>
      <c r="BX435">
        <v>-2400</v>
      </c>
      <c r="BY435">
        <v>0</v>
      </c>
      <c r="BZ435">
        <v>0</v>
      </c>
      <c r="CA435">
        <v>0</v>
      </c>
      <c r="CB435">
        <v>0</v>
      </c>
      <c r="CC435">
        <v>0</v>
      </c>
      <c r="CD435">
        <v>0</v>
      </c>
      <c r="CE435" t="s">
        <v>3108</v>
      </c>
      <c r="CF435" t="s">
        <v>3108</v>
      </c>
      <c r="CG435" t="s">
        <v>3108</v>
      </c>
      <c r="CH435" t="s">
        <v>3108</v>
      </c>
    </row>
    <row r="436" spans="1:86" x14ac:dyDescent="0.2">
      <c r="A436" t="s">
        <v>3995</v>
      </c>
      <c r="B436" t="s">
        <v>3995</v>
      </c>
      <c r="C436">
        <v>40724</v>
      </c>
      <c r="D436">
        <v>184</v>
      </c>
      <c r="E436" t="s">
        <v>3996</v>
      </c>
      <c r="F436">
        <v>2700</v>
      </c>
      <c r="G436" t="s">
        <v>411</v>
      </c>
      <c r="H436" t="s">
        <v>3997</v>
      </c>
      <c r="I436" t="s">
        <v>2533</v>
      </c>
      <c r="J436">
        <v>2703</v>
      </c>
      <c r="K436" t="s">
        <v>2533</v>
      </c>
      <c r="L436">
        <v>2500</v>
      </c>
      <c r="M436" t="s">
        <v>1551</v>
      </c>
      <c r="N436">
        <v>2502</v>
      </c>
      <c r="O436" t="s">
        <v>2379</v>
      </c>
      <c r="P436" t="s">
        <v>3108</v>
      </c>
      <c r="Q436" t="s">
        <v>3249</v>
      </c>
      <c r="R436" t="s">
        <v>3249</v>
      </c>
      <c r="S436" t="s">
        <v>810</v>
      </c>
      <c r="T436" t="s">
        <v>2754</v>
      </c>
      <c r="U436" t="s">
        <v>3250</v>
      </c>
      <c r="V436" t="s">
        <v>3250</v>
      </c>
      <c r="W436" t="s">
        <v>3250</v>
      </c>
      <c r="X436" t="s">
        <v>3250</v>
      </c>
      <c r="Y436" t="s">
        <v>3250</v>
      </c>
      <c r="Z436" t="s">
        <v>3250</v>
      </c>
      <c r="AA436" t="s">
        <v>3108</v>
      </c>
      <c r="AB436" t="s">
        <v>3108</v>
      </c>
      <c r="AC436" t="s">
        <v>3250</v>
      </c>
      <c r="AD436" t="s">
        <v>3250</v>
      </c>
      <c r="AE436" t="s">
        <v>3250</v>
      </c>
      <c r="AF436" t="s">
        <v>3250</v>
      </c>
      <c r="AG436" t="s">
        <v>3250</v>
      </c>
      <c r="AH436" t="s">
        <v>3250</v>
      </c>
      <c r="AI436" t="s">
        <v>3250</v>
      </c>
      <c r="AJ436" t="s">
        <v>3250</v>
      </c>
      <c r="AL436" t="s">
        <v>3250</v>
      </c>
      <c r="AM436" t="s">
        <v>3250</v>
      </c>
      <c r="AN436" t="s">
        <v>3250</v>
      </c>
      <c r="AO436" t="s">
        <v>3250</v>
      </c>
      <c r="AS436" t="s">
        <v>3250</v>
      </c>
      <c r="AT436" t="s">
        <v>3250</v>
      </c>
      <c r="AU436" t="s">
        <v>3250</v>
      </c>
      <c r="AV436" t="s">
        <v>3250</v>
      </c>
      <c r="AW436" t="s">
        <v>3250</v>
      </c>
      <c r="AX436" t="s">
        <v>3250</v>
      </c>
      <c r="AY436" t="s">
        <v>3250</v>
      </c>
      <c r="AZ436" t="s">
        <v>3250</v>
      </c>
      <c r="BA436" t="s">
        <v>3250</v>
      </c>
      <c r="BB436" t="s">
        <v>3250</v>
      </c>
      <c r="BC436" t="s">
        <v>3250</v>
      </c>
      <c r="BE436" t="s">
        <v>3250</v>
      </c>
      <c r="BF436" t="s">
        <v>3250</v>
      </c>
      <c r="BG436" t="s">
        <v>3250</v>
      </c>
      <c r="BH436" t="s">
        <v>3250</v>
      </c>
      <c r="BI436" t="s">
        <v>3250</v>
      </c>
      <c r="BK436" t="s">
        <v>3250</v>
      </c>
      <c r="BL436" t="s">
        <v>3250</v>
      </c>
      <c r="BM436" t="s">
        <v>3250</v>
      </c>
      <c r="BN436" t="s">
        <v>3250</v>
      </c>
      <c r="BP436">
        <v>15</v>
      </c>
      <c r="BQ436">
        <v>151</v>
      </c>
      <c r="BR436" t="s">
        <v>2379</v>
      </c>
      <c r="BS436" t="s">
        <v>1551</v>
      </c>
      <c r="BV436">
        <v>0</v>
      </c>
      <c r="BW436">
        <v>0</v>
      </c>
      <c r="BX436">
        <v>39</v>
      </c>
      <c r="BY436">
        <v>0</v>
      </c>
      <c r="BZ436">
        <v>0</v>
      </c>
      <c r="CA436">
        <v>0</v>
      </c>
      <c r="CB436">
        <v>0</v>
      </c>
      <c r="CC436">
        <v>0</v>
      </c>
      <c r="CD436">
        <v>0</v>
      </c>
      <c r="CE436" t="s">
        <v>3108</v>
      </c>
      <c r="CF436" t="s">
        <v>3108</v>
      </c>
      <c r="CG436" t="s">
        <v>3108</v>
      </c>
      <c r="CH436" t="s">
        <v>3108</v>
      </c>
    </row>
    <row r="437" spans="1:86" x14ac:dyDescent="0.2">
      <c r="A437" t="s">
        <v>3998</v>
      </c>
      <c r="B437" t="s">
        <v>3998</v>
      </c>
      <c r="C437">
        <v>40725</v>
      </c>
      <c r="D437">
        <v>185</v>
      </c>
      <c r="E437" t="s">
        <v>3999</v>
      </c>
      <c r="F437">
        <v>2700</v>
      </c>
      <c r="G437" t="s">
        <v>411</v>
      </c>
      <c r="H437" t="s">
        <v>3997</v>
      </c>
      <c r="I437" t="s">
        <v>2533</v>
      </c>
      <c r="J437">
        <v>2703</v>
      </c>
      <c r="K437" t="s">
        <v>2533</v>
      </c>
      <c r="L437">
        <v>2500</v>
      </c>
      <c r="M437" t="s">
        <v>1551</v>
      </c>
      <c r="N437">
        <v>2502</v>
      </c>
      <c r="O437" t="s">
        <v>2379</v>
      </c>
      <c r="P437" t="s">
        <v>3108</v>
      </c>
      <c r="Q437" t="s">
        <v>3249</v>
      </c>
      <c r="R437" t="s">
        <v>3249</v>
      </c>
      <c r="S437" t="s">
        <v>810</v>
      </c>
      <c r="T437" t="s">
        <v>2754</v>
      </c>
      <c r="U437" t="s">
        <v>3250</v>
      </c>
      <c r="V437" t="s">
        <v>3250</v>
      </c>
      <c r="W437" t="s">
        <v>3250</v>
      </c>
      <c r="X437" t="s">
        <v>3250</v>
      </c>
      <c r="Y437" t="s">
        <v>3250</v>
      </c>
      <c r="Z437" t="s">
        <v>3250</v>
      </c>
      <c r="AA437" t="s">
        <v>3108</v>
      </c>
      <c r="AB437" t="s">
        <v>3108</v>
      </c>
      <c r="AC437" t="s">
        <v>3250</v>
      </c>
      <c r="AD437" t="s">
        <v>3250</v>
      </c>
      <c r="AE437" t="s">
        <v>3250</v>
      </c>
      <c r="AF437" t="s">
        <v>3250</v>
      </c>
      <c r="AG437" t="s">
        <v>3250</v>
      </c>
      <c r="AH437" t="s">
        <v>3250</v>
      </c>
      <c r="AI437" t="s">
        <v>3250</v>
      </c>
      <c r="AJ437" t="s">
        <v>3250</v>
      </c>
      <c r="AL437" t="s">
        <v>3250</v>
      </c>
      <c r="AM437" t="s">
        <v>3250</v>
      </c>
      <c r="AN437" t="s">
        <v>3250</v>
      </c>
      <c r="AO437" t="s">
        <v>3250</v>
      </c>
      <c r="AS437" t="s">
        <v>3250</v>
      </c>
      <c r="AT437" t="s">
        <v>3250</v>
      </c>
      <c r="AU437" t="s">
        <v>3250</v>
      </c>
      <c r="AV437" t="s">
        <v>3250</v>
      </c>
      <c r="AW437" t="s">
        <v>3250</v>
      </c>
      <c r="AX437" t="s">
        <v>3250</v>
      </c>
      <c r="AY437" t="s">
        <v>3250</v>
      </c>
      <c r="AZ437" t="s">
        <v>3250</v>
      </c>
      <c r="BA437" t="s">
        <v>3250</v>
      </c>
      <c r="BB437" t="s">
        <v>3250</v>
      </c>
      <c r="BC437" t="s">
        <v>3250</v>
      </c>
      <c r="BE437" t="s">
        <v>3250</v>
      </c>
      <c r="BF437" t="s">
        <v>3250</v>
      </c>
      <c r="BG437" t="s">
        <v>3250</v>
      </c>
      <c r="BH437" t="s">
        <v>3250</v>
      </c>
      <c r="BI437" t="s">
        <v>3250</v>
      </c>
      <c r="BK437" t="s">
        <v>3250</v>
      </c>
      <c r="BL437" t="s">
        <v>3250</v>
      </c>
      <c r="BM437" t="s">
        <v>3250</v>
      </c>
      <c r="BN437" t="s">
        <v>3250</v>
      </c>
      <c r="BP437">
        <v>15</v>
      </c>
      <c r="BQ437">
        <v>151</v>
      </c>
      <c r="BR437" t="s">
        <v>2379</v>
      </c>
      <c r="BS437" t="s">
        <v>1551</v>
      </c>
      <c r="BV437">
        <v>0</v>
      </c>
      <c r="BW437">
        <v>0</v>
      </c>
      <c r="BX437">
        <v>8400</v>
      </c>
      <c r="BY437">
        <v>0</v>
      </c>
      <c r="BZ437">
        <v>0</v>
      </c>
      <c r="CA437">
        <v>0</v>
      </c>
      <c r="CB437">
        <v>0</v>
      </c>
      <c r="CC437">
        <v>0</v>
      </c>
      <c r="CD437">
        <v>0</v>
      </c>
      <c r="CE437" t="s">
        <v>3108</v>
      </c>
      <c r="CF437" t="s">
        <v>3108</v>
      </c>
      <c r="CG437" t="s">
        <v>3108</v>
      </c>
      <c r="CH437" t="s">
        <v>3108</v>
      </c>
    </row>
    <row r="438" spans="1:86" x14ac:dyDescent="0.2">
      <c r="A438" t="s">
        <v>4000</v>
      </c>
      <c r="B438" t="s">
        <v>4000</v>
      </c>
      <c r="C438">
        <v>40726</v>
      </c>
      <c r="D438">
        <v>180</v>
      </c>
      <c r="E438" t="s">
        <v>4001</v>
      </c>
      <c r="F438">
        <v>2900</v>
      </c>
      <c r="G438" t="s">
        <v>822</v>
      </c>
      <c r="H438" t="s">
        <v>3108</v>
      </c>
      <c r="I438" t="s">
        <v>3108</v>
      </c>
      <c r="J438">
        <v>2904</v>
      </c>
      <c r="K438" t="s">
        <v>1690</v>
      </c>
      <c r="L438">
        <v>2500</v>
      </c>
      <c r="M438" t="s">
        <v>1551</v>
      </c>
      <c r="N438">
        <v>2502</v>
      </c>
      <c r="O438" t="s">
        <v>2379</v>
      </c>
      <c r="P438" t="s">
        <v>3108</v>
      </c>
      <c r="Q438" t="s">
        <v>3249</v>
      </c>
      <c r="R438" t="s">
        <v>3249</v>
      </c>
      <c r="S438" t="s">
        <v>810</v>
      </c>
      <c r="T438" t="s">
        <v>2754</v>
      </c>
      <c r="U438" t="s">
        <v>3250</v>
      </c>
      <c r="V438" t="s">
        <v>3250</v>
      </c>
      <c r="W438" t="s">
        <v>3250</v>
      </c>
      <c r="X438" t="s">
        <v>3250</v>
      </c>
      <c r="Y438" t="s">
        <v>3250</v>
      </c>
      <c r="Z438" t="s">
        <v>3250</v>
      </c>
      <c r="AA438" t="s">
        <v>3108</v>
      </c>
      <c r="AB438" t="s">
        <v>3108</v>
      </c>
      <c r="AC438" t="s">
        <v>3250</v>
      </c>
      <c r="AD438" t="s">
        <v>3250</v>
      </c>
      <c r="AE438" t="s">
        <v>3250</v>
      </c>
      <c r="AF438" t="s">
        <v>3250</v>
      </c>
      <c r="AG438" t="s">
        <v>3250</v>
      </c>
      <c r="AH438" t="s">
        <v>3250</v>
      </c>
      <c r="AI438" t="s">
        <v>3250</v>
      </c>
      <c r="AJ438" t="s">
        <v>3250</v>
      </c>
      <c r="AL438" t="s">
        <v>3250</v>
      </c>
      <c r="AM438" t="s">
        <v>3250</v>
      </c>
      <c r="AN438" t="s">
        <v>3250</v>
      </c>
      <c r="AO438" t="s">
        <v>3250</v>
      </c>
      <c r="AS438" t="s">
        <v>3250</v>
      </c>
      <c r="AT438" t="s">
        <v>3250</v>
      </c>
      <c r="AU438" t="s">
        <v>3250</v>
      </c>
      <c r="AV438" t="s">
        <v>3250</v>
      </c>
      <c r="AW438" t="s">
        <v>3250</v>
      </c>
      <c r="AX438" t="s">
        <v>3250</v>
      </c>
      <c r="AY438" t="s">
        <v>3250</v>
      </c>
      <c r="AZ438" t="s">
        <v>3250</v>
      </c>
      <c r="BA438" t="s">
        <v>3250</v>
      </c>
      <c r="BB438" t="s">
        <v>3250</v>
      </c>
      <c r="BC438" t="s">
        <v>3250</v>
      </c>
      <c r="BE438" t="s">
        <v>3250</v>
      </c>
      <c r="BF438" t="s">
        <v>3250</v>
      </c>
      <c r="BG438" t="s">
        <v>3250</v>
      </c>
      <c r="BH438" t="s">
        <v>3250</v>
      </c>
      <c r="BI438" t="s">
        <v>3250</v>
      </c>
      <c r="BK438" t="s">
        <v>3250</v>
      </c>
      <c r="BL438" t="s">
        <v>3250</v>
      </c>
      <c r="BM438" t="s">
        <v>3250</v>
      </c>
      <c r="BN438" t="s">
        <v>3250</v>
      </c>
      <c r="BP438">
        <v>15</v>
      </c>
      <c r="BQ438">
        <v>151</v>
      </c>
      <c r="BR438" t="s">
        <v>2379</v>
      </c>
      <c r="BS438" t="s">
        <v>1551</v>
      </c>
      <c r="BV438">
        <v>0</v>
      </c>
      <c r="BW438">
        <v>0</v>
      </c>
      <c r="BX438">
        <v>0</v>
      </c>
      <c r="BY438">
        <v>0</v>
      </c>
      <c r="BZ438">
        <v>0</v>
      </c>
      <c r="CA438">
        <v>0</v>
      </c>
      <c r="CB438">
        <v>0</v>
      </c>
      <c r="CC438">
        <v>0</v>
      </c>
      <c r="CD438">
        <v>0</v>
      </c>
      <c r="CE438" t="s">
        <v>3108</v>
      </c>
      <c r="CF438" t="s">
        <v>3108</v>
      </c>
      <c r="CG438" t="s">
        <v>3108</v>
      </c>
      <c r="CH438" t="s">
        <v>3108</v>
      </c>
    </row>
    <row r="439" spans="1:86" x14ac:dyDescent="0.2">
      <c r="A439" t="s">
        <v>4002</v>
      </c>
      <c r="B439" t="s">
        <v>4002</v>
      </c>
      <c r="C439">
        <v>40727</v>
      </c>
      <c r="D439">
        <v>177</v>
      </c>
      <c r="E439" t="s">
        <v>4003</v>
      </c>
      <c r="F439">
        <v>2700</v>
      </c>
      <c r="G439" t="s">
        <v>411</v>
      </c>
      <c r="H439" t="s">
        <v>4004</v>
      </c>
      <c r="I439" t="s">
        <v>2531</v>
      </c>
      <c r="J439">
        <v>2701</v>
      </c>
      <c r="K439" t="s">
        <v>2531</v>
      </c>
      <c r="L439">
        <v>2500</v>
      </c>
      <c r="M439" t="s">
        <v>1551</v>
      </c>
      <c r="N439">
        <v>2502</v>
      </c>
      <c r="O439" t="s">
        <v>2379</v>
      </c>
      <c r="P439" t="s">
        <v>3108</v>
      </c>
      <c r="Q439" t="s">
        <v>3249</v>
      </c>
      <c r="R439" t="s">
        <v>3249</v>
      </c>
      <c r="S439" t="s">
        <v>810</v>
      </c>
      <c r="T439" t="s">
        <v>2754</v>
      </c>
      <c r="U439" t="s">
        <v>3250</v>
      </c>
      <c r="V439" t="s">
        <v>3250</v>
      </c>
      <c r="W439" t="s">
        <v>3250</v>
      </c>
      <c r="X439" t="s">
        <v>3250</v>
      </c>
      <c r="Y439" t="s">
        <v>3250</v>
      </c>
      <c r="Z439" t="s">
        <v>3250</v>
      </c>
      <c r="AA439" t="s">
        <v>3108</v>
      </c>
      <c r="AB439" t="s">
        <v>3108</v>
      </c>
      <c r="AC439" t="s">
        <v>3250</v>
      </c>
      <c r="AD439" t="s">
        <v>3250</v>
      </c>
      <c r="AE439" t="s">
        <v>3250</v>
      </c>
      <c r="AF439" t="s">
        <v>3250</v>
      </c>
      <c r="AG439" t="s">
        <v>3250</v>
      </c>
      <c r="AH439" t="s">
        <v>3250</v>
      </c>
      <c r="AI439" t="s">
        <v>3250</v>
      </c>
      <c r="AJ439" t="s">
        <v>3250</v>
      </c>
      <c r="AL439" t="s">
        <v>3250</v>
      </c>
      <c r="AM439" t="s">
        <v>3250</v>
      </c>
      <c r="AN439" t="s">
        <v>3250</v>
      </c>
      <c r="AO439" t="s">
        <v>3250</v>
      </c>
      <c r="AS439" t="s">
        <v>3250</v>
      </c>
      <c r="AT439" t="s">
        <v>3250</v>
      </c>
      <c r="AU439" t="s">
        <v>3250</v>
      </c>
      <c r="AV439" t="s">
        <v>3250</v>
      </c>
      <c r="AW439" t="s">
        <v>3250</v>
      </c>
      <c r="AX439" t="s">
        <v>3250</v>
      </c>
      <c r="AY439" t="s">
        <v>3250</v>
      </c>
      <c r="AZ439" t="s">
        <v>3250</v>
      </c>
      <c r="BA439" t="s">
        <v>3250</v>
      </c>
      <c r="BB439" t="s">
        <v>3250</v>
      </c>
      <c r="BC439" t="s">
        <v>3250</v>
      </c>
      <c r="BE439" t="s">
        <v>3250</v>
      </c>
      <c r="BF439" t="s">
        <v>3250</v>
      </c>
      <c r="BG439" t="s">
        <v>3250</v>
      </c>
      <c r="BH439" t="s">
        <v>3250</v>
      </c>
      <c r="BI439" t="s">
        <v>3250</v>
      </c>
      <c r="BK439" t="s">
        <v>3250</v>
      </c>
      <c r="BL439" t="s">
        <v>3250</v>
      </c>
      <c r="BM439" t="s">
        <v>3250</v>
      </c>
      <c r="BN439" t="s">
        <v>3250</v>
      </c>
      <c r="BP439">
        <v>15</v>
      </c>
      <c r="BQ439">
        <v>151</v>
      </c>
      <c r="BR439" t="s">
        <v>2379</v>
      </c>
      <c r="BS439" t="s">
        <v>1551</v>
      </c>
      <c r="BV439">
        <v>0</v>
      </c>
      <c r="BW439">
        <v>0</v>
      </c>
      <c r="BX439">
        <v>5100</v>
      </c>
      <c r="BY439">
        <v>0</v>
      </c>
      <c r="BZ439">
        <v>0</v>
      </c>
      <c r="CA439">
        <v>0</v>
      </c>
      <c r="CB439">
        <v>0</v>
      </c>
      <c r="CC439">
        <v>0</v>
      </c>
      <c r="CD439">
        <v>0</v>
      </c>
      <c r="CE439" t="s">
        <v>3108</v>
      </c>
      <c r="CF439" t="s">
        <v>3108</v>
      </c>
      <c r="CG439" t="s">
        <v>3108</v>
      </c>
      <c r="CH439" t="s">
        <v>3108</v>
      </c>
    </row>
    <row r="440" spans="1:86" x14ac:dyDescent="0.2">
      <c r="A440" t="s">
        <v>4005</v>
      </c>
      <c r="B440" t="s">
        <v>4005</v>
      </c>
      <c r="C440">
        <v>40728</v>
      </c>
      <c r="D440">
        <v>178</v>
      </c>
      <c r="E440" t="s">
        <v>4006</v>
      </c>
      <c r="F440">
        <v>2700</v>
      </c>
      <c r="G440" t="s">
        <v>411</v>
      </c>
      <c r="H440" t="s">
        <v>4004</v>
      </c>
      <c r="I440" t="s">
        <v>2531</v>
      </c>
      <c r="J440">
        <v>2701</v>
      </c>
      <c r="K440" t="s">
        <v>2531</v>
      </c>
      <c r="L440">
        <v>2500</v>
      </c>
      <c r="M440" t="s">
        <v>1551</v>
      </c>
      <c r="N440">
        <v>2502</v>
      </c>
      <c r="O440" t="s">
        <v>2379</v>
      </c>
      <c r="P440" t="s">
        <v>3108</v>
      </c>
      <c r="Q440" t="s">
        <v>3249</v>
      </c>
      <c r="R440" t="s">
        <v>3249</v>
      </c>
      <c r="S440" t="s">
        <v>810</v>
      </c>
      <c r="T440" t="s">
        <v>2754</v>
      </c>
      <c r="U440" t="s">
        <v>3250</v>
      </c>
      <c r="V440" t="s">
        <v>3250</v>
      </c>
      <c r="W440" t="s">
        <v>3250</v>
      </c>
      <c r="X440" t="s">
        <v>3250</v>
      </c>
      <c r="Y440" t="s">
        <v>3250</v>
      </c>
      <c r="Z440" t="s">
        <v>3250</v>
      </c>
      <c r="AA440" t="s">
        <v>3108</v>
      </c>
      <c r="AB440" t="s">
        <v>3108</v>
      </c>
      <c r="AC440" t="s">
        <v>3250</v>
      </c>
      <c r="AD440" t="s">
        <v>3250</v>
      </c>
      <c r="AE440" t="s">
        <v>3250</v>
      </c>
      <c r="AF440" t="s">
        <v>3250</v>
      </c>
      <c r="AG440" t="s">
        <v>3250</v>
      </c>
      <c r="AH440" t="s">
        <v>3250</v>
      </c>
      <c r="AI440" t="s">
        <v>3250</v>
      </c>
      <c r="AJ440" t="s">
        <v>3250</v>
      </c>
      <c r="AL440" t="s">
        <v>3250</v>
      </c>
      <c r="AM440" t="s">
        <v>3250</v>
      </c>
      <c r="AN440" t="s">
        <v>3250</v>
      </c>
      <c r="AO440" t="s">
        <v>3250</v>
      </c>
      <c r="AS440" t="s">
        <v>3250</v>
      </c>
      <c r="AT440" t="s">
        <v>3250</v>
      </c>
      <c r="AU440" t="s">
        <v>3250</v>
      </c>
      <c r="AV440" t="s">
        <v>3250</v>
      </c>
      <c r="AW440" t="s">
        <v>3250</v>
      </c>
      <c r="AX440" t="s">
        <v>3250</v>
      </c>
      <c r="AY440" t="s">
        <v>3250</v>
      </c>
      <c r="AZ440" t="s">
        <v>3250</v>
      </c>
      <c r="BA440" t="s">
        <v>3250</v>
      </c>
      <c r="BB440" t="s">
        <v>3250</v>
      </c>
      <c r="BC440" t="s">
        <v>3250</v>
      </c>
      <c r="BE440" t="s">
        <v>3250</v>
      </c>
      <c r="BF440" t="s">
        <v>3250</v>
      </c>
      <c r="BG440" t="s">
        <v>3250</v>
      </c>
      <c r="BH440" t="s">
        <v>3250</v>
      </c>
      <c r="BI440" t="s">
        <v>3250</v>
      </c>
      <c r="BK440" t="s">
        <v>3250</v>
      </c>
      <c r="BL440" t="s">
        <v>3250</v>
      </c>
      <c r="BM440" t="s">
        <v>3250</v>
      </c>
      <c r="BN440" t="s">
        <v>3250</v>
      </c>
      <c r="BP440">
        <v>15</v>
      </c>
      <c r="BQ440">
        <v>151</v>
      </c>
      <c r="BR440" t="s">
        <v>2379</v>
      </c>
      <c r="BS440" t="s">
        <v>1551</v>
      </c>
      <c r="BV440">
        <v>9600</v>
      </c>
      <c r="BW440">
        <v>2700</v>
      </c>
      <c r="BX440">
        <v>13550</v>
      </c>
      <c r="BY440">
        <v>30000</v>
      </c>
      <c r="BZ440">
        <v>12480</v>
      </c>
      <c r="CA440">
        <v>10000</v>
      </c>
      <c r="CB440">
        <v>10400</v>
      </c>
      <c r="CC440">
        <v>10816</v>
      </c>
      <c r="CD440">
        <v>42480</v>
      </c>
      <c r="CE440" t="s">
        <v>3108</v>
      </c>
      <c r="CF440" t="s">
        <v>3108</v>
      </c>
      <c r="CG440" t="s">
        <v>3108</v>
      </c>
      <c r="CH440" t="s">
        <v>3108</v>
      </c>
    </row>
    <row r="441" spans="1:86" x14ac:dyDescent="0.2">
      <c r="A441" t="s">
        <v>4007</v>
      </c>
      <c r="B441" t="s">
        <v>4007</v>
      </c>
      <c r="C441">
        <v>40729</v>
      </c>
      <c r="D441">
        <v>179</v>
      </c>
      <c r="E441" t="s">
        <v>4008</v>
      </c>
      <c r="F441">
        <v>2900</v>
      </c>
      <c r="G441" t="s">
        <v>822</v>
      </c>
      <c r="H441" t="s">
        <v>3108</v>
      </c>
      <c r="I441" t="s">
        <v>3108</v>
      </c>
      <c r="J441">
        <v>2904</v>
      </c>
      <c r="K441" t="s">
        <v>1690</v>
      </c>
      <c r="L441">
        <v>2500</v>
      </c>
      <c r="M441" t="s">
        <v>1551</v>
      </c>
      <c r="N441">
        <v>2502</v>
      </c>
      <c r="O441" t="s">
        <v>2379</v>
      </c>
      <c r="P441" t="s">
        <v>3108</v>
      </c>
      <c r="Q441" t="s">
        <v>3249</v>
      </c>
      <c r="R441" t="s">
        <v>3249</v>
      </c>
      <c r="S441" t="s">
        <v>810</v>
      </c>
      <c r="T441" t="s">
        <v>2754</v>
      </c>
      <c r="U441" t="s">
        <v>3250</v>
      </c>
      <c r="V441" t="s">
        <v>3250</v>
      </c>
      <c r="W441" t="s">
        <v>3250</v>
      </c>
      <c r="X441" t="s">
        <v>3250</v>
      </c>
      <c r="Y441" t="s">
        <v>3250</v>
      </c>
      <c r="Z441" t="s">
        <v>3250</v>
      </c>
      <c r="AA441" t="s">
        <v>3108</v>
      </c>
      <c r="AB441" t="s">
        <v>3108</v>
      </c>
      <c r="AC441" t="s">
        <v>3250</v>
      </c>
      <c r="AD441" t="s">
        <v>3250</v>
      </c>
      <c r="AE441" t="s">
        <v>3250</v>
      </c>
      <c r="AF441" t="s">
        <v>3250</v>
      </c>
      <c r="AG441" t="s">
        <v>3250</v>
      </c>
      <c r="AH441" t="s">
        <v>3250</v>
      </c>
      <c r="AI441" t="s">
        <v>3250</v>
      </c>
      <c r="AJ441" t="s">
        <v>3250</v>
      </c>
      <c r="AL441" t="s">
        <v>3250</v>
      </c>
      <c r="AM441" t="s">
        <v>3250</v>
      </c>
      <c r="AN441" t="s">
        <v>3250</v>
      </c>
      <c r="AO441" t="s">
        <v>3250</v>
      </c>
      <c r="AS441" t="s">
        <v>3250</v>
      </c>
      <c r="AT441" t="s">
        <v>3250</v>
      </c>
      <c r="AU441" t="s">
        <v>3250</v>
      </c>
      <c r="AV441" t="s">
        <v>3250</v>
      </c>
      <c r="AW441" t="s">
        <v>3250</v>
      </c>
      <c r="AX441" t="s">
        <v>3250</v>
      </c>
      <c r="AY441" t="s">
        <v>3250</v>
      </c>
      <c r="AZ441" t="s">
        <v>3250</v>
      </c>
      <c r="BA441" t="s">
        <v>3250</v>
      </c>
      <c r="BB441" t="s">
        <v>3250</v>
      </c>
      <c r="BC441" t="s">
        <v>3250</v>
      </c>
      <c r="BE441" t="s">
        <v>3250</v>
      </c>
      <c r="BF441" t="s">
        <v>3250</v>
      </c>
      <c r="BG441" t="s">
        <v>3250</v>
      </c>
      <c r="BH441" t="s">
        <v>3250</v>
      </c>
      <c r="BI441" t="s">
        <v>3250</v>
      </c>
      <c r="BK441" t="s">
        <v>3250</v>
      </c>
      <c r="BL441" t="s">
        <v>3250</v>
      </c>
      <c r="BM441" t="s">
        <v>3250</v>
      </c>
      <c r="BN441" t="s">
        <v>3250</v>
      </c>
      <c r="BP441">
        <v>15</v>
      </c>
      <c r="BQ441">
        <v>151</v>
      </c>
      <c r="BR441" t="s">
        <v>2379</v>
      </c>
      <c r="BS441" t="s">
        <v>1551</v>
      </c>
      <c r="BV441">
        <v>0</v>
      </c>
      <c r="BW441">
        <v>0</v>
      </c>
      <c r="BX441">
        <v>0</v>
      </c>
      <c r="BY441">
        <v>0</v>
      </c>
      <c r="BZ441">
        <v>0</v>
      </c>
      <c r="CA441">
        <v>0</v>
      </c>
      <c r="CB441">
        <v>0</v>
      </c>
      <c r="CC441">
        <v>0</v>
      </c>
      <c r="CD441">
        <v>0</v>
      </c>
      <c r="CE441" t="s">
        <v>3108</v>
      </c>
      <c r="CF441" t="s">
        <v>3108</v>
      </c>
      <c r="CG441" t="s">
        <v>3108</v>
      </c>
      <c r="CH441" t="s">
        <v>3108</v>
      </c>
    </row>
    <row r="442" spans="1:86" x14ac:dyDescent="0.2">
      <c r="A442" t="s">
        <v>4009</v>
      </c>
      <c r="B442" t="s">
        <v>4009</v>
      </c>
      <c r="C442">
        <v>40730</v>
      </c>
      <c r="D442">
        <v>176</v>
      </c>
      <c r="E442" t="s">
        <v>4010</v>
      </c>
      <c r="F442">
        <v>2900</v>
      </c>
      <c r="G442" t="s">
        <v>822</v>
      </c>
      <c r="H442" t="s">
        <v>3108</v>
      </c>
      <c r="I442" t="s">
        <v>3108</v>
      </c>
      <c r="J442">
        <v>2904</v>
      </c>
      <c r="K442" t="s">
        <v>1690</v>
      </c>
      <c r="L442">
        <v>2500</v>
      </c>
      <c r="M442" t="s">
        <v>1551</v>
      </c>
      <c r="N442">
        <v>2502</v>
      </c>
      <c r="O442" t="s">
        <v>2379</v>
      </c>
      <c r="P442" t="s">
        <v>3108</v>
      </c>
      <c r="Q442" t="s">
        <v>3249</v>
      </c>
      <c r="R442" t="s">
        <v>3249</v>
      </c>
      <c r="S442" t="s">
        <v>810</v>
      </c>
      <c r="T442" t="s">
        <v>2754</v>
      </c>
      <c r="U442" t="s">
        <v>3250</v>
      </c>
      <c r="V442" t="s">
        <v>3250</v>
      </c>
      <c r="W442" t="s">
        <v>3250</v>
      </c>
      <c r="X442" t="s">
        <v>3250</v>
      </c>
      <c r="Y442" t="s">
        <v>3250</v>
      </c>
      <c r="Z442" t="s">
        <v>3250</v>
      </c>
      <c r="AA442" t="s">
        <v>3108</v>
      </c>
      <c r="AB442" t="s">
        <v>3108</v>
      </c>
      <c r="AC442" t="s">
        <v>3250</v>
      </c>
      <c r="AD442" t="s">
        <v>3250</v>
      </c>
      <c r="AE442" t="s">
        <v>3250</v>
      </c>
      <c r="AF442" t="s">
        <v>3250</v>
      </c>
      <c r="AG442" t="s">
        <v>3250</v>
      </c>
      <c r="AH442" t="s">
        <v>3250</v>
      </c>
      <c r="AI442" t="s">
        <v>3250</v>
      </c>
      <c r="AJ442" t="s">
        <v>3250</v>
      </c>
      <c r="AL442" t="s">
        <v>3250</v>
      </c>
      <c r="AM442" t="s">
        <v>3250</v>
      </c>
      <c r="AN442" t="s">
        <v>3250</v>
      </c>
      <c r="AO442" t="s">
        <v>3250</v>
      </c>
      <c r="AS442" t="s">
        <v>3250</v>
      </c>
      <c r="AT442" t="s">
        <v>3250</v>
      </c>
      <c r="AU442" t="s">
        <v>3250</v>
      </c>
      <c r="AV442" t="s">
        <v>3250</v>
      </c>
      <c r="AW442" t="s">
        <v>3250</v>
      </c>
      <c r="AX442" t="s">
        <v>3250</v>
      </c>
      <c r="AY442" t="s">
        <v>3250</v>
      </c>
      <c r="AZ442" t="s">
        <v>3250</v>
      </c>
      <c r="BA442" t="s">
        <v>3250</v>
      </c>
      <c r="BB442" t="s">
        <v>3250</v>
      </c>
      <c r="BC442" t="s">
        <v>3250</v>
      </c>
      <c r="BE442" t="s">
        <v>3250</v>
      </c>
      <c r="BF442" t="s">
        <v>3250</v>
      </c>
      <c r="BG442" t="s">
        <v>3250</v>
      </c>
      <c r="BH442" t="s">
        <v>3250</v>
      </c>
      <c r="BI442" t="s">
        <v>3250</v>
      </c>
      <c r="BK442" t="s">
        <v>3250</v>
      </c>
      <c r="BL442" t="s">
        <v>3250</v>
      </c>
      <c r="BM442" t="s">
        <v>3250</v>
      </c>
      <c r="BN442" t="s">
        <v>3250</v>
      </c>
      <c r="BP442">
        <v>15</v>
      </c>
      <c r="BQ442">
        <v>151</v>
      </c>
      <c r="BR442" t="s">
        <v>2379</v>
      </c>
      <c r="BS442" t="s">
        <v>1551</v>
      </c>
      <c r="BV442">
        <v>0</v>
      </c>
      <c r="BW442">
        <v>0</v>
      </c>
      <c r="BX442">
        <v>0</v>
      </c>
      <c r="BY442">
        <v>0</v>
      </c>
      <c r="BZ442">
        <v>0</v>
      </c>
      <c r="CA442">
        <v>0</v>
      </c>
      <c r="CB442">
        <v>0</v>
      </c>
      <c r="CC442">
        <v>0</v>
      </c>
      <c r="CD442">
        <v>0</v>
      </c>
      <c r="CE442" t="s">
        <v>3108</v>
      </c>
      <c r="CF442" t="s">
        <v>3108</v>
      </c>
      <c r="CG442" t="s">
        <v>3108</v>
      </c>
      <c r="CH442" t="s">
        <v>3108</v>
      </c>
    </row>
    <row r="443" spans="1:86" x14ac:dyDescent="0.2">
      <c r="A443" t="s">
        <v>4011</v>
      </c>
      <c r="B443" t="s">
        <v>4011</v>
      </c>
      <c r="C443">
        <v>40731</v>
      </c>
      <c r="D443">
        <v>175</v>
      </c>
      <c r="E443" t="s">
        <v>4001</v>
      </c>
      <c r="F443">
        <v>2900</v>
      </c>
      <c r="G443" t="s">
        <v>822</v>
      </c>
      <c r="H443" t="s">
        <v>3108</v>
      </c>
      <c r="I443" t="s">
        <v>3108</v>
      </c>
      <c r="J443">
        <v>2904</v>
      </c>
      <c r="K443" t="s">
        <v>1690</v>
      </c>
      <c r="L443">
        <v>2500</v>
      </c>
      <c r="M443" t="s">
        <v>1551</v>
      </c>
      <c r="N443">
        <v>2502</v>
      </c>
      <c r="O443" t="s">
        <v>2379</v>
      </c>
      <c r="P443" t="s">
        <v>3108</v>
      </c>
      <c r="Q443" t="s">
        <v>3249</v>
      </c>
      <c r="R443" t="s">
        <v>3249</v>
      </c>
      <c r="S443" t="s">
        <v>810</v>
      </c>
      <c r="T443" t="s">
        <v>2754</v>
      </c>
      <c r="U443" t="s">
        <v>3250</v>
      </c>
      <c r="V443" t="s">
        <v>3250</v>
      </c>
      <c r="W443" t="s">
        <v>3250</v>
      </c>
      <c r="X443" t="s">
        <v>3250</v>
      </c>
      <c r="Y443" t="s">
        <v>3250</v>
      </c>
      <c r="Z443" t="s">
        <v>3250</v>
      </c>
      <c r="AA443" t="s">
        <v>3108</v>
      </c>
      <c r="AB443" t="s">
        <v>3108</v>
      </c>
      <c r="AC443" t="s">
        <v>3250</v>
      </c>
      <c r="AD443" t="s">
        <v>3250</v>
      </c>
      <c r="AE443" t="s">
        <v>3250</v>
      </c>
      <c r="AF443" t="s">
        <v>3250</v>
      </c>
      <c r="AG443" t="s">
        <v>3250</v>
      </c>
      <c r="AH443" t="s">
        <v>3250</v>
      </c>
      <c r="AI443" t="s">
        <v>3250</v>
      </c>
      <c r="AJ443" t="s">
        <v>3250</v>
      </c>
      <c r="AL443" t="s">
        <v>3250</v>
      </c>
      <c r="AM443" t="s">
        <v>3250</v>
      </c>
      <c r="AN443" t="s">
        <v>3250</v>
      </c>
      <c r="AO443" t="s">
        <v>3250</v>
      </c>
      <c r="AS443" t="s">
        <v>3250</v>
      </c>
      <c r="AT443" t="s">
        <v>3250</v>
      </c>
      <c r="AU443" t="s">
        <v>3250</v>
      </c>
      <c r="AV443" t="s">
        <v>3250</v>
      </c>
      <c r="AW443" t="s">
        <v>3250</v>
      </c>
      <c r="AX443" t="s">
        <v>3250</v>
      </c>
      <c r="AY443" t="s">
        <v>3250</v>
      </c>
      <c r="AZ443" t="s">
        <v>3250</v>
      </c>
      <c r="BA443" t="s">
        <v>3250</v>
      </c>
      <c r="BB443" t="s">
        <v>3250</v>
      </c>
      <c r="BC443" t="s">
        <v>3250</v>
      </c>
      <c r="BE443" t="s">
        <v>3250</v>
      </c>
      <c r="BF443" t="s">
        <v>3250</v>
      </c>
      <c r="BG443" t="s">
        <v>3250</v>
      </c>
      <c r="BH443" t="s">
        <v>3250</v>
      </c>
      <c r="BI443" t="s">
        <v>3250</v>
      </c>
      <c r="BK443" t="s">
        <v>3250</v>
      </c>
      <c r="BL443" t="s">
        <v>3250</v>
      </c>
      <c r="BM443" t="s">
        <v>3250</v>
      </c>
      <c r="BN443" t="s">
        <v>3250</v>
      </c>
      <c r="BP443">
        <v>15</v>
      </c>
      <c r="BQ443">
        <v>151</v>
      </c>
      <c r="BR443" t="s">
        <v>2379</v>
      </c>
      <c r="BS443" t="s">
        <v>1551</v>
      </c>
      <c r="BV443">
        <v>0</v>
      </c>
      <c r="BW443">
        <v>0</v>
      </c>
      <c r="BX443">
        <v>35762</v>
      </c>
      <c r="BY443">
        <v>0</v>
      </c>
      <c r="BZ443">
        <v>0</v>
      </c>
      <c r="CA443">
        <v>0</v>
      </c>
      <c r="CB443">
        <v>0</v>
      </c>
      <c r="CC443">
        <v>0</v>
      </c>
      <c r="CD443">
        <v>0</v>
      </c>
      <c r="CE443" t="s">
        <v>3108</v>
      </c>
      <c r="CF443" t="s">
        <v>3108</v>
      </c>
      <c r="CG443" t="s">
        <v>3108</v>
      </c>
      <c r="CH443" t="s">
        <v>3108</v>
      </c>
    </row>
    <row r="444" spans="1:86" x14ac:dyDescent="0.2">
      <c r="A444" t="s">
        <v>4012</v>
      </c>
      <c r="B444" t="s">
        <v>4012</v>
      </c>
      <c r="C444">
        <v>40732</v>
      </c>
      <c r="D444">
        <v>170</v>
      </c>
      <c r="E444" t="s">
        <v>3990</v>
      </c>
      <c r="F444">
        <v>2900</v>
      </c>
      <c r="G444" t="s">
        <v>822</v>
      </c>
      <c r="H444" t="s">
        <v>3108</v>
      </c>
      <c r="I444" t="s">
        <v>3108</v>
      </c>
      <c r="J444">
        <v>2904</v>
      </c>
      <c r="K444" t="s">
        <v>1690</v>
      </c>
      <c r="L444">
        <v>3100</v>
      </c>
      <c r="M444" t="s">
        <v>127</v>
      </c>
      <c r="N444">
        <v>3105</v>
      </c>
      <c r="O444" t="s">
        <v>2416</v>
      </c>
      <c r="P444" t="s">
        <v>3108</v>
      </c>
      <c r="Q444" t="s">
        <v>3249</v>
      </c>
      <c r="R444" t="s">
        <v>3249</v>
      </c>
      <c r="S444" t="s">
        <v>810</v>
      </c>
      <c r="T444" t="s">
        <v>2754</v>
      </c>
      <c r="U444" t="s">
        <v>3250</v>
      </c>
      <c r="V444" t="s">
        <v>3250</v>
      </c>
      <c r="W444" t="s">
        <v>3250</v>
      </c>
      <c r="X444" t="s">
        <v>3250</v>
      </c>
      <c r="Y444" t="s">
        <v>3250</v>
      </c>
      <c r="Z444" t="s">
        <v>3250</v>
      </c>
      <c r="AA444" t="s">
        <v>3108</v>
      </c>
      <c r="AB444" t="s">
        <v>3108</v>
      </c>
      <c r="AC444" t="s">
        <v>3250</v>
      </c>
      <c r="AD444" t="s">
        <v>3250</v>
      </c>
      <c r="AE444" t="s">
        <v>3250</v>
      </c>
      <c r="AF444" t="s">
        <v>3250</v>
      </c>
      <c r="AG444" t="s">
        <v>3250</v>
      </c>
      <c r="AH444" t="s">
        <v>3250</v>
      </c>
      <c r="AI444" t="s">
        <v>3250</v>
      </c>
      <c r="AJ444" t="s">
        <v>3250</v>
      </c>
      <c r="AL444" t="s">
        <v>3250</v>
      </c>
      <c r="AM444" t="s">
        <v>3250</v>
      </c>
      <c r="AN444" t="s">
        <v>3250</v>
      </c>
      <c r="AO444" t="s">
        <v>3250</v>
      </c>
      <c r="AS444" t="s">
        <v>3250</v>
      </c>
      <c r="AT444" t="s">
        <v>3250</v>
      </c>
      <c r="AU444" t="s">
        <v>3250</v>
      </c>
      <c r="AV444" t="s">
        <v>3250</v>
      </c>
      <c r="AW444" t="s">
        <v>3250</v>
      </c>
      <c r="AX444" t="s">
        <v>3250</v>
      </c>
      <c r="AY444" t="s">
        <v>3250</v>
      </c>
      <c r="AZ444" t="s">
        <v>3250</v>
      </c>
      <c r="BA444" t="s">
        <v>3250</v>
      </c>
      <c r="BB444" t="s">
        <v>3250</v>
      </c>
      <c r="BC444" t="s">
        <v>3250</v>
      </c>
      <c r="BE444" t="s">
        <v>3250</v>
      </c>
      <c r="BF444" t="s">
        <v>3250</v>
      </c>
      <c r="BG444" t="s">
        <v>3250</v>
      </c>
      <c r="BH444" t="s">
        <v>3250</v>
      </c>
      <c r="BI444" t="s">
        <v>3250</v>
      </c>
      <c r="BK444" t="s">
        <v>3250</v>
      </c>
      <c r="BL444" t="s">
        <v>3250</v>
      </c>
      <c r="BM444" t="s">
        <v>3250</v>
      </c>
      <c r="BN444" t="s">
        <v>3250</v>
      </c>
      <c r="BP444">
        <v>8</v>
      </c>
      <c r="BQ444">
        <v>83</v>
      </c>
      <c r="BR444" t="s">
        <v>2416</v>
      </c>
      <c r="BS444" t="s">
        <v>4013</v>
      </c>
      <c r="BV444">
        <v>0</v>
      </c>
      <c r="BW444">
        <v>0</v>
      </c>
      <c r="BX444">
        <v>0</v>
      </c>
      <c r="BY444">
        <v>0</v>
      </c>
      <c r="BZ444">
        <v>0</v>
      </c>
      <c r="CA444">
        <v>0</v>
      </c>
      <c r="CB444">
        <v>0</v>
      </c>
      <c r="CC444">
        <v>0</v>
      </c>
      <c r="CD444">
        <v>0</v>
      </c>
      <c r="CE444" t="s">
        <v>3108</v>
      </c>
      <c r="CF444" t="s">
        <v>3108</v>
      </c>
      <c r="CG444" t="s">
        <v>3108</v>
      </c>
      <c r="CH444" t="s">
        <v>3108</v>
      </c>
    </row>
    <row r="445" spans="1:86" x14ac:dyDescent="0.2">
      <c r="A445" t="s">
        <v>4014</v>
      </c>
      <c r="B445" t="s">
        <v>4014</v>
      </c>
      <c r="C445">
        <v>40733</v>
      </c>
      <c r="D445">
        <v>171</v>
      </c>
      <c r="E445" t="s">
        <v>4015</v>
      </c>
      <c r="F445">
        <v>2900</v>
      </c>
      <c r="G445" t="s">
        <v>822</v>
      </c>
      <c r="H445" t="s">
        <v>3108</v>
      </c>
      <c r="I445" t="s">
        <v>3108</v>
      </c>
      <c r="J445">
        <v>2904</v>
      </c>
      <c r="K445" t="s">
        <v>1690</v>
      </c>
      <c r="L445">
        <v>3100</v>
      </c>
      <c r="M445" t="s">
        <v>127</v>
      </c>
      <c r="N445">
        <v>3105</v>
      </c>
      <c r="O445" t="s">
        <v>2416</v>
      </c>
      <c r="P445" t="s">
        <v>3108</v>
      </c>
      <c r="Q445" t="s">
        <v>3249</v>
      </c>
      <c r="R445" t="s">
        <v>3249</v>
      </c>
      <c r="S445" t="s">
        <v>810</v>
      </c>
      <c r="T445" t="s">
        <v>2754</v>
      </c>
      <c r="U445" t="s">
        <v>3250</v>
      </c>
      <c r="V445" t="s">
        <v>3250</v>
      </c>
      <c r="W445" t="s">
        <v>3250</v>
      </c>
      <c r="X445" t="s">
        <v>3250</v>
      </c>
      <c r="Y445" t="s">
        <v>3250</v>
      </c>
      <c r="Z445" t="s">
        <v>3250</v>
      </c>
      <c r="AA445" t="s">
        <v>3108</v>
      </c>
      <c r="AB445" t="s">
        <v>3108</v>
      </c>
      <c r="AC445" t="s">
        <v>3250</v>
      </c>
      <c r="AD445" t="s">
        <v>3250</v>
      </c>
      <c r="AE445" t="s">
        <v>3250</v>
      </c>
      <c r="AF445" t="s">
        <v>3250</v>
      </c>
      <c r="AG445" t="s">
        <v>3250</v>
      </c>
      <c r="AH445" t="s">
        <v>3250</v>
      </c>
      <c r="AI445" t="s">
        <v>3250</v>
      </c>
      <c r="AJ445" t="s">
        <v>3250</v>
      </c>
      <c r="AL445" t="s">
        <v>3250</v>
      </c>
      <c r="AM445" t="s">
        <v>3250</v>
      </c>
      <c r="AN445" t="s">
        <v>3250</v>
      </c>
      <c r="AO445" t="s">
        <v>3250</v>
      </c>
      <c r="AS445" t="s">
        <v>3250</v>
      </c>
      <c r="AT445" t="s">
        <v>3250</v>
      </c>
      <c r="AU445" t="s">
        <v>3250</v>
      </c>
      <c r="AV445" t="s">
        <v>3250</v>
      </c>
      <c r="AW445" t="s">
        <v>3250</v>
      </c>
      <c r="AX445" t="s">
        <v>3250</v>
      </c>
      <c r="AY445" t="s">
        <v>3250</v>
      </c>
      <c r="AZ445" t="s">
        <v>3250</v>
      </c>
      <c r="BA445" t="s">
        <v>3250</v>
      </c>
      <c r="BB445" t="s">
        <v>3250</v>
      </c>
      <c r="BC445" t="s">
        <v>3250</v>
      </c>
      <c r="BE445" t="s">
        <v>3250</v>
      </c>
      <c r="BF445" t="s">
        <v>3250</v>
      </c>
      <c r="BG445" t="s">
        <v>3250</v>
      </c>
      <c r="BH445" t="s">
        <v>3250</v>
      </c>
      <c r="BI445" t="s">
        <v>3250</v>
      </c>
      <c r="BK445" t="s">
        <v>3250</v>
      </c>
      <c r="BL445" t="s">
        <v>3250</v>
      </c>
      <c r="BM445" t="s">
        <v>3250</v>
      </c>
      <c r="BN445" t="s">
        <v>3250</v>
      </c>
      <c r="BP445">
        <v>8</v>
      </c>
      <c r="BQ445">
        <v>83</v>
      </c>
      <c r="BR445" t="s">
        <v>2416</v>
      </c>
      <c r="BS445" t="s">
        <v>4013</v>
      </c>
      <c r="BV445">
        <v>0</v>
      </c>
      <c r="BW445">
        <v>0</v>
      </c>
      <c r="BX445">
        <v>0</v>
      </c>
      <c r="BY445">
        <v>0</v>
      </c>
      <c r="BZ445">
        <v>0</v>
      </c>
      <c r="CA445">
        <v>0</v>
      </c>
      <c r="CB445">
        <v>0</v>
      </c>
      <c r="CC445">
        <v>0</v>
      </c>
      <c r="CD445">
        <v>0</v>
      </c>
      <c r="CE445" t="s">
        <v>3108</v>
      </c>
      <c r="CF445" t="s">
        <v>3108</v>
      </c>
      <c r="CG445" t="s">
        <v>3108</v>
      </c>
      <c r="CH445" t="s">
        <v>3108</v>
      </c>
    </row>
    <row r="446" spans="1:86" x14ac:dyDescent="0.2">
      <c r="A446" t="s">
        <v>4016</v>
      </c>
      <c r="B446" t="s">
        <v>4016</v>
      </c>
      <c r="C446">
        <v>40734</v>
      </c>
      <c r="D446">
        <v>172</v>
      </c>
      <c r="E446" t="s">
        <v>3996</v>
      </c>
      <c r="F446">
        <v>2700</v>
      </c>
      <c r="G446" t="s">
        <v>411</v>
      </c>
      <c r="H446" t="s">
        <v>3997</v>
      </c>
      <c r="I446" t="s">
        <v>2533</v>
      </c>
      <c r="J446">
        <v>2703</v>
      </c>
      <c r="K446" t="s">
        <v>2533</v>
      </c>
      <c r="L446">
        <v>3100</v>
      </c>
      <c r="M446" t="s">
        <v>127</v>
      </c>
      <c r="N446">
        <v>3105</v>
      </c>
      <c r="O446" t="s">
        <v>2416</v>
      </c>
      <c r="P446" t="s">
        <v>3108</v>
      </c>
      <c r="Q446" t="s">
        <v>3249</v>
      </c>
      <c r="R446" t="s">
        <v>3249</v>
      </c>
      <c r="S446" t="s">
        <v>810</v>
      </c>
      <c r="T446" t="s">
        <v>2754</v>
      </c>
      <c r="U446" t="s">
        <v>3250</v>
      </c>
      <c r="V446" t="s">
        <v>3250</v>
      </c>
      <c r="W446" t="s">
        <v>3250</v>
      </c>
      <c r="X446" t="s">
        <v>3250</v>
      </c>
      <c r="Y446" t="s">
        <v>3250</v>
      </c>
      <c r="Z446" t="s">
        <v>3250</v>
      </c>
      <c r="AA446" t="s">
        <v>3108</v>
      </c>
      <c r="AB446" t="s">
        <v>3108</v>
      </c>
      <c r="AC446" t="s">
        <v>3250</v>
      </c>
      <c r="AD446" t="s">
        <v>3250</v>
      </c>
      <c r="AE446" t="s">
        <v>3250</v>
      </c>
      <c r="AF446" t="s">
        <v>3250</v>
      </c>
      <c r="AG446" t="s">
        <v>3250</v>
      </c>
      <c r="AH446" t="s">
        <v>3250</v>
      </c>
      <c r="AI446" t="s">
        <v>3250</v>
      </c>
      <c r="AJ446" t="s">
        <v>3250</v>
      </c>
      <c r="AL446" t="s">
        <v>3250</v>
      </c>
      <c r="AM446" t="s">
        <v>3250</v>
      </c>
      <c r="AN446" t="s">
        <v>3250</v>
      </c>
      <c r="AO446" t="s">
        <v>3250</v>
      </c>
      <c r="AS446" t="s">
        <v>3250</v>
      </c>
      <c r="AT446" t="s">
        <v>3250</v>
      </c>
      <c r="AU446" t="s">
        <v>3250</v>
      </c>
      <c r="AV446" t="s">
        <v>3250</v>
      </c>
      <c r="AW446" t="s">
        <v>3250</v>
      </c>
      <c r="AX446" t="s">
        <v>3250</v>
      </c>
      <c r="AY446" t="s">
        <v>3250</v>
      </c>
      <c r="AZ446" t="s">
        <v>3250</v>
      </c>
      <c r="BA446" t="s">
        <v>3250</v>
      </c>
      <c r="BB446" t="s">
        <v>3250</v>
      </c>
      <c r="BC446" t="s">
        <v>3250</v>
      </c>
      <c r="BE446" t="s">
        <v>3250</v>
      </c>
      <c r="BF446" t="s">
        <v>3250</v>
      </c>
      <c r="BG446" t="s">
        <v>3250</v>
      </c>
      <c r="BH446" t="s">
        <v>3250</v>
      </c>
      <c r="BI446" t="s">
        <v>3250</v>
      </c>
      <c r="BK446" t="s">
        <v>3250</v>
      </c>
      <c r="BL446" t="s">
        <v>3250</v>
      </c>
      <c r="BM446" t="s">
        <v>3250</v>
      </c>
      <c r="BN446" t="s">
        <v>3250</v>
      </c>
      <c r="BP446">
        <v>8</v>
      </c>
      <c r="BQ446">
        <v>83</v>
      </c>
      <c r="BR446" t="s">
        <v>2416</v>
      </c>
      <c r="BS446" t="s">
        <v>4013</v>
      </c>
      <c r="BV446">
        <v>31195</v>
      </c>
      <c r="BW446">
        <v>2500</v>
      </c>
      <c r="BX446">
        <v>5400</v>
      </c>
      <c r="BY446">
        <v>35000</v>
      </c>
      <c r="BZ446">
        <v>25220</v>
      </c>
      <c r="CA446">
        <v>30000</v>
      </c>
      <c r="CB446">
        <v>31200</v>
      </c>
      <c r="CC446">
        <v>32448</v>
      </c>
      <c r="CD446">
        <v>9780</v>
      </c>
      <c r="CE446" t="s">
        <v>3108</v>
      </c>
      <c r="CF446" t="s">
        <v>3108</v>
      </c>
      <c r="CG446" t="s">
        <v>3108</v>
      </c>
      <c r="CH446" t="s">
        <v>3108</v>
      </c>
    </row>
    <row r="447" spans="1:86" x14ac:dyDescent="0.2">
      <c r="A447" t="s">
        <v>4017</v>
      </c>
      <c r="B447" t="s">
        <v>4017</v>
      </c>
      <c r="C447">
        <v>40735</v>
      </c>
      <c r="D447">
        <v>173</v>
      </c>
      <c r="E447" t="s">
        <v>4003</v>
      </c>
      <c r="F447">
        <v>2700</v>
      </c>
      <c r="G447" t="s">
        <v>411</v>
      </c>
      <c r="H447" t="s">
        <v>4004</v>
      </c>
      <c r="I447" t="s">
        <v>2531</v>
      </c>
      <c r="J447">
        <v>2701</v>
      </c>
      <c r="K447" t="s">
        <v>2531</v>
      </c>
      <c r="L447">
        <v>3100</v>
      </c>
      <c r="M447" t="s">
        <v>127</v>
      </c>
      <c r="N447">
        <v>3105</v>
      </c>
      <c r="O447" t="s">
        <v>2416</v>
      </c>
      <c r="P447" t="s">
        <v>3108</v>
      </c>
      <c r="Q447" t="s">
        <v>3249</v>
      </c>
      <c r="R447" t="s">
        <v>3249</v>
      </c>
      <c r="S447" t="s">
        <v>810</v>
      </c>
      <c r="T447" t="s">
        <v>2754</v>
      </c>
      <c r="U447" t="s">
        <v>3250</v>
      </c>
      <c r="V447" t="s">
        <v>3250</v>
      </c>
      <c r="W447" t="s">
        <v>3250</v>
      </c>
      <c r="X447" t="s">
        <v>3250</v>
      </c>
      <c r="Y447" t="s">
        <v>3250</v>
      </c>
      <c r="Z447" t="s">
        <v>3250</v>
      </c>
      <c r="AA447" t="s">
        <v>3108</v>
      </c>
      <c r="AB447" t="s">
        <v>3108</v>
      </c>
      <c r="AC447" t="s">
        <v>3250</v>
      </c>
      <c r="AD447" t="s">
        <v>3250</v>
      </c>
      <c r="AE447" t="s">
        <v>3250</v>
      </c>
      <c r="AF447" t="s">
        <v>3250</v>
      </c>
      <c r="AG447" t="s">
        <v>3250</v>
      </c>
      <c r="AH447" t="s">
        <v>3250</v>
      </c>
      <c r="AI447" t="s">
        <v>3250</v>
      </c>
      <c r="AJ447" t="s">
        <v>3250</v>
      </c>
      <c r="AL447" t="s">
        <v>3250</v>
      </c>
      <c r="AM447" t="s">
        <v>3250</v>
      </c>
      <c r="AN447" t="s">
        <v>3250</v>
      </c>
      <c r="AO447" t="s">
        <v>3250</v>
      </c>
      <c r="AS447" t="s">
        <v>3250</v>
      </c>
      <c r="AT447" t="s">
        <v>3250</v>
      </c>
      <c r="AU447" t="s">
        <v>3250</v>
      </c>
      <c r="AV447" t="s">
        <v>3250</v>
      </c>
      <c r="AW447" t="s">
        <v>3250</v>
      </c>
      <c r="AX447" t="s">
        <v>3250</v>
      </c>
      <c r="AY447" t="s">
        <v>3250</v>
      </c>
      <c r="AZ447" t="s">
        <v>3250</v>
      </c>
      <c r="BA447" t="s">
        <v>3250</v>
      </c>
      <c r="BB447" t="s">
        <v>3250</v>
      </c>
      <c r="BC447" t="s">
        <v>3250</v>
      </c>
      <c r="BE447" t="s">
        <v>3250</v>
      </c>
      <c r="BF447" t="s">
        <v>3250</v>
      </c>
      <c r="BG447" t="s">
        <v>3250</v>
      </c>
      <c r="BH447" t="s">
        <v>3250</v>
      </c>
      <c r="BI447" t="s">
        <v>3250</v>
      </c>
      <c r="BK447" t="s">
        <v>3250</v>
      </c>
      <c r="BL447" t="s">
        <v>3250</v>
      </c>
      <c r="BM447" t="s">
        <v>3250</v>
      </c>
      <c r="BN447" t="s">
        <v>3250</v>
      </c>
      <c r="BP447">
        <v>8</v>
      </c>
      <c r="BQ447">
        <v>83</v>
      </c>
      <c r="BR447" t="s">
        <v>2416</v>
      </c>
      <c r="BS447" t="s">
        <v>4013</v>
      </c>
      <c r="BV447">
        <v>0</v>
      </c>
      <c r="BW447">
        <v>43100</v>
      </c>
      <c r="BX447">
        <v>37800</v>
      </c>
      <c r="BY447">
        <v>45000</v>
      </c>
      <c r="BZ447">
        <v>20000</v>
      </c>
      <c r="CA447">
        <v>20000</v>
      </c>
      <c r="CB447">
        <v>20800</v>
      </c>
      <c r="CC447">
        <v>21632</v>
      </c>
      <c r="CD447">
        <v>0</v>
      </c>
      <c r="CE447" t="s">
        <v>3108</v>
      </c>
      <c r="CF447" t="s">
        <v>3108</v>
      </c>
      <c r="CG447" t="s">
        <v>3108</v>
      </c>
      <c r="CH447" t="s">
        <v>3108</v>
      </c>
    </row>
    <row r="448" spans="1:86" x14ac:dyDescent="0.2">
      <c r="A448" t="s">
        <v>4018</v>
      </c>
      <c r="B448" t="s">
        <v>4018</v>
      </c>
      <c r="C448">
        <v>40736</v>
      </c>
      <c r="D448">
        <v>174</v>
      </c>
      <c r="E448" t="s">
        <v>4010</v>
      </c>
      <c r="F448">
        <v>2900</v>
      </c>
      <c r="G448" t="s">
        <v>822</v>
      </c>
      <c r="H448" t="s">
        <v>3108</v>
      </c>
      <c r="I448" t="s">
        <v>3108</v>
      </c>
      <c r="J448">
        <v>2904</v>
      </c>
      <c r="K448" t="s">
        <v>1690</v>
      </c>
      <c r="L448">
        <v>3100</v>
      </c>
      <c r="M448" t="s">
        <v>127</v>
      </c>
      <c r="N448">
        <v>3105</v>
      </c>
      <c r="O448" t="s">
        <v>2416</v>
      </c>
      <c r="P448" t="s">
        <v>3108</v>
      </c>
      <c r="Q448" t="s">
        <v>3249</v>
      </c>
      <c r="R448" t="s">
        <v>3249</v>
      </c>
      <c r="S448" t="s">
        <v>810</v>
      </c>
      <c r="T448" t="s">
        <v>2754</v>
      </c>
      <c r="U448" t="s">
        <v>3250</v>
      </c>
      <c r="V448" t="s">
        <v>3250</v>
      </c>
      <c r="W448" t="s">
        <v>3250</v>
      </c>
      <c r="X448" t="s">
        <v>3250</v>
      </c>
      <c r="Y448" t="s">
        <v>3250</v>
      </c>
      <c r="Z448" t="s">
        <v>3250</v>
      </c>
      <c r="AA448" t="s">
        <v>3108</v>
      </c>
      <c r="AB448" t="s">
        <v>3108</v>
      </c>
      <c r="AC448" t="s">
        <v>3250</v>
      </c>
      <c r="AD448" t="s">
        <v>3250</v>
      </c>
      <c r="AE448" t="s">
        <v>3250</v>
      </c>
      <c r="AF448" t="s">
        <v>3250</v>
      </c>
      <c r="AG448" t="s">
        <v>3250</v>
      </c>
      <c r="AH448" t="s">
        <v>3250</v>
      </c>
      <c r="AI448" t="s">
        <v>3250</v>
      </c>
      <c r="AJ448" t="s">
        <v>3250</v>
      </c>
      <c r="AL448" t="s">
        <v>3250</v>
      </c>
      <c r="AM448" t="s">
        <v>3250</v>
      </c>
      <c r="AN448" t="s">
        <v>3250</v>
      </c>
      <c r="AO448" t="s">
        <v>3250</v>
      </c>
      <c r="AS448" t="s">
        <v>3250</v>
      </c>
      <c r="AT448" t="s">
        <v>3250</v>
      </c>
      <c r="AU448" t="s">
        <v>3250</v>
      </c>
      <c r="AV448" t="s">
        <v>3250</v>
      </c>
      <c r="AW448" t="s">
        <v>3250</v>
      </c>
      <c r="AX448" t="s">
        <v>3250</v>
      </c>
      <c r="AY448" t="s">
        <v>3250</v>
      </c>
      <c r="AZ448" t="s">
        <v>3250</v>
      </c>
      <c r="BA448" t="s">
        <v>3250</v>
      </c>
      <c r="BB448" t="s">
        <v>3250</v>
      </c>
      <c r="BC448" t="s">
        <v>3250</v>
      </c>
      <c r="BE448" t="s">
        <v>3250</v>
      </c>
      <c r="BF448" t="s">
        <v>3250</v>
      </c>
      <c r="BG448" t="s">
        <v>3250</v>
      </c>
      <c r="BH448" t="s">
        <v>3250</v>
      </c>
      <c r="BI448" t="s">
        <v>3250</v>
      </c>
      <c r="BK448" t="s">
        <v>3250</v>
      </c>
      <c r="BL448" t="s">
        <v>3250</v>
      </c>
      <c r="BM448" t="s">
        <v>3250</v>
      </c>
      <c r="BN448" t="s">
        <v>3250</v>
      </c>
      <c r="BP448">
        <v>8</v>
      </c>
      <c r="BQ448">
        <v>83</v>
      </c>
      <c r="BR448" t="s">
        <v>2416</v>
      </c>
      <c r="BS448" t="s">
        <v>4013</v>
      </c>
      <c r="BV448">
        <v>0</v>
      </c>
      <c r="BW448">
        <v>0</v>
      </c>
      <c r="BX448">
        <v>4500</v>
      </c>
      <c r="BY448">
        <v>0</v>
      </c>
      <c r="BZ448">
        <v>0</v>
      </c>
      <c r="CA448">
        <v>0</v>
      </c>
      <c r="CB448">
        <v>0</v>
      </c>
      <c r="CC448">
        <v>0</v>
      </c>
      <c r="CD448">
        <v>0</v>
      </c>
      <c r="CE448" t="s">
        <v>3108</v>
      </c>
      <c r="CF448" t="s">
        <v>3108</v>
      </c>
      <c r="CG448" t="s">
        <v>3108</v>
      </c>
      <c r="CH448" t="s">
        <v>3108</v>
      </c>
    </row>
    <row r="449" spans="1:86" x14ac:dyDescent="0.2">
      <c r="A449" t="s">
        <v>4019</v>
      </c>
      <c r="B449" t="s">
        <v>4019</v>
      </c>
      <c r="C449">
        <v>40739</v>
      </c>
      <c r="D449">
        <v>138</v>
      </c>
      <c r="E449" t="s">
        <v>4015</v>
      </c>
      <c r="F449">
        <v>2900</v>
      </c>
      <c r="G449" t="s">
        <v>822</v>
      </c>
      <c r="H449" t="s">
        <v>3108</v>
      </c>
      <c r="I449" t="s">
        <v>3108</v>
      </c>
      <c r="J449">
        <v>2904</v>
      </c>
      <c r="K449" t="s">
        <v>1690</v>
      </c>
      <c r="L449">
        <v>3100</v>
      </c>
      <c r="M449" t="s">
        <v>127</v>
      </c>
      <c r="N449">
        <v>3105</v>
      </c>
      <c r="O449" t="s">
        <v>2416</v>
      </c>
      <c r="P449" t="s">
        <v>3108</v>
      </c>
      <c r="Q449" t="s">
        <v>3249</v>
      </c>
      <c r="R449" t="s">
        <v>3249</v>
      </c>
      <c r="S449" t="s">
        <v>810</v>
      </c>
      <c r="T449" t="s">
        <v>2754</v>
      </c>
      <c r="U449" t="s">
        <v>3250</v>
      </c>
      <c r="V449" t="s">
        <v>3250</v>
      </c>
      <c r="W449" t="s">
        <v>3250</v>
      </c>
      <c r="X449" t="s">
        <v>3250</v>
      </c>
      <c r="Y449" t="s">
        <v>3250</v>
      </c>
      <c r="Z449" t="s">
        <v>3250</v>
      </c>
      <c r="AA449" t="s">
        <v>3108</v>
      </c>
      <c r="AB449" t="s">
        <v>3108</v>
      </c>
      <c r="AC449" t="s">
        <v>3250</v>
      </c>
      <c r="AD449" t="s">
        <v>3250</v>
      </c>
      <c r="AE449" t="s">
        <v>3250</v>
      </c>
      <c r="AF449" t="s">
        <v>3250</v>
      </c>
      <c r="AG449" t="s">
        <v>3250</v>
      </c>
      <c r="AH449" t="s">
        <v>3250</v>
      </c>
      <c r="AI449" t="s">
        <v>3250</v>
      </c>
      <c r="AJ449" t="s">
        <v>3250</v>
      </c>
      <c r="AL449" t="s">
        <v>3250</v>
      </c>
      <c r="AM449" t="s">
        <v>3250</v>
      </c>
      <c r="AN449" t="s">
        <v>3250</v>
      </c>
      <c r="AO449" t="s">
        <v>3250</v>
      </c>
      <c r="AS449" t="s">
        <v>3250</v>
      </c>
      <c r="AT449" t="s">
        <v>3250</v>
      </c>
      <c r="AU449" t="s">
        <v>3250</v>
      </c>
      <c r="AV449" t="s">
        <v>3250</v>
      </c>
      <c r="AW449" t="s">
        <v>3250</v>
      </c>
      <c r="AX449" t="s">
        <v>3250</v>
      </c>
      <c r="AY449" t="s">
        <v>3250</v>
      </c>
      <c r="AZ449" t="s">
        <v>3250</v>
      </c>
      <c r="BA449" t="s">
        <v>3250</v>
      </c>
      <c r="BB449" t="s">
        <v>3250</v>
      </c>
      <c r="BC449" t="s">
        <v>3250</v>
      </c>
      <c r="BE449" t="s">
        <v>3250</v>
      </c>
      <c r="BF449" t="s">
        <v>3250</v>
      </c>
      <c r="BG449" t="s">
        <v>3250</v>
      </c>
      <c r="BH449" t="s">
        <v>3250</v>
      </c>
      <c r="BI449" t="s">
        <v>3250</v>
      </c>
      <c r="BK449" t="s">
        <v>3250</v>
      </c>
      <c r="BL449" t="s">
        <v>3250</v>
      </c>
      <c r="BM449" t="s">
        <v>3250</v>
      </c>
      <c r="BN449" t="s">
        <v>3250</v>
      </c>
      <c r="BP449">
        <v>8</v>
      </c>
      <c r="BQ449">
        <v>83</v>
      </c>
      <c r="BR449" t="s">
        <v>2416</v>
      </c>
      <c r="BS449" t="s">
        <v>4013</v>
      </c>
      <c r="BV449">
        <v>0</v>
      </c>
      <c r="BW449">
        <v>0</v>
      </c>
      <c r="BX449">
        <v>0</v>
      </c>
      <c r="BY449">
        <v>0</v>
      </c>
      <c r="BZ449">
        <v>0</v>
      </c>
      <c r="CA449">
        <v>0</v>
      </c>
      <c r="CB449">
        <v>0</v>
      </c>
      <c r="CC449">
        <v>0</v>
      </c>
      <c r="CD449">
        <v>0</v>
      </c>
      <c r="CE449" t="s">
        <v>3108</v>
      </c>
      <c r="CF449" t="s">
        <v>3108</v>
      </c>
      <c r="CG449" t="s">
        <v>3108</v>
      </c>
      <c r="CH449" t="s">
        <v>3108</v>
      </c>
    </row>
    <row r="450" spans="1:86" x14ac:dyDescent="0.2">
      <c r="A450" t="s">
        <v>4020</v>
      </c>
      <c r="B450" t="s">
        <v>4020</v>
      </c>
      <c r="C450">
        <v>40740</v>
      </c>
      <c r="D450">
        <v>139</v>
      </c>
      <c r="E450" t="s">
        <v>3999</v>
      </c>
      <c r="F450">
        <v>2700</v>
      </c>
      <c r="G450" t="s">
        <v>411</v>
      </c>
      <c r="H450" t="s">
        <v>3997</v>
      </c>
      <c r="I450" t="s">
        <v>2533</v>
      </c>
      <c r="J450">
        <v>2703</v>
      </c>
      <c r="K450" t="s">
        <v>2533</v>
      </c>
      <c r="L450">
        <v>3100</v>
      </c>
      <c r="M450" t="s">
        <v>127</v>
      </c>
      <c r="N450">
        <v>3105</v>
      </c>
      <c r="O450" t="s">
        <v>2416</v>
      </c>
      <c r="P450" t="s">
        <v>3108</v>
      </c>
      <c r="Q450" t="s">
        <v>3249</v>
      </c>
      <c r="R450" t="s">
        <v>3249</v>
      </c>
      <c r="S450" t="s">
        <v>810</v>
      </c>
      <c r="T450" t="s">
        <v>2754</v>
      </c>
      <c r="U450" t="s">
        <v>3250</v>
      </c>
      <c r="V450" t="s">
        <v>3250</v>
      </c>
      <c r="W450" t="s">
        <v>3250</v>
      </c>
      <c r="X450" t="s">
        <v>3250</v>
      </c>
      <c r="Y450" t="s">
        <v>3250</v>
      </c>
      <c r="Z450" t="s">
        <v>3250</v>
      </c>
      <c r="AA450" t="s">
        <v>3108</v>
      </c>
      <c r="AB450" t="s">
        <v>3108</v>
      </c>
      <c r="AC450" t="s">
        <v>3250</v>
      </c>
      <c r="AD450" t="s">
        <v>3250</v>
      </c>
      <c r="AE450" t="s">
        <v>3250</v>
      </c>
      <c r="AF450" t="s">
        <v>3250</v>
      </c>
      <c r="AG450" t="s">
        <v>3250</v>
      </c>
      <c r="AH450" t="s">
        <v>3250</v>
      </c>
      <c r="AI450" t="s">
        <v>3250</v>
      </c>
      <c r="AJ450" t="s">
        <v>3250</v>
      </c>
      <c r="AL450" t="s">
        <v>3250</v>
      </c>
      <c r="AM450" t="s">
        <v>3250</v>
      </c>
      <c r="AN450" t="s">
        <v>3250</v>
      </c>
      <c r="AO450" t="s">
        <v>3250</v>
      </c>
      <c r="AS450" t="s">
        <v>3250</v>
      </c>
      <c r="AT450" t="s">
        <v>3250</v>
      </c>
      <c r="AU450" t="s">
        <v>3250</v>
      </c>
      <c r="AV450" t="s">
        <v>3250</v>
      </c>
      <c r="AW450" t="s">
        <v>3250</v>
      </c>
      <c r="AX450" t="s">
        <v>3250</v>
      </c>
      <c r="AY450" t="s">
        <v>3250</v>
      </c>
      <c r="AZ450" t="s">
        <v>3250</v>
      </c>
      <c r="BA450" t="s">
        <v>3250</v>
      </c>
      <c r="BB450" t="s">
        <v>3250</v>
      </c>
      <c r="BC450" t="s">
        <v>3250</v>
      </c>
      <c r="BE450" t="s">
        <v>3250</v>
      </c>
      <c r="BF450" t="s">
        <v>3250</v>
      </c>
      <c r="BG450" t="s">
        <v>3250</v>
      </c>
      <c r="BH450" t="s">
        <v>3250</v>
      </c>
      <c r="BI450" t="s">
        <v>3250</v>
      </c>
      <c r="BK450" t="s">
        <v>3250</v>
      </c>
      <c r="BL450" t="s">
        <v>3250</v>
      </c>
      <c r="BM450" t="s">
        <v>3250</v>
      </c>
      <c r="BN450" t="s">
        <v>3250</v>
      </c>
      <c r="BP450">
        <v>8</v>
      </c>
      <c r="BQ450">
        <v>83</v>
      </c>
      <c r="BR450" t="s">
        <v>2416</v>
      </c>
      <c r="BS450" t="s">
        <v>4013</v>
      </c>
      <c r="BV450">
        <v>0</v>
      </c>
      <c r="BW450">
        <v>0</v>
      </c>
      <c r="BX450">
        <v>0</v>
      </c>
      <c r="BY450">
        <v>0</v>
      </c>
      <c r="BZ450">
        <v>0</v>
      </c>
      <c r="CA450">
        <v>0</v>
      </c>
      <c r="CB450">
        <v>0</v>
      </c>
      <c r="CC450">
        <v>0</v>
      </c>
      <c r="CD450">
        <v>0</v>
      </c>
      <c r="CE450" t="s">
        <v>3108</v>
      </c>
      <c r="CF450" t="s">
        <v>3108</v>
      </c>
      <c r="CG450" t="s">
        <v>3108</v>
      </c>
      <c r="CH450" t="s">
        <v>3108</v>
      </c>
    </row>
    <row r="451" spans="1:86" x14ac:dyDescent="0.2">
      <c r="A451" t="s">
        <v>4021</v>
      </c>
      <c r="B451" t="s">
        <v>4021</v>
      </c>
      <c r="C451">
        <v>40744</v>
      </c>
      <c r="D451">
        <v>135</v>
      </c>
      <c r="E451" t="s">
        <v>4015</v>
      </c>
      <c r="F451">
        <v>2900</v>
      </c>
      <c r="G451" t="s">
        <v>822</v>
      </c>
      <c r="H451" t="s">
        <v>3108</v>
      </c>
      <c r="I451" t="s">
        <v>3108</v>
      </c>
      <c r="J451">
        <v>2904</v>
      </c>
      <c r="K451" t="s">
        <v>1690</v>
      </c>
      <c r="L451">
        <v>3100</v>
      </c>
      <c r="M451" t="s">
        <v>127</v>
      </c>
      <c r="N451">
        <v>3104</v>
      </c>
      <c r="O451" t="s">
        <v>2415</v>
      </c>
      <c r="P451" t="s">
        <v>3108</v>
      </c>
      <c r="Q451" t="s">
        <v>3249</v>
      </c>
      <c r="R451" t="s">
        <v>3249</v>
      </c>
      <c r="S451" t="s">
        <v>810</v>
      </c>
      <c r="T451" t="s">
        <v>2754</v>
      </c>
      <c r="U451" t="s">
        <v>3250</v>
      </c>
      <c r="V451" t="s">
        <v>3250</v>
      </c>
      <c r="W451" t="s">
        <v>3250</v>
      </c>
      <c r="X451" t="s">
        <v>3250</v>
      </c>
      <c r="Y451" t="s">
        <v>3250</v>
      </c>
      <c r="Z451" t="s">
        <v>3250</v>
      </c>
      <c r="AA451" t="s">
        <v>3108</v>
      </c>
      <c r="AB451" t="s">
        <v>3108</v>
      </c>
      <c r="AC451" t="s">
        <v>3250</v>
      </c>
      <c r="AD451" t="s">
        <v>3250</v>
      </c>
      <c r="AE451" t="s">
        <v>3250</v>
      </c>
      <c r="AF451" t="s">
        <v>3250</v>
      </c>
      <c r="AG451" t="s">
        <v>3250</v>
      </c>
      <c r="AH451" t="s">
        <v>3250</v>
      </c>
      <c r="AI451" t="s">
        <v>3250</v>
      </c>
      <c r="AJ451" t="s">
        <v>3250</v>
      </c>
      <c r="AL451" t="s">
        <v>3250</v>
      </c>
      <c r="AM451" t="s">
        <v>3250</v>
      </c>
      <c r="AN451" t="s">
        <v>3250</v>
      </c>
      <c r="AO451" t="s">
        <v>3250</v>
      </c>
      <c r="AS451" t="s">
        <v>3250</v>
      </c>
      <c r="AT451" t="s">
        <v>3250</v>
      </c>
      <c r="AU451" t="s">
        <v>3250</v>
      </c>
      <c r="AV451" t="s">
        <v>3250</v>
      </c>
      <c r="AW451" t="s">
        <v>3250</v>
      </c>
      <c r="AX451" t="s">
        <v>3250</v>
      </c>
      <c r="AY451" t="s">
        <v>3250</v>
      </c>
      <c r="AZ451" t="s">
        <v>3250</v>
      </c>
      <c r="BA451" t="s">
        <v>3250</v>
      </c>
      <c r="BB451" t="s">
        <v>3250</v>
      </c>
      <c r="BC451" t="s">
        <v>3250</v>
      </c>
      <c r="BE451" t="s">
        <v>3250</v>
      </c>
      <c r="BF451" t="s">
        <v>3250</v>
      </c>
      <c r="BG451" t="s">
        <v>3250</v>
      </c>
      <c r="BH451" t="s">
        <v>3250</v>
      </c>
      <c r="BI451" t="s">
        <v>3250</v>
      </c>
      <c r="BK451" t="s">
        <v>3250</v>
      </c>
      <c r="BL451" t="s">
        <v>3250</v>
      </c>
      <c r="BM451" t="s">
        <v>3250</v>
      </c>
      <c r="BN451" t="s">
        <v>3250</v>
      </c>
      <c r="BP451">
        <v>8</v>
      </c>
      <c r="BQ451">
        <v>82</v>
      </c>
      <c r="BR451" t="s">
        <v>2415</v>
      </c>
      <c r="BS451" t="s">
        <v>4013</v>
      </c>
      <c r="BV451">
        <v>0</v>
      </c>
      <c r="BW451">
        <v>0</v>
      </c>
      <c r="BX451">
        <v>0</v>
      </c>
      <c r="BY451">
        <v>0</v>
      </c>
      <c r="BZ451">
        <v>0</v>
      </c>
      <c r="CA451">
        <v>0</v>
      </c>
      <c r="CB451">
        <v>0</v>
      </c>
      <c r="CC451">
        <v>0</v>
      </c>
      <c r="CD451">
        <v>0</v>
      </c>
      <c r="CE451" t="s">
        <v>3108</v>
      </c>
      <c r="CF451" t="s">
        <v>3108</v>
      </c>
      <c r="CG451" t="s">
        <v>3108</v>
      </c>
      <c r="CH451" t="s">
        <v>3108</v>
      </c>
    </row>
    <row r="452" spans="1:86" x14ac:dyDescent="0.2">
      <c r="A452" t="s">
        <v>4022</v>
      </c>
      <c r="B452" t="s">
        <v>4022</v>
      </c>
      <c r="C452">
        <v>40745</v>
      </c>
      <c r="D452">
        <v>136</v>
      </c>
      <c r="E452" t="s">
        <v>3999</v>
      </c>
      <c r="F452">
        <v>2700</v>
      </c>
      <c r="G452" t="s">
        <v>411</v>
      </c>
      <c r="H452" t="s">
        <v>3997</v>
      </c>
      <c r="I452" t="s">
        <v>2533</v>
      </c>
      <c r="J452">
        <v>2703</v>
      </c>
      <c r="K452" t="s">
        <v>2533</v>
      </c>
      <c r="L452">
        <v>3100</v>
      </c>
      <c r="M452" t="s">
        <v>127</v>
      </c>
      <c r="N452">
        <v>3104</v>
      </c>
      <c r="O452" t="s">
        <v>2415</v>
      </c>
      <c r="P452" t="s">
        <v>3108</v>
      </c>
      <c r="Q452" t="s">
        <v>3249</v>
      </c>
      <c r="R452" t="s">
        <v>3249</v>
      </c>
      <c r="S452" t="s">
        <v>810</v>
      </c>
      <c r="T452" t="s">
        <v>2754</v>
      </c>
      <c r="U452" t="s">
        <v>3250</v>
      </c>
      <c r="V452" t="s">
        <v>3250</v>
      </c>
      <c r="W452" t="s">
        <v>3250</v>
      </c>
      <c r="X452" t="s">
        <v>3250</v>
      </c>
      <c r="Y452" t="s">
        <v>3250</v>
      </c>
      <c r="Z452" t="s">
        <v>3250</v>
      </c>
      <c r="AA452" t="s">
        <v>3108</v>
      </c>
      <c r="AB452" t="s">
        <v>3108</v>
      </c>
      <c r="AC452" t="s">
        <v>3250</v>
      </c>
      <c r="AD452" t="s">
        <v>3250</v>
      </c>
      <c r="AE452" t="s">
        <v>3250</v>
      </c>
      <c r="AF452" t="s">
        <v>3250</v>
      </c>
      <c r="AG452" t="s">
        <v>3250</v>
      </c>
      <c r="AH452" t="s">
        <v>3250</v>
      </c>
      <c r="AI452" t="s">
        <v>3250</v>
      </c>
      <c r="AJ452" t="s">
        <v>3250</v>
      </c>
      <c r="AL452" t="s">
        <v>3250</v>
      </c>
      <c r="AM452" t="s">
        <v>3250</v>
      </c>
      <c r="AN452" t="s">
        <v>3250</v>
      </c>
      <c r="AO452" t="s">
        <v>3250</v>
      </c>
      <c r="AS452" t="s">
        <v>3250</v>
      </c>
      <c r="AT452" t="s">
        <v>3250</v>
      </c>
      <c r="AU452" t="s">
        <v>3250</v>
      </c>
      <c r="AV452" t="s">
        <v>3250</v>
      </c>
      <c r="AW452" t="s">
        <v>3250</v>
      </c>
      <c r="AX452" t="s">
        <v>3250</v>
      </c>
      <c r="AY452" t="s">
        <v>3250</v>
      </c>
      <c r="AZ452" t="s">
        <v>3250</v>
      </c>
      <c r="BA452" t="s">
        <v>3250</v>
      </c>
      <c r="BB452" t="s">
        <v>3250</v>
      </c>
      <c r="BC452" t="s">
        <v>3250</v>
      </c>
      <c r="BE452" t="s">
        <v>3250</v>
      </c>
      <c r="BF452" t="s">
        <v>3250</v>
      </c>
      <c r="BG452" t="s">
        <v>3250</v>
      </c>
      <c r="BH452" t="s">
        <v>3250</v>
      </c>
      <c r="BI452" t="s">
        <v>3250</v>
      </c>
      <c r="BK452" t="s">
        <v>3250</v>
      </c>
      <c r="BL452" t="s">
        <v>3250</v>
      </c>
      <c r="BM452" t="s">
        <v>3250</v>
      </c>
      <c r="BN452" t="s">
        <v>3250</v>
      </c>
      <c r="BP452">
        <v>8</v>
      </c>
      <c r="BQ452">
        <v>82</v>
      </c>
      <c r="BR452" t="s">
        <v>2415</v>
      </c>
      <c r="BS452" t="s">
        <v>4013</v>
      </c>
      <c r="BV452">
        <v>0</v>
      </c>
      <c r="BW452">
        <v>2700</v>
      </c>
      <c r="BX452">
        <v>0</v>
      </c>
      <c r="BY452">
        <v>0</v>
      </c>
      <c r="BZ452">
        <v>0</v>
      </c>
      <c r="CA452">
        <v>0</v>
      </c>
      <c r="CB452">
        <v>0</v>
      </c>
      <c r="CC452">
        <v>0</v>
      </c>
      <c r="CD452">
        <v>0</v>
      </c>
      <c r="CE452" t="s">
        <v>3108</v>
      </c>
      <c r="CF452" t="s">
        <v>3108</v>
      </c>
      <c r="CG452" t="s">
        <v>3108</v>
      </c>
      <c r="CH452" t="s">
        <v>3108</v>
      </c>
    </row>
    <row r="453" spans="1:86" x14ac:dyDescent="0.2">
      <c r="A453" t="s">
        <v>4023</v>
      </c>
      <c r="B453" t="s">
        <v>4023</v>
      </c>
      <c r="C453">
        <v>40746</v>
      </c>
      <c r="D453">
        <v>128</v>
      </c>
      <c r="E453" t="s">
        <v>4010</v>
      </c>
      <c r="F453">
        <v>2900</v>
      </c>
      <c r="G453" t="s">
        <v>822</v>
      </c>
      <c r="H453" t="s">
        <v>3108</v>
      </c>
      <c r="I453" t="s">
        <v>3108</v>
      </c>
      <c r="J453">
        <v>2904</v>
      </c>
      <c r="K453" t="s">
        <v>1690</v>
      </c>
      <c r="L453">
        <v>2100</v>
      </c>
      <c r="M453" t="s">
        <v>123</v>
      </c>
      <c r="N453">
        <v>2112</v>
      </c>
      <c r="O453" t="s">
        <v>2404</v>
      </c>
      <c r="P453" t="s">
        <v>3108</v>
      </c>
      <c r="Q453" t="s">
        <v>3249</v>
      </c>
      <c r="R453" t="s">
        <v>3249</v>
      </c>
      <c r="S453" t="s">
        <v>810</v>
      </c>
      <c r="T453" t="s">
        <v>2754</v>
      </c>
      <c r="U453" t="s">
        <v>3250</v>
      </c>
      <c r="V453" t="s">
        <v>3250</v>
      </c>
      <c r="W453" t="s">
        <v>3250</v>
      </c>
      <c r="X453" t="s">
        <v>3250</v>
      </c>
      <c r="Y453" t="s">
        <v>3250</v>
      </c>
      <c r="Z453" t="s">
        <v>3250</v>
      </c>
      <c r="AA453" t="s">
        <v>3108</v>
      </c>
      <c r="AB453" t="s">
        <v>3108</v>
      </c>
      <c r="AC453" t="s">
        <v>3250</v>
      </c>
      <c r="AD453" t="s">
        <v>3250</v>
      </c>
      <c r="AE453" t="s">
        <v>3250</v>
      </c>
      <c r="AF453" t="s">
        <v>3250</v>
      </c>
      <c r="AG453" t="s">
        <v>3250</v>
      </c>
      <c r="AH453" t="s">
        <v>3250</v>
      </c>
      <c r="AI453" t="s">
        <v>3250</v>
      </c>
      <c r="AJ453" t="s">
        <v>3250</v>
      </c>
      <c r="AL453" t="s">
        <v>3250</v>
      </c>
      <c r="AM453" t="s">
        <v>3250</v>
      </c>
      <c r="AN453" t="s">
        <v>3250</v>
      </c>
      <c r="AO453" t="s">
        <v>3250</v>
      </c>
      <c r="AS453" t="s">
        <v>3250</v>
      </c>
      <c r="AT453" t="s">
        <v>3250</v>
      </c>
      <c r="AU453" t="s">
        <v>3250</v>
      </c>
      <c r="AV453" t="s">
        <v>3250</v>
      </c>
      <c r="AW453" t="s">
        <v>3250</v>
      </c>
      <c r="AX453" t="s">
        <v>3250</v>
      </c>
      <c r="AY453" t="s">
        <v>3250</v>
      </c>
      <c r="AZ453" t="s">
        <v>3250</v>
      </c>
      <c r="BA453" t="s">
        <v>3250</v>
      </c>
      <c r="BB453" t="s">
        <v>3250</v>
      </c>
      <c r="BC453" t="s">
        <v>3250</v>
      </c>
      <c r="BE453" t="s">
        <v>3250</v>
      </c>
      <c r="BF453" t="s">
        <v>3250</v>
      </c>
      <c r="BG453" t="s">
        <v>3250</v>
      </c>
      <c r="BH453" t="s">
        <v>3250</v>
      </c>
      <c r="BI453" t="s">
        <v>3250</v>
      </c>
      <c r="BK453" t="s">
        <v>3250</v>
      </c>
      <c r="BL453" t="s">
        <v>3250</v>
      </c>
      <c r="BM453" t="s">
        <v>3250</v>
      </c>
      <c r="BN453" t="s">
        <v>3250</v>
      </c>
      <c r="BP453">
        <v>4</v>
      </c>
      <c r="BQ453">
        <v>46</v>
      </c>
      <c r="BR453" t="s">
        <v>2404</v>
      </c>
      <c r="BS453" t="s">
        <v>4024</v>
      </c>
      <c r="BV453">
        <v>0</v>
      </c>
      <c r="BW453">
        <v>50470</v>
      </c>
      <c r="BX453">
        <v>1900</v>
      </c>
      <c r="BY453">
        <v>160000</v>
      </c>
      <c r="BZ453">
        <v>160000</v>
      </c>
      <c r="CA453">
        <v>160000</v>
      </c>
      <c r="CB453">
        <v>166400</v>
      </c>
      <c r="CC453">
        <v>173056</v>
      </c>
      <c r="CD453">
        <v>0</v>
      </c>
      <c r="CE453" t="s">
        <v>3108</v>
      </c>
      <c r="CF453" t="s">
        <v>3108</v>
      </c>
      <c r="CG453" t="s">
        <v>3108</v>
      </c>
      <c r="CH453" t="s">
        <v>3108</v>
      </c>
    </row>
    <row r="454" spans="1:86" x14ac:dyDescent="0.2">
      <c r="A454" t="s">
        <v>4025</v>
      </c>
      <c r="B454" t="s">
        <v>4025</v>
      </c>
      <c r="C454">
        <v>40747</v>
      </c>
      <c r="D454">
        <v>129</v>
      </c>
      <c r="E454" t="s">
        <v>3999</v>
      </c>
      <c r="F454">
        <v>2700</v>
      </c>
      <c r="G454" t="s">
        <v>411</v>
      </c>
      <c r="H454" t="s">
        <v>3997</v>
      </c>
      <c r="I454" t="s">
        <v>2533</v>
      </c>
      <c r="J454">
        <v>2703</v>
      </c>
      <c r="K454" t="s">
        <v>2533</v>
      </c>
      <c r="L454">
        <v>2100</v>
      </c>
      <c r="M454" t="s">
        <v>123</v>
      </c>
      <c r="N454">
        <v>2112</v>
      </c>
      <c r="O454" t="s">
        <v>2404</v>
      </c>
      <c r="P454" t="s">
        <v>3108</v>
      </c>
      <c r="Q454" t="s">
        <v>3249</v>
      </c>
      <c r="R454" t="s">
        <v>3249</v>
      </c>
      <c r="S454" t="s">
        <v>810</v>
      </c>
      <c r="T454" t="s">
        <v>2754</v>
      </c>
      <c r="U454" t="s">
        <v>3250</v>
      </c>
      <c r="V454" t="s">
        <v>3250</v>
      </c>
      <c r="W454" t="s">
        <v>3250</v>
      </c>
      <c r="X454" t="s">
        <v>3250</v>
      </c>
      <c r="Y454" t="s">
        <v>3250</v>
      </c>
      <c r="Z454" t="s">
        <v>3250</v>
      </c>
      <c r="AA454" t="s">
        <v>3108</v>
      </c>
      <c r="AB454" t="s">
        <v>3108</v>
      </c>
      <c r="AC454" t="s">
        <v>3250</v>
      </c>
      <c r="AD454" t="s">
        <v>3250</v>
      </c>
      <c r="AE454" t="s">
        <v>3250</v>
      </c>
      <c r="AF454" t="s">
        <v>3250</v>
      </c>
      <c r="AG454" t="s">
        <v>3250</v>
      </c>
      <c r="AH454" t="s">
        <v>3250</v>
      </c>
      <c r="AI454" t="s">
        <v>3250</v>
      </c>
      <c r="AJ454" t="s">
        <v>3250</v>
      </c>
      <c r="AL454" t="s">
        <v>3250</v>
      </c>
      <c r="AM454" t="s">
        <v>3250</v>
      </c>
      <c r="AN454" t="s">
        <v>3250</v>
      </c>
      <c r="AO454" t="s">
        <v>3250</v>
      </c>
      <c r="AS454" t="s">
        <v>3250</v>
      </c>
      <c r="AT454" t="s">
        <v>3250</v>
      </c>
      <c r="AU454" t="s">
        <v>3250</v>
      </c>
      <c r="AV454" t="s">
        <v>3250</v>
      </c>
      <c r="AW454" t="s">
        <v>3250</v>
      </c>
      <c r="AX454" t="s">
        <v>3250</v>
      </c>
      <c r="AY454" t="s">
        <v>3250</v>
      </c>
      <c r="AZ454" t="s">
        <v>3250</v>
      </c>
      <c r="BA454" t="s">
        <v>3250</v>
      </c>
      <c r="BB454" t="s">
        <v>3250</v>
      </c>
      <c r="BC454" t="s">
        <v>3250</v>
      </c>
      <c r="BE454" t="s">
        <v>3250</v>
      </c>
      <c r="BF454" t="s">
        <v>3250</v>
      </c>
      <c r="BG454" t="s">
        <v>3250</v>
      </c>
      <c r="BH454" t="s">
        <v>3250</v>
      </c>
      <c r="BI454" t="s">
        <v>3250</v>
      </c>
      <c r="BK454" t="s">
        <v>3250</v>
      </c>
      <c r="BL454" t="s">
        <v>3250</v>
      </c>
      <c r="BM454" t="s">
        <v>3250</v>
      </c>
      <c r="BN454" t="s">
        <v>3250</v>
      </c>
      <c r="BP454">
        <v>4</v>
      </c>
      <c r="BQ454">
        <v>46</v>
      </c>
      <c r="BR454" t="s">
        <v>2404</v>
      </c>
      <c r="BS454" t="s">
        <v>4024</v>
      </c>
      <c r="BV454">
        <v>0</v>
      </c>
      <c r="BW454">
        <v>2982</v>
      </c>
      <c r="BX454">
        <v>0</v>
      </c>
      <c r="BY454">
        <v>0</v>
      </c>
      <c r="BZ454">
        <v>0</v>
      </c>
      <c r="CA454">
        <v>0</v>
      </c>
      <c r="CB454">
        <v>0</v>
      </c>
      <c r="CC454">
        <v>0</v>
      </c>
      <c r="CD454">
        <v>0</v>
      </c>
      <c r="CE454" t="s">
        <v>3108</v>
      </c>
      <c r="CF454" t="s">
        <v>3108</v>
      </c>
      <c r="CG454" t="s">
        <v>3108</v>
      </c>
      <c r="CH454" t="s">
        <v>3108</v>
      </c>
    </row>
    <row r="455" spans="1:86" x14ac:dyDescent="0.2">
      <c r="A455" t="s">
        <v>4026</v>
      </c>
      <c r="B455" t="s">
        <v>4026</v>
      </c>
      <c r="C455">
        <v>40748</v>
      </c>
      <c r="D455">
        <v>123</v>
      </c>
      <c r="E455" t="s">
        <v>4027</v>
      </c>
      <c r="F455">
        <v>2900</v>
      </c>
      <c r="G455" t="s">
        <v>822</v>
      </c>
      <c r="H455" t="s">
        <v>3108</v>
      </c>
      <c r="I455" t="s">
        <v>3108</v>
      </c>
      <c r="J455">
        <v>2904</v>
      </c>
      <c r="K455" t="s">
        <v>1690</v>
      </c>
      <c r="L455">
        <v>2100</v>
      </c>
      <c r="M455" t="s">
        <v>123</v>
      </c>
      <c r="N455">
        <v>2111</v>
      </c>
      <c r="O455" t="s">
        <v>2403</v>
      </c>
      <c r="P455" t="s">
        <v>3108</v>
      </c>
      <c r="Q455" t="s">
        <v>3249</v>
      </c>
      <c r="R455" t="s">
        <v>3249</v>
      </c>
      <c r="S455" t="s">
        <v>810</v>
      </c>
      <c r="T455" t="s">
        <v>2754</v>
      </c>
      <c r="U455" t="s">
        <v>3250</v>
      </c>
      <c r="V455" t="s">
        <v>3250</v>
      </c>
      <c r="W455" t="s">
        <v>3250</v>
      </c>
      <c r="X455" t="s">
        <v>3250</v>
      </c>
      <c r="Y455" t="s">
        <v>3250</v>
      </c>
      <c r="Z455" t="s">
        <v>3250</v>
      </c>
      <c r="AA455" t="s">
        <v>3108</v>
      </c>
      <c r="AB455" t="s">
        <v>3108</v>
      </c>
      <c r="AC455" t="s">
        <v>3250</v>
      </c>
      <c r="AD455" t="s">
        <v>3250</v>
      </c>
      <c r="AE455" t="s">
        <v>3250</v>
      </c>
      <c r="AF455" t="s">
        <v>3250</v>
      </c>
      <c r="AG455" t="s">
        <v>3250</v>
      </c>
      <c r="AH455" t="s">
        <v>3250</v>
      </c>
      <c r="AI455" t="s">
        <v>3250</v>
      </c>
      <c r="AJ455" t="s">
        <v>3250</v>
      </c>
      <c r="AL455" t="s">
        <v>3250</v>
      </c>
      <c r="AM455" t="s">
        <v>3250</v>
      </c>
      <c r="AN455" t="s">
        <v>3250</v>
      </c>
      <c r="AO455" t="s">
        <v>3250</v>
      </c>
      <c r="AS455" t="s">
        <v>3250</v>
      </c>
      <c r="AT455" t="s">
        <v>3250</v>
      </c>
      <c r="AU455" t="s">
        <v>3250</v>
      </c>
      <c r="AV455" t="s">
        <v>3250</v>
      </c>
      <c r="AW455" t="s">
        <v>3250</v>
      </c>
      <c r="AX455" t="s">
        <v>3250</v>
      </c>
      <c r="AY455" t="s">
        <v>3250</v>
      </c>
      <c r="AZ455" t="s">
        <v>3250</v>
      </c>
      <c r="BA455" t="s">
        <v>3250</v>
      </c>
      <c r="BB455" t="s">
        <v>3250</v>
      </c>
      <c r="BC455" t="s">
        <v>3250</v>
      </c>
      <c r="BE455" t="s">
        <v>3250</v>
      </c>
      <c r="BF455" t="s">
        <v>3250</v>
      </c>
      <c r="BG455" t="s">
        <v>3250</v>
      </c>
      <c r="BH455" t="s">
        <v>3250</v>
      </c>
      <c r="BI455" t="s">
        <v>3250</v>
      </c>
      <c r="BK455" t="s">
        <v>3250</v>
      </c>
      <c r="BL455" t="s">
        <v>3250</v>
      </c>
      <c r="BM455" t="s">
        <v>3250</v>
      </c>
      <c r="BN455" t="s">
        <v>3250</v>
      </c>
      <c r="BP455">
        <v>4</v>
      </c>
      <c r="BQ455">
        <v>45</v>
      </c>
      <c r="BR455" t="s">
        <v>2403</v>
      </c>
      <c r="BS455" t="s">
        <v>4024</v>
      </c>
      <c r="BV455">
        <v>0</v>
      </c>
      <c r="BW455">
        <v>0</v>
      </c>
      <c r="BX455">
        <v>0</v>
      </c>
      <c r="BY455">
        <v>0</v>
      </c>
      <c r="BZ455">
        <v>0</v>
      </c>
      <c r="CA455">
        <v>0</v>
      </c>
      <c r="CB455">
        <v>0</v>
      </c>
      <c r="CC455">
        <v>0</v>
      </c>
      <c r="CD455">
        <v>0</v>
      </c>
      <c r="CE455" t="s">
        <v>3108</v>
      </c>
      <c r="CF455" t="s">
        <v>3108</v>
      </c>
      <c r="CG455" t="s">
        <v>3108</v>
      </c>
      <c r="CH455" t="s">
        <v>3108</v>
      </c>
    </row>
    <row r="456" spans="1:86" x14ac:dyDescent="0.2">
      <c r="A456" t="s">
        <v>4028</v>
      </c>
      <c r="B456" t="s">
        <v>4028</v>
      </c>
      <c r="C456">
        <v>40749</v>
      </c>
      <c r="D456">
        <v>124</v>
      </c>
      <c r="E456" t="s">
        <v>4029</v>
      </c>
      <c r="F456">
        <v>2900</v>
      </c>
      <c r="G456" t="s">
        <v>822</v>
      </c>
      <c r="H456" t="s">
        <v>3108</v>
      </c>
      <c r="I456" t="s">
        <v>3108</v>
      </c>
      <c r="J456">
        <v>2904</v>
      </c>
      <c r="K456" t="s">
        <v>1690</v>
      </c>
      <c r="L456">
        <v>2100</v>
      </c>
      <c r="M456" t="s">
        <v>123</v>
      </c>
      <c r="N456">
        <v>2111</v>
      </c>
      <c r="O456" t="s">
        <v>2403</v>
      </c>
      <c r="P456" t="s">
        <v>3108</v>
      </c>
      <c r="Q456" t="s">
        <v>3249</v>
      </c>
      <c r="R456" t="s">
        <v>3249</v>
      </c>
      <c r="S456" t="s">
        <v>810</v>
      </c>
      <c r="T456" t="s">
        <v>2754</v>
      </c>
      <c r="U456" t="s">
        <v>3250</v>
      </c>
      <c r="V456" t="s">
        <v>3250</v>
      </c>
      <c r="W456" t="s">
        <v>3250</v>
      </c>
      <c r="X456" t="s">
        <v>3250</v>
      </c>
      <c r="Y456" t="s">
        <v>3250</v>
      </c>
      <c r="Z456" t="s">
        <v>3250</v>
      </c>
      <c r="AA456" t="s">
        <v>3108</v>
      </c>
      <c r="AB456" t="s">
        <v>3108</v>
      </c>
      <c r="AC456" t="s">
        <v>3250</v>
      </c>
      <c r="AD456" t="s">
        <v>3250</v>
      </c>
      <c r="AE456" t="s">
        <v>3250</v>
      </c>
      <c r="AF456" t="s">
        <v>3250</v>
      </c>
      <c r="AG456" t="s">
        <v>3250</v>
      </c>
      <c r="AH456" t="s">
        <v>3250</v>
      </c>
      <c r="AI456" t="s">
        <v>3250</v>
      </c>
      <c r="AJ456" t="s">
        <v>3250</v>
      </c>
      <c r="AL456" t="s">
        <v>3250</v>
      </c>
      <c r="AM456" t="s">
        <v>3250</v>
      </c>
      <c r="AN456" t="s">
        <v>3250</v>
      </c>
      <c r="AO456" t="s">
        <v>3250</v>
      </c>
      <c r="AS456" t="s">
        <v>3250</v>
      </c>
      <c r="AT456" t="s">
        <v>3250</v>
      </c>
      <c r="AU456" t="s">
        <v>3250</v>
      </c>
      <c r="AV456" t="s">
        <v>3250</v>
      </c>
      <c r="AW456" t="s">
        <v>3250</v>
      </c>
      <c r="AX456" t="s">
        <v>3250</v>
      </c>
      <c r="AY456" t="s">
        <v>3250</v>
      </c>
      <c r="AZ456" t="s">
        <v>3250</v>
      </c>
      <c r="BA456" t="s">
        <v>3250</v>
      </c>
      <c r="BB456" t="s">
        <v>3250</v>
      </c>
      <c r="BC456" t="s">
        <v>3250</v>
      </c>
      <c r="BE456" t="s">
        <v>3250</v>
      </c>
      <c r="BF456" t="s">
        <v>3250</v>
      </c>
      <c r="BG456" t="s">
        <v>3250</v>
      </c>
      <c r="BH456" t="s">
        <v>3250</v>
      </c>
      <c r="BI456" t="s">
        <v>3250</v>
      </c>
      <c r="BK456" t="s">
        <v>3250</v>
      </c>
      <c r="BL456" t="s">
        <v>3250</v>
      </c>
      <c r="BM456" t="s">
        <v>3250</v>
      </c>
      <c r="BN456" t="s">
        <v>3250</v>
      </c>
      <c r="BP456">
        <v>4</v>
      </c>
      <c r="BQ456">
        <v>45</v>
      </c>
      <c r="BR456" t="s">
        <v>2403</v>
      </c>
      <c r="BS456" t="s">
        <v>4024</v>
      </c>
      <c r="BV456">
        <v>41000</v>
      </c>
      <c r="BW456">
        <v>57600</v>
      </c>
      <c r="BX456">
        <v>41000</v>
      </c>
      <c r="BY456">
        <v>60000</v>
      </c>
      <c r="BZ456">
        <v>0</v>
      </c>
      <c r="CA456">
        <v>60000</v>
      </c>
      <c r="CB456">
        <v>62400</v>
      </c>
      <c r="CC456">
        <v>64896</v>
      </c>
      <c r="CD456">
        <v>0</v>
      </c>
      <c r="CE456" t="s">
        <v>3108</v>
      </c>
      <c r="CF456" t="s">
        <v>3108</v>
      </c>
      <c r="CG456" t="s">
        <v>3108</v>
      </c>
      <c r="CH456" t="s">
        <v>3108</v>
      </c>
    </row>
    <row r="457" spans="1:86" x14ac:dyDescent="0.2">
      <c r="A457" t="s">
        <v>4030</v>
      </c>
      <c r="B457" t="s">
        <v>4030</v>
      </c>
      <c r="C457">
        <v>40750</v>
      </c>
      <c r="D457">
        <v>125</v>
      </c>
      <c r="E457" t="s">
        <v>4031</v>
      </c>
      <c r="F457">
        <v>2900</v>
      </c>
      <c r="G457" t="s">
        <v>822</v>
      </c>
      <c r="H457" t="s">
        <v>3108</v>
      </c>
      <c r="I457" t="s">
        <v>3108</v>
      </c>
      <c r="J457">
        <v>2904</v>
      </c>
      <c r="K457" t="s">
        <v>1690</v>
      </c>
      <c r="L457">
        <v>2100</v>
      </c>
      <c r="M457" t="s">
        <v>123</v>
      </c>
      <c r="N457">
        <v>2111</v>
      </c>
      <c r="O457" t="s">
        <v>2403</v>
      </c>
      <c r="P457" t="s">
        <v>3108</v>
      </c>
      <c r="Q457" t="s">
        <v>3249</v>
      </c>
      <c r="R457" t="s">
        <v>3249</v>
      </c>
      <c r="S457" t="s">
        <v>810</v>
      </c>
      <c r="T457" t="s">
        <v>2754</v>
      </c>
      <c r="U457" t="s">
        <v>3250</v>
      </c>
      <c r="V457" t="s">
        <v>3250</v>
      </c>
      <c r="W457" t="s">
        <v>3250</v>
      </c>
      <c r="X457" t="s">
        <v>3250</v>
      </c>
      <c r="Y457" t="s">
        <v>3250</v>
      </c>
      <c r="Z457" t="s">
        <v>3250</v>
      </c>
      <c r="AA457" t="s">
        <v>3108</v>
      </c>
      <c r="AB457" t="s">
        <v>3108</v>
      </c>
      <c r="AC457" t="s">
        <v>3250</v>
      </c>
      <c r="AD457" t="s">
        <v>3250</v>
      </c>
      <c r="AE457" t="s">
        <v>3250</v>
      </c>
      <c r="AF457" t="s">
        <v>3250</v>
      </c>
      <c r="AG457" t="s">
        <v>3250</v>
      </c>
      <c r="AH457" t="s">
        <v>3250</v>
      </c>
      <c r="AI457" t="s">
        <v>3250</v>
      </c>
      <c r="AJ457" t="s">
        <v>3250</v>
      </c>
      <c r="AL457" t="s">
        <v>3250</v>
      </c>
      <c r="AM457" t="s">
        <v>3250</v>
      </c>
      <c r="AN457" t="s">
        <v>3250</v>
      </c>
      <c r="AO457" t="s">
        <v>3250</v>
      </c>
      <c r="AS457" t="s">
        <v>3250</v>
      </c>
      <c r="AT457" t="s">
        <v>3250</v>
      </c>
      <c r="AU457" t="s">
        <v>3250</v>
      </c>
      <c r="AV457" t="s">
        <v>3250</v>
      </c>
      <c r="AW457" t="s">
        <v>3250</v>
      </c>
      <c r="AX457" t="s">
        <v>3250</v>
      </c>
      <c r="AY457" t="s">
        <v>3250</v>
      </c>
      <c r="AZ457" t="s">
        <v>3250</v>
      </c>
      <c r="BA457" t="s">
        <v>3250</v>
      </c>
      <c r="BB457" t="s">
        <v>3250</v>
      </c>
      <c r="BC457" t="s">
        <v>3250</v>
      </c>
      <c r="BE457" t="s">
        <v>3250</v>
      </c>
      <c r="BF457" t="s">
        <v>3250</v>
      </c>
      <c r="BG457" t="s">
        <v>3250</v>
      </c>
      <c r="BH457" t="s">
        <v>3250</v>
      </c>
      <c r="BI457" t="s">
        <v>3250</v>
      </c>
      <c r="BK457" t="s">
        <v>3250</v>
      </c>
      <c r="BL457" t="s">
        <v>3250</v>
      </c>
      <c r="BM457" t="s">
        <v>3250</v>
      </c>
      <c r="BN457" t="s">
        <v>3250</v>
      </c>
      <c r="BP457">
        <v>4</v>
      </c>
      <c r="BQ457">
        <v>45</v>
      </c>
      <c r="BR457" t="s">
        <v>2403</v>
      </c>
      <c r="BS457" t="s">
        <v>4024</v>
      </c>
      <c r="BV457">
        <v>5492</v>
      </c>
      <c r="BW457">
        <v>21664</v>
      </c>
      <c r="BX457">
        <v>27495</v>
      </c>
      <c r="BY457">
        <v>90000</v>
      </c>
      <c r="BZ457">
        <v>0</v>
      </c>
      <c r="CA457">
        <v>50000</v>
      </c>
      <c r="CB457">
        <v>52000</v>
      </c>
      <c r="CC457">
        <v>54080</v>
      </c>
      <c r="CD457">
        <v>0</v>
      </c>
      <c r="CE457" t="s">
        <v>3108</v>
      </c>
      <c r="CF457" t="s">
        <v>3108</v>
      </c>
      <c r="CG457" t="s">
        <v>3108</v>
      </c>
      <c r="CH457" t="s">
        <v>3108</v>
      </c>
    </row>
    <row r="458" spans="1:86" x14ac:dyDescent="0.2">
      <c r="A458" t="s">
        <v>4032</v>
      </c>
      <c r="B458" t="s">
        <v>4032</v>
      </c>
      <c r="C458">
        <v>40751</v>
      </c>
      <c r="D458">
        <v>126</v>
      </c>
      <c r="E458" t="s">
        <v>4033</v>
      </c>
      <c r="F458">
        <v>2900</v>
      </c>
      <c r="G458" t="s">
        <v>822</v>
      </c>
      <c r="H458" t="s">
        <v>3108</v>
      </c>
      <c r="I458" t="s">
        <v>3108</v>
      </c>
      <c r="J458">
        <v>2904</v>
      </c>
      <c r="K458" t="s">
        <v>1690</v>
      </c>
      <c r="L458">
        <v>2100</v>
      </c>
      <c r="M458" t="s">
        <v>123</v>
      </c>
      <c r="N458">
        <v>2111</v>
      </c>
      <c r="O458" t="s">
        <v>2403</v>
      </c>
      <c r="P458" t="s">
        <v>3108</v>
      </c>
      <c r="Q458" t="s">
        <v>3249</v>
      </c>
      <c r="R458" t="s">
        <v>3249</v>
      </c>
      <c r="S458" t="s">
        <v>810</v>
      </c>
      <c r="T458" t="s">
        <v>2754</v>
      </c>
      <c r="U458" t="s">
        <v>3250</v>
      </c>
      <c r="V458" t="s">
        <v>3250</v>
      </c>
      <c r="W458" t="s">
        <v>3250</v>
      </c>
      <c r="X458" t="s">
        <v>3250</v>
      </c>
      <c r="Y458" t="s">
        <v>3250</v>
      </c>
      <c r="Z458" t="s">
        <v>3250</v>
      </c>
      <c r="AA458" t="s">
        <v>3108</v>
      </c>
      <c r="AB458" t="s">
        <v>3108</v>
      </c>
      <c r="AC458" t="s">
        <v>3250</v>
      </c>
      <c r="AD458" t="s">
        <v>3250</v>
      </c>
      <c r="AE458" t="s">
        <v>3250</v>
      </c>
      <c r="AF458" t="s">
        <v>3250</v>
      </c>
      <c r="AG458" t="s">
        <v>3250</v>
      </c>
      <c r="AH458" t="s">
        <v>3250</v>
      </c>
      <c r="AI458" t="s">
        <v>3250</v>
      </c>
      <c r="AJ458" t="s">
        <v>3250</v>
      </c>
      <c r="AL458" t="s">
        <v>3250</v>
      </c>
      <c r="AM458" t="s">
        <v>3250</v>
      </c>
      <c r="AN458" t="s">
        <v>3250</v>
      </c>
      <c r="AO458" t="s">
        <v>3250</v>
      </c>
      <c r="AS458" t="s">
        <v>3250</v>
      </c>
      <c r="AT458" t="s">
        <v>3250</v>
      </c>
      <c r="AU458" t="s">
        <v>3250</v>
      </c>
      <c r="AV458" t="s">
        <v>3250</v>
      </c>
      <c r="AW458" t="s">
        <v>3250</v>
      </c>
      <c r="AX458" t="s">
        <v>3250</v>
      </c>
      <c r="AY458" t="s">
        <v>3250</v>
      </c>
      <c r="AZ458" t="s">
        <v>3250</v>
      </c>
      <c r="BA458" t="s">
        <v>3250</v>
      </c>
      <c r="BB458" t="s">
        <v>3250</v>
      </c>
      <c r="BC458" t="s">
        <v>3250</v>
      </c>
      <c r="BE458" t="s">
        <v>3250</v>
      </c>
      <c r="BF458" t="s">
        <v>3250</v>
      </c>
      <c r="BG458" t="s">
        <v>3250</v>
      </c>
      <c r="BH458" t="s">
        <v>3250</v>
      </c>
      <c r="BI458" t="s">
        <v>3250</v>
      </c>
      <c r="BK458" t="s">
        <v>3250</v>
      </c>
      <c r="BL458" t="s">
        <v>3250</v>
      </c>
      <c r="BM458" t="s">
        <v>3250</v>
      </c>
      <c r="BN458" t="s">
        <v>3250</v>
      </c>
      <c r="BP458">
        <v>4</v>
      </c>
      <c r="BQ458">
        <v>45</v>
      </c>
      <c r="BR458" t="s">
        <v>2403</v>
      </c>
      <c r="BS458" t="s">
        <v>4024</v>
      </c>
      <c r="BV458">
        <v>0</v>
      </c>
      <c r="BW458">
        <v>12754</v>
      </c>
      <c r="BX458">
        <v>7514</v>
      </c>
      <c r="BY458">
        <v>0</v>
      </c>
      <c r="BZ458">
        <v>0</v>
      </c>
      <c r="CA458">
        <v>0</v>
      </c>
      <c r="CB458">
        <v>0</v>
      </c>
      <c r="CC458">
        <v>0</v>
      </c>
      <c r="CD458">
        <v>0</v>
      </c>
      <c r="CE458" t="s">
        <v>3108</v>
      </c>
      <c r="CF458" t="s">
        <v>3108</v>
      </c>
      <c r="CG458" t="s">
        <v>3108</v>
      </c>
      <c r="CH458" t="s">
        <v>3108</v>
      </c>
    </row>
    <row r="459" spans="1:86" x14ac:dyDescent="0.2">
      <c r="A459" t="s">
        <v>4034</v>
      </c>
      <c r="B459" t="s">
        <v>4034</v>
      </c>
      <c r="C459">
        <v>40752</v>
      </c>
      <c r="D459">
        <v>127</v>
      </c>
      <c r="E459" t="s">
        <v>4035</v>
      </c>
      <c r="F459">
        <v>2900</v>
      </c>
      <c r="G459" t="s">
        <v>822</v>
      </c>
      <c r="H459" t="s">
        <v>3108</v>
      </c>
      <c r="I459" t="s">
        <v>3108</v>
      </c>
      <c r="J459">
        <v>2904</v>
      </c>
      <c r="K459" t="s">
        <v>1690</v>
      </c>
      <c r="L459">
        <v>2100</v>
      </c>
      <c r="M459" t="s">
        <v>123</v>
      </c>
      <c r="N459">
        <v>2111</v>
      </c>
      <c r="O459" t="s">
        <v>2403</v>
      </c>
      <c r="P459" t="s">
        <v>3108</v>
      </c>
      <c r="Q459" t="s">
        <v>3249</v>
      </c>
      <c r="R459" t="s">
        <v>3249</v>
      </c>
      <c r="S459" t="s">
        <v>810</v>
      </c>
      <c r="T459" t="s">
        <v>2754</v>
      </c>
      <c r="U459" t="s">
        <v>3250</v>
      </c>
      <c r="V459" t="s">
        <v>3250</v>
      </c>
      <c r="W459" t="s">
        <v>3250</v>
      </c>
      <c r="X459" t="s">
        <v>3250</v>
      </c>
      <c r="Y459" t="s">
        <v>3250</v>
      </c>
      <c r="Z459" t="s">
        <v>3250</v>
      </c>
      <c r="AA459" t="s">
        <v>3108</v>
      </c>
      <c r="AB459" t="s">
        <v>3108</v>
      </c>
      <c r="AC459" t="s">
        <v>3250</v>
      </c>
      <c r="AD459" t="s">
        <v>3250</v>
      </c>
      <c r="AE459" t="s">
        <v>3250</v>
      </c>
      <c r="AF459" t="s">
        <v>3250</v>
      </c>
      <c r="AG459" t="s">
        <v>3250</v>
      </c>
      <c r="AH459" t="s">
        <v>3250</v>
      </c>
      <c r="AI459" t="s">
        <v>3250</v>
      </c>
      <c r="AJ459" t="s">
        <v>3250</v>
      </c>
      <c r="AL459" t="s">
        <v>3250</v>
      </c>
      <c r="AM459" t="s">
        <v>3250</v>
      </c>
      <c r="AN459" t="s">
        <v>3250</v>
      </c>
      <c r="AO459" t="s">
        <v>3250</v>
      </c>
      <c r="AS459" t="s">
        <v>3250</v>
      </c>
      <c r="AT459" t="s">
        <v>3250</v>
      </c>
      <c r="AU459" t="s">
        <v>3250</v>
      </c>
      <c r="AV459" t="s">
        <v>3250</v>
      </c>
      <c r="AW459" t="s">
        <v>3250</v>
      </c>
      <c r="AX459" t="s">
        <v>3250</v>
      </c>
      <c r="AY459" t="s">
        <v>3250</v>
      </c>
      <c r="AZ459" t="s">
        <v>3250</v>
      </c>
      <c r="BA459" t="s">
        <v>3250</v>
      </c>
      <c r="BB459" t="s">
        <v>3250</v>
      </c>
      <c r="BC459" t="s">
        <v>3250</v>
      </c>
      <c r="BE459" t="s">
        <v>3250</v>
      </c>
      <c r="BF459" t="s">
        <v>3250</v>
      </c>
      <c r="BG459" t="s">
        <v>3250</v>
      </c>
      <c r="BH459" t="s">
        <v>3250</v>
      </c>
      <c r="BI459" t="s">
        <v>3250</v>
      </c>
      <c r="BK459" t="s">
        <v>3250</v>
      </c>
      <c r="BL459" t="s">
        <v>3250</v>
      </c>
      <c r="BM459" t="s">
        <v>3250</v>
      </c>
      <c r="BN459" t="s">
        <v>3250</v>
      </c>
      <c r="BP459">
        <v>4</v>
      </c>
      <c r="BQ459">
        <v>45</v>
      </c>
      <c r="BR459" t="s">
        <v>2403</v>
      </c>
      <c r="BS459" t="s">
        <v>4024</v>
      </c>
      <c r="BV459">
        <v>500</v>
      </c>
      <c r="BW459">
        <v>1078</v>
      </c>
      <c r="BX459">
        <v>0</v>
      </c>
      <c r="BY459">
        <v>1500</v>
      </c>
      <c r="BZ459">
        <v>0</v>
      </c>
      <c r="CA459">
        <v>1500</v>
      </c>
      <c r="CB459">
        <v>1560</v>
      </c>
      <c r="CC459">
        <v>1622</v>
      </c>
      <c r="CD459">
        <v>0</v>
      </c>
      <c r="CE459" t="s">
        <v>3108</v>
      </c>
      <c r="CF459" t="s">
        <v>3108</v>
      </c>
      <c r="CG459" t="s">
        <v>3108</v>
      </c>
      <c r="CH459" t="s">
        <v>3108</v>
      </c>
    </row>
    <row r="460" spans="1:86" x14ac:dyDescent="0.2">
      <c r="A460" t="s">
        <v>4036</v>
      </c>
      <c r="B460" t="s">
        <v>4036</v>
      </c>
      <c r="C460">
        <v>40753</v>
      </c>
      <c r="D460">
        <v>118</v>
      </c>
      <c r="E460" t="s">
        <v>4037</v>
      </c>
      <c r="F460">
        <v>2900</v>
      </c>
      <c r="G460" t="s">
        <v>822</v>
      </c>
      <c r="H460" t="s">
        <v>3108</v>
      </c>
      <c r="I460" t="s">
        <v>3108</v>
      </c>
      <c r="J460">
        <v>2904</v>
      </c>
      <c r="K460" t="s">
        <v>1690</v>
      </c>
      <c r="L460">
        <v>2100</v>
      </c>
      <c r="M460" t="s">
        <v>123</v>
      </c>
      <c r="N460">
        <v>2108</v>
      </c>
      <c r="O460" t="s">
        <v>2401</v>
      </c>
      <c r="P460" t="s">
        <v>3108</v>
      </c>
      <c r="Q460" t="s">
        <v>3249</v>
      </c>
      <c r="R460" t="s">
        <v>3249</v>
      </c>
      <c r="S460" t="s">
        <v>810</v>
      </c>
      <c r="T460" t="s">
        <v>2754</v>
      </c>
      <c r="U460" t="s">
        <v>3250</v>
      </c>
      <c r="V460" t="s">
        <v>3250</v>
      </c>
      <c r="W460" t="s">
        <v>3250</v>
      </c>
      <c r="X460" t="s">
        <v>3250</v>
      </c>
      <c r="Y460" t="s">
        <v>3250</v>
      </c>
      <c r="Z460" t="s">
        <v>3250</v>
      </c>
      <c r="AA460" t="s">
        <v>3108</v>
      </c>
      <c r="AB460" t="s">
        <v>3108</v>
      </c>
      <c r="AC460" t="s">
        <v>3250</v>
      </c>
      <c r="AD460" t="s">
        <v>3250</v>
      </c>
      <c r="AE460" t="s">
        <v>3250</v>
      </c>
      <c r="AF460" t="s">
        <v>3250</v>
      </c>
      <c r="AG460" t="s">
        <v>3250</v>
      </c>
      <c r="AH460" t="s">
        <v>3250</v>
      </c>
      <c r="AI460" t="s">
        <v>3250</v>
      </c>
      <c r="AJ460" t="s">
        <v>3250</v>
      </c>
      <c r="AL460" t="s">
        <v>3250</v>
      </c>
      <c r="AM460" t="s">
        <v>3250</v>
      </c>
      <c r="AN460" t="s">
        <v>3250</v>
      </c>
      <c r="AO460" t="s">
        <v>3250</v>
      </c>
      <c r="AS460" t="s">
        <v>3250</v>
      </c>
      <c r="AT460" t="s">
        <v>3250</v>
      </c>
      <c r="AU460" t="s">
        <v>3250</v>
      </c>
      <c r="AV460" t="s">
        <v>3250</v>
      </c>
      <c r="AW460" t="s">
        <v>3250</v>
      </c>
      <c r="AX460" t="s">
        <v>3250</v>
      </c>
      <c r="AY460" t="s">
        <v>3250</v>
      </c>
      <c r="AZ460" t="s">
        <v>3250</v>
      </c>
      <c r="BA460" t="s">
        <v>3250</v>
      </c>
      <c r="BB460" t="s">
        <v>3250</v>
      </c>
      <c r="BC460" t="s">
        <v>3250</v>
      </c>
      <c r="BE460" t="s">
        <v>3250</v>
      </c>
      <c r="BF460" t="s">
        <v>3250</v>
      </c>
      <c r="BG460" t="s">
        <v>3250</v>
      </c>
      <c r="BH460" t="s">
        <v>3250</v>
      </c>
      <c r="BI460" t="s">
        <v>3250</v>
      </c>
      <c r="BK460" t="s">
        <v>3250</v>
      </c>
      <c r="BL460" t="s">
        <v>3250</v>
      </c>
      <c r="BM460" t="s">
        <v>3250</v>
      </c>
      <c r="BN460" t="s">
        <v>3250</v>
      </c>
      <c r="BP460">
        <v>4</v>
      </c>
      <c r="BQ460">
        <v>44</v>
      </c>
      <c r="BR460" t="s">
        <v>2401</v>
      </c>
      <c r="BS460" t="s">
        <v>4024</v>
      </c>
      <c r="BV460">
        <v>121530</v>
      </c>
      <c r="BW460">
        <v>256613</v>
      </c>
      <c r="BX460">
        <v>215847</v>
      </c>
      <c r="BY460">
        <v>320000</v>
      </c>
      <c r="BZ460">
        <v>200000</v>
      </c>
      <c r="CA460">
        <v>500000</v>
      </c>
      <c r="CB460">
        <v>520000</v>
      </c>
      <c r="CC460">
        <v>540800</v>
      </c>
      <c r="CD460">
        <v>291457</v>
      </c>
      <c r="CE460" t="s">
        <v>3108</v>
      </c>
      <c r="CF460" t="s">
        <v>3108</v>
      </c>
      <c r="CG460" t="s">
        <v>3108</v>
      </c>
      <c r="CH460" t="s">
        <v>3108</v>
      </c>
    </row>
    <row r="461" spans="1:86" x14ac:dyDescent="0.2">
      <c r="A461" t="s">
        <v>4038</v>
      </c>
      <c r="B461" t="s">
        <v>4038</v>
      </c>
      <c r="C461">
        <v>40754</v>
      </c>
      <c r="D461">
        <v>119</v>
      </c>
      <c r="E461" t="s">
        <v>4010</v>
      </c>
      <c r="F461">
        <v>2900</v>
      </c>
      <c r="G461" t="s">
        <v>822</v>
      </c>
      <c r="H461" t="s">
        <v>3108</v>
      </c>
      <c r="I461" t="s">
        <v>3108</v>
      </c>
      <c r="J461">
        <v>2904</v>
      </c>
      <c r="K461" t="s">
        <v>1690</v>
      </c>
      <c r="L461">
        <v>2100</v>
      </c>
      <c r="M461" t="s">
        <v>123</v>
      </c>
      <c r="N461">
        <v>2108</v>
      </c>
      <c r="O461" t="s">
        <v>2401</v>
      </c>
      <c r="P461" t="s">
        <v>3108</v>
      </c>
      <c r="Q461" t="s">
        <v>3249</v>
      </c>
      <c r="R461" t="s">
        <v>3249</v>
      </c>
      <c r="S461" t="s">
        <v>810</v>
      </c>
      <c r="T461" t="s">
        <v>2754</v>
      </c>
      <c r="U461" t="s">
        <v>3250</v>
      </c>
      <c r="V461" t="s">
        <v>3250</v>
      </c>
      <c r="W461" t="s">
        <v>3250</v>
      </c>
      <c r="X461" t="s">
        <v>3250</v>
      </c>
      <c r="Y461" t="s">
        <v>3250</v>
      </c>
      <c r="Z461" t="s">
        <v>3250</v>
      </c>
      <c r="AA461" t="s">
        <v>3108</v>
      </c>
      <c r="AB461" t="s">
        <v>3108</v>
      </c>
      <c r="AC461" t="s">
        <v>3250</v>
      </c>
      <c r="AD461" t="s">
        <v>3250</v>
      </c>
      <c r="AE461" t="s">
        <v>3250</v>
      </c>
      <c r="AF461" t="s">
        <v>3250</v>
      </c>
      <c r="AG461" t="s">
        <v>3250</v>
      </c>
      <c r="AH461" t="s">
        <v>3250</v>
      </c>
      <c r="AI461" t="s">
        <v>3250</v>
      </c>
      <c r="AJ461" t="s">
        <v>3250</v>
      </c>
      <c r="AL461" t="s">
        <v>3250</v>
      </c>
      <c r="AM461" t="s">
        <v>3250</v>
      </c>
      <c r="AN461" t="s">
        <v>3250</v>
      </c>
      <c r="AO461" t="s">
        <v>3250</v>
      </c>
      <c r="AS461" t="s">
        <v>3250</v>
      </c>
      <c r="AT461" t="s">
        <v>3250</v>
      </c>
      <c r="AU461" t="s">
        <v>3250</v>
      </c>
      <c r="AV461" t="s">
        <v>3250</v>
      </c>
      <c r="AW461" t="s">
        <v>3250</v>
      </c>
      <c r="AX461" t="s">
        <v>3250</v>
      </c>
      <c r="AY461" t="s">
        <v>3250</v>
      </c>
      <c r="AZ461" t="s">
        <v>3250</v>
      </c>
      <c r="BA461" t="s">
        <v>3250</v>
      </c>
      <c r="BB461" t="s">
        <v>3250</v>
      </c>
      <c r="BC461" t="s">
        <v>3250</v>
      </c>
      <c r="BE461" t="s">
        <v>3250</v>
      </c>
      <c r="BF461" t="s">
        <v>3250</v>
      </c>
      <c r="BG461" t="s">
        <v>3250</v>
      </c>
      <c r="BH461" t="s">
        <v>3250</v>
      </c>
      <c r="BI461" t="s">
        <v>3250</v>
      </c>
      <c r="BK461" t="s">
        <v>3250</v>
      </c>
      <c r="BL461" t="s">
        <v>3250</v>
      </c>
      <c r="BM461" t="s">
        <v>3250</v>
      </c>
      <c r="BN461" t="s">
        <v>3250</v>
      </c>
      <c r="BP461">
        <v>4</v>
      </c>
      <c r="BQ461">
        <v>44</v>
      </c>
      <c r="BR461" t="s">
        <v>2401</v>
      </c>
      <c r="BS461" t="s">
        <v>4024</v>
      </c>
      <c r="BV461">
        <v>3000</v>
      </c>
      <c r="BW461">
        <v>4870</v>
      </c>
      <c r="BX461">
        <v>202900</v>
      </c>
      <c r="BY461">
        <v>50000</v>
      </c>
      <c r="BZ461">
        <v>200000</v>
      </c>
      <c r="CA461">
        <v>50000</v>
      </c>
      <c r="CB461">
        <v>52000</v>
      </c>
      <c r="CC461">
        <v>54080</v>
      </c>
      <c r="CD461">
        <v>239654</v>
      </c>
      <c r="CE461" t="s">
        <v>3108</v>
      </c>
      <c r="CF461" t="s">
        <v>3108</v>
      </c>
      <c r="CG461" t="s">
        <v>3108</v>
      </c>
      <c r="CH461" t="s">
        <v>3108</v>
      </c>
    </row>
    <row r="462" spans="1:86" x14ac:dyDescent="0.2">
      <c r="A462" t="s">
        <v>4039</v>
      </c>
      <c r="B462" t="s">
        <v>4039</v>
      </c>
      <c r="C462">
        <v>40755</v>
      </c>
      <c r="D462">
        <v>120</v>
      </c>
      <c r="E462" t="s">
        <v>3990</v>
      </c>
      <c r="F462">
        <v>2900</v>
      </c>
      <c r="G462" t="s">
        <v>822</v>
      </c>
      <c r="H462" t="s">
        <v>3108</v>
      </c>
      <c r="I462" t="s">
        <v>3108</v>
      </c>
      <c r="J462">
        <v>2904</v>
      </c>
      <c r="K462" t="s">
        <v>1690</v>
      </c>
      <c r="L462">
        <v>2100</v>
      </c>
      <c r="M462" t="s">
        <v>123</v>
      </c>
      <c r="N462">
        <v>2108</v>
      </c>
      <c r="O462" t="s">
        <v>2401</v>
      </c>
      <c r="P462" t="s">
        <v>3108</v>
      </c>
      <c r="Q462" t="s">
        <v>3249</v>
      </c>
      <c r="R462" t="s">
        <v>3249</v>
      </c>
      <c r="S462" t="s">
        <v>810</v>
      </c>
      <c r="T462" t="s">
        <v>2754</v>
      </c>
      <c r="U462" t="s">
        <v>3250</v>
      </c>
      <c r="V462" t="s">
        <v>3250</v>
      </c>
      <c r="W462" t="s">
        <v>3250</v>
      </c>
      <c r="X462" t="s">
        <v>3250</v>
      </c>
      <c r="Y462" t="s">
        <v>3250</v>
      </c>
      <c r="Z462" t="s">
        <v>3250</v>
      </c>
      <c r="AA462" t="s">
        <v>3108</v>
      </c>
      <c r="AB462" t="s">
        <v>3108</v>
      </c>
      <c r="AC462" t="s">
        <v>3250</v>
      </c>
      <c r="AD462" t="s">
        <v>3250</v>
      </c>
      <c r="AE462" t="s">
        <v>3250</v>
      </c>
      <c r="AF462" t="s">
        <v>3250</v>
      </c>
      <c r="AG462" t="s">
        <v>3250</v>
      </c>
      <c r="AH462" t="s">
        <v>3250</v>
      </c>
      <c r="AI462" t="s">
        <v>3250</v>
      </c>
      <c r="AJ462" t="s">
        <v>3250</v>
      </c>
      <c r="AL462" t="s">
        <v>3250</v>
      </c>
      <c r="AM462" t="s">
        <v>3250</v>
      </c>
      <c r="AN462" t="s">
        <v>3250</v>
      </c>
      <c r="AO462" t="s">
        <v>3250</v>
      </c>
      <c r="AS462" t="s">
        <v>3250</v>
      </c>
      <c r="AT462" t="s">
        <v>3250</v>
      </c>
      <c r="AU462" t="s">
        <v>3250</v>
      </c>
      <c r="AV462" t="s">
        <v>3250</v>
      </c>
      <c r="AW462" t="s">
        <v>3250</v>
      </c>
      <c r="AX462" t="s">
        <v>3250</v>
      </c>
      <c r="AY462" t="s">
        <v>3250</v>
      </c>
      <c r="AZ462" t="s">
        <v>3250</v>
      </c>
      <c r="BA462" t="s">
        <v>3250</v>
      </c>
      <c r="BB462" t="s">
        <v>3250</v>
      </c>
      <c r="BC462" t="s">
        <v>3250</v>
      </c>
      <c r="BE462" t="s">
        <v>3250</v>
      </c>
      <c r="BF462" t="s">
        <v>3250</v>
      </c>
      <c r="BG462" t="s">
        <v>3250</v>
      </c>
      <c r="BH462" t="s">
        <v>3250</v>
      </c>
      <c r="BI462" t="s">
        <v>3250</v>
      </c>
      <c r="BK462" t="s">
        <v>3250</v>
      </c>
      <c r="BL462" t="s">
        <v>3250</v>
      </c>
      <c r="BM462" t="s">
        <v>3250</v>
      </c>
      <c r="BN462" t="s">
        <v>3250</v>
      </c>
      <c r="BP462">
        <v>4</v>
      </c>
      <c r="BQ462">
        <v>44</v>
      </c>
      <c r="BR462" t="s">
        <v>2401</v>
      </c>
      <c r="BS462" t="s">
        <v>4024</v>
      </c>
      <c r="BV462">
        <v>0</v>
      </c>
      <c r="BW462">
        <v>0</v>
      </c>
      <c r="BX462">
        <v>18400</v>
      </c>
      <c r="BY462">
        <v>0</v>
      </c>
      <c r="BZ462">
        <v>0</v>
      </c>
      <c r="CA462">
        <v>0</v>
      </c>
      <c r="CB462">
        <v>0</v>
      </c>
      <c r="CC462">
        <v>0</v>
      </c>
      <c r="CD462">
        <v>0</v>
      </c>
      <c r="CE462" t="s">
        <v>3108</v>
      </c>
      <c r="CF462" t="s">
        <v>3108</v>
      </c>
      <c r="CG462" t="s">
        <v>3108</v>
      </c>
      <c r="CH462" t="s">
        <v>3108</v>
      </c>
    </row>
    <row r="463" spans="1:86" x14ac:dyDescent="0.2">
      <c r="A463" t="s">
        <v>4040</v>
      </c>
      <c r="B463" t="s">
        <v>4040</v>
      </c>
      <c r="C463">
        <v>40756</v>
      </c>
      <c r="D463">
        <v>121</v>
      </c>
      <c r="E463" t="s">
        <v>4006</v>
      </c>
      <c r="F463">
        <v>2700</v>
      </c>
      <c r="G463" t="s">
        <v>411</v>
      </c>
      <c r="H463" t="s">
        <v>4004</v>
      </c>
      <c r="I463" t="s">
        <v>2531</v>
      </c>
      <c r="J463">
        <v>2701</v>
      </c>
      <c r="K463" t="s">
        <v>2531</v>
      </c>
      <c r="L463">
        <v>2100</v>
      </c>
      <c r="M463" t="s">
        <v>123</v>
      </c>
      <c r="N463">
        <v>2108</v>
      </c>
      <c r="O463" t="s">
        <v>2401</v>
      </c>
      <c r="P463" t="s">
        <v>3108</v>
      </c>
      <c r="Q463" t="s">
        <v>3249</v>
      </c>
      <c r="R463" t="s">
        <v>3249</v>
      </c>
      <c r="S463" t="s">
        <v>810</v>
      </c>
      <c r="T463" t="s">
        <v>2754</v>
      </c>
      <c r="U463" t="s">
        <v>3250</v>
      </c>
      <c r="V463" t="s">
        <v>3250</v>
      </c>
      <c r="W463" t="s">
        <v>3250</v>
      </c>
      <c r="X463" t="s">
        <v>3250</v>
      </c>
      <c r="Y463" t="s">
        <v>3250</v>
      </c>
      <c r="Z463" t="s">
        <v>3250</v>
      </c>
      <c r="AA463" t="s">
        <v>3108</v>
      </c>
      <c r="AB463" t="s">
        <v>3108</v>
      </c>
      <c r="AC463" t="s">
        <v>3250</v>
      </c>
      <c r="AD463" t="s">
        <v>3250</v>
      </c>
      <c r="AE463" t="s">
        <v>3250</v>
      </c>
      <c r="AF463" t="s">
        <v>3250</v>
      </c>
      <c r="AG463" t="s">
        <v>3250</v>
      </c>
      <c r="AH463" t="s">
        <v>3250</v>
      </c>
      <c r="AI463" t="s">
        <v>3250</v>
      </c>
      <c r="AJ463" t="s">
        <v>3250</v>
      </c>
      <c r="AL463" t="s">
        <v>3250</v>
      </c>
      <c r="AM463" t="s">
        <v>3250</v>
      </c>
      <c r="AN463" t="s">
        <v>3250</v>
      </c>
      <c r="AO463" t="s">
        <v>3250</v>
      </c>
      <c r="AS463" t="s">
        <v>3250</v>
      </c>
      <c r="AT463" t="s">
        <v>3250</v>
      </c>
      <c r="AU463" t="s">
        <v>3250</v>
      </c>
      <c r="AV463" t="s">
        <v>3250</v>
      </c>
      <c r="AW463" t="s">
        <v>3250</v>
      </c>
      <c r="AX463" t="s">
        <v>3250</v>
      </c>
      <c r="AY463" t="s">
        <v>3250</v>
      </c>
      <c r="AZ463" t="s">
        <v>3250</v>
      </c>
      <c r="BA463" t="s">
        <v>3250</v>
      </c>
      <c r="BB463" t="s">
        <v>3250</v>
      </c>
      <c r="BC463" t="s">
        <v>3250</v>
      </c>
      <c r="BE463" t="s">
        <v>3250</v>
      </c>
      <c r="BF463" t="s">
        <v>3250</v>
      </c>
      <c r="BG463" t="s">
        <v>3250</v>
      </c>
      <c r="BH463" t="s">
        <v>3250</v>
      </c>
      <c r="BI463" t="s">
        <v>3250</v>
      </c>
      <c r="BK463" t="s">
        <v>3250</v>
      </c>
      <c r="BL463" t="s">
        <v>3250</v>
      </c>
      <c r="BM463" t="s">
        <v>3250</v>
      </c>
      <c r="BN463" t="s">
        <v>3250</v>
      </c>
      <c r="BP463">
        <v>4</v>
      </c>
      <c r="BQ463">
        <v>44</v>
      </c>
      <c r="BR463" t="s">
        <v>2401</v>
      </c>
      <c r="BS463" t="s">
        <v>4024</v>
      </c>
      <c r="BV463">
        <v>0</v>
      </c>
      <c r="BW463">
        <v>38380</v>
      </c>
      <c r="BX463">
        <v>48687</v>
      </c>
      <c r="BY463">
        <v>150000</v>
      </c>
      <c r="BZ463">
        <v>172000</v>
      </c>
      <c r="CA463">
        <v>150000</v>
      </c>
      <c r="CB463">
        <v>156000</v>
      </c>
      <c r="CC463">
        <v>162240</v>
      </c>
      <c r="CD463">
        <v>189719</v>
      </c>
      <c r="CE463" t="s">
        <v>3108</v>
      </c>
      <c r="CF463" t="s">
        <v>3108</v>
      </c>
      <c r="CG463" t="s">
        <v>3108</v>
      </c>
      <c r="CH463" t="s">
        <v>3108</v>
      </c>
    </row>
    <row r="464" spans="1:86" x14ac:dyDescent="0.2">
      <c r="A464" t="s">
        <v>4041</v>
      </c>
      <c r="B464" t="s">
        <v>4041</v>
      </c>
      <c r="C464">
        <v>40757</v>
      </c>
      <c r="D464">
        <v>122</v>
      </c>
      <c r="E464" t="s">
        <v>3999</v>
      </c>
      <c r="F464">
        <v>2700</v>
      </c>
      <c r="G464" t="s">
        <v>411</v>
      </c>
      <c r="H464" t="s">
        <v>3997</v>
      </c>
      <c r="I464" t="s">
        <v>2533</v>
      </c>
      <c r="J464">
        <v>2703</v>
      </c>
      <c r="K464" t="s">
        <v>2533</v>
      </c>
      <c r="L464">
        <v>2100</v>
      </c>
      <c r="M464" t="s">
        <v>123</v>
      </c>
      <c r="N464">
        <v>2108</v>
      </c>
      <c r="O464" t="s">
        <v>2401</v>
      </c>
      <c r="P464" t="s">
        <v>3108</v>
      </c>
      <c r="Q464" t="s">
        <v>3249</v>
      </c>
      <c r="R464" t="s">
        <v>3249</v>
      </c>
      <c r="S464" t="s">
        <v>810</v>
      </c>
      <c r="T464" t="s">
        <v>2754</v>
      </c>
      <c r="U464" t="s">
        <v>3250</v>
      </c>
      <c r="V464" t="s">
        <v>3250</v>
      </c>
      <c r="W464" t="s">
        <v>3250</v>
      </c>
      <c r="X464" t="s">
        <v>3250</v>
      </c>
      <c r="Y464" t="s">
        <v>3250</v>
      </c>
      <c r="Z464" t="s">
        <v>3250</v>
      </c>
      <c r="AA464" t="s">
        <v>3108</v>
      </c>
      <c r="AB464" t="s">
        <v>3108</v>
      </c>
      <c r="AC464" t="s">
        <v>3250</v>
      </c>
      <c r="AD464" t="s">
        <v>3250</v>
      </c>
      <c r="AE464" t="s">
        <v>3250</v>
      </c>
      <c r="AF464" t="s">
        <v>3250</v>
      </c>
      <c r="AG464" t="s">
        <v>3250</v>
      </c>
      <c r="AH464" t="s">
        <v>3250</v>
      </c>
      <c r="AI464" t="s">
        <v>3250</v>
      </c>
      <c r="AJ464" t="s">
        <v>3250</v>
      </c>
      <c r="AL464" t="s">
        <v>3250</v>
      </c>
      <c r="AM464" t="s">
        <v>3250</v>
      </c>
      <c r="AN464" t="s">
        <v>3250</v>
      </c>
      <c r="AO464" t="s">
        <v>3250</v>
      </c>
      <c r="AS464" t="s">
        <v>3250</v>
      </c>
      <c r="AT464" t="s">
        <v>3250</v>
      </c>
      <c r="AU464" t="s">
        <v>3250</v>
      </c>
      <c r="AV464" t="s">
        <v>3250</v>
      </c>
      <c r="AW464" t="s">
        <v>3250</v>
      </c>
      <c r="AX464" t="s">
        <v>3250</v>
      </c>
      <c r="AY464" t="s">
        <v>3250</v>
      </c>
      <c r="AZ464" t="s">
        <v>3250</v>
      </c>
      <c r="BA464" t="s">
        <v>3250</v>
      </c>
      <c r="BB464" t="s">
        <v>3250</v>
      </c>
      <c r="BC464" t="s">
        <v>3250</v>
      </c>
      <c r="BE464" t="s">
        <v>3250</v>
      </c>
      <c r="BF464" t="s">
        <v>3250</v>
      </c>
      <c r="BG464" t="s">
        <v>3250</v>
      </c>
      <c r="BH464" t="s">
        <v>3250</v>
      </c>
      <c r="BI464" t="s">
        <v>3250</v>
      </c>
      <c r="BK464" t="s">
        <v>3250</v>
      </c>
      <c r="BL464" t="s">
        <v>3250</v>
      </c>
      <c r="BM464" t="s">
        <v>3250</v>
      </c>
      <c r="BN464" t="s">
        <v>3250</v>
      </c>
      <c r="BP464">
        <v>4</v>
      </c>
      <c r="BQ464">
        <v>44</v>
      </c>
      <c r="BR464" t="s">
        <v>2401</v>
      </c>
      <c r="BS464" t="s">
        <v>4024</v>
      </c>
      <c r="BV464">
        <v>77454</v>
      </c>
      <c r="BW464">
        <v>124300</v>
      </c>
      <c r="BX464">
        <v>30600</v>
      </c>
      <c r="BY464">
        <v>0</v>
      </c>
      <c r="BZ464">
        <v>30000</v>
      </c>
      <c r="CA464">
        <v>50000</v>
      </c>
      <c r="CB464">
        <v>52000</v>
      </c>
      <c r="CC464">
        <v>54080</v>
      </c>
      <c r="CD464">
        <v>38435</v>
      </c>
      <c r="CE464" t="s">
        <v>3108</v>
      </c>
      <c r="CF464" t="s">
        <v>3108</v>
      </c>
      <c r="CG464" t="s">
        <v>3108</v>
      </c>
      <c r="CH464" t="s">
        <v>3108</v>
      </c>
    </row>
    <row r="465" spans="1:86" x14ac:dyDescent="0.2">
      <c r="A465" t="s">
        <v>4042</v>
      </c>
      <c r="B465" t="s">
        <v>4042</v>
      </c>
      <c r="C465">
        <v>40758</v>
      </c>
      <c r="D465">
        <v>114</v>
      </c>
      <c r="E465" t="s">
        <v>3990</v>
      </c>
      <c r="F465">
        <v>2900</v>
      </c>
      <c r="G465" t="s">
        <v>822</v>
      </c>
      <c r="H465" t="s">
        <v>3108</v>
      </c>
      <c r="I465" t="s">
        <v>3108</v>
      </c>
      <c r="J465">
        <v>2904</v>
      </c>
      <c r="K465" t="s">
        <v>1690</v>
      </c>
      <c r="L465">
        <v>2100</v>
      </c>
      <c r="M465" t="s">
        <v>123</v>
      </c>
      <c r="N465">
        <v>2108</v>
      </c>
      <c r="O465" t="s">
        <v>2401</v>
      </c>
      <c r="P465" t="s">
        <v>3108</v>
      </c>
      <c r="Q465" t="s">
        <v>3249</v>
      </c>
      <c r="R465" t="s">
        <v>3249</v>
      </c>
      <c r="S465" t="s">
        <v>810</v>
      </c>
      <c r="T465" t="s">
        <v>2754</v>
      </c>
      <c r="U465" t="s">
        <v>3250</v>
      </c>
      <c r="V465" t="s">
        <v>3250</v>
      </c>
      <c r="W465" t="s">
        <v>3250</v>
      </c>
      <c r="X465" t="s">
        <v>3250</v>
      </c>
      <c r="Y465" t="s">
        <v>3250</v>
      </c>
      <c r="Z465" t="s">
        <v>3250</v>
      </c>
      <c r="AA465" t="s">
        <v>3108</v>
      </c>
      <c r="AB465" t="s">
        <v>3108</v>
      </c>
      <c r="AC465" t="s">
        <v>3250</v>
      </c>
      <c r="AD465" t="s">
        <v>3250</v>
      </c>
      <c r="AE465" t="s">
        <v>3250</v>
      </c>
      <c r="AF465" t="s">
        <v>3250</v>
      </c>
      <c r="AG465" t="s">
        <v>3250</v>
      </c>
      <c r="AH465" t="s">
        <v>3250</v>
      </c>
      <c r="AI465" t="s">
        <v>3250</v>
      </c>
      <c r="AJ465" t="s">
        <v>3250</v>
      </c>
      <c r="AL465" t="s">
        <v>3250</v>
      </c>
      <c r="AM465" t="s">
        <v>3250</v>
      </c>
      <c r="AN465" t="s">
        <v>3250</v>
      </c>
      <c r="AO465" t="s">
        <v>3250</v>
      </c>
      <c r="AS465" t="s">
        <v>3250</v>
      </c>
      <c r="AT465" t="s">
        <v>3250</v>
      </c>
      <c r="AU465" t="s">
        <v>3250</v>
      </c>
      <c r="AV465" t="s">
        <v>3250</v>
      </c>
      <c r="AW465" t="s">
        <v>3250</v>
      </c>
      <c r="AX465" t="s">
        <v>3250</v>
      </c>
      <c r="AY465" t="s">
        <v>3250</v>
      </c>
      <c r="AZ465" t="s">
        <v>3250</v>
      </c>
      <c r="BA465" t="s">
        <v>3250</v>
      </c>
      <c r="BB465" t="s">
        <v>3250</v>
      </c>
      <c r="BC465" t="s">
        <v>3250</v>
      </c>
      <c r="BE465" t="s">
        <v>3250</v>
      </c>
      <c r="BF465" t="s">
        <v>3250</v>
      </c>
      <c r="BG465" t="s">
        <v>3250</v>
      </c>
      <c r="BH465" t="s">
        <v>3250</v>
      </c>
      <c r="BI465" t="s">
        <v>3250</v>
      </c>
      <c r="BK465" t="s">
        <v>3250</v>
      </c>
      <c r="BL465" t="s">
        <v>3250</v>
      </c>
      <c r="BM465" t="s">
        <v>3250</v>
      </c>
      <c r="BN465" t="s">
        <v>3250</v>
      </c>
      <c r="BP465">
        <v>4</v>
      </c>
      <c r="BQ465">
        <v>44</v>
      </c>
      <c r="BR465" t="s">
        <v>2401</v>
      </c>
      <c r="BS465" t="s">
        <v>4024</v>
      </c>
      <c r="BV465">
        <v>0</v>
      </c>
      <c r="BW465">
        <v>0</v>
      </c>
      <c r="BX465">
        <v>18550</v>
      </c>
      <c r="BY465">
        <v>0</v>
      </c>
      <c r="BZ465">
        <v>0</v>
      </c>
      <c r="CA465">
        <v>0</v>
      </c>
      <c r="CB465">
        <v>0</v>
      </c>
      <c r="CC465">
        <v>0</v>
      </c>
      <c r="CD465">
        <v>0</v>
      </c>
      <c r="CE465" t="s">
        <v>3108</v>
      </c>
      <c r="CF465" t="s">
        <v>3108</v>
      </c>
      <c r="CG465" t="s">
        <v>3108</v>
      </c>
      <c r="CH465" t="s">
        <v>3108</v>
      </c>
    </row>
    <row r="466" spans="1:86" x14ac:dyDescent="0.2">
      <c r="A466" t="s">
        <v>4043</v>
      </c>
      <c r="B466" t="s">
        <v>4043</v>
      </c>
      <c r="C466">
        <v>40759</v>
      </c>
      <c r="D466">
        <v>115</v>
      </c>
      <c r="E466" t="s">
        <v>4015</v>
      </c>
      <c r="F466">
        <v>2900</v>
      </c>
      <c r="G466" t="s">
        <v>822</v>
      </c>
      <c r="H466" t="s">
        <v>3108</v>
      </c>
      <c r="I466" t="s">
        <v>3108</v>
      </c>
      <c r="J466">
        <v>2904</v>
      </c>
      <c r="K466" t="s">
        <v>1690</v>
      </c>
      <c r="L466">
        <v>2100</v>
      </c>
      <c r="M466" t="s">
        <v>123</v>
      </c>
      <c r="N466">
        <v>2108</v>
      </c>
      <c r="O466" t="s">
        <v>2401</v>
      </c>
      <c r="P466" t="s">
        <v>3108</v>
      </c>
      <c r="Q466" t="s">
        <v>3249</v>
      </c>
      <c r="R466" t="s">
        <v>3249</v>
      </c>
      <c r="S466" t="s">
        <v>810</v>
      </c>
      <c r="T466" t="s">
        <v>2754</v>
      </c>
      <c r="U466" t="s">
        <v>3250</v>
      </c>
      <c r="V466" t="s">
        <v>3250</v>
      </c>
      <c r="W466" t="s">
        <v>3250</v>
      </c>
      <c r="X466" t="s">
        <v>3250</v>
      </c>
      <c r="Y466" t="s">
        <v>3250</v>
      </c>
      <c r="Z466" t="s">
        <v>3250</v>
      </c>
      <c r="AA466" t="s">
        <v>3108</v>
      </c>
      <c r="AB466" t="s">
        <v>3108</v>
      </c>
      <c r="AC466" t="s">
        <v>3250</v>
      </c>
      <c r="AD466" t="s">
        <v>3250</v>
      </c>
      <c r="AE466" t="s">
        <v>3250</v>
      </c>
      <c r="AF466" t="s">
        <v>3250</v>
      </c>
      <c r="AG466" t="s">
        <v>3250</v>
      </c>
      <c r="AH466" t="s">
        <v>3250</v>
      </c>
      <c r="AI466" t="s">
        <v>3250</v>
      </c>
      <c r="AJ466" t="s">
        <v>3250</v>
      </c>
      <c r="AL466" t="s">
        <v>3250</v>
      </c>
      <c r="AM466" t="s">
        <v>3250</v>
      </c>
      <c r="AN466" t="s">
        <v>3250</v>
      </c>
      <c r="AO466" t="s">
        <v>3250</v>
      </c>
      <c r="AS466" t="s">
        <v>3250</v>
      </c>
      <c r="AT466" t="s">
        <v>3250</v>
      </c>
      <c r="AU466" t="s">
        <v>3250</v>
      </c>
      <c r="AV466" t="s">
        <v>3250</v>
      </c>
      <c r="AW466" t="s">
        <v>3250</v>
      </c>
      <c r="AX466" t="s">
        <v>3250</v>
      </c>
      <c r="AY466" t="s">
        <v>3250</v>
      </c>
      <c r="AZ466" t="s">
        <v>3250</v>
      </c>
      <c r="BA466" t="s">
        <v>3250</v>
      </c>
      <c r="BB466" t="s">
        <v>3250</v>
      </c>
      <c r="BC466" t="s">
        <v>3250</v>
      </c>
      <c r="BE466" t="s">
        <v>3250</v>
      </c>
      <c r="BF466" t="s">
        <v>3250</v>
      </c>
      <c r="BG466" t="s">
        <v>3250</v>
      </c>
      <c r="BH466" t="s">
        <v>3250</v>
      </c>
      <c r="BI466" t="s">
        <v>3250</v>
      </c>
      <c r="BK466" t="s">
        <v>3250</v>
      </c>
      <c r="BL466" t="s">
        <v>3250</v>
      </c>
      <c r="BM466" t="s">
        <v>3250</v>
      </c>
      <c r="BN466" t="s">
        <v>3250</v>
      </c>
      <c r="BP466">
        <v>4</v>
      </c>
      <c r="BQ466">
        <v>44</v>
      </c>
      <c r="BR466" t="s">
        <v>2401</v>
      </c>
      <c r="BS466" t="s">
        <v>4024</v>
      </c>
      <c r="BV466">
        <v>0</v>
      </c>
      <c r="BW466">
        <v>0</v>
      </c>
      <c r="BX466">
        <v>0</v>
      </c>
      <c r="BY466">
        <v>0</v>
      </c>
      <c r="BZ466">
        <v>0</v>
      </c>
      <c r="CA466">
        <v>0</v>
      </c>
      <c r="CB466">
        <v>0</v>
      </c>
      <c r="CC466">
        <v>0</v>
      </c>
      <c r="CD466">
        <v>0</v>
      </c>
      <c r="CE466" t="s">
        <v>3108</v>
      </c>
      <c r="CF466" t="s">
        <v>3108</v>
      </c>
      <c r="CG466" t="s">
        <v>3108</v>
      </c>
      <c r="CH466" t="s">
        <v>3108</v>
      </c>
    </row>
    <row r="467" spans="1:86" x14ac:dyDescent="0.2">
      <c r="A467" t="s">
        <v>4044</v>
      </c>
      <c r="B467" t="s">
        <v>4044</v>
      </c>
      <c r="C467">
        <v>40760</v>
      </c>
      <c r="D467">
        <v>116</v>
      </c>
      <c r="E467" t="s">
        <v>3996</v>
      </c>
      <c r="F467">
        <v>2700</v>
      </c>
      <c r="G467" t="s">
        <v>411</v>
      </c>
      <c r="H467" t="s">
        <v>3997</v>
      </c>
      <c r="I467" t="s">
        <v>2533</v>
      </c>
      <c r="J467">
        <v>2703</v>
      </c>
      <c r="K467" t="s">
        <v>2533</v>
      </c>
      <c r="L467">
        <v>2100</v>
      </c>
      <c r="M467" t="s">
        <v>123</v>
      </c>
      <c r="N467">
        <v>2108</v>
      </c>
      <c r="O467" t="s">
        <v>2401</v>
      </c>
      <c r="P467" t="s">
        <v>3108</v>
      </c>
      <c r="Q467" t="s">
        <v>3249</v>
      </c>
      <c r="R467" t="s">
        <v>3249</v>
      </c>
      <c r="S467" t="s">
        <v>810</v>
      </c>
      <c r="T467" t="s">
        <v>2754</v>
      </c>
      <c r="U467" t="s">
        <v>3250</v>
      </c>
      <c r="V467" t="s">
        <v>3250</v>
      </c>
      <c r="W467" t="s">
        <v>3250</v>
      </c>
      <c r="X467" t="s">
        <v>3250</v>
      </c>
      <c r="Y467" t="s">
        <v>3250</v>
      </c>
      <c r="Z467" t="s">
        <v>3250</v>
      </c>
      <c r="AA467" t="s">
        <v>3108</v>
      </c>
      <c r="AB467" t="s">
        <v>3108</v>
      </c>
      <c r="AC467" t="s">
        <v>3250</v>
      </c>
      <c r="AD467" t="s">
        <v>3250</v>
      </c>
      <c r="AE467" t="s">
        <v>3250</v>
      </c>
      <c r="AF467" t="s">
        <v>3250</v>
      </c>
      <c r="AG467" t="s">
        <v>3250</v>
      </c>
      <c r="AH467" t="s">
        <v>3250</v>
      </c>
      <c r="AI467" t="s">
        <v>3250</v>
      </c>
      <c r="AJ467" t="s">
        <v>3250</v>
      </c>
      <c r="AL467" t="s">
        <v>3250</v>
      </c>
      <c r="AM467" t="s">
        <v>3250</v>
      </c>
      <c r="AN467" t="s">
        <v>3250</v>
      </c>
      <c r="AO467" t="s">
        <v>3250</v>
      </c>
      <c r="AS467" t="s">
        <v>3250</v>
      </c>
      <c r="AT467" t="s">
        <v>3250</v>
      </c>
      <c r="AU467" t="s">
        <v>3250</v>
      </c>
      <c r="AV467" t="s">
        <v>3250</v>
      </c>
      <c r="AW467" t="s">
        <v>3250</v>
      </c>
      <c r="AX467" t="s">
        <v>3250</v>
      </c>
      <c r="AY467" t="s">
        <v>3250</v>
      </c>
      <c r="AZ467" t="s">
        <v>3250</v>
      </c>
      <c r="BA467" t="s">
        <v>3250</v>
      </c>
      <c r="BB467" t="s">
        <v>3250</v>
      </c>
      <c r="BC467" t="s">
        <v>3250</v>
      </c>
      <c r="BE467" t="s">
        <v>3250</v>
      </c>
      <c r="BF467" t="s">
        <v>3250</v>
      </c>
      <c r="BG467" t="s">
        <v>3250</v>
      </c>
      <c r="BH467" t="s">
        <v>3250</v>
      </c>
      <c r="BI467" t="s">
        <v>3250</v>
      </c>
      <c r="BK467" t="s">
        <v>3250</v>
      </c>
      <c r="BL467" t="s">
        <v>3250</v>
      </c>
      <c r="BM467" t="s">
        <v>3250</v>
      </c>
      <c r="BN467" t="s">
        <v>3250</v>
      </c>
      <c r="BP467">
        <v>4</v>
      </c>
      <c r="BQ467">
        <v>44</v>
      </c>
      <c r="BR467" t="s">
        <v>2401</v>
      </c>
      <c r="BS467" t="s">
        <v>4024</v>
      </c>
      <c r="BV467">
        <v>0</v>
      </c>
      <c r="BW467">
        <v>0</v>
      </c>
      <c r="BX467">
        <v>0</v>
      </c>
      <c r="BY467">
        <v>0</v>
      </c>
      <c r="BZ467">
        <v>0</v>
      </c>
      <c r="CA467">
        <v>0</v>
      </c>
      <c r="CB467">
        <v>0</v>
      </c>
      <c r="CC467">
        <v>0</v>
      </c>
      <c r="CD467">
        <v>0</v>
      </c>
      <c r="CE467" t="s">
        <v>3108</v>
      </c>
      <c r="CF467" t="s">
        <v>3108</v>
      </c>
      <c r="CG467" t="s">
        <v>3108</v>
      </c>
      <c r="CH467" t="s">
        <v>3108</v>
      </c>
    </row>
    <row r="468" spans="1:86" x14ac:dyDescent="0.2">
      <c r="A468" t="s">
        <v>4045</v>
      </c>
      <c r="B468" t="s">
        <v>4045</v>
      </c>
      <c r="C468">
        <v>40761</v>
      </c>
      <c r="D468">
        <v>117</v>
      </c>
      <c r="E468" t="s">
        <v>3999</v>
      </c>
      <c r="F468">
        <v>2700</v>
      </c>
      <c r="G468" t="s">
        <v>411</v>
      </c>
      <c r="H468" t="s">
        <v>3997</v>
      </c>
      <c r="I468" t="s">
        <v>2533</v>
      </c>
      <c r="J468">
        <v>2703</v>
      </c>
      <c r="K468" t="s">
        <v>2533</v>
      </c>
      <c r="L468">
        <v>2100</v>
      </c>
      <c r="M468" t="s">
        <v>123</v>
      </c>
      <c r="N468">
        <v>2108</v>
      </c>
      <c r="O468" t="s">
        <v>2401</v>
      </c>
      <c r="P468" t="s">
        <v>3108</v>
      </c>
      <c r="Q468" t="s">
        <v>3249</v>
      </c>
      <c r="R468" t="s">
        <v>3249</v>
      </c>
      <c r="S468" t="s">
        <v>810</v>
      </c>
      <c r="T468" t="s">
        <v>2754</v>
      </c>
      <c r="U468" t="s">
        <v>3250</v>
      </c>
      <c r="V468" t="s">
        <v>3250</v>
      </c>
      <c r="W468" t="s">
        <v>3250</v>
      </c>
      <c r="X468" t="s">
        <v>3250</v>
      </c>
      <c r="Y468" t="s">
        <v>3250</v>
      </c>
      <c r="Z468" t="s">
        <v>3250</v>
      </c>
      <c r="AA468" t="s">
        <v>3108</v>
      </c>
      <c r="AB468" t="s">
        <v>3108</v>
      </c>
      <c r="AC468" t="s">
        <v>3250</v>
      </c>
      <c r="AD468" t="s">
        <v>3250</v>
      </c>
      <c r="AE468" t="s">
        <v>3250</v>
      </c>
      <c r="AF468" t="s">
        <v>3250</v>
      </c>
      <c r="AG468" t="s">
        <v>3250</v>
      </c>
      <c r="AH468" t="s">
        <v>3250</v>
      </c>
      <c r="AI468" t="s">
        <v>3250</v>
      </c>
      <c r="AJ468" t="s">
        <v>3250</v>
      </c>
      <c r="AL468" t="s">
        <v>3250</v>
      </c>
      <c r="AM468" t="s">
        <v>3250</v>
      </c>
      <c r="AN468" t="s">
        <v>3250</v>
      </c>
      <c r="AO468" t="s">
        <v>3250</v>
      </c>
      <c r="AS468" t="s">
        <v>3250</v>
      </c>
      <c r="AT468" t="s">
        <v>3250</v>
      </c>
      <c r="AU468" t="s">
        <v>3250</v>
      </c>
      <c r="AV468" t="s">
        <v>3250</v>
      </c>
      <c r="AW468" t="s">
        <v>3250</v>
      </c>
      <c r="AX468" t="s">
        <v>3250</v>
      </c>
      <c r="AY468" t="s">
        <v>3250</v>
      </c>
      <c r="AZ468" t="s">
        <v>3250</v>
      </c>
      <c r="BA468" t="s">
        <v>3250</v>
      </c>
      <c r="BB468" t="s">
        <v>3250</v>
      </c>
      <c r="BC468" t="s">
        <v>3250</v>
      </c>
      <c r="BE468" t="s">
        <v>3250</v>
      </c>
      <c r="BF468" t="s">
        <v>3250</v>
      </c>
      <c r="BG468" t="s">
        <v>3250</v>
      </c>
      <c r="BH468" t="s">
        <v>3250</v>
      </c>
      <c r="BI468" t="s">
        <v>3250</v>
      </c>
      <c r="BK468" t="s">
        <v>3250</v>
      </c>
      <c r="BL468" t="s">
        <v>3250</v>
      </c>
      <c r="BM468" t="s">
        <v>3250</v>
      </c>
      <c r="BN468" t="s">
        <v>3250</v>
      </c>
      <c r="BP468">
        <v>4</v>
      </c>
      <c r="BQ468">
        <v>44</v>
      </c>
      <c r="BR468" t="s">
        <v>2401</v>
      </c>
      <c r="BS468" t="s">
        <v>4024</v>
      </c>
      <c r="BV468">
        <v>0</v>
      </c>
      <c r="BW468">
        <v>0</v>
      </c>
      <c r="BX468">
        <v>0</v>
      </c>
      <c r="BY468">
        <v>0</v>
      </c>
      <c r="BZ468">
        <v>0</v>
      </c>
      <c r="CA468">
        <v>0</v>
      </c>
      <c r="CB468">
        <v>0</v>
      </c>
      <c r="CC468">
        <v>0</v>
      </c>
      <c r="CD468">
        <v>12000</v>
      </c>
      <c r="CE468" t="s">
        <v>3108</v>
      </c>
      <c r="CF468" t="s">
        <v>3108</v>
      </c>
      <c r="CG468" t="s">
        <v>3108</v>
      </c>
      <c r="CH468" t="s">
        <v>3108</v>
      </c>
    </row>
    <row r="469" spans="1:86" x14ac:dyDescent="0.2">
      <c r="A469" t="s">
        <v>4046</v>
      </c>
      <c r="B469" t="s">
        <v>4046</v>
      </c>
      <c r="C469">
        <v>40762</v>
      </c>
      <c r="D469">
        <v>113</v>
      </c>
      <c r="E469" t="s">
        <v>4047</v>
      </c>
      <c r="F469">
        <v>2600</v>
      </c>
      <c r="G469" t="s">
        <v>1334</v>
      </c>
      <c r="H469">
        <v>2600</v>
      </c>
      <c r="I469" t="s">
        <v>1334</v>
      </c>
      <c r="J469" t="s">
        <v>3250</v>
      </c>
      <c r="K469" t="s">
        <v>3250</v>
      </c>
      <c r="L469">
        <v>2100</v>
      </c>
      <c r="M469" t="s">
        <v>123</v>
      </c>
      <c r="N469">
        <v>2108</v>
      </c>
      <c r="O469" t="s">
        <v>2401</v>
      </c>
      <c r="P469" t="s">
        <v>3108</v>
      </c>
      <c r="Q469" t="s">
        <v>3249</v>
      </c>
      <c r="R469" t="s">
        <v>3249</v>
      </c>
      <c r="S469" t="s">
        <v>810</v>
      </c>
      <c r="T469" t="s">
        <v>2754</v>
      </c>
      <c r="U469" t="s">
        <v>3250</v>
      </c>
      <c r="V469" t="s">
        <v>3250</v>
      </c>
      <c r="W469" t="s">
        <v>3250</v>
      </c>
      <c r="X469" t="s">
        <v>3250</v>
      </c>
      <c r="Y469" t="s">
        <v>3250</v>
      </c>
      <c r="Z469" t="s">
        <v>3250</v>
      </c>
      <c r="AA469" t="s">
        <v>3108</v>
      </c>
      <c r="AB469" t="s">
        <v>3108</v>
      </c>
      <c r="AC469" t="s">
        <v>3250</v>
      </c>
      <c r="AD469" t="s">
        <v>3250</v>
      </c>
      <c r="AE469" t="s">
        <v>3250</v>
      </c>
      <c r="AF469" t="s">
        <v>3250</v>
      </c>
      <c r="AG469" t="s">
        <v>3250</v>
      </c>
      <c r="AH469" t="s">
        <v>3250</v>
      </c>
      <c r="AI469" t="s">
        <v>3250</v>
      </c>
      <c r="AJ469" t="s">
        <v>3250</v>
      </c>
      <c r="AL469" t="s">
        <v>3250</v>
      </c>
      <c r="AM469" t="s">
        <v>3250</v>
      </c>
      <c r="AN469" t="s">
        <v>3250</v>
      </c>
      <c r="AO469" t="s">
        <v>3250</v>
      </c>
      <c r="AS469" t="s">
        <v>3250</v>
      </c>
      <c r="AT469" t="s">
        <v>3250</v>
      </c>
      <c r="AU469" t="s">
        <v>3250</v>
      </c>
      <c r="AV469" t="s">
        <v>3250</v>
      </c>
      <c r="AW469" t="s">
        <v>3250</v>
      </c>
      <c r="AX469" t="s">
        <v>3250</v>
      </c>
      <c r="AY469" t="s">
        <v>3250</v>
      </c>
      <c r="AZ469" t="s">
        <v>3250</v>
      </c>
      <c r="BA469" t="s">
        <v>3250</v>
      </c>
      <c r="BB469" t="s">
        <v>3250</v>
      </c>
      <c r="BC469" t="s">
        <v>3250</v>
      </c>
      <c r="BE469" t="s">
        <v>3250</v>
      </c>
      <c r="BF469" t="s">
        <v>3250</v>
      </c>
      <c r="BG469" t="s">
        <v>3250</v>
      </c>
      <c r="BH469" t="s">
        <v>3250</v>
      </c>
      <c r="BI469" t="s">
        <v>3250</v>
      </c>
      <c r="BK469" t="s">
        <v>3250</v>
      </c>
      <c r="BL469" t="s">
        <v>3250</v>
      </c>
      <c r="BM469" t="s">
        <v>3250</v>
      </c>
      <c r="BN469" t="s">
        <v>3250</v>
      </c>
      <c r="BP469">
        <v>4</v>
      </c>
      <c r="BQ469">
        <v>44</v>
      </c>
      <c r="BR469" t="s">
        <v>2401</v>
      </c>
      <c r="BS469" t="s">
        <v>4024</v>
      </c>
      <c r="BV469">
        <v>0</v>
      </c>
      <c r="BW469">
        <v>0</v>
      </c>
      <c r="BX469">
        <v>0</v>
      </c>
      <c r="BY469">
        <v>0</v>
      </c>
      <c r="BZ469">
        <v>0</v>
      </c>
      <c r="CA469">
        <v>0</v>
      </c>
      <c r="CB469">
        <v>0</v>
      </c>
      <c r="CC469">
        <v>0</v>
      </c>
      <c r="CD469">
        <v>0</v>
      </c>
      <c r="CE469" t="s">
        <v>3108</v>
      </c>
      <c r="CF469" t="s">
        <v>3108</v>
      </c>
      <c r="CG469" t="s">
        <v>3108</v>
      </c>
      <c r="CH469" t="s">
        <v>3108</v>
      </c>
    </row>
    <row r="470" spans="1:86" x14ac:dyDescent="0.2">
      <c r="A470" t="s">
        <v>4048</v>
      </c>
      <c r="B470" t="s">
        <v>4048</v>
      </c>
      <c r="C470">
        <v>40763</v>
      </c>
      <c r="D470">
        <v>140</v>
      </c>
      <c r="E470" t="s">
        <v>4047</v>
      </c>
      <c r="F470">
        <v>2600</v>
      </c>
      <c r="G470" t="s">
        <v>1334</v>
      </c>
      <c r="H470">
        <v>2600</v>
      </c>
      <c r="I470" t="s">
        <v>1334</v>
      </c>
      <c r="J470" t="s">
        <v>3250</v>
      </c>
      <c r="K470" t="s">
        <v>3250</v>
      </c>
      <c r="L470">
        <v>2100</v>
      </c>
      <c r="M470" t="s">
        <v>123</v>
      </c>
      <c r="N470">
        <v>2102</v>
      </c>
      <c r="O470" t="s">
        <v>812</v>
      </c>
      <c r="P470" t="s">
        <v>3108</v>
      </c>
      <c r="Q470" t="s">
        <v>3249</v>
      </c>
      <c r="R470" t="s">
        <v>3249</v>
      </c>
      <c r="S470" t="s">
        <v>810</v>
      </c>
      <c r="T470" t="s">
        <v>2754</v>
      </c>
      <c r="U470" t="s">
        <v>3250</v>
      </c>
      <c r="V470" t="s">
        <v>3250</v>
      </c>
      <c r="W470" t="s">
        <v>3250</v>
      </c>
      <c r="X470" t="s">
        <v>3250</v>
      </c>
      <c r="Y470" t="s">
        <v>3250</v>
      </c>
      <c r="Z470" t="s">
        <v>3250</v>
      </c>
      <c r="AA470" t="s">
        <v>3108</v>
      </c>
      <c r="AB470" t="s">
        <v>3108</v>
      </c>
      <c r="AC470" t="s">
        <v>3250</v>
      </c>
      <c r="AD470" t="s">
        <v>3250</v>
      </c>
      <c r="AE470" t="s">
        <v>3250</v>
      </c>
      <c r="AF470" t="s">
        <v>3250</v>
      </c>
      <c r="AG470" t="s">
        <v>3250</v>
      </c>
      <c r="AH470" t="s">
        <v>3250</v>
      </c>
      <c r="AI470" t="s">
        <v>3250</v>
      </c>
      <c r="AJ470" t="s">
        <v>3250</v>
      </c>
      <c r="AL470" t="s">
        <v>3250</v>
      </c>
      <c r="AM470" t="s">
        <v>3250</v>
      </c>
      <c r="AN470" t="s">
        <v>3250</v>
      </c>
      <c r="AO470" t="s">
        <v>3250</v>
      </c>
      <c r="AS470" t="s">
        <v>3250</v>
      </c>
      <c r="AT470" t="s">
        <v>3250</v>
      </c>
      <c r="AU470" t="s">
        <v>3250</v>
      </c>
      <c r="AV470" t="s">
        <v>3250</v>
      </c>
      <c r="AW470" t="s">
        <v>3250</v>
      </c>
      <c r="AX470" t="s">
        <v>3250</v>
      </c>
      <c r="AY470" t="s">
        <v>3250</v>
      </c>
      <c r="AZ470" t="s">
        <v>3250</v>
      </c>
      <c r="BA470" t="s">
        <v>3250</v>
      </c>
      <c r="BB470" t="s">
        <v>3250</v>
      </c>
      <c r="BC470" t="s">
        <v>3250</v>
      </c>
      <c r="BE470" t="s">
        <v>3250</v>
      </c>
      <c r="BF470" t="s">
        <v>3250</v>
      </c>
      <c r="BG470" t="s">
        <v>3250</v>
      </c>
      <c r="BH470" t="s">
        <v>3250</v>
      </c>
      <c r="BI470" t="s">
        <v>3250</v>
      </c>
      <c r="BK470" t="s">
        <v>3250</v>
      </c>
      <c r="BL470" t="s">
        <v>3250</v>
      </c>
      <c r="BM470" t="s">
        <v>3250</v>
      </c>
      <c r="BN470" t="s">
        <v>3250</v>
      </c>
      <c r="BP470">
        <v>4</v>
      </c>
      <c r="BQ470">
        <v>47</v>
      </c>
      <c r="BR470" t="s">
        <v>812</v>
      </c>
      <c r="BS470" t="s">
        <v>4024</v>
      </c>
      <c r="BV470">
        <v>179642</v>
      </c>
      <c r="BW470">
        <v>56442</v>
      </c>
      <c r="BX470">
        <v>0</v>
      </c>
      <c r="BY470">
        <v>150000</v>
      </c>
      <c r="BZ470">
        <v>150000</v>
      </c>
      <c r="CA470">
        <v>300000</v>
      </c>
      <c r="CB470">
        <v>312000</v>
      </c>
      <c r="CC470">
        <v>324480</v>
      </c>
      <c r="CD470">
        <v>0</v>
      </c>
      <c r="CE470" t="s">
        <v>3108</v>
      </c>
      <c r="CF470" t="s">
        <v>3108</v>
      </c>
      <c r="CG470" t="s">
        <v>3108</v>
      </c>
      <c r="CH470" t="s">
        <v>3108</v>
      </c>
    </row>
    <row r="471" spans="1:86" x14ac:dyDescent="0.2">
      <c r="A471" t="s">
        <v>4049</v>
      </c>
      <c r="B471" t="s">
        <v>4049</v>
      </c>
      <c r="C471">
        <v>40764</v>
      </c>
      <c r="D471">
        <v>1494</v>
      </c>
      <c r="E471" t="s">
        <v>3992</v>
      </c>
      <c r="F471">
        <v>2900</v>
      </c>
      <c r="G471" t="s">
        <v>822</v>
      </c>
      <c r="H471" t="s">
        <v>3108</v>
      </c>
      <c r="I471" t="s">
        <v>3108</v>
      </c>
      <c r="J471">
        <v>2904</v>
      </c>
      <c r="K471" t="s">
        <v>1690</v>
      </c>
      <c r="L471">
        <v>2100</v>
      </c>
      <c r="M471" t="s">
        <v>123</v>
      </c>
      <c r="N471">
        <v>2114</v>
      </c>
      <c r="O471" t="s">
        <v>1444</v>
      </c>
      <c r="P471" t="s">
        <v>3108</v>
      </c>
      <c r="Q471" t="s">
        <v>3249</v>
      </c>
      <c r="R471" t="s">
        <v>3249</v>
      </c>
      <c r="S471" t="s">
        <v>810</v>
      </c>
      <c r="T471" t="s">
        <v>2754</v>
      </c>
      <c r="U471" t="s">
        <v>3250</v>
      </c>
      <c r="V471" t="s">
        <v>3250</v>
      </c>
      <c r="W471" t="s">
        <v>3250</v>
      </c>
      <c r="X471" t="s">
        <v>3250</v>
      </c>
      <c r="Y471" t="s">
        <v>3250</v>
      </c>
      <c r="Z471" t="s">
        <v>3250</v>
      </c>
      <c r="AA471" t="s">
        <v>3108</v>
      </c>
      <c r="AB471" t="s">
        <v>3108</v>
      </c>
      <c r="AC471" t="s">
        <v>3250</v>
      </c>
      <c r="AD471" t="s">
        <v>3250</v>
      </c>
      <c r="AE471" t="s">
        <v>3250</v>
      </c>
      <c r="AF471" t="s">
        <v>3250</v>
      </c>
      <c r="AG471" t="s">
        <v>3250</v>
      </c>
      <c r="AH471" t="s">
        <v>3250</v>
      </c>
      <c r="AI471" t="s">
        <v>3250</v>
      </c>
      <c r="AJ471" t="s">
        <v>3250</v>
      </c>
      <c r="AL471" t="s">
        <v>3250</v>
      </c>
      <c r="AM471" t="s">
        <v>3250</v>
      </c>
      <c r="AN471" t="s">
        <v>3250</v>
      </c>
      <c r="AO471" t="s">
        <v>3250</v>
      </c>
      <c r="AS471" t="s">
        <v>3250</v>
      </c>
      <c r="AT471" t="s">
        <v>3250</v>
      </c>
      <c r="AU471" t="s">
        <v>3250</v>
      </c>
      <c r="AV471" t="s">
        <v>3250</v>
      </c>
      <c r="AW471" t="s">
        <v>3250</v>
      </c>
      <c r="AX471" t="s">
        <v>3250</v>
      </c>
      <c r="AY471" t="s">
        <v>3250</v>
      </c>
      <c r="AZ471" t="s">
        <v>3250</v>
      </c>
      <c r="BA471" t="s">
        <v>3250</v>
      </c>
      <c r="BB471" t="s">
        <v>3250</v>
      </c>
      <c r="BC471" t="s">
        <v>3250</v>
      </c>
      <c r="BE471" t="s">
        <v>3250</v>
      </c>
      <c r="BF471" t="s">
        <v>3250</v>
      </c>
      <c r="BG471" t="s">
        <v>3250</v>
      </c>
      <c r="BH471" t="s">
        <v>3250</v>
      </c>
      <c r="BI471" t="s">
        <v>3250</v>
      </c>
      <c r="BK471" t="s">
        <v>3250</v>
      </c>
      <c r="BL471" t="s">
        <v>3250</v>
      </c>
      <c r="BM471" t="s">
        <v>3250</v>
      </c>
      <c r="BN471" t="s">
        <v>3250</v>
      </c>
      <c r="BP471">
        <v>4</v>
      </c>
      <c r="BQ471">
        <v>42</v>
      </c>
      <c r="BR471" t="s">
        <v>1444</v>
      </c>
      <c r="BS471" t="s">
        <v>4024</v>
      </c>
      <c r="BV471">
        <v>0</v>
      </c>
      <c r="BW471">
        <v>0</v>
      </c>
      <c r="BX471">
        <v>0</v>
      </c>
      <c r="BY471">
        <v>0</v>
      </c>
      <c r="BZ471">
        <v>0</v>
      </c>
      <c r="CA471">
        <v>0</v>
      </c>
      <c r="CB471">
        <v>0</v>
      </c>
      <c r="CC471">
        <v>0</v>
      </c>
      <c r="CD471">
        <v>0</v>
      </c>
      <c r="CE471" t="s">
        <v>3108</v>
      </c>
      <c r="CF471" t="s">
        <v>3108</v>
      </c>
      <c r="CG471" t="s">
        <v>3108</v>
      </c>
      <c r="CH471" t="s">
        <v>3108</v>
      </c>
    </row>
    <row r="472" spans="1:86" x14ac:dyDescent="0.2">
      <c r="A472" t="s">
        <v>4050</v>
      </c>
      <c r="B472" t="s">
        <v>4050</v>
      </c>
      <c r="C472">
        <v>40765</v>
      </c>
      <c r="D472">
        <v>103</v>
      </c>
      <c r="E472" t="s">
        <v>4015</v>
      </c>
      <c r="F472">
        <v>2900</v>
      </c>
      <c r="G472" t="s">
        <v>822</v>
      </c>
      <c r="H472" t="s">
        <v>3108</v>
      </c>
      <c r="I472" t="s">
        <v>3108</v>
      </c>
      <c r="J472">
        <v>2904</v>
      </c>
      <c r="K472" t="s">
        <v>1690</v>
      </c>
      <c r="L472">
        <v>2100</v>
      </c>
      <c r="M472" t="s">
        <v>123</v>
      </c>
      <c r="N472">
        <v>2114</v>
      </c>
      <c r="O472" t="s">
        <v>1444</v>
      </c>
      <c r="P472" t="s">
        <v>3108</v>
      </c>
      <c r="Q472" t="s">
        <v>3249</v>
      </c>
      <c r="R472" t="s">
        <v>3249</v>
      </c>
      <c r="S472" t="s">
        <v>810</v>
      </c>
      <c r="T472" t="s">
        <v>2754</v>
      </c>
      <c r="U472" t="s">
        <v>3250</v>
      </c>
      <c r="V472" t="s">
        <v>3250</v>
      </c>
      <c r="W472" t="s">
        <v>3250</v>
      </c>
      <c r="X472" t="s">
        <v>3250</v>
      </c>
      <c r="Y472" t="s">
        <v>3250</v>
      </c>
      <c r="Z472" t="s">
        <v>3250</v>
      </c>
      <c r="AA472" t="s">
        <v>3108</v>
      </c>
      <c r="AB472" t="s">
        <v>3108</v>
      </c>
      <c r="AC472" t="s">
        <v>3250</v>
      </c>
      <c r="AD472" t="s">
        <v>3250</v>
      </c>
      <c r="AE472" t="s">
        <v>3250</v>
      </c>
      <c r="AF472" t="s">
        <v>3250</v>
      </c>
      <c r="AG472" t="s">
        <v>3250</v>
      </c>
      <c r="AH472" t="s">
        <v>3250</v>
      </c>
      <c r="AI472" t="s">
        <v>3250</v>
      </c>
      <c r="AJ472" t="s">
        <v>3250</v>
      </c>
      <c r="AL472" t="s">
        <v>3250</v>
      </c>
      <c r="AM472" t="s">
        <v>3250</v>
      </c>
      <c r="AN472" t="s">
        <v>3250</v>
      </c>
      <c r="AO472" t="s">
        <v>3250</v>
      </c>
      <c r="AS472" t="s">
        <v>3250</v>
      </c>
      <c r="AT472" t="s">
        <v>3250</v>
      </c>
      <c r="AU472" t="s">
        <v>3250</v>
      </c>
      <c r="AV472" t="s">
        <v>3250</v>
      </c>
      <c r="AW472" t="s">
        <v>3250</v>
      </c>
      <c r="AX472" t="s">
        <v>3250</v>
      </c>
      <c r="AY472" t="s">
        <v>3250</v>
      </c>
      <c r="AZ472" t="s">
        <v>3250</v>
      </c>
      <c r="BA472" t="s">
        <v>3250</v>
      </c>
      <c r="BB472" t="s">
        <v>3250</v>
      </c>
      <c r="BC472" t="s">
        <v>3250</v>
      </c>
      <c r="BE472" t="s">
        <v>3250</v>
      </c>
      <c r="BF472" t="s">
        <v>3250</v>
      </c>
      <c r="BG472" t="s">
        <v>3250</v>
      </c>
      <c r="BH472" t="s">
        <v>3250</v>
      </c>
      <c r="BI472" t="s">
        <v>3250</v>
      </c>
      <c r="BK472" t="s">
        <v>3250</v>
      </c>
      <c r="BL472" t="s">
        <v>3250</v>
      </c>
      <c r="BM472" t="s">
        <v>3250</v>
      </c>
      <c r="BN472" t="s">
        <v>3250</v>
      </c>
      <c r="BP472">
        <v>4</v>
      </c>
      <c r="BQ472">
        <v>42</v>
      </c>
      <c r="BR472" t="s">
        <v>1444</v>
      </c>
      <c r="BS472" t="s">
        <v>4024</v>
      </c>
      <c r="BV472">
        <v>0</v>
      </c>
      <c r="BW472">
        <v>3805</v>
      </c>
      <c r="BX472">
        <v>2300</v>
      </c>
      <c r="BY472">
        <v>56650</v>
      </c>
      <c r="BZ472">
        <v>56650</v>
      </c>
      <c r="CA472">
        <v>58859</v>
      </c>
      <c r="CB472">
        <v>61214</v>
      </c>
      <c r="CC472">
        <v>63662</v>
      </c>
      <c r="CD472">
        <v>0</v>
      </c>
      <c r="CE472" t="s">
        <v>3108</v>
      </c>
      <c r="CF472" t="s">
        <v>3108</v>
      </c>
      <c r="CG472" t="s">
        <v>3108</v>
      </c>
      <c r="CH472" t="s">
        <v>3108</v>
      </c>
    </row>
    <row r="473" spans="1:86" x14ac:dyDescent="0.2">
      <c r="A473" t="s">
        <v>4051</v>
      </c>
      <c r="B473" t="s">
        <v>4051</v>
      </c>
      <c r="C473">
        <v>40766</v>
      </c>
      <c r="D473">
        <v>104</v>
      </c>
      <c r="E473" t="s">
        <v>3996</v>
      </c>
      <c r="F473">
        <v>2700</v>
      </c>
      <c r="G473" t="s">
        <v>411</v>
      </c>
      <c r="H473" t="s">
        <v>3997</v>
      </c>
      <c r="I473" t="s">
        <v>2533</v>
      </c>
      <c r="J473">
        <v>2703</v>
      </c>
      <c r="K473" t="s">
        <v>2533</v>
      </c>
      <c r="L473">
        <v>2100</v>
      </c>
      <c r="M473" t="s">
        <v>123</v>
      </c>
      <c r="N473">
        <v>2114</v>
      </c>
      <c r="O473" t="s">
        <v>1444</v>
      </c>
      <c r="P473" t="s">
        <v>3108</v>
      </c>
      <c r="Q473" t="s">
        <v>3249</v>
      </c>
      <c r="R473" t="s">
        <v>3249</v>
      </c>
      <c r="S473" t="s">
        <v>810</v>
      </c>
      <c r="T473" t="s">
        <v>2754</v>
      </c>
      <c r="U473" t="s">
        <v>3250</v>
      </c>
      <c r="V473" t="s">
        <v>3250</v>
      </c>
      <c r="W473" t="s">
        <v>3250</v>
      </c>
      <c r="X473" t="s">
        <v>3250</v>
      </c>
      <c r="Y473" t="s">
        <v>3250</v>
      </c>
      <c r="Z473" t="s">
        <v>3250</v>
      </c>
      <c r="AA473" t="s">
        <v>3108</v>
      </c>
      <c r="AB473" t="s">
        <v>3108</v>
      </c>
      <c r="AC473" t="s">
        <v>3250</v>
      </c>
      <c r="AD473" t="s">
        <v>3250</v>
      </c>
      <c r="AE473" t="s">
        <v>3250</v>
      </c>
      <c r="AF473" t="s">
        <v>3250</v>
      </c>
      <c r="AG473" t="s">
        <v>3250</v>
      </c>
      <c r="AH473" t="s">
        <v>3250</v>
      </c>
      <c r="AI473" t="s">
        <v>3250</v>
      </c>
      <c r="AJ473" t="s">
        <v>3250</v>
      </c>
      <c r="AL473" t="s">
        <v>3250</v>
      </c>
      <c r="AM473" t="s">
        <v>3250</v>
      </c>
      <c r="AN473" t="s">
        <v>3250</v>
      </c>
      <c r="AO473" t="s">
        <v>3250</v>
      </c>
      <c r="AS473" t="s">
        <v>3250</v>
      </c>
      <c r="AT473" t="s">
        <v>3250</v>
      </c>
      <c r="AU473" t="s">
        <v>3250</v>
      </c>
      <c r="AV473" t="s">
        <v>3250</v>
      </c>
      <c r="AW473" t="s">
        <v>3250</v>
      </c>
      <c r="AX473" t="s">
        <v>3250</v>
      </c>
      <c r="AY473" t="s">
        <v>3250</v>
      </c>
      <c r="AZ473" t="s">
        <v>3250</v>
      </c>
      <c r="BA473" t="s">
        <v>3250</v>
      </c>
      <c r="BB473" t="s">
        <v>3250</v>
      </c>
      <c r="BC473" t="s">
        <v>3250</v>
      </c>
      <c r="BE473" t="s">
        <v>3250</v>
      </c>
      <c r="BF473" t="s">
        <v>3250</v>
      </c>
      <c r="BG473" t="s">
        <v>3250</v>
      </c>
      <c r="BH473" t="s">
        <v>3250</v>
      </c>
      <c r="BI473" t="s">
        <v>3250</v>
      </c>
      <c r="BK473" t="s">
        <v>3250</v>
      </c>
      <c r="BL473" t="s">
        <v>3250</v>
      </c>
      <c r="BM473" t="s">
        <v>3250</v>
      </c>
      <c r="BN473" t="s">
        <v>3250</v>
      </c>
      <c r="BP473">
        <v>4</v>
      </c>
      <c r="BQ473">
        <v>42</v>
      </c>
      <c r="BR473" t="s">
        <v>1444</v>
      </c>
      <c r="BS473" t="s">
        <v>4024</v>
      </c>
      <c r="BV473">
        <v>0</v>
      </c>
      <c r="BW473">
        <v>27800</v>
      </c>
      <c r="BX473">
        <v>2428</v>
      </c>
      <c r="BY473">
        <v>10600</v>
      </c>
      <c r="BZ473">
        <v>10600</v>
      </c>
      <c r="CA473">
        <v>11013</v>
      </c>
      <c r="CB473">
        <v>11454</v>
      </c>
      <c r="CC473">
        <v>11912</v>
      </c>
      <c r="CD473">
        <v>0</v>
      </c>
      <c r="CE473" t="s">
        <v>3108</v>
      </c>
      <c r="CF473" t="s">
        <v>3108</v>
      </c>
      <c r="CG473" t="s">
        <v>3108</v>
      </c>
      <c r="CH473" t="s">
        <v>3108</v>
      </c>
    </row>
    <row r="474" spans="1:86" x14ac:dyDescent="0.2">
      <c r="A474" t="s">
        <v>4052</v>
      </c>
      <c r="B474" t="s">
        <v>4052</v>
      </c>
      <c r="C474">
        <v>40767</v>
      </c>
      <c r="D474">
        <v>105</v>
      </c>
      <c r="E474" t="s">
        <v>4053</v>
      </c>
      <c r="F474">
        <v>2900</v>
      </c>
      <c r="G474" t="s">
        <v>822</v>
      </c>
      <c r="H474" t="s">
        <v>3108</v>
      </c>
      <c r="I474" t="s">
        <v>3108</v>
      </c>
      <c r="J474">
        <v>2904</v>
      </c>
      <c r="K474" t="s">
        <v>1690</v>
      </c>
      <c r="L474">
        <v>2100</v>
      </c>
      <c r="M474" t="s">
        <v>123</v>
      </c>
      <c r="N474">
        <v>2114</v>
      </c>
      <c r="O474" t="s">
        <v>1444</v>
      </c>
      <c r="P474" t="s">
        <v>3108</v>
      </c>
      <c r="Q474" t="s">
        <v>3249</v>
      </c>
      <c r="R474" t="s">
        <v>3249</v>
      </c>
      <c r="S474" t="s">
        <v>810</v>
      </c>
      <c r="T474" t="s">
        <v>2754</v>
      </c>
      <c r="U474" t="s">
        <v>3250</v>
      </c>
      <c r="V474" t="s">
        <v>3250</v>
      </c>
      <c r="W474" t="s">
        <v>3250</v>
      </c>
      <c r="X474" t="s">
        <v>3250</v>
      </c>
      <c r="Y474" t="s">
        <v>3250</v>
      </c>
      <c r="Z474" t="s">
        <v>3250</v>
      </c>
      <c r="AA474" t="s">
        <v>3108</v>
      </c>
      <c r="AB474" t="s">
        <v>3108</v>
      </c>
      <c r="AC474" t="s">
        <v>3250</v>
      </c>
      <c r="AD474" t="s">
        <v>3250</v>
      </c>
      <c r="AE474" t="s">
        <v>3250</v>
      </c>
      <c r="AF474" t="s">
        <v>3250</v>
      </c>
      <c r="AG474" t="s">
        <v>3250</v>
      </c>
      <c r="AH474" t="s">
        <v>3250</v>
      </c>
      <c r="AI474" t="s">
        <v>3250</v>
      </c>
      <c r="AJ474" t="s">
        <v>3250</v>
      </c>
      <c r="AL474" t="s">
        <v>3250</v>
      </c>
      <c r="AM474" t="s">
        <v>3250</v>
      </c>
      <c r="AN474" t="s">
        <v>3250</v>
      </c>
      <c r="AO474" t="s">
        <v>3250</v>
      </c>
      <c r="AS474" t="s">
        <v>3250</v>
      </c>
      <c r="AT474" t="s">
        <v>3250</v>
      </c>
      <c r="AU474" t="s">
        <v>3250</v>
      </c>
      <c r="AV474" t="s">
        <v>3250</v>
      </c>
      <c r="AW474" t="s">
        <v>3250</v>
      </c>
      <c r="AX474" t="s">
        <v>3250</v>
      </c>
      <c r="AY474" t="s">
        <v>3250</v>
      </c>
      <c r="AZ474" t="s">
        <v>3250</v>
      </c>
      <c r="BA474" t="s">
        <v>3250</v>
      </c>
      <c r="BB474" t="s">
        <v>3250</v>
      </c>
      <c r="BC474" t="s">
        <v>3250</v>
      </c>
      <c r="BE474" t="s">
        <v>3250</v>
      </c>
      <c r="BF474" t="s">
        <v>3250</v>
      </c>
      <c r="BG474" t="s">
        <v>3250</v>
      </c>
      <c r="BH474" t="s">
        <v>3250</v>
      </c>
      <c r="BI474" t="s">
        <v>3250</v>
      </c>
      <c r="BK474" t="s">
        <v>3250</v>
      </c>
      <c r="BL474" t="s">
        <v>3250</v>
      </c>
      <c r="BM474" t="s">
        <v>3250</v>
      </c>
      <c r="BN474" t="s">
        <v>3250</v>
      </c>
      <c r="BP474">
        <v>4</v>
      </c>
      <c r="BQ474">
        <v>42</v>
      </c>
      <c r="BR474" t="s">
        <v>1444</v>
      </c>
      <c r="BS474" t="s">
        <v>4024</v>
      </c>
      <c r="BV474">
        <v>0</v>
      </c>
      <c r="BW474">
        <v>0</v>
      </c>
      <c r="BX474">
        <v>0</v>
      </c>
      <c r="BY474">
        <v>17922</v>
      </c>
      <c r="BZ474">
        <v>17922</v>
      </c>
      <c r="CA474">
        <v>18621</v>
      </c>
      <c r="CB474">
        <v>19366</v>
      </c>
      <c r="CC474">
        <v>20140</v>
      </c>
      <c r="CD474">
        <v>0</v>
      </c>
      <c r="CE474" t="s">
        <v>3108</v>
      </c>
      <c r="CF474" t="s">
        <v>3108</v>
      </c>
      <c r="CG474" t="s">
        <v>3108</v>
      </c>
      <c r="CH474" t="s">
        <v>3108</v>
      </c>
    </row>
    <row r="475" spans="1:86" x14ac:dyDescent="0.2">
      <c r="A475" t="s">
        <v>4054</v>
      </c>
      <c r="B475" t="s">
        <v>4054</v>
      </c>
      <c r="C475">
        <v>40768</v>
      </c>
      <c r="D475">
        <v>106</v>
      </c>
      <c r="E475" t="s">
        <v>3999</v>
      </c>
      <c r="F475">
        <v>2700</v>
      </c>
      <c r="G475" t="s">
        <v>411</v>
      </c>
      <c r="H475" t="s">
        <v>3997</v>
      </c>
      <c r="I475" t="s">
        <v>2533</v>
      </c>
      <c r="J475">
        <v>2703</v>
      </c>
      <c r="K475" t="s">
        <v>2533</v>
      </c>
      <c r="L475">
        <v>2100</v>
      </c>
      <c r="M475" t="s">
        <v>123</v>
      </c>
      <c r="N475">
        <v>2114</v>
      </c>
      <c r="O475" t="s">
        <v>1444</v>
      </c>
      <c r="P475" t="s">
        <v>3108</v>
      </c>
      <c r="Q475" t="s">
        <v>3249</v>
      </c>
      <c r="R475" t="s">
        <v>3249</v>
      </c>
      <c r="S475" t="s">
        <v>810</v>
      </c>
      <c r="T475" t="s">
        <v>2754</v>
      </c>
      <c r="U475" t="s">
        <v>3250</v>
      </c>
      <c r="V475" t="s">
        <v>3250</v>
      </c>
      <c r="W475" t="s">
        <v>3250</v>
      </c>
      <c r="X475" t="s">
        <v>3250</v>
      </c>
      <c r="Y475" t="s">
        <v>3250</v>
      </c>
      <c r="Z475" t="s">
        <v>3250</v>
      </c>
      <c r="AA475" t="s">
        <v>3108</v>
      </c>
      <c r="AB475" t="s">
        <v>3108</v>
      </c>
      <c r="AC475" t="s">
        <v>3250</v>
      </c>
      <c r="AD475" t="s">
        <v>3250</v>
      </c>
      <c r="AE475" t="s">
        <v>3250</v>
      </c>
      <c r="AF475" t="s">
        <v>3250</v>
      </c>
      <c r="AG475" t="s">
        <v>3250</v>
      </c>
      <c r="AH475" t="s">
        <v>3250</v>
      </c>
      <c r="AI475" t="s">
        <v>3250</v>
      </c>
      <c r="AJ475" t="s">
        <v>3250</v>
      </c>
      <c r="AL475" t="s">
        <v>3250</v>
      </c>
      <c r="AM475" t="s">
        <v>3250</v>
      </c>
      <c r="AN475" t="s">
        <v>3250</v>
      </c>
      <c r="AO475" t="s">
        <v>3250</v>
      </c>
      <c r="AS475" t="s">
        <v>3250</v>
      </c>
      <c r="AT475" t="s">
        <v>3250</v>
      </c>
      <c r="AU475" t="s">
        <v>3250</v>
      </c>
      <c r="AV475" t="s">
        <v>3250</v>
      </c>
      <c r="AW475" t="s">
        <v>3250</v>
      </c>
      <c r="AX475" t="s">
        <v>3250</v>
      </c>
      <c r="AY475" t="s">
        <v>3250</v>
      </c>
      <c r="AZ475" t="s">
        <v>3250</v>
      </c>
      <c r="BA475" t="s">
        <v>3250</v>
      </c>
      <c r="BB475" t="s">
        <v>3250</v>
      </c>
      <c r="BC475" t="s">
        <v>3250</v>
      </c>
      <c r="BE475" t="s">
        <v>3250</v>
      </c>
      <c r="BF475" t="s">
        <v>3250</v>
      </c>
      <c r="BG475" t="s">
        <v>3250</v>
      </c>
      <c r="BH475" t="s">
        <v>3250</v>
      </c>
      <c r="BI475" t="s">
        <v>3250</v>
      </c>
      <c r="BK475" t="s">
        <v>3250</v>
      </c>
      <c r="BL475" t="s">
        <v>3250</v>
      </c>
      <c r="BM475" t="s">
        <v>3250</v>
      </c>
      <c r="BN475" t="s">
        <v>3250</v>
      </c>
      <c r="BP475">
        <v>4</v>
      </c>
      <c r="BQ475">
        <v>42</v>
      </c>
      <c r="BR475" t="s">
        <v>1444</v>
      </c>
      <c r="BS475" t="s">
        <v>4024</v>
      </c>
      <c r="BV475">
        <v>0</v>
      </c>
      <c r="BW475">
        <v>56700</v>
      </c>
      <c r="BX475">
        <v>0</v>
      </c>
      <c r="BY475">
        <v>20350</v>
      </c>
      <c r="BZ475">
        <v>20350</v>
      </c>
      <c r="CA475">
        <v>21144</v>
      </c>
      <c r="CB475">
        <v>21989</v>
      </c>
      <c r="CC475">
        <v>22869</v>
      </c>
      <c r="CD475">
        <v>0</v>
      </c>
      <c r="CE475" t="s">
        <v>3108</v>
      </c>
      <c r="CF475" t="s">
        <v>3108</v>
      </c>
      <c r="CG475" t="s">
        <v>3108</v>
      </c>
      <c r="CH475" t="s">
        <v>3108</v>
      </c>
    </row>
    <row r="476" spans="1:86" x14ac:dyDescent="0.2">
      <c r="A476" t="s">
        <v>4055</v>
      </c>
      <c r="B476" t="s">
        <v>4055</v>
      </c>
      <c r="C476">
        <v>40769</v>
      </c>
      <c r="D476">
        <v>99</v>
      </c>
      <c r="E476" t="s">
        <v>4015</v>
      </c>
      <c r="F476">
        <v>2900</v>
      </c>
      <c r="G476" t="s">
        <v>822</v>
      </c>
      <c r="H476" t="s">
        <v>3108</v>
      </c>
      <c r="I476" t="s">
        <v>3108</v>
      </c>
      <c r="J476">
        <v>2904</v>
      </c>
      <c r="K476" t="s">
        <v>1690</v>
      </c>
      <c r="L476">
        <v>2100</v>
      </c>
      <c r="M476" t="s">
        <v>123</v>
      </c>
      <c r="N476">
        <v>2114</v>
      </c>
      <c r="O476" t="s">
        <v>1444</v>
      </c>
      <c r="P476" t="s">
        <v>3108</v>
      </c>
      <c r="Q476" t="s">
        <v>3249</v>
      </c>
      <c r="R476" t="s">
        <v>3249</v>
      </c>
      <c r="S476" t="s">
        <v>810</v>
      </c>
      <c r="T476" t="s">
        <v>2754</v>
      </c>
      <c r="U476" t="s">
        <v>3250</v>
      </c>
      <c r="V476" t="s">
        <v>3250</v>
      </c>
      <c r="W476" t="s">
        <v>3250</v>
      </c>
      <c r="X476" t="s">
        <v>3250</v>
      </c>
      <c r="Y476" t="s">
        <v>3250</v>
      </c>
      <c r="Z476" t="s">
        <v>3250</v>
      </c>
      <c r="AA476" t="s">
        <v>3108</v>
      </c>
      <c r="AB476" t="s">
        <v>3108</v>
      </c>
      <c r="AC476" t="s">
        <v>3250</v>
      </c>
      <c r="AD476" t="s">
        <v>3250</v>
      </c>
      <c r="AE476" t="s">
        <v>3250</v>
      </c>
      <c r="AF476" t="s">
        <v>3250</v>
      </c>
      <c r="AG476" t="s">
        <v>3250</v>
      </c>
      <c r="AH476" t="s">
        <v>3250</v>
      </c>
      <c r="AI476" t="s">
        <v>3250</v>
      </c>
      <c r="AJ476" t="s">
        <v>3250</v>
      </c>
      <c r="AL476" t="s">
        <v>3250</v>
      </c>
      <c r="AM476" t="s">
        <v>3250</v>
      </c>
      <c r="AN476" t="s">
        <v>3250</v>
      </c>
      <c r="AO476" t="s">
        <v>3250</v>
      </c>
      <c r="AS476" t="s">
        <v>3250</v>
      </c>
      <c r="AT476" t="s">
        <v>3250</v>
      </c>
      <c r="AU476" t="s">
        <v>3250</v>
      </c>
      <c r="AV476" t="s">
        <v>3250</v>
      </c>
      <c r="AW476" t="s">
        <v>3250</v>
      </c>
      <c r="AX476" t="s">
        <v>3250</v>
      </c>
      <c r="AY476" t="s">
        <v>3250</v>
      </c>
      <c r="AZ476" t="s">
        <v>3250</v>
      </c>
      <c r="BA476" t="s">
        <v>3250</v>
      </c>
      <c r="BB476" t="s">
        <v>3250</v>
      </c>
      <c r="BC476" t="s">
        <v>3250</v>
      </c>
      <c r="BE476" t="s">
        <v>3250</v>
      </c>
      <c r="BF476" t="s">
        <v>3250</v>
      </c>
      <c r="BG476" t="s">
        <v>3250</v>
      </c>
      <c r="BH476" t="s">
        <v>3250</v>
      </c>
      <c r="BI476" t="s">
        <v>3250</v>
      </c>
      <c r="BK476" t="s">
        <v>3250</v>
      </c>
      <c r="BL476" t="s">
        <v>3250</v>
      </c>
      <c r="BM476" t="s">
        <v>3250</v>
      </c>
      <c r="BN476" t="s">
        <v>3250</v>
      </c>
      <c r="BP476">
        <v>4</v>
      </c>
      <c r="BQ476">
        <v>42</v>
      </c>
      <c r="BR476" t="s">
        <v>1444</v>
      </c>
      <c r="BS476" t="s">
        <v>4024</v>
      </c>
      <c r="BV476">
        <v>0</v>
      </c>
      <c r="BW476">
        <v>0</v>
      </c>
      <c r="BX476">
        <v>0</v>
      </c>
      <c r="BY476">
        <v>0</v>
      </c>
      <c r="BZ476">
        <v>0</v>
      </c>
      <c r="CA476">
        <v>0</v>
      </c>
      <c r="CB476">
        <v>0</v>
      </c>
      <c r="CC476">
        <v>0</v>
      </c>
      <c r="CD476">
        <v>0</v>
      </c>
      <c r="CE476" t="s">
        <v>3108</v>
      </c>
      <c r="CF476" t="s">
        <v>3108</v>
      </c>
      <c r="CG476" t="s">
        <v>3108</v>
      </c>
      <c r="CH476" t="s">
        <v>3108</v>
      </c>
    </row>
    <row r="477" spans="1:86" x14ac:dyDescent="0.2">
      <c r="A477" t="s">
        <v>4056</v>
      </c>
      <c r="B477" t="s">
        <v>4056</v>
      </c>
      <c r="C477">
        <v>40770</v>
      </c>
      <c r="D477">
        <v>100</v>
      </c>
      <c r="E477" t="s">
        <v>4006</v>
      </c>
      <c r="F477">
        <v>2700</v>
      </c>
      <c r="G477" t="s">
        <v>411</v>
      </c>
      <c r="H477" t="s">
        <v>4004</v>
      </c>
      <c r="I477" t="s">
        <v>2531</v>
      </c>
      <c r="J477">
        <v>2701</v>
      </c>
      <c r="K477" t="s">
        <v>2531</v>
      </c>
      <c r="L477">
        <v>2100</v>
      </c>
      <c r="M477" t="s">
        <v>123</v>
      </c>
      <c r="N477">
        <v>2114</v>
      </c>
      <c r="O477" t="s">
        <v>1444</v>
      </c>
      <c r="P477" t="s">
        <v>3108</v>
      </c>
      <c r="Q477" t="s">
        <v>3249</v>
      </c>
      <c r="R477" t="s">
        <v>3249</v>
      </c>
      <c r="S477" t="s">
        <v>810</v>
      </c>
      <c r="T477" t="s">
        <v>2754</v>
      </c>
      <c r="U477" t="s">
        <v>3250</v>
      </c>
      <c r="V477" t="s">
        <v>3250</v>
      </c>
      <c r="W477" t="s">
        <v>3250</v>
      </c>
      <c r="X477" t="s">
        <v>3250</v>
      </c>
      <c r="Y477" t="s">
        <v>3250</v>
      </c>
      <c r="Z477" t="s">
        <v>3250</v>
      </c>
      <c r="AA477" t="s">
        <v>3108</v>
      </c>
      <c r="AB477" t="s">
        <v>3108</v>
      </c>
      <c r="AC477" t="s">
        <v>3250</v>
      </c>
      <c r="AD477" t="s">
        <v>3250</v>
      </c>
      <c r="AE477" t="s">
        <v>3250</v>
      </c>
      <c r="AF477" t="s">
        <v>3250</v>
      </c>
      <c r="AG477" t="s">
        <v>3250</v>
      </c>
      <c r="AH477" t="s">
        <v>3250</v>
      </c>
      <c r="AI477" t="s">
        <v>3250</v>
      </c>
      <c r="AJ477" t="s">
        <v>3250</v>
      </c>
      <c r="AL477" t="s">
        <v>3250</v>
      </c>
      <c r="AM477" t="s">
        <v>3250</v>
      </c>
      <c r="AN477" t="s">
        <v>3250</v>
      </c>
      <c r="AO477" t="s">
        <v>3250</v>
      </c>
      <c r="AS477" t="s">
        <v>3250</v>
      </c>
      <c r="AT477" t="s">
        <v>3250</v>
      </c>
      <c r="AU477" t="s">
        <v>3250</v>
      </c>
      <c r="AV477" t="s">
        <v>3250</v>
      </c>
      <c r="AW477" t="s">
        <v>3250</v>
      </c>
      <c r="AX477" t="s">
        <v>3250</v>
      </c>
      <c r="AY477" t="s">
        <v>3250</v>
      </c>
      <c r="AZ477" t="s">
        <v>3250</v>
      </c>
      <c r="BA477" t="s">
        <v>3250</v>
      </c>
      <c r="BB477" t="s">
        <v>3250</v>
      </c>
      <c r="BC477" t="s">
        <v>3250</v>
      </c>
      <c r="BE477" t="s">
        <v>3250</v>
      </c>
      <c r="BF477" t="s">
        <v>3250</v>
      </c>
      <c r="BG477" t="s">
        <v>3250</v>
      </c>
      <c r="BH477" t="s">
        <v>3250</v>
      </c>
      <c r="BI477" t="s">
        <v>3250</v>
      </c>
      <c r="BK477" t="s">
        <v>3250</v>
      </c>
      <c r="BL477" t="s">
        <v>3250</v>
      </c>
      <c r="BM477" t="s">
        <v>3250</v>
      </c>
      <c r="BN477" t="s">
        <v>3250</v>
      </c>
      <c r="BP477">
        <v>4</v>
      </c>
      <c r="BQ477">
        <v>42</v>
      </c>
      <c r="BR477" t="s">
        <v>1444</v>
      </c>
      <c r="BS477" t="s">
        <v>4024</v>
      </c>
      <c r="BV477">
        <v>0</v>
      </c>
      <c r="BW477">
        <v>12500</v>
      </c>
      <c r="BX477">
        <v>0</v>
      </c>
      <c r="BY477">
        <v>0</v>
      </c>
      <c r="BZ477">
        <v>0</v>
      </c>
      <c r="CA477">
        <v>0</v>
      </c>
      <c r="CB477">
        <v>0</v>
      </c>
      <c r="CC477">
        <v>0</v>
      </c>
      <c r="CD477">
        <v>0</v>
      </c>
      <c r="CE477" t="s">
        <v>3108</v>
      </c>
      <c r="CF477" t="s">
        <v>3108</v>
      </c>
      <c r="CG477" t="s">
        <v>3108</v>
      </c>
      <c r="CH477" t="s">
        <v>3108</v>
      </c>
    </row>
    <row r="478" spans="1:86" x14ac:dyDescent="0.2">
      <c r="A478" t="s">
        <v>4057</v>
      </c>
      <c r="B478" t="s">
        <v>4057</v>
      </c>
      <c r="C478">
        <v>40771</v>
      </c>
      <c r="D478">
        <v>101</v>
      </c>
      <c r="E478" t="s">
        <v>3999</v>
      </c>
      <c r="F478">
        <v>2700</v>
      </c>
      <c r="G478" t="s">
        <v>411</v>
      </c>
      <c r="H478" t="s">
        <v>3997</v>
      </c>
      <c r="I478" t="s">
        <v>2533</v>
      </c>
      <c r="J478">
        <v>2703</v>
      </c>
      <c r="K478" t="s">
        <v>2533</v>
      </c>
      <c r="L478">
        <v>2100</v>
      </c>
      <c r="M478" t="s">
        <v>123</v>
      </c>
      <c r="N478">
        <v>2114</v>
      </c>
      <c r="O478" t="s">
        <v>1444</v>
      </c>
      <c r="P478" t="s">
        <v>3108</v>
      </c>
      <c r="Q478" t="s">
        <v>3249</v>
      </c>
      <c r="R478" t="s">
        <v>3249</v>
      </c>
      <c r="S478" t="s">
        <v>810</v>
      </c>
      <c r="T478" t="s">
        <v>2754</v>
      </c>
      <c r="U478" t="s">
        <v>3250</v>
      </c>
      <c r="V478" t="s">
        <v>3250</v>
      </c>
      <c r="W478" t="s">
        <v>3250</v>
      </c>
      <c r="X478" t="s">
        <v>3250</v>
      </c>
      <c r="Y478" t="s">
        <v>3250</v>
      </c>
      <c r="Z478" t="s">
        <v>3250</v>
      </c>
      <c r="AA478" t="s">
        <v>3108</v>
      </c>
      <c r="AB478" t="s">
        <v>3108</v>
      </c>
      <c r="AC478" t="s">
        <v>3250</v>
      </c>
      <c r="AD478" t="s">
        <v>3250</v>
      </c>
      <c r="AE478" t="s">
        <v>3250</v>
      </c>
      <c r="AF478" t="s">
        <v>3250</v>
      </c>
      <c r="AG478" t="s">
        <v>3250</v>
      </c>
      <c r="AH478" t="s">
        <v>3250</v>
      </c>
      <c r="AI478" t="s">
        <v>3250</v>
      </c>
      <c r="AJ478" t="s">
        <v>3250</v>
      </c>
      <c r="AL478" t="s">
        <v>3250</v>
      </c>
      <c r="AM478" t="s">
        <v>3250</v>
      </c>
      <c r="AN478" t="s">
        <v>3250</v>
      </c>
      <c r="AO478" t="s">
        <v>3250</v>
      </c>
      <c r="AS478" t="s">
        <v>3250</v>
      </c>
      <c r="AT478" t="s">
        <v>3250</v>
      </c>
      <c r="AU478" t="s">
        <v>3250</v>
      </c>
      <c r="AV478" t="s">
        <v>3250</v>
      </c>
      <c r="AW478" t="s">
        <v>3250</v>
      </c>
      <c r="AX478" t="s">
        <v>3250</v>
      </c>
      <c r="AY478" t="s">
        <v>3250</v>
      </c>
      <c r="AZ478" t="s">
        <v>3250</v>
      </c>
      <c r="BA478" t="s">
        <v>3250</v>
      </c>
      <c r="BB478" t="s">
        <v>3250</v>
      </c>
      <c r="BC478" t="s">
        <v>3250</v>
      </c>
      <c r="BE478" t="s">
        <v>3250</v>
      </c>
      <c r="BF478" t="s">
        <v>3250</v>
      </c>
      <c r="BG478" t="s">
        <v>3250</v>
      </c>
      <c r="BH478" t="s">
        <v>3250</v>
      </c>
      <c r="BI478" t="s">
        <v>3250</v>
      </c>
      <c r="BK478" t="s">
        <v>3250</v>
      </c>
      <c r="BL478" t="s">
        <v>3250</v>
      </c>
      <c r="BM478" t="s">
        <v>3250</v>
      </c>
      <c r="BN478" t="s">
        <v>3250</v>
      </c>
      <c r="BP478">
        <v>4</v>
      </c>
      <c r="BQ478">
        <v>42</v>
      </c>
      <c r="BR478" t="s">
        <v>1444</v>
      </c>
      <c r="BS478" t="s">
        <v>4024</v>
      </c>
      <c r="BV478">
        <v>0</v>
      </c>
      <c r="BW478">
        <v>0</v>
      </c>
      <c r="BX478">
        <v>0</v>
      </c>
      <c r="BY478">
        <v>0</v>
      </c>
      <c r="BZ478">
        <v>0</v>
      </c>
      <c r="CA478">
        <v>0</v>
      </c>
      <c r="CB478">
        <v>0</v>
      </c>
      <c r="CC478">
        <v>0</v>
      </c>
      <c r="CD478">
        <v>0</v>
      </c>
      <c r="CE478" t="s">
        <v>3108</v>
      </c>
      <c r="CF478" t="s">
        <v>3108</v>
      </c>
      <c r="CG478" t="s">
        <v>3108</v>
      </c>
      <c r="CH478" t="s">
        <v>3108</v>
      </c>
    </row>
    <row r="479" spans="1:86" x14ac:dyDescent="0.2">
      <c r="A479" t="s">
        <v>4058</v>
      </c>
      <c r="B479" t="s">
        <v>4058</v>
      </c>
      <c r="C479">
        <v>40772</v>
      </c>
      <c r="D479">
        <v>311</v>
      </c>
      <c r="E479" t="s">
        <v>4059</v>
      </c>
      <c r="F479">
        <v>2900</v>
      </c>
      <c r="G479" t="s">
        <v>822</v>
      </c>
      <c r="H479" t="s">
        <v>3108</v>
      </c>
      <c r="I479" t="s">
        <v>3108</v>
      </c>
      <c r="J479">
        <v>2904</v>
      </c>
      <c r="K479" t="s">
        <v>1690</v>
      </c>
      <c r="L479">
        <v>2100</v>
      </c>
      <c r="M479" t="s">
        <v>123</v>
      </c>
      <c r="N479">
        <v>2114</v>
      </c>
      <c r="O479" t="s">
        <v>1444</v>
      </c>
      <c r="P479" t="s">
        <v>3108</v>
      </c>
      <c r="Q479" t="s">
        <v>3249</v>
      </c>
      <c r="R479" t="s">
        <v>3249</v>
      </c>
      <c r="S479" t="s">
        <v>810</v>
      </c>
      <c r="T479" t="s">
        <v>2754</v>
      </c>
      <c r="U479" t="s">
        <v>3250</v>
      </c>
      <c r="V479" t="s">
        <v>3250</v>
      </c>
      <c r="W479" t="s">
        <v>3250</v>
      </c>
      <c r="X479" t="s">
        <v>3250</v>
      </c>
      <c r="Y479" t="s">
        <v>3250</v>
      </c>
      <c r="Z479" t="s">
        <v>3250</v>
      </c>
      <c r="AA479" t="s">
        <v>3108</v>
      </c>
      <c r="AB479" t="s">
        <v>3108</v>
      </c>
      <c r="AC479" t="s">
        <v>3250</v>
      </c>
      <c r="AD479" t="s">
        <v>3250</v>
      </c>
      <c r="AE479" t="s">
        <v>3250</v>
      </c>
      <c r="AF479" t="s">
        <v>3250</v>
      </c>
      <c r="AG479" t="s">
        <v>3250</v>
      </c>
      <c r="AH479" t="s">
        <v>3250</v>
      </c>
      <c r="AI479" t="s">
        <v>3250</v>
      </c>
      <c r="AJ479" t="s">
        <v>3250</v>
      </c>
      <c r="AL479" t="s">
        <v>3250</v>
      </c>
      <c r="AM479" t="s">
        <v>3250</v>
      </c>
      <c r="AN479" t="s">
        <v>3250</v>
      </c>
      <c r="AO479" t="s">
        <v>3250</v>
      </c>
      <c r="AS479" t="s">
        <v>3250</v>
      </c>
      <c r="AT479" t="s">
        <v>3250</v>
      </c>
      <c r="AU479" t="s">
        <v>3250</v>
      </c>
      <c r="AV479" t="s">
        <v>3250</v>
      </c>
      <c r="AW479" t="s">
        <v>3250</v>
      </c>
      <c r="AX479" t="s">
        <v>3250</v>
      </c>
      <c r="AY479" t="s">
        <v>3250</v>
      </c>
      <c r="AZ479" t="s">
        <v>3250</v>
      </c>
      <c r="BA479" t="s">
        <v>3250</v>
      </c>
      <c r="BB479" t="s">
        <v>3250</v>
      </c>
      <c r="BC479" t="s">
        <v>3250</v>
      </c>
      <c r="BE479" t="s">
        <v>3250</v>
      </c>
      <c r="BF479" t="s">
        <v>3250</v>
      </c>
      <c r="BG479" t="s">
        <v>3250</v>
      </c>
      <c r="BH479" t="s">
        <v>3250</v>
      </c>
      <c r="BI479" t="s">
        <v>3250</v>
      </c>
      <c r="BK479" t="s">
        <v>3250</v>
      </c>
      <c r="BL479" t="s">
        <v>3250</v>
      </c>
      <c r="BM479" t="s">
        <v>3250</v>
      </c>
      <c r="BN479" t="s">
        <v>3250</v>
      </c>
      <c r="BP479">
        <v>4</v>
      </c>
      <c r="BQ479">
        <v>42</v>
      </c>
      <c r="BR479" t="s">
        <v>1444</v>
      </c>
      <c r="BS479" t="s">
        <v>4024</v>
      </c>
      <c r="BV479">
        <v>233</v>
      </c>
      <c r="BW479">
        <v>420</v>
      </c>
      <c r="BX479">
        <v>363</v>
      </c>
      <c r="BY479">
        <v>618</v>
      </c>
      <c r="BZ479">
        <v>618</v>
      </c>
      <c r="CA479">
        <v>642</v>
      </c>
      <c r="CB479">
        <v>668</v>
      </c>
      <c r="CC479">
        <v>694</v>
      </c>
      <c r="CD479">
        <v>0</v>
      </c>
      <c r="CE479" t="s">
        <v>3108</v>
      </c>
      <c r="CF479" t="s">
        <v>3108</v>
      </c>
      <c r="CG479" t="s">
        <v>3108</v>
      </c>
      <c r="CH479" t="s">
        <v>3108</v>
      </c>
    </row>
    <row r="480" spans="1:86" x14ac:dyDescent="0.2">
      <c r="A480" t="s">
        <v>4060</v>
      </c>
      <c r="B480" t="s">
        <v>4060</v>
      </c>
      <c r="C480">
        <v>40773</v>
      </c>
      <c r="D480">
        <v>312</v>
      </c>
      <c r="E480" t="s">
        <v>4061</v>
      </c>
      <c r="F480">
        <v>2900</v>
      </c>
      <c r="G480" t="s">
        <v>822</v>
      </c>
      <c r="H480" t="s">
        <v>3108</v>
      </c>
      <c r="I480" t="s">
        <v>3108</v>
      </c>
      <c r="J480">
        <v>2904</v>
      </c>
      <c r="K480" t="s">
        <v>1690</v>
      </c>
      <c r="L480">
        <v>2100</v>
      </c>
      <c r="M480" t="s">
        <v>123</v>
      </c>
      <c r="N480">
        <v>2114</v>
      </c>
      <c r="O480" t="s">
        <v>1444</v>
      </c>
      <c r="P480" t="s">
        <v>3108</v>
      </c>
      <c r="Q480" t="s">
        <v>3249</v>
      </c>
      <c r="R480" t="s">
        <v>3249</v>
      </c>
      <c r="S480" t="s">
        <v>810</v>
      </c>
      <c r="T480" t="s">
        <v>2754</v>
      </c>
      <c r="U480" t="s">
        <v>3250</v>
      </c>
      <c r="V480" t="s">
        <v>3250</v>
      </c>
      <c r="W480" t="s">
        <v>3250</v>
      </c>
      <c r="X480" t="s">
        <v>3250</v>
      </c>
      <c r="Y480" t="s">
        <v>3250</v>
      </c>
      <c r="Z480" t="s">
        <v>3250</v>
      </c>
      <c r="AA480" t="s">
        <v>3108</v>
      </c>
      <c r="AB480" t="s">
        <v>3108</v>
      </c>
      <c r="AC480" t="s">
        <v>3250</v>
      </c>
      <c r="AD480" t="s">
        <v>3250</v>
      </c>
      <c r="AE480" t="s">
        <v>3250</v>
      </c>
      <c r="AF480" t="s">
        <v>3250</v>
      </c>
      <c r="AG480" t="s">
        <v>3250</v>
      </c>
      <c r="AH480" t="s">
        <v>3250</v>
      </c>
      <c r="AI480" t="s">
        <v>3250</v>
      </c>
      <c r="AJ480" t="s">
        <v>3250</v>
      </c>
      <c r="AL480" t="s">
        <v>3250</v>
      </c>
      <c r="AM480" t="s">
        <v>3250</v>
      </c>
      <c r="AN480" t="s">
        <v>3250</v>
      </c>
      <c r="AO480" t="s">
        <v>3250</v>
      </c>
      <c r="AS480" t="s">
        <v>3250</v>
      </c>
      <c r="AT480" t="s">
        <v>3250</v>
      </c>
      <c r="AU480" t="s">
        <v>3250</v>
      </c>
      <c r="AV480" t="s">
        <v>3250</v>
      </c>
      <c r="AW480" t="s">
        <v>3250</v>
      </c>
      <c r="AX480" t="s">
        <v>3250</v>
      </c>
      <c r="AY480" t="s">
        <v>3250</v>
      </c>
      <c r="AZ480" t="s">
        <v>3250</v>
      </c>
      <c r="BA480" t="s">
        <v>3250</v>
      </c>
      <c r="BB480" t="s">
        <v>3250</v>
      </c>
      <c r="BC480" t="s">
        <v>3250</v>
      </c>
      <c r="BE480" t="s">
        <v>3250</v>
      </c>
      <c r="BF480" t="s">
        <v>3250</v>
      </c>
      <c r="BG480" t="s">
        <v>3250</v>
      </c>
      <c r="BH480" t="s">
        <v>3250</v>
      </c>
      <c r="BI480" t="s">
        <v>3250</v>
      </c>
      <c r="BK480" t="s">
        <v>3250</v>
      </c>
      <c r="BL480" t="s">
        <v>3250</v>
      </c>
      <c r="BM480" t="s">
        <v>3250</v>
      </c>
      <c r="BN480" t="s">
        <v>3250</v>
      </c>
      <c r="BP480">
        <v>4</v>
      </c>
      <c r="BQ480">
        <v>42</v>
      </c>
      <c r="BR480" t="s">
        <v>1444</v>
      </c>
      <c r="BS480" t="s">
        <v>4024</v>
      </c>
      <c r="BV480">
        <v>8739</v>
      </c>
      <c r="BW480">
        <v>12370</v>
      </c>
      <c r="BX480">
        <v>9628</v>
      </c>
      <c r="BY480">
        <v>16480</v>
      </c>
      <c r="BZ480">
        <v>16480</v>
      </c>
      <c r="CA480">
        <v>17123</v>
      </c>
      <c r="CB480">
        <v>17808</v>
      </c>
      <c r="CC480">
        <v>18520</v>
      </c>
      <c r="CD480">
        <v>10800</v>
      </c>
      <c r="CE480" t="s">
        <v>3108</v>
      </c>
      <c r="CF480" t="s">
        <v>3108</v>
      </c>
      <c r="CG480" t="s">
        <v>3108</v>
      </c>
      <c r="CH480" t="s">
        <v>3108</v>
      </c>
    </row>
    <row r="481" spans="1:86" x14ac:dyDescent="0.2">
      <c r="A481" t="s">
        <v>4062</v>
      </c>
      <c r="B481" t="s">
        <v>4062</v>
      </c>
      <c r="C481">
        <v>40774</v>
      </c>
      <c r="D481">
        <v>313</v>
      </c>
      <c r="E481" t="s">
        <v>4063</v>
      </c>
      <c r="F481">
        <v>2000</v>
      </c>
      <c r="G481" t="s">
        <v>408</v>
      </c>
      <c r="H481" t="s">
        <v>4064</v>
      </c>
      <c r="I481" t="s">
        <v>1340</v>
      </c>
      <c r="J481">
        <v>2009</v>
      </c>
      <c r="K481" t="s">
        <v>1340</v>
      </c>
      <c r="L481">
        <v>2100</v>
      </c>
      <c r="M481" t="s">
        <v>123</v>
      </c>
      <c r="N481">
        <v>2114</v>
      </c>
      <c r="O481" t="s">
        <v>1444</v>
      </c>
      <c r="P481" t="s">
        <v>3108</v>
      </c>
      <c r="Q481" t="s">
        <v>3249</v>
      </c>
      <c r="R481" t="s">
        <v>3249</v>
      </c>
      <c r="S481" t="s">
        <v>810</v>
      </c>
      <c r="T481" t="s">
        <v>2754</v>
      </c>
      <c r="U481" t="s">
        <v>3250</v>
      </c>
      <c r="V481" t="s">
        <v>3250</v>
      </c>
      <c r="W481" t="s">
        <v>3250</v>
      </c>
      <c r="X481" t="s">
        <v>3250</v>
      </c>
      <c r="Y481" t="s">
        <v>3250</v>
      </c>
      <c r="Z481" t="s">
        <v>3250</v>
      </c>
      <c r="AA481" t="s">
        <v>3108</v>
      </c>
      <c r="AB481" t="s">
        <v>3108</v>
      </c>
      <c r="AC481" t="s">
        <v>3250</v>
      </c>
      <c r="AD481" t="s">
        <v>3250</v>
      </c>
      <c r="AE481" t="s">
        <v>3250</v>
      </c>
      <c r="AF481" t="s">
        <v>3250</v>
      </c>
      <c r="AG481" t="s">
        <v>3250</v>
      </c>
      <c r="AH481" t="s">
        <v>3250</v>
      </c>
      <c r="AI481" t="s">
        <v>3250</v>
      </c>
      <c r="AJ481" t="s">
        <v>3250</v>
      </c>
      <c r="AL481" t="s">
        <v>3250</v>
      </c>
      <c r="AM481" t="s">
        <v>3250</v>
      </c>
      <c r="AN481" t="s">
        <v>3250</v>
      </c>
      <c r="AO481" t="s">
        <v>3250</v>
      </c>
      <c r="AS481" t="s">
        <v>3250</v>
      </c>
      <c r="AT481" t="s">
        <v>3250</v>
      </c>
      <c r="AU481" t="s">
        <v>3250</v>
      </c>
      <c r="AV481" t="s">
        <v>3250</v>
      </c>
      <c r="AW481" t="s">
        <v>3250</v>
      </c>
      <c r="AX481" t="s">
        <v>3250</v>
      </c>
      <c r="AY481" t="s">
        <v>3250</v>
      </c>
      <c r="AZ481" t="s">
        <v>3250</v>
      </c>
      <c r="BA481" t="s">
        <v>3250</v>
      </c>
      <c r="BB481" t="s">
        <v>3250</v>
      </c>
      <c r="BC481" t="s">
        <v>3250</v>
      </c>
      <c r="BE481" t="s">
        <v>3250</v>
      </c>
      <c r="BF481" t="s">
        <v>3250</v>
      </c>
      <c r="BG481" t="s">
        <v>3250</v>
      </c>
      <c r="BH481" t="s">
        <v>3250</v>
      </c>
      <c r="BI481" t="s">
        <v>3250</v>
      </c>
      <c r="BK481" t="s">
        <v>3250</v>
      </c>
      <c r="BL481" t="s">
        <v>3250</v>
      </c>
      <c r="BM481" t="s">
        <v>3250</v>
      </c>
      <c r="BN481" t="s">
        <v>3250</v>
      </c>
      <c r="BO481" t="s">
        <v>2916</v>
      </c>
      <c r="BP481">
        <v>4</v>
      </c>
      <c r="BQ481">
        <v>42</v>
      </c>
      <c r="BR481" t="s">
        <v>1444</v>
      </c>
      <c r="BS481" t="s">
        <v>4024</v>
      </c>
      <c r="BV481">
        <v>57</v>
      </c>
      <c r="BW481">
        <v>210</v>
      </c>
      <c r="BX481">
        <v>116</v>
      </c>
      <c r="BY481">
        <v>571</v>
      </c>
      <c r="BZ481">
        <v>571</v>
      </c>
      <c r="CA481">
        <v>611</v>
      </c>
      <c r="CB481">
        <v>654</v>
      </c>
      <c r="CC481">
        <v>700</v>
      </c>
      <c r="CD481">
        <v>752</v>
      </c>
      <c r="CE481" t="s">
        <v>3108</v>
      </c>
      <c r="CF481" t="s">
        <v>3108</v>
      </c>
      <c r="CG481" t="s">
        <v>3108</v>
      </c>
      <c r="CH481" t="s">
        <v>3108</v>
      </c>
    </row>
    <row r="482" spans="1:86" x14ac:dyDescent="0.2">
      <c r="A482" t="s">
        <v>4065</v>
      </c>
      <c r="B482" t="s">
        <v>4065</v>
      </c>
      <c r="C482">
        <v>40775</v>
      </c>
      <c r="D482">
        <v>314</v>
      </c>
      <c r="E482" t="s">
        <v>4066</v>
      </c>
      <c r="F482">
        <v>2000</v>
      </c>
      <c r="G482" t="s">
        <v>408</v>
      </c>
      <c r="H482" t="s">
        <v>4067</v>
      </c>
      <c r="I482" t="s">
        <v>650</v>
      </c>
      <c r="J482">
        <v>2003</v>
      </c>
      <c r="K482" t="s">
        <v>650</v>
      </c>
      <c r="L482">
        <v>2100</v>
      </c>
      <c r="M482" t="s">
        <v>123</v>
      </c>
      <c r="N482">
        <v>2114</v>
      </c>
      <c r="O482" t="s">
        <v>1444</v>
      </c>
      <c r="P482" t="s">
        <v>3108</v>
      </c>
      <c r="Q482" t="s">
        <v>3249</v>
      </c>
      <c r="R482" t="s">
        <v>3249</v>
      </c>
      <c r="S482" t="s">
        <v>810</v>
      </c>
      <c r="T482" t="s">
        <v>2754</v>
      </c>
      <c r="U482" t="s">
        <v>3250</v>
      </c>
      <c r="V482" t="s">
        <v>3250</v>
      </c>
      <c r="W482" t="s">
        <v>3250</v>
      </c>
      <c r="X482" t="s">
        <v>3250</v>
      </c>
      <c r="Y482" t="s">
        <v>3250</v>
      </c>
      <c r="Z482" t="s">
        <v>3250</v>
      </c>
      <c r="AA482" t="s">
        <v>3108</v>
      </c>
      <c r="AB482" t="s">
        <v>3108</v>
      </c>
      <c r="AC482" t="s">
        <v>3250</v>
      </c>
      <c r="AD482" t="s">
        <v>3250</v>
      </c>
      <c r="AE482" t="s">
        <v>3250</v>
      </c>
      <c r="AF482" t="s">
        <v>3250</v>
      </c>
      <c r="AG482" t="s">
        <v>3250</v>
      </c>
      <c r="AH482" t="s">
        <v>3250</v>
      </c>
      <c r="AI482" t="s">
        <v>3250</v>
      </c>
      <c r="AJ482" t="s">
        <v>3250</v>
      </c>
      <c r="AL482" t="s">
        <v>3250</v>
      </c>
      <c r="AM482" t="s">
        <v>3250</v>
      </c>
      <c r="AN482" t="s">
        <v>3250</v>
      </c>
      <c r="AO482" t="s">
        <v>3250</v>
      </c>
      <c r="AS482" t="s">
        <v>3250</v>
      </c>
      <c r="AT482" t="s">
        <v>3250</v>
      </c>
      <c r="AU482" t="s">
        <v>3250</v>
      </c>
      <c r="AV482" t="s">
        <v>3250</v>
      </c>
      <c r="AW482" t="s">
        <v>3250</v>
      </c>
      <c r="AX482" t="s">
        <v>3250</v>
      </c>
      <c r="AY482" t="s">
        <v>3250</v>
      </c>
      <c r="AZ482" t="s">
        <v>3250</v>
      </c>
      <c r="BA482" t="s">
        <v>3250</v>
      </c>
      <c r="BB482" t="s">
        <v>3250</v>
      </c>
      <c r="BC482" t="s">
        <v>3250</v>
      </c>
      <c r="BE482" t="s">
        <v>3250</v>
      </c>
      <c r="BF482" t="s">
        <v>3250</v>
      </c>
      <c r="BG482" t="s">
        <v>3250</v>
      </c>
      <c r="BH482" t="s">
        <v>3250</v>
      </c>
      <c r="BI482" t="s">
        <v>3250</v>
      </c>
      <c r="BK482" t="s">
        <v>3250</v>
      </c>
      <c r="BL482" t="s">
        <v>3250</v>
      </c>
      <c r="BM482" t="s">
        <v>3250</v>
      </c>
      <c r="BN482" t="s">
        <v>3250</v>
      </c>
      <c r="BO482" t="s">
        <v>2916</v>
      </c>
      <c r="BP482">
        <v>4</v>
      </c>
      <c r="BQ482">
        <v>42</v>
      </c>
      <c r="BR482" t="s">
        <v>1444</v>
      </c>
      <c r="BS482" t="s">
        <v>4024</v>
      </c>
      <c r="BV482">
        <v>17516</v>
      </c>
      <c r="BW482">
        <v>25815</v>
      </c>
      <c r="BX482">
        <v>20676</v>
      </c>
      <c r="BY482">
        <v>140668</v>
      </c>
      <c r="BZ482">
        <v>140668</v>
      </c>
      <c r="CA482">
        <v>150515</v>
      </c>
      <c r="CB482">
        <v>161051</v>
      </c>
      <c r="CC482">
        <v>172324</v>
      </c>
      <c r="CD482">
        <v>110227</v>
      </c>
      <c r="CE482" t="s">
        <v>3108</v>
      </c>
      <c r="CF482" t="s">
        <v>3108</v>
      </c>
      <c r="CG482" t="s">
        <v>3108</v>
      </c>
      <c r="CH482" t="s">
        <v>3108</v>
      </c>
    </row>
    <row r="483" spans="1:86" x14ac:dyDescent="0.2">
      <c r="A483" t="s">
        <v>4068</v>
      </c>
      <c r="B483" t="s">
        <v>4068</v>
      </c>
      <c r="C483">
        <v>40776</v>
      </c>
      <c r="D483">
        <v>315</v>
      </c>
      <c r="E483" t="s">
        <v>4069</v>
      </c>
      <c r="F483">
        <v>2000</v>
      </c>
      <c r="G483" t="s">
        <v>408</v>
      </c>
      <c r="H483" t="s">
        <v>4070</v>
      </c>
      <c r="I483" t="s">
        <v>1792</v>
      </c>
      <c r="J483">
        <v>2002</v>
      </c>
      <c r="K483" t="s">
        <v>1792</v>
      </c>
      <c r="L483">
        <v>2100</v>
      </c>
      <c r="M483" t="s">
        <v>123</v>
      </c>
      <c r="N483">
        <v>2114</v>
      </c>
      <c r="O483" t="s">
        <v>1444</v>
      </c>
      <c r="P483" t="s">
        <v>3108</v>
      </c>
      <c r="Q483" t="s">
        <v>3249</v>
      </c>
      <c r="R483" t="s">
        <v>3249</v>
      </c>
      <c r="S483" t="s">
        <v>810</v>
      </c>
      <c r="T483" t="s">
        <v>2754</v>
      </c>
      <c r="U483" t="s">
        <v>3250</v>
      </c>
      <c r="V483" t="s">
        <v>3250</v>
      </c>
      <c r="W483" t="s">
        <v>3250</v>
      </c>
      <c r="X483" t="s">
        <v>3250</v>
      </c>
      <c r="Y483" t="s">
        <v>3250</v>
      </c>
      <c r="Z483" t="s">
        <v>3250</v>
      </c>
      <c r="AA483" t="s">
        <v>3108</v>
      </c>
      <c r="AB483" t="s">
        <v>3108</v>
      </c>
      <c r="AC483" t="s">
        <v>3250</v>
      </c>
      <c r="AD483" t="s">
        <v>3250</v>
      </c>
      <c r="AE483" t="s">
        <v>3250</v>
      </c>
      <c r="AF483" t="s">
        <v>3250</v>
      </c>
      <c r="AG483" t="s">
        <v>3250</v>
      </c>
      <c r="AH483" t="s">
        <v>3250</v>
      </c>
      <c r="AI483" t="s">
        <v>3250</v>
      </c>
      <c r="AJ483" t="s">
        <v>3250</v>
      </c>
      <c r="AL483" t="s">
        <v>3250</v>
      </c>
      <c r="AM483" t="s">
        <v>3250</v>
      </c>
      <c r="AN483" t="s">
        <v>3250</v>
      </c>
      <c r="AO483" t="s">
        <v>3250</v>
      </c>
      <c r="AS483" t="s">
        <v>3250</v>
      </c>
      <c r="AT483" t="s">
        <v>3250</v>
      </c>
      <c r="AU483" t="s">
        <v>3250</v>
      </c>
      <c r="AV483" t="s">
        <v>3250</v>
      </c>
      <c r="AW483" t="s">
        <v>3250</v>
      </c>
      <c r="AX483" t="s">
        <v>3250</v>
      </c>
      <c r="AY483" t="s">
        <v>3250</v>
      </c>
      <c r="AZ483" t="s">
        <v>3250</v>
      </c>
      <c r="BA483" t="s">
        <v>3250</v>
      </c>
      <c r="BB483" t="s">
        <v>3250</v>
      </c>
      <c r="BC483" t="s">
        <v>3250</v>
      </c>
      <c r="BE483" t="s">
        <v>3250</v>
      </c>
      <c r="BF483" t="s">
        <v>3250</v>
      </c>
      <c r="BG483" t="s">
        <v>3250</v>
      </c>
      <c r="BH483" t="s">
        <v>3250</v>
      </c>
      <c r="BI483" t="s">
        <v>3250</v>
      </c>
      <c r="BK483" t="s">
        <v>3250</v>
      </c>
      <c r="BL483" t="s">
        <v>3250</v>
      </c>
      <c r="BM483" t="s">
        <v>3250</v>
      </c>
      <c r="BN483" t="s">
        <v>3250</v>
      </c>
      <c r="BO483" t="s">
        <v>2916</v>
      </c>
      <c r="BP483">
        <v>4</v>
      </c>
      <c r="BQ483">
        <v>42</v>
      </c>
      <c r="BR483" t="s">
        <v>1444</v>
      </c>
      <c r="BS483" t="s">
        <v>4024</v>
      </c>
      <c r="BV483">
        <v>52376</v>
      </c>
      <c r="BW483">
        <v>73767</v>
      </c>
      <c r="BX483">
        <v>69047</v>
      </c>
      <c r="BY483">
        <v>316502</v>
      </c>
      <c r="BZ483">
        <v>316502</v>
      </c>
      <c r="CA483">
        <v>338658</v>
      </c>
      <c r="CB483">
        <v>362364</v>
      </c>
      <c r="CC483">
        <v>387729</v>
      </c>
      <c r="CD483">
        <v>251388</v>
      </c>
      <c r="CE483" t="s">
        <v>3108</v>
      </c>
      <c r="CF483" t="s">
        <v>3108</v>
      </c>
      <c r="CG483" t="s">
        <v>3108</v>
      </c>
      <c r="CH483" t="s">
        <v>3108</v>
      </c>
    </row>
    <row r="484" spans="1:86" x14ac:dyDescent="0.2">
      <c r="A484" t="s">
        <v>4071</v>
      </c>
      <c r="B484" t="s">
        <v>4071</v>
      </c>
      <c r="C484">
        <v>40777</v>
      </c>
      <c r="D484">
        <v>316</v>
      </c>
      <c r="E484" t="s">
        <v>4072</v>
      </c>
      <c r="F484">
        <v>2000</v>
      </c>
      <c r="G484" t="s">
        <v>408</v>
      </c>
      <c r="H484" t="s">
        <v>4070</v>
      </c>
      <c r="I484" t="s">
        <v>1792</v>
      </c>
      <c r="J484">
        <v>2002</v>
      </c>
      <c r="K484" t="s">
        <v>1792</v>
      </c>
      <c r="L484">
        <v>2100</v>
      </c>
      <c r="M484" t="s">
        <v>123</v>
      </c>
      <c r="N484">
        <v>2114</v>
      </c>
      <c r="O484" t="s">
        <v>1444</v>
      </c>
      <c r="P484" t="s">
        <v>3108</v>
      </c>
      <c r="Q484" t="s">
        <v>3249</v>
      </c>
      <c r="R484" t="s">
        <v>3249</v>
      </c>
      <c r="S484" t="s">
        <v>810</v>
      </c>
      <c r="T484" t="s">
        <v>2754</v>
      </c>
      <c r="U484" t="s">
        <v>3250</v>
      </c>
      <c r="V484" t="s">
        <v>3250</v>
      </c>
      <c r="W484" t="s">
        <v>3250</v>
      </c>
      <c r="X484" t="s">
        <v>3250</v>
      </c>
      <c r="Y484" t="s">
        <v>3250</v>
      </c>
      <c r="Z484" t="s">
        <v>3250</v>
      </c>
      <c r="AA484" t="s">
        <v>3108</v>
      </c>
      <c r="AB484" t="s">
        <v>3108</v>
      </c>
      <c r="AC484" t="s">
        <v>3250</v>
      </c>
      <c r="AD484" t="s">
        <v>3250</v>
      </c>
      <c r="AE484" t="s">
        <v>3250</v>
      </c>
      <c r="AF484" t="s">
        <v>3250</v>
      </c>
      <c r="AG484" t="s">
        <v>3250</v>
      </c>
      <c r="AH484" t="s">
        <v>3250</v>
      </c>
      <c r="AI484" t="s">
        <v>3250</v>
      </c>
      <c r="AJ484" t="s">
        <v>3250</v>
      </c>
      <c r="AL484" t="s">
        <v>3250</v>
      </c>
      <c r="AM484" t="s">
        <v>3250</v>
      </c>
      <c r="AN484" t="s">
        <v>3250</v>
      </c>
      <c r="AO484" t="s">
        <v>3250</v>
      </c>
      <c r="AS484" t="s">
        <v>3250</v>
      </c>
      <c r="AT484" t="s">
        <v>3250</v>
      </c>
      <c r="AU484" t="s">
        <v>3250</v>
      </c>
      <c r="AV484" t="s">
        <v>3250</v>
      </c>
      <c r="AW484" t="s">
        <v>3250</v>
      </c>
      <c r="AX484" t="s">
        <v>3250</v>
      </c>
      <c r="AY484" t="s">
        <v>3250</v>
      </c>
      <c r="AZ484" t="s">
        <v>3250</v>
      </c>
      <c r="BA484" t="s">
        <v>3250</v>
      </c>
      <c r="BB484" t="s">
        <v>3250</v>
      </c>
      <c r="BC484" t="s">
        <v>3250</v>
      </c>
      <c r="BE484" t="s">
        <v>3250</v>
      </c>
      <c r="BF484" t="s">
        <v>3250</v>
      </c>
      <c r="BG484" t="s">
        <v>3250</v>
      </c>
      <c r="BH484" t="s">
        <v>3250</v>
      </c>
      <c r="BI484" t="s">
        <v>3250</v>
      </c>
      <c r="BK484" t="s">
        <v>3250</v>
      </c>
      <c r="BL484" t="s">
        <v>3250</v>
      </c>
      <c r="BM484" t="s">
        <v>3250</v>
      </c>
      <c r="BN484" t="s">
        <v>3250</v>
      </c>
      <c r="BO484" t="s">
        <v>2916</v>
      </c>
      <c r="BP484">
        <v>4</v>
      </c>
      <c r="BQ484">
        <v>42</v>
      </c>
      <c r="BR484" t="s">
        <v>1444</v>
      </c>
      <c r="BS484" t="s">
        <v>4024</v>
      </c>
      <c r="BV484">
        <v>8138</v>
      </c>
      <c r="BW484">
        <v>8721</v>
      </c>
      <c r="BX484">
        <v>6849</v>
      </c>
      <c r="BY484">
        <v>17583</v>
      </c>
      <c r="BZ484">
        <v>17583</v>
      </c>
      <c r="CA484">
        <v>18814</v>
      </c>
      <c r="CB484">
        <v>20131</v>
      </c>
      <c r="CC484">
        <v>21541</v>
      </c>
      <c r="CD484">
        <v>1470</v>
      </c>
      <c r="CE484" t="s">
        <v>3108</v>
      </c>
      <c r="CF484" t="s">
        <v>3108</v>
      </c>
      <c r="CG484" t="s">
        <v>3108</v>
      </c>
      <c r="CH484" t="s">
        <v>3108</v>
      </c>
    </row>
    <row r="485" spans="1:86" x14ac:dyDescent="0.2">
      <c r="A485" t="s">
        <v>4073</v>
      </c>
      <c r="B485" t="s">
        <v>4073</v>
      </c>
      <c r="C485">
        <v>40778</v>
      </c>
      <c r="D485">
        <v>317</v>
      </c>
      <c r="E485" t="s">
        <v>4074</v>
      </c>
      <c r="F485">
        <v>2000</v>
      </c>
      <c r="G485" t="s">
        <v>408</v>
      </c>
      <c r="H485" t="s">
        <v>4075</v>
      </c>
      <c r="I485" t="s">
        <v>946</v>
      </c>
      <c r="J485">
        <v>2009</v>
      </c>
      <c r="K485" t="s">
        <v>1340</v>
      </c>
      <c r="L485">
        <v>2100</v>
      </c>
      <c r="M485" t="s">
        <v>123</v>
      </c>
      <c r="N485">
        <v>2114</v>
      </c>
      <c r="O485" t="s">
        <v>1444</v>
      </c>
      <c r="P485" t="s">
        <v>3108</v>
      </c>
      <c r="Q485" t="s">
        <v>3249</v>
      </c>
      <c r="R485" t="s">
        <v>3249</v>
      </c>
      <c r="S485" t="s">
        <v>810</v>
      </c>
      <c r="T485" t="s">
        <v>2754</v>
      </c>
      <c r="U485" t="s">
        <v>3250</v>
      </c>
      <c r="V485" t="s">
        <v>3250</v>
      </c>
      <c r="W485" t="s">
        <v>3250</v>
      </c>
      <c r="X485" t="s">
        <v>3250</v>
      </c>
      <c r="Y485" t="s">
        <v>3250</v>
      </c>
      <c r="Z485" t="s">
        <v>3250</v>
      </c>
      <c r="AA485" t="s">
        <v>3108</v>
      </c>
      <c r="AB485" t="s">
        <v>3108</v>
      </c>
      <c r="AC485" t="s">
        <v>3250</v>
      </c>
      <c r="AD485" t="s">
        <v>3250</v>
      </c>
      <c r="AE485" t="s">
        <v>3250</v>
      </c>
      <c r="AF485" t="s">
        <v>3250</v>
      </c>
      <c r="AG485" t="s">
        <v>3250</v>
      </c>
      <c r="AH485" t="s">
        <v>3250</v>
      </c>
      <c r="AI485" t="s">
        <v>3250</v>
      </c>
      <c r="AJ485" t="s">
        <v>3250</v>
      </c>
      <c r="AL485" t="s">
        <v>3250</v>
      </c>
      <c r="AM485" t="s">
        <v>3250</v>
      </c>
      <c r="AN485" t="s">
        <v>3250</v>
      </c>
      <c r="AO485" t="s">
        <v>3250</v>
      </c>
      <c r="AS485" t="s">
        <v>3250</v>
      </c>
      <c r="AT485" t="s">
        <v>3250</v>
      </c>
      <c r="AU485" t="s">
        <v>3250</v>
      </c>
      <c r="AV485" t="s">
        <v>3250</v>
      </c>
      <c r="AW485" t="s">
        <v>3250</v>
      </c>
      <c r="AX485" t="s">
        <v>3250</v>
      </c>
      <c r="AY485" t="s">
        <v>3250</v>
      </c>
      <c r="AZ485" t="s">
        <v>3250</v>
      </c>
      <c r="BA485" t="s">
        <v>3250</v>
      </c>
      <c r="BB485" t="s">
        <v>3250</v>
      </c>
      <c r="BC485" t="s">
        <v>3250</v>
      </c>
      <c r="BE485" t="s">
        <v>3250</v>
      </c>
      <c r="BF485" t="s">
        <v>3250</v>
      </c>
      <c r="BG485" t="s">
        <v>3250</v>
      </c>
      <c r="BH485" t="s">
        <v>3250</v>
      </c>
      <c r="BI485" t="s">
        <v>3250</v>
      </c>
      <c r="BK485" t="s">
        <v>3250</v>
      </c>
      <c r="BL485" t="s">
        <v>3250</v>
      </c>
      <c r="BM485" t="s">
        <v>3250</v>
      </c>
      <c r="BN485" t="s">
        <v>3250</v>
      </c>
      <c r="BO485" t="s">
        <v>2916</v>
      </c>
      <c r="BP485">
        <v>4</v>
      </c>
      <c r="BQ485">
        <v>42</v>
      </c>
      <c r="BR485" t="s">
        <v>1444</v>
      </c>
      <c r="BS485" t="s">
        <v>4024</v>
      </c>
      <c r="BV485">
        <v>0</v>
      </c>
      <c r="BW485">
        <v>0</v>
      </c>
      <c r="BX485">
        <v>0</v>
      </c>
      <c r="BY485">
        <v>0</v>
      </c>
      <c r="BZ485">
        <v>0</v>
      </c>
      <c r="CA485">
        <v>0</v>
      </c>
      <c r="CB485">
        <v>0</v>
      </c>
      <c r="CC485">
        <v>0</v>
      </c>
      <c r="CD485">
        <v>2138</v>
      </c>
      <c r="CE485" t="s">
        <v>3108</v>
      </c>
      <c r="CF485" t="s">
        <v>3108</v>
      </c>
      <c r="CG485" t="s">
        <v>3108</v>
      </c>
      <c r="CH485" t="s">
        <v>3108</v>
      </c>
    </row>
    <row r="486" spans="1:86" x14ac:dyDescent="0.2">
      <c r="A486" t="s">
        <v>4076</v>
      </c>
      <c r="B486" t="s">
        <v>4076</v>
      </c>
      <c r="C486">
        <v>40779</v>
      </c>
      <c r="D486">
        <v>318</v>
      </c>
      <c r="E486" t="s">
        <v>4077</v>
      </c>
      <c r="F486">
        <v>2000</v>
      </c>
      <c r="G486" t="s">
        <v>408</v>
      </c>
      <c r="H486" t="s">
        <v>4075</v>
      </c>
      <c r="I486" t="s">
        <v>946</v>
      </c>
      <c r="J486">
        <v>2009</v>
      </c>
      <c r="K486" t="s">
        <v>1340</v>
      </c>
      <c r="L486">
        <v>2100</v>
      </c>
      <c r="M486" t="s">
        <v>123</v>
      </c>
      <c r="N486">
        <v>2114</v>
      </c>
      <c r="O486" t="s">
        <v>1444</v>
      </c>
      <c r="P486" t="s">
        <v>3108</v>
      </c>
      <c r="Q486" t="s">
        <v>3249</v>
      </c>
      <c r="R486" t="s">
        <v>3249</v>
      </c>
      <c r="S486" t="s">
        <v>810</v>
      </c>
      <c r="T486" t="s">
        <v>2754</v>
      </c>
      <c r="U486" t="s">
        <v>3250</v>
      </c>
      <c r="V486" t="s">
        <v>3250</v>
      </c>
      <c r="W486" t="s">
        <v>3250</v>
      </c>
      <c r="X486" t="s">
        <v>3250</v>
      </c>
      <c r="Y486" t="s">
        <v>3250</v>
      </c>
      <c r="Z486" t="s">
        <v>3250</v>
      </c>
      <c r="AA486" t="s">
        <v>3108</v>
      </c>
      <c r="AB486" t="s">
        <v>3108</v>
      </c>
      <c r="AC486" t="s">
        <v>3250</v>
      </c>
      <c r="AD486" t="s">
        <v>3250</v>
      </c>
      <c r="AE486" t="s">
        <v>3250</v>
      </c>
      <c r="AF486" t="s">
        <v>3250</v>
      </c>
      <c r="AG486" t="s">
        <v>3250</v>
      </c>
      <c r="AH486" t="s">
        <v>3250</v>
      </c>
      <c r="AI486" t="s">
        <v>3250</v>
      </c>
      <c r="AJ486" t="s">
        <v>3250</v>
      </c>
      <c r="AL486" t="s">
        <v>3250</v>
      </c>
      <c r="AM486" t="s">
        <v>3250</v>
      </c>
      <c r="AN486" t="s">
        <v>3250</v>
      </c>
      <c r="AO486" t="s">
        <v>3250</v>
      </c>
      <c r="AS486" t="s">
        <v>3250</v>
      </c>
      <c r="AT486" t="s">
        <v>3250</v>
      </c>
      <c r="AU486" t="s">
        <v>3250</v>
      </c>
      <c r="AV486" t="s">
        <v>3250</v>
      </c>
      <c r="AW486" t="s">
        <v>3250</v>
      </c>
      <c r="AX486" t="s">
        <v>3250</v>
      </c>
      <c r="AY486" t="s">
        <v>3250</v>
      </c>
      <c r="AZ486" t="s">
        <v>3250</v>
      </c>
      <c r="BA486" t="s">
        <v>3250</v>
      </c>
      <c r="BB486" t="s">
        <v>3250</v>
      </c>
      <c r="BC486" t="s">
        <v>3250</v>
      </c>
      <c r="BE486" t="s">
        <v>3250</v>
      </c>
      <c r="BF486" t="s">
        <v>3250</v>
      </c>
      <c r="BG486" t="s">
        <v>3250</v>
      </c>
      <c r="BH486" t="s">
        <v>3250</v>
      </c>
      <c r="BI486" t="s">
        <v>3250</v>
      </c>
      <c r="BK486" t="s">
        <v>3250</v>
      </c>
      <c r="BL486" t="s">
        <v>3250</v>
      </c>
      <c r="BM486" t="s">
        <v>3250</v>
      </c>
      <c r="BN486" t="s">
        <v>3250</v>
      </c>
      <c r="BO486" t="s">
        <v>2916</v>
      </c>
      <c r="BP486">
        <v>4</v>
      </c>
      <c r="BQ486">
        <v>42</v>
      </c>
      <c r="BR486" t="s">
        <v>1444</v>
      </c>
      <c r="BS486" t="s">
        <v>4024</v>
      </c>
      <c r="BV486">
        <v>0</v>
      </c>
      <c r="BW486">
        <v>0</v>
      </c>
      <c r="BX486">
        <v>2119</v>
      </c>
      <c r="BY486">
        <v>34003</v>
      </c>
      <c r="BZ486">
        <v>34003</v>
      </c>
      <c r="CA486">
        <v>36383</v>
      </c>
      <c r="CB486">
        <v>38930</v>
      </c>
      <c r="CC486">
        <v>41655</v>
      </c>
      <c r="CD486">
        <v>15355</v>
      </c>
      <c r="CE486" t="s">
        <v>3108</v>
      </c>
      <c r="CF486" t="s">
        <v>3108</v>
      </c>
      <c r="CG486" t="s">
        <v>3108</v>
      </c>
      <c r="CH486" t="s">
        <v>3108</v>
      </c>
    </row>
    <row r="487" spans="1:86" x14ac:dyDescent="0.2">
      <c r="A487" t="s">
        <v>4078</v>
      </c>
      <c r="B487" t="s">
        <v>4078</v>
      </c>
      <c r="C487">
        <v>40780</v>
      </c>
      <c r="D487">
        <v>319</v>
      </c>
      <c r="E487" t="s">
        <v>4079</v>
      </c>
      <c r="F487">
        <v>2000</v>
      </c>
      <c r="G487" t="s">
        <v>408</v>
      </c>
      <c r="H487" t="s">
        <v>4064</v>
      </c>
      <c r="I487" t="s">
        <v>1340</v>
      </c>
      <c r="J487">
        <v>2001</v>
      </c>
      <c r="K487" t="s">
        <v>1135</v>
      </c>
      <c r="L487">
        <v>2100</v>
      </c>
      <c r="M487" t="s">
        <v>123</v>
      </c>
      <c r="N487">
        <v>2114</v>
      </c>
      <c r="O487" t="s">
        <v>1444</v>
      </c>
      <c r="P487" t="s">
        <v>3108</v>
      </c>
      <c r="Q487" t="s">
        <v>3249</v>
      </c>
      <c r="R487" t="s">
        <v>3249</v>
      </c>
      <c r="S487" t="s">
        <v>810</v>
      </c>
      <c r="T487" t="s">
        <v>2754</v>
      </c>
      <c r="U487" t="s">
        <v>3250</v>
      </c>
      <c r="V487" t="s">
        <v>3250</v>
      </c>
      <c r="W487" t="s">
        <v>3250</v>
      </c>
      <c r="X487" t="s">
        <v>3250</v>
      </c>
      <c r="Y487" t="s">
        <v>3250</v>
      </c>
      <c r="Z487" t="s">
        <v>3250</v>
      </c>
      <c r="AA487" t="s">
        <v>3108</v>
      </c>
      <c r="AB487" t="s">
        <v>3108</v>
      </c>
      <c r="AC487" t="s">
        <v>3250</v>
      </c>
      <c r="AD487" t="s">
        <v>3250</v>
      </c>
      <c r="AE487" t="s">
        <v>3250</v>
      </c>
      <c r="AF487" t="s">
        <v>3250</v>
      </c>
      <c r="AG487" t="s">
        <v>3250</v>
      </c>
      <c r="AH487" t="s">
        <v>3250</v>
      </c>
      <c r="AI487" t="s">
        <v>3250</v>
      </c>
      <c r="AJ487" t="s">
        <v>3250</v>
      </c>
      <c r="AL487" t="s">
        <v>3250</v>
      </c>
      <c r="AM487" t="s">
        <v>3250</v>
      </c>
      <c r="AN487" t="s">
        <v>3250</v>
      </c>
      <c r="AO487" t="s">
        <v>3250</v>
      </c>
      <c r="AS487" t="s">
        <v>3250</v>
      </c>
      <c r="AT487" t="s">
        <v>3250</v>
      </c>
      <c r="AU487" t="s">
        <v>3250</v>
      </c>
      <c r="AV487" t="s">
        <v>3250</v>
      </c>
      <c r="AW487" t="s">
        <v>3250</v>
      </c>
      <c r="AX487" t="s">
        <v>3250</v>
      </c>
      <c r="AY487" t="s">
        <v>3250</v>
      </c>
      <c r="AZ487" t="s">
        <v>3250</v>
      </c>
      <c r="BA487" t="s">
        <v>3250</v>
      </c>
      <c r="BB487" t="s">
        <v>3250</v>
      </c>
      <c r="BC487" t="s">
        <v>3250</v>
      </c>
      <c r="BE487" t="s">
        <v>3250</v>
      </c>
      <c r="BF487" t="s">
        <v>3250</v>
      </c>
      <c r="BG487" t="s">
        <v>3250</v>
      </c>
      <c r="BH487" t="s">
        <v>3250</v>
      </c>
      <c r="BI487" t="s">
        <v>3250</v>
      </c>
      <c r="BK487" t="s">
        <v>3250</v>
      </c>
      <c r="BL487" t="s">
        <v>3250</v>
      </c>
      <c r="BM487" t="s">
        <v>3250</v>
      </c>
      <c r="BN487" t="s">
        <v>3250</v>
      </c>
      <c r="BO487" t="s">
        <v>2916</v>
      </c>
      <c r="BP487">
        <v>4</v>
      </c>
      <c r="BQ487">
        <v>42</v>
      </c>
      <c r="BR487" t="s">
        <v>1444</v>
      </c>
      <c r="BS487" t="s">
        <v>4024</v>
      </c>
      <c r="BV487">
        <v>0</v>
      </c>
      <c r="BW487">
        <v>0</v>
      </c>
      <c r="BX487">
        <v>4123</v>
      </c>
      <c r="BY487">
        <v>0</v>
      </c>
      <c r="BZ487">
        <v>0</v>
      </c>
      <c r="CA487">
        <v>0</v>
      </c>
      <c r="CB487">
        <v>0</v>
      </c>
      <c r="CC487">
        <v>0</v>
      </c>
      <c r="CD487">
        <v>0</v>
      </c>
      <c r="CE487" t="s">
        <v>3108</v>
      </c>
      <c r="CF487" t="s">
        <v>3108</v>
      </c>
      <c r="CG487" t="s">
        <v>3108</v>
      </c>
      <c r="CH487" t="s">
        <v>3108</v>
      </c>
    </row>
    <row r="488" spans="1:86" x14ac:dyDescent="0.2">
      <c r="A488" t="s">
        <v>4080</v>
      </c>
      <c r="B488" t="s">
        <v>4080</v>
      </c>
      <c r="C488">
        <v>40781</v>
      </c>
      <c r="D488">
        <v>320</v>
      </c>
      <c r="E488" t="s">
        <v>4081</v>
      </c>
      <c r="F488">
        <v>2000</v>
      </c>
      <c r="G488" t="s">
        <v>408</v>
      </c>
      <c r="H488" t="s">
        <v>4082</v>
      </c>
      <c r="I488" t="s">
        <v>652</v>
      </c>
      <c r="J488">
        <v>2005</v>
      </c>
      <c r="K488" t="s">
        <v>652</v>
      </c>
      <c r="L488">
        <v>2100</v>
      </c>
      <c r="M488" t="s">
        <v>123</v>
      </c>
      <c r="N488">
        <v>2114</v>
      </c>
      <c r="O488" t="s">
        <v>1444</v>
      </c>
      <c r="P488" t="s">
        <v>3108</v>
      </c>
      <c r="Q488" t="s">
        <v>3249</v>
      </c>
      <c r="R488" t="s">
        <v>3249</v>
      </c>
      <c r="S488" t="s">
        <v>810</v>
      </c>
      <c r="T488" t="s">
        <v>2754</v>
      </c>
      <c r="U488" t="s">
        <v>3250</v>
      </c>
      <c r="V488" t="s">
        <v>3250</v>
      </c>
      <c r="W488" t="s">
        <v>3250</v>
      </c>
      <c r="X488" t="s">
        <v>3250</v>
      </c>
      <c r="Y488" t="s">
        <v>3250</v>
      </c>
      <c r="Z488" t="s">
        <v>3250</v>
      </c>
      <c r="AA488" t="s">
        <v>3108</v>
      </c>
      <c r="AB488" t="s">
        <v>3108</v>
      </c>
      <c r="AC488" t="s">
        <v>3250</v>
      </c>
      <c r="AD488" t="s">
        <v>3250</v>
      </c>
      <c r="AE488" t="s">
        <v>3250</v>
      </c>
      <c r="AF488" t="s">
        <v>3250</v>
      </c>
      <c r="AG488" t="s">
        <v>3250</v>
      </c>
      <c r="AH488" t="s">
        <v>3250</v>
      </c>
      <c r="AI488" t="s">
        <v>3250</v>
      </c>
      <c r="AJ488" t="s">
        <v>3250</v>
      </c>
      <c r="AL488" t="s">
        <v>3250</v>
      </c>
      <c r="AM488" t="s">
        <v>3250</v>
      </c>
      <c r="AN488" t="s">
        <v>3250</v>
      </c>
      <c r="AO488" t="s">
        <v>3250</v>
      </c>
      <c r="AS488" t="s">
        <v>3250</v>
      </c>
      <c r="AT488" t="s">
        <v>3250</v>
      </c>
      <c r="AU488" t="s">
        <v>3250</v>
      </c>
      <c r="AV488" t="s">
        <v>3250</v>
      </c>
      <c r="AW488" t="s">
        <v>3250</v>
      </c>
      <c r="AX488" t="s">
        <v>3250</v>
      </c>
      <c r="AY488" t="s">
        <v>3250</v>
      </c>
      <c r="AZ488" t="s">
        <v>3250</v>
      </c>
      <c r="BA488" t="s">
        <v>3250</v>
      </c>
      <c r="BB488" t="s">
        <v>3250</v>
      </c>
      <c r="BC488" t="s">
        <v>3250</v>
      </c>
      <c r="BE488" t="s">
        <v>3250</v>
      </c>
      <c r="BF488" t="s">
        <v>3250</v>
      </c>
      <c r="BG488" t="s">
        <v>3250</v>
      </c>
      <c r="BH488" t="s">
        <v>3250</v>
      </c>
      <c r="BI488" t="s">
        <v>3250</v>
      </c>
      <c r="BK488" t="s">
        <v>3250</v>
      </c>
      <c r="BL488" t="s">
        <v>3250</v>
      </c>
      <c r="BM488" t="s">
        <v>3250</v>
      </c>
      <c r="BN488" t="s">
        <v>3250</v>
      </c>
      <c r="BO488" t="s">
        <v>2916</v>
      </c>
      <c r="BP488">
        <v>4</v>
      </c>
      <c r="BQ488">
        <v>42</v>
      </c>
      <c r="BR488" t="s">
        <v>1444</v>
      </c>
      <c r="BS488" t="s">
        <v>4024</v>
      </c>
      <c r="BV488">
        <v>67149</v>
      </c>
      <c r="BW488">
        <v>63048</v>
      </c>
      <c r="BX488">
        <v>53334</v>
      </c>
      <c r="BY488">
        <v>146529</v>
      </c>
      <c r="BZ488">
        <v>146529</v>
      </c>
      <c r="CA488">
        <v>156786</v>
      </c>
      <c r="CB488">
        <v>167761</v>
      </c>
      <c r="CC488">
        <v>179504</v>
      </c>
      <c r="CD488">
        <v>142898</v>
      </c>
      <c r="CE488" t="s">
        <v>3108</v>
      </c>
      <c r="CF488" t="s">
        <v>3108</v>
      </c>
      <c r="CG488" t="s">
        <v>3108</v>
      </c>
      <c r="CH488" t="s">
        <v>3108</v>
      </c>
    </row>
    <row r="489" spans="1:86" x14ac:dyDescent="0.2">
      <c r="A489" t="s">
        <v>4083</v>
      </c>
      <c r="B489" t="s">
        <v>4083</v>
      </c>
      <c r="C489">
        <v>40783</v>
      </c>
      <c r="D489">
        <v>321</v>
      </c>
      <c r="E489" t="s">
        <v>4084</v>
      </c>
      <c r="F489">
        <v>2000</v>
      </c>
      <c r="G489" t="s">
        <v>408</v>
      </c>
      <c r="H489" t="s">
        <v>4085</v>
      </c>
      <c r="I489" t="s">
        <v>1453</v>
      </c>
      <c r="J489">
        <v>2010</v>
      </c>
      <c r="K489" t="s">
        <v>1453</v>
      </c>
      <c r="L489">
        <v>2100</v>
      </c>
      <c r="M489" t="s">
        <v>123</v>
      </c>
      <c r="N489">
        <v>2114</v>
      </c>
      <c r="O489" t="s">
        <v>1444</v>
      </c>
      <c r="P489" t="s">
        <v>3108</v>
      </c>
      <c r="Q489" t="s">
        <v>3249</v>
      </c>
      <c r="R489" t="s">
        <v>3249</v>
      </c>
      <c r="S489" t="s">
        <v>810</v>
      </c>
      <c r="T489" t="s">
        <v>2754</v>
      </c>
      <c r="U489" t="s">
        <v>3250</v>
      </c>
      <c r="V489" t="s">
        <v>3250</v>
      </c>
      <c r="W489" t="s">
        <v>3250</v>
      </c>
      <c r="X489" t="s">
        <v>3250</v>
      </c>
      <c r="Y489" t="s">
        <v>3250</v>
      </c>
      <c r="Z489" t="s">
        <v>3250</v>
      </c>
      <c r="AA489" t="s">
        <v>3108</v>
      </c>
      <c r="AB489" t="s">
        <v>3108</v>
      </c>
      <c r="AC489" t="s">
        <v>3250</v>
      </c>
      <c r="AD489" t="s">
        <v>3250</v>
      </c>
      <c r="AE489" t="s">
        <v>3250</v>
      </c>
      <c r="AF489" t="s">
        <v>3250</v>
      </c>
      <c r="AG489" t="s">
        <v>3250</v>
      </c>
      <c r="AH489" t="s">
        <v>3250</v>
      </c>
      <c r="AI489" t="s">
        <v>3250</v>
      </c>
      <c r="AJ489" t="s">
        <v>3250</v>
      </c>
      <c r="AL489" t="s">
        <v>3250</v>
      </c>
      <c r="AM489" t="s">
        <v>3250</v>
      </c>
      <c r="AN489" t="s">
        <v>3250</v>
      </c>
      <c r="AO489" t="s">
        <v>3250</v>
      </c>
      <c r="AS489" t="s">
        <v>3250</v>
      </c>
      <c r="AT489" t="s">
        <v>3250</v>
      </c>
      <c r="AU489" t="s">
        <v>3250</v>
      </c>
      <c r="AV489" t="s">
        <v>3250</v>
      </c>
      <c r="AW489" t="s">
        <v>3250</v>
      </c>
      <c r="AX489" t="s">
        <v>3250</v>
      </c>
      <c r="AY489" t="s">
        <v>3250</v>
      </c>
      <c r="AZ489" t="s">
        <v>3250</v>
      </c>
      <c r="BA489" t="s">
        <v>3250</v>
      </c>
      <c r="BB489" t="s">
        <v>3250</v>
      </c>
      <c r="BC489" t="s">
        <v>3250</v>
      </c>
      <c r="BE489" t="s">
        <v>3250</v>
      </c>
      <c r="BF489" t="s">
        <v>3250</v>
      </c>
      <c r="BG489" t="s">
        <v>3250</v>
      </c>
      <c r="BH489" t="s">
        <v>3250</v>
      </c>
      <c r="BI489" t="s">
        <v>3250</v>
      </c>
      <c r="BK489" t="s">
        <v>3250</v>
      </c>
      <c r="BL489" t="s">
        <v>3250</v>
      </c>
      <c r="BM489" t="s">
        <v>3250</v>
      </c>
      <c r="BN489" t="s">
        <v>3250</v>
      </c>
      <c r="BO489" t="s">
        <v>2916</v>
      </c>
      <c r="BP489">
        <v>4</v>
      </c>
      <c r="BQ489">
        <v>42</v>
      </c>
      <c r="BR489" t="s">
        <v>1444</v>
      </c>
      <c r="BS489" t="s">
        <v>4024</v>
      </c>
      <c r="BV489">
        <v>35535</v>
      </c>
      <c r="BW489">
        <v>24400</v>
      </c>
      <c r="BX489">
        <v>24323</v>
      </c>
      <c r="BY489">
        <v>105501</v>
      </c>
      <c r="BZ489">
        <v>105501</v>
      </c>
      <c r="CA489">
        <v>112886</v>
      </c>
      <c r="CB489">
        <v>120788</v>
      </c>
      <c r="CC489">
        <v>129243</v>
      </c>
      <c r="CD489">
        <v>0</v>
      </c>
      <c r="CE489" t="s">
        <v>3108</v>
      </c>
      <c r="CF489" t="s">
        <v>3108</v>
      </c>
      <c r="CG489" t="s">
        <v>3108</v>
      </c>
      <c r="CH489" t="s">
        <v>3108</v>
      </c>
    </row>
    <row r="490" spans="1:86" x14ac:dyDescent="0.2">
      <c r="A490" t="s">
        <v>4086</v>
      </c>
      <c r="B490" t="s">
        <v>4086</v>
      </c>
      <c r="C490">
        <v>40785</v>
      </c>
      <c r="D490">
        <v>322</v>
      </c>
      <c r="E490" t="s">
        <v>4087</v>
      </c>
      <c r="F490">
        <v>2000</v>
      </c>
      <c r="G490" t="s">
        <v>408</v>
      </c>
      <c r="H490" t="s">
        <v>4088</v>
      </c>
      <c r="I490" t="s">
        <v>1941</v>
      </c>
      <c r="J490">
        <v>2008</v>
      </c>
      <c r="K490" t="s">
        <v>1941</v>
      </c>
      <c r="L490">
        <v>2100</v>
      </c>
      <c r="M490" t="s">
        <v>123</v>
      </c>
      <c r="N490">
        <v>2114</v>
      </c>
      <c r="O490" t="s">
        <v>1444</v>
      </c>
      <c r="P490" t="s">
        <v>3108</v>
      </c>
      <c r="Q490" t="s">
        <v>3249</v>
      </c>
      <c r="R490" t="s">
        <v>3249</v>
      </c>
      <c r="S490" t="s">
        <v>810</v>
      </c>
      <c r="T490" t="s">
        <v>2754</v>
      </c>
      <c r="U490" t="s">
        <v>3250</v>
      </c>
      <c r="V490" t="s">
        <v>3250</v>
      </c>
      <c r="W490" t="s">
        <v>3250</v>
      </c>
      <c r="X490" t="s">
        <v>3250</v>
      </c>
      <c r="Y490" t="s">
        <v>3250</v>
      </c>
      <c r="Z490" t="s">
        <v>3250</v>
      </c>
      <c r="AA490" t="s">
        <v>3108</v>
      </c>
      <c r="AB490" t="s">
        <v>3108</v>
      </c>
      <c r="AC490" t="s">
        <v>3250</v>
      </c>
      <c r="AD490" t="s">
        <v>3250</v>
      </c>
      <c r="AE490" t="s">
        <v>3250</v>
      </c>
      <c r="AF490" t="s">
        <v>3250</v>
      </c>
      <c r="AG490" t="s">
        <v>3250</v>
      </c>
      <c r="AH490" t="s">
        <v>3250</v>
      </c>
      <c r="AI490" t="s">
        <v>3250</v>
      </c>
      <c r="AJ490" t="s">
        <v>3250</v>
      </c>
      <c r="AL490" t="s">
        <v>3250</v>
      </c>
      <c r="AM490" t="s">
        <v>3250</v>
      </c>
      <c r="AN490" t="s">
        <v>3250</v>
      </c>
      <c r="AO490" t="s">
        <v>3250</v>
      </c>
      <c r="AS490" t="s">
        <v>3250</v>
      </c>
      <c r="AT490" t="s">
        <v>3250</v>
      </c>
      <c r="AU490" t="s">
        <v>3250</v>
      </c>
      <c r="AV490" t="s">
        <v>3250</v>
      </c>
      <c r="AW490" t="s">
        <v>3250</v>
      </c>
      <c r="AX490" t="s">
        <v>3250</v>
      </c>
      <c r="AY490" t="s">
        <v>3250</v>
      </c>
      <c r="AZ490" t="s">
        <v>3250</v>
      </c>
      <c r="BA490" t="s">
        <v>3250</v>
      </c>
      <c r="BB490" t="s">
        <v>3250</v>
      </c>
      <c r="BC490" t="s">
        <v>3250</v>
      </c>
      <c r="BE490" t="s">
        <v>3250</v>
      </c>
      <c r="BF490" t="s">
        <v>3250</v>
      </c>
      <c r="BG490" t="s">
        <v>3250</v>
      </c>
      <c r="BH490" t="s">
        <v>3250</v>
      </c>
      <c r="BI490" t="s">
        <v>3250</v>
      </c>
      <c r="BK490" t="s">
        <v>3250</v>
      </c>
      <c r="BL490" t="s">
        <v>3250</v>
      </c>
      <c r="BM490" t="s">
        <v>3250</v>
      </c>
      <c r="BN490" t="s">
        <v>3250</v>
      </c>
      <c r="BO490" t="s">
        <v>2916</v>
      </c>
      <c r="BP490">
        <v>4</v>
      </c>
      <c r="BQ490">
        <v>42</v>
      </c>
      <c r="BR490" t="s">
        <v>1444</v>
      </c>
      <c r="BS490" t="s">
        <v>4024</v>
      </c>
      <c r="BV490">
        <v>14524</v>
      </c>
      <c r="BW490">
        <v>20457</v>
      </c>
      <c r="BX490">
        <v>19119</v>
      </c>
      <c r="BY490">
        <v>0</v>
      </c>
      <c r="BZ490">
        <v>0</v>
      </c>
      <c r="CA490">
        <v>0</v>
      </c>
      <c r="CB490">
        <v>0</v>
      </c>
      <c r="CC490">
        <v>0</v>
      </c>
      <c r="CD490">
        <v>21816</v>
      </c>
      <c r="CE490" t="s">
        <v>3108</v>
      </c>
      <c r="CF490" t="s">
        <v>3108</v>
      </c>
      <c r="CG490" t="s">
        <v>3108</v>
      </c>
      <c r="CH490" t="s">
        <v>3108</v>
      </c>
    </row>
    <row r="491" spans="1:86" x14ac:dyDescent="0.2">
      <c r="A491" t="s">
        <v>4089</v>
      </c>
      <c r="B491" t="s">
        <v>4089</v>
      </c>
      <c r="C491">
        <v>40788</v>
      </c>
      <c r="D491">
        <v>323</v>
      </c>
      <c r="E491" t="s">
        <v>4090</v>
      </c>
      <c r="F491">
        <v>2000</v>
      </c>
      <c r="G491" t="s">
        <v>408</v>
      </c>
      <c r="H491" t="s">
        <v>4091</v>
      </c>
      <c r="I491" t="s">
        <v>1940</v>
      </c>
      <c r="J491">
        <v>2006</v>
      </c>
      <c r="K491" t="s">
        <v>1940</v>
      </c>
      <c r="L491">
        <v>2100</v>
      </c>
      <c r="M491" t="s">
        <v>123</v>
      </c>
      <c r="N491">
        <v>2114</v>
      </c>
      <c r="O491" t="s">
        <v>1444</v>
      </c>
      <c r="P491" t="s">
        <v>3108</v>
      </c>
      <c r="Q491" t="s">
        <v>3249</v>
      </c>
      <c r="R491" t="s">
        <v>3249</v>
      </c>
      <c r="S491" t="s">
        <v>810</v>
      </c>
      <c r="T491" t="s">
        <v>2754</v>
      </c>
      <c r="U491" t="s">
        <v>3250</v>
      </c>
      <c r="V491" t="s">
        <v>3250</v>
      </c>
      <c r="W491" t="s">
        <v>3250</v>
      </c>
      <c r="X491" t="s">
        <v>3250</v>
      </c>
      <c r="Y491" t="s">
        <v>3250</v>
      </c>
      <c r="Z491" t="s">
        <v>3250</v>
      </c>
      <c r="AA491" t="s">
        <v>3108</v>
      </c>
      <c r="AB491" t="s">
        <v>3108</v>
      </c>
      <c r="AC491" t="s">
        <v>3250</v>
      </c>
      <c r="AD491" t="s">
        <v>3250</v>
      </c>
      <c r="AE491" t="s">
        <v>3250</v>
      </c>
      <c r="AF491" t="s">
        <v>3250</v>
      </c>
      <c r="AG491" t="s">
        <v>3250</v>
      </c>
      <c r="AH491" t="s">
        <v>3250</v>
      </c>
      <c r="AI491" t="s">
        <v>3250</v>
      </c>
      <c r="AJ491" t="s">
        <v>3250</v>
      </c>
      <c r="AL491" t="s">
        <v>3250</v>
      </c>
      <c r="AM491" t="s">
        <v>3250</v>
      </c>
      <c r="AN491" t="s">
        <v>3250</v>
      </c>
      <c r="AO491" t="s">
        <v>3250</v>
      </c>
      <c r="AS491" t="s">
        <v>3250</v>
      </c>
      <c r="AT491" t="s">
        <v>3250</v>
      </c>
      <c r="AU491" t="s">
        <v>3250</v>
      </c>
      <c r="AV491" t="s">
        <v>3250</v>
      </c>
      <c r="AW491" t="s">
        <v>3250</v>
      </c>
      <c r="AX491" t="s">
        <v>3250</v>
      </c>
      <c r="AY491" t="s">
        <v>3250</v>
      </c>
      <c r="AZ491" t="s">
        <v>3250</v>
      </c>
      <c r="BA491" t="s">
        <v>3250</v>
      </c>
      <c r="BB491" t="s">
        <v>3250</v>
      </c>
      <c r="BC491" t="s">
        <v>3250</v>
      </c>
      <c r="BE491" t="s">
        <v>3250</v>
      </c>
      <c r="BF491" t="s">
        <v>3250</v>
      </c>
      <c r="BG491" t="s">
        <v>3250</v>
      </c>
      <c r="BH491" t="s">
        <v>3250</v>
      </c>
      <c r="BI491" t="s">
        <v>3250</v>
      </c>
      <c r="BK491" t="s">
        <v>3250</v>
      </c>
      <c r="BL491" t="s">
        <v>3250</v>
      </c>
      <c r="BM491" t="s">
        <v>3250</v>
      </c>
      <c r="BN491" t="s">
        <v>3250</v>
      </c>
      <c r="BO491" t="s">
        <v>2916</v>
      </c>
      <c r="BP491">
        <v>4</v>
      </c>
      <c r="BQ491">
        <v>42</v>
      </c>
      <c r="BR491" t="s">
        <v>1444</v>
      </c>
      <c r="BS491" t="s">
        <v>4024</v>
      </c>
      <c r="BV491">
        <v>0</v>
      </c>
      <c r="BW491">
        <v>0</v>
      </c>
      <c r="BX491">
        <v>0</v>
      </c>
      <c r="BY491">
        <v>0</v>
      </c>
      <c r="BZ491">
        <v>0</v>
      </c>
      <c r="CA491">
        <v>0</v>
      </c>
      <c r="CB491">
        <v>0</v>
      </c>
      <c r="CC491">
        <v>0</v>
      </c>
      <c r="CD491">
        <v>0</v>
      </c>
      <c r="CE491" t="s">
        <v>3108</v>
      </c>
      <c r="CF491" t="s">
        <v>3108</v>
      </c>
      <c r="CG491" t="s">
        <v>3108</v>
      </c>
      <c r="CH491" t="s">
        <v>3108</v>
      </c>
    </row>
    <row r="492" spans="1:86" x14ac:dyDescent="0.2">
      <c r="A492" t="s">
        <v>4092</v>
      </c>
      <c r="B492" t="s">
        <v>4092</v>
      </c>
      <c r="C492">
        <v>40789</v>
      </c>
      <c r="D492">
        <v>324</v>
      </c>
      <c r="E492" t="s">
        <v>4093</v>
      </c>
      <c r="F492">
        <v>2000</v>
      </c>
      <c r="G492" t="s">
        <v>408</v>
      </c>
      <c r="H492" t="s">
        <v>4094</v>
      </c>
      <c r="I492" t="s">
        <v>1135</v>
      </c>
      <c r="J492">
        <v>2001</v>
      </c>
      <c r="K492" t="s">
        <v>1135</v>
      </c>
      <c r="L492">
        <v>2100</v>
      </c>
      <c r="M492" t="s">
        <v>123</v>
      </c>
      <c r="N492">
        <v>2114</v>
      </c>
      <c r="O492" t="s">
        <v>1444</v>
      </c>
      <c r="P492" t="s">
        <v>3108</v>
      </c>
      <c r="Q492" t="s">
        <v>3249</v>
      </c>
      <c r="R492" t="s">
        <v>3249</v>
      </c>
      <c r="S492" t="s">
        <v>810</v>
      </c>
      <c r="T492" t="s">
        <v>2754</v>
      </c>
      <c r="U492" t="s">
        <v>3250</v>
      </c>
      <c r="V492" t="s">
        <v>3250</v>
      </c>
      <c r="W492" t="s">
        <v>3250</v>
      </c>
      <c r="X492" t="s">
        <v>3250</v>
      </c>
      <c r="Y492" t="s">
        <v>3250</v>
      </c>
      <c r="Z492" t="s">
        <v>3250</v>
      </c>
      <c r="AA492" t="s">
        <v>3108</v>
      </c>
      <c r="AB492" t="s">
        <v>3108</v>
      </c>
      <c r="AC492" t="s">
        <v>3250</v>
      </c>
      <c r="AD492" t="s">
        <v>3250</v>
      </c>
      <c r="AE492" t="s">
        <v>3250</v>
      </c>
      <c r="AF492" t="s">
        <v>3250</v>
      </c>
      <c r="AG492" t="s">
        <v>3250</v>
      </c>
      <c r="AH492" t="s">
        <v>3250</v>
      </c>
      <c r="AI492" t="s">
        <v>3250</v>
      </c>
      <c r="AJ492" t="s">
        <v>3250</v>
      </c>
      <c r="AL492" t="s">
        <v>3250</v>
      </c>
      <c r="AM492" t="s">
        <v>3250</v>
      </c>
      <c r="AN492" t="s">
        <v>3250</v>
      </c>
      <c r="AO492" t="s">
        <v>3250</v>
      </c>
      <c r="AS492" t="s">
        <v>3250</v>
      </c>
      <c r="AT492" t="s">
        <v>3250</v>
      </c>
      <c r="AU492" t="s">
        <v>3250</v>
      </c>
      <c r="AV492" t="s">
        <v>3250</v>
      </c>
      <c r="AW492" t="s">
        <v>3250</v>
      </c>
      <c r="AX492" t="s">
        <v>3250</v>
      </c>
      <c r="AY492" t="s">
        <v>3250</v>
      </c>
      <c r="AZ492" t="s">
        <v>3250</v>
      </c>
      <c r="BA492" t="s">
        <v>3250</v>
      </c>
      <c r="BB492" t="s">
        <v>3250</v>
      </c>
      <c r="BC492" t="s">
        <v>3250</v>
      </c>
      <c r="BE492" t="s">
        <v>3250</v>
      </c>
      <c r="BF492" t="s">
        <v>3250</v>
      </c>
      <c r="BG492" t="s">
        <v>3250</v>
      </c>
      <c r="BH492" t="s">
        <v>3250</v>
      </c>
      <c r="BI492" t="s">
        <v>3250</v>
      </c>
      <c r="BK492" t="s">
        <v>3250</v>
      </c>
      <c r="BL492" t="s">
        <v>3250</v>
      </c>
      <c r="BM492" t="s">
        <v>3250</v>
      </c>
      <c r="BN492" t="s">
        <v>3250</v>
      </c>
      <c r="BO492" t="s">
        <v>2916</v>
      </c>
      <c r="BP492">
        <v>4</v>
      </c>
      <c r="BQ492">
        <v>42</v>
      </c>
      <c r="BR492" t="s">
        <v>1444</v>
      </c>
      <c r="BS492" t="s">
        <v>4024</v>
      </c>
      <c r="BV492">
        <v>1875871</v>
      </c>
      <c r="BW492">
        <v>1141123</v>
      </c>
      <c r="BX492">
        <v>872906</v>
      </c>
      <c r="BY492">
        <v>1758347</v>
      </c>
      <c r="BZ492">
        <v>1758347</v>
      </c>
      <c r="CA492">
        <v>1881431</v>
      </c>
      <c r="CB492">
        <v>2013131</v>
      </c>
      <c r="CC492">
        <v>2154051</v>
      </c>
      <c r="CD492">
        <v>1380906</v>
      </c>
      <c r="CE492" t="s">
        <v>3108</v>
      </c>
      <c r="CF492" t="s">
        <v>3108</v>
      </c>
      <c r="CG492" t="s">
        <v>3108</v>
      </c>
      <c r="CH492" t="s">
        <v>3108</v>
      </c>
    </row>
    <row r="493" spans="1:86" x14ac:dyDescent="0.2">
      <c r="A493" t="s">
        <v>4095</v>
      </c>
      <c r="B493" t="s">
        <v>4095</v>
      </c>
      <c r="C493">
        <v>40791</v>
      </c>
      <c r="D493">
        <v>761</v>
      </c>
      <c r="E493" t="s">
        <v>4027</v>
      </c>
      <c r="F493">
        <v>2900</v>
      </c>
      <c r="G493" t="s">
        <v>822</v>
      </c>
      <c r="H493" t="s">
        <v>3108</v>
      </c>
      <c r="I493" t="s">
        <v>3108</v>
      </c>
      <c r="J493">
        <v>2904</v>
      </c>
      <c r="K493" t="s">
        <v>1690</v>
      </c>
      <c r="L493">
        <v>2100</v>
      </c>
      <c r="M493" t="s">
        <v>123</v>
      </c>
      <c r="N493">
        <v>2114</v>
      </c>
      <c r="O493" t="s">
        <v>1444</v>
      </c>
      <c r="P493" t="s">
        <v>3108</v>
      </c>
      <c r="Q493" t="s">
        <v>3249</v>
      </c>
      <c r="R493" t="s">
        <v>3249</v>
      </c>
      <c r="S493" t="s">
        <v>810</v>
      </c>
      <c r="T493" t="s">
        <v>2754</v>
      </c>
      <c r="U493" t="s">
        <v>3250</v>
      </c>
      <c r="V493" t="s">
        <v>3250</v>
      </c>
      <c r="W493" t="s">
        <v>3250</v>
      </c>
      <c r="X493" t="s">
        <v>3250</v>
      </c>
      <c r="Y493" t="s">
        <v>3250</v>
      </c>
      <c r="Z493" t="s">
        <v>3250</v>
      </c>
      <c r="AA493" t="s">
        <v>3108</v>
      </c>
      <c r="AB493" t="s">
        <v>3108</v>
      </c>
      <c r="AC493" t="s">
        <v>3250</v>
      </c>
      <c r="AD493" t="s">
        <v>3250</v>
      </c>
      <c r="AE493" t="s">
        <v>3250</v>
      </c>
      <c r="AF493" t="s">
        <v>3250</v>
      </c>
      <c r="AG493" t="s">
        <v>3250</v>
      </c>
      <c r="AH493" t="s">
        <v>3250</v>
      </c>
      <c r="AI493" t="s">
        <v>3250</v>
      </c>
      <c r="AJ493" t="s">
        <v>3250</v>
      </c>
      <c r="AL493" t="s">
        <v>3250</v>
      </c>
      <c r="AM493" t="s">
        <v>3250</v>
      </c>
      <c r="AN493" t="s">
        <v>3250</v>
      </c>
      <c r="AO493" t="s">
        <v>3250</v>
      </c>
      <c r="AS493" t="s">
        <v>3250</v>
      </c>
      <c r="AT493" t="s">
        <v>3250</v>
      </c>
      <c r="AU493" t="s">
        <v>3250</v>
      </c>
      <c r="AV493" t="s">
        <v>3250</v>
      </c>
      <c r="AW493" t="s">
        <v>3250</v>
      </c>
      <c r="AX493" t="s">
        <v>3250</v>
      </c>
      <c r="AY493" t="s">
        <v>3250</v>
      </c>
      <c r="AZ493" t="s">
        <v>3250</v>
      </c>
      <c r="BA493" t="s">
        <v>3250</v>
      </c>
      <c r="BB493" t="s">
        <v>3250</v>
      </c>
      <c r="BC493" t="s">
        <v>3250</v>
      </c>
      <c r="BE493" t="s">
        <v>3250</v>
      </c>
      <c r="BF493" t="s">
        <v>3250</v>
      </c>
      <c r="BG493" t="s">
        <v>3250</v>
      </c>
      <c r="BH493" t="s">
        <v>3250</v>
      </c>
      <c r="BI493" t="s">
        <v>3250</v>
      </c>
      <c r="BK493" t="s">
        <v>3250</v>
      </c>
      <c r="BL493" t="s">
        <v>3250</v>
      </c>
      <c r="BM493" t="s">
        <v>3250</v>
      </c>
      <c r="BN493" t="s">
        <v>3250</v>
      </c>
      <c r="BP493">
        <v>4</v>
      </c>
      <c r="BQ493">
        <v>42</v>
      </c>
      <c r="BR493" t="s">
        <v>1444</v>
      </c>
      <c r="BS493" t="s">
        <v>4024</v>
      </c>
      <c r="BV493">
        <v>0</v>
      </c>
      <c r="BW493">
        <v>0</v>
      </c>
      <c r="BX493">
        <v>0</v>
      </c>
      <c r="BY493">
        <v>0</v>
      </c>
      <c r="BZ493">
        <v>0</v>
      </c>
      <c r="CA493">
        <v>0</v>
      </c>
      <c r="CB493">
        <v>0</v>
      </c>
      <c r="CC493">
        <v>0</v>
      </c>
      <c r="CD493">
        <v>0</v>
      </c>
      <c r="CE493" t="s">
        <v>3108</v>
      </c>
      <c r="CF493" t="s">
        <v>3108</v>
      </c>
      <c r="CG493" t="s">
        <v>3108</v>
      </c>
      <c r="CH493" t="s">
        <v>3108</v>
      </c>
    </row>
    <row r="494" spans="1:86" x14ac:dyDescent="0.2">
      <c r="A494" t="s">
        <v>4096</v>
      </c>
      <c r="B494" t="s">
        <v>4096</v>
      </c>
      <c r="C494">
        <v>40792</v>
      </c>
      <c r="D494">
        <v>762</v>
      </c>
      <c r="E494" t="s">
        <v>4097</v>
      </c>
      <c r="F494">
        <v>2900</v>
      </c>
      <c r="G494" t="s">
        <v>822</v>
      </c>
      <c r="H494" t="s">
        <v>3108</v>
      </c>
      <c r="I494" t="s">
        <v>3108</v>
      </c>
      <c r="J494">
        <v>2904</v>
      </c>
      <c r="K494" t="s">
        <v>1690</v>
      </c>
      <c r="L494">
        <v>2100</v>
      </c>
      <c r="M494" t="s">
        <v>123</v>
      </c>
      <c r="N494">
        <v>2114</v>
      </c>
      <c r="O494" t="s">
        <v>1444</v>
      </c>
      <c r="P494" t="s">
        <v>3108</v>
      </c>
      <c r="Q494" t="s">
        <v>3249</v>
      </c>
      <c r="R494" t="s">
        <v>3249</v>
      </c>
      <c r="S494" t="s">
        <v>810</v>
      </c>
      <c r="T494" t="s">
        <v>2754</v>
      </c>
      <c r="U494" t="s">
        <v>3250</v>
      </c>
      <c r="V494" t="s">
        <v>3250</v>
      </c>
      <c r="W494" t="s">
        <v>3250</v>
      </c>
      <c r="X494" t="s">
        <v>3250</v>
      </c>
      <c r="Y494" t="s">
        <v>3250</v>
      </c>
      <c r="Z494" t="s">
        <v>3250</v>
      </c>
      <c r="AA494" t="s">
        <v>3108</v>
      </c>
      <c r="AB494" t="s">
        <v>3108</v>
      </c>
      <c r="AC494" t="s">
        <v>3250</v>
      </c>
      <c r="AD494" t="s">
        <v>3250</v>
      </c>
      <c r="AE494" t="s">
        <v>3250</v>
      </c>
      <c r="AF494" t="s">
        <v>3250</v>
      </c>
      <c r="AG494" t="s">
        <v>3250</v>
      </c>
      <c r="AH494" t="s">
        <v>3250</v>
      </c>
      <c r="AI494" t="s">
        <v>3250</v>
      </c>
      <c r="AJ494" t="s">
        <v>3250</v>
      </c>
      <c r="AL494" t="s">
        <v>3250</v>
      </c>
      <c r="AM494" t="s">
        <v>3250</v>
      </c>
      <c r="AN494" t="s">
        <v>3250</v>
      </c>
      <c r="AO494" t="s">
        <v>3250</v>
      </c>
      <c r="AS494" t="s">
        <v>3250</v>
      </c>
      <c r="AT494" t="s">
        <v>3250</v>
      </c>
      <c r="AU494" t="s">
        <v>3250</v>
      </c>
      <c r="AV494" t="s">
        <v>3250</v>
      </c>
      <c r="AW494" t="s">
        <v>3250</v>
      </c>
      <c r="AX494" t="s">
        <v>3250</v>
      </c>
      <c r="AY494" t="s">
        <v>3250</v>
      </c>
      <c r="AZ494" t="s">
        <v>3250</v>
      </c>
      <c r="BA494" t="s">
        <v>3250</v>
      </c>
      <c r="BB494" t="s">
        <v>3250</v>
      </c>
      <c r="BC494" t="s">
        <v>3250</v>
      </c>
      <c r="BE494" t="s">
        <v>3250</v>
      </c>
      <c r="BF494" t="s">
        <v>3250</v>
      </c>
      <c r="BG494" t="s">
        <v>3250</v>
      </c>
      <c r="BH494" t="s">
        <v>3250</v>
      </c>
      <c r="BI494" t="s">
        <v>3250</v>
      </c>
      <c r="BK494" t="s">
        <v>3250</v>
      </c>
      <c r="BL494" t="s">
        <v>3250</v>
      </c>
      <c r="BM494" t="s">
        <v>3250</v>
      </c>
      <c r="BN494" t="s">
        <v>3250</v>
      </c>
      <c r="BP494">
        <v>4</v>
      </c>
      <c r="BQ494">
        <v>42</v>
      </c>
      <c r="BR494" t="s">
        <v>1444</v>
      </c>
      <c r="BS494" t="s">
        <v>4024</v>
      </c>
      <c r="BV494">
        <v>0</v>
      </c>
      <c r="BW494">
        <v>0</v>
      </c>
      <c r="BX494">
        <v>0</v>
      </c>
      <c r="BY494">
        <v>0</v>
      </c>
      <c r="BZ494">
        <v>0</v>
      </c>
      <c r="CA494">
        <v>0</v>
      </c>
      <c r="CB494">
        <v>0</v>
      </c>
      <c r="CC494">
        <v>0</v>
      </c>
      <c r="CD494">
        <v>0</v>
      </c>
      <c r="CE494" t="s">
        <v>3108</v>
      </c>
      <c r="CF494" t="s">
        <v>3108</v>
      </c>
      <c r="CG494" t="s">
        <v>3108</v>
      </c>
      <c r="CH494" t="s">
        <v>3108</v>
      </c>
    </row>
    <row r="495" spans="1:86" x14ac:dyDescent="0.2">
      <c r="A495" t="s">
        <v>4098</v>
      </c>
      <c r="B495" t="s">
        <v>4098</v>
      </c>
      <c r="C495">
        <v>40793</v>
      </c>
      <c r="D495">
        <v>763</v>
      </c>
      <c r="E495" t="s">
        <v>4099</v>
      </c>
      <c r="F495">
        <v>2900</v>
      </c>
      <c r="G495" t="s">
        <v>822</v>
      </c>
      <c r="H495" t="s">
        <v>3108</v>
      </c>
      <c r="I495" t="s">
        <v>3108</v>
      </c>
      <c r="J495">
        <v>2904</v>
      </c>
      <c r="K495" t="s">
        <v>1690</v>
      </c>
      <c r="L495">
        <v>2100</v>
      </c>
      <c r="M495" t="s">
        <v>123</v>
      </c>
      <c r="N495">
        <v>2114</v>
      </c>
      <c r="O495" t="s">
        <v>1444</v>
      </c>
      <c r="P495" t="s">
        <v>3108</v>
      </c>
      <c r="Q495" t="s">
        <v>3249</v>
      </c>
      <c r="R495" t="s">
        <v>3249</v>
      </c>
      <c r="S495" t="s">
        <v>810</v>
      </c>
      <c r="T495" t="s">
        <v>2754</v>
      </c>
      <c r="U495" t="s">
        <v>3250</v>
      </c>
      <c r="V495" t="s">
        <v>3250</v>
      </c>
      <c r="W495" t="s">
        <v>3250</v>
      </c>
      <c r="X495" t="s">
        <v>3250</v>
      </c>
      <c r="Y495" t="s">
        <v>3250</v>
      </c>
      <c r="Z495" t="s">
        <v>3250</v>
      </c>
      <c r="AA495" t="s">
        <v>3108</v>
      </c>
      <c r="AB495" t="s">
        <v>3108</v>
      </c>
      <c r="AC495" t="s">
        <v>3250</v>
      </c>
      <c r="AD495" t="s">
        <v>3250</v>
      </c>
      <c r="AE495" t="s">
        <v>3250</v>
      </c>
      <c r="AF495" t="s">
        <v>3250</v>
      </c>
      <c r="AG495" t="s">
        <v>3250</v>
      </c>
      <c r="AH495" t="s">
        <v>3250</v>
      </c>
      <c r="AI495" t="s">
        <v>3250</v>
      </c>
      <c r="AJ495" t="s">
        <v>3250</v>
      </c>
      <c r="AL495" t="s">
        <v>3250</v>
      </c>
      <c r="AM495" t="s">
        <v>3250</v>
      </c>
      <c r="AN495" t="s">
        <v>3250</v>
      </c>
      <c r="AO495" t="s">
        <v>3250</v>
      </c>
      <c r="AS495" t="s">
        <v>3250</v>
      </c>
      <c r="AT495" t="s">
        <v>3250</v>
      </c>
      <c r="AU495" t="s">
        <v>3250</v>
      </c>
      <c r="AV495" t="s">
        <v>3250</v>
      </c>
      <c r="AW495" t="s">
        <v>3250</v>
      </c>
      <c r="AX495" t="s">
        <v>3250</v>
      </c>
      <c r="AY495" t="s">
        <v>3250</v>
      </c>
      <c r="AZ495" t="s">
        <v>3250</v>
      </c>
      <c r="BA495" t="s">
        <v>3250</v>
      </c>
      <c r="BB495" t="s">
        <v>3250</v>
      </c>
      <c r="BC495" t="s">
        <v>3250</v>
      </c>
      <c r="BE495" t="s">
        <v>3250</v>
      </c>
      <c r="BF495" t="s">
        <v>3250</v>
      </c>
      <c r="BG495" t="s">
        <v>3250</v>
      </c>
      <c r="BH495" t="s">
        <v>3250</v>
      </c>
      <c r="BI495" t="s">
        <v>3250</v>
      </c>
      <c r="BK495" t="s">
        <v>3250</v>
      </c>
      <c r="BL495" t="s">
        <v>3250</v>
      </c>
      <c r="BM495" t="s">
        <v>3250</v>
      </c>
      <c r="BN495" t="s">
        <v>3250</v>
      </c>
      <c r="BP495">
        <v>4</v>
      </c>
      <c r="BQ495">
        <v>42</v>
      </c>
      <c r="BR495" t="s">
        <v>1444</v>
      </c>
      <c r="BS495" t="s">
        <v>4024</v>
      </c>
      <c r="BV495">
        <v>0</v>
      </c>
      <c r="BW495">
        <v>0</v>
      </c>
      <c r="BX495">
        <v>0</v>
      </c>
      <c r="BY495">
        <v>0</v>
      </c>
      <c r="BZ495">
        <v>0</v>
      </c>
      <c r="CA495">
        <v>0</v>
      </c>
      <c r="CB495">
        <v>0</v>
      </c>
      <c r="CC495">
        <v>0</v>
      </c>
      <c r="CD495">
        <v>0</v>
      </c>
      <c r="CE495" t="s">
        <v>3108</v>
      </c>
      <c r="CF495" t="s">
        <v>3108</v>
      </c>
      <c r="CG495" t="s">
        <v>3108</v>
      </c>
      <c r="CH495" t="s">
        <v>3108</v>
      </c>
    </row>
    <row r="496" spans="1:86" x14ac:dyDescent="0.2">
      <c r="A496" t="s">
        <v>4100</v>
      </c>
      <c r="B496" t="s">
        <v>4100</v>
      </c>
      <c r="C496">
        <v>40794</v>
      </c>
      <c r="D496">
        <v>764</v>
      </c>
      <c r="E496" t="s">
        <v>4029</v>
      </c>
      <c r="F496">
        <v>2900</v>
      </c>
      <c r="G496" t="s">
        <v>822</v>
      </c>
      <c r="H496" t="s">
        <v>3108</v>
      </c>
      <c r="I496" t="s">
        <v>3108</v>
      </c>
      <c r="J496">
        <v>2904</v>
      </c>
      <c r="K496" t="s">
        <v>1690</v>
      </c>
      <c r="L496">
        <v>2100</v>
      </c>
      <c r="M496" t="s">
        <v>123</v>
      </c>
      <c r="N496">
        <v>2114</v>
      </c>
      <c r="O496" t="s">
        <v>1444</v>
      </c>
      <c r="P496" t="s">
        <v>3108</v>
      </c>
      <c r="Q496" t="s">
        <v>3249</v>
      </c>
      <c r="R496" t="s">
        <v>3249</v>
      </c>
      <c r="S496" t="s">
        <v>810</v>
      </c>
      <c r="T496" t="s">
        <v>2754</v>
      </c>
      <c r="U496" t="s">
        <v>3250</v>
      </c>
      <c r="V496" t="s">
        <v>3250</v>
      </c>
      <c r="W496" t="s">
        <v>3250</v>
      </c>
      <c r="X496" t="s">
        <v>3250</v>
      </c>
      <c r="Y496" t="s">
        <v>3250</v>
      </c>
      <c r="Z496" t="s">
        <v>3250</v>
      </c>
      <c r="AA496" t="s">
        <v>3108</v>
      </c>
      <c r="AB496" t="s">
        <v>3108</v>
      </c>
      <c r="AC496" t="s">
        <v>3250</v>
      </c>
      <c r="AD496" t="s">
        <v>3250</v>
      </c>
      <c r="AE496" t="s">
        <v>3250</v>
      </c>
      <c r="AF496" t="s">
        <v>3250</v>
      </c>
      <c r="AG496" t="s">
        <v>3250</v>
      </c>
      <c r="AH496" t="s">
        <v>3250</v>
      </c>
      <c r="AI496" t="s">
        <v>3250</v>
      </c>
      <c r="AJ496" t="s">
        <v>3250</v>
      </c>
      <c r="AL496" t="s">
        <v>3250</v>
      </c>
      <c r="AM496" t="s">
        <v>3250</v>
      </c>
      <c r="AN496" t="s">
        <v>3250</v>
      </c>
      <c r="AO496" t="s">
        <v>3250</v>
      </c>
      <c r="AS496" t="s">
        <v>3250</v>
      </c>
      <c r="AT496" t="s">
        <v>3250</v>
      </c>
      <c r="AU496" t="s">
        <v>3250</v>
      </c>
      <c r="AV496" t="s">
        <v>3250</v>
      </c>
      <c r="AW496" t="s">
        <v>3250</v>
      </c>
      <c r="AX496" t="s">
        <v>3250</v>
      </c>
      <c r="AY496" t="s">
        <v>3250</v>
      </c>
      <c r="AZ496" t="s">
        <v>3250</v>
      </c>
      <c r="BA496" t="s">
        <v>3250</v>
      </c>
      <c r="BB496" t="s">
        <v>3250</v>
      </c>
      <c r="BC496" t="s">
        <v>3250</v>
      </c>
      <c r="BE496" t="s">
        <v>3250</v>
      </c>
      <c r="BF496" t="s">
        <v>3250</v>
      </c>
      <c r="BG496" t="s">
        <v>3250</v>
      </c>
      <c r="BH496" t="s">
        <v>3250</v>
      </c>
      <c r="BI496" t="s">
        <v>3250</v>
      </c>
      <c r="BK496" t="s">
        <v>3250</v>
      </c>
      <c r="BL496" t="s">
        <v>3250</v>
      </c>
      <c r="BM496" t="s">
        <v>3250</v>
      </c>
      <c r="BN496" t="s">
        <v>3250</v>
      </c>
      <c r="BP496">
        <v>4</v>
      </c>
      <c r="BQ496">
        <v>42</v>
      </c>
      <c r="BR496" t="s">
        <v>1444</v>
      </c>
      <c r="BS496" t="s">
        <v>4024</v>
      </c>
      <c r="BV496">
        <v>0</v>
      </c>
      <c r="BW496">
        <v>0</v>
      </c>
      <c r="BX496">
        <v>0</v>
      </c>
      <c r="BY496">
        <v>0</v>
      </c>
      <c r="BZ496">
        <v>0</v>
      </c>
      <c r="CA496">
        <v>0</v>
      </c>
      <c r="CB496">
        <v>0</v>
      </c>
      <c r="CC496">
        <v>0</v>
      </c>
      <c r="CD496">
        <v>0</v>
      </c>
      <c r="CE496" t="s">
        <v>3108</v>
      </c>
      <c r="CF496" t="s">
        <v>3108</v>
      </c>
      <c r="CG496" t="s">
        <v>3108</v>
      </c>
      <c r="CH496" t="s">
        <v>3108</v>
      </c>
    </row>
    <row r="497" spans="1:86" x14ac:dyDescent="0.2">
      <c r="A497" t="s">
        <v>4101</v>
      </c>
      <c r="B497" t="s">
        <v>4101</v>
      </c>
      <c r="C497">
        <v>40795</v>
      </c>
      <c r="D497">
        <v>765</v>
      </c>
      <c r="E497" t="s">
        <v>4031</v>
      </c>
      <c r="F497">
        <v>2900</v>
      </c>
      <c r="G497" t="s">
        <v>822</v>
      </c>
      <c r="H497" t="s">
        <v>3108</v>
      </c>
      <c r="I497" t="s">
        <v>3108</v>
      </c>
      <c r="J497">
        <v>2904</v>
      </c>
      <c r="K497" t="s">
        <v>1690</v>
      </c>
      <c r="L497">
        <v>2100</v>
      </c>
      <c r="M497" t="s">
        <v>123</v>
      </c>
      <c r="N497">
        <v>2114</v>
      </c>
      <c r="O497" t="s">
        <v>1444</v>
      </c>
      <c r="P497" t="s">
        <v>3108</v>
      </c>
      <c r="Q497" t="s">
        <v>3249</v>
      </c>
      <c r="R497" t="s">
        <v>3249</v>
      </c>
      <c r="S497" t="s">
        <v>810</v>
      </c>
      <c r="T497" t="s">
        <v>2754</v>
      </c>
      <c r="U497" t="s">
        <v>3250</v>
      </c>
      <c r="V497" t="s">
        <v>3250</v>
      </c>
      <c r="W497" t="s">
        <v>3250</v>
      </c>
      <c r="X497" t="s">
        <v>3250</v>
      </c>
      <c r="Y497" t="s">
        <v>3250</v>
      </c>
      <c r="Z497" t="s">
        <v>3250</v>
      </c>
      <c r="AA497" t="s">
        <v>3108</v>
      </c>
      <c r="AB497" t="s">
        <v>3108</v>
      </c>
      <c r="AC497" t="s">
        <v>3250</v>
      </c>
      <c r="AD497" t="s">
        <v>3250</v>
      </c>
      <c r="AE497" t="s">
        <v>3250</v>
      </c>
      <c r="AF497" t="s">
        <v>3250</v>
      </c>
      <c r="AG497" t="s">
        <v>3250</v>
      </c>
      <c r="AH497" t="s">
        <v>3250</v>
      </c>
      <c r="AI497" t="s">
        <v>3250</v>
      </c>
      <c r="AJ497" t="s">
        <v>3250</v>
      </c>
      <c r="AL497" t="s">
        <v>3250</v>
      </c>
      <c r="AM497" t="s">
        <v>3250</v>
      </c>
      <c r="AN497" t="s">
        <v>3250</v>
      </c>
      <c r="AO497" t="s">
        <v>3250</v>
      </c>
      <c r="AS497" t="s">
        <v>3250</v>
      </c>
      <c r="AT497" t="s">
        <v>3250</v>
      </c>
      <c r="AU497" t="s">
        <v>3250</v>
      </c>
      <c r="AV497" t="s">
        <v>3250</v>
      </c>
      <c r="AW497" t="s">
        <v>3250</v>
      </c>
      <c r="AX497" t="s">
        <v>3250</v>
      </c>
      <c r="AY497" t="s">
        <v>3250</v>
      </c>
      <c r="AZ497" t="s">
        <v>3250</v>
      </c>
      <c r="BA497" t="s">
        <v>3250</v>
      </c>
      <c r="BB497" t="s">
        <v>3250</v>
      </c>
      <c r="BC497" t="s">
        <v>3250</v>
      </c>
      <c r="BE497" t="s">
        <v>3250</v>
      </c>
      <c r="BF497" t="s">
        <v>3250</v>
      </c>
      <c r="BG497" t="s">
        <v>3250</v>
      </c>
      <c r="BH497" t="s">
        <v>3250</v>
      </c>
      <c r="BI497" t="s">
        <v>3250</v>
      </c>
      <c r="BK497" t="s">
        <v>3250</v>
      </c>
      <c r="BL497" t="s">
        <v>3250</v>
      </c>
      <c r="BM497" t="s">
        <v>3250</v>
      </c>
      <c r="BN497" t="s">
        <v>3250</v>
      </c>
      <c r="BP497">
        <v>4</v>
      </c>
      <c r="BQ497">
        <v>42</v>
      </c>
      <c r="BR497" t="s">
        <v>1444</v>
      </c>
      <c r="BS497" t="s">
        <v>4024</v>
      </c>
      <c r="BV497">
        <v>0</v>
      </c>
      <c r="BW497">
        <v>0</v>
      </c>
      <c r="BX497">
        <v>0</v>
      </c>
      <c r="BY497">
        <v>0</v>
      </c>
      <c r="BZ497">
        <v>0</v>
      </c>
      <c r="CA497">
        <v>0</v>
      </c>
      <c r="CB497">
        <v>0</v>
      </c>
      <c r="CC497">
        <v>0</v>
      </c>
      <c r="CD497">
        <v>0</v>
      </c>
      <c r="CE497" t="s">
        <v>3108</v>
      </c>
      <c r="CF497" t="s">
        <v>3108</v>
      </c>
      <c r="CG497" t="s">
        <v>3108</v>
      </c>
      <c r="CH497" t="s">
        <v>3108</v>
      </c>
    </row>
    <row r="498" spans="1:86" x14ac:dyDescent="0.2">
      <c r="A498" t="s">
        <v>4102</v>
      </c>
      <c r="B498" t="s">
        <v>4102</v>
      </c>
      <c r="C498">
        <v>40796</v>
      </c>
      <c r="D498">
        <v>766</v>
      </c>
      <c r="E498" t="s">
        <v>4103</v>
      </c>
      <c r="F498">
        <v>2900</v>
      </c>
      <c r="G498" t="s">
        <v>822</v>
      </c>
      <c r="H498" t="s">
        <v>3108</v>
      </c>
      <c r="I498" t="s">
        <v>3108</v>
      </c>
      <c r="J498">
        <v>2904</v>
      </c>
      <c r="K498" t="s">
        <v>1690</v>
      </c>
      <c r="L498">
        <v>2100</v>
      </c>
      <c r="M498" t="s">
        <v>123</v>
      </c>
      <c r="N498">
        <v>2114</v>
      </c>
      <c r="O498" t="s">
        <v>1444</v>
      </c>
      <c r="P498" t="s">
        <v>3108</v>
      </c>
      <c r="Q498" t="s">
        <v>3249</v>
      </c>
      <c r="R498" t="s">
        <v>3249</v>
      </c>
      <c r="S498" t="s">
        <v>810</v>
      </c>
      <c r="T498" t="s">
        <v>2754</v>
      </c>
      <c r="U498" t="s">
        <v>3250</v>
      </c>
      <c r="V498" t="s">
        <v>3250</v>
      </c>
      <c r="W498" t="s">
        <v>3250</v>
      </c>
      <c r="X498" t="s">
        <v>3250</v>
      </c>
      <c r="Y498" t="s">
        <v>3250</v>
      </c>
      <c r="Z498" t="s">
        <v>3250</v>
      </c>
      <c r="AA498" t="s">
        <v>3108</v>
      </c>
      <c r="AB498" t="s">
        <v>3108</v>
      </c>
      <c r="AC498" t="s">
        <v>3250</v>
      </c>
      <c r="AD498" t="s">
        <v>3250</v>
      </c>
      <c r="AE498" t="s">
        <v>3250</v>
      </c>
      <c r="AF498" t="s">
        <v>3250</v>
      </c>
      <c r="AG498" t="s">
        <v>3250</v>
      </c>
      <c r="AH498" t="s">
        <v>3250</v>
      </c>
      <c r="AI498" t="s">
        <v>3250</v>
      </c>
      <c r="AJ498" t="s">
        <v>3250</v>
      </c>
      <c r="AL498" t="s">
        <v>3250</v>
      </c>
      <c r="AM498" t="s">
        <v>3250</v>
      </c>
      <c r="AN498" t="s">
        <v>3250</v>
      </c>
      <c r="AO498" t="s">
        <v>3250</v>
      </c>
      <c r="AS498" t="s">
        <v>3250</v>
      </c>
      <c r="AT498" t="s">
        <v>3250</v>
      </c>
      <c r="AU498" t="s">
        <v>3250</v>
      </c>
      <c r="AV498" t="s">
        <v>3250</v>
      </c>
      <c r="AW498" t="s">
        <v>3250</v>
      </c>
      <c r="AX498" t="s">
        <v>3250</v>
      </c>
      <c r="AY498" t="s">
        <v>3250</v>
      </c>
      <c r="AZ498" t="s">
        <v>3250</v>
      </c>
      <c r="BA498" t="s">
        <v>3250</v>
      </c>
      <c r="BB498" t="s">
        <v>3250</v>
      </c>
      <c r="BC498" t="s">
        <v>3250</v>
      </c>
      <c r="BE498" t="s">
        <v>3250</v>
      </c>
      <c r="BF498" t="s">
        <v>3250</v>
      </c>
      <c r="BG498" t="s">
        <v>3250</v>
      </c>
      <c r="BH498" t="s">
        <v>3250</v>
      </c>
      <c r="BI498" t="s">
        <v>3250</v>
      </c>
      <c r="BK498" t="s">
        <v>3250</v>
      </c>
      <c r="BL498" t="s">
        <v>3250</v>
      </c>
      <c r="BM498" t="s">
        <v>3250</v>
      </c>
      <c r="BN498" t="s">
        <v>3250</v>
      </c>
      <c r="BP498">
        <v>4</v>
      </c>
      <c r="BQ498">
        <v>42</v>
      </c>
      <c r="BR498" t="s">
        <v>1444</v>
      </c>
      <c r="BS498" t="s">
        <v>4024</v>
      </c>
      <c r="BV498">
        <v>0</v>
      </c>
      <c r="BW498">
        <v>0</v>
      </c>
      <c r="BX498">
        <v>0</v>
      </c>
      <c r="BY498">
        <v>0</v>
      </c>
      <c r="BZ498">
        <v>0</v>
      </c>
      <c r="CA498">
        <v>0</v>
      </c>
      <c r="CB498">
        <v>0</v>
      </c>
      <c r="CC498">
        <v>0</v>
      </c>
      <c r="CD498">
        <v>0</v>
      </c>
      <c r="CE498" t="s">
        <v>3108</v>
      </c>
      <c r="CF498" t="s">
        <v>3108</v>
      </c>
      <c r="CG498" t="s">
        <v>3108</v>
      </c>
      <c r="CH498" t="s">
        <v>3108</v>
      </c>
    </row>
    <row r="499" spans="1:86" x14ac:dyDescent="0.2">
      <c r="A499" t="s">
        <v>4104</v>
      </c>
      <c r="B499" t="s">
        <v>4104</v>
      </c>
      <c r="C499">
        <v>40797</v>
      </c>
      <c r="D499">
        <v>767</v>
      </c>
      <c r="E499" t="s">
        <v>4033</v>
      </c>
      <c r="F499">
        <v>2900</v>
      </c>
      <c r="G499" t="s">
        <v>822</v>
      </c>
      <c r="H499" t="s">
        <v>3108</v>
      </c>
      <c r="I499" t="s">
        <v>3108</v>
      </c>
      <c r="J499">
        <v>2904</v>
      </c>
      <c r="K499" t="s">
        <v>1690</v>
      </c>
      <c r="L499">
        <v>2100</v>
      </c>
      <c r="M499" t="s">
        <v>123</v>
      </c>
      <c r="N499">
        <v>2114</v>
      </c>
      <c r="O499" t="s">
        <v>1444</v>
      </c>
      <c r="P499" t="s">
        <v>3108</v>
      </c>
      <c r="Q499" t="s">
        <v>3249</v>
      </c>
      <c r="R499" t="s">
        <v>3249</v>
      </c>
      <c r="S499" t="s">
        <v>810</v>
      </c>
      <c r="T499" t="s">
        <v>2754</v>
      </c>
      <c r="U499" t="s">
        <v>3250</v>
      </c>
      <c r="V499" t="s">
        <v>3250</v>
      </c>
      <c r="W499" t="s">
        <v>3250</v>
      </c>
      <c r="X499" t="s">
        <v>3250</v>
      </c>
      <c r="Y499" t="s">
        <v>3250</v>
      </c>
      <c r="Z499" t="s">
        <v>3250</v>
      </c>
      <c r="AA499" t="s">
        <v>3108</v>
      </c>
      <c r="AB499" t="s">
        <v>3108</v>
      </c>
      <c r="AC499" t="s">
        <v>3250</v>
      </c>
      <c r="AD499" t="s">
        <v>3250</v>
      </c>
      <c r="AE499" t="s">
        <v>3250</v>
      </c>
      <c r="AF499" t="s">
        <v>3250</v>
      </c>
      <c r="AG499" t="s">
        <v>3250</v>
      </c>
      <c r="AH499" t="s">
        <v>3250</v>
      </c>
      <c r="AI499" t="s">
        <v>3250</v>
      </c>
      <c r="AJ499" t="s">
        <v>3250</v>
      </c>
      <c r="AL499" t="s">
        <v>3250</v>
      </c>
      <c r="AM499" t="s">
        <v>3250</v>
      </c>
      <c r="AN499" t="s">
        <v>3250</v>
      </c>
      <c r="AO499" t="s">
        <v>3250</v>
      </c>
      <c r="AS499" t="s">
        <v>3250</v>
      </c>
      <c r="AT499" t="s">
        <v>3250</v>
      </c>
      <c r="AU499" t="s">
        <v>3250</v>
      </c>
      <c r="AV499" t="s">
        <v>3250</v>
      </c>
      <c r="AW499" t="s">
        <v>3250</v>
      </c>
      <c r="AX499" t="s">
        <v>3250</v>
      </c>
      <c r="AY499" t="s">
        <v>3250</v>
      </c>
      <c r="AZ499" t="s">
        <v>3250</v>
      </c>
      <c r="BA499" t="s">
        <v>3250</v>
      </c>
      <c r="BB499" t="s">
        <v>3250</v>
      </c>
      <c r="BC499" t="s">
        <v>3250</v>
      </c>
      <c r="BE499" t="s">
        <v>3250</v>
      </c>
      <c r="BF499" t="s">
        <v>3250</v>
      </c>
      <c r="BG499" t="s">
        <v>3250</v>
      </c>
      <c r="BH499" t="s">
        <v>3250</v>
      </c>
      <c r="BI499" t="s">
        <v>3250</v>
      </c>
      <c r="BK499" t="s">
        <v>3250</v>
      </c>
      <c r="BL499" t="s">
        <v>3250</v>
      </c>
      <c r="BM499" t="s">
        <v>3250</v>
      </c>
      <c r="BN499" t="s">
        <v>3250</v>
      </c>
      <c r="BP499">
        <v>4</v>
      </c>
      <c r="BQ499">
        <v>42</v>
      </c>
      <c r="BR499" t="s">
        <v>1444</v>
      </c>
      <c r="BS499" t="s">
        <v>4024</v>
      </c>
      <c r="BV499">
        <v>0</v>
      </c>
      <c r="BW499">
        <v>0</v>
      </c>
      <c r="BX499">
        <v>0</v>
      </c>
      <c r="BY499">
        <v>0</v>
      </c>
      <c r="BZ499">
        <v>0</v>
      </c>
      <c r="CA499">
        <v>0</v>
      </c>
      <c r="CB499">
        <v>0</v>
      </c>
      <c r="CC499">
        <v>0</v>
      </c>
      <c r="CD499">
        <v>0</v>
      </c>
      <c r="CE499" t="s">
        <v>3108</v>
      </c>
      <c r="CF499" t="s">
        <v>3108</v>
      </c>
      <c r="CG499" t="s">
        <v>3108</v>
      </c>
      <c r="CH499" t="s">
        <v>3108</v>
      </c>
    </row>
    <row r="500" spans="1:86" x14ac:dyDescent="0.2">
      <c r="A500" t="s">
        <v>4105</v>
      </c>
      <c r="B500" t="s">
        <v>4105</v>
      </c>
      <c r="C500">
        <v>40798</v>
      </c>
      <c r="D500">
        <v>768</v>
      </c>
      <c r="E500" t="s">
        <v>4106</v>
      </c>
      <c r="F500">
        <v>2900</v>
      </c>
      <c r="G500" t="s">
        <v>822</v>
      </c>
      <c r="H500" t="s">
        <v>3108</v>
      </c>
      <c r="I500" t="s">
        <v>3108</v>
      </c>
      <c r="J500">
        <v>2904</v>
      </c>
      <c r="K500" t="s">
        <v>1690</v>
      </c>
      <c r="L500">
        <v>2100</v>
      </c>
      <c r="M500" t="s">
        <v>123</v>
      </c>
      <c r="N500">
        <v>2114</v>
      </c>
      <c r="O500" t="s">
        <v>1444</v>
      </c>
      <c r="P500" t="s">
        <v>3108</v>
      </c>
      <c r="Q500" t="s">
        <v>3249</v>
      </c>
      <c r="R500" t="s">
        <v>3249</v>
      </c>
      <c r="S500" t="s">
        <v>810</v>
      </c>
      <c r="T500" t="s">
        <v>2754</v>
      </c>
      <c r="U500" t="s">
        <v>3250</v>
      </c>
      <c r="V500" t="s">
        <v>3250</v>
      </c>
      <c r="W500" t="s">
        <v>3250</v>
      </c>
      <c r="X500" t="s">
        <v>3250</v>
      </c>
      <c r="Y500" t="s">
        <v>3250</v>
      </c>
      <c r="Z500" t="s">
        <v>3250</v>
      </c>
      <c r="AA500" t="s">
        <v>3108</v>
      </c>
      <c r="AB500" t="s">
        <v>3108</v>
      </c>
      <c r="AC500" t="s">
        <v>3250</v>
      </c>
      <c r="AD500" t="s">
        <v>3250</v>
      </c>
      <c r="AE500" t="s">
        <v>3250</v>
      </c>
      <c r="AF500" t="s">
        <v>3250</v>
      </c>
      <c r="AG500" t="s">
        <v>3250</v>
      </c>
      <c r="AH500" t="s">
        <v>3250</v>
      </c>
      <c r="AI500" t="s">
        <v>3250</v>
      </c>
      <c r="AJ500" t="s">
        <v>3250</v>
      </c>
      <c r="AL500" t="s">
        <v>3250</v>
      </c>
      <c r="AM500" t="s">
        <v>3250</v>
      </c>
      <c r="AN500" t="s">
        <v>3250</v>
      </c>
      <c r="AO500" t="s">
        <v>3250</v>
      </c>
      <c r="AS500" t="s">
        <v>3250</v>
      </c>
      <c r="AT500" t="s">
        <v>3250</v>
      </c>
      <c r="AU500" t="s">
        <v>3250</v>
      </c>
      <c r="AV500" t="s">
        <v>3250</v>
      </c>
      <c r="AW500" t="s">
        <v>3250</v>
      </c>
      <c r="AX500" t="s">
        <v>3250</v>
      </c>
      <c r="AY500" t="s">
        <v>3250</v>
      </c>
      <c r="AZ500" t="s">
        <v>3250</v>
      </c>
      <c r="BA500" t="s">
        <v>3250</v>
      </c>
      <c r="BB500" t="s">
        <v>3250</v>
      </c>
      <c r="BC500" t="s">
        <v>3250</v>
      </c>
      <c r="BE500" t="s">
        <v>3250</v>
      </c>
      <c r="BF500" t="s">
        <v>3250</v>
      </c>
      <c r="BG500" t="s">
        <v>3250</v>
      </c>
      <c r="BH500" t="s">
        <v>3250</v>
      </c>
      <c r="BI500" t="s">
        <v>3250</v>
      </c>
      <c r="BK500" t="s">
        <v>3250</v>
      </c>
      <c r="BL500" t="s">
        <v>3250</v>
      </c>
      <c r="BM500" t="s">
        <v>3250</v>
      </c>
      <c r="BN500" t="s">
        <v>3250</v>
      </c>
      <c r="BP500">
        <v>4</v>
      </c>
      <c r="BQ500">
        <v>42</v>
      </c>
      <c r="BR500" t="s">
        <v>1444</v>
      </c>
      <c r="BS500" t="s">
        <v>4024</v>
      </c>
      <c r="BV500">
        <v>0</v>
      </c>
      <c r="BW500">
        <v>0</v>
      </c>
      <c r="BX500">
        <v>0</v>
      </c>
      <c r="BY500">
        <v>0</v>
      </c>
      <c r="BZ500">
        <v>0</v>
      </c>
      <c r="CA500">
        <v>0</v>
      </c>
      <c r="CB500">
        <v>0</v>
      </c>
      <c r="CC500">
        <v>0</v>
      </c>
      <c r="CD500">
        <v>0</v>
      </c>
      <c r="CE500" t="s">
        <v>3108</v>
      </c>
      <c r="CF500" t="s">
        <v>3108</v>
      </c>
      <c r="CG500" t="s">
        <v>3108</v>
      </c>
      <c r="CH500" t="s">
        <v>3108</v>
      </c>
    </row>
    <row r="501" spans="1:86" x14ac:dyDescent="0.2">
      <c r="A501" t="s">
        <v>4107</v>
      </c>
      <c r="B501" t="s">
        <v>4107</v>
      </c>
      <c r="C501">
        <v>40799</v>
      </c>
      <c r="D501">
        <v>769</v>
      </c>
      <c r="E501" t="s">
        <v>4001</v>
      </c>
      <c r="F501">
        <v>2900</v>
      </c>
      <c r="G501" t="s">
        <v>822</v>
      </c>
      <c r="H501" t="s">
        <v>3108</v>
      </c>
      <c r="I501" t="s">
        <v>3108</v>
      </c>
      <c r="J501">
        <v>2904</v>
      </c>
      <c r="K501" t="s">
        <v>1690</v>
      </c>
      <c r="L501">
        <v>2100</v>
      </c>
      <c r="M501" t="s">
        <v>123</v>
      </c>
      <c r="N501">
        <v>2114</v>
      </c>
      <c r="O501" t="s">
        <v>1444</v>
      </c>
      <c r="P501" t="s">
        <v>3108</v>
      </c>
      <c r="Q501" t="s">
        <v>3249</v>
      </c>
      <c r="R501" t="s">
        <v>3249</v>
      </c>
      <c r="S501" t="s">
        <v>810</v>
      </c>
      <c r="T501" t="s">
        <v>2754</v>
      </c>
      <c r="U501" t="s">
        <v>3250</v>
      </c>
      <c r="V501" t="s">
        <v>3250</v>
      </c>
      <c r="W501" t="s">
        <v>3250</v>
      </c>
      <c r="X501" t="s">
        <v>3250</v>
      </c>
      <c r="Y501" t="s">
        <v>3250</v>
      </c>
      <c r="Z501" t="s">
        <v>3250</v>
      </c>
      <c r="AA501" t="s">
        <v>3108</v>
      </c>
      <c r="AB501" t="s">
        <v>3108</v>
      </c>
      <c r="AC501" t="s">
        <v>3250</v>
      </c>
      <c r="AD501" t="s">
        <v>3250</v>
      </c>
      <c r="AE501" t="s">
        <v>3250</v>
      </c>
      <c r="AF501" t="s">
        <v>3250</v>
      </c>
      <c r="AG501" t="s">
        <v>3250</v>
      </c>
      <c r="AH501" t="s">
        <v>3250</v>
      </c>
      <c r="AI501" t="s">
        <v>3250</v>
      </c>
      <c r="AJ501" t="s">
        <v>3250</v>
      </c>
      <c r="AL501" t="s">
        <v>3250</v>
      </c>
      <c r="AM501" t="s">
        <v>3250</v>
      </c>
      <c r="AN501" t="s">
        <v>3250</v>
      </c>
      <c r="AO501" t="s">
        <v>3250</v>
      </c>
      <c r="AS501" t="s">
        <v>3250</v>
      </c>
      <c r="AT501" t="s">
        <v>3250</v>
      </c>
      <c r="AU501" t="s">
        <v>3250</v>
      </c>
      <c r="AV501" t="s">
        <v>3250</v>
      </c>
      <c r="AW501" t="s">
        <v>3250</v>
      </c>
      <c r="AX501" t="s">
        <v>3250</v>
      </c>
      <c r="AY501" t="s">
        <v>3250</v>
      </c>
      <c r="AZ501" t="s">
        <v>3250</v>
      </c>
      <c r="BA501" t="s">
        <v>3250</v>
      </c>
      <c r="BB501" t="s">
        <v>3250</v>
      </c>
      <c r="BC501" t="s">
        <v>3250</v>
      </c>
      <c r="BE501" t="s">
        <v>3250</v>
      </c>
      <c r="BF501" t="s">
        <v>3250</v>
      </c>
      <c r="BG501" t="s">
        <v>3250</v>
      </c>
      <c r="BH501" t="s">
        <v>3250</v>
      </c>
      <c r="BI501" t="s">
        <v>3250</v>
      </c>
      <c r="BK501" t="s">
        <v>3250</v>
      </c>
      <c r="BL501" t="s">
        <v>3250</v>
      </c>
      <c r="BM501" t="s">
        <v>3250</v>
      </c>
      <c r="BN501" t="s">
        <v>3250</v>
      </c>
      <c r="BP501">
        <v>4</v>
      </c>
      <c r="BQ501">
        <v>42</v>
      </c>
      <c r="BR501" t="s">
        <v>1444</v>
      </c>
      <c r="BS501" t="s">
        <v>4024</v>
      </c>
      <c r="BV501">
        <v>0</v>
      </c>
      <c r="BW501">
        <v>0</v>
      </c>
      <c r="BX501">
        <v>0</v>
      </c>
      <c r="BY501">
        <v>0</v>
      </c>
      <c r="BZ501">
        <v>0</v>
      </c>
      <c r="CA501">
        <v>0</v>
      </c>
      <c r="CB501">
        <v>0</v>
      </c>
      <c r="CC501">
        <v>0</v>
      </c>
      <c r="CD501">
        <v>0</v>
      </c>
      <c r="CE501" t="s">
        <v>3108</v>
      </c>
      <c r="CF501" t="s">
        <v>3108</v>
      </c>
      <c r="CG501" t="s">
        <v>3108</v>
      </c>
      <c r="CH501" t="s">
        <v>3108</v>
      </c>
    </row>
    <row r="502" spans="1:86" x14ac:dyDescent="0.2">
      <c r="A502" t="s">
        <v>4108</v>
      </c>
      <c r="B502" t="s">
        <v>4108</v>
      </c>
      <c r="C502">
        <v>40800</v>
      </c>
      <c r="D502">
        <v>770</v>
      </c>
      <c r="E502" t="s">
        <v>4109</v>
      </c>
      <c r="F502">
        <v>2900</v>
      </c>
      <c r="G502" t="s">
        <v>822</v>
      </c>
      <c r="H502" t="s">
        <v>3108</v>
      </c>
      <c r="I502" t="s">
        <v>3108</v>
      </c>
      <c r="J502">
        <v>2904</v>
      </c>
      <c r="K502" t="s">
        <v>1690</v>
      </c>
      <c r="L502">
        <v>2100</v>
      </c>
      <c r="M502" t="s">
        <v>123</v>
      </c>
      <c r="N502">
        <v>2114</v>
      </c>
      <c r="O502" t="s">
        <v>1444</v>
      </c>
      <c r="P502" t="s">
        <v>3108</v>
      </c>
      <c r="Q502" t="s">
        <v>3249</v>
      </c>
      <c r="R502" t="s">
        <v>3249</v>
      </c>
      <c r="S502" t="s">
        <v>810</v>
      </c>
      <c r="T502" t="s">
        <v>2754</v>
      </c>
      <c r="U502" t="s">
        <v>3250</v>
      </c>
      <c r="V502" t="s">
        <v>3250</v>
      </c>
      <c r="W502" t="s">
        <v>3250</v>
      </c>
      <c r="X502" t="s">
        <v>3250</v>
      </c>
      <c r="Y502" t="s">
        <v>3250</v>
      </c>
      <c r="Z502" t="s">
        <v>3250</v>
      </c>
      <c r="AA502" t="s">
        <v>3108</v>
      </c>
      <c r="AB502" t="s">
        <v>3108</v>
      </c>
      <c r="AC502" t="s">
        <v>3250</v>
      </c>
      <c r="AD502" t="s">
        <v>3250</v>
      </c>
      <c r="AE502" t="s">
        <v>3250</v>
      </c>
      <c r="AF502" t="s">
        <v>3250</v>
      </c>
      <c r="AG502" t="s">
        <v>3250</v>
      </c>
      <c r="AH502" t="s">
        <v>3250</v>
      </c>
      <c r="AI502" t="s">
        <v>3250</v>
      </c>
      <c r="AJ502" t="s">
        <v>3250</v>
      </c>
      <c r="AL502" t="s">
        <v>3250</v>
      </c>
      <c r="AM502" t="s">
        <v>3250</v>
      </c>
      <c r="AN502" t="s">
        <v>3250</v>
      </c>
      <c r="AO502" t="s">
        <v>3250</v>
      </c>
      <c r="AS502" t="s">
        <v>3250</v>
      </c>
      <c r="AT502" t="s">
        <v>3250</v>
      </c>
      <c r="AU502" t="s">
        <v>3250</v>
      </c>
      <c r="AV502" t="s">
        <v>3250</v>
      </c>
      <c r="AW502" t="s">
        <v>3250</v>
      </c>
      <c r="AX502" t="s">
        <v>3250</v>
      </c>
      <c r="AY502" t="s">
        <v>3250</v>
      </c>
      <c r="AZ502" t="s">
        <v>3250</v>
      </c>
      <c r="BA502" t="s">
        <v>3250</v>
      </c>
      <c r="BB502" t="s">
        <v>3250</v>
      </c>
      <c r="BC502" t="s">
        <v>3250</v>
      </c>
      <c r="BE502" t="s">
        <v>3250</v>
      </c>
      <c r="BF502" t="s">
        <v>3250</v>
      </c>
      <c r="BG502" t="s">
        <v>3250</v>
      </c>
      <c r="BH502" t="s">
        <v>3250</v>
      </c>
      <c r="BI502" t="s">
        <v>3250</v>
      </c>
      <c r="BK502" t="s">
        <v>3250</v>
      </c>
      <c r="BL502" t="s">
        <v>3250</v>
      </c>
      <c r="BM502" t="s">
        <v>3250</v>
      </c>
      <c r="BN502" t="s">
        <v>3250</v>
      </c>
      <c r="BP502">
        <v>4</v>
      </c>
      <c r="BQ502">
        <v>42</v>
      </c>
      <c r="BR502" t="s">
        <v>1444</v>
      </c>
      <c r="BS502" t="s">
        <v>4024</v>
      </c>
      <c r="BV502">
        <v>0</v>
      </c>
      <c r="BW502">
        <v>0</v>
      </c>
      <c r="BX502">
        <v>0</v>
      </c>
      <c r="BY502">
        <v>0</v>
      </c>
      <c r="BZ502">
        <v>0</v>
      </c>
      <c r="CA502">
        <v>0</v>
      </c>
      <c r="CB502">
        <v>0</v>
      </c>
      <c r="CC502">
        <v>0</v>
      </c>
      <c r="CD502">
        <v>0</v>
      </c>
      <c r="CE502" t="s">
        <v>3108</v>
      </c>
      <c r="CF502" t="s">
        <v>3108</v>
      </c>
      <c r="CG502" t="s">
        <v>3108</v>
      </c>
      <c r="CH502" t="s">
        <v>3108</v>
      </c>
    </row>
    <row r="503" spans="1:86" x14ac:dyDescent="0.2">
      <c r="A503" t="s">
        <v>4110</v>
      </c>
      <c r="B503" t="s">
        <v>4110</v>
      </c>
      <c r="C503">
        <v>40801</v>
      </c>
      <c r="D503">
        <v>771</v>
      </c>
      <c r="E503" t="s">
        <v>3992</v>
      </c>
      <c r="F503">
        <v>2900</v>
      </c>
      <c r="G503" t="s">
        <v>822</v>
      </c>
      <c r="H503" t="s">
        <v>3108</v>
      </c>
      <c r="I503" t="s">
        <v>3108</v>
      </c>
      <c r="J503">
        <v>2904</v>
      </c>
      <c r="K503" t="s">
        <v>1690</v>
      </c>
      <c r="L503">
        <v>2100</v>
      </c>
      <c r="M503" t="s">
        <v>123</v>
      </c>
      <c r="N503">
        <v>2114</v>
      </c>
      <c r="O503" t="s">
        <v>1444</v>
      </c>
      <c r="P503" t="s">
        <v>3108</v>
      </c>
      <c r="Q503" t="s">
        <v>3249</v>
      </c>
      <c r="R503" t="s">
        <v>3249</v>
      </c>
      <c r="S503" t="s">
        <v>810</v>
      </c>
      <c r="T503" t="s">
        <v>2754</v>
      </c>
      <c r="U503" t="s">
        <v>3250</v>
      </c>
      <c r="V503" t="s">
        <v>3250</v>
      </c>
      <c r="W503" t="s">
        <v>3250</v>
      </c>
      <c r="X503" t="s">
        <v>3250</v>
      </c>
      <c r="Y503" t="s">
        <v>3250</v>
      </c>
      <c r="Z503" t="s">
        <v>3250</v>
      </c>
      <c r="AA503" t="s">
        <v>3108</v>
      </c>
      <c r="AB503" t="s">
        <v>3108</v>
      </c>
      <c r="AC503" t="s">
        <v>3250</v>
      </c>
      <c r="AD503" t="s">
        <v>3250</v>
      </c>
      <c r="AE503" t="s">
        <v>3250</v>
      </c>
      <c r="AF503" t="s">
        <v>3250</v>
      </c>
      <c r="AG503" t="s">
        <v>3250</v>
      </c>
      <c r="AH503" t="s">
        <v>3250</v>
      </c>
      <c r="AI503" t="s">
        <v>3250</v>
      </c>
      <c r="AJ503" t="s">
        <v>3250</v>
      </c>
      <c r="AL503" t="s">
        <v>3250</v>
      </c>
      <c r="AM503" t="s">
        <v>3250</v>
      </c>
      <c r="AN503" t="s">
        <v>3250</v>
      </c>
      <c r="AO503" t="s">
        <v>3250</v>
      </c>
      <c r="AS503" t="s">
        <v>3250</v>
      </c>
      <c r="AT503" t="s">
        <v>3250</v>
      </c>
      <c r="AU503" t="s">
        <v>3250</v>
      </c>
      <c r="AV503" t="s">
        <v>3250</v>
      </c>
      <c r="AW503" t="s">
        <v>3250</v>
      </c>
      <c r="AX503" t="s">
        <v>3250</v>
      </c>
      <c r="AY503" t="s">
        <v>3250</v>
      </c>
      <c r="AZ503" t="s">
        <v>3250</v>
      </c>
      <c r="BA503" t="s">
        <v>3250</v>
      </c>
      <c r="BB503" t="s">
        <v>3250</v>
      </c>
      <c r="BC503" t="s">
        <v>3250</v>
      </c>
      <c r="BE503" t="s">
        <v>3250</v>
      </c>
      <c r="BF503" t="s">
        <v>3250</v>
      </c>
      <c r="BG503" t="s">
        <v>3250</v>
      </c>
      <c r="BH503" t="s">
        <v>3250</v>
      </c>
      <c r="BI503" t="s">
        <v>3250</v>
      </c>
      <c r="BK503" t="s">
        <v>3250</v>
      </c>
      <c r="BL503" t="s">
        <v>3250</v>
      </c>
      <c r="BM503" t="s">
        <v>3250</v>
      </c>
      <c r="BN503" t="s">
        <v>3250</v>
      </c>
      <c r="BP503">
        <v>4</v>
      </c>
      <c r="BQ503">
        <v>42</v>
      </c>
      <c r="BR503" t="s">
        <v>1444</v>
      </c>
      <c r="BS503" t="s">
        <v>4024</v>
      </c>
      <c r="BV503">
        <v>0</v>
      </c>
      <c r="BW503">
        <v>0</v>
      </c>
      <c r="BX503">
        <v>0</v>
      </c>
      <c r="BY503">
        <v>0</v>
      </c>
      <c r="BZ503">
        <v>0</v>
      </c>
      <c r="CA503">
        <v>0</v>
      </c>
      <c r="CB503">
        <v>0</v>
      </c>
      <c r="CC503">
        <v>0</v>
      </c>
      <c r="CD503">
        <v>0</v>
      </c>
      <c r="CE503" t="s">
        <v>3108</v>
      </c>
      <c r="CF503" t="s">
        <v>3108</v>
      </c>
      <c r="CG503" t="s">
        <v>3108</v>
      </c>
      <c r="CH503" t="s">
        <v>3108</v>
      </c>
    </row>
    <row r="504" spans="1:86" x14ac:dyDescent="0.2">
      <c r="A504" t="s">
        <v>4111</v>
      </c>
      <c r="B504" t="s">
        <v>4111</v>
      </c>
      <c r="C504">
        <v>40802</v>
      </c>
      <c r="D504">
        <v>772</v>
      </c>
      <c r="E504" t="s">
        <v>4112</v>
      </c>
      <c r="F504">
        <v>2900</v>
      </c>
      <c r="G504" t="s">
        <v>822</v>
      </c>
      <c r="H504" t="s">
        <v>3108</v>
      </c>
      <c r="I504" t="s">
        <v>3108</v>
      </c>
      <c r="J504">
        <v>2904</v>
      </c>
      <c r="K504" t="s">
        <v>1690</v>
      </c>
      <c r="L504">
        <v>2100</v>
      </c>
      <c r="M504" t="s">
        <v>123</v>
      </c>
      <c r="N504">
        <v>2114</v>
      </c>
      <c r="O504" t="s">
        <v>1444</v>
      </c>
      <c r="P504" t="s">
        <v>3108</v>
      </c>
      <c r="Q504" t="s">
        <v>3249</v>
      </c>
      <c r="R504" t="s">
        <v>3249</v>
      </c>
      <c r="S504" t="s">
        <v>810</v>
      </c>
      <c r="T504" t="s">
        <v>2754</v>
      </c>
      <c r="U504" t="s">
        <v>3250</v>
      </c>
      <c r="V504" t="s">
        <v>3250</v>
      </c>
      <c r="W504" t="s">
        <v>3250</v>
      </c>
      <c r="X504" t="s">
        <v>3250</v>
      </c>
      <c r="Y504" t="s">
        <v>3250</v>
      </c>
      <c r="Z504" t="s">
        <v>3250</v>
      </c>
      <c r="AA504" t="s">
        <v>3108</v>
      </c>
      <c r="AB504" t="s">
        <v>3108</v>
      </c>
      <c r="AC504" t="s">
        <v>3250</v>
      </c>
      <c r="AD504" t="s">
        <v>3250</v>
      </c>
      <c r="AE504" t="s">
        <v>3250</v>
      </c>
      <c r="AF504" t="s">
        <v>3250</v>
      </c>
      <c r="AG504" t="s">
        <v>3250</v>
      </c>
      <c r="AH504" t="s">
        <v>3250</v>
      </c>
      <c r="AI504" t="s">
        <v>3250</v>
      </c>
      <c r="AJ504" t="s">
        <v>3250</v>
      </c>
      <c r="AL504" t="s">
        <v>3250</v>
      </c>
      <c r="AM504" t="s">
        <v>3250</v>
      </c>
      <c r="AN504" t="s">
        <v>3250</v>
      </c>
      <c r="AO504" t="s">
        <v>3250</v>
      </c>
      <c r="AS504" t="s">
        <v>3250</v>
      </c>
      <c r="AT504" t="s">
        <v>3250</v>
      </c>
      <c r="AU504" t="s">
        <v>3250</v>
      </c>
      <c r="AV504" t="s">
        <v>3250</v>
      </c>
      <c r="AW504" t="s">
        <v>3250</v>
      </c>
      <c r="AX504" t="s">
        <v>3250</v>
      </c>
      <c r="AY504" t="s">
        <v>3250</v>
      </c>
      <c r="AZ504" t="s">
        <v>3250</v>
      </c>
      <c r="BA504" t="s">
        <v>3250</v>
      </c>
      <c r="BB504" t="s">
        <v>3250</v>
      </c>
      <c r="BC504" t="s">
        <v>3250</v>
      </c>
      <c r="BE504" t="s">
        <v>3250</v>
      </c>
      <c r="BF504" t="s">
        <v>3250</v>
      </c>
      <c r="BG504" t="s">
        <v>3250</v>
      </c>
      <c r="BH504" t="s">
        <v>3250</v>
      </c>
      <c r="BI504" t="s">
        <v>3250</v>
      </c>
      <c r="BK504" t="s">
        <v>3250</v>
      </c>
      <c r="BL504" t="s">
        <v>3250</v>
      </c>
      <c r="BM504" t="s">
        <v>3250</v>
      </c>
      <c r="BN504" t="s">
        <v>3250</v>
      </c>
      <c r="BP504">
        <v>4</v>
      </c>
      <c r="BQ504">
        <v>42</v>
      </c>
      <c r="BR504" t="s">
        <v>1444</v>
      </c>
      <c r="BS504" t="s">
        <v>4024</v>
      </c>
      <c r="BV504">
        <v>0</v>
      </c>
      <c r="BW504">
        <v>0</v>
      </c>
      <c r="BX504">
        <v>0</v>
      </c>
      <c r="BY504">
        <v>0</v>
      </c>
      <c r="BZ504">
        <v>0</v>
      </c>
      <c r="CA504">
        <v>0</v>
      </c>
      <c r="CB504">
        <v>0</v>
      </c>
      <c r="CC504">
        <v>0</v>
      </c>
      <c r="CD504">
        <v>0</v>
      </c>
      <c r="CE504" t="s">
        <v>3108</v>
      </c>
      <c r="CF504" t="s">
        <v>3108</v>
      </c>
      <c r="CG504" t="s">
        <v>3108</v>
      </c>
      <c r="CH504" t="s">
        <v>3108</v>
      </c>
    </row>
    <row r="505" spans="1:86" x14ac:dyDescent="0.2">
      <c r="A505" t="s">
        <v>4113</v>
      </c>
      <c r="B505" t="s">
        <v>4113</v>
      </c>
      <c r="C505">
        <v>40803</v>
      </c>
      <c r="D505">
        <v>773</v>
      </c>
      <c r="E505" t="s">
        <v>4114</v>
      </c>
      <c r="F505">
        <v>2900</v>
      </c>
      <c r="G505" t="s">
        <v>822</v>
      </c>
      <c r="H505" t="s">
        <v>3108</v>
      </c>
      <c r="I505" t="s">
        <v>3108</v>
      </c>
      <c r="J505">
        <v>2904</v>
      </c>
      <c r="K505" t="s">
        <v>1690</v>
      </c>
      <c r="L505">
        <v>2100</v>
      </c>
      <c r="M505" t="s">
        <v>123</v>
      </c>
      <c r="N505">
        <v>2114</v>
      </c>
      <c r="O505" t="s">
        <v>1444</v>
      </c>
      <c r="P505" t="s">
        <v>3108</v>
      </c>
      <c r="Q505" t="s">
        <v>3249</v>
      </c>
      <c r="R505" t="s">
        <v>3249</v>
      </c>
      <c r="S505" t="s">
        <v>810</v>
      </c>
      <c r="T505" t="s">
        <v>2754</v>
      </c>
      <c r="U505" t="s">
        <v>3250</v>
      </c>
      <c r="V505" t="s">
        <v>3250</v>
      </c>
      <c r="W505" t="s">
        <v>3250</v>
      </c>
      <c r="X505" t="s">
        <v>3250</v>
      </c>
      <c r="Y505" t="s">
        <v>3250</v>
      </c>
      <c r="Z505" t="s">
        <v>3250</v>
      </c>
      <c r="AA505" t="s">
        <v>3108</v>
      </c>
      <c r="AB505" t="s">
        <v>3108</v>
      </c>
      <c r="AC505" t="s">
        <v>3250</v>
      </c>
      <c r="AD505" t="s">
        <v>3250</v>
      </c>
      <c r="AE505" t="s">
        <v>3250</v>
      </c>
      <c r="AF505" t="s">
        <v>3250</v>
      </c>
      <c r="AG505" t="s">
        <v>3250</v>
      </c>
      <c r="AH505" t="s">
        <v>3250</v>
      </c>
      <c r="AI505" t="s">
        <v>3250</v>
      </c>
      <c r="AJ505" t="s">
        <v>3250</v>
      </c>
      <c r="AL505" t="s">
        <v>3250</v>
      </c>
      <c r="AM505" t="s">
        <v>3250</v>
      </c>
      <c r="AN505" t="s">
        <v>3250</v>
      </c>
      <c r="AO505" t="s">
        <v>3250</v>
      </c>
      <c r="AS505" t="s">
        <v>3250</v>
      </c>
      <c r="AT505" t="s">
        <v>3250</v>
      </c>
      <c r="AU505" t="s">
        <v>3250</v>
      </c>
      <c r="AV505" t="s">
        <v>3250</v>
      </c>
      <c r="AW505" t="s">
        <v>3250</v>
      </c>
      <c r="AX505" t="s">
        <v>3250</v>
      </c>
      <c r="AY505" t="s">
        <v>3250</v>
      </c>
      <c r="AZ505" t="s">
        <v>3250</v>
      </c>
      <c r="BA505" t="s">
        <v>3250</v>
      </c>
      <c r="BB505" t="s">
        <v>3250</v>
      </c>
      <c r="BC505" t="s">
        <v>3250</v>
      </c>
      <c r="BE505" t="s">
        <v>3250</v>
      </c>
      <c r="BF505" t="s">
        <v>3250</v>
      </c>
      <c r="BG505" t="s">
        <v>3250</v>
      </c>
      <c r="BH505" t="s">
        <v>3250</v>
      </c>
      <c r="BI505" t="s">
        <v>3250</v>
      </c>
      <c r="BK505" t="s">
        <v>3250</v>
      </c>
      <c r="BL505" t="s">
        <v>3250</v>
      </c>
      <c r="BM505" t="s">
        <v>3250</v>
      </c>
      <c r="BN505" t="s">
        <v>3250</v>
      </c>
      <c r="BP505">
        <v>4</v>
      </c>
      <c r="BQ505">
        <v>42</v>
      </c>
      <c r="BR505" t="s">
        <v>1444</v>
      </c>
      <c r="BS505" t="s">
        <v>4024</v>
      </c>
      <c r="BV505">
        <v>0</v>
      </c>
      <c r="BW505">
        <v>0</v>
      </c>
      <c r="BX505">
        <v>0</v>
      </c>
      <c r="BY505">
        <v>0</v>
      </c>
      <c r="BZ505">
        <v>0</v>
      </c>
      <c r="CA505">
        <v>0</v>
      </c>
      <c r="CB505">
        <v>0</v>
      </c>
      <c r="CC505">
        <v>0</v>
      </c>
      <c r="CD505">
        <v>0</v>
      </c>
      <c r="CE505" t="s">
        <v>3108</v>
      </c>
      <c r="CF505" t="s">
        <v>3108</v>
      </c>
      <c r="CG505" t="s">
        <v>3108</v>
      </c>
      <c r="CH505" t="s">
        <v>3108</v>
      </c>
    </row>
    <row r="506" spans="1:86" x14ac:dyDescent="0.2">
      <c r="A506" t="s">
        <v>4115</v>
      </c>
      <c r="B506" t="s">
        <v>4115</v>
      </c>
      <c r="C506">
        <v>40804</v>
      </c>
      <c r="D506">
        <v>774</v>
      </c>
      <c r="E506" t="s">
        <v>4015</v>
      </c>
      <c r="F506">
        <v>2900</v>
      </c>
      <c r="G506" t="s">
        <v>822</v>
      </c>
      <c r="H506" t="s">
        <v>3108</v>
      </c>
      <c r="I506" t="s">
        <v>3108</v>
      </c>
      <c r="J506">
        <v>2904</v>
      </c>
      <c r="K506" t="s">
        <v>1690</v>
      </c>
      <c r="L506">
        <v>2100</v>
      </c>
      <c r="M506" t="s">
        <v>123</v>
      </c>
      <c r="N506">
        <v>2114</v>
      </c>
      <c r="O506" t="s">
        <v>1444</v>
      </c>
      <c r="P506" t="s">
        <v>3108</v>
      </c>
      <c r="Q506" t="s">
        <v>3249</v>
      </c>
      <c r="R506" t="s">
        <v>3249</v>
      </c>
      <c r="S506" t="s">
        <v>810</v>
      </c>
      <c r="T506" t="s">
        <v>2754</v>
      </c>
      <c r="U506" t="s">
        <v>3250</v>
      </c>
      <c r="V506" t="s">
        <v>3250</v>
      </c>
      <c r="W506" t="s">
        <v>3250</v>
      </c>
      <c r="X506" t="s">
        <v>3250</v>
      </c>
      <c r="Y506" t="s">
        <v>3250</v>
      </c>
      <c r="Z506" t="s">
        <v>3250</v>
      </c>
      <c r="AA506" t="s">
        <v>3108</v>
      </c>
      <c r="AB506" t="s">
        <v>3108</v>
      </c>
      <c r="AC506" t="s">
        <v>3250</v>
      </c>
      <c r="AD506" t="s">
        <v>3250</v>
      </c>
      <c r="AE506" t="s">
        <v>3250</v>
      </c>
      <c r="AF506" t="s">
        <v>3250</v>
      </c>
      <c r="AG506" t="s">
        <v>3250</v>
      </c>
      <c r="AH506" t="s">
        <v>3250</v>
      </c>
      <c r="AI506" t="s">
        <v>3250</v>
      </c>
      <c r="AJ506" t="s">
        <v>3250</v>
      </c>
      <c r="AL506" t="s">
        <v>3250</v>
      </c>
      <c r="AM506" t="s">
        <v>3250</v>
      </c>
      <c r="AN506" t="s">
        <v>3250</v>
      </c>
      <c r="AO506" t="s">
        <v>3250</v>
      </c>
      <c r="AS506" t="s">
        <v>3250</v>
      </c>
      <c r="AT506" t="s">
        <v>3250</v>
      </c>
      <c r="AU506" t="s">
        <v>3250</v>
      </c>
      <c r="AV506" t="s">
        <v>3250</v>
      </c>
      <c r="AW506" t="s">
        <v>3250</v>
      </c>
      <c r="AX506" t="s">
        <v>3250</v>
      </c>
      <c r="AY506" t="s">
        <v>3250</v>
      </c>
      <c r="AZ506" t="s">
        <v>3250</v>
      </c>
      <c r="BA506" t="s">
        <v>3250</v>
      </c>
      <c r="BB506" t="s">
        <v>3250</v>
      </c>
      <c r="BC506" t="s">
        <v>3250</v>
      </c>
      <c r="BE506" t="s">
        <v>3250</v>
      </c>
      <c r="BF506" t="s">
        <v>3250</v>
      </c>
      <c r="BG506" t="s">
        <v>3250</v>
      </c>
      <c r="BH506" t="s">
        <v>3250</v>
      </c>
      <c r="BI506" t="s">
        <v>3250</v>
      </c>
      <c r="BK506" t="s">
        <v>3250</v>
      </c>
      <c r="BL506" t="s">
        <v>3250</v>
      </c>
      <c r="BM506" t="s">
        <v>3250</v>
      </c>
      <c r="BN506" t="s">
        <v>3250</v>
      </c>
      <c r="BP506">
        <v>4</v>
      </c>
      <c r="BQ506">
        <v>42</v>
      </c>
      <c r="BR506" t="s">
        <v>1444</v>
      </c>
      <c r="BS506" t="s">
        <v>4024</v>
      </c>
      <c r="BV506">
        <v>0</v>
      </c>
      <c r="BW506">
        <v>0</v>
      </c>
      <c r="BX506">
        <v>0</v>
      </c>
      <c r="BY506">
        <v>0</v>
      </c>
      <c r="BZ506">
        <v>0</v>
      </c>
      <c r="CA506">
        <v>0</v>
      </c>
      <c r="CB506">
        <v>0</v>
      </c>
      <c r="CC506">
        <v>0</v>
      </c>
      <c r="CD506">
        <v>0</v>
      </c>
      <c r="CE506" t="s">
        <v>3108</v>
      </c>
      <c r="CF506" t="s">
        <v>3108</v>
      </c>
      <c r="CG506" t="s">
        <v>3108</v>
      </c>
      <c r="CH506" t="s">
        <v>3108</v>
      </c>
    </row>
    <row r="507" spans="1:86" x14ac:dyDescent="0.2">
      <c r="A507" t="s">
        <v>4116</v>
      </c>
      <c r="B507" t="s">
        <v>4116</v>
      </c>
      <c r="C507">
        <v>40805</v>
      </c>
      <c r="D507">
        <v>775</v>
      </c>
      <c r="E507" t="s">
        <v>4117</v>
      </c>
      <c r="F507">
        <v>2900</v>
      </c>
      <c r="G507" t="s">
        <v>822</v>
      </c>
      <c r="H507" t="s">
        <v>3108</v>
      </c>
      <c r="I507" t="s">
        <v>3108</v>
      </c>
      <c r="J507">
        <v>2904</v>
      </c>
      <c r="K507" t="s">
        <v>1690</v>
      </c>
      <c r="L507">
        <v>2100</v>
      </c>
      <c r="M507" t="s">
        <v>123</v>
      </c>
      <c r="N507">
        <v>2114</v>
      </c>
      <c r="O507" t="s">
        <v>1444</v>
      </c>
      <c r="P507" t="s">
        <v>3108</v>
      </c>
      <c r="Q507" t="s">
        <v>3249</v>
      </c>
      <c r="R507" t="s">
        <v>3249</v>
      </c>
      <c r="S507" t="s">
        <v>810</v>
      </c>
      <c r="T507" t="s">
        <v>2754</v>
      </c>
      <c r="U507" t="s">
        <v>3250</v>
      </c>
      <c r="V507" t="s">
        <v>3250</v>
      </c>
      <c r="W507" t="s">
        <v>3250</v>
      </c>
      <c r="X507" t="s">
        <v>3250</v>
      </c>
      <c r="Y507" t="s">
        <v>3250</v>
      </c>
      <c r="Z507" t="s">
        <v>3250</v>
      </c>
      <c r="AA507" t="s">
        <v>3108</v>
      </c>
      <c r="AB507" t="s">
        <v>3108</v>
      </c>
      <c r="AC507" t="s">
        <v>3250</v>
      </c>
      <c r="AD507" t="s">
        <v>3250</v>
      </c>
      <c r="AE507" t="s">
        <v>3250</v>
      </c>
      <c r="AF507" t="s">
        <v>3250</v>
      </c>
      <c r="AG507" t="s">
        <v>3250</v>
      </c>
      <c r="AH507" t="s">
        <v>3250</v>
      </c>
      <c r="AI507" t="s">
        <v>3250</v>
      </c>
      <c r="AJ507" t="s">
        <v>3250</v>
      </c>
      <c r="AL507" t="s">
        <v>3250</v>
      </c>
      <c r="AM507" t="s">
        <v>3250</v>
      </c>
      <c r="AN507" t="s">
        <v>3250</v>
      </c>
      <c r="AO507" t="s">
        <v>3250</v>
      </c>
      <c r="AS507" t="s">
        <v>3250</v>
      </c>
      <c r="AT507" t="s">
        <v>3250</v>
      </c>
      <c r="AU507" t="s">
        <v>3250</v>
      </c>
      <c r="AV507" t="s">
        <v>3250</v>
      </c>
      <c r="AW507" t="s">
        <v>3250</v>
      </c>
      <c r="AX507" t="s">
        <v>3250</v>
      </c>
      <c r="AY507" t="s">
        <v>3250</v>
      </c>
      <c r="AZ507" t="s">
        <v>3250</v>
      </c>
      <c r="BA507" t="s">
        <v>3250</v>
      </c>
      <c r="BB507" t="s">
        <v>3250</v>
      </c>
      <c r="BC507" t="s">
        <v>3250</v>
      </c>
      <c r="BE507" t="s">
        <v>3250</v>
      </c>
      <c r="BF507" t="s">
        <v>3250</v>
      </c>
      <c r="BG507" t="s">
        <v>3250</v>
      </c>
      <c r="BH507" t="s">
        <v>3250</v>
      </c>
      <c r="BI507" t="s">
        <v>3250</v>
      </c>
      <c r="BK507" t="s">
        <v>3250</v>
      </c>
      <c r="BL507" t="s">
        <v>3250</v>
      </c>
      <c r="BM507" t="s">
        <v>3250</v>
      </c>
      <c r="BN507" t="s">
        <v>3250</v>
      </c>
      <c r="BP507">
        <v>4</v>
      </c>
      <c r="BQ507">
        <v>42</v>
      </c>
      <c r="BR507" t="s">
        <v>1444</v>
      </c>
      <c r="BS507" t="s">
        <v>4024</v>
      </c>
      <c r="BV507">
        <v>0</v>
      </c>
      <c r="BW507">
        <v>0</v>
      </c>
      <c r="BX507">
        <v>0</v>
      </c>
      <c r="BY507">
        <v>16190</v>
      </c>
      <c r="BZ507">
        <v>16190</v>
      </c>
      <c r="CA507">
        <v>16821</v>
      </c>
      <c r="CB507">
        <v>17494</v>
      </c>
      <c r="CC507">
        <v>18194</v>
      </c>
      <c r="CD507">
        <v>0</v>
      </c>
      <c r="CE507" t="s">
        <v>3108</v>
      </c>
      <c r="CF507" t="s">
        <v>3108</v>
      </c>
      <c r="CG507" t="s">
        <v>3108</v>
      </c>
      <c r="CH507" t="s">
        <v>3108</v>
      </c>
    </row>
    <row r="508" spans="1:86" x14ac:dyDescent="0.2">
      <c r="A508" t="s">
        <v>4118</v>
      </c>
      <c r="B508" t="s">
        <v>4118</v>
      </c>
      <c r="C508">
        <v>40806</v>
      </c>
      <c r="D508">
        <v>776</v>
      </c>
      <c r="E508" t="s">
        <v>4119</v>
      </c>
      <c r="F508">
        <v>2900</v>
      </c>
      <c r="G508" t="s">
        <v>822</v>
      </c>
      <c r="H508" t="s">
        <v>3108</v>
      </c>
      <c r="I508" t="s">
        <v>3108</v>
      </c>
      <c r="J508">
        <v>2904</v>
      </c>
      <c r="K508" t="s">
        <v>1690</v>
      </c>
      <c r="L508">
        <v>2100</v>
      </c>
      <c r="M508" t="s">
        <v>123</v>
      </c>
      <c r="N508">
        <v>2114</v>
      </c>
      <c r="O508" t="s">
        <v>1444</v>
      </c>
      <c r="P508" t="s">
        <v>3108</v>
      </c>
      <c r="Q508" t="s">
        <v>3249</v>
      </c>
      <c r="R508" t="s">
        <v>3249</v>
      </c>
      <c r="S508" t="s">
        <v>810</v>
      </c>
      <c r="T508" t="s">
        <v>2754</v>
      </c>
      <c r="U508" t="s">
        <v>3250</v>
      </c>
      <c r="V508" t="s">
        <v>3250</v>
      </c>
      <c r="W508" t="s">
        <v>3250</v>
      </c>
      <c r="X508" t="s">
        <v>3250</v>
      </c>
      <c r="Y508" t="s">
        <v>3250</v>
      </c>
      <c r="Z508" t="s">
        <v>3250</v>
      </c>
      <c r="AA508" t="s">
        <v>3108</v>
      </c>
      <c r="AB508" t="s">
        <v>3108</v>
      </c>
      <c r="AC508" t="s">
        <v>3250</v>
      </c>
      <c r="AD508" t="s">
        <v>3250</v>
      </c>
      <c r="AE508" t="s">
        <v>3250</v>
      </c>
      <c r="AF508" t="s">
        <v>3250</v>
      </c>
      <c r="AG508" t="s">
        <v>3250</v>
      </c>
      <c r="AH508" t="s">
        <v>3250</v>
      </c>
      <c r="AI508" t="s">
        <v>3250</v>
      </c>
      <c r="AJ508" t="s">
        <v>3250</v>
      </c>
      <c r="AL508" t="s">
        <v>3250</v>
      </c>
      <c r="AM508" t="s">
        <v>3250</v>
      </c>
      <c r="AN508" t="s">
        <v>3250</v>
      </c>
      <c r="AO508" t="s">
        <v>3250</v>
      </c>
      <c r="AS508" t="s">
        <v>3250</v>
      </c>
      <c r="AT508" t="s">
        <v>3250</v>
      </c>
      <c r="AU508" t="s">
        <v>3250</v>
      </c>
      <c r="AV508" t="s">
        <v>3250</v>
      </c>
      <c r="AW508" t="s">
        <v>3250</v>
      </c>
      <c r="AX508" t="s">
        <v>3250</v>
      </c>
      <c r="AY508" t="s">
        <v>3250</v>
      </c>
      <c r="AZ508" t="s">
        <v>3250</v>
      </c>
      <c r="BA508" t="s">
        <v>3250</v>
      </c>
      <c r="BB508" t="s">
        <v>3250</v>
      </c>
      <c r="BC508" t="s">
        <v>3250</v>
      </c>
      <c r="BE508" t="s">
        <v>3250</v>
      </c>
      <c r="BF508" t="s">
        <v>3250</v>
      </c>
      <c r="BG508" t="s">
        <v>3250</v>
      </c>
      <c r="BH508" t="s">
        <v>3250</v>
      </c>
      <c r="BI508" t="s">
        <v>3250</v>
      </c>
      <c r="BK508" t="s">
        <v>3250</v>
      </c>
      <c r="BL508" t="s">
        <v>3250</v>
      </c>
      <c r="BM508" t="s">
        <v>3250</v>
      </c>
      <c r="BN508" t="s">
        <v>3250</v>
      </c>
      <c r="BP508">
        <v>4</v>
      </c>
      <c r="BQ508">
        <v>42</v>
      </c>
      <c r="BR508" t="s">
        <v>1444</v>
      </c>
      <c r="BS508" t="s">
        <v>4024</v>
      </c>
      <c r="BV508">
        <v>0</v>
      </c>
      <c r="BW508">
        <v>0</v>
      </c>
      <c r="BX508">
        <v>298</v>
      </c>
      <c r="BY508">
        <v>0</v>
      </c>
      <c r="BZ508">
        <v>0</v>
      </c>
      <c r="CA508">
        <v>0</v>
      </c>
      <c r="CB508">
        <v>0</v>
      </c>
      <c r="CC508">
        <v>0</v>
      </c>
      <c r="CD508">
        <v>0</v>
      </c>
      <c r="CE508" t="s">
        <v>3108</v>
      </c>
      <c r="CF508" t="s">
        <v>3108</v>
      </c>
      <c r="CG508" t="s">
        <v>3108</v>
      </c>
      <c r="CH508" t="s">
        <v>3108</v>
      </c>
    </row>
    <row r="509" spans="1:86" x14ac:dyDescent="0.2">
      <c r="A509" t="s">
        <v>4120</v>
      </c>
      <c r="B509" t="s">
        <v>4120</v>
      </c>
      <c r="C509">
        <v>40807</v>
      </c>
      <c r="D509">
        <v>274</v>
      </c>
      <c r="E509" t="s">
        <v>4093</v>
      </c>
      <c r="F509">
        <v>2000</v>
      </c>
      <c r="G509" t="s">
        <v>408</v>
      </c>
      <c r="H509" t="s">
        <v>4094</v>
      </c>
      <c r="I509" t="s">
        <v>1135</v>
      </c>
      <c r="J509">
        <v>2001</v>
      </c>
      <c r="K509" t="s">
        <v>1135</v>
      </c>
      <c r="L509">
        <v>5000</v>
      </c>
      <c r="M509" t="s">
        <v>245</v>
      </c>
      <c r="N509">
        <v>5004</v>
      </c>
      <c r="O509" t="s">
        <v>2442</v>
      </c>
      <c r="P509" t="s">
        <v>3108</v>
      </c>
      <c r="Q509" t="s">
        <v>3249</v>
      </c>
      <c r="R509" t="s">
        <v>3249</v>
      </c>
      <c r="S509" t="s">
        <v>810</v>
      </c>
      <c r="T509" t="s">
        <v>2754</v>
      </c>
      <c r="U509" t="s">
        <v>3250</v>
      </c>
      <c r="V509" t="s">
        <v>3250</v>
      </c>
      <c r="W509" t="s">
        <v>3250</v>
      </c>
      <c r="X509" t="s">
        <v>3250</v>
      </c>
      <c r="Y509" t="s">
        <v>3250</v>
      </c>
      <c r="Z509" t="s">
        <v>3250</v>
      </c>
      <c r="AA509" t="s">
        <v>3108</v>
      </c>
      <c r="AB509" t="s">
        <v>3108</v>
      </c>
      <c r="AC509" t="s">
        <v>3250</v>
      </c>
      <c r="AD509" t="s">
        <v>3250</v>
      </c>
      <c r="AE509" t="s">
        <v>3250</v>
      </c>
      <c r="AF509" t="s">
        <v>3250</v>
      </c>
      <c r="AG509" t="s">
        <v>3250</v>
      </c>
      <c r="AH509" t="s">
        <v>3250</v>
      </c>
      <c r="AI509" t="s">
        <v>3250</v>
      </c>
      <c r="AJ509" t="s">
        <v>3250</v>
      </c>
      <c r="AL509" t="s">
        <v>3250</v>
      </c>
      <c r="AM509" t="s">
        <v>3250</v>
      </c>
      <c r="AN509" t="s">
        <v>3250</v>
      </c>
      <c r="AO509" t="s">
        <v>3250</v>
      </c>
      <c r="AS509" t="s">
        <v>3250</v>
      </c>
      <c r="AT509" t="s">
        <v>3250</v>
      </c>
      <c r="AU509" t="s">
        <v>3250</v>
      </c>
      <c r="AV509" t="s">
        <v>3250</v>
      </c>
      <c r="AW509" t="s">
        <v>3250</v>
      </c>
      <c r="AX509" t="s">
        <v>3250</v>
      </c>
      <c r="AY509" t="s">
        <v>3250</v>
      </c>
      <c r="AZ509" t="s">
        <v>3250</v>
      </c>
      <c r="BA509" t="s">
        <v>3250</v>
      </c>
      <c r="BB509" t="s">
        <v>3250</v>
      </c>
      <c r="BC509" t="s">
        <v>3250</v>
      </c>
      <c r="BE509" t="s">
        <v>3250</v>
      </c>
      <c r="BF509" t="s">
        <v>3250</v>
      </c>
      <c r="BG509" t="s">
        <v>3250</v>
      </c>
      <c r="BH509" t="s">
        <v>3250</v>
      </c>
      <c r="BI509" t="s">
        <v>3250</v>
      </c>
      <c r="BK509" t="s">
        <v>3250</v>
      </c>
      <c r="BL509" t="s">
        <v>3250</v>
      </c>
      <c r="BM509" t="s">
        <v>3250</v>
      </c>
      <c r="BN509" t="s">
        <v>3250</v>
      </c>
      <c r="BO509" t="s">
        <v>2916</v>
      </c>
      <c r="BP509">
        <v>11</v>
      </c>
      <c r="BQ509">
        <v>111</v>
      </c>
      <c r="BR509" t="s">
        <v>2442</v>
      </c>
      <c r="BS509" t="s">
        <v>245</v>
      </c>
      <c r="BV509">
        <v>2080338</v>
      </c>
      <c r="BW509">
        <v>2857929</v>
      </c>
      <c r="BX509">
        <v>2663406</v>
      </c>
      <c r="BY509">
        <v>3501916</v>
      </c>
      <c r="BZ509">
        <v>3501916</v>
      </c>
      <c r="CA509">
        <v>3747050</v>
      </c>
      <c r="CB509">
        <v>4009343</v>
      </c>
      <c r="CC509">
        <v>4289998</v>
      </c>
      <c r="CD509">
        <v>0</v>
      </c>
      <c r="CE509" t="s">
        <v>3108</v>
      </c>
      <c r="CF509" t="s">
        <v>3108</v>
      </c>
      <c r="CG509" t="s">
        <v>3108</v>
      </c>
      <c r="CH509" t="s">
        <v>3108</v>
      </c>
    </row>
    <row r="510" spans="1:86" x14ac:dyDescent="0.2">
      <c r="A510" t="s">
        <v>4121</v>
      </c>
      <c r="B510" t="s">
        <v>4121</v>
      </c>
      <c r="C510">
        <v>40808</v>
      </c>
      <c r="D510">
        <v>275</v>
      </c>
      <c r="E510" t="s">
        <v>4122</v>
      </c>
      <c r="F510">
        <v>2000</v>
      </c>
      <c r="G510" t="s">
        <v>408</v>
      </c>
      <c r="H510" t="s">
        <v>4123</v>
      </c>
      <c r="I510" t="s">
        <v>1454</v>
      </c>
      <c r="J510">
        <v>2012</v>
      </c>
      <c r="K510" t="s">
        <v>1454</v>
      </c>
      <c r="L510">
        <v>5000</v>
      </c>
      <c r="M510" t="s">
        <v>245</v>
      </c>
      <c r="N510">
        <v>5004</v>
      </c>
      <c r="O510" t="s">
        <v>2442</v>
      </c>
      <c r="P510" t="s">
        <v>3108</v>
      </c>
      <c r="Q510" t="s">
        <v>3249</v>
      </c>
      <c r="R510" t="s">
        <v>3249</v>
      </c>
      <c r="S510" t="s">
        <v>810</v>
      </c>
      <c r="T510" t="s">
        <v>2754</v>
      </c>
      <c r="U510" t="s">
        <v>3250</v>
      </c>
      <c r="V510" t="s">
        <v>3250</v>
      </c>
      <c r="W510" t="s">
        <v>3250</v>
      </c>
      <c r="X510" t="s">
        <v>3250</v>
      </c>
      <c r="Y510" t="s">
        <v>3250</v>
      </c>
      <c r="Z510" t="s">
        <v>3250</v>
      </c>
      <c r="AA510" t="s">
        <v>3108</v>
      </c>
      <c r="AB510" t="s">
        <v>3108</v>
      </c>
      <c r="AC510" t="s">
        <v>3250</v>
      </c>
      <c r="AD510" t="s">
        <v>3250</v>
      </c>
      <c r="AE510" t="s">
        <v>3250</v>
      </c>
      <c r="AF510" t="s">
        <v>3250</v>
      </c>
      <c r="AG510" t="s">
        <v>3250</v>
      </c>
      <c r="AH510" t="s">
        <v>3250</v>
      </c>
      <c r="AI510" t="s">
        <v>3250</v>
      </c>
      <c r="AJ510" t="s">
        <v>3250</v>
      </c>
      <c r="AL510" t="s">
        <v>3250</v>
      </c>
      <c r="AM510" t="s">
        <v>3250</v>
      </c>
      <c r="AN510" t="s">
        <v>3250</v>
      </c>
      <c r="AO510" t="s">
        <v>3250</v>
      </c>
      <c r="AS510" t="s">
        <v>3250</v>
      </c>
      <c r="AT510" t="s">
        <v>3250</v>
      </c>
      <c r="AU510" t="s">
        <v>3250</v>
      </c>
      <c r="AV510" t="s">
        <v>3250</v>
      </c>
      <c r="AW510" t="s">
        <v>3250</v>
      </c>
      <c r="AX510" t="s">
        <v>3250</v>
      </c>
      <c r="AY510" t="s">
        <v>3250</v>
      </c>
      <c r="AZ510" t="s">
        <v>3250</v>
      </c>
      <c r="BA510" t="s">
        <v>3250</v>
      </c>
      <c r="BB510" t="s">
        <v>3250</v>
      </c>
      <c r="BC510" t="s">
        <v>3250</v>
      </c>
      <c r="BE510" t="s">
        <v>3250</v>
      </c>
      <c r="BF510" t="s">
        <v>3250</v>
      </c>
      <c r="BG510" t="s">
        <v>3250</v>
      </c>
      <c r="BH510" t="s">
        <v>3250</v>
      </c>
      <c r="BI510" t="s">
        <v>3250</v>
      </c>
      <c r="BK510" t="s">
        <v>3250</v>
      </c>
      <c r="BL510" t="s">
        <v>3250</v>
      </c>
      <c r="BM510" t="s">
        <v>3250</v>
      </c>
      <c r="BN510" t="s">
        <v>3250</v>
      </c>
      <c r="BO510" t="s">
        <v>2916</v>
      </c>
      <c r="BP510">
        <v>11</v>
      </c>
      <c r="BQ510">
        <v>111</v>
      </c>
      <c r="BR510" t="s">
        <v>2442</v>
      </c>
      <c r="BS510" t="s">
        <v>245</v>
      </c>
      <c r="BV510">
        <v>0</v>
      </c>
      <c r="BW510">
        <v>0</v>
      </c>
      <c r="BX510">
        <v>0</v>
      </c>
      <c r="BY510">
        <v>0</v>
      </c>
      <c r="BZ510">
        <v>0</v>
      </c>
      <c r="CA510">
        <v>0</v>
      </c>
      <c r="CB510">
        <v>0</v>
      </c>
      <c r="CC510">
        <v>0</v>
      </c>
      <c r="CD510">
        <v>0</v>
      </c>
      <c r="CE510" t="s">
        <v>3108</v>
      </c>
      <c r="CF510" t="s">
        <v>3108</v>
      </c>
      <c r="CG510" t="s">
        <v>3108</v>
      </c>
      <c r="CH510" t="s">
        <v>3108</v>
      </c>
    </row>
    <row r="511" spans="1:86" x14ac:dyDescent="0.2">
      <c r="A511" t="s">
        <v>4124</v>
      </c>
      <c r="B511" t="s">
        <v>4124</v>
      </c>
      <c r="C511">
        <v>40809</v>
      </c>
      <c r="D511">
        <v>276</v>
      </c>
      <c r="E511" t="s">
        <v>4087</v>
      </c>
      <c r="F511">
        <v>2000</v>
      </c>
      <c r="G511" t="s">
        <v>408</v>
      </c>
      <c r="H511" t="s">
        <v>4088</v>
      </c>
      <c r="I511" t="s">
        <v>1941</v>
      </c>
      <c r="J511">
        <v>2008</v>
      </c>
      <c r="K511" t="s">
        <v>1941</v>
      </c>
      <c r="L511">
        <v>5000</v>
      </c>
      <c r="M511" t="s">
        <v>245</v>
      </c>
      <c r="N511">
        <v>5004</v>
      </c>
      <c r="O511" t="s">
        <v>2442</v>
      </c>
      <c r="P511" t="s">
        <v>3108</v>
      </c>
      <c r="Q511" t="s">
        <v>3249</v>
      </c>
      <c r="R511" t="s">
        <v>3249</v>
      </c>
      <c r="S511" t="s">
        <v>810</v>
      </c>
      <c r="T511" t="s">
        <v>2754</v>
      </c>
      <c r="U511" t="s">
        <v>3250</v>
      </c>
      <c r="V511" t="s">
        <v>3250</v>
      </c>
      <c r="W511" t="s">
        <v>3250</v>
      </c>
      <c r="X511" t="s">
        <v>3250</v>
      </c>
      <c r="Y511" t="s">
        <v>3250</v>
      </c>
      <c r="Z511" t="s">
        <v>3250</v>
      </c>
      <c r="AA511" t="s">
        <v>3108</v>
      </c>
      <c r="AB511" t="s">
        <v>3108</v>
      </c>
      <c r="AC511" t="s">
        <v>3250</v>
      </c>
      <c r="AD511" t="s">
        <v>3250</v>
      </c>
      <c r="AE511" t="s">
        <v>3250</v>
      </c>
      <c r="AF511" t="s">
        <v>3250</v>
      </c>
      <c r="AG511" t="s">
        <v>3250</v>
      </c>
      <c r="AH511" t="s">
        <v>3250</v>
      </c>
      <c r="AI511" t="s">
        <v>3250</v>
      </c>
      <c r="AJ511" t="s">
        <v>3250</v>
      </c>
      <c r="AL511" t="s">
        <v>3250</v>
      </c>
      <c r="AM511" t="s">
        <v>3250</v>
      </c>
      <c r="AN511" t="s">
        <v>3250</v>
      </c>
      <c r="AO511" t="s">
        <v>3250</v>
      </c>
      <c r="AS511" t="s">
        <v>3250</v>
      </c>
      <c r="AT511" t="s">
        <v>3250</v>
      </c>
      <c r="AU511" t="s">
        <v>3250</v>
      </c>
      <c r="AV511" t="s">
        <v>3250</v>
      </c>
      <c r="AW511" t="s">
        <v>3250</v>
      </c>
      <c r="AX511" t="s">
        <v>3250</v>
      </c>
      <c r="AY511" t="s">
        <v>3250</v>
      </c>
      <c r="AZ511" t="s">
        <v>3250</v>
      </c>
      <c r="BA511" t="s">
        <v>3250</v>
      </c>
      <c r="BB511" t="s">
        <v>3250</v>
      </c>
      <c r="BC511" t="s">
        <v>3250</v>
      </c>
      <c r="BE511" t="s">
        <v>3250</v>
      </c>
      <c r="BF511" t="s">
        <v>3250</v>
      </c>
      <c r="BG511" t="s">
        <v>3250</v>
      </c>
      <c r="BH511" t="s">
        <v>3250</v>
      </c>
      <c r="BI511" t="s">
        <v>3250</v>
      </c>
      <c r="BK511" t="s">
        <v>3250</v>
      </c>
      <c r="BL511" t="s">
        <v>3250</v>
      </c>
      <c r="BM511" t="s">
        <v>3250</v>
      </c>
      <c r="BN511" t="s">
        <v>3250</v>
      </c>
      <c r="BO511" t="s">
        <v>2916</v>
      </c>
      <c r="BP511">
        <v>11</v>
      </c>
      <c r="BQ511">
        <v>111</v>
      </c>
      <c r="BR511" t="s">
        <v>2442</v>
      </c>
      <c r="BS511" t="s">
        <v>245</v>
      </c>
      <c r="BV511">
        <v>7262</v>
      </c>
      <c r="BW511">
        <v>10228</v>
      </c>
      <c r="BX511">
        <v>15531</v>
      </c>
      <c r="BY511">
        <v>23166</v>
      </c>
      <c r="BZ511">
        <v>23166</v>
      </c>
      <c r="CA511">
        <v>24787</v>
      </c>
      <c r="CB511">
        <v>26522</v>
      </c>
      <c r="CC511">
        <v>28379</v>
      </c>
      <c r="CD511">
        <v>0</v>
      </c>
      <c r="CE511" t="s">
        <v>3108</v>
      </c>
      <c r="CF511" t="s">
        <v>3108</v>
      </c>
      <c r="CG511" t="s">
        <v>3108</v>
      </c>
      <c r="CH511" t="s">
        <v>3108</v>
      </c>
    </row>
    <row r="512" spans="1:86" x14ac:dyDescent="0.2">
      <c r="A512" t="s">
        <v>4125</v>
      </c>
      <c r="B512" t="s">
        <v>4125</v>
      </c>
      <c r="C512">
        <v>40810</v>
      </c>
      <c r="D512">
        <v>277</v>
      </c>
      <c r="E512" t="s">
        <v>4081</v>
      </c>
      <c r="F512">
        <v>2000</v>
      </c>
      <c r="G512" t="s">
        <v>408</v>
      </c>
      <c r="H512" t="s">
        <v>4082</v>
      </c>
      <c r="I512" t="s">
        <v>652</v>
      </c>
      <c r="J512">
        <v>2005</v>
      </c>
      <c r="K512" t="s">
        <v>652</v>
      </c>
      <c r="L512">
        <v>5000</v>
      </c>
      <c r="M512" t="s">
        <v>245</v>
      </c>
      <c r="N512">
        <v>5004</v>
      </c>
      <c r="O512" t="s">
        <v>2442</v>
      </c>
      <c r="P512" t="s">
        <v>3108</v>
      </c>
      <c r="Q512" t="s">
        <v>3249</v>
      </c>
      <c r="R512" t="s">
        <v>3249</v>
      </c>
      <c r="S512" t="s">
        <v>810</v>
      </c>
      <c r="T512" t="s">
        <v>2754</v>
      </c>
      <c r="U512" t="s">
        <v>3250</v>
      </c>
      <c r="V512" t="s">
        <v>3250</v>
      </c>
      <c r="W512" t="s">
        <v>3250</v>
      </c>
      <c r="X512" t="s">
        <v>3250</v>
      </c>
      <c r="Y512" t="s">
        <v>3250</v>
      </c>
      <c r="Z512" t="s">
        <v>3250</v>
      </c>
      <c r="AA512" t="s">
        <v>3108</v>
      </c>
      <c r="AB512" t="s">
        <v>3108</v>
      </c>
      <c r="AC512" t="s">
        <v>3250</v>
      </c>
      <c r="AD512" t="s">
        <v>3250</v>
      </c>
      <c r="AE512" t="s">
        <v>3250</v>
      </c>
      <c r="AF512" t="s">
        <v>3250</v>
      </c>
      <c r="AG512" t="s">
        <v>3250</v>
      </c>
      <c r="AH512" t="s">
        <v>3250</v>
      </c>
      <c r="AI512" t="s">
        <v>3250</v>
      </c>
      <c r="AJ512" t="s">
        <v>3250</v>
      </c>
      <c r="AL512" t="s">
        <v>3250</v>
      </c>
      <c r="AM512" t="s">
        <v>3250</v>
      </c>
      <c r="AN512" t="s">
        <v>3250</v>
      </c>
      <c r="AO512" t="s">
        <v>3250</v>
      </c>
      <c r="AS512" t="s">
        <v>3250</v>
      </c>
      <c r="AT512" t="s">
        <v>3250</v>
      </c>
      <c r="AU512" t="s">
        <v>3250</v>
      </c>
      <c r="AV512" t="s">
        <v>3250</v>
      </c>
      <c r="AW512" t="s">
        <v>3250</v>
      </c>
      <c r="AX512" t="s">
        <v>3250</v>
      </c>
      <c r="AY512" t="s">
        <v>3250</v>
      </c>
      <c r="AZ512" t="s">
        <v>3250</v>
      </c>
      <c r="BA512" t="s">
        <v>3250</v>
      </c>
      <c r="BB512" t="s">
        <v>3250</v>
      </c>
      <c r="BC512" t="s">
        <v>3250</v>
      </c>
      <c r="BE512" t="s">
        <v>3250</v>
      </c>
      <c r="BF512" t="s">
        <v>3250</v>
      </c>
      <c r="BG512" t="s">
        <v>3250</v>
      </c>
      <c r="BH512" t="s">
        <v>3250</v>
      </c>
      <c r="BI512" t="s">
        <v>3250</v>
      </c>
      <c r="BK512" t="s">
        <v>3250</v>
      </c>
      <c r="BL512" t="s">
        <v>3250</v>
      </c>
      <c r="BM512" t="s">
        <v>3250</v>
      </c>
      <c r="BN512" t="s">
        <v>3250</v>
      </c>
      <c r="BO512" t="s">
        <v>2916</v>
      </c>
      <c r="BP512">
        <v>11</v>
      </c>
      <c r="BQ512">
        <v>111</v>
      </c>
      <c r="BR512" t="s">
        <v>2442</v>
      </c>
      <c r="BS512" t="s">
        <v>245</v>
      </c>
      <c r="BV512">
        <v>258783</v>
      </c>
      <c r="BW512">
        <v>221953</v>
      </c>
      <c r="BX512">
        <v>207433</v>
      </c>
      <c r="BY512">
        <v>291826</v>
      </c>
      <c r="BZ512">
        <v>291826</v>
      </c>
      <c r="CA512">
        <v>312254</v>
      </c>
      <c r="CB512">
        <v>334112</v>
      </c>
      <c r="CC512">
        <v>357500</v>
      </c>
      <c r="CD512">
        <v>0</v>
      </c>
      <c r="CE512" t="s">
        <v>3108</v>
      </c>
      <c r="CF512" t="s">
        <v>3108</v>
      </c>
      <c r="CG512" t="s">
        <v>3108</v>
      </c>
      <c r="CH512" t="s">
        <v>3108</v>
      </c>
    </row>
    <row r="513" spans="1:86" x14ac:dyDescent="0.2">
      <c r="A513" t="s">
        <v>4126</v>
      </c>
      <c r="B513" t="s">
        <v>4126</v>
      </c>
      <c r="C513">
        <v>40811</v>
      </c>
      <c r="D513">
        <v>278</v>
      </c>
      <c r="E513" t="s">
        <v>4077</v>
      </c>
      <c r="F513">
        <v>2000</v>
      </c>
      <c r="G513" t="s">
        <v>408</v>
      </c>
      <c r="H513" t="s">
        <v>4075</v>
      </c>
      <c r="I513" t="s">
        <v>946</v>
      </c>
      <c r="J513">
        <v>2009</v>
      </c>
      <c r="K513" t="s">
        <v>1340</v>
      </c>
      <c r="L513">
        <v>5000</v>
      </c>
      <c r="M513" t="s">
        <v>245</v>
      </c>
      <c r="N513">
        <v>5004</v>
      </c>
      <c r="O513" t="s">
        <v>2442</v>
      </c>
      <c r="P513" t="s">
        <v>3108</v>
      </c>
      <c r="Q513" t="s">
        <v>3249</v>
      </c>
      <c r="R513" t="s">
        <v>3249</v>
      </c>
      <c r="S513" t="s">
        <v>810</v>
      </c>
      <c r="T513" t="s">
        <v>2754</v>
      </c>
      <c r="U513" t="s">
        <v>3250</v>
      </c>
      <c r="V513" t="s">
        <v>3250</v>
      </c>
      <c r="W513" t="s">
        <v>3250</v>
      </c>
      <c r="X513" t="s">
        <v>3250</v>
      </c>
      <c r="Y513" t="s">
        <v>3250</v>
      </c>
      <c r="Z513" t="s">
        <v>3250</v>
      </c>
      <c r="AA513" t="s">
        <v>3108</v>
      </c>
      <c r="AB513" t="s">
        <v>3108</v>
      </c>
      <c r="AC513" t="s">
        <v>3250</v>
      </c>
      <c r="AD513" t="s">
        <v>3250</v>
      </c>
      <c r="AE513" t="s">
        <v>3250</v>
      </c>
      <c r="AF513" t="s">
        <v>3250</v>
      </c>
      <c r="AG513" t="s">
        <v>3250</v>
      </c>
      <c r="AH513" t="s">
        <v>3250</v>
      </c>
      <c r="AI513" t="s">
        <v>3250</v>
      </c>
      <c r="AJ513" t="s">
        <v>3250</v>
      </c>
      <c r="AL513" t="s">
        <v>3250</v>
      </c>
      <c r="AM513" t="s">
        <v>3250</v>
      </c>
      <c r="AN513" t="s">
        <v>3250</v>
      </c>
      <c r="AO513" t="s">
        <v>3250</v>
      </c>
      <c r="AS513" t="s">
        <v>3250</v>
      </c>
      <c r="AT513" t="s">
        <v>3250</v>
      </c>
      <c r="AU513" t="s">
        <v>3250</v>
      </c>
      <c r="AV513" t="s">
        <v>3250</v>
      </c>
      <c r="AW513" t="s">
        <v>3250</v>
      </c>
      <c r="AX513" t="s">
        <v>3250</v>
      </c>
      <c r="AY513" t="s">
        <v>3250</v>
      </c>
      <c r="AZ513" t="s">
        <v>3250</v>
      </c>
      <c r="BA513" t="s">
        <v>3250</v>
      </c>
      <c r="BB513" t="s">
        <v>3250</v>
      </c>
      <c r="BC513" t="s">
        <v>3250</v>
      </c>
      <c r="BE513" t="s">
        <v>3250</v>
      </c>
      <c r="BF513" t="s">
        <v>3250</v>
      </c>
      <c r="BG513" t="s">
        <v>3250</v>
      </c>
      <c r="BH513" t="s">
        <v>3250</v>
      </c>
      <c r="BI513" t="s">
        <v>3250</v>
      </c>
      <c r="BK513" t="s">
        <v>3250</v>
      </c>
      <c r="BL513" t="s">
        <v>3250</v>
      </c>
      <c r="BM513" t="s">
        <v>3250</v>
      </c>
      <c r="BN513" t="s">
        <v>3250</v>
      </c>
      <c r="BO513" t="s">
        <v>2916</v>
      </c>
      <c r="BP513">
        <v>11</v>
      </c>
      <c r="BQ513">
        <v>111</v>
      </c>
      <c r="BR513" t="s">
        <v>2442</v>
      </c>
      <c r="BS513" t="s">
        <v>245</v>
      </c>
      <c r="BV513">
        <v>9135</v>
      </c>
      <c r="BW513">
        <v>14279</v>
      </c>
      <c r="BX513">
        <v>102905</v>
      </c>
      <c r="BY513">
        <v>111039</v>
      </c>
      <c r="BZ513">
        <v>111039</v>
      </c>
      <c r="CA513">
        <v>118811</v>
      </c>
      <c r="CB513">
        <v>127128</v>
      </c>
      <c r="CC513">
        <v>136027</v>
      </c>
      <c r="CD513">
        <v>0</v>
      </c>
      <c r="CE513" t="s">
        <v>3108</v>
      </c>
      <c r="CF513" t="s">
        <v>3108</v>
      </c>
      <c r="CG513" t="s">
        <v>3108</v>
      </c>
      <c r="CH513" t="s">
        <v>3108</v>
      </c>
    </row>
    <row r="514" spans="1:86" x14ac:dyDescent="0.2">
      <c r="A514" t="s">
        <v>4127</v>
      </c>
      <c r="B514" t="s">
        <v>4127</v>
      </c>
      <c r="C514">
        <v>40812</v>
      </c>
      <c r="D514">
        <v>279</v>
      </c>
      <c r="E514" t="s">
        <v>4074</v>
      </c>
      <c r="F514">
        <v>2000</v>
      </c>
      <c r="G514" t="s">
        <v>408</v>
      </c>
      <c r="H514" t="s">
        <v>4075</v>
      </c>
      <c r="I514" t="s">
        <v>946</v>
      </c>
      <c r="J514">
        <v>2009</v>
      </c>
      <c r="K514" t="s">
        <v>1340</v>
      </c>
      <c r="L514">
        <v>5000</v>
      </c>
      <c r="M514" t="s">
        <v>245</v>
      </c>
      <c r="N514">
        <v>5004</v>
      </c>
      <c r="O514" t="s">
        <v>2442</v>
      </c>
      <c r="P514" t="s">
        <v>3108</v>
      </c>
      <c r="Q514" t="s">
        <v>3249</v>
      </c>
      <c r="R514" t="s">
        <v>3249</v>
      </c>
      <c r="S514" t="s">
        <v>810</v>
      </c>
      <c r="T514" t="s">
        <v>2754</v>
      </c>
      <c r="U514" t="s">
        <v>3250</v>
      </c>
      <c r="V514" t="s">
        <v>3250</v>
      </c>
      <c r="W514" t="s">
        <v>3250</v>
      </c>
      <c r="X514" t="s">
        <v>3250</v>
      </c>
      <c r="Y514" t="s">
        <v>3250</v>
      </c>
      <c r="Z514" t="s">
        <v>3250</v>
      </c>
      <c r="AA514" t="s">
        <v>3108</v>
      </c>
      <c r="AB514" t="s">
        <v>3108</v>
      </c>
      <c r="AC514" t="s">
        <v>3250</v>
      </c>
      <c r="AD514" t="s">
        <v>3250</v>
      </c>
      <c r="AE514" t="s">
        <v>3250</v>
      </c>
      <c r="AF514" t="s">
        <v>3250</v>
      </c>
      <c r="AG514" t="s">
        <v>3250</v>
      </c>
      <c r="AH514" t="s">
        <v>3250</v>
      </c>
      <c r="AI514" t="s">
        <v>3250</v>
      </c>
      <c r="AJ514" t="s">
        <v>3250</v>
      </c>
      <c r="AL514" t="s">
        <v>3250</v>
      </c>
      <c r="AM514" t="s">
        <v>3250</v>
      </c>
      <c r="AN514" t="s">
        <v>3250</v>
      </c>
      <c r="AO514" t="s">
        <v>3250</v>
      </c>
      <c r="AS514" t="s">
        <v>3250</v>
      </c>
      <c r="AT514" t="s">
        <v>3250</v>
      </c>
      <c r="AU514" t="s">
        <v>3250</v>
      </c>
      <c r="AV514" t="s">
        <v>3250</v>
      </c>
      <c r="AW514" t="s">
        <v>3250</v>
      </c>
      <c r="AX514" t="s">
        <v>3250</v>
      </c>
      <c r="AY514" t="s">
        <v>3250</v>
      </c>
      <c r="AZ514" t="s">
        <v>3250</v>
      </c>
      <c r="BA514" t="s">
        <v>3250</v>
      </c>
      <c r="BB514" t="s">
        <v>3250</v>
      </c>
      <c r="BC514" t="s">
        <v>3250</v>
      </c>
      <c r="BE514" t="s">
        <v>3250</v>
      </c>
      <c r="BF514" t="s">
        <v>3250</v>
      </c>
      <c r="BG514" t="s">
        <v>3250</v>
      </c>
      <c r="BH514" t="s">
        <v>3250</v>
      </c>
      <c r="BI514" t="s">
        <v>3250</v>
      </c>
      <c r="BK514" t="s">
        <v>3250</v>
      </c>
      <c r="BL514" t="s">
        <v>3250</v>
      </c>
      <c r="BM514" t="s">
        <v>3250</v>
      </c>
      <c r="BN514" t="s">
        <v>3250</v>
      </c>
      <c r="BO514" t="s">
        <v>2916</v>
      </c>
      <c r="BP514">
        <v>11</v>
      </c>
      <c r="BQ514">
        <v>111</v>
      </c>
      <c r="BR514" t="s">
        <v>2442</v>
      </c>
      <c r="BS514" t="s">
        <v>245</v>
      </c>
      <c r="BV514">
        <v>0</v>
      </c>
      <c r="BW514">
        <v>0</v>
      </c>
      <c r="BX514">
        <v>0</v>
      </c>
      <c r="BY514">
        <v>0</v>
      </c>
      <c r="BZ514">
        <v>0</v>
      </c>
      <c r="CA514">
        <v>0</v>
      </c>
      <c r="CB514">
        <v>0</v>
      </c>
      <c r="CC514">
        <v>0</v>
      </c>
      <c r="CD514">
        <v>0</v>
      </c>
      <c r="CE514" t="s">
        <v>3108</v>
      </c>
      <c r="CF514" t="s">
        <v>3108</v>
      </c>
      <c r="CG514" t="s">
        <v>3108</v>
      </c>
      <c r="CH514" t="s">
        <v>3108</v>
      </c>
    </row>
    <row r="515" spans="1:86" x14ac:dyDescent="0.2">
      <c r="A515" t="s">
        <v>4128</v>
      </c>
      <c r="B515" t="s">
        <v>4128</v>
      </c>
      <c r="C515">
        <v>40813</v>
      </c>
      <c r="D515">
        <v>280</v>
      </c>
      <c r="E515" t="s">
        <v>4072</v>
      </c>
      <c r="F515">
        <v>2000</v>
      </c>
      <c r="G515" t="s">
        <v>408</v>
      </c>
      <c r="H515" t="s">
        <v>4070</v>
      </c>
      <c r="I515" t="s">
        <v>1792</v>
      </c>
      <c r="J515">
        <v>2002</v>
      </c>
      <c r="K515" t="s">
        <v>1792</v>
      </c>
      <c r="L515">
        <v>5000</v>
      </c>
      <c r="M515" t="s">
        <v>245</v>
      </c>
      <c r="N515">
        <v>5004</v>
      </c>
      <c r="O515" t="s">
        <v>2442</v>
      </c>
      <c r="P515" t="s">
        <v>3108</v>
      </c>
      <c r="Q515" t="s">
        <v>3249</v>
      </c>
      <c r="R515" t="s">
        <v>3249</v>
      </c>
      <c r="S515" t="s">
        <v>810</v>
      </c>
      <c r="T515" t="s">
        <v>2754</v>
      </c>
      <c r="U515" t="s">
        <v>3250</v>
      </c>
      <c r="V515" t="s">
        <v>3250</v>
      </c>
      <c r="W515" t="s">
        <v>3250</v>
      </c>
      <c r="X515" t="s">
        <v>3250</v>
      </c>
      <c r="Y515" t="s">
        <v>3250</v>
      </c>
      <c r="Z515" t="s">
        <v>3250</v>
      </c>
      <c r="AA515" t="s">
        <v>3108</v>
      </c>
      <c r="AB515" t="s">
        <v>3108</v>
      </c>
      <c r="AC515" t="s">
        <v>3250</v>
      </c>
      <c r="AD515" t="s">
        <v>3250</v>
      </c>
      <c r="AE515" t="s">
        <v>3250</v>
      </c>
      <c r="AF515" t="s">
        <v>3250</v>
      </c>
      <c r="AG515" t="s">
        <v>3250</v>
      </c>
      <c r="AH515" t="s">
        <v>3250</v>
      </c>
      <c r="AI515" t="s">
        <v>3250</v>
      </c>
      <c r="AJ515" t="s">
        <v>3250</v>
      </c>
      <c r="AL515" t="s">
        <v>3250</v>
      </c>
      <c r="AM515" t="s">
        <v>3250</v>
      </c>
      <c r="AN515" t="s">
        <v>3250</v>
      </c>
      <c r="AO515" t="s">
        <v>3250</v>
      </c>
      <c r="AS515" t="s">
        <v>3250</v>
      </c>
      <c r="AT515" t="s">
        <v>3250</v>
      </c>
      <c r="AU515" t="s">
        <v>3250</v>
      </c>
      <c r="AV515" t="s">
        <v>3250</v>
      </c>
      <c r="AW515" t="s">
        <v>3250</v>
      </c>
      <c r="AX515" t="s">
        <v>3250</v>
      </c>
      <c r="AY515" t="s">
        <v>3250</v>
      </c>
      <c r="AZ515" t="s">
        <v>3250</v>
      </c>
      <c r="BA515" t="s">
        <v>3250</v>
      </c>
      <c r="BB515" t="s">
        <v>3250</v>
      </c>
      <c r="BC515" t="s">
        <v>3250</v>
      </c>
      <c r="BE515" t="s">
        <v>3250</v>
      </c>
      <c r="BF515" t="s">
        <v>3250</v>
      </c>
      <c r="BG515" t="s">
        <v>3250</v>
      </c>
      <c r="BH515" t="s">
        <v>3250</v>
      </c>
      <c r="BI515" t="s">
        <v>3250</v>
      </c>
      <c r="BK515" t="s">
        <v>3250</v>
      </c>
      <c r="BL515" t="s">
        <v>3250</v>
      </c>
      <c r="BM515" t="s">
        <v>3250</v>
      </c>
      <c r="BN515" t="s">
        <v>3250</v>
      </c>
      <c r="BO515" t="s">
        <v>2916</v>
      </c>
      <c r="BP515">
        <v>11</v>
      </c>
      <c r="BQ515">
        <v>111</v>
      </c>
      <c r="BR515" t="s">
        <v>2442</v>
      </c>
      <c r="BS515" t="s">
        <v>245</v>
      </c>
      <c r="BV515">
        <v>15243</v>
      </c>
      <c r="BW515">
        <v>21872</v>
      </c>
      <c r="BX515">
        <v>21041</v>
      </c>
      <c r="BY515">
        <v>35019</v>
      </c>
      <c r="BZ515">
        <v>35019</v>
      </c>
      <c r="CA515">
        <v>37471</v>
      </c>
      <c r="CB515">
        <v>40093</v>
      </c>
      <c r="CC515">
        <v>42900</v>
      </c>
      <c r="CD515">
        <v>0</v>
      </c>
      <c r="CE515" t="s">
        <v>3108</v>
      </c>
      <c r="CF515" t="s">
        <v>3108</v>
      </c>
      <c r="CG515" t="s">
        <v>3108</v>
      </c>
      <c r="CH515" t="s">
        <v>3108</v>
      </c>
    </row>
    <row r="516" spans="1:86" x14ac:dyDescent="0.2">
      <c r="A516" t="s">
        <v>4129</v>
      </c>
      <c r="B516" t="s">
        <v>4129</v>
      </c>
      <c r="C516">
        <v>40814</v>
      </c>
      <c r="D516">
        <v>281</v>
      </c>
      <c r="E516" t="s">
        <v>4069</v>
      </c>
      <c r="F516">
        <v>2000</v>
      </c>
      <c r="G516" t="s">
        <v>408</v>
      </c>
      <c r="H516" t="s">
        <v>4070</v>
      </c>
      <c r="I516" t="s">
        <v>1792</v>
      </c>
      <c r="J516">
        <v>2002</v>
      </c>
      <c r="K516" t="s">
        <v>1792</v>
      </c>
      <c r="L516">
        <v>5000</v>
      </c>
      <c r="M516" t="s">
        <v>245</v>
      </c>
      <c r="N516">
        <v>5004</v>
      </c>
      <c r="O516" t="s">
        <v>2442</v>
      </c>
      <c r="P516" t="s">
        <v>3108</v>
      </c>
      <c r="Q516" t="s">
        <v>3249</v>
      </c>
      <c r="R516" t="s">
        <v>3249</v>
      </c>
      <c r="S516" t="s">
        <v>810</v>
      </c>
      <c r="T516" t="s">
        <v>2754</v>
      </c>
      <c r="U516" t="s">
        <v>3250</v>
      </c>
      <c r="V516" t="s">
        <v>3250</v>
      </c>
      <c r="W516" t="s">
        <v>3250</v>
      </c>
      <c r="X516" t="s">
        <v>3250</v>
      </c>
      <c r="Y516" t="s">
        <v>3250</v>
      </c>
      <c r="Z516" t="s">
        <v>3250</v>
      </c>
      <c r="AA516" t="s">
        <v>3108</v>
      </c>
      <c r="AB516" t="s">
        <v>3108</v>
      </c>
      <c r="AC516" t="s">
        <v>3250</v>
      </c>
      <c r="AD516" t="s">
        <v>3250</v>
      </c>
      <c r="AE516" t="s">
        <v>3250</v>
      </c>
      <c r="AF516" t="s">
        <v>3250</v>
      </c>
      <c r="AG516" t="s">
        <v>3250</v>
      </c>
      <c r="AH516" t="s">
        <v>3250</v>
      </c>
      <c r="AI516" t="s">
        <v>3250</v>
      </c>
      <c r="AJ516" t="s">
        <v>3250</v>
      </c>
      <c r="AL516" t="s">
        <v>3250</v>
      </c>
      <c r="AM516" t="s">
        <v>3250</v>
      </c>
      <c r="AN516" t="s">
        <v>3250</v>
      </c>
      <c r="AO516" t="s">
        <v>3250</v>
      </c>
      <c r="AS516" t="s">
        <v>3250</v>
      </c>
      <c r="AT516" t="s">
        <v>3250</v>
      </c>
      <c r="AU516" t="s">
        <v>3250</v>
      </c>
      <c r="AV516" t="s">
        <v>3250</v>
      </c>
      <c r="AW516" t="s">
        <v>3250</v>
      </c>
      <c r="AX516" t="s">
        <v>3250</v>
      </c>
      <c r="AY516" t="s">
        <v>3250</v>
      </c>
      <c r="AZ516" t="s">
        <v>3250</v>
      </c>
      <c r="BA516" t="s">
        <v>3250</v>
      </c>
      <c r="BB516" t="s">
        <v>3250</v>
      </c>
      <c r="BC516" t="s">
        <v>3250</v>
      </c>
      <c r="BE516" t="s">
        <v>3250</v>
      </c>
      <c r="BF516" t="s">
        <v>3250</v>
      </c>
      <c r="BG516" t="s">
        <v>3250</v>
      </c>
      <c r="BH516" t="s">
        <v>3250</v>
      </c>
      <c r="BI516" t="s">
        <v>3250</v>
      </c>
      <c r="BK516" t="s">
        <v>3250</v>
      </c>
      <c r="BL516" t="s">
        <v>3250</v>
      </c>
      <c r="BM516" t="s">
        <v>3250</v>
      </c>
      <c r="BN516" t="s">
        <v>3250</v>
      </c>
      <c r="BO516" t="s">
        <v>2916</v>
      </c>
      <c r="BP516">
        <v>11</v>
      </c>
      <c r="BQ516">
        <v>111</v>
      </c>
      <c r="BR516" t="s">
        <v>2442</v>
      </c>
      <c r="BS516" t="s">
        <v>245</v>
      </c>
      <c r="BV516">
        <v>432360</v>
      </c>
      <c r="BW516">
        <v>604106</v>
      </c>
      <c r="BX516">
        <v>556331</v>
      </c>
      <c r="BY516">
        <v>630345</v>
      </c>
      <c r="BZ516">
        <v>630345</v>
      </c>
      <c r="CA516">
        <v>674469</v>
      </c>
      <c r="CB516">
        <v>721682</v>
      </c>
      <c r="CC516">
        <v>772200</v>
      </c>
      <c r="CD516">
        <v>0</v>
      </c>
      <c r="CE516" t="s">
        <v>3108</v>
      </c>
      <c r="CF516" t="s">
        <v>3108</v>
      </c>
      <c r="CG516" t="s">
        <v>3108</v>
      </c>
      <c r="CH516" t="s">
        <v>3108</v>
      </c>
    </row>
    <row r="517" spans="1:86" x14ac:dyDescent="0.2">
      <c r="A517" t="s">
        <v>4130</v>
      </c>
      <c r="B517" t="s">
        <v>4130</v>
      </c>
      <c r="C517">
        <v>40815</v>
      </c>
      <c r="D517">
        <v>282</v>
      </c>
      <c r="E517" t="s">
        <v>4066</v>
      </c>
      <c r="F517">
        <v>2000</v>
      </c>
      <c r="G517" t="s">
        <v>408</v>
      </c>
      <c r="H517" t="s">
        <v>4067</v>
      </c>
      <c r="I517" t="s">
        <v>650</v>
      </c>
      <c r="J517">
        <v>2003</v>
      </c>
      <c r="K517" t="s">
        <v>650</v>
      </c>
      <c r="L517">
        <v>5000</v>
      </c>
      <c r="M517" t="s">
        <v>245</v>
      </c>
      <c r="N517">
        <v>5004</v>
      </c>
      <c r="O517" t="s">
        <v>2442</v>
      </c>
      <c r="P517" t="s">
        <v>3108</v>
      </c>
      <c r="Q517" t="s">
        <v>3249</v>
      </c>
      <c r="R517" t="s">
        <v>3249</v>
      </c>
      <c r="S517" t="s">
        <v>810</v>
      </c>
      <c r="T517" t="s">
        <v>2754</v>
      </c>
      <c r="U517" t="s">
        <v>3250</v>
      </c>
      <c r="V517" t="s">
        <v>3250</v>
      </c>
      <c r="W517" t="s">
        <v>3250</v>
      </c>
      <c r="X517" t="s">
        <v>3250</v>
      </c>
      <c r="Y517" t="s">
        <v>3250</v>
      </c>
      <c r="Z517" t="s">
        <v>3250</v>
      </c>
      <c r="AA517" t="s">
        <v>3108</v>
      </c>
      <c r="AB517" t="s">
        <v>3108</v>
      </c>
      <c r="AC517" t="s">
        <v>3250</v>
      </c>
      <c r="AD517" t="s">
        <v>3250</v>
      </c>
      <c r="AE517" t="s">
        <v>3250</v>
      </c>
      <c r="AF517" t="s">
        <v>3250</v>
      </c>
      <c r="AG517" t="s">
        <v>3250</v>
      </c>
      <c r="AH517" t="s">
        <v>3250</v>
      </c>
      <c r="AI517" t="s">
        <v>3250</v>
      </c>
      <c r="AJ517" t="s">
        <v>3250</v>
      </c>
      <c r="AL517" t="s">
        <v>3250</v>
      </c>
      <c r="AM517" t="s">
        <v>3250</v>
      </c>
      <c r="AN517" t="s">
        <v>3250</v>
      </c>
      <c r="AO517" t="s">
        <v>3250</v>
      </c>
      <c r="AS517" t="s">
        <v>3250</v>
      </c>
      <c r="AT517" t="s">
        <v>3250</v>
      </c>
      <c r="AU517" t="s">
        <v>3250</v>
      </c>
      <c r="AV517" t="s">
        <v>3250</v>
      </c>
      <c r="AW517" t="s">
        <v>3250</v>
      </c>
      <c r="AX517" t="s">
        <v>3250</v>
      </c>
      <c r="AY517" t="s">
        <v>3250</v>
      </c>
      <c r="AZ517" t="s">
        <v>3250</v>
      </c>
      <c r="BA517" t="s">
        <v>3250</v>
      </c>
      <c r="BB517" t="s">
        <v>3250</v>
      </c>
      <c r="BC517" t="s">
        <v>3250</v>
      </c>
      <c r="BE517" t="s">
        <v>3250</v>
      </c>
      <c r="BF517" t="s">
        <v>3250</v>
      </c>
      <c r="BG517" t="s">
        <v>3250</v>
      </c>
      <c r="BH517" t="s">
        <v>3250</v>
      </c>
      <c r="BI517" t="s">
        <v>3250</v>
      </c>
      <c r="BK517" t="s">
        <v>3250</v>
      </c>
      <c r="BL517" t="s">
        <v>3250</v>
      </c>
      <c r="BM517" t="s">
        <v>3250</v>
      </c>
      <c r="BN517" t="s">
        <v>3250</v>
      </c>
      <c r="BO517" t="s">
        <v>2916</v>
      </c>
      <c r="BP517">
        <v>11</v>
      </c>
      <c r="BQ517">
        <v>111</v>
      </c>
      <c r="BR517" t="s">
        <v>2442</v>
      </c>
      <c r="BS517" t="s">
        <v>245</v>
      </c>
      <c r="BV517">
        <v>207741</v>
      </c>
      <c r="BW517">
        <v>286257</v>
      </c>
      <c r="BX517">
        <v>266327</v>
      </c>
      <c r="BY517">
        <v>280153</v>
      </c>
      <c r="BZ517">
        <v>280153</v>
      </c>
      <c r="CA517">
        <v>299764</v>
      </c>
      <c r="CB517">
        <v>320747</v>
      </c>
      <c r="CC517">
        <v>343200</v>
      </c>
      <c r="CD517">
        <v>0</v>
      </c>
      <c r="CE517" t="s">
        <v>3108</v>
      </c>
      <c r="CF517" t="s">
        <v>3108</v>
      </c>
      <c r="CG517" t="s">
        <v>3108</v>
      </c>
      <c r="CH517" t="s">
        <v>3108</v>
      </c>
    </row>
    <row r="518" spans="1:86" x14ac:dyDescent="0.2">
      <c r="A518" t="s">
        <v>4131</v>
      </c>
      <c r="B518" t="s">
        <v>4131</v>
      </c>
      <c r="C518">
        <v>40816</v>
      </c>
      <c r="D518">
        <v>283</v>
      </c>
      <c r="E518" t="s">
        <v>4063</v>
      </c>
      <c r="F518">
        <v>2000</v>
      </c>
      <c r="G518" t="s">
        <v>408</v>
      </c>
      <c r="H518" t="s">
        <v>4064</v>
      </c>
      <c r="I518" t="s">
        <v>1340</v>
      </c>
      <c r="J518">
        <v>2009</v>
      </c>
      <c r="K518" t="s">
        <v>1340</v>
      </c>
      <c r="L518">
        <v>5000</v>
      </c>
      <c r="M518" t="s">
        <v>245</v>
      </c>
      <c r="N518">
        <v>5004</v>
      </c>
      <c r="O518" t="s">
        <v>2442</v>
      </c>
      <c r="P518" t="s">
        <v>3108</v>
      </c>
      <c r="Q518" t="s">
        <v>3249</v>
      </c>
      <c r="R518" t="s">
        <v>3249</v>
      </c>
      <c r="S518" t="s">
        <v>810</v>
      </c>
      <c r="T518" t="s">
        <v>2754</v>
      </c>
      <c r="U518" t="s">
        <v>3250</v>
      </c>
      <c r="V518" t="s">
        <v>3250</v>
      </c>
      <c r="W518" t="s">
        <v>3250</v>
      </c>
      <c r="X518" t="s">
        <v>3250</v>
      </c>
      <c r="Y518" t="s">
        <v>3250</v>
      </c>
      <c r="Z518" t="s">
        <v>3250</v>
      </c>
      <c r="AA518" t="s">
        <v>3108</v>
      </c>
      <c r="AB518" t="s">
        <v>3108</v>
      </c>
      <c r="AC518" t="s">
        <v>3250</v>
      </c>
      <c r="AD518" t="s">
        <v>3250</v>
      </c>
      <c r="AE518" t="s">
        <v>3250</v>
      </c>
      <c r="AF518" t="s">
        <v>3250</v>
      </c>
      <c r="AG518" t="s">
        <v>3250</v>
      </c>
      <c r="AH518" t="s">
        <v>3250</v>
      </c>
      <c r="AI518" t="s">
        <v>3250</v>
      </c>
      <c r="AJ518" t="s">
        <v>3250</v>
      </c>
      <c r="AL518" t="s">
        <v>3250</v>
      </c>
      <c r="AM518" t="s">
        <v>3250</v>
      </c>
      <c r="AN518" t="s">
        <v>3250</v>
      </c>
      <c r="AO518" t="s">
        <v>3250</v>
      </c>
      <c r="AS518" t="s">
        <v>3250</v>
      </c>
      <c r="AT518" t="s">
        <v>3250</v>
      </c>
      <c r="AU518" t="s">
        <v>3250</v>
      </c>
      <c r="AV518" t="s">
        <v>3250</v>
      </c>
      <c r="AW518" t="s">
        <v>3250</v>
      </c>
      <c r="AX518" t="s">
        <v>3250</v>
      </c>
      <c r="AY518" t="s">
        <v>3250</v>
      </c>
      <c r="AZ518" t="s">
        <v>3250</v>
      </c>
      <c r="BA518" t="s">
        <v>3250</v>
      </c>
      <c r="BB518" t="s">
        <v>3250</v>
      </c>
      <c r="BC518" t="s">
        <v>3250</v>
      </c>
      <c r="BE518" t="s">
        <v>3250</v>
      </c>
      <c r="BF518" t="s">
        <v>3250</v>
      </c>
      <c r="BG518" t="s">
        <v>3250</v>
      </c>
      <c r="BH518" t="s">
        <v>3250</v>
      </c>
      <c r="BI518" t="s">
        <v>3250</v>
      </c>
      <c r="BK518" t="s">
        <v>3250</v>
      </c>
      <c r="BL518" t="s">
        <v>3250</v>
      </c>
      <c r="BM518" t="s">
        <v>3250</v>
      </c>
      <c r="BN518" t="s">
        <v>3250</v>
      </c>
      <c r="BO518" t="s">
        <v>2916</v>
      </c>
      <c r="BP518">
        <v>11</v>
      </c>
      <c r="BQ518">
        <v>111</v>
      </c>
      <c r="BR518" t="s">
        <v>2442</v>
      </c>
      <c r="BS518" t="s">
        <v>245</v>
      </c>
      <c r="BV518">
        <v>0</v>
      </c>
      <c r="BW518">
        <v>0</v>
      </c>
      <c r="BX518">
        <v>99</v>
      </c>
      <c r="BY518">
        <v>1000</v>
      </c>
      <c r="BZ518">
        <v>1000</v>
      </c>
      <c r="CA518">
        <v>1070</v>
      </c>
      <c r="CB518">
        <v>1144</v>
      </c>
      <c r="CC518">
        <v>1225</v>
      </c>
      <c r="CD518">
        <v>0</v>
      </c>
      <c r="CE518" t="s">
        <v>3108</v>
      </c>
      <c r="CF518" t="s">
        <v>3108</v>
      </c>
      <c r="CG518" t="s">
        <v>3108</v>
      </c>
      <c r="CH518" t="s">
        <v>3108</v>
      </c>
    </row>
    <row r="519" spans="1:86" x14ac:dyDescent="0.2">
      <c r="A519" t="s">
        <v>4132</v>
      </c>
      <c r="B519" t="s">
        <v>4132</v>
      </c>
      <c r="C519">
        <v>40817</v>
      </c>
      <c r="D519">
        <v>284</v>
      </c>
      <c r="E519" t="s">
        <v>4061</v>
      </c>
      <c r="F519">
        <v>2900</v>
      </c>
      <c r="G519" t="s">
        <v>822</v>
      </c>
      <c r="H519" t="s">
        <v>3108</v>
      </c>
      <c r="I519" t="s">
        <v>3108</v>
      </c>
      <c r="J519">
        <v>2904</v>
      </c>
      <c r="K519" t="s">
        <v>1690</v>
      </c>
      <c r="L519">
        <v>5000</v>
      </c>
      <c r="M519" t="s">
        <v>245</v>
      </c>
      <c r="N519">
        <v>5004</v>
      </c>
      <c r="O519" t="s">
        <v>2442</v>
      </c>
      <c r="P519" t="s">
        <v>3108</v>
      </c>
      <c r="Q519" t="s">
        <v>3249</v>
      </c>
      <c r="R519" t="s">
        <v>3249</v>
      </c>
      <c r="S519" t="s">
        <v>810</v>
      </c>
      <c r="T519" t="s">
        <v>2754</v>
      </c>
      <c r="U519" t="s">
        <v>3250</v>
      </c>
      <c r="V519" t="s">
        <v>3250</v>
      </c>
      <c r="W519" t="s">
        <v>3250</v>
      </c>
      <c r="X519" t="s">
        <v>3250</v>
      </c>
      <c r="Y519" t="s">
        <v>3250</v>
      </c>
      <c r="Z519" t="s">
        <v>3250</v>
      </c>
      <c r="AA519" t="s">
        <v>3108</v>
      </c>
      <c r="AB519" t="s">
        <v>3108</v>
      </c>
      <c r="AC519" t="s">
        <v>3250</v>
      </c>
      <c r="AD519" t="s">
        <v>3250</v>
      </c>
      <c r="AE519" t="s">
        <v>3250</v>
      </c>
      <c r="AF519" t="s">
        <v>3250</v>
      </c>
      <c r="AG519" t="s">
        <v>3250</v>
      </c>
      <c r="AH519" t="s">
        <v>3250</v>
      </c>
      <c r="AI519" t="s">
        <v>3250</v>
      </c>
      <c r="AJ519" t="s">
        <v>3250</v>
      </c>
      <c r="AL519" t="s">
        <v>3250</v>
      </c>
      <c r="AM519" t="s">
        <v>3250</v>
      </c>
      <c r="AN519" t="s">
        <v>3250</v>
      </c>
      <c r="AO519" t="s">
        <v>3250</v>
      </c>
      <c r="AS519" t="s">
        <v>3250</v>
      </c>
      <c r="AT519" t="s">
        <v>3250</v>
      </c>
      <c r="AU519" t="s">
        <v>3250</v>
      </c>
      <c r="AV519" t="s">
        <v>3250</v>
      </c>
      <c r="AW519" t="s">
        <v>3250</v>
      </c>
      <c r="AX519" t="s">
        <v>3250</v>
      </c>
      <c r="AY519" t="s">
        <v>3250</v>
      </c>
      <c r="AZ519" t="s">
        <v>3250</v>
      </c>
      <c r="BA519" t="s">
        <v>3250</v>
      </c>
      <c r="BB519" t="s">
        <v>3250</v>
      </c>
      <c r="BC519" t="s">
        <v>3250</v>
      </c>
      <c r="BE519" t="s">
        <v>3250</v>
      </c>
      <c r="BF519" t="s">
        <v>3250</v>
      </c>
      <c r="BG519" t="s">
        <v>3250</v>
      </c>
      <c r="BH519" t="s">
        <v>3250</v>
      </c>
      <c r="BI519" t="s">
        <v>3250</v>
      </c>
      <c r="BK519" t="s">
        <v>3250</v>
      </c>
      <c r="BL519" t="s">
        <v>3250</v>
      </c>
      <c r="BM519" t="s">
        <v>3250</v>
      </c>
      <c r="BN519" t="s">
        <v>3250</v>
      </c>
      <c r="BP519">
        <v>11</v>
      </c>
      <c r="BQ519">
        <v>111</v>
      </c>
      <c r="BR519" t="s">
        <v>2442</v>
      </c>
      <c r="BS519" t="s">
        <v>245</v>
      </c>
      <c r="BV519">
        <v>24971</v>
      </c>
      <c r="BW519">
        <v>32897</v>
      </c>
      <c r="BX519">
        <v>32355</v>
      </c>
      <c r="BY519">
        <v>62400</v>
      </c>
      <c r="BZ519">
        <v>62400</v>
      </c>
      <c r="CA519">
        <v>64834</v>
      </c>
      <c r="CB519">
        <v>67427</v>
      </c>
      <c r="CC519">
        <v>70124</v>
      </c>
      <c r="CD519">
        <v>0</v>
      </c>
      <c r="CE519" t="s">
        <v>3108</v>
      </c>
      <c r="CF519" t="s">
        <v>3108</v>
      </c>
      <c r="CG519" t="s">
        <v>3108</v>
      </c>
      <c r="CH519" t="s">
        <v>3108</v>
      </c>
    </row>
    <row r="520" spans="1:86" x14ac:dyDescent="0.2">
      <c r="A520" t="s">
        <v>4133</v>
      </c>
      <c r="B520" t="s">
        <v>4133</v>
      </c>
      <c r="C520">
        <v>40818</v>
      </c>
      <c r="D520">
        <v>285</v>
      </c>
      <c r="E520" t="s">
        <v>4059</v>
      </c>
      <c r="F520">
        <v>2900</v>
      </c>
      <c r="G520" t="s">
        <v>822</v>
      </c>
      <c r="H520" t="s">
        <v>3108</v>
      </c>
      <c r="I520" t="s">
        <v>3108</v>
      </c>
      <c r="J520">
        <v>2904</v>
      </c>
      <c r="K520" t="s">
        <v>1690</v>
      </c>
      <c r="L520">
        <v>5000</v>
      </c>
      <c r="M520" t="s">
        <v>245</v>
      </c>
      <c r="N520">
        <v>5004</v>
      </c>
      <c r="O520" t="s">
        <v>2442</v>
      </c>
      <c r="P520" t="s">
        <v>3108</v>
      </c>
      <c r="Q520" t="s">
        <v>3249</v>
      </c>
      <c r="R520" t="s">
        <v>3249</v>
      </c>
      <c r="S520" t="s">
        <v>810</v>
      </c>
      <c r="T520" t="s">
        <v>2754</v>
      </c>
      <c r="U520" t="s">
        <v>3250</v>
      </c>
      <c r="V520" t="s">
        <v>3250</v>
      </c>
      <c r="W520" t="s">
        <v>3250</v>
      </c>
      <c r="X520" t="s">
        <v>3250</v>
      </c>
      <c r="Y520" t="s">
        <v>3250</v>
      </c>
      <c r="Z520" t="s">
        <v>3250</v>
      </c>
      <c r="AA520" t="s">
        <v>3108</v>
      </c>
      <c r="AB520" t="s">
        <v>3108</v>
      </c>
      <c r="AC520" t="s">
        <v>3250</v>
      </c>
      <c r="AD520" t="s">
        <v>3250</v>
      </c>
      <c r="AE520" t="s">
        <v>3250</v>
      </c>
      <c r="AF520" t="s">
        <v>3250</v>
      </c>
      <c r="AG520" t="s">
        <v>3250</v>
      </c>
      <c r="AH520" t="s">
        <v>3250</v>
      </c>
      <c r="AI520" t="s">
        <v>3250</v>
      </c>
      <c r="AJ520" t="s">
        <v>3250</v>
      </c>
      <c r="AL520" t="s">
        <v>3250</v>
      </c>
      <c r="AM520" t="s">
        <v>3250</v>
      </c>
      <c r="AN520" t="s">
        <v>3250</v>
      </c>
      <c r="AO520" t="s">
        <v>3250</v>
      </c>
      <c r="AS520" t="s">
        <v>3250</v>
      </c>
      <c r="AT520" t="s">
        <v>3250</v>
      </c>
      <c r="AU520" t="s">
        <v>3250</v>
      </c>
      <c r="AV520" t="s">
        <v>3250</v>
      </c>
      <c r="AW520" t="s">
        <v>3250</v>
      </c>
      <c r="AX520" t="s">
        <v>3250</v>
      </c>
      <c r="AY520" t="s">
        <v>3250</v>
      </c>
      <c r="AZ520" t="s">
        <v>3250</v>
      </c>
      <c r="BA520" t="s">
        <v>3250</v>
      </c>
      <c r="BB520" t="s">
        <v>3250</v>
      </c>
      <c r="BC520" t="s">
        <v>3250</v>
      </c>
      <c r="BE520" t="s">
        <v>3250</v>
      </c>
      <c r="BF520" t="s">
        <v>3250</v>
      </c>
      <c r="BG520" t="s">
        <v>3250</v>
      </c>
      <c r="BH520" t="s">
        <v>3250</v>
      </c>
      <c r="BI520" t="s">
        <v>3250</v>
      </c>
      <c r="BK520" t="s">
        <v>3250</v>
      </c>
      <c r="BL520" t="s">
        <v>3250</v>
      </c>
      <c r="BM520" t="s">
        <v>3250</v>
      </c>
      <c r="BN520" t="s">
        <v>3250</v>
      </c>
      <c r="BP520">
        <v>11</v>
      </c>
      <c r="BQ520">
        <v>111</v>
      </c>
      <c r="BR520" t="s">
        <v>2442</v>
      </c>
      <c r="BS520" t="s">
        <v>245</v>
      </c>
      <c r="BV520">
        <v>969</v>
      </c>
      <c r="BW520">
        <v>1313</v>
      </c>
      <c r="BX520">
        <v>1089</v>
      </c>
      <c r="BY520">
        <v>4160</v>
      </c>
      <c r="BZ520">
        <v>4160</v>
      </c>
      <c r="CA520">
        <v>4322</v>
      </c>
      <c r="CB520">
        <v>4495</v>
      </c>
      <c r="CC520">
        <v>4675</v>
      </c>
      <c r="CD520">
        <v>0</v>
      </c>
      <c r="CE520" t="s">
        <v>3108</v>
      </c>
      <c r="CF520" t="s">
        <v>3108</v>
      </c>
      <c r="CG520" t="s">
        <v>3108</v>
      </c>
      <c r="CH520" t="s">
        <v>3108</v>
      </c>
    </row>
    <row r="521" spans="1:86" x14ac:dyDescent="0.2">
      <c r="A521" t="s">
        <v>4134</v>
      </c>
      <c r="B521" t="s">
        <v>4134</v>
      </c>
      <c r="C521">
        <v>40819</v>
      </c>
      <c r="D521">
        <v>286</v>
      </c>
      <c r="E521" t="s">
        <v>4084</v>
      </c>
      <c r="F521">
        <v>2000</v>
      </c>
      <c r="G521" t="s">
        <v>408</v>
      </c>
      <c r="H521" t="s">
        <v>4085</v>
      </c>
      <c r="I521" t="s">
        <v>1453</v>
      </c>
      <c r="J521">
        <v>2010</v>
      </c>
      <c r="K521" t="s">
        <v>1453</v>
      </c>
      <c r="L521">
        <v>5000</v>
      </c>
      <c r="M521" t="s">
        <v>245</v>
      </c>
      <c r="N521">
        <v>5004</v>
      </c>
      <c r="O521" t="s">
        <v>2442</v>
      </c>
      <c r="P521" t="s">
        <v>3108</v>
      </c>
      <c r="Q521" t="s">
        <v>3249</v>
      </c>
      <c r="R521" t="s">
        <v>3249</v>
      </c>
      <c r="S521" t="s">
        <v>810</v>
      </c>
      <c r="T521" t="s">
        <v>2754</v>
      </c>
      <c r="U521" t="s">
        <v>3250</v>
      </c>
      <c r="V521" t="s">
        <v>3250</v>
      </c>
      <c r="W521" t="s">
        <v>3250</v>
      </c>
      <c r="X521" t="s">
        <v>3250</v>
      </c>
      <c r="Y521" t="s">
        <v>3250</v>
      </c>
      <c r="Z521" t="s">
        <v>3250</v>
      </c>
      <c r="AA521" t="s">
        <v>3108</v>
      </c>
      <c r="AB521" t="s">
        <v>3108</v>
      </c>
      <c r="AC521" t="s">
        <v>3250</v>
      </c>
      <c r="AD521" t="s">
        <v>3250</v>
      </c>
      <c r="AE521" t="s">
        <v>3250</v>
      </c>
      <c r="AF521" t="s">
        <v>3250</v>
      </c>
      <c r="AG521" t="s">
        <v>3250</v>
      </c>
      <c r="AH521" t="s">
        <v>3250</v>
      </c>
      <c r="AI521" t="s">
        <v>3250</v>
      </c>
      <c r="AJ521" t="s">
        <v>3250</v>
      </c>
      <c r="AL521" t="s">
        <v>3250</v>
      </c>
      <c r="AM521" t="s">
        <v>3250</v>
      </c>
      <c r="AN521" t="s">
        <v>3250</v>
      </c>
      <c r="AO521" t="s">
        <v>3250</v>
      </c>
      <c r="AS521" t="s">
        <v>3250</v>
      </c>
      <c r="AT521" t="s">
        <v>3250</v>
      </c>
      <c r="AU521" t="s">
        <v>3250</v>
      </c>
      <c r="AV521" t="s">
        <v>3250</v>
      </c>
      <c r="AW521" t="s">
        <v>3250</v>
      </c>
      <c r="AX521" t="s">
        <v>3250</v>
      </c>
      <c r="AY521" t="s">
        <v>3250</v>
      </c>
      <c r="AZ521" t="s">
        <v>3250</v>
      </c>
      <c r="BA521" t="s">
        <v>3250</v>
      </c>
      <c r="BB521" t="s">
        <v>3250</v>
      </c>
      <c r="BC521" t="s">
        <v>3250</v>
      </c>
      <c r="BE521" t="s">
        <v>3250</v>
      </c>
      <c r="BF521" t="s">
        <v>3250</v>
      </c>
      <c r="BG521" t="s">
        <v>3250</v>
      </c>
      <c r="BH521" t="s">
        <v>3250</v>
      </c>
      <c r="BI521" t="s">
        <v>3250</v>
      </c>
      <c r="BK521" t="s">
        <v>3250</v>
      </c>
      <c r="BL521" t="s">
        <v>3250</v>
      </c>
      <c r="BM521" t="s">
        <v>3250</v>
      </c>
      <c r="BN521" t="s">
        <v>3250</v>
      </c>
      <c r="BO521" t="s">
        <v>2916</v>
      </c>
      <c r="BP521">
        <v>11</v>
      </c>
      <c r="BQ521">
        <v>111</v>
      </c>
      <c r="BR521" t="s">
        <v>2442</v>
      </c>
      <c r="BS521" t="s">
        <v>245</v>
      </c>
      <c r="BV521">
        <v>125321</v>
      </c>
      <c r="BW521">
        <v>98761</v>
      </c>
      <c r="BX521">
        <v>173774</v>
      </c>
      <c r="BY521">
        <v>210115</v>
      </c>
      <c r="BZ521">
        <v>210115</v>
      </c>
      <c r="CA521">
        <v>224823</v>
      </c>
      <c r="CB521">
        <v>240561</v>
      </c>
      <c r="CC521">
        <v>257400</v>
      </c>
      <c r="CD521">
        <v>0</v>
      </c>
      <c r="CE521" t="s">
        <v>3108</v>
      </c>
      <c r="CF521" t="s">
        <v>3108</v>
      </c>
      <c r="CG521" t="s">
        <v>3108</v>
      </c>
      <c r="CH521" t="s">
        <v>3108</v>
      </c>
    </row>
    <row r="522" spans="1:86" x14ac:dyDescent="0.2">
      <c r="A522" t="s">
        <v>4135</v>
      </c>
      <c r="B522" t="s">
        <v>4135</v>
      </c>
      <c r="C522">
        <v>40862</v>
      </c>
      <c r="D522">
        <v>91</v>
      </c>
      <c r="E522" t="s">
        <v>4093</v>
      </c>
      <c r="F522">
        <v>2000</v>
      </c>
      <c r="G522" t="s">
        <v>408</v>
      </c>
      <c r="H522" t="s">
        <v>4094</v>
      </c>
      <c r="I522" t="s">
        <v>1135</v>
      </c>
      <c r="J522">
        <v>2001</v>
      </c>
      <c r="K522" t="s">
        <v>1135</v>
      </c>
      <c r="L522">
        <v>2100</v>
      </c>
      <c r="M522" t="s">
        <v>123</v>
      </c>
      <c r="N522">
        <v>2106</v>
      </c>
      <c r="O522" t="s">
        <v>2399</v>
      </c>
      <c r="P522" t="s">
        <v>3108</v>
      </c>
      <c r="Q522" t="s">
        <v>3249</v>
      </c>
      <c r="R522" t="s">
        <v>3249</v>
      </c>
      <c r="S522" t="s">
        <v>810</v>
      </c>
      <c r="T522" t="s">
        <v>2754</v>
      </c>
      <c r="U522" t="s">
        <v>3250</v>
      </c>
      <c r="V522" t="s">
        <v>3250</v>
      </c>
      <c r="W522" t="s">
        <v>3250</v>
      </c>
      <c r="X522" t="s">
        <v>3250</v>
      </c>
      <c r="Y522" t="s">
        <v>3250</v>
      </c>
      <c r="Z522" t="s">
        <v>3250</v>
      </c>
      <c r="AA522" t="s">
        <v>3108</v>
      </c>
      <c r="AB522" t="s">
        <v>3108</v>
      </c>
      <c r="AC522" t="s">
        <v>3250</v>
      </c>
      <c r="AD522" t="s">
        <v>3250</v>
      </c>
      <c r="AE522" t="s">
        <v>3250</v>
      </c>
      <c r="AF522" t="s">
        <v>3250</v>
      </c>
      <c r="AG522" t="s">
        <v>3250</v>
      </c>
      <c r="AH522" t="s">
        <v>3250</v>
      </c>
      <c r="AI522" t="s">
        <v>3250</v>
      </c>
      <c r="AJ522" t="s">
        <v>3250</v>
      </c>
      <c r="AL522" t="s">
        <v>3250</v>
      </c>
      <c r="AM522" t="s">
        <v>3250</v>
      </c>
      <c r="AN522" t="s">
        <v>3250</v>
      </c>
      <c r="AO522" t="s">
        <v>3250</v>
      </c>
      <c r="AS522" t="s">
        <v>3250</v>
      </c>
      <c r="AT522" t="s">
        <v>3250</v>
      </c>
      <c r="AU522" t="s">
        <v>3250</v>
      </c>
      <c r="AV522" t="s">
        <v>3250</v>
      </c>
      <c r="AW522" t="s">
        <v>3250</v>
      </c>
      <c r="AX522" t="s">
        <v>3250</v>
      </c>
      <c r="AY522" t="s">
        <v>3250</v>
      </c>
      <c r="AZ522" t="s">
        <v>3250</v>
      </c>
      <c r="BA522" t="s">
        <v>3250</v>
      </c>
      <c r="BB522" t="s">
        <v>3250</v>
      </c>
      <c r="BC522" t="s">
        <v>3250</v>
      </c>
      <c r="BE522" t="s">
        <v>3250</v>
      </c>
      <c r="BF522" t="s">
        <v>3250</v>
      </c>
      <c r="BG522" t="s">
        <v>3250</v>
      </c>
      <c r="BH522" t="s">
        <v>3250</v>
      </c>
      <c r="BI522" t="s">
        <v>3250</v>
      </c>
      <c r="BK522" t="s">
        <v>3250</v>
      </c>
      <c r="BL522" t="s">
        <v>3250</v>
      </c>
      <c r="BM522" t="s">
        <v>3250</v>
      </c>
      <c r="BN522" t="s">
        <v>3250</v>
      </c>
      <c r="BO522" t="s">
        <v>2916</v>
      </c>
      <c r="BP522">
        <v>5</v>
      </c>
      <c r="BQ522">
        <v>53</v>
      </c>
      <c r="BR522" t="s">
        <v>2399</v>
      </c>
      <c r="BS522" t="s">
        <v>4136</v>
      </c>
      <c r="BV522">
        <v>144788</v>
      </c>
      <c r="BW522">
        <v>0</v>
      </c>
      <c r="BX522">
        <v>0</v>
      </c>
      <c r="BY522">
        <v>0</v>
      </c>
      <c r="BZ522">
        <v>0</v>
      </c>
      <c r="CA522">
        <v>0</v>
      </c>
      <c r="CB522">
        <v>0</v>
      </c>
      <c r="CC522">
        <v>0</v>
      </c>
      <c r="CD522">
        <v>0</v>
      </c>
      <c r="CE522" t="s">
        <v>3108</v>
      </c>
      <c r="CF522" t="s">
        <v>3108</v>
      </c>
      <c r="CG522" t="s">
        <v>3108</v>
      </c>
      <c r="CH522" t="s">
        <v>3108</v>
      </c>
    </row>
    <row r="523" spans="1:86" x14ac:dyDescent="0.2">
      <c r="A523" t="s">
        <v>4137</v>
      </c>
      <c r="B523" t="s">
        <v>4137</v>
      </c>
      <c r="C523">
        <v>40863</v>
      </c>
      <c r="D523">
        <v>92</v>
      </c>
      <c r="E523" t="s">
        <v>4138</v>
      </c>
      <c r="F523">
        <v>2900</v>
      </c>
      <c r="G523" t="s">
        <v>822</v>
      </c>
      <c r="H523" t="s">
        <v>3108</v>
      </c>
      <c r="I523" t="s">
        <v>3108</v>
      </c>
      <c r="J523">
        <v>2904</v>
      </c>
      <c r="K523" t="s">
        <v>1690</v>
      </c>
      <c r="L523">
        <v>2100</v>
      </c>
      <c r="M523" t="s">
        <v>123</v>
      </c>
      <c r="N523">
        <v>2106</v>
      </c>
      <c r="O523" t="s">
        <v>2399</v>
      </c>
      <c r="P523" t="s">
        <v>3108</v>
      </c>
      <c r="Q523" t="s">
        <v>3249</v>
      </c>
      <c r="R523" t="s">
        <v>3249</v>
      </c>
      <c r="S523" t="s">
        <v>810</v>
      </c>
      <c r="T523" t="s">
        <v>2754</v>
      </c>
      <c r="U523" t="s">
        <v>3250</v>
      </c>
      <c r="V523" t="s">
        <v>3250</v>
      </c>
      <c r="W523" t="s">
        <v>3250</v>
      </c>
      <c r="X523" t="s">
        <v>3250</v>
      </c>
      <c r="Y523" t="s">
        <v>3250</v>
      </c>
      <c r="Z523" t="s">
        <v>3250</v>
      </c>
      <c r="AA523" t="s">
        <v>3108</v>
      </c>
      <c r="AB523" t="s">
        <v>3108</v>
      </c>
      <c r="AC523" t="s">
        <v>3250</v>
      </c>
      <c r="AD523" t="s">
        <v>3250</v>
      </c>
      <c r="AE523" t="s">
        <v>3250</v>
      </c>
      <c r="AF523" t="s">
        <v>3250</v>
      </c>
      <c r="AG523" t="s">
        <v>3250</v>
      </c>
      <c r="AH523" t="s">
        <v>3250</v>
      </c>
      <c r="AI523" t="s">
        <v>3250</v>
      </c>
      <c r="AJ523" t="s">
        <v>3250</v>
      </c>
      <c r="AL523" t="s">
        <v>3250</v>
      </c>
      <c r="AM523" t="s">
        <v>3250</v>
      </c>
      <c r="AN523" t="s">
        <v>3250</v>
      </c>
      <c r="AO523" t="s">
        <v>3250</v>
      </c>
      <c r="AS523" t="s">
        <v>3250</v>
      </c>
      <c r="AT523" t="s">
        <v>3250</v>
      </c>
      <c r="AU523" t="s">
        <v>3250</v>
      </c>
      <c r="AV523" t="s">
        <v>3250</v>
      </c>
      <c r="AW523" t="s">
        <v>3250</v>
      </c>
      <c r="AX523" t="s">
        <v>3250</v>
      </c>
      <c r="AY523" t="s">
        <v>3250</v>
      </c>
      <c r="AZ523" t="s">
        <v>3250</v>
      </c>
      <c r="BA523" t="s">
        <v>3250</v>
      </c>
      <c r="BB523" t="s">
        <v>3250</v>
      </c>
      <c r="BC523" t="s">
        <v>3250</v>
      </c>
      <c r="BE523" t="s">
        <v>3250</v>
      </c>
      <c r="BF523" t="s">
        <v>3250</v>
      </c>
      <c r="BG523" t="s">
        <v>3250</v>
      </c>
      <c r="BH523" t="s">
        <v>3250</v>
      </c>
      <c r="BI523" t="s">
        <v>3250</v>
      </c>
      <c r="BK523" t="s">
        <v>3250</v>
      </c>
      <c r="BL523" t="s">
        <v>3250</v>
      </c>
      <c r="BM523" t="s">
        <v>3250</v>
      </c>
      <c r="BN523" t="s">
        <v>3250</v>
      </c>
      <c r="BP523">
        <v>5</v>
      </c>
      <c r="BQ523">
        <v>53</v>
      </c>
      <c r="BR523" t="s">
        <v>2399</v>
      </c>
      <c r="BS523" t="s">
        <v>4136</v>
      </c>
      <c r="BV523">
        <v>0</v>
      </c>
      <c r="BW523">
        <v>0</v>
      </c>
      <c r="BX523">
        <v>0</v>
      </c>
      <c r="BY523">
        <v>0</v>
      </c>
      <c r="BZ523">
        <v>0</v>
      </c>
      <c r="CA523">
        <v>0</v>
      </c>
      <c r="CB523">
        <v>0</v>
      </c>
      <c r="CC523">
        <v>0</v>
      </c>
      <c r="CD523">
        <v>0</v>
      </c>
      <c r="CE523" t="s">
        <v>3108</v>
      </c>
      <c r="CF523" t="s">
        <v>3108</v>
      </c>
      <c r="CG523" t="s">
        <v>3108</v>
      </c>
      <c r="CH523" t="s">
        <v>3108</v>
      </c>
    </row>
    <row r="524" spans="1:86" x14ac:dyDescent="0.2">
      <c r="A524" t="s">
        <v>4139</v>
      </c>
      <c r="B524" t="s">
        <v>4139</v>
      </c>
      <c r="C524">
        <v>40864</v>
      </c>
      <c r="D524">
        <v>93</v>
      </c>
      <c r="E524" t="s">
        <v>3994</v>
      </c>
      <c r="F524">
        <v>2600</v>
      </c>
      <c r="G524" t="s">
        <v>1334</v>
      </c>
      <c r="H524">
        <v>2600</v>
      </c>
      <c r="I524" t="s">
        <v>1334</v>
      </c>
      <c r="J524" t="s">
        <v>3250</v>
      </c>
      <c r="K524" t="s">
        <v>3250</v>
      </c>
      <c r="L524">
        <v>2100</v>
      </c>
      <c r="M524" t="s">
        <v>123</v>
      </c>
      <c r="N524">
        <v>2106</v>
      </c>
      <c r="O524" t="s">
        <v>2399</v>
      </c>
      <c r="P524" t="s">
        <v>3108</v>
      </c>
      <c r="Q524" t="s">
        <v>3249</v>
      </c>
      <c r="R524" t="s">
        <v>3249</v>
      </c>
      <c r="S524" t="s">
        <v>810</v>
      </c>
      <c r="T524" t="s">
        <v>2754</v>
      </c>
      <c r="U524" t="s">
        <v>3250</v>
      </c>
      <c r="V524" t="s">
        <v>3250</v>
      </c>
      <c r="W524" t="s">
        <v>3250</v>
      </c>
      <c r="X524" t="s">
        <v>3250</v>
      </c>
      <c r="Y524" t="s">
        <v>3250</v>
      </c>
      <c r="Z524" t="s">
        <v>3250</v>
      </c>
      <c r="AA524" t="s">
        <v>3108</v>
      </c>
      <c r="AB524" t="s">
        <v>3108</v>
      </c>
      <c r="AC524" t="s">
        <v>3250</v>
      </c>
      <c r="AD524" t="s">
        <v>3250</v>
      </c>
      <c r="AE524" t="s">
        <v>3250</v>
      </c>
      <c r="AF524" t="s">
        <v>3250</v>
      </c>
      <c r="AG524" t="s">
        <v>3250</v>
      </c>
      <c r="AH524" t="s">
        <v>3250</v>
      </c>
      <c r="AI524" t="s">
        <v>3250</v>
      </c>
      <c r="AJ524" t="s">
        <v>3250</v>
      </c>
      <c r="AL524" t="s">
        <v>3250</v>
      </c>
      <c r="AM524" t="s">
        <v>3250</v>
      </c>
      <c r="AN524" t="s">
        <v>3250</v>
      </c>
      <c r="AO524" t="s">
        <v>3250</v>
      </c>
      <c r="AS524" t="s">
        <v>3250</v>
      </c>
      <c r="AT524" t="s">
        <v>3250</v>
      </c>
      <c r="AU524" t="s">
        <v>3250</v>
      </c>
      <c r="AV524" t="s">
        <v>3250</v>
      </c>
      <c r="AW524" t="s">
        <v>3250</v>
      </c>
      <c r="AX524" t="s">
        <v>3250</v>
      </c>
      <c r="AY524" t="s">
        <v>3250</v>
      </c>
      <c r="AZ524" t="s">
        <v>3250</v>
      </c>
      <c r="BA524" t="s">
        <v>3250</v>
      </c>
      <c r="BB524" t="s">
        <v>3250</v>
      </c>
      <c r="BC524" t="s">
        <v>3250</v>
      </c>
      <c r="BE524" t="s">
        <v>3250</v>
      </c>
      <c r="BF524" t="s">
        <v>3250</v>
      </c>
      <c r="BG524" t="s">
        <v>3250</v>
      </c>
      <c r="BH524" t="s">
        <v>3250</v>
      </c>
      <c r="BI524" t="s">
        <v>3250</v>
      </c>
      <c r="BK524" t="s">
        <v>3250</v>
      </c>
      <c r="BL524" t="s">
        <v>3250</v>
      </c>
      <c r="BM524" t="s">
        <v>3250</v>
      </c>
      <c r="BN524" t="s">
        <v>3250</v>
      </c>
      <c r="BP524">
        <v>5</v>
      </c>
      <c r="BQ524">
        <v>53</v>
      </c>
      <c r="BR524" t="s">
        <v>2399</v>
      </c>
      <c r="BS524" t="s">
        <v>4136</v>
      </c>
      <c r="BV524">
        <v>0</v>
      </c>
      <c r="BW524">
        <v>0</v>
      </c>
      <c r="BX524">
        <v>2050</v>
      </c>
      <c r="BY524">
        <v>0</v>
      </c>
      <c r="BZ524">
        <v>0</v>
      </c>
      <c r="CA524">
        <v>0</v>
      </c>
      <c r="CB524">
        <v>0</v>
      </c>
      <c r="CC524">
        <v>0</v>
      </c>
      <c r="CD524">
        <v>0</v>
      </c>
      <c r="CE524" t="s">
        <v>3108</v>
      </c>
      <c r="CF524" t="s">
        <v>3108</v>
      </c>
      <c r="CG524" t="s">
        <v>3108</v>
      </c>
      <c r="CH524" t="s">
        <v>3108</v>
      </c>
    </row>
    <row r="525" spans="1:86" x14ac:dyDescent="0.2">
      <c r="A525" t="s">
        <v>4140</v>
      </c>
      <c r="B525" t="s">
        <v>4140</v>
      </c>
      <c r="C525">
        <v>40865</v>
      </c>
      <c r="D525">
        <v>498</v>
      </c>
      <c r="E525" t="s">
        <v>4099</v>
      </c>
      <c r="F525">
        <v>2900</v>
      </c>
      <c r="G525" t="s">
        <v>822</v>
      </c>
      <c r="H525" t="s">
        <v>3108</v>
      </c>
      <c r="I525" t="s">
        <v>3108</v>
      </c>
      <c r="J525">
        <v>2904</v>
      </c>
      <c r="K525" t="s">
        <v>1690</v>
      </c>
      <c r="L525">
        <v>2100</v>
      </c>
      <c r="M525" t="s">
        <v>123</v>
      </c>
      <c r="N525">
        <v>2109</v>
      </c>
      <c r="O525" t="s">
        <v>2402</v>
      </c>
      <c r="P525" t="s">
        <v>3108</v>
      </c>
      <c r="Q525" t="s">
        <v>3249</v>
      </c>
      <c r="R525" t="s">
        <v>3249</v>
      </c>
      <c r="S525" t="s">
        <v>810</v>
      </c>
      <c r="T525" t="s">
        <v>2754</v>
      </c>
      <c r="U525" t="s">
        <v>3250</v>
      </c>
      <c r="V525" t="s">
        <v>3250</v>
      </c>
      <c r="W525" t="s">
        <v>3250</v>
      </c>
      <c r="X525" t="s">
        <v>3250</v>
      </c>
      <c r="Y525" t="s">
        <v>3250</v>
      </c>
      <c r="Z525" t="s">
        <v>3250</v>
      </c>
      <c r="AA525" t="s">
        <v>3108</v>
      </c>
      <c r="AB525" t="s">
        <v>3108</v>
      </c>
      <c r="AC525" t="s">
        <v>3250</v>
      </c>
      <c r="AD525" t="s">
        <v>3250</v>
      </c>
      <c r="AE525" t="s">
        <v>3250</v>
      </c>
      <c r="AF525" t="s">
        <v>3250</v>
      </c>
      <c r="AG525" t="s">
        <v>3250</v>
      </c>
      <c r="AH525" t="s">
        <v>3250</v>
      </c>
      <c r="AI525" t="s">
        <v>3250</v>
      </c>
      <c r="AJ525" t="s">
        <v>3250</v>
      </c>
      <c r="AL525" t="s">
        <v>3250</v>
      </c>
      <c r="AM525" t="s">
        <v>3250</v>
      </c>
      <c r="AN525" t="s">
        <v>3250</v>
      </c>
      <c r="AO525" t="s">
        <v>3250</v>
      </c>
      <c r="AS525" t="s">
        <v>3250</v>
      </c>
      <c r="AT525" t="s">
        <v>3250</v>
      </c>
      <c r="AU525" t="s">
        <v>3250</v>
      </c>
      <c r="AV525" t="s">
        <v>3250</v>
      </c>
      <c r="AW525" t="s">
        <v>3250</v>
      </c>
      <c r="AX525" t="s">
        <v>3250</v>
      </c>
      <c r="AY525" t="s">
        <v>3250</v>
      </c>
      <c r="AZ525" t="s">
        <v>3250</v>
      </c>
      <c r="BA525" t="s">
        <v>3250</v>
      </c>
      <c r="BB525" t="s">
        <v>3250</v>
      </c>
      <c r="BC525" t="s">
        <v>3250</v>
      </c>
      <c r="BE525" t="s">
        <v>3250</v>
      </c>
      <c r="BF525" t="s">
        <v>3250</v>
      </c>
      <c r="BG525" t="s">
        <v>3250</v>
      </c>
      <c r="BH525" t="s">
        <v>3250</v>
      </c>
      <c r="BI525" t="s">
        <v>3250</v>
      </c>
      <c r="BK525" t="s">
        <v>3250</v>
      </c>
      <c r="BL525" t="s">
        <v>3250</v>
      </c>
      <c r="BM525" t="s">
        <v>3250</v>
      </c>
      <c r="BN525" t="s">
        <v>3250</v>
      </c>
      <c r="BP525">
        <v>4</v>
      </c>
      <c r="BQ525">
        <v>41</v>
      </c>
      <c r="BR525" t="s">
        <v>2402</v>
      </c>
      <c r="BS525" t="s">
        <v>4024</v>
      </c>
      <c r="BV525">
        <v>0</v>
      </c>
      <c r="BW525">
        <v>0</v>
      </c>
      <c r="BX525">
        <v>0</v>
      </c>
      <c r="BY525">
        <v>0</v>
      </c>
      <c r="BZ525">
        <v>0</v>
      </c>
      <c r="CA525">
        <v>0</v>
      </c>
      <c r="CB525">
        <v>0</v>
      </c>
      <c r="CC525">
        <v>0</v>
      </c>
      <c r="CD525">
        <v>0</v>
      </c>
      <c r="CE525" t="s">
        <v>3108</v>
      </c>
      <c r="CF525" t="s">
        <v>3108</v>
      </c>
      <c r="CG525" t="s">
        <v>3108</v>
      </c>
      <c r="CH525" t="s">
        <v>3108</v>
      </c>
    </row>
    <row r="526" spans="1:86" x14ac:dyDescent="0.2">
      <c r="A526" t="s">
        <v>4141</v>
      </c>
      <c r="B526" t="s">
        <v>4141</v>
      </c>
      <c r="C526">
        <v>40866</v>
      </c>
      <c r="D526">
        <v>499</v>
      </c>
      <c r="E526" t="s">
        <v>4027</v>
      </c>
      <c r="F526">
        <v>2900</v>
      </c>
      <c r="G526" t="s">
        <v>822</v>
      </c>
      <c r="H526" t="s">
        <v>3108</v>
      </c>
      <c r="I526" t="s">
        <v>3108</v>
      </c>
      <c r="J526">
        <v>2904</v>
      </c>
      <c r="K526" t="s">
        <v>1690</v>
      </c>
      <c r="L526">
        <v>2100</v>
      </c>
      <c r="M526" t="s">
        <v>123</v>
      </c>
      <c r="N526">
        <v>2109</v>
      </c>
      <c r="O526" t="s">
        <v>2402</v>
      </c>
      <c r="P526" t="s">
        <v>3108</v>
      </c>
      <c r="Q526" t="s">
        <v>3249</v>
      </c>
      <c r="R526" t="s">
        <v>3249</v>
      </c>
      <c r="S526" t="s">
        <v>810</v>
      </c>
      <c r="T526" t="s">
        <v>2754</v>
      </c>
      <c r="U526" t="s">
        <v>3250</v>
      </c>
      <c r="V526" t="s">
        <v>3250</v>
      </c>
      <c r="W526" t="s">
        <v>3250</v>
      </c>
      <c r="X526" t="s">
        <v>3250</v>
      </c>
      <c r="Y526" t="s">
        <v>3250</v>
      </c>
      <c r="Z526" t="s">
        <v>3250</v>
      </c>
      <c r="AA526" t="s">
        <v>3108</v>
      </c>
      <c r="AB526" t="s">
        <v>3108</v>
      </c>
      <c r="AC526" t="s">
        <v>3250</v>
      </c>
      <c r="AD526" t="s">
        <v>3250</v>
      </c>
      <c r="AE526" t="s">
        <v>3250</v>
      </c>
      <c r="AF526" t="s">
        <v>3250</v>
      </c>
      <c r="AG526" t="s">
        <v>3250</v>
      </c>
      <c r="AH526" t="s">
        <v>3250</v>
      </c>
      <c r="AI526" t="s">
        <v>3250</v>
      </c>
      <c r="AJ526" t="s">
        <v>3250</v>
      </c>
      <c r="AL526" t="s">
        <v>3250</v>
      </c>
      <c r="AM526" t="s">
        <v>3250</v>
      </c>
      <c r="AN526" t="s">
        <v>3250</v>
      </c>
      <c r="AO526" t="s">
        <v>3250</v>
      </c>
      <c r="AS526" t="s">
        <v>3250</v>
      </c>
      <c r="AT526" t="s">
        <v>3250</v>
      </c>
      <c r="AU526" t="s">
        <v>3250</v>
      </c>
      <c r="AV526" t="s">
        <v>3250</v>
      </c>
      <c r="AW526" t="s">
        <v>3250</v>
      </c>
      <c r="AX526" t="s">
        <v>3250</v>
      </c>
      <c r="AY526" t="s">
        <v>3250</v>
      </c>
      <c r="AZ526" t="s">
        <v>3250</v>
      </c>
      <c r="BA526" t="s">
        <v>3250</v>
      </c>
      <c r="BB526" t="s">
        <v>3250</v>
      </c>
      <c r="BC526" t="s">
        <v>3250</v>
      </c>
      <c r="BE526" t="s">
        <v>3250</v>
      </c>
      <c r="BF526" t="s">
        <v>3250</v>
      </c>
      <c r="BG526" t="s">
        <v>3250</v>
      </c>
      <c r="BH526" t="s">
        <v>3250</v>
      </c>
      <c r="BI526" t="s">
        <v>3250</v>
      </c>
      <c r="BK526" t="s">
        <v>3250</v>
      </c>
      <c r="BL526" t="s">
        <v>3250</v>
      </c>
      <c r="BM526" t="s">
        <v>3250</v>
      </c>
      <c r="BN526" t="s">
        <v>3250</v>
      </c>
      <c r="BP526">
        <v>4</v>
      </c>
      <c r="BQ526">
        <v>41</v>
      </c>
      <c r="BR526" t="s">
        <v>2402</v>
      </c>
      <c r="BS526" t="s">
        <v>4024</v>
      </c>
      <c r="BV526">
        <v>0</v>
      </c>
      <c r="BW526">
        <v>0</v>
      </c>
      <c r="BX526">
        <v>0</v>
      </c>
      <c r="BY526">
        <v>0</v>
      </c>
      <c r="BZ526">
        <v>0</v>
      </c>
      <c r="CA526">
        <v>0</v>
      </c>
      <c r="CB526">
        <v>0</v>
      </c>
      <c r="CC526">
        <v>0</v>
      </c>
      <c r="CD526">
        <v>0</v>
      </c>
      <c r="CE526" t="s">
        <v>3108</v>
      </c>
      <c r="CF526" t="s">
        <v>3108</v>
      </c>
      <c r="CG526" t="s">
        <v>3108</v>
      </c>
      <c r="CH526" t="s">
        <v>3108</v>
      </c>
    </row>
    <row r="527" spans="1:86" x14ac:dyDescent="0.2">
      <c r="A527" t="s">
        <v>4142</v>
      </c>
      <c r="B527" t="s">
        <v>4142</v>
      </c>
      <c r="C527">
        <v>40867</v>
      </c>
      <c r="D527">
        <v>500</v>
      </c>
      <c r="E527" t="s">
        <v>4143</v>
      </c>
      <c r="F527">
        <v>2900</v>
      </c>
      <c r="G527" t="s">
        <v>822</v>
      </c>
      <c r="H527" t="s">
        <v>3108</v>
      </c>
      <c r="I527" t="s">
        <v>3108</v>
      </c>
      <c r="J527">
        <v>2904</v>
      </c>
      <c r="K527" t="s">
        <v>1690</v>
      </c>
      <c r="L527">
        <v>2100</v>
      </c>
      <c r="M527" t="s">
        <v>123</v>
      </c>
      <c r="N527">
        <v>2109</v>
      </c>
      <c r="O527" t="s">
        <v>2402</v>
      </c>
      <c r="P527" t="s">
        <v>3108</v>
      </c>
      <c r="Q527" t="s">
        <v>3249</v>
      </c>
      <c r="R527" t="s">
        <v>3249</v>
      </c>
      <c r="S527" t="s">
        <v>810</v>
      </c>
      <c r="T527" t="s">
        <v>2754</v>
      </c>
      <c r="U527" t="s">
        <v>3250</v>
      </c>
      <c r="V527" t="s">
        <v>3250</v>
      </c>
      <c r="W527" t="s">
        <v>3250</v>
      </c>
      <c r="X527" t="s">
        <v>3250</v>
      </c>
      <c r="Y527" t="s">
        <v>3250</v>
      </c>
      <c r="Z527" t="s">
        <v>3250</v>
      </c>
      <c r="AA527" t="s">
        <v>3108</v>
      </c>
      <c r="AB527" t="s">
        <v>3108</v>
      </c>
      <c r="AC527" t="s">
        <v>3250</v>
      </c>
      <c r="AD527" t="s">
        <v>3250</v>
      </c>
      <c r="AE527" t="s">
        <v>3250</v>
      </c>
      <c r="AF527" t="s">
        <v>3250</v>
      </c>
      <c r="AG527" t="s">
        <v>3250</v>
      </c>
      <c r="AH527" t="s">
        <v>3250</v>
      </c>
      <c r="AI527" t="s">
        <v>3250</v>
      </c>
      <c r="AJ527" t="s">
        <v>3250</v>
      </c>
      <c r="AL527" t="s">
        <v>3250</v>
      </c>
      <c r="AM527" t="s">
        <v>3250</v>
      </c>
      <c r="AN527" t="s">
        <v>3250</v>
      </c>
      <c r="AO527" t="s">
        <v>3250</v>
      </c>
      <c r="AS527" t="s">
        <v>3250</v>
      </c>
      <c r="AT527" t="s">
        <v>3250</v>
      </c>
      <c r="AU527" t="s">
        <v>3250</v>
      </c>
      <c r="AV527" t="s">
        <v>3250</v>
      </c>
      <c r="AW527" t="s">
        <v>3250</v>
      </c>
      <c r="AX527" t="s">
        <v>3250</v>
      </c>
      <c r="AY527" t="s">
        <v>3250</v>
      </c>
      <c r="AZ527" t="s">
        <v>3250</v>
      </c>
      <c r="BA527" t="s">
        <v>3250</v>
      </c>
      <c r="BB527" t="s">
        <v>3250</v>
      </c>
      <c r="BC527" t="s">
        <v>3250</v>
      </c>
      <c r="BE527" t="s">
        <v>3250</v>
      </c>
      <c r="BF527" t="s">
        <v>3250</v>
      </c>
      <c r="BG527" t="s">
        <v>3250</v>
      </c>
      <c r="BH527" t="s">
        <v>3250</v>
      </c>
      <c r="BI527" t="s">
        <v>3250</v>
      </c>
      <c r="BK527" t="s">
        <v>3250</v>
      </c>
      <c r="BL527" t="s">
        <v>3250</v>
      </c>
      <c r="BM527" t="s">
        <v>3250</v>
      </c>
      <c r="BN527" t="s">
        <v>3250</v>
      </c>
      <c r="BP527">
        <v>4</v>
      </c>
      <c r="BQ527">
        <v>41</v>
      </c>
      <c r="BR527" t="s">
        <v>2402</v>
      </c>
      <c r="BS527" t="s">
        <v>4024</v>
      </c>
      <c r="BV527">
        <v>0</v>
      </c>
      <c r="BW527">
        <v>0</v>
      </c>
      <c r="BX527">
        <v>0</v>
      </c>
      <c r="BY527">
        <v>0</v>
      </c>
      <c r="BZ527">
        <v>0</v>
      </c>
      <c r="CA527">
        <v>0</v>
      </c>
      <c r="CB527">
        <v>0</v>
      </c>
      <c r="CC527">
        <v>0</v>
      </c>
      <c r="CD527">
        <v>0</v>
      </c>
      <c r="CE527" t="s">
        <v>3108</v>
      </c>
      <c r="CF527" t="s">
        <v>3108</v>
      </c>
      <c r="CG527" t="s">
        <v>3108</v>
      </c>
      <c r="CH527" t="s">
        <v>3108</v>
      </c>
    </row>
    <row r="528" spans="1:86" x14ac:dyDescent="0.2">
      <c r="A528" t="s">
        <v>4144</v>
      </c>
      <c r="B528" t="s">
        <v>4144</v>
      </c>
      <c r="C528">
        <v>40868</v>
      </c>
      <c r="D528">
        <v>501</v>
      </c>
      <c r="E528" t="s">
        <v>4033</v>
      </c>
      <c r="F528">
        <v>2900</v>
      </c>
      <c r="G528" t="s">
        <v>822</v>
      </c>
      <c r="H528" t="s">
        <v>3108</v>
      </c>
      <c r="I528" t="s">
        <v>3108</v>
      </c>
      <c r="J528">
        <v>2904</v>
      </c>
      <c r="K528" t="s">
        <v>1690</v>
      </c>
      <c r="L528">
        <v>2100</v>
      </c>
      <c r="M528" t="s">
        <v>123</v>
      </c>
      <c r="N528">
        <v>2109</v>
      </c>
      <c r="O528" t="s">
        <v>2402</v>
      </c>
      <c r="P528" t="s">
        <v>3108</v>
      </c>
      <c r="Q528" t="s">
        <v>3249</v>
      </c>
      <c r="R528" t="s">
        <v>3249</v>
      </c>
      <c r="S528" t="s">
        <v>810</v>
      </c>
      <c r="T528" t="s">
        <v>2754</v>
      </c>
      <c r="U528" t="s">
        <v>3250</v>
      </c>
      <c r="V528" t="s">
        <v>3250</v>
      </c>
      <c r="W528" t="s">
        <v>3250</v>
      </c>
      <c r="X528" t="s">
        <v>3250</v>
      </c>
      <c r="Y528" t="s">
        <v>3250</v>
      </c>
      <c r="Z528" t="s">
        <v>3250</v>
      </c>
      <c r="AA528" t="s">
        <v>3108</v>
      </c>
      <c r="AB528" t="s">
        <v>3108</v>
      </c>
      <c r="AC528" t="s">
        <v>3250</v>
      </c>
      <c r="AD528" t="s">
        <v>3250</v>
      </c>
      <c r="AE528" t="s">
        <v>3250</v>
      </c>
      <c r="AF528" t="s">
        <v>3250</v>
      </c>
      <c r="AG528" t="s">
        <v>3250</v>
      </c>
      <c r="AH528" t="s">
        <v>3250</v>
      </c>
      <c r="AI528" t="s">
        <v>3250</v>
      </c>
      <c r="AJ528" t="s">
        <v>3250</v>
      </c>
      <c r="AL528" t="s">
        <v>3250</v>
      </c>
      <c r="AM528" t="s">
        <v>3250</v>
      </c>
      <c r="AN528" t="s">
        <v>3250</v>
      </c>
      <c r="AO528" t="s">
        <v>3250</v>
      </c>
      <c r="AS528" t="s">
        <v>3250</v>
      </c>
      <c r="AT528" t="s">
        <v>3250</v>
      </c>
      <c r="AU528" t="s">
        <v>3250</v>
      </c>
      <c r="AV528" t="s">
        <v>3250</v>
      </c>
      <c r="AW528" t="s">
        <v>3250</v>
      </c>
      <c r="AX528" t="s">
        <v>3250</v>
      </c>
      <c r="AY528" t="s">
        <v>3250</v>
      </c>
      <c r="AZ528" t="s">
        <v>3250</v>
      </c>
      <c r="BA528" t="s">
        <v>3250</v>
      </c>
      <c r="BB528" t="s">
        <v>3250</v>
      </c>
      <c r="BC528" t="s">
        <v>3250</v>
      </c>
      <c r="BE528" t="s">
        <v>3250</v>
      </c>
      <c r="BF528" t="s">
        <v>3250</v>
      </c>
      <c r="BG528" t="s">
        <v>3250</v>
      </c>
      <c r="BH528" t="s">
        <v>3250</v>
      </c>
      <c r="BI528" t="s">
        <v>3250</v>
      </c>
      <c r="BK528" t="s">
        <v>3250</v>
      </c>
      <c r="BL528" t="s">
        <v>3250</v>
      </c>
      <c r="BM528" t="s">
        <v>3250</v>
      </c>
      <c r="BN528" t="s">
        <v>3250</v>
      </c>
      <c r="BP528">
        <v>4</v>
      </c>
      <c r="BQ528">
        <v>41</v>
      </c>
      <c r="BR528" t="s">
        <v>2402</v>
      </c>
      <c r="BS528" t="s">
        <v>4024</v>
      </c>
      <c r="BV528">
        <v>0</v>
      </c>
      <c r="BW528">
        <v>0</v>
      </c>
      <c r="BX528">
        <v>0</v>
      </c>
      <c r="BY528">
        <v>0</v>
      </c>
      <c r="BZ528">
        <v>0</v>
      </c>
      <c r="CA528">
        <v>0</v>
      </c>
      <c r="CB528">
        <v>0</v>
      </c>
      <c r="CC528">
        <v>0</v>
      </c>
      <c r="CD528">
        <v>0</v>
      </c>
      <c r="CE528" t="s">
        <v>3108</v>
      </c>
      <c r="CF528" t="s">
        <v>3108</v>
      </c>
      <c r="CG528" t="s">
        <v>3108</v>
      </c>
      <c r="CH528" t="s">
        <v>3108</v>
      </c>
    </row>
    <row r="529" spans="1:86" x14ac:dyDescent="0.2">
      <c r="A529" t="s">
        <v>4145</v>
      </c>
      <c r="B529" t="s">
        <v>4145</v>
      </c>
      <c r="C529">
        <v>40869</v>
      </c>
      <c r="D529">
        <v>502</v>
      </c>
      <c r="E529" t="s">
        <v>4031</v>
      </c>
      <c r="F529">
        <v>2900</v>
      </c>
      <c r="G529" t="s">
        <v>822</v>
      </c>
      <c r="H529" t="s">
        <v>3108</v>
      </c>
      <c r="I529" t="s">
        <v>3108</v>
      </c>
      <c r="J529">
        <v>2904</v>
      </c>
      <c r="K529" t="s">
        <v>1690</v>
      </c>
      <c r="L529">
        <v>2100</v>
      </c>
      <c r="M529" t="s">
        <v>123</v>
      </c>
      <c r="N529">
        <v>2109</v>
      </c>
      <c r="O529" t="s">
        <v>2402</v>
      </c>
      <c r="P529" t="s">
        <v>3108</v>
      </c>
      <c r="Q529" t="s">
        <v>3249</v>
      </c>
      <c r="R529" t="s">
        <v>3249</v>
      </c>
      <c r="S529" t="s">
        <v>810</v>
      </c>
      <c r="T529" t="s">
        <v>2754</v>
      </c>
      <c r="U529" t="s">
        <v>3250</v>
      </c>
      <c r="V529" t="s">
        <v>3250</v>
      </c>
      <c r="W529" t="s">
        <v>3250</v>
      </c>
      <c r="X529" t="s">
        <v>3250</v>
      </c>
      <c r="Y529" t="s">
        <v>3250</v>
      </c>
      <c r="Z529" t="s">
        <v>3250</v>
      </c>
      <c r="AA529" t="s">
        <v>3108</v>
      </c>
      <c r="AB529" t="s">
        <v>3108</v>
      </c>
      <c r="AC529" t="s">
        <v>3250</v>
      </c>
      <c r="AD529" t="s">
        <v>3250</v>
      </c>
      <c r="AE529" t="s">
        <v>3250</v>
      </c>
      <c r="AF529" t="s">
        <v>3250</v>
      </c>
      <c r="AG529" t="s">
        <v>3250</v>
      </c>
      <c r="AH529" t="s">
        <v>3250</v>
      </c>
      <c r="AI529" t="s">
        <v>3250</v>
      </c>
      <c r="AJ529" t="s">
        <v>3250</v>
      </c>
      <c r="AL529" t="s">
        <v>3250</v>
      </c>
      <c r="AM529" t="s">
        <v>3250</v>
      </c>
      <c r="AN529" t="s">
        <v>3250</v>
      </c>
      <c r="AO529" t="s">
        <v>3250</v>
      </c>
      <c r="AS529" t="s">
        <v>3250</v>
      </c>
      <c r="AT529" t="s">
        <v>3250</v>
      </c>
      <c r="AU529" t="s">
        <v>3250</v>
      </c>
      <c r="AV529" t="s">
        <v>3250</v>
      </c>
      <c r="AW529" t="s">
        <v>3250</v>
      </c>
      <c r="AX529" t="s">
        <v>3250</v>
      </c>
      <c r="AY529" t="s">
        <v>3250</v>
      </c>
      <c r="AZ529" t="s">
        <v>3250</v>
      </c>
      <c r="BA529" t="s">
        <v>3250</v>
      </c>
      <c r="BB529" t="s">
        <v>3250</v>
      </c>
      <c r="BC529" t="s">
        <v>3250</v>
      </c>
      <c r="BE529" t="s">
        <v>3250</v>
      </c>
      <c r="BF529" t="s">
        <v>3250</v>
      </c>
      <c r="BG529" t="s">
        <v>3250</v>
      </c>
      <c r="BH529" t="s">
        <v>3250</v>
      </c>
      <c r="BI529" t="s">
        <v>3250</v>
      </c>
      <c r="BK529" t="s">
        <v>3250</v>
      </c>
      <c r="BL529" t="s">
        <v>3250</v>
      </c>
      <c r="BM529" t="s">
        <v>3250</v>
      </c>
      <c r="BN529" t="s">
        <v>3250</v>
      </c>
      <c r="BP529">
        <v>4</v>
      </c>
      <c r="BQ529">
        <v>41</v>
      </c>
      <c r="BR529" t="s">
        <v>2402</v>
      </c>
      <c r="BS529" t="s">
        <v>4024</v>
      </c>
      <c r="BV529">
        <v>0</v>
      </c>
      <c r="BW529">
        <v>0</v>
      </c>
      <c r="BX529">
        <v>0</v>
      </c>
      <c r="BY529">
        <v>0</v>
      </c>
      <c r="BZ529">
        <v>0</v>
      </c>
      <c r="CA529">
        <v>0</v>
      </c>
      <c r="CB529">
        <v>0</v>
      </c>
      <c r="CC529">
        <v>0</v>
      </c>
      <c r="CD529">
        <v>0</v>
      </c>
      <c r="CE529" t="s">
        <v>3108</v>
      </c>
      <c r="CF529" t="s">
        <v>3108</v>
      </c>
      <c r="CG529" t="s">
        <v>3108</v>
      </c>
      <c r="CH529" t="s">
        <v>3108</v>
      </c>
    </row>
    <row r="530" spans="1:86" x14ac:dyDescent="0.2">
      <c r="A530" t="s">
        <v>4146</v>
      </c>
      <c r="B530" t="s">
        <v>4146</v>
      </c>
      <c r="C530">
        <v>40870</v>
      </c>
      <c r="D530">
        <v>503</v>
      </c>
      <c r="E530" t="s">
        <v>4015</v>
      </c>
      <c r="F530">
        <v>2900</v>
      </c>
      <c r="G530" t="s">
        <v>822</v>
      </c>
      <c r="H530" t="s">
        <v>3108</v>
      </c>
      <c r="I530" t="s">
        <v>3108</v>
      </c>
      <c r="J530">
        <v>2904</v>
      </c>
      <c r="K530" t="s">
        <v>1690</v>
      </c>
      <c r="L530">
        <v>2100</v>
      </c>
      <c r="M530" t="s">
        <v>123</v>
      </c>
      <c r="N530">
        <v>2109</v>
      </c>
      <c r="O530" t="s">
        <v>2402</v>
      </c>
      <c r="P530" t="s">
        <v>3108</v>
      </c>
      <c r="Q530" t="s">
        <v>3249</v>
      </c>
      <c r="R530" t="s">
        <v>3249</v>
      </c>
      <c r="S530" t="s">
        <v>810</v>
      </c>
      <c r="T530" t="s">
        <v>2754</v>
      </c>
      <c r="U530" t="s">
        <v>3250</v>
      </c>
      <c r="V530" t="s">
        <v>3250</v>
      </c>
      <c r="W530" t="s">
        <v>3250</v>
      </c>
      <c r="X530" t="s">
        <v>3250</v>
      </c>
      <c r="Y530" t="s">
        <v>3250</v>
      </c>
      <c r="Z530" t="s">
        <v>3250</v>
      </c>
      <c r="AA530" t="s">
        <v>3108</v>
      </c>
      <c r="AB530" t="s">
        <v>3108</v>
      </c>
      <c r="AC530" t="s">
        <v>3250</v>
      </c>
      <c r="AD530" t="s">
        <v>3250</v>
      </c>
      <c r="AE530" t="s">
        <v>3250</v>
      </c>
      <c r="AF530" t="s">
        <v>3250</v>
      </c>
      <c r="AG530" t="s">
        <v>3250</v>
      </c>
      <c r="AH530" t="s">
        <v>3250</v>
      </c>
      <c r="AI530" t="s">
        <v>3250</v>
      </c>
      <c r="AJ530" t="s">
        <v>3250</v>
      </c>
      <c r="AL530" t="s">
        <v>3250</v>
      </c>
      <c r="AM530" t="s">
        <v>3250</v>
      </c>
      <c r="AN530" t="s">
        <v>3250</v>
      </c>
      <c r="AO530" t="s">
        <v>3250</v>
      </c>
      <c r="AS530" t="s">
        <v>3250</v>
      </c>
      <c r="AT530" t="s">
        <v>3250</v>
      </c>
      <c r="AU530" t="s">
        <v>3250</v>
      </c>
      <c r="AV530" t="s">
        <v>3250</v>
      </c>
      <c r="AW530" t="s">
        <v>3250</v>
      </c>
      <c r="AX530" t="s">
        <v>3250</v>
      </c>
      <c r="AY530" t="s">
        <v>3250</v>
      </c>
      <c r="AZ530" t="s">
        <v>3250</v>
      </c>
      <c r="BA530" t="s">
        <v>3250</v>
      </c>
      <c r="BB530" t="s">
        <v>3250</v>
      </c>
      <c r="BC530" t="s">
        <v>3250</v>
      </c>
      <c r="BE530" t="s">
        <v>3250</v>
      </c>
      <c r="BF530" t="s">
        <v>3250</v>
      </c>
      <c r="BG530" t="s">
        <v>3250</v>
      </c>
      <c r="BH530" t="s">
        <v>3250</v>
      </c>
      <c r="BI530" t="s">
        <v>3250</v>
      </c>
      <c r="BK530" t="s">
        <v>3250</v>
      </c>
      <c r="BL530" t="s">
        <v>3250</v>
      </c>
      <c r="BM530" t="s">
        <v>3250</v>
      </c>
      <c r="BN530" t="s">
        <v>3250</v>
      </c>
      <c r="BP530">
        <v>4</v>
      </c>
      <c r="BQ530">
        <v>41</v>
      </c>
      <c r="BR530" t="s">
        <v>2402</v>
      </c>
      <c r="BS530" t="s">
        <v>4024</v>
      </c>
      <c r="BV530">
        <v>0</v>
      </c>
      <c r="BW530">
        <v>0</v>
      </c>
      <c r="BX530">
        <v>0</v>
      </c>
      <c r="BY530">
        <v>0</v>
      </c>
      <c r="BZ530">
        <v>0</v>
      </c>
      <c r="CA530">
        <v>0</v>
      </c>
      <c r="CB530">
        <v>0</v>
      </c>
      <c r="CC530">
        <v>0</v>
      </c>
      <c r="CD530">
        <v>0</v>
      </c>
      <c r="CE530" t="s">
        <v>3108</v>
      </c>
      <c r="CF530" t="s">
        <v>3108</v>
      </c>
      <c r="CG530" t="s">
        <v>3108</v>
      </c>
      <c r="CH530" t="s">
        <v>3108</v>
      </c>
    </row>
    <row r="531" spans="1:86" x14ac:dyDescent="0.2">
      <c r="A531" t="s">
        <v>4147</v>
      </c>
      <c r="B531" t="s">
        <v>4147</v>
      </c>
      <c r="C531">
        <v>40871</v>
      </c>
      <c r="D531">
        <v>504</v>
      </c>
      <c r="E531" t="s">
        <v>4006</v>
      </c>
      <c r="F531">
        <v>2700</v>
      </c>
      <c r="G531" t="s">
        <v>411</v>
      </c>
      <c r="H531" t="s">
        <v>4004</v>
      </c>
      <c r="I531" t="s">
        <v>2531</v>
      </c>
      <c r="J531">
        <v>2701</v>
      </c>
      <c r="K531" t="s">
        <v>2531</v>
      </c>
      <c r="L531">
        <v>2100</v>
      </c>
      <c r="M531" t="s">
        <v>123</v>
      </c>
      <c r="N531">
        <v>2109</v>
      </c>
      <c r="O531" t="s">
        <v>2402</v>
      </c>
      <c r="P531" t="s">
        <v>3108</v>
      </c>
      <c r="Q531" t="s">
        <v>3249</v>
      </c>
      <c r="R531" t="s">
        <v>3249</v>
      </c>
      <c r="S531" t="s">
        <v>810</v>
      </c>
      <c r="T531" t="s">
        <v>2754</v>
      </c>
      <c r="U531" t="s">
        <v>3250</v>
      </c>
      <c r="V531" t="s">
        <v>3250</v>
      </c>
      <c r="W531" t="s">
        <v>3250</v>
      </c>
      <c r="X531" t="s">
        <v>3250</v>
      </c>
      <c r="Y531" t="s">
        <v>3250</v>
      </c>
      <c r="Z531" t="s">
        <v>3250</v>
      </c>
      <c r="AA531" t="s">
        <v>3108</v>
      </c>
      <c r="AB531" t="s">
        <v>3108</v>
      </c>
      <c r="AC531" t="s">
        <v>3250</v>
      </c>
      <c r="AD531" t="s">
        <v>3250</v>
      </c>
      <c r="AE531" t="s">
        <v>3250</v>
      </c>
      <c r="AF531" t="s">
        <v>3250</v>
      </c>
      <c r="AG531" t="s">
        <v>3250</v>
      </c>
      <c r="AH531" t="s">
        <v>3250</v>
      </c>
      <c r="AI531" t="s">
        <v>3250</v>
      </c>
      <c r="AJ531" t="s">
        <v>3250</v>
      </c>
      <c r="AL531" t="s">
        <v>3250</v>
      </c>
      <c r="AM531" t="s">
        <v>3250</v>
      </c>
      <c r="AN531" t="s">
        <v>3250</v>
      </c>
      <c r="AO531" t="s">
        <v>3250</v>
      </c>
      <c r="AS531" t="s">
        <v>3250</v>
      </c>
      <c r="AT531" t="s">
        <v>3250</v>
      </c>
      <c r="AU531" t="s">
        <v>3250</v>
      </c>
      <c r="AV531" t="s">
        <v>3250</v>
      </c>
      <c r="AW531" t="s">
        <v>3250</v>
      </c>
      <c r="AX531" t="s">
        <v>3250</v>
      </c>
      <c r="AY531" t="s">
        <v>3250</v>
      </c>
      <c r="AZ531" t="s">
        <v>3250</v>
      </c>
      <c r="BA531" t="s">
        <v>3250</v>
      </c>
      <c r="BB531" t="s">
        <v>3250</v>
      </c>
      <c r="BC531" t="s">
        <v>3250</v>
      </c>
      <c r="BE531" t="s">
        <v>3250</v>
      </c>
      <c r="BF531" t="s">
        <v>3250</v>
      </c>
      <c r="BG531" t="s">
        <v>3250</v>
      </c>
      <c r="BH531" t="s">
        <v>3250</v>
      </c>
      <c r="BI531" t="s">
        <v>3250</v>
      </c>
      <c r="BK531" t="s">
        <v>3250</v>
      </c>
      <c r="BL531" t="s">
        <v>3250</v>
      </c>
      <c r="BM531" t="s">
        <v>3250</v>
      </c>
      <c r="BN531" t="s">
        <v>3250</v>
      </c>
      <c r="BP531">
        <v>4</v>
      </c>
      <c r="BQ531">
        <v>41</v>
      </c>
      <c r="BR531" t="s">
        <v>2402</v>
      </c>
      <c r="BS531" t="s">
        <v>4024</v>
      </c>
      <c r="BV531">
        <v>0</v>
      </c>
      <c r="BW531">
        <v>0</v>
      </c>
      <c r="BX531">
        <v>0</v>
      </c>
      <c r="BY531">
        <v>0</v>
      </c>
      <c r="BZ531">
        <v>0</v>
      </c>
      <c r="CA531">
        <v>0</v>
      </c>
      <c r="CB531">
        <v>0</v>
      </c>
      <c r="CC531">
        <v>0</v>
      </c>
      <c r="CD531">
        <v>0</v>
      </c>
      <c r="CE531" t="s">
        <v>3108</v>
      </c>
      <c r="CF531" t="s">
        <v>3108</v>
      </c>
      <c r="CG531" t="s">
        <v>3108</v>
      </c>
      <c r="CH531" t="s">
        <v>3108</v>
      </c>
    </row>
    <row r="532" spans="1:86" x14ac:dyDescent="0.2">
      <c r="A532" t="s">
        <v>4148</v>
      </c>
      <c r="B532" t="s">
        <v>4148</v>
      </c>
      <c r="C532">
        <v>40872</v>
      </c>
      <c r="D532">
        <v>505</v>
      </c>
      <c r="E532" t="s">
        <v>4003</v>
      </c>
      <c r="F532">
        <v>2700</v>
      </c>
      <c r="G532" t="s">
        <v>411</v>
      </c>
      <c r="H532" t="s">
        <v>4004</v>
      </c>
      <c r="I532" t="s">
        <v>2531</v>
      </c>
      <c r="J532">
        <v>2701</v>
      </c>
      <c r="K532" t="s">
        <v>2531</v>
      </c>
      <c r="L532">
        <v>2100</v>
      </c>
      <c r="M532" t="s">
        <v>123</v>
      </c>
      <c r="N532">
        <v>2109</v>
      </c>
      <c r="O532" t="s">
        <v>2402</v>
      </c>
      <c r="P532" t="s">
        <v>3108</v>
      </c>
      <c r="Q532" t="s">
        <v>3249</v>
      </c>
      <c r="R532" t="s">
        <v>3249</v>
      </c>
      <c r="S532" t="s">
        <v>810</v>
      </c>
      <c r="T532" t="s">
        <v>2754</v>
      </c>
      <c r="U532" t="s">
        <v>3250</v>
      </c>
      <c r="V532" t="s">
        <v>3250</v>
      </c>
      <c r="W532" t="s">
        <v>3250</v>
      </c>
      <c r="X532" t="s">
        <v>3250</v>
      </c>
      <c r="Y532" t="s">
        <v>3250</v>
      </c>
      <c r="Z532" t="s">
        <v>3250</v>
      </c>
      <c r="AA532" t="s">
        <v>3108</v>
      </c>
      <c r="AB532" t="s">
        <v>3108</v>
      </c>
      <c r="AC532" t="s">
        <v>3250</v>
      </c>
      <c r="AD532" t="s">
        <v>3250</v>
      </c>
      <c r="AE532" t="s">
        <v>3250</v>
      </c>
      <c r="AF532" t="s">
        <v>3250</v>
      </c>
      <c r="AG532" t="s">
        <v>3250</v>
      </c>
      <c r="AH532" t="s">
        <v>3250</v>
      </c>
      <c r="AI532" t="s">
        <v>3250</v>
      </c>
      <c r="AJ532" t="s">
        <v>3250</v>
      </c>
      <c r="AL532" t="s">
        <v>3250</v>
      </c>
      <c r="AM532" t="s">
        <v>3250</v>
      </c>
      <c r="AN532" t="s">
        <v>3250</v>
      </c>
      <c r="AO532" t="s">
        <v>3250</v>
      </c>
      <c r="AS532" t="s">
        <v>3250</v>
      </c>
      <c r="AT532" t="s">
        <v>3250</v>
      </c>
      <c r="AU532" t="s">
        <v>3250</v>
      </c>
      <c r="AV532" t="s">
        <v>3250</v>
      </c>
      <c r="AW532" t="s">
        <v>3250</v>
      </c>
      <c r="AX532" t="s">
        <v>3250</v>
      </c>
      <c r="AY532" t="s">
        <v>3250</v>
      </c>
      <c r="AZ532" t="s">
        <v>3250</v>
      </c>
      <c r="BA532" t="s">
        <v>3250</v>
      </c>
      <c r="BB532" t="s">
        <v>3250</v>
      </c>
      <c r="BC532" t="s">
        <v>3250</v>
      </c>
      <c r="BE532" t="s">
        <v>3250</v>
      </c>
      <c r="BF532" t="s">
        <v>3250</v>
      </c>
      <c r="BG532" t="s">
        <v>3250</v>
      </c>
      <c r="BH532" t="s">
        <v>3250</v>
      </c>
      <c r="BI532" t="s">
        <v>3250</v>
      </c>
      <c r="BK532" t="s">
        <v>3250</v>
      </c>
      <c r="BL532" t="s">
        <v>3250</v>
      </c>
      <c r="BM532" t="s">
        <v>3250</v>
      </c>
      <c r="BN532" t="s">
        <v>3250</v>
      </c>
      <c r="BP532">
        <v>4</v>
      </c>
      <c r="BQ532">
        <v>41</v>
      </c>
      <c r="BR532" t="s">
        <v>2402</v>
      </c>
      <c r="BS532" t="s">
        <v>4024</v>
      </c>
      <c r="BV532">
        <v>0</v>
      </c>
      <c r="BW532">
        <v>0</v>
      </c>
      <c r="BX532">
        <v>0</v>
      </c>
      <c r="BY532">
        <v>0</v>
      </c>
      <c r="BZ532">
        <v>0</v>
      </c>
      <c r="CA532">
        <v>0</v>
      </c>
      <c r="CB532">
        <v>0</v>
      </c>
      <c r="CC532">
        <v>0</v>
      </c>
      <c r="CD532">
        <v>0</v>
      </c>
      <c r="CE532" t="s">
        <v>3108</v>
      </c>
      <c r="CF532" t="s">
        <v>3108</v>
      </c>
      <c r="CG532" t="s">
        <v>3108</v>
      </c>
      <c r="CH532" t="s">
        <v>3108</v>
      </c>
    </row>
    <row r="533" spans="1:86" x14ac:dyDescent="0.2">
      <c r="A533" t="s">
        <v>4149</v>
      </c>
      <c r="B533" t="s">
        <v>4149</v>
      </c>
      <c r="C533">
        <v>40873</v>
      </c>
      <c r="D533">
        <v>466</v>
      </c>
      <c r="E533" t="s">
        <v>4006</v>
      </c>
      <c r="F533">
        <v>2700</v>
      </c>
      <c r="G533" t="s">
        <v>411</v>
      </c>
      <c r="H533" t="s">
        <v>4004</v>
      </c>
      <c r="I533" t="s">
        <v>2531</v>
      </c>
      <c r="J533">
        <v>2701</v>
      </c>
      <c r="K533" t="s">
        <v>2531</v>
      </c>
      <c r="L533">
        <v>2100</v>
      </c>
      <c r="M533" t="s">
        <v>123</v>
      </c>
      <c r="N533">
        <v>2109</v>
      </c>
      <c r="O533" t="s">
        <v>2402</v>
      </c>
      <c r="P533" t="s">
        <v>3108</v>
      </c>
      <c r="Q533" t="s">
        <v>3249</v>
      </c>
      <c r="R533" t="s">
        <v>3249</v>
      </c>
      <c r="S533" t="s">
        <v>810</v>
      </c>
      <c r="T533" t="s">
        <v>2754</v>
      </c>
      <c r="U533" t="s">
        <v>3250</v>
      </c>
      <c r="V533" t="s">
        <v>3250</v>
      </c>
      <c r="W533" t="s">
        <v>3250</v>
      </c>
      <c r="X533" t="s">
        <v>3250</v>
      </c>
      <c r="Y533" t="s">
        <v>3250</v>
      </c>
      <c r="Z533" t="s">
        <v>3250</v>
      </c>
      <c r="AA533" t="s">
        <v>3108</v>
      </c>
      <c r="AB533" t="s">
        <v>3108</v>
      </c>
      <c r="AC533" t="s">
        <v>3250</v>
      </c>
      <c r="AD533" t="s">
        <v>3250</v>
      </c>
      <c r="AE533" t="s">
        <v>3250</v>
      </c>
      <c r="AF533" t="s">
        <v>3250</v>
      </c>
      <c r="AG533" t="s">
        <v>3250</v>
      </c>
      <c r="AH533" t="s">
        <v>3250</v>
      </c>
      <c r="AI533" t="s">
        <v>3250</v>
      </c>
      <c r="AJ533" t="s">
        <v>3250</v>
      </c>
      <c r="AL533" t="s">
        <v>3250</v>
      </c>
      <c r="AM533" t="s">
        <v>3250</v>
      </c>
      <c r="AN533" t="s">
        <v>3250</v>
      </c>
      <c r="AO533" t="s">
        <v>3250</v>
      </c>
      <c r="AS533" t="s">
        <v>3250</v>
      </c>
      <c r="AT533" t="s">
        <v>3250</v>
      </c>
      <c r="AU533" t="s">
        <v>3250</v>
      </c>
      <c r="AV533" t="s">
        <v>3250</v>
      </c>
      <c r="AW533" t="s">
        <v>3250</v>
      </c>
      <c r="AX533" t="s">
        <v>3250</v>
      </c>
      <c r="AY533" t="s">
        <v>3250</v>
      </c>
      <c r="AZ533" t="s">
        <v>3250</v>
      </c>
      <c r="BA533" t="s">
        <v>3250</v>
      </c>
      <c r="BB533" t="s">
        <v>3250</v>
      </c>
      <c r="BC533" t="s">
        <v>3250</v>
      </c>
      <c r="BE533" t="s">
        <v>3250</v>
      </c>
      <c r="BF533" t="s">
        <v>3250</v>
      </c>
      <c r="BG533" t="s">
        <v>3250</v>
      </c>
      <c r="BH533" t="s">
        <v>3250</v>
      </c>
      <c r="BI533" t="s">
        <v>3250</v>
      </c>
      <c r="BK533" t="s">
        <v>3250</v>
      </c>
      <c r="BL533" t="s">
        <v>3250</v>
      </c>
      <c r="BM533" t="s">
        <v>3250</v>
      </c>
      <c r="BN533" t="s">
        <v>3250</v>
      </c>
      <c r="BP533">
        <v>4</v>
      </c>
      <c r="BQ533">
        <v>41</v>
      </c>
      <c r="BR533" t="s">
        <v>2402</v>
      </c>
      <c r="BS533" t="s">
        <v>4024</v>
      </c>
      <c r="BV533">
        <v>0</v>
      </c>
      <c r="BW533">
        <v>0</v>
      </c>
      <c r="BX533">
        <v>0</v>
      </c>
      <c r="BY533">
        <v>0</v>
      </c>
      <c r="BZ533">
        <v>0</v>
      </c>
      <c r="CA533">
        <v>0</v>
      </c>
      <c r="CB533">
        <v>0</v>
      </c>
      <c r="CC533">
        <v>0</v>
      </c>
      <c r="CD533">
        <v>0</v>
      </c>
      <c r="CE533" t="s">
        <v>3108</v>
      </c>
      <c r="CF533" t="s">
        <v>3108</v>
      </c>
      <c r="CG533" t="s">
        <v>3108</v>
      </c>
      <c r="CH533" t="s">
        <v>3108</v>
      </c>
    </row>
    <row r="534" spans="1:86" x14ac:dyDescent="0.2">
      <c r="A534" t="s">
        <v>4150</v>
      </c>
      <c r="B534" t="s">
        <v>4150</v>
      </c>
      <c r="C534">
        <v>40874</v>
      </c>
      <c r="D534">
        <v>467</v>
      </c>
      <c r="E534" t="s">
        <v>4015</v>
      </c>
      <c r="F534">
        <v>2900</v>
      </c>
      <c r="G534" t="s">
        <v>822</v>
      </c>
      <c r="H534" t="s">
        <v>3108</v>
      </c>
      <c r="I534" t="s">
        <v>3108</v>
      </c>
      <c r="J534">
        <v>2904</v>
      </c>
      <c r="K534" t="s">
        <v>1690</v>
      </c>
      <c r="L534">
        <v>2100</v>
      </c>
      <c r="M534" t="s">
        <v>123</v>
      </c>
      <c r="N534">
        <v>2109</v>
      </c>
      <c r="O534" t="s">
        <v>2402</v>
      </c>
      <c r="P534" t="s">
        <v>3108</v>
      </c>
      <c r="Q534" t="s">
        <v>3249</v>
      </c>
      <c r="R534" t="s">
        <v>3249</v>
      </c>
      <c r="S534" t="s">
        <v>810</v>
      </c>
      <c r="T534" t="s">
        <v>2754</v>
      </c>
      <c r="U534" t="s">
        <v>3250</v>
      </c>
      <c r="V534" t="s">
        <v>3250</v>
      </c>
      <c r="W534" t="s">
        <v>3250</v>
      </c>
      <c r="X534" t="s">
        <v>3250</v>
      </c>
      <c r="Y534" t="s">
        <v>3250</v>
      </c>
      <c r="Z534" t="s">
        <v>3250</v>
      </c>
      <c r="AA534" t="s">
        <v>3108</v>
      </c>
      <c r="AB534" t="s">
        <v>3108</v>
      </c>
      <c r="AC534" t="s">
        <v>3250</v>
      </c>
      <c r="AD534" t="s">
        <v>3250</v>
      </c>
      <c r="AE534" t="s">
        <v>3250</v>
      </c>
      <c r="AF534" t="s">
        <v>3250</v>
      </c>
      <c r="AG534" t="s">
        <v>3250</v>
      </c>
      <c r="AH534" t="s">
        <v>3250</v>
      </c>
      <c r="AI534" t="s">
        <v>3250</v>
      </c>
      <c r="AJ534" t="s">
        <v>3250</v>
      </c>
      <c r="AL534" t="s">
        <v>3250</v>
      </c>
      <c r="AM534" t="s">
        <v>3250</v>
      </c>
      <c r="AN534" t="s">
        <v>3250</v>
      </c>
      <c r="AO534" t="s">
        <v>3250</v>
      </c>
      <c r="AS534" t="s">
        <v>3250</v>
      </c>
      <c r="AT534" t="s">
        <v>3250</v>
      </c>
      <c r="AU534" t="s">
        <v>3250</v>
      </c>
      <c r="AV534" t="s">
        <v>3250</v>
      </c>
      <c r="AW534" t="s">
        <v>3250</v>
      </c>
      <c r="AX534" t="s">
        <v>3250</v>
      </c>
      <c r="AY534" t="s">
        <v>3250</v>
      </c>
      <c r="AZ534" t="s">
        <v>3250</v>
      </c>
      <c r="BA534" t="s">
        <v>3250</v>
      </c>
      <c r="BB534" t="s">
        <v>3250</v>
      </c>
      <c r="BC534" t="s">
        <v>3250</v>
      </c>
      <c r="BE534" t="s">
        <v>3250</v>
      </c>
      <c r="BF534" t="s">
        <v>3250</v>
      </c>
      <c r="BG534" t="s">
        <v>3250</v>
      </c>
      <c r="BH534" t="s">
        <v>3250</v>
      </c>
      <c r="BI534" t="s">
        <v>3250</v>
      </c>
      <c r="BK534" t="s">
        <v>3250</v>
      </c>
      <c r="BL534" t="s">
        <v>3250</v>
      </c>
      <c r="BM534" t="s">
        <v>3250</v>
      </c>
      <c r="BN534" t="s">
        <v>3250</v>
      </c>
      <c r="BP534">
        <v>4</v>
      </c>
      <c r="BQ534">
        <v>41</v>
      </c>
      <c r="BR534" t="s">
        <v>2402</v>
      </c>
      <c r="BS534" t="s">
        <v>4024</v>
      </c>
      <c r="BV534">
        <v>0</v>
      </c>
      <c r="BW534">
        <v>0</v>
      </c>
      <c r="BX534">
        <v>0</v>
      </c>
      <c r="BY534">
        <v>0</v>
      </c>
      <c r="BZ534">
        <v>0</v>
      </c>
      <c r="CA534">
        <v>0</v>
      </c>
      <c r="CB534">
        <v>0</v>
      </c>
      <c r="CC534">
        <v>0</v>
      </c>
      <c r="CD534">
        <v>0</v>
      </c>
      <c r="CE534" t="s">
        <v>3108</v>
      </c>
      <c r="CF534" t="s">
        <v>3108</v>
      </c>
      <c r="CG534" t="s">
        <v>3108</v>
      </c>
      <c r="CH534" t="s">
        <v>3108</v>
      </c>
    </row>
    <row r="535" spans="1:86" x14ac:dyDescent="0.2">
      <c r="A535" t="s">
        <v>4151</v>
      </c>
      <c r="B535" t="s">
        <v>4151</v>
      </c>
      <c r="C535">
        <v>40875</v>
      </c>
      <c r="D535">
        <v>468</v>
      </c>
      <c r="E535" t="s">
        <v>4015</v>
      </c>
      <c r="F535">
        <v>2900</v>
      </c>
      <c r="G535" t="s">
        <v>822</v>
      </c>
      <c r="H535" t="s">
        <v>3108</v>
      </c>
      <c r="I535" t="s">
        <v>3108</v>
      </c>
      <c r="J535">
        <v>2904</v>
      </c>
      <c r="K535" t="s">
        <v>1690</v>
      </c>
      <c r="L535">
        <v>2100</v>
      </c>
      <c r="M535" t="s">
        <v>123</v>
      </c>
      <c r="N535">
        <v>2109</v>
      </c>
      <c r="O535" t="s">
        <v>2402</v>
      </c>
      <c r="P535" t="s">
        <v>3108</v>
      </c>
      <c r="Q535" t="s">
        <v>3249</v>
      </c>
      <c r="R535" t="s">
        <v>3249</v>
      </c>
      <c r="S535" t="s">
        <v>810</v>
      </c>
      <c r="T535" t="s">
        <v>2754</v>
      </c>
      <c r="U535" t="s">
        <v>3250</v>
      </c>
      <c r="V535" t="s">
        <v>3250</v>
      </c>
      <c r="W535" t="s">
        <v>3250</v>
      </c>
      <c r="X535" t="s">
        <v>3250</v>
      </c>
      <c r="Y535" t="s">
        <v>3250</v>
      </c>
      <c r="Z535" t="s">
        <v>3250</v>
      </c>
      <c r="AA535" t="s">
        <v>3108</v>
      </c>
      <c r="AB535" t="s">
        <v>3108</v>
      </c>
      <c r="AC535" t="s">
        <v>3250</v>
      </c>
      <c r="AD535" t="s">
        <v>3250</v>
      </c>
      <c r="AE535" t="s">
        <v>3250</v>
      </c>
      <c r="AF535" t="s">
        <v>3250</v>
      </c>
      <c r="AG535" t="s">
        <v>3250</v>
      </c>
      <c r="AH535" t="s">
        <v>3250</v>
      </c>
      <c r="AI535" t="s">
        <v>3250</v>
      </c>
      <c r="AJ535" t="s">
        <v>3250</v>
      </c>
      <c r="AL535" t="s">
        <v>3250</v>
      </c>
      <c r="AM535" t="s">
        <v>3250</v>
      </c>
      <c r="AN535" t="s">
        <v>3250</v>
      </c>
      <c r="AO535" t="s">
        <v>3250</v>
      </c>
      <c r="AS535" t="s">
        <v>3250</v>
      </c>
      <c r="AT535" t="s">
        <v>3250</v>
      </c>
      <c r="AU535" t="s">
        <v>3250</v>
      </c>
      <c r="AV535" t="s">
        <v>3250</v>
      </c>
      <c r="AW535" t="s">
        <v>3250</v>
      </c>
      <c r="AX535" t="s">
        <v>3250</v>
      </c>
      <c r="AY535" t="s">
        <v>3250</v>
      </c>
      <c r="AZ535" t="s">
        <v>3250</v>
      </c>
      <c r="BA535" t="s">
        <v>3250</v>
      </c>
      <c r="BB535" t="s">
        <v>3250</v>
      </c>
      <c r="BC535" t="s">
        <v>3250</v>
      </c>
      <c r="BE535" t="s">
        <v>3250</v>
      </c>
      <c r="BF535" t="s">
        <v>3250</v>
      </c>
      <c r="BG535" t="s">
        <v>3250</v>
      </c>
      <c r="BH535" t="s">
        <v>3250</v>
      </c>
      <c r="BI535" t="s">
        <v>3250</v>
      </c>
      <c r="BK535" t="s">
        <v>3250</v>
      </c>
      <c r="BL535" t="s">
        <v>3250</v>
      </c>
      <c r="BM535" t="s">
        <v>3250</v>
      </c>
      <c r="BN535" t="s">
        <v>3250</v>
      </c>
      <c r="BP535">
        <v>4</v>
      </c>
      <c r="BQ535">
        <v>41</v>
      </c>
      <c r="BR535" t="s">
        <v>2402</v>
      </c>
      <c r="BS535" t="s">
        <v>4024</v>
      </c>
      <c r="BV535">
        <v>0</v>
      </c>
      <c r="BW535">
        <v>0</v>
      </c>
      <c r="BX535">
        <v>0</v>
      </c>
      <c r="BY535">
        <v>0</v>
      </c>
      <c r="BZ535">
        <v>0</v>
      </c>
      <c r="CA535">
        <v>0</v>
      </c>
      <c r="CB535">
        <v>0</v>
      </c>
      <c r="CC535">
        <v>0</v>
      </c>
      <c r="CD535">
        <v>0</v>
      </c>
      <c r="CE535" t="s">
        <v>3108</v>
      </c>
      <c r="CF535" t="s">
        <v>3108</v>
      </c>
      <c r="CG535" t="s">
        <v>3108</v>
      </c>
      <c r="CH535" t="s">
        <v>3108</v>
      </c>
    </row>
    <row r="536" spans="1:86" x14ac:dyDescent="0.2">
      <c r="A536" t="s">
        <v>4152</v>
      </c>
      <c r="B536" t="s">
        <v>4152</v>
      </c>
      <c r="C536">
        <v>40876</v>
      </c>
      <c r="D536">
        <v>469</v>
      </c>
      <c r="E536" t="s">
        <v>4153</v>
      </c>
      <c r="F536">
        <v>2900</v>
      </c>
      <c r="G536" t="s">
        <v>822</v>
      </c>
      <c r="H536" t="s">
        <v>3108</v>
      </c>
      <c r="I536" t="s">
        <v>3108</v>
      </c>
      <c r="J536">
        <v>2904</v>
      </c>
      <c r="K536" t="s">
        <v>1690</v>
      </c>
      <c r="L536">
        <v>2100</v>
      </c>
      <c r="M536" t="s">
        <v>123</v>
      </c>
      <c r="N536">
        <v>2109</v>
      </c>
      <c r="O536" t="s">
        <v>2402</v>
      </c>
      <c r="P536" t="s">
        <v>3108</v>
      </c>
      <c r="Q536" t="s">
        <v>3249</v>
      </c>
      <c r="R536" t="s">
        <v>3249</v>
      </c>
      <c r="S536" t="s">
        <v>810</v>
      </c>
      <c r="T536" t="s">
        <v>2754</v>
      </c>
      <c r="U536" t="s">
        <v>3250</v>
      </c>
      <c r="V536" t="s">
        <v>3250</v>
      </c>
      <c r="W536" t="s">
        <v>3250</v>
      </c>
      <c r="X536" t="s">
        <v>3250</v>
      </c>
      <c r="Y536" t="s">
        <v>3250</v>
      </c>
      <c r="Z536" t="s">
        <v>3250</v>
      </c>
      <c r="AA536" t="s">
        <v>3108</v>
      </c>
      <c r="AB536" t="s">
        <v>3108</v>
      </c>
      <c r="AC536" t="s">
        <v>3250</v>
      </c>
      <c r="AD536" t="s">
        <v>3250</v>
      </c>
      <c r="AE536" t="s">
        <v>3250</v>
      </c>
      <c r="AF536" t="s">
        <v>3250</v>
      </c>
      <c r="AG536" t="s">
        <v>3250</v>
      </c>
      <c r="AH536" t="s">
        <v>3250</v>
      </c>
      <c r="AI536" t="s">
        <v>3250</v>
      </c>
      <c r="AJ536" t="s">
        <v>3250</v>
      </c>
      <c r="AL536" t="s">
        <v>3250</v>
      </c>
      <c r="AM536" t="s">
        <v>3250</v>
      </c>
      <c r="AN536" t="s">
        <v>3250</v>
      </c>
      <c r="AO536" t="s">
        <v>3250</v>
      </c>
      <c r="AS536" t="s">
        <v>3250</v>
      </c>
      <c r="AT536" t="s">
        <v>3250</v>
      </c>
      <c r="AU536" t="s">
        <v>3250</v>
      </c>
      <c r="AV536" t="s">
        <v>3250</v>
      </c>
      <c r="AW536" t="s">
        <v>3250</v>
      </c>
      <c r="AX536" t="s">
        <v>3250</v>
      </c>
      <c r="AY536" t="s">
        <v>3250</v>
      </c>
      <c r="AZ536" t="s">
        <v>3250</v>
      </c>
      <c r="BA536" t="s">
        <v>3250</v>
      </c>
      <c r="BB536" t="s">
        <v>3250</v>
      </c>
      <c r="BC536" t="s">
        <v>3250</v>
      </c>
      <c r="BE536" t="s">
        <v>3250</v>
      </c>
      <c r="BF536" t="s">
        <v>3250</v>
      </c>
      <c r="BG536" t="s">
        <v>3250</v>
      </c>
      <c r="BH536" t="s">
        <v>3250</v>
      </c>
      <c r="BI536" t="s">
        <v>3250</v>
      </c>
      <c r="BK536" t="s">
        <v>3250</v>
      </c>
      <c r="BL536" t="s">
        <v>3250</v>
      </c>
      <c r="BM536" t="s">
        <v>3250</v>
      </c>
      <c r="BN536" t="s">
        <v>3250</v>
      </c>
      <c r="BP536">
        <v>4</v>
      </c>
      <c r="BQ536">
        <v>41</v>
      </c>
      <c r="BR536" t="s">
        <v>2402</v>
      </c>
      <c r="BS536" t="s">
        <v>4024</v>
      </c>
      <c r="BV536">
        <v>0</v>
      </c>
      <c r="BW536">
        <v>0</v>
      </c>
      <c r="BX536">
        <v>0</v>
      </c>
      <c r="BY536">
        <v>0</v>
      </c>
      <c r="BZ536">
        <v>0</v>
      </c>
      <c r="CA536">
        <v>0</v>
      </c>
      <c r="CB536">
        <v>0</v>
      </c>
      <c r="CC536">
        <v>0</v>
      </c>
      <c r="CD536">
        <v>0</v>
      </c>
      <c r="CE536" t="s">
        <v>3108</v>
      </c>
      <c r="CF536" t="s">
        <v>3108</v>
      </c>
      <c r="CG536" t="s">
        <v>3108</v>
      </c>
      <c r="CH536" t="s">
        <v>3108</v>
      </c>
    </row>
    <row r="537" spans="1:86" x14ac:dyDescent="0.2">
      <c r="A537" t="s">
        <v>4154</v>
      </c>
      <c r="B537" t="s">
        <v>4154</v>
      </c>
      <c r="C537">
        <v>40877</v>
      </c>
      <c r="D537">
        <v>470</v>
      </c>
      <c r="E537" t="s">
        <v>4006</v>
      </c>
      <c r="F537">
        <v>2700</v>
      </c>
      <c r="G537" t="s">
        <v>411</v>
      </c>
      <c r="H537" t="s">
        <v>4004</v>
      </c>
      <c r="I537" t="s">
        <v>2531</v>
      </c>
      <c r="J537">
        <v>2701</v>
      </c>
      <c r="K537" t="s">
        <v>2531</v>
      </c>
      <c r="L537">
        <v>2100</v>
      </c>
      <c r="M537" t="s">
        <v>123</v>
      </c>
      <c r="N537">
        <v>2109</v>
      </c>
      <c r="O537" t="s">
        <v>2402</v>
      </c>
      <c r="P537" t="s">
        <v>3108</v>
      </c>
      <c r="Q537" t="s">
        <v>3249</v>
      </c>
      <c r="R537" t="s">
        <v>3249</v>
      </c>
      <c r="S537" t="s">
        <v>810</v>
      </c>
      <c r="T537" t="s">
        <v>2754</v>
      </c>
      <c r="U537" t="s">
        <v>3250</v>
      </c>
      <c r="V537" t="s">
        <v>3250</v>
      </c>
      <c r="W537" t="s">
        <v>3250</v>
      </c>
      <c r="X537" t="s">
        <v>3250</v>
      </c>
      <c r="Y537" t="s">
        <v>3250</v>
      </c>
      <c r="Z537" t="s">
        <v>3250</v>
      </c>
      <c r="AA537" t="s">
        <v>3108</v>
      </c>
      <c r="AB537" t="s">
        <v>3108</v>
      </c>
      <c r="AC537" t="s">
        <v>3250</v>
      </c>
      <c r="AD537" t="s">
        <v>3250</v>
      </c>
      <c r="AE537" t="s">
        <v>3250</v>
      </c>
      <c r="AF537" t="s">
        <v>3250</v>
      </c>
      <c r="AG537" t="s">
        <v>3250</v>
      </c>
      <c r="AH537" t="s">
        <v>3250</v>
      </c>
      <c r="AI537" t="s">
        <v>3250</v>
      </c>
      <c r="AJ537" t="s">
        <v>3250</v>
      </c>
      <c r="AL537" t="s">
        <v>3250</v>
      </c>
      <c r="AM537" t="s">
        <v>3250</v>
      </c>
      <c r="AN537" t="s">
        <v>3250</v>
      </c>
      <c r="AO537" t="s">
        <v>3250</v>
      </c>
      <c r="AS537" t="s">
        <v>3250</v>
      </c>
      <c r="AT537" t="s">
        <v>3250</v>
      </c>
      <c r="AU537" t="s">
        <v>3250</v>
      </c>
      <c r="AV537" t="s">
        <v>3250</v>
      </c>
      <c r="AW537" t="s">
        <v>3250</v>
      </c>
      <c r="AX537" t="s">
        <v>3250</v>
      </c>
      <c r="AY537" t="s">
        <v>3250</v>
      </c>
      <c r="AZ537" t="s">
        <v>3250</v>
      </c>
      <c r="BA537" t="s">
        <v>3250</v>
      </c>
      <c r="BB537" t="s">
        <v>3250</v>
      </c>
      <c r="BC537" t="s">
        <v>3250</v>
      </c>
      <c r="BE537" t="s">
        <v>3250</v>
      </c>
      <c r="BF537" t="s">
        <v>3250</v>
      </c>
      <c r="BG537" t="s">
        <v>3250</v>
      </c>
      <c r="BH537" t="s">
        <v>3250</v>
      </c>
      <c r="BI537" t="s">
        <v>3250</v>
      </c>
      <c r="BK537" t="s">
        <v>3250</v>
      </c>
      <c r="BL537" t="s">
        <v>3250</v>
      </c>
      <c r="BM537" t="s">
        <v>3250</v>
      </c>
      <c r="BN537" t="s">
        <v>3250</v>
      </c>
      <c r="BP537">
        <v>4</v>
      </c>
      <c r="BQ537">
        <v>41</v>
      </c>
      <c r="BR537" t="s">
        <v>2402</v>
      </c>
      <c r="BS537" t="s">
        <v>4024</v>
      </c>
      <c r="BV537">
        <v>52910</v>
      </c>
      <c r="BW537">
        <v>24300</v>
      </c>
      <c r="BX537">
        <v>7080</v>
      </c>
      <c r="BY537">
        <v>50000</v>
      </c>
      <c r="BZ537">
        <v>39750</v>
      </c>
      <c r="CA537">
        <v>50000</v>
      </c>
      <c r="CB537">
        <v>52000</v>
      </c>
      <c r="CC537">
        <v>54080</v>
      </c>
      <c r="CD537">
        <v>18250</v>
      </c>
      <c r="CE537" t="s">
        <v>3108</v>
      </c>
      <c r="CF537" t="s">
        <v>3108</v>
      </c>
      <c r="CG537" t="s">
        <v>3108</v>
      </c>
      <c r="CH537" t="s">
        <v>3108</v>
      </c>
    </row>
    <row r="538" spans="1:86" x14ac:dyDescent="0.2">
      <c r="A538" t="s">
        <v>4155</v>
      </c>
      <c r="B538" t="s">
        <v>4155</v>
      </c>
      <c r="C538">
        <v>40878</v>
      </c>
      <c r="D538">
        <v>471</v>
      </c>
      <c r="E538" t="s">
        <v>4003</v>
      </c>
      <c r="F538">
        <v>2700</v>
      </c>
      <c r="G538" t="s">
        <v>411</v>
      </c>
      <c r="H538" t="s">
        <v>4004</v>
      </c>
      <c r="I538" t="s">
        <v>2531</v>
      </c>
      <c r="J538">
        <v>2701</v>
      </c>
      <c r="K538" t="s">
        <v>2531</v>
      </c>
      <c r="L538">
        <v>2100</v>
      </c>
      <c r="M538" t="s">
        <v>123</v>
      </c>
      <c r="N538">
        <v>2109</v>
      </c>
      <c r="O538" t="s">
        <v>2402</v>
      </c>
      <c r="P538" t="s">
        <v>3108</v>
      </c>
      <c r="Q538" t="s">
        <v>3249</v>
      </c>
      <c r="R538" t="s">
        <v>3249</v>
      </c>
      <c r="S538" t="s">
        <v>810</v>
      </c>
      <c r="T538" t="s">
        <v>2754</v>
      </c>
      <c r="U538" t="s">
        <v>3250</v>
      </c>
      <c r="V538" t="s">
        <v>3250</v>
      </c>
      <c r="W538" t="s">
        <v>3250</v>
      </c>
      <c r="X538" t="s">
        <v>3250</v>
      </c>
      <c r="Y538" t="s">
        <v>3250</v>
      </c>
      <c r="Z538" t="s">
        <v>3250</v>
      </c>
      <c r="AA538" t="s">
        <v>3108</v>
      </c>
      <c r="AB538" t="s">
        <v>3108</v>
      </c>
      <c r="AC538" t="s">
        <v>3250</v>
      </c>
      <c r="AD538" t="s">
        <v>3250</v>
      </c>
      <c r="AE538" t="s">
        <v>3250</v>
      </c>
      <c r="AF538" t="s">
        <v>3250</v>
      </c>
      <c r="AG538" t="s">
        <v>3250</v>
      </c>
      <c r="AH538" t="s">
        <v>3250</v>
      </c>
      <c r="AI538" t="s">
        <v>3250</v>
      </c>
      <c r="AJ538" t="s">
        <v>3250</v>
      </c>
      <c r="AL538" t="s">
        <v>3250</v>
      </c>
      <c r="AM538" t="s">
        <v>3250</v>
      </c>
      <c r="AN538" t="s">
        <v>3250</v>
      </c>
      <c r="AO538" t="s">
        <v>3250</v>
      </c>
      <c r="AS538" t="s">
        <v>3250</v>
      </c>
      <c r="AT538" t="s">
        <v>3250</v>
      </c>
      <c r="AU538" t="s">
        <v>3250</v>
      </c>
      <c r="AV538" t="s">
        <v>3250</v>
      </c>
      <c r="AW538" t="s">
        <v>3250</v>
      </c>
      <c r="AX538" t="s">
        <v>3250</v>
      </c>
      <c r="AY538" t="s">
        <v>3250</v>
      </c>
      <c r="AZ538" t="s">
        <v>3250</v>
      </c>
      <c r="BA538" t="s">
        <v>3250</v>
      </c>
      <c r="BB538" t="s">
        <v>3250</v>
      </c>
      <c r="BC538" t="s">
        <v>3250</v>
      </c>
      <c r="BE538" t="s">
        <v>3250</v>
      </c>
      <c r="BF538" t="s">
        <v>3250</v>
      </c>
      <c r="BG538" t="s">
        <v>3250</v>
      </c>
      <c r="BH538" t="s">
        <v>3250</v>
      </c>
      <c r="BI538" t="s">
        <v>3250</v>
      </c>
      <c r="BK538" t="s">
        <v>3250</v>
      </c>
      <c r="BL538" t="s">
        <v>3250</v>
      </c>
      <c r="BM538" t="s">
        <v>3250</v>
      </c>
      <c r="BN538" t="s">
        <v>3250</v>
      </c>
      <c r="BP538">
        <v>4</v>
      </c>
      <c r="BQ538">
        <v>41</v>
      </c>
      <c r="BR538" t="s">
        <v>2402</v>
      </c>
      <c r="BS538" t="s">
        <v>4024</v>
      </c>
      <c r="BV538">
        <v>22887</v>
      </c>
      <c r="BW538">
        <v>0</v>
      </c>
      <c r="BX538">
        <v>0</v>
      </c>
      <c r="BY538">
        <v>30000</v>
      </c>
      <c r="BZ538">
        <v>27000</v>
      </c>
      <c r="CA538">
        <v>30000</v>
      </c>
      <c r="CB538">
        <v>31200</v>
      </c>
      <c r="CC538">
        <v>32448</v>
      </c>
      <c r="CD538">
        <v>3000</v>
      </c>
      <c r="CE538" t="s">
        <v>3108</v>
      </c>
      <c r="CF538" t="s">
        <v>3108</v>
      </c>
      <c r="CG538" t="s">
        <v>3108</v>
      </c>
      <c r="CH538" t="s">
        <v>3108</v>
      </c>
    </row>
    <row r="539" spans="1:86" x14ac:dyDescent="0.2">
      <c r="A539" t="s">
        <v>4156</v>
      </c>
      <c r="B539" t="s">
        <v>4156</v>
      </c>
      <c r="C539">
        <v>40879</v>
      </c>
      <c r="D539">
        <v>472</v>
      </c>
      <c r="E539" t="s">
        <v>3992</v>
      </c>
      <c r="F539">
        <v>2900</v>
      </c>
      <c r="G539" t="s">
        <v>822</v>
      </c>
      <c r="H539" t="s">
        <v>3108</v>
      </c>
      <c r="I539" t="s">
        <v>3108</v>
      </c>
      <c r="J539">
        <v>2904</v>
      </c>
      <c r="K539" t="s">
        <v>1690</v>
      </c>
      <c r="L539">
        <v>2100</v>
      </c>
      <c r="M539" t="s">
        <v>123</v>
      </c>
      <c r="N539">
        <v>2115</v>
      </c>
      <c r="O539" t="s">
        <v>2406</v>
      </c>
      <c r="P539" t="s">
        <v>3108</v>
      </c>
      <c r="Q539" t="s">
        <v>3249</v>
      </c>
      <c r="R539" t="s">
        <v>3249</v>
      </c>
      <c r="S539" t="s">
        <v>810</v>
      </c>
      <c r="T539" t="s">
        <v>2754</v>
      </c>
      <c r="U539" t="s">
        <v>3250</v>
      </c>
      <c r="V539" t="s">
        <v>3250</v>
      </c>
      <c r="W539" t="s">
        <v>3250</v>
      </c>
      <c r="X539" t="s">
        <v>3250</v>
      </c>
      <c r="Y539" t="s">
        <v>3250</v>
      </c>
      <c r="Z539" t="s">
        <v>3250</v>
      </c>
      <c r="AA539" t="s">
        <v>3108</v>
      </c>
      <c r="AB539" t="s">
        <v>3108</v>
      </c>
      <c r="AC539" t="s">
        <v>3250</v>
      </c>
      <c r="AD539" t="s">
        <v>3250</v>
      </c>
      <c r="AE539" t="s">
        <v>3250</v>
      </c>
      <c r="AF539" t="s">
        <v>3250</v>
      </c>
      <c r="AG539" t="s">
        <v>3250</v>
      </c>
      <c r="AH539" t="s">
        <v>3250</v>
      </c>
      <c r="AI539" t="s">
        <v>3250</v>
      </c>
      <c r="AJ539" t="s">
        <v>3250</v>
      </c>
      <c r="AL539" t="s">
        <v>3250</v>
      </c>
      <c r="AM539" t="s">
        <v>3250</v>
      </c>
      <c r="AN539" t="s">
        <v>3250</v>
      </c>
      <c r="AO539" t="s">
        <v>3250</v>
      </c>
      <c r="AS539" t="s">
        <v>3250</v>
      </c>
      <c r="AT539" t="s">
        <v>3250</v>
      </c>
      <c r="AU539" t="s">
        <v>3250</v>
      </c>
      <c r="AV539" t="s">
        <v>3250</v>
      </c>
      <c r="AW539" t="s">
        <v>3250</v>
      </c>
      <c r="AX539" t="s">
        <v>3250</v>
      </c>
      <c r="AY539" t="s">
        <v>3250</v>
      </c>
      <c r="AZ539" t="s">
        <v>3250</v>
      </c>
      <c r="BA539" t="s">
        <v>3250</v>
      </c>
      <c r="BB539" t="s">
        <v>3250</v>
      </c>
      <c r="BC539" t="s">
        <v>3250</v>
      </c>
      <c r="BE539" t="s">
        <v>3250</v>
      </c>
      <c r="BF539" t="s">
        <v>3250</v>
      </c>
      <c r="BG539" t="s">
        <v>3250</v>
      </c>
      <c r="BH539" t="s">
        <v>3250</v>
      </c>
      <c r="BI539" t="s">
        <v>3250</v>
      </c>
      <c r="BK539" t="s">
        <v>3250</v>
      </c>
      <c r="BL539" t="s">
        <v>3250</v>
      </c>
      <c r="BM539" t="s">
        <v>3250</v>
      </c>
      <c r="BN539" t="s">
        <v>3250</v>
      </c>
      <c r="BP539">
        <v>5</v>
      </c>
      <c r="BQ539">
        <v>51</v>
      </c>
      <c r="BR539" t="s">
        <v>2406</v>
      </c>
      <c r="BS539" t="s">
        <v>4136</v>
      </c>
      <c r="BV539">
        <v>0</v>
      </c>
      <c r="BW539">
        <v>0</v>
      </c>
      <c r="BX539">
        <v>3095</v>
      </c>
      <c r="BY539">
        <v>30000</v>
      </c>
      <c r="BZ539">
        <v>70000</v>
      </c>
      <c r="CA539">
        <v>150000</v>
      </c>
      <c r="CB539">
        <v>156000</v>
      </c>
      <c r="CC539">
        <v>162240</v>
      </c>
      <c r="CD539">
        <v>0</v>
      </c>
      <c r="CE539" t="s">
        <v>3108</v>
      </c>
      <c r="CF539" t="s">
        <v>3108</v>
      </c>
      <c r="CG539" t="s">
        <v>3108</v>
      </c>
      <c r="CH539" t="s">
        <v>3108</v>
      </c>
    </row>
    <row r="540" spans="1:86" x14ac:dyDescent="0.2">
      <c r="A540" t="s">
        <v>4157</v>
      </c>
      <c r="B540" t="s">
        <v>4157</v>
      </c>
      <c r="C540">
        <v>40880</v>
      </c>
      <c r="D540">
        <v>473</v>
      </c>
      <c r="E540" t="s">
        <v>4010</v>
      </c>
      <c r="F540">
        <v>2900</v>
      </c>
      <c r="G540" t="s">
        <v>822</v>
      </c>
      <c r="H540" t="s">
        <v>3108</v>
      </c>
      <c r="I540" t="s">
        <v>3108</v>
      </c>
      <c r="J540">
        <v>2904</v>
      </c>
      <c r="K540" t="s">
        <v>1690</v>
      </c>
      <c r="L540">
        <v>2100</v>
      </c>
      <c r="M540" t="s">
        <v>123</v>
      </c>
      <c r="N540">
        <v>2115</v>
      </c>
      <c r="O540" t="s">
        <v>2406</v>
      </c>
      <c r="P540" t="s">
        <v>3108</v>
      </c>
      <c r="Q540" t="s">
        <v>3249</v>
      </c>
      <c r="R540" t="s">
        <v>3249</v>
      </c>
      <c r="S540" t="s">
        <v>810</v>
      </c>
      <c r="T540" t="s">
        <v>2754</v>
      </c>
      <c r="U540" t="s">
        <v>3250</v>
      </c>
      <c r="V540" t="s">
        <v>3250</v>
      </c>
      <c r="W540" t="s">
        <v>3250</v>
      </c>
      <c r="X540" t="s">
        <v>3250</v>
      </c>
      <c r="Y540" t="s">
        <v>3250</v>
      </c>
      <c r="Z540" t="s">
        <v>3250</v>
      </c>
      <c r="AA540" t="s">
        <v>3108</v>
      </c>
      <c r="AB540" t="s">
        <v>3108</v>
      </c>
      <c r="AC540" t="s">
        <v>3250</v>
      </c>
      <c r="AD540" t="s">
        <v>3250</v>
      </c>
      <c r="AE540" t="s">
        <v>3250</v>
      </c>
      <c r="AF540" t="s">
        <v>3250</v>
      </c>
      <c r="AG540" t="s">
        <v>3250</v>
      </c>
      <c r="AH540" t="s">
        <v>3250</v>
      </c>
      <c r="AI540" t="s">
        <v>3250</v>
      </c>
      <c r="AJ540" t="s">
        <v>3250</v>
      </c>
      <c r="AL540" t="s">
        <v>3250</v>
      </c>
      <c r="AM540" t="s">
        <v>3250</v>
      </c>
      <c r="AN540" t="s">
        <v>3250</v>
      </c>
      <c r="AO540" t="s">
        <v>3250</v>
      </c>
      <c r="AS540" t="s">
        <v>3250</v>
      </c>
      <c r="AT540" t="s">
        <v>3250</v>
      </c>
      <c r="AU540" t="s">
        <v>3250</v>
      </c>
      <c r="AV540" t="s">
        <v>3250</v>
      </c>
      <c r="AW540" t="s">
        <v>3250</v>
      </c>
      <c r="AX540" t="s">
        <v>3250</v>
      </c>
      <c r="AY540" t="s">
        <v>3250</v>
      </c>
      <c r="AZ540" t="s">
        <v>3250</v>
      </c>
      <c r="BA540" t="s">
        <v>3250</v>
      </c>
      <c r="BB540" t="s">
        <v>3250</v>
      </c>
      <c r="BC540" t="s">
        <v>3250</v>
      </c>
      <c r="BE540" t="s">
        <v>3250</v>
      </c>
      <c r="BF540" t="s">
        <v>3250</v>
      </c>
      <c r="BG540" t="s">
        <v>3250</v>
      </c>
      <c r="BH540" t="s">
        <v>3250</v>
      </c>
      <c r="BI540" t="s">
        <v>3250</v>
      </c>
      <c r="BK540" t="s">
        <v>3250</v>
      </c>
      <c r="BL540" t="s">
        <v>3250</v>
      </c>
      <c r="BM540" t="s">
        <v>3250</v>
      </c>
      <c r="BN540" t="s">
        <v>3250</v>
      </c>
      <c r="BP540">
        <v>5</v>
      </c>
      <c r="BQ540">
        <v>51</v>
      </c>
      <c r="BR540" t="s">
        <v>2406</v>
      </c>
      <c r="BS540" t="s">
        <v>4136</v>
      </c>
      <c r="BV540">
        <v>0</v>
      </c>
      <c r="BW540">
        <v>15500</v>
      </c>
      <c r="BX540">
        <v>0</v>
      </c>
      <c r="BY540">
        <v>40000</v>
      </c>
      <c r="BZ540">
        <v>40000</v>
      </c>
      <c r="CA540">
        <v>120000</v>
      </c>
      <c r="CB540">
        <v>124800</v>
      </c>
      <c r="CC540">
        <v>129792</v>
      </c>
      <c r="CD540">
        <v>0</v>
      </c>
      <c r="CE540" t="s">
        <v>3108</v>
      </c>
      <c r="CF540" t="s">
        <v>3108</v>
      </c>
      <c r="CG540" t="s">
        <v>3108</v>
      </c>
      <c r="CH540" t="s">
        <v>3108</v>
      </c>
    </row>
    <row r="541" spans="1:86" x14ac:dyDescent="0.2">
      <c r="A541" t="s">
        <v>4158</v>
      </c>
      <c r="B541" t="s">
        <v>4158</v>
      </c>
      <c r="C541">
        <v>40881</v>
      </c>
      <c r="D541">
        <v>474</v>
      </c>
      <c r="E541" t="s">
        <v>4015</v>
      </c>
      <c r="F541">
        <v>2900</v>
      </c>
      <c r="G541" t="s">
        <v>822</v>
      </c>
      <c r="H541" t="s">
        <v>3108</v>
      </c>
      <c r="I541" t="s">
        <v>3108</v>
      </c>
      <c r="J541">
        <v>2904</v>
      </c>
      <c r="K541" t="s">
        <v>1690</v>
      </c>
      <c r="L541">
        <v>2100</v>
      </c>
      <c r="M541" t="s">
        <v>123</v>
      </c>
      <c r="N541">
        <v>2115</v>
      </c>
      <c r="O541" t="s">
        <v>2406</v>
      </c>
      <c r="P541" t="s">
        <v>3108</v>
      </c>
      <c r="Q541" t="s">
        <v>3249</v>
      </c>
      <c r="R541" t="s">
        <v>3249</v>
      </c>
      <c r="S541" t="s">
        <v>810</v>
      </c>
      <c r="T541" t="s">
        <v>2754</v>
      </c>
      <c r="U541" t="s">
        <v>3250</v>
      </c>
      <c r="V541" t="s">
        <v>3250</v>
      </c>
      <c r="W541" t="s">
        <v>3250</v>
      </c>
      <c r="X541" t="s">
        <v>3250</v>
      </c>
      <c r="Y541" t="s">
        <v>3250</v>
      </c>
      <c r="Z541" t="s">
        <v>3250</v>
      </c>
      <c r="AA541" t="s">
        <v>3108</v>
      </c>
      <c r="AB541" t="s">
        <v>3108</v>
      </c>
      <c r="AC541" t="s">
        <v>3250</v>
      </c>
      <c r="AD541" t="s">
        <v>3250</v>
      </c>
      <c r="AE541" t="s">
        <v>3250</v>
      </c>
      <c r="AF541" t="s">
        <v>3250</v>
      </c>
      <c r="AG541" t="s">
        <v>3250</v>
      </c>
      <c r="AH541" t="s">
        <v>3250</v>
      </c>
      <c r="AI541" t="s">
        <v>3250</v>
      </c>
      <c r="AJ541" t="s">
        <v>3250</v>
      </c>
      <c r="AL541" t="s">
        <v>3250</v>
      </c>
      <c r="AM541" t="s">
        <v>3250</v>
      </c>
      <c r="AN541" t="s">
        <v>3250</v>
      </c>
      <c r="AO541" t="s">
        <v>3250</v>
      </c>
      <c r="AS541" t="s">
        <v>3250</v>
      </c>
      <c r="AT541" t="s">
        <v>3250</v>
      </c>
      <c r="AU541" t="s">
        <v>3250</v>
      </c>
      <c r="AV541" t="s">
        <v>3250</v>
      </c>
      <c r="AW541" t="s">
        <v>3250</v>
      </c>
      <c r="AX541" t="s">
        <v>3250</v>
      </c>
      <c r="AY541" t="s">
        <v>3250</v>
      </c>
      <c r="AZ541" t="s">
        <v>3250</v>
      </c>
      <c r="BA541" t="s">
        <v>3250</v>
      </c>
      <c r="BB541" t="s">
        <v>3250</v>
      </c>
      <c r="BC541" t="s">
        <v>3250</v>
      </c>
      <c r="BE541" t="s">
        <v>3250</v>
      </c>
      <c r="BF541" t="s">
        <v>3250</v>
      </c>
      <c r="BG541" t="s">
        <v>3250</v>
      </c>
      <c r="BH541" t="s">
        <v>3250</v>
      </c>
      <c r="BI541" t="s">
        <v>3250</v>
      </c>
      <c r="BK541" t="s">
        <v>3250</v>
      </c>
      <c r="BL541" t="s">
        <v>3250</v>
      </c>
      <c r="BM541" t="s">
        <v>3250</v>
      </c>
      <c r="BN541" t="s">
        <v>3250</v>
      </c>
      <c r="BP541">
        <v>5</v>
      </c>
      <c r="BQ541">
        <v>51</v>
      </c>
      <c r="BR541" t="s">
        <v>2406</v>
      </c>
      <c r="BS541" t="s">
        <v>4136</v>
      </c>
      <c r="BV541">
        <v>0</v>
      </c>
      <c r="BW541">
        <v>0</v>
      </c>
      <c r="BX541">
        <v>0</v>
      </c>
      <c r="BY541">
        <v>0</v>
      </c>
      <c r="BZ541">
        <v>0</v>
      </c>
      <c r="CA541">
        <v>0</v>
      </c>
      <c r="CB541">
        <v>0</v>
      </c>
      <c r="CC541">
        <v>0</v>
      </c>
      <c r="CD541">
        <v>0</v>
      </c>
      <c r="CE541" t="s">
        <v>3108</v>
      </c>
      <c r="CF541" t="s">
        <v>3108</v>
      </c>
      <c r="CG541" t="s">
        <v>3108</v>
      </c>
      <c r="CH541" t="s">
        <v>3108</v>
      </c>
    </row>
    <row r="542" spans="1:86" x14ac:dyDescent="0.2">
      <c r="A542" t="s">
        <v>4159</v>
      </c>
      <c r="B542" t="s">
        <v>4159</v>
      </c>
      <c r="C542">
        <v>40882</v>
      </c>
      <c r="D542">
        <v>475</v>
      </c>
      <c r="E542" t="s">
        <v>4006</v>
      </c>
      <c r="F542">
        <v>2700</v>
      </c>
      <c r="G542" t="s">
        <v>411</v>
      </c>
      <c r="H542" t="s">
        <v>4004</v>
      </c>
      <c r="I542" t="s">
        <v>2531</v>
      </c>
      <c r="J542">
        <v>2701</v>
      </c>
      <c r="K542" t="s">
        <v>2531</v>
      </c>
      <c r="L542">
        <v>2100</v>
      </c>
      <c r="M542" t="s">
        <v>123</v>
      </c>
      <c r="N542">
        <v>2115</v>
      </c>
      <c r="O542" t="s">
        <v>2406</v>
      </c>
      <c r="P542" t="s">
        <v>3108</v>
      </c>
      <c r="Q542" t="s">
        <v>3249</v>
      </c>
      <c r="R542" t="s">
        <v>3249</v>
      </c>
      <c r="S542" t="s">
        <v>810</v>
      </c>
      <c r="T542" t="s">
        <v>2754</v>
      </c>
      <c r="U542" t="s">
        <v>3250</v>
      </c>
      <c r="V542" t="s">
        <v>3250</v>
      </c>
      <c r="W542" t="s">
        <v>3250</v>
      </c>
      <c r="X542" t="s">
        <v>3250</v>
      </c>
      <c r="Y542" t="s">
        <v>3250</v>
      </c>
      <c r="Z542" t="s">
        <v>3250</v>
      </c>
      <c r="AA542" t="s">
        <v>3108</v>
      </c>
      <c r="AB542" t="s">
        <v>3108</v>
      </c>
      <c r="AC542" t="s">
        <v>3250</v>
      </c>
      <c r="AD542" t="s">
        <v>3250</v>
      </c>
      <c r="AE542" t="s">
        <v>3250</v>
      </c>
      <c r="AF542" t="s">
        <v>3250</v>
      </c>
      <c r="AG542" t="s">
        <v>3250</v>
      </c>
      <c r="AH542" t="s">
        <v>3250</v>
      </c>
      <c r="AI542" t="s">
        <v>3250</v>
      </c>
      <c r="AJ542" t="s">
        <v>3250</v>
      </c>
      <c r="AL542" t="s">
        <v>3250</v>
      </c>
      <c r="AM542" t="s">
        <v>3250</v>
      </c>
      <c r="AN542" t="s">
        <v>3250</v>
      </c>
      <c r="AO542" t="s">
        <v>3250</v>
      </c>
      <c r="AS542" t="s">
        <v>3250</v>
      </c>
      <c r="AT542" t="s">
        <v>3250</v>
      </c>
      <c r="AU542" t="s">
        <v>3250</v>
      </c>
      <c r="AV542" t="s">
        <v>3250</v>
      </c>
      <c r="AW542" t="s">
        <v>3250</v>
      </c>
      <c r="AX542" t="s">
        <v>3250</v>
      </c>
      <c r="AY542" t="s">
        <v>3250</v>
      </c>
      <c r="AZ542" t="s">
        <v>3250</v>
      </c>
      <c r="BA542" t="s">
        <v>3250</v>
      </c>
      <c r="BB542" t="s">
        <v>3250</v>
      </c>
      <c r="BC542" t="s">
        <v>3250</v>
      </c>
      <c r="BE542" t="s">
        <v>3250</v>
      </c>
      <c r="BF542" t="s">
        <v>3250</v>
      </c>
      <c r="BG542" t="s">
        <v>3250</v>
      </c>
      <c r="BH542" t="s">
        <v>3250</v>
      </c>
      <c r="BI542" t="s">
        <v>3250</v>
      </c>
      <c r="BK542" t="s">
        <v>3250</v>
      </c>
      <c r="BL542" t="s">
        <v>3250</v>
      </c>
      <c r="BM542" t="s">
        <v>3250</v>
      </c>
      <c r="BN542" t="s">
        <v>3250</v>
      </c>
      <c r="BP542">
        <v>5</v>
      </c>
      <c r="BQ542">
        <v>51</v>
      </c>
      <c r="BR542" t="s">
        <v>2406</v>
      </c>
      <c r="BS542" t="s">
        <v>4136</v>
      </c>
      <c r="BV542">
        <v>7350</v>
      </c>
      <c r="BW542">
        <v>40500</v>
      </c>
      <c r="BX542">
        <v>3706</v>
      </c>
      <c r="BY542">
        <v>50000</v>
      </c>
      <c r="BZ542">
        <v>50000</v>
      </c>
      <c r="CA542">
        <v>20000</v>
      </c>
      <c r="CB542">
        <v>20800</v>
      </c>
      <c r="CC542">
        <v>21632</v>
      </c>
      <c r="CD542">
        <v>0</v>
      </c>
      <c r="CE542" t="s">
        <v>3108</v>
      </c>
      <c r="CF542" t="s">
        <v>3108</v>
      </c>
      <c r="CG542" t="s">
        <v>3108</v>
      </c>
      <c r="CH542" t="s">
        <v>3108</v>
      </c>
    </row>
    <row r="543" spans="1:86" x14ac:dyDescent="0.2">
      <c r="A543" t="s">
        <v>4160</v>
      </c>
      <c r="B543" t="s">
        <v>4160</v>
      </c>
      <c r="C543">
        <v>40883</v>
      </c>
      <c r="D543">
        <v>476</v>
      </c>
      <c r="E543" t="s">
        <v>4003</v>
      </c>
      <c r="F543">
        <v>2700</v>
      </c>
      <c r="G543" t="s">
        <v>411</v>
      </c>
      <c r="H543" t="s">
        <v>4004</v>
      </c>
      <c r="I543" t="s">
        <v>2531</v>
      </c>
      <c r="J543">
        <v>2701</v>
      </c>
      <c r="K543" t="s">
        <v>2531</v>
      </c>
      <c r="L543">
        <v>2100</v>
      </c>
      <c r="M543" t="s">
        <v>123</v>
      </c>
      <c r="N543">
        <v>2115</v>
      </c>
      <c r="O543" t="s">
        <v>2406</v>
      </c>
      <c r="P543" t="s">
        <v>3108</v>
      </c>
      <c r="Q543" t="s">
        <v>3249</v>
      </c>
      <c r="R543" t="s">
        <v>3249</v>
      </c>
      <c r="S543" t="s">
        <v>810</v>
      </c>
      <c r="T543" t="s">
        <v>2754</v>
      </c>
      <c r="U543" t="s">
        <v>3250</v>
      </c>
      <c r="V543" t="s">
        <v>3250</v>
      </c>
      <c r="W543" t="s">
        <v>3250</v>
      </c>
      <c r="X543" t="s">
        <v>3250</v>
      </c>
      <c r="Y543" t="s">
        <v>3250</v>
      </c>
      <c r="Z543" t="s">
        <v>3250</v>
      </c>
      <c r="AA543" t="s">
        <v>3108</v>
      </c>
      <c r="AB543" t="s">
        <v>3108</v>
      </c>
      <c r="AC543" t="s">
        <v>3250</v>
      </c>
      <c r="AD543" t="s">
        <v>3250</v>
      </c>
      <c r="AE543" t="s">
        <v>3250</v>
      </c>
      <c r="AF543" t="s">
        <v>3250</v>
      </c>
      <c r="AG543" t="s">
        <v>3250</v>
      </c>
      <c r="AH543" t="s">
        <v>3250</v>
      </c>
      <c r="AI543" t="s">
        <v>3250</v>
      </c>
      <c r="AJ543" t="s">
        <v>3250</v>
      </c>
      <c r="AL543" t="s">
        <v>3250</v>
      </c>
      <c r="AM543" t="s">
        <v>3250</v>
      </c>
      <c r="AN543" t="s">
        <v>3250</v>
      </c>
      <c r="AO543" t="s">
        <v>3250</v>
      </c>
      <c r="AS543" t="s">
        <v>3250</v>
      </c>
      <c r="AT543" t="s">
        <v>3250</v>
      </c>
      <c r="AU543" t="s">
        <v>3250</v>
      </c>
      <c r="AV543" t="s">
        <v>3250</v>
      </c>
      <c r="AW543" t="s">
        <v>3250</v>
      </c>
      <c r="AX543" t="s">
        <v>3250</v>
      </c>
      <c r="AY543" t="s">
        <v>3250</v>
      </c>
      <c r="AZ543" t="s">
        <v>3250</v>
      </c>
      <c r="BA543" t="s">
        <v>3250</v>
      </c>
      <c r="BB543" t="s">
        <v>3250</v>
      </c>
      <c r="BC543" t="s">
        <v>3250</v>
      </c>
      <c r="BE543" t="s">
        <v>3250</v>
      </c>
      <c r="BF543" t="s">
        <v>3250</v>
      </c>
      <c r="BG543" t="s">
        <v>3250</v>
      </c>
      <c r="BH543" t="s">
        <v>3250</v>
      </c>
      <c r="BI543" t="s">
        <v>3250</v>
      </c>
      <c r="BK543" t="s">
        <v>3250</v>
      </c>
      <c r="BL543" t="s">
        <v>3250</v>
      </c>
      <c r="BM543" t="s">
        <v>3250</v>
      </c>
      <c r="BN543" t="s">
        <v>3250</v>
      </c>
      <c r="BP543">
        <v>5</v>
      </c>
      <c r="BQ543">
        <v>51</v>
      </c>
      <c r="BR543" t="s">
        <v>2406</v>
      </c>
      <c r="BS543" t="s">
        <v>4136</v>
      </c>
      <c r="BV543">
        <v>0</v>
      </c>
      <c r="BW543">
        <v>14400</v>
      </c>
      <c r="BX543">
        <v>0</v>
      </c>
      <c r="BY543">
        <v>40000</v>
      </c>
      <c r="BZ543">
        <v>40000</v>
      </c>
      <c r="CA543">
        <v>20000</v>
      </c>
      <c r="CB543">
        <v>20800</v>
      </c>
      <c r="CC543">
        <v>21632</v>
      </c>
      <c r="CD543">
        <v>0</v>
      </c>
      <c r="CE543" t="s">
        <v>3108</v>
      </c>
      <c r="CF543" t="s">
        <v>3108</v>
      </c>
      <c r="CG543" t="s">
        <v>3108</v>
      </c>
      <c r="CH543" t="s">
        <v>3108</v>
      </c>
    </row>
    <row r="544" spans="1:86" x14ac:dyDescent="0.2">
      <c r="A544" t="s">
        <v>4161</v>
      </c>
      <c r="B544" t="s">
        <v>4161</v>
      </c>
      <c r="C544">
        <v>40884</v>
      </c>
      <c r="D544">
        <v>477</v>
      </c>
      <c r="E544" t="s">
        <v>3990</v>
      </c>
      <c r="F544">
        <v>2900</v>
      </c>
      <c r="G544" t="s">
        <v>822</v>
      </c>
      <c r="H544" t="s">
        <v>3108</v>
      </c>
      <c r="I544" t="s">
        <v>3108</v>
      </c>
      <c r="J544">
        <v>2904</v>
      </c>
      <c r="K544" t="s">
        <v>1690</v>
      </c>
      <c r="L544">
        <v>2100</v>
      </c>
      <c r="M544" t="s">
        <v>123</v>
      </c>
      <c r="N544">
        <v>2115</v>
      </c>
      <c r="O544" t="s">
        <v>2406</v>
      </c>
      <c r="P544" t="s">
        <v>3108</v>
      </c>
      <c r="Q544" t="s">
        <v>3249</v>
      </c>
      <c r="R544" t="s">
        <v>3249</v>
      </c>
      <c r="S544" t="s">
        <v>810</v>
      </c>
      <c r="T544" t="s">
        <v>2754</v>
      </c>
      <c r="U544" t="s">
        <v>3250</v>
      </c>
      <c r="V544" t="s">
        <v>3250</v>
      </c>
      <c r="W544" t="s">
        <v>3250</v>
      </c>
      <c r="X544" t="s">
        <v>3250</v>
      </c>
      <c r="Y544" t="s">
        <v>3250</v>
      </c>
      <c r="Z544" t="s">
        <v>3250</v>
      </c>
      <c r="AA544" t="s">
        <v>3108</v>
      </c>
      <c r="AB544" t="s">
        <v>3108</v>
      </c>
      <c r="AC544" t="s">
        <v>3250</v>
      </c>
      <c r="AD544" t="s">
        <v>3250</v>
      </c>
      <c r="AE544" t="s">
        <v>3250</v>
      </c>
      <c r="AF544" t="s">
        <v>3250</v>
      </c>
      <c r="AG544" t="s">
        <v>3250</v>
      </c>
      <c r="AH544" t="s">
        <v>3250</v>
      </c>
      <c r="AI544" t="s">
        <v>3250</v>
      </c>
      <c r="AJ544" t="s">
        <v>3250</v>
      </c>
      <c r="AL544" t="s">
        <v>3250</v>
      </c>
      <c r="AM544" t="s">
        <v>3250</v>
      </c>
      <c r="AN544" t="s">
        <v>3250</v>
      </c>
      <c r="AO544" t="s">
        <v>3250</v>
      </c>
      <c r="AS544" t="s">
        <v>3250</v>
      </c>
      <c r="AT544" t="s">
        <v>3250</v>
      </c>
      <c r="AU544" t="s">
        <v>3250</v>
      </c>
      <c r="AV544" t="s">
        <v>3250</v>
      </c>
      <c r="AW544" t="s">
        <v>3250</v>
      </c>
      <c r="AX544" t="s">
        <v>3250</v>
      </c>
      <c r="AY544" t="s">
        <v>3250</v>
      </c>
      <c r="AZ544" t="s">
        <v>3250</v>
      </c>
      <c r="BA544" t="s">
        <v>3250</v>
      </c>
      <c r="BB544" t="s">
        <v>3250</v>
      </c>
      <c r="BC544" t="s">
        <v>3250</v>
      </c>
      <c r="BE544" t="s">
        <v>3250</v>
      </c>
      <c r="BF544" t="s">
        <v>3250</v>
      </c>
      <c r="BG544" t="s">
        <v>3250</v>
      </c>
      <c r="BH544" t="s">
        <v>3250</v>
      </c>
      <c r="BI544" t="s">
        <v>3250</v>
      </c>
      <c r="BK544" t="s">
        <v>3250</v>
      </c>
      <c r="BL544" t="s">
        <v>3250</v>
      </c>
      <c r="BM544" t="s">
        <v>3250</v>
      </c>
      <c r="BN544" t="s">
        <v>3250</v>
      </c>
      <c r="BP544">
        <v>5</v>
      </c>
      <c r="BQ544">
        <v>51</v>
      </c>
      <c r="BR544" t="s">
        <v>2406</v>
      </c>
      <c r="BS544" t="s">
        <v>4136</v>
      </c>
      <c r="BV544">
        <v>0</v>
      </c>
      <c r="BW544">
        <v>0</v>
      </c>
      <c r="BX544">
        <v>6250</v>
      </c>
      <c r="BY544">
        <v>0</v>
      </c>
      <c r="BZ544">
        <v>0</v>
      </c>
      <c r="CA544">
        <v>0</v>
      </c>
      <c r="CB544">
        <v>0</v>
      </c>
      <c r="CC544">
        <v>0</v>
      </c>
      <c r="CD544">
        <v>0</v>
      </c>
      <c r="CE544" t="s">
        <v>3108</v>
      </c>
      <c r="CF544" t="s">
        <v>3108</v>
      </c>
      <c r="CG544" t="s">
        <v>3108</v>
      </c>
      <c r="CH544" t="s">
        <v>3108</v>
      </c>
    </row>
    <row r="545" spans="1:86" x14ac:dyDescent="0.2">
      <c r="A545" t="s">
        <v>4162</v>
      </c>
      <c r="B545" t="s">
        <v>4162</v>
      </c>
      <c r="C545">
        <v>40885</v>
      </c>
      <c r="D545">
        <v>478</v>
      </c>
      <c r="E545" t="s">
        <v>4031</v>
      </c>
      <c r="F545">
        <v>2900</v>
      </c>
      <c r="G545" t="s">
        <v>822</v>
      </c>
      <c r="H545" t="s">
        <v>3108</v>
      </c>
      <c r="I545" t="s">
        <v>3108</v>
      </c>
      <c r="J545">
        <v>2904</v>
      </c>
      <c r="K545" t="s">
        <v>1690</v>
      </c>
      <c r="L545">
        <v>2100</v>
      </c>
      <c r="M545" t="s">
        <v>123</v>
      </c>
      <c r="N545">
        <v>2115</v>
      </c>
      <c r="O545" t="s">
        <v>2406</v>
      </c>
      <c r="P545" t="s">
        <v>3108</v>
      </c>
      <c r="Q545" t="s">
        <v>3249</v>
      </c>
      <c r="R545" t="s">
        <v>3249</v>
      </c>
      <c r="S545" t="s">
        <v>810</v>
      </c>
      <c r="T545" t="s">
        <v>2754</v>
      </c>
      <c r="U545" t="s">
        <v>3250</v>
      </c>
      <c r="V545" t="s">
        <v>3250</v>
      </c>
      <c r="W545" t="s">
        <v>3250</v>
      </c>
      <c r="X545" t="s">
        <v>3250</v>
      </c>
      <c r="Y545" t="s">
        <v>3250</v>
      </c>
      <c r="Z545" t="s">
        <v>3250</v>
      </c>
      <c r="AA545" t="s">
        <v>3108</v>
      </c>
      <c r="AB545" t="s">
        <v>3108</v>
      </c>
      <c r="AC545" t="s">
        <v>3250</v>
      </c>
      <c r="AD545" t="s">
        <v>3250</v>
      </c>
      <c r="AE545" t="s">
        <v>3250</v>
      </c>
      <c r="AF545" t="s">
        <v>3250</v>
      </c>
      <c r="AG545" t="s">
        <v>3250</v>
      </c>
      <c r="AH545" t="s">
        <v>3250</v>
      </c>
      <c r="AI545" t="s">
        <v>3250</v>
      </c>
      <c r="AJ545" t="s">
        <v>3250</v>
      </c>
      <c r="AL545" t="s">
        <v>3250</v>
      </c>
      <c r="AM545" t="s">
        <v>3250</v>
      </c>
      <c r="AN545" t="s">
        <v>3250</v>
      </c>
      <c r="AO545" t="s">
        <v>3250</v>
      </c>
      <c r="AS545" t="s">
        <v>3250</v>
      </c>
      <c r="AT545" t="s">
        <v>3250</v>
      </c>
      <c r="AU545" t="s">
        <v>3250</v>
      </c>
      <c r="AV545" t="s">
        <v>3250</v>
      </c>
      <c r="AW545" t="s">
        <v>3250</v>
      </c>
      <c r="AX545" t="s">
        <v>3250</v>
      </c>
      <c r="AY545" t="s">
        <v>3250</v>
      </c>
      <c r="AZ545" t="s">
        <v>3250</v>
      </c>
      <c r="BA545" t="s">
        <v>3250</v>
      </c>
      <c r="BB545" t="s">
        <v>3250</v>
      </c>
      <c r="BC545" t="s">
        <v>3250</v>
      </c>
      <c r="BE545" t="s">
        <v>3250</v>
      </c>
      <c r="BF545" t="s">
        <v>3250</v>
      </c>
      <c r="BG545" t="s">
        <v>3250</v>
      </c>
      <c r="BH545" t="s">
        <v>3250</v>
      </c>
      <c r="BI545" t="s">
        <v>3250</v>
      </c>
      <c r="BK545" t="s">
        <v>3250</v>
      </c>
      <c r="BL545" t="s">
        <v>3250</v>
      </c>
      <c r="BM545" t="s">
        <v>3250</v>
      </c>
      <c r="BN545" t="s">
        <v>3250</v>
      </c>
      <c r="BP545">
        <v>5</v>
      </c>
      <c r="BQ545">
        <v>51</v>
      </c>
      <c r="BR545" t="s">
        <v>2406</v>
      </c>
      <c r="BS545" t="s">
        <v>4136</v>
      </c>
      <c r="BV545">
        <v>0</v>
      </c>
      <c r="BW545">
        <v>283364</v>
      </c>
      <c r="BX545">
        <v>0</v>
      </c>
      <c r="BY545">
        <v>0</v>
      </c>
      <c r="BZ545">
        <v>0</v>
      </c>
      <c r="CA545">
        <v>150000</v>
      </c>
      <c r="CB545">
        <v>156000</v>
      </c>
      <c r="CC545">
        <v>162240</v>
      </c>
      <c r="CD545">
        <v>0</v>
      </c>
      <c r="CE545" t="s">
        <v>3108</v>
      </c>
      <c r="CF545" t="s">
        <v>3108</v>
      </c>
      <c r="CG545" t="s">
        <v>3108</v>
      </c>
      <c r="CH545" t="s">
        <v>3108</v>
      </c>
    </row>
    <row r="546" spans="1:86" x14ac:dyDescent="0.2">
      <c r="A546" t="s">
        <v>4163</v>
      </c>
      <c r="B546" t="s">
        <v>4163</v>
      </c>
      <c r="C546">
        <v>40886</v>
      </c>
      <c r="D546">
        <v>479</v>
      </c>
      <c r="E546" t="s">
        <v>4033</v>
      </c>
      <c r="F546">
        <v>2900</v>
      </c>
      <c r="G546" t="s">
        <v>822</v>
      </c>
      <c r="H546" t="s">
        <v>3108</v>
      </c>
      <c r="I546" t="s">
        <v>3108</v>
      </c>
      <c r="J546">
        <v>2904</v>
      </c>
      <c r="K546" t="s">
        <v>1690</v>
      </c>
      <c r="L546">
        <v>2100</v>
      </c>
      <c r="M546" t="s">
        <v>123</v>
      </c>
      <c r="N546">
        <v>2115</v>
      </c>
      <c r="O546" t="s">
        <v>2406</v>
      </c>
      <c r="P546" t="s">
        <v>3108</v>
      </c>
      <c r="Q546" t="s">
        <v>3249</v>
      </c>
      <c r="R546" t="s">
        <v>3249</v>
      </c>
      <c r="S546" t="s">
        <v>810</v>
      </c>
      <c r="T546" t="s">
        <v>2754</v>
      </c>
      <c r="U546" t="s">
        <v>3250</v>
      </c>
      <c r="V546" t="s">
        <v>3250</v>
      </c>
      <c r="W546" t="s">
        <v>3250</v>
      </c>
      <c r="X546" t="s">
        <v>3250</v>
      </c>
      <c r="Y546" t="s">
        <v>3250</v>
      </c>
      <c r="Z546" t="s">
        <v>3250</v>
      </c>
      <c r="AA546" t="s">
        <v>3108</v>
      </c>
      <c r="AB546" t="s">
        <v>3108</v>
      </c>
      <c r="AC546" t="s">
        <v>3250</v>
      </c>
      <c r="AD546" t="s">
        <v>3250</v>
      </c>
      <c r="AE546" t="s">
        <v>3250</v>
      </c>
      <c r="AF546" t="s">
        <v>3250</v>
      </c>
      <c r="AG546" t="s">
        <v>3250</v>
      </c>
      <c r="AH546" t="s">
        <v>3250</v>
      </c>
      <c r="AI546" t="s">
        <v>3250</v>
      </c>
      <c r="AJ546" t="s">
        <v>3250</v>
      </c>
      <c r="AL546" t="s">
        <v>3250</v>
      </c>
      <c r="AM546" t="s">
        <v>3250</v>
      </c>
      <c r="AN546" t="s">
        <v>3250</v>
      </c>
      <c r="AO546" t="s">
        <v>3250</v>
      </c>
      <c r="AS546" t="s">
        <v>3250</v>
      </c>
      <c r="AT546" t="s">
        <v>3250</v>
      </c>
      <c r="AU546" t="s">
        <v>3250</v>
      </c>
      <c r="AV546" t="s">
        <v>3250</v>
      </c>
      <c r="AW546" t="s">
        <v>3250</v>
      </c>
      <c r="AX546" t="s">
        <v>3250</v>
      </c>
      <c r="AY546" t="s">
        <v>3250</v>
      </c>
      <c r="AZ546" t="s">
        <v>3250</v>
      </c>
      <c r="BA546" t="s">
        <v>3250</v>
      </c>
      <c r="BB546" t="s">
        <v>3250</v>
      </c>
      <c r="BC546" t="s">
        <v>3250</v>
      </c>
      <c r="BE546" t="s">
        <v>3250</v>
      </c>
      <c r="BF546" t="s">
        <v>3250</v>
      </c>
      <c r="BG546" t="s">
        <v>3250</v>
      </c>
      <c r="BH546" t="s">
        <v>3250</v>
      </c>
      <c r="BI546" t="s">
        <v>3250</v>
      </c>
      <c r="BK546" t="s">
        <v>3250</v>
      </c>
      <c r="BL546" t="s">
        <v>3250</v>
      </c>
      <c r="BM546" t="s">
        <v>3250</v>
      </c>
      <c r="BN546" t="s">
        <v>3250</v>
      </c>
      <c r="BP546">
        <v>5</v>
      </c>
      <c r="BQ546">
        <v>51</v>
      </c>
      <c r="BR546" t="s">
        <v>2406</v>
      </c>
      <c r="BS546" t="s">
        <v>4136</v>
      </c>
      <c r="BV546">
        <v>0</v>
      </c>
      <c r="BW546">
        <v>0</v>
      </c>
      <c r="BX546">
        <v>0</v>
      </c>
      <c r="BY546">
        <v>0</v>
      </c>
      <c r="BZ546">
        <v>0</v>
      </c>
      <c r="CA546">
        <v>0</v>
      </c>
      <c r="CB546">
        <v>0</v>
      </c>
      <c r="CC546">
        <v>0</v>
      </c>
      <c r="CD546">
        <v>0</v>
      </c>
      <c r="CE546" t="s">
        <v>3108</v>
      </c>
      <c r="CF546" t="s">
        <v>3108</v>
      </c>
      <c r="CG546" t="s">
        <v>3108</v>
      </c>
      <c r="CH546" t="s">
        <v>3108</v>
      </c>
    </row>
    <row r="547" spans="1:86" x14ac:dyDescent="0.2">
      <c r="A547" t="s">
        <v>4164</v>
      </c>
      <c r="B547" t="s">
        <v>4164</v>
      </c>
      <c r="C547">
        <v>40887</v>
      </c>
      <c r="D547">
        <v>480</v>
      </c>
      <c r="E547" t="s">
        <v>3992</v>
      </c>
      <c r="F547">
        <v>2900</v>
      </c>
      <c r="G547" t="s">
        <v>822</v>
      </c>
      <c r="H547" t="s">
        <v>3108</v>
      </c>
      <c r="I547" t="s">
        <v>3108</v>
      </c>
      <c r="J547">
        <v>2904</v>
      </c>
      <c r="K547" t="s">
        <v>1690</v>
      </c>
      <c r="L547">
        <v>2100</v>
      </c>
      <c r="M547" t="s">
        <v>123</v>
      </c>
      <c r="N547">
        <v>2115</v>
      </c>
      <c r="O547" t="s">
        <v>2406</v>
      </c>
      <c r="P547" t="s">
        <v>3108</v>
      </c>
      <c r="Q547" t="s">
        <v>3249</v>
      </c>
      <c r="R547" t="s">
        <v>3249</v>
      </c>
      <c r="S547" t="s">
        <v>810</v>
      </c>
      <c r="T547" t="s">
        <v>2754</v>
      </c>
      <c r="U547" t="s">
        <v>3250</v>
      </c>
      <c r="V547" t="s">
        <v>3250</v>
      </c>
      <c r="W547" t="s">
        <v>3250</v>
      </c>
      <c r="X547" t="s">
        <v>3250</v>
      </c>
      <c r="Y547" t="s">
        <v>3250</v>
      </c>
      <c r="Z547" t="s">
        <v>3250</v>
      </c>
      <c r="AA547" t="s">
        <v>3108</v>
      </c>
      <c r="AB547" t="s">
        <v>3108</v>
      </c>
      <c r="AC547" t="s">
        <v>3250</v>
      </c>
      <c r="AD547" t="s">
        <v>3250</v>
      </c>
      <c r="AE547" t="s">
        <v>3250</v>
      </c>
      <c r="AF547" t="s">
        <v>3250</v>
      </c>
      <c r="AG547" t="s">
        <v>3250</v>
      </c>
      <c r="AH547" t="s">
        <v>3250</v>
      </c>
      <c r="AI547" t="s">
        <v>3250</v>
      </c>
      <c r="AJ547" t="s">
        <v>3250</v>
      </c>
      <c r="AL547" t="s">
        <v>3250</v>
      </c>
      <c r="AM547" t="s">
        <v>3250</v>
      </c>
      <c r="AN547" t="s">
        <v>3250</v>
      </c>
      <c r="AO547" t="s">
        <v>3250</v>
      </c>
      <c r="AS547" t="s">
        <v>3250</v>
      </c>
      <c r="AT547" t="s">
        <v>3250</v>
      </c>
      <c r="AU547" t="s">
        <v>3250</v>
      </c>
      <c r="AV547" t="s">
        <v>3250</v>
      </c>
      <c r="AW547" t="s">
        <v>3250</v>
      </c>
      <c r="AX547" t="s">
        <v>3250</v>
      </c>
      <c r="AY547" t="s">
        <v>3250</v>
      </c>
      <c r="AZ547" t="s">
        <v>3250</v>
      </c>
      <c r="BA547" t="s">
        <v>3250</v>
      </c>
      <c r="BB547" t="s">
        <v>3250</v>
      </c>
      <c r="BC547" t="s">
        <v>3250</v>
      </c>
      <c r="BE547" t="s">
        <v>3250</v>
      </c>
      <c r="BF547" t="s">
        <v>3250</v>
      </c>
      <c r="BG547" t="s">
        <v>3250</v>
      </c>
      <c r="BH547" t="s">
        <v>3250</v>
      </c>
      <c r="BI547" t="s">
        <v>3250</v>
      </c>
      <c r="BK547" t="s">
        <v>3250</v>
      </c>
      <c r="BL547" t="s">
        <v>3250</v>
      </c>
      <c r="BM547" t="s">
        <v>3250</v>
      </c>
      <c r="BN547" t="s">
        <v>3250</v>
      </c>
      <c r="BP547">
        <v>5</v>
      </c>
      <c r="BQ547">
        <v>51</v>
      </c>
      <c r="BR547" t="s">
        <v>2406</v>
      </c>
      <c r="BS547" t="s">
        <v>4136</v>
      </c>
      <c r="BV547">
        <v>0</v>
      </c>
      <c r="BW547">
        <v>28000</v>
      </c>
      <c r="BX547">
        <v>0</v>
      </c>
      <c r="BY547">
        <v>180000</v>
      </c>
      <c r="BZ547">
        <v>180000</v>
      </c>
      <c r="CA547">
        <v>180000</v>
      </c>
      <c r="CB547">
        <v>187200</v>
      </c>
      <c r="CC547">
        <v>194688</v>
      </c>
      <c r="CD547">
        <v>0</v>
      </c>
      <c r="CE547" t="s">
        <v>3108</v>
      </c>
      <c r="CF547" t="s">
        <v>3108</v>
      </c>
      <c r="CG547" t="s">
        <v>3108</v>
      </c>
      <c r="CH547" t="s">
        <v>3108</v>
      </c>
    </row>
    <row r="548" spans="1:86" x14ac:dyDescent="0.2">
      <c r="A548" t="s">
        <v>4165</v>
      </c>
      <c r="B548" t="s">
        <v>4165</v>
      </c>
      <c r="C548">
        <v>40888</v>
      </c>
      <c r="D548">
        <v>481</v>
      </c>
      <c r="E548" t="s">
        <v>4015</v>
      </c>
      <c r="F548">
        <v>2900</v>
      </c>
      <c r="G548" t="s">
        <v>822</v>
      </c>
      <c r="H548" t="s">
        <v>3108</v>
      </c>
      <c r="I548" t="s">
        <v>3108</v>
      </c>
      <c r="J548">
        <v>2904</v>
      </c>
      <c r="K548" t="s">
        <v>1690</v>
      </c>
      <c r="L548">
        <v>2100</v>
      </c>
      <c r="M548" t="s">
        <v>123</v>
      </c>
      <c r="N548">
        <v>2115</v>
      </c>
      <c r="O548" t="s">
        <v>2406</v>
      </c>
      <c r="P548" t="s">
        <v>3108</v>
      </c>
      <c r="Q548" t="s">
        <v>3249</v>
      </c>
      <c r="R548" t="s">
        <v>3249</v>
      </c>
      <c r="S548" t="s">
        <v>810</v>
      </c>
      <c r="T548" t="s">
        <v>2754</v>
      </c>
      <c r="U548" t="s">
        <v>3250</v>
      </c>
      <c r="V548" t="s">
        <v>3250</v>
      </c>
      <c r="W548" t="s">
        <v>3250</v>
      </c>
      <c r="X548" t="s">
        <v>3250</v>
      </c>
      <c r="Y548" t="s">
        <v>3250</v>
      </c>
      <c r="Z548" t="s">
        <v>3250</v>
      </c>
      <c r="AA548" t="s">
        <v>3108</v>
      </c>
      <c r="AB548" t="s">
        <v>3108</v>
      </c>
      <c r="AC548" t="s">
        <v>3250</v>
      </c>
      <c r="AD548" t="s">
        <v>3250</v>
      </c>
      <c r="AE548" t="s">
        <v>3250</v>
      </c>
      <c r="AF548" t="s">
        <v>3250</v>
      </c>
      <c r="AG548" t="s">
        <v>3250</v>
      </c>
      <c r="AH548" t="s">
        <v>3250</v>
      </c>
      <c r="AI548" t="s">
        <v>3250</v>
      </c>
      <c r="AJ548" t="s">
        <v>3250</v>
      </c>
      <c r="AL548" t="s">
        <v>3250</v>
      </c>
      <c r="AM548" t="s">
        <v>3250</v>
      </c>
      <c r="AN548" t="s">
        <v>3250</v>
      </c>
      <c r="AO548" t="s">
        <v>3250</v>
      </c>
      <c r="AS548" t="s">
        <v>3250</v>
      </c>
      <c r="AT548" t="s">
        <v>3250</v>
      </c>
      <c r="AU548" t="s">
        <v>3250</v>
      </c>
      <c r="AV548" t="s">
        <v>3250</v>
      </c>
      <c r="AW548" t="s">
        <v>3250</v>
      </c>
      <c r="AX548" t="s">
        <v>3250</v>
      </c>
      <c r="AY548" t="s">
        <v>3250</v>
      </c>
      <c r="AZ548" t="s">
        <v>3250</v>
      </c>
      <c r="BA548" t="s">
        <v>3250</v>
      </c>
      <c r="BB548" t="s">
        <v>3250</v>
      </c>
      <c r="BC548" t="s">
        <v>3250</v>
      </c>
      <c r="BE548" t="s">
        <v>3250</v>
      </c>
      <c r="BF548" t="s">
        <v>3250</v>
      </c>
      <c r="BG548" t="s">
        <v>3250</v>
      </c>
      <c r="BH548" t="s">
        <v>3250</v>
      </c>
      <c r="BI548" t="s">
        <v>3250</v>
      </c>
      <c r="BK548" t="s">
        <v>3250</v>
      </c>
      <c r="BL548" t="s">
        <v>3250</v>
      </c>
      <c r="BM548" t="s">
        <v>3250</v>
      </c>
      <c r="BN548" t="s">
        <v>3250</v>
      </c>
      <c r="BP548">
        <v>5</v>
      </c>
      <c r="BQ548">
        <v>51</v>
      </c>
      <c r="BR548" t="s">
        <v>2406</v>
      </c>
      <c r="BS548" t="s">
        <v>4136</v>
      </c>
      <c r="BV548">
        <v>0</v>
      </c>
      <c r="BW548">
        <v>0</v>
      </c>
      <c r="BX548">
        <v>2000</v>
      </c>
      <c r="BY548">
        <v>0</v>
      </c>
      <c r="BZ548">
        <v>0</v>
      </c>
      <c r="CA548">
        <v>20000</v>
      </c>
      <c r="CB548">
        <v>20800</v>
      </c>
      <c r="CC548">
        <v>21632</v>
      </c>
      <c r="CD548">
        <v>0</v>
      </c>
      <c r="CE548" t="s">
        <v>3108</v>
      </c>
      <c r="CF548" t="s">
        <v>3108</v>
      </c>
      <c r="CG548" t="s">
        <v>3108</v>
      </c>
      <c r="CH548" t="s">
        <v>3108</v>
      </c>
    </row>
    <row r="549" spans="1:86" x14ac:dyDescent="0.2">
      <c r="A549" t="s">
        <v>4166</v>
      </c>
      <c r="B549" t="s">
        <v>4166</v>
      </c>
      <c r="C549">
        <v>40889</v>
      </c>
      <c r="D549">
        <v>482</v>
      </c>
      <c r="E549" t="s">
        <v>4003</v>
      </c>
      <c r="F549">
        <v>2700</v>
      </c>
      <c r="G549" t="s">
        <v>411</v>
      </c>
      <c r="H549" t="s">
        <v>4004</v>
      </c>
      <c r="I549" t="s">
        <v>2531</v>
      </c>
      <c r="J549">
        <v>2701</v>
      </c>
      <c r="K549" t="s">
        <v>2531</v>
      </c>
      <c r="L549">
        <v>2100</v>
      </c>
      <c r="M549" t="s">
        <v>123</v>
      </c>
      <c r="N549">
        <v>2115</v>
      </c>
      <c r="O549" t="s">
        <v>2406</v>
      </c>
      <c r="P549" t="s">
        <v>3108</v>
      </c>
      <c r="Q549" t="s">
        <v>3249</v>
      </c>
      <c r="R549" t="s">
        <v>3249</v>
      </c>
      <c r="S549" t="s">
        <v>810</v>
      </c>
      <c r="T549" t="s">
        <v>2754</v>
      </c>
      <c r="U549" t="s">
        <v>3250</v>
      </c>
      <c r="V549" t="s">
        <v>3250</v>
      </c>
      <c r="W549" t="s">
        <v>3250</v>
      </c>
      <c r="X549" t="s">
        <v>3250</v>
      </c>
      <c r="Y549" t="s">
        <v>3250</v>
      </c>
      <c r="Z549" t="s">
        <v>3250</v>
      </c>
      <c r="AA549" t="s">
        <v>3108</v>
      </c>
      <c r="AB549" t="s">
        <v>3108</v>
      </c>
      <c r="AC549" t="s">
        <v>3250</v>
      </c>
      <c r="AD549" t="s">
        <v>3250</v>
      </c>
      <c r="AE549" t="s">
        <v>3250</v>
      </c>
      <c r="AF549" t="s">
        <v>3250</v>
      </c>
      <c r="AG549" t="s">
        <v>3250</v>
      </c>
      <c r="AH549" t="s">
        <v>3250</v>
      </c>
      <c r="AI549" t="s">
        <v>3250</v>
      </c>
      <c r="AJ549" t="s">
        <v>3250</v>
      </c>
      <c r="AL549" t="s">
        <v>3250</v>
      </c>
      <c r="AM549" t="s">
        <v>3250</v>
      </c>
      <c r="AN549" t="s">
        <v>3250</v>
      </c>
      <c r="AO549" t="s">
        <v>3250</v>
      </c>
      <c r="AS549" t="s">
        <v>3250</v>
      </c>
      <c r="AT549" t="s">
        <v>3250</v>
      </c>
      <c r="AU549" t="s">
        <v>3250</v>
      </c>
      <c r="AV549" t="s">
        <v>3250</v>
      </c>
      <c r="AW549" t="s">
        <v>3250</v>
      </c>
      <c r="AX549" t="s">
        <v>3250</v>
      </c>
      <c r="AY549" t="s">
        <v>3250</v>
      </c>
      <c r="AZ549" t="s">
        <v>3250</v>
      </c>
      <c r="BA549" t="s">
        <v>3250</v>
      </c>
      <c r="BB549" t="s">
        <v>3250</v>
      </c>
      <c r="BC549" t="s">
        <v>3250</v>
      </c>
      <c r="BE549" t="s">
        <v>3250</v>
      </c>
      <c r="BF549" t="s">
        <v>3250</v>
      </c>
      <c r="BG549" t="s">
        <v>3250</v>
      </c>
      <c r="BH549" t="s">
        <v>3250</v>
      </c>
      <c r="BI549" t="s">
        <v>3250</v>
      </c>
      <c r="BK549" t="s">
        <v>3250</v>
      </c>
      <c r="BL549" t="s">
        <v>3250</v>
      </c>
      <c r="BM549" t="s">
        <v>3250</v>
      </c>
      <c r="BN549" t="s">
        <v>3250</v>
      </c>
      <c r="BP549">
        <v>5</v>
      </c>
      <c r="BQ549">
        <v>51</v>
      </c>
      <c r="BR549" t="s">
        <v>2406</v>
      </c>
      <c r="BS549" t="s">
        <v>4136</v>
      </c>
      <c r="BV549">
        <v>0</v>
      </c>
      <c r="BW549">
        <v>36500</v>
      </c>
      <c r="BX549">
        <v>27800</v>
      </c>
      <c r="BY549">
        <v>50000</v>
      </c>
      <c r="BZ549">
        <v>80000</v>
      </c>
      <c r="CA549">
        <v>80000</v>
      </c>
      <c r="CB549">
        <v>83200</v>
      </c>
      <c r="CC549">
        <v>86528</v>
      </c>
      <c r="CD549">
        <v>0</v>
      </c>
      <c r="CE549" t="s">
        <v>3108</v>
      </c>
      <c r="CF549" t="s">
        <v>3108</v>
      </c>
      <c r="CG549" t="s">
        <v>3108</v>
      </c>
      <c r="CH549" t="s">
        <v>3108</v>
      </c>
    </row>
    <row r="550" spans="1:86" x14ac:dyDescent="0.2">
      <c r="A550" t="s">
        <v>4167</v>
      </c>
      <c r="B550" t="s">
        <v>4167</v>
      </c>
      <c r="C550">
        <v>40890</v>
      </c>
      <c r="D550">
        <v>483</v>
      </c>
      <c r="E550" t="s">
        <v>4168</v>
      </c>
      <c r="F550">
        <v>2900</v>
      </c>
      <c r="G550" t="s">
        <v>822</v>
      </c>
      <c r="H550" t="s">
        <v>3108</v>
      </c>
      <c r="I550" t="s">
        <v>3108</v>
      </c>
      <c r="J550">
        <v>2904</v>
      </c>
      <c r="K550" t="s">
        <v>1690</v>
      </c>
      <c r="L550">
        <v>2100</v>
      </c>
      <c r="M550" t="s">
        <v>123</v>
      </c>
      <c r="N550">
        <v>2115</v>
      </c>
      <c r="O550" t="s">
        <v>2406</v>
      </c>
      <c r="P550" t="s">
        <v>3108</v>
      </c>
      <c r="Q550" t="s">
        <v>3249</v>
      </c>
      <c r="R550" t="s">
        <v>3249</v>
      </c>
      <c r="S550" t="s">
        <v>810</v>
      </c>
      <c r="T550" t="s">
        <v>2754</v>
      </c>
      <c r="U550" t="s">
        <v>3250</v>
      </c>
      <c r="V550" t="s">
        <v>3250</v>
      </c>
      <c r="W550" t="s">
        <v>3250</v>
      </c>
      <c r="X550" t="s">
        <v>3250</v>
      </c>
      <c r="Y550" t="s">
        <v>3250</v>
      </c>
      <c r="Z550" t="s">
        <v>3250</v>
      </c>
      <c r="AA550" t="s">
        <v>3108</v>
      </c>
      <c r="AB550" t="s">
        <v>3108</v>
      </c>
      <c r="AC550" t="s">
        <v>3250</v>
      </c>
      <c r="AD550" t="s">
        <v>3250</v>
      </c>
      <c r="AE550" t="s">
        <v>3250</v>
      </c>
      <c r="AF550" t="s">
        <v>3250</v>
      </c>
      <c r="AG550" t="s">
        <v>3250</v>
      </c>
      <c r="AH550" t="s">
        <v>3250</v>
      </c>
      <c r="AI550" t="s">
        <v>3250</v>
      </c>
      <c r="AJ550" t="s">
        <v>3250</v>
      </c>
      <c r="AL550" t="s">
        <v>3250</v>
      </c>
      <c r="AM550" t="s">
        <v>3250</v>
      </c>
      <c r="AN550" t="s">
        <v>3250</v>
      </c>
      <c r="AO550" t="s">
        <v>3250</v>
      </c>
      <c r="AS550" t="s">
        <v>3250</v>
      </c>
      <c r="AT550" t="s">
        <v>3250</v>
      </c>
      <c r="AU550" t="s">
        <v>3250</v>
      </c>
      <c r="AV550" t="s">
        <v>3250</v>
      </c>
      <c r="AW550" t="s">
        <v>3250</v>
      </c>
      <c r="AX550" t="s">
        <v>3250</v>
      </c>
      <c r="AY550" t="s">
        <v>3250</v>
      </c>
      <c r="AZ550" t="s">
        <v>3250</v>
      </c>
      <c r="BA550" t="s">
        <v>3250</v>
      </c>
      <c r="BB550" t="s">
        <v>3250</v>
      </c>
      <c r="BC550" t="s">
        <v>3250</v>
      </c>
      <c r="BE550" t="s">
        <v>3250</v>
      </c>
      <c r="BF550" t="s">
        <v>3250</v>
      </c>
      <c r="BG550" t="s">
        <v>3250</v>
      </c>
      <c r="BH550" t="s">
        <v>3250</v>
      </c>
      <c r="BI550" t="s">
        <v>3250</v>
      </c>
      <c r="BK550" t="s">
        <v>3250</v>
      </c>
      <c r="BL550" t="s">
        <v>3250</v>
      </c>
      <c r="BM550" t="s">
        <v>3250</v>
      </c>
      <c r="BN550" t="s">
        <v>3250</v>
      </c>
      <c r="BP550">
        <v>5</v>
      </c>
      <c r="BQ550">
        <v>51</v>
      </c>
      <c r="BR550" t="s">
        <v>2406</v>
      </c>
      <c r="BS550" t="s">
        <v>4136</v>
      </c>
      <c r="BV550">
        <v>852600</v>
      </c>
      <c r="BW550">
        <v>8070</v>
      </c>
      <c r="BX550">
        <v>61674</v>
      </c>
      <c r="BY550">
        <v>1200000</v>
      </c>
      <c r="BZ550">
        <v>1200000</v>
      </c>
      <c r="CA550">
        <v>1200000</v>
      </c>
      <c r="CB550">
        <v>1248000</v>
      </c>
      <c r="CC550">
        <v>1297920</v>
      </c>
      <c r="CD550">
        <v>0</v>
      </c>
      <c r="CE550" t="s">
        <v>3108</v>
      </c>
      <c r="CF550" t="s">
        <v>3108</v>
      </c>
      <c r="CG550" t="s">
        <v>3108</v>
      </c>
      <c r="CH550" t="s">
        <v>3108</v>
      </c>
    </row>
    <row r="551" spans="1:86" x14ac:dyDescent="0.2">
      <c r="A551" t="s">
        <v>4169</v>
      </c>
      <c r="B551" t="s">
        <v>4169</v>
      </c>
      <c r="C551">
        <v>40891</v>
      </c>
      <c r="D551">
        <v>197</v>
      </c>
      <c r="E551" t="s">
        <v>4027</v>
      </c>
      <c r="F551">
        <v>2900</v>
      </c>
      <c r="G551" t="s">
        <v>822</v>
      </c>
      <c r="H551" t="s">
        <v>3108</v>
      </c>
      <c r="I551" t="s">
        <v>3108</v>
      </c>
      <c r="J551">
        <v>2904</v>
      </c>
      <c r="K551" t="s">
        <v>1690</v>
      </c>
      <c r="L551">
        <v>2200</v>
      </c>
      <c r="M551" t="s">
        <v>124</v>
      </c>
      <c r="N551">
        <v>2205</v>
      </c>
      <c r="O551" t="s">
        <v>2390</v>
      </c>
      <c r="P551" t="s">
        <v>3108</v>
      </c>
      <c r="Q551" t="s">
        <v>3249</v>
      </c>
      <c r="R551" t="s">
        <v>3249</v>
      </c>
      <c r="S551" t="s">
        <v>810</v>
      </c>
      <c r="T551" t="s">
        <v>2754</v>
      </c>
      <c r="U551" t="s">
        <v>3250</v>
      </c>
      <c r="V551" t="s">
        <v>3250</v>
      </c>
      <c r="W551" t="s">
        <v>3250</v>
      </c>
      <c r="X551" t="s">
        <v>3250</v>
      </c>
      <c r="Y551" t="s">
        <v>3250</v>
      </c>
      <c r="Z551" t="s">
        <v>3250</v>
      </c>
      <c r="AA551" t="s">
        <v>3108</v>
      </c>
      <c r="AB551" t="s">
        <v>3108</v>
      </c>
      <c r="AC551" t="s">
        <v>3250</v>
      </c>
      <c r="AD551" t="s">
        <v>3250</v>
      </c>
      <c r="AE551" t="s">
        <v>3250</v>
      </c>
      <c r="AF551" t="s">
        <v>3250</v>
      </c>
      <c r="AG551" t="s">
        <v>3250</v>
      </c>
      <c r="AH551" t="s">
        <v>3250</v>
      </c>
      <c r="AI551" t="s">
        <v>3250</v>
      </c>
      <c r="AJ551" t="s">
        <v>3250</v>
      </c>
      <c r="AL551" t="s">
        <v>3250</v>
      </c>
      <c r="AM551" t="s">
        <v>3250</v>
      </c>
      <c r="AN551" t="s">
        <v>3250</v>
      </c>
      <c r="AO551" t="s">
        <v>3250</v>
      </c>
      <c r="AS551" t="s">
        <v>3250</v>
      </c>
      <c r="AT551" t="s">
        <v>3250</v>
      </c>
      <c r="AU551" t="s">
        <v>3250</v>
      </c>
      <c r="AV551" t="s">
        <v>3250</v>
      </c>
      <c r="AW551" t="s">
        <v>3250</v>
      </c>
      <c r="AX551" t="s">
        <v>3250</v>
      </c>
      <c r="AY551" t="s">
        <v>3250</v>
      </c>
      <c r="AZ551" t="s">
        <v>3250</v>
      </c>
      <c r="BA551" t="s">
        <v>3250</v>
      </c>
      <c r="BB551" t="s">
        <v>3250</v>
      </c>
      <c r="BC551" t="s">
        <v>3250</v>
      </c>
      <c r="BE551" t="s">
        <v>3250</v>
      </c>
      <c r="BF551" t="s">
        <v>3250</v>
      </c>
      <c r="BG551" t="s">
        <v>3250</v>
      </c>
      <c r="BH551" t="s">
        <v>3250</v>
      </c>
      <c r="BI551" t="s">
        <v>3250</v>
      </c>
      <c r="BK551" t="s">
        <v>3250</v>
      </c>
      <c r="BL551" t="s">
        <v>3250</v>
      </c>
      <c r="BM551" t="s">
        <v>3250</v>
      </c>
      <c r="BN551" t="s">
        <v>3250</v>
      </c>
      <c r="BP551">
        <v>9</v>
      </c>
      <c r="BQ551">
        <v>91</v>
      </c>
      <c r="BR551" t="s">
        <v>2390</v>
      </c>
      <c r="BS551" t="s">
        <v>1675</v>
      </c>
      <c r="BV551">
        <v>0</v>
      </c>
      <c r="BW551">
        <v>0</v>
      </c>
      <c r="BX551">
        <v>0</v>
      </c>
      <c r="BY551">
        <v>0</v>
      </c>
      <c r="BZ551">
        <v>0</v>
      </c>
      <c r="CA551">
        <v>0</v>
      </c>
      <c r="CB551">
        <v>0</v>
      </c>
      <c r="CC551">
        <v>0</v>
      </c>
      <c r="CD551">
        <v>0</v>
      </c>
      <c r="CE551" t="s">
        <v>3108</v>
      </c>
      <c r="CF551" t="s">
        <v>3108</v>
      </c>
      <c r="CG551" t="s">
        <v>3108</v>
      </c>
      <c r="CH551" t="s">
        <v>3108</v>
      </c>
    </row>
    <row r="552" spans="1:86" x14ac:dyDescent="0.2">
      <c r="A552" t="s">
        <v>4170</v>
      </c>
      <c r="B552" t="s">
        <v>4170</v>
      </c>
      <c r="C552">
        <v>40892</v>
      </c>
      <c r="D552">
        <v>198</v>
      </c>
      <c r="E552" t="s">
        <v>4031</v>
      </c>
      <c r="F552">
        <v>2900</v>
      </c>
      <c r="G552" t="s">
        <v>822</v>
      </c>
      <c r="H552" t="s">
        <v>3108</v>
      </c>
      <c r="I552" t="s">
        <v>3108</v>
      </c>
      <c r="J552">
        <v>2904</v>
      </c>
      <c r="K552" t="s">
        <v>1690</v>
      </c>
      <c r="L552">
        <v>2200</v>
      </c>
      <c r="M552" t="s">
        <v>124</v>
      </c>
      <c r="N552">
        <v>2205</v>
      </c>
      <c r="O552" t="s">
        <v>2390</v>
      </c>
      <c r="P552" t="s">
        <v>3108</v>
      </c>
      <c r="Q552" t="s">
        <v>3249</v>
      </c>
      <c r="R552" t="s">
        <v>3249</v>
      </c>
      <c r="S552" t="s">
        <v>810</v>
      </c>
      <c r="T552" t="s">
        <v>2754</v>
      </c>
      <c r="U552" t="s">
        <v>3250</v>
      </c>
      <c r="V552" t="s">
        <v>3250</v>
      </c>
      <c r="W552" t="s">
        <v>3250</v>
      </c>
      <c r="X552" t="s">
        <v>3250</v>
      </c>
      <c r="Y552" t="s">
        <v>3250</v>
      </c>
      <c r="Z552" t="s">
        <v>3250</v>
      </c>
      <c r="AA552" t="s">
        <v>3108</v>
      </c>
      <c r="AB552" t="s">
        <v>3108</v>
      </c>
      <c r="AC552" t="s">
        <v>3250</v>
      </c>
      <c r="AD552" t="s">
        <v>3250</v>
      </c>
      <c r="AE552" t="s">
        <v>3250</v>
      </c>
      <c r="AF552" t="s">
        <v>3250</v>
      </c>
      <c r="AG552" t="s">
        <v>3250</v>
      </c>
      <c r="AH552" t="s">
        <v>3250</v>
      </c>
      <c r="AI552" t="s">
        <v>3250</v>
      </c>
      <c r="AJ552" t="s">
        <v>3250</v>
      </c>
      <c r="AL552" t="s">
        <v>3250</v>
      </c>
      <c r="AM552" t="s">
        <v>3250</v>
      </c>
      <c r="AN552" t="s">
        <v>3250</v>
      </c>
      <c r="AO552" t="s">
        <v>3250</v>
      </c>
      <c r="AS552" t="s">
        <v>3250</v>
      </c>
      <c r="AT552" t="s">
        <v>3250</v>
      </c>
      <c r="AU552" t="s">
        <v>3250</v>
      </c>
      <c r="AV552" t="s">
        <v>3250</v>
      </c>
      <c r="AW552" t="s">
        <v>3250</v>
      </c>
      <c r="AX552" t="s">
        <v>3250</v>
      </c>
      <c r="AY552" t="s">
        <v>3250</v>
      </c>
      <c r="AZ552" t="s">
        <v>3250</v>
      </c>
      <c r="BA552" t="s">
        <v>3250</v>
      </c>
      <c r="BB552" t="s">
        <v>3250</v>
      </c>
      <c r="BC552" t="s">
        <v>3250</v>
      </c>
      <c r="BE552" t="s">
        <v>3250</v>
      </c>
      <c r="BF552" t="s">
        <v>3250</v>
      </c>
      <c r="BG552" t="s">
        <v>3250</v>
      </c>
      <c r="BH552" t="s">
        <v>3250</v>
      </c>
      <c r="BI552" t="s">
        <v>3250</v>
      </c>
      <c r="BK552" t="s">
        <v>3250</v>
      </c>
      <c r="BL552" t="s">
        <v>3250</v>
      </c>
      <c r="BM552" t="s">
        <v>3250</v>
      </c>
      <c r="BN552" t="s">
        <v>3250</v>
      </c>
      <c r="BP552">
        <v>9</v>
      </c>
      <c r="BQ552">
        <v>91</v>
      </c>
      <c r="BR552" t="s">
        <v>2390</v>
      </c>
      <c r="BS552" t="s">
        <v>1675</v>
      </c>
      <c r="BV552">
        <v>0</v>
      </c>
      <c r="BW552">
        <v>0</v>
      </c>
      <c r="BX552">
        <v>0</v>
      </c>
      <c r="BY552">
        <v>0</v>
      </c>
      <c r="BZ552">
        <v>0</v>
      </c>
      <c r="CA552">
        <v>0</v>
      </c>
      <c r="CB552">
        <v>0</v>
      </c>
      <c r="CC552">
        <v>0</v>
      </c>
      <c r="CD552">
        <v>0</v>
      </c>
      <c r="CE552" t="s">
        <v>3108</v>
      </c>
      <c r="CF552" t="s">
        <v>3108</v>
      </c>
      <c r="CG552" t="s">
        <v>3108</v>
      </c>
      <c r="CH552" t="s">
        <v>3108</v>
      </c>
    </row>
    <row r="553" spans="1:86" x14ac:dyDescent="0.2">
      <c r="A553" t="s">
        <v>4171</v>
      </c>
      <c r="B553" t="s">
        <v>4171</v>
      </c>
      <c r="C553">
        <v>40893</v>
      </c>
      <c r="D553">
        <v>199</v>
      </c>
      <c r="E553" t="s">
        <v>4033</v>
      </c>
      <c r="F553">
        <v>2900</v>
      </c>
      <c r="G553" t="s">
        <v>822</v>
      </c>
      <c r="H553" t="s">
        <v>3108</v>
      </c>
      <c r="I553" t="s">
        <v>3108</v>
      </c>
      <c r="J553">
        <v>2904</v>
      </c>
      <c r="K553" t="s">
        <v>1690</v>
      </c>
      <c r="L553">
        <v>2200</v>
      </c>
      <c r="M553" t="s">
        <v>124</v>
      </c>
      <c r="N553">
        <v>2205</v>
      </c>
      <c r="O553" t="s">
        <v>2390</v>
      </c>
      <c r="P553" t="s">
        <v>3108</v>
      </c>
      <c r="Q553" t="s">
        <v>3249</v>
      </c>
      <c r="R553" t="s">
        <v>3249</v>
      </c>
      <c r="S553" t="s">
        <v>810</v>
      </c>
      <c r="T553" t="s">
        <v>2754</v>
      </c>
      <c r="U553" t="s">
        <v>3250</v>
      </c>
      <c r="V553" t="s">
        <v>3250</v>
      </c>
      <c r="W553" t="s">
        <v>3250</v>
      </c>
      <c r="X553" t="s">
        <v>3250</v>
      </c>
      <c r="Y553" t="s">
        <v>3250</v>
      </c>
      <c r="Z553" t="s">
        <v>3250</v>
      </c>
      <c r="AA553" t="s">
        <v>3108</v>
      </c>
      <c r="AB553" t="s">
        <v>3108</v>
      </c>
      <c r="AC553" t="s">
        <v>3250</v>
      </c>
      <c r="AD553" t="s">
        <v>3250</v>
      </c>
      <c r="AE553" t="s">
        <v>3250</v>
      </c>
      <c r="AF553" t="s">
        <v>3250</v>
      </c>
      <c r="AG553" t="s">
        <v>3250</v>
      </c>
      <c r="AH553" t="s">
        <v>3250</v>
      </c>
      <c r="AI553" t="s">
        <v>3250</v>
      </c>
      <c r="AJ553" t="s">
        <v>3250</v>
      </c>
      <c r="AL553" t="s">
        <v>3250</v>
      </c>
      <c r="AM553" t="s">
        <v>3250</v>
      </c>
      <c r="AN553" t="s">
        <v>3250</v>
      </c>
      <c r="AO553" t="s">
        <v>3250</v>
      </c>
      <c r="AS553" t="s">
        <v>3250</v>
      </c>
      <c r="AT553" t="s">
        <v>3250</v>
      </c>
      <c r="AU553" t="s">
        <v>3250</v>
      </c>
      <c r="AV553" t="s">
        <v>3250</v>
      </c>
      <c r="AW553" t="s">
        <v>3250</v>
      </c>
      <c r="AX553" t="s">
        <v>3250</v>
      </c>
      <c r="AY553" t="s">
        <v>3250</v>
      </c>
      <c r="AZ553" t="s">
        <v>3250</v>
      </c>
      <c r="BA553" t="s">
        <v>3250</v>
      </c>
      <c r="BB553" t="s">
        <v>3250</v>
      </c>
      <c r="BC553" t="s">
        <v>3250</v>
      </c>
      <c r="BE553" t="s">
        <v>3250</v>
      </c>
      <c r="BF553" t="s">
        <v>3250</v>
      </c>
      <c r="BG553" t="s">
        <v>3250</v>
      </c>
      <c r="BH553" t="s">
        <v>3250</v>
      </c>
      <c r="BI553" t="s">
        <v>3250</v>
      </c>
      <c r="BK553" t="s">
        <v>3250</v>
      </c>
      <c r="BL553" t="s">
        <v>3250</v>
      </c>
      <c r="BM553" t="s">
        <v>3250</v>
      </c>
      <c r="BN553" t="s">
        <v>3250</v>
      </c>
      <c r="BP553">
        <v>9</v>
      </c>
      <c r="BQ553">
        <v>91</v>
      </c>
      <c r="BR553" t="s">
        <v>2390</v>
      </c>
      <c r="BS553" t="s">
        <v>1675</v>
      </c>
      <c r="BV553">
        <v>0</v>
      </c>
      <c r="BW553">
        <v>0</v>
      </c>
      <c r="BX553">
        <v>0</v>
      </c>
      <c r="BY553">
        <v>30000</v>
      </c>
      <c r="BZ553">
        <v>30000</v>
      </c>
      <c r="CA553">
        <v>60000</v>
      </c>
      <c r="CB553">
        <v>62400</v>
      </c>
      <c r="CC553">
        <v>64896</v>
      </c>
      <c r="CD553">
        <v>0</v>
      </c>
      <c r="CE553" t="s">
        <v>3108</v>
      </c>
      <c r="CF553" t="s">
        <v>3108</v>
      </c>
      <c r="CG553" t="s">
        <v>3108</v>
      </c>
      <c r="CH553" t="s">
        <v>3108</v>
      </c>
    </row>
    <row r="554" spans="1:86" x14ac:dyDescent="0.2">
      <c r="A554" t="s">
        <v>4172</v>
      </c>
      <c r="B554" t="s">
        <v>4172</v>
      </c>
      <c r="C554">
        <v>40894</v>
      </c>
      <c r="D554">
        <v>200</v>
      </c>
      <c r="E554" t="s">
        <v>4173</v>
      </c>
      <c r="F554">
        <v>2900</v>
      </c>
      <c r="G554" t="s">
        <v>822</v>
      </c>
      <c r="H554" t="s">
        <v>3108</v>
      </c>
      <c r="I554" t="s">
        <v>3108</v>
      </c>
      <c r="J554">
        <v>2904</v>
      </c>
      <c r="K554" t="s">
        <v>1690</v>
      </c>
      <c r="L554">
        <v>2200</v>
      </c>
      <c r="M554" t="s">
        <v>124</v>
      </c>
      <c r="N554">
        <v>2205</v>
      </c>
      <c r="O554" t="s">
        <v>2390</v>
      </c>
      <c r="P554" t="s">
        <v>3108</v>
      </c>
      <c r="Q554" t="s">
        <v>3249</v>
      </c>
      <c r="R554" t="s">
        <v>3249</v>
      </c>
      <c r="S554" t="s">
        <v>810</v>
      </c>
      <c r="T554" t="s">
        <v>2754</v>
      </c>
      <c r="U554" t="s">
        <v>3250</v>
      </c>
      <c r="V554" t="s">
        <v>3250</v>
      </c>
      <c r="W554" t="s">
        <v>3250</v>
      </c>
      <c r="X554" t="s">
        <v>3250</v>
      </c>
      <c r="Y554" t="s">
        <v>3250</v>
      </c>
      <c r="Z554" t="s">
        <v>3250</v>
      </c>
      <c r="AA554" t="s">
        <v>3108</v>
      </c>
      <c r="AB554" t="s">
        <v>3108</v>
      </c>
      <c r="AC554" t="s">
        <v>3250</v>
      </c>
      <c r="AD554" t="s">
        <v>3250</v>
      </c>
      <c r="AE554" t="s">
        <v>3250</v>
      </c>
      <c r="AF554" t="s">
        <v>3250</v>
      </c>
      <c r="AG554" t="s">
        <v>3250</v>
      </c>
      <c r="AH554" t="s">
        <v>3250</v>
      </c>
      <c r="AI554" t="s">
        <v>3250</v>
      </c>
      <c r="AJ554" t="s">
        <v>3250</v>
      </c>
      <c r="AL554" t="s">
        <v>3250</v>
      </c>
      <c r="AM554" t="s">
        <v>3250</v>
      </c>
      <c r="AN554" t="s">
        <v>3250</v>
      </c>
      <c r="AO554" t="s">
        <v>3250</v>
      </c>
      <c r="AS554" t="s">
        <v>3250</v>
      </c>
      <c r="AT554" t="s">
        <v>3250</v>
      </c>
      <c r="AU554" t="s">
        <v>3250</v>
      </c>
      <c r="AV554" t="s">
        <v>3250</v>
      </c>
      <c r="AW554" t="s">
        <v>3250</v>
      </c>
      <c r="AX554" t="s">
        <v>3250</v>
      </c>
      <c r="AY554" t="s">
        <v>3250</v>
      </c>
      <c r="AZ554" t="s">
        <v>3250</v>
      </c>
      <c r="BA554" t="s">
        <v>3250</v>
      </c>
      <c r="BB554" t="s">
        <v>3250</v>
      </c>
      <c r="BC554" t="s">
        <v>3250</v>
      </c>
      <c r="BE554" t="s">
        <v>3250</v>
      </c>
      <c r="BF554" t="s">
        <v>3250</v>
      </c>
      <c r="BG554" t="s">
        <v>3250</v>
      </c>
      <c r="BH554" t="s">
        <v>3250</v>
      </c>
      <c r="BI554" t="s">
        <v>3250</v>
      </c>
      <c r="BK554" t="s">
        <v>3250</v>
      </c>
      <c r="BL554" t="s">
        <v>3250</v>
      </c>
      <c r="BM554" t="s">
        <v>3250</v>
      </c>
      <c r="BN554" t="s">
        <v>3250</v>
      </c>
      <c r="BP554">
        <v>9</v>
      </c>
      <c r="BQ554">
        <v>91</v>
      </c>
      <c r="BR554" t="s">
        <v>2390</v>
      </c>
      <c r="BS554" t="s">
        <v>1675</v>
      </c>
      <c r="BV554">
        <v>0</v>
      </c>
      <c r="BW554">
        <v>0</v>
      </c>
      <c r="BX554">
        <v>0</v>
      </c>
      <c r="BY554">
        <v>0</v>
      </c>
      <c r="BZ554">
        <v>0</v>
      </c>
      <c r="CA554">
        <v>0</v>
      </c>
      <c r="CB554">
        <v>0</v>
      </c>
      <c r="CC554">
        <v>0</v>
      </c>
      <c r="CD554">
        <v>0</v>
      </c>
      <c r="CE554" t="s">
        <v>3108</v>
      </c>
      <c r="CF554" t="s">
        <v>3108</v>
      </c>
      <c r="CG554" t="s">
        <v>3108</v>
      </c>
      <c r="CH554" t="s">
        <v>3108</v>
      </c>
    </row>
    <row r="555" spans="1:86" x14ac:dyDescent="0.2">
      <c r="A555" t="s">
        <v>4174</v>
      </c>
      <c r="B555" t="s">
        <v>4174</v>
      </c>
      <c r="C555">
        <v>40895</v>
      </c>
      <c r="D555">
        <v>201</v>
      </c>
      <c r="E555" t="s">
        <v>3992</v>
      </c>
      <c r="F555">
        <v>2900</v>
      </c>
      <c r="G555" t="s">
        <v>822</v>
      </c>
      <c r="H555" t="s">
        <v>3108</v>
      </c>
      <c r="I555" t="s">
        <v>3108</v>
      </c>
      <c r="J555">
        <v>2904</v>
      </c>
      <c r="K555" t="s">
        <v>1690</v>
      </c>
      <c r="L555">
        <v>2200</v>
      </c>
      <c r="M555" t="s">
        <v>124</v>
      </c>
      <c r="N555">
        <v>2205</v>
      </c>
      <c r="O555" t="s">
        <v>2390</v>
      </c>
      <c r="P555" t="s">
        <v>3108</v>
      </c>
      <c r="Q555" t="s">
        <v>3249</v>
      </c>
      <c r="R555" t="s">
        <v>3249</v>
      </c>
      <c r="S555" t="s">
        <v>810</v>
      </c>
      <c r="T555" t="s">
        <v>2754</v>
      </c>
      <c r="U555" t="s">
        <v>3250</v>
      </c>
      <c r="V555" t="s">
        <v>3250</v>
      </c>
      <c r="W555" t="s">
        <v>3250</v>
      </c>
      <c r="X555" t="s">
        <v>3250</v>
      </c>
      <c r="Y555" t="s">
        <v>3250</v>
      </c>
      <c r="Z555" t="s">
        <v>3250</v>
      </c>
      <c r="AA555" t="s">
        <v>3108</v>
      </c>
      <c r="AB555" t="s">
        <v>3108</v>
      </c>
      <c r="AC555" t="s">
        <v>3250</v>
      </c>
      <c r="AD555" t="s">
        <v>3250</v>
      </c>
      <c r="AE555" t="s">
        <v>3250</v>
      </c>
      <c r="AF555" t="s">
        <v>3250</v>
      </c>
      <c r="AG555" t="s">
        <v>3250</v>
      </c>
      <c r="AH555" t="s">
        <v>3250</v>
      </c>
      <c r="AI555" t="s">
        <v>3250</v>
      </c>
      <c r="AJ555" t="s">
        <v>3250</v>
      </c>
      <c r="AL555" t="s">
        <v>3250</v>
      </c>
      <c r="AM555" t="s">
        <v>3250</v>
      </c>
      <c r="AN555" t="s">
        <v>3250</v>
      </c>
      <c r="AO555" t="s">
        <v>3250</v>
      </c>
      <c r="AS555" t="s">
        <v>3250</v>
      </c>
      <c r="AT555" t="s">
        <v>3250</v>
      </c>
      <c r="AU555" t="s">
        <v>3250</v>
      </c>
      <c r="AV555" t="s">
        <v>3250</v>
      </c>
      <c r="AW555" t="s">
        <v>3250</v>
      </c>
      <c r="AX555" t="s">
        <v>3250</v>
      </c>
      <c r="AY555" t="s">
        <v>3250</v>
      </c>
      <c r="AZ555" t="s">
        <v>3250</v>
      </c>
      <c r="BA555" t="s">
        <v>3250</v>
      </c>
      <c r="BB555" t="s">
        <v>3250</v>
      </c>
      <c r="BC555" t="s">
        <v>3250</v>
      </c>
      <c r="BE555" t="s">
        <v>3250</v>
      </c>
      <c r="BF555" t="s">
        <v>3250</v>
      </c>
      <c r="BG555" t="s">
        <v>3250</v>
      </c>
      <c r="BH555" t="s">
        <v>3250</v>
      </c>
      <c r="BI555" t="s">
        <v>3250</v>
      </c>
      <c r="BK555" t="s">
        <v>3250</v>
      </c>
      <c r="BL555" t="s">
        <v>3250</v>
      </c>
      <c r="BM555" t="s">
        <v>3250</v>
      </c>
      <c r="BN555" t="s">
        <v>3250</v>
      </c>
      <c r="BP555">
        <v>9</v>
      </c>
      <c r="BQ555">
        <v>91</v>
      </c>
      <c r="BR555" t="s">
        <v>2390</v>
      </c>
      <c r="BS555" t="s">
        <v>1675</v>
      </c>
      <c r="BV555">
        <v>0</v>
      </c>
      <c r="BW555">
        <v>0</v>
      </c>
      <c r="BX555">
        <v>0</v>
      </c>
      <c r="BY555">
        <v>0</v>
      </c>
      <c r="BZ555">
        <v>0</v>
      </c>
      <c r="CA555">
        <v>0</v>
      </c>
      <c r="CB555">
        <v>0</v>
      </c>
      <c r="CC555">
        <v>0</v>
      </c>
      <c r="CD555">
        <v>0</v>
      </c>
      <c r="CE555" t="s">
        <v>3108</v>
      </c>
      <c r="CF555" t="s">
        <v>3108</v>
      </c>
      <c r="CG555" t="s">
        <v>3108</v>
      </c>
      <c r="CH555" t="s">
        <v>3108</v>
      </c>
    </row>
    <row r="556" spans="1:86" x14ac:dyDescent="0.2">
      <c r="A556" t="s">
        <v>4175</v>
      </c>
      <c r="B556" t="s">
        <v>4175</v>
      </c>
      <c r="C556">
        <v>40896</v>
      </c>
      <c r="D556">
        <v>202</v>
      </c>
      <c r="E556" t="s">
        <v>4006</v>
      </c>
      <c r="F556">
        <v>2700</v>
      </c>
      <c r="G556" t="s">
        <v>411</v>
      </c>
      <c r="H556" t="s">
        <v>4004</v>
      </c>
      <c r="I556" t="s">
        <v>2531</v>
      </c>
      <c r="J556">
        <v>2701</v>
      </c>
      <c r="K556" t="s">
        <v>2531</v>
      </c>
      <c r="L556">
        <v>2200</v>
      </c>
      <c r="M556" t="s">
        <v>124</v>
      </c>
      <c r="N556">
        <v>2205</v>
      </c>
      <c r="O556" t="s">
        <v>2390</v>
      </c>
      <c r="P556" t="s">
        <v>3108</v>
      </c>
      <c r="Q556" t="s">
        <v>3249</v>
      </c>
      <c r="R556" t="s">
        <v>3249</v>
      </c>
      <c r="S556" t="s">
        <v>810</v>
      </c>
      <c r="T556" t="s">
        <v>2754</v>
      </c>
      <c r="U556" t="s">
        <v>3250</v>
      </c>
      <c r="V556" t="s">
        <v>3250</v>
      </c>
      <c r="W556" t="s">
        <v>3250</v>
      </c>
      <c r="X556" t="s">
        <v>3250</v>
      </c>
      <c r="Y556" t="s">
        <v>3250</v>
      </c>
      <c r="Z556" t="s">
        <v>3250</v>
      </c>
      <c r="AA556" t="s">
        <v>3108</v>
      </c>
      <c r="AB556" t="s">
        <v>3108</v>
      </c>
      <c r="AC556" t="s">
        <v>3250</v>
      </c>
      <c r="AD556" t="s">
        <v>3250</v>
      </c>
      <c r="AE556" t="s">
        <v>3250</v>
      </c>
      <c r="AF556" t="s">
        <v>3250</v>
      </c>
      <c r="AG556" t="s">
        <v>3250</v>
      </c>
      <c r="AH556" t="s">
        <v>3250</v>
      </c>
      <c r="AI556" t="s">
        <v>3250</v>
      </c>
      <c r="AJ556" t="s">
        <v>3250</v>
      </c>
      <c r="AL556" t="s">
        <v>3250</v>
      </c>
      <c r="AM556" t="s">
        <v>3250</v>
      </c>
      <c r="AN556" t="s">
        <v>3250</v>
      </c>
      <c r="AO556" t="s">
        <v>3250</v>
      </c>
      <c r="AS556" t="s">
        <v>3250</v>
      </c>
      <c r="AT556" t="s">
        <v>3250</v>
      </c>
      <c r="AU556" t="s">
        <v>3250</v>
      </c>
      <c r="AV556" t="s">
        <v>3250</v>
      </c>
      <c r="AW556" t="s">
        <v>3250</v>
      </c>
      <c r="AX556" t="s">
        <v>3250</v>
      </c>
      <c r="AY556" t="s">
        <v>3250</v>
      </c>
      <c r="AZ556" t="s">
        <v>3250</v>
      </c>
      <c r="BA556" t="s">
        <v>3250</v>
      </c>
      <c r="BB556" t="s">
        <v>3250</v>
      </c>
      <c r="BC556" t="s">
        <v>3250</v>
      </c>
      <c r="BE556" t="s">
        <v>3250</v>
      </c>
      <c r="BF556" t="s">
        <v>3250</v>
      </c>
      <c r="BG556" t="s">
        <v>3250</v>
      </c>
      <c r="BH556" t="s">
        <v>3250</v>
      </c>
      <c r="BI556" t="s">
        <v>3250</v>
      </c>
      <c r="BK556" t="s">
        <v>3250</v>
      </c>
      <c r="BL556" t="s">
        <v>3250</v>
      </c>
      <c r="BM556" t="s">
        <v>3250</v>
      </c>
      <c r="BN556" t="s">
        <v>3250</v>
      </c>
      <c r="BP556">
        <v>9</v>
      </c>
      <c r="BQ556">
        <v>91</v>
      </c>
      <c r="BR556" t="s">
        <v>2390</v>
      </c>
      <c r="BS556" t="s">
        <v>1675</v>
      </c>
      <c r="BV556">
        <v>0</v>
      </c>
      <c r="BW556">
        <v>0</v>
      </c>
      <c r="BX556">
        <v>0</v>
      </c>
      <c r="BY556">
        <v>0</v>
      </c>
      <c r="BZ556">
        <v>0</v>
      </c>
      <c r="CA556">
        <v>0</v>
      </c>
      <c r="CB556">
        <v>0</v>
      </c>
      <c r="CC556">
        <v>0</v>
      </c>
      <c r="CD556">
        <v>0</v>
      </c>
      <c r="CE556" t="s">
        <v>3108</v>
      </c>
      <c r="CF556" t="s">
        <v>3108</v>
      </c>
      <c r="CG556" t="s">
        <v>3108</v>
      </c>
      <c r="CH556" t="s">
        <v>3108</v>
      </c>
    </row>
    <row r="557" spans="1:86" x14ac:dyDescent="0.2">
      <c r="A557" t="s">
        <v>4176</v>
      </c>
      <c r="B557" t="s">
        <v>4176</v>
      </c>
      <c r="C557">
        <v>40897</v>
      </c>
      <c r="D557">
        <v>203</v>
      </c>
      <c r="E557" t="s">
        <v>4003</v>
      </c>
      <c r="F557">
        <v>2700</v>
      </c>
      <c r="G557" t="s">
        <v>411</v>
      </c>
      <c r="H557" t="s">
        <v>4004</v>
      </c>
      <c r="I557" t="s">
        <v>2531</v>
      </c>
      <c r="J557">
        <v>2701</v>
      </c>
      <c r="K557" t="s">
        <v>2531</v>
      </c>
      <c r="L557">
        <v>2200</v>
      </c>
      <c r="M557" t="s">
        <v>124</v>
      </c>
      <c r="N557">
        <v>2205</v>
      </c>
      <c r="O557" t="s">
        <v>2390</v>
      </c>
      <c r="P557" t="s">
        <v>3108</v>
      </c>
      <c r="Q557" t="s">
        <v>3249</v>
      </c>
      <c r="R557" t="s">
        <v>3249</v>
      </c>
      <c r="S557" t="s">
        <v>810</v>
      </c>
      <c r="T557" t="s">
        <v>2754</v>
      </c>
      <c r="U557" t="s">
        <v>3250</v>
      </c>
      <c r="V557" t="s">
        <v>3250</v>
      </c>
      <c r="W557" t="s">
        <v>3250</v>
      </c>
      <c r="X557" t="s">
        <v>3250</v>
      </c>
      <c r="Y557" t="s">
        <v>3250</v>
      </c>
      <c r="Z557" t="s">
        <v>3250</v>
      </c>
      <c r="AA557" t="s">
        <v>3108</v>
      </c>
      <c r="AB557" t="s">
        <v>3108</v>
      </c>
      <c r="AC557" t="s">
        <v>3250</v>
      </c>
      <c r="AD557" t="s">
        <v>3250</v>
      </c>
      <c r="AE557" t="s">
        <v>3250</v>
      </c>
      <c r="AF557" t="s">
        <v>3250</v>
      </c>
      <c r="AG557" t="s">
        <v>3250</v>
      </c>
      <c r="AH557" t="s">
        <v>3250</v>
      </c>
      <c r="AI557" t="s">
        <v>3250</v>
      </c>
      <c r="AJ557" t="s">
        <v>3250</v>
      </c>
      <c r="AL557" t="s">
        <v>3250</v>
      </c>
      <c r="AM557" t="s">
        <v>3250</v>
      </c>
      <c r="AN557" t="s">
        <v>3250</v>
      </c>
      <c r="AO557" t="s">
        <v>3250</v>
      </c>
      <c r="AS557" t="s">
        <v>3250</v>
      </c>
      <c r="AT557" t="s">
        <v>3250</v>
      </c>
      <c r="AU557" t="s">
        <v>3250</v>
      </c>
      <c r="AV557" t="s">
        <v>3250</v>
      </c>
      <c r="AW557" t="s">
        <v>3250</v>
      </c>
      <c r="AX557" t="s">
        <v>3250</v>
      </c>
      <c r="AY557" t="s">
        <v>3250</v>
      </c>
      <c r="AZ557" t="s">
        <v>3250</v>
      </c>
      <c r="BA557" t="s">
        <v>3250</v>
      </c>
      <c r="BB557" t="s">
        <v>3250</v>
      </c>
      <c r="BC557" t="s">
        <v>3250</v>
      </c>
      <c r="BE557" t="s">
        <v>3250</v>
      </c>
      <c r="BF557" t="s">
        <v>3250</v>
      </c>
      <c r="BG557" t="s">
        <v>3250</v>
      </c>
      <c r="BH557" t="s">
        <v>3250</v>
      </c>
      <c r="BI557" t="s">
        <v>3250</v>
      </c>
      <c r="BK557" t="s">
        <v>3250</v>
      </c>
      <c r="BL557" t="s">
        <v>3250</v>
      </c>
      <c r="BM557" t="s">
        <v>3250</v>
      </c>
      <c r="BN557" t="s">
        <v>3250</v>
      </c>
      <c r="BP557">
        <v>9</v>
      </c>
      <c r="BQ557">
        <v>91</v>
      </c>
      <c r="BR557" t="s">
        <v>2390</v>
      </c>
      <c r="BS557" t="s">
        <v>1675</v>
      </c>
      <c r="BV557">
        <v>0</v>
      </c>
      <c r="BW557">
        <v>0</v>
      </c>
      <c r="BX557">
        <v>0</v>
      </c>
      <c r="BY557">
        <v>20000</v>
      </c>
      <c r="BZ557">
        <v>20000</v>
      </c>
      <c r="CA557">
        <v>30000</v>
      </c>
      <c r="CB557">
        <v>31200</v>
      </c>
      <c r="CC557">
        <v>32448</v>
      </c>
      <c r="CD557">
        <v>0</v>
      </c>
      <c r="CE557" t="s">
        <v>3108</v>
      </c>
      <c r="CF557" t="s">
        <v>3108</v>
      </c>
      <c r="CG557" t="s">
        <v>3108</v>
      </c>
      <c r="CH557" t="s">
        <v>3108</v>
      </c>
    </row>
    <row r="558" spans="1:86" x14ac:dyDescent="0.2">
      <c r="A558" t="s">
        <v>4177</v>
      </c>
      <c r="B558" t="s">
        <v>4177</v>
      </c>
      <c r="C558">
        <v>40898</v>
      </c>
      <c r="D558">
        <v>204</v>
      </c>
      <c r="E558" t="s">
        <v>4178</v>
      </c>
      <c r="F558">
        <v>2700</v>
      </c>
      <c r="G558" t="s">
        <v>411</v>
      </c>
      <c r="H558" t="s">
        <v>3997</v>
      </c>
      <c r="I558" t="s">
        <v>2533</v>
      </c>
      <c r="J558">
        <v>2703</v>
      </c>
      <c r="K558" t="s">
        <v>2533</v>
      </c>
      <c r="L558">
        <v>2200</v>
      </c>
      <c r="M558" t="s">
        <v>124</v>
      </c>
      <c r="N558">
        <v>2205</v>
      </c>
      <c r="O558" t="s">
        <v>2390</v>
      </c>
      <c r="P558" t="s">
        <v>3108</v>
      </c>
      <c r="Q558" t="s">
        <v>3249</v>
      </c>
      <c r="R558" t="s">
        <v>3249</v>
      </c>
      <c r="S558" t="s">
        <v>810</v>
      </c>
      <c r="T558" t="s">
        <v>2754</v>
      </c>
      <c r="U558" t="s">
        <v>3250</v>
      </c>
      <c r="V558" t="s">
        <v>3250</v>
      </c>
      <c r="W558" t="s">
        <v>3250</v>
      </c>
      <c r="X558" t="s">
        <v>3250</v>
      </c>
      <c r="Y558" t="s">
        <v>3250</v>
      </c>
      <c r="Z558" t="s">
        <v>3250</v>
      </c>
      <c r="AA558" t="s">
        <v>3108</v>
      </c>
      <c r="AB558" t="s">
        <v>3108</v>
      </c>
      <c r="AC558" t="s">
        <v>3250</v>
      </c>
      <c r="AD558" t="s">
        <v>3250</v>
      </c>
      <c r="AE558" t="s">
        <v>3250</v>
      </c>
      <c r="AF558" t="s">
        <v>3250</v>
      </c>
      <c r="AG558" t="s">
        <v>3250</v>
      </c>
      <c r="AH558" t="s">
        <v>3250</v>
      </c>
      <c r="AI558" t="s">
        <v>3250</v>
      </c>
      <c r="AJ558" t="s">
        <v>3250</v>
      </c>
      <c r="AL558" t="s">
        <v>3250</v>
      </c>
      <c r="AM558" t="s">
        <v>3250</v>
      </c>
      <c r="AN558" t="s">
        <v>3250</v>
      </c>
      <c r="AO558" t="s">
        <v>3250</v>
      </c>
      <c r="AS558" t="s">
        <v>3250</v>
      </c>
      <c r="AT558" t="s">
        <v>3250</v>
      </c>
      <c r="AU558" t="s">
        <v>3250</v>
      </c>
      <c r="AV558" t="s">
        <v>3250</v>
      </c>
      <c r="AW558" t="s">
        <v>3250</v>
      </c>
      <c r="AX558" t="s">
        <v>3250</v>
      </c>
      <c r="AY558" t="s">
        <v>3250</v>
      </c>
      <c r="AZ558" t="s">
        <v>3250</v>
      </c>
      <c r="BA558" t="s">
        <v>3250</v>
      </c>
      <c r="BB558" t="s">
        <v>3250</v>
      </c>
      <c r="BC558" t="s">
        <v>3250</v>
      </c>
      <c r="BE558" t="s">
        <v>3250</v>
      </c>
      <c r="BF558" t="s">
        <v>3250</v>
      </c>
      <c r="BG558" t="s">
        <v>3250</v>
      </c>
      <c r="BH558" t="s">
        <v>3250</v>
      </c>
      <c r="BI558" t="s">
        <v>3250</v>
      </c>
      <c r="BK558" t="s">
        <v>3250</v>
      </c>
      <c r="BL558" t="s">
        <v>3250</v>
      </c>
      <c r="BM558" t="s">
        <v>3250</v>
      </c>
      <c r="BN558" t="s">
        <v>3250</v>
      </c>
      <c r="BP558">
        <v>9</v>
      </c>
      <c r="BQ558">
        <v>91</v>
      </c>
      <c r="BR558" t="s">
        <v>2390</v>
      </c>
      <c r="BS558" t="s">
        <v>1675</v>
      </c>
      <c r="BV558">
        <v>0</v>
      </c>
      <c r="BW558">
        <v>4348</v>
      </c>
      <c r="BX558">
        <v>0</v>
      </c>
      <c r="BY558">
        <v>30000</v>
      </c>
      <c r="BZ558">
        <v>30000</v>
      </c>
      <c r="CA558">
        <v>30000</v>
      </c>
      <c r="CB558">
        <v>31200</v>
      </c>
      <c r="CC558">
        <v>32448</v>
      </c>
      <c r="CD558">
        <v>0</v>
      </c>
      <c r="CE558" t="s">
        <v>3108</v>
      </c>
      <c r="CF558" t="s">
        <v>3108</v>
      </c>
      <c r="CG558" t="s">
        <v>3108</v>
      </c>
      <c r="CH558" t="s">
        <v>3108</v>
      </c>
    </row>
    <row r="559" spans="1:86" x14ac:dyDescent="0.2">
      <c r="A559" t="s">
        <v>4179</v>
      </c>
      <c r="B559" t="s">
        <v>4179</v>
      </c>
      <c r="C559">
        <v>40899</v>
      </c>
      <c r="D559">
        <v>205</v>
      </c>
      <c r="E559" t="s">
        <v>4180</v>
      </c>
      <c r="F559">
        <v>2700</v>
      </c>
      <c r="G559" t="s">
        <v>411</v>
      </c>
      <c r="H559" t="s">
        <v>3997</v>
      </c>
      <c r="I559" t="s">
        <v>2533</v>
      </c>
      <c r="J559">
        <v>2703</v>
      </c>
      <c r="K559" t="s">
        <v>2533</v>
      </c>
      <c r="L559">
        <v>2200</v>
      </c>
      <c r="M559" t="s">
        <v>124</v>
      </c>
      <c r="N559">
        <v>2205</v>
      </c>
      <c r="O559" t="s">
        <v>2390</v>
      </c>
      <c r="P559" t="s">
        <v>3108</v>
      </c>
      <c r="Q559" t="s">
        <v>3249</v>
      </c>
      <c r="R559" t="s">
        <v>3249</v>
      </c>
      <c r="S559" t="s">
        <v>810</v>
      </c>
      <c r="T559" t="s">
        <v>2754</v>
      </c>
      <c r="U559" t="s">
        <v>3250</v>
      </c>
      <c r="V559" t="s">
        <v>3250</v>
      </c>
      <c r="W559" t="s">
        <v>3250</v>
      </c>
      <c r="X559" t="s">
        <v>3250</v>
      </c>
      <c r="Y559" t="s">
        <v>3250</v>
      </c>
      <c r="Z559" t="s">
        <v>3250</v>
      </c>
      <c r="AA559" t="s">
        <v>3108</v>
      </c>
      <c r="AB559" t="s">
        <v>3108</v>
      </c>
      <c r="AC559" t="s">
        <v>3250</v>
      </c>
      <c r="AD559" t="s">
        <v>3250</v>
      </c>
      <c r="AE559" t="s">
        <v>3250</v>
      </c>
      <c r="AF559" t="s">
        <v>3250</v>
      </c>
      <c r="AG559" t="s">
        <v>3250</v>
      </c>
      <c r="AH559" t="s">
        <v>3250</v>
      </c>
      <c r="AI559" t="s">
        <v>3250</v>
      </c>
      <c r="AJ559" t="s">
        <v>3250</v>
      </c>
      <c r="AL559" t="s">
        <v>3250</v>
      </c>
      <c r="AM559" t="s">
        <v>3250</v>
      </c>
      <c r="AN559" t="s">
        <v>3250</v>
      </c>
      <c r="AO559" t="s">
        <v>3250</v>
      </c>
      <c r="AS559" t="s">
        <v>3250</v>
      </c>
      <c r="AT559" t="s">
        <v>3250</v>
      </c>
      <c r="AU559" t="s">
        <v>3250</v>
      </c>
      <c r="AV559" t="s">
        <v>3250</v>
      </c>
      <c r="AW559" t="s">
        <v>3250</v>
      </c>
      <c r="AX559" t="s">
        <v>3250</v>
      </c>
      <c r="AY559" t="s">
        <v>3250</v>
      </c>
      <c r="AZ559" t="s">
        <v>3250</v>
      </c>
      <c r="BA559" t="s">
        <v>3250</v>
      </c>
      <c r="BB559" t="s">
        <v>3250</v>
      </c>
      <c r="BC559" t="s">
        <v>3250</v>
      </c>
      <c r="BE559" t="s">
        <v>3250</v>
      </c>
      <c r="BF559" t="s">
        <v>3250</v>
      </c>
      <c r="BG559" t="s">
        <v>3250</v>
      </c>
      <c r="BH559" t="s">
        <v>3250</v>
      </c>
      <c r="BI559" t="s">
        <v>3250</v>
      </c>
      <c r="BK559" t="s">
        <v>3250</v>
      </c>
      <c r="BL559" t="s">
        <v>3250</v>
      </c>
      <c r="BM559" t="s">
        <v>3250</v>
      </c>
      <c r="BN559" t="s">
        <v>3250</v>
      </c>
      <c r="BP559">
        <v>9</v>
      </c>
      <c r="BQ559">
        <v>91</v>
      </c>
      <c r="BR559" t="s">
        <v>2390</v>
      </c>
      <c r="BS559" t="s">
        <v>1675</v>
      </c>
      <c r="BV559">
        <v>0</v>
      </c>
      <c r="BW559">
        <v>0</v>
      </c>
      <c r="BX559">
        <v>0</v>
      </c>
      <c r="BY559">
        <v>0</v>
      </c>
      <c r="BZ559">
        <v>0</v>
      </c>
      <c r="CA559">
        <v>0</v>
      </c>
      <c r="CB559">
        <v>0</v>
      </c>
      <c r="CC559">
        <v>0</v>
      </c>
      <c r="CD559">
        <v>0</v>
      </c>
      <c r="CE559" t="s">
        <v>3108</v>
      </c>
      <c r="CF559" t="s">
        <v>3108</v>
      </c>
      <c r="CG559" t="s">
        <v>3108</v>
      </c>
      <c r="CH559" t="s">
        <v>3108</v>
      </c>
    </row>
    <row r="560" spans="1:86" x14ac:dyDescent="0.2">
      <c r="A560" t="s">
        <v>4181</v>
      </c>
      <c r="B560" t="s">
        <v>4181</v>
      </c>
      <c r="C560">
        <v>40900</v>
      </c>
      <c r="D560">
        <v>188</v>
      </c>
      <c r="E560" t="s">
        <v>4027</v>
      </c>
      <c r="F560">
        <v>2900</v>
      </c>
      <c r="G560" t="s">
        <v>822</v>
      </c>
      <c r="H560" t="s">
        <v>3108</v>
      </c>
      <c r="I560" t="s">
        <v>3108</v>
      </c>
      <c r="J560">
        <v>2904</v>
      </c>
      <c r="K560" t="s">
        <v>1690</v>
      </c>
      <c r="L560">
        <v>2200</v>
      </c>
      <c r="M560" t="s">
        <v>124</v>
      </c>
      <c r="N560">
        <v>2205</v>
      </c>
      <c r="O560" t="s">
        <v>2390</v>
      </c>
      <c r="P560" t="s">
        <v>3108</v>
      </c>
      <c r="Q560" t="s">
        <v>3249</v>
      </c>
      <c r="R560" t="s">
        <v>3249</v>
      </c>
      <c r="S560" t="s">
        <v>810</v>
      </c>
      <c r="T560" t="s">
        <v>2754</v>
      </c>
      <c r="U560" t="s">
        <v>3250</v>
      </c>
      <c r="V560" t="s">
        <v>3250</v>
      </c>
      <c r="W560" t="s">
        <v>3250</v>
      </c>
      <c r="X560" t="s">
        <v>3250</v>
      </c>
      <c r="Y560" t="s">
        <v>3250</v>
      </c>
      <c r="Z560" t="s">
        <v>3250</v>
      </c>
      <c r="AA560" t="s">
        <v>3108</v>
      </c>
      <c r="AB560" t="s">
        <v>3108</v>
      </c>
      <c r="AC560" t="s">
        <v>3250</v>
      </c>
      <c r="AD560" t="s">
        <v>3250</v>
      </c>
      <c r="AE560" t="s">
        <v>3250</v>
      </c>
      <c r="AF560" t="s">
        <v>3250</v>
      </c>
      <c r="AG560" t="s">
        <v>3250</v>
      </c>
      <c r="AH560" t="s">
        <v>3250</v>
      </c>
      <c r="AI560" t="s">
        <v>3250</v>
      </c>
      <c r="AJ560" t="s">
        <v>3250</v>
      </c>
      <c r="AL560" t="s">
        <v>3250</v>
      </c>
      <c r="AM560" t="s">
        <v>3250</v>
      </c>
      <c r="AN560" t="s">
        <v>3250</v>
      </c>
      <c r="AO560" t="s">
        <v>3250</v>
      </c>
      <c r="AS560" t="s">
        <v>3250</v>
      </c>
      <c r="AT560" t="s">
        <v>3250</v>
      </c>
      <c r="AU560" t="s">
        <v>3250</v>
      </c>
      <c r="AV560" t="s">
        <v>3250</v>
      </c>
      <c r="AW560" t="s">
        <v>3250</v>
      </c>
      <c r="AX560" t="s">
        <v>3250</v>
      </c>
      <c r="AY560" t="s">
        <v>3250</v>
      </c>
      <c r="AZ560" t="s">
        <v>3250</v>
      </c>
      <c r="BA560" t="s">
        <v>3250</v>
      </c>
      <c r="BB560" t="s">
        <v>3250</v>
      </c>
      <c r="BC560" t="s">
        <v>3250</v>
      </c>
      <c r="BE560" t="s">
        <v>3250</v>
      </c>
      <c r="BF560" t="s">
        <v>3250</v>
      </c>
      <c r="BG560" t="s">
        <v>3250</v>
      </c>
      <c r="BH560" t="s">
        <v>3250</v>
      </c>
      <c r="BI560" t="s">
        <v>3250</v>
      </c>
      <c r="BK560" t="s">
        <v>3250</v>
      </c>
      <c r="BL560" t="s">
        <v>3250</v>
      </c>
      <c r="BM560" t="s">
        <v>3250</v>
      </c>
      <c r="BN560" t="s">
        <v>3250</v>
      </c>
      <c r="BP560">
        <v>9</v>
      </c>
      <c r="BQ560">
        <v>91</v>
      </c>
      <c r="BR560" t="s">
        <v>2390</v>
      </c>
      <c r="BS560" t="s">
        <v>1675</v>
      </c>
      <c r="BV560">
        <v>0</v>
      </c>
      <c r="BW560">
        <v>0</v>
      </c>
      <c r="BX560">
        <v>0</v>
      </c>
      <c r="BY560">
        <v>0</v>
      </c>
      <c r="BZ560">
        <v>0</v>
      </c>
      <c r="CA560">
        <v>0</v>
      </c>
      <c r="CB560">
        <v>0</v>
      </c>
      <c r="CC560">
        <v>0</v>
      </c>
      <c r="CD560">
        <v>0</v>
      </c>
      <c r="CE560" t="s">
        <v>3108</v>
      </c>
      <c r="CF560" t="s">
        <v>3108</v>
      </c>
      <c r="CG560" t="s">
        <v>3108</v>
      </c>
      <c r="CH560" t="s">
        <v>3108</v>
      </c>
    </row>
    <row r="561" spans="1:86" x14ac:dyDescent="0.2">
      <c r="A561" t="s">
        <v>4182</v>
      </c>
      <c r="B561" t="s">
        <v>4182</v>
      </c>
      <c r="C561">
        <v>40901</v>
      </c>
      <c r="D561">
        <v>189</v>
      </c>
      <c r="E561" t="s">
        <v>4031</v>
      </c>
      <c r="F561">
        <v>2900</v>
      </c>
      <c r="G561" t="s">
        <v>822</v>
      </c>
      <c r="H561" t="s">
        <v>3108</v>
      </c>
      <c r="I561" t="s">
        <v>3108</v>
      </c>
      <c r="J561">
        <v>2904</v>
      </c>
      <c r="K561" t="s">
        <v>1690</v>
      </c>
      <c r="L561">
        <v>2200</v>
      </c>
      <c r="M561" t="s">
        <v>124</v>
      </c>
      <c r="N561">
        <v>2205</v>
      </c>
      <c r="O561" t="s">
        <v>2390</v>
      </c>
      <c r="P561" t="s">
        <v>3108</v>
      </c>
      <c r="Q561" t="s">
        <v>3249</v>
      </c>
      <c r="R561" t="s">
        <v>3249</v>
      </c>
      <c r="S561" t="s">
        <v>810</v>
      </c>
      <c r="T561" t="s">
        <v>2754</v>
      </c>
      <c r="U561" t="s">
        <v>3250</v>
      </c>
      <c r="V561" t="s">
        <v>3250</v>
      </c>
      <c r="W561" t="s">
        <v>3250</v>
      </c>
      <c r="X561" t="s">
        <v>3250</v>
      </c>
      <c r="Y561" t="s">
        <v>3250</v>
      </c>
      <c r="Z561" t="s">
        <v>3250</v>
      </c>
      <c r="AA561" t="s">
        <v>3108</v>
      </c>
      <c r="AB561" t="s">
        <v>3108</v>
      </c>
      <c r="AC561" t="s">
        <v>3250</v>
      </c>
      <c r="AD561" t="s">
        <v>3250</v>
      </c>
      <c r="AE561" t="s">
        <v>3250</v>
      </c>
      <c r="AF561" t="s">
        <v>3250</v>
      </c>
      <c r="AG561" t="s">
        <v>3250</v>
      </c>
      <c r="AH561" t="s">
        <v>3250</v>
      </c>
      <c r="AI561" t="s">
        <v>3250</v>
      </c>
      <c r="AJ561" t="s">
        <v>3250</v>
      </c>
      <c r="AL561" t="s">
        <v>3250</v>
      </c>
      <c r="AM561" t="s">
        <v>3250</v>
      </c>
      <c r="AN561" t="s">
        <v>3250</v>
      </c>
      <c r="AO561" t="s">
        <v>3250</v>
      </c>
      <c r="AS561" t="s">
        <v>3250</v>
      </c>
      <c r="AT561" t="s">
        <v>3250</v>
      </c>
      <c r="AU561" t="s">
        <v>3250</v>
      </c>
      <c r="AV561" t="s">
        <v>3250</v>
      </c>
      <c r="AW561" t="s">
        <v>3250</v>
      </c>
      <c r="AX561" t="s">
        <v>3250</v>
      </c>
      <c r="AY561" t="s">
        <v>3250</v>
      </c>
      <c r="AZ561" t="s">
        <v>3250</v>
      </c>
      <c r="BA561" t="s">
        <v>3250</v>
      </c>
      <c r="BB561" t="s">
        <v>3250</v>
      </c>
      <c r="BC561" t="s">
        <v>3250</v>
      </c>
      <c r="BE561" t="s">
        <v>3250</v>
      </c>
      <c r="BF561" t="s">
        <v>3250</v>
      </c>
      <c r="BG561" t="s">
        <v>3250</v>
      </c>
      <c r="BH561" t="s">
        <v>3250</v>
      </c>
      <c r="BI561" t="s">
        <v>3250</v>
      </c>
      <c r="BK561" t="s">
        <v>3250</v>
      </c>
      <c r="BL561" t="s">
        <v>3250</v>
      </c>
      <c r="BM561" t="s">
        <v>3250</v>
      </c>
      <c r="BN561" t="s">
        <v>3250</v>
      </c>
      <c r="BP561">
        <v>9</v>
      </c>
      <c r="BQ561">
        <v>91</v>
      </c>
      <c r="BR561" t="s">
        <v>2390</v>
      </c>
      <c r="BS561" t="s">
        <v>1675</v>
      </c>
      <c r="BV561">
        <v>0</v>
      </c>
      <c r="BW561">
        <v>0</v>
      </c>
      <c r="BX561">
        <v>153070</v>
      </c>
      <c r="BY561">
        <v>120000</v>
      </c>
      <c r="BZ561">
        <v>0</v>
      </c>
      <c r="CA561">
        <v>0</v>
      </c>
      <c r="CB561">
        <v>0</v>
      </c>
      <c r="CC561">
        <v>0</v>
      </c>
      <c r="CD561">
        <v>0</v>
      </c>
      <c r="CE561" t="s">
        <v>3108</v>
      </c>
      <c r="CF561" t="s">
        <v>3108</v>
      </c>
      <c r="CG561" t="s">
        <v>3108</v>
      </c>
      <c r="CH561" t="s">
        <v>3108</v>
      </c>
    </row>
    <row r="562" spans="1:86" x14ac:dyDescent="0.2">
      <c r="A562" t="s">
        <v>4183</v>
      </c>
      <c r="B562" t="s">
        <v>4183</v>
      </c>
      <c r="C562">
        <v>40902</v>
      </c>
      <c r="D562">
        <v>190</v>
      </c>
      <c r="E562" t="s">
        <v>4033</v>
      </c>
      <c r="F562">
        <v>2900</v>
      </c>
      <c r="G562" t="s">
        <v>822</v>
      </c>
      <c r="H562" t="s">
        <v>3108</v>
      </c>
      <c r="I562" t="s">
        <v>3108</v>
      </c>
      <c r="J562">
        <v>2904</v>
      </c>
      <c r="K562" t="s">
        <v>1690</v>
      </c>
      <c r="L562">
        <v>2200</v>
      </c>
      <c r="M562" t="s">
        <v>124</v>
      </c>
      <c r="N562">
        <v>2205</v>
      </c>
      <c r="O562" t="s">
        <v>2390</v>
      </c>
      <c r="P562" t="s">
        <v>3108</v>
      </c>
      <c r="Q562" t="s">
        <v>3249</v>
      </c>
      <c r="R562" t="s">
        <v>3249</v>
      </c>
      <c r="S562" t="s">
        <v>810</v>
      </c>
      <c r="T562" t="s">
        <v>2754</v>
      </c>
      <c r="U562" t="s">
        <v>3250</v>
      </c>
      <c r="V562" t="s">
        <v>3250</v>
      </c>
      <c r="W562" t="s">
        <v>3250</v>
      </c>
      <c r="X562" t="s">
        <v>3250</v>
      </c>
      <c r="Y562" t="s">
        <v>3250</v>
      </c>
      <c r="Z562" t="s">
        <v>3250</v>
      </c>
      <c r="AA562" t="s">
        <v>3108</v>
      </c>
      <c r="AB562" t="s">
        <v>3108</v>
      </c>
      <c r="AC562" t="s">
        <v>3250</v>
      </c>
      <c r="AD562" t="s">
        <v>3250</v>
      </c>
      <c r="AE562" t="s">
        <v>3250</v>
      </c>
      <c r="AF562" t="s">
        <v>3250</v>
      </c>
      <c r="AG562" t="s">
        <v>3250</v>
      </c>
      <c r="AH562" t="s">
        <v>3250</v>
      </c>
      <c r="AI562" t="s">
        <v>3250</v>
      </c>
      <c r="AJ562" t="s">
        <v>3250</v>
      </c>
      <c r="AL562" t="s">
        <v>3250</v>
      </c>
      <c r="AM562" t="s">
        <v>3250</v>
      </c>
      <c r="AN562" t="s">
        <v>3250</v>
      </c>
      <c r="AO562" t="s">
        <v>3250</v>
      </c>
      <c r="AS562" t="s">
        <v>3250</v>
      </c>
      <c r="AT562" t="s">
        <v>3250</v>
      </c>
      <c r="AU562" t="s">
        <v>3250</v>
      </c>
      <c r="AV562" t="s">
        <v>3250</v>
      </c>
      <c r="AW562" t="s">
        <v>3250</v>
      </c>
      <c r="AX562" t="s">
        <v>3250</v>
      </c>
      <c r="AY562" t="s">
        <v>3250</v>
      </c>
      <c r="AZ562" t="s">
        <v>3250</v>
      </c>
      <c r="BA562" t="s">
        <v>3250</v>
      </c>
      <c r="BB562" t="s">
        <v>3250</v>
      </c>
      <c r="BC562" t="s">
        <v>3250</v>
      </c>
      <c r="BE562" t="s">
        <v>3250</v>
      </c>
      <c r="BF562" t="s">
        <v>3250</v>
      </c>
      <c r="BG562" t="s">
        <v>3250</v>
      </c>
      <c r="BH562" t="s">
        <v>3250</v>
      </c>
      <c r="BI562" t="s">
        <v>3250</v>
      </c>
      <c r="BK562" t="s">
        <v>3250</v>
      </c>
      <c r="BL562" t="s">
        <v>3250</v>
      </c>
      <c r="BM562" t="s">
        <v>3250</v>
      </c>
      <c r="BN562" t="s">
        <v>3250</v>
      </c>
      <c r="BP562">
        <v>9</v>
      </c>
      <c r="BQ562">
        <v>91</v>
      </c>
      <c r="BR562" t="s">
        <v>2390</v>
      </c>
      <c r="BS562" t="s">
        <v>1675</v>
      </c>
      <c r="BV562">
        <v>0</v>
      </c>
      <c r="BW562">
        <v>0</v>
      </c>
      <c r="BX562">
        <v>0</v>
      </c>
      <c r="BY562">
        <v>0</v>
      </c>
      <c r="BZ562">
        <v>0</v>
      </c>
      <c r="CA562">
        <v>0</v>
      </c>
      <c r="CB562">
        <v>0</v>
      </c>
      <c r="CC562">
        <v>0</v>
      </c>
      <c r="CD562">
        <v>0</v>
      </c>
      <c r="CE562" t="s">
        <v>3108</v>
      </c>
      <c r="CF562" t="s">
        <v>3108</v>
      </c>
      <c r="CG562" t="s">
        <v>3108</v>
      </c>
      <c r="CH562" t="s">
        <v>3108</v>
      </c>
    </row>
    <row r="563" spans="1:86" x14ac:dyDescent="0.2">
      <c r="A563" t="s">
        <v>4184</v>
      </c>
      <c r="B563" t="s">
        <v>4184</v>
      </c>
      <c r="C563">
        <v>40903</v>
      </c>
      <c r="D563">
        <v>191</v>
      </c>
      <c r="E563" t="s">
        <v>4173</v>
      </c>
      <c r="F563">
        <v>2900</v>
      </c>
      <c r="G563" t="s">
        <v>822</v>
      </c>
      <c r="H563" t="s">
        <v>3108</v>
      </c>
      <c r="I563" t="s">
        <v>3108</v>
      </c>
      <c r="J563">
        <v>2904</v>
      </c>
      <c r="K563" t="s">
        <v>1690</v>
      </c>
      <c r="L563">
        <v>2200</v>
      </c>
      <c r="M563" t="s">
        <v>124</v>
      </c>
      <c r="N563">
        <v>2205</v>
      </c>
      <c r="O563" t="s">
        <v>2390</v>
      </c>
      <c r="P563" t="s">
        <v>3108</v>
      </c>
      <c r="Q563" t="s">
        <v>3249</v>
      </c>
      <c r="R563" t="s">
        <v>3249</v>
      </c>
      <c r="S563" t="s">
        <v>810</v>
      </c>
      <c r="T563" t="s">
        <v>2754</v>
      </c>
      <c r="U563" t="s">
        <v>3250</v>
      </c>
      <c r="V563" t="s">
        <v>3250</v>
      </c>
      <c r="W563" t="s">
        <v>3250</v>
      </c>
      <c r="X563" t="s">
        <v>3250</v>
      </c>
      <c r="Y563" t="s">
        <v>3250</v>
      </c>
      <c r="Z563" t="s">
        <v>3250</v>
      </c>
      <c r="AA563" t="s">
        <v>3108</v>
      </c>
      <c r="AB563" t="s">
        <v>3108</v>
      </c>
      <c r="AC563" t="s">
        <v>3250</v>
      </c>
      <c r="AD563" t="s">
        <v>3250</v>
      </c>
      <c r="AE563" t="s">
        <v>3250</v>
      </c>
      <c r="AF563" t="s">
        <v>3250</v>
      </c>
      <c r="AG563" t="s">
        <v>3250</v>
      </c>
      <c r="AH563" t="s">
        <v>3250</v>
      </c>
      <c r="AI563" t="s">
        <v>3250</v>
      </c>
      <c r="AJ563" t="s">
        <v>3250</v>
      </c>
      <c r="AL563" t="s">
        <v>3250</v>
      </c>
      <c r="AM563" t="s">
        <v>3250</v>
      </c>
      <c r="AN563" t="s">
        <v>3250</v>
      </c>
      <c r="AO563" t="s">
        <v>3250</v>
      </c>
      <c r="AS563" t="s">
        <v>3250</v>
      </c>
      <c r="AT563" t="s">
        <v>3250</v>
      </c>
      <c r="AU563" t="s">
        <v>3250</v>
      </c>
      <c r="AV563" t="s">
        <v>3250</v>
      </c>
      <c r="AW563" t="s">
        <v>3250</v>
      </c>
      <c r="AX563" t="s">
        <v>3250</v>
      </c>
      <c r="AY563" t="s">
        <v>3250</v>
      </c>
      <c r="AZ563" t="s">
        <v>3250</v>
      </c>
      <c r="BA563" t="s">
        <v>3250</v>
      </c>
      <c r="BB563" t="s">
        <v>3250</v>
      </c>
      <c r="BC563" t="s">
        <v>3250</v>
      </c>
      <c r="BE563" t="s">
        <v>3250</v>
      </c>
      <c r="BF563" t="s">
        <v>3250</v>
      </c>
      <c r="BG563" t="s">
        <v>3250</v>
      </c>
      <c r="BH563" t="s">
        <v>3250</v>
      </c>
      <c r="BI563" t="s">
        <v>3250</v>
      </c>
      <c r="BK563" t="s">
        <v>3250</v>
      </c>
      <c r="BL563" t="s">
        <v>3250</v>
      </c>
      <c r="BM563" t="s">
        <v>3250</v>
      </c>
      <c r="BN563" t="s">
        <v>3250</v>
      </c>
      <c r="BP563">
        <v>9</v>
      </c>
      <c r="BQ563">
        <v>91</v>
      </c>
      <c r="BR563" t="s">
        <v>2390</v>
      </c>
      <c r="BS563" t="s">
        <v>1675</v>
      </c>
      <c r="BV563">
        <v>0</v>
      </c>
      <c r="BW563">
        <v>0</v>
      </c>
      <c r="BX563">
        <v>0</v>
      </c>
      <c r="BY563">
        <v>0</v>
      </c>
      <c r="BZ563">
        <v>0</v>
      </c>
      <c r="CA563">
        <v>0</v>
      </c>
      <c r="CB563">
        <v>0</v>
      </c>
      <c r="CC563">
        <v>0</v>
      </c>
      <c r="CD563">
        <v>0</v>
      </c>
      <c r="CE563" t="s">
        <v>3108</v>
      </c>
      <c r="CF563" t="s">
        <v>3108</v>
      </c>
      <c r="CG563" t="s">
        <v>3108</v>
      </c>
      <c r="CH563" t="s">
        <v>3108</v>
      </c>
    </row>
    <row r="564" spans="1:86" x14ac:dyDescent="0.2">
      <c r="A564" t="s">
        <v>4185</v>
      </c>
      <c r="B564" t="s">
        <v>4185</v>
      </c>
      <c r="C564">
        <v>40904</v>
      </c>
      <c r="D564">
        <v>192</v>
      </c>
      <c r="E564" t="s">
        <v>4037</v>
      </c>
      <c r="F564">
        <v>2900</v>
      </c>
      <c r="G564" t="s">
        <v>822</v>
      </c>
      <c r="H564" t="s">
        <v>3108</v>
      </c>
      <c r="I564" t="s">
        <v>3108</v>
      </c>
      <c r="J564">
        <v>2904</v>
      </c>
      <c r="K564" t="s">
        <v>1690</v>
      </c>
      <c r="L564">
        <v>2200</v>
      </c>
      <c r="M564" t="s">
        <v>124</v>
      </c>
      <c r="N564">
        <v>2205</v>
      </c>
      <c r="O564" t="s">
        <v>2390</v>
      </c>
      <c r="P564" t="s">
        <v>3108</v>
      </c>
      <c r="Q564" t="s">
        <v>3249</v>
      </c>
      <c r="R564" t="s">
        <v>3249</v>
      </c>
      <c r="S564" t="s">
        <v>810</v>
      </c>
      <c r="T564" t="s">
        <v>2754</v>
      </c>
      <c r="U564" t="s">
        <v>3250</v>
      </c>
      <c r="V564" t="s">
        <v>3250</v>
      </c>
      <c r="W564" t="s">
        <v>3250</v>
      </c>
      <c r="X564" t="s">
        <v>3250</v>
      </c>
      <c r="Y564" t="s">
        <v>3250</v>
      </c>
      <c r="Z564" t="s">
        <v>3250</v>
      </c>
      <c r="AA564" t="s">
        <v>3108</v>
      </c>
      <c r="AB564" t="s">
        <v>3108</v>
      </c>
      <c r="AC564" t="s">
        <v>3250</v>
      </c>
      <c r="AD564" t="s">
        <v>3250</v>
      </c>
      <c r="AE564" t="s">
        <v>3250</v>
      </c>
      <c r="AF564" t="s">
        <v>3250</v>
      </c>
      <c r="AG564" t="s">
        <v>3250</v>
      </c>
      <c r="AH564" t="s">
        <v>3250</v>
      </c>
      <c r="AI564" t="s">
        <v>3250</v>
      </c>
      <c r="AJ564" t="s">
        <v>3250</v>
      </c>
      <c r="AL564" t="s">
        <v>3250</v>
      </c>
      <c r="AM564" t="s">
        <v>3250</v>
      </c>
      <c r="AN564" t="s">
        <v>3250</v>
      </c>
      <c r="AO564" t="s">
        <v>3250</v>
      </c>
      <c r="AS564" t="s">
        <v>3250</v>
      </c>
      <c r="AT564" t="s">
        <v>3250</v>
      </c>
      <c r="AU564" t="s">
        <v>3250</v>
      </c>
      <c r="AV564" t="s">
        <v>3250</v>
      </c>
      <c r="AW564" t="s">
        <v>3250</v>
      </c>
      <c r="AX564" t="s">
        <v>3250</v>
      </c>
      <c r="AY564" t="s">
        <v>3250</v>
      </c>
      <c r="AZ564" t="s">
        <v>3250</v>
      </c>
      <c r="BA564" t="s">
        <v>3250</v>
      </c>
      <c r="BB564" t="s">
        <v>3250</v>
      </c>
      <c r="BC564" t="s">
        <v>3250</v>
      </c>
      <c r="BE564" t="s">
        <v>3250</v>
      </c>
      <c r="BF564" t="s">
        <v>3250</v>
      </c>
      <c r="BG564" t="s">
        <v>3250</v>
      </c>
      <c r="BH564" t="s">
        <v>3250</v>
      </c>
      <c r="BI564" t="s">
        <v>3250</v>
      </c>
      <c r="BK564" t="s">
        <v>3250</v>
      </c>
      <c r="BL564" t="s">
        <v>3250</v>
      </c>
      <c r="BM564" t="s">
        <v>3250</v>
      </c>
      <c r="BN564" t="s">
        <v>3250</v>
      </c>
      <c r="BP564">
        <v>9</v>
      </c>
      <c r="BQ564">
        <v>91</v>
      </c>
      <c r="BR564" t="s">
        <v>2390</v>
      </c>
      <c r="BS564" t="s">
        <v>1675</v>
      </c>
      <c r="BV564">
        <v>0</v>
      </c>
      <c r="BW564">
        <v>630821</v>
      </c>
      <c r="BX564">
        <v>263019</v>
      </c>
      <c r="BY564">
        <v>0</v>
      </c>
      <c r="BZ564">
        <v>0</v>
      </c>
      <c r="CA564">
        <v>0</v>
      </c>
      <c r="CB564">
        <v>0</v>
      </c>
      <c r="CC564">
        <v>0</v>
      </c>
      <c r="CD564">
        <v>0</v>
      </c>
      <c r="CE564" t="s">
        <v>3108</v>
      </c>
      <c r="CF564" t="s">
        <v>3108</v>
      </c>
      <c r="CG564" t="s">
        <v>3108</v>
      </c>
      <c r="CH564" t="s">
        <v>3108</v>
      </c>
    </row>
    <row r="565" spans="1:86" x14ac:dyDescent="0.2">
      <c r="A565" t="s">
        <v>4186</v>
      </c>
      <c r="B565" t="s">
        <v>4186</v>
      </c>
      <c r="C565">
        <v>40905</v>
      </c>
      <c r="D565">
        <v>193</v>
      </c>
      <c r="E565" t="s">
        <v>4006</v>
      </c>
      <c r="F565">
        <v>2700</v>
      </c>
      <c r="G565" t="s">
        <v>411</v>
      </c>
      <c r="H565" t="s">
        <v>4004</v>
      </c>
      <c r="I565" t="s">
        <v>2531</v>
      </c>
      <c r="J565">
        <v>2701</v>
      </c>
      <c r="K565" t="s">
        <v>2531</v>
      </c>
      <c r="L565">
        <v>2200</v>
      </c>
      <c r="M565" t="s">
        <v>124</v>
      </c>
      <c r="N565">
        <v>2205</v>
      </c>
      <c r="O565" t="s">
        <v>2390</v>
      </c>
      <c r="P565" t="s">
        <v>3108</v>
      </c>
      <c r="Q565" t="s">
        <v>3249</v>
      </c>
      <c r="R565" t="s">
        <v>3249</v>
      </c>
      <c r="S565" t="s">
        <v>810</v>
      </c>
      <c r="T565" t="s">
        <v>2754</v>
      </c>
      <c r="U565" t="s">
        <v>3250</v>
      </c>
      <c r="V565" t="s">
        <v>3250</v>
      </c>
      <c r="W565" t="s">
        <v>3250</v>
      </c>
      <c r="X565" t="s">
        <v>3250</v>
      </c>
      <c r="Y565" t="s">
        <v>3250</v>
      </c>
      <c r="Z565" t="s">
        <v>3250</v>
      </c>
      <c r="AA565" t="s">
        <v>3108</v>
      </c>
      <c r="AB565" t="s">
        <v>3108</v>
      </c>
      <c r="AC565" t="s">
        <v>3250</v>
      </c>
      <c r="AD565" t="s">
        <v>3250</v>
      </c>
      <c r="AE565" t="s">
        <v>3250</v>
      </c>
      <c r="AF565" t="s">
        <v>3250</v>
      </c>
      <c r="AG565" t="s">
        <v>3250</v>
      </c>
      <c r="AH565" t="s">
        <v>3250</v>
      </c>
      <c r="AI565" t="s">
        <v>3250</v>
      </c>
      <c r="AJ565" t="s">
        <v>3250</v>
      </c>
      <c r="AL565" t="s">
        <v>3250</v>
      </c>
      <c r="AM565" t="s">
        <v>3250</v>
      </c>
      <c r="AN565" t="s">
        <v>3250</v>
      </c>
      <c r="AO565" t="s">
        <v>3250</v>
      </c>
      <c r="AS565" t="s">
        <v>3250</v>
      </c>
      <c r="AT565" t="s">
        <v>3250</v>
      </c>
      <c r="AU565" t="s">
        <v>3250</v>
      </c>
      <c r="AV565" t="s">
        <v>3250</v>
      </c>
      <c r="AW565" t="s">
        <v>3250</v>
      </c>
      <c r="AX565" t="s">
        <v>3250</v>
      </c>
      <c r="AY565" t="s">
        <v>3250</v>
      </c>
      <c r="AZ565" t="s">
        <v>3250</v>
      </c>
      <c r="BA565" t="s">
        <v>3250</v>
      </c>
      <c r="BB565" t="s">
        <v>3250</v>
      </c>
      <c r="BC565" t="s">
        <v>3250</v>
      </c>
      <c r="BE565" t="s">
        <v>3250</v>
      </c>
      <c r="BF565" t="s">
        <v>3250</v>
      </c>
      <c r="BG565" t="s">
        <v>3250</v>
      </c>
      <c r="BH565" t="s">
        <v>3250</v>
      </c>
      <c r="BI565" t="s">
        <v>3250</v>
      </c>
      <c r="BK565" t="s">
        <v>3250</v>
      </c>
      <c r="BL565" t="s">
        <v>3250</v>
      </c>
      <c r="BM565" t="s">
        <v>3250</v>
      </c>
      <c r="BN565" t="s">
        <v>3250</v>
      </c>
      <c r="BP565">
        <v>9</v>
      </c>
      <c r="BQ565">
        <v>91</v>
      </c>
      <c r="BR565" t="s">
        <v>2390</v>
      </c>
      <c r="BS565" t="s">
        <v>1675</v>
      </c>
      <c r="BV565">
        <v>0</v>
      </c>
      <c r="BW565">
        <v>66831</v>
      </c>
      <c r="BX565">
        <v>192390</v>
      </c>
      <c r="BY565">
        <v>130000</v>
      </c>
      <c r="BZ565">
        <v>0</v>
      </c>
      <c r="CA565">
        <v>0</v>
      </c>
      <c r="CB565">
        <v>0</v>
      </c>
      <c r="CC565">
        <v>0</v>
      </c>
      <c r="CD565">
        <v>0</v>
      </c>
      <c r="CE565" t="s">
        <v>3108</v>
      </c>
      <c r="CF565" t="s">
        <v>3108</v>
      </c>
      <c r="CG565" t="s">
        <v>3108</v>
      </c>
      <c r="CH565" t="s">
        <v>3108</v>
      </c>
    </row>
    <row r="566" spans="1:86" x14ac:dyDescent="0.2">
      <c r="A566" t="s">
        <v>4187</v>
      </c>
      <c r="B566" t="s">
        <v>4187</v>
      </c>
      <c r="C566">
        <v>40906</v>
      </c>
      <c r="D566">
        <v>194</v>
      </c>
      <c r="E566" t="s">
        <v>4003</v>
      </c>
      <c r="F566">
        <v>2700</v>
      </c>
      <c r="G566" t="s">
        <v>411</v>
      </c>
      <c r="H566" t="s">
        <v>4004</v>
      </c>
      <c r="I566" t="s">
        <v>2531</v>
      </c>
      <c r="J566">
        <v>2701</v>
      </c>
      <c r="K566" t="s">
        <v>2531</v>
      </c>
      <c r="L566">
        <v>2200</v>
      </c>
      <c r="M566" t="s">
        <v>124</v>
      </c>
      <c r="N566">
        <v>2205</v>
      </c>
      <c r="O566" t="s">
        <v>2390</v>
      </c>
      <c r="P566" t="s">
        <v>3108</v>
      </c>
      <c r="Q566" t="s">
        <v>3249</v>
      </c>
      <c r="R566" t="s">
        <v>3249</v>
      </c>
      <c r="S566" t="s">
        <v>810</v>
      </c>
      <c r="T566" t="s">
        <v>2754</v>
      </c>
      <c r="U566" t="s">
        <v>3250</v>
      </c>
      <c r="V566" t="s">
        <v>3250</v>
      </c>
      <c r="W566" t="s">
        <v>3250</v>
      </c>
      <c r="X566" t="s">
        <v>3250</v>
      </c>
      <c r="Y566" t="s">
        <v>3250</v>
      </c>
      <c r="Z566" t="s">
        <v>3250</v>
      </c>
      <c r="AA566" t="s">
        <v>3108</v>
      </c>
      <c r="AB566" t="s">
        <v>3108</v>
      </c>
      <c r="AC566" t="s">
        <v>3250</v>
      </c>
      <c r="AD566" t="s">
        <v>3250</v>
      </c>
      <c r="AE566" t="s">
        <v>3250</v>
      </c>
      <c r="AF566" t="s">
        <v>3250</v>
      </c>
      <c r="AG566" t="s">
        <v>3250</v>
      </c>
      <c r="AH566" t="s">
        <v>3250</v>
      </c>
      <c r="AI566" t="s">
        <v>3250</v>
      </c>
      <c r="AJ566" t="s">
        <v>3250</v>
      </c>
      <c r="AL566" t="s">
        <v>3250</v>
      </c>
      <c r="AM566" t="s">
        <v>3250</v>
      </c>
      <c r="AN566" t="s">
        <v>3250</v>
      </c>
      <c r="AO566" t="s">
        <v>3250</v>
      </c>
      <c r="AS566" t="s">
        <v>3250</v>
      </c>
      <c r="AT566" t="s">
        <v>3250</v>
      </c>
      <c r="AU566" t="s">
        <v>3250</v>
      </c>
      <c r="AV566" t="s">
        <v>3250</v>
      </c>
      <c r="AW566" t="s">
        <v>3250</v>
      </c>
      <c r="AX566" t="s">
        <v>3250</v>
      </c>
      <c r="AY566" t="s">
        <v>3250</v>
      </c>
      <c r="AZ566" t="s">
        <v>3250</v>
      </c>
      <c r="BA566" t="s">
        <v>3250</v>
      </c>
      <c r="BB566" t="s">
        <v>3250</v>
      </c>
      <c r="BC566" t="s">
        <v>3250</v>
      </c>
      <c r="BE566" t="s">
        <v>3250</v>
      </c>
      <c r="BF566" t="s">
        <v>3250</v>
      </c>
      <c r="BG566" t="s">
        <v>3250</v>
      </c>
      <c r="BH566" t="s">
        <v>3250</v>
      </c>
      <c r="BI566" t="s">
        <v>3250</v>
      </c>
      <c r="BK566" t="s">
        <v>3250</v>
      </c>
      <c r="BL566" t="s">
        <v>3250</v>
      </c>
      <c r="BM566" t="s">
        <v>3250</v>
      </c>
      <c r="BN566" t="s">
        <v>3250</v>
      </c>
      <c r="BP566">
        <v>9</v>
      </c>
      <c r="BQ566">
        <v>91</v>
      </c>
      <c r="BR566" t="s">
        <v>2390</v>
      </c>
      <c r="BS566" t="s">
        <v>1675</v>
      </c>
      <c r="BV566">
        <v>0</v>
      </c>
      <c r="BW566">
        <v>98200</v>
      </c>
      <c r="BX566">
        <v>259000</v>
      </c>
      <c r="BY566">
        <v>120000</v>
      </c>
      <c r="BZ566">
        <v>0</v>
      </c>
      <c r="CA566">
        <v>0</v>
      </c>
      <c r="CB566">
        <v>0</v>
      </c>
      <c r="CC566">
        <v>0</v>
      </c>
      <c r="CD566">
        <v>0</v>
      </c>
      <c r="CE566" t="s">
        <v>3108</v>
      </c>
      <c r="CF566" t="s">
        <v>3108</v>
      </c>
      <c r="CG566" t="s">
        <v>3108</v>
      </c>
      <c r="CH566" t="s">
        <v>3108</v>
      </c>
    </row>
    <row r="567" spans="1:86" x14ac:dyDescent="0.2">
      <c r="A567" t="s">
        <v>4188</v>
      </c>
      <c r="B567" t="s">
        <v>4188</v>
      </c>
      <c r="C567">
        <v>40907</v>
      </c>
      <c r="D567">
        <v>195</v>
      </c>
      <c r="E567" t="s">
        <v>4178</v>
      </c>
      <c r="F567">
        <v>2700</v>
      </c>
      <c r="G567" t="s">
        <v>411</v>
      </c>
      <c r="H567" t="s">
        <v>3997</v>
      </c>
      <c r="I567" t="s">
        <v>2533</v>
      </c>
      <c r="J567">
        <v>2703</v>
      </c>
      <c r="K567" t="s">
        <v>2533</v>
      </c>
      <c r="L567">
        <v>2200</v>
      </c>
      <c r="M567" t="s">
        <v>124</v>
      </c>
      <c r="N567">
        <v>2205</v>
      </c>
      <c r="O567" t="s">
        <v>2390</v>
      </c>
      <c r="P567" t="s">
        <v>3108</v>
      </c>
      <c r="Q567" t="s">
        <v>3249</v>
      </c>
      <c r="R567" t="s">
        <v>3249</v>
      </c>
      <c r="S567" t="s">
        <v>810</v>
      </c>
      <c r="T567" t="s">
        <v>2754</v>
      </c>
      <c r="U567" t="s">
        <v>3250</v>
      </c>
      <c r="V567" t="s">
        <v>3250</v>
      </c>
      <c r="W567" t="s">
        <v>3250</v>
      </c>
      <c r="X567" t="s">
        <v>3250</v>
      </c>
      <c r="Y567" t="s">
        <v>3250</v>
      </c>
      <c r="Z567" t="s">
        <v>3250</v>
      </c>
      <c r="AA567" t="s">
        <v>3108</v>
      </c>
      <c r="AB567" t="s">
        <v>3108</v>
      </c>
      <c r="AC567" t="s">
        <v>3250</v>
      </c>
      <c r="AD567" t="s">
        <v>3250</v>
      </c>
      <c r="AE567" t="s">
        <v>3250</v>
      </c>
      <c r="AF567" t="s">
        <v>3250</v>
      </c>
      <c r="AG567" t="s">
        <v>3250</v>
      </c>
      <c r="AH567" t="s">
        <v>3250</v>
      </c>
      <c r="AI567" t="s">
        <v>3250</v>
      </c>
      <c r="AJ567" t="s">
        <v>3250</v>
      </c>
      <c r="AL567" t="s">
        <v>3250</v>
      </c>
      <c r="AM567" t="s">
        <v>3250</v>
      </c>
      <c r="AN567" t="s">
        <v>3250</v>
      </c>
      <c r="AO567" t="s">
        <v>3250</v>
      </c>
      <c r="AS567" t="s">
        <v>3250</v>
      </c>
      <c r="AT567" t="s">
        <v>3250</v>
      </c>
      <c r="AU567" t="s">
        <v>3250</v>
      </c>
      <c r="AV567" t="s">
        <v>3250</v>
      </c>
      <c r="AW567" t="s">
        <v>3250</v>
      </c>
      <c r="AX567" t="s">
        <v>3250</v>
      </c>
      <c r="AY567" t="s">
        <v>3250</v>
      </c>
      <c r="AZ567" t="s">
        <v>3250</v>
      </c>
      <c r="BA567" t="s">
        <v>3250</v>
      </c>
      <c r="BB567" t="s">
        <v>3250</v>
      </c>
      <c r="BC567" t="s">
        <v>3250</v>
      </c>
      <c r="BE567" t="s">
        <v>3250</v>
      </c>
      <c r="BF567" t="s">
        <v>3250</v>
      </c>
      <c r="BG567" t="s">
        <v>3250</v>
      </c>
      <c r="BH567" t="s">
        <v>3250</v>
      </c>
      <c r="BI567" t="s">
        <v>3250</v>
      </c>
      <c r="BK567" t="s">
        <v>3250</v>
      </c>
      <c r="BL567" t="s">
        <v>3250</v>
      </c>
      <c r="BM567" t="s">
        <v>3250</v>
      </c>
      <c r="BN567" t="s">
        <v>3250</v>
      </c>
      <c r="BP567">
        <v>9</v>
      </c>
      <c r="BQ567">
        <v>91</v>
      </c>
      <c r="BR567" t="s">
        <v>2390</v>
      </c>
      <c r="BS567" t="s">
        <v>1675</v>
      </c>
      <c r="BV567">
        <v>0</v>
      </c>
      <c r="BW567">
        <v>0</v>
      </c>
      <c r="BX567">
        <v>64100</v>
      </c>
      <c r="BY567">
        <v>5000</v>
      </c>
      <c r="BZ567">
        <v>0</v>
      </c>
      <c r="CA567">
        <v>0</v>
      </c>
      <c r="CB567">
        <v>0</v>
      </c>
      <c r="CC567">
        <v>0</v>
      </c>
      <c r="CD567">
        <v>0</v>
      </c>
      <c r="CE567" t="s">
        <v>3108</v>
      </c>
      <c r="CF567" t="s">
        <v>3108</v>
      </c>
      <c r="CG567" t="s">
        <v>3108</v>
      </c>
      <c r="CH567" t="s">
        <v>3108</v>
      </c>
    </row>
    <row r="568" spans="1:86" x14ac:dyDescent="0.2">
      <c r="A568" t="s">
        <v>4189</v>
      </c>
      <c r="B568" t="s">
        <v>4189</v>
      </c>
      <c r="C568">
        <v>40908</v>
      </c>
      <c r="D568">
        <v>196</v>
      </c>
      <c r="E568" t="s">
        <v>4180</v>
      </c>
      <c r="F568">
        <v>2700</v>
      </c>
      <c r="G568" t="s">
        <v>411</v>
      </c>
      <c r="H568" t="s">
        <v>3997</v>
      </c>
      <c r="I568" t="s">
        <v>2533</v>
      </c>
      <c r="J568">
        <v>2703</v>
      </c>
      <c r="K568" t="s">
        <v>2533</v>
      </c>
      <c r="L568">
        <v>2200</v>
      </c>
      <c r="M568" t="s">
        <v>124</v>
      </c>
      <c r="N568">
        <v>2205</v>
      </c>
      <c r="O568" t="s">
        <v>2390</v>
      </c>
      <c r="P568" t="s">
        <v>3108</v>
      </c>
      <c r="Q568" t="s">
        <v>3249</v>
      </c>
      <c r="R568" t="s">
        <v>3249</v>
      </c>
      <c r="S568" t="s">
        <v>810</v>
      </c>
      <c r="T568" t="s">
        <v>2754</v>
      </c>
      <c r="U568" t="s">
        <v>3250</v>
      </c>
      <c r="V568" t="s">
        <v>3250</v>
      </c>
      <c r="W568" t="s">
        <v>3250</v>
      </c>
      <c r="X568" t="s">
        <v>3250</v>
      </c>
      <c r="Y568" t="s">
        <v>3250</v>
      </c>
      <c r="Z568" t="s">
        <v>3250</v>
      </c>
      <c r="AA568" t="s">
        <v>3108</v>
      </c>
      <c r="AB568" t="s">
        <v>3108</v>
      </c>
      <c r="AC568" t="s">
        <v>3250</v>
      </c>
      <c r="AD568" t="s">
        <v>3250</v>
      </c>
      <c r="AE568" t="s">
        <v>3250</v>
      </c>
      <c r="AF568" t="s">
        <v>3250</v>
      </c>
      <c r="AG568" t="s">
        <v>3250</v>
      </c>
      <c r="AH568" t="s">
        <v>3250</v>
      </c>
      <c r="AI568" t="s">
        <v>3250</v>
      </c>
      <c r="AJ568" t="s">
        <v>3250</v>
      </c>
      <c r="AL568" t="s">
        <v>3250</v>
      </c>
      <c r="AM568" t="s">
        <v>3250</v>
      </c>
      <c r="AN568" t="s">
        <v>3250</v>
      </c>
      <c r="AO568" t="s">
        <v>3250</v>
      </c>
      <c r="AS568" t="s">
        <v>3250</v>
      </c>
      <c r="AT568" t="s">
        <v>3250</v>
      </c>
      <c r="AU568" t="s">
        <v>3250</v>
      </c>
      <c r="AV568" t="s">
        <v>3250</v>
      </c>
      <c r="AW568" t="s">
        <v>3250</v>
      </c>
      <c r="AX568" t="s">
        <v>3250</v>
      </c>
      <c r="AY568" t="s">
        <v>3250</v>
      </c>
      <c r="AZ568" t="s">
        <v>3250</v>
      </c>
      <c r="BA568" t="s">
        <v>3250</v>
      </c>
      <c r="BB568" t="s">
        <v>3250</v>
      </c>
      <c r="BC568" t="s">
        <v>3250</v>
      </c>
      <c r="BE568" t="s">
        <v>3250</v>
      </c>
      <c r="BF568" t="s">
        <v>3250</v>
      </c>
      <c r="BG568" t="s">
        <v>3250</v>
      </c>
      <c r="BH568" t="s">
        <v>3250</v>
      </c>
      <c r="BI568" t="s">
        <v>3250</v>
      </c>
      <c r="BK568" t="s">
        <v>3250</v>
      </c>
      <c r="BL568" t="s">
        <v>3250</v>
      </c>
      <c r="BM568" t="s">
        <v>3250</v>
      </c>
      <c r="BN568" t="s">
        <v>3250</v>
      </c>
      <c r="BP568">
        <v>9</v>
      </c>
      <c r="BQ568">
        <v>91</v>
      </c>
      <c r="BR568" t="s">
        <v>2390</v>
      </c>
      <c r="BS568" t="s">
        <v>1675</v>
      </c>
      <c r="BV568">
        <v>0</v>
      </c>
      <c r="BW568">
        <v>0</v>
      </c>
      <c r="BX568">
        <v>143029</v>
      </c>
      <c r="BY568">
        <v>250000</v>
      </c>
      <c r="BZ568">
        <v>0</v>
      </c>
      <c r="CA568">
        <v>0</v>
      </c>
      <c r="CB568">
        <v>0</v>
      </c>
      <c r="CC568">
        <v>0</v>
      </c>
      <c r="CD568">
        <v>173414</v>
      </c>
      <c r="CE568" t="s">
        <v>3108</v>
      </c>
      <c r="CF568" t="s">
        <v>3108</v>
      </c>
      <c r="CG568" t="s">
        <v>3108</v>
      </c>
      <c r="CH568" t="s">
        <v>3108</v>
      </c>
    </row>
    <row r="569" spans="1:86" x14ac:dyDescent="0.2">
      <c r="A569" t="s">
        <v>4190</v>
      </c>
      <c r="B569" t="s">
        <v>4190</v>
      </c>
      <c r="C569">
        <v>40924</v>
      </c>
      <c r="D569">
        <v>348</v>
      </c>
      <c r="E569" t="s">
        <v>4059</v>
      </c>
      <c r="F569">
        <v>2900</v>
      </c>
      <c r="G569" t="s">
        <v>822</v>
      </c>
      <c r="H569" t="s">
        <v>3108</v>
      </c>
      <c r="I569" t="s">
        <v>3108</v>
      </c>
      <c r="J569">
        <v>2904</v>
      </c>
      <c r="K569" t="s">
        <v>1690</v>
      </c>
      <c r="L569">
        <v>1200</v>
      </c>
      <c r="M569" t="s">
        <v>2368</v>
      </c>
      <c r="N569">
        <v>1201</v>
      </c>
      <c r="O569" t="s">
        <v>2370</v>
      </c>
      <c r="P569" t="s">
        <v>3108</v>
      </c>
      <c r="Q569" t="s">
        <v>3249</v>
      </c>
      <c r="R569" t="s">
        <v>3249</v>
      </c>
      <c r="S569" t="s">
        <v>810</v>
      </c>
      <c r="T569" t="s">
        <v>2754</v>
      </c>
      <c r="U569" t="s">
        <v>3250</v>
      </c>
      <c r="V569" t="s">
        <v>3250</v>
      </c>
      <c r="W569" t="s">
        <v>3250</v>
      </c>
      <c r="X569" t="s">
        <v>3250</v>
      </c>
      <c r="Y569" t="s">
        <v>3250</v>
      </c>
      <c r="Z569" t="s">
        <v>3250</v>
      </c>
      <c r="AA569" t="s">
        <v>3108</v>
      </c>
      <c r="AB569" t="s">
        <v>3108</v>
      </c>
      <c r="AC569" t="s">
        <v>3250</v>
      </c>
      <c r="AD569" t="s">
        <v>3250</v>
      </c>
      <c r="AE569" t="s">
        <v>3250</v>
      </c>
      <c r="AF569" t="s">
        <v>3250</v>
      </c>
      <c r="AG569" t="s">
        <v>3250</v>
      </c>
      <c r="AH569" t="s">
        <v>3250</v>
      </c>
      <c r="AI569" t="s">
        <v>3250</v>
      </c>
      <c r="AJ569" t="s">
        <v>3250</v>
      </c>
      <c r="AL569" t="s">
        <v>3250</v>
      </c>
      <c r="AM569" t="s">
        <v>3250</v>
      </c>
      <c r="AN569" t="s">
        <v>3250</v>
      </c>
      <c r="AO569" t="s">
        <v>3250</v>
      </c>
      <c r="AS569" t="s">
        <v>3250</v>
      </c>
      <c r="AT569" t="s">
        <v>3250</v>
      </c>
      <c r="AU569" t="s">
        <v>3250</v>
      </c>
      <c r="AV569" t="s">
        <v>3250</v>
      </c>
      <c r="AW569" t="s">
        <v>3250</v>
      </c>
      <c r="AX569" t="s">
        <v>3250</v>
      </c>
      <c r="AY569" t="s">
        <v>3250</v>
      </c>
      <c r="AZ569" t="s">
        <v>3250</v>
      </c>
      <c r="BA569" t="s">
        <v>3250</v>
      </c>
      <c r="BB569" t="s">
        <v>3250</v>
      </c>
      <c r="BC569" t="s">
        <v>3250</v>
      </c>
      <c r="BE569" t="s">
        <v>3250</v>
      </c>
      <c r="BF569" t="s">
        <v>3250</v>
      </c>
      <c r="BG569" t="s">
        <v>3250</v>
      </c>
      <c r="BH569" t="s">
        <v>3250</v>
      </c>
      <c r="BI569" t="s">
        <v>3250</v>
      </c>
      <c r="BK569" t="s">
        <v>3250</v>
      </c>
      <c r="BL569" t="s">
        <v>3250</v>
      </c>
      <c r="BM569" t="s">
        <v>3250</v>
      </c>
      <c r="BN569" t="s">
        <v>3250</v>
      </c>
      <c r="BP569">
        <v>1</v>
      </c>
      <c r="BQ569">
        <v>14</v>
      </c>
      <c r="BR569" t="s">
        <v>2370</v>
      </c>
      <c r="BS569" t="s">
        <v>3252</v>
      </c>
      <c r="BV569">
        <v>1258</v>
      </c>
      <c r="BW569">
        <v>1811</v>
      </c>
      <c r="BX569">
        <v>1642</v>
      </c>
      <c r="BY569">
        <v>0</v>
      </c>
      <c r="BZ569">
        <v>0</v>
      </c>
      <c r="CA569">
        <v>0</v>
      </c>
      <c r="CB569">
        <v>0</v>
      </c>
      <c r="CC569">
        <v>0</v>
      </c>
      <c r="CD569">
        <v>0</v>
      </c>
      <c r="CE569" t="s">
        <v>3108</v>
      </c>
      <c r="CF569" t="s">
        <v>3108</v>
      </c>
      <c r="CG569" t="s">
        <v>3108</v>
      </c>
      <c r="CH569" t="s">
        <v>3108</v>
      </c>
    </row>
    <row r="570" spans="1:86" x14ac:dyDescent="0.2">
      <c r="A570" t="s">
        <v>4191</v>
      </c>
      <c r="B570" t="s">
        <v>4191</v>
      </c>
      <c r="C570">
        <v>40925</v>
      </c>
      <c r="D570">
        <v>349</v>
      </c>
      <c r="E570" t="s">
        <v>4061</v>
      </c>
      <c r="F570">
        <v>2900</v>
      </c>
      <c r="G570" t="s">
        <v>822</v>
      </c>
      <c r="H570" t="s">
        <v>3108</v>
      </c>
      <c r="I570" t="s">
        <v>3108</v>
      </c>
      <c r="J570">
        <v>2904</v>
      </c>
      <c r="K570" t="s">
        <v>1690</v>
      </c>
      <c r="L570">
        <v>1200</v>
      </c>
      <c r="M570" t="s">
        <v>2368</v>
      </c>
      <c r="N570">
        <v>1201</v>
      </c>
      <c r="O570" t="s">
        <v>2370</v>
      </c>
      <c r="P570" t="s">
        <v>3108</v>
      </c>
      <c r="Q570" t="s">
        <v>3249</v>
      </c>
      <c r="R570" t="s">
        <v>3249</v>
      </c>
      <c r="S570" t="s">
        <v>810</v>
      </c>
      <c r="T570" t="s">
        <v>2754</v>
      </c>
      <c r="U570" t="s">
        <v>3250</v>
      </c>
      <c r="V570" t="s">
        <v>3250</v>
      </c>
      <c r="W570" t="s">
        <v>3250</v>
      </c>
      <c r="X570" t="s">
        <v>3250</v>
      </c>
      <c r="Y570" t="s">
        <v>3250</v>
      </c>
      <c r="Z570" t="s">
        <v>3250</v>
      </c>
      <c r="AA570" t="s">
        <v>3108</v>
      </c>
      <c r="AB570" t="s">
        <v>3108</v>
      </c>
      <c r="AC570" t="s">
        <v>3250</v>
      </c>
      <c r="AD570" t="s">
        <v>3250</v>
      </c>
      <c r="AE570" t="s">
        <v>3250</v>
      </c>
      <c r="AF570" t="s">
        <v>3250</v>
      </c>
      <c r="AG570" t="s">
        <v>3250</v>
      </c>
      <c r="AH570" t="s">
        <v>3250</v>
      </c>
      <c r="AI570" t="s">
        <v>3250</v>
      </c>
      <c r="AJ570" t="s">
        <v>3250</v>
      </c>
      <c r="AL570" t="s">
        <v>3250</v>
      </c>
      <c r="AM570" t="s">
        <v>3250</v>
      </c>
      <c r="AN570" t="s">
        <v>3250</v>
      </c>
      <c r="AO570" t="s">
        <v>3250</v>
      </c>
      <c r="AS570" t="s">
        <v>3250</v>
      </c>
      <c r="AT570" t="s">
        <v>3250</v>
      </c>
      <c r="AU570" t="s">
        <v>3250</v>
      </c>
      <c r="AV570" t="s">
        <v>3250</v>
      </c>
      <c r="AW570" t="s">
        <v>3250</v>
      </c>
      <c r="AX570" t="s">
        <v>3250</v>
      </c>
      <c r="AY570" t="s">
        <v>3250</v>
      </c>
      <c r="AZ570" t="s">
        <v>3250</v>
      </c>
      <c r="BA570" t="s">
        <v>3250</v>
      </c>
      <c r="BB570" t="s">
        <v>3250</v>
      </c>
      <c r="BC570" t="s">
        <v>3250</v>
      </c>
      <c r="BE570" t="s">
        <v>3250</v>
      </c>
      <c r="BF570" t="s">
        <v>3250</v>
      </c>
      <c r="BG570" t="s">
        <v>3250</v>
      </c>
      <c r="BH570" t="s">
        <v>3250</v>
      </c>
      <c r="BI570" t="s">
        <v>3250</v>
      </c>
      <c r="BK570" t="s">
        <v>3250</v>
      </c>
      <c r="BL570" t="s">
        <v>3250</v>
      </c>
      <c r="BM570" t="s">
        <v>3250</v>
      </c>
      <c r="BN570" t="s">
        <v>3250</v>
      </c>
      <c r="BP570">
        <v>1</v>
      </c>
      <c r="BQ570">
        <v>14</v>
      </c>
      <c r="BR570" t="s">
        <v>2370</v>
      </c>
      <c r="BS570" t="s">
        <v>3252</v>
      </c>
      <c r="BV570">
        <v>64895</v>
      </c>
      <c r="BW570">
        <v>64600</v>
      </c>
      <c r="BX570">
        <v>48775</v>
      </c>
      <c r="BY570">
        <v>0</v>
      </c>
      <c r="BZ570">
        <v>50000</v>
      </c>
      <c r="CA570">
        <v>51950</v>
      </c>
      <c r="CB570">
        <v>54028</v>
      </c>
      <c r="CC570">
        <v>56189</v>
      </c>
      <c r="CD570">
        <v>36319</v>
      </c>
      <c r="CE570" t="s">
        <v>3108</v>
      </c>
      <c r="CF570" t="s">
        <v>3108</v>
      </c>
      <c r="CG570" t="s">
        <v>3108</v>
      </c>
      <c r="CH570" t="s">
        <v>3108</v>
      </c>
    </row>
    <row r="571" spans="1:86" x14ac:dyDescent="0.2">
      <c r="A571" t="s">
        <v>4192</v>
      </c>
      <c r="B571" t="s">
        <v>4192</v>
      </c>
      <c r="C571">
        <v>40926</v>
      </c>
      <c r="D571">
        <v>350</v>
      </c>
      <c r="E571" t="s">
        <v>4063</v>
      </c>
      <c r="F571">
        <v>2000</v>
      </c>
      <c r="G571" t="s">
        <v>408</v>
      </c>
      <c r="H571" t="s">
        <v>4064</v>
      </c>
      <c r="I571" t="s">
        <v>1340</v>
      </c>
      <c r="J571">
        <v>2009</v>
      </c>
      <c r="K571" t="s">
        <v>1340</v>
      </c>
      <c r="L571">
        <v>1200</v>
      </c>
      <c r="M571" t="s">
        <v>2368</v>
      </c>
      <c r="N571">
        <v>1201</v>
      </c>
      <c r="O571" t="s">
        <v>2370</v>
      </c>
      <c r="P571" t="s">
        <v>3108</v>
      </c>
      <c r="Q571" t="s">
        <v>3249</v>
      </c>
      <c r="R571" t="s">
        <v>3249</v>
      </c>
      <c r="S571" t="s">
        <v>810</v>
      </c>
      <c r="T571" t="s">
        <v>2754</v>
      </c>
      <c r="U571" t="s">
        <v>3250</v>
      </c>
      <c r="V571" t="s">
        <v>3250</v>
      </c>
      <c r="W571" t="s">
        <v>3250</v>
      </c>
      <c r="X571" t="s">
        <v>3250</v>
      </c>
      <c r="Y571" t="s">
        <v>3250</v>
      </c>
      <c r="Z571" t="s">
        <v>3250</v>
      </c>
      <c r="AA571" t="s">
        <v>3108</v>
      </c>
      <c r="AB571" t="s">
        <v>3108</v>
      </c>
      <c r="AC571" t="s">
        <v>3250</v>
      </c>
      <c r="AD571" t="s">
        <v>3250</v>
      </c>
      <c r="AE571" t="s">
        <v>3250</v>
      </c>
      <c r="AF571" t="s">
        <v>3250</v>
      </c>
      <c r="AG571" t="s">
        <v>3250</v>
      </c>
      <c r="AH571" t="s">
        <v>3250</v>
      </c>
      <c r="AI571" t="s">
        <v>3250</v>
      </c>
      <c r="AJ571" t="s">
        <v>3250</v>
      </c>
      <c r="AL571" t="s">
        <v>3250</v>
      </c>
      <c r="AM571" t="s">
        <v>3250</v>
      </c>
      <c r="AN571" t="s">
        <v>3250</v>
      </c>
      <c r="AO571" t="s">
        <v>3250</v>
      </c>
      <c r="AS571" t="s">
        <v>3250</v>
      </c>
      <c r="AT571" t="s">
        <v>3250</v>
      </c>
      <c r="AU571" t="s">
        <v>3250</v>
      </c>
      <c r="AV571" t="s">
        <v>3250</v>
      </c>
      <c r="AW571" t="s">
        <v>3250</v>
      </c>
      <c r="AX571" t="s">
        <v>3250</v>
      </c>
      <c r="AY571" t="s">
        <v>3250</v>
      </c>
      <c r="AZ571" t="s">
        <v>3250</v>
      </c>
      <c r="BA571" t="s">
        <v>3250</v>
      </c>
      <c r="BB571" t="s">
        <v>3250</v>
      </c>
      <c r="BC571" t="s">
        <v>3250</v>
      </c>
      <c r="BE571" t="s">
        <v>3250</v>
      </c>
      <c r="BF571" t="s">
        <v>3250</v>
      </c>
      <c r="BG571" t="s">
        <v>3250</v>
      </c>
      <c r="BH571" t="s">
        <v>3250</v>
      </c>
      <c r="BI571" t="s">
        <v>3250</v>
      </c>
      <c r="BK571" t="s">
        <v>3250</v>
      </c>
      <c r="BL571" t="s">
        <v>3250</v>
      </c>
      <c r="BM571" t="s">
        <v>3250</v>
      </c>
      <c r="BN571" t="s">
        <v>3250</v>
      </c>
      <c r="BO571" t="s">
        <v>2916</v>
      </c>
      <c r="BP571">
        <v>1</v>
      </c>
      <c r="BQ571">
        <v>14</v>
      </c>
      <c r="BR571" t="s">
        <v>2370</v>
      </c>
      <c r="BS571" t="s">
        <v>3252</v>
      </c>
      <c r="BV571">
        <v>1705</v>
      </c>
      <c r="BW571">
        <v>936</v>
      </c>
      <c r="BX571">
        <v>5624</v>
      </c>
      <c r="BY571">
        <v>1714</v>
      </c>
      <c r="BZ571">
        <v>1714</v>
      </c>
      <c r="CA571">
        <v>1834</v>
      </c>
      <c r="CB571">
        <v>1962</v>
      </c>
      <c r="CC571">
        <v>2099</v>
      </c>
      <c r="CD571">
        <v>8497</v>
      </c>
      <c r="CE571" t="s">
        <v>3108</v>
      </c>
      <c r="CF571" t="s">
        <v>3108</v>
      </c>
      <c r="CG571" t="s">
        <v>3108</v>
      </c>
      <c r="CH571" t="s">
        <v>3108</v>
      </c>
    </row>
    <row r="572" spans="1:86" x14ac:dyDescent="0.2">
      <c r="A572" t="s">
        <v>4193</v>
      </c>
      <c r="B572" t="s">
        <v>4193</v>
      </c>
      <c r="C572">
        <v>40927</v>
      </c>
      <c r="D572">
        <v>351</v>
      </c>
      <c r="E572" t="s">
        <v>4066</v>
      </c>
      <c r="F572">
        <v>2000</v>
      </c>
      <c r="G572" t="s">
        <v>408</v>
      </c>
      <c r="H572" t="s">
        <v>4067</v>
      </c>
      <c r="I572" t="s">
        <v>650</v>
      </c>
      <c r="J572">
        <v>2003</v>
      </c>
      <c r="K572" t="s">
        <v>650</v>
      </c>
      <c r="L572">
        <v>1200</v>
      </c>
      <c r="M572" t="s">
        <v>2368</v>
      </c>
      <c r="N572">
        <v>1201</v>
      </c>
      <c r="O572" t="s">
        <v>2370</v>
      </c>
      <c r="P572" t="s">
        <v>3108</v>
      </c>
      <c r="Q572" t="s">
        <v>3249</v>
      </c>
      <c r="R572" t="s">
        <v>3249</v>
      </c>
      <c r="S572" t="s">
        <v>810</v>
      </c>
      <c r="T572" t="s">
        <v>2754</v>
      </c>
      <c r="U572" t="s">
        <v>3250</v>
      </c>
      <c r="V572" t="s">
        <v>3250</v>
      </c>
      <c r="W572" t="s">
        <v>3250</v>
      </c>
      <c r="X572" t="s">
        <v>3250</v>
      </c>
      <c r="Y572" t="s">
        <v>3250</v>
      </c>
      <c r="Z572" t="s">
        <v>3250</v>
      </c>
      <c r="AA572" t="s">
        <v>3108</v>
      </c>
      <c r="AB572" t="s">
        <v>3108</v>
      </c>
      <c r="AC572" t="s">
        <v>3250</v>
      </c>
      <c r="AD572" t="s">
        <v>3250</v>
      </c>
      <c r="AE572" t="s">
        <v>3250</v>
      </c>
      <c r="AF572" t="s">
        <v>3250</v>
      </c>
      <c r="AG572" t="s">
        <v>3250</v>
      </c>
      <c r="AH572" t="s">
        <v>3250</v>
      </c>
      <c r="AI572" t="s">
        <v>3250</v>
      </c>
      <c r="AJ572" t="s">
        <v>3250</v>
      </c>
      <c r="AL572" t="s">
        <v>3250</v>
      </c>
      <c r="AM572" t="s">
        <v>3250</v>
      </c>
      <c r="AN572" t="s">
        <v>3250</v>
      </c>
      <c r="AO572" t="s">
        <v>3250</v>
      </c>
      <c r="AS572" t="s">
        <v>3250</v>
      </c>
      <c r="AT572" t="s">
        <v>3250</v>
      </c>
      <c r="AU572" t="s">
        <v>3250</v>
      </c>
      <c r="AV572" t="s">
        <v>3250</v>
      </c>
      <c r="AW572" t="s">
        <v>3250</v>
      </c>
      <c r="AX572" t="s">
        <v>3250</v>
      </c>
      <c r="AY572" t="s">
        <v>3250</v>
      </c>
      <c r="AZ572" t="s">
        <v>3250</v>
      </c>
      <c r="BA572" t="s">
        <v>3250</v>
      </c>
      <c r="BB572" t="s">
        <v>3250</v>
      </c>
      <c r="BC572" t="s">
        <v>3250</v>
      </c>
      <c r="BE572" t="s">
        <v>3250</v>
      </c>
      <c r="BF572" t="s">
        <v>3250</v>
      </c>
      <c r="BG572" t="s">
        <v>3250</v>
      </c>
      <c r="BH572" t="s">
        <v>3250</v>
      </c>
      <c r="BI572" t="s">
        <v>3250</v>
      </c>
      <c r="BK572" t="s">
        <v>3250</v>
      </c>
      <c r="BL572" t="s">
        <v>3250</v>
      </c>
      <c r="BM572" t="s">
        <v>3250</v>
      </c>
      <c r="BN572" t="s">
        <v>3250</v>
      </c>
      <c r="BO572" t="s">
        <v>2916</v>
      </c>
      <c r="BP572">
        <v>1</v>
      </c>
      <c r="BQ572">
        <v>14</v>
      </c>
      <c r="BR572" t="s">
        <v>2370</v>
      </c>
      <c r="BS572" t="s">
        <v>3252</v>
      </c>
      <c r="BV572">
        <v>382309</v>
      </c>
      <c r="BW572">
        <v>327833</v>
      </c>
      <c r="BX572">
        <v>305680</v>
      </c>
      <c r="BY572">
        <v>359752</v>
      </c>
      <c r="BZ572">
        <v>359752</v>
      </c>
      <c r="CA572">
        <v>384935</v>
      </c>
      <c r="CB572">
        <v>411880</v>
      </c>
      <c r="CC572">
        <v>440712</v>
      </c>
      <c r="CD572">
        <v>421437</v>
      </c>
      <c r="CE572" t="s">
        <v>3108</v>
      </c>
      <c r="CF572" t="s">
        <v>3108</v>
      </c>
      <c r="CG572" t="s">
        <v>3108</v>
      </c>
      <c r="CH572" t="s">
        <v>3108</v>
      </c>
    </row>
    <row r="573" spans="1:86" x14ac:dyDescent="0.2">
      <c r="A573" t="s">
        <v>4194</v>
      </c>
      <c r="B573" t="s">
        <v>4194</v>
      </c>
      <c r="C573">
        <v>40928</v>
      </c>
      <c r="D573">
        <v>352</v>
      </c>
      <c r="E573" t="s">
        <v>4069</v>
      </c>
      <c r="F573">
        <v>2000</v>
      </c>
      <c r="G573" t="s">
        <v>408</v>
      </c>
      <c r="H573" t="s">
        <v>4070</v>
      </c>
      <c r="I573" t="s">
        <v>1792</v>
      </c>
      <c r="J573">
        <v>2002</v>
      </c>
      <c r="K573" t="s">
        <v>1792</v>
      </c>
      <c r="L573">
        <v>1200</v>
      </c>
      <c r="M573" t="s">
        <v>2368</v>
      </c>
      <c r="N573">
        <v>1201</v>
      </c>
      <c r="O573" t="s">
        <v>2370</v>
      </c>
      <c r="P573" t="s">
        <v>3108</v>
      </c>
      <c r="Q573" t="s">
        <v>3249</v>
      </c>
      <c r="R573" t="s">
        <v>3249</v>
      </c>
      <c r="S573" t="s">
        <v>810</v>
      </c>
      <c r="T573" t="s">
        <v>2754</v>
      </c>
      <c r="U573" t="s">
        <v>3250</v>
      </c>
      <c r="V573" t="s">
        <v>3250</v>
      </c>
      <c r="W573" t="s">
        <v>3250</v>
      </c>
      <c r="X573" t="s">
        <v>3250</v>
      </c>
      <c r="Y573" t="s">
        <v>3250</v>
      </c>
      <c r="Z573" t="s">
        <v>3250</v>
      </c>
      <c r="AA573" t="s">
        <v>3108</v>
      </c>
      <c r="AB573" t="s">
        <v>3108</v>
      </c>
      <c r="AC573" t="s">
        <v>3250</v>
      </c>
      <c r="AD573" t="s">
        <v>3250</v>
      </c>
      <c r="AE573" t="s">
        <v>3250</v>
      </c>
      <c r="AF573" t="s">
        <v>3250</v>
      </c>
      <c r="AG573" t="s">
        <v>3250</v>
      </c>
      <c r="AH573" t="s">
        <v>3250</v>
      </c>
      <c r="AI573" t="s">
        <v>3250</v>
      </c>
      <c r="AJ573" t="s">
        <v>3250</v>
      </c>
      <c r="AL573" t="s">
        <v>3250</v>
      </c>
      <c r="AM573" t="s">
        <v>3250</v>
      </c>
      <c r="AN573" t="s">
        <v>3250</v>
      </c>
      <c r="AO573" t="s">
        <v>3250</v>
      </c>
      <c r="AS573" t="s">
        <v>3250</v>
      </c>
      <c r="AT573" t="s">
        <v>3250</v>
      </c>
      <c r="AU573" t="s">
        <v>3250</v>
      </c>
      <c r="AV573" t="s">
        <v>3250</v>
      </c>
      <c r="AW573" t="s">
        <v>3250</v>
      </c>
      <c r="AX573" t="s">
        <v>3250</v>
      </c>
      <c r="AY573" t="s">
        <v>3250</v>
      </c>
      <c r="AZ573" t="s">
        <v>3250</v>
      </c>
      <c r="BA573" t="s">
        <v>3250</v>
      </c>
      <c r="BB573" t="s">
        <v>3250</v>
      </c>
      <c r="BC573" t="s">
        <v>3250</v>
      </c>
      <c r="BE573" t="s">
        <v>3250</v>
      </c>
      <c r="BF573" t="s">
        <v>3250</v>
      </c>
      <c r="BG573" t="s">
        <v>3250</v>
      </c>
      <c r="BH573" t="s">
        <v>3250</v>
      </c>
      <c r="BI573" t="s">
        <v>3250</v>
      </c>
      <c r="BK573" t="s">
        <v>3250</v>
      </c>
      <c r="BL573" t="s">
        <v>3250</v>
      </c>
      <c r="BM573" t="s">
        <v>3250</v>
      </c>
      <c r="BN573" t="s">
        <v>3250</v>
      </c>
      <c r="BO573" t="s">
        <v>2916</v>
      </c>
      <c r="BP573">
        <v>1</v>
      </c>
      <c r="BQ573">
        <v>14</v>
      </c>
      <c r="BR573" t="s">
        <v>2370</v>
      </c>
      <c r="BS573" t="s">
        <v>3252</v>
      </c>
      <c r="BV573">
        <v>776130</v>
      </c>
      <c r="BW573">
        <v>633422</v>
      </c>
      <c r="BX573">
        <v>611795</v>
      </c>
      <c r="BY573">
        <v>809442</v>
      </c>
      <c r="BZ573">
        <v>809442</v>
      </c>
      <c r="CA573">
        <v>866103</v>
      </c>
      <c r="CB573">
        <v>926730</v>
      </c>
      <c r="CC573">
        <v>991601</v>
      </c>
      <c r="CD573">
        <v>762533</v>
      </c>
      <c r="CE573" t="s">
        <v>3108</v>
      </c>
      <c r="CF573" t="s">
        <v>3108</v>
      </c>
      <c r="CG573" t="s">
        <v>3108</v>
      </c>
      <c r="CH573" t="s">
        <v>3108</v>
      </c>
    </row>
    <row r="574" spans="1:86" x14ac:dyDescent="0.2">
      <c r="A574" t="s">
        <v>4195</v>
      </c>
      <c r="B574" t="s">
        <v>4195</v>
      </c>
      <c r="C574">
        <v>40929</v>
      </c>
      <c r="D574">
        <v>353</v>
      </c>
      <c r="E574" t="s">
        <v>4072</v>
      </c>
      <c r="F574">
        <v>2000</v>
      </c>
      <c r="G574" t="s">
        <v>408</v>
      </c>
      <c r="H574" t="s">
        <v>4070</v>
      </c>
      <c r="I574" t="s">
        <v>1792</v>
      </c>
      <c r="J574">
        <v>2002</v>
      </c>
      <c r="K574" t="s">
        <v>1792</v>
      </c>
      <c r="L574">
        <v>1200</v>
      </c>
      <c r="M574" t="s">
        <v>2368</v>
      </c>
      <c r="N574">
        <v>1201</v>
      </c>
      <c r="O574" t="s">
        <v>2370</v>
      </c>
      <c r="P574" t="s">
        <v>3108</v>
      </c>
      <c r="Q574" t="s">
        <v>3249</v>
      </c>
      <c r="R574" t="s">
        <v>3249</v>
      </c>
      <c r="S574" t="s">
        <v>810</v>
      </c>
      <c r="T574" t="s">
        <v>2754</v>
      </c>
      <c r="U574" t="s">
        <v>3250</v>
      </c>
      <c r="V574" t="s">
        <v>3250</v>
      </c>
      <c r="W574" t="s">
        <v>3250</v>
      </c>
      <c r="X574" t="s">
        <v>3250</v>
      </c>
      <c r="Y574" t="s">
        <v>3250</v>
      </c>
      <c r="Z574" t="s">
        <v>3250</v>
      </c>
      <c r="AA574" t="s">
        <v>3108</v>
      </c>
      <c r="AB574" t="s">
        <v>3108</v>
      </c>
      <c r="AC574" t="s">
        <v>3250</v>
      </c>
      <c r="AD574" t="s">
        <v>3250</v>
      </c>
      <c r="AE574" t="s">
        <v>3250</v>
      </c>
      <c r="AF574" t="s">
        <v>3250</v>
      </c>
      <c r="AG574" t="s">
        <v>3250</v>
      </c>
      <c r="AH574" t="s">
        <v>3250</v>
      </c>
      <c r="AI574" t="s">
        <v>3250</v>
      </c>
      <c r="AJ574" t="s">
        <v>3250</v>
      </c>
      <c r="AL574" t="s">
        <v>3250</v>
      </c>
      <c r="AM574" t="s">
        <v>3250</v>
      </c>
      <c r="AN574" t="s">
        <v>3250</v>
      </c>
      <c r="AO574" t="s">
        <v>3250</v>
      </c>
      <c r="AS574" t="s">
        <v>3250</v>
      </c>
      <c r="AT574" t="s">
        <v>3250</v>
      </c>
      <c r="AU574" t="s">
        <v>3250</v>
      </c>
      <c r="AV574" t="s">
        <v>3250</v>
      </c>
      <c r="AW574" t="s">
        <v>3250</v>
      </c>
      <c r="AX574" t="s">
        <v>3250</v>
      </c>
      <c r="AY574" t="s">
        <v>3250</v>
      </c>
      <c r="AZ574" t="s">
        <v>3250</v>
      </c>
      <c r="BA574" t="s">
        <v>3250</v>
      </c>
      <c r="BB574" t="s">
        <v>3250</v>
      </c>
      <c r="BC574" t="s">
        <v>3250</v>
      </c>
      <c r="BE574" t="s">
        <v>3250</v>
      </c>
      <c r="BF574" t="s">
        <v>3250</v>
      </c>
      <c r="BG574" t="s">
        <v>3250</v>
      </c>
      <c r="BH574" t="s">
        <v>3250</v>
      </c>
      <c r="BI574" t="s">
        <v>3250</v>
      </c>
      <c r="BK574" t="s">
        <v>3250</v>
      </c>
      <c r="BL574" t="s">
        <v>3250</v>
      </c>
      <c r="BM574" t="s">
        <v>3250</v>
      </c>
      <c r="BN574" t="s">
        <v>3250</v>
      </c>
      <c r="BO574" t="s">
        <v>2916</v>
      </c>
      <c r="BP574">
        <v>1</v>
      </c>
      <c r="BQ574">
        <v>14</v>
      </c>
      <c r="BR574" t="s">
        <v>2370</v>
      </c>
      <c r="BS574" t="s">
        <v>3252</v>
      </c>
      <c r="BV574">
        <v>44118</v>
      </c>
      <c r="BW574">
        <v>45963</v>
      </c>
      <c r="BX574">
        <v>33601</v>
      </c>
      <c r="BY574">
        <v>47172</v>
      </c>
      <c r="BZ574">
        <v>47172</v>
      </c>
      <c r="CA574">
        <v>50474</v>
      </c>
      <c r="CB574">
        <v>54007</v>
      </c>
      <c r="CC574">
        <v>57788</v>
      </c>
      <c r="CD574">
        <v>7569</v>
      </c>
      <c r="CE574" t="s">
        <v>3108</v>
      </c>
      <c r="CF574" t="s">
        <v>3108</v>
      </c>
      <c r="CG574" t="s">
        <v>3108</v>
      </c>
      <c r="CH574" t="s">
        <v>3108</v>
      </c>
    </row>
    <row r="575" spans="1:86" x14ac:dyDescent="0.2">
      <c r="A575" t="s">
        <v>4196</v>
      </c>
      <c r="B575" t="s">
        <v>4196</v>
      </c>
      <c r="C575">
        <v>40930</v>
      </c>
      <c r="D575">
        <v>354</v>
      </c>
      <c r="E575" t="s">
        <v>4074</v>
      </c>
      <c r="F575">
        <v>2000</v>
      </c>
      <c r="G575" t="s">
        <v>408</v>
      </c>
      <c r="H575" t="s">
        <v>4075</v>
      </c>
      <c r="I575" t="s">
        <v>946</v>
      </c>
      <c r="J575">
        <v>2009</v>
      </c>
      <c r="K575" t="s">
        <v>1340</v>
      </c>
      <c r="L575">
        <v>1200</v>
      </c>
      <c r="M575" t="s">
        <v>2368</v>
      </c>
      <c r="N575">
        <v>1201</v>
      </c>
      <c r="O575" t="s">
        <v>2370</v>
      </c>
      <c r="P575" t="s">
        <v>3108</v>
      </c>
      <c r="Q575" t="s">
        <v>3249</v>
      </c>
      <c r="R575" t="s">
        <v>3249</v>
      </c>
      <c r="S575" t="s">
        <v>810</v>
      </c>
      <c r="T575" t="s">
        <v>2754</v>
      </c>
      <c r="U575" t="s">
        <v>3250</v>
      </c>
      <c r="V575" t="s">
        <v>3250</v>
      </c>
      <c r="W575" t="s">
        <v>3250</v>
      </c>
      <c r="X575" t="s">
        <v>3250</v>
      </c>
      <c r="Y575" t="s">
        <v>3250</v>
      </c>
      <c r="Z575" t="s">
        <v>3250</v>
      </c>
      <c r="AA575" t="s">
        <v>3108</v>
      </c>
      <c r="AB575" t="s">
        <v>3108</v>
      </c>
      <c r="AC575" t="s">
        <v>3250</v>
      </c>
      <c r="AD575" t="s">
        <v>3250</v>
      </c>
      <c r="AE575" t="s">
        <v>3250</v>
      </c>
      <c r="AF575" t="s">
        <v>3250</v>
      </c>
      <c r="AG575" t="s">
        <v>3250</v>
      </c>
      <c r="AH575" t="s">
        <v>3250</v>
      </c>
      <c r="AI575" t="s">
        <v>3250</v>
      </c>
      <c r="AJ575" t="s">
        <v>3250</v>
      </c>
      <c r="AL575" t="s">
        <v>3250</v>
      </c>
      <c r="AM575" t="s">
        <v>3250</v>
      </c>
      <c r="AN575" t="s">
        <v>3250</v>
      </c>
      <c r="AO575" t="s">
        <v>3250</v>
      </c>
      <c r="AS575" t="s">
        <v>3250</v>
      </c>
      <c r="AT575" t="s">
        <v>3250</v>
      </c>
      <c r="AU575" t="s">
        <v>3250</v>
      </c>
      <c r="AV575" t="s">
        <v>3250</v>
      </c>
      <c r="AW575" t="s">
        <v>3250</v>
      </c>
      <c r="AX575" t="s">
        <v>3250</v>
      </c>
      <c r="AY575" t="s">
        <v>3250</v>
      </c>
      <c r="AZ575" t="s">
        <v>3250</v>
      </c>
      <c r="BA575" t="s">
        <v>3250</v>
      </c>
      <c r="BB575" t="s">
        <v>3250</v>
      </c>
      <c r="BC575" t="s">
        <v>3250</v>
      </c>
      <c r="BE575" t="s">
        <v>3250</v>
      </c>
      <c r="BF575" t="s">
        <v>3250</v>
      </c>
      <c r="BG575" t="s">
        <v>3250</v>
      </c>
      <c r="BH575" t="s">
        <v>3250</v>
      </c>
      <c r="BI575" t="s">
        <v>3250</v>
      </c>
      <c r="BK575" t="s">
        <v>3250</v>
      </c>
      <c r="BL575" t="s">
        <v>3250</v>
      </c>
      <c r="BM575" t="s">
        <v>3250</v>
      </c>
      <c r="BN575" t="s">
        <v>3250</v>
      </c>
      <c r="BO575" t="s">
        <v>2916</v>
      </c>
      <c r="BP575">
        <v>1</v>
      </c>
      <c r="BQ575">
        <v>14</v>
      </c>
      <c r="BR575" t="s">
        <v>2370</v>
      </c>
      <c r="BS575" t="s">
        <v>3252</v>
      </c>
      <c r="BV575">
        <v>24830</v>
      </c>
      <c r="BW575">
        <v>0</v>
      </c>
      <c r="BX575">
        <v>0</v>
      </c>
      <c r="BY575">
        <v>0</v>
      </c>
      <c r="BZ575">
        <v>100000</v>
      </c>
      <c r="CA575">
        <v>107000</v>
      </c>
      <c r="CB575">
        <v>111280</v>
      </c>
      <c r="CC575">
        <v>115731</v>
      </c>
      <c r="CD575">
        <v>76989</v>
      </c>
      <c r="CE575" t="s">
        <v>3108</v>
      </c>
      <c r="CF575" t="s">
        <v>3108</v>
      </c>
      <c r="CG575" t="s">
        <v>3108</v>
      </c>
      <c r="CH575" t="s">
        <v>3108</v>
      </c>
    </row>
    <row r="576" spans="1:86" x14ac:dyDescent="0.2">
      <c r="A576" t="s">
        <v>4197</v>
      </c>
      <c r="B576" t="s">
        <v>4197</v>
      </c>
      <c r="C576">
        <v>40931</v>
      </c>
      <c r="D576">
        <v>355</v>
      </c>
      <c r="E576" t="s">
        <v>4077</v>
      </c>
      <c r="F576">
        <v>2000</v>
      </c>
      <c r="G576" t="s">
        <v>408</v>
      </c>
      <c r="H576" t="s">
        <v>4075</v>
      </c>
      <c r="I576" t="s">
        <v>946</v>
      </c>
      <c r="J576">
        <v>2009</v>
      </c>
      <c r="K576" t="s">
        <v>1340</v>
      </c>
      <c r="L576">
        <v>1200</v>
      </c>
      <c r="M576" t="s">
        <v>2368</v>
      </c>
      <c r="N576">
        <v>1201</v>
      </c>
      <c r="O576" t="s">
        <v>2370</v>
      </c>
      <c r="P576" t="s">
        <v>3108</v>
      </c>
      <c r="Q576" t="s">
        <v>3249</v>
      </c>
      <c r="R576" t="s">
        <v>3249</v>
      </c>
      <c r="S576" t="s">
        <v>810</v>
      </c>
      <c r="T576" t="s">
        <v>2754</v>
      </c>
      <c r="U576" t="s">
        <v>3250</v>
      </c>
      <c r="V576" t="s">
        <v>3250</v>
      </c>
      <c r="W576" t="s">
        <v>3250</v>
      </c>
      <c r="X576" t="s">
        <v>3250</v>
      </c>
      <c r="Y576" t="s">
        <v>3250</v>
      </c>
      <c r="Z576" t="s">
        <v>3250</v>
      </c>
      <c r="AA576" t="s">
        <v>3108</v>
      </c>
      <c r="AB576" t="s">
        <v>3108</v>
      </c>
      <c r="AC576" t="s">
        <v>3250</v>
      </c>
      <c r="AD576" t="s">
        <v>3250</v>
      </c>
      <c r="AE576" t="s">
        <v>3250</v>
      </c>
      <c r="AF576" t="s">
        <v>3250</v>
      </c>
      <c r="AG576" t="s">
        <v>3250</v>
      </c>
      <c r="AH576" t="s">
        <v>3250</v>
      </c>
      <c r="AI576" t="s">
        <v>3250</v>
      </c>
      <c r="AJ576" t="s">
        <v>3250</v>
      </c>
      <c r="AL576" t="s">
        <v>3250</v>
      </c>
      <c r="AM576" t="s">
        <v>3250</v>
      </c>
      <c r="AN576" t="s">
        <v>3250</v>
      </c>
      <c r="AO576" t="s">
        <v>3250</v>
      </c>
      <c r="AS576" t="s">
        <v>3250</v>
      </c>
      <c r="AT576" t="s">
        <v>3250</v>
      </c>
      <c r="AU576" t="s">
        <v>3250</v>
      </c>
      <c r="AV576" t="s">
        <v>3250</v>
      </c>
      <c r="AW576" t="s">
        <v>3250</v>
      </c>
      <c r="AX576" t="s">
        <v>3250</v>
      </c>
      <c r="AY576" t="s">
        <v>3250</v>
      </c>
      <c r="AZ576" t="s">
        <v>3250</v>
      </c>
      <c r="BA576" t="s">
        <v>3250</v>
      </c>
      <c r="BB576" t="s">
        <v>3250</v>
      </c>
      <c r="BC576" t="s">
        <v>3250</v>
      </c>
      <c r="BE576" t="s">
        <v>3250</v>
      </c>
      <c r="BF576" t="s">
        <v>3250</v>
      </c>
      <c r="BG576" t="s">
        <v>3250</v>
      </c>
      <c r="BH576" t="s">
        <v>3250</v>
      </c>
      <c r="BI576" t="s">
        <v>3250</v>
      </c>
      <c r="BK576" t="s">
        <v>3250</v>
      </c>
      <c r="BL576" t="s">
        <v>3250</v>
      </c>
      <c r="BM576" t="s">
        <v>3250</v>
      </c>
      <c r="BN576" t="s">
        <v>3250</v>
      </c>
      <c r="BO576" t="s">
        <v>2916</v>
      </c>
      <c r="BP576">
        <v>1</v>
      </c>
      <c r="BQ576">
        <v>14</v>
      </c>
      <c r="BR576" t="s">
        <v>2370</v>
      </c>
      <c r="BS576" t="s">
        <v>3252</v>
      </c>
      <c r="BV576">
        <v>44649</v>
      </c>
      <c r="BW576">
        <v>118805</v>
      </c>
      <c r="BX576">
        <v>204291</v>
      </c>
      <c r="BY576">
        <v>281900</v>
      </c>
      <c r="BZ576">
        <v>281900</v>
      </c>
      <c r="CA576">
        <v>301633</v>
      </c>
      <c r="CB576">
        <v>322747</v>
      </c>
      <c r="CC576">
        <v>345339</v>
      </c>
      <c r="CD576">
        <v>29233</v>
      </c>
      <c r="CE576" t="s">
        <v>3108</v>
      </c>
      <c r="CF576" t="s">
        <v>3108</v>
      </c>
      <c r="CG576" t="s">
        <v>3108</v>
      </c>
      <c r="CH576" t="s">
        <v>3108</v>
      </c>
    </row>
    <row r="577" spans="1:86" x14ac:dyDescent="0.2">
      <c r="A577" t="s">
        <v>4198</v>
      </c>
      <c r="B577" t="s">
        <v>4198</v>
      </c>
      <c r="C577">
        <v>40932</v>
      </c>
      <c r="D577">
        <v>356</v>
      </c>
      <c r="E577" t="s">
        <v>4079</v>
      </c>
      <c r="F577">
        <v>2000</v>
      </c>
      <c r="G577" t="s">
        <v>408</v>
      </c>
      <c r="H577" t="s">
        <v>4064</v>
      </c>
      <c r="I577" t="s">
        <v>1340</v>
      </c>
      <c r="J577">
        <v>2001</v>
      </c>
      <c r="K577" t="s">
        <v>1135</v>
      </c>
      <c r="L577">
        <v>1200</v>
      </c>
      <c r="M577" t="s">
        <v>2368</v>
      </c>
      <c r="N577">
        <v>1201</v>
      </c>
      <c r="O577" t="s">
        <v>2370</v>
      </c>
      <c r="P577" t="s">
        <v>3108</v>
      </c>
      <c r="Q577" t="s">
        <v>3249</v>
      </c>
      <c r="R577" t="s">
        <v>3249</v>
      </c>
      <c r="S577" t="s">
        <v>810</v>
      </c>
      <c r="T577" t="s">
        <v>2754</v>
      </c>
      <c r="U577" t="s">
        <v>3250</v>
      </c>
      <c r="V577" t="s">
        <v>3250</v>
      </c>
      <c r="W577" t="s">
        <v>3250</v>
      </c>
      <c r="X577" t="s">
        <v>3250</v>
      </c>
      <c r="Y577" t="s">
        <v>3250</v>
      </c>
      <c r="Z577" t="s">
        <v>3250</v>
      </c>
      <c r="AA577" t="s">
        <v>3108</v>
      </c>
      <c r="AB577" t="s">
        <v>3108</v>
      </c>
      <c r="AC577" t="s">
        <v>3250</v>
      </c>
      <c r="AD577" t="s">
        <v>3250</v>
      </c>
      <c r="AE577" t="s">
        <v>3250</v>
      </c>
      <c r="AF577" t="s">
        <v>3250</v>
      </c>
      <c r="AG577" t="s">
        <v>3250</v>
      </c>
      <c r="AH577" t="s">
        <v>3250</v>
      </c>
      <c r="AI577" t="s">
        <v>3250</v>
      </c>
      <c r="AJ577" t="s">
        <v>3250</v>
      </c>
      <c r="AL577" t="s">
        <v>3250</v>
      </c>
      <c r="AM577" t="s">
        <v>3250</v>
      </c>
      <c r="AN577" t="s">
        <v>3250</v>
      </c>
      <c r="AO577" t="s">
        <v>3250</v>
      </c>
      <c r="AS577" t="s">
        <v>3250</v>
      </c>
      <c r="AT577" t="s">
        <v>3250</v>
      </c>
      <c r="AU577" t="s">
        <v>3250</v>
      </c>
      <c r="AV577" t="s">
        <v>3250</v>
      </c>
      <c r="AW577" t="s">
        <v>3250</v>
      </c>
      <c r="AX577" t="s">
        <v>3250</v>
      </c>
      <c r="AY577" t="s">
        <v>3250</v>
      </c>
      <c r="AZ577" t="s">
        <v>3250</v>
      </c>
      <c r="BA577" t="s">
        <v>3250</v>
      </c>
      <c r="BB577" t="s">
        <v>3250</v>
      </c>
      <c r="BC577" t="s">
        <v>3250</v>
      </c>
      <c r="BE577" t="s">
        <v>3250</v>
      </c>
      <c r="BF577" t="s">
        <v>3250</v>
      </c>
      <c r="BG577" t="s">
        <v>3250</v>
      </c>
      <c r="BH577" t="s">
        <v>3250</v>
      </c>
      <c r="BI577" t="s">
        <v>3250</v>
      </c>
      <c r="BK577" t="s">
        <v>3250</v>
      </c>
      <c r="BL577" t="s">
        <v>3250</v>
      </c>
      <c r="BM577" t="s">
        <v>3250</v>
      </c>
      <c r="BN577" t="s">
        <v>3250</v>
      </c>
      <c r="BO577" t="s">
        <v>2916</v>
      </c>
      <c r="BP577">
        <v>1</v>
      </c>
      <c r="BQ577">
        <v>14</v>
      </c>
      <c r="BR577" t="s">
        <v>2370</v>
      </c>
      <c r="BS577" t="s">
        <v>3252</v>
      </c>
      <c r="BV577">
        <v>8946</v>
      </c>
      <c r="BW577">
        <v>0</v>
      </c>
      <c r="BX577">
        <v>4123</v>
      </c>
      <c r="BY577">
        <v>0</v>
      </c>
      <c r="BZ577">
        <v>60000</v>
      </c>
      <c r="CA577">
        <v>64200</v>
      </c>
      <c r="CB577">
        <v>66768</v>
      </c>
      <c r="CC577">
        <v>69439</v>
      </c>
      <c r="CD577">
        <v>20808</v>
      </c>
      <c r="CE577" t="s">
        <v>3108</v>
      </c>
      <c r="CF577" t="s">
        <v>3108</v>
      </c>
      <c r="CG577" t="s">
        <v>3108</v>
      </c>
      <c r="CH577" t="s">
        <v>3108</v>
      </c>
    </row>
    <row r="578" spans="1:86" x14ac:dyDescent="0.2">
      <c r="A578" t="s">
        <v>4199</v>
      </c>
      <c r="B578" t="s">
        <v>4199</v>
      </c>
      <c r="C578">
        <v>40933</v>
      </c>
      <c r="D578">
        <v>357</v>
      </c>
      <c r="E578" t="s">
        <v>4081</v>
      </c>
      <c r="F578">
        <v>2000</v>
      </c>
      <c r="G578" t="s">
        <v>408</v>
      </c>
      <c r="H578" t="s">
        <v>4082</v>
      </c>
      <c r="I578" t="s">
        <v>652</v>
      </c>
      <c r="J578">
        <v>2005</v>
      </c>
      <c r="K578" t="s">
        <v>652</v>
      </c>
      <c r="L578">
        <v>1200</v>
      </c>
      <c r="M578" t="s">
        <v>2368</v>
      </c>
      <c r="N578">
        <v>1201</v>
      </c>
      <c r="O578" t="s">
        <v>2370</v>
      </c>
      <c r="P578" t="s">
        <v>3108</v>
      </c>
      <c r="Q578" t="s">
        <v>3249</v>
      </c>
      <c r="R578" t="s">
        <v>3249</v>
      </c>
      <c r="S578" t="s">
        <v>810</v>
      </c>
      <c r="T578" t="s">
        <v>2754</v>
      </c>
      <c r="U578" t="s">
        <v>3250</v>
      </c>
      <c r="V578" t="s">
        <v>3250</v>
      </c>
      <c r="W578" t="s">
        <v>3250</v>
      </c>
      <c r="X578" t="s">
        <v>3250</v>
      </c>
      <c r="Y578" t="s">
        <v>3250</v>
      </c>
      <c r="Z578" t="s">
        <v>3250</v>
      </c>
      <c r="AA578" t="s">
        <v>3108</v>
      </c>
      <c r="AB578" t="s">
        <v>3108</v>
      </c>
      <c r="AC578" t="s">
        <v>3250</v>
      </c>
      <c r="AD578" t="s">
        <v>3250</v>
      </c>
      <c r="AE578" t="s">
        <v>3250</v>
      </c>
      <c r="AF578" t="s">
        <v>3250</v>
      </c>
      <c r="AG578" t="s">
        <v>3250</v>
      </c>
      <c r="AH578" t="s">
        <v>3250</v>
      </c>
      <c r="AI578" t="s">
        <v>3250</v>
      </c>
      <c r="AJ578" t="s">
        <v>3250</v>
      </c>
      <c r="AL578" t="s">
        <v>3250</v>
      </c>
      <c r="AM578" t="s">
        <v>3250</v>
      </c>
      <c r="AN578" t="s">
        <v>3250</v>
      </c>
      <c r="AO578" t="s">
        <v>3250</v>
      </c>
      <c r="AS578" t="s">
        <v>3250</v>
      </c>
      <c r="AT578" t="s">
        <v>3250</v>
      </c>
      <c r="AU578" t="s">
        <v>3250</v>
      </c>
      <c r="AV578" t="s">
        <v>3250</v>
      </c>
      <c r="AW578" t="s">
        <v>3250</v>
      </c>
      <c r="AX578" t="s">
        <v>3250</v>
      </c>
      <c r="AY578" t="s">
        <v>3250</v>
      </c>
      <c r="AZ578" t="s">
        <v>3250</v>
      </c>
      <c r="BA578" t="s">
        <v>3250</v>
      </c>
      <c r="BB578" t="s">
        <v>3250</v>
      </c>
      <c r="BC578" t="s">
        <v>3250</v>
      </c>
      <c r="BE578" t="s">
        <v>3250</v>
      </c>
      <c r="BF578" t="s">
        <v>3250</v>
      </c>
      <c r="BG578" t="s">
        <v>3250</v>
      </c>
      <c r="BH578" t="s">
        <v>3250</v>
      </c>
      <c r="BI578" t="s">
        <v>3250</v>
      </c>
      <c r="BK578" t="s">
        <v>3250</v>
      </c>
      <c r="BL578" t="s">
        <v>3250</v>
      </c>
      <c r="BM578" t="s">
        <v>3250</v>
      </c>
      <c r="BN578" t="s">
        <v>3250</v>
      </c>
      <c r="BO578" t="s">
        <v>2916</v>
      </c>
      <c r="BP578">
        <v>1</v>
      </c>
      <c r="BQ578">
        <v>14</v>
      </c>
      <c r="BR578" t="s">
        <v>2370</v>
      </c>
      <c r="BS578" t="s">
        <v>3252</v>
      </c>
      <c r="BV578">
        <v>268842</v>
      </c>
      <c r="BW578">
        <v>268154</v>
      </c>
      <c r="BX578">
        <v>238339</v>
      </c>
      <c r="BY578">
        <v>467523</v>
      </c>
      <c r="BZ578">
        <v>467523</v>
      </c>
      <c r="CA578">
        <v>500249</v>
      </c>
      <c r="CB578">
        <v>535267</v>
      </c>
      <c r="CC578">
        <v>572736</v>
      </c>
      <c r="CD578">
        <v>78146</v>
      </c>
      <c r="CE578" t="s">
        <v>3108</v>
      </c>
      <c r="CF578" t="s">
        <v>3108</v>
      </c>
      <c r="CG578" t="s">
        <v>3108</v>
      </c>
      <c r="CH578" t="s">
        <v>3108</v>
      </c>
    </row>
    <row r="579" spans="1:86" x14ac:dyDescent="0.2">
      <c r="A579" t="s">
        <v>4200</v>
      </c>
      <c r="B579" t="s">
        <v>4200</v>
      </c>
      <c r="C579">
        <v>40934</v>
      </c>
      <c r="D579">
        <v>358</v>
      </c>
      <c r="E579" t="s">
        <v>4087</v>
      </c>
      <c r="F579">
        <v>2000</v>
      </c>
      <c r="G579" t="s">
        <v>408</v>
      </c>
      <c r="H579" t="s">
        <v>4088</v>
      </c>
      <c r="I579" t="s">
        <v>1941</v>
      </c>
      <c r="J579">
        <v>2008</v>
      </c>
      <c r="K579" t="s">
        <v>1941</v>
      </c>
      <c r="L579">
        <v>1200</v>
      </c>
      <c r="M579" t="s">
        <v>2368</v>
      </c>
      <c r="N579">
        <v>1201</v>
      </c>
      <c r="O579" t="s">
        <v>2370</v>
      </c>
      <c r="P579" t="s">
        <v>3108</v>
      </c>
      <c r="Q579" t="s">
        <v>3249</v>
      </c>
      <c r="R579" t="s">
        <v>3249</v>
      </c>
      <c r="S579" t="s">
        <v>810</v>
      </c>
      <c r="T579" t="s">
        <v>2754</v>
      </c>
      <c r="U579" t="s">
        <v>3250</v>
      </c>
      <c r="V579" t="s">
        <v>3250</v>
      </c>
      <c r="W579" t="s">
        <v>3250</v>
      </c>
      <c r="X579" t="s">
        <v>3250</v>
      </c>
      <c r="Y579" t="s">
        <v>3250</v>
      </c>
      <c r="Z579" t="s">
        <v>3250</v>
      </c>
      <c r="AA579" t="s">
        <v>3108</v>
      </c>
      <c r="AB579" t="s">
        <v>3108</v>
      </c>
      <c r="AC579" t="s">
        <v>3250</v>
      </c>
      <c r="AD579" t="s">
        <v>3250</v>
      </c>
      <c r="AE579" t="s">
        <v>3250</v>
      </c>
      <c r="AF579" t="s">
        <v>3250</v>
      </c>
      <c r="AG579" t="s">
        <v>3250</v>
      </c>
      <c r="AH579" t="s">
        <v>3250</v>
      </c>
      <c r="AI579" t="s">
        <v>3250</v>
      </c>
      <c r="AJ579" t="s">
        <v>3250</v>
      </c>
      <c r="AL579" t="s">
        <v>3250</v>
      </c>
      <c r="AM579" t="s">
        <v>3250</v>
      </c>
      <c r="AN579" t="s">
        <v>3250</v>
      </c>
      <c r="AO579" t="s">
        <v>3250</v>
      </c>
      <c r="AS579" t="s">
        <v>3250</v>
      </c>
      <c r="AT579" t="s">
        <v>3250</v>
      </c>
      <c r="AU579" t="s">
        <v>3250</v>
      </c>
      <c r="AV579" t="s">
        <v>3250</v>
      </c>
      <c r="AW579" t="s">
        <v>3250</v>
      </c>
      <c r="AX579" t="s">
        <v>3250</v>
      </c>
      <c r="AY579" t="s">
        <v>3250</v>
      </c>
      <c r="AZ579" t="s">
        <v>3250</v>
      </c>
      <c r="BA579" t="s">
        <v>3250</v>
      </c>
      <c r="BB579" t="s">
        <v>3250</v>
      </c>
      <c r="BC579" t="s">
        <v>3250</v>
      </c>
      <c r="BE579" t="s">
        <v>3250</v>
      </c>
      <c r="BF579" t="s">
        <v>3250</v>
      </c>
      <c r="BG579" t="s">
        <v>3250</v>
      </c>
      <c r="BH579" t="s">
        <v>3250</v>
      </c>
      <c r="BI579" t="s">
        <v>3250</v>
      </c>
      <c r="BK579" t="s">
        <v>3250</v>
      </c>
      <c r="BL579" t="s">
        <v>3250</v>
      </c>
      <c r="BM579" t="s">
        <v>3250</v>
      </c>
      <c r="BN579" t="s">
        <v>3250</v>
      </c>
      <c r="BO579" t="s">
        <v>2916</v>
      </c>
      <c r="BP579">
        <v>1</v>
      </c>
      <c r="BQ579">
        <v>14</v>
      </c>
      <c r="BR579" t="s">
        <v>2370</v>
      </c>
      <c r="BS579" t="s">
        <v>3252</v>
      </c>
      <c r="BV579">
        <v>18155</v>
      </c>
      <c r="BW579">
        <v>14490</v>
      </c>
      <c r="BX579">
        <v>17451</v>
      </c>
      <c r="BY579">
        <v>21000</v>
      </c>
      <c r="BZ579">
        <v>21000</v>
      </c>
      <c r="CA579">
        <v>22470</v>
      </c>
      <c r="CB579">
        <v>24043</v>
      </c>
      <c r="CC579">
        <v>25726</v>
      </c>
      <c r="CD579">
        <v>49032</v>
      </c>
      <c r="CE579" t="s">
        <v>3108</v>
      </c>
      <c r="CF579" t="s">
        <v>3108</v>
      </c>
      <c r="CG579" t="s">
        <v>3108</v>
      </c>
      <c r="CH579" t="s">
        <v>3108</v>
      </c>
    </row>
    <row r="580" spans="1:86" x14ac:dyDescent="0.2">
      <c r="A580" t="s">
        <v>4201</v>
      </c>
      <c r="B580" t="s">
        <v>4201</v>
      </c>
      <c r="C580">
        <v>40935</v>
      </c>
      <c r="D580">
        <v>359</v>
      </c>
      <c r="E580" t="s">
        <v>4202</v>
      </c>
      <c r="F580">
        <v>2000</v>
      </c>
      <c r="G580" t="s">
        <v>408</v>
      </c>
      <c r="H580" t="s">
        <v>4203</v>
      </c>
      <c r="I580" t="s">
        <v>1793</v>
      </c>
      <c r="J580">
        <v>2007</v>
      </c>
      <c r="K580" t="s">
        <v>1793</v>
      </c>
      <c r="L580">
        <v>1200</v>
      </c>
      <c r="M580" t="s">
        <v>2368</v>
      </c>
      <c r="N580">
        <v>1201</v>
      </c>
      <c r="O580" t="s">
        <v>2370</v>
      </c>
      <c r="P580" t="s">
        <v>3108</v>
      </c>
      <c r="Q580" t="s">
        <v>3249</v>
      </c>
      <c r="R580" t="s">
        <v>3249</v>
      </c>
      <c r="S580" t="s">
        <v>810</v>
      </c>
      <c r="T580" t="s">
        <v>2754</v>
      </c>
      <c r="U580" t="s">
        <v>3250</v>
      </c>
      <c r="V580" t="s">
        <v>3250</v>
      </c>
      <c r="W580" t="s">
        <v>3250</v>
      </c>
      <c r="X580" t="s">
        <v>3250</v>
      </c>
      <c r="Y580" t="s">
        <v>3250</v>
      </c>
      <c r="Z580" t="s">
        <v>3250</v>
      </c>
      <c r="AA580" t="s">
        <v>3108</v>
      </c>
      <c r="AB580" t="s">
        <v>3108</v>
      </c>
      <c r="AC580" t="s">
        <v>3250</v>
      </c>
      <c r="AD580" t="s">
        <v>3250</v>
      </c>
      <c r="AE580" t="s">
        <v>3250</v>
      </c>
      <c r="AF580" t="s">
        <v>3250</v>
      </c>
      <c r="AG580" t="s">
        <v>3250</v>
      </c>
      <c r="AH580" t="s">
        <v>3250</v>
      </c>
      <c r="AI580" t="s">
        <v>3250</v>
      </c>
      <c r="AJ580" t="s">
        <v>3250</v>
      </c>
      <c r="AL580" t="s">
        <v>3250</v>
      </c>
      <c r="AM580" t="s">
        <v>3250</v>
      </c>
      <c r="AN580" t="s">
        <v>3250</v>
      </c>
      <c r="AO580" t="s">
        <v>3250</v>
      </c>
      <c r="AS580" t="s">
        <v>3250</v>
      </c>
      <c r="AT580" t="s">
        <v>3250</v>
      </c>
      <c r="AU580" t="s">
        <v>3250</v>
      </c>
      <c r="AV580" t="s">
        <v>3250</v>
      </c>
      <c r="AW580" t="s">
        <v>3250</v>
      </c>
      <c r="AX580" t="s">
        <v>3250</v>
      </c>
      <c r="AY580" t="s">
        <v>3250</v>
      </c>
      <c r="AZ580" t="s">
        <v>3250</v>
      </c>
      <c r="BA580" t="s">
        <v>3250</v>
      </c>
      <c r="BB580" t="s">
        <v>3250</v>
      </c>
      <c r="BC580" t="s">
        <v>3250</v>
      </c>
      <c r="BE580" t="s">
        <v>3250</v>
      </c>
      <c r="BF580" t="s">
        <v>3250</v>
      </c>
      <c r="BG580" t="s">
        <v>3250</v>
      </c>
      <c r="BH580" t="s">
        <v>3250</v>
      </c>
      <c r="BI580" t="s">
        <v>3250</v>
      </c>
      <c r="BK580" t="s">
        <v>3250</v>
      </c>
      <c r="BL580" t="s">
        <v>3250</v>
      </c>
      <c r="BM580" t="s">
        <v>3250</v>
      </c>
      <c r="BN580" t="s">
        <v>3250</v>
      </c>
      <c r="BO580" t="s">
        <v>2916</v>
      </c>
      <c r="BP580">
        <v>1</v>
      </c>
      <c r="BQ580">
        <v>14</v>
      </c>
      <c r="BR580" t="s">
        <v>2370</v>
      </c>
      <c r="BS580" t="s">
        <v>3252</v>
      </c>
      <c r="BV580">
        <v>1440</v>
      </c>
      <c r="BW580">
        <v>1440</v>
      </c>
      <c r="BX580">
        <v>1440</v>
      </c>
      <c r="BY580">
        <v>18000</v>
      </c>
      <c r="BZ580">
        <v>18000</v>
      </c>
      <c r="CA580">
        <v>19260</v>
      </c>
      <c r="CB580">
        <v>20608</v>
      </c>
      <c r="CC580">
        <v>22051</v>
      </c>
      <c r="CD580">
        <v>4150</v>
      </c>
      <c r="CE580" t="s">
        <v>3108</v>
      </c>
      <c r="CF580" t="s">
        <v>3108</v>
      </c>
      <c r="CG580" t="s">
        <v>3108</v>
      </c>
      <c r="CH580" t="s">
        <v>3108</v>
      </c>
    </row>
    <row r="581" spans="1:86" x14ac:dyDescent="0.2">
      <c r="A581" t="s">
        <v>4204</v>
      </c>
      <c r="B581" t="s">
        <v>4204</v>
      </c>
      <c r="C581">
        <v>40936</v>
      </c>
      <c r="D581">
        <v>360</v>
      </c>
      <c r="E581" t="s">
        <v>4093</v>
      </c>
      <c r="F581">
        <v>2000</v>
      </c>
      <c r="G581" t="s">
        <v>408</v>
      </c>
      <c r="H581" t="s">
        <v>4094</v>
      </c>
      <c r="I581" t="s">
        <v>1135</v>
      </c>
      <c r="J581">
        <v>2001</v>
      </c>
      <c r="K581" t="s">
        <v>1135</v>
      </c>
      <c r="L581">
        <v>1200</v>
      </c>
      <c r="M581" t="s">
        <v>2368</v>
      </c>
      <c r="N581">
        <v>1201</v>
      </c>
      <c r="O581" t="s">
        <v>2370</v>
      </c>
      <c r="P581" t="s">
        <v>3108</v>
      </c>
      <c r="Q581" t="s">
        <v>3249</v>
      </c>
      <c r="R581" t="s">
        <v>3249</v>
      </c>
      <c r="S581" t="s">
        <v>810</v>
      </c>
      <c r="T581" t="s">
        <v>2754</v>
      </c>
      <c r="U581" t="s">
        <v>3250</v>
      </c>
      <c r="V581" t="s">
        <v>3250</v>
      </c>
      <c r="W581" t="s">
        <v>3250</v>
      </c>
      <c r="X581" t="s">
        <v>3250</v>
      </c>
      <c r="Y581" t="s">
        <v>3250</v>
      </c>
      <c r="Z581" t="s">
        <v>3250</v>
      </c>
      <c r="AA581" t="s">
        <v>3108</v>
      </c>
      <c r="AB581" t="s">
        <v>3108</v>
      </c>
      <c r="AC581" t="s">
        <v>3250</v>
      </c>
      <c r="AD581" t="s">
        <v>3250</v>
      </c>
      <c r="AE581" t="s">
        <v>3250</v>
      </c>
      <c r="AF581" t="s">
        <v>3250</v>
      </c>
      <c r="AG581" t="s">
        <v>3250</v>
      </c>
      <c r="AH581" t="s">
        <v>3250</v>
      </c>
      <c r="AI581" t="s">
        <v>3250</v>
      </c>
      <c r="AJ581" t="s">
        <v>3250</v>
      </c>
      <c r="AL581" t="s">
        <v>3250</v>
      </c>
      <c r="AM581" t="s">
        <v>3250</v>
      </c>
      <c r="AN581" t="s">
        <v>3250</v>
      </c>
      <c r="AO581" t="s">
        <v>3250</v>
      </c>
      <c r="AS581" t="s">
        <v>3250</v>
      </c>
      <c r="AT581" t="s">
        <v>3250</v>
      </c>
      <c r="AU581" t="s">
        <v>3250</v>
      </c>
      <c r="AV581" t="s">
        <v>3250</v>
      </c>
      <c r="AW581" t="s">
        <v>3250</v>
      </c>
      <c r="AX581" t="s">
        <v>3250</v>
      </c>
      <c r="AY581" t="s">
        <v>3250</v>
      </c>
      <c r="AZ581" t="s">
        <v>3250</v>
      </c>
      <c r="BA581" t="s">
        <v>3250</v>
      </c>
      <c r="BB581" t="s">
        <v>3250</v>
      </c>
      <c r="BC581" t="s">
        <v>3250</v>
      </c>
      <c r="BE581" t="s">
        <v>3250</v>
      </c>
      <c r="BF581" t="s">
        <v>3250</v>
      </c>
      <c r="BG581" t="s">
        <v>3250</v>
      </c>
      <c r="BH581" t="s">
        <v>3250</v>
      </c>
      <c r="BI581" t="s">
        <v>3250</v>
      </c>
      <c r="BK581" t="s">
        <v>3250</v>
      </c>
      <c r="BL581" t="s">
        <v>3250</v>
      </c>
      <c r="BM581" t="s">
        <v>3250</v>
      </c>
      <c r="BN581" t="s">
        <v>3250</v>
      </c>
      <c r="BO581" t="s">
        <v>2916</v>
      </c>
      <c r="BP581">
        <v>1</v>
      </c>
      <c r="BQ581">
        <v>14</v>
      </c>
      <c r="BR581" t="s">
        <v>2370</v>
      </c>
      <c r="BS581" t="s">
        <v>3252</v>
      </c>
      <c r="BV581">
        <v>4703622</v>
      </c>
      <c r="BW581">
        <v>5761326</v>
      </c>
      <c r="BX581">
        <v>4259179</v>
      </c>
      <c r="BY581">
        <v>5108530</v>
      </c>
      <c r="BZ581">
        <v>5058530</v>
      </c>
      <c r="CA581">
        <v>5412627</v>
      </c>
      <c r="CB581">
        <v>5791512</v>
      </c>
      <c r="CC581">
        <v>6196918</v>
      </c>
      <c r="CD581">
        <v>4092993</v>
      </c>
      <c r="CE581" t="s">
        <v>3108</v>
      </c>
      <c r="CF581" t="s">
        <v>3108</v>
      </c>
      <c r="CG581" t="s">
        <v>3108</v>
      </c>
      <c r="CH581" t="s">
        <v>3108</v>
      </c>
    </row>
    <row r="582" spans="1:86" x14ac:dyDescent="0.2">
      <c r="A582" t="s">
        <v>4205</v>
      </c>
      <c r="B582" t="s">
        <v>4205</v>
      </c>
      <c r="C582">
        <v>40937</v>
      </c>
      <c r="D582">
        <v>361</v>
      </c>
      <c r="E582" t="s">
        <v>4122</v>
      </c>
      <c r="F582">
        <v>2000</v>
      </c>
      <c r="G582" t="s">
        <v>408</v>
      </c>
      <c r="H582" t="s">
        <v>4123</v>
      </c>
      <c r="I582" t="s">
        <v>1454</v>
      </c>
      <c r="J582">
        <v>2012</v>
      </c>
      <c r="K582" t="s">
        <v>1454</v>
      </c>
      <c r="L582">
        <v>1200</v>
      </c>
      <c r="M582" t="s">
        <v>2368</v>
      </c>
      <c r="N582">
        <v>1201</v>
      </c>
      <c r="O582" t="s">
        <v>2370</v>
      </c>
      <c r="P582" t="s">
        <v>3108</v>
      </c>
      <c r="Q582" t="s">
        <v>3249</v>
      </c>
      <c r="R582" t="s">
        <v>3249</v>
      </c>
      <c r="S582" t="s">
        <v>810</v>
      </c>
      <c r="T582" t="s">
        <v>2754</v>
      </c>
      <c r="U582" t="s">
        <v>3250</v>
      </c>
      <c r="V582" t="s">
        <v>3250</v>
      </c>
      <c r="W582" t="s">
        <v>3250</v>
      </c>
      <c r="X582" t="s">
        <v>3250</v>
      </c>
      <c r="Y582" t="s">
        <v>3250</v>
      </c>
      <c r="Z582" t="s">
        <v>3250</v>
      </c>
      <c r="AA582" t="s">
        <v>3108</v>
      </c>
      <c r="AB582" t="s">
        <v>3108</v>
      </c>
      <c r="AC582" t="s">
        <v>3250</v>
      </c>
      <c r="AD582" t="s">
        <v>3250</v>
      </c>
      <c r="AE582" t="s">
        <v>3250</v>
      </c>
      <c r="AF582" t="s">
        <v>3250</v>
      </c>
      <c r="AG582" t="s">
        <v>3250</v>
      </c>
      <c r="AH582" t="s">
        <v>3250</v>
      </c>
      <c r="AI582" t="s">
        <v>3250</v>
      </c>
      <c r="AJ582" t="s">
        <v>3250</v>
      </c>
      <c r="AL582" t="s">
        <v>3250</v>
      </c>
      <c r="AM582" t="s">
        <v>3250</v>
      </c>
      <c r="AN582" t="s">
        <v>3250</v>
      </c>
      <c r="AO582" t="s">
        <v>3250</v>
      </c>
      <c r="AS582" t="s">
        <v>3250</v>
      </c>
      <c r="AT582" t="s">
        <v>3250</v>
      </c>
      <c r="AU582" t="s">
        <v>3250</v>
      </c>
      <c r="AV582" t="s">
        <v>3250</v>
      </c>
      <c r="AW582" t="s">
        <v>3250</v>
      </c>
      <c r="AX582" t="s">
        <v>3250</v>
      </c>
      <c r="AY582" t="s">
        <v>3250</v>
      </c>
      <c r="AZ582" t="s">
        <v>3250</v>
      </c>
      <c r="BA582" t="s">
        <v>3250</v>
      </c>
      <c r="BB582" t="s">
        <v>3250</v>
      </c>
      <c r="BC582" t="s">
        <v>3250</v>
      </c>
      <c r="BE582" t="s">
        <v>3250</v>
      </c>
      <c r="BF582" t="s">
        <v>3250</v>
      </c>
      <c r="BG582" t="s">
        <v>3250</v>
      </c>
      <c r="BH582" t="s">
        <v>3250</v>
      </c>
      <c r="BI582" t="s">
        <v>3250</v>
      </c>
      <c r="BK582" t="s">
        <v>3250</v>
      </c>
      <c r="BL582" t="s">
        <v>3250</v>
      </c>
      <c r="BM582" t="s">
        <v>3250</v>
      </c>
      <c r="BN582" t="s">
        <v>3250</v>
      </c>
      <c r="BO582" t="s">
        <v>2916</v>
      </c>
      <c r="BP582">
        <v>1</v>
      </c>
      <c r="BQ582">
        <v>14</v>
      </c>
      <c r="BR582" t="s">
        <v>2370</v>
      </c>
      <c r="BS582" t="s">
        <v>3252</v>
      </c>
      <c r="BV582">
        <v>-52048</v>
      </c>
      <c r="BW582">
        <v>0</v>
      </c>
      <c r="BX582">
        <v>0</v>
      </c>
      <c r="BY582">
        <v>0</v>
      </c>
      <c r="BZ582">
        <v>1000</v>
      </c>
      <c r="CA582">
        <v>1070</v>
      </c>
      <c r="CB582">
        <v>1145</v>
      </c>
      <c r="CC582">
        <v>1225</v>
      </c>
      <c r="CD582">
        <v>147</v>
      </c>
      <c r="CE582" t="s">
        <v>3108</v>
      </c>
      <c r="CF582" t="s">
        <v>3108</v>
      </c>
      <c r="CG582" t="s">
        <v>3108</v>
      </c>
      <c r="CH582" t="s">
        <v>3108</v>
      </c>
    </row>
    <row r="583" spans="1:86" x14ac:dyDescent="0.2">
      <c r="A583" t="s">
        <v>4206</v>
      </c>
      <c r="B583" t="s">
        <v>4206</v>
      </c>
      <c r="C583">
        <v>40938</v>
      </c>
      <c r="D583">
        <v>362</v>
      </c>
      <c r="E583" t="s">
        <v>4090</v>
      </c>
      <c r="F583">
        <v>2000</v>
      </c>
      <c r="G583" t="s">
        <v>408</v>
      </c>
      <c r="H583" t="s">
        <v>4091</v>
      </c>
      <c r="I583" t="s">
        <v>1940</v>
      </c>
      <c r="J583">
        <v>2006</v>
      </c>
      <c r="K583" t="s">
        <v>1940</v>
      </c>
      <c r="L583">
        <v>1200</v>
      </c>
      <c r="M583" t="s">
        <v>2368</v>
      </c>
      <c r="N583">
        <v>1201</v>
      </c>
      <c r="O583" t="s">
        <v>2370</v>
      </c>
      <c r="P583" t="s">
        <v>3108</v>
      </c>
      <c r="Q583" t="s">
        <v>3249</v>
      </c>
      <c r="R583" t="s">
        <v>3249</v>
      </c>
      <c r="S583" t="s">
        <v>810</v>
      </c>
      <c r="T583" t="s">
        <v>2754</v>
      </c>
      <c r="U583" t="s">
        <v>3250</v>
      </c>
      <c r="V583" t="s">
        <v>3250</v>
      </c>
      <c r="W583" t="s">
        <v>3250</v>
      </c>
      <c r="X583" t="s">
        <v>3250</v>
      </c>
      <c r="Y583" t="s">
        <v>3250</v>
      </c>
      <c r="Z583" t="s">
        <v>3250</v>
      </c>
      <c r="AA583" t="s">
        <v>3108</v>
      </c>
      <c r="AB583" t="s">
        <v>3108</v>
      </c>
      <c r="AC583" t="s">
        <v>3250</v>
      </c>
      <c r="AD583" t="s">
        <v>3250</v>
      </c>
      <c r="AE583" t="s">
        <v>3250</v>
      </c>
      <c r="AF583" t="s">
        <v>3250</v>
      </c>
      <c r="AG583" t="s">
        <v>3250</v>
      </c>
      <c r="AH583" t="s">
        <v>3250</v>
      </c>
      <c r="AI583" t="s">
        <v>3250</v>
      </c>
      <c r="AJ583" t="s">
        <v>3250</v>
      </c>
      <c r="AL583" t="s">
        <v>3250</v>
      </c>
      <c r="AM583" t="s">
        <v>3250</v>
      </c>
      <c r="AN583" t="s">
        <v>3250</v>
      </c>
      <c r="AO583" t="s">
        <v>3250</v>
      </c>
      <c r="AS583" t="s">
        <v>3250</v>
      </c>
      <c r="AT583" t="s">
        <v>3250</v>
      </c>
      <c r="AU583" t="s">
        <v>3250</v>
      </c>
      <c r="AV583" t="s">
        <v>3250</v>
      </c>
      <c r="AW583" t="s">
        <v>3250</v>
      </c>
      <c r="AX583" t="s">
        <v>3250</v>
      </c>
      <c r="AY583" t="s">
        <v>3250</v>
      </c>
      <c r="AZ583" t="s">
        <v>3250</v>
      </c>
      <c r="BA583" t="s">
        <v>3250</v>
      </c>
      <c r="BB583" t="s">
        <v>3250</v>
      </c>
      <c r="BC583" t="s">
        <v>3250</v>
      </c>
      <c r="BE583" t="s">
        <v>3250</v>
      </c>
      <c r="BF583" t="s">
        <v>3250</v>
      </c>
      <c r="BG583" t="s">
        <v>3250</v>
      </c>
      <c r="BH583" t="s">
        <v>3250</v>
      </c>
      <c r="BI583" t="s">
        <v>3250</v>
      </c>
      <c r="BK583" t="s">
        <v>3250</v>
      </c>
      <c r="BL583" t="s">
        <v>3250</v>
      </c>
      <c r="BM583" t="s">
        <v>3250</v>
      </c>
      <c r="BN583" t="s">
        <v>3250</v>
      </c>
      <c r="BO583" t="s">
        <v>2916</v>
      </c>
      <c r="BP583">
        <v>1</v>
      </c>
      <c r="BQ583">
        <v>14</v>
      </c>
      <c r="BR583" t="s">
        <v>2370</v>
      </c>
      <c r="BS583" t="s">
        <v>3252</v>
      </c>
      <c r="BV583">
        <v>18000</v>
      </c>
      <c r="BW583">
        <v>0</v>
      </c>
      <c r="BX583">
        <v>0</v>
      </c>
      <c r="BY583">
        <v>0</v>
      </c>
      <c r="BZ583">
        <v>39500</v>
      </c>
      <c r="CA583">
        <v>42265</v>
      </c>
      <c r="CB583">
        <v>43956</v>
      </c>
      <c r="CC583">
        <v>45714</v>
      </c>
      <c r="CD583">
        <v>64750</v>
      </c>
      <c r="CE583" t="s">
        <v>3108</v>
      </c>
      <c r="CF583" t="s">
        <v>3108</v>
      </c>
      <c r="CG583" t="s">
        <v>3108</v>
      </c>
      <c r="CH583" t="s">
        <v>3108</v>
      </c>
    </row>
    <row r="584" spans="1:86" x14ac:dyDescent="0.2">
      <c r="A584" t="s">
        <v>4207</v>
      </c>
      <c r="B584" t="s">
        <v>4207</v>
      </c>
      <c r="C584">
        <v>40939</v>
      </c>
      <c r="D584">
        <v>363</v>
      </c>
      <c r="E584" t="s">
        <v>4208</v>
      </c>
      <c r="F584">
        <v>2000</v>
      </c>
      <c r="G584" t="s">
        <v>408</v>
      </c>
      <c r="H584" t="s">
        <v>4209</v>
      </c>
      <c r="I584" t="s">
        <v>947</v>
      </c>
      <c r="J584">
        <v>2011</v>
      </c>
      <c r="K584" t="s">
        <v>947</v>
      </c>
      <c r="L584">
        <v>1200</v>
      </c>
      <c r="M584" t="s">
        <v>2368</v>
      </c>
      <c r="N584">
        <v>1201</v>
      </c>
      <c r="O584" t="s">
        <v>2370</v>
      </c>
      <c r="P584" t="s">
        <v>3108</v>
      </c>
      <c r="Q584" t="s">
        <v>3249</v>
      </c>
      <c r="R584" t="s">
        <v>3249</v>
      </c>
      <c r="S584" t="s">
        <v>810</v>
      </c>
      <c r="T584" t="s">
        <v>2754</v>
      </c>
      <c r="U584" t="s">
        <v>3250</v>
      </c>
      <c r="V584" t="s">
        <v>3250</v>
      </c>
      <c r="W584" t="s">
        <v>3250</v>
      </c>
      <c r="X584" t="s">
        <v>3250</v>
      </c>
      <c r="Y584" t="s">
        <v>3250</v>
      </c>
      <c r="Z584" t="s">
        <v>3250</v>
      </c>
      <c r="AA584" t="s">
        <v>3108</v>
      </c>
      <c r="AB584" t="s">
        <v>3108</v>
      </c>
      <c r="AC584" t="s">
        <v>3250</v>
      </c>
      <c r="AD584" t="s">
        <v>3250</v>
      </c>
      <c r="AE584" t="s">
        <v>3250</v>
      </c>
      <c r="AF584" t="s">
        <v>3250</v>
      </c>
      <c r="AG584" t="s">
        <v>3250</v>
      </c>
      <c r="AH584" t="s">
        <v>3250</v>
      </c>
      <c r="AI584" t="s">
        <v>3250</v>
      </c>
      <c r="AJ584" t="s">
        <v>3250</v>
      </c>
      <c r="AL584" t="s">
        <v>3250</v>
      </c>
      <c r="AM584" t="s">
        <v>3250</v>
      </c>
      <c r="AN584" t="s">
        <v>3250</v>
      </c>
      <c r="AO584" t="s">
        <v>3250</v>
      </c>
      <c r="AS584" t="s">
        <v>3250</v>
      </c>
      <c r="AT584" t="s">
        <v>3250</v>
      </c>
      <c r="AU584" t="s">
        <v>3250</v>
      </c>
      <c r="AV584" t="s">
        <v>3250</v>
      </c>
      <c r="AW584" t="s">
        <v>3250</v>
      </c>
      <c r="AX584" t="s">
        <v>3250</v>
      </c>
      <c r="AY584" t="s">
        <v>3250</v>
      </c>
      <c r="AZ584" t="s">
        <v>3250</v>
      </c>
      <c r="BA584" t="s">
        <v>3250</v>
      </c>
      <c r="BB584" t="s">
        <v>3250</v>
      </c>
      <c r="BC584" t="s">
        <v>3250</v>
      </c>
      <c r="BE584" t="s">
        <v>3250</v>
      </c>
      <c r="BF584" t="s">
        <v>3250</v>
      </c>
      <c r="BG584" t="s">
        <v>3250</v>
      </c>
      <c r="BH584" t="s">
        <v>3250</v>
      </c>
      <c r="BI584" t="s">
        <v>3250</v>
      </c>
      <c r="BK584" t="s">
        <v>3250</v>
      </c>
      <c r="BL584" t="s">
        <v>3250</v>
      </c>
      <c r="BM584" t="s">
        <v>3250</v>
      </c>
      <c r="BN584" t="s">
        <v>3250</v>
      </c>
      <c r="BO584" t="s">
        <v>2916</v>
      </c>
      <c r="BP584">
        <v>1</v>
      </c>
      <c r="BQ584">
        <v>14</v>
      </c>
      <c r="BR584" t="s">
        <v>2370</v>
      </c>
      <c r="BS584" t="s">
        <v>3252</v>
      </c>
      <c r="BV584">
        <v>5786</v>
      </c>
      <c r="BW584">
        <v>0</v>
      </c>
      <c r="BX584">
        <v>0</v>
      </c>
      <c r="BY584">
        <v>0</v>
      </c>
      <c r="BZ584">
        <v>450000</v>
      </c>
      <c r="CA584">
        <v>481500</v>
      </c>
      <c r="CB584">
        <v>500760</v>
      </c>
      <c r="CC584">
        <v>520790</v>
      </c>
      <c r="CD584">
        <v>391506</v>
      </c>
      <c r="CE584" t="s">
        <v>3108</v>
      </c>
      <c r="CF584" t="s">
        <v>3108</v>
      </c>
      <c r="CG584" t="s">
        <v>3108</v>
      </c>
      <c r="CH584" t="s">
        <v>3108</v>
      </c>
    </row>
    <row r="585" spans="1:86" x14ac:dyDescent="0.2">
      <c r="A585" t="s">
        <v>4210</v>
      </c>
      <c r="B585" t="s">
        <v>4210</v>
      </c>
      <c r="C585">
        <v>40940</v>
      </c>
      <c r="D585">
        <v>364</v>
      </c>
      <c r="E585" t="s">
        <v>4084</v>
      </c>
      <c r="F585">
        <v>2000</v>
      </c>
      <c r="G585" t="s">
        <v>408</v>
      </c>
      <c r="H585" t="s">
        <v>4085</v>
      </c>
      <c r="I585" t="s">
        <v>1453</v>
      </c>
      <c r="J585">
        <v>2010</v>
      </c>
      <c r="K585" t="s">
        <v>1453</v>
      </c>
      <c r="L585">
        <v>1200</v>
      </c>
      <c r="M585" t="s">
        <v>2368</v>
      </c>
      <c r="N585">
        <v>1201</v>
      </c>
      <c r="O585" t="s">
        <v>2370</v>
      </c>
      <c r="P585" t="s">
        <v>3108</v>
      </c>
      <c r="Q585" t="s">
        <v>3249</v>
      </c>
      <c r="R585" t="s">
        <v>3249</v>
      </c>
      <c r="S585" t="s">
        <v>810</v>
      </c>
      <c r="T585" t="s">
        <v>2754</v>
      </c>
      <c r="U585" t="s">
        <v>3250</v>
      </c>
      <c r="V585" t="s">
        <v>3250</v>
      </c>
      <c r="W585" t="s">
        <v>3250</v>
      </c>
      <c r="X585" t="s">
        <v>3250</v>
      </c>
      <c r="Y585" t="s">
        <v>3250</v>
      </c>
      <c r="Z585" t="s">
        <v>3250</v>
      </c>
      <c r="AA585" t="s">
        <v>3108</v>
      </c>
      <c r="AB585" t="s">
        <v>3108</v>
      </c>
      <c r="AC585" t="s">
        <v>3250</v>
      </c>
      <c r="AD585" t="s">
        <v>3250</v>
      </c>
      <c r="AE585" t="s">
        <v>3250</v>
      </c>
      <c r="AF585" t="s">
        <v>3250</v>
      </c>
      <c r="AG585" t="s">
        <v>3250</v>
      </c>
      <c r="AH585" t="s">
        <v>3250</v>
      </c>
      <c r="AI585" t="s">
        <v>3250</v>
      </c>
      <c r="AJ585" t="s">
        <v>3250</v>
      </c>
      <c r="AL585" t="s">
        <v>3250</v>
      </c>
      <c r="AM585" t="s">
        <v>3250</v>
      </c>
      <c r="AN585" t="s">
        <v>3250</v>
      </c>
      <c r="AO585" t="s">
        <v>3250</v>
      </c>
      <c r="AS585" t="s">
        <v>3250</v>
      </c>
      <c r="AT585" t="s">
        <v>3250</v>
      </c>
      <c r="AU585" t="s">
        <v>3250</v>
      </c>
      <c r="AV585" t="s">
        <v>3250</v>
      </c>
      <c r="AW585" t="s">
        <v>3250</v>
      </c>
      <c r="AX585" t="s">
        <v>3250</v>
      </c>
      <c r="AY585" t="s">
        <v>3250</v>
      </c>
      <c r="AZ585" t="s">
        <v>3250</v>
      </c>
      <c r="BA585" t="s">
        <v>3250</v>
      </c>
      <c r="BB585" t="s">
        <v>3250</v>
      </c>
      <c r="BC585" t="s">
        <v>3250</v>
      </c>
      <c r="BE585" t="s">
        <v>3250</v>
      </c>
      <c r="BF585" t="s">
        <v>3250</v>
      </c>
      <c r="BG585" t="s">
        <v>3250</v>
      </c>
      <c r="BH585" t="s">
        <v>3250</v>
      </c>
      <c r="BI585" t="s">
        <v>3250</v>
      </c>
      <c r="BK585" t="s">
        <v>3250</v>
      </c>
      <c r="BL585" t="s">
        <v>3250</v>
      </c>
      <c r="BM585" t="s">
        <v>3250</v>
      </c>
      <c r="BN585" t="s">
        <v>3250</v>
      </c>
      <c r="BO585" t="s">
        <v>2916</v>
      </c>
      <c r="BP585">
        <v>1</v>
      </c>
      <c r="BQ585">
        <v>14</v>
      </c>
      <c r="BR585" t="s">
        <v>2370</v>
      </c>
      <c r="BS585" t="s">
        <v>3252</v>
      </c>
      <c r="BV585">
        <v>205397</v>
      </c>
      <c r="BW585">
        <v>190310</v>
      </c>
      <c r="BX585">
        <v>175400</v>
      </c>
      <c r="BY585">
        <v>338849</v>
      </c>
      <c r="BZ585">
        <v>338849</v>
      </c>
      <c r="CA585">
        <v>362568</v>
      </c>
      <c r="CB585">
        <v>387948</v>
      </c>
      <c r="CC585">
        <v>415105</v>
      </c>
      <c r="CD585">
        <v>88158</v>
      </c>
      <c r="CE585" t="s">
        <v>3108</v>
      </c>
      <c r="CF585" t="s">
        <v>3108</v>
      </c>
      <c r="CG585" t="s">
        <v>3108</v>
      </c>
      <c r="CH585" t="s">
        <v>3108</v>
      </c>
    </row>
    <row r="586" spans="1:86" x14ac:dyDescent="0.2">
      <c r="A586" t="s">
        <v>4211</v>
      </c>
      <c r="B586" t="s">
        <v>4211</v>
      </c>
      <c r="C586">
        <v>40955</v>
      </c>
      <c r="D586">
        <v>399</v>
      </c>
      <c r="E586" t="s">
        <v>4059</v>
      </c>
      <c r="F586">
        <v>2900</v>
      </c>
      <c r="G586" t="s">
        <v>822</v>
      </c>
      <c r="H586" t="s">
        <v>3108</v>
      </c>
      <c r="I586" t="s">
        <v>3108</v>
      </c>
      <c r="J586">
        <v>2904</v>
      </c>
      <c r="K586" t="s">
        <v>1690</v>
      </c>
      <c r="L586">
        <v>3200</v>
      </c>
      <c r="M586" t="s">
        <v>128</v>
      </c>
      <c r="N586">
        <v>3205</v>
      </c>
      <c r="O586" t="s">
        <v>629</v>
      </c>
      <c r="P586" t="s">
        <v>3108</v>
      </c>
      <c r="Q586" t="s">
        <v>3249</v>
      </c>
      <c r="R586" t="s">
        <v>3249</v>
      </c>
      <c r="S586" t="s">
        <v>810</v>
      </c>
      <c r="T586" t="s">
        <v>2754</v>
      </c>
      <c r="U586" t="s">
        <v>3250</v>
      </c>
      <c r="V586" t="s">
        <v>3250</v>
      </c>
      <c r="W586" t="s">
        <v>3250</v>
      </c>
      <c r="X586" t="s">
        <v>3250</v>
      </c>
      <c r="Y586" t="s">
        <v>3250</v>
      </c>
      <c r="Z586" t="s">
        <v>3250</v>
      </c>
      <c r="AA586" t="s">
        <v>3108</v>
      </c>
      <c r="AB586" t="s">
        <v>3108</v>
      </c>
      <c r="AC586" t="s">
        <v>3250</v>
      </c>
      <c r="AD586" t="s">
        <v>3250</v>
      </c>
      <c r="AE586" t="s">
        <v>3250</v>
      </c>
      <c r="AF586" t="s">
        <v>3250</v>
      </c>
      <c r="AG586" t="s">
        <v>3250</v>
      </c>
      <c r="AH586" t="s">
        <v>3250</v>
      </c>
      <c r="AI586" t="s">
        <v>3250</v>
      </c>
      <c r="AJ586" t="s">
        <v>3250</v>
      </c>
      <c r="AL586" t="s">
        <v>3250</v>
      </c>
      <c r="AM586" t="s">
        <v>3250</v>
      </c>
      <c r="AN586" t="s">
        <v>3250</v>
      </c>
      <c r="AO586" t="s">
        <v>3250</v>
      </c>
      <c r="AS586" t="s">
        <v>3250</v>
      </c>
      <c r="AT586" t="s">
        <v>3250</v>
      </c>
      <c r="AU586" t="s">
        <v>3250</v>
      </c>
      <c r="AV586" t="s">
        <v>3250</v>
      </c>
      <c r="AW586" t="s">
        <v>3250</v>
      </c>
      <c r="AX586" t="s">
        <v>3250</v>
      </c>
      <c r="AY586" t="s">
        <v>3250</v>
      </c>
      <c r="AZ586" t="s">
        <v>3250</v>
      </c>
      <c r="BA586" t="s">
        <v>3250</v>
      </c>
      <c r="BB586" t="s">
        <v>3250</v>
      </c>
      <c r="BC586" t="s">
        <v>3250</v>
      </c>
      <c r="BE586" t="s">
        <v>3250</v>
      </c>
      <c r="BF586" t="s">
        <v>3250</v>
      </c>
      <c r="BG586" t="s">
        <v>3250</v>
      </c>
      <c r="BH586" t="s">
        <v>3250</v>
      </c>
      <c r="BI586" t="s">
        <v>3250</v>
      </c>
      <c r="BK586" t="s">
        <v>3250</v>
      </c>
      <c r="BL586" t="s">
        <v>3250</v>
      </c>
      <c r="BM586" t="s">
        <v>3250</v>
      </c>
      <c r="BN586" t="s">
        <v>3250</v>
      </c>
      <c r="BP586">
        <v>7</v>
      </c>
      <c r="BQ586">
        <v>71</v>
      </c>
      <c r="BR586" t="s">
        <v>629</v>
      </c>
      <c r="BS586" t="s">
        <v>4212</v>
      </c>
      <c r="BV586">
        <v>1566</v>
      </c>
      <c r="BW586">
        <v>2205</v>
      </c>
      <c r="BX586">
        <v>1922</v>
      </c>
      <c r="BY586">
        <v>10000</v>
      </c>
      <c r="BZ586">
        <v>0</v>
      </c>
      <c r="CA586">
        <v>0</v>
      </c>
      <c r="CB586">
        <v>0</v>
      </c>
      <c r="CC586">
        <v>0</v>
      </c>
      <c r="CD586">
        <v>0</v>
      </c>
      <c r="CE586" t="s">
        <v>3108</v>
      </c>
      <c r="CF586" t="s">
        <v>3108</v>
      </c>
      <c r="CG586" t="s">
        <v>3108</v>
      </c>
      <c r="CH586" t="s">
        <v>3108</v>
      </c>
    </row>
    <row r="587" spans="1:86" x14ac:dyDescent="0.2">
      <c r="A587" t="s">
        <v>4213</v>
      </c>
      <c r="B587" t="s">
        <v>4213</v>
      </c>
      <c r="C587">
        <v>40956</v>
      </c>
      <c r="D587">
        <v>400</v>
      </c>
      <c r="E587" t="s">
        <v>4063</v>
      </c>
      <c r="F587">
        <v>2000</v>
      </c>
      <c r="G587" t="s">
        <v>408</v>
      </c>
      <c r="H587" t="s">
        <v>4064</v>
      </c>
      <c r="I587" t="s">
        <v>1340</v>
      </c>
      <c r="J587">
        <v>2009</v>
      </c>
      <c r="K587" t="s">
        <v>1340</v>
      </c>
      <c r="L587">
        <v>3200</v>
      </c>
      <c r="M587" t="s">
        <v>128</v>
      </c>
      <c r="N587">
        <v>3205</v>
      </c>
      <c r="O587" t="s">
        <v>629</v>
      </c>
      <c r="P587" t="s">
        <v>3108</v>
      </c>
      <c r="Q587" t="s">
        <v>3249</v>
      </c>
      <c r="R587" t="s">
        <v>3249</v>
      </c>
      <c r="S587" t="s">
        <v>810</v>
      </c>
      <c r="T587" t="s">
        <v>2754</v>
      </c>
      <c r="U587" t="s">
        <v>3250</v>
      </c>
      <c r="V587" t="s">
        <v>3250</v>
      </c>
      <c r="W587" t="s">
        <v>3250</v>
      </c>
      <c r="X587" t="s">
        <v>3250</v>
      </c>
      <c r="Y587" t="s">
        <v>3250</v>
      </c>
      <c r="Z587" t="s">
        <v>3250</v>
      </c>
      <c r="AA587" t="s">
        <v>3108</v>
      </c>
      <c r="AB587" t="s">
        <v>3108</v>
      </c>
      <c r="AC587" t="s">
        <v>3250</v>
      </c>
      <c r="AD587" t="s">
        <v>3250</v>
      </c>
      <c r="AE587" t="s">
        <v>3250</v>
      </c>
      <c r="AF587" t="s">
        <v>3250</v>
      </c>
      <c r="AG587" t="s">
        <v>3250</v>
      </c>
      <c r="AH587" t="s">
        <v>3250</v>
      </c>
      <c r="AI587" t="s">
        <v>3250</v>
      </c>
      <c r="AJ587" t="s">
        <v>3250</v>
      </c>
      <c r="AL587" t="s">
        <v>3250</v>
      </c>
      <c r="AM587" t="s">
        <v>3250</v>
      </c>
      <c r="AN587" t="s">
        <v>3250</v>
      </c>
      <c r="AO587" t="s">
        <v>3250</v>
      </c>
      <c r="AS587" t="s">
        <v>3250</v>
      </c>
      <c r="AT587" t="s">
        <v>3250</v>
      </c>
      <c r="AU587" t="s">
        <v>3250</v>
      </c>
      <c r="AV587" t="s">
        <v>3250</v>
      </c>
      <c r="AW587" t="s">
        <v>3250</v>
      </c>
      <c r="AX587" t="s">
        <v>3250</v>
      </c>
      <c r="AY587" t="s">
        <v>3250</v>
      </c>
      <c r="AZ587" t="s">
        <v>3250</v>
      </c>
      <c r="BA587" t="s">
        <v>3250</v>
      </c>
      <c r="BB587" t="s">
        <v>3250</v>
      </c>
      <c r="BC587" t="s">
        <v>3250</v>
      </c>
      <c r="BE587" t="s">
        <v>3250</v>
      </c>
      <c r="BF587" t="s">
        <v>3250</v>
      </c>
      <c r="BG587" t="s">
        <v>3250</v>
      </c>
      <c r="BH587" t="s">
        <v>3250</v>
      </c>
      <c r="BI587" t="s">
        <v>3250</v>
      </c>
      <c r="BK587" t="s">
        <v>3250</v>
      </c>
      <c r="BL587" t="s">
        <v>3250</v>
      </c>
      <c r="BM587" t="s">
        <v>3250</v>
      </c>
      <c r="BN587" t="s">
        <v>3250</v>
      </c>
      <c r="BO587" t="s">
        <v>2916</v>
      </c>
      <c r="BP587">
        <v>7</v>
      </c>
      <c r="BQ587">
        <v>71</v>
      </c>
      <c r="BR587" t="s">
        <v>629</v>
      </c>
      <c r="BS587" t="s">
        <v>4212</v>
      </c>
      <c r="BV587">
        <v>559</v>
      </c>
      <c r="BW587">
        <v>0</v>
      </c>
      <c r="BX587">
        <v>5401</v>
      </c>
      <c r="BY587">
        <v>1285</v>
      </c>
      <c r="BZ587">
        <v>3285</v>
      </c>
      <c r="CA587">
        <v>3515</v>
      </c>
      <c r="CB587">
        <v>3761</v>
      </c>
      <c r="CC587">
        <v>4025</v>
      </c>
      <c r="CD587">
        <v>1465</v>
      </c>
      <c r="CE587" t="s">
        <v>3108</v>
      </c>
      <c r="CF587" t="s">
        <v>3108</v>
      </c>
      <c r="CG587" t="s">
        <v>3108</v>
      </c>
      <c r="CH587" t="s">
        <v>3108</v>
      </c>
    </row>
    <row r="588" spans="1:86" x14ac:dyDescent="0.2">
      <c r="A588" t="s">
        <v>4214</v>
      </c>
      <c r="B588" t="s">
        <v>4214</v>
      </c>
      <c r="C588">
        <v>40957</v>
      </c>
      <c r="D588">
        <v>401</v>
      </c>
      <c r="E588" t="s">
        <v>4061</v>
      </c>
      <c r="F588">
        <v>2900</v>
      </c>
      <c r="G588" t="s">
        <v>822</v>
      </c>
      <c r="H588" t="s">
        <v>3108</v>
      </c>
      <c r="I588" t="s">
        <v>3108</v>
      </c>
      <c r="J588">
        <v>2904</v>
      </c>
      <c r="K588" t="s">
        <v>1690</v>
      </c>
      <c r="L588">
        <v>3200</v>
      </c>
      <c r="M588" t="s">
        <v>128</v>
      </c>
      <c r="N588">
        <v>3205</v>
      </c>
      <c r="O588" t="s">
        <v>629</v>
      </c>
      <c r="P588" t="s">
        <v>3108</v>
      </c>
      <c r="Q588" t="s">
        <v>3249</v>
      </c>
      <c r="R588" t="s">
        <v>3249</v>
      </c>
      <c r="S588" t="s">
        <v>810</v>
      </c>
      <c r="T588" t="s">
        <v>2754</v>
      </c>
      <c r="U588" t="s">
        <v>3250</v>
      </c>
      <c r="V588" t="s">
        <v>3250</v>
      </c>
      <c r="W588" t="s">
        <v>3250</v>
      </c>
      <c r="X588" t="s">
        <v>3250</v>
      </c>
      <c r="Y588" t="s">
        <v>3250</v>
      </c>
      <c r="Z588" t="s">
        <v>3250</v>
      </c>
      <c r="AA588" t="s">
        <v>3108</v>
      </c>
      <c r="AB588" t="s">
        <v>3108</v>
      </c>
      <c r="AC588" t="s">
        <v>3250</v>
      </c>
      <c r="AD588" t="s">
        <v>3250</v>
      </c>
      <c r="AE588" t="s">
        <v>3250</v>
      </c>
      <c r="AF588" t="s">
        <v>3250</v>
      </c>
      <c r="AG588" t="s">
        <v>3250</v>
      </c>
      <c r="AH588" t="s">
        <v>3250</v>
      </c>
      <c r="AI588" t="s">
        <v>3250</v>
      </c>
      <c r="AJ588" t="s">
        <v>3250</v>
      </c>
      <c r="AL588" t="s">
        <v>3250</v>
      </c>
      <c r="AM588" t="s">
        <v>3250</v>
      </c>
      <c r="AN588" t="s">
        <v>3250</v>
      </c>
      <c r="AO588" t="s">
        <v>3250</v>
      </c>
      <c r="AS588" t="s">
        <v>3250</v>
      </c>
      <c r="AT588" t="s">
        <v>3250</v>
      </c>
      <c r="AU588" t="s">
        <v>3250</v>
      </c>
      <c r="AV588" t="s">
        <v>3250</v>
      </c>
      <c r="AW588" t="s">
        <v>3250</v>
      </c>
      <c r="AX588" t="s">
        <v>3250</v>
      </c>
      <c r="AY588" t="s">
        <v>3250</v>
      </c>
      <c r="AZ588" t="s">
        <v>3250</v>
      </c>
      <c r="BA588" t="s">
        <v>3250</v>
      </c>
      <c r="BB588" t="s">
        <v>3250</v>
      </c>
      <c r="BC588" t="s">
        <v>3250</v>
      </c>
      <c r="BE588" t="s">
        <v>3250</v>
      </c>
      <c r="BF588" t="s">
        <v>3250</v>
      </c>
      <c r="BG588" t="s">
        <v>3250</v>
      </c>
      <c r="BH588" t="s">
        <v>3250</v>
      </c>
      <c r="BI588" t="s">
        <v>3250</v>
      </c>
      <c r="BK588" t="s">
        <v>3250</v>
      </c>
      <c r="BL588" t="s">
        <v>3250</v>
      </c>
      <c r="BM588" t="s">
        <v>3250</v>
      </c>
      <c r="BN588" t="s">
        <v>3250</v>
      </c>
      <c r="BP588">
        <v>7</v>
      </c>
      <c r="BQ588">
        <v>71</v>
      </c>
      <c r="BR588" t="s">
        <v>629</v>
      </c>
      <c r="BS588" t="s">
        <v>4212</v>
      </c>
      <c r="BV588">
        <v>49956</v>
      </c>
      <c r="BW588">
        <v>56609</v>
      </c>
      <c r="BX588">
        <v>45628</v>
      </c>
      <c r="BY588">
        <v>0</v>
      </c>
      <c r="BZ588">
        <v>0</v>
      </c>
      <c r="CA588">
        <v>0</v>
      </c>
      <c r="CB588">
        <v>0</v>
      </c>
      <c r="CC588">
        <v>0</v>
      </c>
      <c r="CD588">
        <v>25093</v>
      </c>
      <c r="CE588" t="s">
        <v>3108</v>
      </c>
      <c r="CF588" t="s">
        <v>3108</v>
      </c>
      <c r="CG588" t="s">
        <v>3108</v>
      </c>
      <c r="CH588" t="s">
        <v>3108</v>
      </c>
    </row>
    <row r="589" spans="1:86" x14ac:dyDescent="0.2">
      <c r="A589" t="s">
        <v>4215</v>
      </c>
      <c r="B589" t="s">
        <v>4215</v>
      </c>
      <c r="C589">
        <v>40958</v>
      </c>
      <c r="D589">
        <v>402</v>
      </c>
      <c r="E589" t="s">
        <v>4066</v>
      </c>
      <c r="F589">
        <v>2000</v>
      </c>
      <c r="G589" t="s">
        <v>408</v>
      </c>
      <c r="H589" t="s">
        <v>4067</v>
      </c>
      <c r="I589" t="s">
        <v>650</v>
      </c>
      <c r="J589">
        <v>2003</v>
      </c>
      <c r="K589" t="s">
        <v>650</v>
      </c>
      <c r="L589">
        <v>3200</v>
      </c>
      <c r="M589" t="s">
        <v>128</v>
      </c>
      <c r="N589">
        <v>3205</v>
      </c>
      <c r="O589" t="s">
        <v>629</v>
      </c>
      <c r="P589" t="s">
        <v>3108</v>
      </c>
      <c r="Q589" t="s">
        <v>3249</v>
      </c>
      <c r="R589" t="s">
        <v>3249</v>
      </c>
      <c r="S589" t="s">
        <v>810</v>
      </c>
      <c r="T589" t="s">
        <v>2754</v>
      </c>
      <c r="U589" t="s">
        <v>3250</v>
      </c>
      <c r="V589" t="s">
        <v>3250</v>
      </c>
      <c r="W589" t="s">
        <v>3250</v>
      </c>
      <c r="X589" t="s">
        <v>3250</v>
      </c>
      <c r="Y589" t="s">
        <v>3250</v>
      </c>
      <c r="Z589" t="s">
        <v>3250</v>
      </c>
      <c r="AA589" t="s">
        <v>3108</v>
      </c>
      <c r="AB589" t="s">
        <v>3108</v>
      </c>
      <c r="AC589" t="s">
        <v>3250</v>
      </c>
      <c r="AD589" t="s">
        <v>3250</v>
      </c>
      <c r="AE589" t="s">
        <v>3250</v>
      </c>
      <c r="AF589" t="s">
        <v>3250</v>
      </c>
      <c r="AG589" t="s">
        <v>3250</v>
      </c>
      <c r="AH589" t="s">
        <v>3250</v>
      </c>
      <c r="AI589" t="s">
        <v>3250</v>
      </c>
      <c r="AJ589" t="s">
        <v>3250</v>
      </c>
      <c r="AL589" t="s">
        <v>3250</v>
      </c>
      <c r="AM589" t="s">
        <v>3250</v>
      </c>
      <c r="AN589" t="s">
        <v>3250</v>
      </c>
      <c r="AO589" t="s">
        <v>3250</v>
      </c>
      <c r="AS589" t="s">
        <v>3250</v>
      </c>
      <c r="AT589" t="s">
        <v>3250</v>
      </c>
      <c r="AU589" t="s">
        <v>3250</v>
      </c>
      <c r="AV589" t="s">
        <v>3250</v>
      </c>
      <c r="AW589" t="s">
        <v>3250</v>
      </c>
      <c r="AX589" t="s">
        <v>3250</v>
      </c>
      <c r="AY589" t="s">
        <v>3250</v>
      </c>
      <c r="AZ589" t="s">
        <v>3250</v>
      </c>
      <c r="BA589" t="s">
        <v>3250</v>
      </c>
      <c r="BB589" t="s">
        <v>3250</v>
      </c>
      <c r="BC589" t="s">
        <v>3250</v>
      </c>
      <c r="BE589" t="s">
        <v>3250</v>
      </c>
      <c r="BF589" t="s">
        <v>3250</v>
      </c>
      <c r="BG589" t="s">
        <v>3250</v>
      </c>
      <c r="BH589" t="s">
        <v>3250</v>
      </c>
      <c r="BI589" t="s">
        <v>3250</v>
      </c>
      <c r="BK589" t="s">
        <v>3250</v>
      </c>
      <c r="BL589" t="s">
        <v>3250</v>
      </c>
      <c r="BM589" t="s">
        <v>3250</v>
      </c>
      <c r="BN589" t="s">
        <v>3250</v>
      </c>
      <c r="BO589" t="s">
        <v>2916</v>
      </c>
      <c r="BP589">
        <v>7</v>
      </c>
      <c r="BQ589">
        <v>71</v>
      </c>
      <c r="BR589" t="s">
        <v>629</v>
      </c>
      <c r="BS589" t="s">
        <v>4212</v>
      </c>
      <c r="BV589">
        <v>277673</v>
      </c>
      <c r="BW589">
        <v>274948</v>
      </c>
      <c r="BX589">
        <v>296382</v>
      </c>
      <c r="BY589">
        <v>283086</v>
      </c>
      <c r="BZ589">
        <v>283086</v>
      </c>
      <c r="CA589">
        <v>302902</v>
      </c>
      <c r="CB589">
        <v>324105</v>
      </c>
      <c r="CC589">
        <v>346793</v>
      </c>
      <c r="CD589">
        <v>225541</v>
      </c>
      <c r="CE589" t="s">
        <v>3108</v>
      </c>
      <c r="CF589" t="s">
        <v>3108</v>
      </c>
      <c r="CG589" t="s">
        <v>3108</v>
      </c>
      <c r="CH589" t="s">
        <v>3108</v>
      </c>
    </row>
    <row r="590" spans="1:86" x14ac:dyDescent="0.2">
      <c r="A590" t="s">
        <v>4216</v>
      </c>
      <c r="B590" t="s">
        <v>4216</v>
      </c>
      <c r="C590">
        <v>40959</v>
      </c>
      <c r="D590">
        <v>403</v>
      </c>
      <c r="E590" t="s">
        <v>4069</v>
      </c>
      <c r="F590">
        <v>2000</v>
      </c>
      <c r="G590" t="s">
        <v>408</v>
      </c>
      <c r="H590" t="s">
        <v>4070</v>
      </c>
      <c r="I590" t="s">
        <v>1792</v>
      </c>
      <c r="J590">
        <v>2002</v>
      </c>
      <c r="K590" t="s">
        <v>1792</v>
      </c>
      <c r="L590">
        <v>3200</v>
      </c>
      <c r="M590" t="s">
        <v>128</v>
      </c>
      <c r="N590">
        <v>3205</v>
      </c>
      <c r="O590" t="s">
        <v>629</v>
      </c>
      <c r="P590" t="s">
        <v>3108</v>
      </c>
      <c r="Q590" t="s">
        <v>3249</v>
      </c>
      <c r="R590" t="s">
        <v>3249</v>
      </c>
      <c r="S590" t="s">
        <v>810</v>
      </c>
      <c r="T590" t="s">
        <v>2754</v>
      </c>
      <c r="U590" t="s">
        <v>3250</v>
      </c>
      <c r="V590" t="s">
        <v>3250</v>
      </c>
      <c r="W590" t="s">
        <v>3250</v>
      </c>
      <c r="X590" t="s">
        <v>3250</v>
      </c>
      <c r="Y590" t="s">
        <v>3250</v>
      </c>
      <c r="Z590" t="s">
        <v>3250</v>
      </c>
      <c r="AA590" t="s">
        <v>3108</v>
      </c>
      <c r="AB590" t="s">
        <v>3108</v>
      </c>
      <c r="AC590" t="s">
        <v>3250</v>
      </c>
      <c r="AD590" t="s">
        <v>3250</v>
      </c>
      <c r="AE590" t="s">
        <v>3250</v>
      </c>
      <c r="AF590" t="s">
        <v>3250</v>
      </c>
      <c r="AG590" t="s">
        <v>3250</v>
      </c>
      <c r="AH590" t="s">
        <v>3250</v>
      </c>
      <c r="AI590" t="s">
        <v>3250</v>
      </c>
      <c r="AJ590" t="s">
        <v>3250</v>
      </c>
      <c r="AL590" t="s">
        <v>3250</v>
      </c>
      <c r="AM590" t="s">
        <v>3250</v>
      </c>
      <c r="AN590" t="s">
        <v>3250</v>
      </c>
      <c r="AO590" t="s">
        <v>3250</v>
      </c>
      <c r="AS590" t="s">
        <v>3250</v>
      </c>
      <c r="AT590" t="s">
        <v>3250</v>
      </c>
      <c r="AU590" t="s">
        <v>3250</v>
      </c>
      <c r="AV590" t="s">
        <v>3250</v>
      </c>
      <c r="AW590" t="s">
        <v>3250</v>
      </c>
      <c r="AX590" t="s">
        <v>3250</v>
      </c>
      <c r="AY590" t="s">
        <v>3250</v>
      </c>
      <c r="AZ590" t="s">
        <v>3250</v>
      </c>
      <c r="BA590" t="s">
        <v>3250</v>
      </c>
      <c r="BB590" t="s">
        <v>3250</v>
      </c>
      <c r="BC590" t="s">
        <v>3250</v>
      </c>
      <c r="BE590" t="s">
        <v>3250</v>
      </c>
      <c r="BF590" t="s">
        <v>3250</v>
      </c>
      <c r="BG590" t="s">
        <v>3250</v>
      </c>
      <c r="BH590" t="s">
        <v>3250</v>
      </c>
      <c r="BI590" t="s">
        <v>3250</v>
      </c>
      <c r="BK590" t="s">
        <v>3250</v>
      </c>
      <c r="BL590" t="s">
        <v>3250</v>
      </c>
      <c r="BM590" t="s">
        <v>3250</v>
      </c>
      <c r="BN590" t="s">
        <v>3250</v>
      </c>
      <c r="BO590" t="s">
        <v>2916</v>
      </c>
      <c r="BP590">
        <v>7</v>
      </c>
      <c r="BQ590">
        <v>71</v>
      </c>
      <c r="BR590" t="s">
        <v>629</v>
      </c>
      <c r="BS590" t="s">
        <v>4212</v>
      </c>
      <c r="BV590">
        <v>918536</v>
      </c>
      <c r="BW590">
        <v>904998</v>
      </c>
      <c r="BX590">
        <v>835930</v>
      </c>
      <c r="BY590">
        <v>636944</v>
      </c>
      <c r="BZ590">
        <v>636944</v>
      </c>
      <c r="CA590">
        <v>681530</v>
      </c>
      <c r="CB590">
        <v>729237</v>
      </c>
      <c r="CC590">
        <v>780283</v>
      </c>
      <c r="CD590">
        <v>740041</v>
      </c>
      <c r="CE590" t="s">
        <v>3108</v>
      </c>
      <c r="CF590" t="s">
        <v>3108</v>
      </c>
      <c r="CG590" t="s">
        <v>3108</v>
      </c>
      <c r="CH590" t="s">
        <v>3108</v>
      </c>
    </row>
    <row r="591" spans="1:86" x14ac:dyDescent="0.2">
      <c r="A591" t="s">
        <v>4217</v>
      </c>
      <c r="B591" t="s">
        <v>4217</v>
      </c>
      <c r="C591">
        <v>40960</v>
      </c>
      <c r="D591">
        <v>404</v>
      </c>
      <c r="E591" t="s">
        <v>4072</v>
      </c>
      <c r="F591">
        <v>2000</v>
      </c>
      <c r="G591" t="s">
        <v>408</v>
      </c>
      <c r="H591" t="s">
        <v>4070</v>
      </c>
      <c r="I591" t="s">
        <v>1792</v>
      </c>
      <c r="J591">
        <v>2002</v>
      </c>
      <c r="K591" t="s">
        <v>1792</v>
      </c>
      <c r="L591">
        <v>3200</v>
      </c>
      <c r="M591" t="s">
        <v>128</v>
      </c>
      <c r="N591">
        <v>3205</v>
      </c>
      <c r="O591" t="s">
        <v>629</v>
      </c>
      <c r="P591" t="s">
        <v>3108</v>
      </c>
      <c r="Q591" t="s">
        <v>3249</v>
      </c>
      <c r="R591" t="s">
        <v>3249</v>
      </c>
      <c r="S591" t="s">
        <v>810</v>
      </c>
      <c r="T591" t="s">
        <v>2754</v>
      </c>
      <c r="U591" t="s">
        <v>3250</v>
      </c>
      <c r="V591" t="s">
        <v>3250</v>
      </c>
      <c r="W591" t="s">
        <v>3250</v>
      </c>
      <c r="X591" t="s">
        <v>3250</v>
      </c>
      <c r="Y591" t="s">
        <v>3250</v>
      </c>
      <c r="Z591" t="s">
        <v>3250</v>
      </c>
      <c r="AA591" t="s">
        <v>3108</v>
      </c>
      <c r="AB591" t="s">
        <v>3108</v>
      </c>
      <c r="AC591" t="s">
        <v>3250</v>
      </c>
      <c r="AD591" t="s">
        <v>3250</v>
      </c>
      <c r="AE591" t="s">
        <v>3250</v>
      </c>
      <c r="AF591" t="s">
        <v>3250</v>
      </c>
      <c r="AG591" t="s">
        <v>3250</v>
      </c>
      <c r="AH591" t="s">
        <v>3250</v>
      </c>
      <c r="AI591" t="s">
        <v>3250</v>
      </c>
      <c r="AJ591" t="s">
        <v>3250</v>
      </c>
      <c r="AL591" t="s">
        <v>3250</v>
      </c>
      <c r="AM591" t="s">
        <v>3250</v>
      </c>
      <c r="AN591" t="s">
        <v>3250</v>
      </c>
      <c r="AO591" t="s">
        <v>3250</v>
      </c>
      <c r="AS591" t="s">
        <v>3250</v>
      </c>
      <c r="AT591" t="s">
        <v>3250</v>
      </c>
      <c r="AU591" t="s">
        <v>3250</v>
      </c>
      <c r="AV591" t="s">
        <v>3250</v>
      </c>
      <c r="AW591" t="s">
        <v>3250</v>
      </c>
      <c r="AX591" t="s">
        <v>3250</v>
      </c>
      <c r="AY591" t="s">
        <v>3250</v>
      </c>
      <c r="AZ591" t="s">
        <v>3250</v>
      </c>
      <c r="BA591" t="s">
        <v>3250</v>
      </c>
      <c r="BB591" t="s">
        <v>3250</v>
      </c>
      <c r="BC591" t="s">
        <v>3250</v>
      </c>
      <c r="BE591" t="s">
        <v>3250</v>
      </c>
      <c r="BF591" t="s">
        <v>3250</v>
      </c>
      <c r="BG591" t="s">
        <v>3250</v>
      </c>
      <c r="BH591" t="s">
        <v>3250</v>
      </c>
      <c r="BI591" t="s">
        <v>3250</v>
      </c>
      <c r="BK591" t="s">
        <v>3250</v>
      </c>
      <c r="BL591" t="s">
        <v>3250</v>
      </c>
      <c r="BM591" t="s">
        <v>3250</v>
      </c>
      <c r="BN591" t="s">
        <v>3250</v>
      </c>
      <c r="BO591" t="s">
        <v>2916</v>
      </c>
      <c r="BP591">
        <v>7</v>
      </c>
      <c r="BQ591">
        <v>71</v>
      </c>
      <c r="BR591" t="s">
        <v>629</v>
      </c>
      <c r="BS591" t="s">
        <v>4212</v>
      </c>
      <c r="BV591">
        <v>33095</v>
      </c>
      <c r="BW591">
        <v>35118</v>
      </c>
      <c r="BX591">
        <v>34507</v>
      </c>
      <c r="BY591">
        <v>36991</v>
      </c>
      <c r="BZ591">
        <v>36991</v>
      </c>
      <c r="CA591">
        <v>39580</v>
      </c>
      <c r="CB591">
        <v>42351</v>
      </c>
      <c r="CC591">
        <v>45315</v>
      </c>
      <c r="CD591">
        <v>9030</v>
      </c>
      <c r="CE591" t="s">
        <v>3108</v>
      </c>
      <c r="CF591" t="s">
        <v>3108</v>
      </c>
      <c r="CG591" t="s">
        <v>3108</v>
      </c>
      <c r="CH591" t="s">
        <v>3108</v>
      </c>
    </row>
    <row r="592" spans="1:86" x14ac:dyDescent="0.2">
      <c r="A592" t="s">
        <v>4218</v>
      </c>
      <c r="B592" t="s">
        <v>4218</v>
      </c>
      <c r="C592">
        <v>40961</v>
      </c>
      <c r="D592">
        <v>405</v>
      </c>
      <c r="E592" t="s">
        <v>4074</v>
      </c>
      <c r="F592">
        <v>2000</v>
      </c>
      <c r="G592" t="s">
        <v>408</v>
      </c>
      <c r="H592" t="s">
        <v>4075</v>
      </c>
      <c r="I592" t="s">
        <v>946</v>
      </c>
      <c r="J592">
        <v>2009</v>
      </c>
      <c r="K592" t="s">
        <v>1340</v>
      </c>
      <c r="L592">
        <v>3200</v>
      </c>
      <c r="M592" t="s">
        <v>128</v>
      </c>
      <c r="N592">
        <v>3205</v>
      </c>
      <c r="O592" t="s">
        <v>629</v>
      </c>
      <c r="P592" t="s">
        <v>3108</v>
      </c>
      <c r="Q592" t="s">
        <v>3249</v>
      </c>
      <c r="R592" t="s">
        <v>3249</v>
      </c>
      <c r="S592" t="s">
        <v>810</v>
      </c>
      <c r="T592" t="s">
        <v>2754</v>
      </c>
      <c r="U592" t="s">
        <v>3250</v>
      </c>
      <c r="V592" t="s">
        <v>3250</v>
      </c>
      <c r="W592" t="s">
        <v>3250</v>
      </c>
      <c r="X592" t="s">
        <v>3250</v>
      </c>
      <c r="Y592" t="s">
        <v>3250</v>
      </c>
      <c r="Z592" t="s">
        <v>3250</v>
      </c>
      <c r="AA592" t="s">
        <v>3108</v>
      </c>
      <c r="AB592" t="s">
        <v>3108</v>
      </c>
      <c r="AC592" t="s">
        <v>3250</v>
      </c>
      <c r="AD592" t="s">
        <v>3250</v>
      </c>
      <c r="AE592" t="s">
        <v>3250</v>
      </c>
      <c r="AF592" t="s">
        <v>3250</v>
      </c>
      <c r="AG592" t="s">
        <v>3250</v>
      </c>
      <c r="AH592" t="s">
        <v>3250</v>
      </c>
      <c r="AI592" t="s">
        <v>3250</v>
      </c>
      <c r="AJ592" t="s">
        <v>3250</v>
      </c>
      <c r="AL592" t="s">
        <v>3250</v>
      </c>
      <c r="AM592" t="s">
        <v>3250</v>
      </c>
      <c r="AN592" t="s">
        <v>3250</v>
      </c>
      <c r="AO592" t="s">
        <v>3250</v>
      </c>
      <c r="AS592" t="s">
        <v>3250</v>
      </c>
      <c r="AT592" t="s">
        <v>3250</v>
      </c>
      <c r="AU592" t="s">
        <v>3250</v>
      </c>
      <c r="AV592" t="s">
        <v>3250</v>
      </c>
      <c r="AW592" t="s">
        <v>3250</v>
      </c>
      <c r="AX592" t="s">
        <v>3250</v>
      </c>
      <c r="AY592" t="s">
        <v>3250</v>
      </c>
      <c r="AZ592" t="s">
        <v>3250</v>
      </c>
      <c r="BA592" t="s">
        <v>3250</v>
      </c>
      <c r="BB592" t="s">
        <v>3250</v>
      </c>
      <c r="BC592" t="s">
        <v>3250</v>
      </c>
      <c r="BE592" t="s">
        <v>3250</v>
      </c>
      <c r="BF592" t="s">
        <v>3250</v>
      </c>
      <c r="BG592" t="s">
        <v>3250</v>
      </c>
      <c r="BH592" t="s">
        <v>3250</v>
      </c>
      <c r="BI592" t="s">
        <v>3250</v>
      </c>
      <c r="BK592" t="s">
        <v>3250</v>
      </c>
      <c r="BL592" t="s">
        <v>3250</v>
      </c>
      <c r="BM592" t="s">
        <v>3250</v>
      </c>
      <c r="BN592" t="s">
        <v>3250</v>
      </c>
      <c r="BO592" t="s">
        <v>2916</v>
      </c>
      <c r="BP592">
        <v>7</v>
      </c>
      <c r="BQ592">
        <v>71</v>
      </c>
      <c r="BR592" t="s">
        <v>629</v>
      </c>
      <c r="BS592" t="s">
        <v>4212</v>
      </c>
      <c r="BV592">
        <v>555</v>
      </c>
      <c r="BW592">
        <v>0</v>
      </c>
      <c r="BX592">
        <v>0</v>
      </c>
      <c r="BY592">
        <v>0</v>
      </c>
      <c r="BZ592">
        <v>70000</v>
      </c>
      <c r="CA592">
        <v>74900</v>
      </c>
      <c r="CB592">
        <v>0</v>
      </c>
      <c r="CC592">
        <v>0</v>
      </c>
      <c r="CD592">
        <v>77388</v>
      </c>
      <c r="CE592" t="s">
        <v>3108</v>
      </c>
      <c r="CF592" t="s">
        <v>3108</v>
      </c>
      <c r="CG592" t="s">
        <v>3108</v>
      </c>
      <c r="CH592" t="s">
        <v>3108</v>
      </c>
    </row>
    <row r="593" spans="1:86" x14ac:dyDescent="0.2">
      <c r="A593" t="s">
        <v>4219</v>
      </c>
      <c r="B593" t="s">
        <v>4219</v>
      </c>
      <c r="C593">
        <v>40962</v>
      </c>
      <c r="D593">
        <v>406</v>
      </c>
      <c r="E593" t="s">
        <v>4077</v>
      </c>
      <c r="F593">
        <v>2000</v>
      </c>
      <c r="G593" t="s">
        <v>408</v>
      </c>
      <c r="H593" t="s">
        <v>4075</v>
      </c>
      <c r="I593" t="s">
        <v>946</v>
      </c>
      <c r="J593">
        <v>2009</v>
      </c>
      <c r="K593" t="s">
        <v>1340</v>
      </c>
      <c r="L593">
        <v>3200</v>
      </c>
      <c r="M593" t="s">
        <v>128</v>
      </c>
      <c r="N593">
        <v>3205</v>
      </c>
      <c r="O593" t="s">
        <v>629</v>
      </c>
      <c r="P593" t="s">
        <v>3108</v>
      </c>
      <c r="Q593" t="s">
        <v>3249</v>
      </c>
      <c r="R593" t="s">
        <v>3249</v>
      </c>
      <c r="S593" t="s">
        <v>810</v>
      </c>
      <c r="T593" t="s">
        <v>2754</v>
      </c>
      <c r="U593" t="s">
        <v>3250</v>
      </c>
      <c r="V593" t="s">
        <v>3250</v>
      </c>
      <c r="W593" t="s">
        <v>3250</v>
      </c>
      <c r="X593" t="s">
        <v>3250</v>
      </c>
      <c r="Y593" t="s">
        <v>3250</v>
      </c>
      <c r="Z593" t="s">
        <v>3250</v>
      </c>
      <c r="AA593" t="s">
        <v>3108</v>
      </c>
      <c r="AB593" t="s">
        <v>3108</v>
      </c>
      <c r="AC593" t="s">
        <v>3250</v>
      </c>
      <c r="AD593" t="s">
        <v>3250</v>
      </c>
      <c r="AE593" t="s">
        <v>3250</v>
      </c>
      <c r="AF593" t="s">
        <v>3250</v>
      </c>
      <c r="AG593" t="s">
        <v>3250</v>
      </c>
      <c r="AH593" t="s">
        <v>3250</v>
      </c>
      <c r="AI593" t="s">
        <v>3250</v>
      </c>
      <c r="AJ593" t="s">
        <v>3250</v>
      </c>
      <c r="AL593" t="s">
        <v>3250</v>
      </c>
      <c r="AM593" t="s">
        <v>3250</v>
      </c>
      <c r="AN593" t="s">
        <v>3250</v>
      </c>
      <c r="AO593" t="s">
        <v>3250</v>
      </c>
      <c r="AS593" t="s">
        <v>3250</v>
      </c>
      <c r="AT593" t="s">
        <v>3250</v>
      </c>
      <c r="AU593" t="s">
        <v>3250</v>
      </c>
      <c r="AV593" t="s">
        <v>3250</v>
      </c>
      <c r="AW593" t="s">
        <v>3250</v>
      </c>
      <c r="AX593" t="s">
        <v>3250</v>
      </c>
      <c r="AY593" t="s">
        <v>3250</v>
      </c>
      <c r="AZ593" t="s">
        <v>3250</v>
      </c>
      <c r="BA593" t="s">
        <v>3250</v>
      </c>
      <c r="BB593" t="s">
        <v>3250</v>
      </c>
      <c r="BC593" t="s">
        <v>3250</v>
      </c>
      <c r="BE593" t="s">
        <v>3250</v>
      </c>
      <c r="BF593" t="s">
        <v>3250</v>
      </c>
      <c r="BG593" t="s">
        <v>3250</v>
      </c>
      <c r="BH593" t="s">
        <v>3250</v>
      </c>
      <c r="BI593" t="s">
        <v>3250</v>
      </c>
      <c r="BK593" t="s">
        <v>3250</v>
      </c>
      <c r="BL593" t="s">
        <v>3250</v>
      </c>
      <c r="BM593" t="s">
        <v>3250</v>
      </c>
      <c r="BN593" t="s">
        <v>3250</v>
      </c>
      <c r="BO593" t="s">
        <v>2916</v>
      </c>
      <c r="BP593">
        <v>7</v>
      </c>
      <c r="BQ593">
        <v>71</v>
      </c>
      <c r="BR593" t="s">
        <v>629</v>
      </c>
      <c r="BS593" t="s">
        <v>4212</v>
      </c>
      <c r="BV593">
        <v>51882</v>
      </c>
      <c r="BW593">
        <v>99292</v>
      </c>
      <c r="BX593">
        <v>146122</v>
      </c>
      <c r="BY593">
        <v>82754</v>
      </c>
      <c r="BZ593">
        <v>82754</v>
      </c>
      <c r="CA593">
        <v>88547</v>
      </c>
      <c r="CB593">
        <v>94745</v>
      </c>
      <c r="CC593">
        <v>101378</v>
      </c>
      <c r="CD593">
        <v>0</v>
      </c>
      <c r="CE593" t="s">
        <v>3108</v>
      </c>
      <c r="CF593" t="s">
        <v>3108</v>
      </c>
      <c r="CG593" t="s">
        <v>3108</v>
      </c>
      <c r="CH593" t="s">
        <v>3108</v>
      </c>
    </row>
    <row r="594" spans="1:86" x14ac:dyDescent="0.2">
      <c r="A594" t="s">
        <v>4220</v>
      </c>
      <c r="B594" t="s">
        <v>4220</v>
      </c>
      <c r="C594">
        <v>40963</v>
      </c>
      <c r="D594">
        <v>407</v>
      </c>
      <c r="E594" t="s">
        <v>4079</v>
      </c>
      <c r="F594">
        <v>2000</v>
      </c>
      <c r="G594" t="s">
        <v>408</v>
      </c>
      <c r="H594" t="s">
        <v>4064</v>
      </c>
      <c r="I594" t="s">
        <v>1340</v>
      </c>
      <c r="J594">
        <v>2001</v>
      </c>
      <c r="K594" t="s">
        <v>1135</v>
      </c>
      <c r="L594">
        <v>3200</v>
      </c>
      <c r="M594" t="s">
        <v>128</v>
      </c>
      <c r="N594">
        <v>3205</v>
      </c>
      <c r="O594" t="s">
        <v>629</v>
      </c>
      <c r="P594" t="s">
        <v>3108</v>
      </c>
      <c r="Q594" t="s">
        <v>3249</v>
      </c>
      <c r="R594" t="s">
        <v>3249</v>
      </c>
      <c r="S594" t="s">
        <v>810</v>
      </c>
      <c r="T594" t="s">
        <v>2754</v>
      </c>
      <c r="U594" t="s">
        <v>3250</v>
      </c>
      <c r="V594" t="s">
        <v>3250</v>
      </c>
      <c r="W594" t="s">
        <v>3250</v>
      </c>
      <c r="X594" t="s">
        <v>3250</v>
      </c>
      <c r="Y594" t="s">
        <v>3250</v>
      </c>
      <c r="Z594" t="s">
        <v>3250</v>
      </c>
      <c r="AA594" t="s">
        <v>3108</v>
      </c>
      <c r="AB594" t="s">
        <v>3108</v>
      </c>
      <c r="AC594" t="s">
        <v>3250</v>
      </c>
      <c r="AD594" t="s">
        <v>3250</v>
      </c>
      <c r="AE594" t="s">
        <v>3250</v>
      </c>
      <c r="AF594" t="s">
        <v>3250</v>
      </c>
      <c r="AG594" t="s">
        <v>3250</v>
      </c>
      <c r="AH594" t="s">
        <v>3250</v>
      </c>
      <c r="AI594" t="s">
        <v>3250</v>
      </c>
      <c r="AJ594" t="s">
        <v>3250</v>
      </c>
      <c r="AL594" t="s">
        <v>3250</v>
      </c>
      <c r="AM594" t="s">
        <v>3250</v>
      </c>
      <c r="AN594" t="s">
        <v>3250</v>
      </c>
      <c r="AO594" t="s">
        <v>3250</v>
      </c>
      <c r="AS594" t="s">
        <v>3250</v>
      </c>
      <c r="AT594" t="s">
        <v>3250</v>
      </c>
      <c r="AU594" t="s">
        <v>3250</v>
      </c>
      <c r="AV594" t="s">
        <v>3250</v>
      </c>
      <c r="AW594" t="s">
        <v>3250</v>
      </c>
      <c r="AX594" t="s">
        <v>3250</v>
      </c>
      <c r="AY594" t="s">
        <v>3250</v>
      </c>
      <c r="AZ594" t="s">
        <v>3250</v>
      </c>
      <c r="BA594" t="s">
        <v>3250</v>
      </c>
      <c r="BB594" t="s">
        <v>3250</v>
      </c>
      <c r="BC594" t="s">
        <v>3250</v>
      </c>
      <c r="BE594" t="s">
        <v>3250</v>
      </c>
      <c r="BF594" t="s">
        <v>3250</v>
      </c>
      <c r="BG594" t="s">
        <v>3250</v>
      </c>
      <c r="BH594" t="s">
        <v>3250</v>
      </c>
      <c r="BI594" t="s">
        <v>3250</v>
      </c>
      <c r="BK594" t="s">
        <v>3250</v>
      </c>
      <c r="BL594" t="s">
        <v>3250</v>
      </c>
      <c r="BM594" t="s">
        <v>3250</v>
      </c>
      <c r="BN594" t="s">
        <v>3250</v>
      </c>
      <c r="BO594" t="s">
        <v>2916</v>
      </c>
      <c r="BP594">
        <v>7</v>
      </c>
      <c r="BQ594">
        <v>71</v>
      </c>
      <c r="BR594" t="s">
        <v>629</v>
      </c>
      <c r="BS594" t="s">
        <v>4212</v>
      </c>
      <c r="BV594">
        <v>0</v>
      </c>
      <c r="BW594">
        <v>0</v>
      </c>
      <c r="BX594">
        <v>0</v>
      </c>
      <c r="BY594">
        <v>0</v>
      </c>
      <c r="BZ594">
        <v>0</v>
      </c>
      <c r="CA594">
        <v>0</v>
      </c>
      <c r="CB594">
        <v>0</v>
      </c>
      <c r="CC594">
        <v>0</v>
      </c>
      <c r="CD594">
        <v>22699</v>
      </c>
      <c r="CE594" t="s">
        <v>3108</v>
      </c>
      <c r="CF594" t="s">
        <v>3108</v>
      </c>
      <c r="CG594" t="s">
        <v>3108</v>
      </c>
      <c r="CH594" t="s">
        <v>3108</v>
      </c>
    </row>
    <row r="595" spans="1:86" x14ac:dyDescent="0.2">
      <c r="A595" t="s">
        <v>4221</v>
      </c>
      <c r="B595" t="s">
        <v>4221</v>
      </c>
      <c r="C595">
        <v>40964</v>
      </c>
      <c r="D595">
        <v>408</v>
      </c>
      <c r="E595" t="s">
        <v>4081</v>
      </c>
      <c r="F595">
        <v>2000</v>
      </c>
      <c r="G595" t="s">
        <v>408</v>
      </c>
      <c r="H595" t="s">
        <v>4082</v>
      </c>
      <c r="I595" t="s">
        <v>652</v>
      </c>
      <c r="J595">
        <v>2005</v>
      </c>
      <c r="K595" t="s">
        <v>652</v>
      </c>
      <c r="L595">
        <v>3200</v>
      </c>
      <c r="M595" t="s">
        <v>128</v>
      </c>
      <c r="N595">
        <v>3205</v>
      </c>
      <c r="O595" t="s">
        <v>629</v>
      </c>
      <c r="P595" t="s">
        <v>3108</v>
      </c>
      <c r="Q595" t="s">
        <v>3249</v>
      </c>
      <c r="R595" t="s">
        <v>3249</v>
      </c>
      <c r="S595" t="s">
        <v>810</v>
      </c>
      <c r="T595" t="s">
        <v>2754</v>
      </c>
      <c r="U595" t="s">
        <v>3250</v>
      </c>
      <c r="V595" t="s">
        <v>3250</v>
      </c>
      <c r="W595" t="s">
        <v>3250</v>
      </c>
      <c r="X595" t="s">
        <v>3250</v>
      </c>
      <c r="Y595" t="s">
        <v>3250</v>
      </c>
      <c r="Z595" t="s">
        <v>3250</v>
      </c>
      <c r="AA595" t="s">
        <v>3108</v>
      </c>
      <c r="AB595" t="s">
        <v>3108</v>
      </c>
      <c r="AC595" t="s">
        <v>3250</v>
      </c>
      <c r="AD595" t="s">
        <v>3250</v>
      </c>
      <c r="AE595" t="s">
        <v>3250</v>
      </c>
      <c r="AF595" t="s">
        <v>3250</v>
      </c>
      <c r="AG595" t="s">
        <v>3250</v>
      </c>
      <c r="AH595" t="s">
        <v>3250</v>
      </c>
      <c r="AI595" t="s">
        <v>3250</v>
      </c>
      <c r="AJ595" t="s">
        <v>3250</v>
      </c>
      <c r="AL595" t="s">
        <v>3250</v>
      </c>
      <c r="AM595" t="s">
        <v>3250</v>
      </c>
      <c r="AN595" t="s">
        <v>3250</v>
      </c>
      <c r="AO595" t="s">
        <v>3250</v>
      </c>
      <c r="AS595" t="s">
        <v>3250</v>
      </c>
      <c r="AT595" t="s">
        <v>3250</v>
      </c>
      <c r="AU595" t="s">
        <v>3250</v>
      </c>
      <c r="AV595" t="s">
        <v>3250</v>
      </c>
      <c r="AW595" t="s">
        <v>3250</v>
      </c>
      <c r="AX595" t="s">
        <v>3250</v>
      </c>
      <c r="AY595" t="s">
        <v>3250</v>
      </c>
      <c r="AZ595" t="s">
        <v>3250</v>
      </c>
      <c r="BA595" t="s">
        <v>3250</v>
      </c>
      <c r="BB595" t="s">
        <v>3250</v>
      </c>
      <c r="BC595" t="s">
        <v>3250</v>
      </c>
      <c r="BE595" t="s">
        <v>3250</v>
      </c>
      <c r="BF595" t="s">
        <v>3250</v>
      </c>
      <c r="BG595" t="s">
        <v>3250</v>
      </c>
      <c r="BH595" t="s">
        <v>3250</v>
      </c>
      <c r="BI595" t="s">
        <v>3250</v>
      </c>
      <c r="BK595" t="s">
        <v>3250</v>
      </c>
      <c r="BL595" t="s">
        <v>3250</v>
      </c>
      <c r="BM595" t="s">
        <v>3250</v>
      </c>
      <c r="BN595" t="s">
        <v>3250</v>
      </c>
      <c r="BO595" t="s">
        <v>2916</v>
      </c>
      <c r="BP595">
        <v>7</v>
      </c>
      <c r="BQ595">
        <v>71</v>
      </c>
      <c r="BR595" t="s">
        <v>629</v>
      </c>
      <c r="BS595" t="s">
        <v>4212</v>
      </c>
      <c r="BV595">
        <v>321450</v>
      </c>
      <c r="BW595">
        <v>300097</v>
      </c>
      <c r="BX595">
        <v>263201</v>
      </c>
      <c r="BY595">
        <v>294881</v>
      </c>
      <c r="BZ595">
        <v>294881</v>
      </c>
      <c r="CA595">
        <v>315523</v>
      </c>
      <c r="CB595">
        <v>337610</v>
      </c>
      <c r="CC595">
        <v>361242</v>
      </c>
      <c r="CD595">
        <v>361834</v>
      </c>
      <c r="CE595" t="s">
        <v>3108</v>
      </c>
      <c r="CF595" t="s">
        <v>3108</v>
      </c>
      <c r="CG595" t="s">
        <v>3108</v>
      </c>
      <c r="CH595" t="s">
        <v>3108</v>
      </c>
    </row>
    <row r="596" spans="1:86" x14ac:dyDescent="0.2">
      <c r="A596" t="s">
        <v>4222</v>
      </c>
      <c r="B596" t="s">
        <v>4222</v>
      </c>
      <c r="C596">
        <v>40965</v>
      </c>
      <c r="D596">
        <v>409</v>
      </c>
      <c r="E596" t="s">
        <v>4084</v>
      </c>
      <c r="F596">
        <v>2000</v>
      </c>
      <c r="G596" t="s">
        <v>408</v>
      </c>
      <c r="H596" t="s">
        <v>4085</v>
      </c>
      <c r="I596" t="s">
        <v>1453</v>
      </c>
      <c r="J596">
        <v>2010</v>
      </c>
      <c r="K596" t="s">
        <v>1453</v>
      </c>
      <c r="L596">
        <v>3200</v>
      </c>
      <c r="M596" t="s">
        <v>128</v>
      </c>
      <c r="N596">
        <v>3205</v>
      </c>
      <c r="O596" t="s">
        <v>629</v>
      </c>
      <c r="P596" t="s">
        <v>3108</v>
      </c>
      <c r="Q596" t="s">
        <v>3249</v>
      </c>
      <c r="R596" t="s">
        <v>3249</v>
      </c>
      <c r="S596" t="s">
        <v>810</v>
      </c>
      <c r="T596" t="s">
        <v>2754</v>
      </c>
      <c r="U596" t="s">
        <v>3250</v>
      </c>
      <c r="V596" t="s">
        <v>3250</v>
      </c>
      <c r="W596" t="s">
        <v>3250</v>
      </c>
      <c r="X596" t="s">
        <v>3250</v>
      </c>
      <c r="Y596" t="s">
        <v>3250</v>
      </c>
      <c r="Z596" t="s">
        <v>3250</v>
      </c>
      <c r="AA596" t="s">
        <v>3108</v>
      </c>
      <c r="AB596" t="s">
        <v>3108</v>
      </c>
      <c r="AC596" t="s">
        <v>3250</v>
      </c>
      <c r="AD596" t="s">
        <v>3250</v>
      </c>
      <c r="AE596" t="s">
        <v>3250</v>
      </c>
      <c r="AF596" t="s">
        <v>3250</v>
      </c>
      <c r="AG596" t="s">
        <v>3250</v>
      </c>
      <c r="AH596" t="s">
        <v>3250</v>
      </c>
      <c r="AI596" t="s">
        <v>3250</v>
      </c>
      <c r="AJ596" t="s">
        <v>3250</v>
      </c>
      <c r="AL596" t="s">
        <v>3250</v>
      </c>
      <c r="AM596" t="s">
        <v>3250</v>
      </c>
      <c r="AN596" t="s">
        <v>3250</v>
      </c>
      <c r="AO596" t="s">
        <v>3250</v>
      </c>
      <c r="AS596" t="s">
        <v>3250</v>
      </c>
      <c r="AT596" t="s">
        <v>3250</v>
      </c>
      <c r="AU596" t="s">
        <v>3250</v>
      </c>
      <c r="AV596" t="s">
        <v>3250</v>
      </c>
      <c r="AW596" t="s">
        <v>3250</v>
      </c>
      <c r="AX596" t="s">
        <v>3250</v>
      </c>
      <c r="AY596" t="s">
        <v>3250</v>
      </c>
      <c r="AZ596" t="s">
        <v>3250</v>
      </c>
      <c r="BA596" t="s">
        <v>3250</v>
      </c>
      <c r="BB596" t="s">
        <v>3250</v>
      </c>
      <c r="BC596" t="s">
        <v>3250</v>
      </c>
      <c r="BE596" t="s">
        <v>3250</v>
      </c>
      <c r="BF596" t="s">
        <v>3250</v>
      </c>
      <c r="BG596" t="s">
        <v>3250</v>
      </c>
      <c r="BH596" t="s">
        <v>3250</v>
      </c>
      <c r="BI596" t="s">
        <v>3250</v>
      </c>
      <c r="BK596" t="s">
        <v>3250</v>
      </c>
      <c r="BL596" t="s">
        <v>3250</v>
      </c>
      <c r="BM596" t="s">
        <v>3250</v>
      </c>
      <c r="BN596" t="s">
        <v>3250</v>
      </c>
      <c r="BO596" t="s">
        <v>2916</v>
      </c>
      <c r="BP596">
        <v>7</v>
      </c>
      <c r="BQ596">
        <v>71</v>
      </c>
      <c r="BR596" t="s">
        <v>629</v>
      </c>
      <c r="BS596" t="s">
        <v>4212</v>
      </c>
      <c r="BV596">
        <v>217423</v>
      </c>
      <c r="BW596">
        <v>197064</v>
      </c>
      <c r="BX596">
        <v>219848</v>
      </c>
      <c r="BY596">
        <v>275124</v>
      </c>
      <c r="BZ596">
        <v>275124</v>
      </c>
      <c r="CA596">
        <v>294383</v>
      </c>
      <c r="CB596">
        <v>314990</v>
      </c>
      <c r="CC596">
        <v>337039</v>
      </c>
      <c r="CD596">
        <v>40419</v>
      </c>
      <c r="CE596" t="s">
        <v>3108</v>
      </c>
      <c r="CF596" t="s">
        <v>3108</v>
      </c>
      <c r="CG596" t="s">
        <v>3108</v>
      </c>
      <c r="CH596" t="s">
        <v>3108</v>
      </c>
    </row>
    <row r="597" spans="1:86" x14ac:dyDescent="0.2">
      <c r="A597" t="s">
        <v>4223</v>
      </c>
      <c r="B597" t="s">
        <v>4223</v>
      </c>
      <c r="C597">
        <v>40966</v>
      </c>
      <c r="D597">
        <v>410</v>
      </c>
      <c r="E597" t="s">
        <v>4087</v>
      </c>
      <c r="F597">
        <v>2000</v>
      </c>
      <c r="G597" t="s">
        <v>408</v>
      </c>
      <c r="H597" t="s">
        <v>4088</v>
      </c>
      <c r="I597" t="s">
        <v>1941</v>
      </c>
      <c r="J597">
        <v>2008</v>
      </c>
      <c r="K597" t="s">
        <v>1941</v>
      </c>
      <c r="L597">
        <v>3200</v>
      </c>
      <c r="M597" t="s">
        <v>128</v>
      </c>
      <c r="N597">
        <v>3205</v>
      </c>
      <c r="O597" t="s">
        <v>629</v>
      </c>
      <c r="P597" t="s">
        <v>3108</v>
      </c>
      <c r="Q597" t="s">
        <v>3249</v>
      </c>
      <c r="R597" t="s">
        <v>3249</v>
      </c>
      <c r="S597" t="s">
        <v>810</v>
      </c>
      <c r="T597" t="s">
        <v>2754</v>
      </c>
      <c r="U597" t="s">
        <v>3250</v>
      </c>
      <c r="V597" t="s">
        <v>3250</v>
      </c>
      <c r="W597" t="s">
        <v>3250</v>
      </c>
      <c r="X597" t="s">
        <v>3250</v>
      </c>
      <c r="Y597" t="s">
        <v>3250</v>
      </c>
      <c r="Z597" t="s">
        <v>3250</v>
      </c>
      <c r="AA597" t="s">
        <v>3108</v>
      </c>
      <c r="AB597" t="s">
        <v>3108</v>
      </c>
      <c r="AC597" t="s">
        <v>3250</v>
      </c>
      <c r="AD597" t="s">
        <v>3250</v>
      </c>
      <c r="AE597" t="s">
        <v>3250</v>
      </c>
      <c r="AF597" t="s">
        <v>3250</v>
      </c>
      <c r="AG597" t="s">
        <v>3250</v>
      </c>
      <c r="AH597" t="s">
        <v>3250</v>
      </c>
      <c r="AI597" t="s">
        <v>3250</v>
      </c>
      <c r="AJ597" t="s">
        <v>3250</v>
      </c>
      <c r="AL597" t="s">
        <v>3250</v>
      </c>
      <c r="AM597" t="s">
        <v>3250</v>
      </c>
      <c r="AN597" t="s">
        <v>3250</v>
      </c>
      <c r="AO597" t="s">
        <v>3250</v>
      </c>
      <c r="AS597" t="s">
        <v>3250</v>
      </c>
      <c r="AT597" t="s">
        <v>3250</v>
      </c>
      <c r="AU597" t="s">
        <v>3250</v>
      </c>
      <c r="AV597" t="s">
        <v>3250</v>
      </c>
      <c r="AW597" t="s">
        <v>3250</v>
      </c>
      <c r="AX597" t="s">
        <v>3250</v>
      </c>
      <c r="AY597" t="s">
        <v>3250</v>
      </c>
      <c r="AZ597" t="s">
        <v>3250</v>
      </c>
      <c r="BA597" t="s">
        <v>3250</v>
      </c>
      <c r="BB597" t="s">
        <v>3250</v>
      </c>
      <c r="BC597" t="s">
        <v>3250</v>
      </c>
      <c r="BE597" t="s">
        <v>3250</v>
      </c>
      <c r="BF597" t="s">
        <v>3250</v>
      </c>
      <c r="BG597" t="s">
        <v>3250</v>
      </c>
      <c r="BH597" t="s">
        <v>3250</v>
      </c>
      <c r="BI597" t="s">
        <v>3250</v>
      </c>
      <c r="BK597" t="s">
        <v>3250</v>
      </c>
      <c r="BL597" t="s">
        <v>3250</v>
      </c>
      <c r="BM597" t="s">
        <v>3250</v>
      </c>
      <c r="BN597" t="s">
        <v>3250</v>
      </c>
      <c r="BO597" t="s">
        <v>2916</v>
      </c>
      <c r="BP597">
        <v>7</v>
      </c>
      <c r="BQ597">
        <v>71</v>
      </c>
      <c r="BR597" t="s">
        <v>629</v>
      </c>
      <c r="BS597" t="s">
        <v>4212</v>
      </c>
      <c r="BV597">
        <v>10893</v>
      </c>
      <c r="BW597">
        <v>10228</v>
      </c>
      <c r="BX597">
        <v>64628</v>
      </c>
      <c r="BY597">
        <v>46201</v>
      </c>
      <c r="BZ597">
        <v>46201</v>
      </c>
      <c r="CA597">
        <v>49435</v>
      </c>
      <c r="CB597">
        <v>52896</v>
      </c>
      <c r="CC597">
        <v>56598</v>
      </c>
      <c r="CD597">
        <v>8681</v>
      </c>
      <c r="CE597" t="s">
        <v>3108</v>
      </c>
      <c r="CF597" t="s">
        <v>3108</v>
      </c>
      <c r="CG597" t="s">
        <v>3108</v>
      </c>
      <c r="CH597" t="s">
        <v>3108</v>
      </c>
    </row>
    <row r="598" spans="1:86" x14ac:dyDescent="0.2">
      <c r="A598" t="s">
        <v>4224</v>
      </c>
      <c r="B598" t="s">
        <v>4224</v>
      </c>
      <c r="C598">
        <v>40967</v>
      </c>
      <c r="D598">
        <v>411</v>
      </c>
      <c r="E598" t="s">
        <v>4202</v>
      </c>
      <c r="F598">
        <v>2000</v>
      </c>
      <c r="G598" t="s">
        <v>408</v>
      </c>
      <c r="H598" t="s">
        <v>4203</v>
      </c>
      <c r="I598" t="s">
        <v>1793</v>
      </c>
      <c r="J598">
        <v>2007</v>
      </c>
      <c r="K598" t="s">
        <v>1793</v>
      </c>
      <c r="L598">
        <v>3200</v>
      </c>
      <c r="M598" t="s">
        <v>128</v>
      </c>
      <c r="N598">
        <v>3205</v>
      </c>
      <c r="O598" t="s">
        <v>629</v>
      </c>
      <c r="P598" t="s">
        <v>3108</v>
      </c>
      <c r="Q598" t="s">
        <v>3249</v>
      </c>
      <c r="R598" t="s">
        <v>3249</v>
      </c>
      <c r="S598" t="s">
        <v>810</v>
      </c>
      <c r="T598" t="s">
        <v>2754</v>
      </c>
      <c r="U598" t="s">
        <v>3250</v>
      </c>
      <c r="V598" t="s">
        <v>3250</v>
      </c>
      <c r="W598" t="s">
        <v>3250</v>
      </c>
      <c r="X598" t="s">
        <v>3250</v>
      </c>
      <c r="Y598" t="s">
        <v>3250</v>
      </c>
      <c r="Z598" t="s">
        <v>3250</v>
      </c>
      <c r="AA598" t="s">
        <v>3108</v>
      </c>
      <c r="AB598" t="s">
        <v>3108</v>
      </c>
      <c r="AC598" t="s">
        <v>3250</v>
      </c>
      <c r="AD598" t="s">
        <v>3250</v>
      </c>
      <c r="AE598" t="s">
        <v>3250</v>
      </c>
      <c r="AF598" t="s">
        <v>3250</v>
      </c>
      <c r="AG598" t="s">
        <v>3250</v>
      </c>
      <c r="AH598" t="s">
        <v>3250</v>
      </c>
      <c r="AI598" t="s">
        <v>3250</v>
      </c>
      <c r="AJ598" t="s">
        <v>3250</v>
      </c>
      <c r="AL598" t="s">
        <v>3250</v>
      </c>
      <c r="AM598" t="s">
        <v>3250</v>
      </c>
      <c r="AN598" t="s">
        <v>3250</v>
      </c>
      <c r="AO598" t="s">
        <v>3250</v>
      </c>
      <c r="AS598" t="s">
        <v>3250</v>
      </c>
      <c r="AT598" t="s">
        <v>3250</v>
      </c>
      <c r="AU598" t="s">
        <v>3250</v>
      </c>
      <c r="AV598" t="s">
        <v>3250</v>
      </c>
      <c r="AW598" t="s">
        <v>3250</v>
      </c>
      <c r="AX598" t="s">
        <v>3250</v>
      </c>
      <c r="AY598" t="s">
        <v>3250</v>
      </c>
      <c r="AZ598" t="s">
        <v>3250</v>
      </c>
      <c r="BA598" t="s">
        <v>3250</v>
      </c>
      <c r="BB598" t="s">
        <v>3250</v>
      </c>
      <c r="BC598" t="s">
        <v>3250</v>
      </c>
      <c r="BE598" t="s">
        <v>3250</v>
      </c>
      <c r="BF598" t="s">
        <v>3250</v>
      </c>
      <c r="BG598" t="s">
        <v>3250</v>
      </c>
      <c r="BH598" t="s">
        <v>3250</v>
      </c>
      <c r="BI598" t="s">
        <v>3250</v>
      </c>
      <c r="BK598" t="s">
        <v>3250</v>
      </c>
      <c r="BL598" t="s">
        <v>3250</v>
      </c>
      <c r="BM598" t="s">
        <v>3250</v>
      </c>
      <c r="BN598" t="s">
        <v>3250</v>
      </c>
      <c r="BO598" t="s">
        <v>2916</v>
      </c>
      <c r="BP598">
        <v>7</v>
      </c>
      <c r="BQ598">
        <v>71</v>
      </c>
      <c r="BR598" t="s">
        <v>629</v>
      </c>
      <c r="BS598" t="s">
        <v>4212</v>
      </c>
      <c r="BV598">
        <v>2400</v>
      </c>
      <c r="BW598">
        <v>2880</v>
      </c>
      <c r="BX598">
        <v>2880</v>
      </c>
      <c r="BY598">
        <v>18000</v>
      </c>
      <c r="BZ598">
        <v>18000</v>
      </c>
      <c r="CA598">
        <v>19260</v>
      </c>
      <c r="CB598">
        <v>20608</v>
      </c>
      <c r="CC598">
        <v>22051</v>
      </c>
      <c r="CD598">
        <v>3120</v>
      </c>
      <c r="CE598" t="s">
        <v>3108</v>
      </c>
      <c r="CF598" t="s">
        <v>3108</v>
      </c>
      <c r="CG598" t="s">
        <v>3108</v>
      </c>
      <c r="CH598" t="s">
        <v>3108</v>
      </c>
    </row>
    <row r="599" spans="1:86" x14ac:dyDescent="0.2">
      <c r="A599" t="s">
        <v>4225</v>
      </c>
      <c r="B599" t="s">
        <v>4225</v>
      </c>
      <c r="C599">
        <v>40968</v>
      </c>
      <c r="D599">
        <v>412</v>
      </c>
      <c r="E599" t="s">
        <v>4090</v>
      </c>
      <c r="F599">
        <v>2000</v>
      </c>
      <c r="G599" t="s">
        <v>408</v>
      </c>
      <c r="H599" t="s">
        <v>4091</v>
      </c>
      <c r="I599" t="s">
        <v>1940</v>
      </c>
      <c r="J599">
        <v>2006</v>
      </c>
      <c r="K599" t="s">
        <v>1940</v>
      </c>
      <c r="L599">
        <v>3200</v>
      </c>
      <c r="M599" t="s">
        <v>128</v>
      </c>
      <c r="N599">
        <v>3205</v>
      </c>
      <c r="O599" t="s">
        <v>629</v>
      </c>
      <c r="P599" t="s">
        <v>3108</v>
      </c>
      <c r="Q599" t="s">
        <v>3249</v>
      </c>
      <c r="R599" t="s">
        <v>3249</v>
      </c>
      <c r="S599" t="s">
        <v>810</v>
      </c>
      <c r="T599" t="s">
        <v>2754</v>
      </c>
      <c r="U599" t="s">
        <v>3250</v>
      </c>
      <c r="V599" t="s">
        <v>3250</v>
      </c>
      <c r="W599" t="s">
        <v>3250</v>
      </c>
      <c r="X599" t="s">
        <v>3250</v>
      </c>
      <c r="Y599" t="s">
        <v>3250</v>
      </c>
      <c r="Z599" t="s">
        <v>3250</v>
      </c>
      <c r="AA599" t="s">
        <v>3108</v>
      </c>
      <c r="AB599" t="s">
        <v>3108</v>
      </c>
      <c r="AC599" t="s">
        <v>3250</v>
      </c>
      <c r="AD599" t="s">
        <v>3250</v>
      </c>
      <c r="AE599" t="s">
        <v>3250</v>
      </c>
      <c r="AF599" t="s">
        <v>3250</v>
      </c>
      <c r="AG599" t="s">
        <v>3250</v>
      </c>
      <c r="AH599" t="s">
        <v>3250</v>
      </c>
      <c r="AI599" t="s">
        <v>3250</v>
      </c>
      <c r="AJ599" t="s">
        <v>3250</v>
      </c>
      <c r="AL599" t="s">
        <v>3250</v>
      </c>
      <c r="AM599" t="s">
        <v>3250</v>
      </c>
      <c r="AN599" t="s">
        <v>3250</v>
      </c>
      <c r="AO599" t="s">
        <v>3250</v>
      </c>
      <c r="AS599" t="s">
        <v>3250</v>
      </c>
      <c r="AT599" t="s">
        <v>3250</v>
      </c>
      <c r="AU599" t="s">
        <v>3250</v>
      </c>
      <c r="AV599" t="s">
        <v>3250</v>
      </c>
      <c r="AW599" t="s">
        <v>3250</v>
      </c>
      <c r="AX599" t="s">
        <v>3250</v>
      </c>
      <c r="AY599" t="s">
        <v>3250</v>
      </c>
      <c r="AZ599" t="s">
        <v>3250</v>
      </c>
      <c r="BA599" t="s">
        <v>3250</v>
      </c>
      <c r="BB599" t="s">
        <v>3250</v>
      </c>
      <c r="BC599" t="s">
        <v>3250</v>
      </c>
      <c r="BE599" t="s">
        <v>3250</v>
      </c>
      <c r="BF599" t="s">
        <v>3250</v>
      </c>
      <c r="BG599" t="s">
        <v>3250</v>
      </c>
      <c r="BH599" t="s">
        <v>3250</v>
      </c>
      <c r="BI599" t="s">
        <v>3250</v>
      </c>
      <c r="BK599" t="s">
        <v>3250</v>
      </c>
      <c r="BL599" t="s">
        <v>3250</v>
      </c>
      <c r="BM599" t="s">
        <v>3250</v>
      </c>
      <c r="BN599" t="s">
        <v>3250</v>
      </c>
      <c r="BO599" t="s">
        <v>2916</v>
      </c>
      <c r="BP599">
        <v>7</v>
      </c>
      <c r="BQ599">
        <v>71</v>
      </c>
      <c r="BR599" t="s">
        <v>629</v>
      </c>
      <c r="BS599" t="s">
        <v>4212</v>
      </c>
      <c r="BV599">
        <v>45000</v>
      </c>
      <c r="BW599">
        <v>1664</v>
      </c>
      <c r="BX599">
        <v>0</v>
      </c>
      <c r="BY599">
        <v>0</v>
      </c>
      <c r="BZ599">
        <v>100000</v>
      </c>
      <c r="CA599">
        <v>107000</v>
      </c>
      <c r="CB599">
        <v>0</v>
      </c>
      <c r="CC599">
        <v>0</v>
      </c>
      <c r="CD599">
        <v>94960</v>
      </c>
      <c r="CE599" t="s">
        <v>3108</v>
      </c>
      <c r="CF599" t="s">
        <v>3108</v>
      </c>
      <c r="CG599" t="s">
        <v>3108</v>
      </c>
      <c r="CH599" t="s">
        <v>3108</v>
      </c>
    </row>
    <row r="600" spans="1:86" x14ac:dyDescent="0.2">
      <c r="A600" t="s">
        <v>4226</v>
      </c>
      <c r="B600" t="s">
        <v>4226</v>
      </c>
      <c r="C600">
        <v>40969</v>
      </c>
      <c r="D600">
        <v>413</v>
      </c>
      <c r="E600" t="s">
        <v>4093</v>
      </c>
      <c r="F600">
        <v>2000</v>
      </c>
      <c r="G600" t="s">
        <v>408</v>
      </c>
      <c r="H600" t="s">
        <v>4094</v>
      </c>
      <c r="I600" t="s">
        <v>1135</v>
      </c>
      <c r="J600">
        <v>2001</v>
      </c>
      <c r="K600" t="s">
        <v>1135</v>
      </c>
      <c r="L600">
        <v>3200</v>
      </c>
      <c r="M600" t="s">
        <v>128</v>
      </c>
      <c r="N600">
        <v>3205</v>
      </c>
      <c r="O600" t="s">
        <v>629</v>
      </c>
      <c r="P600" t="s">
        <v>3108</v>
      </c>
      <c r="Q600" t="s">
        <v>3249</v>
      </c>
      <c r="R600" t="s">
        <v>3249</v>
      </c>
      <c r="S600" t="s">
        <v>810</v>
      </c>
      <c r="T600" t="s">
        <v>2754</v>
      </c>
      <c r="U600" t="s">
        <v>3250</v>
      </c>
      <c r="V600" t="s">
        <v>3250</v>
      </c>
      <c r="W600" t="s">
        <v>3250</v>
      </c>
      <c r="X600" t="s">
        <v>3250</v>
      </c>
      <c r="Y600" t="s">
        <v>3250</v>
      </c>
      <c r="Z600" t="s">
        <v>3250</v>
      </c>
      <c r="AA600" t="s">
        <v>3108</v>
      </c>
      <c r="AB600" t="s">
        <v>3108</v>
      </c>
      <c r="AC600" t="s">
        <v>3250</v>
      </c>
      <c r="AD600" t="s">
        <v>3250</v>
      </c>
      <c r="AE600" t="s">
        <v>3250</v>
      </c>
      <c r="AF600" t="s">
        <v>3250</v>
      </c>
      <c r="AG600" t="s">
        <v>3250</v>
      </c>
      <c r="AH600" t="s">
        <v>3250</v>
      </c>
      <c r="AI600" t="s">
        <v>3250</v>
      </c>
      <c r="AJ600" t="s">
        <v>3250</v>
      </c>
      <c r="AL600" t="s">
        <v>3250</v>
      </c>
      <c r="AM600" t="s">
        <v>3250</v>
      </c>
      <c r="AN600" t="s">
        <v>3250</v>
      </c>
      <c r="AO600" t="s">
        <v>3250</v>
      </c>
      <c r="AS600" t="s">
        <v>3250</v>
      </c>
      <c r="AT600" t="s">
        <v>3250</v>
      </c>
      <c r="AU600" t="s">
        <v>3250</v>
      </c>
      <c r="AV600" t="s">
        <v>3250</v>
      </c>
      <c r="AW600" t="s">
        <v>3250</v>
      </c>
      <c r="AX600" t="s">
        <v>3250</v>
      </c>
      <c r="AY600" t="s">
        <v>3250</v>
      </c>
      <c r="AZ600" t="s">
        <v>3250</v>
      </c>
      <c r="BA600" t="s">
        <v>3250</v>
      </c>
      <c r="BB600" t="s">
        <v>3250</v>
      </c>
      <c r="BC600" t="s">
        <v>3250</v>
      </c>
      <c r="BE600" t="s">
        <v>3250</v>
      </c>
      <c r="BF600" t="s">
        <v>3250</v>
      </c>
      <c r="BG600" t="s">
        <v>3250</v>
      </c>
      <c r="BH600" t="s">
        <v>3250</v>
      </c>
      <c r="BI600" t="s">
        <v>3250</v>
      </c>
      <c r="BK600" t="s">
        <v>3250</v>
      </c>
      <c r="BL600" t="s">
        <v>3250</v>
      </c>
      <c r="BM600" t="s">
        <v>3250</v>
      </c>
      <c r="BN600" t="s">
        <v>3250</v>
      </c>
      <c r="BO600" t="s">
        <v>2916</v>
      </c>
      <c r="BP600">
        <v>7</v>
      </c>
      <c r="BQ600">
        <v>71</v>
      </c>
      <c r="BR600" t="s">
        <v>629</v>
      </c>
      <c r="BS600" t="s">
        <v>4212</v>
      </c>
      <c r="BV600">
        <v>3620439</v>
      </c>
      <c r="BW600">
        <v>3619026</v>
      </c>
      <c r="BX600">
        <v>3430741</v>
      </c>
      <c r="BY600">
        <v>3699076</v>
      </c>
      <c r="BZ600">
        <v>3699076</v>
      </c>
      <c r="CA600">
        <v>3958011</v>
      </c>
      <c r="CB600">
        <v>4235072</v>
      </c>
      <c r="CC600">
        <v>4531527</v>
      </c>
      <c r="CD600">
        <v>3198306</v>
      </c>
      <c r="CE600" t="s">
        <v>3108</v>
      </c>
      <c r="CF600" t="s">
        <v>3108</v>
      </c>
      <c r="CG600" t="s">
        <v>3108</v>
      </c>
      <c r="CH600" t="s">
        <v>3108</v>
      </c>
    </row>
    <row r="601" spans="1:86" x14ac:dyDescent="0.2">
      <c r="A601" t="s">
        <v>4227</v>
      </c>
      <c r="B601" t="s">
        <v>4227</v>
      </c>
      <c r="C601">
        <v>40970</v>
      </c>
      <c r="D601">
        <v>414</v>
      </c>
      <c r="E601" t="s">
        <v>4122</v>
      </c>
      <c r="F601">
        <v>2000</v>
      </c>
      <c r="G601" t="s">
        <v>408</v>
      </c>
      <c r="H601" t="s">
        <v>4123</v>
      </c>
      <c r="I601" t="s">
        <v>1454</v>
      </c>
      <c r="J601">
        <v>2012</v>
      </c>
      <c r="K601" t="s">
        <v>1454</v>
      </c>
      <c r="L601">
        <v>3200</v>
      </c>
      <c r="M601" t="s">
        <v>128</v>
      </c>
      <c r="N601">
        <v>3205</v>
      </c>
      <c r="O601" t="s">
        <v>629</v>
      </c>
      <c r="P601" t="s">
        <v>3108</v>
      </c>
      <c r="Q601" t="s">
        <v>3249</v>
      </c>
      <c r="R601" t="s">
        <v>3249</v>
      </c>
      <c r="S601" t="s">
        <v>810</v>
      </c>
      <c r="T601" t="s">
        <v>2754</v>
      </c>
      <c r="U601" t="s">
        <v>3250</v>
      </c>
      <c r="V601" t="s">
        <v>3250</v>
      </c>
      <c r="W601" t="s">
        <v>3250</v>
      </c>
      <c r="X601" t="s">
        <v>3250</v>
      </c>
      <c r="Y601" t="s">
        <v>3250</v>
      </c>
      <c r="Z601" t="s">
        <v>3250</v>
      </c>
      <c r="AA601" t="s">
        <v>3108</v>
      </c>
      <c r="AB601" t="s">
        <v>3108</v>
      </c>
      <c r="AC601" t="s">
        <v>3250</v>
      </c>
      <c r="AD601" t="s">
        <v>3250</v>
      </c>
      <c r="AE601" t="s">
        <v>3250</v>
      </c>
      <c r="AF601" t="s">
        <v>3250</v>
      </c>
      <c r="AG601" t="s">
        <v>3250</v>
      </c>
      <c r="AH601" t="s">
        <v>3250</v>
      </c>
      <c r="AI601" t="s">
        <v>3250</v>
      </c>
      <c r="AJ601" t="s">
        <v>3250</v>
      </c>
      <c r="AL601" t="s">
        <v>3250</v>
      </c>
      <c r="AM601" t="s">
        <v>3250</v>
      </c>
      <c r="AN601" t="s">
        <v>3250</v>
      </c>
      <c r="AO601" t="s">
        <v>3250</v>
      </c>
      <c r="AS601" t="s">
        <v>3250</v>
      </c>
      <c r="AT601" t="s">
        <v>3250</v>
      </c>
      <c r="AU601" t="s">
        <v>3250</v>
      </c>
      <c r="AV601" t="s">
        <v>3250</v>
      </c>
      <c r="AW601" t="s">
        <v>3250</v>
      </c>
      <c r="AX601" t="s">
        <v>3250</v>
      </c>
      <c r="AY601" t="s">
        <v>3250</v>
      </c>
      <c r="AZ601" t="s">
        <v>3250</v>
      </c>
      <c r="BA601" t="s">
        <v>3250</v>
      </c>
      <c r="BB601" t="s">
        <v>3250</v>
      </c>
      <c r="BC601" t="s">
        <v>3250</v>
      </c>
      <c r="BE601" t="s">
        <v>3250</v>
      </c>
      <c r="BF601" t="s">
        <v>3250</v>
      </c>
      <c r="BG601" t="s">
        <v>3250</v>
      </c>
      <c r="BH601" t="s">
        <v>3250</v>
      </c>
      <c r="BI601" t="s">
        <v>3250</v>
      </c>
      <c r="BK601" t="s">
        <v>3250</v>
      </c>
      <c r="BL601" t="s">
        <v>3250</v>
      </c>
      <c r="BM601" t="s">
        <v>3250</v>
      </c>
      <c r="BN601" t="s">
        <v>3250</v>
      </c>
      <c r="BO601" t="s">
        <v>2916</v>
      </c>
      <c r="BP601">
        <v>7</v>
      </c>
      <c r="BQ601">
        <v>71</v>
      </c>
      <c r="BR601" t="s">
        <v>629</v>
      </c>
      <c r="BS601" t="s">
        <v>4212</v>
      </c>
      <c r="BV601">
        <v>0</v>
      </c>
      <c r="BW601">
        <v>0</v>
      </c>
      <c r="BX601">
        <v>0</v>
      </c>
      <c r="BY601">
        <v>0</v>
      </c>
      <c r="BZ601">
        <v>0</v>
      </c>
      <c r="CA601">
        <v>0</v>
      </c>
      <c r="CB601">
        <v>0</v>
      </c>
      <c r="CC601">
        <v>0</v>
      </c>
      <c r="CD601">
        <v>0</v>
      </c>
      <c r="CE601" t="s">
        <v>3108</v>
      </c>
      <c r="CF601" t="s">
        <v>3108</v>
      </c>
      <c r="CG601" t="s">
        <v>3108</v>
      </c>
      <c r="CH601" t="s">
        <v>3108</v>
      </c>
    </row>
    <row r="602" spans="1:86" x14ac:dyDescent="0.2">
      <c r="A602" t="s">
        <v>4228</v>
      </c>
      <c r="B602" t="s">
        <v>4228</v>
      </c>
      <c r="C602">
        <v>40971</v>
      </c>
      <c r="D602">
        <v>87</v>
      </c>
      <c r="E602" t="s">
        <v>4097</v>
      </c>
      <c r="F602">
        <v>2900</v>
      </c>
      <c r="G602" t="s">
        <v>822</v>
      </c>
      <c r="H602" t="s">
        <v>3108</v>
      </c>
      <c r="I602" t="s">
        <v>3108</v>
      </c>
      <c r="J602">
        <v>2904</v>
      </c>
      <c r="K602" t="s">
        <v>1690</v>
      </c>
      <c r="L602">
        <v>2400</v>
      </c>
      <c r="M602" t="s">
        <v>1487</v>
      </c>
      <c r="N602">
        <v>2401</v>
      </c>
      <c r="O602" t="s">
        <v>1487</v>
      </c>
      <c r="P602" t="s">
        <v>3108</v>
      </c>
      <c r="Q602" t="s">
        <v>3249</v>
      </c>
      <c r="R602" t="s">
        <v>3249</v>
      </c>
      <c r="S602" t="s">
        <v>810</v>
      </c>
      <c r="T602" t="s">
        <v>2754</v>
      </c>
      <c r="U602" t="s">
        <v>3250</v>
      </c>
      <c r="V602" t="s">
        <v>3250</v>
      </c>
      <c r="W602" t="s">
        <v>3250</v>
      </c>
      <c r="X602" t="s">
        <v>3250</v>
      </c>
      <c r="Y602" t="s">
        <v>3250</v>
      </c>
      <c r="Z602" t="s">
        <v>3250</v>
      </c>
      <c r="AA602" t="s">
        <v>3108</v>
      </c>
      <c r="AB602" t="s">
        <v>3108</v>
      </c>
      <c r="AC602" t="s">
        <v>3250</v>
      </c>
      <c r="AD602" t="s">
        <v>3250</v>
      </c>
      <c r="AE602" t="s">
        <v>3250</v>
      </c>
      <c r="AF602" t="s">
        <v>3250</v>
      </c>
      <c r="AG602" t="s">
        <v>3250</v>
      </c>
      <c r="AH602" t="s">
        <v>3250</v>
      </c>
      <c r="AI602" t="s">
        <v>3250</v>
      </c>
      <c r="AJ602" t="s">
        <v>3250</v>
      </c>
      <c r="AL602" t="s">
        <v>3250</v>
      </c>
      <c r="AM602" t="s">
        <v>3250</v>
      </c>
      <c r="AN602" t="s">
        <v>3250</v>
      </c>
      <c r="AO602" t="s">
        <v>3250</v>
      </c>
      <c r="AS602" t="s">
        <v>3250</v>
      </c>
      <c r="AT602" t="s">
        <v>3250</v>
      </c>
      <c r="AU602" t="s">
        <v>3250</v>
      </c>
      <c r="AV602" t="s">
        <v>3250</v>
      </c>
      <c r="AW602" t="s">
        <v>3250</v>
      </c>
      <c r="AX602" t="s">
        <v>3250</v>
      </c>
      <c r="AY602" t="s">
        <v>3250</v>
      </c>
      <c r="AZ602" t="s">
        <v>3250</v>
      </c>
      <c r="BA602" t="s">
        <v>3250</v>
      </c>
      <c r="BB602" t="s">
        <v>3250</v>
      </c>
      <c r="BC602" t="s">
        <v>3250</v>
      </c>
      <c r="BE602" t="s">
        <v>3250</v>
      </c>
      <c r="BF602" t="s">
        <v>3250</v>
      </c>
      <c r="BG602" t="s">
        <v>3250</v>
      </c>
      <c r="BH602" t="s">
        <v>3250</v>
      </c>
      <c r="BI602" t="s">
        <v>3250</v>
      </c>
      <c r="BK602" t="s">
        <v>3250</v>
      </c>
      <c r="BL602" t="s">
        <v>3250</v>
      </c>
      <c r="BM602" t="s">
        <v>3250</v>
      </c>
      <c r="BN602" t="s">
        <v>3250</v>
      </c>
      <c r="BP602">
        <v>13</v>
      </c>
      <c r="BQ602">
        <v>131</v>
      </c>
      <c r="BR602" t="s">
        <v>1487</v>
      </c>
      <c r="BS602" t="s">
        <v>1487</v>
      </c>
      <c r="BV602">
        <v>0</v>
      </c>
      <c r="BW602">
        <v>0</v>
      </c>
      <c r="BX602">
        <v>0</v>
      </c>
      <c r="BY602">
        <v>0</v>
      </c>
      <c r="BZ602">
        <v>0</v>
      </c>
      <c r="CA602">
        <v>0</v>
      </c>
      <c r="CB602">
        <v>0</v>
      </c>
      <c r="CC602">
        <v>0</v>
      </c>
      <c r="CD602">
        <v>0</v>
      </c>
      <c r="CE602" t="s">
        <v>3108</v>
      </c>
      <c r="CF602" t="s">
        <v>3108</v>
      </c>
      <c r="CG602" t="s">
        <v>3108</v>
      </c>
      <c r="CH602" t="s">
        <v>3108</v>
      </c>
    </row>
    <row r="603" spans="1:86" x14ac:dyDescent="0.2">
      <c r="A603" t="s">
        <v>4229</v>
      </c>
      <c r="B603" t="s">
        <v>4229</v>
      </c>
      <c r="C603">
        <v>40972</v>
      </c>
      <c r="D603">
        <v>88</v>
      </c>
      <c r="E603" t="s">
        <v>4015</v>
      </c>
      <c r="F603">
        <v>2900</v>
      </c>
      <c r="G603" t="s">
        <v>822</v>
      </c>
      <c r="H603" t="s">
        <v>3108</v>
      </c>
      <c r="I603" t="s">
        <v>3108</v>
      </c>
      <c r="J603">
        <v>2904</v>
      </c>
      <c r="K603" t="s">
        <v>1690</v>
      </c>
      <c r="L603">
        <v>2400</v>
      </c>
      <c r="M603" t="s">
        <v>1487</v>
      </c>
      <c r="N603">
        <v>2401</v>
      </c>
      <c r="O603" t="s">
        <v>1487</v>
      </c>
      <c r="P603" t="s">
        <v>3108</v>
      </c>
      <c r="Q603" t="s">
        <v>3249</v>
      </c>
      <c r="R603" t="s">
        <v>3249</v>
      </c>
      <c r="S603" t="s">
        <v>810</v>
      </c>
      <c r="T603" t="s">
        <v>2754</v>
      </c>
      <c r="U603" t="s">
        <v>3250</v>
      </c>
      <c r="V603" t="s">
        <v>3250</v>
      </c>
      <c r="W603" t="s">
        <v>3250</v>
      </c>
      <c r="X603" t="s">
        <v>3250</v>
      </c>
      <c r="Y603" t="s">
        <v>3250</v>
      </c>
      <c r="Z603" t="s">
        <v>3250</v>
      </c>
      <c r="AA603" t="s">
        <v>3108</v>
      </c>
      <c r="AB603" t="s">
        <v>3108</v>
      </c>
      <c r="AC603" t="s">
        <v>3250</v>
      </c>
      <c r="AD603" t="s">
        <v>3250</v>
      </c>
      <c r="AE603" t="s">
        <v>3250</v>
      </c>
      <c r="AF603" t="s">
        <v>3250</v>
      </c>
      <c r="AG603" t="s">
        <v>3250</v>
      </c>
      <c r="AH603" t="s">
        <v>3250</v>
      </c>
      <c r="AI603" t="s">
        <v>3250</v>
      </c>
      <c r="AJ603" t="s">
        <v>3250</v>
      </c>
      <c r="AL603" t="s">
        <v>3250</v>
      </c>
      <c r="AM603" t="s">
        <v>3250</v>
      </c>
      <c r="AN603" t="s">
        <v>3250</v>
      </c>
      <c r="AO603" t="s">
        <v>3250</v>
      </c>
      <c r="AS603" t="s">
        <v>3250</v>
      </c>
      <c r="AT603" t="s">
        <v>3250</v>
      </c>
      <c r="AU603" t="s">
        <v>3250</v>
      </c>
      <c r="AV603" t="s">
        <v>3250</v>
      </c>
      <c r="AW603" t="s">
        <v>3250</v>
      </c>
      <c r="AX603" t="s">
        <v>3250</v>
      </c>
      <c r="AY603" t="s">
        <v>3250</v>
      </c>
      <c r="AZ603" t="s">
        <v>3250</v>
      </c>
      <c r="BA603" t="s">
        <v>3250</v>
      </c>
      <c r="BB603" t="s">
        <v>3250</v>
      </c>
      <c r="BC603" t="s">
        <v>3250</v>
      </c>
      <c r="BE603" t="s">
        <v>3250</v>
      </c>
      <c r="BF603" t="s">
        <v>3250</v>
      </c>
      <c r="BG603" t="s">
        <v>3250</v>
      </c>
      <c r="BH603" t="s">
        <v>3250</v>
      </c>
      <c r="BI603" t="s">
        <v>3250</v>
      </c>
      <c r="BK603" t="s">
        <v>3250</v>
      </c>
      <c r="BL603" t="s">
        <v>3250</v>
      </c>
      <c r="BM603" t="s">
        <v>3250</v>
      </c>
      <c r="BN603" t="s">
        <v>3250</v>
      </c>
      <c r="BP603">
        <v>13</v>
      </c>
      <c r="BQ603">
        <v>131</v>
      </c>
      <c r="BR603" t="s">
        <v>1487</v>
      </c>
      <c r="BS603" t="s">
        <v>1487</v>
      </c>
      <c r="BV603">
        <v>0</v>
      </c>
      <c r="BW603">
        <v>0</v>
      </c>
      <c r="BX603">
        <v>0</v>
      </c>
      <c r="BY603">
        <v>0</v>
      </c>
      <c r="BZ603">
        <v>0</v>
      </c>
      <c r="CA603">
        <v>0</v>
      </c>
      <c r="CB603">
        <v>0</v>
      </c>
      <c r="CC603">
        <v>0</v>
      </c>
      <c r="CD603">
        <v>0</v>
      </c>
      <c r="CE603" t="s">
        <v>3108</v>
      </c>
      <c r="CF603" t="s">
        <v>3108</v>
      </c>
      <c r="CG603" t="s">
        <v>3108</v>
      </c>
      <c r="CH603" t="s">
        <v>3108</v>
      </c>
    </row>
    <row r="604" spans="1:86" x14ac:dyDescent="0.2">
      <c r="A604" t="s">
        <v>4230</v>
      </c>
      <c r="B604" t="s">
        <v>4230</v>
      </c>
      <c r="C604">
        <v>40973</v>
      </c>
      <c r="D604">
        <v>224</v>
      </c>
      <c r="E604" t="s">
        <v>4015</v>
      </c>
      <c r="F604">
        <v>2900</v>
      </c>
      <c r="G604" t="s">
        <v>822</v>
      </c>
      <c r="H604" t="s">
        <v>3108</v>
      </c>
      <c r="I604" t="s">
        <v>3108</v>
      </c>
      <c r="J604">
        <v>2904</v>
      </c>
      <c r="K604" t="s">
        <v>1690</v>
      </c>
      <c r="L604">
        <v>2400</v>
      </c>
      <c r="M604" t="s">
        <v>1487</v>
      </c>
      <c r="N604">
        <v>2401</v>
      </c>
      <c r="O604" t="s">
        <v>1487</v>
      </c>
      <c r="P604" t="s">
        <v>3108</v>
      </c>
      <c r="Q604" t="s">
        <v>3249</v>
      </c>
      <c r="R604" t="s">
        <v>3249</v>
      </c>
      <c r="S604" t="s">
        <v>810</v>
      </c>
      <c r="T604" t="s">
        <v>2754</v>
      </c>
      <c r="U604" t="s">
        <v>3250</v>
      </c>
      <c r="V604" t="s">
        <v>3250</v>
      </c>
      <c r="W604" t="s">
        <v>3250</v>
      </c>
      <c r="X604" t="s">
        <v>3250</v>
      </c>
      <c r="Y604" t="s">
        <v>3250</v>
      </c>
      <c r="Z604" t="s">
        <v>3250</v>
      </c>
      <c r="AA604" t="s">
        <v>3108</v>
      </c>
      <c r="AB604" t="s">
        <v>3108</v>
      </c>
      <c r="AC604" t="s">
        <v>3250</v>
      </c>
      <c r="AD604" t="s">
        <v>3250</v>
      </c>
      <c r="AE604" t="s">
        <v>3250</v>
      </c>
      <c r="AF604" t="s">
        <v>3250</v>
      </c>
      <c r="AG604" t="s">
        <v>3250</v>
      </c>
      <c r="AH604" t="s">
        <v>3250</v>
      </c>
      <c r="AI604" t="s">
        <v>3250</v>
      </c>
      <c r="AJ604" t="s">
        <v>3250</v>
      </c>
      <c r="AL604" t="s">
        <v>3250</v>
      </c>
      <c r="AM604" t="s">
        <v>3250</v>
      </c>
      <c r="AN604" t="s">
        <v>3250</v>
      </c>
      <c r="AO604" t="s">
        <v>3250</v>
      </c>
      <c r="AS604" t="s">
        <v>3250</v>
      </c>
      <c r="AT604" t="s">
        <v>3250</v>
      </c>
      <c r="AU604" t="s">
        <v>3250</v>
      </c>
      <c r="AV604" t="s">
        <v>3250</v>
      </c>
      <c r="AW604" t="s">
        <v>3250</v>
      </c>
      <c r="AX604" t="s">
        <v>3250</v>
      </c>
      <c r="AY604" t="s">
        <v>3250</v>
      </c>
      <c r="AZ604" t="s">
        <v>3250</v>
      </c>
      <c r="BA604" t="s">
        <v>3250</v>
      </c>
      <c r="BB604" t="s">
        <v>3250</v>
      </c>
      <c r="BC604" t="s">
        <v>3250</v>
      </c>
      <c r="BE604" t="s">
        <v>3250</v>
      </c>
      <c r="BF604" t="s">
        <v>3250</v>
      </c>
      <c r="BG604" t="s">
        <v>3250</v>
      </c>
      <c r="BH604" t="s">
        <v>3250</v>
      </c>
      <c r="BI604" t="s">
        <v>3250</v>
      </c>
      <c r="BK604" t="s">
        <v>3250</v>
      </c>
      <c r="BL604" t="s">
        <v>3250</v>
      </c>
      <c r="BM604" t="s">
        <v>3250</v>
      </c>
      <c r="BN604" t="s">
        <v>3250</v>
      </c>
      <c r="BP604">
        <v>13</v>
      </c>
      <c r="BQ604">
        <v>131</v>
      </c>
      <c r="BR604" t="s">
        <v>1487</v>
      </c>
      <c r="BS604" t="s">
        <v>1487</v>
      </c>
      <c r="BV604">
        <v>0</v>
      </c>
      <c r="BW604">
        <v>0</v>
      </c>
      <c r="BX604">
        <v>0</v>
      </c>
      <c r="BY604">
        <v>0</v>
      </c>
      <c r="BZ604">
        <v>0</v>
      </c>
      <c r="CA604">
        <v>0</v>
      </c>
      <c r="CB604">
        <v>0</v>
      </c>
      <c r="CC604">
        <v>0</v>
      </c>
      <c r="CD604">
        <v>0</v>
      </c>
      <c r="CE604" t="s">
        <v>3108</v>
      </c>
      <c r="CF604" t="s">
        <v>3108</v>
      </c>
      <c r="CG604" t="s">
        <v>3108</v>
      </c>
      <c r="CH604" t="s">
        <v>3108</v>
      </c>
    </row>
    <row r="605" spans="1:86" x14ac:dyDescent="0.2">
      <c r="A605" t="s">
        <v>4231</v>
      </c>
      <c r="B605" t="s">
        <v>4231</v>
      </c>
      <c r="C605">
        <v>40974</v>
      </c>
      <c r="D605">
        <v>225</v>
      </c>
      <c r="E605" t="s">
        <v>4232</v>
      </c>
      <c r="F605">
        <v>2900</v>
      </c>
      <c r="G605" t="s">
        <v>822</v>
      </c>
      <c r="H605" t="s">
        <v>3108</v>
      </c>
      <c r="I605" t="s">
        <v>3108</v>
      </c>
      <c r="J605">
        <v>2904</v>
      </c>
      <c r="K605" t="s">
        <v>1690</v>
      </c>
      <c r="L605">
        <v>2400</v>
      </c>
      <c r="M605" t="s">
        <v>1487</v>
      </c>
      <c r="N605">
        <v>2401</v>
      </c>
      <c r="O605" t="s">
        <v>1487</v>
      </c>
      <c r="P605" t="s">
        <v>3108</v>
      </c>
      <c r="Q605" t="s">
        <v>3249</v>
      </c>
      <c r="R605" t="s">
        <v>3249</v>
      </c>
      <c r="S605" t="s">
        <v>810</v>
      </c>
      <c r="T605" t="s">
        <v>2754</v>
      </c>
      <c r="U605" t="s">
        <v>3250</v>
      </c>
      <c r="V605" t="s">
        <v>3250</v>
      </c>
      <c r="W605" t="s">
        <v>3250</v>
      </c>
      <c r="X605" t="s">
        <v>3250</v>
      </c>
      <c r="Y605" t="s">
        <v>3250</v>
      </c>
      <c r="Z605" t="s">
        <v>3250</v>
      </c>
      <c r="AA605" t="s">
        <v>3108</v>
      </c>
      <c r="AB605" t="s">
        <v>3108</v>
      </c>
      <c r="AC605" t="s">
        <v>3250</v>
      </c>
      <c r="AD605" t="s">
        <v>3250</v>
      </c>
      <c r="AE605" t="s">
        <v>3250</v>
      </c>
      <c r="AF605" t="s">
        <v>3250</v>
      </c>
      <c r="AG605" t="s">
        <v>3250</v>
      </c>
      <c r="AH605" t="s">
        <v>3250</v>
      </c>
      <c r="AI605" t="s">
        <v>3250</v>
      </c>
      <c r="AJ605" t="s">
        <v>3250</v>
      </c>
      <c r="AL605" t="s">
        <v>3250</v>
      </c>
      <c r="AM605" t="s">
        <v>3250</v>
      </c>
      <c r="AN605" t="s">
        <v>3250</v>
      </c>
      <c r="AO605" t="s">
        <v>3250</v>
      </c>
      <c r="AS605" t="s">
        <v>3250</v>
      </c>
      <c r="AT605" t="s">
        <v>3250</v>
      </c>
      <c r="AU605" t="s">
        <v>3250</v>
      </c>
      <c r="AV605" t="s">
        <v>3250</v>
      </c>
      <c r="AW605" t="s">
        <v>3250</v>
      </c>
      <c r="AX605" t="s">
        <v>3250</v>
      </c>
      <c r="AY605" t="s">
        <v>3250</v>
      </c>
      <c r="AZ605" t="s">
        <v>3250</v>
      </c>
      <c r="BA605" t="s">
        <v>3250</v>
      </c>
      <c r="BB605" t="s">
        <v>3250</v>
      </c>
      <c r="BC605" t="s">
        <v>3250</v>
      </c>
      <c r="BE605" t="s">
        <v>3250</v>
      </c>
      <c r="BF605" t="s">
        <v>3250</v>
      </c>
      <c r="BG605" t="s">
        <v>3250</v>
      </c>
      <c r="BH605" t="s">
        <v>3250</v>
      </c>
      <c r="BI605" t="s">
        <v>3250</v>
      </c>
      <c r="BK605" t="s">
        <v>3250</v>
      </c>
      <c r="BL605" t="s">
        <v>3250</v>
      </c>
      <c r="BM605" t="s">
        <v>3250</v>
      </c>
      <c r="BN605" t="s">
        <v>3250</v>
      </c>
      <c r="BP605">
        <v>13</v>
      </c>
      <c r="BQ605">
        <v>131</v>
      </c>
      <c r="BR605" t="s">
        <v>1487</v>
      </c>
      <c r="BS605" t="s">
        <v>1487</v>
      </c>
      <c r="BV605">
        <v>0</v>
      </c>
      <c r="BW605">
        <v>0</v>
      </c>
      <c r="BX605">
        <v>100</v>
      </c>
      <c r="BY605">
        <v>0</v>
      </c>
      <c r="BZ605">
        <v>0</v>
      </c>
      <c r="CA605">
        <v>0</v>
      </c>
      <c r="CB605">
        <v>0</v>
      </c>
      <c r="CC605">
        <v>0</v>
      </c>
      <c r="CD605">
        <v>0</v>
      </c>
      <c r="CE605" t="s">
        <v>3108</v>
      </c>
      <c r="CF605" t="s">
        <v>3108</v>
      </c>
      <c r="CG605" t="s">
        <v>3108</v>
      </c>
      <c r="CH605" t="s">
        <v>3108</v>
      </c>
    </row>
    <row r="606" spans="1:86" x14ac:dyDescent="0.2">
      <c r="A606" t="s">
        <v>4233</v>
      </c>
      <c r="B606" t="s">
        <v>4233</v>
      </c>
      <c r="C606">
        <v>40975</v>
      </c>
      <c r="D606">
        <v>141</v>
      </c>
      <c r="E606" t="s">
        <v>4059</v>
      </c>
      <c r="F606">
        <v>2900</v>
      </c>
      <c r="G606" t="s">
        <v>822</v>
      </c>
      <c r="H606" t="s">
        <v>3108</v>
      </c>
      <c r="I606" t="s">
        <v>3108</v>
      </c>
      <c r="J606">
        <v>2904</v>
      </c>
      <c r="K606" t="s">
        <v>1690</v>
      </c>
      <c r="L606">
        <v>2100</v>
      </c>
      <c r="M606" t="s">
        <v>123</v>
      </c>
      <c r="N606">
        <v>2106</v>
      </c>
      <c r="O606" t="s">
        <v>2399</v>
      </c>
      <c r="P606" t="s">
        <v>3108</v>
      </c>
      <c r="Q606" t="s">
        <v>3249</v>
      </c>
      <c r="R606" t="s">
        <v>3249</v>
      </c>
      <c r="S606" t="s">
        <v>810</v>
      </c>
      <c r="T606" t="s">
        <v>2754</v>
      </c>
      <c r="U606" t="s">
        <v>3250</v>
      </c>
      <c r="V606" t="s">
        <v>3250</v>
      </c>
      <c r="W606" t="s">
        <v>3250</v>
      </c>
      <c r="X606" t="s">
        <v>3250</v>
      </c>
      <c r="Y606" t="s">
        <v>3250</v>
      </c>
      <c r="Z606" t="s">
        <v>3250</v>
      </c>
      <c r="AA606" t="s">
        <v>3108</v>
      </c>
      <c r="AB606" t="s">
        <v>3108</v>
      </c>
      <c r="AC606" t="s">
        <v>3250</v>
      </c>
      <c r="AD606" t="s">
        <v>3250</v>
      </c>
      <c r="AE606" t="s">
        <v>3250</v>
      </c>
      <c r="AF606" t="s">
        <v>3250</v>
      </c>
      <c r="AG606" t="s">
        <v>3250</v>
      </c>
      <c r="AH606" t="s">
        <v>3250</v>
      </c>
      <c r="AI606" t="s">
        <v>3250</v>
      </c>
      <c r="AJ606" t="s">
        <v>3250</v>
      </c>
      <c r="AL606" t="s">
        <v>3250</v>
      </c>
      <c r="AM606" t="s">
        <v>3250</v>
      </c>
      <c r="AN606" t="s">
        <v>3250</v>
      </c>
      <c r="AO606" t="s">
        <v>3250</v>
      </c>
      <c r="AS606" t="s">
        <v>3250</v>
      </c>
      <c r="AT606" t="s">
        <v>3250</v>
      </c>
      <c r="AU606" t="s">
        <v>3250</v>
      </c>
      <c r="AV606" t="s">
        <v>3250</v>
      </c>
      <c r="AW606" t="s">
        <v>3250</v>
      </c>
      <c r="AX606" t="s">
        <v>3250</v>
      </c>
      <c r="AY606" t="s">
        <v>3250</v>
      </c>
      <c r="AZ606" t="s">
        <v>3250</v>
      </c>
      <c r="BA606" t="s">
        <v>3250</v>
      </c>
      <c r="BB606" t="s">
        <v>3250</v>
      </c>
      <c r="BC606" t="s">
        <v>3250</v>
      </c>
      <c r="BE606" t="s">
        <v>3250</v>
      </c>
      <c r="BF606" t="s">
        <v>3250</v>
      </c>
      <c r="BG606" t="s">
        <v>3250</v>
      </c>
      <c r="BH606" t="s">
        <v>3250</v>
      </c>
      <c r="BI606" t="s">
        <v>3250</v>
      </c>
      <c r="BK606" t="s">
        <v>3250</v>
      </c>
      <c r="BL606" t="s">
        <v>3250</v>
      </c>
      <c r="BM606" t="s">
        <v>3250</v>
      </c>
      <c r="BN606" t="s">
        <v>3250</v>
      </c>
      <c r="BP606">
        <v>5</v>
      </c>
      <c r="BQ606">
        <v>53</v>
      </c>
      <c r="BR606" t="s">
        <v>2399</v>
      </c>
      <c r="BS606" t="s">
        <v>4136</v>
      </c>
      <c r="BV606">
        <v>1100</v>
      </c>
      <c r="BW606">
        <v>1584</v>
      </c>
      <c r="BX606">
        <v>1436</v>
      </c>
      <c r="BY606">
        <v>0</v>
      </c>
      <c r="BZ606">
        <v>0</v>
      </c>
      <c r="CA606">
        <v>0</v>
      </c>
      <c r="CB606">
        <v>0</v>
      </c>
      <c r="CC606">
        <v>0</v>
      </c>
      <c r="CD606">
        <v>0</v>
      </c>
      <c r="CE606" t="s">
        <v>3108</v>
      </c>
      <c r="CF606" t="s">
        <v>3108</v>
      </c>
      <c r="CG606" t="s">
        <v>3108</v>
      </c>
      <c r="CH606" t="s">
        <v>3108</v>
      </c>
    </row>
    <row r="607" spans="1:86" x14ac:dyDescent="0.2">
      <c r="A607" t="s">
        <v>4234</v>
      </c>
      <c r="B607" t="s">
        <v>4234</v>
      </c>
      <c r="C607">
        <v>40976</v>
      </c>
      <c r="D607">
        <v>142</v>
      </c>
      <c r="E607" t="s">
        <v>4061</v>
      </c>
      <c r="F607">
        <v>2900</v>
      </c>
      <c r="G607" t="s">
        <v>822</v>
      </c>
      <c r="H607" t="s">
        <v>3108</v>
      </c>
      <c r="I607" t="s">
        <v>3108</v>
      </c>
      <c r="J607">
        <v>2904</v>
      </c>
      <c r="K607" t="s">
        <v>1690</v>
      </c>
      <c r="L607">
        <v>2100</v>
      </c>
      <c r="M607" t="s">
        <v>123</v>
      </c>
      <c r="N607">
        <v>2106</v>
      </c>
      <c r="O607" t="s">
        <v>2399</v>
      </c>
      <c r="P607" t="s">
        <v>3108</v>
      </c>
      <c r="Q607" t="s">
        <v>3249</v>
      </c>
      <c r="R607" t="s">
        <v>3249</v>
      </c>
      <c r="S607" t="s">
        <v>810</v>
      </c>
      <c r="T607" t="s">
        <v>2754</v>
      </c>
      <c r="U607" t="s">
        <v>3250</v>
      </c>
      <c r="V607" t="s">
        <v>3250</v>
      </c>
      <c r="W607" t="s">
        <v>3250</v>
      </c>
      <c r="X607" t="s">
        <v>3250</v>
      </c>
      <c r="Y607" t="s">
        <v>3250</v>
      </c>
      <c r="Z607" t="s">
        <v>3250</v>
      </c>
      <c r="AA607" t="s">
        <v>3108</v>
      </c>
      <c r="AB607" t="s">
        <v>3108</v>
      </c>
      <c r="AC607" t="s">
        <v>3250</v>
      </c>
      <c r="AD607" t="s">
        <v>3250</v>
      </c>
      <c r="AE607" t="s">
        <v>3250</v>
      </c>
      <c r="AF607" t="s">
        <v>3250</v>
      </c>
      <c r="AG607" t="s">
        <v>3250</v>
      </c>
      <c r="AH607" t="s">
        <v>3250</v>
      </c>
      <c r="AI607" t="s">
        <v>3250</v>
      </c>
      <c r="AJ607" t="s">
        <v>3250</v>
      </c>
      <c r="AL607" t="s">
        <v>3250</v>
      </c>
      <c r="AM607" t="s">
        <v>3250</v>
      </c>
      <c r="AN607" t="s">
        <v>3250</v>
      </c>
      <c r="AO607" t="s">
        <v>3250</v>
      </c>
      <c r="AS607" t="s">
        <v>3250</v>
      </c>
      <c r="AT607" t="s">
        <v>3250</v>
      </c>
      <c r="AU607" t="s">
        <v>3250</v>
      </c>
      <c r="AV607" t="s">
        <v>3250</v>
      </c>
      <c r="AW607" t="s">
        <v>3250</v>
      </c>
      <c r="AX607" t="s">
        <v>3250</v>
      </c>
      <c r="AY607" t="s">
        <v>3250</v>
      </c>
      <c r="AZ607" t="s">
        <v>3250</v>
      </c>
      <c r="BA607" t="s">
        <v>3250</v>
      </c>
      <c r="BB607" t="s">
        <v>3250</v>
      </c>
      <c r="BC607" t="s">
        <v>3250</v>
      </c>
      <c r="BE607" t="s">
        <v>3250</v>
      </c>
      <c r="BF607" t="s">
        <v>3250</v>
      </c>
      <c r="BG607" t="s">
        <v>3250</v>
      </c>
      <c r="BH607" t="s">
        <v>3250</v>
      </c>
      <c r="BI607" t="s">
        <v>3250</v>
      </c>
      <c r="BK607" t="s">
        <v>3250</v>
      </c>
      <c r="BL607" t="s">
        <v>3250</v>
      </c>
      <c r="BM607" t="s">
        <v>3250</v>
      </c>
      <c r="BN607" t="s">
        <v>3250</v>
      </c>
      <c r="BP607">
        <v>5</v>
      </c>
      <c r="BQ607">
        <v>53</v>
      </c>
      <c r="BR607" t="s">
        <v>2399</v>
      </c>
      <c r="BS607" t="s">
        <v>4136</v>
      </c>
      <c r="BV607">
        <v>75949</v>
      </c>
      <c r="BW607">
        <v>43244</v>
      </c>
      <c r="BX607">
        <v>56921</v>
      </c>
      <c r="BY607">
        <v>0</v>
      </c>
      <c r="BZ607">
        <v>0</v>
      </c>
      <c r="CA607">
        <v>0</v>
      </c>
      <c r="CB607">
        <v>0</v>
      </c>
      <c r="CC607">
        <v>0</v>
      </c>
      <c r="CD607">
        <v>49027</v>
      </c>
      <c r="CE607" t="s">
        <v>3108</v>
      </c>
      <c r="CF607" t="s">
        <v>3108</v>
      </c>
      <c r="CG607" t="s">
        <v>3108</v>
      </c>
      <c r="CH607" t="s">
        <v>3108</v>
      </c>
    </row>
    <row r="608" spans="1:86" x14ac:dyDescent="0.2">
      <c r="A608" t="s">
        <v>4235</v>
      </c>
      <c r="B608" t="s">
        <v>4235</v>
      </c>
      <c r="C608">
        <v>40977</v>
      </c>
      <c r="D608">
        <v>143</v>
      </c>
      <c r="E608" t="s">
        <v>4063</v>
      </c>
      <c r="F608">
        <v>2000</v>
      </c>
      <c r="G608" t="s">
        <v>408</v>
      </c>
      <c r="H608" t="s">
        <v>4064</v>
      </c>
      <c r="I608" t="s">
        <v>1340</v>
      </c>
      <c r="J608">
        <v>2009</v>
      </c>
      <c r="K608" t="s">
        <v>1340</v>
      </c>
      <c r="L608">
        <v>2100</v>
      </c>
      <c r="M608" t="s">
        <v>123</v>
      </c>
      <c r="N608">
        <v>2106</v>
      </c>
      <c r="O608" t="s">
        <v>2399</v>
      </c>
      <c r="P608" t="s">
        <v>3108</v>
      </c>
      <c r="Q608" t="s">
        <v>3249</v>
      </c>
      <c r="R608" t="s">
        <v>3249</v>
      </c>
      <c r="S608" t="s">
        <v>810</v>
      </c>
      <c r="T608" t="s">
        <v>2754</v>
      </c>
      <c r="U608" t="s">
        <v>3250</v>
      </c>
      <c r="V608" t="s">
        <v>3250</v>
      </c>
      <c r="W608" t="s">
        <v>3250</v>
      </c>
      <c r="X608" t="s">
        <v>3250</v>
      </c>
      <c r="Y608" t="s">
        <v>3250</v>
      </c>
      <c r="Z608" t="s">
        <v>3250</v>
      </c>
      <c r="AA608" t="s">
        <v>3108</v>
      </c>
      <c r="AB608" t="s">
        <v>3108</v>
      </c>
      <c r="AC608" t="s">
        <v>3250</v>
      </c>
      <c r="AD608" t="s">
        <v>3250</v>
      </c>
      <c r="AE608" t="s">
        <v>3250</v>
      </c>
      <c r="AF608" t="s">
        <v>3250</v>
      </c>
      <c r="AG608" t="s">
        <v>3250</v>
      </c>
      <c r="AH608" t="s">
        <v>3250</v>
      </c>
      <c r="AI608" t="s">
        <v>3250</v>
      </c>
      <c r="AJ608" t="s">
        <v>3250</v>
      </c>
      <c r="AL608" t="s">
        <v>3250</v>
      </c>
      <c r="AM608" t="s">
        <v>3250</v>
      </c>
      <c r="AN608" t="s">
        <v>3250</v>
      </c>
      <c r="AO608" t="s">
        <v>3250</v>
      </c>
      <c r="AS608" t="s">
        <v>3250</v>
      </c>
      <c r="AT608" t="s">
        <v>3250</v>
      </c>
      <c r="AU608" t="s">
        <v>3250</v>
      </c>
      <c r="AV608" t="s">
        <v>3250</v>
      </c>
      <c r="AW608" t="s">
        <v>3250</v>
      </c>
      <c r="AX608" t="s">
        <v>3250</v>
      </c>
      <c r="AY608" t="s">
        <v>3250</v>
      </c>
      <c r="AZ608" t="s">
        <v>3250</v>
      </c>
      <c r="BA608" t="s">
        <v>3250</v>
      </c>
      <c r="BB608" t="s">
        <v>3250</v>
      </c>
      <c r="BC608" t="s">
        <v>3250</v>
      </c>
      <c r="BE608" t="s">
        <v>3250</v>
      </c>
      <c r="BF608" t="s">
        <v>3250</v>
      </c>
      <c r="BG608" t="s">
        <v>3250</v>
      </c>
      <c r="BH608" t="s">
        <v>3250</v>
      </c>
      <c r="BI608" t="s">
        <v>3250</v>
      </c>
      <c r="BK608" t="s">
        <v>3250</v>
      </c>
      <c r="BL608" t="s">
        <v>3250</v>
      </c>
      <c r="BM608" t="s">
        <v>3250</v>
      </c>
      <c r="BN608" t="s">
        <v>3250</v>
      </c>
      <c r="BO608" t="s">
        <v>2916</v>
      </c>
      <c r="BP608">
        <v>5</v>
      </c>
      <c r="BQ608">
        <v>53</v>
      </c>
      <c r="BR608" t="s">
        <v>2399</v>
      </c>
      <c r="BS608" t="s">
        <v>4136</v>
      </c>
      <c r="BV608">
        <v>3399</v>
      </c>
      <c r="BW608">
        <v>131</v>
      </c>
      <c r="BX608">
        <v>6930</v>
      </c>
      <c r="BY608">
        <v>1785</v>
      </c>
      <c r="BZ608">
        <v>1785</v>
      </c>
      <c r="CA608">
        <v>1910</v>
      </c>
      <c r="CB608">
        <v>2044</v>
      </c>
      <c r="CC608">
        <v>2187</v>
      </c>
      <c r="CD608">
        <v>11330</v>
      </c>
      <c r="CE608" t="s">
        <v>3108</v>
      </c>
      <c r="CF608" t="s">
        <v>3108</v>
      </c>
      <c r="CG608" t="s">
        <v>3108</v>
      </c>
      <c r="CH608" t="s">
        <v>3108</v>
      </c>
    </row>
    <row r="609" spans="1:86" x14ac:dyDescent="0.2">
      <c r="A609" t="s">
        <v>4236</v>
      </c>
      <c r="B609" t="s">
        <v>4236</v>
      </c>
      <c r="C609">
        <v>40978</v>
      </c>
      <c r="D609">
        <v>144</v>
      </c>
      <c r="E609" t="s">
        <v>4066</v>
      </c>
      <c r="F609">
        <v>2000</v>
      </c>
      <c r="G609" t="s">
        <v>408</v>
      </c>
      <c r="H609" t="s">
        <v>4067</v>
      </c>
      <c r="I609" t="s">
        <v>650</v>
      </c>
      <c r="J609">
        <v>2003</v>
      </c>
      <c r="K609" t="s">
        <v>650</v>
      </c>
      <c r="L609">
        <v>2100</v>
      </c>
      <c r="M609" t="s">
        <v>123</v>
      </c>
      <c r="N609">
        <v>2106</v>
      </c>
      <c r="O609" t="s">
        <v>2399</v>
      </c>
      <c r="P609" t="s">
        <v>3108</v>
      </c>
      <c r="Q609" t="s">
        <v>3249</v>
      </c>
      <c r="R609" t="s">
        <v>3249</v>
      </c>
      <c r="S609" t="s">
        <v>810</v>
      </c>
      <c r="T609" t="s">
        <v>2754</v>
      </c>
      <c r="U609" t="s">
        <v>3250</v>
      </c>
      <c r="V609" t="s">
        <v>3250</v>
      </c>
      <c r="W609" t="s">
        <v>3250</v>
      </c>
      <c r="X609" t="s">
        <v>3250</v>
      </c>
      <c r="Y609" t="s">
        <v>3250</v>
      </c>
      <c r="Z609" t="s">
        <v>3250</v>
      </c>
      <c r="AA609" t="s">
        <v>3108</v>
      </c>
      <c r="AB609" t="s">
        <v>3108</v>
      </c>
      <c r="AC609" t="s">
        <v>3250</v>
      </c>
      <c r="AD609" t="s">
        <v>3250</v>
      </c>
      <c r="AE609" t="s">
        <v>3250</v>
      </c>
      <c r="AF609" t="s">
        <v>3250</v>
      </c>
      <c r="AG609" t="s">
        <v>3250</v>
      </c>
      <c r="AH609" t="s">
        <v>3250</v>
      </c>
      <c r="AI609" t="s">
        <v>3250</v>
      </c>
      <c r="AJ609" t="s">
        <v>3250</v>
      </c>
      <c r="AL609" t="s">
        <v>3250</v>
      </c>
      <c r="AM609" t="s">
        <v>3250</v>
      </c>
      <c r="AN609" t="s">
        <v>3250</v>
      </c>
      <c r="AO609" t="s">
        <v>3250</v>
      </c>
      <c r="AS609" t="s">
        <v>3250</v>
      </c>
      <c r="AT609" t="s">
        <v>3250</v>
      </c>
      <c r="AU609" t="s">
        <v>3250</v>
      </c>
      <c r="AV609" t="s">
        <v>3250</v>
      </c>
      <c r="AW609" t="s">
        <v>3250</v>
      </c>
      <c r="AX609" t="s">
        <v>3250</v>
      </c>
      <c r="AY609" t="s">
        <v>3250</v>
      </c>
      <c r="AZ609" t="s">
        <v>3250</v>
      </c>
      <c r="BA609" t="s">
        <v>3250</v>
      </c>
      <c r="BB609" t="s">
        <v>3250</v>
      </c>
      <c r="BC609" t="s">
        <v>3250</v>
      </c>
      <c r="BE609" t="s">
        <v>3250</v>
      </c>
      <c r="BF609" t="s">
        <v>3250</v>
      </c>
      <c r="BG609" t="s">
        <v>3250</v>
      </c>
      <c r="BH609" t="s">
        <v>3250</v>
      </c>
      <c r="BI609" t="s">
        <v>3250</v>
      </c>
      <c r="BK609" t="s">
        <v>3250</v>
      </c>
      <c r="BL609" t="s">
        <v>3250</v>
      </c>
      <c r="BM609" t="s">
        <v>3250</v>
      </c>
      <c r="BN609" t="s">
        <v>3250</v>
      </c>
      <c r="BO609" t="s">
        <v>2916</v>
      </c>
      <c r="BP609">
        <v>5</v>
      </c>
      <c r="BQ609">
        <v>53</v>
      </c>
      <c r="BR609" t="s">
        <v>2399</v>
      </c>
      <c r="BS609" t="s">
        <v>4136</v>
      </c>
      <c r="BV609">
        <v>345920</v>
      </c>
      <c r="BW609">
        <v>243430</v>
      </c>
      <c r="BX609">
        <v>224581</v>
      </c>
      <c r="BY609">
        <v>361765</v>
      </c>
      <c r="BZ609">
        <v>361765</v>
      </c>
      <c r="CA609">
        <v>387088</v>
      </c>
      <c r="CB609">
        <v>414184</v>
      </c>
      <c r="CC609">
        <v>443177</v>
      </c>
      <c r="CD609">
        <v>551734</v>
      </c>
      <c r="CE609" t="s">
        <v>3108</v>
      </c>
      <c r="CF609" t="s">
        <v>3108</v>
      </c>
      <c r="CG609" t="s">
        <v>3108</v>
      </c>
      <c r="CH609" t="s">
        <v>3108</v>
      </c>
    </row>
    <row r="610" spans="1:86" x14ac:dyDescent="0.2">
      <c r="A610" t="s">
        <v>4237</v>
      </c>
      <c r="B610" t="s">
        <v>4237</v>
      </c>
      <c r="C610">
        <v>40979</v>
      </c>
      <c r="D610">
        <v>145</v>
      </c>
      <c r="E610" t="s">
        <v>4069</v>
      </c>
      <c r="F610">
        <v>2000</v>
      </c>
      <c r="G610" t="s">
        <v>408</v>
      </c>
      <c r="H610" t="s">
        <v>4070</v>
      </c>
      <c r="I610" t="s">
        <v>1792</v>
      </c>
      <c r="J610">
        <v>2002</v>
      </c>
      <c r="K610" t="s">
        <v>1792</v>
      </c>
      <c r="L610">
        <v>2100</v>
      </c>
      <c r="M610" t="s">
        <v>123</v>
      </c>
      <c r="N610">
        <v>2106</v>
      </c>
      <c r="O610" t="s">
        <v>2399</v>
      </c>
      <c r="P610" t="s">
        <v>3108</v>
      </c>
      <c r="Q610" t="s">
        <v>3249</v>
      </c>
      <c r="R610" t="s">
        <v>3249</v>
      </c>
      <c r="S610" t="s">
        <v>810</v>
      </c>
      <c r="T610" t="s">
        <v>2754</v>
      </c>
      <c r="U610" t="s">
        <v>3250</v>
      </c>
      <c r="V610" t="s">
        <v>3250</v>
      </c>
      <c r="W610" t="s">
        <v>3250</v>
      </c>
      <c r="X610" t="s">
        <v>3250</v>
      </c>
      <c r="Y610" t="s">
        <v>3250</v>
      </c>
      <c r="Z610" t="s">
        <v>3250</v>
      </c>
      <c r="AA610" t="s">
        <v>3108</v>
      </c>
      <c r="AB610" t="s">
        <v>3108</v>
      </c>
      <c r="AC610" t="s">
        <v>3250</v>
      </c>
      <c r="AD610" t="s">
        <v>3250</v>
      </c>
      <c r="AE610" t="s">
        <v>3250</v>
      </c>
      <c r="AF610" t="s">
        <v>3250</v>
      </c>
      <c r="AG610" t="s">
        <v>3250</v>
      </c>
      <c r="AH610" t="s">
        <v>3250</v>
      </c>
      <c r="AI610" t="s">
        <v>3250</v>
      </c>
      <c r="AJ610" t="s">
        <v>3250</v>
      </c>
      <c r="AL610" t="s">
        <v>3250</v>
      </c>
      <c r="AM610" t="s">
        <v>3250</v>
      </c>
      <c r="AN610" t="s">
        <v>3250</v>
      </c>
      <c r="AO610" t="s">
        <v>3250</v>
      </c>
      <c r="AS610" t="s">
        <v>3250</v>
      </c>
      <c r="AT610" t="s">
        <v>3250</v>
      </c>
      <c r="AU610" t="s">
        <v>3250</v>
      </c>
      <c r="AV610" t="s">
        <v>3250</v>
      </c>
      <c r="AW610" t="s">
        <v>3250</v>
      </c>
      <c r="AX610" t="s">
        <v>3250</v>
      </c>
      <c r="AY610" t="s">
        <v>3250</v>
      </c>
      <c r="AZ610" t="s">
        <v>3250</v>
      </c>
      <c r="BA610" t="s">
        <v>3250</v>
      </c>
      <c r="BB610" t="s">
        <v>3250</v>
      </c>
      <c r="BC610" t="s">
        <v>3250</v>
      </c>
      <c r="BE610" t="s">
        <v>3250</v>
      </c>
      <c r="BF610" t="s">
        <v>3250</v>
      </c>
      <c r="BG610" t="s">
        <v>3250</v>
      </c>
      <c r="BH610" t="s">
        <v>3250</v>
      </c>
      <c r="BI610" t="s">
        <v>3250</v>
      </c>
      <c r="BK610" t="s">
        <v>3250</v>
      </c>
      <c r="BL610" t="s">
        <v>3250</v>
      </c>
      <c r="BM610" t="s">
        <v>3250</v>
      </c>
      <c r="BN610" t="s">
        <v>3250</v>
      </c>
      <c r="BO610" t="s">
        <v>2916</v>
      </c>
      <c r="BP610">
        <v>5</v>
      </c>
      <c r="BQ610">
        <v>53</v>
      </c>
      <c r="BR610" t="s">
        <v>2399</v>
      </c>
      <c r="BS610" t="s">
        <v>4136</v>
      </c>
      <c r="BV610">
        <v>879062</v>
      </c>
      <c r="BW610">
        <v>628381</v>
      </c>
      <c r="BX610">
        <v>597327</v>
      </c>
      <c r="BY610">
        <v>813971</v>
      </c>
      <c r="BZ610">
        <v>813971</v>
      </c>
      <c r="CA610">
        <v>870949</v>
      </c>
      <c r="CB610">
        <v>931915</v>
      </c>
      <c r="CC610">
        <v>997149</v>
      </c>
      <c r="CD610">
        <v>1452310</v>
      </c>
      <c r="CE610" t="s">
        <v>3108</v>
      </c>
      <c r="CF610" t="s">
        <v>3108</v>
      </c>
      <c r="CG610" t="s">
        <v>3108</v>
      </c>
      <c r="CH610" t="s">
        <v>3108</v>
      </c>
    </row>
    <row r="611" spans="1:86" x14ac:dyDescent="0.2">
      <c r="A611" t="s">
        <v>4238</v>
      </c>
      <c r="B611" t="s">
        <v>4238</v>
      </c>
      <c r="C611">
        <v>40980</v>
      </c>
      <c r="D611">
        <v>146</v>
      </c>
      <c r="E611" t="s">
        <v>4072</v>
      </c>
      <c r="F611">
        <v>2000</v>
      </c>
      <c r="G611" t="s">
        <v>408</v>
      </c>
      <c r="H611" t="s">
        <v>4070</v>
      </c>
      <c r="I611" t="s">
        <v>1792</v>
      </c>
      <c r="J611">
        <v>2002</v>
      </c>
      <c r="K611" t="s">
        <v>1792</v>
      </c>
      <c r="L611">
        <v>2100</v>
      </c>
      <c r="M611" t="s">
        <v>123</v>
      </c>
      <c r="N611">
        <v>2106</v>
      </c>
      <c r="O611" t="s">
        <v>2399</v>
      </c>
      <c r="P611" t="s">
        <v>3108</v>
      </c>
      <c r="Q611" t="s">
        <v>3249</v>
      </c>
      <c r="R611" t="s">
        <v>3249</v>
      </c>
      <c r="S611" t="s">
        <v>810</v>
      </c>
      <c r="T611" t="s">
        <v>2754</v>
      </c>
      <c r="U611" t="s">
        <v>3250</v>
      </c>
      <c r="V611" t="s">
        <v>3250</v>
      </c>
      <c r="W611" t="s">
        <v>3250</v>
      </c>
      <c r="X611" t="s">
        <v>3250</v>
      </c>
      <c r="Y611" t="s">
        <v>3250</v>
      </c>
      <c r="Z611" t="s">
        <v>3250</v>
      </c>
      <c r="AA611" t="s">
        <v>3108</v>
      </c>
      <c r="AB611" t="s">
        <v>3108</v>
      </c>
      <c r="AC611" t="s">
        <v>3250</v>
      </c>
      <c r="AD611" t="s">
        <v>3250</v>
      </c>
      <c r="AE611" t="s">
        <v>3250</v>
      </c>
      <c r="AF611" t="s">
        <v>3250</v>
      </c>
      <c r="AG611" t="s">
        <v>3250</v>
      </c>
      <c r="AH611" t="s">
        <v>3250</v>
      </c>
      <c r="AI611" t="s">
        <v>3250</v>
      </c>
      <c r="AJ611" t="s">
        <v>3250</v>
      </c>
      <c r="AL611" t="s">
        <v>3250</v>
      </c>
      <c r="AM611" t="s">
        <v>3250</v>
      </c>
      <c r="AN611" t="s">
        <v>3250</v>
      </c>
      <c r="AO611" t="s">
        <v>3250</v>
      </c>
      <c r="AS611" t="s">
        <v>3250</v>
      </c>
      <c r="AT611" t="s">
        <v>3250</v>
      </c>
      <c r="AU611" t="s">
        <v>3250</v>
      </c>
      <c r="AV611" t="s">
        <v>3250</v>
      </c>
      <c r="AW611" t="s">
        <v>3250</v>
      </c>
      <c r="AX611" t="s">
        <v>3250</v>
      </c>
      <c r="AY611" t="s">
        <v>3250</v>
      </c>
      <c r="AZ611" t="s">
        <v>3250</v>
      </c>
      <c r="BA611" t="s">
        <v>3250</v>
      </c>
      <c r="BB611" t="s">
        <v>3250</v>
      </c>
      <c r="BC611" t="s">
        <v>3250</v>
      </c>
      <c r="BE611" t="s">
        <v>3250</v>
      </c>
      <c r="BF611" t="s">
        <v>3250</v>
      </c>
      <c r="BG611" t="s">
        <v>3250</v>
      </c>
      <c r="BH611" t="s">
        <v>3250</v>
      </c>
      <c r="BI611" t="s">
        <v>3250</v>
      </c>
      <c r="BK611" t="s">
        <v>3250</v>
      </c>
      <c r="BL611" t="s">
        <v>3250</v>
      </c>
      <c r="BM611" t="s">
        <v>3250</v>
      </c>
      <c r="BN611" t="s">
        <v>3250</v>
      </c>
      <c r="BO611" t="s">
        <v>2916</v>
      </c>
      <c r="BP611">
        <v>5</v>
      </c>
      <c r="BQ611">
        <v>53</v>
      </c>
      <c r="BR611" t="s">
        <v>2399</v>
      </c>
      <c r="BS611" t="s">
        <v>4136</v>
      </c>
      <c r="BV611">
        <v>51148</v>
      </c>
      <c r="BW611">
        <v>29003</v>
      </c>
      <c r="BX611">
        <v>43435</v>
      </c>
      <c r="BY611">
        <v>45221</v>
      </c>
      <c r="BZ611">
        <v>45221</v>
      </c>
      <c r="CA611">
        <v>48386</v>
      </c>
      <c r="CB611">
        <v>51773</v>
      </c>
      <c r="CC611">
        <v>55397</v>
      </c>
      <c r="CD611">
        <v>12181</v>
      </c>
      <c r="CE611" t="s">
        <v>3108</v>
      </c>
      <c r="CF611" t="s">
        <v>3108</v>
      </c>
      <c r="CG611" t="s">
        <v>3108</v>
      </c>
      <c r="CH611" t="s">
        <v>3108</v>
      </c>
    </row>
    <row r="612" spans="1:86" x14ac:dyDescent="0.2">
      <c r="A612" t="s">
        <v>4239</v>
      </c>
      <c r="B612" t="s">
        <v>4239</v>
      </c>
      <c r="C612">
        <v>40981</v>
      </c>
      <c r="D612">
        <v>147</v>
      </c>
      <c r="E612" t="s">
        <v>4074</v>
      </c>
      <c r="F612">
        <v>2000</v>
      </c>
      <c r="G612" t="s">
        <v>408</v>
      </c>
      <c r="H612" t="s">
        <v>4075</v>
      </c>
      <c r="I612" t="s">
        <v>946</v>
      </c>
      <c r="J612">
        <v>2009</v>
      </c>
      <c r="K612" t="s">
        <v>1340</v>
      </c>
      <c r="L612">
        <v>2100</v>
      </c>
      <c r="M612" t="s">
        <v>123</v>
      </c>
      <c r="N612">
        <v>2106</v>
      </c>
      <c r="O612" t="s">
        <v>2399</v>
      </c>
      <c r="P612" t="s">
        <v>3108</v>
      </c>
      <c r="Q612" t="s">
        <v>3249</v>
      </c>
      <c r="R612" t="s">
        <v>3249</v>
      </c>
      <c r="S612" t="s">
        <v>810</v>
      </c>
      <c r="T612" t="s">
        <v>2754</v>
      </c>
      <c r="U612" t="s">
        <v>3250</v>
      </c>
      <c r="V612" t="s">
        <v>3250</v>
      </c>
      <c r="W612" t="s">
        <v>3250</v>
      </c>
      <c r="X612" t="s">
        <v>3250</v>
      </c>
      <c r="Y612" t="s">
        <v>3250</v>
      </c>
      <c r="Z612" t="s">
        <v>3250</v>
      </c>
      <c r="AA612" t="s">
        <v>3108</v>
      </c>
      <c r="AB612" t="s">
        <v>3108</v>
      </c>
      <c r="AC612" t="s">
        <v>3250</v>
      </c>
      <c r="AD612" t="s">
        <v>3250</v>
      </c>
      <c r="AE612" t="s">
        <v>3250</v>
      </c>
      <c r="AF612" t="s">
        <v>3250</v>
      </c>
      <c r="AG612" t="s">
        <v>3250</v>
      </c>
      <c r="AH612" t="s">
        <v>3250</v>
      </c>
      <c r="AI612" t="s">
        <v>3250</v>
      </c>
      <c r="AJ612" t="s">
        <v>3250</v>
      </c>
      <c r="AL612" t="s">
        <v>3250</v>
      </c>
      <c r="AM612" t="s">
        <v>3250</v>
      </c>
      <c r="AN612" t="s">
        <v>3250</v>
      </c>
      <c r="AO612" t="s">
        <v>3250</v>
      </c>
      <c r="AS612" t="s">
        <v>3250</v>
      </c>
      <c r="AT612" t="s">
        <v>3250</v>
      </c>
      <c r="AU612" t="s">
        <v>3250</v>
      </c>
      <c r="AV612" t="s">
        <v>3250</v>
      </c>
      <c r="AW612" t="s">
        <v>3250</v>
      </c>
      <c r="AX612" t="s">
        <v>3250</v>
      </c>
      <c r="AY612" t="s">
        <v>3250</v>
      </c>
      <c r="AZ612" t="s">
        <v>3250</v>
      </c>
      <c r="BA612" t="s">
        <v>3250</v>
      </c>
      <c r="BB612" t="s">
        <v>3250</v>
      </c>
      <c r="BC612" t="s">
        <v>3250</v>
      </c>
      <c r="BE612" t="s">
        <v>3250</v>
      </c>
      <c r="BF612" t="s">
        <v>3250</v>
      </c>
      <c r="BG612" t="s">
        <v>3250</v>
      </c>
      <c r="BH612" t="s">
        <v>3250</v>
      </c>
      <c r="BI612" t="s">
        <v>3250</v>
      </c>
      <c r="BK612" t="s">
        <v>3250</v>
      </c>
      <c r="BL612" t="s">
        <v>3250</v>
      </c>
      <c r="BM612" t="s">
        <v>3250</v>
      </c>
      <c r="BN612" t="s">
        <v>3250</v>
      </c>
      <c r="BO612" t="s">
        <v>2916</v>
      </c>
      <c r="BP612">
        <v>5</v>
      </c>
      <c r="BQ612">
        <v>53</v>
      </c>
      <c r="BR612" t="s">
        <v>2399</v>
      </c>
      <c r="BS612" t="s">
        <v>4136</v>
      </c>
      <c r="BV612">
        <v>4315</v>
      </c>
      <c r="BW612">
        <v>0</v>
      </c>
      <c r="BX612">
        <v>2880</v>
      </c>
      <c r="BY612">
        <v>0</v>
      </c>
      <c r="BZ612">
        <v>0</v>
      </c>
      <c r="CA612">
        <v>0</v>
      </c>
      <c r="CB612">
        <v>0</v>
      </c>
      <c r="CC612">
        <v>0</v>
      </c>
      <c r="CD612">
        <v>110300</v>
      </c>
      <c r="CE612" t="s">
        <v>3108</v>
      </c>
      <c r="CF612" t="s">
        <v>3108</v>
      </c>
      <c r="CG612" t="s">
        <v>3108</v>
      </c>
      <c r="CH612" t="s">
        <v>3108</v>
      </c>
    </row>
    <row r="613" spans="1:86" x14ac:dyDescent="0.2">
      <c r="A613" t="s">
        <v>4240</v>
      </c>
      <c r="B613" t="s">
        <v>4240</v>
      </c>
      <c r="C613">
        <v>40982</v>
      </c>
      <c r="D613">
        <v>148</v>
      </c>
      <c r="E613" t="s">
        <v>4077</v>
      </c>
      <c r="F613">
        <v>2000</v>
      </c>
      <c r="G613" t="s">
        <v>408</v>
      </c>
      <c r="H613" t="s">
        <v>4075</v>
      </c>
      <c r="I613" t="s">
        <v>946</v>
      </c>
      <c r="J613">
        <v>2009</v>
      </c>
      <c r="K613" t="s">
        <v>1340</v>
      </c>
      <c r="L613">
        <v>2100</v>
      </c>
      <c r="M613" t="s">
        <v>123</v>
      </c>
      <c r="N613">
        <v>2106</v>
      </c>
      <c r="O613" t="s">
        <v>2399</v>
      </c>
      <c r="P613" t="s">
        <v>3108</v>
      </c>
      <c r="Q613" t="s">
        <v>3249</v>
      </c>
      <c r="R613" t="s">
        <v>3249</v>
      </c>
      <c r="S613" t="s">
        <v>810</v>
      </c>
      <c r="T613" t="s">
        <v>2754</v>
      </c>
      <c r="U613" t="s">
        <v>3250</v>
      </c>
      <c r="V613" t="s">
        <v>3250</v>
      </c>
      <c r="W613" t="s">
        <v>3250</v>
      </c>
      <c r="X613" t="s">
        <v>3250</v>
      </c>
      <c r="Y613" t="s">
        <v>3250</v>
      </c>
      <c r="Z613" t="s">
        <v>3250</v>
      </c>
      <c r="AA613" t="s">
        <v>3108</v>
      </c>
      <c r="AB613" t="s">
        <v>3108</v>
      </c>
      <c r="AC613" t="s">
        <v>3250</v>
      </c>
      <c r="AD613" t="s">
        <v>3250</v>
      </c>
      <c r="AE613" t="s">
        <v>3250</v>
      </c>
      <c r="AF613" t="s">
        <v>3250</v>
      </c>
      <c r="AG613" t="s">
        <v>3250</v>
      </c>
      <c r="AH613" t="s">
        <v>3250</v>
      </c>
      <c r="AI613" t="s">
        <v>3250</v>
      </c>
      <c r="AJ613" t="s">
        <v>3250</v>
      </c>
      <c r="AL613" t="s">
        <v>3250</v>
      </c>
      <c r="AM613" t="s">
        <v>3250</v>
      </c>
      <c r="AN613" t="s">
        <v>3250</v>
      </c>
      <c r="AO613" t="s">
        <v>3250</v>
      </c>
      <c r="AS613" t="s">
        <v>3250</v>
      </c>
      <c r="AT613" t="s">
        <v>3250</v>
      </c>
      <c r="AU613" t="s">
        <v>3250</v>
      </c>
      <c r="AV613" t="s">
        <v>3250</v>
      </c>
      <c r="AW613" t="s">
        <v>3250</v>
      </c>
      <c r="AX613" t="s">
        <v>3250</v>
      </c>
      <c r="AY613" t="s">
        <v>3250</v>
      </c>
      <c r="AZ613" t="s">
        <v>3250</v>
      </c>
      <c r="BA613" t="s">
        <v>3250</v>
      </c>
      <c r="BB613" t="s">
        <v>3250</v>
      </c>
      <c r="BC613" t="s">
        <v>3250</v>
      </c>
      <c r="BE613" t="s">
        <v>3250</v>
      </c>
      <c r="BF613" t="s">
        <v>3250</v>
      </c>
      <c r="BG613" t="s">
        <v>3250</v>
      </c>
      <c r="BH613" t="s">
        <v>3250</v>
      </c>
      <c r="BI613" t="s">
        <v>3250</v>
      </c>
      <c r="BK613" t="s">
        <v>3250</v>
      </c>
      <c r="BL613" t="s">
        <v>3250</v>
      </c>
      <c r="BM613" t="s">
        <v>3250</v>
      </c>
      <c r="BN613" t="s">
        <v>3250</v>
      </c>
      <c r="BO613" t="s">
        <v>2916</v>
      </c>
      <c r="BP613">
        <v>5</v>
      </c>
      <c r="BQ613">
        <v>53</v>
      </c>
      <c r="BR613" t="s">
        <v>2399</v>
      </c>
      <c r="BS613" t="s">
        <v>4136</v>
      </c>
      <c r="BV613">
        <v>40547</v>
      </c>
      <c r="BW613">
        <v>103118</v>
      </c>
      <c r="BX613">
        <v>336830</v>
      </c>
      <c r="BY613">
        <v>150347</v>
      </c>
      <c r="BZ613">
        <v>150347</v>
      </c>
      <c r="CA613">
        <v>160871</v>
      </c>
      <c r="CB613">
        <v>172132</v>
      </c>
      <c r="CC613">
        <v>184181</v>
      </c>
      <c r="CD613">
        <v>1587</v>
      </c>
      <c r="CE613" t="s">
        <v>3108</v>
      </c>
      <c r="CF613" t="s">
        <v>3108</v>
      </c>
      <c r="CG613" t="s">
        <v>3108</v>
      </c>
      <c r="CH613" t="s">
        <v>3108</v>
      </c>
    </row>
    <row r="614" spans="1:86" x14ac:dyDescent="0.2">
      <c r="A614" t="s">
        <v>4241</v>
      </c>
      <c r="B614" t="s">
        <v>4241</v>
      </c>
      <c r="C614">
        <v>40983</v>
      </c>
      <c r="D614">
        <v>149</v>
      </c>
      <c r="E614" t="s">
        <v>4079</v>
      </c>
      <c r="F614">
        <v>2000</v>
      </c>
      <c r="G614" t="s">
        <v>408</v>
      </c>
      <c r="H614" t="s">
        <v>4064</v>
      </c>
      <c r="I614" t="s">
        <v>1340</v>
      </c>
      <c r="J614">
        <v>2001</v>
      </c>
      <c r="K614" t="s">
        <v>1135</v>
      </c>
      <c r="L614">
        <v>2100</v>
      </c>
      <c r="M614" t="s">
        <v>123</v>
      </c>
      <c r="N614">
        <v>2106</v>
      </c>
      <c r="O614" t="s">
        <v>2399</v>
      </c>
      <c r="P614" t="s">
        <v>3108</v>
      </c>
      <c r="Q614" t="s">
        <v>3249</v>
      </c>
      <c r="R614" t="s">
        <v>3249</v>
      </c>
      <c r="S614" t="s">
        <v>810</v>
      </c>
      <c r="T614" t="s">
        <v>2754</v>
      </c>
      <c r="U614" t="s">
        <v>3250</v>
      </c>
      <c r="V614" t="s">
        <v>3250</v>
      </c>
      <c r="W614" t="s">
        <v>3250</v>
      </c>
      <c r="X614" t="s">
        <v>3250</v>
      </c>
      <c r="Y614" t="s">
        <v>3250</v>
      </c>
      <c r="Z614" t="s">
        <v>3250</v>
      </c>
      <c r="AA614" t="s">
        <v>3108</v>
      </c>
      <c r="AB614" t="s">
        <v>3108</v>
      </c>
      <c r="AC614" t="s">
        <v>3250</v>
      </c>
      <c r="AD614" t="s">
        <v>3250</v>
      </c>
      <c r="AE614" t="s">
        <v>3250</v>
      </c>
      <c r="AF614" t="s">
        <v>3250</v>
      </c>
      <c r="AG614" t="s">
        <v>3250</v>
      </c>
      <c r="AH614" t="s">
        <v>3250</v>
      </c>
      <c r="AI614" t="s">
        <v>3250</v>
      </c>
      <c r="AJ614" t="s">
        <v>3250</v>
      </c>
      <c r="AL614" t="s">
        <v>3250</v>
      </c>
      <c r="AM614" t="s">
        <v>3250</v>
      </c>
      <c r="AN614" t="s">
        <v>3250</v>
      </c>
      <c r="AO614" t="s">
        <v>3250</v>
      </c>
      <c r="AS614" t="s">
        <v>3250</v>
      </c>
      <c r="AT614" t="s">
        <v>3250</v>
      </c>
      <c r="AU614" t="s">
        <v>3250</v>
      </c>
      <c r="AV614" t="s">
        <v>3250</v>
      </c>
      <c r="AW614" t="s">
        <v>3250</v>
      </c>
      <c r="AX614" t="s">
        <v>3250</v>
      </c>
      <c r="AY614" t="s">
        <v>3250</v>
      </c>
      <c r="AZ614" t="s">
        <v>3250</v>
      </c>
      <c r="BA614" t="s">
        <v>3250</v>
      </c>
      <c r="BB614" t="s">
        <v>3250</v>
      </c>
      <c r="BC614" t="s">
        <v>3250</v>
      </c>
      <c r="BE614" t="s">
        <v>3250</v>
      </c>
      <c r="BF614" t="s">
        <v>3250</v>
      </c>
      <c r="BG614" t="s">
        <v>3250</v>
      </c>
      <c r="BH614" t="s">
        <v>3250</v>
      </c>
      <c r="BI614" t="s">
        <v>3250</v>
      </c>
      <c r="BK614" t="s">
        <v>3250</v>
      </c>
      <c r="BL614" t="s">
        <v>3250</v>
      </c>
      <c r="BM614" t="s">
        <v>3250</v>
      </c>
      <c r="BN614" t="s">
        <v>3250</v>
      </c>
      <c r="BO614" t="s">
        <v>2916</v>
      </c>
      <c r="BP614">
        <v>5</v>
      </c>
      <c r="BQ614">
        <v>53</v>
      </c>
      <c r="BR614" t="s">
        <v>2399</v>
      </c>
      <c r="BS614" t="s">
        <v>4136</v>
      </c>
      <c r="BV614">
        <v>2982</v>
      </c>
      <c r="BW614">
        <v>0</v>
      </c>
      <c r="BX614">
        <v>0</v>
      </c>
      <c r="BY614">
        <v>0</v>
      </c>
      <c r="BZ614">
        <v>0</v>
      </c>
      <c r="CA614">
        <v>0</v>
      </c>
      <c r="CB614">
        <v>0</v>
      </c>
      <c r="CC614">
        <v>0</v>
      </c>
      <c r="CD614">
        <v>24699</v>
      </c>
      <c r="CE614" t="s">
        <v>3108</v>
      </c>
      <c r="CF614" t="s">
        <v>3108</v>
      </c>
      <c r="CG614" t="s">
        <v>3108</v>
      </c>
      <c r="CH614" t="s">
        <v>3108</v>
      </c>
    </row>
    <row r="615" spans="1:86" x14ac:dyDescent="0.2">
      <c r="A615" t="s">
        <v>4242</v>
      </c>
      <c r="B615" t="s">
        <v>4242</v>
      </c>
      <c r="C615">
        <v>40984</v>
      </c>
      <c r="D615">
        <v>150</v>
      </c>
      <c r="E615" t="s">
        <v>4081</v>
      </c>
      <c r="F615">
        <v>2000</v>
      </c>
      <c r="G615" t="s">
        <v>408</v>
      </c>
      <c r="H615" t="s">
        <v>4082</v>
      </c>
      <c r="I615" t="s">
        <v>652</v>
      </c>
      <c r="J615">
        <v>2005</v>
      </c>
      <c r="K615" t="s">
        <v>652</v>
      </c>
      <c r="L615">
        <v>2100</v>
      </c>
      <c r="M615" t="s">
        <v>123</v>
      </c>
      <c r="N615">
        <v>2106</v>
      </c>
      <c r="O615" t="s">
        <v>2399</v>
      </c>
      <c r="P615" t="s">
        <v>3108</v>
      </c>
      <c r="Q615" t="s">
        <v>3249</v>
      </c>
      <c r="R615" t="s">
        <v>3249</v>
      </c>
      <c r="S615" t="s">
        <v>810</v>
      </c>
      <c r="T615" t="s">
        <v>2754</v>
      </c>
      <c r="U615" t="s">
        <v>3250</v>
      </c>
      <c r="V615" t="s">
        <v>3250</v>
      </c>
      <c r="W615" t="s">
        <v>3250</v>
      </c>
      <c r="X615" t="s">
        <v>3250</v>
      </c>
      <c r="Y615" t="s">
        <v>3250</v>
      </c>
      <c r="Z615" t="s">
        <v>3250</v>
      </c>
      <c r="AA615" t="s">
        <v>3108</v>
      </c>
      <c r="AB615" t="s">
        <v>3108</v>
      </c>
      <c r="AC615" t="s">
        <v>3250</v>
      </c>
      <c r="AD615" t="s">
        <v>3250</v>
      </c>
      <c r="AE615" t="s">
        <v>3250</v>
      </c>
      <c r="AF615" t="s">
        <v>3250</v>
      </c>
      <c r="AG615" t="s">
        <v>3250</v>
      </c>
      <c r="AH615" t="s">
        <v>3250</v>
      </c>
      <c r="AI615" t="s">
        <v>3250</v>
      </c>
      <c r="AJ615" t="s">
        <v>3250</v>
      </c>
      <c r="AL615" t="s">
        <v>3250</v>
      </c>
      <c r="AM615" t="s">
        <v>3250</v>
      </c>
      <c r="AN615" t="s">
        <v>3250</v>
      </c>
      <c r="AO615" t="s">
        <v>3250</v>
      </c>
      <c r="AS615" t="s">
        <v>3250</v>
      </c>
      <c r="AT615" t="s">
        <v>3250</v>
      </c>
      <c r="AU615" t="s">
        <v>3250</v>
      </c>
      <c r="AV615" t="s">
        <v>3250</v>
      </c>
      <c r="AW615" t="s">
        <v>3250</v>
      </c>
      <c r="AX615" t="s">
        <v>3250</v>
      </c>
      <c r="AY615" t="s">
        <v>3250</v>
      </c>
      <c r="AZ615" t="s">
        <v>3250</v>
      </c>
      <c r="BA615" t="s">
        <v>3250</v>
      </c>
      <c r="BB615" t="s">
        <v>3250</v>
      </c>
      <c r="BC615" t="s">
        <v>3250</v>
      </c>
      <c r="BE615" t="s">
        <v>3250</v>
      </c>
      <c r="BF615" t="s">
        <v>3250</v>
      </c>
      <c r="BG615" t="s">
        <v>3250</v>
      </c>
      <c r="BH615" t="s">
        <v>3250</v>
      </c>
      <c r="BI615" t="s">
        <v>3250</v>
      </c>
      <c r="BK615" t="s">
        <v>3250</v>
      </c>
      <c r="BL615" t="s">
        <v>3250</v>
      </c>
      <c r="BM615" t="s">
        <v>3250</v>
      </c>
      <c r="BN615" t="s">
        <v>3250</v>
      </c>
      <c r="BO615" t="s">
        <v>2916</v>
      </c>
      <c r="BP615">
        <v>5</v>
      </c>
      <c r="BQ615">
        <v>53</v>
      </c>
      <c r="BR615" t="s">
        <v>2399</v>
      </c>
      <c r="BS615" t="s">
        <v>4136</v>
      </c>
      <c r="BV615">
        <v>299470</v>
      </c>
      <c r="BW615">
        <v>232972</v>
      </c>
      <c r="BX615">
        <v>210191</v>
      </c>
      <c r="BY615">
        <v>447745</v>
      </c>
      <c r="BZ615">
        <v>447745</v>
      </c>
      <c r="CA615">
        <v>479087</v>
      </c>
      <c r="CB615">
        <v>512623</v>
      </c>
      <c r="CC615">
        <v>548507</v>
      </c>
      <c r="CD615">
        <v>631261</v>
      </c>
      <c r="CE615" t="s">
        <v>3108</v>
      </c>
      <c r="CF615" t="s">
        <v>3108</v>
      </c>
      <c r="CG615" t="s">
        <v>3108</v>
      </c>
      <c r="CH615" t="s">
        <v>3108</v>
      </c>
    </row>
    <row r="616" spans="1:86" x14ac:dyDescent="0.2">
      <c r="A616" t="s">
        <v>4243</v>
      </c>
      <c r="B616" t="s">
        <v>4243</v>
      </c>
      <c r="C616">
        <v>40985</v>
      </c>
      <c r="D616">
        <v>151</v>
      </c>
      <c r="E616" t="s">
        <v>4084</v>
      </c>
      <c r="F616">
        <v>2000</v>
      </c>
      <c r="G616" t="s">
        <v>408</v>
      </c>
      <c r="H616" t="s">
        <v>4085</v>
      </c>
      <c r="I616" t="s">
        <v>1453</v>
      </c>
      <c r="J616">
        <v>2010</v>
      </c>
      <c r="K616" t="s">
        <v>1453</v>
      </c>
      <c r="L616">
        <v>2100</v>
      </c>
      <c r="M616" t="s">
        <v>123</v>
      </c>
      <c r="N616">
        <v>2106</v>
      </c>
      <c r="O616" t="s">
        <v>2399</v>
      </c>
      <c r="P616" t="s">
        <v>3108</v>
      </c>
      <c r="Q616" t="s">
        <v>3249</v>
      </c>
      <c r="R616" t="s">
        <v>3249</v>
      </c>
      <c r="S616" t="s">
        <v>810</v>
      </c>
      <c r="T616" t="s">
        <v>2754</v>
      </c>
      <c r="U616" t="s">
        <v>3250</v>
      </c>
      <c r="V616" t="s">
        <v>3250</v>
      </c>
      <c r="W616" t="s">
        <v>3250</v>
      </c>
      <c r="X616" t="s">
        <v>3250</v>
      </c>
      <c r="Y616" t="s">
        <v>3250</v>
      </c>
      <c r="Z616" t="s">
        <v>3250</v>
      </c>
      <c r="AA616" t="s">
        <v>3108</v>
      </c>
      <c r="AB616" t="s">
        <v>3108</v>
      </c>
      <c r="AC616" t="s">
        <v>3250</v>
      </c>
      <c r="AD616" t="s">
        <v>3250</v>
      </c>
      <c r="AE616" t="s">
        <v>3250</v>
      </c>
      <c r="AF616" t="s">
        <v>3250</v>
      </c>
      <c r="AG616" t="s">
        <v>3250</v>
      </c>
      <c r="AH616" t="s">
        <v>3250</v>
      </c>
      <c r="AI616" t="s">
        <v>3250</v>
      </c>
      <c r="AJ616" t="s">
        <v>3250</v>
      </c>
      <c r="AL616" t="s">
        <v>3250</v>
      </c>
      <c r="AM616" t="s">
        <v>3250</v>
      </c>
      <c r="AN616" t="s">
        <v>3250</v>
      </c>
      <c r="AO616" t="s">
        <v>3250</v>
      </c>
      <c r="AS616" t="s">
        <v>3250</v>
      </c>
      <c r="AT616" t="s">
        <v>3250</v>
      </c>
      <c r="AU616" t="s">
        <v>3250</v>
      </c>
      <c r="AV616" t="s">
        <v>3250</v>
      </c>
      <c r="AW616" t="s">
        <v>3250</v>
      </c>
      <c r="AX616" t="s">
        <v>3250</v>
      </c>
      <c r="AY616" t="s">
        <v>3250</v>
      </c>
      <c r="AZ616" t="s">
        <v>3250</v>
      </c>
      <c r="BA616" t="s">
        <v>3250</v>
      </c>
      <c r="BB616" t="s">
        <v>3250</v>
      </c>
      <c r="BC616" t="s">
        <v>3250</v>
      </c>
      <c r="BE616" t="s">
        <v>3250</v>
      </c>
      <c r="BF616" t="s">
        <v>3250</v>
      </c>
      <c r="BG616" t="s">
        <v>3250</v>
      </c>
      <c r="BH616" t="s">
        <v>3250</v>
      </c>
      <c r="BI616" t="s">
        <v>3250</v>
      </c>
      <c r="BK616" t="s">
        <v>3250</v>
      </c>
      <c r="BL616" t="s">
        <v>3250</v>
      </c>
      <c r="BM616" t="s">
        <v>3250</v>
      </c>
      <c r="BN616" t="s">
        <v>3250</v>
      </c>
      <c r="BO616" t="s">
        <v>2916</v>
      </c>
      <c r="BP616">
        <v>5</v>
      </c>
      <c r="BQ616">
        <v>53</v>
      </c>
      <c r="BR616" t="s">
        <v>2399</v>
      </c>
      <c r="BS616" t="s">
        <v>4136</v>
      </c>
      <c r="BV616">
        <v>447877</v>
      </c>
      <c r="BW616">
        <v>151273</v>
      </c>
      <c r="BX616">
        <v>114143</v>
      </c>
      <c r="BY616">
        <v>324503</v>
      </c>
      <c r="BZ616">
        <v>324503</v>
      </c>
      <c r="CA616">
        <v>347219</v>
      </c>
      <c r="CB616">
        <v>371524</v>
      </c>
      <c r="CC616">
        <v>397531</v>
      </c>
      <c r="CD616">
        <v>58338</v>
      </c>
      <c r="CE616" t="s">
        <v>3108</v>
      </c>
      <c r="CF616" t="s">
        <v>3108</v>
      </c>
      <c r="CG616" t="s">
        <v>3108</v>
      </c>
      <c r="CH616" t="s">
        <v>3108</v>
      </c>
    </row>
    <row r="617" spans="1:86" x14ac:dyDescent="0.2">
      <c r="A617" t="s">
        <v>4244</v>
      </c>
      <c r="B617" t="s">
        <v>4244</v>
      </c>
      <c r="C617">
        <v>40986</v>
      </c>
      <c r="D617">
        <v>152</v>
      </c>
      <c r="E617" t="s">
        <v>4087</v>
      </c>
      <c r="F617">
        <v>2000</v>
      </c>
      <c r="G617" t="s">
        <v>408</v>
      </c>
      <c r="H617" t="s">
        <v>4088</v>
      </c>
      <c r="I617" t="s">
        <v>1941</v>
      </c>
      <c r="J617">
        <v>2008</v>
      </c>
      <c r="K617" t="s">
        <v>1941</v>
      </c>
      <c r="L617">
        <v>2100</v>
      </c>
      <c r="M617" t="s">
        <v>123</v>
      </c>
      <c r="N617">
        <v>2106</v>
      </c>
      <c r="O617" t="s">
        <v>2399</v>
      </c>
      <c r="P617" t="s">
        <v>3108</v>
      </c>
      <c r="Q617" t="s">
        <v>3249</v>
      </c>
      <c r="R617" t="s">
        <v>3249</v>
      </c>
      <c r="S617" t="s">
        <v>810</v>
      </c>
      <c r="T617" t="s">
        <v>2754</v>
      </c>
      <c r="U617" t="s">
        <v>3250</v>
      </c>
      <c r="V617" t="s">
        <v>3250</v>
      </c>
      <c r="W617" t="s">
        <v>3250</v>
      </c>
      <c r="X617" t="s">
        <v>3250</v>
      </c>
      <c r="Y617" t="s">
        <v>3250</v>
      </c>
      <c r="Z617" t="s">
        <v>3250</v>
      </c>
      <c r="AA617" t="s">
        <v>3108</v>
      </c>
      <c r="AB617" t="s">
        <v>3108</v>
      </c>
      <c r="AC617" t="s">
        <v>3250</v>
      </c>
      <c r="AD617" t="s">
        <v>3250</v>
      </c>
      <c r="AE617" t="s">
        <v>3250</v>
      </c>
      <c r="AF617" t="s">
        <v>3250</v>
      </c>
      <c r="AG617" t="s">
        <v>3250</v>
      </c>
      <c r="AH617" t="s">
        <v>3250</v>
      </c>
      <c r="AI617" t="s">
        <v>3250</v>
      </c>
      <c r="AJ617" t="s">
        <v>3250</v>
      </c>
      <c r="AL617" t="s">
        <v>3250</v>
      </c>
      <c r="AM617" t="s">
        <v>3250</v>
      </c>
      <c r="AN617" t="s">
        <v>3250</v>
      </c>
      <c r="AO617" t="s">
        <v>3250</v>
      </c>
      <c r="AS617" t="s">
        <v>3250</v>
      </c>
      <c r="AT617" t="s">
        <v>3250</v>
      </c>
      <c r="AU617" t="s">
        <v>3250</v>
      </c>
      <c r="AV617" t="s">
        <v>3250</v>
      </c>
      <c r="AW617" t="s">
        <v>3250</v>
      </c>
      <c r="AX617" t="s">
        <v>3250</v>
      </c>
      <c r="AY617" t="s">
        <v>3250</v>
      </c>
      <c r="AZ617" t="s">
        <v>3250</v>
      </c>
      <c r="BA617" t="s">
        <v>3250</v>
      </c>
      <c r="BB617" t="s">
        <v>3250</v>
      </c>
      <c r="BC617" t="s">
        <v>3250</v>
      </c>
      <c r="BE617" t="s">
        <v>3250</v>
      </c>
      <c r="BF617" t="s">
        <v>3250</v>
      </c>
      <c r="BG617" t="s">
        <v>3250</v>
      </c>
      <c r="BH617" t="s">
        <v>3250</v>
      </c>
      <c r="BI617" t="s">
        <v>3250</v>
      </c>
      <c r="BK617" t="s">
        <v>3250</v>
      </c>
      <c r="BL617" t="s">
        <v>3250</v>
      </c>
      <c r="BM617" t="s">
        <v>3250</v>
      </c>
      <c r="BN617" t="s">
        <v>3250</v>
      </c>
      <c r="BO617" t="s">
        <v>2916</v>
      </c>
      <c r="BP617">
        <v>5</v>
      </c>
      <c r="BQ617">
        <v>53</v>
      </c>
      <c r="BR617" t="s">
        <v>2399</v>
      </c>
      <c r="BS617" t="s">
        <v>4136</v>
      </c>
      <c r="BV617">
        <v>25418</v>
      </c>
      <c r="BW617">
        <v>20457</v>
      </c>
      <c r="BX617">
        <v>61977</v>
      </c>
      <c r="BY617">
        <v>118800</v>
      </c>
      <c r="BZ617">
        <v>118800</v>
      </c>
      <c r="CA617">
        <v>127116</v>
      </c>
      <c r="CB617">
        <v>136014</v>
      </c>
      <c r="CC617">
        <v>145535</v>
      </c>
      <c r="CD617">
        <v>41274</v>
      </c>
      <c r="CE617" t="s">
        <v>3108</v>
      </c>
      <c r="CF617" t="s">
        <v>3108</v>
      </c>
      <c r="CG617" t="s">
        <v>3108</v>
      </c>
      <c r="CH617" t="s">
        <v>3108</v>
      </c>
    </row>
    <row r="618" spans="1:86" x14ac:dyDescent="0.2">
      <c r="A618" t="s">
        <v>4245</v>
      </c>
      <c r="B618" t="s">
        <v>4245</v>
      </c>
      <c r="C618">
        <v>40987</v>
      </c>
      <c r="D618">
        <v>153</v>
      </c>
      <c r="E618" t="s">
        <v>4202</v>
      </c>
      <c r="F618">
        <v>2000</v>
      </c>
      <c r="G618" t="s">
        <v>408</v>
      </c>
      <c r="H618" t="s">
        <v>4203</v>
      </c>
      <c r="I618" t="s">
        <v>1793</v>
      </c>
      <c r="J618">
        <v>2007</v>
      </c>
      <c r="K618" t="s">
        <v>1793</v>
      </c>
      <c r="L618">
        <v>2100</v>
      </c>
      <c r="M618" t="s">
        <v>123</v>
      </c>
      <c r="N618">
        <v>2106</v>
      </c>
      <c r="O618" t="s">
        <v>2399</v>
      </c>
      <c r="P618" t="s">
        <v>3108</v>
      </c>
      <c r="Q618" t="s">
        <v>3249</v>
      </c>
      <c r="R618" t="s">
        <v>3249</v>
      </c>
      <c r="S618" t="s">
        <v>810</v>
      </c>
      <c r="T618" t="s">
        <v>2754</v>
      </c>
      <c r="U618" t="s">
        <v>3250</v>
      </c>
      <c r="V618" t="s">
        <v>3250</v>
      </c>
      <c r="W618" t="s">
        <v>3250</v>
      </c>
      <c r="X618" t="s">
        <v>3250</v>
      </c>
      <c r="Y618" t="s">
        <v>3250</v>
      </c>
      <c r="Z618" t="s">
        <v>3250</v>
      </c>
      <c r="AA618" t="s">
        <v>3108</v>
      </c>
      <c r="AB618" t="s">
        <v>3108</v>
      </c>
      <c r="AC618" t="s">
        <v>3250</v>
      </c>
      <c r="AD618" t="s">
        <v>3250</v>
      </c>
      <c r="AE618" t="s">
        <v>3250</v>
      </c>
      <c r="AF618" t="s">
        <v>3250</v>
      </c>
      <c r="AG618" t="s">
        <v>3250</v>
      </c>
      <c r="AH618" t="s">
        <v>3250</v>
      </c>
      <c r="AI618" t="s">
        <v>3250</v>
      </c>
      <c r="AJ618" t="s">
        <v>3250</v>
      </c>
      <c r="AL618" t="s">
        <v>3250</v>
      </c>
      <c r="AM618" t="s">
        <v>3250</v>
      </c>
      <c r="AN618" t="s">
        <v>3250</v>
      </c>
      <c r="AO618" t="s">
        <v>3250</v>
      </c>
      <c r="AS618" t="s">
        <v>3250</v>
      </c>
      <c r="AT618" t="s">
        <v>3250</v>
      </c>
      <c r="AU618" t="s">
        <v>3250</v>
      </c>
      <c r="AV618" t="s">
        <v>3250</v>
      </c>
      <c r="AW618" t="s">
        <v>3250</v>
      </c>
      <c r="AX618" t="s">
        <v>3250</v>
      </c>
      <c r="AY618" t="s">
        <v>3250</v>
      </c>
      <c r="AZ618" t="s">
        <v>3250</v>
      </c>
      <c r="BA618" t="s">
        <v>3250</v>
      </c>
      <c r="BB618" t="s">
        <v>3250</v>
      </c>
      <c r="BC618" t="s">
        <v>3250</v>
      </c>
      <c r="BE618" t="s">
        <v>3250</v>
      </c>
      <c r="BF618" t="s">
        <v>3250</v>
      </c>
      <c r="BG618" t="s">
        <v>3250</v>
      </c>
      <c r="BH618" t="s">
        <v>3250</v>
      </c>
      <c r="BI618" t="s">
        <v>3250</v>
      </c>
      <c r="BK618" t="s">
        <v>3250</v>
      </c>
      <c r="BL618" t="s">
        <v>3250</v>
      </c>
      <c r="BM618" t="s">
        <v>3250</v>
      </c>
      <c r="BN618" t="s">
        <v>3250</v>
      </c>
      <c r="BO618" t="s">
        <v>2916</v>
      </c>
      <c r="BP618">
        <v>5</v>
      </c>
      <c r="BQ618">
        <v>53</v>
      </c>
      <c r="BR618" t="s">
        <v>2399</v>
      </c>
      <c r="BS618" t="s">
        <v>4136</v>
      </c>
      <c r="BV618">
        <v>5040</v>
      </c>
      <c r="BW618">
        <v>5760</v>
      </c>
      <c r="BX618">
        <v>5760</v>
      </c>
      <c r="BY618">
        <v>12000</v>
      </c>
      <c r="BZ618">
        <v>12000</v>
      </c>
      <c r="CA618">
        <v>12840</v>
      </c>
      <c r="CB618">
        <v>13739</v>
      </c>
      <c r="CC618">
        <v>14701</v>
      </c>
      <c r="CD618">
        <v>21095</v>
      </c>
      <c r="CE618" t="s">
        <v>3108</v>
      </c>
      <c r="CF618" t="s">
        <v>3108</v>
      </c>
      <c r="CG618" t="s">
        <v>3108</v>
      </c>
      <c r="CH618" t="s">
        <v>3108</v>
      </c>
    </row>
    <row r="619" spans="1:86" x14ac:dyDescent="0.2">
      <c r="A619" t="s">
        <v>4246</v>
      </c>
      <c r="B619" t="s">
        <v>4246</v>
      </c>
      <c r="C619">
        <v>40988</v>
      </c>
      <c r="D619">
        <v>154</v>
      </c>
      <c r="E619" t="s">
        <v>4090</v>
      </c>
      <c r="F619">
        <v>2000</v>
      </c>
      <c r="G619" t="s">
        <v>408</v>
      </c>
      <c r="H619" t="s">
        <v>4091</v>
      </c>
      <c r="I619" t="s">
        <v>1940</v>
      </c>
      <c r="J619">
        <v>2006</v>
      </c>
      <c r="K619" t="s">
        <v>1940</v>
      </c>
      <c r="L619">
        <v>2100</v>
      </c>
      <c r="M619" t="s">
        <v>123</v>
      </c>
      <c r="N619">
        <v>2106</v>
      </c>
      <c r="O619" t="s">
        <v>2399</v>
      </c>
      <c r="P619" t="s">
        <v>3108</v>
      </c>
      <c r="Q619" t="s">
        <v>3249</v>
      </c>
      <c r="R619" t="s">
        <v>3249</v>
      </c>
      <c r="S619" t="s">
        <v>810</v>
      </c>
      <c r="T619" t="s">
        <v>2754</v>
      </c>
      <c r="U619" t="s">
        <v>3250</v>
      </c>
      <c r="V619" t="s">
        <v>3250</v>
      </c>
      <c r="W619" t="s">
        <v>3250</v>
      </c>
      <c r="X619" t="s">
        <v>3250</v>
      </c>
      <c r="Y619" t="s">
        <v>3250</v>
      </c>
      <c r="Z619" t="s">
        <v>3250</v>
      </c>
      <c r="AA619" t="s">
        <v>3108</v>
      </c>
      <c r="AB619" t="s">
        <v>3108</v>
      </c>
      <c r="AC619" t="s">
        <v>3250</v>
      </c>
      <c r="AD619" t="s">
        <v>3250</v>
      </c>
      <c r="AE619" t="s">
        <v>3250</v>
      </c>
      <c r="AF619" t="s">
        <v>3250</v>
      </c>
      <c r="AG619" t="s">
        <v>3250</v>
      </c>
      <c r="AH619" t="s">
        <v>3250</v>
      </c>
      <c r="AI619" t="s">
        <v>3250</v>
      </c>
      <c r="AJ619" t="s">
        <v>3250</v>
      </c>
      <c r="AL619" t="s">
        <v>3250</v>
      </c>
      <c r="AM619" t="s">
        <v>3250</v>
      </c>
      <c r="AN619" t="s">
        <v>3250</v>
      </c>
      <c r="AO619" t="s">
        <v>3250</v>
      </c>
      <c r="AS619" t="s">
        <v>3250</v>
      </c>
      <c r="AT619" t="s">
        <v>3250</v>
      </c>
      <c r="AU619" t="s">
        <v>3250</v>
      </c>
      <c r="AV619" t="s">
        <v>3250</v>
      </c>
      <c r="AW619" t="s">
        <v>3250</v>
      </c>
      <c r="AX619" t="s">
        <v>3250</v>
      </c>
      <c r="AY619" t="s">
        <v>3250</v>
      </c>
      <c r="AZ619" t="s">
        <v>3250</v>
      </c>
      <c r="BA619" t="s">
        <v>3250</v>
      </c>
      <c r="BB619" t="s">
        <v>3250</v>
      </c>
      <c r="BC619" t="s">
        <v>3250</v>
      </c>
      <c r="BE619" t="s">
        <v>3250</v>
      </c>
      <c r="BF619" t="s">
        <v>3250</v>
      </c>
      <c r="BG619" t="s">
        <v>3250</v>
      </c>
      <c r="BH619" t="s">
        <v>3250</v>
      </c>
      <c r="BI619" t="s">
        <v>3250</v>
      </c>
      <c r="BK619" t="s">
        <v>3250</v>
      </c>
      <c r="BL619" t="s">
        <v>3250</v>
      </c>
      <c r="BM619" t="s">
        <v>3250</v>
      </c>
      <c r="BN619" t="s">
        <v>3250</v>
      </c>
      <c r="BO619" t="s">
        <v>2916</v>
      </c>
      <c r="BP619">
        <v>5</v>
      </c>
      <c r="BQ619">
        <v>53</v>
      </c>
      <c r="BR619" t="s">
        <v>2399</v>
      </c>
      <c r="BS619" t="s">
        <v>4136</v>
      </c>
      <c r="BV619">
        <v>51000</v>
      </c>
      <c r="BW619">
        <v>0</v>
      </c>
      <c r="BX619">
        <v>75158</v>
      </c>
      <c r="BY619">
        <v>0</v>
      </c>
      <c r="BZ619">
        <v>0</v>
      </c>
      <c r="CA619">
        <v>0</v>
      </c>
      <c r="CB619">
        <v>0</v>
      </c>
      <c r="CC619">
        <v>0</v>
      </c>
      <c r="CD619">
        <v>121880</v>
      </c>
      <c r="CE619" t="s">
        <v>3108</v>
      </c>
      <c r="CF619" t="s">
        <v>3108</v>
      </c>
      <c r="CG619" t="s">
        <v>3108</v>
      </c>
      <c r="CH619" t="s">
        <v>3108</v>
      </c>
    </row>
    <row r="620" spans="1:86" x14ac:dyDescent="0.2">
      <c r="A620" t="s">
        <v>4247</v>
      </c>
      <c r="B620" t="s">
        <v>4247</v>
      </c>
      <c r="C620">
        <v>40989</v>
      </c>
      <c r="D620">
        <v>155</v>
      </c>
      <c r="E620" t="s">
        <v>4093</v>
      </c>
      <c r="F620">
        <v>2000</v>
      </c>
      <c r="G620" t="s">
        <v>408</v>
      </c>
      <c r="H620" t="s">
        <v>4094</v>
      </c>
      <c r="I620" t="s">
        <v>1135</v>
      </c>
      <c r="J620">
        <v>2001</v>
      </c>
      <c r="K620" t="s">
        <v>1135</v>
      </c>
      <c r="L620">
        <v>2100</v>
      </c>
      <c r="M620" t="s">
        <v>123</v>
      </c>
      <c r="N620">
        <v>2106</v>
      </c>
      <c r="O620" t="s">
        <v>2399</v>
      </c>
      <c r="P620" t="s">
        <v>3108</v>
      </c>
      <c r="Q620" t="s">
        <v>3249</v>
      </c>
      <c r="R620" t="s">
        <v>3249</v>
      </c>
      <c r="S620" t="s">
        <v>810</v>
      </c>
      <c r="T620" t="s">
        <v>2754</v>
      </c>
      <c r="U620" t="s">
        <v>3250</v>
      </c>
      <c r="V620" t="s">
        <v>3250</v>
      </c>
      <c r="W620" t="s">
        <v>3250</v>
      </c>
      <c r="X620" t="s">
        <v>3250</v>
      </c>
      <c r="Y620" t="s">
        <v>3250</v>
      </c>
      <c r="Z620" t="s">
        <v>3250</v>
      </c>
      <c r="AA620" t="s">
        <v>3108</v>
      </c>
      <c r="AB620" t="s">
        <v>3108</v>
      </c>
      <c r="AC620" t="s">
        <v>3250</v>
      </c>
      <c r="AD620" t="s">
        <v>3250</v>
      </c>
      <c r="AE620" t="s">
        <v>3250</v>
      </c>
      <c r="AF620" t="s">
        <v>3250</v>
      </c>
      <c r="AG620" t="s">
        <v>3250</v>
      </c>
      <c r="AH620" t="s">
        <v>3250</v>
      </c>
      <c r="AI620" t="s">
        <v>3250</v>
      </c>
      <c r="AJ620" t="s">
        <v>3250</v>
      </c>
      <c r="AL620" t="s">
        <v>3250</v>
      </c>
      <c r="AM620" t="s">
        <v>3250</v>
      </c>
      <c r="AN620" t="s">
        <v>3250</v>
      </c>
      <c r="AO620" t="s">
        <v>3250</v>
      </c>
      <c r="AS620" t="s">
        <v>3250</v>
      </c>
      <c r="AT620" t="s">
        <v>3250</v>
      </c>
      <c r="AU620" t="s">
        <v>3250</v>
      </c>
      <c r="AV620" t="s">
        <v>3250</v>
      </c>
      <c r="AW620" t="s">
        <v>3250</v>
      </c>
      <c r="AX620" t="s">
        <v>3250</v>
      </c>
      <c r="AY620" t="s">
        <v>3250</v>
      </c>
      <c r="AZ620" t="s">
        <v>3250</v>
      </c>
      <c r="BA620" t="s">
        <v>3250</v>
      </c>
      <c r="BB620" t="s">
        <v>3250</v>
      </c>
      <c r="BC620" t="s">
        <v>3250</v>
      </c>
      <c r="BE620" t="s">
        <v>3250</v>
      </c>
      <c r="BF620" t="s">
        <v>3250</v>
      </c>
      <c r="BG620" t="s">
        <v>3250</v>
      </c>
      <c r="BH620" t="s">
        <v>3250</v>
      </c>
      <c r="BI620" t="s">
        <v>3250</v>
      </c>
      <c r="BK620" t="s">
        <v>3250</v>
      </c>
      <c r="BL620" t="s">
        <v>3250</v>
      </c>
      <c r="BM620" t="s">
        <v>3250</v>
      </c>
      <c r="BN620" t="s">
        <v>3250</v>
      </c>
      <c r="BO620" t="s">
        <v>2916</v>
      </c>
      <c r="BP620">
        <v>5</v>
      </c>
      <c r="BQ620">
        <v>53</v>
      </c>
      <c r="BR620" t="s">
        <v>2399</v>
      </c>
      <c r="BS620" t="s">
        <v>4136</v>
      </c>
      <c r="BV620">
        <v>3495633</v>
      </c>
      <c r="BW620">
        <v>3281330</v>
      </c>
      <c r="BX620">
        <v>4214055</v>
      </c>
      <c r="BY620">
        <v>4522059</v>
      </c>
      <c r="BZ620">
        <v>4522059</v>
      </c>
      <c r="CA620">
        <v>4838603</v>
      </c>
      <c r="CB620">
        <v>5177306</v>
      </c>
      <c r="CC620">
        <v>5539717</v>
      </c>
      <c r="CD620">
        <v>6632489</v>
      </c>
      <c r="CE620" t="s">
        <v>3108</v>
      </c>
      <c r="CF620" t="s">
        <v>3108</v>
      </c>
      <c r="CG620" t="s">
        <v>3108</v>
      </c>
      <c r="CH620" t="s">
        <v>3108</v>
      </c>
    </row>
    <row r="621" spans="1:86" x14ac:dyDescent="0.2">
      <c r="A621" t="s">
        <v>4248</v>
      </c>
      <c r="B621" t="s">
        <v>4248</v>
      </c>
      <c r="C621">
        <v>40990</v>
      </c>
      <c r="D621">
        <v>156</v>
      </c>
      <c r="E621" t="s">
        <v>4122</v>
      </c>
      <c r="F621">
        <v>2000</v>
      </c>
      <c r="G621" t="s">
        <v>408</v>
      </c>
      <c r="H621" t="s">
        <v>4123</v>
      </c>
      <c r="I621" t="s">
        <v>1454</v>
      </c>
      <c r="J621">
        <v>2012</v>
      </c>
      <c r="K621" t="s">
        <v>1454</v>
      </c>
      <c r="L621">
        <v>2100</v>
      </c>
      <c r="M621" t="s">
        <v>123</v>
      </c>
      <c r="N621">
        <v>2106</v>
      </c>
      <c r="O621" t="s">
        <v>2399</v>
      </c>
      <c r="P621" t="s">
        <v>3108</v>
      </c>
      <c r="Q621" t="s">
        <v>3249</v>
      </c>
      <c r="R621" t="s">
        <v>3249</v>
      </c>
      <c r="S621" t="s">
        <v>810</v>
      </c>
      <c r="T621" t="s">
        <v>2754</v>
      </c>
      <c r="U621" t="s">
        <v>3250</v>
      </c>
      <c r="V621" t="s">
        <v>3250</v>
      </c>
      <c r="W621" t="s">
        <v>3250</v>
      </c>
      <c r="X621" t="s">
        <v>3250</v>
      </c>
      <c r="Y621" t="s">
        <v>3250</v>
      </c>
      <c r="Z621" t="s">
        <v>3250</v>
      </c>
      <c r="AA621" t="s">
        <v>3108</v>
      </c>
      <c r="AB621" t="s">
        <v>3108</v>
      </c>
      <c r="AC621" t="s">
        <v>3250</v>
      </c>
      <c r="AD621" t="s">
        <v>3250</v>
      </c>
      <c r="AE621" t="s">
        <v>3250</v>
      </c>
      <c r="AF621" t="s">
        <v>3250</v>
      </c>
      <c r="AG621" t="s">
        <v>3250</v>
      </c>
      <c r="AH621" t="s">
        <v>3250</v>
      </c>
      <c r="AI621" t="s">
        <v>3250</v>
      </c>
      <c r="AJ621" t="s">
        <v>3250</v>
      </c>
      <c r="AL621" t="s">
        <v>3250</v>
      </c>
      <c r="AM621" t="s">
        <v>3250</v>
      </c>
      <c r="AN621" t="s">
        <v>3250</v>
      </c>
      <c r="AO621" t="s">
        <v>3250</v>
      </c>
      <c r="AS621" t="s">
        <v>3250</v>
      </c>
      <c r="AT621" t="s">
        <v>3250</v>
      </c>
      <c r="AU621" t="s">
        <v>3250</v>
      </c>
      <c r="AV621" t="s">
        <v>3250</v>
      </c>
      <c r="AW621" t="s">
        <v>3250</v>
      </c>
      <c r="AX621" t="s">
        <v>3250</v>
      </c>
      <c r="AY621" t="s">
        <v>3250</v>
      </c>
      <c r="AZ621" t="s">
        <v>3250</v>
      </c>
      <c r="BA621" t="s">
        <v>3250</v>
      </c>
      <c r="BB621" t="s">
        <v>3250</v>
      </c>
      <c r="BC621" t="s">
        <v>3250</v>
      </c>
      <c r="BE621" t="s">
        <v>3250</v>
      </c>
      <c r="BF621" t="s">
        <v>3250</v>
      </c>
      <c r="BG621" t="s">
        <v>3250</v>
      </c>
      <c r="BH621" t="s">
        <v>3250</v>
      </c>
      <c r="BI621" t="s">
        <v>3250</v>
      </c>
      <c r="BK621" t="s">
        <v>3250</v>
      </c>
      <c r="BL621" t="s">
        <v>3250</v>
      </c>
      <c r="BM621" t="s">
        <v>3250</v>
      </c>
      <c r="BN621" t="s">
        <v>3250</v>
      </c>
      <c r="BO621" t="s">
        <v>2916</v>
      </c>
      <c r="BP621">
        <v>5</v>
      </c>
      <c r="BQ621">
        <v>53</v>
      </c>
      <c r="BR621" t="s">
        <v>2399</v>
      </c>
      <c r="BS621" t="s">
        <v>4136</v>
      </c>
      <c r="BV621">
        <v>0</v>
      </c>
      <c r="BW621">
        <v>0</v>
      </c>
      <c r="BX621">
        <v>0</v>
      </c>
      <c r="BY621">
        <v>0</v>
      </c>
      <c r="BZ621">
        <v>0</v>
      </c>
      <c r="CA621">
        <v>0</v>
      </c>
      <c r="CB621">
        <v>0</v>
      </c>
      <c r="CC621">
        <v>0</v>
      </c>
      <c r="CD621">
        <v>0</v>
      </c>
      <c r="CE621" t="s">
        <v>3108</v>
      </c>
      <c r="CF621" t="s">
        <v>3108</v>
      </c>
      <c r="CG621" t="s">
        <v>3108</v>
      </c>
      <c r="CH621" t="s">
        <v>3108</v>
      </c>
    </row>
    <row r="622" spans="1:86" x14ac:dyDescent="0.2">
      <c r="A622" t="s">
        <v>4249</v>
      </c>
      <c r="B622" t="s">
        <v>4249</v>
      </c>
      <c r="C622">
        <v>40994</v>
      </c>
      <c r="D622">
        <v>257</v>
      </c>
      <c r="E622" t="s">
        <v>4250</v>
      </c>
      <c r="F622" t="s">
        <v>3249</v>
      </c>
      <c r="G622" t="s">
        <v>3249</v>
      </c>
      <c r="H622" t="s">
        <v>3250</v>
      </c>
      <c r="I622" t="s">
        <v>3250</v>
      </c>
      <c r="J622" t="s">
        <v>3250</v>
      </c>
      <c r="K622" t="s">
        <v>3250</v>
      </c>
      <c r="L622">
        <v>2100</v>
      </c>
      <c r="M622" t="s">
        <v>123</v>
      </c>
      <c r="N622">
        <v>2105</v>
      </c>
      <c r="O622" t="s">
        <v>2398</v>
      </c>
      <c r="P622" t="s">
        <v>2805</v>
      </c>
      <c r="Q622">
        <v>2010</v>
      </c>
      <c r="R622" t="s">
        <v>1355</v>
      </c>
      <c r="S622" t="s">
        <v>427</v>
      </c>
      <c r="T622" t="s">
        <v>3251</v>
      </c>
      <c r="U622">
        <v>240</v>
      </c>
      <c r="V622" t="s">
        <v>4251</v>
      </c>
      <c r="W622">
        <v>240</v>
      </c>
      <c r="X622" t="s">
        <v>1323</v>
      </c>
      <c r="Y622" t="s">
        <v>3250</v>
      </c>
      <c r="Z622" t="s">
        <v>3250</v>
      </c>
      <c r="AA622" t="s">
        <v>3108</v>
      </c>
      <c r="AB622" t="s">
        <v>3108</v>
      </c>
      <c r="AC622" t="s">
        <v>3250</v>
      </c>
      <c r="AD622" t="s">
        <v>3250</v>
      </c>
      <c r="AE622" t="s">
        <v>3250</v>
      </c>
      <c r="AF622" t="s">
        <v>3250</v>
      </c>
      <c r="AG622" t="s">
        <v>3250</v>
      </c>
      <c r="AH622" t="s">
        <v>3250</v>
      </c>
      <c r="AI622" t="s">
        <v>3250</v>
      </c>
      <c r="AJ622" t="s">
        <v>3250</v>
      </c>
      <c r="AK622">
        <v>770</v>
      </c>
      <c r="AL622">
        <v>241</v>
      </c>
      <c r="AM622" t="s">
        <v>1455</v>
      </c>
      <c r="AN622">
        <v>241</v>
      </c>
      <c r="AO622" t="s">
        <v>1455</v>
      </c>
      <c r="AS622">
        <v>810</v>
      </c>
      <c r="AT622">
        <v>810</v>
      </c>
      <c r="AU622" t="s">
        <v>2286</v>
      </c>
      <c r="AV622" t="s">
        <v>2286</v>
      </c>
      <c r="AW622" t="s">
        <v>3250</v>
      </c>
      <c r="AX622" t="s">
        <v>3250</v>
      </c>
      <c r="AY622" t="s">
        <v>3250</v>
      </c>
      <c r="AZ622" t="s">
        <v>3250</v>
      </c>
      <c r="BA622" t="s">
        <v>3250</v>
      </c>
      <c r="BB622" t="s">
        <v>3250</v>
      </c>
      <c r="BC622" t="s">
        <v>3250</v>
      </c>
      <c r="BE622" t="s">
        <v>3250</v>
      </c>
      <c r="BF622" t="s">
        <v>3250</v>
      </c>
      <c r="BG622" t="s">
        <v>3250</v>
      </c>
      <c r="BH622" t="s">
        <v>3250</v>
      </c>
      <c r="BI622" t="s">
        <v>3250</v>
      </c>
      <c r="BK622" t="s">
        <v>3250</v>
      </c>
      <c r="BL622" t="s">
        <v>3250</v>
      </c>
      <c r="BM622" t="s">
        <v>3250</v>
      </c>
      <c r="BN622" t="s">
        <v>3250</v>
      </c>
      <c r="BP622">
        <v>4</v>
      </c>
      <c r="BQ622">
        <v>49</v>
      </c>
      <c r="BR622" t="s">
        <v>2398</v>
      </c>
      <c r="BS622" t="s">
        <v>4024</v>
      </c>
      <c r="BV622">
        <v>0</v>
      </c>
      <c r="BW622">
        <v>0</v>
      </c>
      <c r="BX622">
        <v>0</v>
      </c>
      <c r="BY622">
        <v>0</v>
      </c>
      <c r="BZ622">
        <v>0</v>
      </c>
      <c r="CA622">
        <v>0</v>
      </c>
      <c r="CB622">
        <v>0</v>
      </c>
      <c r="CC622">
        <v>0</v>
      </c>
      <c r="CD622">
        <v>0</v>
      </c>
      <c r="CE622" t="s">
        <v>3108</v>
      </c>
      <c r="CF622" t="s">
        <v>3108</v>
      </c>
      <c r="CG622" t="s">
        <v>3108</v>
      </c>
      <c r="CH622" t="s">
        <v>3108</v>
      </c>
    </row>
    <row r="623" spans="1:86" x14ac:dyDescent="0.2">
      <c r="A623" t="s">
        <v>4252</v>
      </c>
      <c r="B623" t="s">
        <v>4252</v>
      </c>
      <c r="C623">
        <v>40995</v>
      </c>
      <c r="D623">
        <v>262</v>
      </c>
      <c r="E623" t="s">
        <v>4253</v>
      </c>
      <c r="F623">
        <v>2900</v>
      </c>
      <c r="G623" t="s">
        <v>822</v>
      </c>
      <c r="H623" t="s">
        <v>3108</v>
      </c>
      <c r="I623" t="s">
        <v>3108</v>
      </c>
      <c r="J623">
        <v>2904</v>
      </c>
      <c r="K623" t="s">
        <v>1690</v>
      </c>
      <c r="L623">
        <v>3100</v>
      </c>
      <c r="M623" t="s">
        <v>127</v>
      </c>
      <c r="N623">
        <v>3106</v>
      </c>
      <c r="O623" t="s">
        <v>2417</v>
      </c>
      <c r="P623" t="s">
        <v>3108</v>
      </c>
      <c r="Q623" t="s">
        <v>3249</v>
      </c>
      <c r="R623" t="s">
        <v>3249</v>
      </c>
      <c r="S623" t="s">
        <v>810</v>
      </c>
      <c r="T623" t="s">
        <v>2754</v>
      </c>
      <c r="U623" t="s">
        <v>3250</v>
      </c>
      <c r="V623" t="s">
        <v>3250</v>
      </c>
      <c r="W623" t="s">
        <v>3250</v>
      </c>
      <c r="X623" t="s">
        <v>3250</v>
      </c>
      <c r="Y623" t="s">
        <v>3250</v>
      </c>
      <c r="Z623" t="s">
        <v>3250</v>
      </c>
      <c r="AA623" t="s">
        <v>3108</v>
      </c>
      <c r="AB623" t="s">
        <v>3108</v>
      </c>
      <c r="AC623" t="s">
        <v>3250</v>
      </c>
      <c r="AD623" t="s">
        <v>3250</v>
      </c>
      <c r="AE623" t="s">
        <v>3250</v>
      </c>
      <c r="AF623" t="s">
        <v>3250</v>
      </c>
      <c r="AG623" t="s">
        <v>3250</v>
      </c>
      <c r="AH623" t="s">
        <v>3250</v>
      </c>
      <c r="AI623" t="s">
        <v>3250</v>
      </c>
      <c r="AJ623" t="s">
        <v>3250</v>
      </c>
      <c r="AL623" t="s">
        <v>3250</v>
      </c>
      <c r="AM623" t="s">
        <v>3250</v>
      </c>
      <c r="AN623" t="s">
        <v>3250</v>
      </c>
      <c r="AO623" t="s">
        <v>3250</v>
      </c>
      <c r="AS623" t="s">
        <v>3250</v>
      </c>
      <c r="AT623" t="s">
        <v>3250</v>
      </c>
      <c r="AU623" t="s">
        <v>3250</v>
      </c>
      <c r="AV623" t="s">
        <v>3250</v>
      </c>
      <c r="AW623" t="s">
        <v>3250</v>
      </c>
      <c r="AX623" t="s">
        <v>3250</v>
      </c>
      <c r="AY623" t="s">
        <v>3250</v>
      </c>
      <c r="AZ623" t="s">
        <v>3250</v>
      </c>
      <c r="BA623" t="s">
        <v>3250</v>
      </c>
      <c r="BB623" t="s">
        <v>3250</v>
      </c>
      <c r="BC623" t="s">
        <v>3250</v>
      </c>
      <c r="BE623" t="s">
        <v>3250</v>
      </c>
      <c r="BF623" t="s">
        <v>3250</v>
      </c>
      <c r="BG623" t="s">
        <v>3250</v>
      </c>
      <c r="BH623" t="s">
        <v>3250</v>
      </c>
      <c r="BI623" t="s">
        <v>3250</v>
      </c>
      <c r="BK623" t="s">
        <v>3250</v>
      </c>
      <c r="BL623" t="s">
        <v>3250</v>
      </c>
      <c r="BM623" t="s">
        <v>3250</v>
      </c>
      <c r="BN623" t="s">
        <v>3250</v>
      </c>
      <c r="BP623">
        <v>8</v>
      </c>
      <c r="BQ623">
        <v>84</v>
      </c>
      <c r="BR623" t="s">
        <v>2417</v>
      </c>
      <c r="BS623" t="s">
        <v>4013</v>
      </c>
      <c r="BV623">
        <v>0</v>
      </c>
      <c r="BW623">
        <v>0</v>
      </c>
      <c r="BX623">
        <v>0</v>
      </c>
      <c r="BY623">
        <v>0</v>
      </c>
      <c r="BZ623">
        <v>0</v>
      </c>
      <c r="CA623">
        <v>0</v>
      </c>
      <c r="CB623">
        <v>0</v>
      </c>
      <c r="CC623">
        <v>0</v>
      </c>
      <c r="CD623">
        <v>0</v>
      </c>
      <c r="CE623" t="s">
        <v>3108</v>
      </c>
      <c r="CF623" t="s">
        <v>3108</v>
      </c>
      <c r="CG623" t="s">
        <v>3108</v>
      </c>
      <c r="CH623" t="s">
        <v>3108</v>
      </c>
    </row>
    <row r="624" spans="1:86" x14ac:dyDescent="0.2">
      <c r="A624" t="s">
        <v>4254</v>
      </c>
      <c r="B624" t="s">
        <v>4254</v>
      </c>
      <c r="C624">
        <v>40996</v>
      </c>
      <c r="D624">
        <v>263</v>
      </c>
      <c r="E624" t="s">
        <v>4255</v>
      </c>
      <c r="F624">
        <v>2900</v>
      </c>
      <c r="G624" t="s">
        <v>822</v>
      </c>
      <c r="H624" t="s">
        <v>3108</v>
      </c>
      <c r="I624" t="s">
        <v>3108</v>
      </c>
      <c r="J624">
        <v>2904</v>
      </c>
      <c r="K624" t="s">
        <v>1690</v>
      </c>
      <c r="L624">
        <v>3100</v>
      </c>
      <c r="M624" t="s">
        <v>127</v>
      </c>
      <c r="N624">
        <v>3106</v>
      </c>
      <c r="O624" t="s">
        <v>2417</v>
      </c>
      <c r="P624" t="s">
        <v>3108</v>
      </c>
      <c r="Q624" t="s">
        <v>3249</v>
      </c>
      <c r="R624" t="s">
        <v>3249</v>
      </c>
      <c r="S624" t="s">
        <v>810</v>
      </c>
      <c r="T624" t="s">
        <v>2754</v>
      </c>
      <c r="U624" t="s">
        <v>3250</v>
      </c>
      <c r="V624" t="s">
        <v>3250</v>
      </c>
      <c r="W624" t="s">
        <v>3250</v>
      </c>
      <c r="X624" t="s">
        <v>3250</v>
      </c>
      <c r="Y624" t="s">
        <v>3250</v>
      </c>
      <c r="Z624" t="s">
        <v>3250</v>
      </c>
      <c r="AA624" t="s">
        <v>3108</v>
      </c>
      <c r="AB624" t="s">
        <v>3108</v>
      </c>
      <c r="AC624" t="s">
        <v>3250</v>
      </c>
      <c r="AD624" t="s">
        <v>3250</v>
      </c>
      <c r="AE624" t="s">
        <v>3250</v>
      </c>
      <c r="AF624" t="s">
        <v>3250</v>
      </c>
      <c r="AG624" t="s">
        <v>3250</v>
      </c>
      <c r="AH624" t="s">
        <v>3250</v>
      </c>
      <c r="AI624" t="s">
        <v>3250</v>
      </c>
      <c r="AJ624" t="s">
        <v>3250</v>
      </c>
      <c r="AL624" t="s">
        <v>3250</v>
      </c>
      <c r="AM624" t="s">
        <v>3250</v>
      </c>
      <c r="AN624" t="s">
        <v>3250</v>
      </c>
      <c r="AO624" t="s">
        <v>3250</v>
      </c>
      <c r="AS624" t="s">
        <v>3250</v>
      </c>
      <c r="AT624" t="s">
        <v>3250</v>
      </c>
      <c r="AU624" t="s">
        <v>3250</v>
      </c>
      <c r="AV624" t="s">
        <v>3250</v>
      </c>
      <c r="AW624" t="s">
        <v>3250</v>
      </c>
      <c r="AX624" t="s">
        <v>3250</v>
      </c>
      <c r="AY624" t="s">
        <v>3250</v>
      </c>
      <c r="AZ624" t="s">
        <v>3250</v>
      </c>
      <c r="BA624" t="s">
        <v>3250</v>
      </c>
      <c r="BB624" t="s">
        <v>3250</v>
      </c>
      <c r="BC624" t="s">
        <v>3250</v>
      </c>
      <c r="BE624" t="s">
        <v>3250</v>
      </c>
      <c r="BF624" t="s">
        <v>3250</v>
      </c>
      <c r="BG624" t="s">
        <v>3250</v>
      </c>
      <c r="BH624" t="s">
        <v>3250</v>
      </c>
      <c r="BI624" t="s">
        <v>3250</v>
      </c>
      <c r="BK624" t="s">
        <v>3250</v>
      </c>
      <c r="BL624" t="s">
        <v>3250</v>
      </c>
      <c r="BM624" t="s">
        <v>3250</v>
      </c>
      <c r="BN624" t="s">
        <v>3250</v>
      </c>
      <c r="BP624">
        <v>8</v>
      </c>
      <c r="BQ624">
        <v>84</v>
      </c>
      <c r="BR624" t="s">
        <v>2417</v>
      </c>
      <c r="BS624" t="s">
        <v>4013</v>
      </c>
      <c r="BV624">
        <v>0</v>
      </c>
      <c r="BW624">
        <v>0</v>
      </c>
      <c r="BX624">
        <v>0</v>
      </c>
      <c r="BY624">
        <v>0</v>
      </c>
      <c r="BZ624">
        <v>0</v>
      </c>
      <c r="CA624">
        <v>0</v>
      </c>
      <c r="CB624">
        <v>0</v>
      </c>
      <c r="CC624">
        <v>0</v>
      </c>
      <c r="CD624">
        <v>0</v>
      </c>
      <c r="CE624" t="s">
        <v>3108</v>
      </c>
      <c r="CF624" t="s">
        <v>3108</v>
      </c>
      <c r="CG624" t="s">
        <v>3108</v>
      </c>
      <c r="CH624" t="s">
        <v>3108</v>
      </c>
    </row>
    <row r="625" spans="1:86" x14ac:dyDescent="0.2">
      <c r="A625" t="s">
        <v>4256</v>
      </c>
      <c r="B625" t="s">
        <v>4256</v>
      </c>
      <c r="C625">
        <v>40997</v>
      </c>
      <c r="D625">
        <v>264</v>
      </c>
      <c r="E625" t="s">
        <v>4015</v>
      </c>
      <c r="F625">
        <v>2900</v>
      </c>
      <c r="G625" t="s">
        <v>822</v>
      </c>
      <c r="H625" t="s">
        <v>3108</v>
      </c>
      <c r="I625" t="s">
        <v>3108</v>
      </c>
      <c r="J625">
        <v>2904</v>
      </c>
      <c r="K625" t="s">
        <v>1690</v>
      </c>
      <c r="L625">
        <v>3100</v>
      </c>
      <c r="M625" t="s">
        <v>127</v>
      </c>
      <c r="N625">
        <v>3106</v>
      </c>
      <c r="O625" t="s">
        <v>2417</v>
      </c>
      <c r="P625" t="s">
        <v>3108</v>
      </c>
      <c r="Q625" t="s">
        <v>3249</v>
      </c>
      <c r="R625" t="s">
        <v>3249</v>
      </c>
      <c r="S625" t="s">
        <v>810</v>
      </c>
      <c r="T625" t="s">
        <v>2754</v>
      </c>
      <c r="U625" t="s">
        <v>3250</v>
      </c>
      <c r="V625" t="s">
        <v>3250</v>
      </c>
      <c r="W625" t="s">
        <v>3250</v>
      </c>
      <c r="X625" t="s">
        <v>3250</v>
      </c>
      <c r="Y625" t="s">
        <v>3250</v>
      </c>
      <c r="Z625" t="s">
        <v>3250</v>
      </c>
      <c r="AA625" t="s">
        <v>3108</v>
      </c>
      <c r="AB625" t="s">
        <v>3108</v>
      </c>
      <c r="AC625" t="s">
        <v>3250</v>
      </c>
      <c r="AD625" t="s">
        <v>3250</v>
      </c>
      <c r="AE625" t="s">
        <v>3250</v>
      </c>
      <c r="AF625" t="s">
        <v>3250</v>
      </c>
      <c r="AG625" t="s">
        <v>3250</v>
      </c>
      <c r="AH625" t="s">
        <v>3250</v>
      </c>
      <c r="AI625" t="s">
        <v>3250</v>
      </c>
      <c r="AJ625" t="s">
        <v>3250</v>
      </c>
      <c r="AL625" t="s">
        <v>3250</v>
      </c>
      <c r="AM625" t="s">
        <v>3250</v>
      </c>
      <c r="AN625" t="s">
        <v>3250</v>
      </c>
      <c r="AO625" t="s">
        <v>3250</v>
      </c>
      <c r="AS625" t="s">
        <v>3250</v>
      </c>
      <c r="AT625" t="s">
        <v>3250</v>
      </c>
      <c r="AU625" t="s">
        <v>3250</v>
      </c>
      <c r="AV625" t="s">
        <v>3250</v>
      </c>
      <c r="AW625" t="s">
        <v>3250</v>
      </c>
      <c r="AX625" t="s">
        <v>3250</v>
      </c>
      <c r="AY625" t="s">
        <v>3250</v>
      </c>
      <c r="AZ625" t="s">
        <v>3250</v>
      </c>
      <c r="BA625" t="s">
        <v>3250</v>
      </c>
      <c r="BB625" t="s">
        <v>3250</v>
      </c>
      <c r="BC625" t="s">
        <v>3250</v>
      </c>
      <c r="BE625" t="s">
        <v>3250</v>
      </c>
      <c r="BF625" t="s">
        <v>3250</v>
      </c>
      <c r="BG625" t="s">
        <v>3250</v>
      </c>
      <c r="BH625" t="s">
        <v>3250</v>
      </c>
      <c r="BI625" t="s">
        <v>3250</v>
      </c>
      <c r="BK625" t="s">
        <v>3250</v>
      </c>
      <c r="BL625" t="s">
        <v>3250</v>
      </c>
      <c r="BM625" t="s">
        <v>3250</v>
      </c>
      <c r="BN625" t="s">
        <v>3250</v>
      </c>
      <c r="BP625">
        <v>8</v>
      </c>
      <c r="BQ625">
        <v>84</v>
      </c>
      <c r="BR625" t="s">
        <v>2417</v>
      </c>
      <c r="BS625" t="s">
        <v>4013</v>
      </c>
      <c r="BV625">
        <v>0</v>
      </c>
      <c r="BW625">
        <v>0</v>
      </c>
      <c r="BX625">
        <v>0</v>
      </c>
      <c r="BY625">
        <v>0</v>
      </c>
      <c r="BZ625">
        <v>0</v>
      </c>
      <c r="CA625">
        <v>0</v>
      </c>
      <c r="CB625">
        <v>0</v>
      </c>
      <c r="CC625">
        <v>0</v>
      </c>
      <c r="CD625">
        <v>0</v>
      </c>
      <c r="CE625" t="s">
        <v>3108</v>
      </c>
      <c r="CF625" t="s">
        <v>3108</v>
      </c>
      <c r="CG625" t="s">
        <v>3108</v>
      </c>
      <c r="CH625" t="s">
        <v>3108</v>
      </c>
    </row>
    <row r="626" spans="1:86" x14ac:dyDescent="0.2">
      <c r="A626" t="s">
        <v>4257</v>
      </c>
      <c r="B626" t="s">
        <v>4257</v>
      </c>
      <c r="C626">
        <v>40998</v>
      </c>
      <c r="D626">
        <v>265</v>
      </c>
      <c r="E626" t="s">
        <v>4232</v>
      </c>
      <c r="F626">
        <v>2900</v>
      </c>
      <c r="G626" t="s">
        <v>822</v>
      </c>
      <c r="H626" t="s">
        <v>3108</v>
      </c>
      <c r="I626" t="s">
        <v>3108</v>
      </c>
      <c r="J626">
        <v>2904</v>
      </c>
      <c r="K626" t="s">
        <v>1690</v>
      </c>
      <c r="L626">
        <v>3100</v>
      </c>
      <c r="M626" t="s">
        <v>127</v>
      </c>
      <c r="N626">
        <v>3106</v>
      </c>
      <c r="O626" t="s">
        <v>2417</v>
      </c>
      <c r="P626" t="s">
        <v>3108</v>
      </c>
      <c r="Q626" t="s">
        <v>3249</v>
      </c>
      <c r="R626" t="s">
        <v>3249</v>
      </c>
      <c r="S626" t="s">
        <v>810</v>
      </c>
      <c r="T626" t="s">
        <v>2754</v>
      </c>
      <c r="U626" t="s">
        <v>3250</v>
      </c>
      <c r="V626" t="s">
        <v>3250</v>
      </c>
      <c r="W626" t="s">
        <v>3250</v>
      </c>
      <c r="X626" t="s">
        <v>3250</v>
      </c>
      <c r="Y626" t="s">
        <v>3250</v>
      </c>
      <c r="Z626" t="s">
        <v>3250</v>
      </c>
      <c r="AA626" t="s">
        <v>3108</v>
      </c>
      <c r="AB626" t="s">
        <v>3108</v>
      </c>
      <c r="AC626" t="s">
        <v>3250</v>
      </c>
      <c r="AD626" t="s">
        <v>3250</v>
      </c>
      <c r="AE626" t="s">
        <v>3250</v>
      </c>
      <c r="AF626" t="s">
        <v>3250</v>
      </c>
      <c r="AG626" t="s">
        <v>3250</v>
      </c>
      <c r="AH626" t="s">
        <v>3250</v>
      </c>
      <c r="AI626" t="s">
        <v>3250</v>
      </c>
      <c r="AJ626" t="s">
        <v>3250</v>
      </c>
      <c r="AL626" t="s">
        <v>3250</v>
      </c>
      <c r="AM626" t="s">
        <v>3250</v>
      </c>
      <c r="AN626" t="s">
        <v>3250</v>
      </c>
      <c r="AO626" t="s">
        <v>3250</v>
      </c>
      <c r="AS626" t="s">
        <v>3250</v>
      </c>
      <c r="AT626" t="s">
        <v>3250</v>
      </c>
      <c r="AU626" t="s">
        <v>3250</v>
      </c>
      <c r="AV626" t="s">
        <v>3250</v>
      </c>
      <c r="AW626" t="s">
        <v>3250</v>
      </c>
      <c r="AX626" t="s">
        <v>3250</v>
      </c>
      <c r="AY626" t="s">
        <v>3250</v>
      </c>
      <c r="AZ626" t="s">
        <v>3250</v>
      </c>
      <c r="BA626" t="s">
        <v>3250</v>
      </c>
      <c r="BB626" t="s">
        <v>3250</v>
      </c>
      <c r="BC626" t="s">
        <v>3250</v>
      </c>
      <c r="BE626" t="s">
        <v>3250</v>
      </c>
      <c r="BF626" t="s">
        <v>3250</v>
      </c>
      <c r="BG626" t="s">
        <v>3250</v>
      </c>
      <c r="BH626" t="s">
        <v>3250</v>
      </c>
      <c r="BI626" t="s">
        <v>3250</v>
      </c>
      <c r="BK626" t="s">
        <v>3250</v>
      </c>
      <c r="BL626" t="s">
        <v>3250</v>
      </c>
      <c r="BM626" t="s">
        <v>3250</v>
      </c>
      <c r="BN626" t="s">
        <v>3250</v>
      </c>
      <c r="BP626">
        <v>8</v>
      </c>
      <c r="BQ626">
        <v>84</v>
      </c>
      <c r="BR626" t="s">
        <v>2417</v>
      </c>
      <c r="BS626" t="s">
        <v>4013</v>
      </c>
      <c r="BV626">
        <v>0</v>
      </c>
      <c r="BW626">
        <v>0</v>
      </c>
      <c r="BX626">
        <v>274</v>
      </c>
      <c r="BY626">
        <v>0</v>
      </c>
      <c r="BZ626">
        <v>0</v>
      </c>
      <c r="CA626">
        <v>0</v>
      </c>
      <c r="CB626">
        <v>0</v>
      </c>
      <c r="CC626">
        <v>0</v>
      </c>
      <c r="CD626">
        <v>0</v>
      </c>
      <c r="CE626" t="s">
        <v>3108</v>
      </c>
      <c r="CF626" t="s">
        <v>3108</v>
      </c>
      <c r="CG626" t="s">
        <v>3108</v>
      </c>
      <c r="CH626" t="s">
        <v>3108</v>
      </c>
    </row>
    <row r="627" spans="1:86" x14ac:dyDescent="0.2">
      <c r="A627" t="s">
        <v>4258</v>
      </c>
      <c r="B627" t="s">
        <v>4258</v>
      </c>
      <c r="C627">
        <v>40999</v>
      </c>
      <c r="D627">
        <v>166</v>
      </c>
      <c r="E627" t="s">
        <v>3994</v>
      </c>
      <c r="F627">
        <v>2600</v>
      </c>
      <c r="G627" t="s">
        <v>1334</v>
      </c>
      <c r="H627">
        <v>2600</v>
      </c>
      <c r="I627" t="s">
        <v>1334</v>
      </c>
      <c r="J627" t="s">
        <v>3250</v>
      </c>
      <c r="K627" t="s">
        <v>3250</v>
      </c>
      <c r="L627">
        <v>4400</v>
      </c>
      <c r="M627" t="s">
        <v>988</v>
      </c>
      <c r="N627">
        <v>4404</v>
      </c>
      <c r="O627" t="s">
        <v>2440</v>
      </c>
      <c r="P627" t="s">
        <v>3108</v>
      </c>
      <c r="Q627" t="s">
        <v>3249</v>
      </c>
      <c r="R627" t="s">
        <v>3249</v>
      </c>
      <c r="S627" t="s">
        <v>810</v>
      </c>
      <c r="T627" t="s">
        <v>2754</v>
      </c>
      <c r="U627" t="s">
        <v>3250</v>
      </c>
      <c r="V627" t="s">
        <v>3250</v>
      </c>
      <c r="W627" t="s">
        <v>3250</v>
      </c>
      <c r="X627" t="s">
        <v>3250</v>
      </c>
      <c r="Y627" t="s">
        <v>3250</v>
      </c>
      <c r="Z627" t="s">
        <v>3250</v>
      </c>
      <c r="AA627" t="s">
        <v>3108</v>
      </c>
      <c r="AB627" t="s">
        <v>3108</v>
      </c>
      <c r="AC627" t="s">
        <v>3250</v>
      </c>
      <c r="AD627" t="s">
        <v>3250</v>
      </c>
      <c r="AE627" t="s">
        <v>3250</v>
      </c>
      <c r="AF627" t="s">
        <v>3250</v>
      </c>
      <c r="AG627" t="s">
        <v>3250</v>
      </c>
      <c r="AH627" t="s">
        <v>3250</v>
      </c>
      <c r="AI627" t="s">
        <v>3250</v>
      </c>
      <c r="AJ627" t="s">
        <v>3250</v>
      </c>
      <c r="AL627" t="s">
        <v>3250</v>
      </c>
      <c r="AM627" t="s">
        <v>3250</v>
      </c>
      <c r="AN627" t="s">
        <v>3250</v>
      </c>
      <c r="AO627" t="s">
        <v>3250</v>
      </c>
      <c r="AS627" t="s">
        <v>3250</v>
      </c>
      <c r="AT627" t="s">
        <v>3250</v>
      </c>
      <c r="AU627" t="s">
        <v>3250</v>
      </c>
      <c r="AV627" t="s">
        <v>3250</v>
      </c>
      <c r="AW627" t="s">
        <v>3250</v>
      </c>
      <c r="AX627" t="s">
        <v>3250</v>
      </c>
      <c r="AY627" t="s">
        <v>3250</v>
      </c>
      <c r="AZ627" t="s">
        <v>3250</v>
      </c>
      <c r="BA627" t="s">
        <v>3250</v>
      </c>
      <c r="BB627" t="s">
        <v>3250</v>
      </c>
      <c r="BC627" t="s">
        <v>3250</v>
      </c>
      <c r="BE627" t="s">
        <v>3250</v>
      </c>
      <c r="BF627" t="s">
        <v>3250</v>
      </c>
      <c r="BG627" t="s">
        <v>3250</v>
      </c>
      <c r="BH627" t="s">
        <v>3250</v>
      </c>
      <c r="BI627" t="s">
        <v>3250</v>
      </c>
      <c r="BK627" t="s">
        <v>3250</v>
      </c>
      <c r="BL627" t="s">
        <v>3250</v>
      </c>
      <c r="BM627" t="s">
        <v>3250</v>
      </c>
      <c r="BN627" t="s">
        <v>3250</v>
      </c>
      <c r="BP627">
        <v>12</v>
      </c>
      <c r="BQ627">
        <v>122</v>
      </c>
      <c r="BR627" t="s">
        <v>2440</v>
      </c>
      <c r="BS627" t="s">
        <v>941</v>
      </c>
      <c r="BV627">
        <v>0</v>
      </c>
      <c r="BW627">
        <v>0</v>
      </c>
      <c r="BX627">
        <v>169708</v>
      </c>
      <c r="BY627">
        <v>40000</v>
      </c>
      <c r="BZ627">
        <v>40000</v>
      </c>
      <c r="CA627">
        <v>60000</v>
      </c>
      <c r="CB627">
        <v>62400</v>
      </c>
      <c r="CC627">
        <v>64896</v>
      </c>
      <c r="CD627">
        <v>57315</v>
      </c>
      <c r="CE627" t="s">
        <v>3108</v>
      </c>
      <c r="CF627" t="s">
        <v>3108</v>
      </c>
      <c r="CG627" t="s">
        <v>3108</v>
      </c>
      <c r="CH627" t="s">
        <v>3108</v>
      </c>
    </row>
    <row r="628" spans="1:86" x14ac:dyDescent="0.2">
      <c r="A628" t="s">
        <v>4259</v>
      </c>
      <c r="B628" t="s">
        <v>4259</v>
      </c>
      <c r="C628">
        <v>41000</v>
      </c>
      <c r="D628">
        <v>167</v>
      </c>
      <c r="E628" t="s">
        <v>3994</v>
      </c>
      <c r="F628">
        <v>2600</v>
      </c>
      <c r="G628" t="s">
        <v>1334</v>
      </c>
      <c r="H628">
        <v>2600</v>
      </c>
      <c r="I628" t="s">
        <v>1334</v>
      </c>
      <c r="J628" t="s">
        <v>3250</v>
      </c>
      <c r="K628" t="s">
        <v>3250</v>
      </c>
      <c r="L628">
        <v>4400</v>
      </c>
      <c r="M628" t="s">
        <v>988</v>
      </c>
      <c r="N628">
        <v>4403</v>
      </c>
      <c r="O628" t="s">
        <v>2439</v>
      </c>
      <c r="P628" t="s">
        <v>3108</v>
      </c>
      <c r="Q628" t="s">
        <v>3249</v>
      </c>
      <c r="R628" t="s">
        <v>3249</v>
      </c>
      <c r="S628" t="s">
        <v>810</v>
      </c>
      <c r="T628" t="s">
        <v>2754</v>
      </c>
      <c r="U628" t="s">
        <v>3250</v>
      </c>
      <c r="V628" t="s">
        <v>3250</v>
      </c>
      <c r="W628" t="s">
        <v>3250</v>
      </c>
      <c r="X628" t="s">
        <v>3250</v>
      </c>
      <c r="Y628" t="s">
        <v>3250</v>
      </c>
      <c r="Z628" t="s">
        <v>3250</v>
      </c>
      <c r="AA628" t="s">
        <v>3108</v>
      </c>
      <c r="AB628" t="s">
        <v>3108</v>
      </c>
      <c r="AC628" t="s">
        <v>3250</v>
      </c>
      <c r="AD628" t="s">
        <v>3250</v>
      </c>
      <c r="AE628" t="s">
        <v>3250</v>
      </c>
      <c r="AF628" t="s">
        <v>3250</v>
      </c>
      <c r="AG628" t="s">
        <v>3250</v>
      </c>
      <c r="AH628" t="s">
        <v>3250</v>
      </c>
      <c r="AI628" t="s">
        <v>3250</v>
      </c>
      <c r="AJ628" t="s">
        <v>3250</v>
      </c>
      <c r="AL628" t="s">
        <v>3250</v>
      </c>
      <c r="AM628" t="s">
        <v>3250</v>
      </c>
      <c r="AN628" t="s">
        <v>3250</v>
      </c>
      <c r="AO628" t="s">
        <v>3250</v>
      </c>
      <c r="AS628" t="s">
        <v>3250</v>
      </c>
      <c r="AT628" t="s">
        <v>3250</v>
      </c>
      <c r="AU628" t="s">
        <v>3250</v>
      </c>
      <c r="AV628" t="s">
        <v>3250</v>
      </c>
      <c r="AW628" t="s">
        <v>3250</v>
      </c>
      <c r="AX628" t="s">
        <v>3250</v>
      </c>
      <c r="AY628" t="s">
        <v>3250</v>
      </c>
      <c r="AZ628" t="s">
        <v>3250</v>
      </c>
      <c r="BA628" t="s">
        <v>3250</v>
      </c>
      <c r="BB628" t="s">
        <v>3250</v>
      </c>
      <c r="BC628" t="s">
        <v>3250</v>
      </c>
      <c r="BE628" t="s">
        <v>3250</v>
      </c>
      <c r="BF628" t="s">
        <v>3250</v>
      </c>
      <c r="BG628" t="s">
        <v>3250</v>
      </c>
      <c r="BH628" t="s">
        <v>3250</v>
      </c>
      <c r="BI628" t="s">
        <v>3250</v>
      </c>
      <c r="BK628" t="s">
        <v>3250</v>
      </c>
      <c r="BL628" t="s">
        <v>3250</v>
      </c>
      <c r="BM628" t="s">
        <v>3250</v>
      </c>
      <c r="BN628" t="s">
        <v>3250</v>
      </c>
      <c r="BP628">
        <v>12</v>
      </c>
      <c r="BQ628">
        <v>121</v>
      </c>
      <c r="BR628" t="s">
        <v>2439</v>
      </c>
      <c r="BS628" t="s">
        <v>941</v>
      </c>
      <c r="BV628">
        <v>404561</v>
      </c>
      <c r="BW628">
        <v>5922</v>
      </c>
      <c r="BX628">
        <v>7567</v>
      </c>
      <c r="BY628">
        <v>60000</v>
      </c>
      <c r="BZ628">
        <v>60000</v>
      </c>
      <c r="CA628">
        <v>70000</v>
      </c>
      <c r="CB628">
        <v>72800</v>
      </c>
      <c r="CC628">
        <v>75712</v>
      </c>
      <c r="CD628">
        <v>113769</v>
      </c>
      <c r="CE628" t="s">
        <v>3108</v>
      </c>
      <c r="CF628" t="s">
        <v>3108</v>
      </c>
      <c r="CG628" t="s">
        <v>3108</v>
      </c>
      <c r="CH628" t="s">
        <v>3108</v>
      </c>
    </row>
    <row r="629" spans="1:86" x14ac:dyDescent="0.2">
      <c r="A629" t="s">
        <v>4260</v>
      </c>
      <c r="B629" t="s">
        <v>4260</v>
      </c>
      <c r="C629">
        <v>41001</v>
      </c>
      <c r="D629">
        <v>168</v>
      </c>
      <c r="E629" t="s">
        <v>4138</v>
      </c>
      <c r="F629">
        <v>2900</v>
      </c>
      <c r="G629" t="s">
        <v>822</v>
      </c>
      <c r="H629" t="s">
        <v>3108</v>
      </c>
      <c r="I629" t="s">
        <v>3108</v>
      </c>
      <c r="J629">
        <v>2904</v>
      </c>
      <c r="K629" t="s">
        <v>1690</v>
      </c>
      <c r="L629">
        <v>4400</v>
      </c>
      <c r="M629" t="s">
        <v>988</v>
      </c>
      <c r="N629">
        <v>4404</v>
      </c>
      <c r="O629" t="s">
        <v>2440</v>
      </c>
      <c r="P629" t="s">
        <v>3108</v>
      </c>
      <c r="Q629" t="s">
        <v>3249</v>
      </c>
      <c r="R629" t="s">
        <v>3249</v>
      </c>
      <c r="S629" t="s">
        <v>810</v>
      </c>
      <c r="T629" t="s">
        <v>2754</v>
      </c>
      <c r="U629" t="s">
        <v>3250</v>
      </c>
      <c r="V629" t="s">
        <v>3250</v>
      </c>
      <c r="W629" t="s">
        <v>3250</v>
      </c>
      <c r="X629" t="s">
        <v>3250</v>
      </c>
      <c r="Y629" t="s">
        <v>3250</v>
      </c>
      <c r="Z629" t="s">
        <v>3250</v>
      </c>
      <c r="AA629" t="s">
        <v>3108</v>
      </c>
      <c r="AB629" t="s">
        <v>3108</v>
      </c>
      <c r="AC629" t="s">
        <v>3250</v>
      </c>
      <c r="AD629" t="s">
        <v>3250</v>
      </c>
      <c r="AE629" t="s">
        <v>3250</v>
      </c>
      <c r="AF629" t="s">
        <v>3250</v>
      </c>
      <c r="AG629" t="s">
        <v>3250</v>
      </c>
      <c r="AH629" t="s">
        <v>3250</v>
      </c>
      <c r="AI629" t="s">
        <v>3250</v>
      </c>
      <c r="AJ629" t="s">
        <v>3250</v>
      </c>
      <c r="AL629" t="s">
        <v>3250</v>
      </c>
      <c r="AM629" t="s">
        <v>3250</v>
      </c>
      <c r="AN629" t="s">
        <v>3250</v>
      </c>
      <c r="AO629" t="s">
        <v>3250</v>
      </c>
      <c r="AS629" t="s">
        <v>3250</v>
      </c>
      <c r="AT629" t="s">
        <v>3250</v>
      </c>
      <c r="AU629" t="s">
        <v>3250</v>
      </c>
      <c r="AV629" t="s">
        <v>3250</v>
      </c>
      <c r="AW629" t="s">
        <v>3250</v>
      </c>
      <c r="AX629" t="s">
        <v>3250</v>
      </c>
      <c r="AY629" t="s">
        <v>3250</v>
      </c>
      <c r="AZ629" t="s">
        <v>3250</v>
      </c>
      <c r="BA629" t="s">
        <v>3250</v>
      </c>
      <c r="BB629" t="s">
        <v>3250</v>
      </c>
      <c r="BC629" t="s">
        <v>3250</v>
      </c>
      <c r="BE629" t="s">
        <v>3250</v>
      </c>
      <c r="BF629" t="s">
        <v>3250</v>
      </c>
      <c r="BG629" t="s">
        <v>3250</v>
      </c>
      <c r="BH629" t="s">
        <v>3250</v>
      </c>
      <c r="BI629" t="s">
        <v>3250</v>
      </c>
      <c r="BK629" t="s">
        <v>3250</v>
      </c>
      <c r="BL629" t="s">
        <v>3250</v>
      </c>
      <c r="BM629" t="s">
        <v>3250</v>
      </c>
      <c r="BN629" t="s">
        <v>3250</v>
      </c>
      <c r="BP629">
        <v>12</v>
      </c>
      <c r="BQ629">
        <v>122</v>
      </c>
      <c r="BR629" t="s">
        <v>2440</v>
      </c>
      <c r="BS629" t="s">
        <v>941</v>
      </c>
      <c r="BV629">
        <v>0</v>
      </c>
      <c r="BW629">
        <v>0</v>
      </c>
      <c r="BX629">
        <v>0</v>
      </c>
      <c r="BY629">
        <v>0</v>
      </c>
      <c r="BZ629">
        <v>0</v>
      </c>
      <c r="CA629">
        <v>0</v>
      </c>
      <c r="CB629">
        <v>0</v>
      </c>
      <c r="CC629">
        <v>0</v>
      </c>
      <c r="CD629">
        <v>0</v>
      </c>
      <c r="CE629" t="s">
        <v>3108</v>
      </c>
      <c r="CF629" t="s">
        <v>3108</v>
      </c>
      <c r="CG629" t="s">
        <v>3108</v>
      </c>
      <c r="CH629" t="s">
        <v>3108</v>
      </c>
    </row>
    <row r="630" spans="1:86" x14ac:dyDescent="0.2">
      <c r="A630" t="s">
        <v>4261</v>
      </c>
      <c r="B630" t="s">
        <v>4261</v>
      </c>
      <c r="C630">
        <v>41002</v>
      </c>
      <c r="D630">
        <v>169</v>
      </c>
      <c r="E630" t="s">
        <v>4138</v>
      </c>
      <c r="F630">
        <v>2900</v>
      </c>
      <c r="G630" t="s">
        <v>822</v>
      </c>
      <c r="H630" t="s">
        <v>3108</v>
      </c>
      <c r="I630" t="s">
        <v>3108</v>
      </c>
      <c r="J630">
        <v>2904</v>
      </c>
      <c r="K630" t="s">
        <v>1690</v>
      </c>
      <c r="L630">
        <v>4400</v>
      </c>
      <c r="M630" t="s">
        <v>988</v>
      </c>
      <c r="N630">
        <v>4403</v>
      </c>
      <c r="O630" t="s">
        <v>2439</v>
      </c>
      <c r="P630" t="s">
        <v>3108</v>
      </c>
      <c r="Q630" t="s">
        <v>3249</v>
      </c>
      <c r="R630" t="s">
        <v>3249</v>
      </c>
      <c r="S630" t="s">
        <v>810</v>
      </c>
      <c r="T630" t="s">
        <v>2754</v>
      </c>
      <c r="U630" t="s">
        <v>3250</v>
      </c>
      <c r="V630" t="s">
        <v>3250</v>
      </c>
      <c r="W630" t="s">
        <v>3250</v>
      </c>
      <c r="X630" t="s">
        <v>3250</v>
      </c>
      <c r="Y630" t="s">
        <v>3250</v>
      </c>
      <c r="Z630" t="s">
        <v>3250</v>
      </c>
      <c r="AA630" t="s">
        <v>3108</v>
      </c>
      <c r="AB630" t="s">
        <v>3108</v>
      </c>
      <c r="AC630" t="s">
        <v>3250</v>
      </c>
      <c r="AD630" t="s">
        <v>3250</v>
      </c>
      <c r="AE630" t="s">
        <v>3250</v>
      </c>
      <c r="AF630" t="s">
        <v>3250</v>
      </c>
      <c r="AG630" t="s">
        <v>3250</v>
      </c>
      <c r="AH630" t="s">
        <v>3250</v>
      </c>
      <c r="AI630" t="s">
        <v>3250</v>
      </c>
      <c r="AJ630" t="s">
        <v>3250</v>
      </c>
      <c r="AL630" t="s">
        <v>3250</v>
      </c>
      <c r="AM630" t="s">
        <v>3250</v>
      </c>
      <c r="AN630" t="s">
        <v>3250</v>
      </c>
      <c r="AO630" t="s">
        <v>3250</v>
      </c>
      <c r="AS630" t="s">
        <v>3250</v>
      </c>
      <c r="AT630" t="s">
        <v>3250</v>
      </c>
      <c r="AU630" t="s">
        <v>3250</v>
      </c>
      <c r="AV630" t="s">
        <v>3250</v>
      </c>
      <c r="AW630" t="s">
        <v>3250</v>
      </c>
      <c r="AX630" t="s">
        <v>3250</v>
      </c>
      <c r="AY630" t="s">
        <v>3250</v>
      </c>
      <c r="AZ630" t="s">
        <v>3250</v>
      </c>
      <c r="BA630" t="s">
        <v>3250</v>
      </c>
      <c r="BB630" t="s">
        <v>3250</v>
      </c>
      <c r="BC630" t="s">
        <v>3250</v>
      </c>
      <c r="BE630" t="s">
        <v>3250</v>
      </c>
      <c r="BF630" t="s">
        <v>3250</v>
      </c>
      <c r="BG630" t="s">
        <v>3250</v>
      </c>
      <c r="BH630" t="s">
        <v>3250</v>
      </c>
      <c r="BI630" t="s">
        <v>3250</v>
      </c>
      <c r="BK630" t="s">
        <v>3250</v>
      </c>
      <c r="BL630" t="s">
        <v>3250</v>
      </c>
      <c r="BM630" t="s">
        <v>3250</v>
      </c>
      <c r="BN630" t="s">
        <v>3250</v>
      </c>
      <c r="BP630">
        <v>12</v>
      </c>
      <c r="BQ630">
        <v>121</v>
      </c>
      <c r="BR630" t="s">
        <v>2439</v>
      </c>
      <c r="BS630" t="s">
        <v>941</v>
      </c>
      <c r="BV630">
        <v>0</v>
      </c>
      <c r="BW630">
        <v>0</v>
      </c>
      <c r="BX630">
        <v>0</v>
      </c>
      <c r="BY630">
        <v>0</v>
      </c>
      <c r="BZ630">
        <v>0</v>
      </c>
      <c r="CA630">
        <v>0</v>
      </c>
      <c r="CB630">
        <v>0</v>
      </c>
      <c r="CC630">
        <v>0</v>
      </c>
      <c r="CD630">
        <v>554</v>
      </c>
      <c r="CE630" t="s">
        <v>3108</v>
      </c>
      <c r="CF630" t="s">
        <v>3108</v>
      </c>
      <c r="CG630" t="s">
        <v>3108</v>
      </c>
      <c r="CH630" t="s">
        <v>3108</v>
      </c>
    </row>
    <row r="631" spans="1:86" x14ac:dyDescent="0.2">
      <c r="A631" t="s">
        <v>4262</v>
      </c>
      <c r="B631" t="s">
        <v>4262</v>
      </c>
      <c r="C631">
        <v>41003</v>
      </c>
      <c r="D631">
        <v>206</v>
      </c>
      <c r="E631" t="s">
        <v>4263</v>
      </c>
      <c r="F631">
        <v>2700</v>
      </c>
      <c r="G631" t="s">
        <v>411</v>
      </c>
      <c r="H631" t="s">
        <v>3997</v>
      </c>
      <c r="I631" t="s">
        <v>2533</v>
      </c>
      <c r="J631">
        <v>2703</v>
      </c>
      <c r="K631" t="s">
        <v>2533</v>
      </c>
      <c r="L631">
        <v>2100</v>
      </c>
      <c r="M631" t="s">
        <v>123</v>
      </c>
      <c r="N631">
        <v>2101</v>
      </c>
      <c r="O631" t="s">
        <v>1445</v>
      </c>
      <c r="P631" t="s">
        <v>3108</v>
      </c>
      <c r="Q631" t="s">
        <v>3249</v>
      </c>
      <c r="R631" t="s">
        <v>3249</v>
      </c>
      <c r="S631" t="s">
        <v>810</v>
      </c>
      <c r="T631" t="s">
        <v>2754</v>
      </c>
      <c r="U631" t="s">
        <v>3250</v>
      </c>
      <c r="V631" t="s">
        <v>3250</v>
      </c>
      <c r="W631" t="s">
        <v>3250</v>
      </c>
      <c r="X631" t="s">
        <v>3250</v>
      </c>
      <c r="Y631" t="s">
        <v>3250</v>
      </c>
      <c r="Z631" t="s">
        <v>3250</v>
      </c>
      <c r="AA631" t="s">
        <v>3108</v>
      </c>
      <c r="AB631" t="s">
        <v>3108</v>
      </c>
      <c r="AC631" t="s">
        <v>3250</v>
      </c>
      <c r="AD631" t="s">
        <v>3250</v>
      </c>
      <c r="AE631" t="s">
        <v>3250</v>
      </c>
      <c r="AF631" t="s">
        <v>3250</v>
      </c>
      <c r="AG631" t="s">
        <v>3250</v>
      </c>
      <c r="AH631" t="s">
        <v>3250</v>
      </c>
      <c r="AI631" t="s">
        <v>3250</v>
      </c>
      <c r="AJ631" t="s">
        <v>3250</v>
      </c>
      <c r="AL631" t="s">
        <v>3250</v>
      </c>
      <c r="AM631" t="s">
        <v>3250</v>
      </c>
      <c r="AN631" t="s">
        <v>3250</v>
      </c>
      <c r="AO631" t="s">
        <v>3250</v>
      </c>
      <c r="AS631" t="s">
        <v>3250</v>
      </c>
      <c r="AT631" t="s">
        <v>3250</v>
      </c>
      <c r="AU631" t="s">
        <v>3250</v>
      </c>
      <c r="AV631" t="s">
        <v>3250</v>
      </c>
      <c r="AW631" t="s">
        <v>3250</v>
      </c>
      <c r="AX631" t="s">
        <v>3250</v>
      </c>
      <c r="AY631" t="s">
        <v>3250</v>
      </c>
      <c r="AZ631" t="s">
        <v>3250</v>
      </c>
      <c r="BA631" t="s">
        <v>3250</v>
      </c>
      <c r="BB631" t="s">
        <v>3250</v>
      </c>
      <c r="BC631" t="s">
        <v>3250</v>
      </c>
      <c r="BE631" t="s">
        <v>3250</v>
      </c>
      <c r="BF631" t="s">
        <v>3250</v>
      </c>
      <c r="BG631" t="s">
        <v>3250</v>
      </c>
      <c r="BH631" t="s">
        <v>3250</v>
      </c>
      <c r="BI631" t="s">
        <v>3250</v>
      </c>
      <c r="BK631" t="s">
        <v>3250</v>
      </c>
      <c r="BL631" t="s">
        <v>3250</v>
      </c>
      <c r="BM631" t="s">
        <v>3250</v>
      </c>
      <c r="BN631" t="s">
        <v>3250</v>
      </c>
      <c r="BP631">
        <v>4</v>
      </c>
      <c r="BQ631">
        <v>48</v>
      </c>
      <c r="BR631" t="s">
        <v>1445</v>
      </c>
      <c r="BS631" t="s">
        <v>4024</v>
      </c>
      <c r="BV631">
        <v>7550</v>
      </c>
      <c r="BW631">
        <v>0</v>
      </c>
      <c r="BX631">
        <v>0</v>
      </c>
      <c r="BY631">
        <v>0</v>
      </c>
      <c r="BZ631">
        <v>0</v>
      </c>
      <c r="CA631">
        <v>0</v>
      </c>
      <c r="CB631">
        <v>0</v>
      </c>
      <c r="CC631">
        <v>0</v>
      </c>
      <c r="CD631">
        <v>0</v>
      </c>
      <c r="CE631" t="s">
        <v>3108</v>
      </c>
      <c r="CF631" t="s">
        <v>3108</v>
      </c>
      <c r="CG631" t="s">
        <v>3108</v>
      </c>
      <c r="CH631" t="s">
        <v>3108</v>
      </c>
    </row>
    <row r="632" spans="1:86" x14ac:dyDescent="0.2">
      <c r="A632" t="s">
        <v>4264</v>
      </c>
      <c r="B632" t="s">
        <v>4264</v>
      </c>
      <c r="C632">
        <v>41004</v>
      </c>
      <c r="D632">
        <v>207</v>
      </c>
      <c r="E632" t="s">
        <v>3992</v>
      </c>
      <c r="F632">
        <v>2900</v>
      </c>
      <c r="G632" t="s">
        <v>822</v>
      </c>
      <c r="H632" t="s">
        <v>3108</v>
      </c>
      <c r="I632" t="s">
        <v>3108</v>
      </c>
      <c r="J632">
        <v>2904</v>
      </c>
      <c r="K632" t="s">
        <v>1690</v>
      </c>
      <c r="L632">
        <v>2100</v>
      </c>
      <c r="M632" t="s">
        <v>123</v>
      </c>
      <c r="N632">
        <v>2101</v>
      </c>
      <c r="O632" t="s">
        <v>1445</v>
      </c>
      <c r="P632" t="s">
        <v>3108</v>
      </c>
      <c r="Q632" t="s">
        <v>3249</v>
      </c>
      <c r="R632" t="s">
        <v>3249</v>
      </c>
      <c r="S632" t="s">
        <v>810</v>
      </c>
      <c r="T632" t="s">
        <v>2754</v>
      </c>
      <c r="U632" t="s">
        <v>3250</v>
      </c>
      <c r="V632" t="s">
        <v>3250</v>
      </c>
      <c r="W632" t="s">
        <v>3250</v>
      </c>
      <c r="X632" t="s">
        <v>3250</v>
      </c>
      <c r="Y632" t="s">
        <v>3250</v>
      </c>
      <c r="Z632" t="s">
        <v>3250</v>
      </c>
      <c r="AA632" t="s">
        <v>3108</v>
      </c>
      <c r="AB632" t="s">
        <v>3108</v>
      </c>
      <c r="AC632" t="s">
        <v>3250</v>
      </c>
      <c r="AD632" t="s">
        <v>3250</v>
      </c>
      <c r="AE632" t="s">
        <v>3250</v>
      </c>
      <c r="AF632" t="s">
        <v>3250</v>
      </c>
      <c r="AG632" t="s">
        <v>3250</v>
      </c>
      <c r="AH632" t="s">
        <v>3250</v>
      </c>
      <c r="AI632" t="s">
        <v>3250</v>
      </c>
      <c r="AJ632" t="s">
        <v>3250</v>
      </c>
      <c r="AL632" t="s">
        <v>3250</v>
      </c>
      <c r="AM632" t="s">
        <v>3250</v>
      </c>
      <c r="AN632" t="s">
        <v>3250</v>
      </c>
      <c r="AO632" t="s">
        <v>3250</v>
      </c>
      <c r="AS632" t="s">
        <v>3250</v>
      </c>
      <c r="AT632" t="s">
        <v>3250</v>
      </c>
      <c r="AU632" t="s">
        <v>3250</v>
      </c>
      <c r="AV632" t="s">
        <v>3250</v>
      </c>
      <c r="AW632" t="s">
        <v>3250</v>
      </c>
      <c r="AX632" t="s">
        <v>3250</v>
      </c>
      <c r="AY632" t="s">
        <v>3250</v>
      </c>
      <c r="AZ632" t="s">
        <v>3250</v>
      </c>
      <c r="BA632" t="s">
        <v>3250</v>
      </c>
      <c r="BB632" t="s">
        <v>3250</v>
      </c>
      <c r="BC632" t="s">
        <v>3250</v>
      </c>
      <c r="BE632" t="s">
        <v>3250</v>
      </c>
      <c r="BF632" t="s">
        <v>3250</v>
      </c>
      <c r="BG632" t="s">
        <v>3250</v>
      </c>
      <c r="BH632" t="s">
        <v>3250</v>
      </c>
      <c r="BI632" t="s">
        <v>3250</v>
      </c>
      <c r="BK632" t="s">
        <v>3250</v>
      </c>
      <c r="BL632" t="s">
        <v>3250</v>
      </c>
      <c r="BM632" t="s">
        <v>3250</v>
      </c>
      <c r="BN632" t="s">
        <v>3250</v>
      </c>
      <c r="BP632">
        <v>4</v>
      </c>
      <c r="BQ632">
        <v>48</v>
      </c>
      <c r="BR632" t="s">
        <v>1445</v>
      </c>
      <c r="BS632" t="s">
        <v>4024</v>
      </c>
      <c r="BV632">
        <v>229535</v>
      </c>
      <c r="BW632">
        <v>142425</v>
      </c>
      <c r="BX632">
        <v>0</v>
      </c>
      <c r="BY632">
        <v>150000</v>
      </c>
      <c r="BZ632">
        <v>124572</v>
      </c>
      <c r="CA632">
        <v>400000</v>
      </c>
      <c r="CB632">
        <v>416000</v>
      </c>
      <c r="CC632">
        <v>432640</v>
      </c>
      <c r="CD632">
        <v>124572</v>
      </c>
      <c r="CE632" t="s">
        <v>3108</v>
      </c>
      <c r="CF632" t="s">
        <v>3108</v>
      </c>
      <c r="CG632" t="s">
        <v>3108</v>
      </c>
      <c r="CH632" t="s">
        <v>3108</v>
      </c>
    </row>
    <row r="633" spans="1:86" x14ac:dyDescent="0.2">
      <c r="A633" t="s">
        <v>4265</v>
      </c>
      <c r="B633" t="s">
        <v>4265</v>
      </c>
      <c r="C633">
        <v>41005</v>
      </c>
      <c r="D633">
        <v>208</v>
      </c>
      <c r="E633" t="s">
        <v>4010</v>
      </c>
      <c r="F633">
        <v>2900</v>
      </c>
      <c r="G633" t="s">
        <v>822</v>
      </c>
      <c r="H633" t="s">
        <v>3108</v>
      </c>
      <c r="I633" t="s">
        <v>3108</v>
      </c>
      <c r="J633">
        <v>2904</v>
      </c>
      <c r="K633" t="s">
        <v>1690</v>
      </c>
      <c r="L633">
        <v>2100</v>
      </c>
      <c r="M633" t="s">
        <v>123</v>
      </c>
      <c r="N633">
        <v>2101</v>
      </c>
      <c r="O633" t="s">
        <v>1445</v>
      </c>
      <c r="P633" t="s">
        <v>3108</v>
      </c>
      <c r="Q633" t="s">
        <v>3249</v>
      </c>
      <c r="R633" t="s">
        <v>3249</v>
      </c>
      <c r="S633" t="s">
        <v>810</v>
      </c>
      <c r="T633" t="s">
        <v>2754</v>
      </c>
      <c r="U633" t="s">
        <v>3250</v>
      </c>
      <c r="V633" t="s">
        <v>3250</v>
      </c>
      <c r="W633" t="s">
        <v>3250</v>
      </c>
      <c r="X633" t="s">
        <v>3250</v>
      </c>
      <c r="Y633" t="s">
        <v>3250</v>
      </c>
      <c r="Z633" t="s">
        <v>3250</v>
      </c>
      <c r="AA633" t="s">
        <v>3108</v>
      </c>
      <c r="AB633" t="s">
        <v>3108</v>
      </c>
      <c r="AC633" t="s">
        <v>3250</v>
      </c>
      <c r="AD633" t="s">
        <v>3250</v>
      </c>
      <c r="AE633" t="s">
        <v>3250</v>
      </c>
      <c r="AF633" t="s">
        <v>3250</v>
      </c>
      <c r="AG633" t="s">
        <v>3250</v>
      </c>
      <c r="AH633" t="s">
        <v>3250</v>
      </c>
      <c r="AI633" t="s">
        <v>3250</v>
      </c>
      <c r="AJ633" t="s">
        <v>3250</v>
      </c>
      <c r="AL633" t="s">
        <v>3250</v>
      </c>
      <c r="AM633" t="s">
        <v>3250</v>
      </c>
      <c r="AN633" t="s">
        <v>3250</v>
      </c>
      <c r="AO633" t="s">
        <v>3250</v>
      </c>
      <c r="AS633" t="s">
        <v>3250</v>
      </c>
      <c r="AT633" t="s">
        <v>3250</v>
      </c>
      <c r="AU633" t="s">
        <v>3250</v>
      </c>
      <c r="AV633" t="s">
        <v>3250</v>
      </c>
      <c r="AW633" t="s">
        <v>3250</v>
      </c>
      <c r="AX633" t="s">
        <v>3250</v>
      </c>
      <c r="AY633" t="s">
        <v>3250</v>
      </c>
      <c r="AZ633" t="s">
        <v>3250</v>
      </c>
      <c r="BA633" t="s">
        <v>3250</v>
      </c>
      <c r="BB633" t="s">
        <v>3250</v>
      </c>
      <c r="BC633" t="s">
        <v>3250</v>
      </c>
      <c r="BE633" t="s">
        <v>3250</v>
      </c>
      <c r="BF633" t="s">
        <v>3250</v>
      </c>
      <c r="BG633" t="s">
        <v>3250</v>
      </c>
      <c r="BH633" t="s">
        <v>3250</v>
      </c>
      <c r="BI633" t="s">
        <v>3250</v>
      </c>
      <c r="BK633" t="s">
        <v>3250</v>
      </c>
      <c r="BL633" t="s">
        <v>3250</v>
      </c>
      <c r="BM633" t="s">
        <v>3250</v>
      </c>
      <c r="BN633" t="s">
        <v>3250</v>
      </c>
      <c r="BP633">
        <v>4</v>
      </c>
      <c r="BQ633">
        <v>48</v>
      </c>
      <c r="BR633" t="s">
        <v>1445</v>
      </c>
      <c r="BS633" t="s">
        <v>4024</v>
      </c>
      <c r="BV633">
        <v>0</v>
      </c>
      <c r="BW633">
        <v>16500</v>
      </c>
      <c r="BX633">
        <v>0</v>
      </c>
      <c r="BY633">
        <v>10000</v>
      </c>
      <c r="BZ633">
        <v>0</v>
      </c>
      <c r="CA633">
        <v>0</v>
      </c>
      <c r="CB633">
        <v>0</v>
      </c>
      <c r="CC633">
        <v>0</v>
      </c>
      <c r="CD633">
        <v>0</v>
      </c>
      <c r="CE633" t="s">
        <v>3108</v>
      </c>
      <c r="CF633" t="s">
        <v>3108</v>
      </c>
      <c r="CG633" t="s">
        <v>3108</v>
      </c>
      <c r="CH633" t="s">
        <v>3108</v>
      </c>
    </row>
    <row r="634" spans="1:86" x14ac:dyDescent="0.2">
      <c r="A634" t="s">
        <v>4266</v>
      </c>
      <c r="B634" t="s">
        <v>4266</v>
      </c>
      <c r="C634">
        <v>41006</v>
      </c>
      <c r="D634">
        <v>209</v>
      </c>
      <c r="E634" t="s">
        <v>4006</v>
      </c>
      <c r="F634">
        <v>2700</v>
      </c>
      <c r="G634" t="s">
        <v>411</v>
      </c>
      <c r="H634" t="s">
        <v>4004</v>
      </c>
      <c r="I634" t="s">
        <v>2531</v>
      </c>
      <c r="J634">
        <v>2701</v>
      </c>
      <c r="K634" t="s">
        <v>2531</v>
      </c>
      <c r="L634">
        <v>2100</v>
      </c>
      <c r="M634" t="s">
        <v>123</v>
      </c>
      <c r="N634">
        <v>2101</v>
      </c>
      <c r="O634" t="s">
        <v>1445</v>
      </c>
      <c r="P634" t="s">
        <v>3108</v>
      </c>
      <c r="Q634" t="s">
        <v>3249</v>
      </c>
      <c r="R634" t="s">
        <v>3249</v>
      </c>
      <c r="S634" t="s">
        <v>810</v>
      </c>
      <c r="T634" t="s">
        <v>2754</v>
      </c>
      <c r="U634" t="s">
        <v>3250</v>
      </c>
      <c r="V634" t="s">
        <v>3250</v>
      </c>
      <c r="W634" t="s">
        <v>3250</v>
      </c>
      <c r="X634" t="s">
        <v>3250</v>
      </c>
      <c r="Y634" t="s">
        <v>3250</v>
      </c>
      <c r="Z634" t="s">
        <v>3250</v>
      </c>
      <c r="AA634" t="s">
        <v>3108</v>
      </c>
      <c r="AB634" t="s">
        <v>3108</v>
      </c>
      <c r="AC634" t="s">
        <v>3250</v>
      </c>
      <c r="AD634" t="s">
        <v>3250</v>
      </c>
      <c r="AE634" t="s">
        <v>3250</v>
      </c>
      <c r="AF634" t="s">
        <v>3250</v>
      </c>
      <c r="AG634" t="s">
        <v>3250</v>
      </c>
      <c r="AH634" t="s">
        <v>3250</v>
      </c>
      <c r="AI634" t="s">
        <v>3250</v>
      </c>
      <c r="AJ634" t="s">
        <v>3250</v>
      </c>
      <c r="AL634" t="s">
        <v>3250</v>
      </c>
      <c r="AM634" t="s">
        <v>3250</v>
      </c>
      <c r="AN634" t="s">
        <v>3250</v>
      </c>
      <c r="AO634" t="s">
        <v>3250</v>
      </c>
      <c r="AS634" t="s">
        <v>3250</v>
      </c>
      <c r="AT634" t="s">
        <v>3250</v>
      </c>
      <c r="AU634" t="s">
        <v>3250</v>
      </c>
      <c r="AV634" t="s">
        <v>3250</v>
      </c>
      <c r="AW634" t="s">
        <v>3250</v>
      </c>
      <c r="AX634" t="s">
        <v>3250</v>
      </c>
      <c r="AY634" t="s">
        <v>3250</v>
      </c>
      <c r="AZ634" t="s">
        <v>3250</v>
      </c>
      <c r="BA634" t="s">
        <v>3250</v>
      </c>
      <c r="BB634" t="s">
        <v>3250</v>
      </c>
      <c r="BC634" t="s">
        <v>3250</v>
      </c>
      <c r="BE634" t="s">
        <v>3250</v>
      </c>
      <c r="BF634" t="s">
        <v>3250</v>
      </c>
      <c r="BG634" t="s">
        <v>3250</v>
      </c>
      <c r="BH634" t="s">
        <v>3250</v>
      </c>
      <c r="BI634" t="s">
        <v>3250</v>
      </c>
      <c r="BK634" t="s">
        <v>3250</v>
      </c>
      <c r="BL634" t="s">
        <v>3250</v>
      </c>
      <c r="BM634" t="s">
        <v>3250</v>
      </c>
      <c r="BN634" t="s">
        <v>3250</v>
      </c>
      <c r="BP634">
        <v>4</v>
      </c>
      <c r="BQ634">
        <v>48</v>
      </c>
      <c r="BR634" t="s">
        <v>1445</v>
      </c>
      <c r="BS634" t="s">
        <v>4024</v>
      </c>
      <c r="BV634">
        <v>0</v>
      </c>
      <c r="BW634">
        <v>108425</v>
      </c>
      <c r="BX634">
        <v>21750</v>
      </c>
      <c r="BY634">
        <v>180000</v>
      </c>
      <c r="BZ634">
        <v>131000</v>
      </c>
      <c r="CA634">
        <v>150000</v>
      </c>
      <c r="CB634">
        <v>156000</v>
      </c>
      <c r="CC634">
        <v>162240</v>
      </c>
      <c r="CD634">
        <v>131000</v>
      </c>
      <c r="CE634" t="s">
        <v>3108</v>
      </c>
      <c r="CF634" t="s">
        <v>3108</v>
      </c>
      <c r="CG634" t="s">
        <v>3108</v>
      </c>
      <c r="CH634" t="s">
        <v>3108</v>
      </c>
    </row>
    <row r="635" spans="1:86" x14ac:dyDescent="0.2">
      <c r="A635" t="s">
        <v>4267</v>
      </c>
      <c r="B635" t="s">
        <v>4267</v>
      </c>
      <c r="C635">
        <v>41007</v>
      </c>
      <c r="D635">
        <v>210</v>
      </c>
      <c r="E635" t="s">
        <v>4003</v>
      </c>
      <c r="F635">
        <v>2700</v>
      </c>
      <c r="G635" t="s">
        <v>411</v>
      </c>
      <c r="H635" t="s">
        <v>4004</v>
      </c>
      <c r="I635" t="s">
        <v>2531</v>
      </c>
      <c r="J635">
        <v>2701</v>
      </c>
      <c r="K635" t="s">
        <v>2531</v>
      </c>
      <c r="L635">
        <v>2100</v>
      </c>
      <c r="M635" t="s">
        <v>123</v>
      </c>
      <c r="N635">
        <v>2101</v>
      </c>
      <c r="O635" t="s">
        <v>1445</v>
      </c>
      <c r="P635" t="s">
        <v>3108</v>
      </c>
      <c r="Q635" t="s">
        <v>3249</v>
      </c>
      <c r="R635" t="s">
        <v>3249</v>
      </c>
      <c r="S635" t="s">
        <v>810</v>
      </c>
      <c r="T635" t="s">
        <v>2754</v>
      </c>
      <c r="U635" t="s">
        <v>3250</v>
      </c>
      <c r="V635" t="s">
        <v>3250</v>
      </c>
      <c r="W635" t="s">
        <v>3250</v>
      </c>
      <c r="X635" t="s">
        <v>3250</v>
      </c>
      <c r="Y635" t="s">
        <v>3250</v>
      </c>
      <c r="Z635" t="s">
        <v>3250</v>
      </c>
      <c r="AA635" t="s">
        <v>3108</v>
      </c>
      <c r="AB635" t="s">
        <v>3108</v>
      </c>
      <c r="AC635" t="s">
        <v>3250</v>
      </c>
      <c r="AD635" t="s">
        <v>3250</v>
      </c>
      <c r="AE635" t="s">
        <v>3250</v>
      </c>
      <c r="AF635" t="s">
        <v>3250</v>
      </c>
      <c r="AG635" t="s">
        <v>3250</v>
      </c>
      <c r="AH635" t="s">
        <v>3250</v>
      </c>
      <c r="AI635" t="s">
        <v>3250</v>
      </c>
      <c r="AJ635" t="s">
        <v>3250</v>
      </c>
      <c r="AL635" t="s">
        <v>3250</v>
      </c>
      <c r="AM635" t="s">
        <v>3250</v>
      </c>
      <c r="AN635" t="s">
        <v>3250</v>
      </c>
      <c r="AO635" t="s">
        <v>3250</v>
      </c>
      <c r="AS635" t="s">
        <v>3250</v>
      </c>
      <c r="AT635" t="s">
        <v>3250</v>
      </c>
      <c r="AU635" t="s">
        <v>3250</v>
      </c>
      <c r="AV635" t="s">
        <v>3250</v>
      </c>
      <c r="AW635" t="s">
        <v>3250</v>
      </c>
      <c r="AX635" t="s">
        <v>3250</v>
      </c>
      <c r="AY635" t="s">
        <v>3250</v>
      </c>
      <c r="AZ635" t="s">
        <v>3250</v>
      </c>
      <c r="BA635" t="s">
        <v>3250</v>
      </c>
      <c r="BB635" t="s">
        <v>3250</v>
      </c>
      <c r="BC635" t="s">
        <v>3250</v>
      </c>
      <c r="BE635" t="s">
        <v>3250</v>
      </c>
      <c r="BF635" t="s">
        <v>3250</v>
      </c>
      <c r="BG635" t="s">
        <v>3250</v>
      </c>
      <c r="BH635" t="s">
        <v>3250</v>
      </c>
      <c r="BI635" t="s">
        <v>3250</v>
      </c>
      <c r="BK635" t="s">
        <v>3250</v>
      </c>
      <c r="BL635" t="s">
        <v>3250</v>
      </c>
      <c r="BM635" t="s">
        <v>3250</v>
      </c>
      <c r="BN635" t="s">
        <v>3250</v>
      </c>
      <c r="BP635">
        <v>4</v>
      </c>
      <c r="BQ635">
        <v>48</v>
      </c>
      <c r="BR635" t="s">
        <v>1445</v>
      </c>
      <c r="BS635" t="s">
        <v>4024</v>
      </c>
      <c r="BV635">
        <v>0</v>
      </c>
      <c r="BW635">
        <v>18000</v>
      </c>
      <c r="BX635">
        <v>11200</v>
      </c>
      <c r="BY635">
        <v>50000</v>
      </c>
      <c r="BZ635">
        <v>46000</v>
      </c>
      <c r="CA635">
        <v>50000</v>
      </c>
      <c r="CB635">
        <v>52000</v>
      </c>
      <c r="CC635">
        <v>54080</v>
      </c>
      <c r="CD635">
        <v>46000</v>
      </c>
      <c r="CE635" t="s">
        <v>3108</v>
      </c>
      <c r="CF635" t="s">
        <v>3108</v>
      </c>
      <c r="CG635" t="s">
        <v>3108</v>
      </c>
      <c r="CH635" t="s">
        <v>3108</v>
      </c>
    </row>
    <row r="636" spans="1:86" x14ac:dyDescent="0.2">
      <c r="A636" t="s">
        <v>4268</v>
      </c>
      <c r="B636" t="s">
        <v>4268</v>
      </c>
      <c r="C636">
        <v>41008</v>
      </c>
      <c r="D636">
        <v>484</v>
      </c>
      <c r="E636" t="s">
        <v>4003</v>
      </c>
      <c r="F636">
        <v>2700</v>
      </c>
      <c r="G636" t="s">
        <v>411</v>
      </c>
      <c r="H636" t="s">
        <v>4004</v>
      </c>
      <c r="I636" t="s">
        <v>2531</v>
      </c>
      <c r="J636">
        <v>2701</v>
      </c>
      <c r="K636" t="s">
        <v>2531</v>
      </c>
      <c r="L636">
        <v>2100</v>
      </c>
      <c r="M636" t="s">
        <v>123</v>
      </c>
      <c r="N636">
        <v>2118</v>
      </c>
      <c r="O636" t="s">
        <v>2409</v>
      </c>
      <c r="P636" t="s">
        <v>3108</v>
      </c>
      <c r="Q636" t="s">
        <v>3249</v>
      </c>
      <c r="R636" t="s">
        <v>3249</v>
      </c>
      <c r="S636" t="s">
        <v>810</v>
      </c>
      <c r="T636" t="s">
        <v>2754</v>
      </c>
      <c r="U636" t="s">
        <v>3250</v>
      </c>
      <c r="V636" t="s">
        <v>3250</v>
      </c>
      <c r="W636" t="s">
        <v>3250</v>
      </c>
      <c r="X636" t="s">
        <v>3250</v>
      </c>
      <c r="Y636" t="s">
        <v>3250</v>
      </c>
      <c r="Z636" t="s">
        <v>3250</v>
      </c>
      <c r="AA636" t="s">
        <v>3108</v>
      </c>
      <c r="AB636" t="s">
        <v>3108</v>
      </c>
      <c r="AC636" t="s">
        <v>3250</v>
      </c>
      <c r="AD636" t="s">
        <v>3250</v>
      </c>
      <c r="AE636" t="s">
        <v>3250</v>
      </c>
      <c r="AF636" t="s">
        <v>3250</v>
      </c>
      <c r="AG636" t="s">
        <v>3250</v>
      </c>
      <c r="AH636" t="s">
        <v>3250</v>
      </c>
      <c r="AI636" t="s">
        <v>3250</v>
      </c>
      <c r="AJ636" t="s">
        <v>3250</v>
      </c>
      <c r="AL636" t="s">
        <v>3250</v>
      </c>
      <c r="AM636" t="s">
        <v>3250</v>
      </c>
      <c r="AN636" t="s">
        <v>3250</v>
      </c>
      <c r="AO636" t="s">
        <v>3250</v>
      </c>
      <c r="AS636" t="s">
        <v>3250</v>
      </c>
      <c r="AT636" t="s">
        <v>3250</v>
      </c>
      <c r="AU636" t="s">
        <v>3250</v>
      </c>
      <c r="AV636" t="s">
        <v>3250</v>
      </c>
      <c r="AW636" t="s">
        <v>3250</v>
      </c>
      <c r="AX636" t="s">
        <v>3250</v>
      </c>
      <c r="AY636" t="s">
        <v>3250</v>
      </c>
      <c r="AZ636" t="s">
        <v>3250</v>
      </c>
      <c r="BA636" t="s">
        <v>3250</v>
      </c>
      <c r="BB636" t="s">
        <v>3250</v>
      </c>
      <c r="BC636" t="s">
        <v>3250</v>
      </c>
      <c r="BE636" t="s">
        <v>3250</v>
      </c>
      <c r="BF636" t="s">
        <v>3250</v>
      </c>
      <c r="BG636" t="s">
        <v>3250</v>
      </c>
      <c r="BH636" t="s">
        <v>3250</v>
      </c>
      <c r="BI636" t="s">
        <v>3250</v>
      </c>
      <c r="BK636" t="s">
        <v>3250</v>
      </c>
      <c r="BL636" t="s">
        <v>3250</v>
      </c>
      <c r="BM636" t="s">
        <v>3250</v>
      </c>
      <c r="BN636" t="s">
        <v>3250</v>
      </c>
      <c r="BP636">
        <v>4</v>
      </c>
      <c r="BQ636">
        <v>43</v>
      </c>
      <c r="BR636" t="s">
        <v>2409</v>
      </c>
      <c r="BS636" t="s">
        <v>4024</v>
      </c>
      <c r="BV636">
        <v>12348</v>
      </c>
      <c r="BW636">
        <v>25300</v>
      </c>
      <c r="BX636">
        <v>52999</v>
      </c>
      <c r="BY636">
        <v>50000</v>
      </c>
      <c r="BZ636">
        <v>0</v>
      </c>
      <c r="CA636">
        <v>50000</v>
      </c>
      <c r="CB636">
        <v>52000</v>
      </c>
      <c r="CC636">
        <v>54080</v>
      </c>
      <c r="CD636">
        <v>0</v>
      </c>
      <c r="CE636" t="s">
        <v>3108</v>
      </c>
      <c r="CF636" t="s">
        <v>3108</v>
      </c>
      <c r="CG636" t="s">
        <v>3108</v>
      </c>
      <c r="CH636" t="s">
        <v>3108</v>
      </c>
    </row>
    <row r="637" spans="1:86" x14ac:dyDescent="0.2">
      <c r="A637" t="s">
        <v>4269</v>
      </c>
      <c r="B637" t="s">
        <v>4269</v>
      </c>
      <c r="C637">
        <v>41009</v>
      </c>
      <c r="D637">
        <v>485</v>
      </c>
      <c r="E637" t="s">
        <v>4006</v>
      </c>
      <c r="F637">
        <v>2700</v>
      </c>
      <c r="G637" t="s">
        <v>411</v>
      </c>
      <c r="H637" t="s">
        <v>4004</v>
      </c>
      <c r="I637" t="s">
        <v>2531</v>
      </c>
      <c r="J637">
        <v>2701</v>
      </c>
      <c r="K637" t="s">
        <v>2531</v>
      </c>
      <c r="L637">
        <v>2100</v>
      </c>
      <c r="M637" t="s">
        <v>123</v>
      </c>
      <c r="N637">
        <v>2118</v>
      </c>
      <c r="O637" t="s">
        <v>2409</v>
      </c>
      <c r="P637" t="s">
        <v>3108</v>
      </c>
      <c r="Q637" t="s">
        <v>3249</v>
      </c>
      <c r="R637" t="s">
        <v>3249</v>
      </c>
      <c r="S637" t="s">
        <v>810</v>
      </c>
      <c r="T637" t="s">
        <v>2754</v>
      </c>
      <c r="U637" t="s">
        <v>3250</v>
      </c>
      <c r="V637" t="s">
        <v>3250</v>
      </c>
      <c r="W637" t="s">
        <v>3250</v>
      </c>
      <c r="X637" t="s">
        <v>3250</v>
      </c>
      <c r="Y637" t="s">
        <v>3250</v>
      </c>
      <c r="Z637" t="s">
        <v>3250</v>
      </c>
      <c r="AA637" t="s">
        <v>3108</v>
      </c>
      <c r="AB637" t="s">
        <v>3108</v>
      </c>
      <c r="AC637" t="s">
        <v>3250</v>
      </c>
      <c r="AD637" t="s">
        <v>3250</v>
      </c>
      <c r="AE637" t="s">
        <v>3250</v>
      </c>
      <c r="AF637" t="s">
        <v>3250</v>
      </c>
      <c r="AG637" t="s">
        <v>3250</v>
      </c>
      <c r="AH637" t="s">
        <v>3250</v>
      </c>
      <c r="AI637" t="s">
        <v>3250</v>
      </c>
      <c r="AJ637" t="s">
        <v>3250</v>
      </c>
      <c r="AL637" t="s">
        <v>3250</v>
      </c>
      <c r="AM637" t="s">
        <v>3250</v>
      </c>
      <c r="AN637" t="s">
        <v>3250</v>
      </c>
      <c r="AO637" t="s">
        <v>3250</v>
      </c>
      <c r="AS637" t="s">
        <v>3250</v>
      </c>
      <c r="AT637" t="s">
        <v>3250</v>
      </c>
      <c r="AU637" t="s">
        <v>3250</v>
      </c>
      <c r="AV637" t="s">
        <v>3250</v>
      </c>
      <c r="AW637" t="s">
        <v>3250</v>
      </c>
      <c r="AX637" t="s">
        <v>3250</v>
      </c>
      <c r="AY637" t="s">
        <v>3250</v>
      </c>
      <c r="AZ637" t="s">
        <v>3250</v>
      </c>
      <c r="BA637" t="s">
        <v>3250</v>
      </c>
      <c r="BB637" t="s">
        <v>3250</v>
      </c>
      <c r="BC637" t="s">
        <v>3250</v>
      </c>
      <c r="BE637" t="s">
        <v>3250</v>
      </c>
      <c r="BF637" t="s">
        <v>3250</v>
      </c>
      <c r="BG637" t="s">
        <v>3250</v>
      </c>
      <c r="BH637" t="s">
        <v>3250</v>
      </c>
      <c r="BI637" t="s">
        <v>3250</v>
      </c>
      <c r="BK637" t="s">
        <v>3250</v>
      </c>
      <c r="BL637" t="s">
        <v>3250</v>
      </c>
      <c r="BM637" t="s">
        <v>3250</v>
      </c>
      <c r="BN637" t="s">
        <v>3250</v>
      </c>
      <c r="BP637">
        <v>4</v>
      </c>
      <c r="BQ637">
        <v>43</v>
      </c>
      <c r="BR637" t="s">
        <v>2409</v>
      </c>
      <c r="BS637" t="s">
        <v>4024</v>
      </c>
      <c r="BV637">
        <v>53261</v>
      </c>
      <c r="BW637">
        <v>39825</v>
      </c>
      <c r="BX637">
        <v>21750</v>
      </c>
      <c r="BY637">
        <v>100000</v>
      </c>
      <c r="BZ637">
        <v>0</v>
      </c>
      <c r="CA637">
        <v>100000</v>
      </c>
      <c r="CB637">
        <v>104000</v>
      </c>
      <c r="CC637">
        <v>108160</v>
      </c>
      <c r="CD637">
        <v>9000</v>
      </c>
      <c r="CE637" t="s">
        <v>3108</v>
      </c>
      <c r="CF637" t="s">
        <v>3108</v>
      </c>
      <c r="CG637" t="s">
        <v>3108</v>
      </c>
      <c r="CH637" t="s">
        <v>3108</v>
      </c>
    </row>
    <row r="638" spans="1:86" x14ac:dyDescent="0.2">
      <c r="A638" t="s">
        <v>4270</v>
      </c>
      <c r="B638" t="s">
        <v>4270</v>
      </c>
      <c r="C638">
        <v>41010</v>
      </c>
      <c r="D638">
        <v>486</v>
      </c>
      <c r="E638" t="s">
        <v>3992</v>
      </c>
      <c r="F638">
        <v>2900</v>
      </c>
      <c r="G638" t="s">
        <v>822</v>
      </c>
      <c r="H638" t="s">
        <v>3108</v>
      </c>
      <c r="I638" t="s">
        <v>3108</v>
      </c>
      <c r="J638">
        <v>2904</v>
      </c>
      <c r="K638" t="s">
        <v>1690</v>
      </c>
      <c r="L638">
        <v>2100</v>
      </c>
      <c r="M638" t="s">
        <v>123</v>
      </c>
      <c r="N638">
        <v>2118</v>
      </c>
      <c r="O638" t="s">
        <v>2409</v>
      </c>
      <c r="P638" t="s">
        <v>3108</v>
      </c>
      <c r="Q638" t="s">
        <v>3249</v>
      </c>
      <c r="R638" t="s">
        <v>3249</v>
      </c>
      <c r="S638" t="s">
        <v>810</v>
      </c>
      <c r="T638" t="s">
        <v>2754</v>
      </c>
      <c r="U638" t="s">
        <v>3250</v>
      </c>
      <c r="V638" t="s">
        <v>3250</v>
      </c>
      <c r="W638" t="s">
        <v>3250</v>
      </c>
      <c r="X638" t="s">
        <v>3250</v>
      </c>
      <c r="Y638" t="s">
        <v>3250</v>
      </c>
      <c r="Z638" t="s">
        <v>3250</v>
      </c>
      <c r="AA638" t="s">
        <v>3108</v>
      </c>
      <c r="AB638" t="s">
        <v>3108</v>
      </c>
      <c r="AC638" t="s">
        <v>3250</v>
      </c>
      <c r="AD638" t="s">
        <v>3250</v>
      </c>
      <c r="AE638" t="s">
        <v>3250</v>
      </c>
      <c r="AF638" t="s">
        <v>3250</v>
      </c>
      <c r="AG638" t="s">
        <v>3250</v>
      </c>
      <c r="AH638" t="s">
        <v>3250</v>
      </c>
      <c r="AI638" t="s">
        <v>3250</v>
      </c>
      <c r="AJ638" t="s">
        <v>3250</v>
      </c>
      <c r="AL638" t="s">
        <v>3250</v>
      </c>
      <c r="AM638" t="s">
        <v>3250</v>
      </c>
      <c r="AN638" t="s">
        <v>3250</v>
      </c>
      <c r="AO638" t="s">
        <v>3250</v>
      </c>
      <c r="AS638" t="s">
        <v>3250</v>
      </c>
      <c r="AT638" t="s">
        <v>3250</v>
      </c>
      <c r="AU638" t="s">
        <v>3250</v>
      </c>
      <c r="AV638" t="s">
        <v>3250</v>
      </c>
      <c r="AW638" t="s">
        <v>3250</v>
      </c>
      <c r="AX638" t="s">
        <v>3250</v>
      </c>
      <c r="AY638" t="s">
        <v>3250</v>
      </c>
      <c r="AZ638" t="s">
        <v>3250</v>
      </c>
      <c r="BA638" t="s">
        <v>3250</v>
      </c>
      <c r="BB638" t="s">
        <v>3250</v>
      </c>
      <c r="BC638" t="s">
        <v>3250</v>
      </c>
      <c r="BE638" t="s">
        <v>3250</v>
      </c>
      <c r="BF638" t="s">
        <v>3250</v>
      </c>
      <c r="BG638" t="s">
        <v>3250</v>
      </c>
      <c r="BH638" t="s">
        <v>3250</v>
      </c>
      <c r="BI638" t="s">
        <v>3250</v>
      </c>
      <c r="BK638" t="s">
        <v>3250</v>
      </c>
      <c r="BL638" t="s">
        <v>3250</v>
      </c>
      <c r="BM638" t="s">
        <v>3250</v>
      </c>
      <c r="BN638" t="s">
        <v>3250</v>
      </c>
      <c r="BP638">
        <v>4</v>
      </c>
      <c r="BQ638">
        <v>43</v>
      </c>
      <c r="BR638" t="s">
        <v>2409</v>
      </c>
      <c r="BS638" t="s">
        <v>4024</v>
      </c>
      <c r="BV638">
        <v>11974</v>
      </c>
      <c r="BW638">
        <v>33000</v>
      </c>
      <c r="BX638">
        <v>0</v>
      </c>
      <c r="BY638">
        <v>50000</v>
      </c>
      <c r="BZ638">
        <v>0</v>
      </c>
      <c r="CA638">
        <v>60000</v>
      </c>
      <c r="CB638">
        <v>62400</v>
      </c>
      <c r="CC638">
        <v>64896</v>
      </c>
      <c r="CD638">
        <v>0</v>
      </c>
      <c r="CE638" t="s">
        <v>3108</v>
      </c>
      <c r="CF638" t="s">
        <v>3108</v>
      </c>
      <c r="CG638" t="s">
        <v>3108</v>
      </c>
      <c r="CH638" t="s">
        <v>3108</v>
      </c>
    </row>
    <row r="639" spans="1:86" x14ac:dyDescent="0.2">
      <c r="A639" t="s">
        <v>4271</v>
      </c>
      <c r="B639" t="s">
        <v>4271</v>
      </c>
      <c r="C639">
        <v>41025</v>
      </c>
      <c r="D639">
        <v>110</v>
      </c>
      <c r="E639" t="s">
        <v>3994</v>
      </c>
      <c r="F639">
        <v>2600</v>
      </c>
      <c r="G639" t="s">
        <v>1334</v>
      </c>
      <c r="H639">
        <v>2600</v>
      </c>
      <c r="I639" t="s">
        <v>1334</v>
      </c>
      <c r="J639" t="s">
        <v>3250</v>
      </c>
      <c r="K639" t="s">
        <v>3250</v>
      </c>
      <c r="L639">
        <v>2100</v>
      </c>
      <c r="M639" t="s">
        <v>123</v>
      </c>
      <c r="N639">
        <v>2118</v>
      </c>
      <c r="O639" t="s">
        <v>2409</v>
      </c>
      <c r="P639" t="s">
        <v>3108</v>
      </c>
      <c r="Q639" t="s">
        <v>3249</v>
      </c>
      <c r="R639" t="s">
        <v>3249</v>
      </c>
      <c r="S639" t="s">
        <v>810</v>
      </c>
      <c r="T639" t="s">
        <v>2754</v>
      </c>
      <c r="U639" t="s">
        <v>3250</v>
      </c>
      <c r="V639" t="s">
        <v>3250</v>
      </c>
      <c r="W639" t="s">
        <v>3250</v>
      </c>
      <c r="X639" t="s">
        <v>3250</v>
      </c>
      <c r="Y639" t="s">
        <v>3250</v>
      </c>
      <c r="Z639" t="s">
        <v>3250</v>
      </c>
      <c r="AA639" t="s">
        <v>3108</v>
      </c>
      <c r="AB639" t="s">
        <v>3108</v>
      </c>
      <c r="AC639" t="s">
        <v>3250</v>
      </c>
      <c r="AD639" t="s">
        <v>3250</v>
      </c>
      <c r="AE639" t="s">
        <v>3250</v>
      </c>
      <c r="AF639" t="s">
        <v>3250</v>
      </c>
      <c r="AG639" t="s">
        <v>3250</v>
      </c>
      <c r="AH639" t="s">
        <v>3250</v>
      </c>
      <c r="AI639" t="s">
        <v>3250</v>
      </c>
      <c r="AJ639" t="s">
        <v>3250</v>
      </c>
      <c r="AL639" t="s">
        <v>3250</v>
      </c>
      <c r="AM639" t="s">
        <v>3250</v>
      </c>
      <c r="AN639" t="s">
        <v>3250</v>
      </c>
      <c r="AO639" t="s">
        <v>3250</v>
      </c>
      <c r="AS639" t="s">
        <v>3250</v>
      </c>
      <c r="AT639" t="s">
        <v>3250</v>
      </c>
      <c r="AU639" t="s">
        <v>3250</v>
      </c>
      <c r="AV639" t="s">
        <v>3250</v>
      </c>
      <c r="AW639" t="s">
        <v>3250</v>
      </c>
      <c r="AX639" t="s">
        <v>3250</v>
      </c>
      <c r="AY639" t="s">
        <v>3250</v>
      </c>
      <c r="AZ639" t="s">
        <v>3250</v>
      </c>
      <c r="BA639" t="s">
        <v>3250</v>
      </c>
      <c r="BB639" t="s">
        <v>3250</v>
      </c>
      <c r="BC639" t="s">
        <v>3250</v>
      </c>
      <c r="BE639" t="s">
        <v>3250</v>
      </c>
      <c r="BF639" t="s">
        <v>3250</v>
      </c>
      <c r="BG639" t="s">
        <v>3250</v>
      </c>
      <c r="BH639" t="s">
        <v>3250</v>
      </c>
      <c r="BI639" t="s">
        <v>3250</v>
      </c>
      <c r="BK639" t="s">
        <v>3250</v>
      </c>
      <c r="BL639" t="s">
        <v>3250</v>
      </c>
      <c r="BM639" t="s">
        <v>3250</v>
      </c>
      <c r="BN639" t="s">
        <v>3250</v>
      </c>
      <c r="BP639">
        <v>4</v>
      </c>
      <c r="BQ639">
        <v>43</v>
      </c>
      <c r="BR639" t="s">
        <v>2409</v>
      </c>
      <c r="BS639" t="s">
        <v>4024</v>
      </c>
      <c r="BV639">
        <v>2200</v>
      </c>
      <c r="BW639">
        <v>41300</v>
      </c>
      <c r="BX639">
        <v>7700</v>
      </c>
      <c r="BY639">
        <v>0</v>
      </c>
      <c r="BZ639">
        <v>0</v>
      </c>
      <c r="CA639">
        <v>50000</v>
      </c>
      <c r="CB639">
        <v>52000</v>
      </c>
      <c r="CC639">
        <v>54080</v>
      </c>
      <c r="CD639">
        <v>0</v>
      </c>
      <c r="CE639" t="s">
        <v>3108</v>
      </c>
      <c r="CF639" t="s">
        <v>3108</v>
      </c>
      <c r="CG639" t="s">
        <v>3108</v>
      </c>
      <c r="CH639" t="s">
        <v>3108</v>
      </c>
    </row>
    <row r="640" spans="1:86" x14ac:dyDescent="0.2">
      <c r="A640" t="s">
        <v>4272</v>
      </c>
      <c r="B640" t="s">
        <v>4272</v>
      </c>
      <c r="C640">
        <v>41026</v>
      </c>
      <c r="D640">
        <v>111</v>
      </c>
      <c r="E640" t="s">
        <v>4006</v>
      </c>
      <c r="F640">
        <v>2700</v>
      </c>
      <c r="G640" t="s">
        <v>411</v>
      </c>
      <c r="H640" t="s">
        <v>4004</v>
      </c>
      <c r="I640" t="s">
        <v>2531</v>
      </c>
      <c r="J640">
        <v>2701</v>
      </c>
      <c r="K640" t="s">
        <v>2531</v>
      </c>
      <c r="L640">
        <v>2100</v>
      </c>
      <c r="M640" t="s">
        <v>123</v>
      </c>
      <c r="N640">
        <v>2118</v>
      </c>
      <c r="O640" t="s">
        <v>2409</v>
      </c>
      <c r="P640" t="s">
        <v>3108</v>
      </c>
      <c r="Q640" t="s">
        <v>3249</v>
      </c>
      <c r="R640" t="s">
        <v>3249</v>
      </c>
      <c r="S640" t="s">
        <v>810</v>
      </c>
      <c r="T640" t="s">
        <v>2754</v>
      </c>
      <c r="U640" t="s">
        <v>3250</v>
      </c>
      <c r="V640" t="s">
        <v>3250</v>
      </c>
      <c r="W640" t="s">
        <v>3250</v>
      </c>
      <c r="X640" t="s">
        <v>3250</v>
      </c>
      <c r="Y640" t="s">
        <v>3250</v>
      </c>
      <c r="Z640" t="s">
        <v>3250</v>
      </c>
      <c r="AA640" t="s">
        <v>3108</v>
      </c>
      <c r="AB640" t="s">
        <v>3108</v>
      </c>
      <c r="AC640" t="s">
        <v>3250</v>
      </c>
      <c r="AD640" t="s">
        <v>3250</v>
      </c>
      <c r="AE640" t="s">
        <v>3250</v>
      </c>
      <c r="AF640" t="s">
        <v>3250</v>
      </c>
      <c r="AG640" t="s">
        <v>3250</v>
      </c>
      <c r="AH640" t="s">
        <v>3250</v>
      </c>
      <c r="AI640" t="s">
        <v>3250</v>
      </c>
      <c r="AJ640" t="s">
        <v>3250</v>
      </c>
      <c r="AL640" t="s">
        <v>3250</v>
      </c>
      <c r="AM640" t="s">
        <v>3250</v>
      </c>
      <c r="AN640" t="s">
        <v>3250</v>
      </c>
      <c r="AO640" t="s">
        <v>3250</v>
      </c>
      <c r="AS640" t="s">
        <v>3250</v>
      </c>
      <c r="AT640" t="s">
        <v>3250</v>
      </c>
      <c r="AU640" t="s">
        <v>3250</v>
      </c>
      <c r="AV640" t="s">
        <v>3250</v>
      </c>
      <c r="AW640" t="s">
        <v>3250</v>
      </c>
      <c r="AX640" t="s">
        <v>3250</v>
      </c>
      <c r="AY640" t="s">
        <v>3250</v>
      </c>
      <c r="AZ640" t="s">
        <v>3250</v>
      </c>
      <c r="BA640" t="s">
        <v>3250</v>
      </c>
      <c r="BB640" t="s">
        <v>3250</v>
      </c>
      <c r="BC640" t="s">
        <v>3250</v>
      </c>
      <c r="BE640" t="s">
        <v>3250</v>
      </c>
      <c r="BF640" t="s">
        <v>3250</v>
      </c>
      <c r="BG640" t="s">
        <v>3250</v>
      </c>
      <c r="BH640" t="s">
        <v>3250</v>
      </c>
      <c r="BI640" t="s">
        <v>3250</v>
      </c>
      <c r="BK640" t="s">
        <v>3250</v>
      </c>
      <c r="BL640" t="s">
        <v>3250</v>
      </c>
      <c r="BM640" t="s">
        <v>3250</v>
      </c>
      <c r="BN640" t="s">
        <v>3250</v>
      </c>
      <c r="BP640">
        <v>4</v>
      </c>
      <c r="BQ640">
        <v>43</v>
      </c>
      <c r="BR640" t="s">
        <v>2409</v>
      </c>
      <c r="BS640" t="s">
        <v>4024</v>
      </c>
      <c r="BV640">
        <v>0</v>
      </c>
      <c r="BW640">
        <v>0</v>
      </c>
      <c r="BX640">
        <v>0</v>
      </c>
      <c r="BY640">
        <v>0</v>
      </c>
      <c r="BZ640">
        <v>0</v>
      </c>
      <c r="CA640">
        <v>30000</v>
      </c>
      <c r="CB640">
        <v>31200</v>
      </c>
      <c r="CC640">
        <v>32448</v>
      </c>
      <c r="CD640">
        <v>0</v>
      </c>
      <c r="CE640" t="s">
        <v>3108</v>
      </c>
      <c r="CF640" t="s">
        <v>3108</v>
      </c>
      <c r="CG640" t="s">
        <v>3108</v>
      </c>
      <c r="CH640" t="s">
        <v>3108</v>
      </c>
    </row>
    <row r="641" spans="1:86" x14ac:dyDescent="0.2">
      <c r="A641" t="s">
        <v>4273</v>
      </c>
      <c r="B641" t="s">
        <v>4273</v>
      </c>
      <c r="C641">
        <v>41027</v>
      </c>
      <c r="D641">
        <v>112</v>
      </c>
      <c r="E641" t="s">
        <v>4003</v>
      </c>
      <c r="F641">
        <v>2700</v>
      </c>
      <c r="G641" t="s">
        <v>411</v>
      </c>
      <c r="H641" t="s">
        <v>4004</v>
      </c>
      <c r="I641" t="s">
        <v>2531</v>
      </c>
      <c r="J641">
        <v>2701</v>
      </c>
      <c r="K641" t="s">
        <v>2531</v>
      </c>
      <c r="L641">
        <v>2100</v>
      </c>
      <c r="M641" t="s">
        <v>123</v>
      </c>
      <c r="N641">
        <v>2118</v>
      </c>
      <c r="O641" t="s">
        <v>2409</v>
      </c>
      <c r="P641" t="s">
        <v>3108</v>
      </c>
      <c r="Q641" t="s">
        <v>3249</v>
      </c>
      <c r="R641" t="s">
        <v>3249</v>
      </c>
      <c r="S641" t="s">
        <v>810</v>
      </c>
      <c r="T641" t="s">
        <v>2754</v>
      </c>
      <c r="U641" t="s">
        <v>3250</v>
      </c>
      <c r="V641" t="s">
        <v>3250</v>
      </c>
      <c r="W641" t="s">
        <v>3250</v>
      </c>
      <c r="X641" t="s">
        <v>3250</v>
      </c>
      <c r="Y641" t="s">
        <v>3250</v>
      </c>
      <c r="Z641" t="s">
        <v>3250</v>
      </c>
      <c r="AA641" t="s">
        <v>3108</v>
      </c>
      <c r="AB641" t="s">
        <v>3108</v>
      </c>
      <c r="AC641" t="s">
        <v>3250</v>
      </c>
      <c r="AD641" t="s">
        <v>3250</v>
      </c>
      <c r="AE641" t="s">
        <v>3250</v>
      </c>
      <c r="AF641" t="s">
        <v>3250</v>
      </c>
      <c r="AG641" t="s">
        <v>3250</v>
      </c>
      <c r="AH641" t="s">
        <v>3250</v>
      </c>
      <c r="AI641" t="s">
        <v>3250</v>
      </c>
      <c r="AJ641" t="s">
        <v>3250</v>
      </c>
      <c r="AL641" t="s">
        <v>3250</v>
      </c>
      <c r="AM641" t="s">
        <v>3250</v>
      </c>
      <c r="AN641" t="s">
        <v>3250</v>
      </c>
      <c r="AO641" t="s">
        <v>3250</v>
      </c>
      <c r="AS641" t="s">
        <v>3250</v>
      </c>
      <c r="AT641" t="s">
        <v>3250</v>
      </c>
      <c r="AU641" t="s">
        <v>3250</v>
      </c>
      <c r="AV641" t="s">
        <v>3250</v>
      </c>
      <c r="AW641" t="s">
        <v>3250</v>
      </c>
      <c r="AX641" t="s">
        <v>3250</v>
      </c>
      <c r="AY641" t="s">
        <v>3250</v>
      </c>
      <c r="AZ641" t="s">
        <v>3250</v>
      </c>
      <c r="BA641" t="s">
        <v>3250</v>
      </c>
      <c r="BB641" t="s">
        <v>3250</v>
      </c>
      <c r="BC641" t="s">
        <v>3250</v>
      </c>
      <c r="BE641" t="s">
        <v>3250</v>
      </c>
      <c r="BF641" t="s">
        <v>3250</v>
      </c>
      <c r="BG641" t="s">
        <v>3250</v>
      </c>
      <c r="BH641" t="s">
        <v>3250</v>
      </c>
      <c r="BI641" t="s">
        <v>3250</v>
      </c>
      <c r="BK641" t="s">
        <v>3250</v>
      </c>
      <c r="BL641" t="s">
        <v>3250</v>
      </c>
      <c r="BM641" t="s">
        <v>3250</v>
      </c>
      <c r="BN641" t="s">
        <v>3250</v>
      </c>
      <c r="BP641">
        <v>4</v>
      </c>
      <c r="BQ641">
        <v>43</v>
      </c>
      <c r="BR641" t="s">
        <v>2409</v>
      </c>
      <c r="BS641" t="s">
        <v>4024</v>
      </c>
      <c r="BV641">
        <v>0</v>
      </c>
      <c r="BW641">
        <v>0</v>
      </c>
      <c r="BX641">
        <v>0</v>
      </c>
      <c r="BY641">
        <v>0</v>
      </c>
      <c r="BZ641">
        <v>0</v>
      </c>
      <c r="CA641">
        <v>0</v>
      </c>
      <c r="CB641">
        <v>0</v>
      </c>
      <c r="CC641">
        <v>0</v>
      </c>
      <c r="CD641">
        <v>0</v>
      </c>
      <c r="CE641" t="s">
        <v>3108</v>
      </c>
      <c r="CF641" t="s">
        <v>3108</v>
      </c>
      <c r="CG641" t="s">
        <v>3108</v>
      </c>
      <c r="CH641" t="s">
        <v>3108</v>
      </c>
    </row>
    <row r="642" spans="1:86" x14ac:dyDescent="0.2">
      <c r="A642" t="s">
        <v>4274</v>
      </c>
      <c r="B642" t="s">
        <v>4274</v>
      </c>
      <c r="C642">
        <v>41028</v>
      </c>
      <c r="D642">
        <v>491</v>
      </c>
      <c r="E642" t="s">
        <v>3994</v>
      </c>
      <c r="F642">
        <v>2600</v>
      </c>
      <c r="G642" t="s">
        <v>1334</v>
      </c>
      <c r="H642">
        <v>2600</v>
      </c>
      <c r="I642" t="s">
        <v>1334</v>
      </c>
      <c r="J642" t="s">
        <v>3250</v>
      </c>
      <c r="K642" t="s">
        <v>3250</v>
      </c>
      <c r="L642">
        <v>2100</v>
      </c>
      <c r="M642" t="s">
        <v>123</v>
      </c>
      <c r="N642">
        <v>2118</v>
      </c>
      <c r="O642" t="s">
        <v>2409</v>
      </c>
      <c r="P642" t="s">
        <v>3108</v>
      </c>
      <c r="Q642" t="s">
        <v>3249</v>
      </c>
      <c r="R642" t="s">
        <v>3249</v>
      </c>
      <c r="S642" t="s">
        <v>810</v>
      </c>
      <c r="T642" t="s">
        <v>2754</v>
      </c>
      <c r="U642" t="s">
        <v>3250</v>
      </c>
      <c r="V642" t="s">
        <v>3250</v>
      </c>
      <c r="W642" t="s">
        <v>3250</v>
      </c>
      <c r="X642" t="s">
        <v>3250</v>
      </c>
      <c r="Y642" t="s">
        <v>3250</v>
      </c>
      <c r="Z642" t="s">
        <v>3250</v>
      </c>
      <c r="AA642" t="s">
        <v>3108</v>
      </c>
      <c r="AB642" t="s">
        <v>3108</v>
      </c>
      <c r="AC642" t="s">
        <v>3250</v>
      </c>
      <c r="AD642" t="s">
        <v>3250</v>
      </c>
      <c r="AE642" t="s">
        <v>3250</v>
      </c>
      <c r="AF642" t="s">
        <v>3250</v>
      </c>
      <c r="AG642" t="s">
        <v>3250</v>
      </c>
      <c r="AH642" t="s">
        <v>3250</v>
      </c>
      <c r="AI642" t="s">
        <v>3250</v>
      </c>
      <c r="AJ642" t="s">
        <v>3250</v>
      </c>
      <c r="AL642" t="s">
        <v>3250</v>
      </c>
      <c r="AM642" t="s">
        <v>3250</v>
      </c>
      <c r="AN642" t="s">
        <v>3250</v>
      </c>
      <c r="AO642" t="s">
        <v>3250</v>
      </c>
      <c r="AS642" t="s">
        <v>3250</v>
      </c>
      <c r="AT642" t="s">
        <v>3250</v>
      </c>
      <c r="AU642" t="s">
        <v>3250</v>
      </c>
      <c r="AV642" t="s">
        <v>3250</v>
      </c>
      <c r="AW642" t="s">
        <v>3250</v>
      </c>
      <c r="AX642" t="s">
        <v>3250</v>
      </c>
      <c r="AY642" t="s">
        <v>3250</v>
      </c>
      <c r="AZ642" t="s">
        <v>3250</v>
      </c>
      <c r="BA642" t="s">
        <v>3250</v>
      </c>
      <c r="BB642" t="s">
        <v>3250</v>
      </c>
      <c r="BC642" t="s">
        <v>3250</v>
      </c>
      <c r="BE642" t="s">
        <v>3250</v>
      </c>
      <c r="BF642" t="s">
        <v>3250</v>
      </c>
      <c r="BG642" t="s">
        <v>3250</v>
      </c>
      <c r="BH642" t="s">
        <v>3250</v>
      </c>
      <c r="BI642" t="s">
        <v>3250</v>
      </c>
      <c r="BK642" t="s">
        <v>3250</v>
      </c>
      <c r="BL642" t="s">
        <v>3250</v>
      </c>
      <c r="BM642" t="s">
        <v>3250</v>
      </c>
      <c r="BN642" t="s">
        <v>3250</v>
      </c>
      <c r="BP642">
        <v>4</v>
      </c>
      <c r="BQ642">
        <v>43</v>
      </c>
      <c r="BR642" t="s">
        <v>2409</v>
      </c>
      <c r="BS642" t="s">
        <v>4024</v>
      </c>
      <c r="BV642">
        <v>0</v>
      </c>
      <c r="BW642">
        <v>10156</v>
      </c>
      <c r="BX642">
        <v>0</v>
      </c>
      <c r="BY642">
        <v>0</v>
      </c>
      <c r="BZ642">
        <v>0</v>
      </c>
      <c r="CA642">
        <v>0</v>
      </c>
      <c r="CB642">
        <v>0</v>
      </c>
      <c r="CC642">
        <v>0</v>
      </c>
      <c r="CD642">
        <v>0</v>
      </c>
      <c r="CE642" t="s">
        <v>3108</v>
      </c>
      <c r="CF642" t="s">
        <v>3108</v>
      </c>
      <c r="CG642" t="s">
        <v>3108</v>
      </c>
      <c r="CH642" t="s">
        <v>3108</v>
      </c>
    </row>
    <row r="643" spans="1:86" x14ac:dyDescent="0.2">
      <c r="A643" t="s">
        <v>4275</v>
      </c>
      <c r="B643" t="s">
        <v>4275</v>
      </c>
      <c r="C643">
        <v>41029</v>
      </c>
      <c r="D643">
        <v>492</v>
      </c>
      <c r="E643" t="s">
        <v>4006</v>
      </c>
      <c r="F643">
        <v>2700</v>
      </c>
      <c r="G643" t="s">
        <v>411</v>
      </c>
      <c r="H643" t="s">
        <v>4004</v>
      </c>
      <c r="I643" t="s">
        <v>2531</v>
      </c>
      <c r="J643">
        <v>2701</v>
      </c>
      <c r="K643" t="s">
        <v>2531</v>
      </c>
      <c r="L643">
        <v>2100</v>
      </c>
      <c r="M643" t="s">
        <v>123</v>
      </c>
      <c r="N643">
        <v>2118</v>
      </c>
      <c r="O643" t="s">
        <v>2409</v>
      </c>
      <c r="P643" t="s">
        <v>3108</v>
      </c>
      <c r="Q643" t="s">
        <v>3249</v>
      </c>
      <c r="R643" t="s">
        <v>3249</v>
      </c>
      <c r="S643" t="s">
        <v>810</v>
      </c>
      <c r="T643" t="s">
        <v>2754</v>
      </c>
      <c r="U643" t="s">
        <v>3250</v>
      </c>
      <c r="V643" t="s">
        <v>3250</v>
      </c>
      <c r="W643" t="s">
        <v>3250</v>
      </c>
      <c r="X643" t="s">
        <v>3250</v>
      </c>
      <c r="Y643" t="s">
        <v>3250</v>
      </c>
      <c r="Z643" t="s">
        <v>3250</v>
      </c>
      <c r="AA643" t="s">
        <v>3108</v>
      </c>
      <c r="AB643" t="s">
        <v>3108</v>
      </c>
      <c r="AC643" t="s">
        <v>3250</v>
      </c>
      <c r="AD643" t="s">
        <v>3250</v>
      </c>
      <c r="AE643" t="s">
        <v>3250</v>
      </c>
      <c r="AF643" t="s">
        <v>3250</v>
      </c>
      <c r="AG643" t="s">
        <v>3250</v>
      </c>
      <c r="AH643" t="s">
        <v>3250</v>
      </c>
      <c r="AI643" t="s">
        <v>3250</v>
      </c>
      <c r="AJ643" t="s">
        <v>3250</v>
      </c>
      <c r="AL643" t="s">
        <v>3250</v>
      </c>
      <c r="AM643" t="s">
        <v>3250</v>
      </c>
      <c r="AN643" t="s">
        <v>3250</v>
      </c>
      <c r="AO643" t="s">
        <v>3250</v>
      </c>
      <c r="AS643" t="s">
        <v>3250</v>
      </c>
      <c r="AT643" t="s">
        <v>3250</v>
      </c>
      <c r="AU643" t="s">
        <v>3250</v>
      </c>
      <c r="AV643" t="s">
        <v>3250</v>
      </c>
      <c r="AW643" t="s">
        <v>3250</v>
      </c>
      <c r="AX643" t="s">
        <v>3250</v>
      </c>
      <c r="AY643" t="s">
        <v>3250</v>
      </c>
      <c r="AZ643" t="s">
        <v>3250</v>
      </c>
      <c r="BA643" t="s">
        <v>3250</v>
      </c>
      <c r="BB643" t="s">
        <v>3250</v>
      </c>
      <c r="BC643" t="s">
        <v>3250</v>
      </c>
      <c r="BE643" t="s">
        <v>3250</v>
      </c>
      <c r="BF643" t="s">
        <v>3250</v>
      </c>
      <c r="BG643" t="s">
        <v>3250</v>
      </c>
      <c r="BH643" t="s">
        <v>3250</v>
      </c>
      <c r="BI643" t="s">
        <v>3250</v>
      </c>
      <c r="BK643" t="s">
        <v>3250</v>
      </c>
      <c r="BL643" t="s">
        <v>3250</v>
      </c>
      <c r="BM643" t="s">
        <v>3250</v>
      </c>
      <c r="BN643" t="s">
        <v>3250</v>
      </c>
      <c r="BP643">
        <v>4</v>
      </c>
      <c r="BQ643">
        <v>43</v>
      </c>
      <c r="BR643" t="s">
        <v>2409</v>
      </c>
      <c r="BS643" t="s">
        <v>4024</v>
      </c>
      <c r="BV643">
        <v>0</v>
      </c>
      <c r="BW643">
        <v>0</v>
      </c>
      <c r="BX643">
        <v>0</v>
      </c>
      <c r="BY643">
        <v>0</v>
      </c>
      <c r="BZ643">
        <v>0</v>
      </c>
      <c r="CA643">
        <v>0</v>
      </c>
      <c r="CB643">
        <v>0</v>
      </c>
      <c r="CC643">
        <v>0</v>
      </c>
      <c r="CD643">
        <v>0</v>
      </c>
      <c r="CE643" t="s">
        <v>3108</v>
      </c>
      <c r="CF643" t="s">
        <v>3108</v>
      </c>
      <c r="CG643" t="s">
        <v>3108</v>
      </c>
      <c r="CH643" t="s">
        <v>3108</v>
      </c>
    </row>
    <row r="644" spans="1:86" x14ac:dyDescent="0.2">
      <c r="A644" t="s">
        <v>4276</v>
      </c>
      <c r="B644" t="s">
        <v>4276</v>
      </c>
      <c r="C644">
        <v>41030</v>
      </c>
      <c r="D644">
        <v>493</v>
      </c>
      <c r="E644" t="s">
        <v>4003</v>
      </c>
      <c r="F644">
        <v>2700</v>
      </c>
      <c r="G644" t="s">
        <v>411</v>
      </c>
      <c r="H644" t="s">
        <v>4004</v>
      </c>
      <c r="I644" t="s">
        <v>2531</v>
      </c>
      <c r="J644">
        <v>2701</v>
      </c>
      <c r="K644" t="s">
        <v>2531</v>
      </c>
      <c r="L644">
        <v>2100</v>
      </c>
      <c r="M644" t="s">
        <v>123</v>
      </c>
      <c r="N644">
        <v>2118</v>
      </c>
      <c r="O644" t="s">
        <v>2409</v>
      </c>
      <c r="P644" t="s">
        <v>3108</v>
      </c>
      <c r="Q644" t="s">
        <v>3249</v>
      </c>
      <c r="R644" t="s">
        <v>3249</v>
      </c>
      <c r="S644" t="s">
        <v>810</v>
      </c>
      <c r="T644" t="s">
        <v>2754</v>
      </c>
      <c r="U644" t="s">
        <v>3250</v>
      </c>
      <c r="V644" t="s">
        <v>3250</v>
      </c>
      <c r="W644" t="s">
        <v>3250</v>
      </c>
      <c r="X644" t="s">
        <v>3250</v>
      </c>
      <c r="Y644" t="s">
        <v>3250</v>
      </c>
      <c r="Z644" t="s">
        <v>3250</v>
      </c>
      <c r="AA644" t="s">
        <v>3108</v>
      </c>
      <c r="AB644" t="s">
        <v>3108</v>
      </c>
      <c r="AC644" t="s">
        <v>3250</v>
      </c>
      <c r="AD644" t="s">
        <v>3250</v>
      </c>
      <c r="AE644" t="s">
        <v>3250</v>
      </c>
      <c r="AF644" t="s">
        <v>3250</v>
      </c>
      <c r="AG644" t="s">
        <v>3250</v>
      </c>
      <c r="AH644" t="s">
        <v>3250</v>
      </c>
      <c r="AI644" t="s">
        <v>3250</v>
      </c>
      <c r="AJ644" t="s">
        <v>3250</v>
      </c>
      <c r="AL644" t="s">
        <v>3250</v>
      </c>
      <c r="AM644" t="s">
        <v>3250</v>
      </c>
      <c r="AN644" t="s">
        <v>3250</v>
      </c>
      <c r="AO644" t="s">
        <v>3250</v>
      </c>
      <c r="AS644" t="s">
        <v>3250</v>
      </c>
      <c r="AT644" t="s">
        <v>3250</v>
      </c>
      <c r="AU644" t="s">
        <v>3250</v>
      </c>
      <c r="AV644" t="s">
        <v>3250</v>
      </c>
      <c r="AW644" t="s">
        <v>3250</v>
      </c>
      <c r="AX644" t="s">
        <v>3250</v>
      </c>
      <c r="AY644" t="s">
        <v>3250</v>
      </c>
      <c r="AZ644" t="s">
        <v>3250</v>
      </c>
      <c r="BA644" t="s">
        <v>3250</v>
      </c>
      <c r="BB644" t="s">
        <v>3250</v>
      </c>
      <c r="BC644" t="s">
        <v>3250</v>
      </c>
      <c r="BE644" t="s">
        <v>3250</v>
      </c>
      <c r="BF644" t="s">
        <v>3250</v>
      </c>
      <c r="BG644" t="s">
        <v>3250</v>
      </c>
      <c r="BH644" t="s">
        <v>3250</v>
      </c>
      <c r="BI644" t="s">
        <v>3250</v>
      </c>
      <c r="BK644" t="s">
        <v>3250</v>
      </c>
      <c r="BL644" t="s">
        <v>3250</v>
      </c>
      <c r="BM644" t="s">
        <v>3250</v>
      </c>
      <c r="BN644" t="s">
        <v>3250</v>
      </c>
      <c r="BP644">
        <v>4</v>
      </c>
      <c r="BQ644">
        <v>43</v>
      </c>
      <c r="BR644" t="s">
        <v>2409</v>
      </c>
      <c r="BS644" t="s">
        <v>4024</v>
      </c>
      <c r="BV644">
        <v>0</v>
      </c>
      <c r="BW644">
        <v>0</v>
      </c>
      <c r="BX644">
        <v>0</v>
      </c>
      <c r="BY644">
        <v>0</v>
      </c>
      <c r="BZ644">
        <v>0</v>
      </c>
      <c r="CA644">
        <v>0</v>
      </c>
      <c r="CB644">
        <v>0</v>
      </c>
      <c r="CC644">
        <v>0</v>
      </c>
      <c r="CD644">
        <v>0</v>
      </c>
      <c r="CE644" t="s">
        <v>3108</v>
      </c>
      <c r="CF644" t="s">
        <v>3108</v>
      </c>
      <c r="CG644" t="s">
        <v>3108</v>
      </c>
      <c r="CH644" t="s">
        <v>3108</v>
      </c>
    </row>
    <row r="645" spans="1:86" x14ac:dyDescent="0.2">
      <c r="A645" t="s">
        <v>4277</v>
      </c>
      <c r="B645" t="s">
        <v>4277</v>
      </c>
      <c r="C645">
        <v>41031</v>
      </c>
      <c r="D645">
        <v>494</v>
      </c>
      <c r="E645" t="s">
        <v>4047</v>
      </c>
      <c r="F645">
        <v>2600</v>
      </c>
      <c r="G645" t="s">
        <v>1334</v>
      </c>
      <c r="H645">
        <v>2600</v>
      </c>
      <c r="I645" t="s">
        <v>1334</v>
      </c>
      <c r="J645" t="s">
        <v>3250</v>
      </c>
      <c r="K645" t="s">
        <v>3250</v>
      </c>
      <c r="L645">
        <v>2100</v>
      </c>
      <c r="M645" t="s">
        <v>123</v>
      </c>
      <c r="N645">
        <v>2118</v>
      </c>
      <c r="O645" t="s">
        <v>2409</v>
      </c>
      <c r="P645" t="s">
        <v>3108</v>
      </c>
      <c r="Q645" t="s">
        <v>3249</v>
      </c>
      <c r="R645" t="s">
        <v>3249</v>
      </c>
      <c r="S645" t="s">
        <v>810</v>
      </c>
      <c r="T645" t="s">
        <v>2754</v>
      </c>
      <c r="U645" t="s">
        <v>3250</v>
      </c>
      <c r="V645" t="s">
        <v>3250</v>
      </c>
      <c r="W645" t="s">
        <v>3250</v>
      </c>
      <c r="X645" t="s">
        <v>3250</v>
      </c>
      <c r="Y645" t="s">
        <v>3250</v>
      </c>
      <c r="Z645" t="s">
        <v>3250</v>
      </c>
      <c r="AA645" t="s">
        <v>3108</v>
      </c>
      <c r="AB645" t="s">
        <v>3108</v>
      </c>
      <c r="AC645" t="s">
        <v>3250</v>
      </c>
      <c r="AD645" t="s">
        <v>3250</v>
      </c>
      <c r="AE645" t="s">
        <v>3250</v>
      </c>
      <c r="AF645" t="s">
        <v>3250</v>
      </c>
      <c r="AG645" t="s">
        <v>3250</v>
      </c>
      <c r="AH645" t="s">
        <v>3250</v>
      </c>
      <c r="AI645" t="s">
        <v>3250</v>
      </c>
      <c r="AJ645" t="s">
        <v>3250</v>
      </c>
      <c r="AL645" t="s">
        <v>3250</v>
      </c>
      <c r="AM645" t="s">
        <v>3250</v>
      </c>
      <c r="AN645" t="s">
        <v>3250</v>
      </c>
      <c r="AO645" t="s">
        <v>3250</v>
      </c>
      <c r="AS645" t="s">
        <v>3250</v>
      </c>
      <c r="AT645" t="s">
        <v>3250</v>
      </c>
      <c r="AU645" t="s">
        <v>3250</v>
      </c>
      <c r="AV645" t="s">
        <v>3250</v>
      </c>
      <c r="AW645" t="s">
        <v>3250</v>
      </c>
      <c r="AX645" t="s">
        <v>3250</v>
      </c>
      <c r="AY645" t="s">
        <v>3250</v>
      </c>
      <c r="AZ645" t="s">
        <v>3250</v>
      </c>
      <c r="BA645" t="s">
        <v>3250</v>
      </c>
      <c r="BB645" t="s">
        <v>3250</v>
      </c>
      <c r="BC645" t="s">
        <v>3250</v>
      </c>
      <c r="BE645" t="s">
        <v>3250</v>
      </c>
      <c r="BF645" t="s">
        <v>3250</v>
      </c>
      <c r="BG645" t="s">
        <v>3250</v>
      </c>
      <c r="BH645" t="s">
        <v>3250</v>
      </c>
      <c r="BI645" t="s">
        <v>3250</v>
      </c>
      <c r="BK645" t="s">
        <v>3250</v>
      </c>
      <c r="BL645" t="s">
        <v>3250</v>
      </c>
      <c r="BM645" t="s">
        <v>3250</v>
      </c>
      <c r="BN645" t="s">
        <v>3250</v>
      </c>
      <c r="BP645">
        <v>4</v>
      </c>
      <c r="BQ645">
        <v>43</v>
      </c>
      <c r="BR645" t="s">
        <v>2409</v>
      </c>
      <c r="BS645" t="s">
        <v>4024</v>
      </c>
      <c r="BV645">
        <v>0</v>
      </c>
      <c r="BW645">
        <v>0</v>
      </c>
      <c r="BX645">
        <v>0</v>
      </c>
      <c r="BY645">
        <v>0</v>
      </c>
      <c r="BZ645">
        <v>0</v>
      </c>
      <c r="CA645">
        <v>0</v>
      </c>
      <c r="CB645">
        <v>0</v>
      </c>
      <c r="CC645">
        <v>0</v>
      </c>
      <c r="CD645">
        <v>0</v>
      </c>
      <c r="CE645" t="s">
        <v>3108</v>
      </c>
      <c r="CF645" t="s">
        <v>3108</v>
      </c>
      <c r="CG645" t="s">
        <v>3108</v>
      </c>
      <c r="CH645" t="s">
        <v>3108</v>
      </c>
    </row>
    <row r="646" spans="1:86" x14ac:dyDescent="0.2">
      <c r="A646" t="s">
        <v>4278</v>
      </c>
      <c r="B646" t="s">
        <v>4278</v>
      </c>
      <c r="C646">
        <v>41032</v>
      </c>
      <c r="D646">
        <v>245</v>
      </c>
      <c r="E646" t="s">
        <v>4250</v>
      </c>
      <c r="F646" t="s">
        <v>3249</v>
      </c>
      <c r="G646" t="s">
        <v>3249</v>
      </c>
      <c r="H646" t="s">
        <v>3250</v>
      </c>
      <c r="I646" t="s">
        <v>3250</v>
      </c>
      <c r="J646" t="s">
        <v>3250</v>
      </c>
      <c r="K646" t="s">
        <v>3250</v>
      </c>
      <c r="L646">
        <v>2100</v>
      </c>
      <c r="M646" t="s">
        <v>123</v>
      </c>
      <c r="N646">
        <v>2105</v>
      </c>
      <c r="O646" t="s">
        <v>2398</v>
      </c>
      <c r="P646" t="s">
        <v>2805</v>
      </c>
      <c r="Q646">
        <v>2010</v>
      </c>
      <c r="R646" t="s">
        <v>1355</v>
      </c>
      <c r="S646" t="s">
        <v>427</v>
      </c>
      <c r="T646" t="s">
        <v>3251</v>
      </c>
      <c r="U646">
        <v>240</v>
      </c>
      <c r="V646" t="s">
        <v>4251</v>
      </c>
      <c r="W646">
        <v>240</v>
      </c>
      <c r="X646" t="s">
        <v>1323</v>
      </c>
      <c r="Y646" t="s">
        <v>3250</v>
      </c>
      <c r="Z646" t="s">
        <v>3250</v>
      </c>
      <c r="AA646" t="s">
        <v>3108</v>
      </c>
      <c r="AB646" t="s">
        <v>3108</v>
      </c>
      <c r="AC646" t="s">
        <v>3250</v>
      </c>
      <c r="AD646" t="s">
        <v>3250</v>
      </c>
      <c r="AE646" t="s">
        <v>3250</v>
      </c>
      <c r="AF646" t="s">
        <v>3250</v>
      </c>
      <c r="AG646" t="s">
        <v>3250</v>
      </c>
      <c r="AH646" t="s">
        <v>3250</v>
      </c>
      <c r="AI646" t="s">
        <v>3250</v>
      </c>
      <c r="AJ646" t="s">
        <v>3250</v>
      </c>
      <c r="AK646">
        <v>770</v>
      </c>
      <c r="AL646">
        <v>241</v>
      </c>
      <c r="AM646" t="s">
        <v>1455</v>
      </c>
      <c r="AN646">
        <v>241</v>
      </c>
      <c r="AO646" t="s">
        <v>1455</v>
      </c>
      <c r="AS646">
        <v>810</v>
      </c>
      <c r="AT646">
        <v>810</v>
      </c>
      <c r="AU646" t="s">
        <v>2286</v>
      </c>
      <c r="AV646" t="s">
        <v>2286</v>
      </c>
      <c r="AW646" t="s">
        <v>3250</v>
      </c>
      <c r="AX646" t="s">
        <v>3250</v>
      </c>
      <c r="AY646" t="s">
        <v>3250</v>
      </c>
      <c r="AZ646" t="s">
        <v>3250</v>
      </c>
      <c r="BA646" t="s">
        <v>3250</v>
      </c>
      <c r="BB646" t="s">
        <v>3250</v>
      </c>
      <c r="BC646" t="s">
        <v>3250</v>
      </c>
      <c r="BE646" t="s">
        <v>3250</v>
      </c>
      <c r="BF646" t="s">
        <v>3250</v>
      </c>
      <c r="BG646" t="s">
        <v>3250</v>
      </c>
      <c r="BH646" t="s">
        <v>3250</v>
      </c>
      <c r="BI646" t="s">
        <v>3250</v>
      </c>
      <c r="BK646" t="s">
        <v>3250</v>
      </c>
      <c r="BL646" t="s">
        <v>3250</v>
      </c>
      <c r="BM646" t="s">
        <v>3250</v>
      </c>
      <c r="BN646" t="s">
        <v>3250</v>
      </c>
      <c r="BP646">
        <v>4</v>
      </c>
      <c r="BQ646">
        <v>49</v>
      </c>
      <c r="BR646" t="s">
        <v>2398</v>
      </c>
      <c r="BS646" t="s">
        <v>4024</v>
      </c>
      <c r="BV646">
        <v>0</v>
      </c>
      <c r="BW646">
        <v>0</v>
      </c>
      <c r="BX646">
        <v>0</v>
      </c>
      <c r="BY646">
        <v>0</v>
      </c>
      <c r="BZ646">
        <v>0</v>
      </c>
      <c r="CA646">
        <v>0</v>
      </c>
      <c r="CB646">
        <v>0</v>
      </c>
      <c r="CC646">
        <v>0</v>
      </c>
      <c r="CD646">
        <v>0</v>
      </c>
      <c r="CE646" t="s">
        <v>3108</v>
      </c>
      <c r="CF646" t="s">
        <v>3108</v>
      </c>
      <c r="CG646" t="s">
        <v>3108</v>
      </c>
      <c r="CH646" t="s">
        <v>3108</v>
      </c>
    </row>
    <row r="647" spans="1:86" x14ac:dyDescent="0.2">
      <c r="A647" t="s">
        <v>4279</v>
      </c>
      <c r="B647" t="s">
        <v>4279</v>
      </c>
      <c r="C647">
        <v>41048</v>
      </c>
      <c r="D647">
        <v>247</v>
      </c>
      <c r="E647" t="s">
        <v>4250</v>
      </c>
      <c r="F647" t="s">
        <v>3249</v>
      </c>
      <c r="G647" t="s">
        <v>3249</v>
      </c>
      <c r="H647" t="s">
        <v>3250</v>
      </c>
      <c r="I647" t="s">
        <v>3250</v>
      </c>
      <c r="J647" t="s">
        <v>3250</v>
      </c>
      <c r="K647" t="s">
        <v>3250</v>
      </c>
      <c r="L647">
        <v>2100</v>
      </c>
      <c r="M647" t="s">
        <v>123</v>
      </c>
      <c r="N647">
        <v>2105</v>
      </c>
      <c r="O647" t="s">
        <v>2398</v>
      </c>
      <c r="P647" t="s">
        <v>2805</v>
      </c>
      <c r="Q647">
        <v>2010</v>
      </c>
      <c r="R647" t="s">
        <v>1355</v>
      </c>
      <c r="S647" t="s">
        <v>427</v>
      </c>
      <c r="T647" t="s">
        <v>3251</v>
      </c>
      <c r="U647">
        <v>240</v>
      </c>
      <c r="V647" t="s">
        <v>4251</v>
      </c>
      <c r="W647">
        <v>240</v>
      </c>
      <c r="X647" t="s">
        <v>1323</v>
      </c>
      <c r="Y647" t="s">
        <v>3250</v>
      </c>
      <c r="Z647" t="s">
        <v>3250</v>
      </c>
      <c r="AA647" t="s">
        <v>3108</v>
      </c>
      <c r="AB647" t="s">
        <v>3108</v>
      </c>
      <c r="AC647" t="s">
        <v>3250</v>
      </c>
      <c r="AD647" t="s">
        <v>3250</v>
      </c>
      <c r="AE647" t="s">
        <v>3250</v>
      </c>
      <c r="AF647" t="s">
        <v>3250</v>
      </c>
      <c r="AG647" t="s">
        <v>3250</v>
      </c>
      <c r="AH647" t="s">
        <v>3250</v>
      </c>
      <c r="AI647" t="s">
        <v>3250</v>
      </c>
      <c r="AJ647" t="s">
        <v>3250</v>
      </c>
      <c r="AK647">
        <v>770</v>
      </c>
      <c r="AL647">
        <v>241</v>
      </c>
      <c r="AM647" t="s">
        <v>1455</v>
      </c>
      <c r="AN647">
        <v>241</v>
      </c>
      <c r="AO647" t="s">
        <v>1455</v>
      </c>
      <c r="AS647">
        <v>810</v>
      </c>
      <c r="AT647">
        <v>810</v>
      </c>
      <c r="AU647" t="s">
        <v>2286</v>
      </c>
      <c r="AV647" t="s">
        <v>2286</v>
      </c>
      <c r="AW647" t="s">
        <v>3250</v>
      </c>
      <c r="AX647" t="s">
        <v>3250</v>
      </c>
      <c r="AY647" t="s">
        <v>3250</v>
      </c>
      <c r="AZ647" t="s">
        <v>3250</v>
      </c>
      <c r="BA647" t="s">
        <v>3250</v>
      </c>
      <c r="BB647" t="s">
        <v>3250</v>
      </c>
      <c r="BC647" t="s">
        <v>3250</v>
      </c>
      <c r="BE647" t="s">
        <v>3250</v>
      </c>
      <c r="BF647" t="s">
        <v>3250</v>
      </c>
      <c r="BG647" t="s">
        <v>3250</v>
      </c>
      <c r="BH647" t="s">
        <v>3250</v>
      </c>
      <c r="BI647" t="s">
        <v>3250</v>
      </c>
      <c r="BK647" t="s">
        <v>3250</v>
      </c>
      <c r="BL647" t="s">
        <v>3250</v>
      </c>
      <c r="BM647" t="s">
        <v>3250</v>
      </c>
      <c r="BN647" t="s">
        <v>3250</v>
      </c>
      <c r="BP647">
        <v>4</v>
      </c>
      <c r="BQ647">
        <v>49</v>
      </c>
      <c r="BR647" t="s">
        <v>2398</v>
      </c>
      <c r="BS647" t="s">
        <v>4024</v>
      </c>
      <c r="BV647">
        <v>0</v>
      </c>
      <c r="BW647">
        <v>0</v>
      </c>
      <c r="BX647">
        <v>0</v>
      </c>
      <c r="BY647">
        <v>0</v>
      </c>
      <c r="BZ647">
        <v>0</v>
      </c>
      <c r="CA647">
        <v>0</v>
      </c>
      <c r="CB647">
        <v>0</v>
      </c>
      <c r="CC647">
        <v>0</v>
      </c>
      <c r="CD647">
        <v>0</v>
      </c>
      <c r="CE647" t="s">
        <v>3108</v>
      </c>
      <c r="CF647" t="s">
        <v>3108</v>
      </c>
      <c r="CG647" t="s">
        <v>3108</v>
      </c>
      <c r="CH647" t="s">
        <v>3108</v>
      </c>
    </row>
    <row r="648" spans="1:86" x14ac:dyDescent="0.2">
      <c r="A648" t="s">
        <v>4280</v>
      </c>
      <c r="B648" t="s">
        <v>4280</v>
      </c>
      <c r="C648">
        <v>41052</v>
      </c>
      <c r="D648">
        <v>248</v>
      </c>
      <c r="E648" t="s">
        <v>4250</v>
      </c>
      <c r="F648" t="s">
        <v>3249</v>
      </c>
      <c r="G648" t="s">
        <v>3249</v>
      </c>
      <c r="H648" t="s">
        <v>3250</v>
      </c>
      <c r="I648" t="s">
        <v>3250</v>
      </c>
      <c r="J648" t="s">
        <v>3250</v>
      </c>
      <c r="K648" t="s">
        <v>3250</v>
      </c>
      <c r="L648">
        <v>2100</v>
      </c>
      <c r="M648" t="s">
        <v>123</v>
      </c>
      <c r="N648">
        <v>2105</v>
      </c>
      <c r="O648" t="s">
        <v>2398</v>
      </c>
      <c r="P648" t="s">
        <v>2805</v>
      </c>
      <c r="Q648">
        <v>2010</v>
      </c>
      <c r="R648" t="s">
        <v>1355</v>
      </c>
      <c r="S648" t="s">
        <v>427</v>
      </c>
      <c r="T648" t="s">
        <v>3251</v>
      </c>
      <c r="U648">
        <v>240</v>
      </c>
      <c r="V648" t="s">
        <v>4251</v>
      </c>
      <c r="W648">
        <v>240</v>
      </c>
      <c r="X648" t="s">
        <v>1323</v>
      </c>
      <c r="Y648" t="s">
        <v>3250</v>
      </c>
      <c r="Z648" t="s">
        <v>3250</v>
      </c>
      <c r="AA648" t="s">
        <v>3108</v>
      </c>
      <c r="AB648" t="s">
        <v>3108</v>
      </c>
      <c r="AC648" t="s">
        <v>3250</v>
      </c>
      <c r="AD648" t="s">
        <v>3250</v>
      </c>
      <c r="AE648" t="s">
        <v>3250</v>
      </c>
      <c r="AF648" t="s">
        <v>3250</v>
      </c>
      <c r="AG648" t="s">
        <v>3250</v>
      </c>
      <c r="AH648" t="s">
        <v>3250</v>
      </c>
      <c r="AI648" t="s">
        <v>3250</v>
      </c>
      <c r="AJ648" t="s">
        <v>3250</v>
      </c>
      <c r="AK648">
        <v>770</v>
      </c>
      <c r="AL648">
        <v>241</v>
      </c>
      <c r="AM648" t="s">
        <v>1455</v>
      </c>
      <c r="AN648">
        <v>241</v>
      </c>
      <c r="AO648" t="s">
        <v>1455</v>
      </c>
      <c r="AS648">
        <v>790</v>
      </c>
      <c r="AT648">
        <v>790</v>
      </c>
      <c r="AU648" t="s">
        <v>2284</v>
      </c>
      <c r="AV648" t="s">
        <v>2284</v>
      </c>
      <c r="AW648" t="s">
        <v>3250</v>
      </c>
      <c r="AX648" t="s">
        <v>3250</v>
      </c>
      <c r="AY648" t="s">
        <v>3250</v>
      </c>
      <c r="AZ648" t="s">
        <v>3250</v>
      </c>
      <c r="BA648" t="s">
        <v>3250</v>
      </c>
      <c r="BB648" t="s">
        <v>3250</v>
      </c>
      <c r="BC648" t="s">
        <v>3250</v>
      </c>
      <c r="BE648" t="s">
        <v>3250</v>
      </c>
      <c r="BF648" t="s">
        <v>3250</v>
      </c>
      <c r="BG648" t="s">
        <v>3250</v>
      </c>
      <c r="BH648" t="s">
        <v>3250</v>
      </c>
      <c r="BI648" t="s">
        <v>3250</v>
      </c>
      <c r="BK648" t="s">
        <v>3250</v>
      </c>
      <c r="BL648" t="s">
        <v>3250</v>
      </c>
      <c r="BM648" t="s">
        <v>3250</v>
      </c>
      <c r="BN648" t="s">
        <v>3250</v>
      </c>
      <c r="BP648">
        <v>4</v>
      </c>
      <c r="BQ648">
        <v>49</v>
      </c>
      <c r="BR648" t="s">
        <v>2398</v>
      </c>
      <c r="BS648" t="s">
        <v>4024</v>
      </c>
      <c r="BV648">
        <v>0</v>
      </c>
      <c r="BW648">
        <v>0</v>
      </c>
      <c r="BX648">
        <v>3732920</v>
      </c>
      <c r="BY648">
        <v>0</v>
      </c>
      <c r="BZ648">
        <v>507082</v>
      </c>
      <c r="CA648">
        <v>0</v>
      </c>
      <c r="CB648">
        <v>0</v>
      </c>
      <c r="CC648">
        <v>0</v>
      </c>
      <c r="CD648">
        <v>124175</v>
      </c>
      <c r="CE648" t="s">
        <v>3108</v>
      </c>
      <c r="CF648" t="s">
        <v>3108</v>
      </c>
      <c r="CG648" t="s">
        <v>3108</v>
      </c>
      <c r="CH648" t="s">
        <v>3108</v>
      </c>
    </row>
    <row r="649" spans="1:86" x14ac:dyDescent="0.2">
      <c r="A649" t="s">
        <v>4281</v>
      </c>
      <c r="B649" t="s">
        <v>4281</v>
      </c>
      <c r="C649">
        <v>41055</v>
      </c>
      <c r="D649">
        <v>487</v>
      </c>
      <c r="E649" t="s">
        <v>4153</v>
      </c>
      <c r="F649">
        <v>2900</v>
      </c>
      <c r="G649" t="s">
        <v>822</v>
      </c>
      <c r="H649" t="s">
        <v>3108</v>
      </c>
      <c r="I649" t="s">
        <v>3108</v>
      </c>
      <c r="J649">
        <v>2904</v>
      </c>
      <c r="K649" t="s">
        <v>1690</v>
      </c>
      <c r="L649">
        <v>2100</v>
      </c>
      <c r="M649" t="s">
        <v>123</v>
      </c>
      <c r="N649">
        <v>2105</v>
      </c>
      <c r="O649" t="s">
        <v>2398</v>
      </c>
      <c r="P649" t="s">
        <v>3108</v>
      </c>
      <c r="Q649" t="s">
        <v>3249</v>
      </c>
      <c r="R649" t="s">
        <v>3249</v>
      </c>
      <c r="S649" t="s">
        <v>810</v>
      </c>
      <c r="T649" t="s">
        <v>2754</v>
      </c>
      <c r="U649" t="s">
        <v>3250</v>
      </c>
      <c r="V649" t="s">
        <v>3250</v>
      </c>
      <c r="W649" t="s">
        <v>3250</v>
      </c>
      <c r="X649" t="s">
        <v>3250</v>
      </c>
      <c r="Y649" t="s">
        <v>3250</v>
      </c>
      <c r="Z649" t="s">
        <v>3250</v>
      </c>
      <c r="AA649" t="s">
        <v>3108</v>
      </c>
      <c r="AB649" t="s">
        <v>3108</v>
      </c>
      <c r="AC649" t="s">
        <v>3250</v>
      </c>
      <c r="AD649" t="s">
        <v>3250</v>
      </c>
      <c r="AE649" t="s">
        <v>3250</v>
      </c>
      <c r="AF649" t="s">
        <v>3250</v>
      </c>
      <c r="AG649" t="s">
        <v>3250</v>
      </c>
      <c r="AH649" t="s">
        <v>3250</v>
      </c>
      <c r="AI649" t="s">
        <v>3250</v>
      </c>
      <c r="AJ649" t="s">
        <v>3250</v>
      </c>
      <c r="AL649" t="s">
        <v>3250</v>
      </c>
      <c r="AM649" t="s">
        <v>3250</v>
      </c>
      <c r="AN649" t="s">
        <v>3250</v>
      </c>
      <c r="AO649" t="s">
        <v>3250</v>
      </c>
      <c r="AS649" t="s">
        <v>3250</v>
      </c>
      <c r="AT649" t="s">
        <v>3250</v>
      </c>
      <c r="AU649" t="s">
        <v>3250</v>
      </c>
      <c r="AV649" t="s">
        <v>3250</v>
      </c>
      <c r="AW649" t="s">
        <v>3250</v>
      </c>
      <c r="AX649" t="s">
        <v>3250</v>
      </c>
      <c r="AY649" t="s">
        <v>3250</v>
      </c>
      <c r="AZ649" t="s">
        <v>3250</v>
      </c>
      <c r="BA649" t="s">
        <v>3250</v>
      </c>
      <c r="BB649" t="s">
        <v>3250</v>
      </c>
      <c r="BC649" t="s">
        <v>3250</v>
      </c>
      <c r="BE649" t="s">
        <v>3250</v>
      </c>
      <c r="BF649" t="s">
        <v>3250</v>
      </c>
      <c r="BG649" t="s">
        <v>3250</v>
      </c>
      <c r="BH649" t="s">
        <v>3250</v>
      </c>
      <c r="BI649" t="s">
        <v>3250</v>
      </c>
      <c r="BK649" t="s">
        <v>3250</v>
      </c>
      <c r="BL649" t="s">
        <v>3250</v>
      </c>
      <c r="BM649" t="s">
        <v>3250</v>
      </c>
      <c r="BN649" t="s">
        <v>3250</v>
      </c>
      <c r="BP649">
        <v>4</v>
      </c>
      <c r="BQ649">
        <v>49</v>
      </c>
      <c r="BR649" t="s">
        <v>2398</v>
      </c>
      <c r="BS649" t="s">
        <v>4024</v>
      </c>
      <c r="BV649">
        <v>0</v>
      </c>
      <c r="BW649">
        <v>0</v>
      </c>
      <c r="BX649">
        <v>0</v>
      </c>
      <c r="BY649">
        <v>0</v>
      </c>
      <c r="BZ649">
        <v>0</v>
      </c>
      <c r="CA649">
        <v>0</v>
      </c>
      <c r="CB649">
        <v>0</v>
      </c>
      <c r="CC649">
        <v>0</v>
      </c>
      <c r="CD649">
        <v>0</v>
      </c>
      <c r="CE649" t="s">
        <v>3108</v>
      </c>
      <c r="CF649" t="s">
        <v>3108</v>
      </c>
      <c r="CG649" t="s">
        <v>3108</v>
      </c>
      <c r="CH649" t="s">
        <v>3108</v>
      </c>
    </row>
    <row r="650" spans="1:86" x14ac:dyDescent="0.2">
      <c r="A650" t="s">
        <v>4282</v>
      </c>
      <c r="B650" t="s">
        <v>4282</v>
      </c>
      <c r="C650">
        <v>41056</v>
      </c>
      <c r="D650">
        <v>488</v>
      </c>
      <c r="E650" t="s">
        <v>3994</v>
      </c>
      <c r="F650">
        <v>2600</v>
      </c>
      <c r="G650" t="s">
        <v>1334</v>
      </c>
      <c r="H650">
        <v>2600</v>
      </c>
      <c r="I650" t="s">
        <v>1334</v>
      </c>
      <c r="J650" t="s">
        <v>3250</v>
      </c>
      <c r="K650" t="s">
        <v>3250</v>
      </c>
      <c r="L650">
        <v>2100</v>
      </c>
      <c r="M650" t="s">
        <v>123</v>
      </c>
      <c r="N650">
        <v>2105</v>
      </c>
      <c r="O650" t="s">
        <v>2398</v>
      </c>
      <c r="P650" t="s">
        <v>3108</v>
      </c>
      <c r="Q650" t="s">
        <v>3249</v>
      </c>
      <c r="R650" t="s">
        <v>3249</v>
      </c>
      <c r="S650" t="s">
        <v>810</v>
      </c>
      <c r="T650" t="s">
        <v>2754</v>
      </c>
      <c r="U650" t="s">
        <v>3250</v>
      </c>
      <c r="V650" t="s">
        <v>3250</v>
      </c>
      <c r="W650" t="s">
        <v>3250</v>
      </c>
      <c r="X650" t="s">
        <v>3250</v>
      </c>
      <c r="Y650" t="s">
        <v>3250</v>
      </c>
      <c r="Z650" t="s">
        <v>3250</v>
      </c>
      <c r="AA650" t="s">
        <v>3108</v>
      </c>
      <c r="AB650" t="s">
        <v>3108</v>
      </c>
      <c r="AC650" t="s">
        <v>3250</v>
      </c>
      <c r="AD650" t="s">
        <v>3250</v>
      </c>
      <c r="AE650" t="s">
        <v>3250</v>
      </c>
      <c r="AF650" t="s">
        <v>3250</v>
      </c>
      <c r="AG650" t="s">
        <v>3250</v>
      </c>
      <c r="AH650" t="s">
        <v>3250</v>
      </c>
      <c r="AI650" t="s">
        <v>3250</v>
      </c>
      <c r="AJ650" t="s">
        <v>3250</v>
      </c>
      <c r="AL650" t="s">
        <v>3250</v>
      </c>
      <c r="AM650" t="s">
        <v>3250</v>
      </c>
      <c r="AN650" t="s">
        <v>3250</v>
      </c>
      <c r="AO650" t="s">
        <v>3250</v>
      </c>
      <c r="AS650" t="s">
        <v>3250</v>
      </c>
      <c r="AT650" t="s">
        <v>3250</v>
      </c>
      <c r="AU650" t="s">
        <v>3250</v>
      </c>
      <c r="AV650" t="s">
        <v>3250</v>
      </c>
      <c r="AW650" t="s">
        <v>3250</v>
      </c>
      <c r="AX650" t="s">
        <v>3250</v>
      </c>
      <c r="AY650" t="s">
        <v>3250</v>
      </c>
      <c r="AZ650" t="s">
        <v>3250</v>
      </c>
      <c r="BA650" t="s">
        <v>3250</v>
      </c>
      <c r="BB650" t="s">
        <v>3250</v>
      </c>
      <c r="BC650" t="s">
        <v>3250</v>
      </c>
      <c r="BE650" t="s">
        <v>3250</v>
      </c>
      <c r="BF650" t="s">
        <v>3250</v>
      </c>
      <c r="BG650" t="s">
        <v>3250</v>
      </c>
      <c r="BH650" t="s">
        <v>3250</v>
      </c>
      <c r="BI650" t="s">
        <v>3250</v>
      </c>
      <c r="BK650" t="s">
        <v>3250</v>
      </c>
      <c r="BL650" t="s">
        <v>3250</v>
      </c>
      <c r="BM650" t="s">
        <v>3250</v>
      </c>
      <c r="BN650" t="s">
        <v>3250</v>
      </c>
      <c r="BP650">
        <v>4</v>
      </c>
      <c r="BQ650">
        <v>49</v>
      </c>
      <c r="BR650" t="s">
        <v>2398</v>
      </c>
      <c r="BS650" t="s">
        <v>4024</v>
      </c>
      <c r="BV650">
        <v>0</v>
      </c>
      <c r="BW650">
        <v>0</v>
      </c>
      <c r="BX650">
        <v>0</v>
      </c>
      <c r="BY650">
        <v>0</v>
      </c>
      <c r="BZ650">
        <v>0</v>
      </c>
      <c r="CA650">
        <v>0</v>
      </c>
      <c r="CB650">
        <v>0</v>
      </c>
      <c r="CC650">
        <v>0</v>
      </c>
      <c r="CD650">
        <v>0</v>
      </c>
      <c r="CE650" t="s">
        <v>3108</v>
      </c>
      <c r="CF650" t="s">
        <v>3108</v>
      </c>
      <c r="CG650" t="s">
        <v>3108</v>
      </c>
      <c r="CH650" t="s">
        <v>3108</v>
      </c>
    </row>
    <row r="651" spans="1:86" x14ac:dyDescent="0.2">
      <c r="A651" t="s">
        <v>4283</v>
      </c>
      <c r="B651" t="s">
        <v>4283</v>
      </c>
      <c r="C651">
        <v>41057</v>
      </c>
      <c r="D651">
        <v>489</v>
      </c>
      <c r="E651" t="s">
        <v>4006</v>
      </c>
      <c r="F651">
        <v>2700</v>
      </c>
      <c r="G651" t="s">
        <v>411</v>
      </c>
      <c r="H651" t="s">
        <v>4004</v>
      </c>
      <c r="I651" t="s">
        <v>2531</v>
      </c>
      <c r="J651">
        <v>2701</v>
      </c>
      <c r="K651" t="s">
        <v>2531</v>
      </c>
      <c r="L651">
        <v>2100</v>
      </c>
      <c r="M651" t="s">
        <v>123</v>
      </c>
      <c r="N651">
        <v>2105</v>
      </c>
      <c r="O651" t="s">
        <v>2398</v>
      </c>
      <c r="P651" t="s">
        <v>3108</v>
      </c>
      <c r="Q651" t="s">
        <v>3249</v>
      </c>
      <c r="R651" t="s">
        <v>3249</v>
      </c>
      <c r="S651" t="s">
        <v>810</v>
      </c>
      <c r="T651" t="s">
        <v>2754</v>
      </c>
      <c r="U651" t="s">
        <v>3250</v>
      </c>
      <c r="V651" t="s">
        <v>3250</v>
      </c>
      <c r="W651" t="s">
        <v>3250</v>
      </c>
      <c r="X651" t="s">
        <v>3250</v>
      </c>
      <c r="Y651" t="s">
        <v>3250</v>
      </c>
      <c r="Z651" t="s">
        <v>3250</v>
      </c>
      <c r="AA651" t="s">
        <v>3108</v>
      </c>
      <c r="AB651" t="s">
        <v>3108</v>
      </c>
      <c r="AC651" t="s">
        <v>3250</v>
      </c>
      <c r="AD651" t="s">
        <v>3250</v>
      </c>
      <c r="AE651" t="s">
        <v>3250</v>
      </c>
      <c r="AF651" t="s">
        <v>3250</v>
      </c>
      <c r="AG651" t="s">
        <v>3250</v>
      </c>
      <c r="AH651" t="s">
        <v>3250</v>
      </c>
      <c r="AI651" t="s">
        <v>3250</v>
      </c>
      <c r="AJ651" t="s">
        <v>3250</v>
      </c>
      <c r="AL651" t="s">
        <v>3250</v>
      </c>
      <c r="AM651" t="s">
        <v>3250</v>
      </c>
      <c r="AN651" t="s">
        <v>3250</v>
      </c>
      <c r="AO651" t="s">
        <v>3250</v>
      </c>
      <c r="AS651" t="s">
        <v>3250</v>
      </c>
      <c r="AT651" t="s">
        <v>3250</v>
      </c>
      <c r="AU651" t="s">
        <v>3250</v>
      </c>
      <c r="AV651" t="s">
        <v>3250</v>
      </c>
      <c r="AW651" t="s">
        <v>3250</v>
      </c>
      <c r="AX651" t="s">
        <v>3250</v>
      </c>
      <c r="AY651" t="s">
        <v>3250</v>
      </c>
      <c r="AZ651" t="s">
        <v>3250</v>
      </c>
      <c r="BA651" t="s">
        <v>3250</v>
      </c>
      <c r="BB651" t="s">
        <v>3250</v>
      </c>
      <c r="BC651" t="s">
        <v>3250</v>
      </c>
      <c r="BE651" t="s">
        <v>3250</v>
      </c>
      <c r="BF651" t="s">
        <v>3250</v>
      </c>
      <c r="BG651" t="s">
        <v>3250</v>
      </c>
      <c r="BH651" t="s">
        <v>3250</v>
      </c>
      <c r="BI651" t="s">
        <v>3250</v>
      </c>
      <c r="BK651" t="s">
        <v>3250</v>
      </c>
      <c r="BL651" t="s">
        <v>3250</v>
      </c>
      <c r="BM651" t="s">
        <v>3250</v>
      </c>
      <c r="BN651" t="s">
        <v>3250</v>
      </c>
      <c r="BP651">
        <v>4</v>
      </c>
      <c r="BQ651">
        <v>49</v>
      </c>
      <c r="BR651" t="s">
        <v>2398</v>
      </c>
      <c r="BS651" t="s">
        <v>4024</v>
      </c>
      <c r="BV651">
        <v>0</v>
      </c>
      <c r="BW651">
        <v>0</v>
      </c>
      <c r="BX651">
        <v>0</v>
      </c>
      <c r="BY651">
        <v>0</v>
      </c>
      <c r="BZ651">
        <v>0</v>
      </c>
      <c r="CA651">
        <v>0</v>
      </c>
      <c r="CB651">
        <v>0</v>
      </c>
      <c r="CC651">
        <v>0</v>
      </c>
      <c r="CD651">
        <v>0</v>
      </c>
      <c r="CE651" t="s">
        <v>3108</v>
      </c>
      <c r="CF651" t="s">
        <v>3108</v>
      </c>
      <c r="CG651" t="s">
        <v>3108</v>
      </c>
      <c r="CH651" t="s">
        <v>3108</v>
      </c>
    </row>
    <row r="652" spans="1:86" x14ac:dyDescent="0.2">
      <c r="A652" t="s">
        <v>4284</v>
      </c>
      <c r="B652" t="s">
        <v>4284</v>
      </c>
      <c r="C652">
        <v>41058</v>
      </c>
      <c r="D652">
        <v>490</v>
      </c>
      <c r="E652" t="s">
        <v>4003</v>
      </c>
      <c r="F652">
        <v>2700</v>
      </c>
      <c r="G652" t="s">
        <v>411</v>
      </c>
      <c r="H652" t="s">
        <v>4004</v>
      </c>
      <c r="I652" t="s">
        <v>2531</v>
      </c>
      <c r="J652">
        <v>2701</v>
      </c>
      <c r="K652" t="s">
        <v>2531</v>
      </c>
      <c r="L652">
        <v>2100</v>
      </c>
      <c r="M652" t="s">
        <v>123</v>
      </c>
      <c r="N652">
        <v>2105</v>
      </c>
      <c r="O652" t="s">
        <v>2398</v>
      </c>
      <c r="P652" t="s">
        <v>3108</v>
      </c>
      <c r="Q652" t="s">
        <v>3249</v>
      </c>
      <c r="R652" t="s">
        <v>3249</v>
      </c>
      <c r="S652" t="s">
        <v>810</v>
      </c>
      <c r="T652" t="s">
        <v>2754</v>
      </c>
      <c r="U652" t="s">
        <v>3250</v>
      </c>
      <c r="V652" t="s">
        <v>3250</v>
      </c>
      <c r="W652" t="s">
        <v>3250</v>
      </c>
      <c r="X652" t="s">
        <v>3250</v>
      </c>
      <c r="Y652" t="s">
        <v>3250</v>
      </c>
      <c r="Z652" t="s">
        <v>3250</v>
      </c>
      <c r="AA652" t="s">
        <v>3108</v>
      </c>
      <c r="AB652" t="s">
        <v>3108</v>
      </c>
      <c r="AC652" t="s">
        <v>3250</v>
      </c>
      <c r="AD652" t="s">
        <v>3250</v>
      </c>
      <c r="AE652" t="s">
        <v>3250</v>
      </c>
      <c r="AF652" t="s">
        <v>3250</v>
      </c>
      <c r="AG652" t="s">
        <v>3250</v>
      </c>
      <c r="AH652" t="s">
        <v>3250</v>
      </c>
      <c r="AI652" t="s">
        <v>3250</v>
      </c>
      <c r="AJ652" t="s">
        <v>3250</v>
      </c>
      <c r="AL652" t="s">
        <v>3250</v>
      </c>
      <c r="AM652" t="s">
        <v>3250</v>
      </c>
      <c r="AN652" t="s">
        <v>3250</v>
      </c>
      <c r="AO652" t="s">
        <v>3250</v>
      </c>
      <c r="AS652" t="s">
        <v>3250</v>
      </c>
      <c r="AT652" t="s">
        <v>3250</v>
      </c>
      <c r="AU652" t="s">
        <v>3250</v>
      </c>
      <c r="AV652" t="s">
        <v>3250</v>
      </c>
      <c r="AW652" t="s">
        <v>3250</v>
      </c>
      <c r="AX652" t="s">
        <v>3250</v>
      </c>
      <c r="AY652" t="s">
        <v>3250</v>
      </c>
      <c r="AZ652" t="s">
        <v>3250</v>
      </c>
      <c r="BA652" t="s">
        <v>3250</v>
      </c>
      <c r="BB652" t="s">
        <v>3250</v>
      </c>
      <c r="BC652" t="s">
        <v>3250</v>
      </c>
      <c r="BE652" t="s">
        <v>3250</v>
      </c>
      <c r="BF652" t="s">
        <v>3250</v>
      </c>
      <c r="BG652" t="s">
        <v>3250</v>
      </c>
      <c r="BH652" t="s">
        <v>3250</v>
      </c>
      <c r="BI652" t="s">
        <v>3250</v>
      </c>
      <c r="BK652" t="s">
        <v>3250</v>
      </c>
      <c r="BL652" t="s">
        <v>3250</v>
      </c>
      <c r="BM652" t="s">
        <v>3250</v>
      </c>
      <c r="BN652" t="s">
        <v>3250</v>
      </c>
      <c r="BP652">
        <v>4</v>
      </c>
      <c r="BQ652">
        <v>49</v>
      </c>
      <c r="BR652" t="s">
        <v>2398</v>
      </c>
      <c r="BS652" t="s">
        <v>4024</v>
      </c>
      <c r="BV652">
        <v>0</v>
      </c>
      <c r="BW652">
        <v>0</v>
      </c>
      <c r="BX652">
        <v>0</v>
      </c>
      <c r="BY652">
        <v>0</v>
      </c>
      <c r="BZ652">
        <v>0</v>
      </c>
      <c r="CA652">
        <v>0</v>
      </c>
      <c r="CB652">
        <v>0</v>
      </c>
      <c r="CC652">
        <v>0</v>
      </c>
      <c r="CD652">
        <v>0</v>
      </c>
      <c r="CE652" t="s">
        <v>3108</v>
      </c>
      <c r="CF652" t="s">
        <v>3108</v>
      </c>
      <c r="CG652" t="s">
        <v>3108</v>
      </c>
      <c r="CH652" t="s">
        <v>3108</v>
      </c>
    </row>
    <row r="653" spans="1:86" x14ac:dyDescent="0.2">
      <c r="A653" t="s">
        <v>4285</v>
      </c>
      <c r="B653" t="s">
        <v>4285</v>
      </c>
      <c r="C653">
        <v>41059</v>
      </c>
      <c r="D653">
        <v>137</v>
      </c>
      <c r="E653" t="s">
        <v>4006</v>
      </c>
      <c r="F653">
        <v>2700</v>
      </c>
      <c r="G653" t="s">
        <v>411</v>
      </c>
      <c r="H653" t="s">
        <v>4004</v>
      </c>
      <c r="I653" t="s">
        <v>2531</v>
      </c>
      <c r="J653">
        <v>2701</v>
      </c>
      <c r="K653" t="s">
        <v>2531</v>
      </c>
      <c r="L653">
        <v>3100</v>
      </c>
      <c r="M653" t="s">
        <v>127</v>
      </c>
      <c r="N653">
        <v>3104</v>
      </c>
      <c r="O653" t="s">
        <v>2415</v>
      </c>
      <c r="P653" t="s">
        <v>3108</v>
      </c>
      <c r="Q653" t="s">
        <v>3249</v>
      </c>
      <c r="R653" t="s">
        <v>3249</v>
      </c>
      <c r="S653" t="s">
        <v>810</v>
      </c>
      <c r="T653" t="s">
        <v>2754</v>
      </c>
      <c r="U653" t="s">
        <v>3250</v>
      </c>
      <c r="V653" t="s">
        <v>3250</v>
      </c>
      <c r="W653" t="s">
        <v>3250</v>
      </c>
      <c r="X653" t="s">
        <v>3250</v>
      </c>
      <c r="Y653" t="s">
        <v>3250</v>
      </c>
      <c r="Z653" t="s">
        <v>3250</v>
      </c>
      <c r="AA653" t="s">
        <v>3108</v>
      </c>
      <c r="AB653" t="s">
        <v>3108</v>
      </c>
      <c r="AC653" t="s">
        <v>3250</v>
      </c>
      <c r="AD653" t="s">
        <v>3250</v>
      </c>
      <c r="AE653" t="s">
        <v>3250</v>
      </c>
      <c r="AF653" t="s">
        <v>3250</v>
      </c>
      <c r="AG653" t="s">
        <v>3250</v>
      </c>
      <c r="AH653" t="s">
        <v>3250</v>
      </c>
      <c r="AI653" t="s">
        <v>3250</v>
      </c>
      <c r="AJ653" t="s">
        <v>3250</v>
      </c>
      <c r="AL653" t="s">
        <v>3250</v>
      </c>
      <c r="AM653" t="s">
        <v>3250</v>
      </c>
      <c r="AN653" t="s">
        <v>3250</v>
      </c>
      <c r="AO653" t="s">
        <v>3250</v>
      </c>
      <c r="AS653" t="s">
        <v>3250</v>
      </c>
      <c r="AT653" t="s">
        <v>3250</v>
      </c>
      <c r="AU653" t="s">
        <v>3250</v>
      </c>
      <c r="AV653" t="s">
        <v>3250</v>
      </c>
      <c r="AW653" t="s">
        <v>3250</v>
      </c>
      <c r="AX653" t="s">
        <v>3250</v>
      </c>
      <c r="AY653" t="s">
        <v>3250</v>
      </c>
      <c r="AZ653" t="s">
        <v>3250</v>
      </c>
      <c r="BA653" t="s">
        <v>3250</v>
      </c>
      <c r="BB653" t="s">
        <v>3250</v>
      </c>
      <c r="BC653" t="s">
        <v>3250</v>
      </c>
      <c r="BE653" t="s">
        <v>3250</v>
      </c>
      <c r="BF653" t="s">
        <v>3250</v>
      </c>
      <c r="BG653" t="s">
        <v>3250</v>
      </c>
      <c r="BH653" t="s">
        <v>3250</v>
      </c>
      <c r="BI653" t="s">
        <v>3250</v>
      </c>
      <c r="BK653" t="s">
        <v>3250</v>
      </c>
      <c r="BL653" t="s">
        <v>3250</v>
      </c>
      <c r="BM653" t="s">
        <v>3250</v>
      </c>
      <c r="BN653" t="s">
        <v>3250</v>
      </c>
      <c r="BP653">
        <v>8</v>
      </c>
      <c r="BQ653">
        <v>82</v>
      </c>
      <c r="BR653" t="s">
        <v>2415</v>
      </c>
      <c r="BS653" t="s">
        <v>4013</v>
      </c>
      <c r="BV653">
        <v>0</v>
      </c>
      <c r="BW653">
        <v>0</v>
      </c>
      <c r="BX653">
        <v>0</v>
      </c>
      <c r="BY653">
        <v>0</v>
      </c>
      <c r="BZ653">
        <v>0</v>
      </c>
      <c r="CA653">
        <v>0</v>
      </c>
      <c r="CB653">
        <v>0</v>
      </c>
      <c r="CC653">
        <v>0</v>
      </c>
      <c r="CD653">
        <v>0</v>
      </c>
      <c r="CE653" t="s">
        <v>3108</v>
      </c>
      <c r="CF653" t="s">
        <v>3108</v>
      </c>
      <c r="CG653" t="s">
        <v>3108</v>
      </c>
      <c r="CH653" t="s">
        <v>3108</v>
      </c>
    </row>
    <row r="654" spans="1:86" x14ac:dyDescent="0.2">
      <c r="A654" t="s">
        <v>4286</v>
      </c>
      <c r="B654" t="s">
        <v>4286</v>
      </c>
      <c r="C654">
        <v>41060</v>
      </c>
      <c r="D654">
        <v>186</v>
      </c>
      <c r="E654" t="s">
        <v>4006</v>
      </c>
      <c r="F654">
        <v>2700</v>
      </c>
      <c r="G654" t="s">
        <v>411</v>
      </c>
      <c r="H654" t="s">
        <v>4004</v>
      </c>
      <c r="I654" t="s">
        <v>2531</v>
      </c>
      <c r="J654">
        <v>2701</v>
      </c>
      <c r="K654" t="s">
        <v>2531</v>
      </c>
      <c r="L654">
        <v>2200</v>
      </c>
      <c r="M654" t="s">
        <v>124</v>
      </c>
      <c r="N654">
        <v>2205</v>
      </c>
      <c r="O654" t="s">
        <v>2390</v>
      </c>
      <c r="P654" t="s">
        <v>3108</v>
      </c>
      <c r="Q654" t="s">
        <v>3249</v>
      </c>
      <c r="R654" t="s">
        <v>3249</v>
      </c>
      <c r="S654" t="s">
        <v>810</v>
      </c>
      <c r="T654" t="s">
        <v>2754</v>
      </c>
      <c r="U654" t="s">
        <v>3250</v>
      </c>
      <c r="V654" t="s">
        <v>3250</v>
      </c>
      <c r="W654" t="s">
        <v>3250</v>
      </c>
      <c r="X654" t="s">
        <v>3250</v>
      </c>
      <c r="Y654" t="s">
        <v>3250</v>
      </c>
      <c r="Z654" t="s">
        <v>3250</v>
      </c>
      <c r="AA654" t="s">
        <v>3108</v>
      </c>
      <c r="AB654" t="s">
        <v>3108</v>
      </c>
      <c r="AC654" t="s">
        <v>3250</v>
      </c>
      <c r="AD654" t="s">
        <v>3250</v>
      </c>
      <c r="AE654" t="s">
        <v>3250</v>
      </c>
      <c r="AF654" t="s">
        <v>3250</v>
      </c>
      <c r="AG654" t="s">
        <v>3250</v>
      </c>
      <c r="AH654" t="s">
        <v>3250</v>
      </c>
      <c r="AI654" t="s">
        <v>3250</v>
      </c>
      <c r="AJ654" t="s">
        <v>3250</v>
      </c>
      <c r="AL654" t="s">
        <v>3250</v>
      </c>
      <c r="AM654" t="s">
        <v>3250</v>
      </c>
      <c r="AN654" t="s">
        <v>3250</v>
      </c>
      <c r="AO654" t="s">
        <v>3250</v>
      </c>
      <c r="AS654" t="s">
        <v>3250</v>
      </c>
      <c r="AT654" t="s">
        <v>3250</v>
      </c>
      <c r="AU654" t="s">
        <v>3250</v>
      </c>
      <c r="AV654" t="s">
        <v>3250</v>
      </c>
      <c r="AW654" t="s">
        <v>3250</v>
      </c>
      <c r="AX654" t="s">
        <v>3250</v>
      </c>
      <c r="AY654" t="s">
        <v>3250</v>
      </c>
      <c r="AZ654" t="s">
        <v>3250</v>
      </c>
      <c r="BA654" t="s">
        <v>3250</v>
      </c>
      <c r="BB654" t="s">
        <v>3250</v>
      </c>
      <c r="BC654" t="s">
        <v>3250</v>
      </c>
      <c r="BE654" t="s">
        <v>3250</v>
      </c>
      <c r="BF654" t="s">
        <v>3250</v>
      </c>
      <c r="BG654" t="s">
        <v>3250</v>
      </c>
      <c r="BH654" t="s">
        <v>3250</v>
      </c>
      <c r="BI654" t="s">
        <v>3250</v>
      </c>
      <c r="BK654" t="s">
        <v>3250</v>
      </c>
      <c r="BL654" t="s">
        <v>3250</v>
      </c>
      <c r="BM654" t="s">
        <v>3250</v>
      </c>
      <c r="BN654" t="s">
        <v>3250</v>
      </c>
      <c r="BP654">
        <v>9</v>
      </c>
      <c r="BQ654">
        <v>91</v>
      </c>
      <c r="BR654" t="s">
        <v>2390</v>
      </c>
      <c r="BS654" t="s">
        <v>1675</v>
      </c>
      <c r="BV654">
        <v>0</v>
      </c>
      <c r="BW654">
        <v>0</v>
      </c>
      <c r="BX654">
        <v>0</v>
      </c>
      <c r="BY654">
        <v>0</v>
      </c>
      <c r="BZ654">
        <v>0</v>
      </c>
      <c r="CA654">
        <v>0</v>
      </c>
      <c r="CB654">
        <v>0</v>
      </c>
      <c r="CC654">
        <v>0</v>
      </c>
      <c r="CD654">
        <v>0</v>
      </c>
      <c r="CE654" t="s">
        <v>3108</v>
      </c>
      <c r="CF654" t="s">
        <v>3108</v>
      </c>
      <c r="CG654" t="s">
        <v>3108</v>
      </c>
      <c r="CH654" t="s">
        <v>3108</v>
      </c>
    </row>
    <row r="655" spans="1:86" x14ac:dyDescent="0.2">
      <c r="A655" t="s">
        <v>4287</v>
      </c>
      <c r="B655" t="s">
        <v>4287</v>
      </c>
      <c r="C655">
        <v>41061</v>
      </c>
      <c r="D655">
        <v>187</v>
      </c>
      <c r="E655" t="s">
        <v>4003</v>
      </c>
      <c r="F655">
        <v>2700</v>
      </c>
      <c r="G655" t="s">
        <v>411</v>
      </c>
      <c r="H655" t="s">
        <v>4004</v>
      </c>
      <c r="I655" t="s">
        <v>2531</v>
      </c>
      <c r="J655">
        <v>2701</v>
      </c>
      <c r="K655" t="s">
        <v>2531</v>
      </c>
      <c r="L655">
        <v>2200</v>
      </c>
      <c r="M655" t="s">
        <v>124</v>
      </c>
      <c r="N655">
        <v>2205</v>
      </c>
      <c r="O655" t="s">
        <v>2390</v>
      </c>
      <c r="P655" t="s">
        <v>3108</v>
      </c>
      <c r="Q655" t="s">
        <v>3249</v>
      </c>
      <c r="R655" t="s">
        <v>3249</v>
      </c>
      <c r="S655" t="s">
        <v>810</v>
      </c>
      <c r="T655" t="s">
        <v>2754</v>
      </c>
      <c r="U655" t="s">
        <v>3250</v>
      </c>
      <c r="V655" t="s">
        <v>3250</v>
      </c>
      <c r="W655" t="s">
        <v>3250</v>
      </c>
      <c r="X655" t="s">
        <v>3250</v>
      </c>
      <c r="Y655" t="s">
        <v>3250</v>
      </c>
      <c r="Z655" t="s">
        <v>3250</v>
      </c>
      <c r="AA655" t="s">
        <v>3108</v>
      </c>
      <c r="AB655" t="s">
        <v>3108</v>
      </c>
      <c r="AC655" t="s">
        <v>3250</v>
      </c>
      <c r="AD655" t="s">
        <v>3250</v>
      </c>
      <c r="AE655" t="s">
        <v>3250</v>
      </c>
      <c r="AF655" t="s">
        <v>3250</v>
      </c>
      <c r="AG655" t="s">
        <v>3250</v>
      </c>
      <c r="AH655" t="s">
        <v>3250</v>
      </c>
      <c r="AI655" t="s">
        <v>3250</v>
      </c>
      <c r="AJ655" t="s">
        <v>3250</v>
      </c>
      <c r="AL655" t="s">
        <v>3250</v>
      </c>
      <c r="AM655" t="s">
        <v>3250</v>
      </c>
      <c r="AN655" t="s">
        <v>3250</v>
      </c>
      <c r="AO655" t="s">
        <v>3250</v>
      </c>
      <c r="AS655" t="s">
        <v>3250</v>
      </c>
      <c r="AT655" t="s">
        <v>3250</v>
      </c>
      <c r="AU655" t="s">
        <v>3250</v>
      </c>
      <c r="AV655" t="s">
        <v>3250</v>
      </c>
      <c r="AW655" t="s">
        <v>3250</v>
      </c>
      <c r="AX655" t="s">
        <v>3250</v>
      </c>
      <c r="AY655" t="s">
        <v>3250</v>
      </c>
      <c r="AZ655" t="s">
        <v>3250</v>
      </c>
      <c r="BA655" t="s">
        <v>3250</v>
      </c>
      <c r="BB655" t="s">
        <v>3250</v>
      </c>
      <c r="BC655" t="s">
        <v>3250</v>
      </c>
      <c r="BE655" t="s">
        <v>3250</v>
      </c>
      <c r="BF655" t="s">
        <v>3250</v>
      </c>
      <c r="BG655" t="s">
        <v>3250</v>
      </c>
      <c r="BH655" t="s">
        <v>3250</v>
      </c>
      <c r="BI655" t="s">
        <v>3250</v>
      </c>
      <c r="BK655" t="s">
        <v>3250</v>
      </c>
      <c r="BL655" t="s">
        <v>3250</v>
      </c>
      <c r="BM655" t="s">
        <v>3250</v>
      </c>
      <c r="BN655" t="s">
        <v>3250</v>
      </c>
      <c r="BP655">
        <v>9</v>
      </c>
      <c r="BQ655">
        <v>91</v>
      </c>
      <c r="BR655" t="s">
        <v>2390</v>
      </c>
      <c r="BS655" t="s">
        <v>1675</v>
      </c>
      <c r="BV655">
        <v>0</v>
      </c>
      <c r="BW655">
        <v>0</v>
      </c>
      <c r="BX655">
        <v>0</v>
      </c>
      <c r="BY655">
        <v>0</v>
      </c>
      <c r="BZ655">
        <v>0</v>
      </c>
      <c r="CA655">
        <v>0</v>
      </c>
      <c r="CB655">
        <v>0</v>
      </c>
      <c r="CC655">
        <v>0</v>
      </c>
      <c r="CD655">
        <v>0</v>
      </c>
      <c r="CE655" t="s">
        <v>3108</v>
      </c>
      <c r="CF655" t="s">
        <v>3108</v>
      </c>
      <c r="CG655" t="s">
        <v>3108</v>
      </c>
      <c r="CH655" t="s">
        <v>3108</v>
      </c>
    </row>
    <row r="656" spans="1:86" x14ac:dyDescent="0.2">
      <c r="A656" t="s">
        <v>4288</v>
      </c>
      <c r="B656" t="s">
        <v>4288</v>
      </c>
      <c r="C656">
        <v>41062</v>
      </c>
      <c r="D656">
        <v>94</v>
      </c>
      <c r="E656" t="s">
        <v>4138</v>
      </c>
      <c r="F656">
        <v>2900</v>
      </c>
      <c r="G656" t="s">
        <v>822</v>
      </c>
      <c r="H656" t="s">
        <v>3108</v>
      </c>
      <c r="I656" t="s">
        <v>3108</v>
      </c>
      <c r="J656">
        <v>2904</v>
      </c>
      <c r="K656" t="s">
        <v>1690</v>
      </c>
      <c r="L656">
        <v>2100</v>
      </c>
      <c r="M656" t="s">
        <v>123</v>
      </c>
      <c r="N656">
        <v>2106</v>
      </c>
      <c r="O656" t="s">
        <v>2399</v>
      </c>
      <c r="P656" t="s">
        <v>3108</v>
      </c>
      <c r="Q656" t="s">
        <v>3249</v>
      </c>
      <c r="R656" t="s">
        <v>3249</v>
      </c>
      <c r="S656" t="s">
        <v>810</v>
      </c>
      <c r="T656" t="s">
        <v>2754</v>
      </c>
      <c r="U656" t="s">
        <v>3250</v>
      </c>
      <c r="V656" t="s">
        <v>3250</v>
      </c>
      <c r="W656" t="s">
        <v>3250</v>
      </c>
      <c r="X656" t="s">
        <v>3250</v>
      </c>
      <c r="Y656" t="s">
        <v>3250</v>
      </c>
      <c r="Z656" t="s">
        <v>3250</v>
      </c>
      <c r="AA656" t="s">
        <v>3108</v>
      </c>
      <c r="AB656" t="s">
        <v>3108</v>
      </c>
      <c r="AC656" t="s">
        <v>3250</v>
      </c>
      <c r="AD656" t="s">
        <v>3250</v>
      </c>
      <c r="AE656" t="s">
        <v>3250</v>
      </c>
      <c r="AF656" t="s">
        <v>3250</v>
      </c>
      <c r="AG656" t="s">
        <v>3250</v>
      </c>
      <c r="AH656" t="s">
        <v>3250</v>
      </c>
      <c r="AI656" t="s">
        <v>3250</v>
      </c>
      <c r="AJ656" t="s">
        <v>3250</v>
      </c>
      <c r="AL656" t="s">
        <v>3250</v>
      </c>
      <c r="AM656" t="s">
        <v>3250</v>
      </c>
      <c r="AN656" t="s">
        <v>3250</v>
      </c>
      <c r="AO656" t="s">
        <v>3250</v>
      </c>
      <c r="AS656" t="s">
        <v>3250</v>
      </c>
      <c r="AT656" t="s">
        <v>3250</v>
      </c>
      <c r="AU656" t="s">
        <v>3250</v>
      </c>
      <c r="AV656" t="s">
        <v>3250</v>
      </c>
      <c r="AW656" t="s">
        <v>3250</v>
      </c>
      <c r="AX656" t="s">
        <v>3250</v>
      </c>
      <c r="AY656" t="s">
        <v>3250</v>
      </c>
      <c r="AZ656" t="s">
        <v>3250</v>
      </c>
      <c r="BA656" t="s">
        <v>3250</v>
      </c>
      <c r="BB656" t="s">
        <v>3250</v>
      </c>
      <c r="BC656" t="s">
        <v>3250</v>
      </c>
      <c r="BE656" t="s">
        <v>3250</v>
      </c>
      <c r="BF656" t="s">
        <v>3250</v>
      </c>
      <c r="BG656" t="s">
        <v>3250</v>
      </c>
      <c r="BH656" t="s">
        <v>3250</v>
      </c>
      <c r="BI656" t="s">
        <v>3250</v>
      </c>
      <c r="BK656" t="s">
        <v>3250</v>
      </c>
      <c r="BL656" t="s">
        <v>3250</v>
      </c>
      <c r="BM656" t="s">
        <v>3250</v>
      </c>
      <c r="BN656" t="s">
        <v>3250</v>
      </c>
      <c r="BP656">
        <v>5</v>
      </c>
      <c r="BQ656">
        <v>53</v>
      </c>
      <c r="BR656" t="s">
        <v>2399</v>
      </c>
      <c r="BS656" t="s">
        <v>4136</v>
      </c>
      <c r="BV656">
        <v>0</v>
      </c>
      <c r="BW656">
        <v>533</v>
      </c>
      <c r="BX656">
        <v>0</v>
      </c>
      <c r="BY656">
        <v>0</v>
      </c>
      <c r="BZ656">
        <v>0</v>
      </c>
      <c r="CA656">
        <v>0</v>
      </c>
      <c r="CB656">
        <v>0</v>
      </c>
      <c r="CC656">
        <v>0</v>
      </c>
      <c r="CD656">
        <v>0</v>
      </c>
      <c r="CE656" t="s">
        <v>3108</v>
      </c>
      <c r="CF656" t="s">
        <v>3108</v>
      </c>
      <c r="CG656" t="s">
        <v>3108</v>
      </c>
      <c r="CH656" t="s">
        <v>3108</v>
      </c>
    </row>
    <row r="657" spans="1:86" x14ac:dyDescent="0.2">
      <c r="A657" t="s">
        <v>4289</v>
      </c>
      <c r="B657" t="s">
        <v>4289</v>
      </c>
      <c r="C657">
        <v>41063</v>
      </c>
      <c r="D657">
        <v>95</v>
      </c>
      <c r="E657" t="s">
        <v>4047</v>
      </c>
      <c r="F657">
        <v>2600</v>
      </c>
      <c r="G657" t="s">
        <v>1334</v>
      </c>
      <c r="H657">
        <v>2600</v>
      </c>
      <c r="I657" t="s">
        <v>1334</v>
      </c>
      <c r="J657" t="s">
        <v>3250</v>
      </c>
      <c r="K657" t="s">
        <v>3250</v>
      </c>
      <c r="L657">
        <v>2100</v>
      </c>
      <c r="M657" t="s">
        <v>123</v>
      </c>
      <c r="N657">
        <v>2106</v>
      </c>
      <c r="O657" t="s">
        <v>2399</v>
      </c>
      <c r="P657" t="s">
        <v>3108</v>
      </c>
      <c r="Q657" t="s">
        <v>3249</v>
      </c>
      <c r="R657" t="s">
        <v>3249</v>
      </c>
      <c r="S657" t="s">
        <v>810</v>
      </c>
      <c r="T657" t="s">
        <v>2754</v>
      </c>
      <c r="U657" t="s">
        <v>3250</v>
      </c>
      <c r="V657" t="s">
        <v>3250</v>
      </c>
      <c r="W657" t="s">
        <v>3250</v>
      </c>
      <c r="X657" t="s">
        <v>3250</v>
      </c>
      <c r="Y657" t="s">
        <v>3250</v>
      </c>
      <c r="Z657" t="s">
        <v>3250</v>
      </c>
      <c r="AA657" t="s">
        <v>3108</v>
      </c>
      <c r="AB657" t="s">
        <v>3108</v>
      </c>
      <c r="AC657" t="s">
        <v>3250</v>
      </c>
      <c r="AD657" t="s">
        <v>3250</v>
      </c>
      <c r="AE657" t="s">
        <v>3250</v>
      </c>
      <c r="AF657" t="s">
        <v>3250</v>
      </c>
      <c r="AG657" t="s">
        <v>3250</v>
      </c>
      <c r="AH657" t="s">
        <v>3250</v>
      </c>
      <c r="AI657" t="s">
        <v>3250</v>
      </c>
      <c r="AJ657" t="s">
        <v>3250</v>
      </c>
      <c r="AL657" t="s">
        <v>3250</v>
      </c>
      <c r="AM657" t="s">
        <v>3250</v>
      </c>
      <c r="AN657" t="s">
        <v>3250</v>
      </c>
      <c r="AO657" t="s">
        <v>3250</v>
      </c>
      <c r="AS657" t="s">
        <v>3250</v>
      </c>
      <c r="AT657" t="s">
        <v>3250</v>
      </c>
      <c r="AU657" t="s">
        <v>3250</v>
      </c>
      <c r="AV657" t="s">
        <v>3250</v>
      </c>
      <c r="AW657" t="s">
        <v>3250</v>
      </c>
      <c r="AX657" t="s">
        <v>3250</v>
      </c>
      <c r="AY657" t="s">
        <v>3250</v>
      </c>
      <c r="AZ657" t="s">
        <v>3250</v>
      </c>
      <c r="BA657" t="s">
        <v>3250</v>
      </c>
      <c r="BB657" t="s">
        <v>3250</v>
      </c>
      <c r="BC657" t="s">
        <v>3250</v>
      </c>
      <c r="BE657" t="s">
        <v>3250</v>
      </c>
      <c r="BF657" t="s">
        <v>3250</v>
      </c>
      <c r="BG657" t="s">
        <v>3250</v>
      </c>
      <c r="BH657" t="s">
        <v>3250</v>
      </c>
      <c r="BI657" t="s">
        <v>3250</v>
      </c>
      <c r="BK657" t="s">
        <v>3250</v>
      </c>
      <c r="BL657" t="s">
        <v>3250</v>
      </c>
      <c r="BM657" t="s">
        <v>3250</v>
      </c>
      <c r="BN657" t="s">
        <v>3250</v>
      </c>
      <c r="BP657">
        <v>5</v>
      </c>
      <c r="BQ657">
        <v>53</v>
      </c>
      <c r="BR657" t="s">
        <v>2399</v>
      </c>
      <c r="BS657" t="s">
        <v>4136</v>
      </c>
      <c r="BV657">
        <v>0</v>
      </c>
      <c r="BW657">
        <v>0</v>
      </c>
      <c r="BX657">
        <v>0</v>
      </c>
      <c r="BY657">
        <v>0</v>
      </c>
      <c r="BZ657">
        <v>0</v>
      </c>
      <c r="CA657">
        <v>0</v>
      </c>
      <c r="CB657">
        <v>0</v>
      </c>
      <c r="CC657">
        <v>0</v>
      </c>
      <c r="CD657">
        <v>0</v>
      </c>
      <c r="CE657" t="s">
        <v>3108</v>
      </c>
      <c r="CF657" t="s">
        <v>3108</v>
      </c>
      <c r="CG657" t="s">
        <v>3108</v>
      </c>
      <c r="CH657" t="s">
        <v>3108</v>
      </c>
    </row>
    <row r="658" spans="1:86" x14ac:dyDescent="0.2">
      <c r="A658" t="s">
        <v>4290</v>
      </c>
      <c r="B658" t="s">
        <v>4290</v>
      </c>
      <c r="C658">
        <v>41064</v>
      </c>
      <c r="D658">
        <v>96</v>
      </c>
      <c r="E658" t="s">
        <v>3994</v>
      </c>
      <c r="F658">
        <v>2600</v>
      </c>
      <c r="G658" t="s">
        <v>1334</v>
      </c>
      <c r="H658">
        <v>2600</v>
      </c>
      <c r="I658" t="s">
        <v>1334</v>
      </c>
      <c r="J658" t="s">
        <v>3250</v>
      </c>
      <c r="K658" t="s">
        <v>3250</v>
      </c>
      <c r="L658">
        <v>2100</v>
      </c>
      <c r="M658" t="s">
        <v>123</v>
      </c>
      <c r="N658">
        <v>2106</v>
      </c>
      <c r="O658" t="s">
        <v>2399</v>
      </c>
      <c r="P658" t="s">
        <v>3108</v>
      </c>
      <c r="Q658" t="s">
        <v>3249</v>
      </c>
      <c r="R658" t="s">
        <v>3249</v>
      </c>
      <c r="S658" t="s">
        <v>810</v>
      </c>
      <c r="T658" t="s">
        <v>2754</v>
      </c>
      <c r="U658" t="s">
        <v>3250</v>
      </c>
      <c r="V658" t="s">
        <v>3250</v>
      </c>
      <c r="W658" t="s">
        <v>3250</v>
      </c>
      <c r="X658" t="s">
        <v>3250</v>
      </c>
      <c r="Y658" t="s">
        <v>3250</v>
      </c>
      <c r="Z658" t="s">
        <v>3250</v>
      </c>
      <c r="AA658" t="s">
        <v>3108</v>
      </c>
      <c r="AB658" t="s">
        <v>3108</v>
      </c>
      <c r="AC658" t="s">
        <v>3250</v>
      </c>
      <c r="AD658" t="s">
        <v>3250</v>
      </c>
      <c r="AE658" t="s">
        <v>3250</v>
      </c>
      <c r="AF658" t="s">
        <v>3250</v>
      </c>
      <c r="AG658" t="s">
        <v>3250</v>
      </c>
      <c r="AH658" t="s">
        <v>3250</v>
      </c>
      <c r="AI658" t="s">
        <v>3250</v>
      </c>
      <c r="AJ658" t="s">
        <v>3250</v>
      </c>
      <c r="AL658" t="s">
        <v>3250</v>
      </c>
      <c r="AM658" t="s">
        <v>3250</v>
      </c>
      <c r="AN658" t="s">
        <v>3250</v>
      </c>
      <c r="AO658" t="s">
        <v>3250</v>
      </c>
      <c r="AS658" t="s">
        <v>3250</v>
      </c>
      <c r="AT658" t="s">
        <v>3250</v>
      </c>
      <c r="AU658" t="s">
        <v>3250</v>
      </c>
      <c r="AV658" t="s">
        <v>3250</v>
      </c>
      <c r="AW658" t="s">
        <v>3250</v>
      </c>
      <c r="AX658" t="s">
        <v>3250</v>
      </c>
      <c r="AY658" t="s">
        <v>3250</v>
      </c>
      <c r="AZ658" t="s">
        <v>3250</v>
      </c>
      <c r="BA658" t="s">
        <v>3250</v>
      </c>
      <c r="BB658" t="s">
        <v>3250</v>
      </c>
      <c r="BC658" t="s">
        <v>3250</v>
      </c>
      <c r="BE658" t="s">
        <v>3250</v>
      </c>
      <c r="BF658" t="s">
        <v>3250</v>
      </c>
      <c r="BG658" t="s">
        <v>3250</v>
      </c>
      <c r="BH658" t="s">
        <v>3250</v>
      </c>
      <c r="BI658" t="s">
        <v>3250</v>
      </c>
      <c r="BK658" t="s">
        <v>3250</v>
      </c>
      <c r="BL658" t="s">
        <v>3250</v>
      </c>
      <c r="BM658" t="s">
        <v>3250</v>
      </c>
      <c r="BN658" t="s">
        <v>3250</v>
      </c>
      <c r="BP658">
        <v>5</v>
      </c>
      <c r="BQ658">
        <v>53</v>
      </c>
      <c r="BR658" t="s">
        <v>2399</v>
      </c>
      <c r="BS658" t="s">
        <v>4136</v>
      </c>
      <c r="BV658">
        <v>0</v>
      </c>
      <c r="BW658">
        <v>0</v>
      </c>
      <c r="BX658">
        <v>1712</v>
      </c>
      <c r="BY658">
        <v>0</v>
      </c>
      <c r="BZ658">
        <v>0</v>
      </c>
      <c r="CA658">
        <v>0</v>
      </c>
      <c r="CB658">
        <v>0</v>
      </c>
      <c r="CC658">
        <v>0</v>
      </c>
      <c r="CD658">
        <v>0</v>
      </c>
      <c r="CE658" t="s">
        <v>3108</v>
      </c>
      <c r="CF658" t="s">
        <v>3108</v>
      </c>
      <c r="CG658" t="s">
        <v>3108</v>
      </c>
      <c r="CH658" t="s">
        <v>3108</v>
      </c>
    </row>
    <row r="659" spans="1:86" x14ac:dyDescent="0.2">
      <c r="A659" t="s">
        <v>4291</v>
      </c>
      <c r="B659" t="s">
        <v>4291</v>
      </c>
      <c r="C659">
        <v>41065</v>
      </c>
      <c r="D659">
        <v>97</v>
      </c>
      <c r="E659" t="s">
        <v>4072</v>
      </c>
      <c r="F659">
        <v>2000</v>
      </c>
      <c r="G659" t="s">
        <v>408</v>
      </c>
      <c r="H659" t="s">
        <v>4070</v>
      </c>
      <c r="I659" t="s">
        <v>1792</v>
      </c>
      <c r="J659">
        <v>2002</v>
      </c>
      <c r="K659" t="s">
        <v>1792</v>
      </c>
      <c r="L659">
        <v>2100</v>
      </c>
      <c r="M659" t="s">
        <v>123</v>
      </c>
      <c r="N659">
        <v>2106</v>
      </c>
      <c r="O659" t="s">
        <v>2399</v>
      </c>
      <c r="P659" t="s">
        <v>3108</v>
      </c>
      <c r="Q659" t="s">
        <v>3249</v>
      </c>
      <c r="R659" t="s">
        <v>3249</v>
      </c>
      <c r="S659" t="s">
        <v>810</v>
      </c>
      <c r="T659" t="s">
        <v>2754</v>
      </c>
      <c r="U659" t="s">
        <v>3250</v>
      </c>
      <c r="V659" t="s">
        <v>3250</v>
      </c>
      <c r="W659" t="s">
        <v>3250</v>
      </c>
      <c r="X659" t="s">
        <v>3250</v>
      </c>
      <c r="Y659" t="s">
        <v>3250</v>
      </c>
      <c r="Z659" t="s">
        <v>3250</v>
      </c>
      <c r="AA659" t="s">
        <v>3108</v>
      </c>
      <c r="AB659" t="s">
        <v>3108</v>
      </c>
      <c r="AC659" t="s">
        <v>3250</v>
      </c>
      <c r="AD659" t="s">
        <v>3250</v>
      </c>
      <c r="AE659" t="s">
        <v>3250</v>
      </c>
      <c r="AF659" t="s">
        <v>3250</v>
      </c>
      <c r="AG659" t="s">
        <v>3250</v>
      </c>
      <c r="AH659" t="s">
        <v>3250</v>
      </c>
      <c r="AI659" t="s">
        <v>3250</v>
      </c>
      <c r="AJ659" t="s">
        <v>3250</v>
      </c>
      <c r="AL659" t="s">
        <v>3250</v>
      </c>
      <c r="AM659" t="s">
        <v>3250</v>
      </c>
      <c r="AN659" t="s">
        <v>3250</v>
      </c>
      <c r="AO659" t="s">
        <v>3250</v>
      </c>
      <c r="AS659" t="s">
        <v>3250</v>
      </c>
      <c r="AT659" t="s">
        <v>3250</v>
      </c>
      <c r="AU659" t="s">
        <v>3250</v>
      </c>
      <c r="AV659" t="s">
        <v>3250</v>
      </c>
      <c r="AW659" t="s">
        <v>3250</v>
      </c>
      <c r="AX659" t="s">
        <v>3250</v>
      </c>
      <c r="AY659" t="s">
        <v>3250</v>
      </c>
      <c r="AZ659" t="s">
        <v>3250</v>
      </c>
      <c r="BA659" t="s">
        <v>3250</v>
      </c>
      <c r="BB659" t="s">
        <v>3250</v>
      </c>
      <c r="BC659" t="s">
        <v>3250</v>
      </c>
      <c r="BE659" t="s">
        <v>3250</v>
      </c>
      <c r="BF659" t="s">
        <v>3250</v>
      </c>
      <c r="BG659" t="s">
        <v>3250</v>
      </c>
      <c r="BH659" t="s">
        <v>3250</v>
      </c>
      <c r="BI659" t="s">
        <v>3250</v>
      </c>
      <c r="BK659" t="s">
        <v>3250</v>
      </c>
      <c r="BL659" t="s">
        <v>3250</v>
      </c>
      <c r="BM659" t="s">
        <v>3250</v>
      </c>
      <c r="BN659" t="s">
        <v>3250</v>
      </c>
      <c r="BO659" t="s">
        <v>2916</v>
      </c>
      <c r="BP659">
        <v>5</v>
      </c>
      <c r="BQ659">
        <v>53</v>
      </c>
      <c r="BR659" t="s">
        <v>2399</v>
      </c>
      <c r="BS659" t="s">
        <v>4136</v>
      </c>
      <c r="BV659">
        <v>0</v>
      </c>
      <c r="BW659">
        <v>0</v>
      </c>
      <c r="BX659">
        <v>0</v>
      </c>
      <c r="BY659">
        <v>0</v>
      </c>
      <c r="BZ659">
        <v>0</v>
      </c>
      <c r="CA659">
        <v>0</v>
      </c>
      <c r="CB659">
        <v>0</v>
      </c>
      <c r="CC659">
        <v>0</v>
      </c>
      <c r="CD659">
        <v>0</v>
      </c>
      <c r="CE659" t="s">
        <v>3108</v>
      </c>
      <c r="CF659" t="s">
        <v>3108</v>
      </c>
      <c r="CG659" t="s">
        <v>3108</v>
      </c>
      <c r="CH659" t="s">
        <v>3108</v>
      </c>
    </row>
    <row r="660" spans="1:86" x14ac:dyDescent="0.2">
      <c r="A660" t="s">
        <v>4292</v>
      </c>
      <c r="B660" t="s">
        <v>4292</v>
      </c>
      <c r="C660">
        <v>41066</v>
      </c>
      <c r="D660">
        <v>98</v>
      </c>
      <c r="E660" t="s">
        <v>4093</v>
      </c>
      <c r="F660">
        <v>2000</v>
      </c>
      <c r="G660" t="s">
        <v>408</v>
      </c>
      <c r="H660" t="s">
        <v>4094</v>
      </c>
      <c r="I660" t="s">
        <v>1135</v>
      </c>
      <c r="J660">
        <v>2001</v>
      </c>
      <c r="K660" t="s">
        <v>1135</v>
      </c>
      <c r="L660">
        <v>2100</v>
      </c>
      <c r="M660" t="s">
        <v>123</v>
      </c>
      <c r="N660">
        <v>2106</v>
      </c>
      <c r="O660" t="s">
        <v>2399</v>
      </c>
      <c r="P660" t="s">
        <v>3108</v>
      </c>
      <c r="Q660" t="s">
        <v>3249</v>
      </c>
      <c r="R660" t="s">
        <v>3249</v>
      </c>
      <c r="S660" t="s">
        <v>810</v>
      </c>
      <c r="T660" t="s">
        <v>2754</v>
      </c>
      <c r="U660" t="s">
        <v>3250</v>
      </c>
      <c r="V660" t="s">
        <v>3250</v>
      </c>
      <c r="W660" t="s">
        <v>3250</v>
      </c>
      <c r="X660" t="s">
        <v>3250</v>
      </c>
      <c r="Y660" t="s">
        <v>3250</v>
      </c>
      <c r="Z660" t="s">
        <v>3250</v>
      </c>
      <c r="AA660" t="s">
        <v>3108</v>
      </c>
      <c r="AB660" t="s">
        <v>3108</v>
      </c>
      <c r="AC660" t="s">
        <v>3250</v>
      </c>
      <c r="AD660" t="s">
        <v>3250</v>
      </c>
      <c r="AE660" t="s">
        <v>3250</v>
      </c>
      <c r="AF660" t="s">
        <v>3250</v>
      </c>
      <c r="AG660" t="s">
        <v>3250</v>
      </c>
      <c r="AH660" t="s">
        <v>3250</v>
      </c>
      <c r="AI660" t="s">
        <v>3250</v>
      </c>
      <c r="AJ660" t="s">
        <v>3250</v>
      </c>
      <c r="AL660" t="s">
        <v>3250</v>
      </c>
      <c r="AM660" t="s">
        <v>3250</v>
      </c>
      <c r="AN660" t="s">
        <v>3250</v>
      </c>
      <c r="AO660" t="s">
        <v>3250</v>
      </c>
      <c r="AS660" t="s">
        <v>3250</v>
      </c>
      <c r="AT660" t="s">
        <v>3250</v>
      </c>
      <c r="AU660" t="s">
        <v>3250</v>
      </c>
      <c r="AV660" t="s">
        <v>3250</v>
      </c>
      <c r="AW660" t="s">
        <v>3250</v>
      </c>
      <c r="AX660" t="s">
        <v>3250</v>
      </c>
      <c r="AY660" t="s">
        <v>3250</v>
      </c>
      <c r="AZ660" t="s">
        <v>3250</v>
      </c>
      <c r="BA660" t="s">
        <v>3250</v>
      </c>
      <c r="BB660" t="s">
        <v>3250</v>
      </c>
      <c r="BC660" t="s">
        <v>3250</v>
      </c>
      <c r="BE660" t="s">
        <v>3250</v>
      </c>
      <c r="BF660" t="s">
        <v>3250</v>
      </c>
      <c r="BG660" t="s">
        <v>3250</v>
      </c>
      <c r="BH660" t="s">
        <v>3250</v>
      </c>
      <c r="BI660" t="s">
        <v>3250</v>
      </c>
      <c r="BK660" t="s">
        <v>3250</v>
      </c>
      <c r="BL660" t="s">
        <v>3250</v>
      </c>
      <c r="BM660" t="s">
        <v>3250</v>
      </c>
      <c r="BN660" t="s">
        <v>3250</v>
      </c>
      <c r="BO660" t="s">
        <v>2916</v>
      </c>
      <c r="BP660">
        <v>5</v>
      </c>
      <c r="BQ660">
        <v>53</v>
      </c>
      <c r="BR660" t="s">
        <v>2399</v>
      </c>
      <c r="BS660" t="s">
        <v>4136</v>
      </c>
      <c r="BV660">
        <v>0</v>
      </c>
      <c r="BW660">
        <v>0</v>
      </c>
      <c r="BX660">
        <v>0</v>
      </c>
      <c r="BY660">
        <v>0</v>
      </c>
      <c r="BZ660">
        <v>0</v>
      </c>
      <c r="CA660">
        <v>0</v>
      </c>
      <c r="CB660">
        <v>0</v>
      </c>
      <c r="CC660">
        <v>0</v>
      </c>
      <c r="CD660">
        <v>0</v>
      </c>
      <c r="CE660" t="s">
        <v>3108</v>
      </c>
      <c r="CF660" t="s">
        <v>3108</v>
      </c>
      <c r="CG660" t="s">
        <v>3108</v>
      </c>
      <c r="CH660" t="s">
        <v>3108</v>
      </c>
    </row>
    <row r="661" spans="1:86" x14ac:dyDescent="0.2">
      <c r="A661" t="s">
        <v>4293</v>
      </c>
      <c r="B661" t="s">
        <v>4293</v>
      </c>
      <c r="C661">
        <v>41067</v>
      </c>
      <c r="D661">
        <v>441</v>
      </c>
      <c r="E661" t="s">
        <v>4027</v>
      </c>
      <c r="F661">
        <v>2900</v>
      </c>
      <c r="G661" t="s">
        <v>822</v>
      </c>
      <c r="H661" t="s">
        <v>3108</v>
      </c>
      <c r="I661" t="s">
        <v>3108</v>
      </c>
      <c r="J661">
        <v>2904</v>
      </c>
      <c r="K661" t="s">
        <v>1690</v>
      </c>
      <c r="L661">
        <v>4400</v>
      </c>
      <c r="M661" t="s">
        <v>988</v>
      </c>
      <c r="N661">
        <v>4403</v>
      </c>
      <c r="O661" t="s">
        <v>2439</v>
      </c>
      <c r="P661" t="s">
        <v>3108</v>
      </c>
      <c r="Q661" t="s">
        <v>3249</v>
      </c>
      <c r="R661" t="s">
        <v>3249</v>
      </c>
      <c r="S661" t="s">
        <v>810</v>
      </c>
      <c r="T661" t="s">
        <v>2754</v>
      </c>
      <c r="U661" t="s">
        <v>3250</v>
      </c>
      <c r="V661" t="s">
        <v>3250</v>
      </c>
      <c r="W661" t="s">
        <v>3250</v>
      </c>
      <c r="X661" t="s">
        <v>3250</v>
      </c>
      <c r="Y661" t="s">
        <v>3250</v>
      </c>
      <c r="Z661" t="s">
        <v>3250</v>
      </c>
      <c r="AA661" t="s">
        <v>3108</v>
      </c>
      <c r="AB661" t="s">
        <v>3108</v>
      </c>
      <c r="AC661" t="s">
        <v>3250</v>
      </c>
      <c r="AD661" t="s">
        <v>3250</v>
      </c>
      <c r="AE661" t="s">
        <v>3250</v>
      </c>
      <c r="AF661" t="s">
        <v>3250</v>
      </c>
      <c r="AG661" t="s">
        <v>3250</v>
      </c>
      <c r="AH661" t="s">
        <v>3250</v>
      </c>
      <c r="AI661" t="s">
        <v>3250</v>
      </c>
      <c r="AJ661" t="s">
        <v>3250</v>
      </c>
      <c r="AL661" t="s">
        <v>3250</v>
      </c>
      <c r="AM661" t="s">
        <v>3250</v>
      </c>
      <c r="AN661" t="s">
        <v>3250</v>
      </c>
      <c r="AO661" t="s">
        <v>3250</v>
      </c>
      <c r="AS661" t="s">
        <v>3250</v>
      </c>
      <c r="AT661" t="s">
        <v>3250</v>
      </c>
      <c r="AU661" t="s">
        <v>3250</v>
      </c>
      <c r="AV661" t="s">
        <v>3250</v>
      </c>
      <c r="AW661" t="s">
        <v>3250</v>
      </c>
      <c r="AX661" t="s">
        <v>3250</v>
      </c>
      <c r="AY661" t="s">
        <v>3250</v>
      </c>
      <c r="AZ661" t="s">
        <v>3250</v>
      </c>
      <c r="BA661" t="s">
        <v>3250</v>
      </c>
      <c r="BB661" t="s">
        <v>3250</v>
      </c>
      <c r="BC661" t="s">
        <v>3250</v>
      </c>
      <c r="BE661" t="s">
        <v>3250</v>
      </c>
      <c r="BF661" t="s">
        <v>3250</v>
      </c>
      <c r="BG661" t="s">
        <v>3250</v>
      </c>
      <c r="BH661" t="s">
        <v>3250</v>
      </c>
      <c r="BI661" t="s">
        <v>3250</v>
      </c>
      <c r="BK661" t="s">
        <v>3250</v>
      </c>
      <c r="BL661" t="s">
        <v>3250</v>
      </c>
      <c r="BM661" t="s">
        <v>3250</v>
      </c>
      <c r="BN661" t="s">
        <v>3250</v>
      </c>
      <c r="BP661">
        <v>12</v>
      </c>
      <c r="BQ661">
        <v>121</v>
      </c>
      <c r="BR661" t="s">
        <v>2439</v>
      </c>
      <c r="BS661" t="s">
        <v>941</v>
      </c>
      <c r="BV661">
        <v>0</v>
      </c>
      <c r="BW661">
        <v>0</v>
      </c>
      <c r="BX661">
        <v>0</v>
      </c>
      <c r="BY661">
        <v>0</v>
      </c>
      <c r="BZ661">
        <v>0</v>
      </c>
      <c r="CA661">
        <v>0</v>
      </c>
      <c r="CB661">
        <v>0</v>
      </c>
      <c r="CC661">
        <v>0</v>
      </c>
      <c r="CD661">
        <v>0</v>
      </c>
      <c r="CE661" t="s">
        <v>3108</v>
      </c>
      <c r="CF661" t="s">
        <v>3108</v>
      </c>
      <c r="CG661" t="s">
        <v>3108</v>
      </c>
      <c r="CH661" t="s">
        <v>3108</v>
      </c>
    </row>
    <row r="662" spans="1:86" x14ac:dyDescent="0.2">
      <c r="A662" t="s">
        <v>4294</v>
      </c>
      <c r="B662" t="s">
        <v>4294</v>
      </c>
      <c r="C662">
        <v>41071</v>
      </c>
      <c r="D662">
        <v>442</v>
      </c>
      <c r="E662" t="s">
        <v>4031</v>
      </c>
      <c r="F662">
        <v>2900</v>
      </c>
      <c r="G662" t="s">
        <v>822</v>
      </c>
      <c r="H662" t="s">
        <v>3108</v>
      </c>
      <c r="I662" t="s">
        <v>3108</v>
      </c>
      <c r="J662">
        <v>2904</v>
      </c>
      <c r="K662" t="s">
        <v>1690</v>
      </c>
      <c r="L662">
        <v>4400</v>
      </c>
      <c r="M662" t="s">
        <v>988</v>
      </c>
      <c r="N662">
        <v>4403</v>
      </c>
      <c r="O662" t="s">
        <v>2439</v>
      </c>
      <c r="P662" t="s">
        <v>3108</v>
      </c>
      <c r="Q662" t="s">
        <v>3249</v>
      </c>
      <c r="R662" t="s">
        <v>3249</v>
      </c>
      <c r="S662" t="s">
        <v>810</v>
      </c>
      <c r="T662" t="s">
        <v>2754</v>
      </c>
      <c r="U662" t="s">
        <v>3250</v>
      </c>
      <c r="V662" t="s">
        <v>3250</v>
      </c>
      <c r="W662" t="s">
        <v>3250</v>
      </c>
      <c r="X662" t="s">
        <v>3250</v>
      </c>
      <c r="Y662" t="s">
        <v>3250</v>
      </c>
      <c r="Z662" t="s">
        <v>3250</v>
      </c>
      <c r="AA662" t="s">
        <v>3108</v>
      </c>
      <c r="AB662" t="s">
        <v>3108</v>
      </c>
      <c r="AC662" t="s">
        <v>3250</v>
      </c>
      <c r="AD662" t="s">
        <v>3250</v>
      </c>
      <c r="AE662" t="s">
        <v>3250</v>
      </c>
      <c r="AF662" t="s">
        <v>3250</v>
      </c>
      <c r="AG662" t="s">
        <v>3250</v>
      </c>
      <c r="AH662" t="s">
        <v>3250</v>
      </c>
      <c r="AI662" t="s">
        <v>3250</v>
      </c>
      <c r="AJ662" t="s">
        <v>3250</v>
      </c>
      <c r="AL662" t="s">
        <v>3250</v>
      </c>
      <c r="AM662" t="s">
        <v>3250</v>
      </c>
      <c r="AN662" t="s">
        <v>3250</v>
      </c>
      <c r="AO662" t="s">
        <v>3250</v>
      </c>
      <c r="AS662" t="s">
        <v>3250</v>
      </c>
      <c r="AT662" t="s">
        <v>3250</v>
      </c>
      <c r="AU662" t="s">
        <v>3250</v>
      </c>
      <c r="AV662" t="s">
        <v>3250</v>
      </c>
      <c r="AW662" t="s">
        <v>3250</v>
      </c>
      <c r="AX662" t="s">
        <v>3250</v>
      </c>
      <c r="AY662" t="s">
        <v>3250</v>
      </c>
      <c r="AZ662" t="s">
        <v>3250</v>
      </c>
      <c r="BA662" t="s">
        <v>3250</v>
      </c>
      <c r="BB662" t="s">
        <v>3250</v>
      </c>
      <c r="BC662" t="s">
        <v>3250</v>
      </c>
      <c r="BE662" t="s">
        <v>3250</v>
      </c>
      <c r="BF662" t="s">
        <v>3250</v>
      </c>
      <c r="BG662" t="s">
        <v>3250</v>
      </c>
      <c r="BH662" t="s">
        <v>3250</v>
      </c>
      <c r="BI662" t="s">
        <v>3250</v>
      </c>
      <c r="BK662" t="s">
        <v>3250</v>
      </c>
      <c r="BL662" t="s">
        <v>3250</v>
      </c>
      <c r="BM662" t="s">
        <v>3250</v>
      </c>
      <c r="BN662" t="s">
        <v>3250</v>
      </c>
      <c r="BP662">
        <v>12</v>
      </c>
      <c r="BQ662">
        <v>121</v>
      </c>
      <c r="BR662" t="s">
        <v>2439</v>
      </c>
      <c r="BS662" t="s">
        <v>941</v>
      </c>
      <c r="BV662">
        <v>0</v>
      </c>
      <c r="BW662">
        <v>138152</v>
      </c>
      <c r="BX662">
        <v>4832</v>
      </c>
      <c r="BY662">
        <v>0</v>
      </c>
      <c r="BZ662">
        <v>0</v>
      </c>
      <c r="CA662">
        <v>0</v>
      </c>
      <c r="CB662">
        <v>0</v>
      </c>
      <c r="CC662">
        <v>0</v>
      </c>
      <c r="CD662">
        <v>0</v>
      </c>
      <c r="CE662" t="s">
        <v>3108</v>
      </c>
      <c r="CF662" t="s">
        <v>3108</v>
      </c>
      <c r="CG662" t="s">
        <v>3108</v>
      </c>
      <c r="CH662" t="s">
        <v>3108</v>
      </c>
    </row>
    <row r="663" spans="1:86" x14ac:dyDescent="0.2">
      <c r="A663" t="s">
        <v>4295</v>
      </c>
      <c r="B663" t="s">
        <v>4295</v>
      </c>
      <c r="C663">
        <v>41075</v>
      </c>
      <c r="D663">
        <v>443</v>
      </c>
      <c r="E663" t="s">
        <v>4033</v>
      </c>
      <c r="F663">
        <v>2900</v>
      </c>
      <c r="G663" t="s">
        <v>822</v>
      </c>
      <c r="H663" t="s">
        <v>3108</v>
      </c>
      <c r="I663" t="s">
        <v>3108</v>
      </c>
      <c r="J663">
        <v>2904</v>
      </c>
      <c r="K663" t="s">
        <v>1690</v>
      </c>
      <c r="L663">
        <v>4400</v>
      </c>
      <c r="M663" t="s">
        <v>988</v>
      </c>
      <c r="N663">
        <v>4403</v>
      </c>
      <c r="O663" t="s">
        <v>2439</v>
      </c>
      <c r="P663" t="s">
        <v>3108</v>
      </c>
      <c r="Q663" t="s">
        <v>3249</v>
      </c>
      <c r="R663" t="s">
        <v>3249</v>
      </c>
      <c r="S663" t="s">
        <v>810</v>
      </c>
      <c r="T663" t="s">
        <v>2754</v>
      </c>
      <c r="U663" t="s">
        <v>3250</v>
      </c>
      <c r="V663" t="s">
        <v>3250</v>
      </c>
      <c r="W663" t="s">
        <v>3250</v>
      </c>
      <c r="X663" t="s">
        <v>3250</v>
      </c>
      <c r="Y663" t="s">
        <v>3250</v>
      </c>
      <c r="Z663" t="s">
        <v>3250</v>
      </c>
      <c r="AA663" t="s">
        <v>3108</v>
      </c>
      <c r="AB663" t="s">
        <v>3108</v>
      </c>
      <c r="AC663" t="s">
        <v>3250</v>
      </c>
      <c r="AD663" t="s">
        <v>3250</v>
      </c>
      <c r="AE663" t="s">
        <v>3250</v>
      </c>
      <c r="AF663" t="s">
        <v>3250</v>
      </c>
      <c r="AG663" t="s">
        <v>3250</v>
      </c>
      <c r="AH663" t="s">
        <v>3250</v>
      </c>
      <c r="AI663" t="s">
        <v>3250</v>
      </c>
      <c r="AJ663" t="s">
        <v>3250</v>
      </c>
      <c r="AL663" t="s">
        <v>3250</v>
      </c>
      <c r="AM663" t="s">
        <v>3250</v>
      </c>
      <c r="AN663" t="s">
        <v>3250</v>
      </c>
      <c r="AO663" t="s">
        <v>3250</v>
      </c>
      <c r="AS663" t="s">
        <v>3250</v>
      </c>
      <c r="AT663" t="s">
        <v>3250</v>
      </c>
      <c r="AU663" t="s">
        <v>3250</v>
      </c>
      <c r="AV663" t="s">
        <v>3250</v>
      </c>
      <c r="AW663" t="s">
        <v>3250</v>
      </c>
      <c r="AX663" t="s">
        <v>3250</v>
      </c>
      <c r="AY663" t="s">
        <v>3250</v>
      </c>
      <c r="AZ663" t="s">
        <v>3250</v>
      </c>
      <c r="BA663" t="s">
        <v>3250</v>
      </c>
      <c r="BB663" t="s">
        <v>3250</v>
      </c>
      <c r="BC663" t="s">
        <v>3250</v>
      </c>
      <c r="BE663" t="s">
        <v>3250</v>
      </c>
      <c r="BF663" t="s">
        <v>3250</v>
      </c>
      <c r="BG663" t="s">
        <v>3250</v>
      </c>
      <c r="BH663" t="s">
        <v>3250</v>
      </c>
      <c r="BI663" t="s">
        <v>3250</v>
      </c>
      <c r="BK663" t="s">
        <v>3250</v>
      </c>
      <c r="BL663" t="s">
        <v>3250</v>
      </c>
      <c r="BM663" t="s">
        <v>3250</v>
      </c>
      <c r="BN663" t="s">
        <v>3250</v>
      </c>
      <c r="BP663">
        <v>12</v>
      </c>
      <c r="BQ663">
        <v>121</v>
      </c>
      <c r="BR663" t="s">
        <v>2439</v>
      </c>
      <c r="BS663" t="s">
        <v>941</v>
      </c>
      <c r="BV663">
        <v>0</v>
      </c>
      <c r="BW663">
        <v>0</v>
      </c>
      <c r="BX663">
        <v>0</v>
      </c>
      <c r="BY663">
        <v>0</v>
      </c>
      <c r="BZ663">
        <v>0</v>
      </c>
      <c r="CA663">
        <v>0</v>
      </c>
      <c r="CB663">
        <v>0</v>
      </c>
      <c r="CC663">
        <v>0</v>
      </c>
      <c r="CD663">
        <v>0</v>
      </c>
      <c r="CE663" t="s">
        <v>3108</v>
      </c>
      <c r="CF663" t="s">
        <v>3108</v>
      </c>
      <c r="CG663" t="s">
        <v>3108</v>
      </c>
      <c r="CH663" t="s">
        <v>3108</v>
      </c>
    </row>
    <row r="664" spans="1:86" x14ac:dyDescent="0.2">
      <c r="A664" t="s">
        <v>4296</v>
      </c>
      <c r="B664" t="s">
        <v>4296</v>
      </c>
      <c r="C664">
        <v>41079</v>
      </c>
      <c r="D664">
        <v>444</v>
      </c>
      <c r="E664" t="s">
        <v>4173</v>
      </c>
      <c r="F664">
        <v>2900</v>
      </c>
      <c r="G664" t="s">
        <v>822</v>
      </c>
      <c r="H664" t="s">
        <v>3108</v>
      </c>
      <c r="I664" t="s">
        <v>3108</v>
      </c>
      <c r="J664">
        <v>2904</v>
      </c>
      <c r="K664" t="s">
        <v>1690</v>
      </c>
      <c r="L664">
        <v>4400</v>
      </c>
      <c r="M664" t="s">
        <v>988</v>
      </c>
      <c r="N664">
        <v>4403</v>
      </c>
      <c r="O664" t="s">
        <v>2439</v>
      </c>
      <c r="P664" t="s">
        <v>3108</v>
      </c>
      <c r="Q664" t="s">
        <v>3249</v>
      </c>
      <c r="R664" t="s">
        <v>3249</v>
      </c>
      <c r="S664" t="s">
        <v>810</v>
      </c>
      <c r="T664" t="s">
        <v>2754</v>
      </c>
      <c r="U664" t="s">
        <v>3250</v>
      </c>
      <c r="V664" t="s">
        <v>3250</v>
      </c>
      <c r="W664" t="s">
        <v>3250</v>
      </c>
      <c r="X664" t="s">
        <v>3250</v>
      </c>
      <c r="Y664" t="s">
        <v>3250</v>
      </c>
      <c r="Z664" t="s">
        <v>3250</v>
      </c>
      <c r="AA664" t="s">
        <v>3108</v>
      </c>
      <c r="AB664" t="s">
        <v>3108</v>
      </c>
      <c r="AC664" t="s">
        <v>3250</v>
      </c>
      <c r="AD664" t="s">
        <v>3250</v>
      </c>
      <c r="AE664" t="s">
        <v>3250</v>
      </c>
      <c r="AF664" t="s">
        <v>3250</v>
      </c>
      <c r="AG664" t="s">
        <v>3250</v>
      </c>
      <c r="AH664" t="s">
        <v>3250</v>
      </c>
      <c r="AI664" t="s">
        <v>3250</v>
      </c>
      <c r="AJ664" t="s">
        <v>3250</v>
      </c>
      <c r="AL664" t="s">
        <v>3250</v>
      </c>
      <c r="AM664" t="s">
        <v>3250</v>
      </c>
      <c r="AN664" t="s">
        <v>3250</v>
      </c>
      <c r="AO664" t="s">
        <v>3250</v>
      </c>
      <c r="AS664" t="s">
        <v>3250</v>
      </c>
      <c r="AT664" t="s">
        <v>3250</v>
      </c>
      <c r="AU664" t="s">
        <v>3250</v>
      </c>
      <c r="AV664" t="s">
        <v>3250</v>
      </c>
      <c r="AW664" t="s">
        <v>3250</v>
      </c>
      <c r="AX664" t="s">
        <v>3250</v>
      </c>
      <c r="AY664" t="s">
        <v>3250</v>
      </c>
      <c r="AZ664" t="s">
        <v>3250</v>
      </c>
      <c r="BA664" t="s">
        <v>3250</v>
      </c>
      <c r="BB664" t="s">
        <v>3250</v>
      </c>
      <c r="BC664" t="s">
        <v>3250</v>
      </c>
      <c r="BE664" t="s">
        <v>3250</v>
      </c>
      <c r="BF664" t="s">
        <v>3250</v>
      </c>
      <c r="BG664" t="s">
        <v>3250</v>
      </c>
      <c r="BH664" t="s">
        <v>3250</v>
      </c>
      <c r="BI664" t="s">
        <v>3250</v>
      </c>
      <c r="BK664" t="s">
        <v>3250</v>
      </c>
      <c r="BL664" t="s">
        <v>3250</v>
      </c>
      <c r="BM664" t="s">
        <v>3250</v>
      </c>
      <c r="BN664" t="s">
        <v>3250</v>
      </c>
      <c r="BP664">
        <v>12</v>
      </c>
      <c r="BQ664">
        <v>121</v>
      </c>
      <c r="BR664" t="s">
        <v>2439</v>
      </c>
      <c r="BS664" t="s">
        <v>941</v>
      </c>
      <c r="BV664">
        <v>0</v>
      </c>
      <c r="BW664">
        <v>0</v>
      </c>
      <c r="BX664">
        <v>0</v>
      </c>
      <c r="BY664">
        <v>0</v>
      </c>
      <c r="BZ664">
        <v>0</v>
      </c>
      <c r="CA664">
        <v>0</v>
      </c>
      <c r="CB664">
        <v>0</v>
      </c>
      <c r="CC664">
        <v>0</v>
      </c>
      <c r="CD664">
        <v>0</v>
      </c>
      <c r="CE664" t="s">
        <v>3108</v>
      </c>
      <c r="CF664" t="s">
        <v>3108</v>
      </c>
      <c r="CG664" t="s">
        <v>3108</v>
      </c>
      <c r="CH664" t="s">
        <v>3108</v>
      </c>
    </row>
    <row r="665" spans="1:86" x14ac:dyDescent="0.2">
      <c r="A665" t="s">
        <v>4297</v>
      </c>
      <c r="B665" t="s">
        <v>4297</v>
      </c>
      <c r="C665">
        <v>41085</v>
      </c>
      <c r="D665">
        <v>445</v>
      </c>
      <c r="E665" t="s">
        <v>3992</v>
      </c>
      <c r="F665">
        <v>2900</v>
      </c>
      <c r="G665" t="s">
        <v>822</v>
      </c>
      <c r="H665" t="s">
        <v>3108</v>
      </c>
      <c r="I665" t="s">
        <v>3108</v>
      </c>
      <c r="J665">
        <v>2904</v>
      </c>
      <c r="K665" t="s">
        <v>1690</v>
      </c>
      <c r="L665">
        <v>2200</v>
      </c>
      <c r="M665" t="s">
        <v>124</v>
      </c>
      <c r="N665">
        <v>2205</v>
      </c>
      <c r="O665" t="s">
        <v>2390</v>
      </c>
      <c r="P665" t="s">
        <v>3108</v>
      </c>
      <c r="Q665" t="s">
        <v>3249</v>
      </c>
      <c r="R665" t="s">
        <v>3249</v>
      </c>
      <c r="S665" t="s">
        <v>810</v>
      </c>
      <c r="T665" t="s">
        <v>2754</v>
      </c>
      <c r="U665" t="s">
        <v>3250</v>
      </c>
      <c r="V665" t="s">
        <v>3250</v>
      </c>
      <c r="W665" t="s">
        <v>3250</v>
      </c>
      <c r="X665" t="s">
        <v>3250</v>
      </c>
      <c r="Y665" t="s">
        <v>3250</v>
      </c>
      <c r="Z665" t="s">
        <v>3250</v>
      </c>
      <c r="AA665" t="s">
        <v>3108</v>
      </c>
      <c r="AB665" t="s">
        <v>3108</v>
      </c>
      <c r="AC665" t="s">
        <v>3250</v>
      </c>
      <c r="AD665" t="s">
        <v>3250</v>
      </c>
      <c r="AE665" t="s">
        <v>3250</v>
      </c>
      <c r="AF665" t="s">
        <v>3250</v>
      </c>
      <c r="AG665" t="s">
        <v>3250</v>
      </c>
      <c r="AH665" t="s">
        <v>3250</v>
      </c>
      <c r="AI665" t="s">
        <v>3250</v>
      </c>
      <c r="AJ665" t="s">
        <v>3250</v>
      </c>
      <c r="AL665" t="s">
        <v>3250</v>
      </c>
      <c r="AM665" t="s">
        <v>3250</v>
      </c>
      <c r="AN665" t="s">
        <v>3250</v>
      </c>
      <c r="AO665" t="s">
        <v>3250</v>
      </c>
      <c r="AS665" t="s">
        <v>3250</v>
      </c>
      <c r="AT665" t="s">
        <v>3250</v>
      </c>
      <c r="AU665" t="s">
        <v>3250</v>
      </c>
      <c r="AV665" t="s">
        <v>3250</v>
      </c>
      <c r="AW665" t="s">
        <v>3250</v>
      </c>
      <c r="AX665" t="s">
        <v>3250</v>
      </c>
      <c r="AY665" t="s">
        <v>3250</v>
      </c>
      <c r="AZ665" t="s">
        <v>3250</v>
      </c>
      <c r="BA665" t="s">
        <v>3250</v>
      </c>
      <c r="BB665" t="s">
        <v>3250</v>
      </c>
      <c r="BC665" t="s">
        <v>3250</v>
      </c>
      <c r="BE665" t="s">
        <v>3250</v>
      </c>
      <c r="BF665" t="s">
        <v>3250</v>
      </c>
      <c r="BG665" t="s">
        <v>3250</v>
      </c>
      <c r="BH665" t="s">
        <v>3250</v>
      </c>
      <c r="BI665" t="s">
        <v>3250</v>
      </c>
      <c r="BK665" t="s">
        <v>3250</v>
      </c>
      <c r="BL665" t="s">
        <v>3250</v>
      </c>
      <c r="BM665" t="s">
        <v>3250</v>
      </c>
      <c r="BN665" t="s">
        <v>3250</v>
      </c>
      <c r="BP665">
        <v>9</v>
      </c>
      <c r="BQ665">
        <v>91</v>
      </c>
      <c r="BR665" t="s">
        <v>2390</v>
      </c>
      <c r="BS665" t="s">
        <v>1675</v>
      </c>
      <c r="BV665">
        <v>0</v>
      </c>
      <c r="BW665">
        <v>0</v>
      </c>
      <c r="BX665">
        <v>0</v>
      </c>
      <c r="BY665">
        <v>0</v>
      </c>
      <c r="BZ665">
        <v>0</v>
      </c>
      <c r="CA665">
        <v>0</v>
      </c>
      <c r="CB665">
        <v>0</v>
      </c>
      <c r="CC665">
        <v>0</v>
      </c>
      <c r="CD665">
        <v>234000</v>
      </c>
      <c r="CE665" t="s">
        <v>3108</v>
      </c>
      <c r="CF665" t="s">
        <v>3108</v>
      </c>
      <c r="CG665" t="s">
        <v>3108</v>
      </c>
      <c r="CH665" t="s">
        <v>3108</v>
      </c>
    </row>
    <row r="666" spans="1:86" x14ac:dyDescent="0.2">
      <c r="A666" t="s">
        <v>4298</v>
      </c>
      <c r="B666" t="s">
        <v>4298</v>
      </c>
      <c r="C666">
        <v>41087</v>
      </c>
      <c r="D666">
        <v>446</v>
      </c>
      <c r="E666" t="s">
        <v>4138</v>
      </c>
      <c r="F666">
        <v>2900</v>
      </c>
      <c r="G666" t="s">
        <v>822</v>
      </c>
      <c r="H666" t="s">
        <v>3108</v>
      </c>
      <c r="I666" t="s">
        <v>3108</v>
      </c>
      <c r="J666">
        <v>2904</v>
      </c>
      <c r="K666" t="s">
        <v>1690</v>
      </c>
      <c r="L666">
        <v>4400</v>
      </c>
      <c r="M666" t="s">
        <v>988</v>
      </c>
      <c r="N666">
        <v>4403</v>
      </c>
      <c r="O666" t="s">
        <v>2439</v>
      </c>
      <c r="P666" t="s">
        <v>3108</v>
      </c>
      <c r="Q666" t="s">
        <v>3249</v>
      </c>
      <c r="R666" t="s">
        <v>3249</v>
      </c>
      <c r="S666" t="s">
        <v>810</v>
      </c>
      <c r="T666" t="s">
        <v>2754</v>
      </c>
      <c r="U666" t="s">
        <v>3250</v>
      </c>
      <c r="V666" t="s">
        <v>3250</v>
      </c>
      <c r="W666" t="s">
        <v>3250</v>
      </c>
      <c r="X666" t="s">
        <v>3250</v>
      </c>
      <c r="Y666" t="s">
        <v>3250</v>
      </c>
      <c r="Z666" t="s">
        <v>3250</v>
      </c>
      <c r="AA666" t="s">
        <v>3108</v>
      </c>
      <c r="AB666" t="s">
        <v>3108</v>
      </c>
      <c r="AC666" t="s">
        <v>3250</v>
      </c>
      <c r="AD666" t="s">
        <v>3250</v>
      </c>
      <c r="AE666" t="s">
        <v>3250</v>
      </c>
      <c r="AF666" t="s">
        <v>3250</v>
      </c>
      <c r="AG666" t="s">
        <v>3250</v>
      </c>
      <c r="AH666" t="s">
        <v>3250</v>
      </c>
      <c r="AI666" t="s">
        <v>3250</v>
      </c>
      <c r="AJ666" t="s">
        <v>3250</v>
      </c>
      <c r="AL666" t="s">
        <v>3250</v>
      </c>
      <c r="AM666" t="s">
        <v>3250</v>
      </c>
      <c r="AN666" t="s">
        <v>3250</v>
      </c>
      <c r="AO666" t="s">
        <v>3250</v>
      </c>
      <c r="AS666" t="s">
        <v>3250</v>
      </c>
      <c r="AT666" t="s">
        <v>3250</v>
      </c>
      <c r="AU666" t="s">
        <v>3250</v>
      </c>
      <c r="AV666" t="s">
        <v>3250</v>
      </c>
      <c r="AW666" t="s">
        <v>3250</v>
      </c>
      <c r="AX666" t="s">
        <v>3250</v>
      </c>
      <c r="AY666" t="s">
        <v>3250</v>
      </c>
      <c r="AZ666" t="s">
        <v>3250</v>
      </c>
      <c r="BA666" t="s">
        <v>3250</v>
      </c>
      <c r="BB666" t="s">
        <v>3250</v>
      </c>
      <c r="BC666" t="s">
        <v>3250</v>
      </c>
      <c r="BE666" t="s">
        <v>3250</v>
      </c>
      <c r="BF666" t="s">
        <v>3250</v>
      </c>
      <c r="BG666" t="s">
        <v>3250</v>
      </c>
      <c r="BH666" t="s">
        <v>3250</v>
      </c>
      <c r="BI666" t="s">
        <v>3250</v>
      </c>
      <c r="BK666" t="s">
        <v>3250</v>
      </c>
      <c r="BL666" t="s">
        <v>3250</v>
      </c>
      <c r="BM666" t="s">
        <v>3250</v>
      </c>
      <c r="BN666" t="s">
        <v>3250</v>
      </c>
      <c r="BP666">
        <v>12</v>
      </c>
      <c r="BQ666">
        <v>121</v>
      </c>
      <c r="BR666" t="s">
        <v>2439</v>
      </c>
      <c r="BS666" t="s">
        <v>941</v>
      </c>
      <c r="BV666">
        <v>111287</v>
      </c>
      <c r="BW666">
        <v>7503</v>
      </c>
      <c r="BX666">
        <v>57193</v>
      </c>
      <c r="BY666">
        <v>143000</v>
      </c>
      <c r="BZ666">
        <v>143000</v>
      </c>
      <c r="CA666">
        <v>0</v>
      </c>
      <c r="CB666">
        <v>0</v>
      </c>
      <c r="CC666">
        <v>0</v>
      </c>
      <c r="CD666">
        <v>6251</v>
      </c>
      <c r="CE666" t="s">
        <v>3108</v>
      </c>
      <c r="CF666" t="s">
        <v>3108</v>
      </c>
      <c r="CG666" t="s">
        <v>3108</v>
      </c>
      <c r="CH666" t="s">
        <v>3108</v>
      </c>
    </row>
    <row r="667" spans="1:86" x14ac:dyDescent="0.2">
      <c r="A667" t="s">
        <v>4299</v>
      </c>
      <c r="B667" t="s">
        <v>4299</v>
      </c>
      <c r="C667">
        <v>41088</v>
      </c>
      <c r="D667">
        <v>447</v>
      </c>
      <c r="E667" t="s">
        <v>4138</v>
      </c>
      <c r="F667">
        <v>2900</v>
      </c>
      <c r="G667" t="s">
        <v>822</v>
      </c>
      <c r="H667" t="s">
        <v>3108</v>
      </c>
      <c r="I667" t="s">
        <v>3108</v>
      </c>
      <c r="J667">
        <v>2904</v>
      </c>
      <c r="K667" t="s">
        <v>1690</v>
      </c>
      <c r="L667">
        <v>4400</v>
      </c>
      <c r="M667" t="s">
        <v>988</v>
      </c>
      <c r="N667">
        <v>4404</v>
      </c>
      <c r="O667" t="s">
        <v>2440</v>
      </c>
      <c r="P667" t="s">
        <v>3108</v>
      </c>
      <c r="Q667" t="s">
        <v>3249</v>
      </c>
      <c r="R667" t="s">
        <v>3249</v>
      </c>
      <c r="S667" t="s">
        <v>810</v>
      </c>
      <c r="T667" t="s">
        <v>2754</v>
      </c>
      <c r="U667" t="s">
        <v>3250</v>
      </c>
      <c r="V667" t="s">
        <v>3250</v>
      </c>
      <c r="W667" t="s">
        <v>3250</v>
      </c>
      <c r="X667" t="s">
        <v>3250</v>
      </c>
      <c r="Y667" t="s">
        <v>3250</v>
      </c>
      <c r="Z667" t="s">
        <v>3250</v>
      </c>
      <c r="AA667" t="s">
        <v>3108</v>
      </c>
      <c r="AB667" t="s">
        <v>3108</v>
      </c>
      <c r="AC667" t="s">
        <v>3250</v>
      </c>
      <c r="AD667" t="s">
        <v>3250</v>
      </c>
      <c r="AE667" t="s">
        <v>3250</v>
      </c>
      <c r="AF667" t="s">
        <v>3250</v>
      </c>
      <c r="AG667" t="s">
        <v>3250</v>
      </c>
      <c r="AH667" t="s">
        <v>3250</v>
      </c>
      <c r="AI667" t="s">
        <v>3250</v>
      </c>
      <c r="AJ667" t="s">
        <v>3250</v>
      </c>
      <c r="AL667" t="s">
        <v>3250</v>
      </c>
      <c r="AM667" t="s">
        <v>3250</v>
      </c>
      <c r="AN667" t="s">
        <v>3250</v>
      </c>
      <c r="AO667" t="s">
        <v>3250</v>
      </c>
      <c r="AS667" t="s">
        <v>3250</v>
      </c>
      <c r="AT667" t="s">
        <v>3250</v>
      </c>
      <c r="AU667" t="s">
        <v>3250</v>
      </c>
      <c r="AV667" t="s">
        <v>3250</v>
      </c>
      <c r="AW667" t="s">
        <v>3250</v>
      </c>
      <c r="AX667" t="s">
        <v>3250</v>
      </c>
      <c r="AY667" t="s">
        <v>3250</v>
      </c>
      <c r="AZ667" t="s">
        <v>3250</v>
      </c>
      <c r="BA667" t="s">
        <v>3250</v>
      </c>
      <c r="BB667" t="s">
        <v>3250</v>
      </c>
      <c r="BC667" t="s">
        <v>3250</v>
      </c>
      <c r="BE667" t="s">
        <v>3250</v>
      </c>
      <c r="BF667" t="s">
        <v>3250</v>
      </c>
      <c r="BG667" t="s">
        <v>3250</v>
      </c>
      <c r="BH667" t="s">
        <v>3250</v>
      </c>
      <c r="BI667" t="s">
        <v>3250</v>
      </c>
      <c r="BK667" t="s">
        <v>3250</v>
      </c>
      <c r="BL667" t="s">
        <v>3250</v>
      </c>
      <c r="BM667" t="s">
        <v>3250</v>
      </c>
      <c r="BN667" t="s">
        <v>3250</v>
      </c>
      <c r="BP667">
        <v>12</v>
      </c>
      <c r="BQ667">
        <v>122</v>
      </c>
      <c r="BR667" t="s">
        <v>2440</v>
      </c>
      <c r="BS667" t="s">
        <v>941</v>
      </c>
      <c r="BV667">
        <v>0</v>
      </c>
      <c r="BW667">
        <v>0</v>
      </c>
      <c r="BX667">
        <v>0</v>
      </c>
      <c r="BY667">
        <v>0</v>
      </c>
      <c r="BZ667">
        <v>0</v>
      </c>
      <c r="CA667">
        <v>0</v>
      </c>
      <c r="CB667">
        <v>0</v>
      </c>
      <c r="CC667">
        <v>0</v>
      </c>
      <c r="CD667">
        <v>0</v>
      </c>
      <c r="CE667" t="s">
        <v>3108</v>
      </c>
      <c r="CF667" t="s">
        <v>3108</v>
      </c>
      <c r="CG667" t="s">
        <v>3108</v>
      </c>
      <c r="CH667" t="s">
        <v>3108</v>
      </c>
    </row>
    <row r="668" spans="1:86" x14ac:dyDescent="0.2">
      <c r="A668" t="s">
        <v>4300</v>
      </c>
      <c r="B668" t="s">
        <v>4300</v>
      </c>
      <c r="C668">
        <v>41089</v>
      </c>
      <c r="D668">
        <v>448</v>
      </c>
      <c r="E668" t="s">
        <v>4138</v>
      </c>
      <c r="F668">
        <v>2900</v>
      </c>
      <c r="G668" t="s">
        <v>822</v>
      </c>
      <c r="H668" t="s">
        <v>3108</v>
      </c>
      <c r="I668" t="s">
        <v>3108</v>
      </c>
      <c r="J668">
        <v>2904</v>
      </c>
      <c r="K668" t="s">
        <v>1690</v>
      </c>
      <c r="L668">
        <v>2200</v>
      </c>
      <c r="M668" t="s">
        <v>124</v>
      </c>
      <c r="N668">
        <v>2205</v>
      </c>
      <c r="O668" t="s">
        <v>2390</v>
      </c>
      <c r="P668" t="s">
        <v>3108</v>
      </c>
      <c r="Q668" t="s">
        <v>3249</v>
      </c>
      <c r="R668" t="s">
        <v>3249</v>
      </c>
      <c r="S668" t="s">
        <v>810</v>
      </c>
      <c r="T668" t="s">
        <v>2754</v>
      </c>
      <c r="U668" t="s">
        <v>3250</v>
      </c>
      <c r="V668" t="s">
        <v>3250</v>
      </c>
      <c r="W668" t="s">
        <v>3250</v>
      </c>
      <c r="X668" t="s">
        <v>3250</v>
      </c>
      <c r="Y668" t="s">
        <v>3250</v>
      </c>
      <c r="Z668" t="s">
        <v>3250</v>
      </c>
      <c r="AA668" t="s">
        <v>3108</v>
      </c>
      <c r="AB668" t="s">
        <v>3108</v>
      </c>
      <c r="AC668" t="s">
        <v>3250</v>
      </c>
      <c r="AD668" t="s">
        <v>3250</v>
      </c>
      <c r="AE668" t="s">
        <v>3250</v>
      </c>
      <c r="AF668" t="s">
        <v>3250</v>
      </c>
      <c r="AG668" t="s">
        <v>3250</v>
      </c>
      <c r="AH668" t="s">
        <v>3250</v>
      </c>
      <c r="AI668" t="s">
        <v>3250</v>
      </c>
      <c r="AJ668" t="s">
        <v>3250</v>
      </c>
      <c r="AL668" t="s">
        <v>3250</v>
      </c>
      <c r="AM668" t="s">
        <v>3250</v>
      </c>
      <c r="AN668" t="s">
        <v>3250</v>
      </c>
      <c r="AO668" t="s">
        <v>3250</v>
      </c>
      <c r="AS668" t="s">
        <v>3250</v>
      </c>
      <c r="AT668" t="s">
        <v>3250</v>
      </c>
      <c r="AU668" t="s">
        <v>3250</v>
      </c>
      <c r="AV668" t="s">
        <v>3250</v>
      </c>
      <c r="AW668" t="s">
        <v>3250</v>
      </c>
      <c r="AX668" t="s">
        <v>3250</v>
      </c>
      <c r="AY668" t="s">
        <v>3250</v>
      </c>
      <c r="AZ668" t="s">
        <v>3250</v>
      </c>
      <c r="BA668" t="s">
        <v>3250</v>
      </c>
      <c r="BB668" t="s">
        <v>3250</v>
      </c>
      <c r="BC668" t="s">
        <v>3250</v>
      </c>
      <c r="BE668" t="s">
        <v>3250</v>
      </c>
      <c r="BF668" t="s">
        <v>3250</v>
      </c>
      <c r="BG668" t="s">
        <v>3250</v>
      </c>
      <c r="BH668" t="s">
        <v>3250</v>
      </c>
      <c r="BI668" t="s">
        <v>3250</v>
      </c>
      <c r="BK668" t="s">
        <v>3250</v>
      </c>
      <c r="BL668" t="s">
        <v>3250</v>
      </c>
      <c r="BM668" t="s">
        <v>3250</v>
      </c>
      <c r="BN668" t="s">
        <v>3250</v>
      </c>
      <c r="BP668">
        <v>9</v>
      </c>
      <c r="BQ668">
        <v>91</v>
      </c>
      <c r="BR668" t="s">
        <v>2390</v>
      </c>
      <c r="BS668" t="s">
        <v>1675</v>
      </c>
      <c r="BV668">
        <v>0</v>
      </c>
      <c r="BW668">
        <v>0</v>
      </c>
      <c r="BX668">
        <v>0</v>
      </c>
      <c r="BY668">
        <v>0</v>
      </c>
      <c r="BZ668">
        <v>0</v>
      </c>
      <c r="CA668">
        <v>200000</v>
      </c>
      <c r="CB668">
        <v>208000</v>
      </c>
      <c r="CC668">
        <v>216320</v>
      </c>
      <c r="CD668">
        <v>0</v>
      </c>
      <c r="CE668" t="s">
        <v>3108</v>
      </c>
      <c r="CF668" t="s">
        <v>3108</v>
      </c>
      <c r="CG668" t="s">
        <v>3108</v>
      </c>
      <c r="CH668" t="s">
        <v>3108</v>
      </c>
    </row>
    <row r="669" spans="1:86" x14ac:dyDescent="0.2">
      <c r="A669" t="s">
        <v>4301</v>
      </c>
      <c r="B669" t="s">
        <v>4301</v>
      </c>
      <c r="C669">
        <v>41090</v>
      </c>
      <c r="D669">
        <v>449</v>
      </c>
      <c r="E669" t="s">
        <v>4138</v>
      </c>
      <c r="F669">
        <v>2900</v>
      </c>
      <c r="G669" t="s">
        <v>822</v>
      </c>
      <c r="H669" t="s">
        <v>3108</v>
      </c>
      <c r="I669" t="s">
        <v>3108</v>
      </c>
      <c r="J669">
        <v>2904</v>
      </c>
      <c r="K669" t="s">
        <v>1690</v>
      </c>
      <c r="L669">
        <v>5000</v>
      </c>
      <c r="M669" t="s">
        <v>245</v>
      </c>
      <c r="N669">
        <v>5006</v>
      </c>
      <c r="O669" t="s">
        <v>533</v>
      </c>
      <c r="P669" t="s">
        <v>3108</v>
      </c>
      <c r="Q669" t="s">
        <v>3249</v>
      </c>
      <c r="R669" t="s">
        <v>3249</v>
      </c>
      <c r="S669" t="s">
        <v>810</v>
      </c>
      <c r="T669" t="s">
        <v>2754</v>
      </c>
      <c r="U669" t="s">
        <v>3250</v>
      </c>
      <c r="V669" t="s">
        <v>3250</v>
      </c>
      <c r="W669" t="s">
        <v>3250</v>
      </c>
      <c r="X669" t="s">
        <v>3250</v>
      </c>
      <c r="Y669" t="s">
        <v>3250</v>
      </c>
      <c r="Z669" t="s">
        <v>3250</v>
      </c>
      <c r="AA669" t="s">
        <v>3108</v>
      </c>
      <c r="AB669" t="s">
        <v>3108</v>
      </c>
      <c r="AC669" t="s">
        <v>3250</v>
      </c>
      <c r="AD669" t="s">
        <v>3250</v>
      </c>
      <c r="AE669" t="s">
        <v>3250</v>
      </c>
      <c r="AF669" t="s">
        <v>3250</v>
      </c>
      <c r="AG669" t="s">
        <v>3250</v>
      </c>
      <c r="AH669" t="s">
        <v>3250</v>
      </c>
      <c r="AI669" t="s">
        <v>3250</v>
      </c>
      <c r="AJ669" t="s">
        <v>3250</v>
      </c>
      <c r="AL669" t="s">
        <v>3250</v>
      </c>
      <c r="AM669" t="s">
        <v>3250</v>
      </c>
      <c r="AN669" t="s">
        <v>3250</v>
      </c>
      <c r="AO669" t="s">
        <v>3250</v>
      </c>
      <c r="AS669" t="s">
        <v>3250</v>
      </c>
      <c r="AT669" t="s">
        <v>3250</v>
      </c>
      <c r="AU669" t="s">
        <v>3250</v>
      </c>
      <c r="AV669" t="s">
        <v>3250</v>
      </c>
      <c r="AW669" t="s">
        <v>3250</v>
      </c>
      <c r="AX669" t="s">
        <v>3250</v>
      </c>
      <c r="AY669" t="s">
        <v>3250</v>
      </c>
      <c r="AZ669" t="s">
        <v>3250</v>
      </c>
      <c r="BA669" t="s">
        <v>3250</v>
      </c>
      <c r="BB669" t="s">
        <v>3250</v>
      </c>
      <c r="BC669" t="s">
        <v>3250</v>
      </c>
      <c r="BE669" t="s">
        <v>3250</v>
      </c>
      <c r="BF669" t="s">
        <v>3250</v>
      </c>
      <c r="BG669" t="s">
        <v>3250</v>
      </c>
      <c r="BH669" t="s">
        <v>3250</v>
      </c>
      <c r="BI669" t="s">
        <v>3250</v>
      </c>
      <c r="BK669" t="s">
        <v>3250</v>
      </c>
      <c r="BL669" t="s">
        <v>3250</v>
      </c>
      <c r="BM669" t="s">
        <v>3250</v>
      </c>
      <c r="BN669" t="s">
        <v>3250</v>
      </c>
      <c r="BP669">
        <v>5</v>
      </c>
      <c r="BQ669">
        <v>54</v>
      </c>
      <c r="BR669" t="s">
        <v>533</v>
      </c>
      <c r="BS669" t="s">
        <v>4136</v>
      </c>
      <c r="BV669">
        <v>0</v>
      </c>
      <c r="BW669">
        <v>0</v>
      </c>
      <c r="BX669">
        <v>0</v>
      </c>
      <c r="BY669">
        <v>0</v>
      </c>
      <c r="BZ669">
        <v>0</v>
      </c>
      <c r="CA669">
        <v>0</v>
      </c>
      <c r="CB669">
        <v>0</v>
      </c>
      <c r="CC669">
        <v>0</v>
      </c>
      <c r="CD669">
        <v>-554</v>
      </c>
      <c r="CE669" t="s">
        <v>3108</v>
      </c>
      <c r="CF669" t="s">
        <v>3108</v>
      </c>
      <c r="CG669" t="s">
        <v>3108</v>
      </c>
      <c r="CH669" t="s">
        <v>3108</v>
      </c>
    </row>
    <row r="670" spans="1:86" x14ac:dyDescent="0.2">
      <c r="A670" t="s">
        <v>4302</v>
      </c>
      <c r="B670" t="s">
        <v>4302</v>
      </c>
      <c r="C670">
        <v>41091</v>
      </c>
      <c r="D670">
        <v>450</v>
      </c>
      <c r="E670" t="s">
        <v>3994</v>
      </c>
      <c r="F670">
        <v>2600</v>
      </c>
      <c r="G670" t="s">
        <v>1334</v>
      </c>
      <c r="H670">
        <v>2600</v>
      </c>
      <c r="I670" t="s">
        <v>1334</v>
      </c>
      <c r="J670" t="s">
        <v>3250</v>
      </c>
      <c r="K670" t="s">
        <v>3250</v>
      </c>
      <c r="L670">
        <v>4400</v>
      </c>
      <c r="M670" t="s">
        <v>988</v>
      </c>
      <c r="N670">
        <v>4403</v>
      </c>
      <c r="O670" t="s">
        <v>2439</v>
      </c>
      <c r="P670" t="s">
        <v>3108</v>
      </c>
      <c r="Q670" t="s">
        <v>3249</v>
      </c>
      <c r="R670" t="s">
        <v>3249</v>
      </c>
      <c r="S670" t="s">
        <v>810</v>
      </c>
      <c r="T670" t="s">
        <v>2754</v>
      </c>
      <c r="U670" t="s">
        <v>3250</v>
      </c>
      <c r="V670" t="s">
        <v>3250</v>
      </c>
      <c r="W670" t="s">
        <v>3250</v>
      </c>
      <c r="X670" t="s">
        <v>3250</v>
      </c>
      <c r="Y670" t="s">
        <v>3250</v>
      </c>
      <c r="Z670" t="s">
        <v>3250</v>
      </c>
      <c r="AA670" t="s">
        <v>3108</v>
      </c>
      <c r="AB670" t="s">
        <v>3108</v>
      </c>
      <c r="AC670" t="s">
        <v>3250</v>
      </c>
      <c r="AD670" t="s">
        <v>3250</v>
      </c>
      <c r="AE670" t="s">
        <v>3250</v>
      </c>
      <c r="AF670" t="s">
        <v>3250</v>
      </c>
      <c r="AG670" t="s">
        <v>3250</v>
      </c>
      <c r="AH670" t="s">
        <v>3250</v>
      </c>
      <c r="AI670" t="s">
        <v>3250</v>
      </c>
      <c r="AJ670" t="s">
        <v>3250</v>
      </c>
      <c r="AL670" t="s">
        <v>3250</v>
      </c>
      <c r="AM670" t="s">
        <v>3250</v>
      </c>
      <c r="AN670" t="s">
        <v>3250</v>
      </c>
      <c r="AO670" t="s">
        <v>3250</v>
      </c>
      <c r="AS670" t="s">
        <v>3250</v>
      </c>
      <c r="AT670" t="s">
        <v>3250</v>
      </c>
      <c r="AU670" t="s">
        <v>3250</v>
      </c>
      <c r="AV670" t="s">
        <v>3250</v>
      </c>
      <c r="AW670" t="s">
        <v>3250</v>
      </c>
      <c r="AX670" t="s">
        <v>3250</v>
      </c>
      <c r="AY670" t="s">
        <v>3250</v>
      </c>
      <c r="AZ670" t="s">
        <v>3250</v>
      </c>
      <c r="BA670" t="s">
        <v>3250</v>
      </c>
      <c r="BB670" t="s">
        <v>3250</v>
      </c>
      <c r="BC670" t="s">
        <v>3250</v>
      </c>
      <c r="BE670" t="s">
        <v>3250</v>
      </c>
      <c r="BF670" t="s">
        <v>3250</v>
      </c>
      <c r="BG670" t="s">
        <v>3250</v>
      </c>
      <c r="BH670" t="s">
        <v>3250</v>
      </c>
      <c r="BI670" t="s">
        <v>3250</v>
      </c>
      <c r="BK670" t="s">
        <v>3250</v>
      </c>
      <c r="BL670" t="s">
        <v>3250</v>
      </c>
      <c r="BM670" t="s">
        <v>3250</v>
      </c>
      <c r="BN670" t="s">
        <v>3250</v>
      </c>
      <c r="BP670">
        <v>12</v>
      </c>
      <c r="BQ670">
        <v>121</v>
      </c>
      <c r="BR670" t="s">
        <v>2439</v>
      </c>
      <c r="BS670" t="s">
        <v>941</v>
      </c>
      <c r="BV670">
        <v>55929</v>
      </c>
      <c r="BW670">
        <v>19940</v>
      </c>
      <c r="BX670">
        <v>164567</v>
      </c>
      <c r="BY670">
        <v>0</v>
      </c>
      <c r="BZ670">
        <v>0</v>
      </c>
      <c r="CA670">
        <v>0</v>
      </c>
      <c r="CB670">
        <v>0</v>
      </c>
      <c r="CC670">
        <v>0</v>
      </c>
      <c r="CD670">
        <v>0</v>
      </c>
      <c r="CE670" t="s">
        <v>3108</v>
      </c>
      <c r="CF670" t="s">
        <v>3108</v>
      </c>
      <c r="CG670" t="s">
        <v>3108</v>
      </c>
      <c r="CH670" t="s">
        <v>3108</v>
      </c>
    </row>
    <row r="671" spans="1:86" x14ac:dyDescent="0.2">
      <c r="A671" t="s">
        <v>4303</v>
      </c>
      <c r="B671" t="s">
        <v>4303</v>
      </c>
      <c r="C671">
        <v>41092</v>
      </c>
      <c r="D671">
        <v>451</v>
      </c>
      <c r="E671" t="s">
        <v>3994</v>
      </c>
      <c r="F671">
        <v>2600</v>
      </c>
      <c r="G671" t="s">
        <v>1334</v>
      </c>
      <c r="H671">
        <v>2600</v>
      </c>
      <c r="I671" t="s">
        <v>1334</v>
      </c>
      <c r="J671" t="s">
        <v>3250</v>
      </c>
      <c r="K671" t="s">
        <v>3250</v>
      </c>
      <c r="L671">
        <v>4400</v>
      </c>
      <c r="M671" t="s">
        <v>988</v>
      </c>
      <c r="N671">
        <v>4404</v>
      </c>
      <c r="O671" t="s">
        <v>2440</v>
      </c>
      <c r="P671" t="s">
        <v>3108</v>
      </c>
      <c r="Q671" t="s">
        <v>3249</v>
      </c>
      <c r="R671" t="s">
        <v>3249</v>
      </c>
      <c r="S671" t="s">
        <v>810</v>
      </c>
      <c r="T671" t="s">
        <v>2754</v>
      </c>
      <c r="U671" t="s">
        <v>3250</v>
      </c>
      <c r="V671" t="s">
        <v>3250</v>
      </c>
      <c r="W671" t="s">
        <v>3250</v>
      </c>
      <c r="X671" t="s">
        <v>3250</v>
      </c>
      <c r="Y671" t="s">
        <v>3250</v>
      </c>
      <c r="Z671" t="s">
        <v>3250</v>
      </c>
      <c r="AA671" t="s">
        <v>3108</v>
      </c>
      <c r="AB671" t="s">
        <v>3108</v>
      </c>
      <c r="AC671" t="s">
        <v>3250</v>
      </c>
      <c r="AD671" t="s">
        <v>3250</v>
      </c>
      <c r="AE671" t="s">
        <v>3250</v>
      </c>
      <c r="AF671" t="s">
        <v>3250</v>
      </c>
      <c r="AG671" t="s">
        <v>3250</v>
      </c>
      <c r="AH671" t="s">
        <v>3250</v>
      </c>
      <c r="AI671" t="s">
        <v>3250</v>
      </c>
      <c r="AJ671" t="s">
        <v>3250</v>
      </c>
      <c r="AL671" t="s">
        <v>3250</v>
      </c>
      <c r="AM671" t="s">
        <v>3250</v>
      </c>
      <c r="AN671" t="s">
        <v>3250</v>
      </c>
      <c r="AO671" t="s">
        <v>3250</v>
      </c>
      <c r="AS671" t="s">
        <v>3250</v>
      </c>
      <c r="AT671" t="s">
        <v>3250</v>
      </c>
      <c r="AU671" t="s">
        <v>3250</v>
      </c>
      <c r="AV671" t="s">
        <v>3250</v>
      </c>
      <c r="AW671" t="s">
        <v>3250</v>
      </c>
      <c r="AX671" t="s">
        <v>3250</v>
      </c>
      <c r="AY671" t="s">
        <v>3250</v>
      </c>
      <c r="AZ671" t="s">
        <v>3250</v>
      </c>
      <c r="BA671" t="s">
        <v>3250</v>
      </c>
      <c r="BB671" t="s">
        <v>3250</v>
      </c>
      <c r="BC671" t="s">
        <v>3250</v>
      </c>
      <c r="BE671" t="s">
        <v>3250</v>
      </c>
      <c r="BF671" t="s">
        <v>3250</v>
      </c>
      <c r="BG671" t="s">
        <v>3250</v>
      </c>
      <c r="BH671" t="s">
        <v>3250</v>
      </c>
      <c r="BI671" t="s">
        <v>3250</v>
      </c>
      <c r="BK671" t="s">
        <v>3250</v>
      </c>
      <c r="BL671" t="s">
        <v>3250</v>
      </c>
      <c r="BM671" t="s">
        <v>3250</v>
      </c>
      <c r="BN671" t="s">
        <v>3250</v>
      </c>
      <c r="BP671">
        <v>12</v>
      </c>
      <c r="BQ671">
        <v>122</v>
      </c>
      <c r="BR671" t="s">
        <v>2440</v>
      </c>
      <c r="BS671" t="s">
        <v>941</v>
      </c>
      <c r="BV671">
        <v>0</v>
      </c>
      <c r="BW671">
        <v>0</v>
      </c>
      <c r="BX671">
        <v>0</v>
      </c>
      <c r="BY671">
        <v>0</v>
      </c>
      <c r="BZ671">
        <v>0</v>
      </c>
      <c r="CA671">
        <v>0</v>
      </c>
      <c r="CB671">
        <v>0</v>
      </c>
      <c r="CC671">
        <v>0</v>
      </c>
      <c r="CD671">
        <v>0</v>
      </c>
      <c r="CE671" t="s">
        <v>3108</v>
      </c>
      <c r="CF671" t="s">
        <v>3108</v>
      </c>
      <c r="CG671" t="s">
        <v>3108</v>
      </c>
      <c r="CH671" t="s">
        <v>3108</v>
      </c>
    </row>
    <row r="672" spans="1:86" x14ac:dyDescent="0.2">
      <c r="A672" t="s">
        <v>4304</v>
      </c>
      <c r="B672" t="s">
        <v>4304</v>
      </c>
      <c r="C672">
        <v>41093</v>
      </c>
      <c r="D672">
        <v>452</v>
      </c>
      <c r="E672" t="s">
        <v>3994</v>
      </c>
      <c r="F672">
        <v>2600</v>
      </c>
      <c r="G672" t="s">
        <v>1334</v>
      </c>
      <c r="H672">
        <v>2600</v>
      </c>
      <c r="I672" t="s">
        <v>1334</v>
      </c>
      <c r="J672" t="s">
        <v>3250</v>
      </c>
      <c r="K672" t="s">
        <v>3250</v>
      </c>
      <c r="L672">
        <v>2200</v>
      </c>
      <c r="M672" t="s">
        <v>124</v>
      </c>
      <c r="N672">
        <v>2205</v>
      </c>
      <c r="O672" t="s">
        <v>2390</v>
      </c>
      <c r="P672" t="s">
        <v>3108</v>
      </c>
      <c r="Q672" t="s">
        <v>3249</v>
      </c>
      <c r="R672" t="s">
        <v>3249</v>
      </c>
      <c r="S672" t="s">
        <v>810</v>
      </c>
      <c r="T672" t="s">
        <v>2754</v>
      </c>
      <c r="U672" t="s">
        <v>3250</v>
      </c>
      <c r="V672" t="s">
        <v>3250</v>
      </c>
      <c r="W672" t="s">
        <v>3250</v>
      </c>
      <c r="X672" t="s">
        <v>3250</v>
      </c>
      <c r="Y672" t="s">
        <v>3250</v>
      </c>
      <c r="Z672" t="s">
        <v>3250</v>
      </c>
      <c r="AA672" t="s">
        <v>3108</v>
      </c>
      <c r="AB672" t="s">
        <v>3108</v>
      </c>
      <c r="AC672" t="s">
        <v>3250</v>
      </c>
      <c r="AD672" t="s">
        <v>3250</v>
      </c>
      <c r="AE672" t="s">
        <v>3250</v>
      </c>
      <c r="AF672" t="s">
        <v>3250</v>
      </c>
      <c r="AG672" t="s">
        <v>3250</v>
      </c>
      <c r="AH672" t="s">
        <v>3250</v>
      </c>
      <c r="AI672" t="s">
        <v>3250</v>
      </c>
      <c r="AJ672" t="s">
        <v>3250</v>
      </c>
      <c r="AL672" t="s">
        <v>3250</v>
      </c>
      <c r="AM672" t="s">
        <v>3250</v>
      </c>
      <c r="AN672" t="s">
        <v>3250</v>
      </c>
      <c r="AO672" t="s">
        <v>3250</v>
      </c>
      <c r="AS672" t="s">
        <v>3250</v>
      </c>
      <c r="AT672" t="s">
        <v>3250</v>
      </c>
      <c r="AU672" t="s">
        <v>3250</v>
      </c>
      <c r="AV672" t="s">
        <v>3250</v>
      </c>
      <c r="AW672" t="s">
        <v>3250</v>
      </c>
      <c r="AX672" t="s">
        <v>3250</v>
      </c>
      <c r="AY672" t="s">
        <v>3250</v>
      </c>
      <c r="AZ672" t="s">
        <v>3250</v>
      </c>
      <c r="BA672" t="s">
        <v>3250</v>
      </c>
      <c r="BB672" t="s">
        <v>3250</v>
      </c>
      <c r="BC672" t="s">
        <v>3250</v>
      </c>
      <c r="BE672" t="s">
        <v>3250</v>
      </c>
      <c r="BF672" t="s">
        <v>3250</v>
      </c>
      <c r="BG672" t="s">
        <v>3250</v>
      </c>
      <c r="BH672" t="s">
        <v>3250</v>
      </c>
      <c r="BI672" t="s">
        <v>3250</v>
      </c>
      <c r="BK672" t="s">
        <v>3250</v>
      </c>
      <c r="BL672" t="s">
        <v>3250</v>
      </c>
      <c r="BM672" t="s">
        <v>3250</v>
      </c>
      <c r="BN672" t="s">
        <v>3250</v>
      </c>
      <c r="BP672">
        <v>9</v>
      </c>
      <c r="BQ672">
        <v>91</v>
      </c>
      <c r="BR672" t="s">
        <v>2390</v>
      </c>
      <c r="BS672" t="s">
        <v>1675</v>
      </c>
      <c r="BV672">
        <v>0</v>
      </c>
      <c r="BW672">
        <v>0</v>
      </c>
      <c r="BX672">
        <v>0</v>
      </c>
      <c r="BY672">
        <v>0</v>
      </c>
      <c r="BZ672">
        <v>0</v>
      </c>
      <c r="CA672">
        <v>200000</v>
      </c>
      <c r="CB672">
        <v>208000</v>
      </c>
      <c r="CC672">
        <v>216320</v>
      </c>
      <c r="CD672">
        <v>0</v>
      </c>
      <c r="CE672" t="s">
        <v>3108</v>
      </c>
      <c r="CF672" t="s">
        <v>3108</v>
      </c>
      <c r="CG672" t="s">
        <v>3108</v>
      </c>
      <c r="CH672" t="s">
        <v>3108</v>
      </c>
    </row>
    <row r="673" spans="1:86" x14ac:dyDescent="0.2">
      <c r="A673" t="s">
        <v>4305</v>
      </c>
      <c r="B673" t="s">
        <v>4305</v>
      </c>
      <c r="C673">
        <v>41094</v>
      </c>
      <c r="D673">
        <v>453</v>
      </c>
      <c r="E673" t="s">
        <v>3994</v>
      </c>
      <c r="F673">
        <v>2600</v>
      </c>
      <c r="G673" t="s">
        <v>1334</v>
      </c>
      <c r="H673">
        <v>2600</v>
      </c>
      <c r="I673" t="s">
        <v>1334</v>
      </c>
      <c r="J673" t="s">
        <v>3250</v>
      </c>
      <c r="K673" t="s">
        <v>3250</v>
      </c>
      <c r="L673">
        <v>5000</v>
      </c>
      <c r="M673" t="s">
        <v>245</v>
      </c>
      <c r="N673">
        <v>5006</v>
      </c>
      <c r="O673" t="s">
        <v>533</v>
      </c>
      <c r="P673" t="s">
        <v>3108</v>
      </c>
      <c r="Q673" t="s">
        <v>3249</v>
      </c>
      <c r="R673" t="s">
        <v>3249</v>
      </c>
      <c r="S673" t="s">
        <v>810</v>
      </c>
      <c r="T673" t="s">
        <v>2754</v>
      </c>
      <c r="U673" t="s">
        <v>3250</v>
      </c>
      <c r="V673" t="s">
        <v>3250</v>
      </c>
      <c r="W673" t="s">
        <v>3250</v>
      </c>
      <c r="X673" t="s">
        <v>3250</v>
      </c>
      <c r="Y673" t="s">
        <v>3250</v>
      </c>
      <c r="Z673" t="s">
        <v>3250</v>
      </c>
      <c r="AA673" t="s">
        <v>3108</v>
      </c>
      <c r="AB673" t="s">
        <v>3108</v>
      </c>
      <c r="AC673" t="s">
        <v>3250</v>
      </c>
      <c r="AD673" t="s">
        <v>3250</v>
      </c>
      <c r="AE673" t="s">
        <v>3250</v>
      </c>
      <c r="AF673" t="s">
        <v>3250</v>
      </c>
      <c r="AG673" t="s">
        <v>3250</v>
      </c>
      <c r="AH673" t="s">
        <v>3250</v>
      </c>
      <c r="AI673" t="s">
        <v>3250</v>
      </c>
      <c r="AJ673" t="s">
        <v>3250</v>
      </c>
      <c r="AL673" t="s">
        <v>3250</v>
      </c>
      <c r="AM673" t="s">
        <v>3250</v>
      </c>
      <c r="AN673" t="s">
        <v>3250</v>
      </c>
      <c r="AO673" t="s">
        <v>3250</v>
      </c>
      <c r="AS673" t="s">
        <v>3250</v>
      </c>
      <c r="AT673" t="s">
        <v>3250</v>
      </c>
      <c r="AU673" t="s">
        <v>3250</v>
      </c>
      <c r="AV673" t="s">
        <v>3250</v>
      </c>
      <c r="AW673" t="s">
        <v>3250</v>
      </c>
      <c r="AX673" t="s">
        <v>3250</v>
      </c>
      <c r="AY673" t="s">
        <v>3250</v>
      </c>
      <c r="AZ673" t="s">
        <v>3250</v>
      </c>
      <c r="BA673" t="s">
        <v>3250</v>
      </c>
      <c r="BB673" t="s">
        <v>3250</v>
      </c>
      <c r="BC673" t="s">
        <v>3250</v>
      </c>
      <c r="BE673" t="s">
        <v>3250</v>
      </c>
      <c r="BF673" t="s">
        <v>3250</v>
      </c>
      <c r="BG673" t="s">
        <v>3250</v>
      </c>
      <c r="BH673" t="s">
        <v>3250</v>
      </c>
      <c r="BI673" t="s">
        <v>3250</v>
      </c>
      <c r="BK673" t="s">
        <v>3250</v>
      </c>
      <c r="BL673" t="s">
        <v>3250</v>
      </c>
      <c r="BM673" t="s">
        <v>3250</v>
      </c>
      <c r="BN673" t="s">
        <v>3250</v>
      </c>
      <c r="BP673">
        <v>5</v>
      </c>
      <c r="BQ673">
        <v>54</v>
      </c>
      <c r="BR673" t="s">
        <v>533</v>
      </c>
      <c r="BS673" t="s">
        <v>4136</v>
      </c>
      <c r="BV673">
        <v>0</v>
      </c>
      <c r="BW673">
        <v>0</v>
      </c>
      <c r="BX673">
        <v>0</v>
      </c>
      <c r="BY673">
        <v>0</v>
      </c>
      <c r="BZ673">
        <v>0</v>
      </c>
      <c r="CA673">
        <v>0</v>
      </c>
      <c r="CB673">
        <v>0</v>
      </c>
      <c r="CC673">
        <v>0</v>
      </c>
      <c r="CD673">
        <v>0</v>
      </c>
      <c r="CE673" t="s">
        <v>3108</v>
      </c>
      <c r="CF673" t="s">
        <v>3108</v>
      </c>
      <c r="CG673" t="s">
        <v>3108</v>
      </c>
      <c r="CH673" t="s">
        <v>3108</v>
      </c>
    </row>
    <row r="674" spans="1:86" x14ac:dyDescent="0.2">
      <c r="A674" t="s">
        <v>4306</v>
      </c>
      <c r="B674" t="s">
        <v>4306</v>
      </c>
      <c r="C674">
        <v>41095</v>
      </c>
      <c r="D674">
        <v>454</v>
      </c>
      <c r="E674" t="s">
        <v>4072</v>
      </c>
      <c r="F674">
        <v>2000</v>
      </c>
      <c r="G674" t="s">
        <v>408</v>
      </c>
      <c r="H674" t="s">
        <v>4070</v>
      </c>
      <c r="I674" t="s">
        <v>1792</v>
      </c>
      <c r="J674">
        <v>2002</v>
      </c>
      <c r="K674" t="s">
        <v>1792</v>
      </c>
      <c r="L674">
        <v>4400</v>
      </c>
      <c r="M674" t="s">
        <v>988</v>
      </c>
      <c r="N674">
        <v>4403</v>
      </c>
      <c r="O674" t="s">
        <v>2439</v>
      </c>
      <c r="P674" t="s">
        <v>3108</v>
      </c>
      <c r="Q674" t="s">
        <v>3249</v>
      </c>
      <c r="R674" t="s">
        <v>3249</v>
      </c>
      <c r="S674" t="s">
        <v>810</v>
      </c>
      <c r="T674" t="s">
        <v>2754</v>
      </c>
      <c r="U674" t="s">
        <v>3250</v>
      </c>
      <c r="V674" t="s">
        <v>3250</v>
      </c>
      <c r="W674" t="s">
        <v>3250</v>
      </c>
      <c r="X674" t="s">
        <v>3250</v>
      </c>
      <c r="Y674" t="s">
        <v>3250</v>
      </c>
      <c r="Z674" t="s">
        <v>3250</v>
      </c>
      <c r="AA674" t="s">
        <v>3108</v>
      </c>
      <c r="AB674" t="s">
        <v>3108</v>
      </c>
      <c r="AC674" t="s">
        <v>3250</v>
      </c>
      <c r="AD674" t="s">
        <v>3250</v>
      </c>
      <c r="AE674" t="s">
        <v>3250</v>
      </c>
      <c r="AF674" t="s">
        <v>3250</v>
      </c>
      <c r="AG674" t="s">
        <v>3250</v>
      </c>
      <c r="AH674" t="s">
        <v>3250</v>
      </c>
      <c r="AI674" t="s">
        <v>3250</v>
      </c>
      <c r="AJ674" t="s">
        <v>3250</v>
      </c>
      <c r="AL674" t="s">
        <v>3250</v>
      </c>
      <c r="AM674" t="s">
        <v>3250</v>
      </c>
      <c r="AN674" t="s">
        <v>3250</v>
      </c>
      <c r="AO674" t="s">
        <v>3250</v>
      </c>
      <c r="AS674" t="s">
        <v>3250</v>
      </c>
      <c r="AT674" t="s">
        <v>3250</v>
      </c>
      <c r="AU674" t="s">
        <v>3250</v>
      </c>
      <c r="AV674" t="s">
        <v>3250</v>
      </c>
      <c r="AW674" t="s">
        <v>3250</v>
      </c>
      <c r="AX674" t="s">
        <v>3250</v>
      </c>
      <c r="AY674" t="s">
        <v>3250</v>
      </c>
      <c r="AZ674" t="s">
        <v>3250</v>
      </c>
      <c r="BA674" t="s">
        <v>3250</v>
      </c>
      <c r="BB674" t="s">
        <v>3250</v>
      </c>
      <c r="BC674" t="s">
        <v>3250</v>
      </c>
      <c r="BE674" t="s">
        <v>3250</v>
      </c>
      <c r="BF674" t="s">
        <v>3250</v>
      </c>
      <c r="BG674" t="s">
        <v>3250</v>
      </c>
      <c r="BH674" t="s">
        <v>3250</v>
      </c>
      <c r="BI674" t="s">
        <v>3250</v>
      </c>
      <c r="BK674" t="s">
        <v>3250</v>
      </c>
      <c r="BL674" t="s">
        <v>3250</v>
      </c>
      <c r="BM674" t="s">
        <v>3250</v>
      </c>
      <c r="BN674" t="s">
        <v>3250</v>
      </c>
      <c r="BO674" t="s">
        <v>2916</v>
      </c>
      <c r="BP674">
        <v>12</v>
      </c>
      <c r="BQ674">
        <v>121</v>
      </c>
      <c r="BR674" t="s">
        <v>2439</v>
      </c>
      <c r="BS674" t="s">
        <v>941</v>
      </c>
      <c r="BV674">
        <v>0</v>
      </c>
      <c r="BW674">
        <v>0</v>
      </c>
      <c r="BX674">
        <v>9810</v>
      </c>
      <c r="BY674">
        <v>0</v>
      </c>
      <c r="BZ674">
        <v>0</v>
      </c>
      <c r="CA674">
        <v>0</v>
      </c>
      <c r="CB674">
        <v>0</v>
      </c>
      <c r="CC674">
        <v>0</v>
      </c>
      <c r="CD674">
        <v>0</v>
      </c>
      <c r="CE674" t="s">
        <v>3108</v>
      </c>
      <c r="CF674" t="s">
        <v>3108</v>
      </c>
      <c r="CG674" t="s">
        <v>3108</v>
      </c>
      <c r="CH674" t="s">
        <v>3108</v>
      </c>
    </row>
    <row r="675" spans="1:86" x14ac:dyDescent="0.2">
      <c r="A675" t="s">
        <v>4307</v>
      </c>
      <c r="B675" t="s">
        <v>4307</v>
      </c>
      <c r="C675">
        <v>41096</v>
      </c>
      <c r="D675">
        <v>455</v>
      </c>
      <c r="E675" t="s">
        <v>4072</v>
      </c>
      <c r="F675">
        <v>2000</v>
      </c>
      <c r="G675" t="s">
        <v>408</v>
      </c>
      <c r="H675" t="s">
        <v>4070</v>
      </c>
      <c r="I675" t="s">
        <v>1792</v>
      </c>
      <c r="J675">
        <v>2002</v>
      </c>
      <c r="K675" t="s">
        <v>1792</v>
      </c>
      <c r="L675">
        <v>4400</v>
      </c>
      <c r="M675" t="s">
        <v>988</v>
      </c>
      <c r="N675">
        <v>4404</v>
      </c>
      <c r="O675" t="s">
        <v>2440</v>
      </c>
      <c r="P675" t="s">
        <v>3108</v>
      </c>
      <c r="Q675" t="s">
        <v>3249</v>
      </c>
      <c r="R675" t="s">
        <v>3249</v>
      </c>
      <c r="S675" t="s">
        <v>810</v>
      </c>
      <c r="T675" t="s">
        <v>2754</v>
      </c>
      <c r="U675" t="s">
        <v>3250</v>
      </c>
      <c r="V675" t="s">
        <v>3250</v>
      </c>
      <c r="W675" t="s">
        <v>3250</v>
      </c>
      <c r="X675" t="s">
        <v>3250</v>
      </c>
      <c r="Y675" t="s">
        <v>3250</v>
      </c>
      <c r="Z675" t="s">
        <v>3250</v>
      </c>
      <c r="AA675" t="s">
        <v>3108</v>
      </c>
      <c r="AB675" t="s">
        <v>3108</v>
      </c>
      <c r="AC675" t="s">
        <v>3250</v>
      </c>
      <c r="AD675" t="s">
        <v>3250</v>
      </c>
      <c r="AE675" t="s">
        <v>3250</v>
      </c>
      <c r="AF675" t="s">
        <v>3250</v>
      </c>
      <c r="AG675" t="s">
        <v>3250</v>
      </c>
      <c r="AH675" t="s">
        <v>3250</v>
      </c>
      <c r="AI675" t="s">
        <v>3250</v>
      </c>
      <c r="AJ675" t="s">
        <v>3250</v>
      </c>
      <c r="AL675" t="s">
        <v>3250</v>
      </c>
      <c r="AM675" t="s">
        <v>3250</v>
      </c>
      <c r="AN675" t="s">
        <v>3250</v>
      </c>
      <c r="AO675" t="s">
        <v>3250</v>
      </c>
      <c r="AS675" t="s">
        <v>3250</v>
      </c>
      <c r="AT675" t="s">
        <v>3250</v>
      </c>
      <c r="AU675" t="s">
        <v>3250</v>
      </c>
      <c r="AV675" t="s">
        <v>3250</v>
      </c>
      <c r="AW675" t="s">
        <v>3250</v>
      </c>
      <c r="AX675" t="s">
        <v>3250</v>
      </c>
      <c r="AY675" t="s">
        <v>3250</v>
      </c>
      <c r="AZ675" t="s">
        <v>3250</v>
      </c>
      <c r="BA675" t="s">
        <v>3250</v>
      </c>
      <c r="BB675" t="s">
        <v>3250</v>
      </c>
      <c r="BC675" t="s">
        <v>3250</v>
      </c>
      <c r="BE675" t="s">
        <v>3250</v>
      </c>
      <c r="BF675" t="s">
        <v>3250</v>
      </c>
      <c r="BG675" t="s">
        <v>3250</v>
      </c>
      <c r="BH675" t="s">
        <v>3250</v>
      </c>
      <c r="BI675" t="s">
        <v>3250</v>
      </c>
      <c r="BK675" t="s">
        <v>3250</v>
      </c>
      <c r="BL675" t="s">
        <v>3250</v>
      </c>
      <c r="BM675" t="s">
        <v>3250</v>
      </c>
      <c r="BN675" t="s">
        <v>3250</v>
      </c>
      <c r="BO675" t="s">
        <v>2916</v>
      </c>
      <c r="BP675">
        <v>12</v>
      </c>
      <c r="BQ675">
        <v>122</v>
      </c>
      <c r="BR675" t="s">
        <v>2440</v>
      </c>
      <c r="BS675" t="s">
        <v>941</v>
      </c>
      <c r="BV675">
        <v>0</v>
      </c>
      <c r="BW675">
        <v>0</v>
      </c>
      <c r="BX675">
        <v>0</v>
      </c>
      <c r="BY675">
        <v>0</v>
      </c>
      <c r="BZ675">
        <v>0</v>
      </c>
      <c r="CA675">
        <v>0</v>
      </c>
      <c r="CB675">
        <v>0</v>
      </c>
      <c r="CC675">
        <v>0</v>
      </c>
      <c r="CD675">
        <v>0</v>
      </c>
      <c r="CE675" t="s">
        <v>3108</v>
      </c>
      <c r="CF675" t="s">
        <v>3108</v>
      </c>
      <c r="CG675" t="s">
        <v>3108</v>
      </c>
      <c r="CH675" t="s">
        <v>3108</v>
      </c>
    </row>
    <row r="676" spans="1:86" x14ac:dyDescent="0.2">
      <c r="A676" t="s">
        <v>4308</v>
      </c>
      <c r="B676" t="s">
        <v>4308</v>
      </c>
      <c r="C676">
        <v>41097</v>
      </c>
      <c r="D676">
        <v>456</v>
      </c>
      <c r="E676" t="s">
        <v>4072</v>
      </c>
      <c r="F676">
        <v>2000</v>
      </c>
      <c r="G676" t="s">
        <v>408</v>
      </c>
      <c r="H676" t="s">
        <v>4070</v>
      </c>
      <c r="I676" t="s">
        <v>1792</v>
      </c>
      <c r="J676">
        <v>2002</v>
      </c>
      <c r="K676" t="s">
        <v>1792</v>
      </c>
      <c r="L676">
        <v>2200</v>
      </c>
      <c r="M676" t="s">
        <v>124</v>
      </c>
      <c r="N676">
        <v>2205</v>
      </c>
      <c r="O676" t="s">
        <v>2390</v>
      </c>
      <c r="P676" t="s">
        <v>3108</v>
      </c>
      <c r="Q676" t="s">
        <v>3249</v>
      </c>
      <c r="R676" t="s">
        <v>3249</v>
      </c>
      <c r="S676" t="s">
        <v>810</v>
      </c>
      <c r="T676" t="s">
        <v>2754</v>
      </c>
      <c r="U676" t="s">
        <v>3250</v>
      </c>
      <c r="V676" t="s">
        <v>3250</v>
      </c>
      <c r="W676" t="s">
        <v>3250</v>
      </c>
      <c r="X676" t="s">
        <v>3250</v>
      </c>
      <c r="Y676" t="s">
        <v>3250</v>
      </c>
      <c r="Z676" t="s">
        <v>3250</v>
      </c>
      <c r="AA676" t="s">
        <v>3108</v>
      </c>
      <c r="AB676" t="s">
        <v>3108</v>
      </c>
      <c r="AC676" t="s">
        <v>3250</v>
      </c>
      <c r="AD676" t="s">
        <v>3250</v>
      </c>
      <c r="AE676" t="s">
        <v>3250</v>
      </c>
      <c r="AF676" t="s">
        <v>3250</v>
      </c>
      <c r="AG676" t="s">
        <v>3250</v>
      </c>
      <c r="AH676" t="s">
        <v>3250</v>
      </c>
      <c r="AI676" t="s">
        <v>3250</v>
      </c>
      <c r="AJ676" t="s">
        <v>3250</v>
      </c>
      <c r="AL676" t="s">
        <v>3250</v>
      </c>
      <c r="AM676" t="s">
        <v>3250</v>
      </c>
      <c r="AN676" t="s">
        <v>3250</v>
      </c>
      <c r="AO676" t="s">
        <v>3250</v>
      </c>
      <c r="AS676" t="s">
        <v>3250</v>
      </c>
      <c r="AT676" t="s">
        <v>3250</v>
      </c>
      <c r="AU676" t="s">
        <v>3250</v>
      </c>
      <c r="AV676" t="s">
        <v>3250</v>
      </c>
      <c r="AW676" t="s">
        <v>3250</v>
      </c>
      <c r="AX676" t="s">
        <v>3250</v>
      </c>
      <c r="AY676" t="s">
        <v>3250</v>
      </c>
      <c r="AZ676" t="s">
        <v>3250</v>
      </c>
      <c r="BA676" t="s">
        <v>3250</v>
      </c>
      <c r="BB676" t="s">
        <v>3250</v>
      </c>
      <c r="BC676" t="s">
        <v>3250</v>
      </c>
      <c r="BE676" t="s">
        <v>3250</v>
      </c>
      <c r="BF676" t="s">
        <v>3250</v>
      </c>
      <c r="BG676" t="s">
        <v>3250</v>
      </c>
      <c r="BH676" t="s">
        <v>3250</v>
      </c>
      <c r="BI676" t="s">
        <v>3250</v>
      </c>
      <c r="BK676" t="s">
        <v>3250</v>
      </c>
      <c r="BL676" t="s">
        <v>3250</v>
      </c>
      <c r="BM676" t="s">
        <v>3250</v>
      </c>
      <c r="BN676" t="s">
        <v>3250</v>
      </c>
      <c r="BO676" t="s">
        <v>2916</v>
      </c>
      <c r="BP676">
        <v>9</v>
      </c>
      <c r="BQ676">
        <v>91</v>
      </c>
      <c r="BR676" t="s">
        <v>2390</v>
      </c>
      <c r="BS676" t="s">
        <v>1675</v>
      </c>
      <c r="BV676">
        <v>0</v>
      </c>
      <c r="BW676">
        <v>0</v>
      </c>
      <c r="BX676">
        <v>0</v>
      </c>
      <c r="BY676">
        <v>0</v>
      </c>
      <c r="BZ676">
        <v>0</v>
      </c>
      <c r="CA676">
        <v>0</v>
      </c>
      <c r="CB676">
        <v>0</v>
      </c>
      <c r="CC676">
        <v>0</v>
      </c>
      <c r="CD676">
        <v>0</v>
      </c>
      <c r="CE676" t="s">
        <v>3108</v>
      </c>
      <c r="CF676" t="s">
        <v>3108</v>
      </c>
      <c r="CG676" t="s">
        <v>3108</v>
      </c>
      <c r="CH676" t="s">
        <v>3108</v>
      </c>
    </row>
    <row r="677" spans="1:86" x14ac:dyDescent="0.2">
      <c r="A677" t="s">
        <v>4309</v>
      </c>
      <c r="B677" t="s">
        <v>4309</v>
      </c>
      <c r="C677">
        <v>41098</v>
      </c>
      <c r="D677">
        <v>457</v>
      </c>
      <c r="E677" t="s">
        <v>4072</v>
      </c>
      <c r="F677">
        <v>2000</v>
      </c>
      <c r="G677" t="s">
        <v>408</v>
      </c>
      <c r="H677" t="s">
        <v>4070</v>
      </c>
      <c r="I677" t="s">
        <v>1792</v>
      </c>
      <c r="J677">
        <v>2002</v>
      </c>
      <c r="K677" t="s">
        <v>1792</v>
      </c>
      <c r="L677">
        <v>5000</v>
      </c>
      <c r="M677" t="s">
        <v>245</v>
      </c>
      <c r="N677">
        <v>5006</v>
      </c>
      <c r="O677" t="s">
        <v>533</v>
      </c>
      <c r="P677" t="s">
        <v>3108</v>
      </c>
      <c r="Q677" t="s">
        <v>3249</v>
      </c>
      <c r="R677" t="s">
        <v>3249</v>
      </c>
      <c r="S677" t="s">
        <v>810</v>
      </c>
      <c r="T677" t="s">
        <v>2754</v>
      </c>
      <c r="U677" t="s">
        <v>3250</v>
      </c>
      <c r="V677" t="s">
        <v>3250</v>
      </c>
      <c r="W677" t="s">
        <v>3250</v>
      </c>
      <c r="X677" t="s">
        <v>3250</v>
      </c>
      <c r="Y677" t="s">
        <v>3250</v>
      </c>
      <c r="Z677" t="s">
        <v>3250</v>
      </c>
      <c r="AA677" t="s">
        <v>3108</v>
      </c>
      <c r="AB677" t="s">
        <v>3108</v>
      </c>
      <c r="AC677" t="s">
        <v>3250</v>
      </c>
      <c r="AD677" t="s">
        <v>3250</v>
      </c>
      <c r="AE677" t="s">
        <v>3250</v>
      </c>
      <c r="AF677" t="s">
        <v>3250</v>
      </c>
      <c r="AG677" t="s">
        <v>3250</v>
      </c>
      <c r="AH677" t="s">
        <v>3250</v>
      </c>
      <c r="AI677" t="s">
        <v>3250</v>
      </c>
      <c r="AJ677" t="s">
        <v>3250</v>
      </c>
      <c r="AL677" t="s">
        <v>3250</v>
      </c>
      <c r="AM677" t="s">
        <v>3250</v>
      </c>
      <c r="AN677" t="s">
        <v>3250</v>
      </c>
      <c r="AO677" t="s">
        <v>3250</v>
      </c>
      <c r="AS677" t="s">
        <v>3250</v>
      </c>
      <c r="AT677" t="s">
        <v>3250</v>
      </c>
      <c r="AU677" t="s">
        <v>3250</v>
      </c>
      <c r="AV677" t="s">
        <v>3250</v>
      </c>
      <c r="AW677" t="s">
        <v>3250</v>
      </c>
      <c r="AX677" t="s">
        <v>3250</v>
      </c>
      <c r="AY677" t="s">
        <v>3250</v>
      </c>
      <c r="AZ677" t="s">
        <v>3250</v>
      </c>
      <c r="BA677" t="s">
        <v>3250</v>
      </c>
      <c r="BB677" t="s">
        <v>3250</v>
      </c>
      <c r="BC677" t="s">
        <v>3250</v>
      </c>
      <c r="BE677" t="s">
        <v>3250</v>
      </c>
      <c r="BF677" t="s">
        <v>3250</v>
      </c>
      <c r="BG677" t="s">
        <v>3250</v>
      </c>
      <c r="BH677" t="s">
        <v>3250</v>
      </c>
      <c r="BI677" t="s">
        <v>3250</v>
      </c>
      <c r="BK677" t="s">
        <v>3250</v>
      </c>
      <c r="BL677" t="s">
        <v>3250</v>
      </c>
      <c r="BM677" t="s">
        <v>3250</v>
      </c>
      <c r="BN677" t="s">
        <v>3250</v>
      </c>
      <c r="BO677" t="s">
        <v>2916</v>
      </c>
      <c r="BP677">
        <v>5</v>
      </c>
      <c r="BQ677">
        <v>54</v>
      </c>
      <c r="BR677" t="s">
        <v>533</v>
      </c>
      <c r="BS677" t="s">
        <v>4136</v>
      </c>
      <c r="BV677">
        <v>0</v>
      </c>
      <c r="BW677">
        <v>0</v>
      </c>
      <c r="BX677">
        <v>0</v>
      </c>
      <c r="BY677">
        <v>0</v>
      </c>
      <c r="BZ677">
        <v>0</v>
      </c>
      <c r="CA677">
        <v>0</v>
      </c>
      <c r="CB677">
        <v>0</v>
      </c>
      <c r="CC677">
        <v>0</v>
      </c>
      <c r="CD677">
        <v>2070</v>
      </c>
      <c r="CE677" t="s">
        <v>3108</v>
      </c>
      <c r="CF677" t="s">
        <v>3108</v>
      </c>
      <c r="CG677" t="s">
        <v>3108</v>
      </c>
      <c r="CH677" t="s">
        <v>3108</v>
      </c>
    </row>
    <row r="678" spans="1:86" x14ac:dyDescent="0.2">
      <c r="A678" t="s">
        <v>4310</v>
      </c>
      <c r="B678" t="s">
        <v>4310</v>
      </c>
      <c r="C678">
        <v>41099</v>
      </c>
      <c r="D678">
        <v>458</v>
      </c>
      <c r="E678" t="s">
        <v>4093</v>
      </c>
      <c r="F678">
        <v>2000</v>
      </c>
      <c r="G678" t="s">
        <v>408</v>
      </c>
      <c r="H678" t="s">
        <v>4094</v>
      </c>
      <c r="I678" t="s">
        <v>1135</v>
      </c>
      <c r="J678">
        <v>2001</v>
      </c>
      <c r="K678" t="s">
        <v>1135</v>
      </c>
      <c r="L678">
        <v>4400</v>
      </c>
      <c r="M678" t="s">
        <v>988</v>
      </c>
      <c r="N678">
        <v>4403</v>
      </c>
      <c r="O678" t="s">
        <v>2439</v>
      </c>
      <c r="P678" t="s">
        <v>3108</v>
      </c>
      <c r="Q678" t="s">
        <v>3249</v>
      </c>
      <c r="R678" t="s">
        <v>3249</v>
      </c>
      <c r="S678" t="s">
        <v>810</v>
      </c>
      <c r="T678" t="s">
        <v>2754</v>
      </c>
      <c r="U678" t="s">
        <v>3250</v>
      </c>
      <c r="V678" t="s">
        <v>3250</v>
      </c>
      <c r="W678" t="s">
        <v>3250</v>
      </c>
      <c r="X678" t="s">
        <v>3250</v>
      </c>
      <c r="Y678" t="s">
        <v>3250</v>
      </c>
      <c r="Z678" t="s">
        <v>3250</v>
      </c>
      <c r="AA678" t="s">
        <v>3108</v>
      </c>
      <c r="AB678" t="s">
        <v>3108</v>
      </c>
      <c r="AC678" t="s">
        <v>3250</v>
      </c>
      <c r="AD678" t="s">
        <v>3250</v>
      </c>
      <c r="AE678" t="s">
        <v>3250</v>
      </c>
      <c r="AF678" t="s">
        <v>3250</v>
      </c>
      <c r="AG678" t="s">
        <v>3250</v>
      </c>
      <c r="AH678" t="s">
        <v>3250</v>
      </c>
      <c r="AI678" t="s">
        <v>3250</v>
      </c>
      <c r="AJ678" t="s">
        <v>3250</v>
      </c>
      <c r="AL678" t="s">
        <v>3250</v>
      </c>
      <c r="AM678" t="s">
        <v>3250</v>
      </c>
      <c r="AN678" t="s">
        <v>3250</v>
      </c>
      <c r="AO678" t="s">
        <v>3250</v>
      </c>
      <c r="AS678" t="s">
        <v>3250</v>
      </c>
      <c r="AT678" t="s">
        <v>3250</v>
      </c>
      <c r="AU678" t="s">
        <v>3250</v>
      </c>
      <c r="AV678" t="s">
        <v>3250</v>
      </c>
      <c r="AW678" t="s">
        <v>3250</v>
      </c>
      <c r="AX678" t="s">
        <v>3250</v>
      </c>
      <c r="AY678" t="s">
        <v>3250</v>
      </c>
      <c r="AZ678" t="s">
        <v>3250</v>
      </c>
      <c r="BA678" t="s">
        <v>3250</v>
      </c>
      <c r="BB678" t="s">
        <v>3250</v>
      </c>
      <c r="BC678" t="s">
        <v>3250</v>
      </c>
      <c r="BE678" t="s">
        <v>3250</v>
      </c>
      <c r="BF678" t="s">
        <v>3250</v>
      </c>
      <c r="BG678" t="s">
        <v>3250</v>
      </c>
      <c r="BH678" t="s">
        <v>3250</v>
      </c>
      <c r="BI678" t="s">
        <v>3250</v>
      </c>
      <c r="BK678" t="s">
        <v>3250</v>
      </c>
      <c r="BL678" t="s">
        <v>3250</v>
      </c>
      <c r="BM678" t="s">
        <v>3250</v>
      </c>
      <c r="BN678" t="s">
        <v>3250</v>
      </c>
      <c r="BO678" t="s">
        <v>2916</v>
      </c>
      <c r="BP678">
        <v>12</v>
      </c>
      <c r="BQ678">
        <v>121</v>
      </c>
      <c r="BR678" t="s">
        <v>2439</v>
      </c>
      <c r="BS678" t="s">
        <v>941</v>
      </c>
      <c r="BV678">
        <v>1962055</v>
      </c>
      <c r="BW678">
        <v>1307470</v>
      </c>
      <c r="BX678">
        <v>998122</v>
      </c>
      <c r="BY678">
        <v>1000000</v>
      </c>
      <c r="BZ678">
        <v>1000000</v>
      </c>
      <c r="CA678">
        <v>1900000</v>
      </c>
      <c r="CB678">
        <v>1144900</v>
      </c>
      <c r="CC678">
        <v>1225043</v>
      </c>
      <c r="CD678">
        <v>1166898</v>
      </c>
      <c r="CE678" t="s">
        <v>3108</v>
      </c>
      <c r="CF678" t="s">
        <v>3108</v>
      </c>
      <c r="CG678" t="s">
        <v>3108</v>
      </c>
      <c r="CH678" t="s">
        <v>3108</v>
      </c>
    </row>
    <row r="679" spans="1:86" x14ac:dyDescent="0.2">
      <c r="A679" t="s">
        <v>4311</v>
      </c>
      <c r="B679" t="s">
        <v>4311</v>
      </c>
      <c r="C679">
        <v>41100</v>
      </c>
      <c r="D679">
        <v>459</v>
      </c>
      <c r="E679" t="s">
        <v>4093</v>
      </c>
      <c r="F679">
        <v>2000</v>
      </c>
      <c r="G679" t="s">
        <v>408</v>
      </c>
      <c r="H679" t="s">
        <v>4094</v>
      </c>
      <c r="I679" t="s">
        <v>1135</v>
      </c>
      <c r="J679">
        <v>2001</v>
      </c>
      <c r="K679" t="s">
        <v>1135</v>
      </c>
      <c r="L679">
        <v>4400</v>
      </c>
      <c r="M679" t="s">
        <v>988</v>
      </c>
      <c r="N679">
        <v>4404</v>
      </c>
      <c r="O679" t="s">
        <v>2440</v>
      </c>
      <c r="P679" t="s">
        <v>3108</v>
      </c>
      <c r="Q679" t="s">
        <v>3249</v>
      </c>
      <c r="R679" t="s">
        <v>3249</v>
      </c>
      <c r="S679" t="s">
        <v>810</v>
      </c>
      <c r="T679" t="s">
        <v>2754</v>
      </c>
      <c r="U679" t="s">
        <v>3250</v>
      </c>
      <c r="V679" t="s">
        <v>3250</v>
      </c>
      <c r="W679" t="s">
        <v>3250</v>
      </c>
      <c r="X679" t="s">
        <v>3250</v>
      </c>
      <c r="Y679" t="s">
        <v>3250</v>
      </c>
      <c r="Z679" t="s">
        <v>3250</v>
      </c>
      <c r="AA679" t="s">
        <v>3108</v>
      </c>
      <c r="AB679" t="s">
        <v>3108</v>
      </c>
      <c r="AC679" t="s">
        <v>3250</v>
      </c>
      <c r="AD679" t="s">
        <v>3250</v>
      </c>
      <c r="AE679" t="s">
        <v>3250</v>
      </c>
      <c r="AF679" t="s">
        <v>3250</v>
      </c>
      <c r="AG679" t="s">
        <v>3250</v>
      </c>
      <c r="AH679" t="s">
        <v>3250</v>
      </c>
      <c r="AI679" t="s">
        <v>3250</v>
      </c>
      <c r="AJ679" t="s">
        <v>3250</v>
      </c>
      <c r="AL679" t="s">
        <v>3250</v>
      </c>
      <c r="AM679" t="s">
        <v>3250</v>
      </c>
      <c r="AN679" t="s">
        <v>3250</v>
      </c>
      <c r="AO679" t="s">
        <v>3250</v>
      </c>
      <c r="AS679" t="s">
        <v>3250</v>
      </c>
      <c r="AT679" t="s">
        <v>3250</v>
      </c>
      <c r="AU679" t="s">
        <v>3250</v>
      </c>
      <c r="AV679" t="s">
        <v>3250</v>
      </c>
      <c r="AW679" t="s">
        <v>3250</v>
      </c>
      <c r="AX679" t="s">
        <v>3250</v>
      </c>
      <c r="AY679" t="s">
        <v>3250</v>
      </c>
      <c r="AZ679" t="s">
        <v>3250</v>
      </c>
      <c r="BA679" t="s">
        <v>3250</v>
      </c>
      <c r="BB679" t="s">
        <v>3250</v>
      </c>
      <c r="BC679" t="s">
        <v>3250</v>
      </c>
      <c r="BE679" t="s">
        <v>3250</v>
      </c>
      <c r="BF679" t="s">
        <v>3250</v>
      </c>
      <c r="BG679" t="s">
        <v>3250</v>
      </c>
      <c r="BH679" t="s">
        <v>3250</v>
      </c>
      <c r="BI679" t="s">
        <v>3250</v>
      </c>
      <c r="BK679" t="s">
        <v>3250</v>
      </c>
      <c r="BL679" t="s">
        <v>3250</v>
      </c>
      <c r="BM679" t="s">
        <v>3250</v>
      </c>
      <c r="BN679" t="s">
        <v>3250</v>
      </c>
      <c r="BO679" t="s">
        <v>2916</v>
      </c>
      <c r="BP679">
        <v>12</v>
      </c>
      <c r="BQ679">
        <v>122</v>
      </c>
      <c r="BR679" t="s">
        <v>2440</v>
      </c>
      <c r="BS679" t="s">
        <v>941</v>
      </c>
      <c r="BV679">
        <v>0</v>
      </c>
      <c r="BW679">
        <v>3095</v>
      </c>
      <c r="BX679">
        <v>-33814</v>
      </c>
      <c r="BY679">
        <v>0</v>
      </c>
      <c r="BZ679">
        <v>0</v>
      </c>
      <c r="CA679">
        <v>0</v>
      </c>
      <c r="CB679">
        <v>0</v>
      </c>
      <c r="CC679">
        <v>0</v>
      </c>
      <c r="CD679">
        <v>0</v>
      </c>
      <c r="CE679" t="s">
        <v>3108</v>
      </c>
      <c r="CF679" t="s">
        <v>3108</v>
      </c>
      <c r="CG679" t="s">
        <v>3108</v>
      </c>
      <c r="CH679" t="s">
        <v>3108</v>
      </c>
    </row>
    <row r="680" spans="1:86" x14ac:dyDescent="0.2">
      <c r="A680" t="s">
        <v>4312</v>
      </c>
      <c r="B680" t="s">
        <v>4312</v>
      </c>
      <c r="C680">
        <v>41101</v>
      </c>
      <c r="D680">
        <v>460</v>
      </c>
      <c r="E680" t="s">
        <v>4093</v>
      </c>
      <c r="F680">
        <v>2000</v>
      </c>
      <c r="G680" t="s">
        <v>408</v>
      </c>
      <c r="H680" t="s">
        <v>4094</v>
      </c>
      <c r="I680" t="s">
        <v>1135</v>
      </c>
      <c r="J680">
        <v>2001</v>
      </c>
      <c r="K680" t="s">
        <v>1135</v>
      </c>
      <c r="L680">
        <v>2200</v>
      </c>
      <c r="M680" t="s">
        <v>124</v>
      </c>
      <c r="N680">
        <v>2205</v>
      </c>
      <c r="O680" t="s">
        <v>2390</v>
      </c>
      <c r="P680" t="s">
        <v>3108</v>
      </c>
      <c r="Q680" t="s">
        <v>3249</v>
      </c>
      <c r="R680" t="s">
        <v>3249</v>
      </c>
      <c r="S680" t="s">
        <v>810</v>
      </c>
      <c r="T680" t="s">
        <v>2754</v>
      </c>
      <c r="U680" t="s">
        <v>3250</v>
      </c>
      <c r="V680" t="s">
        <v>3250</v>
      </c>
      <c r="W680" t="s">
        <v>3250</v>
      </c>
      <c r="X680" t="s">
        <v>3250</v>
      </c>
      <c r="Y680" t="s">
        <v>3250</v>
      </c>
      <c r="Z680" t="s">
        <v>3250</v>
      </c>
      <c r="AA680" t="s">
        <v>3108</v>
      </c>
      <c r="AB680" t="s">
        <v>3108</v>
      </c>
      <c r="AC680" t="s">
        <v>3250</v>
      </c>
      <c r="AD680" t="s">
        <v>3250</v>
      </c>
      <c r="AE680" t="s">
        <v>3250</v>
      </c>
      <c r="AF680" t="s">
        <v>3250</v>
      </c>
      <c r="AG680" t="s">
        <v>3250</v>
      </c>
      <c r="AH680" t="s">
        <v>3250</v>
      </c>
      <c r="AI680" t="s">
        <v>3250</v>
      </c>
      <c r="AJ680" t="s">
        <v>3250</v>
      </c>
      <c r="AL680" t="s">
        <v>3250</v>
      </c>
      <c r="AM680" t="s">
        <v>3250</v>
      </c>
      <c r="AN680" t="s">
        <v>3250</v>
      </c>
      <c r="AO680" t="s">
        <v>3250</v>
      </c>
      <c r="AS680" t="s">
        <v>3250</v>
      </c>
      <c r="AT680" t="s">
        <v>3250</v>
      </c>
      <c r="AU680" t="s">
        <v>3250</v>
      </c>
      <c r="AV680" t="s">
        <v>3250</v>
      </c>
      <c r="AW680" t="s">
        <v>3250</v>
      </c>
      <c r="AX680" t="s">
        <v>3250</v>
      </c>
      <c r="AY680" t="s">
        <v>3250</v>
      </c>
      <c r="AZ680" t="s">
        <v>3250</v>
      </c>
      <c r="BA680" t="s">
        <v>3250</v>
      </c>
      <c r="BB680" t="s">
        <v>3250</v>
      </c>
      <c r="BC680" t="s">
        <v>3250</v>
      </c>
      <c r="BE680" t="s">
        <v>3250</v>
      </c>
      <c r="BF680" t="s">
        <v>3250</v>
      </c>
      <c r="BG680" t="s">
        <v>3250</v>
      </c>
      <c r="BH680" t="s">
        <v>3250</v>
      </c>
      <c r="BI680" t="s">
        <v>3250</v>
      </c>
      <c r="BK680" t="s">
        <v>3250</v>
      </c>
      <c r="BL680" t="s">
        <v>3250</v>
      </c>
      <c r="BM680" t="s">
        <v>3250</v>
      </c>
      <c r="BN680" t="s">
        <v>3250</v>
      </c>
      <c r="BO680" t="s">
        <v>2916</v>
      </c>
      <c r="BP680">
        <v>9</v>
      </c>
      <c r="BQ680">
        <v>91</v>
      </c>
      <c r="BR680" t="s">
        <v>2390</v>
      </c>
      <c r="BS680" t="s">
        <v>1675</v>
      </c>
      <c r="BV680">
        <v>0</v>
      </c>
      <c r="BW680">
        <v>0</v>
      </c>
      <c r="BX680">
        <v>0</v>
      </c>
      <c r="BY680">
        <v>0</v>
      </c>
      <c r="BZ680">
        <v>0</v>
      </c>
      <c r="CA680">
        <v>0</v>
      </c>
      <c r="CB680">
        <v>0</v>
      </c>
      <c r="CC680">
        <v>0</v>
      </c>
      <c r="CD680">
        <v>0</v>
      </c>
      <c r="CE680" t="s">
        <v>3108</v>
      </c>
      <c r="CF680" t="s">
        <v>3108</v>
      </c>
      <c r="CG680" t="s">
        <v>3108</v>
      </c>
      <c r="CH680" t="s">
        <v>3108</v>
      </c>
    </row>
    <row r="681" spans="1:86" x14ac:dyDescent="0.2">
      <c r="A681" t="s">
        <v>4313</v>
      </c>
      <c r="B681" t="s">
        <v>4313</v>
      </c>
      <c r="C681">
        <v>41102</v>
      </c>
      <c r="D681">
        <v>461</v>
      </c>
      <c r="E681" t="s">
        <v>4093</v>
      </c>
      <c r="F681">
        <v>2000</v>
      </c>
      <c r="G681" t="s">
        <v>408</v>
      </c>
      <c r="H681" t="s">
        <v>4094</v>
      </c>
      <c r="I681" t="s">
        <v>1135</v>
      </c>
      <c r="J681">
        <v>2001</v>
      </c>
      <c r="K681" t="s">
        <v>1135</v>
      </c>
      <c r="L681">
        <v>5000</v>
      </c>
      <c r="M681" t="s">
        <v>245</v>
      </c>
      <c r="N681">
        <v>5006</v>
      </c>
      <c r="O681" t="s">
        <v>533</v>
      </c>
      <c r="P681" t="s">
        <v>3108</v>
      </c>
      <c r="Q681" t="s">
        <v>3249</v>
      </c>
      <c r="R681" t="s">
        <v>3249</v>
      </c>
      <c r="S681" t="s">
        <v>810</v>
      </c>
      <c r="T681" t="s">
        <v>2754</v>
      </c>
      <c r="U681" t="s">
        <v>3250</v>
      </c>
      <c r="V681" t="s">
        <v>3250</v>
      </c>
      <c r="W681" t="s">
        <v>3250</v>
      </c>
      <c r="X681" t="s">
        <v>3250</v>
      </c>
      <c r="Y681" t="s">
        <v>3250</v>
      </c>
      <c r="Z681" t="s">
        <v>3250</v>
      </c>
      <c r="AA681" t="s">
        <v>3108</v>
      </c>
      <c r="AB681" t="s">
        <v>3108</v>
      </c>
      <c r="AC681" t="s">
        <v>3250</v>
      </c>
      <c r="AD681" t="s">
        <v>3250</v>
      </c>
      <c r="AE681" t="s">
        <v>3250</v>
      </c>
      <c r="AF681" t="s">
        <v>3250</v>
      </c>
      <c r="AG681" t="s">
        <v>3250</v>
      </c>
      <c r="AH681" t="s">
        <v>3250</v>
      </c>
      <c r="AI681" t="s">
        <v>3250</v>
      </c>
      <c r="AJ681" t="s">
        <v>3250</v>
      </c>
      <c r="AL681" t="s">
        <v>3250</v>
      </c>
      <c r="AM681" t="s">
        <v>3250</v>
      </c>
      <c r="AN681" t="s">
        <v>3250</v>
      </c>
      <c r="AO681" t="s">
        <v>3250</v>
      </c>
      <c r="AS681" t="s">
        <v>3250</v>
      </c>
      <c r="AT681" t="s">
        <v>3250</v>
      </c>
      <c r="AU681" t="s">
        <v>3250</v>
      </c>
      <c r="AV681" t="s">
        <v>3250</v>
      </c>
      <c r="AW681" t="s">
        <v>3250</v>
      </c>
      <c r="AX681" t="s">
        <v>3250</v>
      </c>
      <c r="AY681" t="s">
        <v>3250</v>
      </c>
      <c r="AZ681" t="s">
        <v>3250</v>
      </c>
      <c r="BA681" t="s">
        <v>3250</v>
      </c>
      <c r="BB681" t="s">
        <v>3250</v>
      </c>
      <c r="BC681" t="s">
        <v>3250</v>
      </c>
      <c r="BE681" t="s">
        <v>3250</v>
      </c>
      <c r="BF681" t="s">
        <v>3250</v>
      </c>
      <c r="BG681" t="s">
        <v>3250</v>
      </c>
      <c r="BH681" t="s">
        <v>3250</v>
      </c>
      <c r="BI681" t="s">
        <v>3250</v>
      </c>
      <c r="BK681" t="s">
        <v>3250</v>
      </c>
      <c r="BL681" t="s">
        <v>3250</v>
      </c>
      <c r="BM681" t="s">
        <v>3250</v>
      </c>
      <c r="BN681" t="s">
        <v>3250</v>
      </c>
      <c r="BO681" t="s">
        <v>2916</v>
      </c>
      <c r="BP681">
        <v>5</v>
      </c>
      <c r="BQ681">
        <v>54</v>
      </c>
      <c r="BR681" t="s">
        <v>533</v>
      </c>
      <c r="BS681" t="s">
        <v>4136</v>
      </c>
      <c r="BV681">
        <v>0</v>
      </c>
      <c r="BW681">
        <v>5845</v>
      </c>
      <c r="BX681">
        <v>-10474</v>
      </c>
      <c r="BY681">
        <v>0</v>
      </c>
      <c r="BZ681">
        <v>0</v>
      </c>
      <c r="CA681">
        <v>0</v>
      </c>
      <c r="CB681">
        <v>0</v>
      </c>
      <c r="CC681">
        <v>0</v>
      </c>
      <c r="CD681">
        <v>331179</v>
      </c>
      <c r="CE681" t="s">
        <v>3108</v>
      </c>
      <c r="CF681" t="s">
        <v>3108</v>
      </c>
      <c r="CG681" t="s">
        <v>3108</v>
      </c>
      <c r="CH681" t="s">
        <v>3108</v>
      </c>
    </row>
    <row r="682" spans="1:86" x14ac:dyDescent="0.2">
      <c r="A682" t="s">
        <v>4314</v>
      </c>
      <c r="B682" t="s">
        <v>4314</v>
      </c>
      <c r="C682">
        <v>41106</v>
      </c>
      <c r="D682">
        <v>462</v>
      </c>
      <c r="E682" t="s">
        <v>4315</v>
      </c>
      <c r="F682">
        <v>2700</v>
      </c>
      <c r="G682" t="s">
        <v>411</v>
      </c>
      <c r="H682" t="s">
        <v>4004</v>
      </c>
      <c r="I682" t="s">
        <v>2531</v>
      </c>
      <c r="J682">
        <v>2701</v>
      </c>
      <c r="K682" t="s">
        <v>2531</v>
      </c>
      <c r="L682">
        <v>5000</v>
      </c>
      <c r="M682" t="s">
        <v>245</v>
      </c>
      <c r="N682">
        <v>5006</v>
      </c>
      <c r="O682" t="s">
        <v>533</v>
      </c>
      <c r="P682" t="s">
        <v>3108</v>
      </c>
      <c r="Q682" t="s">
        <v>3249</v>
      </c>
      <c r="R682" t="s">
        <v>3249</v>
      </c>
      <c r="S682" t="s">
        <v>810</v>
      </c>
      <c r="T682" t="s">
        <v>2754</v>
      </c>
      <c r="U682" t="s">
        <v>3250</v>
      </c>
      <c r="V682" t="s">
        <v>3250</v>
      </c>
      <c r="W682" t="s">
        <v>3250</v>
      </c>
      <c r="X682" t="s">
        <v>3250</v>
      </c>
      <c r="Y682" t="s">
        <v>3250</v>
      </c>
      <c r="Z682" t="s">
        <v>3250</v>
      </c>
      <c r="AA682" t="s">
        <v>3108</v>
      </c>
      <c r="AB682" t="s">
        <v>3108</v>
      </c>
      <c r="AC682" t="s">
        <v>3250</v>
      </c>
      <c r="AD682" t="s">
        <v>3250</v>
      </c>
      <c r="AE682" t="s">
        <v>3250</v>
      </c>
      <c r="AF682" t="s">
        <v>3250</v>
      </c>
      <c r="AG682" t="s">
        <v>3250</v>
      </c>
      <c r="AH682" t="s">
        <v>3250</v>
      </c>
      <c r="AI682" t="s">
        <v>3250</v>
      </c>
      <c r="AJ682" t="s">
        <v>3250</v>
      </c>
      <c r="AL682" t="s">
        <v>3250</v>
      </c>
      <c r="AM682" t="s">
        <v>3250</v>
      </c>
      <c r="AN682" t="s">
        <v>3250</v>
      </c>
      <c r="AO682" t="s">
        <v>3250</v>
      </c>
      <c r="AS682" t="s">
        <v>3250</v>
      </c>
      <c r="AT682" t="s">
        <v>3250</v>
      </c>
      <c r="AU682" t="s">
        <v>3250</v>
      </c>
      <c r="AV682" t="s">
        <v>3250</v>
      </c>
      <c r="AW682" t="s">
        <v>3250</v>
      </c>
      <c r="AX682" t="s">
        <v>3250</v>
      </c>
      <c r="AY682" t="s">
        <v>3250</v>
      </c>
      <c r="AZ682" t="s">
        <v>3250</v>
      </c>
      <c r="BA682" t="s">
        <v>3250</v>
      </c>
      <c r="BB682" t="s">
        <v>3250</v>
      </c>
      <c r="BC682" t="s">
        <v>3250</v>
      </c>
      <c r="BE682" t="s">
        <v>3250</v>
      </c>
      <c r="BF682" t="s">
        <v>3250</v>
      </c>
      <c r="BG682" t="s">
        <v>3250</v>
      </c>
      <c r="BH682" t="s">
        <v>3250</v>
      </c>
      <c r="BI682" t="s">
        <v>3250</v>
      </c>
      <c r="BK682" t="s">
        <v>3250</v>
      </c>
      <c r="BL682" t="s">
        <v>3250</v>
      </c>
      <c r="BM682" t="s">
        <v>3250</v>
      </c>
      <c r="BN682" t="s">
        <v>3250</v>
      </c>
      <c r="BP682">
        <v>5</v>
      </c>
      <c r="BQ682">
        <v>54</v>
      </c>
      <c r="BR682" t="s">
        <v>533</v>
      </c>
      <c r="BS682" t="s">
        <v>4136</v>
      </c>
      <c r="BV682">
        <v>0</v>
      </c>
      <c r="BW682">
        <v>0</v>
      </c>
      <c r="BX682">
        <v>0</v>
      </c>
      <c r="BY682">
        <v>0</v>
      </c>
      <c r="BZ682">
        <v>0</v>
      </c>
      <c r="CA682">
        <v>0</v>
      </c>
      <c r="CB682">
        <v>0</v>
      </c>
      <c r="CC682">
        <v>0</v>
      </c>
      <c r="CD682">
        <v>0</v>
      </c>
      <c r="CE682" t="s">
        <v>3108</v>
      </c>
      <c r="CF682" t="s">
        <v>3108</v>
      </c>
      <c r="CG682" t="s">
        <v>3108</v>
      </c>
      <c r="CH682" t="s">
        <v>3108</v>
      </c>
    </row>
    <row r="683" spans="1:86" x14ac:dyDescent="0.2">
      <c r="A683" t="s">
        <v>4316</v>
      </c>
      <c r="B683" t="s">
        <v>4316</v>
      </c>
      <c r="C683">
        <v>41107</v>
      </c>
      <c r="D683">
        <v>463</v>
      </c>
      <c r="E683" t="s">
        <v>4006</v>
      </c>
      <c r="F683">
        <v>2700</v>
      </c>
      <c r="G683" t="s">
        <v>411</v>
      </c>
      <c r="H683" t="s">
        <v>4004</v>
      </c>
      <c r="I683" t="s">
        <v>2531</v>
      </c>
      <c r="J683">
        <v>2701</v>
      </c>
      <c r="K683" t="s">
        <v>2531</v>
      </c>
      <c r="L683">
        <v>4400</v>
      </c>
      <c r="M683" t="s">
        <v>988</v>
      </c>
      <c r="N683">
        <v>4403</v>
      </c>
      <c r="O683" t="s">
        <v>2439</v>
      </c>
      <c r="P683" t="s">
        <v>3108</v>
      </c>
      <c r="Q683" t="s">
        <v>3249</v>
      </c>
      <c r="R683" t="s">
        <v>3249</v>
      </c>
      <c r="S683" t="s">
        <v>810</v>
      </c>
      <c r="T683" t="s">
        <v>2754</v>
      </c>
      <c r="U683" t="s">
        <v>3250</v>
      </c>
      <c r="V683" t="s">
        <v>3250</v>
      </c>
      <c r="W683" t="s">
        <v>3250</v>
      </c>
      <c r="X683" t="s">
        <v>3250</v>
      </c>
      <c r="Y683" t="s">
        <v>3250</v>
      </c>
      <c r="Z683" t="s">
        <v>3250</v>
      </c>
      <c r="AA683" t="s">
        <v>3108</v>
      </c>
      <c r="AB683" t="s">
        <v>3108</v>
      </c>
      <c r="AC683" t="s">
        <v>3250</v>
      </c>
      <c r="AD683" t="s">
        <v>3250</v>
      </c>
      <c r="AE683" t="s">
        <v>3250</v>
      </c>
      <c r="AF683" t="s">
        <v>3250</v>
      </c>
      <c r="AG683" t="s">
        <v>3250</v>
      </c>
      <c r="AH683" t="s">
        <v>3250</v>
      </c>
      <c r="AI683" t="s">
        <v>3250</v>
      </c>
      <c r="AJ683" t="s">
        <v>3250</v>
      </c>
      <c r="AL683" t="s">
        <v>3250</v>
      </c>
      <c r="AM683" t="s">
        <v>3250</v>
      </c>
      <c r="AN683" t="s">
        <v>3250</v>
      </c>
      <c r="AO683" t="s">
        <v>3250</v>
      </c>
      <c r="AS683" t="s">
        <v>3250</v>
      </c>
      <c r="AT683" t="s">
        <v>3250</v>
      </c>
      <c r="AU683" t="s">
        <v>3250</v>
      </c>
      <c r="AV683" t="s">
        <v>3250</v>
      </c>
      <c r="AW683" t="s">
        <v>3250</v>
      </c>
      <c r="AX683" t="s">
        <v>3250</v>
      </c>
      <c r="AY683" t="s">
        <v>3250</v>
      </c>
      <c r="AZ683" t="s">
        <v>3250</v>
      </c>
      <c r="BA683" t="s">
        <v>3250</v>
      </c>
      <c r="BB683" t="s">
        <v>3250</v>
      </c>
      <c r="BC683" t="s">
        <v>3250</v>
      </c>
      <c r="BE683" t="s">
        <v>3250</v>
      </c>
      <c r="BF683" t="s">
        <v>3250</v>
      </c>
      <c r="BG683" t="s">
        <v>3250</v>
      </c>
      <c r="BH683" t="s">
        <v>3250</v>
      </c>
      <c r="BI683" t="s">
        <v>3250</v>
      </c>
      <c r="BK683" t="s">
        <v>3250</v>
      </c>
      <c r="BL683" t="s">
        <v>3250</v>
      </c>
      <c r="BM683" t="s">
        <v>3250</v>
      </c>
      <c r="BN683" t="s">
        <v>3250</v>
      </c>
      <c r="BP683">
        <v>12</v>
      </c>
      <c r="BQ683">
        <v>121</v>
      </c>
      <c r="BR683" t="s">
        <v>2439</v>
      </c>
      <c r="BS683" t="s">
        <v>941</v>
      </c>
      <c r="BV683">
        <v>0</v>
      </c>
      <c r="BW683">
        <v>0</v>
      </c>
      <c r="BX683">
        <v>0</v>
      </c>
      <c r="BY683">
        <v>0</v>
      </c>
      <c r="BZ683">
        <v>0</v>
      </c>
      <c r="CA683">
        <v>0</v>
      </c>
      <c r="CB683">
        <v>0</v>
      </c>
      <c r="CC683">
        <v>0</v>
      </c>
      <c r="CD683">
        <v>5500</v>
      </c>
      <c r="CE683" t="s">
        <v>3108</v>
      </c>
      <c r="CF683" t="s">
        <v>3108</v>
      </c>
      <c r="CG683" t="s">
        <v>3108</v>
      </c>
      <c r="CH683" t="s">
        <v>3108</v>
      </c>
    </row>
    <row r="684" spans="1:86" x14ac:dyDescent="0.2">
      <c r="A684" t="s">
        <v>4317</v>
      </c>
      <c r="B684" t="s">
        <v>4317</v>
      </c>
      <c r="C684">
        <v>41111</v>
      </c>
      <c r="D684">
        <v>464</v>
      </c>
      <c r="E684" t="s">
        <v>4003</v>
      </c>
      <c r="F684">
        <v>2700</v>
      </c>
      <c r="G684" t="s">
        <v>411</v>
      </c>
      <c r="H684" t="s">
        <v>4004</v>
      </c>
      <c r="I684" t="s">
        <v>2531</v>
      </c>
      <c r="J684">
        <v>2701</v>
      </c>
      <c r="K684" t="s">
        <v>2531</v>
      </c>
      <c r="L684">
        <v>4400</v>
      </c>
      <c r="M684" t="s">
        <v>988</v>
      </c>
      <c r="N684">
        <v>4403</v>
      </c>
      <c r="O684" t="s">
        <v>2439</v>
      </c>
      <c r="P684" t="s">
        <v>3108</v>
      </c>
      <c r="Q684" t="s">
        <v>3249</v>
      </c>
      <c r="R684" t="s">
        <v>3249</v>
      </c>
      <c r="S684" t="s">
        <v>810</v>
      </c>
      <c r="T684" t="s">
        <v>2754</v>
      </c>
      <c r="U684" t="s">
        <v>3250</v>
      </c>
      <c r="V684" t="s">
        <v>3250</v>
      </c>
      <c r="W684" t="s">
        <v>3250</v>
      </c>
      <c r="X684" t="s">
        <v>3250</v>
      </c>
      <c r="Y684" t="s">
        <v>3250</v>
      </c>
      <c r="Z684" t="s">
        <v>3250</v>
      </c>
      <c r="AA684" t="s">
        <v>3108</v>
      </c>
      <c r="AB684" t="s">
        <v>3108</v>
      </c>
      <c r="AC684" t="s">
        <v>3250</v>
      </c>
      <c r="AD684" t="s">
        <v>3250</v>
      </c>
      <c r="AE684" t="s">
        <v>3250</v>
      </c>
      <c r="AF684" t="s">
        <v>3250</v>
      </c>
      <c r="AG684" t="s">
        <v>3250</v>
      </c>
      <c r="AH684" t="s">
        <v>3250</v>
      </c>
      <c r="AI684" t="s">
        <v>3250</v>
      </c>
      <c r="AJ684" t="s">
        <v>3250</v>
      </c>
      <c r="AL684" t="s">
        <v>3250</v>
      </c>
      <c r="AM684" t="s">
        <v>3250</v>
      </c>
      <c r="AN684" t="s">
        <v>3250</v>
      </c>
      <c r="AO684" t="s">
        <v>3250</v>
      </c>
      <c r="AS684" t="s">
        <v>3250</v>
      </c>
      <c r="AT684" t="s">
        <v>3250</v>
      </c>
      <c r="AU684" t="s">
        <v>3250</v>
      </c>
      <c r="AV684" t="s">
        <v>3250</v>
      </c>
      <c r="AW684" t="s">
        <v>3250</v>
      </c>
      <c r="AX684" t="s">
        <v>3250</v>
      </c>
      <c r="AY684" t="s">
        <v>3250</v>
      </c>
      <c r="AZ684" t="s">
        <v>3250</v>
      </c>
      <c r="BA684" t="s">
        <v>3250</v>
      </c>
      <c r="BB684" t="s">
        <v>3250</v>
      </c>
      <c r="BC684" t="s">
        <v>3250</v>
      </c>
      <c r="BE684" t="s">
        <v>3250</v>
      </c>
      <c r="BF684" t="s">
        <v>3250</v>
      </c>
      <c r="BG684" t="s">
        <v>3250</v>
      </c>
      <c r="BH684" t="s">
        <v>3250</v>
      </c>
      <c r="BI684" t="s">
        <v>3250</v>
      </c>
      <c r="BK684" t="s">
        <v>3250</v>
      </c>
      <c r="BL684" t="s">
        <v>3250</v>
      </c>
      <c r="BM684" t="s">
        <v>3250</v>
      </c>
      <c r="BN684" t="s">
        <v>3250</v>
      </c>
      <c r="BP684">
        <v>12</v>
      </c>
      <c r="BQ684">
        <v>121</v>
      </c>
      <c r="BR684" t="s">
        <v>2439</v>
      </c>
      <c r="BS684" t="s">
        <v>941</v>
      </c>
      <c r="BV684">
        <v>0</v>
      </c>
      <c r="BW684">
        <v>3000</v>
      </c>
      <c r="BX684">
        <v>0</v>
      </c>
      <c r="BY684">
        <v>0</v>
      </c>
      <c r="BZ684">
        <v>0</v>
      </c>
      <c r="CA684">
        <v>0</v>
      </c>
      <c r="CB684">
        <v>0</v>
      </c>
      <c r="CC684">
        <v>0</v>
      </c>
      <c r="CD684">
        <v>0</v>
      </c>
      <c r="CE684" t="s">
        <v>3108</v>
      </c>
      <c r="CF684" t="s">
        <v>3108</v>
      </c>
      <c r="CG684" t="s">
        <v>3108</v>
      </c>
      <c r="CH684" t="s">
        <v>3108</v>
      </c>
    </row>
    <row r="685" spans="1:86" x14ac:dyDescent="0.2">
      <c r="A685" t="s">
        <v>4318</v>
      </c>
      <c r="B685" t="s">
        <v>4318</v>
      </c>
      <c r="C685">
        <v>41115</v>
      </c>
      <c r="D685">
        <v>465</v>
      </c>
      <c r="E685" t="s">
        <v>4178</v>
      </c>
      <c r="F685">
        <v>2700</v>
      </c>
      <c r="G685" t="s">
        <v>411</v>
      </c>
      <c r="H685" t="s">
        <v>3997</v>
      </c>
      <c r="I685" t="s">
        <v>2533</v>
      </c>
      <c r="J685">
        <v>2703</v>
      </c>
      <c r="K685" t="s">
        <v>2533</v>
      </c>
      <c r="L685">
        <v>4400</v>
      </c>
      <c r="M685" t="s">
        <v>988</v>
      </c>
      <c r="N685">
        <v>4403</v>
      </c>
      <c r="O685" t="s">
        <v>2439</v>
      </c>
      <c r="P685" t="s">
        <v>3108</v>
      </c>
      <c r="Q685" t="s">
        <v>3249</v>
      </c>
      <c r="R685" t="s">
        <v>3249</v>
      </c>
      <c r="S685" t="s">
        <v>810</v>
      </c>
      <c r="T685" t="s">
        <v>2754</v>
      </c>
      <c r="U685" t="s">
        <v>3250</v>
      </c>
      <c r="V685" t="s">
        <v>3250</v>
      </c>
      <c r="W685" t="s">
        <v>3250</v>
      </c>
      <c r="X685" t="s">
        <v>3250</v>
      </c>
      <c r="Y685" t="s">
        <v>3250</v>
      </c>
      <c r="Z685" t="s">
        <v>3250</v>
      </c>
      <c r="AA685" t="s">
        <v>3108</v>
      </c>
      <c r="AB685" t="s">
        <v>3108</v>
      </c>
      <c r="AC685" t="s">
        <v>3250</v>
      </c>
      <c r="AD685" t="s">
        <v>3250</v>
      </c>
      <c r="AE685" t="s">
        <v>3250</v>
      </c>
      <c r="AF685" t="s">
        <v>3250</v>
      </c>
      <c r="AG685" t="s">
        <v>3250</v>
      </c>
      <c r="AH685" t="s">
        <v>3250</v>
      </c>
      <c r="AI685" t="s">
        <v>3250</v>
      </c>
      <c r="AJ685" t="s">
        <v>3250</v>
      </c>
      <c r="AL685" t="s">
        <v>3250</v>
      </c>
      <c r="AM685" t="s">
        <v>3250</v>
      </c>
      <c r="AN685" t="s">
        <v>3250</v>
      </c>
      <c r="AO685" t="s">
        <v>3250</v>
      </c>
      <c r="AS685" t="s">
        <v>3250</v>
      </c>
      <c r="AT685" t="s">
        <v>3250</v>
      </c>
      <c r="AU685" t="s">
        <v>3250</v>
      </c>
      <c r="AV685" t="s">
        <v>3250</v>
      </c>
      <c r="AW685" t="s">
        <v>3250</v>
      </c>
      <c r="AX685" t="s">
        <v>3250</v>
      </c>
      <c r="AY685" t="s">
        <v>3250</v>
      </c>
      <c r="AZ685" t="s">
        <v>3250</v>
      </c>
      <c r="BA685" t="s">
        <v>3250</v>
      </c>
      <c r="BB685" t="s">
        <v>3250</v>
      </c>
      <c r="BC685" t="s">
        <v>3250</v>
      </c>
      <c r="BE685" t="s">
        <v>3250</v>
      </c>
      <c r="BF685" t="s">
        <v>3250</v>
      </c>
      <c r="BG685" t="s">
        <v>3250</v>
      </c>
      <c r="BH685" t="s">
        <v>3250</v>
      </c>
      <c r="BI685" t="s">
        <v>3250</v>
      </c>
      <c r="BK685" t="s">
        <v>3250</v>
      </c>
      <c r="BL685" t="s">
        <v>3250</v>
      </c>
      <c r="BM685" t="s">
        <v>3250</v>
      </c>
      <c r="BN685" t="s">
        <v>3250</v>
      </c>
      <c r="BP685">
        <v>12</v>
      </c>
      <c r="BQ685">
        <v>121</v>
      </c>
      <c r="BR685" t="s">
        <v>2439</v>
      </c>
      <c r="BS685" t="s">
        <v>941</v>
      </c>
      <c r="BV685">
        <v>0</v>
      </c>
      <c r="BW685">
        <v>0</v>
      </c>
      <c r="BX685">
        <v>28062</v>
      </c>
      <c r="BY685">
        <v>0</v>
      </c>
      <c r="BZ685">
        <v>0</v>
      </c>
      <c r="CA685">
        <v>0</v>
      </c>
      <c r="CB685">
        <v>0</v>
      </c>
      <c r="CC685">
        <v>0</v>
      </c>
      <c r="CD685">
        <v>0</v>
      </c>
      <c r="CE685" t="s">
        <v>3108</v>
      </c>
      <c r="CF685" t="s">
        <v>3108</v>
      </c>
      <c r="CG685" t="s">
        <v>3108</v>
      </c>
      <c r="CH685" t="s">
        <v>3108</v>
      </c>
    </row>
    <row r="686" spans="1:86" x14ac:dyDescent="0.2">
      <c r="A686" t="s">
        <v>4319</v>
      </c>
      <c r="B686" t="s">
        <v>4319</v>
      </c>
      <c r="C686">
        <v>41120</v>
      </c>
      <c r="D686">
        <v>531</v>
      </c>
      <c r="E686" t="s">
        <v>4320</v>
      </c>
      <c r="F686">
        <v>2900</v>
      </c>
      <c r="G686" t="s">
        <v>822</v>
      </c>
      <c r="H686" t="s">
        <v>3108</v>
      </c>
      <c r="I686" t="s">
        <v>3108</v>
      </c>
      <c r="J686">
        <v>2904</v>
      </c>
      <c r="K686" t="s">
        <v>1690</v>
      </c>
      <c r="L686">
        <v>1200</v>
      </c>
      <c r="M686" t="s">
        <v>2368</v>
      </c>
      <c r="N686">
        <v>1206</v>
      </c>
      <c r="O686" t="s">
        <v>285</v>
      </c>
      <c r="P686" t="s">
        <v>3108</v>
      </c>
      <c r="Q686" t="s">
        <v>3249</v>
      </c>
      <c r="R686" t="s">
        <v>3249</v>
      </c>
      <c r="S686" t="s">
        <v>810</v>
      </c>
      <c r="T686" t="s">
        <v>2754</v>
      </c>
      <c r="U686" t="s">
        <v>3250</v>
      </c>
      <c r="V686" t="s">
        <v>3250</v>
      </c>
      <c r="W686" t="s">
        <v>3250</v>
      </c>
      <c r="X686" t="s">
        <v>3250</v>
      </c>
      <c r="Y686" t="s">
        <v>3250</v>
      </c>
      <c r="Z686" t="s">
        <v>3250</v>
      </c>
      <c r="AA686" t="s">
        <v>3108</v>
      </c>
      <c r="AB686" t="s">
        <v>3108</v>
      </c>
      <c r="AC686" t="s">
        <v>3250</v>
      </c>
      <c r="AD686" t="s">
        <v>3250</v>
      </c>
      <c r="AE686" t="s">
        <v>3250</v>
      </c>
      <c r="AF686" t="s">
        <v>3250</v>
      </c>
      <c r="AG686" t="s">
        <v>3250</v>
      </c>
      <c r="AH686" t="s">
        <v>3250</v>
      </c>
      <c r="AI686" t="s">
        <v>3250</v>
      </c>
      <c r="AJ686" t="s">
        <v>3250</v>
      </c>
      <c r="AL686" t="s">
        <v>3250</v>
      </c>
      <c r="AM686" t="s">
        <v>3250</v>
      </c>
      <c r="AN686" t="s">
        <v>3250</v>
      </c>
      <c r="AO686" t="s">
        <v>3250</v>
      </c>
      <c r="AS686" t="s">
        <v>3250</v>
      </c>
      <c r="AT686" t="s">
        <v>3250</v>
      </c>
      <c r="AU686" t="s">
        <v>3250</v>
      </c>
      <c r="AV686" t="s">
        <v>3250</v>
      </c>
      <c r="AW686" t="s">
        <v>3250</v>
      </c>
      <c r="AX686" t="s">
        <v>3250</v>
      </c>
      <c r="AY686" t="s">
        <v>3250</v>
      </c>
      <c r="AZ686" t="s">
        <v>3250</v>
      </c>
      <c r="BA686" t="s">
        <v>3250</v>
      </c>
      <c r="BB686" t="s">
        <v>3250</v>
      </c>
      <c r="BC686" t="s">
        <v>3250</v>
      </c>
      <c r="BE686" t="s">
        <v>3250</v>
      </c>
      <c r="BF686" t="s">
        <v>3250</v>
      </c>
      <c r="BG686" t="s">
        <v>3250</v>
      </c>
      <c r="BH686" t="s">
        <v>3250</v>
      </c>
      <c r="BI686" t="s">
        <v>3250</v>
      </c>
      <c r="BK686" t="s">
        <v>3250</v>
      </c>
      <c r="BL686" t="s">
        <v>3250</v>
      </c>
      <c r="BM686" t="s">
        <v>3250</v>
      </c>
      <c r="BN686" t="s">
        <v>3250</v>
      </c>
      <c r="BP686">
        <v>1</v>
      </c>
      <c r="BQ686">
        <v>15</v>
      </c>
      <c r="BR686" t="s">
        <v>285</v>
      </c>
      <c r="BS686" t="s">
        <v>3252</v>
      </c>
      <c r="BV686">
        <v>0</v>
      </c>
      <c r="BW686">
        <v>0</v>
      </c>
      <c r="BX686">
        <v>62487</v>
      </c>
      <c r="BY686">
        <v>0</v>
      </c>
      <c r="BZ686">
        <v>0</v>
      </c>
      <c r="CA686">
        <v>0</v>
      </c>
      <c r="CB686">
        <v>0</v>
      </c>
      <c r="CC686">
        <v>0</v>
      </c>
      <c r="CD686">
        <v>0</v>
      </c>
      <c r="CE686" t="s">
        <v>3108</v>
      </c>
      <c r="CF686" t="s">
        <v>3108</v>
      </c>
      <c r="CG686" t="s">
        <v>3108</v>
      </c>
      <c r="CH686" t="s">
        <v>3108</v>
      </c>
    </row>
    <row r="687" spans="1:86" x14ac:dyDescent="0.2">
      <c r="A687" t="s">
        <v>4321</v>
      </c>
      <c r="B687" t="s">
        <v>4321</v>
      </c>
      <c r="C687">
        <v>41121</v>
      </c>
      <c r="D687">
        <v>513</v>
      </c>
      <c r="E687" t="s">
        <v>4027</v>
      </c>
      <c r="F687">
        <v>2900</v>
      </c>
      <c r="G687" t="s">
        <v>822</v>
      </c>
      <c r="H687" t="s">
        <v>3108</v>
      </c>
      <c r="I687" t="s">
        <v>3108</v>
      </c>
      <c r="J687">
        <v>2904</v>
      </c>
      <c r="K687" t="s">
        <v>1690</v>
      </c>
      <c r="L687">
        <v>1200</v>
      </c>
      <c r="M687" t="s">
        <v>2368</v>
      </c>
      <c r="N687">
        <v>1206</v>
      </c>
      <c r="O687" t="s">
        <v>285</v>
      </c>
      <c r="P687" t="s">
        <v>3108</v>
      </c>
      <c r="Q687" t="s">
        <v>3249</v>
      </c>
      <c r="R687" t="s">
        <v>3249</v>
      </c>
      <c r="S687" t="s">
        <v>810</v>
      </c>
      <c r="T687" t="s">
        <v>2754</v>
      </c>
      <c r="U687" t="s">
        <v>3250</v>
      </c>
      <c r="V687" t="s">
        <v>3250</v>
      </c>
      <c r="W687" t="s">
        <v>3250</v>
      </c>
      <c r="X687" t="s">
        <v>3250</v>
      </c>
      <c r="Y687" t="s">
        <v>3250</v>
      </c>
      <c r="Z687" t="s">
        <v>3250</v>
      </c>
      <c r="AA687" t="s">
        <v>3108</v>
      </c>
      <c r="AB687" t="s">
        <v>3108</v>
      </c>
      <c r="AC687" t="s">
        <v>3250</v>
      </c>
      <c r="AD687" t="s">
        <v>3250</v>
      </c>
      <c r="AE687" t="s">
        <v>3250</v>
      </c>
      <c r="AF687" t="s">
        <v>3250</v>
      </c>
      <c r="AG687" t="s">
        <v>3250</v>
      </c>
      <c r="AH687" t="s">
        <v>3250</v>
      </c>
      <c r="AI687" t="s">
        <v>3250</v>
      </c>
      <c r="AJ687" t="s">
        <v>3250</v>
      </c>
      <c r="AL687" t="s">
        <v>3250</v>
      </c>
      <c r="AM687" t="s">
        <v>3250</v>
      </c>
      <c r="AN687" t="s">
        <v>3250</v>
      </c>
      <c r="AO687" t="s">
        <v>3250</v>
      </c>
      <c r="AS687" t="s">
        <v>3250</v>
      </c>
      <c r="AT687" t="s">
        <v>3250</v>
      </c>
      <c r="AU687" t="s">
        <v>3250</v>
      </c>
      <c r="AV687" t="s">
        <v>3250</v>
      </c>
      <c r="AW687" t="s">
        <v>3250</v>
      </c>
      <c r="AX687" t="s">
        <v>3250</v>
      </c>
      <c r="AY687" t="s">
        <v>3250</v>
      </c>
      <c r="AZ687" t="s">
        <v>3250</v>
      </c>
      <c r="BA687" t="s">
        <v>3250</v>
      </c>
      <c r="BB687" t="s">
        <v>3250</v>
      </c>
      <c r="BC687" t="s">
        <v>3250</v>
      </c>
      <c r="BE687" t="s">
        <v>3250</v>
      </c>
      <c r="BF687" t="s">
        <v>3250</v>
      </c>
      <c r="BG687" t="s">
        <v>3250</v>
      </c>
      <c r="BH687" t="s">
        <v>3250</v>
      </c>
      <c r="BI687" t="s">
        <v>3250</v>
      </c>
      <c r="BK687" t="s">
        <v>3250</v>
      </c>
      <c r="BL687" t="s">
        <v>3250</v>
      </c>
      <c r="BM687" t="s">
        <v>3250</v>
      </c>
      <c r="BN687" t="s">
        <v>3250</v>
      </c>
      <c r="BP687">
        <v>1</v>
      </c>
      <c r="BQ687">
        <v>15</v>
      </c>
      <c r="BR687" t="s">
        <v>285</v>
      </c>
      <c r="BS687" t="s">
        <v>3252</v>
      </c>
      <c r="BV687">
        <v>0</v>
      </c>
      <c r="BW687">
        <v>0</v>
      </c>
      <c r="BX687">
        <v>0</v>
      </c>
      <c r="BY687">
        <v>0</v>
      </c>
      <c r="BZ687">
        <v>0</v>
      </c>
      <c r="CA687">
        <v>0</v>
      </c>
      <c r="CB687">
        <v>0</v>
      </c>
      <c r="CC687">
        <v>0</v>
      </c>
      <c r="CD687">
        <v>0</v>
      </c>
      <c r="CE687" t="s">
        <v>3108</v>
      </c>
      <c r="CF687" t="s">
        <v>3108</v>
      </c>
      <c r="CG687" t="s">
        <v>3108</v>
      </c>
      <c r="CH687" t="s">
        <v>3108</v>
      </c>
    </row>
    <row r="688" spans="1:86" x14ac:dyDescent="0.2">
      <c r="A688" t="s">
        <v>4322</v>
      </c>
      <c r="B688" t="s">
        <v>4322</v>
      </c>
      <c r="C688">
        <v>41122</v>
      </c>
      <c r="D688">
        <v>514</v>
      </c>
      <c r="E688" t="s">
        <v>4099</v>
      </c>
      <c r="F688">
        <v>2900</v>
      </c>
      <c r="G688" t="s">
        <v>822</v>
      </c>
      <c r="H688" t="s">
        <v>3108</v>
      </c>
      <c r="I688" t="s">
        <v>3108</v>
      </c>
      <c r="J688">
        <v>2904</v>
      </c>
      <c r="K688" t="s">
        <v>1690</v>
      </c>
      <c r="L688">
        <v>1200</v>
      </c>
      <c r="M688" t="s">
        <v>2368</v>
      </c>
      <c r="N688">
        <v>1206</v>
      </c>
      <c r="O688" t="s">
        <v>285</v>
      </c>
      <c r="P688" t="s">
        <v>3108</v>
      </c>
      <c r="Q688" t="s">
        <v>3249</v>
      </c>
      <c r="R688" t="s">
        <v>3249</v>
      </c>
      <c r="S688" t="s">
        <v>810</v>
      </c>
      <c r="T688" t="s">
        <v>2754</v>
      </c>
      <c r="U688" t="s">
        <v>3250</v>
      </c>
      <c r="V688" t="s">
        <v>3250</v>
      </c>
      <c r="W688" t="s">
        <v>3250</v>
      </c>
      <c r="X688" t="s">
        <v>3250</v>
      </c>
      <c r="Y688" t="s">
        <v>3250</v>
      </c>
      <c r="Z688" t="s">
        <v>3250</v>
      </c>
      <c r="AA688" t="s">
        <v>3108</v>
      </c>
      <c r="AB688" t="s">
        <v>3108</v>
      </c>
      <c r="AC688" t="s">
        <v>3250</v>
      </c>
      <c r="AD688" t="s">
        <v>3250</v>
      </c>
      <c r="AE688" t="s">
        <v>3250</v>
      </c>
      <c r="AF688" t="s">
        <v>3250</v>
      </c>
      <c r="AG688" t="s">
        <v>3250</v>
      </c>
      <c r="AH688" t="s">
        <v>3250</v>
      </c>
      <c r="AI688" t="s">
        <v>3250</v>
      </c>
      <c r="AJ688" t="s">
        <v>3250</v>
      </c>
      <c r="AL688" t="s">
        <v>3250</v>
      </c>
      <c r="AM688" t="s">
        <v>3250</v>
      </c>
      <c r="AN688" t="s">
        <v>3250</v>
      </c>
      <c r="AO688" t="s">
        <v>3250</v>
      </c>
      <c r="AS688" t="s">
        <v>3250</v>
      </c>
      <c r="AT688" t="s">
        <v>3250</v>
      </c>
      <c r="AU688" t="s">
        <v>3250</v>
      </c>
      <c r="AV688" t="s">
        <v>3250</v>
      </c>
      <c r="AW688" t="s">
        <v>3250</v>
      </c>
      <c r="AX688" t="s">
        <v>3250</v>
      </c>
      <c r="AY688" t="s">
        <v>3250</v>
      </c>
      <c r="AZ688" t="s">
        <v>3250</v>
      </c>
      <c r="BA688" t="s">
        <v>3250</v>
      </c>
      <c r="BB688" t="s">
        <v>3250</v>
      </c>
      <c r="BC688" t="s">
        <v>3250</v>
      </c>
      <c r="BE688" t="s">
        <v>3250</v>
      </c>
      <c r="BF688" t="s">
        <v>3250</v>
      </c>
      <c r="BG688" t="s">
        <v>3250</v>
      </c>
      <c r="BH688" t="s">
        <v>3250</v>
      </c>
      <c r="BI688" t="s">
        <v>3250</v>
      </c>
      <c r="BK688" t="s">
        <v>3250</v>
      </c>
      <c r="BL688" t="s">
        <v>3250</v>
      </c>
      <c r="BM688" t="s">
        <v>3250</v>
      </c>
      <c r="BN688" t="s">
        <v>3250</v>
      </c>
      <c r="BP688">
        <v>1</v>
      </c>
      <c r="BQ688">
        <v>15</v>
      </c>
      <c r="BR688" t="s">
        <v>285</v>
      </c>
      <c r="BS688" t="s">
        <v>3252</v>
      </c>
      <c r="BV688">
        <v>0</v>
      </c>
      <c r="BW688">
        <v>0</v>
      </c>
      <c r="BX688">
        <v>0</v>
      </c>
      <c r="BY688">
        <v>0</v>
      </c>
      <c r="BZ688">
        <v>0</v>
      </c>
      <c r="CA688">
        <v>0</v>
      </c>
      <c r="CB688">
        <v>0</v>
      </c>
      <c r="CC688">
        <v>0</v>
      </c>
      <c r="CD688">
        <v>0</v>
      </c>
      <c r="CE688" t="s">
        <v>3108</v>
      </c>
      <c r="CF688" t="s">
        <v>3108</v>
      </c>
      <c r="CG688" t="s">
        <v>3108</v>
      </c>
      <c r="CH688" t="s">
        <v>3108</v>
      </c>
    </row>
    <row r="689" spans="1:86" x14ac:dyDescent="0.2">
      <c r="A689" t="s">
        <v>4323</v>
      </c>
      <c r="B689" t="s">
        <v>4323</v>
      </c>
      <c r="C689">
        <v>41123</v>
      </c>
      <c r="D689">
        <v>515</v>
      </c>
      <c r="E689" t="s">
        <v>4031</v>
      </c>
      <c r="F689">
        <v>2900</v>
      </c>
      <c r="G689" t="s">
        <v>822</v>
      </c>
      <c r="H689" t="s">
        <v>3108</v>
      </c>
      <c r="I689" t="s">
        <v>3108</v>
      </c>
      <c r="J689">
        <v>2904</v>
      </c>
      <c r="K689" t="s">
        <v>1690</v>
      </c>
      <c r="L689">
        <v>1200</v>
      </c>
      <c r="M689" t="s">
        <v>2368</v>
      </c>
      <c r="N689">
        <v>1206</v>
      </c>
      <c r="O689" t="s">
        <v>285</v>
      </c>
      <c r="P689" t="s">
        <v>3108</v>
      </c>
      <c r="Q689" t="s">
        <v>3249</v>
      </c>
      <c r="R689" t="s">
        <v>3249</v>
      </c>
      <c r="S689" t="s">
        <v>810</v>
      </c>
      <c r="T689" t="s">
        <v>2754</v>
      </c>
      <c r="U689" t="s">
        <v>3250</v>
      </c>
      <c r="V689" t="s">
        <v>3250</v>
      </c>
      <c r="W689" t="s">
        <v>3250</v>
      </c>
      <c r="X689" t="s">
        <v>3250</v>
      </c>
      <c r="Y689" t="s">
        <v>3250</v>
      </c>
      <c r="Z689" t="s">
        <v>3250</v>
      </c>
      <c r="AA689" t="s">
        <v>3108</v>
      </c>
      <c r="AB689" t="s">
        <v>3108</v>
      </c>
      <c r="AC689" t="s">
        <v>3250</v>
      </c>
      <c r="AD689" t="s">
        <v>3250</v>
      </c>
      <c r="AE689" t="s">
        <v>3250</v>
      </c>
      <c r="AF689" t="s">
        <v>3250</v>
      </c>
      <c r="AG689" t="s">
        <v>3250</v>
      </c>
      <c r="AH689" t="s">
        <v>3250</v>
      </c>
      <c r="AI689" t="s">
        <v>3250</v>
      </c>
      <c r="AJ689" t="s">
        <v>3250</v>
      </c>
      <c r="AL689" t="s">
        <v>3250</v>
      </c>
      <c r="AM689" t="s">
        <v>3250</v>
      </c>
      <c r="AN689" t="s">
        <v>3250</v>
      </c>
      <c r="AO689" t="s">
        <v>3250</v>
      </c>
      <c r="AS689" t="s">
        <v>3250</v>
      </c>
      <c r="AT689" t="s">
        <v>3250</v>
      </c>
      <c r="AU689" t="s">
        <v>3250</v>
      </c>
      <c r="AV689" t="s">
        <v>3250</v>
      </c>
      <c r="AW689" t="s">
        <v>3250</v>
      </c>
      <c r="AX689" t="s">
        <v>3250</v>
      </c>
      <c r="AY689" t="s">
        <v>3250</v>
      </c>
      <c r="AZ689" t="s">
        <v>3250</v>
      </c>
      <c r="BA689" t="s">
        <v>3250</v>
      </c>
      <c r="BB689" t="s">
        <v>3250</v>
      </c>
      <c r="BC689" t="s">
        <v>3250</v>
      </c>
      <c r="BE689" t="s">
        <v>3250</v>
      </c>
      <c r="BF689" t="s">
        <v>3250</v>
      </c>
      <c r="BG689" t="s">
        <v>3250</v>
      </c>
      <c r="BH689" t="s">
        <v>3250</v>
      </c>
      <c r="BI689" t="s">
        <v>3250</v>
      </c>
      <c r="BK689" t="s">
        <v>3250</v>
      </c>
      <c r="BL689" t="s">
        <v>3250</v>
      </c>
      <c r="BM689" t="s">
        <v>3250</v>
      </c>
      <c r="BN689" t="s">
        <v>3250</v>
      </c>
      <c r="BP689">
        <v>1</v>
      </c>
      <c r="BQ689">
        <v>15</v>
      </c>
      <c r="BR689" t="s">
        <v>285</v>
      </c>
      <c r="BS689" t="s">
        <v>3252</v>
      </c>
      <c r="BV689">
        <v>0</v>
      </c>
      <c r="BW689">
        <v>0</v>
      </c>
      <c r="BX689">
        <v>0</v>
      </c>
      <c r="BY689">
        <v>0</v>
      </c>
      <c r="BZ689">
        <v>0</v>
      </c>
      <c r="CA689">
        <v>0</v>
      </c>
      <c r="CB689">
        <v>0</v>
      </c>
      <c r="CC689">
        <v>0</v>
      </c>
      <c r="CD689">
        <v>0</v>
      </c>
      <c r="CE689" t="s">
        <v>3108</v>
      </c>
      <c r="CF689" t="s">
        <v>3108</v>
      </c>
      <c r="CG689" t="s">
        <v>3108</v>
      </c>
      <c r="CH689" t="s">
        <v>3108</v>
      </c>
    </row>
    <row r="690" spans="1:86" x14ac:dyDescent="0.2">
      <c r="A690" t="s">
        <v>4324</v>
      </c>
      <c r="B690" t="s">
        <v>4324</v>
      </c>
      <c r="C690">
        <v>41124</v>
      </c>
      <c r="D690">
        <v>516</v>
      </c>
      <c r="E690" t="s">
        <v>4033</v>
      </c>
      <c r="F690">
        <v>2900</v>
      </c>
      <c r="G690" t="s">
        <v>822</v>
      </c>
      <c r="H690" t="s">
        <v>3108</v>
      </c>
      <c r="I690" t="s">
        <v>3108</v>
      </c>
      <c r="J690">
        <v>2904</v>
      </c>
      <c r="K690" t="s">
        <v>1690</v>
      </c>
      <c r="L690">
        <v>1200</v>
      </c>
      <c r="M690" t="s">
        <v>2368</v>
      </c>
      <c r="N690">
        <v>1206</v>
      </c>
      <c r="O690" t="s">
        <v>285</v>
      </c>
      <c r="P690" t="s">
        <v>3108</v>
      </c>
      <c r="Q690" t="s">
        <v>3249</v>
      </c>
      <c r="R690" t="s">
        <v>3249</v>
      </c>
      <c r="S690" t="s">
        <v>810</v>
      </c>
      <c r="T690" t="s">
        <v>2754</v>
      </c>
      <c r="U690" t="s">
        <v>3250</v>
      </c>
      <c r="V690" t="s">
        <v>3250</v>
      </c>
      <c r="W690" t="s">
        <v>3250</v>
      </c>
      <c r="X690" t="s">
        <v>3250</v>
      </c>
      <c r="Y690" t="s">
        <v>3250</v>
      </c>
      <c r="Z690" t="s">
        <v>3250</v>
      </c>
      <c r="AA690" t="s">
        <v>3108</v>
      </c>
      <c r="AB690" t="s">
        <v>3108</v>
      </c>
      <c r="AC690" t="s">
        <v>3250</v>
      </c>
      <c r="AD690" t="s">
        <v>3250</v>
      </c>
      <c r="AE690" t="s">
        <v>3250</v>
      </c>
      <c r="AF690" t="s">
        <v>3250</v>
      </c>
      <c r="AG690" t="s">
        <v>3250</v>
      </c>
      <c r="AH690" t="s">
        <v>3250</v>
      </c>
      <c r="AI690" t="s">
        <v>3250</v>
      </c>
      <c r="AJ690" t="s">
        <v>3250</v>
      </c>
      <c r="AL690" t="s">
        <v>3250</v>
      </c>
      <c r="AM690" t="s">
        <v>3250</v>
      </c>
      <c r="AN690" t="s">
        <v>3250</v>
      </c>
      <c r="AO690" t="s">
        <v>3250</v>
      </c>
      <c r="AS690" t="s">
        <v>3250</v>
      </c>
      <c r="AT690" t="s">
        <v>3250</v>
      </c>
      <c r="AU690" t="s">
        <v>3250</v>
      </c>
      <c r="AV690" t="s">
        <v>3250</v>
      </c>
      <c r="AW690" t="s">
        <v>3250</v>
      </c>
      <c r="AX690" t="s">
        <v>3250</v>
      </c>
      <c r="AY690" t="s">
        <v>3250</v>
      </c>
      <c r="AZ690" t="s">
        <v>3250</v>
      </c>
      <c r="BA690" t="s">
        <v>3250</v>
      </c>
      <c r="BB690" t="s">
        <v>3250</v>
      </c>
      <c r="BC690" t="s">
        <v>3250</v>
      </c>
      <c r="BE690" t="s">
        <v>3250</v>
      </c>
      <c r="BF690" t="s">
        <v>3250</v>
      </c>
      <c r="BG690" t="s">
        <v>3250</v>
      </c>
      <c r="BH690" t="s">
        <v>3250</v>
      </c>
      <c r="BI690" t="s">
        <v>3250</v>
      </c>
      <c r="BK690" t="s">
        <v>3250</v>
      </c>
      <c r="BL690" t="s">
        <v>3250</v>
      </c>
      <c r="BM690" t="s">
        <v>3250</v>
      </c>
      <c r="BN690" t="s">
        <v>3250</v>
      </c>
      <c r="BP690">
        <v>1</v>
      </c>
      <c r="BQ690">
        <v>15</v>
      </c>
      <c r="BR690" t="s">
        <v>285</v>
      </c>
      <c r="BS690" t="s">
        <v>3252</v>
      </c>
      <c r="BV690">
        <v>0</v>
      </c>
      <c r="BW690">
        <v>0</v>
      </c>
      <c r="BX690">
        <v>4775</v>
      </c>
      <c r="BY690">
        <v>0</v>
      </c>
      <c r="BZ690">
        <v>0</v>
      </c>
      <c r="CA690">
        <v>0</v>
      </c>
      <c r="CB690">
        <v>0</v>
      </c>
      <c r="CC690">
        <v>0</v>
      </c>
      <c r="CD690">
        <v>0</v>
      </c>
      <c r="CE690" t="s">
        <v>3108</v>
      </c>
      <c r="CF690" t="s">
        <v>3108</v>
      </c>
      <c r="CG690" t="s">
        <v>3108</v>
      </c>
      <c r="CH690" t="s">
        <v>3108</v>
      </c>
    </row>
    <row r="691" spans="1:86" x14ac:dyDescent="0.2">
      <c r="A691" t="s">
        <v>4325</v>
      </c>
      <c r="B691" t="s">
        <v>4325</v>
      </c>
      <c r="C691">
        <v>41125</v>
      </c>
      <c r="D691">
        <v>517</v>
      </c>
      <c r="E691" t="s">
        <v>4326</v>
      </c>
      <c r="F691">
        <v>2700</v>
      </c>
      <c r="G691" t="s">
        <v>411</v>
      </c>
      <c r="H691" t="s">
        <v>4004</v>
      </c>
      <c r="I691" t="s">
        <v>2531</v>
      </c>
      <c r="J691">
        <v>2701</v>
      </c>
      <c r="K691" t="s">
        <v>2531</v>
      </c>
      <c r="L691">
        <v>1200</v>
      </c>
      <c r="M691" t="s">
        <v>2368</v>
      </c>
      <c r="N691">
        <v>1206</v>
      </c>
      <c r="O691" t="s">
        <v>285</v>
      </c>
      <c r="P691" t="s">
        <v>3108</v>
      </c>
      <c r="Q691" t="s">
        <v>3249</v>
      </c>
      <c r="R691" t="s">
        <v>3249</v>
      </c>
      <c r="S691" t="s">
        <v>810</v>
      </c>
      <c r="T691" t="s">
        <v>2754</v>
      </c>
      <c r="U691" t="s">
        <v>3250</v>
      </c>
      <c r="V691" t="s">
        <v>3250</v>
      </c>
      <c r="W691" t="s">
        <v>3250</v>
      </c>
      <c r="X691" t="s">
        <v>3250</v>
      </c>
      <c r="Y691" t="s">
        <v>3250</v>
      </c>
      <c r="Z691" t="s">
        <v>3250</v>
      </c>
      <c r="AA691" t="s">
        <v>3108</v>
      </c>
      <c r="AB691" t="s">
        <v>3108</v>
      </c>
      <c r="AC691" t="s">
        <v>3250</v>
      </c>
      <c r="AD691" t="s">
        <v>3250</v>
      </c>
      <c r="AE691" t="s">
        <v>3250</v>
      </c>
      <c r="AF691" t="s">
        <v>3250</v>
      </c>
      <c r="AG691" t="s">
        <v>3250</v>
      </c>
      <c r="AH691" t="s">
        <v>3250</v>
      </c>
      <c r="AI691" t="s">
        <v>3250</v>
      </c>
      <c r="AJ691" t="s">
        <v>3250</v>
      </c>
      <c r="AL691" t="s">
        <v>3250</v>
      </c>
      <c r="AM691" t="s">
        <v>3250</v>
      </c>
      <c r="AN691" t="s">
        <v>3250</v>
      </c>
      <c r="AO691" t="s">
        <v>3250</v>
      </c>
      <c r="AS691" t="s">
        <v>3250</v>
      </c>
      <c r="AT691" t="s">
        <v>3250</v>
      </c>
      <c r="AU691" t="s">
        <v>3250</v>
      </c>
      <c r="AV691" t="s">
        <v>3250</v>
      </c>
      <c r="AW691" t="s">
        <v>3250</v>
      </c>
      <c r="AX691" t="s">
        <v>3250</v>
      </c>
      <c r="AY691" t="s">
        <v>3250</v>
      </c>
      <c r="AZ691" t="s">
        <v>3250</v>
      </c>
      <c r="BA691" t="s">
        <v>3250</v>
      </c>
      <c r="BB691" t="s">
        <v>3250</v>
      </c>
      <c r="BC691" t="s">
        <v>3250</v>
      </c>
      <c r="BE691" t="s">
        <v>3250</v>
      </c>
      <c r="BF691" t="s">
        <v>3250</v>
      </c>
      <c r="BG691" t="s">
        <v>3250</v>
      </c>
      <c r="BH691" t="s">
        <v>3250</v>
      </c>
      <c r="BI691" t="s">
        <v>3250</v>
      </c>
      <c r="BK691" t="s">
        <v>3250</v>
      </c>
      <c r="BL691" t="s">
        <v>3250</v>
      </c>
      <c r="BM691" t="s">
        <v>3250</v>
      </c>
      <c r="BN691" t="s">
        <v>3250</v>
      </c>
      <c r="BP691">
        <v>1</v>
      </c>
      <c r="BQ691">
        <v>15</v>
      </c>
      <c r="BR691" t="s">
        <v>285</v>
      </c>
      <c r="BS691" t="s">
        <v>3252</v>
      </c>
      <c r="BV691">
        <v>0</v>
      </c>
      <c r="BW691">
        <v>0</v>
      </c>
      <c r="BX691">
        <v>19964</v>
      </c>
      <c r="BY691">
        <v>0</v>
      </c>
      <c r="BZ691">
        <v>0</v>
      </c>
      <c r="CA691">
        <v>0</v>
      </c>
      <c r="CB691">
        <v>0</v>
      </c>
      <c r="CC691">
        <v>0</v>
      </c>
      <c r="CD691">
        <v>0</v>
      </c>
      <c r="CE691" t="s">
        <v>3108</v>
      </c>
      <c r="CF691" t="s">
        <v>3108</v>
      </c>
      <c r="CG691" t="s">
        <v>3108</v>
      </c>
      <c r="CH691" t="s">
        <v>3108</v>
      </c>
    </row>
    <row r="692" spans="1:86" x14ac:dyDescent="0.2">
      <c r="A692" t="s">
        <v>4327</v>
      </c>
      <c r="B692" t="s">
        <v>4327</v>
      </c>
      <c r="C692">
        <v>41126</v>
      </c>
      <c r="D692">
        <v>518</v>
      </c>
      <c r="E692" t="s">
        <v>4003</v>
      </c>
      <c r="F692">
        <v>2700</v>
      </c>
      <c r="G692" t="s">
        <v>411</v>
      </c>
      <c r="H692" t="s">
        <v>4004</v>
      </c>
      <c r="I692" t="s">
        <v>2531</v>
      </c>
      <c r="J692">
        <v>2701</v>
      </c>
      <c r="K692" t="s">
        <v>2531</v>
      </c>
      <c r="L692">
        <v>1200</v>
      </c>
      <c r="M692" t="s">
        <v>2368</v>
      </c>
      <c r="N692">
        <v>1206</v>
      </c>
      <c r="O692" t="s">
        <v>285</v>
      </c>
      <c r="P692" t="s">
        <v>3108</v>
      </c>
      <c r="Q692" t="s">
        <v>3249</v>
      </c>
      <c r="R692" t="s">
        <v>3249</v>
      </c>
      <c r="S692" t="s">
        <v>810</v>
      </c>
      <c r="T692" t="s">
        <v>2754</v>
      </c>
      <c r="U692" t="s">
        <v>3250</v>
      </c>
      <c r="V692" t="s">
        <v>3250</v>
      </c>
      <c r="W692" t="s">
        <v>3250</v>
      </c>
      <c r="X692" t="s">
        <v>3250</v>
      </c>
      <c r="Y692" t="s">
        <v>3250</v>
      </c>
      <c r="Z692" t="s">
        <v>3250</v>
      </c>
      <c r="AA692" t="s">
        <v>3108</v>
      </c>
      <c r="AB692" t="s">
        <v>3108</v>
      </c>
      <c r="AC692" t="s">
        <v>3250</v>
      </c>
      <c r="AD692" t="s">
        <v>3250</v>
      </c>
      <c r="AE692" t="s">
        <v>3250</v>
      </c>
      <c r="AF692" t="s">
        <v>3250</v>
      </c>
      <c r="AG692" t="s">
        <v>3250</v>
      </c>
      <c r="AH692" t="s">
        <v>3250</v>
      </c>
      <c r="AI692" t="s">
        <v>3250</v>
      </c>
      <c r="AJ692" t="s">
        <v>3250</v>
      </c>
      <c r="AL692" t="s">
        <v>3250</v>
      </c>
      <c r="AM692" t="s">
        <v>3250</v>
      </c>
      <c r="AN692" t="s">
        <v>3250</v>
      </c>
      <c r="AO692" t="s">
        <v>3250</v>
      </c>
      <c r="AS692" t="s">
        <v>3250</v>
      </c>
      <c r="AT692" t="s">
        <v>3250</v>
      </c>
      <c r="AU692" t="s">
        <v>3250</v>
      </c>
      <c r="AV692" t="s">
        <v>3250</v>
      </c>
      <c r="AW692" t="s">
        <v>3250</v>
      </c>
      <c r="AX692" t="s">
        <v>3250</v>
      </c>
      <c r="AY692" t="s">
        <v>3250</v>
      </c>
      <c r="AZ692" t="s">
        <v>3250</v>
      </c>
      <c r="BA692" t="s">
        <v>3250</v>
      </c>
      <c r="BB692" t="s">
        <v>3250</v>
      </c>
      <c r="BC692" t="s">
        <v>3250</v>
      </c>
      <c r="BE692" t="s">
        <v>3250</v>
      </c>
      <c r="BF692" t="s">
        <v>3250</v>
      </c>
      <c r="BG692" t="s">
        <v>3250</v>
      </c>
      <c r="BH692" t="s">
        <v>3250</v>
      </c>
      <c r="BI692" t="s">
        <v>3250</v>
      </c>
      <c r="BK692" t="s">
        <v>3250</v>
      </c>
      <c r="BL692" t="s">
        <v>3250</v>
      </c>
      <c r="BM692" t="s">
        <v>3250</v>
      </c>
      <c r="BN692" t="s">
        <v>3250</v>
      </c>
      <c r="BP692">
        <v>1</v>
      </c>
      <c r="BQ692">
        <v>15</v>
      </c>
      <c r="BR692" t="s">
        <v>285</v>
      </c>
      <c r="BS692" t="s">
        <v>3252</v>
      </c>
      <c r="BV692">
        <v>0</v>
      </c>
      <c r="BW692">
        <v>0</v>
      </c>
      <c r="BX692">
        <v>0</v>
      </c>
      <c r="BY692">
        <v>0</v>
      </c>
      <c r="BZ692">
        <v>0</v>
      </c>
      <c r="CA692">
        <v>0</v>
      </c>
      <c r="CB692">
        <v>0</v>
      </c>
      <c r="CC692">
        <v>0</v>
      </c>
      <c r="CD692">
        <v>0</v>
      </c>
      <c r="CE692" t="s">
        <v>3108</v>
      </c>
      <c r="CF692" t="s">
        <v>3108</v>
      </c>
      <c r="CG692" t="s">
        <v>3108</v>
      </c>
      <c r="CH692" t="s">
        <v>3108</v>
      </c>
    </row>
    <row r="693" spans="1:86" x14ac:dyDescent="0.2">
      <c r="A693" t="s">
        <v>4328</v>
      </c>
      <c r="B693" t="s">
        <v>4328</v>
      </c>
      <c r="C693">
        <v>41127</v>
      </c>
      <c r="D693">
        <v>519</v>
      </c>
      <c r="E693" t="s">
        <v>4027</v>
      </c>
      <c r="F693">
        <v>2900</v>
      </c>
      <c r="G693" t="s">
        <v>822</v>
      </c>
      <c r="H693" t="s">
        <v>3108</v>
      </c>
      <c r="I693" t="s">
        <v>3108</v>
      </c>
      <c r="J693">
        <v>2904</v>
      </c>
      <c r="K693" t="s">
        <v>1690</v>
      </c>
      <c r="L693">
        <v>1200</v>
      </c>
      <c r="M693" t="s">
        <v>2368</v>
      </c>
      <c r="N693">
        <v>1206</v>
      </c>
      <c r="O693" t="s">
        <v>285</v>
      </c>
      <c r="P693" t="s">
        <v>3108</v>
      </c>
      <c r="Q693" t="s">
        <v>3249</v>
      </c>
      <c r="R693" t="s">
        <v>3249</v>
      </c>
      <c r="S693" t="s">
        <v>810</v>
      </c>
      <c r="T693" t="s">
        <v>2754</v>
      </c>
      <c r="U693" t="s">
        <v>3250</v>
      </c>
      <c r="V693" t="s">
        <v>3250</v>
      </c>
      <c r="W693" t="s">
        <v>3250</v>
      </c>
      <c r="X693" t="s">
        <v>3250</v>
      </c>
      <c r="Y693" t="s">
        <v>3250</v>
      </c>
      <c r="Z693" t="s">
        <v>3250</v>
      </c>
      <c r="AA693" t="s">
        <v>3108</v>
      </c>
      <c r="AB693" t="s">
        <v>3108</v>
      </c>
      <c r="AC693" t="s">
        <v>3250</v>
      </c>
      <c r="AD693" t="s">
        <v>3250</v>
      </c>
      <c r="AE693" t="s">
        <v>3250</v>
      </c>
      <c r="AF693" t="s">
        <v>3250</v>
      </c>
      <c r="AG693" t="s">
        <v>3250</v>
      </c>
      <c r="AH693" t="s">
        <v>3250</v>
      </c>
      <c r="AI693" t="s">
        <v>3250</v>
      </c>
      <c r="AJ693" t="s">
        <v>3250</v>
      </c>
      <c r="AL693" t="s">
        <v>3250</v>
      </c>
      <c r="AM693" t="s">
        <v>3250</v>
      </c>
      <c r="AN693" t="s">
        <v>3250</v>
      </c>
      <c r="AO693" t="s">
        <v>3250</v>
      </c>
      <c r="AS693" t="s">
        <v>3250</v>
      </c>
      <c r="AT693" t="s">
        <v>3250</v>
      </c>
      <c r="AU693" t="s">
        <v>3250</v>
      </c>
      <c r="AV693" t="s">
        <v>3250</v>
      </c>
      <c r="AW693" t="s">
        <v>3250</v>
      </c>
      <c r="AX693" t="s">
        <v>3250</v>
      </c>
      <c r="AY693" t="s">
        <v>3250</v>
      </c>
      <c r="AZ693" t="s">
        <v>3250</v>
      </c>
      <c r="BA693" t="s">
        <v>3250</v>
      </c>
      <c r="BB693" t="s">
        <v>3250</v>
      </c>
      <c r="BC693" t="s">
        <v>3250</v>
      </c>
      <c r="BE693" t="s">
        <v>3250</v>
      </c>
      <c r="BF693" t="s">
        <v>3250</v>
      </c>
      <c r="BG693" t="s">
        <v>3250</v>
      </c>
      <c r="BH693" t="s">
        <v>3250</v>
      </c>
      <c r="BI693" t="s">
        <v>3250</v>
      </c>
      <c r="BK693" t="s">
        <v>3250</v>
      </c>
      <c r="BL693" t="s">
        <v>3250</v>
      </c>
      <c r="BM693" t="s">
        <v>3250</v>
      </c>
      <c r="BN693" t="s">
        <v>3250</v>
      </c>
      <c r="BP693">
        <v>1</v>
      </c>
      <c r="BQ693">
        <v>15</v>
      </c>
      <c r="BR693" t="s">
        <v>285</v>
      </c>
      <c r="BS693" t="s">
        <v>3252</v>
      </c>
      <c r="BV693">
        <v>0</v>
      </c>
      <c r="BW693">
        <v>0</v>
      </c>
      <c r="BX693">
        <v>0</v>
      </c>
      <c r="BY693">
        <v>0</v>
      </c>
      <c r="BZ693">
        <v>0</v>
      </c>
      <c r="CA693">
        <v>0</v>
      </c>
      <c r="CB693">
        <v>0</v>
      </c>
      <c r="CC693">
        <v>0</v>
      </c>
      <c r="CD693">
        <v>0</v>
      </c>
      <c r="CE693" t="s">
        <v>3108</v>
      </c>
      <c r="CF693" t="s">
        <v>3108</v>
      </c>
      <c r="CG693" t="s">
        <v>3108</v>
      </c>
      <c r="CH693" t="s">
        <v>3108</v>
      </c>
    </row>
    <row r="694" spans="1:86" x14ac:dyDescent="0.2">
      <c r="A694" t="s">
        <v>4329</v>
      </c>
      <c r="B694" t="s">
        <v>4329</v>
      </c>
      <c r="C694">
        <v>41128</v>
      </c>
      <c r="D694">
        <v>520</v>
      </c>
      <c r="E694" t="s">
        <v>4099</v>
      </c>
      <c r="F694">
        <v>2900</v>
      </c>
      <c r="G694" t="s">
        <v>822</v>
      </c>
      <c r="H694" t="s">
        <v>3108</v>
      </c>
      <c r="I694" t="s">
        <v>3108</v>
      </c>
      <c r="J694">
        <v>2904</v>
      </c>
      <c r="K694" t="s">
        <v>1690</v>
      </c>
      <c r="L694">
        <v>1200</v>
      </c>
      <c r="M694" t="s">
        <v>2368</v>
      </c>
      <c r="N694">
        <v>1206</v>
      </c>
      <c r="O694" t="s">
        <v>285</v>
      </c>
      <c r="P694" t="s">
        <v>3108</v>
      </c>
      <c r="Q694" t="s">
        <v>3249</v>
      </c>
      <c r="R694" t="s">
        <v>3249</v>
      </c>
      <c r="S694" t="s">
        <v>810</v>
      </c>
      <c r="T694" t="s">
        <v>2754</v>
      </c>
      <c r="U694" t="s">
        <v>3250</v>
      </c>
      <c r="V694" t="s">
        <v>3250</v>
      </c>
      <c r="W694" t="s">
        <v>3250</v>
      </c>
      <c r="X694" t="s">
        <v>3250</v>
      </c>
      <c r="Y694" t="s">
        <v>3250</v>
      </c>
      <c r="Z694" t="s">
        <v>3250</v>
      </c>
      <c r="AA694" t="s">
        <v>3108</v>
      </c>
      <c r="AB694" t="s">
        <v>3108</v>
      </c>
      <c r="AC694" t="s">
        <v>3250</v>
      </c>
      <c r="AD694" t="s">
        <v>3250</v>
      </c>
      <c r="AE694" t="s">
        <v>3250</v>
      </c>
      <c r="AF694" t="s">
        <v>3250</v>
      </c>
      <c r="AG694" t="s">
        <v>3250</v>
      </c>
      <c r="AH694" t="s">
        <v>3250</v>
      </c>
      <c r="AI694" t="s">
        <v>3250</v>
      </c>
      <c r="AJ694" t="s">
        <v>3250</v>
      </c>
      <c r="AL694" t="s">
        <v>3250</v>
      </c>
      <c r="AM694" t="s">
        <v>3250</v>
      </c>
      <c r="AN694" t="s">
        <v>3250</v>
      </c>
      <c r="AO694" t="s">
        <v>3250</v>
      </c>
      <c r="AS694" t="s">
        <v>3250</v>
      </c>
      <c r="AT694" t="s">
        <v>3250</v>
      </c>
      <c r="AU694" t="s">
        <v>3250</v>
      </c>
      <c r="AV694" t="s">
        <v>3250</v>
      </c>
      <c r="AW694" t="s">
        <v>3250</v>
      </c>
      <c r="AX694" t="s">
        <v>3250</v>
      </c>
      <c r="AY694" t="s">
        <v>3250</v>
      </c>
      <c r="AZ694" t="s">
        <v>3250</v>
      </c>
      <c r="BA694" t="s">
        <v>3250</v>
      </c>
      <c r="BB694" t="s">
        <v>3250</v>
      </c>
      <c r="BC694" t="s">
        <v>3250</v>
      </c>
      <c r="BE694" t="s">
        <v>3250</v>
      </c>
      <c r="BF694" t="s">
        <v>3250</v>
      </c>
      <c r="BG694" t="s">
        <v>3250</v>
      </c>
      <c r="BH694" t="s">
        <v>3250</v>
      </c>
      <c r="BI694" t="s">
        <v>3250</v>
      </c>
      <c r="BK694" t="s">
        <v>3250</v>
      </c>
      <c r="BL694" t="s">
        <v>3250</v>
      </c>
      <c r="BM694" t="s">
        <v>3250</v>
      </c>
      <c r="BN694" t="s">
        <v>3250</v>
      </c>
      <c r="BP694">
        <v>1</v>
      </c>
      <c r="BQ694">
        <v>15</v>
      </c>
      <c r="BR694" t="s">
        <v>285</v>
      </c>
      <c r="BS694" t="s">
        <v>3252</v>
      </c>
      <c r="BV694">
        <v>0</v>
      </c>
      <c r="BW694">
        <v>0</v>
      </c>
      <c r="BX694">
        <v>0</v>
      </c>
      <c r="BY694">
        <v>0</v>
      </c>
      <c r="BZ694">
        <v>0</v>
      </c>
      <c r="CA694">
        <v>0</v>
      </c>
      <c r="CB694">
        <v>0</v>
      </c>
      <c r="CC694">
        <v>0</v>
      </c>
      <c r="CD694">
        <v>0</v>
      </c>
      <c r="CE694" t="s">
        <v>3108</v>
      </c>
      <c r="CF694" t="s">
        <v>3108</v>
      </c>
      <c r="CG694" t="s">
        <v>3108</v>
      </c>
      <c r="CH694" t="s">
        <v>3108</v>
      </c>
    </row>
    <row r="695" spans="1:86" x14ac:dyDescent="0.2">
      <c r="A695" t="s">
        <v>4330</v>
      </c>
      <c r="B695" t="s">
        <v>4330</v>
      </c>
      <c r="C695">
        <v>41129</v>
      </c>
      <c r="D695">
        <v>521</v>
      </c>
      <c r="E695" t="s">
        <v>4031</v>
      </c>
      <c r="F695">
        <v>2900</v>
      </c>
      <c r="G695" t="s">
        <v>822</v>
      </c>
      <c r="H695" t="s">
        <v>3108</v>
      </c>
      <c r="I695" t="s">
        <v>3108</v>
      </c>
      <c r="J695">
        <v>2904</v>
      </c>
      <c r="K695" t="s">
        <v>1690</v>
      </c>
      <c r="L695">
        <v>1200</v>
      </c>
      <c r="M695" t="s">
        <v>2368</v>
      </c>
      <c r="N695">
        <v>1206</v>
      </c>
      <c r="O695" t="s">
        <v>285</v>
      </c>
      <c r="P695" t="s">
        <v>3108</v>
      </c>
      <c r="Q695" t="s">
        <v>3249</v>
      </c>
      <c r="R695" t="s">
        <v>3249</v>
      </c>
      <c r="S695" t="s">
        <v>810</v>
      </c>
      <c r="T695" t="s">
        <v>2754</v>
      </c>
      <c r="U695" t="s">
        <v>3250</v>
      </c>
      <c r="V695" t="s">
        <v>3250</v>
      </c>
      <c r="W695" t="s">
        <v>3250</v>
      </c>
      <c r="X695" t="s">
        <v>3250</v>
      </c>
      <c r="Y695" t="s">
        <v>3250</v>
      </c>
      <c r="Z695" t="s">
        <v>3250</v>
      </c>
      <c r="AA695" t="s">
        <v>3108</v>
      </c>
      <c r="AB695" t="s">
        <v>3108</v>
      </c>
      <c r="AC695" t="s">
        <v>3250</v>
      </c>
      <c r="AD695" t="s">
        <v>3250</v>
      </c>
      <c r="AE695" t="s">
        <v>3250</v>
      </c>
      <c r="AF695" t="s">
        <v>3250</v>
      </c>
      <c r="AG695" t="s">
        <v>3250</v>
      </c>
      <c r="AH695" t="s">
        <v>3250</v>
      </c>
      <c r="AI695" t="s">
        <v>3250</v>
      </c>
      <c r="AJ695" t="s">
        <v>3250</v>
      </c>
      <c r="AL695" t="s">
        <v>3250</v>
      </c>
      <c r="AM695" t="s">
        <v>3250</v>
      </c>
      <c r="AN695" t="s">
        <v>3250</v>
      </c>
      <c r="AO695" t="s">
        <v>3250</v>
      </c>
      <c r="AS695" t="s">
        <v>3250</v>
      </c>
      <c r="AT695" t="s">
        <v>3250</v>
      </c>
      <c r="AU695" t="s">
        <v>3250</v>
      </c>
      <c r="AV695" t="s">
        <v>3250</v>
      </c>
      <c r="AW695" t="s">
        <v>3250</v>
      </c>
      <c r="AX695" t="s">
        <v>3250</v>
      </c>
      <c r="AY695" t="s">
        <v>3250</v>
      </c>
      <c r="AZ695" t="s">
        <v>3250</v>
      </c>
      <c r="BA695" t="s">
        <v>3250</v>
      </c>
      <c r="BB695" t="s">
        <v>3250</v>
      </c>
      <c r="BC695" t="s">
        <v>3250</v>
      </c>
      <c r="BE695" t="s">
        <v>3250</v>
      </c>
      <c r="BF695" t="s">
        <v>3250</v>
      </c>
      <c r="BG695" t="s">
        <v>3250</v>
      </c>
      <c r="BH695" t="s">
        <v>3250</v>
      </c>
      <c r="BI695" t="s">
        <v>3250</v>
      </c>
      <c r="BK695" t="s">
        <v>3250</v>
      </c>
      <c r="BL695" t="s">
        <v>3250</v>
      </c>
      <c r="BM695" t="s">
        <v>3250</v>
      </c>
      <c r="BN695" t="s">
        <v>3250</v>
      </c>
      <c r="BP695">
        <v>1</v>
      </c>
      <c r="BQ695">
        <v>15</v>
      </c>
      <c r="BR695" t="s">
        <v>285</v>
      </c>
      <c r="BS695" t="s">
        <v>3252</v>
      </c>
      <c r="BV695">
        <v>0</v>
      </c>
      <c r="BW695">
        <v>0</v>
      </c>
      <c r="BX695">
        <v>0</v>
      </c>
      <c r="BY695">
        <v>0</v>
      </c>
      <c r="BZ695">
        <v>0</v>
      </c>
      <c r="CA695">
        <v>0</v>
      </c>
      <c r="CB695">
        <v>0</v>
      </c>
      <c r="CC695">
        <v>0</v>
      </c>
      <c r="CD695">
        <v>0</v>
      </c>
      <c r="CE695" t="s">
        <v>3108</v>
      </c>
      <c r="CF695" t="s">
        <v>3108</v>
      </c>
      <c r="CG695" t="s">
        <v>3108</v>
      </c>
      <c r="CH695" t="s">
        <v>3108</v>
      </c>
    </row>
    <row r="696" spans="1:86" x14ac:dyDescent="0.2">
      <c r="A696" t="s">
        <v>4331</v>
      </c>
      <c r="B696" t="s">
        <v>4331</v>
      </c>
      <c r="C696">
        <v>41130</v>
      </c>
      <c r="D696">
        <v>522</v>
      </c>
      <c r="E696" t="s">
        <v>4033</v>
      </c>
      <c r="F696">
        <v>2900</v>
      </c>
      <c r="G696" t="s">
        <v>822</v>
      </c>
      <c r="H696" t="s">
        <v>3108</v>
      </c>
      <c r="I696" t="s">
        <v>3108</v>
      </c>
      <c r="J696">
        <v>2904</v>
      </c>
      <c r="K696" t="s">
        <v>1690</v>
      </c>
      <c r="L696">
        <v>1200</v>
      </c>
      <c r="M696" t="s">
        <v>2368</v>
      </c>
      <c r="N696">
        <v>1206</v>
      </c>
      <c r="O696" t="s">
        <v>285</v>
      </c>
      <c r="P696" t="s">
        <v>3108</v>
      </c>
      <c r="Q696" t="s">
        <v>3249</v>
      </c>
      <c r="R696" t="s">
        <v>3249</v>
      </c>
      <c r="S696" t="s">
        <v>810</v>
      </c>
      <c r="T696" t="s">
        <v>2754</v>
      </c>
      <c r="U696" t="s">
        <v>3250</v>
      </c>
      <c r="V696" t="s">
        <v>3250</v>
      </c>
      <c r="W696" t="s">
        <v>3250</v>
      </c>
      <c r="X696" t="s">
        <v>3250</v>
      </c>
      <c r="Y696" t="s">
        <v>3250</v>
      </c>
      <c r="Z696" t="s">
        <v>3250</v>
      </c>
      <c r="AA696" t="s">
        <v>3108</v>
      </c>
      <c r="AB696" t="s">
        <v>3108</v>
      </c>
      <c r="AC696" t="s">
        <v>3250</v>
      </c>
      <c r="AD696" t="s">
        <v>3250</v>
      </c>
      <c r="AE696" t="s">
        <v>3250</v>
      </c>
      <c r="AF696" t="s">
        <v>3250</v>
      </c>
      <c r="AG696" t="s">
        <v>3250</v>
      </c>
      <c r="AH696" t="s">
        <v>3250</v>
      </c>
      <c r="AI696" t="s">
        <v>3250</v>
      </c>
      <c r="AJ696" t="s">
        <v>3250</v>
      </c>
      <c r="AL696" t="s">
        <v>3250</v>
      </c>
      <c r="AM696" t="s">
        <v>3250</v>
      </c>
      <c r="AN696" t="s">
        <v>3250</v>
      </c>
      <c r="AO696" t="s">
        <v>3250</v>
      </c>
      <c r="AS696" t="s">
        <v>3250</v>
      </c>
      <c r="AT696" t="s">
        <v>3250</v>
      </c>
      <c r="AU696" t="s">
        <v>3250</v>
      </c>
      <c r="AV696" t="s">
        <v>3250</v>
      </c>
      <c r="AW696" t="s">
        <v>3250</v>
      </c>
      <c r="AX696" t="s">
        <v>3250</v>
      </c>
      <c r="AY696" t="s">
        <v>3250</v>
      </c>
      <c r="AZ696" t="s">
        <v>3250</v>
      </c>
      <c r="BA696" t="s">
        <v>3250</v>
      </c>
      <c r="BB696" t="s">
        <v>3250</v>
      </c>
      <c r="BC696" t="s">
        <v>3250</v>
      </c>
      <c r="BE696" t="s">
        <v>3250</v>
      </c>
      <c r="BF696" t="s">
        <v>3250</v>
      </c>
      <c r="BG696" t="s">
        <v>3250</v>
      </c>
      <c r="BH696" t="s">
        <v>3250</v>
      </c>
      <c r="BI696" t="s">
        <v>3250</v>
      </c>
      <c r="BK696" t="s">
        <v>3250</v>
      </c>
      <c r="BL696" t="s">
        <v>3250</v>
      </c>
      <c r="BM696" t="s">
        <v>3250</v>
      </c>
      <c r="BN696" t="s">
        <v>3250</v>
      </c>
      <c r="BP696">
        <v>1</v>
      </c>
      <c r="BQ696">
        <v>15</v>
      </c>
      <c r="BR696" t="s">
        <v>285</v>
      </c>
      <c r="BS696" t="s">
        <v>3252</v>
      </c>
      <c r="BV696">
        <v>0</v>
      </c>
      <c r="BW696">
        <v>0</v>
      </c>
      <c r="BX696">
        <v>0</v>
      </c>
      <c r="BY696">
        <v>0</v>
      </c>
      <c r="BZ696">
        <v>0</v>
      </c>
      <c r="CA696">
        <v>0</v>
      </c>
      <c r="CB696">
        <v>0</v>
      </c>
      <c r="CC696">
        <v>0</v>
      </c>
      <c r="CD696">
        <v>0</v>
      </c>
      <c r="CE696" t="s">
        <v>3108</v>
      </c>
      <c r="CF696" t="s">
        <v>3108</v>
      </c>
      <c r="CG696" t="s">
        <v>3108</v>
      </c>
      <c r="CH696" t="s">
        <v>3108</v>
      </c>
    </row>
    <row r="697" spans="1:86" x14ac:dyDescent="0.2">
      <c r="A697" t="s">
        <v>4332</v>
      </c>
      <c r="B697" t="s">
        <v>4332</v>
      </c>
      <c r="C697">
        <v>41131</v>
      </c>
      <c r="D697">
        <v>523</v>
      </c>
      <c r="E697" t="s">
        <v>4326</v>
      </c>
      <c r="F697">
        <v>2700</v>
      </c>
      <c r="G697" t="s">
        <v>411</v>
      </c>
      <c r="H697" t="s">
        <v>4004</v>
      </c>
      <c r="I697" t="s">
        <v>2531</v>
      </c>
      <c r="J697">
        <v>2701</v>
      </c>
      <c r="K697" t="s">
        <v>2531</v>
      </c>
      <c r="L697">
        <v>1200</v>
      </c>
      <c r="M697" t="s">
        <v>2368</v>
      </c>
      <c r="N697">
        <v>1206</v>
      </c>
      <c r="O697" t="s">
        <v>285</v>
      </c>
      <c r="P697" t="s">
        <v>3108</v>
      </c>
      <c r="Q697" t="s">
        <v>3249</v>
      </c>
      <c r="R697" t="s">
        <v>3249</v>
      </c>
      <c r="S697" t="s">
        <v>810</v>
      </c>
      <c r="T697" t="s">
        <v>2754</v>
      </c>
      <c r="U697" t="s">
        <v>3250</v>
      </c>
      <c r="V697" t="s">
        <v>3250</v>
      </c>
      <c r="W697" t="s">
        <v>3250</v>
      </c>
      <c r="X697" t="s">
        <v>3250</v>
      </c>
      <c r="Y697" t="s">
        <v>3250</v>
      </c>
      <c r="Z697" t="s">
        <v>3250</v>
      </c>
      <c r="AA697" t="s">
        <v>3108</v>
      </c>
      <c r="AB697" t="s">
        <v>3108</v>
      </c>
      <c r="AC697" t="s">
        <v>3250</v>
      </c>
      <c r="AD697" t="s">
        <v>3250</v>
      </c>
      <c r="AE697" t="s">
        <v>3250</v>
      </c>
      <c r="AF697" t="s">
        <v>3250</v>
      </c>
      <c r="AG697" t="s">
        <v>3250</v>
      </c>
      <c r="AH697" t="s">
        <v>3250</v>
      </c>
      <c r="AI697" t="s">
        <v>3250</v>
      </c>
      <c r="AJ697" t="s">
        <v>3250</v>
      </c>
      <c r="AL697" t="s">
        <v>3250</v>
      </c>
      <c r="AM697" t="s">
        <v>3250</v>
      </c>
      <c r="AN697" t="s">
        <v>3250</v>
      </c>
      <c r="AO697" t="s">
        <v>3250</v>
      </c>
      <c r="AS697" t="s">
        <v>3250</v>
      </c>
      <c r="AT697" t="s">
        <v>3250</v>
      </c>
      <c r="AU697" t="s">
        <v>3250</v>
      </c>
      <c r="AV697" t="s">
        <v>3250</v>
      </c>
      <c r="AW697" t="s">
        <v>3250</v>
      </c>
      <c r="AX697" t="s">
        <v>3250</v>
      </c>
      <c r="AY697" t="s">
        <v>3250</v>
      </c>
      <c r="AZ697" t="s">
        <v>3250</v>
      </c>
      <c r="BA697" t="s">
        <v>3250</v>
      </c>
      <c r="BB697" t="s">
        <v>3250</v>
      </c>
      <c r="BC697" t="s">
        <v>3250</v>
      </c>
      <c r="BE697" t="s">
        <v>3250</v>
      </c>
      <c r="BF697" t="s">
        <v>3250</v>
      </c>
      <c r="BG697" t="s">
        <v>3250</v>
      </c>
      <c r="BH697" t="s">
        <v>3250</v>
      </c>
      <c r="BI697" t="s">
        <v>3250</v>
      </c>
      <c r="BK697" t="s">
        <v>3250</v>
      </c>
      <c r="BL697" t="s">
        <v>3250</v>
      </c>
      <c r="BM697" t="s">
        <v>3250</v>
      </c>
      <c r="BN697" t="s">
        <v>3250</v>
      </c>
      <c r="BP697">
        <v>1</v>
      </c>
      <c r="BQ697">
        <v>15</v>
      </c>
      <c r="BR697" t="s">
        <v>285</v>
      </c>
      <c r="BS697" t="s">
        <v>3252</v>
      </c>
      <c r="BV697">
        <v>0</v>
      </c>
      <c r="BW697">
        <v>0</v>
      </c>
      <c r="BX697">
        <v>0</v>
      </c>
      <c r="BY697">
        <v>0</v>
      </c>
      <c r="BZ697">
        <v>0</v>
      </c>
      <c r="CA697">
        <v>0</v>
      </c>
      <c r="CB697">
        <v>0</v>
      </c>
      <c r="CC697">
        <v>0</v>
      </c>
      <c r="CD697">
        <v>0</v>
      </c>
      <c r="CE697" t="s">
        <v>3108</v>
      </c>
      <c r="CF697" t="s">
        <v>3108</v>
      </c>
      <c r="CG697" t="s">
        <v>3108</v>
      </c>
      <c r="CH697" t="s">
        <v>3108</v>
      </c>
    </row>
    <row r="698" spans="1:86" x14ac:dyDescent="0.2">
      <c r="A698" t="s">
        <v>4333</v>
      </c>
      <c r="B698" t="s">
        <v>4333</v>
      </c>
      <c r="C698">
        <v>41132</v>
      </c>
      <c r="D698">
        <v>524</v>
      </c>
      <c r="E698" t="s">
        <v>4003</v>
      </c>
      <c r="F698">
        <v>2700</v>
      </c>
      <c r="G698" t="s">
        <v>411</v>
      </c>
      <c r="H698" t="s">
        <v>4004</v>
      </c>
      <c r="I698" t="s">
        <v>2531</v>
      </c>
      <c r="J698">
        <v>2701</v>
      </c>
      <c r="K698" t="s">
        <v>2531</v>
      </c>
      <c r="L698">
        <v>1200</v>
      </c>
      <c r="M698" t="s">
        <v>2368</v>
      </c>
      <c r="N698">
        <v>1206</v>
      </c>
      <c r="O698" t="s">
        <v>285</v>
      </c>
      <c r="P698" t="s">
        <v>3108</v>
      </c>
      <c r="Q698" t="s">
        <v>3249</v>
      </c>
      <c r="R698" t="s">
        <v>3249</v>
      </c>
      <c r="S698" t="s">
        <v>810</v>
      </c>
      <c r="T698" t="s">
        <v>2754</v>
      </c>
      <c r="U698" t="s">
        <v>3250</v>
      </c>
      <c r="V698" t="s">
        <v>3250</v>
      </c>
      <c r="W698" t="s">
        <v>3250</v>
      </c>
      <c r="X698" t="s">
        <v>3250</v>
      </c>
      <c r="Y698" t="s">
        <v>3250</v>
      </c>
      <c r="Z698" t="s">
        <v>3250</v>
      </c>
      <c r="AA698" t="s">
        <v>3108</v>
      </c>
      <c r="AB698" t="s">
        <v>3108</v>
      </c>
      <c r="AC698" t="s">
        <v>3250</v>
      </c>
      <c r="AD698" t="s">
        <v>3250</v>
      </c>
      <c r="AE698" t="s">
        <v>3250</v>
      </c>
      <c r="AF698" t="s">
        <v>3250</v>
      </c>
      <c r="AG698" t="s">
        <v>3250</v>
      </c>
      <c r="AH698" t="s">
        <v>3250</v>
      </c>
      <c r="AI698" t="s">
        <v>3250</v>
      </c>
      <c r="AJ698" t="s">
        <v>3250</v>
      </c>
      <c r="AL698" t="s">
        <v>3250</v>
      </c>
      <c r="AM698" t="s">
        <v>3250</v>
      </c>
      <c r="AN698" t="s">
        <v>3250</v>
      </c>
      <c r="AO698" t="s">
        <v>3250</v>
      </c>
      <c r="AS698" t="s">
        <v>3250</v>
      </c>
      <c r="AT698" t="s">
        <v>3250</v>
      </c>
      <c r="AU698" t="s">
        <v>3250</v>
      </c>
      <c r="AV698" t="s">
        <v>3250</v>
      </c>
      <c r="AW698" t="s">
        <v>3250</v>
      </c>
      <c r="AX698" t="s">
        <v>3250</v>
      </c>
      <c r="AY698" t="s">
        <v>3250</v>
      </c>
      <c r="AZ698" t="s">
        <v>3250</v>
      </c>
      <c r="BA698" t="s">
        <v>3250</v>
      </c>
      <c r="BB698" t="s">
        <v>3250</v>
      </c>
      <c r="BC698" t="s">
        <v>3250</v>
      </c>
      <c r="BE698" t="s">
        <v>3250</v>
      </c>
      <c r="BF698" t="s">
        <v>3250</v>
      </c>
      <c r="BG698" t="s">
        <v>3250</v>
      </c>
      <c r="BH698" t="s">
        <v>3250</v>
      </c>
      <c r="BI698" t="s">
        <v>3250</v>
      </c>
      <c r="BK698" t="s">
        <v>3250</v>
      </c>
      <c r="BL698" t="s">
        <v>3250</v>
      </c>
      <c r="BM698" t="s">
        <v>3250</v>
      </c>
      <c r="BN698" t="s">
        <v>3250</v>
      </c>
      <c r="BP698">
        <v>1</v>
      </c>
      <c r="BQ698">
        <v>15</v>
      </c>
      <c r="BR698" t="s">
        <v>285</v>
      </c>
      <c r="BS698" t="s">
        <v>3252</v>
      </c>
      <c r="BV698">
        <v>0</v>
      </c>
      <c r="BW698">
        <v>0</v>
      </c>
      <c r="BX698">
        <v>0</v>
      </c>
      <c r="BY698">
        <v>0</v>
      </c>
      <c r="BZ698">
        <v>0</v>
      </c>
      <c r="CA698">
        <v>0</v>
      </c>
      <c r="CB698">
        <v>0</v>
      </c>
      <c r="CC698">
        <v>0</v>
      </c>
      <c r="CD698">
        <v>0</v>
      </c>
      <c r="CE698" t="s">
        <v>3108</v>
      </c>
      <c r="CF698" t="s">
        <v>3108</v>
      </c>
      <c r="CG698" t="s">
        <v>3108</v>
      </c>
      <c r="CH698" t="s">
        <v>3108</v>
      </c>
    </row>
    <row r="699" spans="1:86" x14ac:dyDescent="0.2">
      <c r="A699" t="s">
        <v>4334</v>
      </c>
      <c r="B699" t="s">
        <v>4334</v>
      </c>
      <c r="C699">
        <v>41133</v>
      </c>
      <c r="D699">
        <v>525</v>
      </c>
      <c r="E699" t="s">
        <v>4027</v>
      </c>
      <c r="F699">
        <v>2900</v>
      </c>
      <c r="G699" t="s">
        <v>822</v>
      </c>
      <c r="H699" t="s">
        <v>3108</v>
      </c>
      <c r="I699" t="s">
        <v>3108</v>
      </c>
      <c r="J699">
        <v>2904</v>
      </c>
      <c r="K699" t="s">
        <v>1690</v>
      </c>
      <c r="L699">
        <v>1200</v>
      </c>
      <c r="M699" t="s">
        <v>2368</v>
      </c>
      <c r="N699">
        <v>1206</v>
      </c>
      <c r="O699" t="s">
        <v>285</v>
      </c>
      <c r="P699" t="s">
        <v>3108</v>
      </c>
      <c r="Q699" t="s">
        <v>3249</v>
      </c>
      <c r="R699" t="s">
        <v>3249</v>
      </c>
      <c r="S699" t="s">
        <v>810</v>
      </c>
      <c r="T699" t="s">
        <v>2754</v>
      </c>
      <c r="U699" t="s">
        <v>3250</v>
      </c>
      <c r="V699" t="s">
        <v>3250</v>
      </c>
      <c r="W699" t="s">
        <v>3250</v>
      </c>
      <c r="X699" t="s">
        <v>3250</v>
      </c>
      <c r="Y699" t="s">
        <v>3250</v>
      </c>
      <c r="Z699" t="s">
        <v>3250</v>
      </c>
      <c r="AA699" t="s">
        <v>3108</v>
      </c>
      <c r="AB699" t="s">
        <v>3108</v>
      </c>
      <c r="AC699" t="s">
        <v>3250</v>
      </c>
      <c r="AD699" t="s">
        <v>3250</v>
      </c>
      <c r="AE699" t="s">
        <v>3250</v>
      </c>
      <c r="AF699" t="s">
        <v>3250</v>
      </c>
      <c r="AG699" t="s">
        <v>3250</v>
      </c>
      <c r="AH699" t="s">
        <v>3250</v>
      </c>
      <c r="AI699" t="s">
        <v>3250</v>
      </c>
      <c r="AJ699" t="s">
        <v>3250</v>
      </c>
      <c r="AL699" t="s">
        <v>3250</v>
      </c>
      <c r="AM699" t="s">
        <v>3250</v>
      </c>
      <c r="AN699" t="s">
        <v>3250</v>
      </c>
      <c r="AO699" t="s">
        <v>3250</v>
      </c>
      <c r="AS699" t="s">
        <v>3250</v>
      </c>
      <c r="AT699" t="s">
        <v>3250</v>
      </c>
      <c r="AU699" t="s">
        <v>3250</v>
      </c>
      <c r="AV699" t="s">
        <v>3250</v>
      </c>
      <c r="AW699" t="s">
        <v>3250</v>
      </c>
      <c r="AX699" t="s">
        <v>3250</v>
      </c>
      <c r="AY699" t="s">
        <v>3250</v>
      </c>
      <c r="AZ699" t="s">
        <v>3250</v>
      </c>
      <c r="BA699" t="s">
        <v>3250</v>
      </c>
      <c r="BB699" t="s">
        <v>3250</v>
      </c>
      <c r="BC699" t="s">
        <v>3250</v>
      </c>
      <c r="BE699" t="s">
        <v>3250</v>
      </c>
      <c r="BF699" t="s">
        <v>3250</v>
      </c>
      <c r="BG699" t="s">
        <v>3250</v>
      </c>
      <c r="BH699" t="s">
        <v>3250</v>
      </c>
      <c r="BI699" t="s">
        <v>3250</v>
      </c>
      <c r="BK699" t="s">
        <v>3250</v>
      </c>
      <c r="BL699" t="s">
        <v>3250</v>
      </c>
      <c r="BM699" t="s">
        <v>3250</v>
      </c>
      <c r="BN699" t="s">
        <v>3250</v>
      </c>
      <c r="BP699">
        <v>1</v>
      </c>
      <c r="BQ699">
        <v>15</v>
      </c>
      <c r="BR699" t="s">
        <v>285</v>
      </c>
      <c r="BS699" t="s">
        <v>3252</v>
      </c>
      <c r="BV699">
        <v>0</v>
      </c>
      <c r="BW699">
        <v>0</v>
      </c>
      <c r="BX699">
        <v>0</v>
      </c>
      <c r="BY699">
        <v>0</v>
      </c>
      <c r="BZ699">
        <v>0</v>
      </c>
      <c r="CA699">
        <v>0</v>
      </c>
      <c r="CB699">
        <v>0</v>
      </c>
      <c r="CC699">
        <v>0</v>
      </c>
      <c r="CD699">
        <v>0</v>
      </c>
      <c r="CE699" t="s">
        <v>3108</v>
      </c>
      <c r="CF699" t="s">
        <v>3108</v>
      </c>
      <c r="CG699" t="s">
        <v>3108</v>
      </c>
      <c r="CH699" t="s">
        <v>3108</v>
      </c>
    </row>
    <row r="700" spans="1:86" x14ac:dyDescent="0.2">
      <c r="A700" t="s">
        <v>4335</v>
      </c>
      <c r="B700" t="s">
        <v>4335</v>
      </c>
      <c r="C700">
        <v>41134</v>
      </c>
      <c r="D700">
        <v>526</v>
      </c>
      <c r="E700" t="s">
        <v>4099</v>
      </c>
      <c r="F700">
        <v>2900</v>
      </c>
      <c r="G700" t="s">
        <v>822</v>
      </c>
      <c r="H700" t="s">
        <v>3108</v>
      </c>
      <c r="I700" t="s">
        <v>3108</v>
      </c>
      <c r="J700">
        <v>2904</v>
      </c>
      <c r="K700" t="s">
        <v>1690</v>
      </c>
      <c r="L700">
        <v>1200</v>
      </c>
      <c r="M700" t="s">
        <v>2368</v>
      </c>
      <c r="N700">
        <v>1206</v>
      </c>
      <c r="O700" t="s">
        <v>285</v>
      </c>
      <c r="P700" t="s">
        <v>3108</v>
      </c>
      <c r="Q700" t="s">
        <v>3249</v>
      </c>
      <c r="R700" t="s">
        <v>3249</v>
      </c>
      <c r="S700" t="s">
        <v>810</v>
      </c>
      <c r="T700" t="s">
        <v>2754</v>
      </c>
      <c r="U700" t="s">
        <v>3250</v>
      </c>
      <c r="V700" t="s">
        <v>3250</v>
      </c>
      <c r="W700" t="s">
        <v>3250</v>
      </c>
      <c r="X700" t="s">
        <v>3250</v>
      </c>
      <c r="Y700" t="s">
        <v>3250</v>
      </c>
      <c r="Z700" t="s">
        <v>3250</v>
      </c>
      <c r="AA700" t="s">
        <v>3108</v>
      </c>
      <c r="AB700" t="s">
        <v>3108</v>
      </c>
      <c r="AC700" t="s">
        <v>3250</v>
      </c>
      <c r="AD700" t="s">
        <v>3250</v>
      </c>
      <c r="AE700" t="s">
        <v>3250</v>
      </c>
      <c r="AF700" t="s">
        <v>3250</v>
      </c>
      <c r="AG700" t="s">
        <v>3250</v>
      </c>
      <c r="AH700" t="s">
        <v>3250</v>
      </c>
      <c r="AI700" t="s">
        <v>3250</v>
      </c>
      <c r="AJ700" t="s">
        <v>3250</v>
      </c>
      <c r="AL700" t="s">
        <v>3250</v>
      </c>
      <c r="AM700" t="s">
        <v>3250</v>
      </c>
      <c r="AN700" t="s">
        <v>3250</v>
      </c>
      <c r="AO700" t="s">
        <v>3250</v>
      </c>
      <c r="AS700" t="s">
        <v>3250</v>
      </c>
      <c r="AT700" t="s">
        <v>3250</v>
      </c>
      <c r="AU700" t="s">
        <v>3250</v>
      </c>
      <c r="AV700" t="s">
        <v>3250</v>
      </c>
      <c r="AW700" t="s">
        <v>3250</v>
      </c>
      <c r="AX700" t="s">
        <v>3250</v>
      </c>
      <c r="AY700" t="s">
        <v>3250</v>
      </c>
      <c r="AZ700" t="s">
        <v>3250</v>
      </c>
      <c r="BA700" t="s">
        <v>3250</v>
      </c>
      <c r="BB700" t="s">
        <v>3250</v>
      </c>
      <c r="BC700" t="s">
        <v>3250</v>
      </c>
      <c r="BE700" t="s">
        <v>3250</v>
      </c>
      <c r="BF700" t="s">
        <v>3250</v>
      </c>
      <c r="BG700" t="s">
        <v>3250</v>
      </c>
      <c r="BH700" t="s">
        <v>3250</v>
      </c>
      <c r="BI700" t="s">
        <v>3250</v>
      </c>
      <c r="BK700" t="s">
        <v>3250</v>
      </c>
      <c r="BL700" t="s">
        <v>3250</v>
      </c>
      <c r="BM700" t="s">
        <v>3250</v>
      </c>
      <c r="BN700" t="s">
        <v>3250</v>
      </c>
      <c r="BP700">
        <v>1</v>
      </c>
      <c r="BQ700">
        <v>15</v>
      </c>
      <c r="BR700" t="s">
        <v>285</v>
      </c>
      <c r="BS700" t="s">
        <v>3252</v>
      </c>
      <c r="BV700">
        <v>0</v>
      </c>
      <c r="BW700">
        <v>0</v>
      </c>
      <c r="BX700">
        <v>0</v>
      </c>
      <c r="BY700">
        <v>0</v>
      </c>
      <c r="BZ700">
        <v>0</v>
      </c>
      <c r="CA700">
        <v>0</v>
      </c>
      <c r="CB700">
        <v>0</v>
      </c>
      <c r="CC700">
        <v>0</v>
      </c>
      <c r="CD700">
        <v>0</v>
      </c>
      <c r="CE700" t="s">
        <v>3108</v>
      </c>
      <c r="CF700" t="s">
        <v>3108</v>
      </c>
      <c r="CG700" t="s">
        <v>3108</v>
      </c>
      <c r="CH700" t="s">
        <v>3108</v>
      </c>
    </row>
    <row r="701" spans="1:86" x14ac:dyDescent="0.2">
      <c r="A701" t="s">
        <v>4336</v>
      </c>
      <c r="B701" t="s">
        <v>4336</v>
      </c>
      <c r="C701">
        <v>41135</v>
      </c>
      <c r="D701">
        <v>527</v>
      </c>
      <c r="E701" t="s">
        <v>4031</v>
      </c>
      <c r="F701">
        <v>2900</v>
      </c>
      <c r="G701" t="s">
        <v>822</v>
      </c>
      <c r="H701" t="s">
        <v>3108</v>
      </c>
      <c r="I701" t="s">
        <v>3108</v>
      </c>
      <c r="J701">
        <v>2904</v>
      </c>
      <c r="K701" t="s">
        <v>1690</v>
      </c>
      <c r="L701">
        <v>1200</v>
      </c>
      <c r="M701" t="s">
        <v>2368</v>
      </c>
      <c r="N701">
        <v>1206</v>
      </c>
      <c r="O701" t="s">
        <v>285</v>
      </c>
      <c r="P701" t="s">
        <v>3108</v>
      </c>
      <c r="Q701" t="s">
        <v>3249</v>
      </c>
      <c r="R701" t="s">
        <v>3249</v>
      </c>
      <c r="S701" t="s">
        <v>810</v>
      </c>
      <c r="T701" t="s">
        <v>2754</v>
      </c>
      <c r="U701" t="s">
        <v>3250</v>
      </c>
      <c r="V701" t="s">
        <v>3250</v>
      </c>
      <c r="W701" t="s">
        <v>3250</v>
      </c>
      <c r="X701" t="s">
        <v>3250</v>
      </c>
      <c r="Y701" t="s">
        <v>3250</v>
      </c>
      <c r="Z701" t="s">
        <v>3250</v>
      </c>
      <c r="AA701" t="s">
        <v>3108</v>
      </c>
      <c r="AB701" t="s">
        <v>3108</v>
      </c>
      <c r="AC701" t="s">
        <v>3250</v>
      </c>
      <c r="AD701" t="s">
        <v>3250</v>
      </c>
      <c r="AE701" t="s">
        <v>3250</v>
      </c>
      <c r="AF701" t="s">
        <v>3250</v>
      </c>
      <c r="AG701" t="s">
        <v>3250</v>
      </c>
      <c r="AH701" t="s">
        <v>3250</v>
      </c>
      <c r="AI701" t="s">
        <v>3250</v>
      </c>
      <c r="AJ701" t="s">
        <v>3250</v>
      </c>
      <c r="AL701" t="s">
        <v>3250</v>
      </c>
      <c r="AM701" t="s">
        <v>3250</v>
      </c>
      <c r="AN701" t="s">
        <v>3250</v>
      </c>
      <c r="AO701" t="s">
        <v>3250</v>
      </c>
      <c r="AS701" t="s">
        <v>3250</v>
      </c>
      <c r="AT701" t="s">
        <v>3250</v>
      </c>
      <c r="AU701" t="s">
        <v>3250</v>
      </c>
      <c r="AV701" t="s">
        <v>3250</v>
      </c>
      <c r="AW701" t="s">
        <v>3250</v>
      </c>
      <c r="AX701" t="s">
        <v>3250</v>
      </c>
      <c r="AY701" t="s">
        <v>3250</v>
      </c>
      <c r="AZ701" t="s">
        <v>3250</v>
      </c>
      <c r="BA701" t="s">
        <v>3250</v>
      </c>
      <c r="BB701" t="s">
        <v>3250</v>
      </c>
      <c r="BC701" t="s">
        <v>3250</v>
      </c>
      <c r="BE701" t="s">
        <v>3250</v>
      </c>
      <c r="BF701" t="s">
        <v>3250</v>
      </c>
      <c r="BG701" t="s">
        <v>3250</v>
      </c>
      <c r="BH701" t="s">
        <v>3250</v>
      </c>
      <c r="BI701" t="s">
        <v>3250</v>
      </c>
      <c r="BK701" t="s">
        <v>3250</v>
      </c>
      <c r="BL701" t="s">
        <v>3250</v>
      </c>
      <c r="BM701" t="s">
        <v>3250</v>
      </c>
      <c r="BN701" t="s">
        <v>3250</v>
      </c>
      <c r="BP701">
        <v>1</v>
      </c>
      <c r="BQ701">
        <v>15</v>
      </c>
      <c r="BR701" t="s">
        <v>285</v>
      </c>
      <c r="BS701" t="s">
        <v>3252</v>
      </c>
      <c r="BV701">
        <v>0</v>
      </c>
      <c r="BW701">
        <v>0</v>
      </c>
      <c r="BX701">
        <v>18426</v>
      </c>
      <c r="BY701">
        <v>0</v>
      </c>
      <c r="BZ701">
        <v>0</v>
      </c>
      <c r="CA701">
        <v>0</v>
      </c>
      <c r="CB701">
        <v>0</v>
      </c>
      <c r="CC701">
        <v>0</v>
      </c>
      <c r="CD701">
        <v>0</v>
      </c>
      <c r="CE701" t="s">
        <v>3108</v>
      </c>
      <c r="CF701" t="s">
        <v>3108</v>
      </c>
      <c r="CG701" t="s">
        <v>3108</v>
      </c>
      <c r="CH701" t="s">
        <v>3108</v>
      </c>
    </row>
    <row r="702" spans="1:86" x14ac:dyDescent="0.2">
      <c r="A702" t="s">
        <v>4337</v>
      </c>
      <c r="B702" t="s">
        <v>4337</v>
      </c>
      <c r="C702">
        <v>41136</v>
      </c>
      <c r="D702">
        <v>528</v>
      </c>
      <c r="E702" t="s">
        <v>4033</v>
      </c>
      <c r="F702">
        <v>2900</v>
      </c>
      <c r="G702" t="s">
        <v>822</v>
      </c>
      <c r="H702" t="s">
        <v>3108</v>
      </c>
      <c r="I702" t="s">
        <v>3108</v>
      </c>
      <c r="J702">
        <v>2904</v>
      </c>
      <c r="K702" t="s">
        <v>1690</v>
      </c>
      <c r="L702">
        <v>1200</v>
      </c>
      <c r="M702" t="s">
        <v>2368</v>
      </c>
      <c r="N702">
        <v>1206</v>
      </c>
      <c r="O702" t="s">
        <v>285</v>
      </c>
      <c r="P702" t="s">
        <v>3108</v>
      </c>
      <c r="Q702" t="s">
        <v>3249</v>
      </c>
      <c r="R702" t="s">
        <v>3249</v>
      </c>
      <c r="S702" t="s">
        <v>810</v>
      </c>
      <c r="T702" t="s">
        <v>2754</v>
      </c>
      <c r="U702" t="s">
        <v>3250</v>
      </c>
      <c r="V702" t="s">
        <v>3250</v>
      </c>
      <c r="W702" t="s">
        <v>3250</v>
      </c>
      <c r="X702" t="s">
        <v>3250</v>
      </c>
      <c r="Y702" t="s">
        <v>3250</v>
      </c>
      <c r="Z702" t="s">
        <v>3250</v>
      </c>
      <c r="AA702" t="s">
        <v>3108</v>
      </c>
      <c r="AB702" t="s">
        <v>3108</v>
      </c>
      <c r="AC702" t="s">
        <v>3250</v>
      </c>
      <c r="AD702" t="s">
        <v>3250</v>
      </c>
      <c r="AE702" t="s">
        <v>3250</v>
      </c>
      <c r="AF702" t="s">
        <v>3250</v>
      </c>
      <c r="AG702" t="s">
        <v>3250</v>
      </c>
      <c r="AH702" t="s">
        <v>3250</v>
      </c>
      <c r="AI702" t="s">
        <v>3250</v>
      </c>
      <c r="AJ702" t="s">
        <v>3250</v>
      </c>
      <c r="AL702" t="s">
        <v>3250</v>
      </c>
      <c r="AM702" t="s">
        <v>3250</v>
      </c>
      <c r="AN702" t="s">
        <v>3250</v>
      </c>
      <c r="AO702" t="s">
        <v>3250</v>
      </c>
      <c r="AS702" t="s">
        <v>3250</v>
      </c>
      <c r="AT702" t="s">
        <v>3250</v>
      </c>
      <c r="AU702" t="s">
        <v>3250</v>
      </c>
      <c r="AV702" t="s">
        <v>3250</v>
      </c>
      <c r="AW702" t="s">
        <v>3250</v>
      </c>
      <c r="AX702" t="s">
        <v>3250</v>
      </c>
      <c r="AY702" t="s">
        <v>3250</v>
      </c>
      <c r="AZ702" t="s">
        <v>3250</v>
      </c>
      <c r="BA702" t="s">
        <v>3250</v>
      </c>
      <c r="BB702" t="s">
        <v>3250</v>
      </c>
      <c r="BC702" t="s">
        <v>3250</v>
      </c>
      <c r="BE702" t="s">
        <v>3250</v>
      </c>
      <c r="BF702" t="s">
        <v>3250</v>
      </c>
      <c r="BG702" t="s">
        <v>3250</v>
      </c>
      <c r="BH702" t="s">
        <v>3250</v>
      </c>
      <c r="BI702" t="s">
        <v>3250</v>
      </c>
      <c r="BK702" t="s">
        <v>3250</v>
      </c>
      <c r="BL702" t="s">
        <v>3250</v>
      </c>
      <c r="BM702" t="s">
        <v>3250</v>
      </c>
      <c r="BN702" t="s">
        <v>3250</v>
      </c>
      <c r="BP702">
        <v>1</v>
      </c>
      <c r="BQ702">
        <v>15</v>
      </c>
      <c r="BR702" t="s">
        <v>285</v>
      </c>
      <c r="BS702" t="s">
        <v>3252</v>
      </c>
      <c r="BV702">
        <v>0</v>
      </c>
      <c r="BW702">
        <v>0</v>
      </c>
      <c r="BX702">
        <v>0</v>
      </c>
      <c r="BY702">
        <v>0</v>
      </c>
      <c r="BZ702">
        <v>0</v>
      </c>
      <c r="CA702">
        <v>0</v>
      </c>
      <c r="CB702">
        <v>0</v>
      </c>
      <c r="CC702">
        <v>0</v>
      </c>
      <c r="CD702">
        <v>0</v>
      </c>
      <c r="CE702" t="s">
        <v>3108</v>
      </c>
      <c r="CF702" t="s">
        <v>3108</v>
      </c>
      <c r="CG702" t="s">
        <v>3108</v>
      </c>
      <c r="CH702" t="s">
        <v>3108</v>
      </c>
    </row>
    <row r="703" spans="1:86" x14ac:dyDescent="0.2">
      <c r="A703" t="s">
        <v>4338</v>
      </c>
      <c r="B703" t="s">
        <v>4338</v>
      </c>
      <c r="C703">
        <v>41137</v>
      </c>
      <c r="D703">
        <v>529</v>
      </c>
      <c r="E703" t="s">
        <v>4326</v>
      </c>
      <c r="F703">
        <v>2700</v>
      </c>
      <c r="G703" t="s">
        <v>411</v>
      </c>
      <c r="H703" t="s">
        <v>4004</v>
      </c>
      <c r="I703" t="s">
        <v>2531</v>
      </c>
      <c r="J703">
        <v>2701</v>
      </c>
      <c r="K703" t="s">
        <v>2531</v>
      </c>
      <c r="L703">
        <v>1200</v>
      </c>
      <c r="M703" t="s">
        <v>2368</v>
      </c>
      <c r="N703">
        <v>1206</v>
      </c>
      <c r="O703" t="s">
        <v>285</v>
      </c>
      <c r="P703" t="s">
        <v>3108</v>
      </c>
      <c r="Q703" t="s">
        <v>3249</v>
      </c>
      <c r="R703" t="s">
        <v>3249</v>
      </c>
      <c r="S703" t="s">
        <v>810</v>
      </c>
      <c r="T703" t="s">
        <v>2754</v>
      </c>
      <c r="U703" t="s">
        <v>3250</v>
      </c>
      <c r="V703" t="s">
        <v>3250</v>
      </c>
      <c r="W703" t="s">
        <v>3250</v>
      </c>
      <c r="X703" t="s">
        <v>3250</v>
      </c>
      <c r="Y703" t="s">
        <v>3250</v>
      </c>
      <c r="Z703" t="s">
        <v>3250</v>
      </c>
      <c r="AA703" t="s">
        <v>3108</v>
      </c>
      <c r="AB703" t="s">
        <v>3108</v>
      </c>
      <c r="AC703" t="s">
        <v>3250</v>
      </c>
      <c r="AD703" t="s">
        <v>3250</v>
      </c>
      <c r="AE703" t="s">
        <v>3250</v>
      </c>
      <c r="AF703" t="s">
        <v>3250</v>
      </c>
      <c r="AG703" t="s">
        <v>3250</v>
      </c>
      <c r="AH703" t="s">
        <v>3250</v>
      </c>
      <c r="AI703" t="s">
        <v>3250</v>
      </c>
      <c r="AJ703" t="s">
        <v>3250</v>
      </c>
      <c r="AL703" t="s">
        <v>3250</v>
      </c>
      <c r="AM703" t="s">
        <v>3250</v>
      </c>
      <c r="AN703" t="s">
        <v>3250</v>
      </c>
      <c r="AO703" t="s">
        <v>3250</v>
      </c>
      <c r="AS703" t="s">
        <v>3250</v>
      </c>
      <c r="AT703" t="s">
        <v>3250</v>
      </c>
      <c r="AU703" t="s">
        <v>3250</v>
      </c>
      <c r="AV703" t="s">
        <v>3250</v>
      </c>
      <c r="AW703" t="s">
        <v>3250</v>
      </c>
      <c r="AX703" t="s">
        <v>3250</v>
      </c>
      <c r="AY703" t="s">
        <v>3250</v>
      </c>
      <c r="AZ703" t="s">
        <v>3250</v>
      </c>
      <c r="BA703" t="s">
        <v>3250</v>
      </c>
      <c r="BB703" t="s">
        <v>3250</v>
      </c>
      <c r="BC703" t="s">
        <v>3250</v>
      </c>
      <c r="BE703" t="s">
        <v>3250</v>
      </c>
      <c r="BF703" t="s">
        <v>3250</v>
      </c>
      <c r="BG703" t="s">
        <v>3250</v>
      </c>
      <c r="BH703" t="s">
        <v>3250</v>
      </c>
      <c r="BI703" t="s">
        <v>3250</v>
      </c>
      <c r="BK703" t="s">
        <v>3250</v>
      </c>
      <c r="BL703" t="s">
        <v>3250</v>
      </c>
      <c r="BM703" t="s">
        <v>3250</v>
      </c>
      <c r="BN703" t="s">
        <v>3250</v>
      </c>
      <c r="BP703">
        <v>1</v>
      </c>
      <c r="BQ703">
        <v>15</v>
      </c>
      <c r="BR703" t="s">
        <v>285</v>
      </c>
      <c r="BS703" t="s">
        <v>3252</v>
      </c>
      <c r="BV703">
        <v>0</v>
      </c>
      <c r="BW703">
        <v>0</v>
      </c>
      <c r="BX703">
        <v>147000</v>
      </c>
      <c r="BY703">
        <v>0</v>
      </c>
      <c r="BZ703">
        <v>0</v>
      </c>
      <c r="CA703">
        <v>0</v>
      </c>
      <c r="CB703">
        <v>0</v>
      </c>
      <c r="CC703">
        <v>0</v>
      </c>
      <c r="CD703">
        <v>0</v>
      </c>
      <c r="CE703" t="s">
        <v>3108</v>
      </c>
      <c r="CF703" t="s">
        <v>3108</v>
      </c>
      <c r="CG703" t="s">
        <v>3108</v>
      </c>
      <c r="CH703" t="s">
        <v>3108</v>
      </c>
    </row>
    <row r="704" spans="1:86" x14ac:dyDescent="0.2">
      <c r="A704" t="s">
        <v>4339</v>
      </c>
      <c r="B704" t="s">
        <v>4339</v>
      </c>
      <c r="C704">
        <v>41138</v>
      </c>
      <c r="D704">
        <v>530</v>
      </c>
      <c r="E704" t="s">
        <v>4003</v>
      </c>
      <c r="F704">
        <v>2700</v>
      </c>
      <c r="G704" t="s">
        <v>411</v>
      </c>
      <c r="H704" t="s">
        <v>4004</v>
      </c>
      <c r="I704" t="s">
        <v>2531</v>
      </c>
      <c r="J704">
        <v>2701</v>
      </c>
      <c r="K704" t="s">
        <v>2531</v>
      </c>
      <c r="L704">
        <v>1200</v>
      </c>
      <c r="M704" t="s">
        <v>2368</v>
      </c>
      <c r="N704">
        <v>1206</v>
      </c>
      <c r="O704" t="s">
        <v>285</v>
      </c>
      <c r="P704" t="s">
        <v>3108</v>
      </c>
      <c r="Q704" t="s">
        <v>3249</v>
      </c>
      <c r="R704" t="s">
        <v>3249</v>
      </c>
      <c r="S704" t="s">
        <v>810</v>
      </c>
      <c r="T704" t="s">
        <v>2754</v>
      </c>
      <c r="U704" t="s">
        <v>3250</v>
      </c>
      <c r="V704" t="s">
        <v>3250</v>
      </c>
      <c r="W704" t="s">
        <v>3250</v>
      </c>
      <c r="X704" t="s">
        <v>3250</v>
      </c>
      <c r="Y704" t="s">
        <v>3250</v>
      </c>
      <c r="Z704" t="s">
        <v>3250</v>
      </c>
      <c r="AA704" t="s">
        <v>3108</v>
      </c>
      <c r="AB704" t="s">
        <v>3108</v>
      </c>
      <c r="AC704" t="s">
        <v>3250</v>
      </c>
      <c r="AD704" t="s">
        <v>3250</v>
      </c>
      <c r="AE704" t="s">
        <v>3250</v>
      </c>
      <c r="AF704" t="s">
        <v>3250</v>
      </c>
      <c r="AG704" t="s">
        <v>3250</v>
      </c>
      <c r="AH704" t="s">
        <v>3250</v>
      </c>
      <c r="AI704" t="s">
        <v>3250</v>
      </c>
      <c r="AJ704" t="s">
        <v>3250</v>
      </c>
      <c r="AL704" t="s">
        <v>3250</v>
      </c>
      <c r="AM704" t="s">
        <v>3250</v>
      </c>
      <c r="AN704" t="s">
        <v>3250</v>
      </c>
      <c r="AO704" t="s">
        <v>3250</v>
      </c>
      <c r="AS704" t="s">
        <v>3250</v>
      </c>
      <c r="AT704" t="s">
        <v>3250</v>
      </c>
      <c r="AU704" t="s">
        <v>3250</v>
      </c>
      <c r="AV704" t="s">
        <v>3250</v>
      </c>
      <c r="AW704" t="s">
        <v>3250</v>
      </c>
      <c r="AX704" t="s">
        <v>3250</v>
      </c>
      <c r="AY704" t="s">
        <v>3250</v>
      </c>
      <c r="AZ704" t="s">
        <v>3250</v>
      </c>
      <c r="BA704" t="s">
        <v>3250</v>
      </c>
      <c r="BB704" t="s">
        <v>3250</v>
      </c>
      <c r="BC704" t="s">
        <v>3250</v>
      </c>
      <c r="BE704" t="s">
        <v>3250</v>
      </c>
      <c r="BF704" t="s">
        <v>3250</v>
      </c>
      <c r="BG704" t="s">
        <v>3250</v>
      </c>
      <c r="BH704" t="s">
        <v>3250</v>
      </c>
      <c r="BI704" t="s">
        <v>3250</v>
      </c>
      <c r="BK704" t="s">
        <v>3250</v>
      </c>
      <c r="BL704" t="s">
        <v>3250</v>
      </c>
      <c r="BM704" t="s">
        <v>3250</v>
      </c>
      <c r="BN704" t="s">
        <v>3250</v>
      </c>
      <c r="BP704">
        <v>1</v>
      </c>
      <c r="BQ704">
        <v>15</v>
      </c>
      <c r="BR704" t="s">
        <v>285</v>
      </c>
      <c r="BS704" t="s">
        <v>3252</v>
      </c>
      <c r="BV704">
        <v>0</v>
      </c>
      <c r="BW704">
        <v>0</v>
      </c>
      <c r="BX704">
        <v>2400</v>
      </c>
      <c r="BY704">
        <v>0</v>
      </c>
      <c r="BZ704">
        <v>0</v>
      </c>
      <c r="CA704">
        <v>0</v>
      </c>
      <c r="CB704">
        <v>0</v>
      </c>
      <c r="CC704">
        <v>0</v>
      </c>
      <c r="CD704">
        <v>0</v>
      </c>
      <c r="CE704" t="s">
        <v>3108</v>
      </c>
      <c r="CF704" t="s">
        <v>3108</v>
      </c>
      <c r="CG704" t="s">
        <v>3108</v>
      </c>
      <c r="CH704" t="s">
        <v>3108</v>
      </c>
    </row>
    <row r="705" spans="1:86" x14ac:dyDescent="0.2">
      <c r="A705" t="s">
        <v>4340</v>
      </c>
      <c r="B705" t="s">
        <v>4340</v>
      </c>
      <c r="C705">
        <v>41141</v>
      </c>
      <c r="D705">
        <v>226</v>
      </c>
      <c r="E705" t="s">
        <v>4341</v>
      </c>
      <c r="F705">
        <v>2700</v>
      </c>
      <c r="G705" t="s">
        <v>411</v>
      </c>
      <c r="H705" t="s">
        <v>3837</v>
      </c>
      <c r="I705" t="s">
        <v>2532</v>
      </c>
      <c r="J705">
        <v>2702</v>
      </c>
      <c r="K705" t="s">
        <v>2532</v>
      </c>
      <c r="L705">
        <v>3200</v>
      </c>
      <c r="M705" t="s">
        <v>128</v>
      </c>
      <c r="N705">
        <v>3205</v>
      </c>
      <c r="O705" t="s">
        <v>629</v>
      </c>
      <c r="P705" t="s">
        <v>3108</v>
      </c>
      <c r="Q705" t="s">
        <v>3249</v>
      </c>
      <c r="R705" t="s">
        <v>3249</v>
      </c>
      <c r="S705" t="s">
        <v>810</v>
      </c>
      <c r="T705" t="s">
        <v>2754</v>
      </c>
      <c r="U705" t="s">
        <v>3250</v>
      </c>
      <c r="V705" t="s">
        <v>3250</v>
      </c>
      <c r="W705" t="s">
        <v>3250</v>
      </c>
      <c r="X705" t="s">
        <v>3250</v>
      </c>
      <c r="Y705" t="s">
        <v>3250</v>
      </c>
      <c r="Z705" t="s">
        <v>3250</v>
      </c>
      <c r="AA705" t="s">
        <v>3108</v>
      </c>
      <c r="AB705" t="s">
        <v>3108</v>
      </c>
      <c r="AC705" t="s">
        <v>3250</v>
      </c>
      <c r="AD705" t="s">
        <v>3250</v>
      </c>
      <c r="AE705" t="s">
        <v>3250</v>
      </c>
      <c r="AF705" t="s">
        <v>3250</v>
      </c>
      <c r="AG705" t="s">
        <v>3250</v>
      </c>
      <c r="AH705" t="s">
        <v>3250</v>
      </c>
      <c r="AI705" t="s">
        <v>3250</v>
      </c>
      <c r="AJ705" t="s">
        <v>3250</v>
      </c>
      <c r="AL705" t="s">
        <v>3250</v>
      </c>
      <c r="AM705" t="s">
        <v>3250</v>
      </c>
      <c r="AN705" t="s">
        <v>3250</v>
      </c>
      <c r="AO705" t="s">
        <v>3250</v>
      </c>
      <c r="AS705" t="s">
        <v>3250</v>
      </c>
      <c r="AT705" t="s">
        <v>3250</v>
      </c>
      <c r="AU705" t="s">
        <v>3250</v>
      </c>
      <c r="AV705" t="s">
        <v>3250</v>
      </c>
      <c r="AW705" t="s">
        <v>3250</v>
      </c>
      <c r="AX705" t="s">
        <v>3250</v>
      </c>
      <c r="AY705">
        <v>120</v>
      </c>
      <c r="AZ705" t="s">
        <v>629</v>
      </c>
      <c r="BA705" t="s">
        <v>3250</v>
      </c>
      <c r="BB705">
        <v>120</v>
      </c>
      <c r="BC705" t="s">
        <v>629</v>
      </c>
      <c r="BE705" t="s">
        <v>3250</v>
      </c>
      <c r="BF705" t="s">
        <v>3250</v>
      </c>
      <c r="BG705" t="s">
        <v>3250</v>
      </c>
      <c r="BH705" t="s">
        <v>3250</v>
      </c>
      <c r="BI705" t="s">
        <v>3250</v>
      </c>
      <c r="BK705" t="s">
        <v>3250</v>
      </c>
      <c r="BL705" t="s">
        <v>3250</v>
      </c>
      <c r="BM705" t="s">
        <v>3250</v>
      </c>
      <c r="BN705" t="s">
        <v>3250</v>
      </c>
      <c r="BP705">
        <v>7</v>
      </c>
      <c r="BQ705">
        <v>71</v>
      </c>
      <c r="BR705" t="s">
        <v>629</v>
      </c>
      <c r="BS705" t="s">
        <v>4212</v>
      </c>
      <c r="BV705">
        <v>2429850</v>
      </c>
      <c r="BW705">
        <v>612225</v>
      </c>
      <c r="BX705">
        <v>268020</v>
      </c>
      <c r="BY705">
        <v>0</v>
      </c>
      <c r="BZ705">
        <v>0</v>
      </c>
      <c r="CA705">
        <v>0</v>
      </c>
      <c r="CB705">
        <v>0</v>
      </c>
      <c r="CC705">
        <v>0</v>
      </c>
      <c r="CD705">
        <v>0</v>
      </c>
      <c r="CE705" t="s">
        <v>3108</v>
      </c>
      <c r="CF705" t="s">
        <v>3108</v>
      </c>
      <c r="CG705" t="s">
        <v>3108</v>
      </c>
      <c r="CH705" t="s">
        <v>3108</v>
      </c>
    </row>
    <row r="706" spans="1:86" x14ac:dyDescent="0.2">
      <c r="A706" t="s">
        <v>4342</v>
      </c>
      <c r="B706" t="s">
        <v>4342</v>
      </c>
      <c r="C706">
        <v>41142</v>
      </c>
      <c r="D706">
        <v>227</v>
      </c>
      <c r="E706" t="s">
        <v>4341</v>
      </c>
      <c r="F706">
        <v>2700</v>
      </c>
      <c r="G706" t="s">
        <v>411</v>
      </c>
      <c r="H706" t="s">
        <v>3837</v>
      </c>
      <c r="I706" t="s">
        <v>2532</v>
      </c>
      <c r="J706">
        <v>2702</v>
      </c>
      <c r="K706" t="s">
        <v>2532</v>
      </c>
      <c r="L706">
        <v>3200</v>
      </c>
      <c r="M706" t="s">
        <v>128</v>
      </c>
      <c r="N706">
        <v>3205</v>
      </c>
      <c r="O706" t="s">
        <v>629</v>
      </c>
      <c r="P706" t="s">
        <v>3108</v>
      </c>
      <c r="Q706" t="s">
        <v>3249</v>
      </c>
      <c r="R706" t="s">
        <v>3249</v>
      </c>
      <c r="S706" t="s">
        <v>810</v>
      </c>
      <c r="T706" t="s">
        <v>2754</v>
      </c>
      <c r="U706" t="s">
        <v>3250</v>
      </c>
      <c r="V706" t="s">
        <v>3250</v>
      </c>
      <c r="W706" t="s">
        <v>3250</v>
      </c>
      <c r="X706" t="s">
        <v>3250</v>
      </c>
      <c r="Y706" t="s">
        <v>3250</v>
      </c>
      <c r="Z706" t="s">
        <v>3250</v>
      </c>
      <c r="AA706" t="s">
        <v>3108</v>
      </c>
      <c r="AB706" t="s">
        <v>3108</v>
      </c>
      <c r="AC706" t="s">
        <v>3250</v>
      </c>
      <c r="AD706" t="s">
        <v>3250</v>
      </c>
      <c r="AE706" t="s">
        <v>3250</v>
      </c>
      <c r="AF706" t="s">
        <v>3250</v>
      </c>
      <c r="AG706" t="s">
        <v>3250</v>
      </c>
      <c r="AH706" t="s">
        <v>3250</v>
      </c>
      <c r="AI706" t="s">
        <v>3250</v>
      </c>
      <c r="AJ706" t="s">
        <v>3250</v>
      </c>
      <c r="AL706" t="s">
        <v>3250</v>
      </c>
      <c r="AM706" t="s">
        <v>3250</v>
      </c>
      <c r="AN706" t="s">
        <v>3250</v>
      </c>
      <c r="AO706" t="s">
        <v>3250</v>
      </c>
      <c r="AS706" t="s">
        <v>3250</v>
      </c>
      <c r="AT706" t="s">
        <v>3250</v>
      </c>
      <c r="AU706" t="s">
        <v>3250</v>
      </c>
      <c r="AV706" t="s">
        <v>3250</v>
      </c>
      <c r="AW706" t="s">
        <v>3250</v>
      </c>
      <c r="AX706" t="s">
        <v>3250</v>
      </c>
      <c r="AY706">
        <v>120</v>
      </c>
      <c r="AZ706" t="s">
        <v>629</v>
      </c>
      <c r="BA706" t="s">
        <v>3250</v>
      </c>
      <c r="BB706">
        <v>120</v>
      </c>
      <c r="BC706" t="s">
        <v>629</v>
      </c>
      <c r="BE706" t="s">
        <v>3250</v>
      </c>
      <c r="BF706" t="s">
        <v>3250</v>
      </c>
      <c r="BG706" t="s">
        <v>3250</v>
      </c>
      <c r="BH706" t="s">
        <v>3250</v>
      </c>
      <c r="BI706" t="s">
        <v>3250</v>
      </c>
      <c r="BK706" t="s">
        <v>3250</v>
      </c>
      <c r="BL706" t="s">
        <v>3250</v>
      </c>
      <c r="BM706" t="s">
        <v>3250</v>
      </c>
      <c r="BN706" t="s">
        <v>3250</v>
      </c>
      <c r="BP706">
        <v>7</v>
      </c>
      <c r="BQ706">
        <v>71</v>
      </c>
      <c r="BR706" t="s">
        <v>629</v>
      </c>
      <c r="BS706" t="s">
        <v>4212</v>
      </c>
      <c r="BV706">
        <v>0</v>
      </c>
      <c r="BW706">
        <v>0</v>
      </c>
      <c r="BX706">
        <v>0</v>
      </c>
      <c r="BY706">
        <v>0</v>
      </c>
      <c r="BZ706">
        <v>0</v>
      </c>
      <c r="CA706">
        <v>0</v>
      </c>
      <c r="CB706">
        <v>0</v>
      </c>
      <c r="CC706">
        <v>0</v>
      </c>
      <c r="CD706">
        <v>0</v>
      </c>
      <c r="CE706" t="s">
        <v>3108</v>
      </c>
      <c r="CF706" t="s">
        <v>3108</v>
      </c>
      <c r="CG706" t="s">
        <v>3108</v>
      </c>
      <c r="CH706" t="s">
        <v>3108</v>
      </c>
    </row>
    <row r="707" spans="1:86" x14ac:dyDescent="0.2">
      <c r="A707" t="s">
        <v>4343</v>
      </c>
      <c r="B707" t="s">
        <v>4343</v>
      </c>
      <c r="C707">
        <v>41144</v>
      </c>
      <c r="D707">
        <v>228</v>
      </c>
      <c r="E707" t="s">
        <v>4341</v>
      </c>
      <c r="F707">
        <v>2700</v>
      </c>
      <c r="G707" t="s">
        <v>411</v>
      </c>
      <c r="H707" t="s">
        <v>3837</v>
      </c>
      <c r="I707" t="s">
        <v>2532</v>
      </c>
      <c r="J707">
        <v>2702</v>
      </c>
      <c r="K707" t="s">
        <v>2532</v>
      </c>
      <c r="L707">
        <v>4300</v>
      </c>
      <c r="M707" t="s">
        <v>987</v>
      </c>
      <c r="N707">
        <v>4303</v>
      </c>
      <c r="O707" t="s">
        <v>627</v>
      </c>
      <c r="P707" t="s">
        <v>3108</v>
      </c>
      <c r="Q707" t="s">
        <v>3249</v>
      </c>
      <c r="R707" t="s">
        <v>3249</v>
      </c>
      <c r="S707" t="s">
        <v>810</v>
      </c>
      <c r="T707" t="s">
        <v>2754</v>
      </c>
      <c r="U707" t="s">
        <v>3250</v>
      </c>
      <c r="V707" t="s">
        <v>3250</v>
      </c>
      <c r="W707" t="s">
        <v>3250</v>
      </c>
      <c r="X707" t="s">
        <v>3250</v>
      </c>
      <c r="Y707" t="s">
        <v>3250</v>
      </c>
      <c r="Z707" t="s">
        <v>3250</v>
      </c>
      <c r="AA707" t="s">
        <v>3108</v>
      </c>
      <c r="AB707" t="s">
        <v>3108</v>
      </c>
      <c r="AC707" t="s">
        <v>3250</v>
      </c>
      <c r="AD707" t="s">
        <v>3250</v>
      </c>
      <c r="AE707" t="s">
        <v>3250</v>
      </c>
      <c r="AF707" t="s">
        <v>3250</v>
      </c>
      <c r="AG707" t="s">
        <v>3250</v>
      </c>
      <c r="AH707" t="s">
        <v>3250</v>
      </c>
      <c r="AI707" t="s">
        <v>3250</v>
      </c>
      <c r="AJ707" t="s">
        <v>3250</v>
      </c>
      <c r="AL707" t="s">
        <v>3250</v>
      </c>
      <c r="AM707" t="s">
        <v>3250</v>
      </c>
      <c r="AN707" t="s">
        <v>3250</v>
      </c>
      <c r="AO707" t="s">
        <v>3250</v>
      </c>
      <c r="AS707" t="s">
        <v>3250</v>
      </c>
      <c r="AT707" t="s">
        <v>3250</v>
      </c>
      <c r="AU707" t="s">
        <v>3250</v>
      </c>
      <c r="AV707" t="s">
        <v>3250</v>
      </c>
      <c r="AW707" t="s">
        <v>3250</v>
      </c>
      <c r="AX707" t="s">
        <v>3250</v>
      </c>
      <c r="AY707">
        <v>170</v>
      </c>
      <c r="AZ707" t="s">
        <v>2235</v>
      </c>
      <c r="BA707" t="s">
        <v>3250</v>
      </c>
      <c r="BB707">
        <v>170</v>
      </c>
      <c r="BC707" t="s">
        <v>2235</v>
      </c>
      <c r="BE707" t="s">
        <v>3250</v>
      </c>
      <c r="BF707" t="s">
        <v>3250</v>
      </c>
      <c r="BG707" t="s">
        <v>3250</v>
      </c>
      <c r="BH707" t="s">
        <v>3250</v>
      </c>
      <c r="BI707" t="s">
        <v>3250</v>
      </c>
      <c r="BK707" t="s">
        <v>3250</v>
      </c>
      <c r="BL707" t="s">
        <v>3250</v>
      </c>
      <c r="BM707" t="s">
        <v>3250</v>
      </c>
      <c r="BN707" t="s">
        <v>3250</v>
      </c>
      <c r="BP707">
        <v>14</v>
      </c>
      <c r="BQ707">
        <v>141</v>
      </c>
      <c r="BR707" t="s">
        <v>627</v>
      </c>
      <c r="BS707" t="s">
        <v>4344</v>
      </c>
      <c r="BV707">
        <v>0</v>
      </c>
      <c r="BW707">
        <v>129</v>
      </c>
      <c r="BX707">
        <v>0</v>
      </c>
      <c r="BY707">
        <v>0</v>
      </c>
      <c r="BZ707">
        <v>0</v>
      </c>
      <c r="CA707">
        <v>0</v>
      </c>
      <c r="CB707">
        <v>0</v>
      </c>
      <c r="CC707">
        <v>0</v>
      </c>
      <c r="CD707">
        <v>0</v>
      </c>
      <c r="CE707" t="s">
        <v>3108</v>
      </c>
      <c r="CF707" t="s">
        <v>3108</v>
      </c>
      <c r="CG707" t="s">
        <v>3108</v>
      </c>
      <c r="CH707" t="s">
        <v>3108</v>
      </c>
    </row>
    <row r="708" spans="1:86" x14ac:dyDescent="0.2">
      <c r="A708" t="s">
        <v>4345</v>
      </c>
      <c r="B708" t="s">
        <v>4345</v>
      </c>
      <c r="C708">
        <v>41146</v>
      </c>
      <c r="D708">
        <v>229</v>
      </c>
      <c r="E708" t="s">
        <v>4341</v>
      </c>
      <c r="F708">
        <v>2700</v>
      </c>
      <c r="G708" t="s">
        <v>411</v>
      </c>
      <c r="H708" t="s">
        <v>3837</v>
      </c>
      <c r="I708" t="s">
        <v>2532</v>
      </c>
      <c r="J708">
        <v>2702</v>
      </c>
      <c r="K708" t="s">
        <v>2532</v>
      </c>
      <c r="L708">
        <v>4300</v>
      </c>
      <c r="M708" t="s">
        <v>987</v>
      </c>
      <c r="N708">
        <v>4303</v>
      </c>
      <c r="O708" t="s">
        <v>627</v>
      </c>
      <c r="P708" t="s">
        <v>3108</v>
      </c>
      <c r="Q708" t="s">
        <v>3249</v>
      </c>
      <c r="R708" t="s">
        <v>3249</v>
      </c>
      <c r="S708" t="s">
        <v>810</v>
      </c>
      <c r="T708" t="s">
        <v>2754</v>
      </c>
      <c r="U708" t="s">
        <v>3250</v>
      </c>
      <c r="V708" t="s">
        <v>3250</v>
      </c>
      <c r="W708" t="s">
        <v>3250</v>
      </c>
      <c r="X708" t="s">
        <v>3250</v>
      </c>
      <c r="Y708" t="s">
        <v>3250</v>
      </c>
      <c r="Z708" t="s">
        <v>3250</v>
      </c>
      <c r="AA708" t="s">
        <v>3108</v>
      </c>
      <c r="AB708" t="s">
        <v>3108</v>
      </c>
      <c r="AC708" t="s">
        <v>3250</v>
      </c>
      <c r="AD708" t="s">
        <v>3250</v>
      </c>
      <c r="AE708" t="s">
        <v>3250</v>
      </c>
      <c r="AF708" t="s">
        <v>3250</v>
      </c>
      <c r="AG708" t="s">
        <v>3250</v>
      </c>
      <c r="AH708" t="s">
        <v>3250</v>
      </c>
      <c r="AI708" t="s">
        <v>3250</v>
      </c>
      <c r="AJ708" t="s">
        <v>3250</v>
      </c>
      <c r="AL708" t="s">
        <v>3250</v>
      </c>
      <c r="AM708" t="s">
        <v>3250</v>
      </c>
      <c r="AN708" t="s">
        <v>3250</v>
      </c>
      <c r="AO708" t="s">
        <v>3250</v>
      </c>
      <c r="AS708" t="s">
        <v>3250</v>
      </c>
      <c r="AT708" t="s">
        <v>3250</v>
      </c>
      <c r="AU708" t="s">
        <v>3250</v>
      </c>
      <c r="AV708" t="s">
        <v>3250</v>
      </c>
      <c r="AW708" t="s">
        <v>3250</v>
      </c>
      <c r="AX708" t="s">
        <v>3250</v>
      </c>
      <c r="AY708">
        <v>170</v>
      </c>
      <c r="AZ708" t="s">
        <v>2235</v>
      </c>
      <c r="BA708" t="s">
        <v>3250</v>
      </c>
      <c r="BB708">
        <v>170</v>
      </c>
      <c r="BC708" t="s">
        <v>2235</v>
      </c>
      <c r="BE708" t="s">
        <v>3250</v>
      </c>
      <c r="BF708" t="s">
        <v>3250</v>
      </c>
      <c r="BG708" t="s">
        <v>3250</v>
      </c>
      <c r="BH708" t="s">
        <v>3250</v>
      </c>
      <c r="BI708" t="s">
        <v>3250</v>
      </c>
      <c r="BK708" t="s">
        <v>3250</v>
      </c>
      <c r="BL708" t="s">
        <v>3250</v>
      </c>
      <c r="BM708" t="s">
        <v>3250</v>
      </c>
      <c r="BN708" t="s">
        <v>3250</v>
      </c>
      <c r="BP708">
        <v>14</v>
      </c>
      <c r="BQ708">
        <v>141</v>
      </c>
      <c r="BR708" t="s">
        <v>627</v>
      </c>
      <c r="BS708" t="s">
        <v>4344</v>
      </c>
      <c r="BV708">
        <v>0</v>
      </c>
      <c r="BW708">
        <v>0</v>
      </c>
      <c r="BX708">
        <v>0</v>
      </c>
      <c r="BY708">
        <v>0</v>
      </c>
      <c r="BZ708">
        <v>0</v>
      </c>
      <c r="CA708">
        <v>0</v>
      </c>
      <c r="CB708">
        <v>0</v>
      </c>
      <c r="CC708">
        <v>0</v>
      </c>
      <c r="CD708">
        <v>0</v>
      </c>
      <c r="CE708" t="s">
        <v>3108</v>
      </c>
      <c r="CF708" t="s">
        <v>3108</v>
      </c>
      <c r="CG708" t="s">
        <v>3108</v>
      </c>
      <c r="CH708" t="s">
        <v>3108</v>
      </c>
    </row>
    <row r="709" spans="1:86" x14ac:dyDescent="0.2">
      <c r="A709" t="s">
        <v>4346</v>
      </c>
      <c r="B709" t="s">
        <v>4346</v>
      </c>
      <c r="C709">
        <v>41148</v>
      </c>
      <c r="D709">
        <v>230</v>
      </c>
      <c r="E709" t="s">
        <v>4341</v>
      </c>
      <c r="F709">
        <v>2700</v>
      </c>
      <c r="G709" t="s">
        <v>411</v>
      </c>
      <c r="H709" t="s">
        <v>3837</v>
      </c>
      <c r="I709" t="s">
        <v>2532</v>
      </c>
      <c r="J709">
        <v>2702</v>
      </c>
      <c r="K709" t="s">
        <v>2532</v>
      </c>
      <c r="L709">
        <v>4300</v>
      </c>
      <c r="M709" t="s">
        <v>987</v>
      </c>
      <c r="N709">
        <v>4303</v>
      </c>
      <c r="O709" t="s">
        <v>627</v>
      </c>
      <c r="P709" t="s">
        <v>3108</v>
      </c>
      <c r="Q709" t="s">
        <v>3249</v>
      </c>
      <c r="R709" t="s">
        <v>3249</v>
      </c>
      <c r="S709" t="s">
        <v>810</v>
      </c>
      <c r="T709" t="s">
        <v>2754</v>
      </c>
      <c r="U709" t="s">
        <v>3250</v>
      </c>
      <c r="V709" t="s">
        <v>3250</v>
      </c>
      <c r="W709" t="s">
        <v>3250</v>
      </c>
      <c r="X709" t="s">
        <v>3250</v>
      </c>
      <c r="Y709" t="s">
        <v>3250</v>
      </c>
      <c r="Z709" t="s">
        <v>3250</v>
      </c>
      <c r="AA709" t="s">
        <v>3108</v>
      </c>
      <c r="AB709" t="s">
        <v>3108</v>
      </c>
      <c r="AC709" t="s">
        <v>3250</v>
      </c>
      <c r="AD709" t="s">
        <v>3250</v>
      </c>
      <c r="AE709" t="s">
        <v>3250</v>
      </c>
      <c r="AF709" t="s">
        <v>3250</v>
      </c>
      <c r="AG709" t="s">
        <v>3250</v>
      </c>
      <c r="AH709" t="s">
        <v>3250</v>
      </c>
      <c r="AI709" t="s">
        <v>3250</v>
      </c>
      <c r="AJ709" t="s">
        <v>3250</v>
      </c>
      <c r="AL709" t="s">
        <v>3250</v>
      </c>
      <c r="AM709" t="s">
        <v>3250</v>
      </c>
      <c r="AN709" t="s">
        <v>3250</v>
      </c>
      <c r="AO709" t="s">
        <v>3250</v>
      </c>
      <c r="AS709" t="s">
        <v>3250</v>
      </c>
      <c r="AT709" t="s">
        <v>3250</v>
      </c>
      <c r="AU709" t="s">
        <v>3250</v>
      </c>
      <c r="AV709" t="s">
        <v>3250</v>
      </c>
      <c r="AW709" t="s">
        <v>3250</v>
      </c>
      <c r="AX709" t="s">
        <v>3250</v>
      </c>
      <c r="AY709">
        <v>170</v>
      </c>
      <c r="AZ709" t="s">
        <v>2235</v>
      </c>
      <c r="BA709" t="s">
        <v>3250</v>
      </c>
      <c r="BB709">
        <v>170</v>
      </c>
      <c r="BC709" t="s">
        <v>2235</v>
      </c>
      <c r="BE709" t="s">
        <v>3250</v>
      </c>
      <c r="BF709" t="s">
        <v>3250</v>
      </c>
      <c r="BG709" t="s">
        <v>3250</v>
      </c>
      <c r="BH709" t="s">
        <v>3250</v>
      </c>
      <c r="BI709" t="s">
        <v>3250</v>
      </c>
      <c r="BK709" t="s">
        <v>3250</v>
      </c>
      <c r="BL709" t="s">
        <v>3250</v>
      </c>
      <c r="BM709" t="s">
        <v>3250</v>
      </c>
      <c r="BN709" t="s">
        <v>3250</v>
      </c>
      <c r="BP709">
        <v>14</v>
      </c>
      <c r="BQ709">
        <v>141</v>
      </c>
      <c r="BR709" t="s">
        <v>627</v>
      </c>
      <c r="BS709" t="s">
        <v>4344</v>
      </c>
      <c r="BV709">
        <v>0</v>
      </c>
      <c r="BW709">
        <v>0</v>
      </c>
      <c r="BX709">
        <v>0</v>
      </c>
      <c r="BY709">
        <v>0</v>
      </c>
      <c r="BZ709">
        <v>0</v>
      </c>
      <c r="CA709">
        <v>0</v>
      </c>
      <c r="CB709">
        <v>0</v>
      </c>
      <c r="CC709">
        <v>0</v>
      </c>
      <c r="CD709">
        <v>0</v>
      </c>
      <c r="CE709" t="s">
        <v>3108</v>
      </c>
      <c r="CF709" t="s">
        <v>3108</v>
      </c>
      <c r="CG709" t="s">
        <v>3108</v>
      </c>
      <c r="CH709" t="s">
        <v>3108</v>
      </c>
    </row>
    <row r="710" spans="1:86" x14ac:dyDescent="0.2">
      <c r="A710" t="s">
        <v>4347</v>
      </c>
      <c r="B710" t="s">
        <v>4347</v>
      </c>
      <c r="C710">
        <v>41150</v>
      </c>
      <c r="D710">
        <v>231</v>
      </c>
      <c r="E710" t="s">
        <v>4341</v>
      </c>
      <c r="F710">
        <v>2700</v>
      </c>
      <c r="G710" t="s">
        <v>411</v>
      </c>
      <c r="H710" t="s">
        <v>3837</v>
      </c>
      <c r="I710" t="s">
        <v>2532</v>
      </c>
      <c r="J710">
        <v>2702</v>
      </c>
      <c r="K710" t="s">
        <v>2532</v>
      </c>
      <c r="L710">
        <v>4300</v>
      </c>
      <c r="M710" t="s">
        <v>987</v>
      </c>
      <c r="N710">
        <v>4303</v>
      </c>
      <c r="O710" t="s">
        <v>627</v>
      </c>
      <c r="P710" t="s">
        <v>3108</v>
      </c>
      <c r="Q710" t="s">
        <v>3249</v>
      </c>
      <c r="R710" t="s">
        <v>3249</v>
      </c>
      <c r="S710" t="s">
        <v>810</v>
      </c>
      <c r="T710" t="s">
        <v>2754</v>
      </c>
      <c r="U710" t="s">
        <v>3250</v>
      </c>
      <c r="V710" t="s">
        <v>3250</v>
      </c>
      <c r="W710" t="s">
        <v>3250</v>
      </c>
      <c r="X710" t="s">
        <v>3250</v>
      </c>
      <c r="Y710" t="s">
        <v>3250</v>
      </c>
      <c r="Z710" t="s">
        <v>3250</v>
      </c>
      <c r="AA710" t="s">
        <v>3108</v>
      </c>
      <c r="AB710" t="s">
        <v>3108</v>
      </c>
      <c r="AC710" t="s">
        <v>3250</v>
      </c>
      <c r="AD710" t="s">
        <v>3250</v>
      </c>
      <c r="AE710" t="s">
        <v>3250</v>
      </c>
      <c r="AF710" t="s">
        <v>3250</v>
      </c>
      <c r="AG710" t="s">
        <v>3250</v>
      </c>
      <c r="AH710" t="s">
        <v>3250</v>
      </c>
      <c r="AI710" t="s">
        <v>3250</v>
      </c>
      <c r="AJ710" t="s">
        <v>3250</v>
      </c>
      <c r="AL710" t="s">
        <v>3250</v>
      </c>
      <c r="AM710" t="s">
        <v>3250</v>
      </c>
      <c r="AN710" t="s">
        <v>3250</v>
      </c>
      <c r="AO710" t="s">
        <v>3250</v>
      </c>
      <c r="AS710" t="s">
        <v>3250</v>
      </c>
      <c r="AT710" t="s">
        <v>3250</v>
      </c>
      <c r="AU710" t="s">
        <v>3250</v>
      </c>
      <c r="AV710" t="s">
        <v>3250</v>
      </c>
      <c r="AW710" t="s">
        <v>3250</v>
      </c>
      <c r="AX710" t="s">
        <v>3250</v>
      </c>
      <c r="AY710">
        <v>170</v>
      </c>
      <c r="AZ710" t="s">
        <v>2235</v>
      </c>
      <c r="BA710" t="s">
        <v>3250</v>
      </c>
      <c r="BB710">
        <v>170</v>
      </c>
      <c r="BC710" t="s">
        <v>2235</v>
      </c>
      <c r="BE710" t="s">
        <v>3250</v>
      </c>
      <c r="BF710" t="s">
        <v>3250</v>
      </c>
      <c r="BG710" t="s">
        <v>3250</v>
      </c>
      <c r="BH710" t="s">
        <v>3250</v>
      </c>
      <c r="BI710" t="s">
        <v>3250</v>
      </c>
      <c r="BK710" t="s">
        <v>3250</v>
      </c>
      <c r="BL710" t="s">
        <v>3250</v>
      </c>
      <c r="BM710" t="s">
        <v>3250</v>
      </c>
      <c r="BN710" t="s">
        <v>3250</v>
      </c>
      <c r="BP710">
        <v>14</v>
      </c>
      <c r="BQ710">
        <v>141</v>
      </c>
      <c r="BR710" t="s">
        <v>627</v>
      </c>
      <c r="BS710" t="s">
        <v>4344</v>
      </c>
      <c r="BV710">
        <v>0</v>
      </c>
      <c r="BW710">
        <v>0</v>
      </c>
      <c r="BX710">
        <v>0</v>
      </c>
      <c r="BY710">
        <v>0</v>
      </c>
      <c r="BZ710">
        <v>0</v>
      </c>
      <c r="CA710">
        <v>0</v>
      </c>
      <c r="CB710">
        <v>0</v>
      </c>
      <c r="CC710">
        <v>0</v>
      </c>
      <c r="CD710">
        <v>0</v>
      </c>
      <c r="CE710" t="s">
        <v>3108</v>
      </c>
      <c r="CF710" t="s">
        <v>3108</v>
      </c>
      <c r="CG710" t="s">
        <v>3108</v>
      </c>
      <c r="CH710" t="s">
        <v>3108</v>
      </c>
    </row>
    <row r="711" spans="1:86" x14ac:dyDescent="0.2">
      <c r="A711" t="s">
        <v>4348</v>
      </c>
      <c r="B711" t="s">
        <v>4348</v>
      </c>
      <c r="C711">
        <v>41151</v>
      </c>
      <c r="D711">
        <v>792</v>
      </c>
      <c r="E711" t="s">
        <v>4033</v>
      </c>
      <c r="F711">
        <v>2900</v>
      </c>
      <c r="G711" t="s">
        <v>822</v>
      </c>
      <c r="H711" t="s">
        <v>3108</v>
      </c>
      <c r="I711" t="s">
        <v>3108</v>
      </c>
      <c r="J711">
        <v>2904</v>
      </c>
      <c r="K711" t="s">
        <v>1690</v>
      </c>
      <c r="L711">
        <v>1200</v>
      </c>
      <c r="M711" t="s">
        <v>2368</v>
      </c>
      <c r="N711">
        <v>1206</v>
      </c>
      <c r="O711" t="s">
        <v>285</v>
      </c>
      <c r="P711" t="s">
        <v>3108</v>
      </c>
      <c r="Q711" t="s">
        <v>3249</v>
      </c>
      <c r="R711" t="s">
        <v>3249</v>
      </c>
      <c r="S711" t="s">
        <v>810</v>
      </c>
      <c r="T711" t="s">
        <v>2754</v>
      </c>
      <c r="U711" t="s">
        <v>3250</v>
      </c>
      <c r="V711" t="s">
        <v>3250</v>
      </c>
      <c r="W711" t="s">
        <v>3250</v>
      </c>
      <c r="X711" t="s">
        <v>3250</v>
      </c>
      <c r="Y711" t="s">
        <v>3250</v>
      </c>
      <c r="Z711" t="s">
        <v>3250</v>
      </c>
      <c r="AA711" t="s">
        <v>3108</v>
      </c>
      <c r="AB711" t="s">
        <v>3108</v>
      </c>
      <c r="AC711" t="s">
        <v>3250</v>
      </c>
      <c r="AD711" t="s">
        <v>3250</v>
      </c>
      <c r="AE711" t="s">
        <v>3250</v>
      </c>
      <c r="AF711" t="s">
        <v>3250</v>
      </c>
      <c r="AG711" t="s">
        <v>3250</v>
      </c>
      <c r="AH711" t="s">
        <v>3250</v>
      </c>
      <c r="AI711" t="s">
        <v>3250</v>
      </c>
      <c r="AJ711" t="s">
        <v>3250</v>
      </c>
      <c r="AL711" t="s">
        <v>3250</v>
      </c>
      <c r="AM711" t="s">
        <v>3250</v>
      </c>
      <c r="AN711" t="s">
        <v>3250</v>
      </c>
      <c r="AO711" t="s">
        <v>3250</v>
      </c>
      <c r="AS711" t="s">
        <v>3250</v>
      </c>
      <c r="AT711" t="s">
        <v>3250</v>
      </c>
      <c r="AU711" t="s">
        <v>3250</v>
      </c>
      <c r="AV711" t="s">
        <v>3250</v>
      </c>
      <c r="AW711" t="s">
        <v>3250</v>
      </c>
      <c r="AX711" t="s">
        <v>3250</v>
      </c>
      <c r="AY711" t="s">
        <v>3250</v>
      </c>
      <c r="AZ711" t="s">
        <v>3250</v>
      </c>
      <c r="BA711" t="s">
        <v>3250</v>
      </c>
      <c r="BB711" t="s">
        <v>3250</v>
      </c>
      <c r="BC711" t="s">
        <v>3250</v>
      </c>
      <c r="BE711" t="s">
        <v>3250</v>
      </c>
      <c r="BF711" t="s">
        <v>3250</v>
      </c>
      <c r="BG711" t="s">
        <v>3250</v>
      </c>
      <c r="BH711" t="s">
        <v>3250</v>
      </c>
      <c r="BI711" t="s">
        <v>3250</v>
      </c>
      <c r="BK711" t="s">
        <v>3250</v>
      </c>
      <c r="BL711" t="s">
        <v>3250</v>
      </c>
      <c r="BM711" t="s">
        <v>3250</v>
      </c>
      <c r="BN711" t="s">
        <v>3250</v>
      </c>
      <c r="BP711">
        <v>1</v>
      </c>
      <c r="BQ711">
        <v>15</v>
      </c>
      <c r="BR711" t="s">
        <v>285</v>
      </c>
      <c r="BS711" t="s">
        <v>3252</v>
      </c>
      <c r="BV711">
        <v>42755</v>
      </c>
      <c r="BW711">
        <v>66133</v>
      </c>
      <c r="BX711">
        <v>16461</v>
      </c>
      <c r="BY711">
        <v>50000</v>
      </c>
      <c r="BZ711">
        <v>100000</v>
      </c>
      <c r="CA711">
        <v>70000</v>
      </c>
      <c r="CB711">
        <v>53000</v>
      </c>
      <c r="CC711">
        <v>56180</v>
      </c>
      <c r="CD711">
        <v>4592</v>
      </c>
      <c r="CE711" t="s">
        <v>3108</v>
      </c>
      <c r="CF711" t="s">
        <v>3108</v>
      </c>
      <c r="CG711" t="s">
        <v>3108</v>
      </c>
      <c r="CH711" t="s">
        <v>3108</v>
      </c>
    </row>
    <row r="712" spans="1:86" x14ac:dyDescent="0.2">
      <c r="A712" t="s">
        <v>4349</v>
      </c>
      <c r="B712" t="s">
        <v>4349</v>
      </c>
      <c r="C712">
        <v>41152</v>
      </c>
      <c r="D712">
        <v>793</v>
      </c>
      <c r="E712" t="s">
        <v>3992</v>
      </c>
      <c r="F712">
        <v>2900</v>
      </c>
      <c r="G712" t="s">
        <v>822</v>
      </c>
      <c r="H712" t="s">
        <v>3108</v>
      </c>
      <c r="I712" t="s">
        <v>3108</v>
      </c>
      <c r="J712">
        <v>2904</v>
      </c>
      <c r="K712" t="s">
        <v>1690</v>
      </c>
      <c r="L712">
        <v>1200</v>
      </c>
      <c r="M712" t="s">
        <v>2368</v>
      </c>
      <c r="N712">
        <v>1206</v>
      </c>
      <c r="O712" t="s">
        <v>285</v>
      </c>
      <c r="P712" t="s">
        <v>3108</v>
      </c>
      <c r="Q712" t="s">
        <v>3249</v>
      </c>
      <c r="R712" t="s">
        <v>3249</v>
      </c>
      <c r="S712" t="s">
        <v>810</v>
      </c>
      <c r="T712" t="s">
        <v>2754</v>
      </c>
      <c r="U712" t="s">
        <v>3250</v>
      </c>
      <c r="V712" t="s">
        <v>3250</v>
      </c>
      <c r="W712" t="s">
        <v>3250</v>
      </c>
      <c r="X712" t="s">
        <v>3250</v>
      </c>
      <c r="Y712" t="s">
        <v>3250</v>
      </c>
      <c r="Z712" t="s">
        <v>3250</v>
      </c>
      <c r="AA712" t="s">
        <v>3108</v>
      </c>
      <c r="AB712" t="s">
        <v>3108</v>
      </c>
      <c r="AC712" t="s">
        <v>3250</v>
      </c>
      <c r="AD712" t="s">
        <v>3250</v>
      </c>
      <c r="AE712" t="s">
        <v>3250</v>
      </c>
      <c r="AF712" t="s">
        <v>3250</v>
      </c>
      <c r="AG712" t="s">
        <v>3250</v>
      </c>
      <c r="AH712" t="s">
        <v>3250</v>
      </c>
      <c r="AI712" t="s">
        <v>3250</v>
      </c>
      <c r="AJ712" t="s">
        <v>3250</v>
      </c>
      <c r="AL712" t="s">
        <v>3250</v>
      </c>
      <c r="AM712" t="s">
        <v>3250</v>
      </c>
      <c r="AN712" t="s">
        <v>3250</v>
      </c>
      <c r="AO712" t="s">
        <v>3250</v>
      </c>
      <c r="AS712" t="s">
        <v>3250</v>
      </c>
      <c r="AT712" t="s">
        <v>3250</v>
      </c>
      <c r="AU712" t="s">
        <v>3250</v>
      </c>
      <c r="AV712" t="s">
        <v>3250</v>
      </c>
      <c r="AW712" t="s">
        <v>3250</v>
      </c>
      <c r="AX712" t="s">
        <v>3250</v>
      </c>
      <c r="AY712" t="s">
        <v>3250</v>
      </c>
      <c r="AZ712" t="s">
        <v>3250</v>
      </c>
      <c r="BA712" t="s">
        <v>3250</v>
      </c>
      <c r="BB712" t="s">
        <v>3250</v>
      </c>
      <c r="BC712" t="s">
        <v>3250</v>
      </c>
      <c r="BE712" t="s">
        <v>3250</v>
      </c>
      <c r="BF712" t="s">
        <v>3250</v>
      </c>
      <c r="BG712" t="s">
        <v>3250</v>
      </c>
      <c r="BH712" t="s">
        <v>3250</v>
      </c>
      <c r="BI712" t="s">
        <v>3250</v>
      </c>
      <c r="BK712" t="s">
        <v>3250</v>
      </c>
      <c r="BL712" t="s">
        <v>3250</v>
      </c>
      <c r="BM712" t="s">
        <v>3250</v>
      </c>
      <c r="BN712" t="s">
        <v>3250</v>
      </c>
      <c r="BP712">
        <v>1</v>
      </c>
      <c r="BQ712">
        <v>15</v>
      </c>
      <c r="BR712" t="s">
        <v>285</v>
      </c>
      <c r="BS712" t="s">
        <v>3252</v>
      </c>
      <c r="BV712">
        <v>0</v>
      </c>
      <c r="BW712">
        <v>1</v>
      </c>
      <c r="BX712">
        <v>0</v>
      </c>
      <c r="BY712">
        <v>60000</v>
      </c>
      <c r="BZ712">
        <v>0</v>
      </c>
      <c r="CA712">
        <v>0</v>
      </c>
      <c r="CB712">
        <v>0</v>
      </c>
      <c r="CC712">
        <v>0</v>
      </c>
      <c r="CD712">
        <v>0</v>
      </c>
      <c r="CE712" t="s">
        <v>3108</v>
      </c>
      <c r="CF712" t="s">
        <v>3108</v>
      </c>
      <c r="CG712" t="s">
        <v>3108</v>
      </c>
      <c r="CH712" t="s">
        <v>3108</v>
      </c>
    </row>
    <row r="713" spans="1:86" x14ac:dyDescent="0.2">
      <c r="A713" t="s">
        <v>4350</v>
      </c>
      <c r="B713" t="s">
        <v>4350</v>
      </c>
      <c r="C713">
        <v>41153</v>
      </c>
      <c r="D713">
        <v>794</v>
      </c>
      <c r="E713" t="s">
        <v>4326</v>
      </c>
      <c r="F713">
        <v>2700</v>
      </c>
      <c r="G713" t="s">
        <v>411</v>
      </c>
      <c r="H713" t="s">
        <v>4004</v>
      </c>
      <c r="I713" t="s">
        <v>2531</v>
      </c>
      <c r="J713">
        <v>2701</v>
      </c>
      <c r="K713" t="s">
        <v>2531</v>
      </c>
      <c r="L713">
        <v>1200</v>
      </c>
      <c r="M713" t="s">
        <v>2368</v>
      </c>
      <c r="N713">
        <v>1206</v>
      </c>
      <c r="O713" t="s">
        <v>285</v>
      </c>
      <c r="P713" t="s">
        <v>3108</v>
      </c>
      <c r="Q713" t="s">
        <v>3249</v>
      </c>
      <c r="R713" t="s">
        <v>3249</v>
      </c>
      <c r="S713" t="s">
        <v>810</v>
      </c>
      <c r="T713" t="s">
        <v>2754</v>
      </c>
      <c r="U713" t="s">
        <v>3250</v>
      </c>
      <c r="V713" t="s">
        <v>3250</v>
      </c>
      <c r="W713" t="s">
        <v>3250</v>
      </c>
      <c r="X713" t="s">
        <v>3250</v>
      </c>
      <c r="Y713" t="s">
        <v>3250</v>
      </c>
      <c r="Z713" t="s">
        <v>3250</v>
      </c>
      <c r="AA713" t="s">
        <v>3108</v>
      </c>
      <c r="AB713" t="s">
        <v>3108</v>
      </c>
      <c r="AC713" t="s">
        <v>3250</v>
      </c>
      <c r="AD713" t="s">
        <v>3250</v>
      </c>
      <c r="AE713" t="s">
        <v>3250</v>
      </c>
      <c r="AF713" t="s">
        <v>3250</v>
      </c>
      <c r="AG713" t="s">
        <v>3250</v>
      </c>
      <c r="AH713" t="s">
        <v>3250</v>
      </c>
      <c r="AI713" t="s">
        <v>3250</v>
      </c>
      <c r="AJ713" t="s">
        <v>3250</v>
      </c>
      <c r="AL713" t="s">
        <v>3250</v>
      </c>
      <c r="AM713" t="s">
        <v>3250</v>
      </c>
      <c r="AN713" t="s">
        <v>3250</v>
      </c>
      <c r="AO713" t="s">
        <v>3250</v>
      </c>
      <c r="AS713" t="s">
        <v>3250</v>
      </c>
      <c r="AT713" t="s">
        <v>3250</v>
      </c>
      <c r="AU713" t="s">
        <v>3250</v>
      </c>
      <c r="AV713" t="s">
        <v>3250</v>
      </c>
      <c r="AW713" t="s">
        <v>3250</v>
      </c>
      <c r="AX713" t="s">
        <v>3250</v>
      </c>
      <c r="AY713" t="s">
        <v>3250</v>
      </c>
      <c r="AZ713" t="s">
        <v>3250</v>
      </c>
      <c r="BA713" t="s">
        <v>3250</v>
      </c>
      <c r="BB713" t="s">
        <v>3250</v>
      </c>
      <c r="BC713" t="s">
        <v>3250</v>
      </c>
      <c r="BE713" t="s">
        <v>3250</v>
      </c>
      <c r="BF713" t="s">
        <v>3250</v>
      </c>
      <c r="BG713" t="s">
        <v>3250</v>
      </c>
      <c r="BH713" t="s">
        <v>3250</v>
      </c>
      <c r="BI713" t="s">
        <v>3250</v>
      </c>
      <c r="BK713" t="s">
        <v>3250</v>
      </c>
      <c r="BL713" t="s">
        <v>3250</v>
      </c>
      <c r="BM713" t="s">
        <v>3250</v>
      </c>
      <c r="BN713" t="s">
        <v>3250</v>
      </c>
      <c r="BP713">
        <v>1</v>
      </c>
      <c r="BQ713">
        <v>15</v>
      </c>
      <c r="BR713" t="s">
        <v>285</v>
      </c>
      <c r="BS713" t="s">
        <v>3252</v>
      </c>
      <c r="BV713">
        <v>39954</v>
      </c>
      <c r="BW713">
        <v>3960</v>
      </c>
      <c r="BX713">
        <v>26475</v>
      </c>
      <c r="BY713">
        <v>15000</v>
      </c>
      <c r="BZ713">
        <v>15000</v>
      </c>
      <c r="CA713">
        <v>15585</v>
      </c>
      <c r="CB713">
        <v>16208</v>
      </c>
      <c r="CC713">
        <v>16857</v>
      </c>
      <c r="CD713">
        <v>12835</v>
      </c>
      <c r="CE713" t="s">
        <v>3108</v>
      </c>
      <c r="CF713" t="s">
        <v>3108</v>
      </c>
      <c r="CG713" t="s">
        <v>3108</v>
      </c>
      <c r="CH713" t="s">
        <v>3108</v>
      </c>
    </row>
    <row r="714" spans="1:86" x14ac:dyDescent="0.2">
      <c r="A714" t="s">
        <v>4351</v>
      </c>
      <c r="B714" t="s">
        <v>4351</v>
      </c>
      <c r="C714">
        <v>41154</v>
      </c>
      <c r="D714">
        <v>795</v>
      </c>
      <c r="E714" t="s">
        <v>4153</v>
      </c>
      <c r="F714">
        <v>2900</v>
      </c>
      <c r="G714" t="s">
        <v>822</v>
      </c>
      <c r="H714" t="s">
        <v>3108</v>
      </c>
      <c r="I714" t="s">
        <v>3108</v>
      </c>
      <c r="J714">
        <v>2904</v>
      </c>
      <c r="K714" t="s">
        <v>1690</v>
      </c>
      <c r="L714">
        <v>1200</v>
      </c>
      <c r="M714" t="s">
        <v>2368</v>
      </c>
      <c r="N714">
        <v>1206</v>
      </c>
      <c r="O714" t="s">
        <v>285</v>
      </c>
      <c r="P714" t="s">
        <v>3108</v>
      </c>
      <c r="Q714" t="s">
        <v>3249</v>
      </c>
      <c r="R714" t="s">
        <v>3249</v>
      </c>
      <c r="S714" t="s">
        <v>810</v>
      </c>
      <c r="T714" t="s">
        <v>2754</v>
      </c>
      <c r="U714" t="s">
        <v>3250</v>
      </c>
      <c r="V714" t="s">
        <v>3250</v>
      </c>
      <c r="W714" t="s">
        <v>3250</v>
      </c>
      <c r="X714" t="s">
        <v>3250</v>
      </c>
      <c r="Y714" t="s">
        <v>3250</v>
      </c>
      <c r="Z714" t="s">
        <v>3250</v>
      </c>
      <c r="AA714" t="s">
        <v>3108</v>
      </c>
      <c r="AB714" t="s">
        <v>3108</v>
      </c>
      <c r="AC714" t="s">
        <v>3250</v>
      </c>
      <c r="AD714" t="s">
        <v>3250</v>
      </c>
      <c r="AE714" t="s">
        <v>3250</v>
      </c>
      <c r="AF714" t="s">
        <v>3250</v>
      </c>
      <c r="AG714" t="s">
        <v>3250</v>
      </c>
      <c r="AH714" t="s">
        <v>3250</v>
      </c>
      <c r="AI714" t="s">
        <v>3250</v>
      </c>
      <c r="AJ714" t="s">
        <v>3250</v>
      </c>
      <c r="AL714" t="s">
        <v>3250</v>
      </c>
      <c r="AM714" t="s">
        <v>3250</v>
      </c>
      <c r="AN714" t="s">
        <v>3250</v>
      </c>
      <c r="AO714" t="s">
        <v>3250</v>
      </c>
      <c r="AS714" t="s">
        <v>3250</v>
      </c>
      <c r="AT714" t="s">
        <v>3250</v>
      </c>
      <c r="AU714" t="s">
        <v>3250</v>
      </c>
      <c r="AV714" t="s">
        <v>3250</v>
      </c>
      <c r="AW714" t="s">
        <v>3250</v>
      </c>
      <c r="AX714" t="s">
        <v>3250</v>
      </c>
      <c r="AY714" t="s">
        <v>3250</v>
      </c>
      <c r="AZ714" t="s">
        <v>3250</v>
      </c>
      <c r="BA714" t="s">
        <v>3250</v>
      </c>
      <c r="BB714" t="s">
        <v>3250</v>
      </c>
      <c r="BC714" t="s">
        <v>3250</v>
      </c>
      <c r="BE714" t="s">
        <v>3250</v>
      </c>
      <c r="BF714" t="s">
        <v>3250</v>
      </c>
      <c r="BG714" t="s">
        <v>3250</v>
      </c>
      <c r="BH714" t="s">
        <v>3250</v>
      </c>
      <c r="BI714" t="s">
        <v>3250</v>
      </c>
      <c r="BK714" t="s">
        <v>3250</v>
      </c>
      <c r="BL714" t="s">
        <v>3250</v>
      </c>
      <c r="BM714" t="s">
        <v>3250</v>
      </c>
      <c r="BN714" t="s">
        <v>3250</v>
      </c>
      <c r="BP714">
        <v>1</v>
      </c>
      <c r="BQ714">
        <v>15</v>
      </c>
      <c r="BR714" t="s">
        <v>285</v>
      </c>
      <c r="BS714" t="s">
        <v>3252</v>
      </c>
      <c r="BV714">
        <v>0</v>
      </c>
      <c r="BW714">
        <v>0</v>
      </c>
      <c r="BX714">
        <v>0</v>
      </c>
      <c r="BY714">
        <v>0</v>
      </c>
      <c r="BZ714">
        <v>0</v>
      </c>
      <c r="CA714">
        <v>0</v>
      </c>
      <c r="CB714">
        <v>0</v>
      </c>
      <c r="CC714">
        <v>0</v>
      </c>
      <c r="CD714">
        <v>0</v>
      </c>
      <c r="CE714" t="s">
        <v>3108</v>
      </c>
      <c r="CF714" t="s">
        <v>3108</v>
      </c>
      <c r="CG714" t="s">
        <v>3108</v>
      </c>
      <c r="CH714" t="s">
        <v>3108</v>
      </c>
    </row>
    <row r="715" spans="1:86" x14ac:dyDescent="0.2">
      <c r="A715" t="s">
        <v>4352</v>
      </c>
      <c r="B715" t="s">
        <v>4352</v>
      </c>
      <c r="C715">
        <v>41155</v>
      </c>
      <c r="D715">
        <v>236</v>
      </c>
      <c r="E715" t="s">
        <v>4341</v>
      </c>
      <c r="F715">
        <v>2700</v>
      </c>
      <c r="G715" t="s">
        <v>411</v>
      </c>
      <c r="H715" t="s">
        <v>3837</v>
      </c>
      <c r="I715" t="s">
        <v>2532</v>
      </c>
      <c r="J715">
        <v>2702</v>
      </c>
      <c r="K715" t="s">
        <v>2532</v>
      </c>
      <c r="L715">
        <v>2100</v>
      </c>
      <c r="M715" t="s">
        <v>123</v>
      </c>
      <c r="N715">
        <v>2105</v>
      </c>
      <c r="O715" t="s">
        <v>2398</v>
      </c>
      <c r="P715" t="s">
        <v>3108</v>
      </c>
      <c r="Q715" t="s">
        <v>3249</v>
      </c>
      <c r="R715" t="s">
        <v>3249</v>
      </c>
      <c r="S715" t="s">
        <v>810</v>
      </c>
      <c r="T715" t="s">
        <v>2754</v>
      </c>
      <c r="U715" t="s">
        <v>3250</v>
      </c>
      <c r="V715" t="s">
        <v>3250</v>
      </c>
      <c r="W715" t="s">
        <v>3250</v>
      </c>
      <c r="X715" t="s">
        <v>3250</v>
      </c>
      <c r="Y715" t="s">
        <v>3250</v>
      </c>
      <c r="Z715" t="s">
        <v>3250</v>
      </c>
      <c r="AA715" t="s">
        <v>3108</v>
      </c>
      <c r="AB715" t="s">
        <v>3108</v>
      </c>
      <c r="AC715" t="s">
        <v>3250</v>
      </c>
      <c r="AD715" t="s">
        <v>3250</v>
      </c>
      <c r="AE715" t="s">
        <v>3250</v>
      </c>
      <c r="AF715" t="s">
        <v>3250</v>
      </c>
      <c r="AG715" t="s">
        <v>3250</v>
      </c>
      <c r="AH715" t="s">
        <v>3250</v>
      </c>
      <c r="AI715" t="s">
        <v>3250</v>
      </c>
      <c r="AJ715" t="s">
        <v>3250</v>
      </c>
      <c r="AL715" t="s">
        <v>3250</v>
      </c>
      <c r="AM715" t="s">
        <v>3250</v>
      </c>
      <c r="AN715" t="s">
        <v>3250</v>
      </c>
      <c r="AO715" t="s">
        <v>3250</v>
      </c>
      <c r="AS715" t="s">
        <v>3250</v>
      </c>
      <c r="AT715" t="s">
        <v>3250</v>
      </c>
      <c r="AU715" t="s">
        <v>3250</v>
      </c>
      <c r="AV715" t="s">
        <v>3250</v>
      </c>
      <c r="AW715" t="s">
        <v>3250</v>
      </c>
      <c r="AX715" t="s">
        <v>3250</v>
      </c>
      <c r="AY715">
        <v>790</v>
      </c>
      <c r="AZ715" t="s">
        <v>2284</v>
      </c>
      <c r="BA715" t="s">
        <v>3250</v>
      </c>
      <c r="BB715">
        <v>790</v>
      </c>
      <c r="BC715" t="s">
        <v>2284</v>
      </c>
      <c r="BE715" t="s">
        <v>3250</v>
      </c>
      <c r="BF715" t="s">
        <v>3250</v>
      </c>
      <c r="BG715" t="s">
        <v>3250</v>
      </c>
      <c r="BH715" t="s">
        <v>3250</v>
      </c>
      <c r="BI715" t="s">
        <v>3250</v>
      </c>
      <c r="BK715" t="s">
        <v>3250</v>
      </c>
      <c r="BL715" t="s">
        <v>3250</v>
      </c>
      <c r="BM715" t="s">
        <v>3250</v>
      </c>
      <c r="BN715" t="s">
        <v>3250</v>
      </c>
      <c r="BP715">
        <v>4</v>
      </c>
      <c r="BQ715">
        <v>49</v>
      </c>
      <c r="BR715" t="s">
        <v>2398</v>
      </c>
      <c r="BS715" t="s">
        <v>4024</v>
      </c>
      <c r="BV715">
        <v>0</v>
      </c>
      <c r="BW715">
        <v>0</v>
      </c>
      <c r="BX715">
        <v>0</v>
      </c>
      <c r="BY715">
        <v>0</v>
      </c>
      <c r="BZ715">
        <v>0</v>
      </c>
      <c r="CA715">
        <v>0</v>
      </c>
      <c r="CB715">
        <v>0</v>
      </c>
      <c r="CC715">
        <v>0</v>
      </c>
      <c r="CD715">
        <v>0</v>
      </c>
      <c r="CE715" t="s">
        <v>3108</v>
      </c>
      <c r="CF715" t="s">
        <v>3108</v>
      </c>
      <c r="CG715" t="s">
        <v>3108</v>
      </c>
      <c r="CH715" t="s">
        <v>3108</v>
      </c>
    </row>
    <row r="716" spans="1:86" x14ac:dyDescent="0.2">
      <c r="A716" t="s">
        <v>4353</v>
      </c>
      <c r="B716" t="s">
        <v>4353</v>
      </c>
      <c r="C716">
        <v>41156</v>
      </c>
      <c r="D716">
        <v>237</v>
      </c>
      <c r="E716" t="s">
        <v>4341</v>
      </c>
      <c r="F716">
        <v>2700</v>
      </c>
      <c r="G716" t="s">
        <v>411</v>
      </c>
      <c r="H716" t="s">
        <v>3837</v>
      </c>
      <c r="I716" t="s">
        <v>2532</v>
      </c>
      <c r="J716">
        <v>2702</v>
      </c>
      <c r="K716" t="s">
        <v>2532</v>
      </c>
      <c r="L716">
        <v>2100</v>
      </c>
      <c r="M716" t="s">
        <v>123</v>
      </c>
      <c r="N716">
        <v>2106</v>
      </c>
      <c r="O716" t="s">
        <v>2399</v>
      </c>
      <c r="P716" t="s">
        <v>3108</v>
      </c>
      <c r="Q716" t="s">
        <v>3249</v>
      </c>
      <c r="R716" t="s">
        <v>3249</v>
      </c>
      <c r="S716" t="s">
        <v>810</v>
      </c>
      <c r="T716" t="s">
        <v>2754</v>
      </c>
      <c r="U716" t="s">
        <v>3250</v>
      </c>
      <c r="V716" t="s">
        <v>3250</v>
      </c>
      <c r="W716" t="s">
        <v>3250</v>
      </c>
      <c r="X716" t="s">
        <v>3250</v>
      </c>
      <c r="Y716" t="s">
        <v>3250</v>
      </c>
      <c r="Z716" t="s">
        <v>3250</v>
      </c>
      <c r="AA716" t="s">
        <v>3108</v>
      </c>
      <c r="AB716" t="s">
        <v>3108</v>
      </c>
      <c r="AC716" t="s">
        <v>3250</v>
      </c>
      <c r="AD716" t="s">
        <v>3250</v>
      </c>
      <c r="AE716" t="s">
        <v>3250</v>
      </c>
      <c r="AF716" t="s">
        <v>3250</v>
      </c>
      <c r="AG716" t="s">
        <v>3250</v>
      </c>
      <c r="AH716" t="s">
        <v>3250</v>
      </c>
      <c r="AI716" t="s">
        <v>3250</v>
      </c>
      <c r="AJ716" t="s">
        <v>3250</v>
      </c>
      <c r="AL716" t="s">
        <v>3250</v>
      </c>
      <c r="AM716" t="s">
        <v>3250</v>
      </c>
      <c r="AN716" t="s">
        <v>3250</v>
      </c>
      <c r="AO716" t="s">
        <v>3250</v>
      </c>
      <c r="AS716" t="s">
        <v>3250</v>
      </c>
      <c r="AT716" t="s">
        <v>3250</v>
      </c>
      <c r="AU716" t="s">
        <v>3250</v>
      </c>
      <c r="AV716" t="s">
        <v>3250</v>
      </c>
      <c r="AW716" t="s">
        <v>3250</v>
      </c>
      <c r="AX716" t="s">
        <v>3250</v>
      </c>
      <c r="AY716">
        <v>790</v>
      </c>
      <c r="AZ716" t="s">
        <v>2284</v>
      </c>
      <c r="BA716" t="s">
        <v>3250</v>
      </c>
      <c r="BB716">
        <v>790</v>
      </c>
      <c r="BC716" t="s">
        <v>2284</v>
      </c>
      <c r="BE716" t="s">
        <v>3250</v>
      </c>
      <c r="BF716" t="s">
        <v>3250</v>
      </c>
      <c r="BG716" t="s">
        <v>3250</v>
      </c>
      <c r="BH716" t="s">
        <v>3250</v>
      </c>
      <c r="BI716" t="s">
        <v>3250</v>
      </c>
      <c r="BK716" t="s">
        <v>3250</v>
      </c>
      <c r="BL716" t="s">
        <v>3250</v>
      </c>
      <c r="BM716" t="s">
        <v>3250</v>
      </c>
      <c r="BN716" t="s">
        <v>3250</v>
      </c>
      <c r="BP716">
        <v>5</v>
      </c>
      <c r="BQ716">
        <v>53</v>
      </c>
      <c r="BR716" t="s">
        <v>2399</v>
      </c>
      <c r="BS716" t="s">
        <v>4136</v>
      </c>
      <c r="BV716">
        <v>0</v>
      </c>
      <c r="BW716">
        <v>0</v>
      </c>
      <c r="BX716">
        <v>0</v>
      </c>
      <c r="BY716">
        <v>0</v>
      </c>
      <c r="BZ716">
        <v>0</v>
      </c>
      <c r="CA716">
        <v>0</v>
      </c>
      <c r="CB716">
        <v>0</v>
      </c>
      <c r="CC716">
        <v>0</v>
      </c>
      <c r="CD716">
        <v>0</v>
      </c>
      <c r="CE716" t="s">
        <v>3108</v>
      </c>
      <c r="CF716" t="s">
        <v>3108</v>
      </c>
      <c r="CG716" t="s">
        <v>3108</v>
      </c>
      <c r="CH716" t="s">
        <v>3108</v>
      </c>
    </row>
    <row r="717" spans="1:86" x14ac:dyDescent="0.2">
      <c r="A717" t="s">
        <v>4354</v>
      </c>
      <c r="B717" t="s">
        <v>4354</v>
      </c>
      <c r="C717">
        <v>41157</v>
      </c>
      <c r="D717">
        <v>238</v>
      </c>
      <c r="E717" t="s">
        <v>4341</v>
      </c>
      <c r="F717">
        <v>2700</v>
      </c>
      <c r="G717" t="s">
        <v>411</v>
      </c>
      <c r="H717" t="s">
        <v>3837</v>
      </c>
      <c r="I717" t="s">
        <v>2532</v>
      </c>
      <c r="J717">
        <v>2702</v>
      </c>
      <c r="K717" t="s">
        <v>2532</v>
      </c>
      <c r="L717">
        <v>2100</v>
      </c>
      <c r="M717" t="s">
        <v>123</v>
      </c>
      <c r="N717">
        <v>2105</v>
      </c>
      <c r="O717" t="s">
        <v>2398</v>
      </c>
      <c r="P717" t="s">
        <v>3108</v>
      </c>
      <c r="Q717" t="s">
        <v>3249</v>
      </c>
      <c r="R717" t="s">
        <v>3249</v>
      </c>
      <c r="S717" t="s">
        <v>810</v>
      </c>
      <c r="T717" t="s">
        <v>2754</v>
      </c>
      <c r="U717" t="s">
        <v>3250</v>
      </c>
      <c r="V717" t="s">
        <v>3250</v>
      </c>
      <c r="W717" t="s">
        <v>3250</v>
      </c>
      <c r="X717" t="s">
        <v>3250</v>
      </c>
      <c r="Y717" t="s">
        <v>3250</v>
      </c>
      <c r="Z717" t="s">
        <v>3250</v>
      </c>
      <c r="AA717" t="s">
        <v>3108</v>
      </c>
      <c r="AB717" t="s">
        <v>3108</v>
      </c>
      <c r="AC717" t="s">
        <v>3250</v>
      </c>
      <c r="AD717" t="s">
        <v>3250</v>
      </c>
      <c r="AE717" t="s">
        <v>3250</v>
      </c>
      <c r="AF717" t="s">
        <v>3250</v>
      </c>
      <c r="AG717" t="s">
        <v>3250</v>
      </c>
      <c r="AH717" t="s">
        <v>3250</v>
      </c>
      <c r="AI717" t="s">
        <v>3250</v>
      </c>
      <c r="AJ717" t="s">
        <v>3250</v>
      </c>
      <c r="AL717" t="s">
        <v>3250</v>
      </c>
      <c r="AM717" t="s">
        <v>3250</v>
      </c>
      <c r="AN717" t="s">
        <v>3250</v>
      </c>
      <c r="AO717" t="s">
        <v>3250</v>
      </c>
      <c r="AS717" t="s">
        <v>3250</v>
      </c>
      <c r="AT717" t="s">
        <v>3250</v>
      </c>
      <c r="AU717" t="s">
        <v>3250</v>
      </c>
      <c r="AV717" t="s">
        <v>3250</v>
      </c>
      <c r="AW717" t="s">
        <v>3250</v>
      </c>
      <c r="AX717" t="s">
        <v>3250</v>
      </c>
      <c r="AY717">
        <v>810</v>
      </c>
      <c r="AZ717" t="s">
        <v>2286</v>
      </c>
      <c r="BA717" t="s">
        <v>3250</v>
      </c>
      <c r="BB717">
        <v>810</v>
      </c>
      <c r="BC717" t="s">
        <v>2286</v>
      </c>
      <c r="BE717" t="s">
        <v>3250</v>
      </c>
      <c r="BF717" t="s">
        <v>3250</v>
      </c>
      <c r="BG717" t="s">
        <v>3250</v>
      </c>
      <c r="BH717" t="s">
        <v>3250</v>
      </c>
      <c r="BI717" t="s">
        <v>3250</v>
      </c>
      <c r="BK717" t="s">
        <v>3250</v>
      </c>
      <c r="BL717" t="s">
        <v>3250</v>
      </c>
      <c r="BM717" t="s">
        <v>3250</v>
      </c>
      <c r="BN717" t="s">
        <v>3250</v>
      </c>
      <c r="BP717">
        <v>4</v>
      </c>
      <c r="BQ717">
        <v>49</v>
      </c>
      <c r="BR717" t="s">
        <v>2398</v>
      </c>
      <c r="BS717" t="s">
        <v>4024</v>
      </c>
      <c r="BV717">
        <v>0</v>
      </c>
      <c r="BW717">
        <v>922015</v>
      </c>
      <c r="BX717">
        <v>2473707</v>
      </c>
      <c r="BY717">
        <v>0</v>
      </c>
      <c r="BZ717">
        <v>0</v>
      </c>
      <c r="CA717">
        <v>0</v>
      </c>
      <c r="CB717">
        <v>0</v>
      </c>
      <c r="CC717">
        <v>0</v>
      </c>
      <c r="CD717">
        <v>0</v>
      </c>
      <c r="CE717" t="s">
        <v>3108</v>
      </c>
      <c r="CF717" t="s">
        <v>3108</v>
      </c>
      <c r="CG717" t="s">
        <v>3108</v>
      </c>
      <c r="CH717" t="s">
        <v>3108</v>
      </c>
    </row>
    <row r="718" spans="1:86" x14ac:dyDescent="0.2">
      <c r="A718" t="s">
        <v>4355</v>
      </c>
      <c r="B718" t="s">
        <v>4355</v>
      </c>
      <c r="C718">
        <v>41158</v>
      </c>
      <c r="D718">
        <v>239</v>
      </c>
      <c r="E718" t="s">
        <v>4341</v>
      </c>
      <c r="F718">
        <v>2700</v>
      </c>
      <c r="G718" t="s">
        <v>411</v>
      </c>
      <c r="H718" t="s">
        <v>3837</v>
      </c>
      <c r="I718" t="s">
        <v>2532</v>
      </c>
      <c r="J718">
        <v>2702</v>
      </c>
      <c r="K718" t="s">
        <v>2532</v>
      </c>
      <c r="L718">
        <v>2100</v>
      </c>
      <c r="M718" t="s">
        <v>123</v>
      </c>
      <c r="N718">
        <v>2106</v>
      </c>
      <c r="O718" t="s">
        <v>2399</v>
      </c>
      <c r="P718" t="s">
        <v>3108</v>
      </c>
      <c r="Q718" t="s">
        <v>3249</v>
      </c>
      <c r="R718" t="s">
        <v>3249</v>
      </c>
      <c r="S718" t="s">
        <v>810</v>
      </c>
      <c r="T718" t="s">
        <v>2754</v>
      </c>
      <c r="U718" t="s">
        <v>3250</v>
      </c>
      <c r="V718" t="s">
        <v>3250</v>
      </c>
      <c r="W718" t="s">
        <v>3250</v>
      </c>
      <c r="X718" t="s">
        <v>3250</v>
      </c>
      <c r="Y718" t="s">
        <v>3250</v>
      </c>
      <c r="Z718" t="s">
        <v>3250</v>
      </c>
      <c r="AA718" t="s">
        <v>3108</v>
      </c>
      <c r="AB718" t="s">
        <v>3108</v>
      </c>
      <c r="AC718" t="s">
        <v>3250</v>
      </c>
      <c r="AD718" t="s">
        <v>3250</v>
      </c>
      <c r="AE718" t="s">
        <v>3250</v>
      </c>
      <c r="AF718" t="s">
        <v>3250</v>
      </c>
      <c r="AG718" t="s">
        <v>3250</v>
      </c>
      <c r="AH718" t="s">
        <v>3250</v>
      </c>
      <c r="AI718" t="s">
        <v>3250</v>
      </c>
      <c r="AJ718" t="s">
        <v>3250</v>
      </c>
      <c r="AL718" t="s">
        <v>3250</v>
      </c>
      <c r="AM718" t="s">
        <v>3250</v>
      </c>
      <c r="AN718" t="s">
        <v>3250</v>
      </c>
      <c r="AO718" t="s">
        <v>3250</v>
      </c>
      <c r="AS718" t="s">
        <v>3250</v>
      </c>
      <c r="AT718" t="s">
        <v>3250</v>
      </c>
      <c r="AU718" t="s">
        <v>3250</v>
      </c>
      <c r="AV718" t="s">
        <v>3250</v>
      </c>
      <c r="AW718" t="s">
        <v>3250</v>
      </c>
      <c r="AX718" t="s">
        <v>3250</v>
      </c>
      <c r="AY718">
        <v>810</v>
      </c>
      <c r="AZ718" t="s">
        <v>2286</v>
      </c>
      <c r="BA718" t="s">
        <v>3250</v>
      </c>
      <c r="BB718">
        <v>810</v>
      </c>
      <c r="BC718" t="s">
        <v>2286</v>
      </c>
      <c r="BE718" t="s">
        <v>3250</v>
      </c>
      <c r="BF718" t="s">
        <v>3250</v>
      </c>
      <c r="BG718" t="s">
        <v>3250</v>
      </c>
      <c r="BH718" t="s">
        <v>3250</v>
      </c>
      <c r="BI718" t="s">
        <v>3250</v>
      </c>
      <c r="BK718" t="s">
        <v>3250</v>
      </c>
      <c r="BL718" t="s">
        <v>3250</v>
      </c>
      <c r="BM718" t="s">
        <v>3250</v>
      </c>
      <c r="BN718" t="s">
        <v>3250</v>
      </c>
      <c r="BP718">
        <v>5</v>
      </c>
      <c r="BQ718">
        <v>53</v>
      </c>
      <c r="BR718" t="s">
        <v>2399</v>
      </c>
      <c r="BS718" t="s">
        <v>4136</v>
      </c>
      <c r="BV718">
        <v>0</v>
      </c>
      <c r="BW718">
        <v>206029</v>
      </c>
      <c r="BX718">
        <v>0</v>
      </c>
      <c r="BY718">
        <v>0</v>
      </c>
      <c r="BZ718">
        <v>0</v>
      </c>
      <c r="CA718">
        <v>0</v>
      </c>
      <c r="CB718">
        <v>0</v>
      </c>
      <c r="CC718">
        <v>0</v>
      </c>
      <c r="CD718">
        <v>0</v>
      </c>
      <c r="CE718" t="s">
        <v>3108</v>
      </c>
      <c r="CF718" t="s">
        <v>3108</v>
      </c>
      <c r="CG718" t="s">
        <v>3108</v>
      </c>
      <c r="CH718" t="s">
        <v>3108</v>
      </c>
    </row>
    <row r="719" spans="1:86" x14ac:dyDescent="0.2">
      <c r="A719" t="s">
        <v>4356</v>
      </c>
      <c r="B719" t="s">
        <v>4356</v>
      </c>
      <c r="C719">
        <v>41159</v>
      </c>
      <c r="D719">
        <v>240</v>
      </c>
      <c r="E719" t="s">
        <v>4357</v>
      </c>
      <c r="F719">
        <v>2700</v>
      </c>
      <c r="G719" t="s">
        <v>411</v>
      </c>
      <c r="H719" t="s">
        <v>3997</v>
      </c>
      <c r="I719" t="s">
        <v>2533</v>
      </c>
      <c r="J719">
        <v>2703</v>
      </c>
      <c r="K719" t="s">
        <v>2533</v>
      </c>
      <c r="L719">
        <v>2100</v>
      </c>
      <c r="M719" t="s">
        <v>123</v>
      </c>
      <c r="N719">
        <v>2105</v>
      </c>
      <c r="O719" t="s">
        <v>2398</v>
      </c>
      <c r="P719" t="s">
        <v>3108</v>
      </c>
      <c r="Q719" t="s">
        <v>3249</v>
      </c>
      <c r="R719" t="s">
        <v>3249</v>
      </c>
      <c r="S719" t="s">
        <v>810</v>
      </c>
      <c r="T719" t="s">
        <v>2754</v>
      </c>
      <c r="U719" t="s">
        <v>3250</v>
      </c>
      <c r="V719" t="s">
        <v>3250</v>
      </c>
      <c r="W719" t="s">
        <v>3250</v>
      </c>
      <c r="X719" t="s">
        <v>3250</v>
      </c>
      <c r="Y719" t="s">
        <v>3250</v>
      </c>
      <c r="Z719" t="s">
        <v>3250</v>
      </c>
      <c r="AA719" t="s">
        <v>3108</v>
      </c>
      <c r="AB719" t="s">
        <v>3108</v>
      </c>
      <c r="AC719" t="s">
        <v>3250</v>
      </c>
      <c r="AD719" t="s">
        <v>3250</v>
      </c>
      <c r="AE719" t="s">
        <v>3250</v>
      </c>
      <c r="AF719" t="s">
        <v>3250</v>
      </c>
      <c r="AG719" t="s">
        <v>3250</v>
      </c>
      <c r="AH719" t="s">
        <v>3250</v>
      </c>
      <c r="AI719" t="s">
        <v>3250</v>
      </c>
      <c r="AJ719" t="s">
        <v>3250</v>
      </c>
      <c r="AL719" t="s">
        <v>3250</v>
      </c>
      <c r="AM719" t="s">
        <v>3250</v>
      </c>
      <c r="AN719" t="s">
        <v>3250</v>
      </c>
      <c r="AO719" t="s">
        <v>3250</v>
      </c>
      <c r="AS719" t="s">
        <v>3250</v>
      </c>
      <c r="AT719" t="s">
        <v>3250</v>
      </c>
      <c r="AU719" t="s">
        <v>3250</v>
      </c>
      <c r="AV719" t="s">
        <v>3250</v>
      </c>
      <c r="AW719" t="s">
        <v>3250</v>
      </c>
      <c r="AX719" t="s">
        <v>3250</v>
      </c>
      <c r="AY719">
        <v>790</v>
      </c>
      <c r="AZ719" t="s">
        <v>2284</v>
      </c>
      <c r="BA719" t="s">
        <v>3250</v>
      </c>
      <c r="BB719">
        <v>790</v>
      </c>
      <c r="BC719" t="s">
        <v>2284</v>
      </c>
      <c r="BD719" t="s">
        <v>2820</v>
      </c>
      <c r="BE719" t="s">
        <v>3250</v>
      </c>
      <c r="BF719" t="s">
        <v>3250</v>
      </c>
      <c r="BG719" t="s">
        <v>3250</v>
      </c>
      <c r="BH719" t="s">
        <v>3250</v>
      </c>
      <c r="BI719" t="s">
        <v>3250</v>
      </c>
      <c r="BK719" t="s">
        <v>3250</v>
      </c>
      <c r="BL719" t="s">
        <v>3250</v>
      </c>
      <c r="BM719" t="s">
        <v>3250</v>
      </c>
      <c r="BN719" t="s">
        <v>3250</v>
      </c>
      <c r="BP719">
        <v>4</v>
      </c>
      <c r="BQ719">
        <v>49</v>
      </c>
      <c r="BR719" t="s">
        <v>2398</v>
      </c>
      <c r="BS719" t="s">
        <v>4024</v>
      </c>
      <c r="BV719">
        <v>756544</v>
      </c>
      <c r="BW719">
        <v>0</v>
      </c>
      <c r="BX719">
        <v>0</v>
      </c>
      <c r="BY719">
        <v>0</v>
      </c>
      <c r="BZ719">
        <v>0</v>
      </c>
      <c r="CA719">
        <v>0</v>
      </c>
      <c r="CB719">
        <v>0</v>
      </c>
      <c r="CC719">
        <v>0</v>
      </c>
      <c r="CD719">
        <v>5357</v>
      </c>
      <c r="CE719" t="s">
        <v>3108</v>
      </c>
      <c r="CF719" t="s">
        <v>3108</v>
      </c>
      <c r="CG719" t="s">
        <v>3108</v>
      </c>
      <c r="CH719" t="s">
        <v>3108</v>
      </c>
    </row>
    <row r="720" spans="1:86" x14ac:dyDescent="0.2">
      <c r="A720" t="s">
        <v>4358</v>
      </c>
      <c r="B720" t="s">
        <v>4358</v>
      </c>
      <c r="C720">
        <v>41160</v>
      </c>
      <c r="D720">
        <v>241</v>
      </c>
      <c r="E720" t="s">
        <v>4357</v>
      </c>
      <c r="F720">
        <v>2700</v>
      </c>
      <c r="G720" t="s">
        <v>411</v>
      </c>
      <c r="H720" t="s">
        <v>3997</v>
      </c>
      <c r="I720" t="s">
        <v>2533</v>
      </c>
      <c r="J720">
        <v>2703</v>
      </c>
      <c r="K720" t="s">
        <v>2533</v>
      </c>
      <c r="L720">
        <v>2100</v>
      </c>
      <c r="M720" t="s">
        <v>123</v>
      </c>
      <c r="N720">
        <v>2106</v>
      </c>
      <c r="O720" t="s">
        <v>2399</v>
      </c>
      <c r="P720" t="s">
        <v>3108</v>
      </c>
      <c r="Q720" t="s">
        <v>3249</v>
      </c>
      <c r="R720" t="s">
        <v>3249</v>
      </c>
      <c r="S720" t="s">
        <v>810</v>
      </c>
      <c r="T720" t="s">
        <v>2754</v>
      </c>
      <c r="U720" t="s">
        <v>3250</v>
      </c>
      <c r="V720" t="s">
        <v>3250</v>
      </c>
      <c r="W720" t="s">
        <v>3250</v>
      </c>
      <c r="X720" t="s">
        <v>3250</v>
      </c>
      <c r="Y720" t="s">
        <v>3250</v>
      </c>
      <c r="Z720" t="s">
        <v>3250</v>
      </c>
      <c r="AA720" t="s">
        <v>3108</v>
      </c>
      <c r="AB720" t="s">
        <v>3108</v>
      </c>
      <c r="AC720" t="s">
        <v>3250</v>
      </c>
      <c r="AD720" t="s">
        <v>3250</v>
      </c>
      <c r="AE720" t="s">
        <v>3250</v>
      </c>
      <c r="AF720" t="s">
        <v>3250</v>
      </c>
      <c r="AG720" t="s">
        <v>3250</v>
      </c>
      <c r="AH720" t="s">
        <v>3250</v>
      </c>
      <c r="AI720" t="s">
        <v>3250</v>
      </c>
      <c r="AJ720" t="s">
        <v>3250</v>
      </c>
      <c r="AL720" t="s">
        <v>3250</v>
      </c>
      <c r="AM720" t="s">
        <v>3250</v>
      </c>
      <c r="AN720" t="s">
        <v>3250</v>
      </c>
      <c r="AO720" t="s">
        <v>3250</v>
      </c>
      <c r="AS720" t="s">
        <v>3250</v>
      </c>
      <c r="AT720" t="s">
        <v>3250</v>
      </c>
      <c r="AU720" t="s">
        <v>3250</v>
      </c>
      <c r="AV720" t="s">
        <v>3250</v>
      </c>
      <c r="AW720" t="s">
        <v>3250</v>
      </c>
      <c r="AX720" t="s">
        <v>3250</v>
      </c>
      <c r="AY720">
        <v>790</v>
      </c>
      <c r="AZ720" t="s">
        <v>2284</v>
      </c>
      <c r="BA720" t="s">
        <v>3250</v>
      </c>
      <c r="BB720">
        <v>790</v>
      </c>
      <c r="BC720" t="s">
        <v>2284</v>
      </c>
      <c r="BD720" t="s">
        <v>2820</v>
      </c>
      <c r="BE720" t="s">
        <v>3250</v>
      </c>
      <c r="BF720" t="s">
        <v>3250</v>
      </c>
      <c r="BG720" t="s">
        <v>3250</v>
      </c>
      <c r="BH720" t="s">
        <v>3250</v>
      </c>
      <c r="BI720" t="s">
        <v>3250</v>
      </c>
      <c r="BK720" t="s">
        <v>3250</v>
      </c>
      <c r="BL720" t="s">
        <v>3250</v>
      </c>
      <c r="BM720" t="s">
        <v>3250</v>
      </c>
      <c r="BN720" t="s">
        <v>3250</v>
      </c>
      <c r="BP720">
        <v>5</v>
      </c>
      <c r="BQ720">
        <v>53</v>
      </c>
      <c r="BR720" t="s">
        <v>2399</v>
      </c>
      <c r="BS720" t="s">
        <v>4136</v>
      </c>
      <c r="BV720">
        <v>942558</v>
      </c>
      <c r="BW720">
        <v>909301</v>
      </c>
      <c r="BX720">
        <v>0</v>
      </c>
      <c r="BY720">
        <v>2000000</v>
      </c>
      <c r="BZ720">
        <v>4979775</v>
      </c>
      <c r="CA720">
        <v>5000000</v>
      </c>
      <c r="CB720">
        <v>2200000</v>
      </c>
      <c r="CC720">
        <v>2420000</v>
      </c>
      <c r="CD720">
        <v>3151017</v>
      </c>
      <c r="CE720" t="s">
        <v>3108</v>
      </c>
      <c r="CF720" t="s">
        <v>3108</v>
      </c>
      <c r="CG720" t="s">
        <v>3108</v>
      </c>
      <c r="CH720" t="s">
        <v>3108</v>
      </c>
    </row>
    <row r="721" spans="1:86" x14ac:dyDescent="0.2">
      <c r="A721" t="s">
        <v>4359</v>
      </c>
      <c r="B721" t="s">
        <v>4359</v>
      </c>
      <c r="C721">
        <v>41161</v>
      </c>
      <c r="D721">
        <v>242</v>
      </c>
      <c r="E721" t="s">
        <v>4357</v>
      </c>
      <c r="F721">
        <v>2700</v>
      </c>
      <c r="G721" t="s">
        <v>411</v>
      </c>
      <c r="H721" t="s">
        <v>3997</v>
      </c>
      <c r="I721" t="s">
        <v>2533</v>
      </c>
      <c r="J721">
        <v>2703</v>
      </c>
      <c r="K721" t="s">
        <v>2533</v>
      </c>
      <c r="L721">
        <v>2100</v>
      </c>
      <c r="M721" t="s">
        <v>123</v>
      </c>
      <c r="N721">
        <v>2105</v>
      </c>
      <c r="O721" t="s">
        <v>2398</v>
      </c>
      <c r="P721" t="s">
        <v>3108</v>
      </c>
      <c r="Q721" t="s">
        <v>3249</v>
      </c>
      <c r="R721" t="s">
        <v>3249</v>
      </c>
      <c r="S721" t="s">
        <v>810</v>
      </c>
      <c r="T721" t="s">
        <v>2754</v>
      </c>
      <c r="U721" t="s">
        <v>3250</v>
      </c>
      <c r="V721" t="s">
        <v>3250</v>
      </c>
      <c r="W721" t="s">
        <v>3250</v>
      </c>
      <c r="X721" t="s">
        <v>3250</v>
      </c>
      <c r="Y721" t="s">
        <v>3250</v>
      </c>
      <c r="Z721" t="s">
        <v>3250</v>
      </c>
      <c r="AA721" t="s">
        <v>3108</v>
      </c>
      <c r="AB721" t="s">
        <v>3108</v>
      </c>
      <c r="AC721" t="s">
        <v>3250</v>
      </c>
      <c r="AD721" t="s">
        <v>3250</v>
      </c>
      <c r="AE721" t="s">
        <v>3250</v>
      </c>
      <c r="AF721" t="s">
        <v>3250</v>
      </c>
      <c r="AG721" t="s">
        <v>3250</v>
      </c>
      <c r="AH721" t="s">
        <v>3250</v>
      </c>
      <c r="AI721" t="s">
        <v>3250</v>
      </c>
      <c r="AJ721" t="s">
        <v>3250</v>
      </c>
      <c r="AL721" t="s">
        <v>3250</v>
      </c>
      <c r="AM721" t="s">
        <v>3250</v>
      </c>
      <c r="AN721" t="s">
        <v>3250</v>
      </c>
      <c r="AO721" t="s">
        <v>3250</v>
      </c>
      <c r="AS721" t="s">
        <v>3250</v>
      </c>
      <c r="AT721" t="s">
        <v>3250</v>
      </c>
      <c r="AU721" t="s">
        <v>3250</v>
      </c>
      <c r="AV721" t="s">
        <v>3250</v>
      </c>
      <c r="AW721" t="s">
        <v>3250</v>
      </c>
      <c r="AX721" t="s">
        <v>3250</v>
      </c>
      <c r="AY721">
        <v>810</v>
      </c>
      <c r="AZ721" t="s">
        <v>2286</v>
      </c>
      <c r="BA721" t="s">
        <v>3250</v>
      </c>
      <c r="BB721">
        <v>810</v>
      </c>
      <c r="BC721" t="s">
        <v>2286</v>
      </c>
      <c r="BD721" t="s">
        <v>2820</v>
      </c>
      <c r="BE721" t="s">
        <v>3250</v>
      </c>
      <c r="BF721" t="s">
        <v>3250</v>
      </c>
      <c r="BG721" t="s">
        <v>3250</v>
      </c>
      <c r="BH721" t="s">
        <v>3250</v>
      </c>
      <c r="BI721" t="s">
        <v>3250</v>
      </c>
      <c r="BK721" t="s">
        <v>3250</v>
      </c>
      <c r="BL721" t="s">
        <v>3250</v>
      </c>
      <c r="BM721" t="s">
        <v>3250</v>
      </c>
      <c r="BN721" t="s">
        <v>3250</v>
      </c>
      <c r="BP721">
        <v>4</v>
      </c>
      <c r="BQ721">
        <v>49</v>
      </c>
      <c r="BR721" t="s">
        <v>2398</v>
      </c>
      <c r="BS721" t="s">
        <v>4024</v>
      </c>
      <c r="BV721">
        <v>251804</v>
      </c>
      <c r="BW721">
        <v>526784</v>
      </c>
      <c r="BX721">
        <v>0</v>
      </c>
      <c r="BY721">
        <v>0</v>
      </c>
      <c r="BZ721">
        <v>0</v>
      </c>
      <c r="CA721">
        <v>0</v>
      </c>
      <c r="CB721">
        <v>0</v>
      </c>
      <c r="CC721">
        <v>0</v>
      </c>
      <c r="CD721">
        <v>0</v>
      </c>
      <c r="CE721" t="s">
        <v>3108</v>
      </c>
      <c r="CF721" t="s">
        <v>3108</v>
      </c>
      <c r="CG721" t="s">
        <v>3108</v>
      </c>
      <c r="CH721" t="s">
        <v>3108</v>
      </c>
    </row>
    <row r="722" spans="1:86" x14ac:dyDescent="0.2">
      <c r="A722" t="s">
        <v>4360</v>
      </c>
      <c r="B722" t="s">
        <v>4360</v>
      </c>
      <c r="C722">
        <v>41162</v>
      </c>
      <c r="D722">
        <v>243</v>
      </c>
      <c r="E722" t="s">
        <v>4357</v>
      </c>
      <c r="F722">
        <v>2700</v>
      </c>
      <c r="G722" t="s">
        <v>411</v>
      </c>
      <c r="H722" t="s">
        <v>3997</v>
      </c>
      <c r="I722" t="s">
        <v>2533</v>
      </c>
      <c r="J722">
        <v>2703</v>
      </c>
      <c r="K722" t="s">
        <v>2533</v>
      </c>
      <c r="L722">
        <v>2100</v>
      </c>
      <c r="M722" t="s">
        <v>123</v>
      </c>
      <c r="N722">
        <v>2106</v>
      </c>
      <c r="O722" t="s">
        <v>2399</v>
      </c>
      <c r="P722" t="s">
        <v>3108</v>
      </c>
      <c r="Q722" t="s">
        <v>3249</v>
      </c>
      <c r="R722" t="s">
        <v>3249</v>
      </c>
      <c r="S722" t="s">
        <v>810</v>
      </c>
      <c r="T722" t="s">
        <v>2754</v>
      </c>
      <c r="U722" t="s">
        <v>3250</v>
      </c>
      <c r="V722" t="s">
        <v>3250</v>
      </c>
      <c r="W722" t="s">
        <v>3250</v>
      </c>
      <c r="X722" t="s">
        <v>3250</v>
      </c>
      <c r="Y722" t="s">
        <v>3250</v>
      </c>
      <c r="Z722" t="s">
        <v>3250</v>
      </c>
      <c r="AA722" t="s">
        <v>3108</v>
      </c>
      <c r="AB722" t="s">
        <v>3108</v>
      </c>
      <c r="AC722" t="s">
        <v>3250</v>
      </c>
      <c r="AD722" t="s">
        <v>3250</v>
      </c>
      <c r="AE722" t="s">
        <v>3250</v>
      </c>
      <c r="AF722" t="s">
        <v>3250</v>
      </c>
      <c r="AG722" t="s">
        <v>3250</v>
      </c>
      <c r="AH722" t="s">
        <v>3250</v>
      </c>
      <c r="AI722" t="s">
        <v>3250</v>
      </c>
      <c r="AJ722" t="s">
        <v>3250</v>
      </c>
      <c r="AL722" t="s">
        <v>3250</v>
      </c>
      <c r="AM722" t="s">
        <v>3250</v>
      </c>
      <c r="AN722" t="s">
        <v>3250</v>
      </c>
      <c r="AO722" t="s">
        <v>3250</v>
      </c>
      <c r="AS722" t="s">
        <v>3250</v>
      </c>
      <c r="AT722" t="s">
        <v>3250</v>
      </c>
      <c r="AU722" t="s">
        <v>3250</v>
      </c>
      <c r="AV722" t="s">
        <v>3250</v>
      </c>
      <c r="AW722" t="s">
        <v>3250</v>
      </c>
      <c r="AX722" t="s">
        <v>3250</v>
      </c>
      <c r="AY722">
        <v>810</v>
      </c>
      <c r="AZ722" t="s">
        <v>2286</v>
      </c>
      <c r="BA722" t="s">
        <v>3250</v>
      </c>
      <c r="BB722">
        <v>810</v>
      </c>
      <c r="BC722" t="s">
        <v>2286</v>
      </c>
      <c r="BD722" t="s">
        <v>2820</v>
      </c>
      <c r="BE722" t="s">
        <v>3250</v>
      </c>
      <c r="BF722" t="s">
        <v>3250</v>
      </c>
      <c r="BG722" t="s">
        <v>3250</v>
      </c>
      <c r="BH722" t="s">
        <v>3250</v>
      </c>
      <c r="BI722" t="s">
        <v>3250</v>
      </c>
      <c r="BK722" t="s">
        <v>3250</v>
      </c>
      <c r="BL722" t="s">
        <v>3250</v>
      </c>
      <c r="BM722" t="s">
        <v>3250</v>
      </c>
      <c r="BN722" t="s">
        <v>3250</v>
      </c>
      <c r="BP722">
        <v>5</v>
      </c>
      <c r="BQ722">
        <v>53</v>
      </c>
      <c r="BR722" t="s">
        <v>2399</v>
      </c>
      <c r="BS722" t="s">
        <v>4136</v>
      </c>
      <c r="BV722">
        <v>0</v>
      </c>
      <c r="BW722">
        <v>0</v>
      </c>
      <c r="BX722">
        <v>0</v>
      </c>
      <c r="BY722">
        <v>0</v>
      </c>
      <c r="BZ722">
        <v>0</v>
      </c>
      <c r="CA722">
        <v>0</v>
      </c>
      <c r="CB722">
        <v>0</v>
      </c>
      <c r="CC722">
        <v>0</v>
      </c>
      <c r="CD722">
        <v>0</v>
      </c>
      <c r="CE722" t="s">
        <v>3108</v>
      </c>
      <c r="CF722" t="s">
        <v>3108</v>
      </c>
      <c r="CG722" t="s">
        <v>3108</v>
      </c>
      <c r="CH722" t="s">
        <v>3108</v>
      </c>
    </row>
    <row r="723" spans="1:86" x14ac:dyDescent="0.2">
      <c r="A723" t="s">
        <v>4361</v>
      </c>
      <c r="B723" t="s">
        <v>4361</v>
      </c>
      <c r="C723">
        <v>41163</v>
      </c>
      <c r="D723">
        <v>232</v>
      </c>
      <c r="E723" t="s">
        <v>4341</v>
      </c>
      <c r="F723">
        <v>2700</v>
      </c>
      <c r="G723" t="s">
        <v>411</v>
      </c>
      <c r="H723" t="s">
        <v>3837</v>
      </c>
      <c r="I723" t="s">
        <v>2532</v>
      </c>
      <c r="J723">
        <v>2702</v>
      </c>
      <c r="K723" t="s">
        <v>2532</v>
      </c>
      <c r="L723">
        <v>4300</v>
      </c>
      <c r="M723" t="s">
        <v>987</v>
      </c>
      <c r="N723">
        <v>4303</v>
      </c>
      <c r="O723" t="s">
        <v>627</v>
      </c>
      <c r="P723" t="s">
        <v>3108</v>
      </c>
      <c r="Q723" t="s">
        <v>3249</v>
      </c>
      <c r="R723" t="s">
        <v>3249</v>
      </c>
      <c r="S723" t="s">
        <v>810</v>
      </c>
      <c r="T723" t="s">
        <v>2754</v>
      </c>
      <c r="U723" t="s">
        <v>3250</v>
      </c>
      <c r="V723" t="s">
        <v>3250</v>
      </c>
      <c r="W723" t="s">
        <v>3250</v>
      </c>
      <c r="X723" t="s">
        <v>3250</v>
      </c>
      <c r="Y723" t="s">
        <v>3250</v>
      </c>
      <c r="Z723" t="s">
        <v>3250</v>
      </c>
      <c r="AA723" t="s">
        <v>3108</v>
      </c>
      <c r="AB723" t="s">
        <v>3108</v>
      </c>
      <c r="AC723" t="s">
        <v>3250</v>
      </c>
      <c r="AD723" t="s">
        <v>3250</v>
      </c>
      <c r="AE723" t="s">
        <v>3250</v>
      </c>
      <c r="AF723" t="s">
        <v>3250</v>
      </c>
      <c r="AG723" t="s">
        <v>3250</v>
      </c>
      <c r="AH723" t="s">
        <v>3250</v>
      </c>
      <c r="AI723" t="s">
        <v>3250</v>
      </c>
      <c r="AJ723" t="s">
        <v>3250</v>
      </c>
      <c r="AL723" t="s">
        <v>3250</v>
      </c>
      <c r="AM723" t="s">
        <v>3250</v>
      </c>
      <c r="AN723" t="s">
        <v>3250</v>
      </c>
      <c r="AO723" t="s">
        <v>3250</v>
      </c>
      <c r="AS723" t="s">
        <v>3250</v>
      </c>
      <c r="AT723" t="s">
        <v>3250</v>
      </c>
      <c r="AU723" t="s">
        <v>3250</v>
      </c>
      <c r="AV723" t="s">
        <v>3250</v>
      </c>
      <c r="AW723" t="s">
        <v>3250</v>
      </c>
      <c r="AX723" t="s">
        <v>3250</v>
      </c>
      <c r="AY723">
        <v>170</v>
      </c>
      <c r="AZ723" t="s">
        <v>2235</v>
      </c>
      <c r="BA723" t="s">
        <v>3250</v>
      </c>
      <c r="BB723">
        <v>170</v>
      </c>
      <c r="BC723" t="s">
        <v>2235</v>
      </c>
      <c r="BE723" t="s">
        <v>3250</v>
      </c>
      <c r="BF723" t="s">
        <v>3250</v>
      </c>
      <c r="BG723" t="s">
        <v>3250</v>
      </c>
      <c r="BH723" t="s">
        <v>3250</v>
      </c>
      <c r="BI723" t="s">
        <v>3250</v>
      </c>
      <c r="BK723" t="s">
        <v>3250</v>
      </c>
      <c r="BL723" t="s">
        <v>3250</v>
      </c>
      <c r="BM723" t="s">
        <v>3250</v>
      </c>
      <c r="BN723" t="s">
        <v>3250</v>
      </c>
      <c r="BP723">
        <v>14</v>
      </c>
      <c r="BQ723">
        <v>141</v>
      </c>
      <c r="BR723" t="s">
        <v>627</v>
      </c>
      <c r="BS723" t="s">
        <v>4344</v>
      </c>
      <c r="BV723">
        <v>0</v>
      </c>
      <c r="BW723">
        <v>0</v>
      </c>
      <c r="BX723">
        <v>0</v>
      </c>
      <c r="BY723">
        <v>0</v>
      </c>
      <c r="BZ723">
        <v>0</v>
      </c>
      <c r="CA723">
        <v>0</v>
      </c>
      <c r="CB723">
        <v>0</v>
      </c>
      <c r="CC723">
        <v>0</v>
      </c>
      <c r="CD723">
        <v>0</v>
      </c>
      <c r="CE723" t="s">
        <v>3108</v>
      </c>
      <c r="CF723" t="s">
        <v>3108</v>
      </c>
      <c r="CG723" t="s">
        <v>3108</v>
      </c>
      <c r="CH723" t="s">
        <v>3108</v>
      </c>
    </row>
    <row r="724" spans="1:86" x14ac:dyDescent="0.2">
      <c r="A724" t="s">
        <v>4362</v>
      </c>
      <c r="B724" t="s">
        <v>4362</v>
      </c>
      <c r="C724">
        <v>41164</v>
      </c>
      <c r="D724">
        <v>233</v>
      </c>
      <c r="E724" t="s">
        <v>4341</v>
      </c>
      <c r="F724">
        <v>2700</v>
      </c>
      <c r="G724" t="s">
        <v>411</v>
      </c>
      <c r="H724" t="s">
        <v>3837</v>
      </c>
      <c r="I724" t="s">
        <v>2532</v>
      </c>
      <c r="J724">
        <v>2702</v>
      </c>
      <c r="K724" t="s">
        <v>2532</v>
      </c>
      <c r="L724">
        <v>3200</v>
      </c>
      <c r="M724" t="s">
        <v>128</v>
      </c>
      <c r="N724">
        <v>3205</v>
      </c>
      <c r="O724" t="s">
        <v>629</v>
      </c>
      <c r="P724" t="s">
        <v>3108</v>
      </c>
      <c r="Q724" t="s">
        <v>3249</v>
      </c>
      <c r="R724" t="s">
        <v>3249</v>
      </c>
      <c r="S724" t="s">
        <v>810</v>
      </c>
      <c r="T724" t="s">
        <v>2754</v>
      </c>
      <c r="U724" t="s">
        <v>3250</v>
      </c>
      <c r="V724" t="s">
        <v>3250</v>
      </c>
      <c r="W724" t="s">
        <v>3250</v>
      </c>
      <c r="X724" t="s">
        <v>3250</v>
      </c>
      <c r="Y724" t="s">
        <v>3250</v>
      </c>
      <c r="Z724" t="s">
        <v>3250</v>
      </c>
      <c r="AA724" t="s">
        <v>3108</v>
      </c>
      <c r="AB724" t="s">
        <v>3108</v>
      </c>
      <c r="AC724" t="s">
        <v>3250</v>
      </c>
      <c r="AD724" t="s">
        <v>3250</v>
      </c>
      <c r="AE724" t="s">
        <v>3250</v>
      </c>
      <c r="AF724" t="s">
        <v>3250</v>
      </c>
      <c r="AG724" t="s">
        <v>3250</v>
      </c>
      <c r="AH724" t="s">
        <v>3250</v>
      </c>
      <c r="AI724" t="s">
        <v>3250</v>
      </c>
      <c r="AJ724" t="s">
        <v>3250</v>
      </c>
      <c r="AL724" t="s">
        <v>3250</v>
      </c>
      <c r="AM724" t="s">
        <v>3250</v>
      </c>
      <c r="AN724" t="s">
        <v>3250</v>
      </c>
      <c r="AO724" t="s">
        <v>3250</v>
      </c>
      <c r="AS724" t="s">
        <v>3250</v>
      </c>
      <c r="AT724" t="s">
        <v>3250</v>
      </c>
      <c r="AU724" t="s">
        <v>3250</v>
      </c>
      <c r="AV724" t="s">
        <v>3250</v>
      </c>
      <c r="AW724" t="s">
        <v>3250</v>
      </c>
      <c r="AX724" t="s">
        <v>3250</v>
      </c>
      <c r="AY724">
        <v>170</v>
      </c>
      <c r="AZ724" t="s">
        <v>2235</v>
      </c>
      <c r="BA724" t="s">
        <v>3250</v>
      </c>
      <c r="BB724">
        <v>170</v>
      </c>
      <c r="BC724" t="s">
        <v>2235</v>
      </c>
      <c r="BE724" t="s">
        <v>3250</v>
      </c>
      <c r="BF724" t="s">
        <v>3250</v>
      </c>
      <c r="BG724" t="s">
        <v>3250</v>
      </c>
      <c r="BH724" t="s">
        <v>3250</v>
      </c>
      <c r="BI724" t="s">
        <v>3250</v>
      </c>
      <c r="BK724" t="s">
        <v>3250</v>
      </c>
      <c r="BL724" t="s">
        <v>3250</v>
      </c>
      <c r="BM724" t="s">
        <v>3250</v>
      </c>
      <c r="BN724" t="s">
        <v>3250</v>
      </c>
      <c r="BP724">
        <v>7</v>
      </c>
      <c r="BQ724">
        <v>71</v>
      </c>
      <c r="BR724" t="s">
        <v>629</v>
      </c>
      <c r="BS724" t="s">
        <v>4212</v>
      </c>
      <c r="BV724">
        <v>0</v>
      </c>
      <c r="BW724">
        <v>0</v>
      </c>
      <c r="BX724">
        <v>0</v>
      </c>
      <c r="BY724">
        <v>0</v>
      </c>
      <c r="BZ724">
        <v>0</v>
      </c>
      <c r="CA724">
        <v>0</v>
      </c>
      <c r="CB724">
        <v>0</v>
      </c>
      <c r="CC724">
        <v>0</v>
      </c>
      <c r="CD724">
        <v>0</v>
      </c>
      <c r="CE724" t="s">
        <v>3108</v>
      </c>
      <c r="CF724" t="s">
        <v>3108</v>
      </c>
      <c r="CG724" t="s">
        <v>3108</v>
      </c>
      <c r="CH724" t="s">
        <v>3108</v>
      </c>
    </row>
    <row r="725" spans="1:86" x14ac:dyDescent="0.2">
      <c r="A725" t="s">
        <v>4363</v>
      </c>
      <c r="B725" t="s">
        <v>4363</v>
      </c>
      <c r="C725">
        <v>41165</v>
      </c>
      <c r="D725">
        <v>234</v>
      </c>
      <c r="E725" t="s">
        <v>4341</v>
      </c>
      <c r="F725">
        <v>2700</v>
      </c>
      <c r="G725" t="s">
        <v>411</v>
      </c>
      <c r="H725" t="s">
        <v>3837</v>
      </c>
      <c r="I725" t="s">
        <v>2532</v>
      </c>
      <c r="J725">
        <v>2702</v>
      </c>
      <c r="K725" t="s">
        <v>2532</v>
      </c>
      <c r="L725">
        <v>4300</v>
      </c>
      <c r="M725" t="s">
        <v>987</v>
      </c>
      <c r="N725">
        <v>4303</v>
      </c>
      <c r="O725" t="s">
        <v>627</v>
      </c>
      <c r="P725" t="s">
        <v>3108</v>
      </c>
      <c r="Q725" t="s">
        <v>3249</v>
      </c>
      <c r="R725" t="s">
        <v>3249</v>
      </c>
      <c r="S725" t="s">
        <v>810</v>
      </c>
      <c r="T725" t="s">
        <v>2754</v>
      </c>
      <c r="U725" t="s">
        <v>3250</v>
      </c>
      <c r="V725" t="s">
        <v>3250</v>
      </c>
      <c r="W725" t="s">
        <v>3250</v>
      </c>
      <c r="X725" t="s">
        <v>3250</v>
      </c>
      <c r="Y725" t="s">
        <v>3250</v>
      </c>
      <c r="Z725" t="s">
        <v>3250</v>
      </c>
      <c r="AA725" t="s">
        <v>3108</v>
      </c>
      <c r="AB725" t="s">
        <v>3108</v>
      </c>
      <c r="AC725" t="s">
        <v>3250</v>
      </c>
      <c r="AD725" t="s">
        <v>3250</v>
      </c>
      <c r="AE725" t="s">
        <v>3250</v>
      </c>
      <c r="AF725" t="s">
        <v>3250</v>
      </c>
      <c r="AG725" t="s">
        <v>3250</v>
      </c>
      <c r="AH725" t="s">
        <v>3250</v>
      </c>
      <c r="AI725" t="s">
        <v>3250</v>
      </c>
      <c r="AJ725" t="s">
        <v>3250</v>
      </c>
      <c r="AL725" t="s">
        <v>3250</v>
      </c>
      <c r="AM725" t="s">
        <v>3250</v>
      </c>
      <c r="AN725" t="s">
        <v>3250</v>
      </c>
      <c r="AO725" t="s">
        <v>3250</v>
      </c>
      <c r="AS725" t="s">
        <v>3250</v>
      </c>
      <c r="AT725" t="s">
        <v>3250</v>
      </c>
      <c r="AU725" t="s">
        <v>3250</v>
      </c>
      <c r="AV725" t="s">
        <v>3250</v>
      </c>
      <c r="AW725" t="s">
        <v>3250</v>
      </c>
      <c r="AX725" t="s">
        <v>3250</v>
      </c>
      <c r="AY725">
        <v>120</v>
      </c>
      <c r="AZ725" t="s">
        <v>629</v>
      </c>
      <c r="BA725" t="s">
        <v>3250</v>
      </c>
      <c r="BB725">
        <v>120</v>
      </c>
      <c r="BC725" t="s">
        <v>629</v>
      </c>
      <c r="BE725" t="s">
        <v>3250</v>
      </c>
      <c r="BF725" t="s">
        <v>3250</v>
      </c>
      <c r="BG725" t="s">
        <v>3250</v>
      </c>
      <c r="BH725" t="s">
        <v>3250</v>
      </c>
      <c r="BI725" t="s">
        <v>3250</v>
      </c>
      <c r="BK725" t="s">
        <v>3250</v>
      </c>
      <c r="BL725" t="s">
        <v>3250</v>
      </c>
      <c r="BM725" t="s">
        <v>3250</v>
      </c>
      <c r="BN725" t="s">
        <v>3250</v>
      </c>
      <c r="BP725">
        <v>14</v>
      </c>
      <c r="BQ725">
        <v>141</v>
      </c>
      <c r="BR725" t="s">
        <v>627</v>
      </c>
      <c r="BS725" t="s">
        <v>4344</v>
      </c>
      <c r="BV725">
        <v>0</v>
      </c>
      <c r="BW725">
        <v>0</v>
      </c>
      <c r="BX725">
        <v>0</v>
      </c>
      <c r="BY725">
        <v>0</v>
      </c>
      <c r="BZ725">
        <v>0</v>
      </c>
      <c r="CA725">
        <v>0</v>
      </c>
      <c r="CB725">
        <v>0</v>
      </c>
      <c r="CC725">
        <v>0</v>
      </c>
      <c r="CD725">
        <v>0</v>
      </c>
      <c r="CE725" t="s">
        <v>3108</v>
      </c>
      <c r="CF725" t="s">
        <v>3108</v>
      </c>
      <c r="CG725" t="s">
        <v>3108</v>
      </c>
      <c r="CH725" t="s">
        <v>3108</v>
      </c>
    </row>
    <row r="726" spans="1:86" x14ac:dyDescent="0.2">
      <c r="A726" t="s">
        <v>4364</v>
      </c>
      <c r="B726" t="s">
        <v>4364</v>
      </c>
      <c r="C726">
        <v>41166</v>
      </c>
      <c r="D726">
        <v>235</v>
      </c>
      <c r="E726" t="s">
        <v>4341</v>
      </c>
      <c r="F726">
        <v>2700</v>
      </c>
      <c r="G726" t="s">
        <v>411</v>
      </c>
      <c r="H726" t="s">
        <v>3837</v>
      </c>
      <c r="I726" t="s">
        <v>2532</v>
      </c>
      <c r="J726">
        <v>2702</v>
      </c>
      <c r="K726" t="s">
        <v>2532</v>
      </c>
      <c r="L726">
        <v>3200</v>
      </c>
      <c r="M726" t="s">
        <v>128</v>
      </c>
      <c r="N726">
        <v>3205</v>
      </c>
      <c r="O726" t="s">
        <v>629</v>
      </c>
      <c r="P726" t="s">
        <v>3108</v>
      </c>
      <c r="Q726" t="s">
        <v>3249</v>
      </c>
      <c r="R726" t="s">
        <v>3249</v>
      </c>
      <c r="S726" t="s">
        <v>810</v>
      </c>
      <c r="T726" t="s">
        <v>2754</v>
      </c>
      <c r="U726" t="s">
        <v>3250</v>
      </c>
      <c r="V726" t="s">
        <v>3250</v>
      </c>
      <c r="W726" t="s">
        <v>3250</v>
      </c>
      <c r="X726" t="s">
        <v>3250</v>
      </c>
      <c r="Y726" t="s">
        <v>3250</v>
      </c>
      <c r="Z726" t="s">
        <v>3250</v>
      </c>
      <c r="AA726" t="s">
        <v>3108</v>
      </c>
      <c r="AB726" t="s">
        <v>3108</v>
      </c>
      <c r="AC726" t="s">
        <v>3250</v>
      </c>
      <c r="AD726" t="s">
        <v>3250</v>
      </c>
      <c r="AE726" t="s">
        <v>3250</v>
      </c>
      <c r="AF726" t="s">
        <v>3250</v>
      </c>
      <c r="AG726" t="s">
        <v>3250</v>
      </c>
      <c r="AH726" t="s">
        <v>3250</v>
      </c>
      <c r="AI726" t="s">
        <v>3250</v>
      </c>
      <c r="AJ726" t="s">
        <v>3250</v>
      </c>
      <c r="AL726" t="s">
        <v>3250</v>
      </c>
      <c r="AM726" t="s">
        <v>3250</v>
      </c>
      <c r="AN726" t="s">
        <v>3250</v>
      </c>
      <c r="AO726" t="s">
        <v>3250</v>
      </c>
      <c r="AS726" t="s">
        <v>3250</v>
      </c>
      <c r="AT726" t="s">
        <v>3250</v>
      </c>
      <c r="AU726" t="s">
        <v>3250</v>
      </c>
      <c r="AV726" t="s">
        <v>3250</v>
      </c>
      <c r="AW726" t="s">
        <v>3250</v>
      </c>
      <c r="AX726" t="s">
        <v>3250</v>
      </c>
      <c r="AY726">
        <v>120</v>
      </c>
      <c r="AZ726" t="s">
        <v>629</v>
      </c>
      <c r="BA726" t="s">
        <v>3250</v>
      </c>
      <c r="BB726">
        <v>120</v>
      </c>
      <c r="BC726" t="s">
        <v>629</v>
      </c>
      <c r="BE726" t="s">
        <v>3250</v>
      </c>
      <c r="BF726" t="s">
        <v>3250</v>
      </c>
      <c r="BG726" t="s">
        <v>3250</v>
      </c>
      <c r="BH726" t="s">
        <v>3250</v>
      </c>
      <c r="BI726" t="s">
        <v>3250</v>
      </c>
      <c r="BK726" t="s">
        <v>3250</v>
      </c>
      <c r="BL726" t="s">
        <v>3250</v>
      </c>
      <c r="BM726" t="s">
        <v>3250</v>
      </c>
      <c r="BN726" t="s">
        <v>3250</v>
      </c>
      <c r="BP726">
        <v>7</v>
      </c>
      <c r="BQ726">
        <v>71</v>
      </c>
      <c r="BR726" t="s">
        <v>629</v>
      </c>
      <c r="BS726" t="s">
        <v>4212</v>
      </c>
      <c r="BV726">
        <v>0</v>
      </c>
      <c r="BW726">
        <v>0</v>
      </c>
      <c r="BX726">
        <v>0</v>
      </c>
      <c r="BY726">
        <v>0</v>
      </c>
      <c r="BZ726">
        <v>0</v>
      </c>
      <c r="CA726">
        <v>0</v>
      </c>
      <c r="CB726">
        <v>0</v>
      </c>
      <c r="CC726">
        <v>0</v>
      </c>
      <c r="CD726">
        <v>0</v>
      </c>
      <c r="CE726" t="s">
        <v>3108</v>
      </c>
      <c r="CF726" t="s">
        <v>3108</v>
      </c>
      <c r="CG726" t="s">
        <v>3108</v>
      </c>
      <c r="CH726" t="s">
        <v>3108</v>
      </c>
    </row>
    <row r="727" spans="1:86" x14ac:dyDescent="0.2">
      <c r="A727" t="s">
        <v>4365</v>
      </c>
      <c r="B727" t="s">
        <v>4365</v>
      </c>
      <c r="C727">
        <v>41167</v>
      </c>
      <c r="D727">
        <v>325</v>
      </c>
      <c r="E727" t="s">
        <v>4059</v>
      </c>
      <c r="F727">
        <v>2900</v>
      </c>
      <c r="G727" t="s">
        <v>822</v>
      </c>
      <c r="H727" t="s">
        <v>3108</v>
      </c>
      <c r="I727" t="s">
        <v>3108</v>
      </c>
      <c r="J727">
        <v>2904</v>
      </c>
      <c r="K727" t="s">
        <v>1690</v>
      </c>
      <c r="L727">
        <v>1200</v>
      </c>
      <c r="M727" t="s">
        <v>2368</v>
      </c>
      <c r="N727">
        <v>1204</v>
      </c>
      <c r="O727" t="s">
        <v>1574</v>
      </c>
      <c r="P727" t="s">
        <v>3108</v>
      </c>
      <c r="Q727" t="s">
        <v>3249</v>
      </c>
      <c r="R727" t="s">
        <v>3249</v>
      </c>
      <c r="S727" t="s">
        <v>810</v>
      </c>
      <c r="T727" t="s">
        <v>2754</v>
      </c>
      <c r="U727" t="s">
        <v>3250</v>
      </c>
      <c r="V727" t="s">
        <v>3250</v>
      </c>
      <c r="W727" t="s">
        <v>3250</v>
      </c>
      <c r="X727" t="s">
        <v>3250</v>
      </c>
      <c r="Y727" t="s">
        <v>3250</v>
      </c>
      <c r="Z727" t="s">
        <v>3250</v>
      </c>
      <c r="AA727" t="s">
        <v>3108</v>
      </c>
      <c r="AB727" t="s">
        <v>3108</v>
      </c>
      <c r="AC727" t="s">
        <v>3250</v>
      </c>
      <c r="AD727" t="s">
        <v>3250</v>
      </c>
      <c r="AE727" t="s">
        <v>3250</v>
      </c>
      <c r="AF727" t="s">
        <v>3250</v>
      </c>
      <c r="AG727" t="s">
        <v>3250</v>
      </c>
      <c r="AH727" t="s">
        <v>3250</v>
      </c>
      <c r="AI727" t="s">
        <v>3250</v>
      </c>
      <c r="AJ727" t="s">
        <v>3250</v>
      </c>
      <c r="AL727" t="s">
        <v>3250</v>
      </c>
      <c r="AM727" t="s">
        <v>3250</v>
      </c>
      <c r="AN727" t="s">
        <v>3250</v>
      </c>
      <c r="AO727" t="s">
        <v>3250</v>
      </c>
      <c r="AS727" t="s">
        <v>3250</v>
      </c>
      <c r="AT727" t="s">
        <v>3250</v>
      </c>
      <c r="AU727" t="s">
        <v>3250</v>
      </c>
      <c r="AV727" t="s">
        <v>3250</v>
      </c>
      <c r="AW727" t="s">
        <v>3250</v>
      </c>
      <c r="AX727" t="s">
        <v>3250</v>
      </c>
      <c r="AY727" t="s">
        <v>3250</v>
      </c>
      <c r="AZ727" t="s">
        <v>3250</v>
      </c>
      <c r="BA727" t="s">
        <v>3250</v>
      </c>
      <c r="BB727" t="s">
        <v>3250</v>
      </c>
      <c r="BC727" t="s">
        <v>3250</v>
      </c>
      <c r="BE727" t="s">
        <v>3250</v>
      </c>
      <c r="BF727" t="s">
        <v>3250</v>
      </c>
      <c r="BG727" t="s">
        <v>3250</v>
      </c>
      <c r="BH727" t="s">
        <v>3250</v>
      </c>
      <c r="BI727" t="s">
        <v>3250</v>
      </c>
      <c r="BK727" t="s">
        <v>3250</v>
      </c>
      <c r="BL727" t="s">
        <v>3250</v>
      </c>
      <c r="BM727" t="s">
        <v>3250</v>
      </c>
      <c r="BN727" t="s">
        <v>3250</v>
      </c>
      <c r="BP727">
        <v>1</v>
      </c>
      <c r="BQ727">
        <v>11</v>
      </c>
      <c r="BR727" t="s">
        <v>1574</v>
      </c>
      <c r="BS727" t="s">
        <v>3252</v>
      </c>
      <c r="BV727">
        <v>727</v>
      </c>
      <c r="BW727">
        <v>831</v>
      </c>
      <c r="BX727">
        <v>743</v>
      </c>
      <c r="BY727">
        <v>0</v>
      </c>
      <c r="BZ727">
        <v>0</v>
      </c>
      <c r="CA727">
        <v>0</v>
      </c>
      <c r="CB727">
        <v>0</v>
      </c>
      <c r="CC727">
        <v>0</v>
      </c>
      <c r="CD727">
        <v>0</v>
      </c>
      <c r="CE727" t="s">
        <v>3108</v>
      </c>
      <c r="CF727" t="s">
        <v>3108</v>
      </c>
      <c r="CG727" t="s">
        <v>3108</v>
      </c>
      <c r="CH727" t="s">
        <v>3108</v>
      </c>
    </row>
    <row r="728" spans="1:86" x14ac:dyDescent="0.2">
      <c r="A728" t="s">
        <v>4366</v>
      </c>
      <c r="B728" t="s">
        <v>4366</v>
      </c>
      <c r="C728">
        <v>41168</v>
      </c>
      <c r="D728">
        <v>326</v>
      </c>
      <c r="E728" t="s">
        <v>4061</v>
      </c>
      <c r="F728">
        <v>2900</v>
      </c>
      <c r="G728" t="s">
        <v>822</v>
      </c>
      <c r="H728" t="s">
        <v>3108</v>
      </c>
      <c r="I728" t="s">
        <v>3108</v>
      </c>
      <c r="J728">
        <v>2904</v>
      </c>
      <c r="K728" t="s">
        <v>1690</v>
      </c>
      <c r="L728">
        <v>1200</v>
      </c>
      <c r="M728" t="s">
        <v>2368</v>
      </c>
      <c r="N728">
        <v>1204</v>
      </c>
      <c r="O728" t="s">
        <v>1574</v>
      </c>
      <c r="P728" t="s">
        <v>3108</v>
      </c>
      <c r="Q728" t="s">
        <v>3249</v>
      </c>
      <c r="R728" t="s">
        <v>3249</v>
      </c>
      <c r="S728" t="s">
        <v>810</v>
      </c>
      <c r="T728" t="s">
        <v>2754</v>
      </c>
      <c r="U728" t="s">
        <v>3250</v>
      </c>
      <c r="V728" t="s">
        <v>3250</v>
      </c>
      <c r="W728" t="s">
        <v>3250</v>
      </c>
      <c r="X728" t="s">
        <v>3250</v>
      </c>
      <c r="Y728" t="s">
        <v>3250</v>
      </c>
      <c r="Z728" t="s">
        <v>3250</v>
      </c>
      <c r="AA728" t="s">
        <v>3108</v>
      </c>
      <c r="AB728" t="s">
        <v>3108</v>
      </c>
      <c r="AC728" t="s">
        <v>3250</v>
      </c>
      <c r="AD728" t="s">
        <v>3250</v>
      </c>
      <c r="AE728" t="s">
        <v>3250</v>
      </c>
      <c r="AF728" t="s">
        <v>3250</v>
      </c>
      <c r="AG728" t="s">
        <v>3250</v>
      </c>
      <c r="AH728" t="s">
        <v>3250</v>
      </c>
      <c r="AI728" t="s">
        <v>3250</v>
      </c>
      <c r="AJ728" t="s">
        <v>3250</v>
      </c>
      <c r="AL728" t="s">
        <v>3250</v>
      </c>
      <c r="AM728" t="s">
        <v>3250</v>
      </c>
      <c r="AN728" t="s">
        <v>3250</v>
      </c>
      <c r="AO728" t="s">
        <v>3250</v>
      </c>
      <c r="AS728" t="s">
        <v>3250</v>
      </c>
      <c r="AT728" t="s">
        <v>3250</v>
      </c>
      <c r="AU728" t="s">
        <v>3250</v>
      </c>
      <c r="AV728" t="s">
        <v>3250</v>
      </c>
      <c r="AW728" t="s">
        <v>3250</v>
      </c>
      <c r="AX728" t="s">
        <v>3250</v>
      </c>
      <c r="AY728" t="s">
        <v>3250</v>
      </c>
      <c r="AZ728" t="s">
        <v>3250</v>
      </c>
      <c r="BA728" t="s">
        <v>3250</v>
      </c>
      <c r="BB728" t="s">
        <v>3250</v>
      </c>
      <c r="BC728" t="s">
        <v>3250</v>
      </c>
      <c r="BE728" t="s">
        <v>3250</v>
      </c>
      <c r="BF728" t="s">
        <v>3250</v>
      </c>
      <c r="BG728" t="s">
        <v>3250</v>
      </c>
      <c r="BH728" t="s">
        <v>3250</v>
      </c>
      <c r="BI728" t="s">
        <v>3250</v>
      </c>
      <c r="BK728" t="s">
        <v>3250</v>
      </c>
      <c r="BL728" t="s">
        <v>3250</v>
      </c>
      <c r="BM728" t="s">
        <v>3250</v>
      </c>
      <c r="BN728" t="s">
        <v>3250</v>
      </c>
      <c r="BP728">
        <v>1</v>
      </c>
      <c r="BQ728">
        <v>11</v>
      </c>
      <c r="BR728" t="s">
        <v>1574</v>
      </c>
      <c r="BS728" t="s">
        <v>3252</v>
      </c>
      <c r="BV728">
        <v>38716</v>
      </c>
      <c r="BW728">
        <v>33827</v>
      </c>
      <c r="BX728">
        <v>32070</v>
      </c>
      <c r="BY728">
        <v>68610</v>
      </c>
      <c r="BZ728">
        <v>68610</v>
      </c>
      <c r="CA728">
        <v>71286</v>
      </c>
      <c r="CB728">
        <v>74137</v>
      </c>
      <c r="CC728">
        <v>77103</v>
      </c>
      <c r="CD728">
        <v>16434</v>
      </c>
      <c r="CE728" t="s">
        <v>3108</v>
      </c>
      <c r="CF728" t="s">
        <v>3108</v>
      </c>
      <c r="CG728" t="s">
        <v>3108</v>
      </c>
      <c r="CH728" t="s">
        <v>3108</v>
      </c>
    </row>
    <row r="729" spans="1:86" x14ac:dyDescent="0.2">
      <c r="A729" t="s">
        <v>4367</v>
      </c>
      <c r="B729" t="s">
        <v>4367</v>
      </c>
      <c r="C729">
        <v>41169</v>
      </c>
      <c r="D729">
        <v>327</v>
      </c>
      <c r="E729" t="s">
        <v>4063</v>
      </c>
      <c r="F729">
        <v>2000</v>
      </c>
      <c r="G729" t="s">
        <v>408</v>
      </c>
      <c r="H729" t="s">
        <v>4064</v>
      </c>
      <c r="I729" t="s">
        <v>1340</v>
      </c>
      <c r="J729">
        <v>2009</v>
      </c>
      <c r="K729" t="s">
        <v>1340</v>
      </c>
      <c r="L729">
        <v>1200</v>
      </c>
      <c r="M729" t="s">
        <v>2368</v>
      </c>
      <c r="N729">
        <v>1204</v>
      </c>
      <c r="O729" t="s">
        <v>1574</v>
      </c>
      <c r="P729" t="s">
        <v>3108</v>
      </c>
      <c r="Q729" t="s">
        <v>3249</v>
      </c>
      <c r="R729" t="s">
        <v>3249</v>
      </c>
      <c r="S729" t="s">
        <v>810</v>
      </c>
      <c r="T729" t="s">
        <v>2754</v>
      </c>
      <c r="U729" t="s">
        <v>3250</v>
      </c>
      <c r="V729" t="s">
        <v>3250</v>
      </c>
      <c r="W729" t="s">
        <v>3250</v>
      </c>
      <c r="X729" t="s">
        <v>3250</v>
      </c>
      <c r="Y729" t="s">
        <v>3250</v>
      </c>
      <c r="Z729" t="s">
        <v>3250</v>
      </c>
      <c r="AA729" t="s">
        <v>3108</v>
      </c>
      <c r="AB729" t="s">
        <v>3108</v>
      </c>
      <c r="AC729" t="s">
        <v>3250</v>
      </c>
      <c r="AD729" t="s">
        <v>3250</v>
      </c>
      <c r="AE729" t="s">
        <v>3250</v>
      </c>
      <c r="AF729" t="s">
        <v>3250</v>
      </c>
      <c r="AG729" t="s">
        <v>3250</v>
      </c>
      <c r="AH729" t="s">
        <v>3250</v>
      </c>
      <c r="AI729" t="s">
        <v>3250</v>
      </c>
      <c r="AJ729" t="s">
        <v>3250</v>
      </c>
      <c r="AL729" t="s">
        <v>3250</v>
      </c>
      <c r="AM729" t="s">
        <v>3250</v>
      </c>
      <c r="AN729" t="s">
        <v>3250</v>
      </c>
      <c r="AO729" t="s">
        <v>3250</v>
      </c>
      <c r="AS729" t="s">
        <v>3250</v>
      </c>
      <c r="AT729" t="s">
        <v>3250</v>
      </c>
      <c r="AU729" t="s">
        <v>3250</v>
      </c>
      <c r="AV729" t="s">
        <v>3250</v>
      </c>
      <c r="AW729" t="s">
        <v>3250</v>
      </c>
      <c r="AX729" t="s">
        <v>3250</v>
      </c>
      <c r="AY729" t="s">
        <v>3250</v>
      </c>
      <c r="AZ729" t="s">
        <v>3250</v>
      </c>
      <c r="BA729" t="s">
        <v>3250</v>
      </c>
      <c r="BB729" t="s">
        <v>3250</v>
      </c>
      <c r="BC729" t="s">
        <v>3250</v>
      </c>
      <c r="BE729" t="s">
        <v>3250</v>
      </c>
      <c r="BF729" t="s">
        <v>3250</v>
      </c>
      <c r="BG729" t="s">
        <v>3250</v>
      </c>
      <c r="BH729" t="s">
        <v>3250</v>
      </c>
      <c r="BI729" t="s">
        <v>3250</v>
      </c>
      <c r="BK729" t="s">
        <v>3250</v>
      </c>
      <c r="BL729" t="s">
        <v>3250</v>
      </c>
      <c r="BM729" t="s">
        <v>3250</v>
      </c>
      <c r="BN729" t="s">
        <v>3250</v>
      </c>
      <c r="BO729" t="s">
        <v>2916</v>
      </c>
      <c r="BP729">
        <v>1</v>
      </c>
      <c r="BQ729">
        <v>11</v>
      </c>
      <c r="BR729" t="s">
        <v>1574</v>
      </c>
      <c r="BS729" t="s">
        <v>3252</v>
      </c>
      <c r="BV729">
        <v>410</v>
      </c>
      <c r="BW729">
        <v>70</v>
      </c>
      <c r="BX729">
        <v>140</v>
      </c>
      <c r="BY729">
        <v>928</v>
      </c>
      <c r="BZ729">
        <v>928</v>
      </c>
      <c r="CA729">
        <v>993</v>
      </c>
      <c r="CB729">
        <v>993</v>
      </c>
      <c r="CC729">
        <v>1063</v>
      </c>
      <c r="CD729">
        <v>5084</v>
      </c>
      <c r="CE729" t="s">
        <v>3108</v>
      </c>
      <c r="CF729" t="s">
        <v>3108</v>
      </c>
      <c r="CG729" t="s">
        <v>3108</v>
      </c>
      <c r="CH729" t="s">
        <v>3108</v>
      </c>
    </row>
    <row r="730" spans="1:86" x14ac:dyDescent="0.2">
      <c r="A730" t="s">
        <v>4368</v>
      </c>
      <c r="B730" t="s">
        <v>4368</v>
      </c>
      <c r="C730">
        <v>41170</v>
      </c>
      <c r="D730">
        <v>328</v>
      </c>
      <c r="E730" t="s">
        <v>4066</v>
      </c>
      <c r="F730">
        <v>2000</v>
      </c>
      <c r="G730" t="s">
        <v>408</v>
      </c>
      <c r="H730" t="s">
        <v>4067</v>
      </c>
      <c r="I730" t="s">
        <v>650</v>
      </c>
      <c r="J730">
        <v>2003</v>
      </c>
      <c r="K730" t="s">
        <v>650</v>
      </c>
      <c r="L730">
        <v>1200</v>
      </c>
      <c r="M730" t="s">
        <v>2368</v>
      </c>
      <c r="N730">
        <v>1204</v>
      </c>
      <c r="O730" t="s">
        <v>1574</v>
      </c>
      <c r="P730" t="s">
        <v>3108</v>
      </c>
      <c r="Q730" t="s">
        <v>3249</v>
      </c>
      <c r="R730" t="s">
        <v>3249</v>
      </c>
      <c r="S730" t="s">
        <v>810</v>
      </c>
      <c r="T730" t="s">
        <v>2754</v>
      </c>
      <c r="U730" t="s">
        <v>3250</v>
      </c>
      <c r="V730" t="s">
        <v>3250</v>
      </c>
      <c r="W730" t="s">
        <v>3250</v>
      </c>
      <c r="X730" t="s">
        <v>3250</v>
      </c>
      <c r="Y730" t="s">
        <v>3250</v>
      </c>
      <c r="Z730" t="s">
        <v>3250</v>
      </c>
      <c r="AA730" t="s">
        <v>3108</v>
      </c>
      <c r="AB730" t="s">
        <v>3108</v>
      </c>
      <c r="AC730" t="s">
        <v>3250</v>
      </c>
      <c r="AD730" t="s">
        <v>3250</v>
      </c>
      <c r="AE730" t="s">
        <v>3250</v>
      </c>
      <c r="AF730" t="s">
        <v>3250</v>
      </c>
      <c r="AG730" t="s">
        <v>3250</v>
      </c>
      <c r="AH730" t="s">
        <v>3250</v>
      </c>
      <c r="AI730" t="s">
        <v>3250</v>
      </c>
      <c r="AJ730" t="s">
        <v>3250</v>
      </c>
      <c r="AL730" t="s">
        <v>3250</v>
      </c>
      <c r="AM730" t="s">
        <v>3250</v>
      </c>
      <c r="AN730" t="s">
        <v>3250</v>
      </c>
      <c r="AO730" t="s">
        <v>3250</v>
      </c>
      <c r="AS730" t="s">
        <v>3250</v>
      </c>
      <c r="AT730" t="s">
        <v>3250</v>
      </c>
      <c r="AU730" t="s">
        <v>3250</v>
      </c>
      <c r="AV730" t="s">
        <v>3250</v>
      </c>
      <c r="AW730" t="s">
        <v>3250</v>
      </c>
      <c r="AX730" t="s">
        <v>3250</v>
      </c>
      <c r="AY730" t="s">
        <v>3250</v>
      </c>
      <c r="AZ730" t="s">
        <v>3250</v>
      </c>
      <c r="BA730" t="s">
        <v>3250</v>
      </c>
      <c r="BB730" t="s">
        <v>3250</v>
      </c>
      <c r="BC730" t="s">
        <v>3250</v>
      </c>
      <c r="BE730" t="s">
        <v>3250</v>
      </c>
      <c r="BF730" t="s">
        <v>3250</v>
      </c>
      <c r="BG730" t="s">
        <v>3250</v>
      </c>
      <c r="BH730" t="s">
        <v>3250</v>
      </c>
      <c r="BI730" t="s">
        <v>3250</v>
      </c>
      <c r="BK730" t="s">
        <v>3250</v>
      </c>
      <c r="BL730" t="s">
        <v>3250</v>
      </c>
      <c r="BM730" t="s">
        <v>3250</v>
      </c>
      <c r="BN730" t="s">
        <v>3250</v>
      </c>
      <c r="BO730" t="s">
        <v>2916</v>
      </c>
      <c r="BP730">
        <v>1</v>
      </c>
      <c r="BQ730">
        <v>11</v>
      </c>
      <c r="BR730" t="s">
        <v>1574</v>
      </c>
      <c r="BS730" t="s">
        <v>3252</v>
      </c>
      <c r="BV730">
        <v>217003</v>
      </c>
      <c r="BW730">
        <v>169623</v>
      </c>
      <c r="BX730">
        <v>164882</v>
      </c>
      <c r="BY730">
        <v>318815</v>
      </c>
      <c r="BZ730">
        <v>318815</v>
      </c>
      <c r="CA730">
        <v>341132</v>
      </c>
      <c r="CB730">
        <v>341132</v>
      </c>
      <c r="CC730">
        <v>365011</v>
      </c>
      <c r="CD730">
        <v>229953</v>
      </c>
      <c r="CE730" t="s">
        <v>3108</v>
      </c>
      <c r="CF730" t="s">
        <v>3108</v>
      </c>
      <c r="CG730" t="s">
        <v>3108</v>
      </c>
      <c r="CH730" t="s">
        <v>3108</v>
      </c>
    </row>
    <row r="731" spans="1:86" x14ac:dyDescent="0.2">
      <c r="A731" t="s">
        <v>4369</v>
      </c>
      <c r="B731" t="s">
        <v>4369</v>
      </c>
      <c r="C731">
        <v>41171</v>
      </c>
      <c r="D731">
        <v>329</v>
      </c>
      <c r="E731" t="s">
        <v>4069</v>
      </c>
      <c r="F731">
        <v>2000</v>
      </c>
      <c r="G731" t="s">
        <v>408</v>
      </c>
      <c r="H731" t="s">
        <v>4070</v>
      </c>
      <c r="I731" t="s">
        <v>1792</v>
      </c>
      <c r="J731">
        <v>2002</v>
      </c>
      <c r="K731" t="s">
        <v>1792</v>
      </c>
      <c r="L731">
        <v>1200</v>
      </c>
      <c r="M731" t="s">
        <v>2368</v>
      </c>
      <c r="N731">
        <v>1204</v>
      </c>
      <c r="O731" t="s">
        <v>1574</v>
      </c>
      <c r="P731" t="s">
        <v>3108</v>
      </c>
      <c r="Q731" t="s">
        <v>3249</v>
      </c>
      <c r="R731" t="s">
        <v>3249</v>
      </c>
      <c r="S731" t="s">
        <v>810</v>
      </c>
      <c r="T731" t="s">
        <v>2754</v>
      </c>
      <c r="U731" t="s">
        <v>3250</v>
      </c>
      <c r="V731" t="s">
        <v>3250</v>
      </c>
      <c r="W731" t="s">
        <v>3250</v>
      </c>
      <c r="X731" t="s">
        <v>3250</v>
      </c>
      <c r="Y731" t="s">
        <v>3250</v>
      </c>
      <c r="Z731" t="s">
        <v>3250</v>
      </c>
      <c r="AA731" t="s">
        <v>3108</v>
      </c>
      <c r="AB731" t="s">
        <v>3108</v>
      </c>
      <c r="AC731" t="s">
        <v>3250</v>
      </c>
      <c r="AD731" t="s">
        <v>3250</v>
      </c>
      <c r="AE731" t="s">
        <v>3250</v>
      </c>
      <c r="AF731" t="s">
        <v>3250</v>
      </c>
      <c r="AG731" t="s">
        <v>3250</v>
      </c>
      <c r="AH731" t="s">
        <v>3250</v>
      </c>
      <c r="AI731" t="s">
        <v>3250</v>
      </c>
      <c r="AJ731" t="s">
        <v>3250</v>
      </c>
      <c r="AL731" t="s">
        <v>3250</v>
      </c>
      <c r="AM731" t="s">
        <v>3250</v>
      </c>
      <c r="AN731" t="s">
        <v>3250</v>
      </c>
      <c r="AO731" t="s">
        <v>3250</v>
      </c>
      <c r="AS731" t="s">
        <v>3250</v>
      </c>
      <c r="AT731" t="s">
        <v>3250</v>
      </c>
      <c r="AU731" t="s">
        <v>3250</v>
      </c>
      <c r="AV731" t="s">
        <v>3250</v>
      </c>
      <c r="AW731" t="s">
        <v>3250</v>
      </c>
      <c r="AX731" t="s">
        <v>3250</v>
      </c>
      <c r="AY731" t="s">
        <v>3250</v>
      </c>
      <c r="AZ731" t="s">
        <v>3250</v>
      </c>
      <c r="BA731" t="s">
        <v>3250</v>
      </c>
      <c r="BB731" t="s">
        <v>3250</v>
      </c>
      <c r="BC731" t="s">
        <v>3250</v>
      </c>
      <c r="BE731" t="s">
        <v>3250</v>
      </c>
      <c r="BF731" t="s">
        <v>3250</v>
      </c>
      <c r="BG731" t="s">
        <v>3250</v>
      </c>
      <c r="BH731" t="s">
        <v>3250</v>
      </c>
      <c r="BI731" t="s">
        <v>3250</v>
      </c>
      <c r="BK731" t="s">
        <v>3250</v>
      </c>
      <c r="BL731" t="s">
        <v>3250</v>
      </c>
      <c r="BM731" t="s">
        <v>3250</v>
      </c>
      <c r="BN731" t="s">
        <v>3250</v>
      </c>
      <c r="BO731" t="s">
        <v>2916</v>
      </c>
      <c r="BP731">
        <v>1</v>
      </c>
      <c r="BQ731">
        <v>11</v>
      </c>
      <c r="BR731" t="s">
        <v>1574</v>
      </c>
      <c r="BS731" t="s">
        <v>3252</v>
      </c>
      <c r="BV731">
        <v>347994</v>
      </c>
      <c r="BW731">
        <v>304722</v>
      </c>
      <c r="BX731">
        <v>318040</v>
      </c>
      <c r="BY731">
        <v>717333</v>
      </c>
      <c r="BZ731">
        <v>717333</v>
      </c>
      <c r="CA731">
        <v>767546</v>
      </c>
      <c r="CB731">
        <v>767546</v>
      </c>
      <c r="CC731">
        <v>821274</v>
      </c>
      <c r="CD731">
        <v>391515</v>
      </c>
      <c r="CE731" t="s">
        <v>3108</v>
      </c>
      <c r="CF731" t="s">
        <v>3108</v>
      </c>
      <c r="CG731" t="s">
        <v>3108</v>
      </c>
      <c r="CH731" t="s">
        <v>3108</v>
      </c>
    </row>
    <row r="732" spans="1:86" x14ac:dyDescent="0.2">
      <c r="A732" t="s">
        <v>4370</v>
      </c>
      <c r="B732" t="s">
        <v>4370</v>
      </c>
      <c r="C732">
        <v>41172</v>
      </c>
      <c r="D732">
        <v>330</v>
      </c>
      <c r="E732" t="s">
        <v>4072</v>
      </c>
      <c r="F732">
        <v>2000</v>
      </c>
      <c r="G732" t="s">
        <v>408</v>
      </c>
      <c r="H732" t="s">
        <v>4070</v>
      </c>
      <c r="I732" t="s">
        <v>1792</v>
      </c>
      <c r="J732">
        <v>2002</v>
      </c>
      <c r="K732" t="s">
        <v>1792</v>
      </c>
      <c r="L732">
        <v>1200</v>
      </c>
      <c r="M732" t="s">
        <v>2368</v>
      </c>
      <c r="N732">
        <v>1204</v>
      </c>
      <c r="O732" t="s">
        <v>1574</v>
      </c>
      <c r="P732" t="s">
        <v>3108</v>
      </c>
      <c r="Q732" t="s">
        <v>3249</v>
      </c>
      <c r="R732" t="s">
        <v>3249</v>
      </c>
      <c r="S732" t="s">
        <v>810</v>
      </c>
      <c r="T732" t="s">
        <v>2754</v>
      </c>
      <c r="U732" t="s">
        <v>3250</v>
      </c>
      <c r="V732" t="s">
        <v>3250</v>
      </c>
      <c r="W732" t="s">
        <v>3250</v>
      </c>
      <c r="X732" t="s">
        <v>3250</v>
      </c>
      <c r="Y732" t="s">
        <v>3250</v>
      </c>
      <c r="Z732" t="s">
        <v>3250</v>
      </c>
      <c r="AA732" t="s">
        <v>3108</v>
      </c>
      <c r="AB732" t="s">
        <v>3108</v>
      </c>
      <c r="AC732" t="s">
        <v>3250</v>
      </c>
      <c r="AD732" t="s">
        <v>3250</v>
      </c>
      <c r="AE732" t="s">
        <v>3250</v>
      </c>
      <c r="AF732" t="s">
        <v>3250</v>
      </c>
      <c r="AG732" t="s">
        <v>3250</v>
      </c>
      <c r="AH732" t="s">
        <v>3250</v>
      </c>
      <c r="AI732" t="s">
        <v>3250</v>
      </c>
      <c r="AJ732" t="s">
        <v>3250</v>
      </c>
      <c r="AL732" t="s">
        <v>3250</v>
      </c>
      <c r="AM732" t="s">
        <v>3250</v>
      </c>
      <c r="AN732" t="s">
        <v>3250</v>
      </c>
      <c r="AO732" t="s">
        <v>3250</v>
      </c>
      <c r="AS732" t="s">
        <v>3250</v>
      </c>
      <c r="AT732" t="s">
        <v>3250</v>
      </c>
      <c r="AU732" t="s">
        <v>3250</v>
      </c>
      <c r="AV732" t="s">
        <v>3250</v>
      </c>
      <c r="AW732" t="s">
        <v>3250</v>
      </c>
      <c r="AX732" t="s">
        <v>3250</v>
      </c>
      <c r="AY732" t="s">
        <v>3250</v>
      </c>
      <c r="AZ732" t="s">
        <v>3250</v>
      </c>
      <c r="BA732" t="s">
        <v>3250</v>
      </c>
      <c r="BB732" t="s">
        <v>3250</v>
      </c>
      <c r="BC732" t="s">
        <v>3250</v>
      </c>
      <c r="BE732" t="s">
        <v>3250</v>
      </c>
      <c r="BF732" t="s">
        <v>3250</v>
      </c>
      <c r="BG732" t="s">
        <v>3250</v>
      </c>
      <c r="BH732" t="s">
        <v>3250</v>
      </c>
      <c r="BI732" t="s">
        <v>3250</v>
      </c>
      <c r="BK732" t="s">
        <v>3250</v>
      </c>
      <c r="BL732" t="s">
        <v>3250</v>
      </c>
      <c r="BM732" t="s">
        <v>3250</v>
      </c>
      <c r="BN732" t="s">
        <v>3250</v>
      </c>
      <c r="BO732" t="s">
        <v>2916</v>
      </c>
      <c r="BP732">
        <v>1</v>
      </c>
      <c r="BQ732">
        <v>11</v>
      </c>
      <c r="BR732" t="s">
        <v>1574</v>
      </c>
      <c r="BS732" t="s">
        <v>3252</v>
      </c>
      <c r="BV732">
        <v>18861</v>
      </c>
      <c r="BW732">
        <v>14234</v>
      </c>
      <c r="BX732">
        <v>14883</v>
      </c>
      <c r="BY732">
        <v>40736</v>
      </c>
      <c r="BZ732">
        <v>40736</v>
      </c>
      <c r="CA732">
        <v>43587</v>
      </c>
      <c r="CB732">
        <v>43587</v>
      </c>
      <c r="CC732">
        <v>46638</v>
      </c>
      <c r="CD732">
        <v>6437</v>
      </c>
      <c r="CE732" t="s">
        <v>3108</v>
      </c>
      <c r="CF732" t="s">
        <v>3108</v>
      </c>
      <c r="CG732" t="s">
        <v>3108</v>
      </c>
      <c r="CH732" t="s">
        <v>3108</v>
      </c>
    </row>
    <row r="733" spans="1:86" x14ac:dyDescent="0.2">
      <c r="A733" t="s">
        <v>4371</v>
      </c>
      <c r="B733" t="s">
        <v>4371</v>
      </c>
      <c r="C733">
        <v>41173</v>
      </c>
      <c r="D733">
        <v>331</v>
      </c>
      <c r="E733" t="s">
        <v>4074</v>
      </c>
      <c r="F733">
        <v>2000</v>
      </c>
      <c r="G733" t="s">
        <v>408</v>
      </c>
      <c r="H733" t="s">
        <v>4075</v>
      </c>
      <c r="I733" t="s">
        <v>946</v>
      </c>
      <c r="J733">
        <v>2009</v>
      </c>
      <c r="K733" t="s">
        <v>1340</v>
      </c>
      <c r="L733">
        <v>1200</v>
      </c>
      <c r="M733" t="s">
        <v>2368</v>
      </c>
      <c r="N733">
        <v>1204</v>
      </c>
      <c r="O733" t="s">
        <v>1574</v>
      </c>
      <c r="P733" t="s">
        <v>3108</v>
      </c>
      <c r="Q733" t="s">
        <v>3249</v>
      </c>
      <c r="R733" t="s">
        <v>3249</v>
      </c>
      <c r="S733" t="s">
        <v>810</v>
      </c>
      <c r="T733" t="s">
        <v>2754</v>
      </c>
      <c r="U733" t="s">
        <v>3250</v>
      </c>
      <c r="V733" t="s">
        <v>3250</v>
      </c>
      <c r="W733" t="s">
        <v>3250</v>
      </c>
      <c r="X733" t="s">
        <v>3250</v>
      </c>
      <c r="Y733" t="s">
        <v>3250</v>
      </c>
      <c r="Z733" t="s">
        <v>3250</v>
      </c>
      <c r="AA733" t="s">
        <v>3108</v>
      </c>
      <c r="AB733" t="s">
        <v>3108</v>
      </c>
      <c r="AC733" t="s">
        <v>3250</v>
      </c>
      <c r="AD733" t="s">
        <v>3250</v>
      </c>
      <c r="AE733" t="s">
        <v>3250</v>
      </c>
      <c r="AF733" t="s">
        <v>3250</v>
      </c>
      <c r="AG733" t="s">
        <v>3250</v>
      </c>
      <c r="AH733" t="s">
        <v>3250</v>
      </c>
      <c r="AI733" t="s">
        <v>3250</v>
      </c>
      <c r="AJ733" t="s">
        <v>3250</v>
      </c>
      <c r="AL733" t="s">
        <v>3250</v>
      </c>
      <c r="AM733" t="s">
        <v>3250</v>
      </c>
      <c r="AN733" t="s">
        <v>3250</v>
      </c>
      <c r="AO733" t="s">
        <v>3250</v>
      </c>
      <c r="AS733" t="s">
        <v>3250</v>
      </c>
      <c r="AT733" t="s">
        <v>3250</v>
      </c>
      <c r="AU733" t="s">
        <v>3250</v>
      </c>
      <c r="AV733" t="s">
        <v>3250</v>
      </c>
      <c r="AW733" t="s">
        <v>3250</v>
      </c>
      <c r="AX733" t="s">
        <v>3250</v>
      </c>
      <c r="AY733" t="s">
        <v>3250</v>
      </c>
      <c r="AZ733" t="s">
        <v>3250</v>
      </c>
      <c r="BA733" t="s">
        <v>3250</v>
      </c>
      <c r="BB733" t="s">
        <v>3250</v>
      </c>
      <c r="BC733" t="s">
        <v>3250</v>
      </c>
      <c r="BE733" t="s">
        <v>3250</v>
      </c>
      <c r="BF733" t="s">
        <v>3250</v>
      </c>
      <c r="BG733" t="s">
        <v>3250</v>
      </c>
      <c r="BH733" t="s">
        <v>3250</v>
      </c>
      <c r="BI733" t="s">
        <v>3250</v>
      </c>
      <c r="BK733" t="s">
        <v>3250</v>
      </c>
      <c r="BL733" t="s">
        <v>3250</v>
      </c>
      <c r="BM733" t="s">
        <v>3250</v>
      </c>
      <c r="BN733" t="s">
        <v>3250</v>
      </c>
      <c r="BO733" t="s">
        <v>2916</v>
      </c>
      <c r="BP733">
        <v>1</v>
      </c>
      <c r="BQ733">
        <v>11</v>
      </c>
      <c r="BR733" t="s">
        <v>1574</v>
      </c>
      <c r="BS733" t="s">
        <v>3252</v>
      </c>
      <c r="BV733">
        <v>0</v>
      </c>
      <c r="BW733">
        <v>0</v>
      </c>
      <c r="BX733">
        <v>0</v>
      </c>
      <c r="BY733">
        <v>0</v>
      </c>
      <c r="BZ733">
        <v>8000</v>
      </c>
      <c r="CA733">
        <v>8560</v>
      </c>
      <c r="CB733">
        <v>8000</v>
      </c>
      <c r="CC733">
        <v>8560</v>
      </c>
      <c r="CD733">
        <v>6149</v>
      </c>
      <c r="CE733" t="s">
        <v>3108</v>
      </c>
      <c r="CF733" t="s">
        <v>3108</v>
      </c>
      <c r="CG733" t="s">
        <v>3108</v>
      </c>
      <c r="CH733" t="s">
        <v>3108</v>
      </c>
    </row>
    <row r="734" spans="1:86" x14ac:dyDescent="0.2">
      <c r="A734" t="s">
        <v>4372</v>
      </c>
      <c r="B734" t="s">
        <v>4372</v>
      </c>
      <c r="C734">
        <v>41174</v>
      </c>
      <c r="D734">
        <v>332</v>
      </c>
      <c r="E734" t="s">
        <v>4077</v>
      </c>
      <c r="F734">
        <v>2000</v>
      </c>
      <c r="G734" t="s">
        <v>408</v>
      </c>
      <c r="H734" t="s">
        <v>4075</v>
      </c>
      <c r="I734" t="s">
        <v>946</v>
      </c>
      <c r="J734">
        <v>2009</v>
      </c>
      <c r="K734" t="s">
        <v>1340</v>
      </c>
      <c r="L734">
        <v>1200</v>
      </c>
      <c r="M734" t="s">
        <v>2368</v>
      </c>
      <c r="N734">
        <v>1204</v>
      </c>
      <c r="O734" t="s">
        <v>1574</v>
      </c>
      <c r="P734" t="s">
        <v>3108</v>
      </c>
      <c r="Q734" t="s">
        <v>3249</v>
      </c>
      <c r="R734" t="s">
        <v>3249</v>
      </c>
      <c r="S734" t="s">
        <v>810</v>
      </c>
      <c r="T734" t="s">
        <v>2754</v>
      </c>
      <c r="U734" t="s">
        <v>3250</v>
      </c>
      <c r="V734" t="s">
        <v>3250</v>
      </c>
      <c r="W734" t="s">
        <v>3250</v>
      </c>
      <c r="X734" t="s">
        <v>3250</v>
      </c>
      <c r="Y734" t="s">
        <v>3250</v>
      </c>
      <c r="Z734" t="s">
        <v>3250</v>
      </c>
      <c r="AA734" t="s">
        <v>3108</v>
      </c>
      <c r="AB734" t="s">
        <v>3108</v>
      </c>
      <c r="AC734" t="s">
        <v>3250</v>
      </c>
      <c r="AD734" t="s">
        <v>3250</v>
      </c>
      <c r="AE734" t="s">
        <v>3250</v>
      </c>
      <c r="AF734" t="s">
        <v>3250</v>
      </c>
      <c r="AG734" t="s">
        <v>3250</v>
      </c>
      <c r="AH734" t="s">
        <v>3250</v>
      </c>
      <c r="AI734" t="s">
        <v>3250</v>
      </c>
      <c r="AJ734" t="s">
        <v>3250</v>
      </c>
      <c r="AL734" t="s">
        <v>3250</v>
      </c>
      <c r="AM734" t="s">
        <v>3250</v>
      </c>
      <c r="AN734" t="s">
        <v>3250</v>
      </c>
      <c r="AO734" t="s">
        <v>3250</v>
      </c>
      <c r="AS734" t="s">
        <v>3250</v>
      </c>
      <c r="AT734" t="s">
        <v>3250</v>
      </c>
      <c r="AU734" t="s">
        <v>3250</v>
      </c>
      <c r="AV734" t="s">
        <v>3250</v>
      </c>
      <c r="AW734" t="s">
        <v>3250</v>
      </c>
      <c r="AX734" t="s">
        <v>3250</v>
      </c>
      <c r="AY734" t="s">
        <v>3250</v>
      </c>
      <c r="AZ734" t="s">
        <v>3250</v>
      </c>
      <c r="BA734" t="s">
        <v>3250</v>
      </c>
      <c r="BB734" t="s">
        <v>3250</v>
      </c>
      <c r="BC734" t="s">
        <v>3250</v>
      </c>
      <c r="BE734" t="s">
        <v>3250</v>
      </c>
      <c r="BF734" t="s">
        <v>3250</v>
      </c>
      <c r="BG734" t="s">
        <v>3250</v>
      </c>
      <c r="BH734" t="s">
        <v>3250</v>
      </c>
      <c r="BI734" t="s">
        <v>3250</v>
      </c>
      <c r="BK734" t="s">
        <v>3250</v>
      </c>
      <c r="BL734" t="s">
        <v>3250</v>
      </c>
      <c r="BM734" t="s">
        <v>3250</v>
      </c>
      <c r="BN734" t="s">
        <v>3250</v>
      </c>
      <c r="BO734" t="s">
        <v>2916</v>
      </c>
      <c r="BP734">
        <v>1</v>
      </c>
      <c r="BQ734">
        <v>11</v>
      </c>
      <c r="BR734" t="s">
        <v>1574</v>
      </c>
      <c r="BS734" t="s">
        <v>3252</v>
      </c>
      <c r="BV734">
        <v>0</v>
      </c>
      <c r="BW734">
        <v>2820</v>
      </c>
      <c r="BX734">
        <v>126171</v>
      </c>
      <c r="BY734">
        <v>0</v>
      </c>
      <c r="BZ734">
        <v>0</v>
      </c>
      <c r="CA734">
        <v>0</v>
      </c>
      <c r="CB734">
        <v>0</v>
      </c>
      <c r="CC734">
        <v>0</v>
      </c>
      <c r="CD734">
        <v>0</v>
      </c>
      <c r="CE734" t="s">
        <v>3108</v>
      </c>
      <c r="CF734" t="s">
        <v>3108</v>
      </c>
      <c r="CG734" t="s">
        <v>3108</v>
      </c>
      <c r="CH734" t="s">
        <v>3108</v>
      </c>
    </row>
    <row r="735" spans="1:86" x14ac:dyDescent="0.2">
      <c r="A735" t="s">
        <v>4373</v>
      </c>
      <c r="B735" t="s">
        <v>4373</v>
      </c>
      <c r="C735">
        <v>41175</v>
      </c>
      <c r="D735">
        <v>333</v>
      </c>
      <c r="E735" t="s">
        <v>4079</v>
      </c>
      <c r="F735">
        <v>2000</v>
      </c>
      <c r="G735" t="s">
        <v>408</v>
      </c>
      <c r="H735" t="s">
        <v>4064</v>
      </c>
      <c r="I735" t="s">
        <v>1340</v>
      </c>
      <c r="J735">
        <v>2001</v>
      </c>
      <c r="K735" t="s">
        <v>1135</v>
      </c>
      <c r="L735">
        <v>1200</v>
      </c>
      <c r="M735" t="s">
        <v>2368</v>
      </c>
      <c r="N735">
        <v>1204</v>
      </c>
      <c r="O735" t="s">
        <v>1574</v>
      </c>
      <c r="P735" t="s">
        <v>3108</v>
      </c>
      <c r="Q735" t="s">
        <v>3249</v>
      </c>
      <c r="R735" t="s">
        <v>3249</v>
      </c>
      <c r="S735" t="s">
        <v>810</v>
      </c>
      <c r="T735" t="s">
        <v>2754</v>
      </c>
      <c r="U735" t="s">
        <v>3250</v>
      </c>
      <c r="V735" t="s">
        <v>3250</v>
      </c>
      <c r="W735" t="s">
        <v>3250</v>
      </c>
      <c r="X735" t="s">
        <v>3250</v>
      </c>
      <c r="Y735" t="s">
        <v>3250</v>
      </c>
      <c r="Z735" t="s">
        <v>3250</v>
      </c>
      <c r="AA735" t="s">
        <v>3108</v>
      </c>
      <c r="AB735" t="s">
        <v>3108</v>
      </c>
      <c r="AC735" t="s">
        <v>3250</v>
      </c>
      <c r="AD735" t="s">
        <v>3250</v>
      </c>
      <c r="AE735" t="s">
        <v>3250</v>
      </c>
      <c r="AF735" t="s">
        <v>3250</v>
      </c>
      <c r="AG735" t="s">
        <v>3250</v>
      </c>
      <c r="AH735" t="s">
        <v>3250</v>
      </c>
      <c r="AI735" t="s">
        <v>3250</v>
      </c>
      <c r="AJ735" t="s">
        <v>3250</v>
      </c>
      <c r="AL735" t="s">
        <v>3250</v>
      </c>
      <c r="AM735" t="s">
        <v>3250</v>
      </c>
      <c r="AN735" t="s">
        <v>3250</v>
      </c>
      <c r="AO735" t="s">
        <v>3250</v>
      </c>
      <c r="AS735" t="s">
        <v>3250</v>
      </c>
      <c r="AT735" t="s">
        <v>3250</v>
      </c>
      <c r="AU735" t="s">
        <v>3250</v>
      </c>
      <c r="AV735" t="s">
        <v>3250</v>
      </c>
      <c r="AW735" t="s">
        <v>3250</v>
      </c>
      <c r="AX735" t="s">
        <v>3250</v>
      </c>
      <c r="AY735" t="s">
        <v>3250</v>
      </c>
      <c r="AZ735" t="s">
        <v>3250</v>
      </c>
      <c r="BA735" t="s">
        <v>3250</v>
      </c>
      <c r="BB735" t="s">
        <v>3250</v>
      </c>
      <c r="BC735" t="s">
        <v>3250</v>
      </c>
      <c r="BE735" t="s">
        <v>3250</v>
      </c>
      <c r="BF735" t="s">
        <v>3250</v>
      </c>
      <c r="BG735" t="s">
        <v>3250</v>
      </c>
      <c r="BH735" t="s">
        <v>3250</v>
      </c>
      <c r="BI735" t="s">
        <v>3250</v>
      </c>
      <c r="BK735" t="s">
        <v>3250</v>
      </c>
      <c r="BL735" t="s">
        <v>3250</v>
      </c>
      <c r="BM735" t="s">
        <v>3250</v>
      </c>
      <c r="BN735" t="s">
        <v>3250</v>
      </c>
      <c r="BO735" t="s">
        <v>2916</v>
      </c>
      <c r="BP735">
        <v>1</v>
      </c>
      <c r="BQ735">
        <v>11</v>
      </c>
      <c r="BR735" t="s">
        <v>1574</v>
      </c>
      <c r="BS735" t="s">
        <v>3252</v>
      </c>
      <c r="BV735">
        <v>73737</v>
      </c>
      <c r="BW735">
        <v>0</v>
      </c>
      <c r="BX735">
        <v>0</v>
      </c>
      <c r="BY735">
        <v>0</v>
      </c>
      <c r="BZ735">
        <v>0</v>
      </c>
      <c r="CA735">
        <v>0</v>
      </c>
      <c r="CB735">
        <v>0</v>
      </c>
      <c r="CC735">
        <v>0</v>
      </c>
      <c r="CD735">
        <v>28116</v>
      </c>
      <c r="CE735" t="s">
        <v>3108</v>
      </c>
      <c r="CF735" t="s">
        <v>3108</v>
      </c>
      <c r="CG735" t="s">
        <v>3108</v>
      </c>
      <c r="CH735" t="s">
        <v>3108</v>
      </c>
    </row>
    <row r="736" spans="1:86" x14ac:dyDescent="0.2">
      <c r="A736" t="s">
        <v>4374</v>
      </c>
      <c r="B736" t="s">
        <v>4374</v>
      </c>
      <c r="C736">
        <v>41176</v>
      </c>
      <c r="D736">
        <v>334</v>
      </c>
      <c r="E736" t="s">
        <v>4081</v>
      </c>
      <c r="F736">
        <v>2000</v>
      </c>
      <c r="G736" t="s">
        <v>408</v>
      </c>
      <c r="H736" t="s">
        <v>4082</v>
      </c>
      <c r="I736" t="s">
        <v>652</v>
      </c>
      <c r="J736">
        <v>2005</v>
      </c>
      <c r="K736" t="s">
        <v>652</v>
      </c>
      <c r="L736">
        <v>1200</v>
      </c>
      <c r="M736" t="s">
        <v>2368</v>
      </c>
      <c r="N736">
        <v>1204</v>
      </c>
      <c r="O736" t="s">
        <v>1574</v>
      </c>
      <c r="P736" t="s">
        <v>3108</v>
      </c>
      <c r="Q736" t="s">
        <v>3249</v>
      </c>
      <c r="R736" t="s">
        <v>3249</v>
      </c>
      <c r="S736" t="s">
        <v>810</v>
      </c>
      <c r="T736" t="s">
        <v>2754</v>
      </c>
      <c r="U736" t="s">
        <v>3250</v>
      </c>
      <c r="V736" t="s">
        <v>3250</v>
      </c>
      <c r="W736" t="s">
        <v>3250</v>
      </c>
      <c r="X736" t="s">
        <v>3250</v>
      </c>
      <c r="Y736" t="s">
        <v>3250</v>
      </c>
      <c r="Z736" t="s">
        <v>3250</v>
      </c>
      <c r="AA736" t="s">
        <v>3108</v>
      </c>
      <c r="AB736" t="s">
        <v>3108</v>
      </c>
      <c r="AC736" t="s">
        <v>3250</v>
      </c>
      <c r="AD736" t="s">
        <v>3250</v>
      </c>
      <c r="AE736" t="s">
        <v>3250</v>
      </c>
      <c r="AF736" t="s">
        <v>3250</v>
      </c>
      <c r="AG736" t="s">
        <v>3250</v>
      </c>
      <c r="AH736" t="s">
        <v>3250</v>
      </c>
      <c r="AI736" t="s">
        <v>3250</v>
      </c>
      <c r="AJ736" t="s">
        <v>3250</v>
      </c>
      <c r="AL736" t="s">
        <v>3250</v>
      </c>
      <c r="AM736" t="s">
        <v>3250</v>
      </c>
      <c r="AN736" t="s">
        <v>3250</v>
      </c>
      <c r="AO736" t="s">
        <v>3250</v>
      </c>
      <c r="AS736" t="s">
        <v>3250</v>
      </c>
      <c r="AT736" t="s">
        <v>3250</v>
      </c>
      <c r="AU736" t="s">
        <v>3250</v>
      </c>
      <c r="AV736" t="s">
        <v>3250</v>
      </c>
      <c r="AW736" t="s">
        <v>3250</v>
      </c>
      <c r="AX736" t="s">
        <v>3250</v>
      </c>
      <c r="AY736" t="s">
        <v>3250</v>
      </c>
      <c r="AZ736" t="s">
        <v>3250</v>
      </c>
      <c r="BA736" t="s">
        <v>3250</v>
      </c>
      <c r="BB736" t="s">
        <v>3250</v>
      </c>
      <c r="BC736" t="s">
        <v>3250</v>
      </c>
      <c r="BE736" t="s">
        <v>3250</v>
      </c>
      <c r="BF736" t="s">
        <v>3250</v>
      </c>
      <c r="BG736" t="s">
        <v>3250</v>
      </c>
      <c r="BH736" t="s">
        <v>3250</v>
      </c>
      <c r="BI736" t="s">
        <v>3250</v>
      </c>
      <c r="BK736" t="s">
        <v>3250</v>
      </c>
      <c r="BL736" t="s">
        <v>3250</v>
      </c>
      <c r="BM736" t="s">
        <v>3250</v>
      </c>
      <c r="BN736" t="s">
        <v>3250</v>
      </c>
      <c r="BO736" t="s">
        <v>2916</v>
      </c>
      <c r="BP736">
        <v>1</v>
      </c>
      <c r="BQ736">
        <v>11</v>
      </c>
      <c r="BR736" t="s">
        <v>1574</v>
      </c>
      <c r="BS736" t="s">
        <v>3252</v>
      </c>
      <c r="BV736">
        <v>194367</v>
      </c>
      <c r="BW736">
        <v>187382</v>
      </c>
      <c r="BX736">
        <v>185581</v>
      </c>
      <c r="BY736">
        <v>410884</v>
      </c>
      <c r="BZ736">
        <v>410884</v>
      </c>
      <c r="CA736">
        <v>439646</v>
      </c>
      <c r="CB736">
        <v>439646</v>
      </c>
      <c r="CC736">
        <v>470421</v>
      </c>
      <c r="CD736">
        <v>8361</v>
      </c>
      <c r="CE736" t="s">
        <v>3108</v>
      </c>
      <c r="CF736" t="s">
        <v>3108</v>
      </c>
      <c r="CG736" t="s">
        <v>3108</v>
      </c>
      <c r="CH736" t="s">
        <v>3108</v>
      </c>
    </row>
    <row r="737" spans="1:86" x14ac:dyDescent="0.2">
      <c r="A737" t="s">
        <v>4375</v>
      </c>
      <c r="B737" t="s">
        <v>4375</v>
      </c>
      <c r="C737">
        <v>41178</v>
      </c>
      <c r="D737">
        <v>335</v>
      </c>
      <c r="E737" t="s">
        <v>4087</v>
      </c>
      <c r="F737">
        <v>2000</v>
      </c>
      <c r="G737" t="s">
        <v>408</v>
      </c>
      <c r="H737" t="s">
        <v>4088</v>
      </c>
      <c r="I737" t="s">
        <v>1941</v>
      </c>
      <c r="J737">
        <v>2008</v>
      </c>
      <c r="K737" t="s">
        <v>1941</v>
      </c>
      <c r="L737">
        <v>1200</v>
      </c>
      <c r="M737" t="s">
        <v>2368</v>
      </c>
      <c r="N737">
        <v>1204</v>
      </c>
      <c r="O737" t="s">
        <v>1574</v>
      </c>
      <c r="P737" t="s">
        <v>3108</v>
      </c>
      <c r="Q737" t="s">
        <v>3249</v>
      </c>
      <c r="R737" t="s">
        <v>3249</v>
      </c>
      <c r="S737" t="s">
        <v>810</v>
      </c>
      <c r="T737" t="s">
        <v>2754</v>
      </c>
      <c r="U737" t="s">
        <v>3250</v>
      </c>
      <c r="V737" t="s">
        <v>3250</v>
      </c>
      <c r="W737" t="s">
        <v>3250</v>
      </c>
      <c r="X737" t="s">
        <v>3250</v>
      </c>
      <c r="Y737" t="s">
        <v>3250</v>
      </c>
      <c r="Z737" t="s">
        <v>3250</v>
      </c>
      <c r="AA737" t="s">
        <v>3108</v>
      </c>
      <c r="AB737" t="s">
        <v>3108</v>
      </c>
      <c r="AC737" t="s">
        <v>3250</v>
      </c>
      <c r="AD737" t="s">
        <v>3250</v>
      </c>
      <c r="AE737" t="s">
        <v>3250</v>
      </c>
      <c r="AF737" t="s">
        <v>3250</v>
      </c>
      <c r="AG737" t="s">
        <v>3250</v>
      </c>
      <c r="AH737" t="s">
        <v>3250</v>
      </c>
      <c r="AI737" t="s">
        <v>3250</v>
      </c>
      <c r="AJ737" t="s">
        <v>3250</v>
      </c>
      <c r="AL737" t="s">
        <v>3250</v>
      </c>
      <c r="AM737" t="s">
        <v>3250</v>
      </c>
      <c r="AN737" t="s">
        <v>3250</v>
      </c>
      <c r="AO737" t="s">
        <v>3250</v>
      </c>
      <c r="AS737" t="s">
        <v>3250</v>
      </c>
      <c r="AT737" t="s">
        <v>3250</v>
      </c>
      <c r="AU737" t="s">
        <v>3250</v>
      </c>
      <c r="AV737" t="s">
        <v>3250</v>
      </c>
      <c r="AW737" t="s">
        <v>3250</v>
      </c>
      <c r="AX737" t="s">
        <v>3250</v>
      </c>
      <c r="AY737" t="s">
        <v>3250</v>
      </c>
      <c r="AZ737" t="s">
        <v>3250</v>
      </c>
      <c r="BA737" t="s">
        <v>3250</v>
      </c>
      <c r="BB737" t="s">
        <v>3250</v>
      </c>
      <c r="BC737" t="s">
        <v>3250</v>
      </c>
      <c r="BE737" t="s">
        <v>3250</v>
      </c>
      <c r="BF737" t="s">
        <v>3250</v>
      </c>
      <c r="BG737" t="s">
        <v>3250</v>
      </c>
      <c r="BH737" t="s">
        <v>3250</v>
      </c>
      <c r="BI737" t="s">
        <v>3250</v>
      </c>
      <c r="BK737" t="s">
        <v>3250</v>
      </c>
      <c r="BL737" t="s">
        <v>3250</v>
      </c>
      <c r="BM737" t="s">
        <v>3250</v>
      </c>
      <c r="BN737" t="s">
        <v>3250</v>
      </c>
      <c r="BO737" t="s">
        <v>2916</v>
      </c>
      <c r="BP737">
        <v>1</v>
      </c>
      <c r="BQ737">
        <v>11</v>
      </c>
      <c r="BR737" t="s">
        <v>1574</v>
      </c>
      <c r="BS737" t="s">
        <v>3252</v>
      </c>
      <c r="BV737">
        <v>10893</v>
      </c>
      <c r="BW737">
        <v>16195</v>
      </c>
      <c r="BX737">
        <v>19119</v>
      </c>
      <c r="BY737">
        <v>0</v>
      </c>
      <c r="BZ737">
        <v>10000</v>
      </c>
      <c r="CA737">
        <v>10700</v>
      </c>
      <c r="CB737">
        <v>10000</v>
      </c>
      <c r="CC737">
        <v>10700</v>
      </c>
      <c r="CD737">
        <v>8681</v>
      </c>
      <c r="CE737" t="s">
        <v>3108</v>
      </c>
      <c r="CF737" t="s">
        <v>3108</v>
      </c>
      <c r="CG737" t="s">
        <v>3108</v>
      </c>
      <c r="CH737" t="s">
        <v>3108</v>
      </c>
    </row>
    <row r="738" spans="1:86" x14ac:dyDescent="0.2">
      <c r="A738" t="s">
        <v>4376</v>
      </c>
      <c r="B738" t="s">
        <v>4376</v>
      </c>
      <c r="C738">
        <v>41179</v>
      </c>
      <c r="D738">
        <v>336</v>
      </c>
      <c r="E738" t="s">
        <v>4202</v>
      </c>
      <c r="F738">
        <v>2000</v>
      </c>
      <c r="G738" t="s">
        <v>408</v>
      </c>
      <c r="H738" t="s">
        <v>4203</v>
      </c>
      <c r="I738" t="s">
        <v>1793</v>
      </c>
      <c r="J738">
        <v>2007</v>
      </c>
      <c r="K738" t="s">
        <v>1793</v>
      </c>
      <c r="L738">
        <v>1200</v>
      </c>
      <c r="M738" t="s">
        <v>2368</v>
      </c>
      <c r="N738">
        <v>1204</v>
      </c>
      <c r="O738" t="s">
        <v>1574</v>
      </c>
      <c r="P738" t="s">
        <v>3108</v>
      </c>
      <c r="Q738" t="s">
        <v>3249</v>
      </c>
      <c r="R738" t="s">
        <v>3249</v>
      </c>
      <c r="S738" t="s">
        <v>810</v>
      </c>
      <c r="T738" t="s">
        <v>2754</v>
      </c>
      <c r="U738" t="s">
        <v>3250</v>
      </c>
      <c r="V738" t="s">
        <v>3250</v>
      </c>
      <c r="W738" t="s">
        <v>3250</v>
      </c>
      <c r="X738" t="s">
        <v>3250</v>
      </c>
      <c r="Y738" t="s">
        <v>3250</v>
      </c>
      <c r="Z738" t="s">
        <v>3250</v>
      </c>
      <c r="AA738" t="s">
        <v>3108</v>
      </c>
      <c r="AB738" t="s">
        <v>3108</v>
      </c>
      <c r="AC738" t="s">
        <v>3250</v>
      </c>
      <c r="AD738" t="s">
        <v>3250</v>
      </c>
      <c r="AE738" t="s">
        <v>3250</v>
      </c>
      <c r="AF738" t="s">
        <v>3250</v>
      </c>
      <c r="AG738" t="s">
        <v>3250</v>
      </c>
      <c r="AH738" t="s">
        <v>3250</v>
      </c>
      <c r="AI738" t="s">
        <v>3250</v>
      </c>
      <c r="AJ738" t="s">
        <v>3250</v>
      </c>
      <c r="AL738" t="s">
        <v>3250</v>
      </c>
      <c r="AM738" t="s">
        <v>3250</v>
      </c>
      <c r="AN738" t="s">
        <v>3250</v>
      </c>
      <c r="AO738" t="s">
        <v>3250</v>
      </c>
      <c r="AS738" t="s">
        <v>3250</v>
      </c>
      <c r="AT738" t="s">
        <v>3250</v>
      </c>
      <c r="AU738" t="s">
        <v>3250</v>
      </c>
      <c r="AV738" t="s">
        <v>3250</v>
      </c>
      <c r="AW738" t="s">
        <v>3250</v>
      </c>
      <c r="AX738" t="s">
        <v>3250</v>
      </c>
      <c r="AY738" t="s">
        <v>3250</v>
      </c>
      <c r="AZ738" t="s">
        <v>3250</v>
      </c>
      <c r="BA738" t="s">
        <v>3250</v>
      </c>
      <c r="BB738" t="s">
        <v>3250</v>
      </c>
      <c r="BC738" t="s">
        <v>3250</v>
      </c>
      <c r="BE738" t="s">
        <v>3250</v>
      </c>
      <c r="BF738" t="s">
        <v>3250</v>
      </c>
      <c r="BG738" t="s">
        <v>3250</v>
      </c>
      <c r="BH738" t="s">
        <v>3250</v>
      </c>
      <c r="BI738" t="s">
        <v>3250</v>
      </c>
      <c r="BK738" t="s">
        <v>3250</v>
      </c>
      <c r="BL738" t="s">
        <v>3250</v>
      </c>
      <c r="BM738" t="s">
        <v>3250</v>
      </c>
      <c r="BN738" t="s">
        <v>3250</v>
      </c>
      <c r="BO738" t="s">
        <v>2916</v>
      </c>
      <c r="BP738">
        <v>1</v>
      </c>
      <c r="BQ738">
        <v>11</v>
      </c>
      <c r="BR738" t="s">
        <v>1574</v>
      </c>
      <c r="BS738" t="s">
        <v>3252</v>
      </c>
      <c r="BV738">
        <v>960</v>
      </c>
      <c r="BW738">
        <v>1440</v>
      </c>
      <c r="BX738">
        <v>3040</v>
      </c>
      <c r="BY738">
        <v>3001</v>
      </c>
      <c r="BZ738">
        <v>3001</v>
      </c>
      <c r="CA738">
        <v>3211</v>
      </c>
      <c r="CB738">
        <v>3211</v>
      </c>
      <c r="CC738">
        <v>3436</v>
      </c>
      <c r="CD738">
        <v>1750</v>
      </c>
      <c r="CE738" t="s">
        <v>3108</v>
      </c>
      <c r="CF738" t="s">
        <v>3108</v>
      </c>
      <c r="CG738" t="s">
        <v>3108</v>
      </c>
      <c r="CH738" t="s">
        <v>3108</v>
      </c>
    </row>
    <row r="739" spans="1:86" x14ac:dyDescent="0.2">
      <c r="A739" t="s">
        <v>4377</v>
      </c>
      <c r="B739" t="s">
        <v>4377</v>
      </c>
      <c r="C739">
        <v>41180</v>
      </c>
      <c r="D739">
        <v>337</v>
      </c>
      <c r="E739" t="s">
        <v>4378</v>
      </c>
      <c r="F739">
        <v>2000</v>
      </c>
      <c r="G739" t="s">
        <v>408</v>
      </c>
      <c r="H739" t="s">
        <v>4091</v>
      </c>
      <c r="I739" t="s">
        <v>1940</v>
      </c>
      <c r="J739">
        <v>2006</v>
      </c>
      <c r="K739" t="s">
        <v>1940</v>
      </c>
      <c r="L739">
        <v>1200</v>
      </c>
      <c r="M739" t="s">
        <v>2368</v>
      </c>
      <c r="N739">
        <v>1204</v>
      </c>
      <c r="O739" t="s">
        <v>1574</v>
      </c>
      <c r="P739" t="s">
        <v>3108</v>
      </c>
      <c r="Q739" t="s">
        <v>3249</v>
      </c>
      <c r="R739" t="s">
        <v>3249</v>
      </c>
      <c r="S739" t="s">
        <v>810</v>
      </c>
      <c r="T739" t="s">
        <v>2754</v>
      </c>
      <c r="U739" t="s">
        <v>3250</v>
      </c>
      <c r="V739" t="s">
        <v>3250</v>
      </c>
      <c r="W739" t="s">
        <v>3250</v>
      </c>
      <c r="X739" t="s">
        <v>3250</v>
      </c>
      <c r="Y739" t="s">
        <v>3250</v>
      </c>
      <c r="Z739" t="s">
        <v>3250</v>
      </c>
      <c r="AA739" t="s">
        <v>3108</v>
      </c>
      <c r="AB739" t="s">
        <v>3108</v>
      </c>
      <c r="AC739" t="s">
        <v>3250</v>
      </c>
      <c r="AD739" t="s">
        <v>3250</v>
      </c>
      <c r="AE739" t="s">
        <v>3250</v>
      </c>
      <c r="AF739" t="s">
        <v>3250</v>
      </c>
      <c r="AG739" t="s">
        <v>3250</v>
      </c>
      <c r="AH739" t="s">
        <v>3250</v>
      </c>
      <c r="AI739" t="s">
        <v>3250</v>
      </c>
      <c r="AJ739" t="s">
        <v>3250</v>
      </c>
      <c r="AL739" t="s">
        <v>3250</v>
      </c>
      <c r="AM739" t="s">
        <v>3250</v>
      </c>
      <c r="AN739" t="s">
        <v>3250</v>
      </c>
      <c r="AO739" t="s">
        <v>3250</v>
      </c>
      <c r="AS739" t="s">
        <v>3250</v>
      </c>
      <c r="AT739" t="s">
        <v>3250</v>
      </c>
      <c r="AU739" t="s">
        <v>3250</v>
      </c>
      <c r="AV739" t="s">
        <v>3250</v>
      </c>
      <c r="AW739" t="s">
        <v>3250</v>
      </c>
      <c r="AX739" t="s">
        <v>3250</v>
      </c>
      <c r="AY739" t="s">
        <v>3250</v>
      </c>
      <c r="AZ739" t="s">
        <v>3250</v>
      </c>
      <c r="BA739" t="s">
        <v>3250</v>
      </c>
      <c r="BB739" t="s">
        <v>3250</v>
      </c>
      <c r="BC739" t="s">
        <v>3250</v>
      </c>
      <c r="BE739" t="s">
        <v>3250</v>
      </c>
      <c r="BF739" t="s">
        <v>3250</v>
      </c>
      <c r="BG739" t="s">
        <v>3250</v>
      </c>
      <c r="BH739" t="s">
        <v>3250</v>
      </c>
      <c r="BI739" t="s">
        <v>3250</v>
      </c>
      <c r="BK739" t="s">
        <v>3250</v>
      </c>
      <c r="BL739" t="s">
        <v>3250</v>
      </c>
      <c r="BM739" t="s">
        <v>3250</v>
      </c>
      <c r="BN739" t="s">
        <v>3250</v>
      </c>
      <c r="BO739" t="s">
        <v>2917</v>
      </c>
      <c r="BP739">
        <v>1</v>
      </c>
      <c r="BQ739">
        <v>11</v>
      </c>
      <c r="BR739" t="s">
        <v>1574</v>
      </c>
      <c r="BS739" t="s">
        <v>3252</v>
      </c>
      <c r="BV739">
        <v>0</v>
      </c>
      <c r="BW739">
        <v>1248</v>
      </c>
      <c r="BX739">
        <v>155421</v>
      </c>
      <c r="BY739">
        <v>0</v>
      </c>
      <c r="BZ739">
        <v>86000</v>
      </c>
      <c r="CA739">
        <v>92020</v>
      </c>
      <c r="CB739">
        <v>86000</v>
      </c>
      <c r="CC739">
        <v>92020</v>
      </c>
      <c r="CD739">
        <v>84027</v>
      </c>
      <c r="CE739" t="s">
        <v>3108</v>
      </c>
      <c r="CF739" t="s">
        <v>3108</v>
      </c>
      <c r="CG739" t="s">
        <v>3108</v>
      </c>
      <c r="CH739" t="s">
        <v>3108</v>
      </c>
    </row>
    <row r="740" spans="1:86" x14ac:dyDescent="0.2">
      <c r="A740" t="s">
        <v>4379</v>
      </c>
      <c r="B740" t="s">
        <v>4379</v>
      </c>
      <c r="C740">
        <v>41181</v>
      </c>
      <c r="D740">
        <v>338</v>
      </c>
      <c r="E740" t="s">
        <v>4093</v>
      </c>
      <c r="F740">
        <v>2000</v>
      </c>
      <c r="G740" t="s">
        <v>408</v>
      </c>
      <c r="H740" t="s">
        <v>4094</v>
      </c>
      <c r="I740" t="s">
        <v>1135</v>
      </c>
      <c r="J740">
        <v>2001</v>
      </c>
      <c r="K740" t="s">
        <v>1135</v>
      </c>
      <c r="L740">
        <v>1200</v>
      </c>
      <c r="M740" t="s">
        <v>2368</v>
      </c>
      <c r="N740">
        <v>1204</v>
      </c>
      <c r="O740" t="s">
        <v>1574</v>
      </c>
      <c r="P740" t="s">
        <v>3108</v>
      </c>
      <c r="Q740" t="s">
        <v>3249</v>
      </c>
      <c r="R740" t="s">
        <v>3249</v>
      </c>
      <c r="S740" t="s">
        <v>810</v>
      </c>
      <c r="T740" t="s">
        <v>2754</v>
      </c>
      <c r="U740" t="s">
        <v>3250</v>
      </c>
      <c r="V740" t="s">
        <v>3250</v>
      </c>
      <c r="W740" t="s">
        <v>3250</v>
      </c>
      <c r="X740" t="s">
        <v>3250</v>
      </c>
      <c r="Y740" t="s">
        <v>3250</v>
      </c>
      <c r="Z740" t="s">
        <v>3250</v>
      </c>
      <c r="AA740" t="s">
        <v>3108</v>
      </c>
      <c r="AB740" t="s">
        <v>3108</v>
      </c>
      <c r="AC740" t="s">
        <v>3250</v>
      </c>
      <c r="AD740" t="s">
        <v>3250</v>
      </c>
      <c r="AE740" t="s">
        <v>3250</v>
      </c>
      <c r="AF740" t="s">
        <v>3250</v>
      </c>
      <c r="AG740" t="s">
        <v>3250</v>
      </c>
      <c r="AH740" t="s">
        <v>3250</v>
      </c>
      <c r="AI740" t="s">
        <v>3250</v>
      </c>
      <c r="AJ740" t="s">
        <v>3250</v>
      </c>
      <c r="AL740" t="s">
        <v>3250</v>
      </c>
      <c r="AM740" t="s">
        <v>3250</v>
      </c>
      <c r="AN740" t="s">
        <v>3250</v>
      </c>
      <c r="AO740" t="s">
        <v>3250</v>
      </c>
      <c r="AS740" t="s">
        <v>3250</v>
      </c>
      <c r="AT740" t="s">
        <v>3250</v>
      </c>
      <c r="AU740" t="s">
        <v>3250</v>
      </c>
      <c r="AV740" t="s">
        <v>3250</v>
      </c>
      <c r="AW740" t="s">
        <v>3250</v>
      </c>
      <c r="AX740" t="s">
        <v>3250</v>
      </c>
      <c r="AY740" t="s">
        <v>3250</v>
      </c>
      <c r="AZ740" t="s">
        <v>3250</v>
      </c>
      <c r="BA740" t="s">
        <v>3250</v>
      </c>
      <c r="BB740" t="s">
        <v>3250</v>
      </c>
      <c r="BC740" t="s">
        <v>3250</v>
      </c>
      <c r="BE740" t="s">
        <v>3250</v>
      </c>
      <c r="BF740" t="s">
        <v>3250</v>
      </c>
      <c r="BG740" t="s">
        <v>3250</v>
      </c>
      <c r="BH740" t="s">
        <v>3250</v>
      </c>
      <c r="BI740" t="s">
        <v>3250</v>
      </c>
      <c r="BK740" t="s">
        <v>3250</v>
      </c>
      <c r="BL740" t="s">
        <v>3250</v>
      </c>
      <c r="BM740" t="s">
        <v>3250</v>
      </c>
      <c r="BN740" t="s">
        <v>3250</v>
      </c>
      <c r="BO740" t="s">
        <v>2916</v>
      </c>
      <c r="BP740">
        <v>1</v>
      </c>
      <c r="BQ740">
        <v>11</v>
      </c>
      <c r="BR740" t="s">
        <v>1574</v>
      </c>
      <c r="BS740" t="s">
        <v>3252</v>
      </c>
      <c r="BV740">
        <v>2759919</v>
      </c>
      <c r="BW740">
        <v>2155221</v>
      </c>
      <c r="BX740">
        <v>2391366</v>
      </c>
      <c r="BY740">
        <v>3985182</v>
      </c>
      <c r="BZ740">
        <v>3985182</v>
      </c>
      <c r="CA740">
        <v>4264145</v>
      </c>
      <c r="CB740">
        <v>4264145</v>
      </c>
      <c r="CC740">
        <v>4562635</v>
      </c>
      <c r="CD740">
        <v>2792170</v>
      </c>
      <c r="CE740" t="s">
        <v>3108</v>
      </c>
      <c r="CF740" t="s">
        <v>3108</v>
      </c>
      <c r="CG740" t="s">
        <v>3108</v>
      </c>
      <c r="CH740" t="s">
        <v>3108</v>
      </c>
    </row>
    <row r="741" spans="1:86" x14ac:dyDescent="0.2">
      <c r="A741" t="s">
        <v>4380</v>
      </c>
      <c r="B741" t="s">
        <v>4380</v>
      </c>
      <c r="C741">
        <v>41183</v>
      </c>
      <c r="D741">
        <v>287</v>
      </c>
      <c r="E741" t="s">
        <v>4059</v>
      </c>
      <c r="F741">
        <v>2900</v>
      </c>
      <c r="G741" t="s">
        <v>822</v>
      </c>
      <c r="H741" t="s">
        <v>3108</v>
      </c>
      <c r="I741" t="s">
        <v>3108</v>
      </c>
      <c r="J741">
        <v>2904</v>
      </c>
      <c r="K741" t="s">
        <v>1690</v>
      </c>
      <c r="L741">
        <v>1100</v>
      </c>
      <c r="M741" t="s">
        <v>119</v>
      </c>
      <c r="N741">
        <v>1120</v>
      </c>
      <c r="O741" t="s">
        <v>2367</v>
      </c>
      <c r="P741" t="s">
        <v>3108</v>
      </c>
      <c r="Q741" t="s">
        <v>3249</v>
      </c>
      <c r="R741" t="s">
        <v>3249</v>
      </c>
      <c r="S741" t="s">
        <v>810</v>
      </c>
      <c r="T741" t="s">
        <v>2754</v>
      </c>
      <c r="U741" t="s">
        <v>3250</v>
      </c>
      <c r="V741" t="s">
        <v>3250</v>
      </c>
      <c r="W741" t="s">
        <v>3250</v>
      </c>
      <c r="X741" t="s">
        <v>3250</v>
      </c>
      <c r="Y741" t="s">
        <v>3250</v>
      </c>
      <c r="Z741" t="s">
        <v>3250</v>
      </c>
      <c r="AA741" t="s">
        <v>3108</v>
      </c>
      <c r="AB741" t="s">
        <v>3108</v>
      </c>
      <c r="AC741" t="s">
        <v>3250</v>
      </c>
      <c r="AD741" t="s">
        <v>3250</v>
      </c>
      <c r="AE741" t="s">
        <v>3250</v>
      </c>
      <c r="AF741" t="s">
        <v>3250</v>
      </c>
      <c r="AG741" t="s">
        <v>3250</v>
      </c>
      <c r="AH741" t="s">
        <v>3250</v>
      </c>
      <c r="AI741" t="s">
        <v>3250</v>
      </c>
      <c r="AJ741" t="s">
        <v>3250</v>
      </c>
      <c r="AL741" t="s">
        <v>3250</v>
      </c>
      <c r="AM741" t="s">
        <v>3250</v>
      </c>
      <c r="AN741" t="s">
        <v>3250</v>
      </c>
      <c r="AO741" t="s">
        <v>3250</v>
      </c>
      <c r="AS741" t="s">
        <v>3250</v>
      </c>
      <c r="AT741" t="s">
        <v>3250</v>
      </c>
      <c r="AU741" t="s">
        <v>3250</v>
      </c>
      <c r="AV741" t="s">
        <v>3250</v>
      </c>
      <c r="AW741" t="s">
        <v>3250</v>
      </c>
      <c r="AX741" t="s">
        <v>3250</v>
      </c>
      <c r="AY741" t="s">
        <v>3250</v>
      </c>
      <c r="AZ741" t="s">
        <v>3250</v>
      </c>
      <c r="BA741" t="s">
        <v>3250</v>
      </c>
      <c r="BB741" t="s">
        <v>3250</v>
      </c>
      <c r="BC741" t="s">
        <v>3250</v>
      </c>
      <c r="BE741" t="s">
        <v>3250</v>
      </c>
      <c r="BF741" t="s">
        <v>3250</v>
      </c>
      <c r="BG741" t="s">
        <v>3250</v>
      </c>
      <c r="BH741" t="s">
        <v>3250</v>
      </c>
      <c r="BI741" t="s">
        <v>3250</v>
      </c>
      <c r="BK741" t="s">
        <v>3250</v>
      </c>
      <c r="BL741" t="s">
        <v>3250</v>
      </c>
      <c r="BM741" t="s">
        <v>3250</v>
      </c>
      <c r="BN741" t="s">
        <v>3250</v>
      </c>
      <c r="BP741">
        <v>3</v>
      </c>
      <c r="BQ741">
        <v>31</v>
      </c>
      <c r="BR741" t="s">
        <v>2367</v>
      </c>
      <c r="BS741" t="s">
        <v>4381</v>
      </c>
      <c r="BV741">
        <v>224</v>
      </c>
      <c r="BW741">
        <v>315</v>
      </c>
      <c r="BX741">
        <v>322</v>
      </c>
      <c r="BY741">
        <v>2488</v>
      </c>
      <c r="BZ741">
        <v>2488</v>
      </c>
      <c r="CA741">
        <v>2585</v>
      </c>
      <c r="CB741">
        <v>2688</v>
      </c>
      <c r="CC741">
        <v>2796</v>
      </c>
      <c r="CD741">
        <v>0</v>
      </c>
      <c r="CE741" t="s">
        <v>3108</v>
      </c>
      <c r="CF741" t="s">
        <v>3108</v>
      </c>
      <c r="CG741" t="s">
        <v>3108</v>
      </c>
      <c r="CH741" t="s">
        <v>3108</v>
      </c>
    </row>
    <row r="742" spans="1:86" x14ac:dyDescent="0.2">
      <c r="A742" t="s">
        <v>4382</v>
      </c>
      <c r="B742" t="s">
        <v>4382</v>
      </c>
      <c r="C742">
        <v>41184</v>
      </c>
      <c r="D742">
        <v>288</v>
      </c>
      <c r="E742" t="s">
        <v>4061</v>
      </c>
      <c r="F742">
        <v>2900</v>
      </c>
      <c r="G742" t="s">
        <v>822</v>
      </c>
      <c r="H742" t="s">
        <v>3108</v>
      </c>
      <c r="I742" t="s">
        <v>3108</v>
      </c>
      <c r="J742">
        <v>2904</v>
      </c>
      <c r="K742" t="s">
        <v>1690</v>
      </c>
      <c r="L742">
        <v>1100</v>
      </c>
      <c r="M742" t="s">
        <v>119</v>
      </c>
      <c r="N742">
        <v>1120</v>
      </c>
      <c r="O742" t="s">
        <v>2367</v>
      </c>
      <c r="P742" t="s">
        <v>3108</v>
      </c>
      <c r="Q742" t="s">
        <v>3249</v>
      </c>
      <c r="R742" t="s">
        <v>3249</v>
      </c>
      <c r="S742" t="s">
        <v>810</v>
      </c>
      <c r="T742" t="s">
        <v>2754</v>
      </c>
      <c r="U742" t="s">
        <v>3250</v>
      </c>
      <c r="V742" t="s">
        <v>3250</v>
      </c>
      <c r="W742" t="s">
        <v>3250</v>
      </c>
      <c r="X742" t="s">
        <v>3250</v>
      </c>
      <c r="Y742" t="s">
        <v>3250</v>
      </c>
      <c r="Z742" t="s">
        <v>3250</v>
      </c>
      <c r="AA742" t="s">
        <v>3108</v>
      </c>
      <c r="AB742" t="s">
        <v>3108</v>
      </c>
      <c r="AC742" t="s">
        <v>3250</v>
      </c>
      <c r="AD742" t="s">
        <v>3250</v>
      </c>
      <c r="AE742" t="s">
        <v>3250</v>
      </c>
      <c r="AF742" t="s">
        <v>3250</v>
      </c>
      <c r="AG742" t="s">
        <v>3250</v>
      </c>
      <c r="AH742" t="s">
        <v>3250</v>
      </c>
      <c r="AI742" t="s">
        <v>3250</v>
      </c>
      <c r="AJ742" t="s">
        <v>3250</v>
      </c>
      <c r="AL742" t="s">
        <v>3250</v>
      </c>
      <c r="AM742" t="s">
        <v>3250</v>
      </c>
      <c r="AN742" t="s">
        <v>3250</v>
      </c>
      <c r="AO742" t="s">
        <v>3250</v>
      </c>
      <c r="AS742" t="s">
        <v>3250</v>
      </c>
      <c r="AT742" t="s">
        <v>3250</v>
      </c>
      <c r="AU742" t="s">
        <v>3250</v>
      </c>
      <c r="AV742" t="s">
        <v>3250</v>
      </c>
      <c r="AW742" t="s">
        <v>3250</v>
      </c>
      <c r="AX742" t="s">
        <v>3250</v>
      </c>
      <c r="AY742" t="s">
        <v>3250</v>
      </c>
      <c r="AZ742" t="s">
        <v>3250</v>
      </c>
      <c r="BA742" t="s">
        <v>3250</v>
      </c>
      <c r="BB742" t="s">
        <v>3250</v>
      </c>
      <c r="BC742" t="s">
        <v>3250</v>
      </c>
      <c r="BE742" t="s">
        <v>3250</v>
      </c>
      <c r="BF742" t="s">
        <v>3250</v>
      </c>
      <c r="BG742" t="s">
        <v>3250</v>
      </c>
      <c r="BH742" t="s">
        <v>3250</v>
      </c>
      <c r="BI742" t="s">
        <v>3250</v>
      </c>
      <c r="BK742" t="s">
        <v>3250</v>
      </c>
      <c r="BL742" t="s">
        <v>3250</v>
      </c>
      <c r="BM742" t="s">
        <v>3250</v>
      </c>
      <c r="BN742" t="s">
        <v>3250</v>
      </c>
      <c r="BP742">
        <v>3</v>
      </c>
      <c r="BQ742">
        <v>31</v>
      </c>
      <c r="BR742" t="s">
        <v>2367</v>
      </c>
      <c r="BS742" t="s">
        <v>4381</v>
      </c>
      <c r="BV742">
        <v>17430</v>
      </c>
      <c r="BW742">
        <v>17083</v>
      </c>
      <c r="BX742">
        <v>22875</v>
      </c>
      <c r="BY742">
        <v>35000</v>
      </c>
      <c r="BZ742">
        <v>35000</v>
      </c>
      <c r="CA742">
        <v>36365</v>
      </c>
      <c r="CB742">
        <v>37820</v>
      </c>
      <c r="CC742">
        <v>39332</v>
      </c>
      <c r="CD742">
        <v>12915</v>
      </c>
      <c r="CE742" t="s">
        <v>3108</v>
      </c>
      <c r="CF742" t="s">
        <v>3108</v>
      </c>
      <c r="CG742" t="s">
        <v>3108</v>
      </c>
      <c r="CH742" t="s">
        <v>3108</v>
      </c>
    </row>
    <row r="743" spans="1:86" x14ac:dyDescent="0.2">
      <c r="A743" t="s">
        <v>4383</v>
      </c>
      <c r="B743" t="s">
        <v>4383</v>
      </c>
      <c r="C743">
        <v>41185</v>
      </c>
      <c r="D743">
        <v>289</v>
      </c>
      <c r="E743" t="s">
        <v>4063</v>
      </c>
      <c r="F743">
        <v>2000</v>
      </c>
      <c r="G743" t="s">
        <v>408</v>
      </c>
      <c r="H743" t="s">
        <v>4064</v>
      </c>
      <c r="I743" t="s">
        <v>1340</v>
      </c>
      <c r="J743">
        <v>2009</v>
      </c>
      <c r="K743" t="s">
        <v>1340</v>
      </c>
      <c r="L743">
        <v>1100</v>
      </c>
      <c r="M743" t="s">
        <v>119</v>
      </c>
      <c r="N743">
        <v>1120</v>
      </c>
      <c r="O743" t="s">
        <v>2367</v>
      </c>
      <c r="P743" t="s">
        <v>3108</v>
      </c>
      <c r="Q743" t="s">
        <v>3249</v>
      </c>
      <c r="R743" t="s">
        <v>3249</v>
      </c>
      <c r="S743" t="s">
        <v>810</v>
      </c>
      <c r="T743" t="s">
        <v>2754</v>
      </c>
      <c r="U743" t="s">
        <v>3250</v>
      </c>
      <c r="V743" t="s">
        <v>3250</v>
      </c>
      <c r="W743" t="s">
        <v>3250</v>
      </c>
      <c r="X743" t="s">
        <v>3250</v>
      </c>
      <c r="Y743" t="s">
        <v>3250</v>
      </c>
      <c r="Z743" t="s">
        <v>3250</v>
      </c>
      <c r="AA743" t="s">
        <v>3108</v>
      </c>
      <c r="AB743" t="s">
        <v>3108</v>
      </c>
      <c r="AC743" t="s">
        <v>3250</v>
      </c>
      <c r="AD743" t="s">
        <v>3250</v>
      </c>
      <c r="AE743" t="s">
        <v>3250</v>
      </c>
      <c r="AF743" t="s">
        <v>3250</v>
      </c>
      <c r="AG743" t="s">
        <v>3250</v>
      </c>
      <c r="AH743" t="s">
        <v>3250</v>
      </c>
      <c r="AI743" t="s">
        <v>3250</v>
      </c>
      <c r="AJ743" t="s">
        <v>3250</v>
      </c>
      <c r="AL743" t="s">
        <v>3250</v>
      </c>
      <c r="AM743" t="s">
        <v>3250</v>
      </c>
      <c r="AN743" t="s">
        <v>3250</v>
      </c>
      <c r="AO743" t="s">
        <v>3250</v>
      </c>
      <c r="AS743" t="s">
        <v>3250</v>
      </c>
      <c r="AT743" t="s">
        <v>3250</v>
      </c>
      <c r="AU743" t="s">
        <v>3250</v>
      </c>
      <c r="AV743" t="s">
        <v>3250</v>
      </c>
      <c r="AW743" t="s">
        <v>3250</v>
      </c>
      <c r="AX743" t="s">
        <v>3250</v>
      </c>
      <c r="AY743" t="s">
        <v>3250</v>
      </c>
      <c r="AZ743" t="s">
        <v>3250</v>
      </c>
      <c r="BA743" t="s">
        <v>3250</v>
      </c>
      <c r="BB743" t="s">
        <v>3250</v>
      </c>
      <c r="BC743" t="s">
        <v>3250</v>
      </c>
      <c r="BE743" t="s">
        <v>3250</v>
      </c>
      <c r="BF743" t="s">
        <v>3250</v>
      </c>
      <c r="BG743" t="s">
        <v>3250</v>
      </c>
      <c r="BH743" t="s">
        <v>3250</v>
      </c>
      <c r="BI743" t="s">
        <v>3250</v>
      </c>
      <c r="BK743" t="s">
        <v>3250</v>
      </c>
      <c r="BL743" t="s">
        <v>3250</v>
      </c>
      <c r="BM743" t="s">
        <v>3250</v>
      </c>
      <c r="BN743" t="s">
        <v>3250</v>
      </c>
      <c r="BO743" t="s">
        <v>2916</v>
      </c>
      <c r="BP743">
        <v>3</v>
      </c>
      <c r="BQ743">
        <v>31</v>
      </c>
      <c r="BR743" t="s">
        <v>2367</v>
      </c>
      <c r="BS743" t="s">
        <v>4381</v>
      </c>
      <c r="BV743">
        <v>289</v>
      </c>
      <c r="BW743">
        <v>0</v>
      </c>
      <c r="BX743">
        <v>5327</v>
      </c>
      <c r="BY743">
        <v>785</v>
      </c>
      <c r="BZ743">
        <v>785</v>
      </c>
      <c r="CA743">
        <v>840</v>
      </c>
      <c r="CB743">
        <v>899</v>
      </c>
      <c r="CC743">
        <v>962</v>
      </c>
      <c r="CD743">
        <v>634</v>
      </c>
      <c r="CE743" t="s">
        <v>3108</v>
      </c>
      <c r="CF743" t="s">
        <v>3108</v>
      </c>
      <c r="CG743" t="s">
        <v>3108</v>
      </c>
      <c r="CH743" t="s">
        <v>3108</v>
      </c>
    </row>
    <row r="744" spans="1:86" x14ac:dyDescent="0.2">
      <c r="A744" t="s">
        <v>4384</v>
      </c>
      <c r="B744" t="s">
        <v>4384</v>
      </c>
      <c r="C744">
        <v>41186</v>
      </c>
      <c r="D744">
        <v>290</v>
      </c>
      <c r="E744" t="s">
        <v>4066</v>
      </c>
      <c r="F744">
        <v>2000</v>
      </c>
      <c r="G744" t="s">
        <v>408</v>
      </c>
      <c r="H744" t="s">
        <v>4067</v>
      </c>
      <c r="I744" t="s">
        <v>650</v>
      </c>
      <c r="J744">
        <v>2003</v>
      </c>
      <c r="K744" t="s">
        <v>650</v>
      </c>
      <c r="L744">
        <v>1100</v>
      </c>
      <c r="M744" t="s">
        <v>119</v>
      </c>
      <c r="N744">
        <v>1120</v>
      </c>
      <c r="O744" t="s">
        <v>2367</v>
      </c>
      <c r="P744" t="s">
        <v>3108</v>
      </c>
      <c r="Q744" t="s">
        <v>3249</v>
      </c>
      <c r="R744" t="s">
        <v>3249</v>
      </c>
      <c r="S744" t="s">
        <v>810</v>
      </c>
      <c r="T744" t="s">
        <v>2754</v>
      </c>
      <c r="U744" t="s">
        <v>3250</v>
      </c>
      <c r="V744" t="s">
        <v>3250</v>
      </c>
      <c r="W744" t="s">
        <v>3250</v>
      </c>
      <c r="X744" t="s">
        <v>3250</v>
      </c>
      <c r="Y744" t="s">
        <v>3250</v>
      </c>
      <c r="Z744" t="s">
        <v>3250</v>
      </c>
      <c r="AA744" t="s">
        <v>3108</v>
      </c>
      <c r="AB744" t="s">
        <v>3108</v>
      </c>
      <c r="AC744" t="s">
        <v>3250</v>
      </c>
      <c r="AD744" t="s">
        <v>3250</v>
      </c>
      <c r="AE744" t="s">
        <v>3250</v>
      </c>
      <c r="AF744" t="s">
        <v>3250</v>
      </c>
      <c r="AG744" t="s">
        <v>3250</v>
      </c>
      <c r="AH744" t="s">
        <v>3250</v>
      </c>
      <c r="AI744" t="s">
        <v>3250</v>
      </c>
      <c r="AJ744" t="s">
        <v>3250</v>
      </c>
      <c r="AL744" t="s">
        <v>3250</v>
      </c>
      <c r="AM744" t="s">
        <v>3250</v>
      </c>
      <c r="AN744" t="s">
        <v>3250</v>
      </c>
      <c r="AO744" t="s">
        <v>3250</v>
      </c>
      <c r="AS744" t="s">
        <v>3250</v>
      </c>
      <c r="AT744" t="s">
        <v>3250</v>
      </c>
      <c r="AU744" t="s">
        <v>3250</v>
      </c>
      <c r="AV744" t="s">
        <v>3250</v>
      </c>
      <c r="AW744" t="s">
        <v>3250</v>
      </c>
      <c r="AX744" t="s">
        <v>3250</v>
      </c>
      <c r="AY744" t="s">
        <v>3250</v>
      </c>
      <c r="AZ744" t="s">
        <v>3250</v>
      </c>
      <c r="BA744" t="s">
        <v>3250</v>
      </c>
      <c r="BB744" t="s">
        <v>3250</v>
      </c>
      <c r="BC744" t="s">
        <v>3250</v>
      </c>
      <c r="BE744" t="s">
        <v>3250</v>
      </c>
      <c r="BF744" t="s">
        <v>3250</v>
      </c>
      <c r="BG744" t="s">
        <v>3250</v>
      </c>
      <c r="BH744" t="s">
        <v>3250</v>
      </c>
      <c r="BI744" t="s">
        <v>3250</v>
      </c>
      <c r="BK744" t="s">
        <v>3250</v>
      </c>
      <c r="BL744" t="s">
        <v>3250</v>
      </c>
      <c r="BM744" t="s">
        <v>3250</v>
      </c>
      <c r="BN744" t="s">
        <v>3250</v>
      </c>
      <c r="BO744" t="s">
        <v>2916</v>
      </c>
      <c r="BP744">
        <v>3</v>
      </c>
      <c r="BQ744">
        <v>31</v>
      </c>
      <c r="BR744" t="s">
        <v>2367</v>
      </c>
      <c r="BS744" t="s">
        <v>4381</v>
      </c>
      <c r="BV744">
        <v>56206</v>
      </c>
      <c r="BW744">
        <v>47443</v>
      </c>
      <c r="BX744">
        <v>47240</v>
      </c>
      <c r="BY744">
        <v>149184</v>
      </c>
      <c r="BZ744">
        <v>149184</v>
      </c>
      <c r="CA744">
        <v>159627</v>
      </c>
      <c r="CB744">
        <v>170801</v>
      </c>
      <c r="CC744">
        <v>182757</v>
      </c>
      <c r="CD744">
        <v>65217</v>
      </c>
      <c r="CE744" t="s">
        <v>3108</v>
      </c>
      <c r="CF744" t="s">
        <v>3108</v>
      </c>
      <c r="CG744" t="s">
        <v>3108</v>
      </c>
      <c r="CH744" t="s">
        <v>3108</v>
      </c>
    </row>
    <row r="745" spans="1:86" x14ac:dyDescent="0.2">
      <c r="A745" t="s">
        <v>4385</v>
      </c>
      <c r="B745" t="s">
        <v>4385</v>
      </c>
      <c r="C745">
        <v>41187</v>
      </c>
      <c r="D745">
        <v>291</v>
      </c>
      <c r="E745" t="s">
        <v>4069</v>
      </c>
      <c r="F745">
        <v>2000</v>
      </c>
      <c r="G745" t="s">
        <v>408</v>
      </c>
      <c r="H745" t="s">
        <v>4070</v>
      </c>
      <c r="I745" t="s">
        <v>1792</v>
      </c>
      <c r="J745">
        <v>2002</v>
      </c>
      <c r="K745" t="s">
        <v>1792</v>
      </c>
      <c r="L745">
        <v>1100</v>
      </c>
      <c r="M745" t="s">
        <v>119</v>
      </c>
      <c r="N745">
        <v>1120</v>
      </c>
      <c r="O745" t="s">
        <v>2367</v>
      </c>
      <c r="P745" t="s">
        <v>3108</v>
      </c>
      <c r="Q745" t="s">
        <v>3249</v>
      </c>
      <c r="R745" t="s">
        <v>3249</v>
      </c>
      <c r="S745" t="s">
        <v>810</v>
      </c>
      <c r="T745" t="s">
        <v>2754</v>
      </c>
      <c r="U745" t="s">
        <v>3250</v>
      </c>
      <c r="V745" t="s">
        <v>3250</v>
      </c>
      <c r="W745" t="s">
        <v>3250</v>
      </c>
      <c r="X745" t="s">
        <v>3250</v>
      </c>
      <c r="Y745" t="s">
        <v>3250</v>
      </c>
      <c r="Z745" t="s">
        <v>3250</v>
      </c>
      <c r="AA745" t="s">
        <v>3108</v>
      </c>
      <c r="AB745" t="s">
        <v>3108</v>
      </c>
      <c r="AC745" t="s">
        <v>3250</v>
      </c>
      <c r="AD745" t="s">
        <v>3250</v>
      </c>
      <c r="AE745" t="s">
        <v>3250</v>
      </c>
      <c r="AF745" t="s">
        <v>3250</v>
      </c>
      <c r="AG745" t="s">
        <v>3250</v>
      </c>
      <c r="AH745" t="s">
        <v>3250</v>
      </c>
      <c r="AI745" t="s">
        <v>3250</v>
      </c>
      <c r="AJ745" t="s">
        <v>3250</v>
      </c>
      <c r="AL745" t="s">
        <v>3250</v>
      </c>
      <c r="AM745" t="s">
        <v>3250</v>
      </c>
      <c r="AN745" t="s">
        <v>3250</v>
      </c>
      <c r="AO745" t="s">
        <v>3250</v>
      </c>
      <c r="AS745" t="s">
        <v>3250</v>
      </c>
      <c r="AT745" t="s">
        <v>3250</v>
      </c>
      <c r="AU745" t="s">
        <v>3250</v>
      </c>
      <c r="AV745" t="s">
        <v>3250</v>
      </c>
      <c r="AW745" t="s">
        <v>3250</v>
      </c>
      <c r="AX745" t="s">
        <v>3250</v>
      </c>
      <c r="AY745" t="s">
        <v>3250</v>
      </c>
      <c r="AZ745" t="s">
        <v>3250</v>
      </c>
      <c r="BA745" t="s">
        <v>3250</v>
      </c>
      <c r="BB745" t="s">
        <v>3250</v>
      </c>
      <c r="BC745" t="s">
        <v>3250</v>
      </c>
      <c r="BE745" t="s">
        <v>3250</v>
      </c>
      <c r="BF745" t="s">
        <v>3250</v>
      </c>
      <c r="BG745" t="s">
        <v>3250</v>
      </c>
      <c r="BH745" t="s">
        <v>3250</v>
      </c>
      <c r="BI745" t="s">
        <v>3250</v>
      </c>
      <c r="BK745" t="s">
        <v>3250</v>
      </c>
      <c r="BL745" t="s">
        <v>3250</v>
      </c>
      <c r="BM745" t="s">
        <v>3250</v>
      </c>
      <c r="BN745" t="s">
        <v>3250</v>
      </c>
      <c r="BO745" t="s">
        <v>2916</v>
      </c>
      <c r="BP745">
        <v>3</v>
      </c>
      <c r="BQ745">
        <v>31</v>
      </c>
      <c r="BR745" t="s">
        <v>2367</v>
      </c>
      <c r="BS745" t="s">
        <v>4381</v>
      </c>
      <c r="BV745">
        <v>101393</v>
      </c>
      <c r="BW745">
        <v>89906</v>
      </c>
      <c r="BX745">
        <v>84535</v>
      </c>
      <c r="BY745">
        <v>223954</v>
      </c>
      <c r="BZ745">
        <v>223954</v>
      </c>
      <c r="CA745">
        <v>239630</v>
      </c>
      <c r="CB745">
        <v>256405</v>
      </c>
      <c r="CC745">
        <v>274353</v>
      </c>
      <c r="CD745">
        <v>147229</v>
      </c>
      <c r="CE745" t="s">
        <v>3108</v>
      </c>
      <c r="CF745" t="s">
        <v>3108</v>
      </c>
      <c r="CG745" t="s">
        <v>3108</v>
      </c>
      <c r="CH745" t="s">
        <v>3108</v>
      </c>
    </row>
    <row r="746" spans="1:86" x14ac:dyDescent="0.2">
      <c r="A746" t="s">
        <v>4386</v>
      </c>
      <c r="B746" t="s">
        <v>4386</v>
      </c>
      <c r="C746">
        <v>41188</v>
      </c>
      <c r="D746">
        <v>292</v>
      </c>
      <c r="E746" t="s">
        <v>4072</v>
      </c>
      <c r="F746">
        <v>2000</v>
      </c>
      <c r="G746" t="s">
        <v>408</v>
      </c>
      <c r="H746" t="s">
        <v>4070</v>
      </c>
      <c r="I746" t="s">
        <v>1792</v>
      </c>
      <c r="J746">
        <v>2002</v>
      </c>
      <c r="K746" t="s">
        <v>1792</v>
      </c>
      <c r="L746">
        <v>1100</v>
      </c>
      <c r="M746" t="s">
        <v>119</v>
      </c>
      <c r="N746">
        <v>1120</v>
      </c>
      <c r="O746" t="s">
        <v>2367</v>
      </c>
      <c r="P746" t="s">
        <v>3108</v>
      </c>
      <c r="Q746" t="s">
        <v>3249</v>
      </c>
      <c r="R746" t="s">
        <v>3249</v>
      </c>
      <c r="S746" t="s">
        <v>810</v>
      </c>
      <c r="T746" t="s">
        <v>2754</v>
      </c>
      <c r="U746" t="s">
        <v>3250</v>
      </c>
      <c r="V746" t="s">
        <v>3250</v>
      </c>
      <c r="W746" t="s">
        <v>3250</v>
      </c>
      <c r="X746" t="s">
        <v>3250</v>
      </c>
      <c r="Y746" t="s">
        <v>3250</v>
      </c>
      <c r="Z746" t="s">
        <v>3250</v>
      </c>
      <c r="AA746" t="s">
        <v>3108</v>
      </c>
      <c r="AB746" t="s">
        <v>3108</v>
      </c>
      <c r="AC746" t="s">
        <v>3250</v>
      </c>
      <c r="AD746" t="s">
        <v>3250</v>
      </c>
      <c r="AE746" t="s">
        <v>3250</v>
      </c>
      <c r="AF746" t="s">
        <v>3250</v>
      </c>
      <c r="AG746" t="s">
        <v>3250</v>
      </c>
      <c r="AH746" t="s">
        <v>3250</v>
      </c>
      <c r="AI746" t="s">
        <v>3250</v>
      </c>
      <c r="AJ746" t="s">
        <v>3250</v>
      </c>
      <c r="AL746" t="s">
        <v>3250</v>
      </c>
      <c r="AM746" t="s">
        <v>3250</v>
      </c>
      <c r="AN746" t="s">
        <v>3250</v>
      </c>
      <c r="AO746" t="s">
        <v>3250</v>
      </c>
      <c r="AS746" t="s">
        <v>3250</v>
      </c>
      <c r="AT746" t="s">
        <v>3250</v>
      </c>
      <c r="AU746" t="s">
        <v>3250</v>
      </c>
      <c r="AV746" t="s">
        <v>3250</v>
      </c>
      <c r="AW746" t="s">
        <v>3250</v>
      </c>
      <c r="AX746" t="s">
        <v>3250</v>
      </c>
      <c r="AY746" t="s">
        <v>3250</v>
      </c>
      <c r="AZ746" t="s">
        <v>3250</v>
      </c>
      <c r="BA746" t="s">
        <v>3250</v>
      </c>
      <c r="BB746" t="s">
        <v>3250</v>
      </c>
      <c r="BC746" t="s">
        <v>3250</v>
      </c>
      <c r="BE746" t="s">
        <v>3250</v>
      </c>
      <c r="BF746" t="s">
        <v>3250</v>
      </c>
      <c r="BG746" t="s">
        <v>3250</v>
      </c>
      <c r="BH746" t="s">
        <v>3250</v>
      </c>
      <c r="BI746" t="s">
        <v>3250</v>
      </c>
      <c r="BK746" t="s">
        <v>3250</v>
      </c>
      <c r="BL746" t="s">
        <v>3250</v>
      </c>
      <c r="BM746" t="s">
        <v>3250</v>
      </c>
      <c r="BN746" t="s">
        <v>3250</v>
      </c>
      <c r="BO746" t="s">
        <v>2916</v>
      </c>
      <c r="BP746">
        <v>3</v>
      </c>
      <c r="BQ746">
        <v>31</v>
      </c>
      <c r="BR746" t="s">
        <v>2367</v>
      </c>
      <c r="BS746" t="s">
        <v>4381</v>
      </c>
      <c r="BV746">
        <v>8847</v>
      </c>
      <c r="BW746">
        <v>5354</v>
      </c>
      <c r="BX746">
        <v>7328</v>
      </c>
      <c r="BY746">
        <v>31396</v>
      </c>
      <c r="BZ746">
        <v>31396</v>
      </c>
      <c r="CA746">
        <v>33594</v>
      </c>
      <c r="CB746">
        <v>35945</v>
      </c>
      <c r="CC746">
        <v>38461</v>
      </c>
      <c r="CD746">
        <v>4155</v>
      </c>
      <c r="CE746" t="s">
        <v>3108</v>
      </c>
      <c r="CF746" t="s">
        <v>3108</v>
      </c>
      <c r="CG746" t="s">
        <v>3108</v>
      </c>
      <c r="CH746" t="s">
        <v>3108</v>
      </c>
    </row>
    <row r="747" spans="1:86" x14ac:dyDescent="0.2">
      <c r="A747" t="s">
        <v>4387</v>
      </c>
      <c r="B747" t="s">
        <v>4387</v>
      </c>
      <c r="C747">
        <v>41189</v>
      </c>
      <c r="D747">
        <v>293</v>
      </c>
      <c r="E747" t="s">
        <v>4074</v>
      </c>
      <c r="F747">
        <v>2000</v>
      </c>
      <c r="G747" t="s">
        <v>408</v>
      </c>
      <c r="H747" t="s">
        <v>4075</v>
      </c>
      <c r="I747" t="s">
        <v>946</v>
      </c>
      <c r="J747">
        <v>2009</v>
      </c>
      <c r="K747" t="s">
        <v>1340</v>
      </c>
      <c r="L747">
        <v>1100</v>
      </c>
      <c r="M747" t="s">
        <v>119</v>
      </c>
      <c r="N747">
        <v>1120</v>
      </c>
      <c r="O747" t="s">
        <v>2367</v>
      </c>
      <c r="P747" t="s">
        <v>3108</v>
      </c>
      <c r="Q747" t="s">
        <v>3249</v>
      </c>
      <c r="R747" t="s">
        <v>3249</v>
      </c>
      <c r="S747" t="s">
        <v>810</v>
      </c>
      <c r="T747" t="s">
        <v>2754</v>
      </c>
      <c r="U747" t="s">
        <v>3250</v>
      </c>
      <c r="V747" t="s">
        <v>3250</v>
      </c>
      <c r="W747" t="s">
        <v>3250</v>
      </c>
      <c r="X747" t="s">
        <v>3250</v>
      </c>
      <c r="Y747" t="s">
        <v>3250</v>
      </c>
      <c r="Z747" t="s">
        <v>3250</v>
      </c>
      <c r="AA747" t="s">
        <v>3108</v>
      </c>
      <c r="AB747" t="s">
        <v>3108</v>
      </c>
      <c r="AC747" t="s">
        <v>3250</v>
      </c>
      <c r="AD747" t="s">
        <v>3250</v>
      </c>
      <c r="AE747" t="s">
        <v>3250</v>
      </c>
      <c r="AF747" t="s">
        <v>3250</v>
      </c>
      <c r="AG747" t="s">
        <v>3250</v>
      </c>
      <c r="AH747" t="s">
        <v>3250</v>
      </c>
      <c r="AI747" t="s">
        <v>3250</v>
      </c>
      <c r="AJ747" t="s">
        <v>3250</v>
      </c>
      <c r="AL747" t="s">
        <v>3250</v>
      </c>
      <c r="AM747" t="s">
        <v>3250</v>
      </c>
      <c r="AN747" t="s">
        <v>3250</v>
      </c>
      <c r="AO747" t="s">
        <v>3250</v>
      </c>
      <c r="AS747" t="s">
        <v>3250</v>
      </c>
      <c r="AT747" t="s">
        <v>3250</v>
      </c>
      <c r="AU747" t="s">
        <v>3250</v>
      </c>
      <c r="AV747" t="s">
        <v>3250</v>
      </c>
      <c r="AW747" t="s">
        <v>3250</v>
      </c>
      <c r="AX747" t="s">
        <v>3250</v>
      </c>
      <c r="AY747" t="s">
        <v>3250</v>
      </c>
      <c r="AZ747" t="s">
        <v>3250</v>
      </c>
      <c r="BA747" t="s">
        <v>3250</v>
      </c>
      <c r="BB747" t="s">
        <v>3250</v>
      </c>
      <c r="BC747" t="s">
        <v>3250</v>
      </c>
      <c r="BE747" t="s">
        <v>3250</v>
      </c>
      <c r="BF747" t="s">
        <v>3250</v>
      </c>
      <c r="BG747" t="s">
        <v>3250</v>
      </c>
      <c r="BH747" t="s">
        <v>3250</v>
      </c>
      <c r="BI747" t="s">
        <v>3250</v>
      </c>
      <c r="BK747" t="s">
        <v>3250</v>
      </c>
      <c r="BL747" t="s">
        <v>3250</v>
      </c>
      <c r="BM747" t="s">
        <v>3250</v>
      </c>
      <c r="BN747" t="s">
        <v>3250</v>
      </c>
      <c r="BO747" t="s">
        <v>2916</v>
      </c>
      <c r="BP747">
        <v>3</v>
      </c>
      <c r="BQ747">
        <v>31</v>
      </c>
      <c r="BR747" t="s">
        <v>2367</v>
      </c>
      <c r="BS747" t="s">
        <v>4381</v>
      </c>
      <c r="BV747">
        <v>0</v>
      </c>
      <c r="BW747">
        <v>0</v>
      </c>
      <c r="BX747">
        <v>0</v>
      </c>
      <c r="BY747">
        <v>0</v>
      </c>
      <c r="BZ747">
        <v>0</v>
      </c>
      <c r="CA747">
        <v>0</v>
      </c>
      <c r="CB747">
        <v>0</v>
      </c>
      <c r="CC747">
        <v>0</v>
      </c>
      <c r="CD747">
        <v>0</v>
      </c>
      <c r="CE747" t="s">
        <v>3108</v>
      </c>
      <c r="CF747" t="s">
        <v>3108</v>
      </c>
      <c r="CG747" t="s">
        <v>3108</v>
      </c>
      <c r="CH747" t="s">
        <v>3108</v>
      </c>
    </row>
    <row r="748" spans="1:86" x14ac:dyDescent="0.2">
      <c r="A748" t="s">
        <v>4388</v>
      </c>
      <c r="B748" t="s">
        <v>4388</v>
      </c>
      <c r="C748">
        <v>41190</v>
      </c>
      <c r="D748">
        <v>294</v>
      </c>
      <c r="E748" t="s">
        <v>4077</v>
      </c>
      <c r="F748">
        <v>2000</v>
      </c>
      <c r="G748" t="s">
        <v>408</v>
      </c>
      <c r="H748" t="s">
        <v>4075</v>
      </c>
      <c r="I748" t="s">
        <v>946</v>
      </c>
      <c r="J748">
        <v>2009</v>
      </c>
      <c r="K748" t="s">
        <v>1340</v>
      </c>
      <c r="L748">
        <v>1100</v>
      </c>
      <c r="M748" t="s">
        <v>119</v>
      </c>
      <c r="N748">
        <v>1120</v>
      </c>
      <c r="O748" t="s">
        <v>2367</v>
      </c>
      <c r="P748" t="s">
        <v>3108</v>
      </c>
      <c r="Q748" t="s">
        <v>3249</v>
      </c>
      <c r="R748" t="s">
        <v>3249</v>
      </c>
      <c r="S748" t="s">
        <v>810</v>
      </c>
      <c r="T748" t="s">
        <v>2754</v>
      </c>
      <c r="U748" t="s">
        <v>3250</v>
      </c>
      <c r="V748" t="s">
        <v>3250</v>
      </c>
      <c r="W748" t="s">
        <v>3250</v>
      </c>
      <c r="X748" t="s">
        <v>3250</v>
      </c>
      <c r="Y748" t="s">
        <v>3250</v>
      </c>
      <c r="Z748" t="s">
        <v>3250</v>
      </c>
      <c r="AA748" t="s">
        <v>3108</v>
      </c>
      <c r="AB748" t="s">
        <v>3108</v>
      </c>
      <c r="AC748" t="s">
        <v>3250</v>
      </c>
      <c r="AD748" t="s">
        <v>3250</v>
      </c>
      <c r="AE748" t="s">
        <v>3250</v>
      </c>
      <c r="AF748" t="s">
        <v>3250</v>
      </c>
      <c r="AG748" t="s">
        <v>3250</v>
      </c>
      <c r="AH748" t="s">
        <v>3250</v>
      </c>
      <c r="AI748" t="s">
        <v>3250</v>
      </c>
      <c r="AJ748" t="s">
        <v>3250</v>
      </c>
      <c r="AL748" t="s">
        <v>3250</v>
      </c>
      <c r="AM748" t="s">
        <v>3250</v>
      </c>
      <c r="AN748" t="s">
        <v>3250</v>
      </c>
      <c r="AO748" t="s">
        <v>3250</v>
      </c>
      <c r="AS748" t="s">
        <v>3250</v>
      </c>
      <c r="AT748" t="s">
        <v>3250</v>
      </c>
      <c r="AU748" t="s">
        <v>3250</v>
      </c>
      <c r="AV748" t="s">
        <v>3250</v>
      </c>
      <c r="AW748" t="s">
        <v>3250</v>
      </c>
      <c r="AX748" t="s">
        <v>3250</v>
      </c>
      <c r="AY748" t="s">
        <v>3250</v>
      </c>
      <c r="AZ748" t="s">
        <v>3250</v>
      </c>
      <c r="BA748" t="s">
        <v>3250</v>
      </c>
      <c r="BB748" t="s">
        <v>3250</v>
      </c>
      <c r="BC748" t="s">
        <v>3250</v>
      </c>
      <c r="BE748" t="s">
        <v>3250</v>
      </c>
      <c r="BF748" t="s">
        <v>3250</v>
      </c>
      <c r="BG748" t="s">
        <v>3250</v>
      </c>
      <c r="BH748" t="s">
        <v>3250</v>
      </c>
      <c r="BI748" t="s">
        <v>3250</v>
      </c>
      <c r="BK748" t="s">
        <v>3250</v>
      </c>
      <c r="BL748" t="s">
        <v>3250</v>
      </c>
      <c r="BM748" t="s">
        <v>3250</v>
      </c>
      <c r="BN748" t="s">
        <v>3250</v>
      </c>
      <c r="BO748" t="s">
        <v>2916</v>
      </c>
      <c r="BP748">
        <v>3</v>
      </c>
      <c r="BQ748">
        <v>31</v>
      </c>
      <c r="BR748" t="s">
        <v>2367</v>
      </c>
      <c r="BS748" t="s">
        <v>4381</v>
      </c>
      <c r="BV748">
        <v>0</v>
      </c>
      <c r="BW748">
        <v>0</v>
      </c>
      <c r="BX748">
        <v>8800</v>
      </c>
      <c r="BY748">
        <v>400000</v>
      </c>
      <c r="BZ748">
        <v>400000</v>
      </c>
      <c r="CA748">
        <v>428000</v>
      </c>
      <c r="CB748">
        <v>457960</v>
      </c>
      <c r="CC748">
        <v>490017</v>
      </c>
      <c r="CD748">
        <v>0</v>
      </c>
      <c r="CE748" t="s">
        <v>3108</v>
      </c>
      <c r="CF748" t="s">
        <v>3108</v>
      </c>
      <c r="CG748" t="s">
        <v>3108</v>
      </c>
      <c r="CH748" t="s">
        <v>3108</v>
      </c>
    </row>
    <row r="749" spans="1:86" x14ac:dyDescent="0.2">
      <c r="A749" t="s">
        <v>4389</v>
      </c>
      <c r="B749" t="s">
        <v>4389</v>
      </c>
      <c r="C749">
        <v>41191</v>
      </c>
      <c r="D749">
        <v>295</v>
      </c>
      <c r="E749" t="s">
        <v>4079</v>
      </c>
      <c r="F749">
        <v>2000</v>
      </c>
      <c r="G749" t="s">
        <v>408</v>
      </c>
      <c r="H749" t="s">
        <v>4064</v>
      </c>
      <c r="I749" t="s">
        <v>1340</v>
      </c>
      <c r="J749">
        <v>2001</v>
      </c>
      <c r="K749" t="s">
        <v>1135</v>
      </c>
      <c r="L749">
        <v>1100</v>
      </c>
      <c r="M749" t="s">
        <v>119</v>
      </c>
      <c r="N749">
        <v>1120</v>
      </c>
      <c r="O749" t="s">
        <v>2367</v>
      </c>
      <c r="P749" t="s">
        <v>3108</v>
      </c>
      <c r="Q749" t="s">
        <v>3249</v>
      </c>
      <c r="R749" t="s">
        <v>3249</v>
      </c>
      <c r="S749" t="s">
        <v>810</v>
      </c>
      <c r="T749" t="s">
        <v>2754</v>
      </c>
      <c r="U749" t="s">
        <v>3250</v>
      </c>
      <c r="V749" t="s">
        <v>3250</v>
      </c>
      <c r="W749" t="s">
        <v>3250</v>
      </c>
      <c r="X749" t="s">
        <v>3250</v>
      </c>
      <c r="Y749" t="s">
        <v>3250</v>
      </c>
      <c r="Z749" t="s">
        <v>3250</v>
      </c>
      <c r="AA749" t="s">
        <v>3108</v>
      </c>
      <c r="AB749" t="s">
        <v>3108</v>
      </c>
      <c r="AC749" t="s">
        <v>3250</v>
      </c>
      <c r="AD749" t="s">
        <v>3250</v>
      </c>
      <c r="AE749" t="s">
        <v>3250</v>
      </c>
      <c r="AF749" t="s">
        <v>3250</v>
      </c>
      <c r="AG749" t="s">
        <v>3250</v>
      </c>
      <c r="AH749" t="s">
        <v>3250</v>
      </c>
      <c r="AI749" t="s">
        <v>3250</v>
      </c>
      <c r="AJ749" t="s">
        <v>3250</v>
      </c>
      <c r="AL749" t="s">
        <v>3250</v>
      </c>
      <c r="AM749" t="s">
        <v>3250</v>
      </c>
      <c r="AN749" t="s">
        <v>3250</v>
      </c>
      <c r="AO749" t="s">
        <v>3250</v>
      </c>
      <c r="AS749" t="s">
        <v>3250</v>
      </c>
      <c r="AT749" t="s">
        <v>3250</v>
      </c>
      <c r="AU749" t="s">
        <v>3250</v>
      </c>
      <c r="AV749" t="s">
        <v>3250</v>
      </c>
      <c r="AW749" t="s">
        <v>3250</v>
      </c>
      <c r="AX749" t="s">
        <v>3250</v>
      </c>
      <c r="AY749" t="s">
        <v>3250</v>
      </c>
      <c r="AZ749" t="s">
        <v>3250</v>
      </c>
      <c r="BA749" t="s">
        <v>3250</v>
      </c>
      <c r="BB749" t="s">
        <v>3250</v>
      </c>
      <c r="BC749" t="s">
        <v>3250</v>
      </c>
      <c r="BE749" t="s">
        <v>3250</v>
      </c>
      <c r="BF749" t="s">
        <v>3250</v>
      </c>
      <c r="BG749" t="s">
        <v>3250</v>
      </c>
      <c r="BH749" t="s">
        <v>3250</v>
      </c>
      <c r="BI749" t="s">
        <v>3250</v>
      </c>
      <c r="BK749" t="s">
        <v>3250</v>
      </c>
      <c r="BL749" t="s">
        <v>3250</v>
      </c>
      <c r="BM749" t="s">
        <v>3250</v>
      </c>
      <c r="BN749" t="s">
        <v>3250</v>
      </c>
      <c r="BO749" t="s">
        <v>2916</v>
      </c>
      <c r="BP749">
        <v>3</v>
      </c>
      <c r="BQ749">
        <v>31</v>
      </c>
      <c r="BR749" t="s">
        <v>2367</v>
      </c>
      <c r="BS749" t="s">
        <v>4381</v>
      </c>
      <c r="BV749">
        <v>0</v>
      </c>
      <c r="BW749">
        <v>0</v>
      </c>
      <c r="BX749">
        <v>0</v>
      </c>
      <c r="BY749">
        <v>0</v>
      </c>
      <c r="BZ749">
        <v>0</v>
      </c>
      <c r="CA749">
        <v>0</v>
      </c>
      <c r="CB749">
        <v>0</v>
      </c>
      <c r="CC749">
        <v>0</v>
      </c>
      <c r="CD749">
        <v>4821</v>
      </c>
      <c r="CE749" t="s">
        <v>3108</v>
      </c>
      <c r="CF749" t="s">
        <v>3108</v>
      </c>
      <c r="CG749" t="s">
        <v>3108</v>
      </c>
      <c r="CH749" t="s">
        <v>3108</v>
      </c>
    </row>
    <row r="750" spans="1:86" x14ac:dyDescent="0.2">
      <c r="A750" t="s">
        <v>4390</v>
      </c>
      <c r="B750" t="s">
        <v>4390</v>
      </c>
      <c r="C750">
        <v>41192</v>
      </c>
      <c r="D750">
        <v>296</v>
      </c>
      <c r="E750" t="s">
        <v>4081</v>
      </c>
      <c r="F750">
        <v>2000</v>
      </c>
      <c r="G750" t="s">
        <v>408</v>
      </c>
      <c r="H750" t="s">
        <v>4082</v>
      </c>
      <c r="I750" t="s">
        <v>652</v>
      </c>
      <c r="J750">
        <v>2005</v>
      </c>
      <c r="K750" t="s">
        <v>652</v>
      </c>
      <c r="L750">
        <v>1100</v>
      </c>
      <c r="M750" t="s">
        <v>119</v>
      </c>
      <c r="N750">
        <v>1120</v>
      </c>
      <c r="O750" t="s">
        <v>2367</v>
      </c>
      <c r="P750" t="s">
        <v>3108</v>
      </c>
      <c r="Q750" t="s">
        <v>3249</v>
      </c>
      <c r="R750" t="s">
        <v>3249</v>
      </c>
      <c r="S750" t="s">
        <v>810</v>
      </c>
      <c r="T750" t="s">
        <v>2754</v>
      </c>
      <c r="U750" t="s">
        <v>3250</v>
      </c>
      <c r="V750" t="s">
        <v>3250</v>
      </c>
      <c r="W750" t="s">
        <v>3250</v>
      </c>
      <c r="X750" t="s">
        <v>3250</v>
      </c>
      <c r="Y750" t="s">
        <v>3250</v>
      </c>
      <c r="Z750" t="s">
        <v>3250</v>
      </c>
      <c r="AA750" t="s">
        <v>3108</v>
      </c>
      <c r="AB750" t="s">
        <v>3108</v>
      </c>
      <c r="AC750" t="s">
        <v>3250</v>
      </c>
      <c r="AD750" t="s">
        <v>3250</v>
      </c>
      <c r="AE750" t="s">
        <v>3250</v>
      </c>
      <c r="AF750" t="s">
        <v>3250</v>
      </c>
      <c r="AG750" t="s">
        <v>3250</v>
      </c>
      <c r="AH750" t="s">
        <v>3250</v>
      </c>
      <c r="AI750" t="s">
        <v>3250</v>
      </c>
      <c r="AJ750" t="s">
        <v>3250</v>
      </c>
      <c r="AL750" t="s">
        <v>3250</v>
      </c>
      <c r="AM750" t="s">
        <v>3250</v>
      </c>
      <c r="AN750" t="s">
        <v>3250</v>
      </c>
      <c r="AO750" t="s">
        <v>3250</v>
      </c>
      <c r="AS750" t="s">
        <v>3250</v>
      </c>
      <c r="AT750" t="s">
        <v>3250</v>
      </c>
      <c r="AU750" t="s">
        <v>3250</v>
      </c>
      <c r="AV750" t="s">
        <v>3250</v>
      </c>
      <c r="AW750" t="s">
        <v>3250</v>
      </c>
      <c r="AX750" t="s">
        <v>3250</v>
      </c>
      <c r="AY750" t="s">
        <v>3250</v>
      </c>
      <c r="AZ750" t="s">
        <v>3250</v>
      </c>
      <c r="BA750" t="s">
        <v>3250</v>
      </c>
      <c r="BB750" t="s">
        <v>3250</v>
      </c>
      <c r="BC750" t="s">
        <v>3250</v>
      </c>
      <c r="BE750" t="s">
        <v>3250</v>
      </c>
      <c r="BF750" t="s">
        <v>3250</v>
      </c>
      <c r="BG750" t="s">
        <v>3250</v>
      </c>
      <c r="BH750" t="s">
        <v>3250</v>
      </c>
      <c r="BI750" t="s">
        <v>3250</v>
      </c>
      <c r="BK750" t="s">
        <v>3250</v>
      </c>
      <c r="BL750" t="s">
        <v>3250</v>
      </c>
      <c r="BM750" t="s">
        <v>3250</v>
      </c>
      <c r="BN750" t="s">
        <v>3250</v>
      </c>
      <c r="BO750" t="s">
        <v>2916</v>
      </c>
      <c r="BP750">
        <v>3</v>
      </c>
      <c r="BQ750">
        <v>31</v>
      </c>
      <c r="BR750" t="s">
        <v>2367</v>
      </c>
      <c r="BS750" t="s">
        <v>4381</v>
      </c>
      <c r="BV750">
        <v>71786</v>
      </c>
      <c r="BW750">
        <v>67402</v>
      </c>
      <c r="BX750">
        <v>56046</v>
      </c>
      <c r="BY750">
        <v>108498</v>
      </c>
      <c r="BZ750">
        <v>108498</v>
      </c>
      <c r="CA750">
        <v>116093</v>
      </c>
      <c r="CB750">
        <v>124219</v>
      </c>
      <c r="CC750">
        <v>132915</v>
      </c>
      <c r="CD750">
        <v>244471</v>
      </c>
      <c r="CE750" t="s">
        <v>3108</v>
      </c>
      <c r="CF750" t="s">
        <v>3108</v>
      </c>
      <c r="CG750" t="s">
        <v>3108</v>
      </c>
      <c r="CH750" t="s">
        <v>3108</v>
      </c>
    </row>
    <row r="751" spans="1:86" x14ac:dyDescent="0.2">
      <c r="A751" t="s">
        <v>4391</v>
      </c>
      <c r="B751" t="s">
        <v>4391</v>
      </c>
      <c r="C751">
        <v>41193</v>
      </c>
      <c r="D751">
        <v>297</v>
      </c>
      <c r="E751" t="s">
        <v>4087</v>
      </c>
      <c r="F751">
        <v>2000</v>
      </c>
      <c r="G751" t="s">
        <v>408</v>
      </c>
      <c r="H751" t="s">
        <v>4088</v>
      </c>
      <c r="I751" t="s">
        <v>1941</v>
      </c>
      <c r="J751">
        <v>2008</v>
      </c>
      <c r="K751" t="s">
        <v>1941</v>
      </c>
      <c r="L751">
        <v>1100</v>
      </c>
      <c r="M751" t="s">
        <v>119</v>
      </c>
      <c r="N751">
        <v>1120</v>
      </c>
      <c r="O751" t="s">
        <v>2367</v>
      </c>
      <c r="P751" t="s">
        <v>3108</v>
      </c>
      <c r="Q751" t="s">
        <v>3249</v>
      </c>
      <c r="R751" t="s">
        <v>3249</v>
      </c>
      <c r="S751" t="s">
        <v>810</v>
      </c>
      <c r="T751" t="s">
        <v>2754</v>
      </c>
      <c r="U751" t="s">
        <v>3250</v>
      </c>
      <c r="V751" t="s">
        <v>3250</v>
      </c>
      <c r="W751" t="s">
        <v>3250</v>
      </c>
      <c r="X751" t="s">
        <v>3250</v>
      </c>
      <c r="Y751" t="s">
        <v>3250</v>
      </c>
      <c r="Z751" t="s">
        <v>3250</v>
      </c>
      <c r="AA751" t="s">
        <v>3108</v>
      </c>
      <c r="AB751" t="s">
        <v>3108</v>
      </c>
      <c r="AC751" t="s">
        <v>3250</v>
      </c>
      <c r="AD751" t="s">
        <v>3250</v>
      </c>
      <c r="AE751" t="s">
        <v>3250</v>
      </c>
      <c r="AF751" t="s">
        <v>3250</v>
      </c>
      <c r="AG751" t="s">
        <v>3250</v>
      </c>
      <c r="AH751" t="s">
        <v>3250</v>
      </c>
      <c r="AI751" t="s">
        <v>3250</v>
      </c>
      <c r="AJ751" t="s">
        <v>3250</v>
      </c>
      <c r="AL751" t="s">
        <v>3250</v>
      </c>
      <c r="AM751" t="s">
        <v>3250</v>
      </c>
      <c r="AN751" t="s">
        <v>3250</v>
      </c>
      <c r="AO751" t="s">
        <v>3250</v>
      </c>
      <c r="AS751" t="s">
        <v>3250</v>
      </c>
      <c r="AT751" t="s">
        <v>3250</v>
      </c>
      <c r="AU751" t="s">
        <v>3250</v>
      </c>
      <c r="AV751" t="s">
        <v>3250</v>
      </c>
      <c r="AW751" t="s">
        <v>3250</v>
      </c>
      <c r="AX751" t="s">
        <v>3250</v>
      </c>
      <c r="AY751" t="s">
        <v>3250</v>
      </c>
      <c r="AZ751" t="s">
        <v>3250</v>
      </c>
      <c r="BA751" t="s">
        <v>3250</v>
      </c>
      <c r="BB751" t="s">
        <v>3250</v>
      </c>
      <c r="BC751" t="s">
        <v>3250</v>
      </c>
      <c r="BE751" t="s">
        <v>3250</v>
      </c>
      <c r="BF751" t="s">
        <v>3250</v>
      </c>
      <c r="BG751" t="s">
        <v>3250</v>
      </c>
      <c r="BH751" t="s">
        <v>3250</v>
      </c>
      <c r="BI751" t="s">
        <v>3250</v>
      </c>
      <c r="BK751" t="s">
        <v>3250</v>
      </c>
      <c r="BL751" t="s">
        <v>3250</v>
      </c>
      <c r="BM751" t="s">
        <v>3250</v>
      </c>
      <c r="BN751" t="s">
        <v>3250</v>
      </c>
      <c r="BO751" t="s">
        <v>2916</v>
      </c>
      <c r="BP751">
        <v>3</v>
      </c>
      <c r="BQ751">
        <v>31</v>
      </c>
      <c r="BR751" t="s">
        <v>2367</v>
      </c>
      <c r="BS751" t="s">
        <v>4381</v>
      </c>
      <c r="BV751">
        <v>21786</v>
      </c>
      <c r="BW751">
        <v>20457</v>
      </c>
      <c r="BX751">
        <v>12746</v>
      </c>
      <c r="BY751">
        <v>114880</v>
      </c>
      <c r="BZ751">
        <v>114880</v>
      </c>
      <c r="CA751">
        <v>122921</v>
      </c>
      <c r="CB751">
        <v>131526</v>
      </c>
      <c r="CC751">
        <v>140733</v>
      </c>
      <c r="CD751">
        <v>81416</v>
      </c>
      <c r="CE751" t="s">
        <v>3108</v>
      </c>
      <c r="CF751" t="s">
        <v>3108</v>
      </c>
      <c r="CG751" t="s">
        <v>3108</v>
      </c>
      <c r="CH751" t="s">
        <v>3108</v>
      </c>
    </row>
    <row r="752" spans="1:86" x14ac:dyDescent="0.2">
      <c r="A752" t="s">
        <v>4392</v>
      </c>
      <c r="B752" t="s">
        <v>4392</v>
      </c>
      <c r="C752">
        <v>41194</v>
      </c>
      <c r="D752">
        <v>298</v>
      </c>
      <c r="E752" t="s">
        <v>4202</v>
      </c>
      <c r="F752">
        <v>2000</v>
      </c>
      <c r="G752" t="s">
        <v>408</v>
      </c>
      <c r="H752" t="s">
        <v>4203</v>
      </c>
      <c r="I752" t="s">
        <v>1793</v>
      </c>
      <c r="J752">
        <v>2007</v>
      </c>
      <c r="K752" t="s">
        <v>1793</v>
      </c>
      <c r="L752">
        <v>1100</v>
      </c>
      <c r="M752" t="s">
        <v>119</v>
      </c>
      <c r="N752">
        <v>1120</v>
      </c>
      <c r="O752" t="s">
        <v>2367</v>
      </c>
      <c r="P752" t="s">
        <v>3108</v>
      </c>
      <c r="Q752" t="s">
        <v>3249</v>
      </c>
      <c r="R752" t="s">
        <v>3249</v>
      </c>
      <c r="S752" t="s">
        <v>810</v>
      </c>
      <c r="T752" t="s">
        <v>2754</v>
      </c>
      <c r="U752" t="s">
        <v>3250</v>
      </c>
      <c r="V752" t="s">
        <v>3250</v>
      </c>
      <c r="W752" t="s">
        <v>3250</v>
      </c>
      <c r="X752" t="s">
        <v>3250</v>
      </c>
      <c r="Y752" t="s">
        <v>3250</v>
      </c>
      <c r="Z752" t="s">
        <v>3250</v>
      </c>
      <c r="AA752" t="s">
        <v>3108</v>
      </c>
      <c r="AB752" t="s">
        <v>3108</v>
      </c>
      <c r="AC752" t="s">
        <v>3250</v>
      </c>
      <c r="AD752" t="s">
        <v>3250</v>
      </c>
      <c r="AE752" t="s">
        <v>3250</v>
      </c>
      <c r="AF752" t="s">
        <v>3250</v>
      </c>
      <c r="AG752" t="s">
        <v>3250</v>
      </c>
      <c r="AH752" t="s">
        <v>3250</v>
      </c>
      <c r="AI752" t="s">
        <v>3250</v>
      </c>
      <c r="AJ752" t="s">
        <v>3250</v>
      </c>
      <c r="AL752" t="s">
        <v>3250</v>
      </c>
      <c r="AM752" t="s">
        <v>3250</v>
      </c>
      <c r="AN752" t="s">
        <v>3250</v>
      </c>
      <c r="AO752" t="s">
        <v>3250</v>
      </c>
      <c r="AS752" t="s">
        <v>3250</v>
      </c>
      <c r="AT752" t="s">
        <v>3250</v>
      </c>
      <c r="AU752" t="s">
        <v>3250</v>
      </c>
      <c r="AV752" t="s">
        <v>3250</v>
      </c>
      <c r="AW752" t="s">
        <v>3250</v>
      </c>
      <c r="AX752" t="s">
        <v>3250</v>
      </c>
      <c r="AY752" t="s">
        <v>3250</v>
      </c>
      <c r="AZ752" t="s">
        <v>3250</v>
      </c>
      <c r="BA752" t="s">
        <v>3250</v>
      </c>
      <c r="BB752" t="s">
        <v>3250</v>
      </c>
      <c r="BC752" t="s">
        <v>3250</v>
      </c>
      <c r="BE752" t="s">
        <v>3250</v>
      </c>
      <c r="BF752" t="s">
        <v>3250</v>
      </c>
      <c r="BG752" t="s">
        <v>3250</v>
      </c>
      <c r="BH752" t="s">
        <v>3250</v>
      </c>
      <c r="BI752" t="s">
        <v>3250</v>
      </c>
      <c r="BK752" t="s">
        <v>3250</v>
      </c>
      <c r="BL752" t="s">
        <v>3250</v>
      </c>
      <c r="BM752" t="s">
        <v>3250</v>
      </c>
      <c r="BN752" t="s">
        <v>3250</v>
      </c>
      <c r="BO752" t="s">
        <v>2916</v>
      </c>
      <c r="BP752">
        <v>3</v>
      </c>
      <c r="BQ752">
        <v>31</v>
      </c>
      <c r="BR752" t="s">
        <v>2367</v>
      </c>
      <c r="BS752" t="s">
        <v>4381</v>
      </c>
      <c r="BV752">
        <v>0</v>
      </c>
      <c r="BW752">
        <v>0</v>
      </c>
      <c r="BX752">
        <v>4500</v>
      </c>
      <c r="BY752">
        <v>6000</v>
      </c>
      <c r="BZ752">
        <v>6000</v>
      </c>
      <c r="CA752">
        <v>6420</v>
      </c>
      <c r="CB752">
        <v>6869</v>
      </c>
      <c r="CC752">
        <v>7350</v>
      </c>
      <c r="CD752">
        <v>4768</v>
      </c>
      <c r="CE752" t="s">
        <v>3108</v>
      </c>
      <c r="CF752" t="s">
        <v>3108</v>
      </c>
      <c r="CG752" t="s">
        <v>3108</v>
      </c>
      <c r="CH752" t="s">
        <v>3108</v>
      </c>
    </row>
    <row r="753" spans="1:86" x14ac:dyDescent="0.2">
      <c r="A753" t="s">
        <v>4393</v>
      </c>
      <c r="B753" t="s">
        <v>4393</v>
      </c>
      <c r="C753">
        <v>41195</v>
      </c>
      <c r="D753">
        <v>299</v>
      </c>
      <c r="E753" t="s">
        <v>4090</v>
      </c>
      <c r="F753">
        <v>2000</v>
      </c>
      <c r="G753" t="s">
        <v>408</v>
      </c>
      <c r="H753" t="s">
        <v>4091</v>
      </c>
      <c r="I753" t="s">
        <v>1940</v>
      </c>
      <c r="J753">
        <v>2006</v>
      </c>
      <c r="K753" t="s">
        <v>1940</v>
      </c>
      <c r="L753">
        <v>1100</v>
      </c>
      <c r="M753" t="s">
        <v>119</v>
      </c>
      <c r="N753">
        <v>1120</v>
      </c>
      <c r="O753" t="s">
        <v>2367</v>
      </c>
      <c r="P753" t="s">
        <v>3108</v>
      </c>
      <c r="Q753" t="s">
        <v>3249</v>
      </c>
      <c r="R753" t="s">
        <v>3249</v>
      </c>
      <c r="S753" t="s">
        <v>810</v>
      </c>
      <c r="T753" t="s">
        <v>2754</v>
      </c>
      <c r="U753" t="s">
        <v>3250</v>
      </c>
      <c r="V753" t="s">
        <v>3250</v>
      </c>
      <c r="W753" t="s">
        <v>3250</v>
      </c>
      <c r="X753" t="s">
        <v>3250</v>
      </c>
      <c r="Y753" t="s">
        <v>3250</v>
      </c>
      <c r="Z753" t="s">
        <v>3250</v>
      </c>
      <c r="AA753" t="s">
        <v>3108</v>
      </c>
      <c r="AB753" t="s">
        <v>3108</v>
      </c>
      <c r="AC753" t="s">
        <v>3250</v>
      </c>
      <c r="AD753" t="s">
        <v>3250</v>
      </c>
      <c r="AE753" t="s">
        <v>3250</v>
      </c>
      <c r="AF753" t="s">
        <v>3250</v>
      </c>
      <c r="AG753" t="s">
        <v>3250</v>
      </c>
      <c r="AH753" t="s">
        <v>3250</v>
      </c>
      <c r="AI753" t="s">
        <v>3250</v>
      </c>
      <c r="AJ753" t="s">
        <v>3250</v>
      </c>
      <c r="AL753" t="s">
        <v>3250</v>
      </c>
      <c r="AM753" t="s">
        <v>3250</v>
      </c>
      <c r="AN753" t="s">
        <v>3250</v>
      </c>
      <c r="AO753" t="s">
        <v>3250</v>
      </c>
      <c r="AS753" t="s">
        <v>3250</v>
      </c>
      <c r="AT753" t="s">
        <v>3250</v>
      </c>
      <c r="AU753" t="s">
        <v>3250</v>
      </c>
      <c r="AV753" t="s">
        <v>3250</v>
      </c>
      <c r="AW753" t="s">
        <v>3250</v>
      </c>
      <c r="AX753" t="s">
        <v>3250</v>
      </c>
      <c r="AY753" t="s">
        <v>3250</v>
      </c>
      <c r="AZ753" t="s">
        <v>3250</v>
      </c>
      <c r="BA753" t="s">
        <v>3250</v>
      </c>
      <c r="BB753" t="s">
        <v>3250</v>
      </c>
      <c r="BC753" t="s">
        <v>3250</v>
      </c>
      <c r="BE753" t="s">
        <v>3250</v>
      </c>
      <c r="BF753" t="s">
        <v>3250</v>
      </c>
      <c r="BG753" t="s">
        <v>3250</v>
      </c>
      <c r="BH753" t="s">
        <v>3250</v>
      </c>
      <c r="BI753" t="s">
        <v>3250</v>
      </c>
      <c r="BK753" t="s">
        <v>3250</v>
      </c>
      <c r="BL753" t="s">
        <v>3250</v>
      </c>
      <c r="BM753" t="s">
        <v>3250</v>
      </c>
      <c r="BN753" t="s">
        <v>3250</v>
      </c>
      <c r="BO753" t="s">
        <v>2916</v>
      </c>
      <c r="BP753">
        <v>3</v>
      </c>
      <c r="BQ753">
        <v>31</v>
      </c>
      <c r="BR753" t="s">
        <v>2367</v>
      </c>
      <c r="BS753" t="s">
        <v>4381</v>
      </c>
      <c r="BV753">
        <v>53944</v>
      </c>
      <c r="BW753">
        <v>0</v>
      </c>
      <c r="BX753">
        <v>185421</v>
      </c>
      <c r="BY753">
        <v>0</v>
      </c>
      <c r="BZ753">
        <v>0</v>
      </c>
      <c r="CA753">
        <v>0</v>
      </c>
      <c r="CB753">
        <v>0</v>
      </c>
      <c r="CC753">
        <v>0</v>
      </c>
      <c r="CD753">
        <v>129832</v>
      </c>
      <c r="CE753" t="s">
        <v>3108</v>
      </c>
      <c r="CF753" t="s">
        <v>3108</v>
      </c>
      <c r="CG753" t="s">
        <v>3108</v>
      </c>
      <c r="CH753" t="s">
        <v>3108</v>
      </c>
    </row>
    <row r="754" spans="1:86" x14ac:dyDescent="0.2">
      <c r="A754" t="s">
        <v>4394</v>
      </c>
      <c r="B754" t="s">
        <v>4394</v>
      </c>
      <c r="C754">
        <v>41196</v>
      </c>
      <c r="D754">
        <v>300</v>
      </c>
      <c r="E754" t="s">
        <v>4093</v>
      </c>
      <c r="F754">
        <v>2000</v>
      </c>
      <c r="G754" t="s">
        <v>408</v>
      </c>
      <c r="H754" t="s">
        <v>4094</v>
      </c>
      <c r="I754" t="s">
        <v>1135</v>
      </c>
      <c r="J754">
        <v>2001</v>
      </c>
      <c r="K754" t="s">
        <v>1135</v>
      </c>
      <c r="L754">
        <v>1100</v>
      </c>
      <c r="M754" t="s">
        <v>119</v>
      </c>
      <c r="N754">
        <v>1120</v>
      </c>
      <c r="O754" t="s">
        <v>2367</v>
      </c>
      <c r="P754" t="s">
        <v>3108</v>
      </c>
      <c r="Q754" t="s">
        <v>3249</v>
      </c>
      <c r="R754" t="s">
        <v>3249</v>
      </c>
      <c r="S754" t="s">
        <v>810</v>
      </c>
      <c r="T754" t="s">
        <v>2754</v>
      </c>
      <c r="U754" t="s">
        <v>3250</v>
      </c>
      <c r="V754" t="s">
        <v>3250</v>
      </c>
      <c r="W754" t="s">
        <v>3250</v>
      </c>
      <c r="X754" t="s">
        <v>3250</v>
      </c>
      <c r="Y754" t="s">
        <v>3250</v>
      </c>
      <c r="Z754" t="s">
        <v>3250</v>
      </c>
      <c r="AA754" t="s">
        <v>3108</v>
      </c>
      <c r="AB754" t="s">
        <v>3108</v>
      </c>
      <c r="AC754" t="s">
        <v>3250</v>
      </c>
      <c r="AD754" t="s">
        <v>3250</v>
      </c>
      <c r="AE754" t="s">
        <v>3250</v>
      </c>
      <c r="AF754" t="s">
        <v>3250</v>
      </c>
      <c r="AG754" t="s">
        <v>3250</v>
      </c>
      <c r="AH754" t="s">
        <v>3250</v>
      </c>
      <c r="AI754" t="s">
        <v>3250</v>
      </c>
      <c r="AJ754" t="s">
        <v>3250</v>
      </c>
      <c r="AL754" t="s">
        <v>3250</v>
      </c>
      <c r="AM754" t="s">
        <v>3250</v>
      </c>
      <c r="AN754" t="s">
        <v>3250</v>
      </c>
      <c r="AO754" t="s">
        <v>3250</v>
      </c>
      <c r="AS754" t="s">
        <v>3250</v>
      </c>
      <c r="AT754" t="s">
        <v>3250</v>
      </c>
      <c r="AU754" t="s">
        <v>3250</v>
      </c>
      <c r="AV754" t="s">
        <v>3250</v>
      </c>
      <c r="AW754" t="s">
        <v>3250</v>
      </c>
      <c r="AX754" t="s">
        <v>3250</v>
      </c>
      <c r="AY754" t="s">
        <v>3250</v>
      </c>
      <c r="AZ754" t="s">
        <v>3250</v>
      </c>
      <c r="BA754" t="s">
        <v>3250</v>
      </c>
      <c r="BB754" t="s">
        <v>3250</v>
      </c>
      <c r="BC754" t="s">
        <v>3250</v>
      </c>
      <c r="BE754" t="s">
        <v>3250</v>
      </c>
      <c r="BF754" t="s">
        <v>3250</v>
      </c>
      <c r="BG754" t="s">
        <v>3250</v>
      </c>
      <c r="BH754" t="s">
        <v>3250</v>
      </c>
      <c r="BI754" t="s">
        <v>3250</v>
      </c>
      <c r="BK754" t="s">
        <v>3250</v>
      </c>
      <c r="BL754" t="s">
        <v>3250</v>
      </c>
      <c r="BM754" t="s">
        <v>3250</v>
      </c>
      <c r="BN754" t="s">
        <v>3250</v>
      </c>
      <c r="BO754" t="s">
        <v>2916</v>
      </c>
      <c r="BP754">
        <v>3</v>
      </c>
      <c r="BQ754">
        <v>31</v>
      </c>
      <c r="BR754" t="s">
        <v>2367</v>
      </c>
      <c r="BS754" t="s">
        <v>4381</v>
      </c>
      <c r="BV754">
        <v>1530100</v>
      </c>
      <c r="BW754">
        <v>831401</v>
      </c>
      <c r="BX754">
        <v>1011556</v>
      </c>
      <c r="BY754">
        <v>3139590</v>
      </c>
      <c r="BZ754">
        <v>3139590</v>
      </c>
      <c r="CA754">
        <v>3359361</v>
      </c>
      <c r="CB754">
        <v>3594516</v>
      </c>
      <c r="CC754">
        <v>3846132</v>
      </c>
      <c r="CD754">
        <v>1674726</v>
      </c>
      <c r="CE754" t="s">
        <v>3108</v>
      </c>
      <c r="CF754" t="s">
        <v>3108</v>
      </c>
      <c r="CG754" t="s">
        <v>3108</v>
      </c>
      <c r="CH754" t="s">
        <v>3108</v>
      </c>
    </row>
    <row r="755" spans="1:86" x14ac:dyDescent="0.2">
      <c r="A755" t="s">
        <v>4395</v>
      </c>
      <c r="B755" t="s">
        <v>4395</v>
      </c>
      <c r="C755">
        <v>41197</v>
      </c>
      <c r="D755">
        <v>301</v>
      </c>
      <c r="E755" t="s">
        <v>4122</v>
      </c>
      <c r="F755">
        <v>2000</v>
      </c>
      <c r="G755" t="s">
        <v>408</v>
      </c>
      <c r="H755" t="s">
        <v>4123</v>
      </c>
      <c r="I755" t="s">
        <v>1454</v>
      </c>
      <c r="J755">
        <v>2012</v>
      </c>
      <c r="K755" t="s">
        <v>1454</v>
      </c>
      <c r="L755">
        <v>1100</v>
      </c>
      <c r="M755" t="s">
        <v>119</v>
      </c>
      <c r="N755">
        <v>1120</v>
      </c>
      <c r="O755" t="s">
        <v>2367</v>
      </c>
      <c r="P755" t="s">
        <v>3108</v>
      </c>
      <c r="Q755" t="s">
        <v>3249</v>
      </c>
      <c r="R755" t="s">
        <v>3249</v>
      </c>
      <c r="S755" t="s">
        <v>810</v>
      </c>
      <c r="T755" t="s">
        <v>2754</v>
      </c>
      <c r="U755" t="s">
        <v>3250</v>
      </c>
      <c r="V755" t="s">
        <v>3250</v>
      </c>
      <c r="W755" t="s">
        <v>3250</v>
      </c>
      <c r="X755" t="s">
        <v>3250</v>
      </c>
      <c r="Y755" t="s">
        <v>3250</v>
      </c>
      <c r="Z755" t="s">
        <v>3250</v>
      </c>
      <c r="AA755" t="s">
        <v>3108</v>
      </c>
      <c r="AB755" t="s">
        <v>3108</v>
      </c>
      <c r="AC755" t="s">
        <v>3250</v>
      </c>
      <c r="AD755" t="s">
        <v>3250</v>
      </c>
      <c r="AE755" t="s">
        <v>3250</v>
      </c>
      <c r="AF755" t="s">
        <v>3250</v>
      </c>
      <c r="AG755" t="s">
        <v>3250</v>
      </c>
      <c r="AH755" t="s">
        <v>3250</v>
      </c>
      <c r="AI755" t="s">
        <v>3250</v>
      </c>
      <c r="AJ755" t="s">
        <v>3250</v>
      </c>
      <c r="AL755" t="s">
        <v>3250</v>
      </c>
      <c r="AM755" t="s">
        <v>3250</v>
      </c>
      <c r="AN755" t="s">
        <v>3250</v>
      </c>
      <c r="AO755" t="s">
        <v>3250</v>
      </c>
      <c r="AS755" t="s">
        <v>3250</v>
      </c>
      <c r="AT755" t="s">
        <v>3250</v>
      </c>
      <c r="AU755" t="s">
        <v>3250</v>
      </c>
      <c r="AV755" t="s">
        <v>3250</v>
      </c>
      <c r="AW755" t="s">
        <v>3250</v>
      </c>
      <c r="AX755" t="s">
        <v>3250</v>
      </c>
      <c r="AY755" t="s">
        <v>3250</v>
      </c>
      <c r="AZ755" t="s">
        <v>3250</v>
      </c>
      <c r="BA755" t="s">
        <v>3250</v>
      </c>
      <c r="BB755" t="s">
        <v>3250</v>
      </c>
      <c r="BC755" t="s">
        <v>3250</v>
      </c>
      <c r="BE755" t="s">
        <v>3250</v>
      </c>
      <c r="BF755" t="s">
        <v>3250</v>
      </c>
      <c r="BG755" t="s">
        <v>3250</v>
      </c>
      <c r="BH755" t="s">
        <v>3250</v>
      </c>
      <c r="BI755" t="s">
        <v>3250</v>
      </c>
      <c r="BK755" t="s">
        <v>3250</v>
      </c>
      <c r="BL755" t="s">
        <v>3250</v>
      </c>
      <c r="BM755" t="s">
        <v>3250</v>
      </c>
      <c r="BN755" t="s">
        <v>3250</v>
      </c>
      <c r="BO755" t="s">
        <v>2916</v>
      </c>
      <c r="BP755">
        <v>3</v>
      </c>
      <c r="BQ755">
        <v>31</v>
      </c>
      <c r="BR755" t="s">
        <v>2367</v>
      </c>
      <c r="BS755" t="s">
        <v>4381</v>
      </c>
      <c r="BV755">
        <v>0</v>
      </c>
      <c r="BW755">
        <v>0</v>
      </c>
      <c r="BX755">
        <v>0</v>
      </c>
      <c r="BY755">
        <v>0</v>
      </c>
      <c r="BZ755">
        <v>0</v>
      </c>
      <c r="CA755">
        <v>0</v>
      </c>
      <c r="CB755">
        <v>0</v>
      </c>
      <c r="CC755">
        <v>0</v>
      </c>
      <c r="CD755">
        <v>0</v>
      </c>
      <c r="CE755" t="s">
        <v>3108</v>
      </c>
      <c r="CF755" t="s">
        <v>3108</v>
      </c>
      <c r="CG755" t="s">
        <v>3108</v>
      </c>
      <c r="CH755" t="s">
        <v>3108</v>
      </c>
    </row>
    <row r="756" spans="1:86" x14ac:dyDescent="0.2">
      <c r="A756" t="s">
        <v>4396</v>
      </c>
      <c r="B756" t="s">
        <v>4396</v>
      </c>
      <c r="C756">
        <v>41200</v>
      </c>
      <c r="D756">
        <v>244</v>
      </c>
      <c r="E756" t="s">
        <v>4250</v>
      </c>
      <c r="F756" t="s">
        <v>3249</v>
      </c>
      <c r="G756" t="s">
        <v>3249</v>
      </c>
      <c r="H756" t="s">
        <v>3250</v>
      </c>
      <c r="I756" t="s">
        <v>3250</v>
      </c>
      <c r="J756" t="s">
        <v>3250</v>
      </c>
      <c r="K756" t="s">
        <v>3250</v>
      </c>
      <c r="L756">
        <v>4100</v>
      </c>
      <c r="M756" t="s">
        <v>2365</v>
      </c>
      <c r="N756">
        <v>4101</v>
      </c>
      <c r="O756" t="s">
        <v>2432</v>
      </c>
      <c r="P756" t="s">
        <v>2805</v>
      </c>
      <c r="Q756">
        <v>2010</v>
      </c>
      <c r="R756" t="s">
        <v>1355</v>
      </c>
      <c r="S756" t="s">
        <v>427</v>
      </c>
      <c r="T756" t="s">
        <v>3251</v>
      </c>
      <c r="U756">
        <v>240</v>
      </c>
      <c r="V756" t="s">
        <v>4251</v>
      </c>
      <c r="W756">
        <v>240</v>
      </c>
      <c r="X756" t="s">
        <v>1323</v>
      </c>
      <c r="Y756" t="s">
        <v>3250</v>
      </c>
      <c r="Z756" t="s">
        <v>3250</v>
      </c>
      <c r="AA756" t="s">
        <v>3108</v>
      </c>
      <c r="AB756" t="s">
        <v>3108</v>
      </c>
      <c r="AC756" t="s">
        <v>3250</v>
      </c>
      <c r="AD756" t="s">
        <v>3250</v>
      </c>
      <c r="AE756" t="s">
        <v>3250</v>
      </c>
      <c r="AF756" t="s">
        <v>3250</v>
      </c>
      <c r="AG756" t="s">
        <v>3250</v>
      </c>
      <c r="AH756" t="s">
        <v>3250</v>
      </c>
      <c r="AI756" t="s">
        <v>3250</v>
      </c>
      <c r="AJ756" t="s">
        <v>3250</v>
      </c>
      <c r="AK756">
        <v>200</v>
      </c>
      <c r="AL756">
        <v>241</v>
      </c>
      <c r="AM756" t="s">
        <v>1455</v>
      </c>
      <c r="AN756">
        <v>241</v>
      </c>
      <c r="AO756" t="s">
        <v>1455</v>
      </c>
      <c r="AS756">
        <v>270</v>
      </c>
      <c r="AT756">
        <v>270</v>
      </c>
      <c r="AU756" t="s">
        <v>2244</v>
      </c>
      <c r="AV756" t="s">
        <v>2244</v>
      </c>
      <c r="AW756" t="s">
        <v>3250</v>
      </c>
      <c r="AX756" t="s">
        <v>3250</v>
      </c>
      <c r="AY756" t="s">
        <v>3250</v>
      </c>
      <c r="AZ756" t="s">
        <v>3250</v>
      </c>
      <c r="BA756" t="s">
        <v>3250</v>
      </c>
      <c r="BB756" t="s">
        <v>3250</v>
      </c>
      <c r="BC756" t="s">
        <v>3250</v>
      </c>
      <c r="BE756" t="s">
        <v>3250</v>
      </c>
      <c r="BF756" t="s">
        <v>3250</v>
      </c>
      <c r="BG756" t="s">
        <v>3250</v>
      </c>
      <c r="BH756" t="s">
        <v>3250</v>
      </c>
      <c r="BI756" t="s">
        <v>3250</v>
      </c>
      <c r="BK756" t="s">
        <v>3250</v>
      </c>
      <c r="BL756" t="s">
        <v>3250</v>
      </c>
      <c r="BM756" t="s">
        <v>3250</v>
      </c>
      <c r="BN756" t="s">
        <v>3250</v>
      </c>
      <c r="BP756">
        <v>6</v>
      </c>
      <c r="BQ756">
        <v>61</v>
      </c>
      <c r="BR756" t="s">
        <v>555</v>
      </c>
      <c r="BS756" t="s">
        <v>4397</v>
      </c>
      <c r="BV756">
        <v>0</v>
      </c>
      <c r="BW756">
        <v>0</v>
      </c>
      <c r="BX756">
        <v>0</v>
      </c>
      <c r="BY756">
        <v>0</v>
      </c>
      <c r="BZ756">
        <v>0</v>
      </c>
      <c r="CA756">
        <v>0</v>
      </c>
      <c r="CB756">
        <v>0</v>
      </c>
      <c r="CC756">
        <v>0</v>
      </c>
      <c r="CD756">
        <v>0</v>
      </c>
      <c r="CE756" t="s">
        <v>3108</v>
      </c>
      <c r="CF756" t="s">
        <v>3108</v>
      </c>
      <c r="CG756" t="s">
        <v>3108</v>
      </c>
      <c r="CH756" t="s">
        <v>3108</v>
      </c>
    </row>
    <row r="757" spans="1:86" x14ac:dyDescent="0.2">
      <c r="A757" t="s">
        <v>4398</v>
      </c>
      <c r="B757" t="s">
        <v>4398</v>
      </c>
      <c r="C757">
        <v>41201</v>
      </c>
      <c r="D757">
        <v>266</v>
      </c>
      <c r="E757" t="s">
        <v>4253</v>
      </c>
      <c r="F757">
        <v>2900</v>
      </c>
      <c r="G757" t="s">
        <v>822</v>
      </c>
      <c r="H757" t="s">
        <v>3108</v>
      </c>
      <c r="I757" t="s">
        <v>3108</v>
      </c>
      <c r="J757">
        <v>2904</v>
      </c>
      <c r="K757" t="s">
        <v>1690</v>
      </c>
      <c r="L757">
        <v>3100</v>
      </c>
      <c r="M757" t="s">
        <v>127</v>
      </c>
      <c r="N757">
        <v>3107</v>
      </c>
      <c r="O757" t="s">
        <v>2418</v>
      </c>
      <c r="P757" t="s">
        <v>3108</v>
      </c>
      <c r="Q757" t="s">
        <v>3249</v>
      </c>
      <c r="R757" t="s">
        <v>3249</v>
      </c>
      <c r="S757" t="s">
        <v>810</v>
      </c>
      <c r="T757" t="s">
        <v>2754</v>
      </c>
      <c r="U757" t="s">
        <v>3250</v>
      </c>
      <c r="V757" t="s">
        <v>3250</v>
      </c>
      <c r="W757" t="s">
        <v>3250</v>
      </c>
      <c r="X757" t="s">
        <v>3250</v>
      </c>
      <c r="Y757" t="s">
        <v>3250</v>
      </c>
      <c r="Z757" t="s">
        <v>3250</v>
      </c>
      <c r="AA757" t="s">
        <v>3108</v>
      </c>
      <c r="AB757" t="s">
        <v>3108</v>
      </c>
      <c r="AC757" t="s">
        <v>3250</v>
      </c>
      <c r="AD757" t="s">
        <v>3250</v>
      </c>
      <c r="AE757" t="s">
        <v>3250</v>
      </c>
      <c r="AF757" t="s">
        <v>3250</v>
      </c>
      <c r="AG757" t="s">
        <v>3250</v>
      </c>
      <c r="AH757" t="s">
        <v>3250</v>
      </c>
      <c r="AI757" t="s">
        <v>3250</v>
      </c>
      <c r="AJ757" t="s">
        <v>3250</v>
      </c>
      <c r="AL757" t="s">
        <v>3250</v>
      </c>
      <c r="AM757" t="s">
        <v>3250</v>
      </c>
      <c r="AN757" t="s">
        <v>3250</v>
      </c>
      <c r="AO757" t="s">
        <v>3250</v>
      </c>
      <c r="AS757" t="s">
        <v>3250</v>
      </c>
      <c r="AT757" t="s">
        <v>3250</v>
      </c>
      <c r="AU757" t="s">
        <v>3250</v>
      </c>
      <c r="AV757" t="s">
        <v>3250</v>
      </c>
      <c r="AW757" t="s">
        <v>3250</v>
      </c>
      <c r="AX757" t="s">
        <v>3250</v>
      </c>
      <c r="AY757" t="s">
        <v>3250</v>
      </c>
      <c r="AZ757" t="s">
        <v>3250</v>
      </c>
      <c r="BA757" t="s">
        <v>3250</v>
      </c>
      <c r="BB757" t="s">
        <v>3250</v>
      </c>
      <c r="BC757" t="s">
        <v>3250</v>
      </c>
      <c r="BE757" t="s">
        <v>3250</v>
      </c>
      <c r="BF757" t="s">
        <v>3250</v>
      </c>
      <c r="BG757" t="s">
        <v>3250</v>
      </c>
      <c r="BH757" t="s">
        <v>3250</v>
      </c>
      <c r="BI757" t="s">
        <v>3250</v>
      </c>
      <c r="BK757" t="s">
        <v>3250</v>
      </c>
      <c r="BL757" t="s">
        <v>3250</v>
      </c>
      <c r="BM757" t="s">
        <v>3250</v>
      </c>
      <c r="BN757" t="s">
        <v>3250</v>
      </c>
      <c r="BP757">
        <v>8</v>
      </c>
      <c r="BQ757">
        <v>81</v>
      </c>
      <c r="BR757" t="s">
        <v>2418</v>
      </c>
      <c r="BS757" t="s">
        <v>4013</v>
      </c>
      <c r="BV757">
        <v>0</v>
      </c>
      <c r="BW757">
        <v>0</v>
      </c>
      <c r="BX757">
        <v>0</v>
      </c>
      <c r="BY757">
        <v>0</v>
      </c>
      <c r="BZ757">
        <v>0</v>
      </c>
      <c r="CA757">
        <v>0</v>
      </c>
      <c r="CB757">
        <v>0</v>
      </c>
      <c r="CC757">
        <v>0</v>
      </c>
      <c r="CD757">
        <v>0</v>
      </c>
      <c r="CE757" t="s">
        <v>3108</v>
      </c>
      <c r="CF757" t="s">
        <v>3108</v>
      </c>
      <c r="CG757" t="s">
        <v>3108</v>
      </c>
      <c r="CH757" t="s">
        <v>3108</v>
      </c>
    </row>
    <row r="758" spans="1:86" x14ac:dyDescent="0.2">
      <c r="A758" t="s">
        <v>4399</v>
      </c>
      <c r="B758" t="s">
        <v>4399</v>
      </c>
      <c r="C758">
        <v>41202</v>
      </c>
      <c r="D758">
        <v>267</v>
      </c>
      <c r="E758" t="s">
        <v>4232</v>
      </c>
      <c r="F758">
        <v>2900</v>
      </c>
      <c r="G758" t="s">
        <v>822</v>
      </c>
      <c r="H758" t="s">
        <v>3108</v>
      </c>
      <c r="I758" t="s">
        <v>3108</v>
      </c>
      <c r="J758">
        <v>2904</v>
      </c>
      <c r="K758" t="s">
        <v>1690</v>
      </c>
      <c r="L758">
        <v>3100</v>
      </c>
      <c r="M758" t="s">
        <v>127</v>
      </c>
      <c r="N758">
        <v>3107</v>
      </c>
      <c r="O758" t="s">
        <v>2418</v>
      </c>
      <c r="P758" t="s">
        <v>3108</v>
      </c>
      <c r="Q758" t="s">
        <v>3249</v>
      </c>
      <c r="R758" t="s">
        <v>3249</v>
      </c>
      <c r="S758" t="s">
        <v>810</v>
      </c>
      <c r="T758" t="s">
        <v>2754</v>
      </c>
      <c r="U758" t="s">
        <v>3250</v>
      </c>
      <c r="V758" t="s">
        <v>3250</v>
      </c>
      <c r="W758" t="s">
        <v>3250</v>
      </c>
      <c r="X758" t="s">
        <v>3250</v>
      </c>
      <c r="Y758" t="s">
        <v>3250</v>
      </c>
      <c r="Z758" t="s">
        <v>3250</v>
      </c>
      <c r="AA758" t="s">
        <v>3108</v>
      </c>
      <c r="AB758" t="s">
        <v>3108</v>
      </c>
      <c r="AC758" t="s">
        <v>3250</v>
      </c>
      <c r="AD758" t="s">
        <v>3250</v>
      </c>
      <c r="AE758" t="s">
        <v>3250</v>
      </c>
      <c r="AF758" t="s">
        <v>3250</v>
      </c>
      <c r="AG758" t="s">
        <v>3250</v>
      </c>
      <c r="AH758" t="s">
        <v>3250</v>
      </c>
      <c r="AI758" t="s">
        <v>3250</v>
      </c>
      <c r="AJ758" t="s">
        <v>3250</v>
      </c>
      <c r="AL758" t="s">
        <v>3250</v>
      </c>
      <c r="AM758" t="s">
        <v>3250</v>
      </c>
      <c r="AN758" t="s">
        <v>3250</v>
      </c>
      <c r="AO758" t="s">
        <v>3250</v>
      </c>
      <c r="AS758" t="s">
        <v>3250</v>
      </c>
      <c r="AT758" t="s">
        <v>3250</v>
      </c>
      <c r="AU758" t="s">
        <v>3250</v>
      </c>
      <c r="AV758" t="s">
        <v>3250</v>
      </c>
      <c r="AW758" t="s">
        <v>3250</v>
      </c>
      <c r="AX758" t="s">
        <v>3250</v>
      </c>
      <c r="AY758" t="s">
        <v>3250</v>
      </c>
      <c r="AZ758" t="s">
        <v>3250</v>
      </c>
      <c r="BA758" t="s">
        <v>3250</v>
      </c>
      <c r="BB758" t="s">
        <v>3250</v>
      </c>
      <c r="BC758" t="s">
        <v>3250</v>
      </c>
      <c r="BE758" t="s">
        <v>3250</v>
      </c>
      <c r="BF758" t="s">
        <v>3250</v>
      </c>
      <c r="BG758" t="s">
        <v>3250</v>
      </c>
      <c r="BH758" t="s">
        <v>3250</v>
      </c>
      <c r="BI758" t="s">
        <v>3250</v>
      </c>
      <c r="BK758" t="s">
        <v>3250</v>
      </c>
      <c r="BL758" t="s">
        <v>3250</v>
      </c>
      <c r="BM758" t="s">
        <v>3250</v>
      </c>
      <c r="BN758" t="s">
        <v>3250</v>
      </c>
      <c r="BP758">
        <v>8</v>
      </c>
      <c r="BQ758">
        <v>81</v>
      </c>
      <c r="BR758" t="s">
        <v>2418</v>
      </c>
      <c r="BS758" t="s">
        <v>4013</v>
      </c>
      <c r="BV758">
        <v>0</v>
      </c>
      <c r="BW758">
        <v>0</v>
      </c>
      <c r="BX758">
        <v>0</v>
      </c>
      <c r="BY758">
        <v>0</v>
      </c>
      <c r="BZ758">
        <v>0</v>
      </c>
      <c r="CA758">
        <v>0</v>
      </c>
      <c r="CB758">
        <v>0</v>
      </c>
      <c r="CC758">
        <v>0</v>
      </c>
      <c r="CD758">
        <v>0</v>
      </c>
      <c r="CE758" t="s">
        <v>3108</v>
      </c>
      <c r="CF758" t="s">
        <v>3108</v>
      </c>
      <c r="CG758" t="s">
        <v>3108</v>
      </c>
      <c r="CH758" t="s">
        <v>3108</v>
      </c>
    </row>
    <row r="759" spans="1:86" x14ac:dyDescent="0.2">
      <c r="A759" t="s">
        <v>4400</v>
      </c>
      <c r="B759" t="s">
        <v>4400</v>
      </c>
      <c r="C759">
        <v>41203</v>
      </c>
      <c r="D759">
        <v>268</v>
      </c>
      <c r="E759" t="s">
        <v>4401</v>
      </c>
      <c r="F759">
        <v>2700</v>
      </c>
      <c r="G759" t="s">
        <v>411</v>
      </c>
      <c r="H759" t="s">
        <v>3837</v>
      </c>
      <c r="I759" t="s">
        <v>2532</v>
      </c>
      <c r="J759">
        <v>2702</v>
      </c>
      <c r="K759" t="s">
        <v>2532</v>
      </c>
      <c r="L759">
        <v>3100</v>
      </c>
      <c r="M759" t="s">
        <v>127</v>
      </c>
      <c r="N759">
        <v>3107</v>
      </c>
      <c r="O759" t="s">
        <v>2418</v>
      </c>
      <c r="P759" t="s">
        <v>3108</v>
      </c>
      <c r="Q759" t="s">
        <v>3249</v>
      </c>
      <c r="R759" t="s">
        <v>3249</v>
      </c>
      <c r="S759" t="s">
        <v>810</v>
      </c>
      <c r="T759" t="s">
        <v>2754</v>
      </c>
      <c r="U759" t="s">
        <v>3250</v>
      </c>
      <c r="V759" t="s">
        <v>3250</v>
      </c>
      <c r="W759" t="s">
        <v>3250</v>
      </c>
      <c r="X759" t="s">
        <v>3250</v>
      </c>
      <c r="Y759" t="s">
        <v>3250</v>
      </c>
      <c r="Z759" t="s">
        <v>3250</v>
      </c>
      <c r="AA759" t="s">
        <v>3108</v>
      </c>
      <c r="AB759" t="s">
        <v>3108</v>
      </c>
      <c r="AC759" t="s">
        <v>3250</v>
      </c>
      <c r="AD759" t="s">
        <v>3250</v>
      </c>
      <c r="AE759" t="s">
        <v>3250</v>
      </c>
      <c r="AF759" t="s">
        <v>3250</v>
      </c>
      <c r="AG759" t="s">
        <v>3250</v>
      </c>
      <c r="AH759" t="s">
        <v>3250</v>
      </c>
      <c r="AI759" t="s">
        <v>3250</v>
      </c>
      <c r="AJ759" t="s">
        <v>3250</v>
      </c>
      <c r="AL759" t="s">
        <v>3250</v>
      </c>
      <c r="AM759" t="s">
        <v>3250</v>
      </c>
      <c r="AN759" t="s">
        <v>3250</v>
      </c>
      <c r="AO759" t="s">
        <v>3250</v>
      </c>
      <c r="AS759" t="s">
        <v>3250</v>
      </c>
      <c r="AT759" t="s">
        <v>3250</v>
      </c>
      <c r="AU759" t="s">
        <v>3250</v>
      </c>
      <c r="AV759" t="s">
        <v>3250</v>
      </c>
      <c r="AW759" t="s">
        <v>3250</v>
      </c>
      <c r="AX759" t="s">
        <v>3250</v>
      </c>
      <c r="AY759" t="s">
        <v>3250</v>
      </c>
      <c r="AZ759" t="s">
        <v>3250</v>
      </c>
      <c r="BA759" t="s">
        <v>3250</v>
      </c>
      <c r="BB759" t="s">
        <v>3250</v>
      </c>
      <c r="BC759" t="s">
        <v>3250</v>
      </c>
      <c r="BE759" t="s">
        <v>3250</v>
      </c>
      <c r="BF759" t="s">
        <v>3250</v>
      </c>
      <c r="BG759" t="s">
        <v>3250</v>
      </c>
      <c r="BH759" t="s">
        <v>3250</v>
      </c>
      <c r="BI759" t="s">
        <v>3250</v>
      </c>
      <c r="BK759" t="s">
        <v>3250</v>
      </c>
      <c r="BL759" t="s">
        <v>3250</v>
      </c>
      <c r="BM759" t="s">
        <v>3250</v>
      </c>
      <c r="BN759" t="s">
        <v>3250</v>
      </c>
      <c r="BP759">
        <v>8</v>
      </c>
      <c r="BQ759">
        <v>81</v>
      </c>
      <c r="BR759" t="s">
        <v>2418</v>
      </c>
      <c r="BS759" t="s">
        <v>4013</v>
      </c>
      <c r="BV759">
        <v>0</v>
      </c>
      <c r="BW759">
        <v>0</v>
      </c>
      <c r="BX759">
        <v>0</v>
      </c>
      <c r="BY759">
        <v>0</v>
      </c>
      <c r="BZ759">
        <v>0</v>
      </c>
      <c r="CA759">
        <v>0</v>
      </c>
      <c r="CB759">
        <v>0</v>
      </c>
      <c r="CC759">
        <v>0</v>
      </c>
      <c r="CD759">
        <v>0</v>
      </c>
      <c r="CE759" t="s">
        <v>3108</v>
      </c>
      <c r="CF759" t="s">
        <v>3108</v>
      </c>
      <c r="CG759" t="s">
        <v>3108</v>
      </c>
      <c r="CH759" t="s">
        <v>3108</v>
      </c>
    </row>
    <row r="760" spans="1:86" x14ac:dyDescent="0.2">
      <c r="A760" t="s">
        <v>4402</v>
      </c>
      <c r="B760" t="s">
        <v>4402</v>
      </c>
      <c r="C760">
        <v>41204</v>
      </c>
      <c r="D760">
        <v>375</v>
      </c>
      <c r="E760" t="s">
        <v>4084</v>
      </c>
      <c r="F760">
        <v>2000</v>
      </c>
      <c r="G760" t="s">
        <v>408</v>
      </c>
      <c r="H760" t="s">
        <v>4085</v>
      </c>
      <c r="I760" t="s">
        <v>1453</v>
      </c>
      <c r="J760">
        <v>2010</v>
      </c>
      <c r="K760" t="s">
        <v>1453</v>
      </c>
      <c r="L760">
        <v>1100</v>
      </c>
      <c r="M760" t="s">
        <v>119</v>
      </c>
      <c r="N760">
        <v>1110</v>
      </c>
      <c r="O760" t="s">
        <v>284</v>
      </c>
      <c r="P760" t="s">
        <v>3108</v>
      </c>
      <c r="Q760" t="s">
        <v>3249</v>
      </c>
      <c r="R760" t="s">
        <v>3249</v>
      </c>
      <c r="S760" t="s">
        <v>810</v>
      </c>
      <c r="T760" t="s">
        <v>2754</v>
      </c>
      <c r="U760" t="s">
        <v>3250</v>
      </c>
      <c r="V760" t="s">
        <v>3250</v>
      </c>
      <c r="W760" t="s">
        <v>3250</v>
      </c>
      <c r="X760" t="s">
        <v>3250</v>
      </c>
      <c r="Y760" t="s">
        <v>3250</v>
      </c>
      <c r="Z760" t="s">
        <v>3250</v>
      </c>
      <c r="AA760" t="s">
        <v>3108</v>
      </c>
      <c r="AB760" t="s">
        <v>3108</v>
      </c>
      <c r="AC760" t="s">
        <v>3250</v>
      </c>
      <c r="AD760" t="s">
        <v>3250</v>
      </c>
      <c r="AE760" t="s">
        <v>3250</v>
      </c>
      <c r="AF760" t="s">
        <v>3250</v>
      </c>
      <c r="AG760" t="s">
        <v>3250</v>
      </c>
      <c r="AH760" t="s">
        <v>3250</v>
      </c>
      <c r="AI760" t="s">
        <v>3250</v>
      </c>
      <c r="AJ760" t="s">
        <v>3250</v>
      </c>
      <c r="AL760" t="s">
        <v>3250</v>
      </c>
      <c r="AM760" t="s">
        <v>3250</v>
      </c>
      <c r="AN760" t="s">
        <v>3250</v>
      </c>
      <c r="AO760" t="s">
        <v>3250</v>
      </c>
      <c r="AS760" t="s">
        <v>3250</v>
      </c>
      <c r="AT760" t="s">
        <v>3250</v>
      </c>
      <c r="AU760" t="s">
        <v>3250</v>
      </c>
      <c r="AV760" t="s">
        <v>3250</v>
      </c>
      <c r="AW760" t="s">
        <v>3250</v>
      </c>
      <c r="AX760" t="s">
        <v>3250</v>
      </c>
      <c r="AY760" t="s">
        <v>3250</v>
      </c>
      <c r="AZ760" t="s">
        <v>3250</v>
      </c>
      <c r="BA760" t="s">
        <v>3250</v>
      </c>
      <c r="BB760" t="s">
        <v>3250</v>
      </c>
      <c r="BC760" t="s">
        <v>3250</v>
      </c>
      <c r="BE760" t="s">
        <v>3250</v>
      </c>
      <c r="BF760" t="s">
        <v>3250</v>
      </c>
      <c r="BG760" t="s">
        <v>3250</v>
      </c>
      <c r="BH760" t="s">
        <v>3250</v>
      </c>
      <c r="BI760" t="s">
        <v>3250</v>
      </c>
      <c r="BK760" t="s">
        <v>3250</v>
      </c>
      <c r="BL760" t="s">
        <v>3250</v>
      </c>
      <c r="BM760" t="s">
        <v>3250</v>
      </c>
      <c r="BN760" t="s">
        <v>3250</v>
      </c>
      <c r="BO760" t="s">
        <v>2916</v>
      </c>
      <c r="BP760">
        <v>3</v>
      </c>
      <c r="BQ760">
        <v>32</v>
      </c>
      <c r="BR760" t="s">
        <v>284</v>
      </c>
      <c r="BS760" t="s">
        <v>4381</v>
      </c>
      <c r="BV760">
        <v>182142</v>
      </c>
      <c r="BW760">
        <v>10919</v>
      </c>
      <c r="BX760">
        <v>66843</v>
      </c>
      <c r="BY760">
        <v>0</v>
      </c>
      <c r="BZ760">
        <v>0</v>
      </c>
      <c r="CA760">
        <v>0</v>
      </c>
      <c r="CB760">
        <v>0</v>
      </c>
      <c r="CC760">
        <v>0</v>
      </c>
      <c r="CD760">
        <v>0</v>
      </c>
      <c r="CE760" t="s">
        <v>3108</v>
      </c>
      <c r="CF760" t="s">
        <v>3108</v>
      </c>
      <c r="CG760" t="s">
        <v>3108</v>
      </c>
      <c r="CH760" t="s">
        <v>3108</v>
      </c>
    </row>
    <row r="761" spans="1:86" x14ac:dyDescent="0.2">
      <c r="A761" t="s">
        <v>4403</v>
      </c>
      <c r="B761" t="s">
        <v>4403</v>
      </c>
      <c r="C761">
        <v>41205</v>
      </c>
      <c r="D761">
        <v>376</v>
      </c>
      <c r="E761" t="s">
        <v>4059</v>
      </c>
      <c r="F761">
        <v>2900</v>
      </c>
      <c r="G761" t="s">
        <v>822</v>
      </c>
      <c r="H761" t="s">
        <v>3108</v>
      </c>
      <c r="I761" t="s">
        <v>3108</v>
      </c>
      <c r="J761">
        <v>2904</v>
      </c>
      <c r="K761" t="s">
        <v>1690</v>
      </c>
      <c r="L761">
        <v>1100</v>
      </c>
      <c r="M761" t="s">
        <v>119</v>
      </c>
      <c r="N761">
        <v>1110</v>
      </c>
      <c r="O761" t="s">
        <v>284</v>
      </c>
      <c r="P761" t="s">
        <v>3108</v>
      </c>
      <c r="Q761" t="s">
        <v>3249</v>
      </c>
      <c r="R761" t="s">
        <v>3249</v>
      </c>
      <c r="S761" t="s">
        <v>810</v>
      </c>
      <c r="T761" t="s">
        <v>2754</v>
      </c>
      <c r="U761" t="s">
        <v>3250</v>
      </c>
      <c r="V761" t="s">
        <v>3250</v>
      </c>
      <c r="W761" t="s">
        <v>3250</v>
      </c>
      <c r="X761" t="s">
        <v>3250</v>
      </c>
      <c r="Y761" t="s">
        <v>3250</v>
      </c>
      <c r="Z761" t="s">
        <v>3250</v>
      </c>
      <c r="AA761" t="s">
        <v>3108</v>
      </c>
      <c r="AB761" t="s">
        <v>3108</v>
      </c>
      <c r="AC761" t="s">
        <v>3250</v>
      </c>
      <c r="AD761" t="s">
        <v>3250</v>
      </c>
      <c r="AE761" t="s">
        <v>3250</v>
      </c>
      <c r="AF761" t="s">
        <v>3250</v>
      </c>
      <c r="AG761" t="s">
        <v>3250</v>
      </c>
      <c r="AH761" t="s">
        <v>3250</v>
      </c>
      <c r="AI761" t="s">
        <v>3250</v>
      </c>
      <c r="AJ761" t="s">
        <v>3250</v>
      </c>
      <c r="AL761" t="s">
        <v>3250</v>
      </c>
      <c r="AM761" t="s">
        <v>3250</v>
      </c>
      <c r="AN761" t="s">
        <v>3250</v>
      </c>
      <c r="AO761" t="s">
        <v>3250</v>
      </c>
      <c r="AS761" t="s">
        <v>3250</v>
      </c>
      <c r="AT761" t="s">
        <v>3250</v>
      </c>
      <c r="AU761" t="s">
        <v>3250</v>
      </c>
      <c r="AV761" t="s">
        <v>3250</v>
      </c>
      <c r="AW761" t="s">
        <v>3250</v>
      </c>
      <c r="AX761" t="s">
        <v>3250</v>
      </c>
      <c r="AY761" t="s">
        <v>3250</v>
      </c>
      <c r="AZ761" t="s">
        <v>3250</v>
      </c>
      <c r="BA761" t="s">
        <v>3250</v>
      </c>
      <c r="BB761" t="s">
        <v>3250</v>
      </c>
      <c r="BC761" t="s">
        <v>3250</v>
      </c>
      <c r="BE761" t="s">
        <v>3250</v>
      </c>
      <c r="BF761" t="s">
        <v>3250</v>
      </c>
      <c r="BG761" t="s">
        <v>3250</v>
      </c>
      <c r="BH761" t="s">
        <v>3250</v>
      </c>
      <c r="BI761" t="s">
        <v>3250</v>
      </c>
      <c r="BK761" t="s">
        <v>3250</v>
      </c>
      <c r="BL761" t="s">
        <v>3250</v>
      </c>
      <c r="BM761" t="s">
        <v>3250</v>
      </c>
      <c r="BN761" t="s">
        <v>3250</v>
      </c>
      <c r="BP761">
        <v>3</v>
      </c>
      <c r="BQ761">
        <v>32</v>
      </c>
      <c r="BR761" t="s">
        <v>284</v>
      </c>
      <c r="BS761" t="s">
        <v>4381</v>
      </c>
      <c r="BV761">
        <v>522</v>
      </c>
      <c r="BW761">
        <v>420</v>
      </c>
      <c r="BX761">
        <v>322</v>
      </c>
      <c r="BY761">
        <v>3000</v>
      </c>
      <c r="BZ761">
        <v>3000</v>
      </c>
      <c r="CA761">
        <v>3117</v>
      </c>
      <c r="CB761">
        <v>3242</v>
      </c>
      <c r="CC761">
        <v>3371</v>
      </c>
      <c r="CD761">
        <v>0</v>
      </c>
      <c r="CE761" t="s">
        <v>3108</v>
      </c>
      <c r="CF761" t="s">
        <v>3108</v>
      </c>
      <c r="CG761" t="s">
        <v>3108</v>
      </c>
      <c r="CH761" t="s">
        <v>3108</v>
      </c>
    </row>
    <row r="762" spans="1:86" x14ac:dyDescent="0.2">
      <c r="A762" t="s">
        <v>4404</v>
      </c>
      <c r="B762" t="s">
        <v>4404</v>
      </c>
      <c r="C762">
        <v>41206</v>
      </c>
      <c r="D762">
        <v>377</v>
      </c>
      <c r="E762" t="s">
        <v>4061</v>
      </c>
      <c r="F762">
        <v>2900</v>
      </c>
      <c r="G762" t="s">
        <v>822</v>
      </c>
      <c r="H762" t="s">
        <v>3108</v>
      </c>
      <c r="I762" t="s">
        <v>3108</v>
      </c>
      <c r="J762">
        <v>2904</v>
      </c>
      <c r="K762" t="s">
        <v>1690</v>
      </c>
      <c r="L762">
        <v>1100</v>
      </c>
      <c r="M762" t="s">
        <v>119</v>
      </c>
      <c r="N762">
        <v>1110</v>
      </c>
      <c r="O762" t="s">
        <v>284</v>
      </c>
      <c r="P762" t="s">
        <v>3108</v>
      </c>
      <c r="Q762" t="s">
        <v>3249</v>
      </c>
      <c r="R762" t="s">
        <v>3249</v>
      </c>
      <c r="S762" t="s">
        <v>810</v>
      </c>
      <c r="T762" t="s">
        <v>2754</v>
      </c>
      <c r="U762" t="s">
        <v>3250</v>
      </c>
      <c r="V762" t="s">
        <v>3250</v>
      </c>
      <c r="W762" t="s">
        <v>3250</v>
      </c>
      <c r="X762" t="s">
        <v>3250</v>
      </c>
      <c r="Y762" t="s">
        <v>3250</v>
      </c>
      <c r="Z762" t="s">
        <v>3250</v>
      </c>
      <c r="AA762" t="s">
        <v>3108</v>
      </c>
      <c r="AB762" t="s">
        <v>3108</v>
      </c>
      <c r="AC762" t="s">
        <v>3250</v>
      </c>
      <c r="AD762" t="s">
        <v>3250</v>
      </c>
      <c r="AE762" t="s">
        <v>3250</v>
      </c>
      <c r="AF762" t="s">
        <v>3250</v>
      </c>
      <c r="AG762" t="s">
        <v>3250</v>
      </c>
      <c r="AH762" t="s">
        <v>3250</v>
      </c>
      <c r="AI762" t="s">
        <v>3250</v>
      </c>
      <c r="AJ762" t="s">
        <v>3250</v>
      </c>
      <c r="AL762" t="s">
        <v>3250</v>
      </c>
      <c r="AM762" t="s">
        <v>3250</v>
      </c>
      <c r="AN762" t="s">
        <v>3250</v>
      </c>
      <c r="AO762" t="s">
        <v>3250</v>
      </c>
      <c r="AS762" t="s">
        <v>3250</v>
      </c>
      <c r="AT762" t="s">
        <v>3250</v>
      </c>
      <c r="AU762" t="s">
        <v>3250</v>
      </c>
      <c r="AV762" t="s">
        <v>3250</v>
      </c>
      <c r="AW762" t="s">
        <v>3250</v>
      </c>
      <c r="AX762" t="s">
        <v>3250</v>
      </c>
      <c r="AY762" t="s">
        <v>3250</v>
      </c>
      <c r="AZ762" t="s">
        <v>3250</v>
      </c>
      <c r="BA762" t="s">
        <v>3250</v>
      </c>
      <c r="BB762" t="s">
        <v>3250</v>
      </c>
      <c r="BC762" t="s">
        <v>3250</v>
      </c>
      <c r="BE762" t="s">
        <v>3250</v>
      </c>
      <c r="BF762" t="s">
        <v>3250</v>
      </c>
      <c r="BG762" t="s">
        <v>3250</v>
      </c>
      <c r="BH762" t="s">
        <v>3250</v>
      </c>
      <c r="BI762" t="s">
        <v>3250</v>
      </c>
      <c r="BK762" t="s">
        <v>3250</v>
      </c>
      <c r="BL762" t="s">
        <v>3250</v>
      </c>
      <c r="BM762" t="s">
        <v>3250</v>
      </c>
      <c r="BN762" t="s">
        <v>3250</v>
      </c>
      <c r="BP762">
        <v>3</v>
      </c>
      <c r="BQ762">
        <v>32</v>
      </c>
      <c r="BR762" t="s">
        <v>284</v>
      </c>
      <c r="BS762" t="s">
        <v>4381</v>
      </c>
      <c r="BV762">
        <v>18007</v>
      </c>
      <c r="BW762">
        <v>11135</v>
      </c>
      <c r="BX762">
        <v>14700</v>
      </c>
      <c r="BY762">
        <v>20000</v>
      </c>
      <c r="BZ762">
        <v>20000</v>
      </c>
      <c r="CA762">
        <v>20780</v>
      </c>
      <c r="CB762">
        <v>21611</v>
      </c>
      <c r="CC762">
        <v>22476</v>
      </c>
      <c r="CD762">
        <v>4891</v>
      </c>
      <c r="CE762" t="s">
        <v>3108</v>
      </c>
      <c r="CF762" t="s">
        <v>3108</v>
      </c>
      <c r="CG762" t="s">
        <v>3108</v>
      </c>
      <c r="CH762" t="s">
        <v>3108</v>
      </c>
    </row>
    <row r="763" spans="1:86" x14ac:dyDescent="0.2">
      <c r="A763" t="s">
        <v>4405</v>
      </c>
      <c r="B763" t="s">
        <v>4405</v>
      </c>
      <c r="C763">
        <v>41207</v>
      </c>
      <c r="D763">
        <v>378</v>
      </c>
      <c r="E763" t="s">
        <v>4063</v>
      </c>
      <c r="F763">
        <v>2000</v>
      </c>
      <c r="G763" t="s">
        <v>408</v>
      </c>
      <c r="H763" t="s">
        <v>4064</v>
      </c>
      <c r="I763" t="s">
        <v>1340</v>
      </c>
      <c r="J763">
        <v>2009</v>
      </c>
      <c r="K763" t="s">
        <v>1340</v>
      </c>
      <c r="L763">
        <v>1100</v>
      </c>
      <c r="M763" t="s">
        <v>119</v>
      </c>
      <c r="N763">
        <v>1110</v>
      </c>
      <c r="O763" t="s">
        <v>284</v>
      </c>
      <c r="P763" t="s">
        <v>3108</v>
      </c>
      <c r="Q763" t="s">
        <v>3249</v>
      </c>
      <c r="R763" t="s">
        <v>3249</v>
      </c>
      <c r="S763" t="s">
        <v>810</v>
      </c>
      <c r="T763" t="s">
        <v>2754</v>
      </c>
      <c r="U763" t="s">
        <v>3250</v>
      </c>
      <c r="V763" t="s">
        <v>3250</v>
      </c>
      <c r="W763" t="s">
        <v>3250</v>
      </c>
      <c r="X763" t="s">
        <v>3250</v>
      </c>
      <c r="Y763" t="s">
        <v>3250</v>
      </c>
      <c r="Z763" t="s">
        <v>3250</v>
      </c>
      <c r="AA763" t="s">
        <v>3108</v>
      </c>
      <c r="AB763" t="s">
        <v>3108</v>
      </c>
      <c r="AC763" t="s">
        <v>3250</v>
      </c>
      <c r="AD763" t="s">
        <v>3250</v>
      </c>
      <c r="AE763" t="s">
        <v>3250</v>
      </c>
      <c r="AF763" t="s">
        <v>3250</v>
      </c>
      <c r="AG763" t="s">
        <v>3250</v>
      </c>
      <c r="AH763" t="s">
        <v>3250</v>
      </c>
      <c r="AI763" t="s">
        <v>3250</v>
      </c>
      <c r="AJ763" t="s">
        <v>3250</v>
      </c>
      <c r="AL763" t="s">
        <v>3250</v>
      </c>
      <c r="AM763" t="s">
        <v>3250</v>
      </c>
      <c r="AN763" t="s">
        <v>3250</v>
      </c>
      <c r="AO763" t="s">
        <v>3250</v>
      </c>
      <c r="AS763" t="s">
        <v>3250</v>
      </c>
      <c r="AT763" t="s">
        <v>3250</v>
      </c>
      <c r="AU763" t="s">
        <v>3250</v>
      </c>
      <c r="AV763" t="s">
        <v>3250</v>
      </c>
      <c r="AW763" t="s">
        <v>3250</v>
      </c>
      <c r="AX763" t="s">
        <v>3250</v>
      </c>
      <c r="AY763" t="s">
        <v>3250</v>
      </c>
      <c r="AZ763" t="s">
        <v>3250</v>
      </c>
      <c r="BA763" t="s">
        <v>3250</v>
      </c>
      <c r="BB763" t="s">
        <v>3250</v>
      </c>
      <c r="BC763" t="s">
        <v>3250</v>
      </c>
      <c r="BE763" t="s">
        <v>3250</v>
      </c>
      <c r="BF763" t="s">
        <v>3250</v>
      </c>
      <c r="BG763" t="s">
        <v>3250</v>
      </c>
      <c r="BH763" t="s">
        <v>3250</v>
      </c>
      <c r="BI763" t="s">
        <v>3250</v>
      </c>
      <c r="BK763" t="s">
        <v>3250</v>
      </c>
      <c r="BL763" t="s">
        <v>3250</v>
      </c>
      <c r="BM763" t="s">
        <v>3250</v>
      </c>
      <c r="BN763" t="s">
        <v>3250</v>
      </c>
      <c r="BO763" t="s">
        <v>2916</v>
      </c>
      <c r="BP763">
        <v>3</v>
      </c>
      <c r="BQ763">
        <v>32</v>
      </c>
      <c r="BR763" t="s">
        <v>284</v>
      </c>
      <c r="BS763" t="s">
        <v>4381</v>
      </c>
      <c r="BV763">
        <v>20092</v>
      </c>
      <c r="BW763">
        <v>0</v>
      </c>
      <c r="BX763">
        <v>33</v>
      </c>
      <c r="BY763">
        <v>0</v>
      </c>
      <c r="BZ763">
        <v>0</v>
      </c>
      <c r="CA763">
        <v>0</v>
      </c>
      <c r="CB763">
        <v>0</v>
      </c>
      <c r="CC763">
        <v>0</v>
      </c>
      <c r="CD763">
        <v>287</v>
      </c>
      <c r="CE763" t="s">
        <v>3108</v>
      </c>
      <c r="CF763" t="s">
        <v>3108</v>
      </c>
      <c r="CG763" t="s">
        <v>3108</v>
      </c>
      <c r="CH763" t="s">
        <v>3108</v>
      </c>
    </row>
    <row r="764" spans="1:86" x14ac:dyDescent="0.2">
      <c r="A764" t="s">
        <v>4406</v>
      </c>
      <c r="B764" t="s">
        <v>4406</v>
      </c>
      <c r="C764">
        <v>41208</v>
      </c>
      <c r="D764">
        <v>379</v>
      </c>
      <c r="E764" t="s">
        <v>4066</v>
      </c>
      <c r="F764">
        <v>2000</v>
      </c>
      <c r="G764" t="s">
        <v>408</v>
      </c>
      <c r="H764" t="s">
        <v>4067</v>
      </c>
      <c r="I764" t="s">
        <v>650</v>
      </c>
      <c r="J764">
        <v>2003</v>
      </c>
      <c r="K764" t="s">
        <v>650</v>
      </c>
      <c r="L764">
        <v>1100</v>
      </c>
      <c r="M764" t="s">
        <v>119</v>
      </c>
      <c r="N764">
        <v>1110</v>
      </c>
      <c r="O764" t="s">
        <v>284</v>
      </c>
      <c r="P764" t="s">
        <v>3108</v>
      </c>
      <c r="Q764" t="s">
        <v>3249</v>
      </c>
      <c r="R764" t="s">
        <v>3249</v>
      </c>
      <c r="S764" t="s">
        <v>810</v>
      </c>
      <c r="T764" t="s">
        <v>2754</v>
      </c>
      <c r="U764" t="s">
        <v>3250</v>
      </c>
      <c r="V764" t="s">
        <v>3250</v>
      </c>
      <c r="W764" t="s">
        <v>3250</v>
      </c>
      <c r="X764" t="s">
        <v>3250</v>
      </c>
      <c r="Y764" t="s">
        <v>3250</v>
      </c>
      <c r="Z764" t="s">
        <v>3250</v>
      </c>
      <c r="AA764" t="s">
        <v>3108</v>
      </c>
      <c r="AB764" t="s">
        <v>3108</v>
      </c>
      <c r="AC764" t="s">
        <v>3250</v>
      </c>
      <c r="AD764" t="s">
        <v>3250</v>
      </c>
      <c r="AE764" t="s">
        <v>3250</v>
      </c>
      <c r="AF764" t="s">
        <v>3250</v>
      </c>
      <c r="AG764" t="s">
        <v>3250</v>
      </c>
      <c r="AH764" t="s">
        <v>3250</v>
      </c>
      <c r="AI764" t="s">
        <v>3250</v>
      </c>
      <c r="AJ764" t="s">
        <v>3250</v>
      </c>
      <c r="AL764" t="s">
        <v>3250</v>
      </c>
      <c r="AM764" t="s">
        <v>3250</v>
      </c>
      <c r="AN764" t="s">
        <v>3250</v>
      </c>
      <c r="AO764" t="s">
        <v>3250</v>
      </c>
      <c r="AS764" t="s">
        <v>3250</v>
      </c>
      <c r="AT764" t="s">
        <v>3250</v>
      </c>
      <c r="AU764" t="s">
        <v>3250</v>
      </c>
      <c r="AV764" t="s">
        <v>3250</v>
      </c>
      <c r="AW764" t="s">
        <v>3250</v>
      </c>
      <c r="AX764" t="s">
        <v>3250</v>
      </c>
      <c r="AY764" t="s">
        <v>3250</v>
      </c>
      <c r="AZ764" t="s">
        <v>3250</v>
      </c>
      <c r="BA764" t="s">
        <v>3250</v>
      </c>
      <c r="BB764" t="s">
        <v>3250</v>
      </c>
      <c r="BC764" t="s">
        <v>3250</v>
      </c>
      <c r="BE764" t="s">
        <v>3250</v>
      </c>
      <c r="BF764" t="s">
        <v>3250</v>
      </c>
      <c r="BG764" t="s">
        <v>3250</v>
      </c>
      <c r="BH764" t="s">
        <v>3250</v>
      </c>
      <c r="BI764" t="s">
        <v>3250</v>
      </c>
      <c r="BK764" t="s">
        <v>3250</v>
      </c>
      <c r="BL764" t="s">
        <v>3250</v>
      </c>
      <c r="BM764" t="s">
        <v>3250</v>
      </c>
      <c r="BN764" t="s">
        <v>3250</v>
      </c>
      <c r="BO764" t="s">
        <v>2916</v>
      </c>
      <c r="BP764">
        <v>3</v>
      </c>
      <c r="BQ764">
        <v>32</v>
      </c>
      <c r="BR764" t="s">
        <v>284</v>
      </c>
      <c r="BS764" t="s">
        <v>4381</v>
      </c>
      <c r="BV764">
        <v>53878</v>
      </c>
      <c r="BW764">
        <v>44629</v>
      </c>
      <c r="BX764">
        <v>34466</v>
      </c>
      <c r="BY764">
        <v>0</v>
      </c>
      <c r="BZ764">
        <v>0</v>
      </c>
      <c r="CA764">
        <v>0</v>
      </c>
      <c r="CB764">
        <v>0</v>
      </c>
      <c r="CC764">
        <v>0</v>
      </c>
      <c r="CD764">
        <v>37493</v>
      </c>
      <c r="CE764" t="s">
        <v>3108</v>
      </c>
      <c r="CF764" t="s">
        <v>3108</v>
      </c>
      <c r="CG764" t="s">
        <v>3108</v>
      </c>
      <c r="CH764" t="s">
        <v>3108</v>
      </c>
    </row>
    <row r="765" spans="1:86" x14ac:dyDescent="0.2">
      <c r="A765" t="s">
        <v>4407</v>
      </c>
      <c r="B765" t="s">
        <v>4407</v>
      </c>
      <c r="C765">
        <v>41209</v>
      </c>
      <c r="D765">
        <v>380</v>
      </c>
      <c r="E765" t="s">
        <v>4069</v>
      </c>
      <c r="F765">
        <v>2000</v>
      </c>
      <c r="G765" t="s">
        <v>408</v>
      </c>
      <c r="H765" t="s">
        <v>4070</v>
      </c>
      <c r="I765" t="s">
        <v>1792</v>
      </c>
      <c r="J765">
        <v>2002</v>
      </c>
      <c r="K765" t="s">
        <v>1792</v>
      </c>
      <c r="L765">
        <v>1100</v>
      </c>
      <c r="M765" t="s">
        <v>119</v>
      </c>
      <c r="N765">
        <v>1110</v>
      </c>
      <c r="O765" t="s">
        <v>284</v>
      </c>
      <c r="P765" t="s">
        <v>3108</v>
      </c>
      <c r="Q765" t="s">
        <v>3249</v>
      </c>
      <c r="R765" t="s">
        <v>3249</v>
      </c>
      <c r="S765" t="s">
        <v>810</v>
      </c>
      <c r="T765" t="s">
        <v>2754</v>
      </c>
      <c r="U765" t="s">
        <v>3250</v>
      </c>
      <c r="V765" t="s">
        <v>3250</v>
      </c>
      <c r="W765" t="s">
        <v>3250</v>
      </c>
      <c r="X765" t="s">
        <v>3250</v>
      </c>
      <c r="Y765" t="s">
        <v>3250</v>
      </c>
      <c r="Z765" t="s">
        <v>3250</v>
      </c>
      <c r="AA765" t="s">
        <v>3108</v>
      </c>
      <c r="AB765" t="s">
        <v>3108</v>
      </c>
      <c r="AC765" t="s">
        <v>3250</v>
      </c>
      <c r="AD765" t="s">
        <v>3250</v>
      </c>
      <c r="AE765" t="s">
        <v>3250</v>
      </c>
      <c r="AF765" t="s">
        <v>3250</v>
      </c>
      <c r="AG765" t="s">
        <v>3250</v>
      </c>
      <c r="AH765" t="s">
        <v>3250</v>
      </c>
      <c r="AI765" t="s">
        <v>3250</v>
      </c>
      <c r="AJ765" t="s">
        <v>3250</v>
      </c>
      <c r="AL765" t="s">
        <v>3250</v>
      </c>
      <c r="AM765" t="s">
        <v>3250</v>
      </c>
      <c r="AN765" t="s">
        <v>3250</v>
      </c>
      <c r="AO765" t="s">
        <v>3250</v>
      </c>
      <c r="AS765" t="s">
        <v>3250</v>
      </c>
      <c r="AT765" t="s">
        <v>3250</v>
      </c>
      <c r="AU765" t="s">
        <v>3250</v>
      </c>
      <c r="AV765" t="s">
        <v>3250</v>
      </c>
      <c r="AW765" t="s">
        <v>3250</v>
      </c>
      <c r="AX765" t="s">
        <v>3250</v>
      </c>
      <c r="AY765" t="s">
        <v>3250</v>
      </c>
      <c r="AZ765" t="s">
        <v>3250</v>
      </c>
      <c r="BA765" t="s">
        <v>3250</v>
      </c>
      <c r="BB765" t="s">
        <v>3250</v>
      </c>
      <c r="BC765" t="s">
        <v>3250</v>
      </c>
      <c r="BE765" t="s">
        <v>3250</v>
      </c>
      <c r="BF765" t="s">
        <v>3250</v>
      </c>
      <c r="BG765" t="s">
        <v>3250</v>
      </c>
      <c r="BH765" t="s">
        <v>3250</v>
      </c>
      <c r="BI765" t="s">
        <v>3250</v>
      </c>
      <c r="BK765" t="s">
        <v>3250</v>
      </c>
      <c r="BL765" t="s">
        <v>3250</v>
      </c>
      <c r="BM765" t="s">
        <v>3250</v>
      </c>
      <c r="BN765" t="s">
        <v>3250</v>
      </c>
      <c r="BO765" t="s">
        <v>2916</v>
      </c>
      <c r="BP765">
        <v>3</v>
      </c>
      <c r="BQ765">
        <v>32</v>
      </c>
      <c r="BR765" t="s">
        <v>284</v>
      </c>
      <c r="BS765" t="s">
        <v>4381</v>
      </c>
      <c r="BV765">
        <v>73273</v>
      </c>
      <c r="BW765">
        <v>70527</v>
      </c>
      <c r="BX765">
        <v>66948</v>
      </c>
      <c r="BY765">
        <v>0</v>
      </c>
      <c r="BZ765">
        <v>0</v>
      </c>
      <c r="CA765">
        <v>0</v>
      </c>
      <c r="CB765">
        <v>0</v>
      </c>
      <c r="CC765">
        <v>0</v>
      </c>
      <c r="CD765">
        <v>65958</v>
      </c>
      <c r="CE765" t="s">
        <v>3108</v>
      </c>
      <c r="CF765" t="s">
        <v>3108</v>
      </c>
      <c r="CG765" t="s">
        <v>3108</v>
      </c>
      <c r="CH765" t="s">
        <v>3108</v>
      </c>
    </row>
    <row r="766" spans="1:86" x14ac:dyDescent="0.2">
      <c r="A766" t="s">
        <v>4408</v>
      </c>
      <c r="B766" t="s">
        <v>4408</v>
      </c>
      <c r="C766">
        <v>41210</v>
      </c>
      <c r="D766">
        <v>381</v>
      </c>
      <c r="E766" t="s">
        <v>4072</v>
      </c>
      <c r="F766">
        <v>2000</v>
      </c>
      <c r="G766" t="s">
        <v>408</v>
      </c>
      <c r="H766" t="s">
        <v>4070</v>
      </c>
      <c r="I766" t="s">
        <v>1792</v>
      </c>
      <c r="J766">
        <v>2002</v>
      </c>
      <c r="K766" t="s">
        <v>1792</v>
      </c>
      <c r="L766">
        <v>1100</v>
      </c>
      <c r="M766" t="s">
        <v>119</v>
      </c>
      <c r="N766">
        <v>1110</v>
      </c>
      <c r="O766" t="s">
        <v>284</v>
      </c>
      <c r="P766" t="s">
        <v>3108</v>
      </c>
      <c r="Q766" t="s">
        <v>3249</v>
      </c>
      <c r="R766" t="s">
        <v>3249</v>
      </c>
      <c r="S766" t="s">
        <v>810</v>
      </c>
      <c r="T766" t="s">
        <v>2754</v>
      </c>
      <c r="U766" t="s">
        <v>3250</v>
      </c>
      <c r="V766" t="s">
        <v>3250</v>
      </c>
      <c r="W766" t="s">
        <v>3250</v>
      </c>
      <c r="X766" t="s">
        <v>3250</v>
      </c>
      <c r="Y766" t="s">
        <v>3250</v>
      </c>
      <c r="Z766" t="s">
        <v>3250</v>
      </c>
      <c r="AA766" t="s">
        <v>3108</v>
      </c>
      <c r="AB766" t="s">
        <v>3108</v>
      </c>
      <c r="AC766" t="s">
        <v>3250</v>
      </c>
      <c r="AD766" t="s">
        <v>3250</v>
      </c>
      <c r="AE766" t="s">
        <v>3250</v>
      </c>
      <c r="AF766" t="s">
        <v>3250</v>
      </c>
      <c r="AG766" t="s">
        <v>3250</v>
      </c>
      <c r="AH766" t="s">
        <v>3250</v>
      </c>
      <c r="AI766" t="s">
        <v>3250</v>
      </c>
      <c r="AJ766" t="s">
        <v>3250</v>
      </c>
      <c r="AL766" t="s">
        <v>3250</v>
      </c>
      <c r="AM766" t="s">
        <v>3250</v>
      </c>
      <c r="AN766" t="s">
        <v>3250</v>
      </c>
      <c r="AO766" t="s">
        <v>3250</v>
      </c>
      <c r="AS766" t="s">
        <v>3250</v>
      </c>
      <c r="AT766" t="s">
        <v>3250</v>
      </c>
      <c r="AU766" t="s">
        <v>3250</v>
      </c>
      <c r="AV766" t="s">
        <v>3250</v>
      </c>
      <c r="AW766" t="s">
        <v>3250</v>
      </c>
      <c r="AX766" t="s">
        <v>3250</v>
      </c>
      <c r="AY766" t="s">
        <v>3250</v>
      </c>
      <c r="AZ766" t="s">
        <v>3250</v>
      </c>
      <c r="BA766" t="s">
        <v>3250</v>
      </c>
      <c r="BB766" t="s">
        <v>3250</v>
      </c>
      <c r="BC766" t="s">
        <v>3250</v>
      </c>
      <c r="BE766" t="s">
        <v>3250</v>
      </c>
      <c r="BF766" t="s">
        <v>3250</v>
      </c>
      <c r="BG766" t="s">
        <v>3250</v>
      </c>
      <c r="BH766" t="s">
        <v>3250</v>
      </c>
      <c r="BI766" t="s">
        <v>3250</v>
      </c>
      <c r="BK766" t="s">
        <v>3250</v>
      </c>
      <c r="BL766" t="s">
        <v>3250</v>
      </c>
      <c r="BM766" t="s">
        <v>3250</v>
      </c>
      <c r="BN766" t="s">
        <v>3250</v>
      </c>
      <c r="BO766" t="s">
        <v>2916</v>
      </c>
      <c r="BP766">
        <v>3</v>
      </c>
      <c r="BQ766">
        <v>32</v>
      </c>
      <c r="BR766" t="s">
        <v>284</v>
      </c>
      <c r="BS766" t="s">
        <v>4381</v>
      </c>
      <c r="BV766">
        <v>10410</v>
      </c>
      <c r="BW766">
        <v>7139</v>
      </c>
      <c r="BX766">
        <v>6387</v>
      </c>
      <c r="BY766">
        <v>0</v>
      </c>
      <c r="BZ766">
        <v>0</v>
      </c>
      <c r="CA766">
        <v>0</v>
      </c>
      <c r="CB766">
        <v>0</v>
      </c>
      <c r="CC766">
        <v>0</v>
      </c>
      <c r="CD766">
        <v>595</v>
      </c>
      <c r="CE766" t="s">
        <v>3108</v>
      </c>
      <c r="CF766" t="s">
        <v>3108</v>
      </c>
      <c r="CG766" t="s">
        <v>3108</v>
      </c>
      <c r="CH766" t="s">
        <v>3108</v>
      </c>
    </row>
    <row r="767" spans="1:86" x14ac:dyDescent="0.2">
      <c r="A767" t="s">
        <v>4409</v>
      </c>
      <c r="B767" t="s">
        <v>4409</v>
      </c>
      <c r="C767">
        <v>41211</v>
      </c>
      <c r="D767">
        <v>382</v>
      </c>
      <c r="E767" t="s">
        <v>4074</v>
      </c>
      <c r="F767">
        <v>2000</v>
      </c>
      <c r="G767" t="s">
        <v>408</v>
      </c>
      <c r="H767" t="s">
        <v>4075</v>
      </c>
      <c r="I767" t="s">
        <v>946</v>
      </c>
      <c r="J767">
        <v>2009</v>
      </c>
      <c r="K767" t="s">
        <v>1340</v>
      </c>
      <c r="L767">
        <v>1100</v>
      </c>
      <c r="M767" t="s">
        <v>119</v>
      </c>
      <c r="N767">
        <v>1110</v>
      </c>
      <c r="O767" t="s">
        <v>284</v>
      </c>
      <c r="P767" t="s">
        <v>3108</v>
      </c>
      <c r="Q767" t="s">
        <v>3249</v>
      </c>
      <c r="R767" t="s">
        <v>3249</v>
      </c>
      <c r="S767" t="s">
        <v>810</v>
      </c>
      <c r="T767" t="s">
        <v>2754</v>
      </c>
      <c r="U767" t="s">
        <v>3250</v>
      </c>
      <c r="V767" t="s">
        <v>3250</v>
      </c>
      <c r="W767" t="s">
        <v>3250</v>
      </c>
      <c r="X767" t="s">
        <v>3250</v>
      </c>
      <c r="Y767" t="s">
        <v>3250</v>
      </c>
      <c r="Z767" t="s">
        <v>3250</v>
      </c>
      <c r="AA767" t="s">
        <v>3108</v>
      </c>
      <c r="AB767" t="s">
        <v>3108</v>
      </c>
      <c r="AC767" t="s">
        <v>3250</v>
      </c>
      <c r="AD767" t="s">
        <v>3250</v>
      </c>
      <c r="AE767" t="s">
        <v>3250</v>
      </c>
      <c r="AF767" t="s">
        <v>3250</v>
      </c>
      <c r="AG767" t="s">
        <v>3250</v>
      </c>
      <c r="AH767" t="s">
        <v>3250</v>
      </c>
      <c r="AI767" t="s">
        <v>3250</v>
      </c>
      <c r="AJ767" t="s">
        <v>3250</v>
      </c>
      <c r="AL767" t="s">
        <v>3250</v>
      </c>
      <c r="AM767" t="s">
        <v>3250</v>
      </c>
      <c r="AN767" t="s">
        <v>3250</v>
      </c>
      <c r="AO767" t="s">
        <v>3250</v>
      </c>
      <c r="AS767" t="s">
        <v>3250</v>
      </c>
      <c r="AT767" t="s">
        <v>3250</v>
      </c>
      <c r="AU767" t="s">
        <v>3250</v>
      </c>
      <c r="AV767" t="s">
        <v>3250</v>
      </c>
      <c r="AW767" t="s">
        <v>3250</v>
      </c>
      <c r="AX767" t="s">
        <v>3250</v>
      </c>
      <c r="AY767" t="s">
        <v>3250</v>
      </c>
      <c r="AZ767" t="s">
        <v>3250</v>
      </c>
      <c r="BA767" t="s">
        <v>3250</v>
      </c>
      <c r="BB767" t="s">
        <v>3250</v>
      </c>
      <c r="BC767" t="s">
        <v>3250</v>
      </c>
      <c r="BE767" t="s">
        <v>3250</v>
      </c>
      <c r="BF767" t="s">
        <v>3250</v>
      </c>
      <c r="BG767" t="s">
        <v>3250</v>
      </c>
      <c r="BH767" t="s">
        <v>3250</v>
      </c>
      <c r="BI767" t="s">
        <v>3250</v>
      </c>
      <c r="BK767" t="s">
        <v>3250</v>
      </c>
      <c r="BL767" t="s">
        <v>3250</v>
      </c>
      <c r="BM767" t="s">
        <v>3250</v>
      </c>
      <c r="BN767" t="s">
        <v>3250</v>
      </c>
      <c r="BO767" t="s">
        <v>2916</v>
      </c>
      <c r="BP767">
        <v>3</v>
      </c>
      <c r="BQ767">
        <v>32</v>
      </c>
      <c r="BR767" t="s">
        <v>284</v>
      </c>
      <c r="BS767" t="s">
        <v>4381</v>
      </c>
      <c r="BV767">
        <v>0</v>
      </c>
      <c r="BW767">
        <v>0</v>
      </c>
      <c r="BX767">
        <v>0</v>
      </c>
      <c r="BY767">
        <v>0</v>
      </c>
      <c r="BZ767">
        <v>0</v>
      </c>
      <c r="CA767">
        <v>0</v>
      </c>
      <c r="CB767">
        <v>0</v>
      </c>
      <c r="CC767">
        <v>0</v>
      </c>
      <c r="CD767">
        <v>0</v>
      </c>
      <c r="CE767" t="s">
        <v>3108</v>
      </c>
      <c r="CF767" t="s">
        <v>3108</v>
      </c>
      <c r="CG767" t="s">
        <v>3108</v>
      </c>
      <c r="CH767" t="s">
        <v>3108</v>
      </c>
    </row>
    <row r="768" spans="1:86" x14ac:dyDescent="0.2">
      <c r="A768" t="s">
        <v>4410</v>
      </c>
      <c r="B768" t="s">
        <v>4410</v>
      </c>
      <c r="C768">
        <v>41212</v>
      </c>
      <c r="D768">
        <v>383</v>
      </c>
      <c r="E768" t="s">
        <v>4077</v>
      </c>
      <c r="F768">
        <v>2000</v>
      </c>
      <c r="G768" t="s">
        <v>408</v>
      </c>
      <c r="H768" t="s">
        <v>4075</v>
      </c>
      <c r="I768" t="s">
        <v>946</v>
      </c>
      <c r="J768">
        <v>2009</v>
      </c>
      <c r="K768" t="s">
        <v>1340</v>
      </c>
      <c r="L768">
        <v>1100</v>
      </c>
      <c r="M768" t="s">
        <v>119</v>
      </c>
      <c r="N768">
        <v>1110</v>
      </c>
      <c r="O768" t="s">
        <v>284</v>
      </c>
      <c r="P768" t="s">
        <v>3108</v>
      </c>
      <c r="Q768" t="s">
        <v>3249</v>
      </c>
      <c r="R768" t="s">
        <v>3249</v>
      </c>
      <c r="S768" t="s">
        <v>810</v>
      </c>
      <c r="T768" t="s">
        <v>2754</v>
      </c>
      <c r="U768" t="s">
        <v>3250</v>
      </c>
      <c r="V768" t="s">
        <v>3250</v>
      </c>
      <c r="W768" t="s">
        <v>3250</v>
      </c>
      <c r="X768" t="s">
        <v>3250</v>
      </c>
      <c r="Y768" t="s">
        <v>3250</v>
      </c>
      <c r="Z768" t="s">
        <v>3250</v>
      </c>
      <c r="AA768" t="s">
        <v>3108</v>
      </c>
      <c r="AB768" t="s">
        <v>3108</v>
      </c>
      <c r="AC768" t="s">
        <v>3250</v>
      </c>
      <c r="AD768" t="s">
        <v>3250</v>
      </c>
      <c r="AE768" t="s">
        <v>3250</v>
      </c>
      <c r="AF768" t="s">
        <v>3250</v>
      </c>
      <c r="AG768" t="s">
        <v>3250</v>
      </c>
      <c r="AH768" t="s">
        <v>3250</v>
      </c>
      <c r="AI768" t="s">
        <v>3250</v>
      </c>
      <c r="AJ768" t="s">
        <v>3250</v>
      </c>
      <c r="AL768" t="s">
        <v>3250</v>
      </c>
      <c r="AM768" t="s">
        <v>3250</v>
      </c>
      <c r="AN768" t="s">
        <v>3250</v>
      </c>
      <c r="AO768" t="s">
        <v>3250</v>
      </c>
      <c r="AS768" t="s">
        <v>3250</v>
      </c>
      <c r="AT768" t="s">
        <v>3250</v>
      </c>
      <c r="AU768" t="s">
        <v>3250</v>
      </c>
      <c r="AV768" t="s">
        <v>3250</v>
      </c>
      <c r="AW768" t="s">
        <v>3250</v>
      </c>
      <c r="AX768" t="s">
        <v>3250</v>
      </c>
      <c r="AY768" t="s">
        <v>3250</v>
      </c>
      <c r="AZ768" t="s">
        <v>3250</v>
      </c>
      <c r="BA768" t="s">
        <v>3250</v>
      </c>
      <c r="BB768" t="s">
        <v>3250</v>
      </c>
      <c r="BC768" t="s">
        <v>3250</v>
      </c>
      <c r="BE768" t="s">
        <v>3250</v>
      </c>
      <c r="BF768" t="s">
        <v>3250</v>
      </c>
      <c r="BG768" t="s">
        <v>3250</v>
      </c>
      <c r="BH768" t="s">
        <v>3250</v>
      </c>
      <c r="BI768" t="s">
        <v>3250</v>
      </c>
      <c r="BK768" t="s">
        <v>3250</v>
      </c>
      <c r="BL768" t="s">
        <v>3250</v>
      </c>
      <c r="BM768" t="s">
        <v>3250</v>
      </c>
      <c r="BN768" t="s">
        <v>3250</v>
      </c>
      <c r="BO768" t="s">
        <v>2916</v>
      </c>
      <c r="BP768">
        <v>3</v>
      </c>
      <c r="BQ768">
        <v>32</v>
      </c>
      <c r="BR768" t="s">
        <v>284</v>
      </c>
      <c r="BS768" t="s">
        <v>4381</v>
      </c>
      <c r="BV768">
        <v>0</v>
      </c>
      <c r="BW768">
        <v>0</v>
      </c>
      <c r="BX768">
        <v>421881</v>
      </c>
      <c r="BY768">
        <v>0</v>
      </c>
      <c r="BZ768">
        <v>0</v>
      </c>
      <c r="CA768">
        <v>0</v>
      </c>
      <c r="CB768">
        <v>0</v>
      </c>
      <c r="CC768">
        <v>0</v>
      </c>
      <c r="CD768">
        <v>0</v>
      </c>
      <c r="CE768" t="s">
        <v>3108</v>
      </c>
      <c r="CF768" t="s">
        <v>3108</v>
      </c>
      <c r="CG768" t="s">
        <v>3108</v>
      </c>
      <c r="CH768" t="s">
        <v>3108</v>
      </c>
    </row>
    <row r="769" spans="1:86" x14ac:dyDescent="0.2">
      <c r="A769" t="s">
        <v>4411</v>
      </c>
      <c r="B769" t="s">
        <v>4411</v>
      </c>
      <c r="C769">
        <v>41213</v>
      </c>
      <c r="D769">
        <v>384</v>
      </c>
      <c r="E769" t="s">
        <v>4081</v>
      </c>
      <c r="F769">
        <v>2000</v>
      </c>
      <c r="G769" t="s">
        <v>408</v>
      </c>
      <c r="H769" t="s">
        <v>4082</v>
      </c>
      <c r="I769" t="s">
        <v>652</v>
      </c>
      <c r="J769">
        <v>2005</v>
      </c>
      <c r="K769" t="s">
        <v>652</v>
      </c>
      <c r="L769">
        <v>1100</v>
      </c>
      <c r="M769" t="s">
        <v>119</v>
      </c>
      <c r="N769">
        <v>1110</v>
      </c>
      <c r="O769" t="s">
        <v>284</v>
      </c>
      <c r="P769" t="s">
        <v>3108</v>
      </c>
      <c r="Q769" t="s">
        <v>3249</v>
      </c>
      <c r="R769" t="s">
        <v>3249</v>
      </c>
      <c r="S769" t="s">
        <v>810</v>
      </c>
      <c r="T769" t="s">
        <v>2754</v>
      </c>
      <c r="U769" t="s">
        <v>3250</v>
      </c>
      <c r="V769" t="s">
        <v>3250</v>
      </c>
      <c r="W769" t="s">
        <v>3250</v>
      </c>
      <c r="X769" t="s">
        <v>3250</v>
      </c>
      <c r="Y769" t="s">
        <v>3250</v>
      </c>
      <c r="Z769" t="s">
        <v>3250</v>
      </c>
      <c r="AA769" t="s">
        <v>3108</v>
      </c>
      <c r="AB769" t="s">
        <v>3108</v>
      </c>
      <c r="AC769" t="s">
        <v>3250</v>
      </c>
      <c r="AD769" t="s">
        <v>3250</v>
      </c>
      <c r="AE769" t="s">
        <v>3250</v>
      </c>
      <c r="AF769" t="s">
        <v>3250</v>
      </c>
      <c r="AG769" t="s">
        <v>3250</v>
      </c>
      <c r="AH769" t="s">
        <v>3250</v>
      </c>
      <c r="AI769" t="s">
        <v>3250</v>
      </c>
      <c r="AJ769" t="s">
        <v>3250</v>
      </c>
      <c r="AL769" t="s">
        <v>3250</v>
      </c>
      <c r="AM769" t="s">
        <v>3250</v>
      </c>
      <c r="AN769" t="s">
        <v>3250</v>
      </c>
      <c r="AO769" t="s">
        <v>3250</v>
      </c>
      <c r="AS769" t="s">
        <v>3250</v>
      </c>
      <c r="AT769" t="s">
        <v>3250</v>
      </c>
      <c r="AU769" t="s">
        <v>3250</v>
      </c>
      <c r="AV769" t="s">
        <v>3250</v>
      </c>
      <c r="AW769" t="s">
        <v>3250</v>
      </c>
      <c r="AX769" t="s">
        <v>3250</v>
      </c>
      <c r="AY769" t="s">
        <v>3250</v>
      </c>
      <c r="AZ769" t="s">
        <v>3250</v>
      </c>
      <c r="BA769" t="s">
        <v>3250</v>
      </c>
      <c r="BB769" t="s">
        <v>3250</v>
      </c>
      <c r="BC769" t="s">
        <v>3250</v>
      </c>
      <c r="BE769" t="s">
        <v>3250</v>
      </c>
      <c r="BF769" t="s">
        <v>3250</v>
      </c>
      <c r="BG769" t="s">
        <v>3250</v>
      </c>
      <c r="BH769" t="s">
        <v>3250</v>
      </c>
      <c r="BI769" t="s">
        <v>3250</v>
      </c>
      <c r="BK769" t="s">
        <v>3250</v>
      </c>
      <c r="BL769" t="s">
        <v>3250</v>
      </c>
      <c r="BM769" t="s">
        <v>3250</v>
      </c>
      <c r="BN769" t="s">
        <v>3250</v>
      </c>
      <c r="BO769" t="s">
        <v>2916</v>
      </c>
      <c r="BP769">
        <v>3</v>
      </c>
      <c r="BQ769">
        <v>32</v>
      </c>
      <c r="BR769" t="s">
        <v>284</v>
      </c>
      <c r="BS769" t="s">
        <v>4381</v>
      </c>
      <c r="BV769">
        <v>37794</v>
      </c>
      <c r="BW769">
        <v>19375</v>
      </c>
      <c r="BX769">
        <v>18108</v>
      </c>
      <c r="BY769">
        <v>0</v>
      </c>
      <c r="BZ769">
        <v>0</v>
      </c>
      <c r="CA769">
        <v>0</v>
      </c>
      <c r="CB769">
        <v>0</v>
      </c>
      <c r="CC769">
        <v>0</v>
      </c>
      <c r="CD769">
        <v>0</v>
      </c>
      <c r="CE769" t="s">
        <v>3108</v>
      </c>
      <c r="CF769" t="s">
        <v>3108</v>
      </c>
      <c r="CG769" t="s">
        <v>3108</v>
      </c>
      <c r="CH769" t="s">
        <v>3108</v>
      </c>
    </row>
    <row r="770" spans="1:86" x14ac:dyDescent="0.2">
      <c r="A770" t="s">
        <v>4412</v>
      </c>
      <c r="B770" t="s">
        <v>4412</v>
      </c>
      <c r="C770">
        <v>41214</v>
      </c>
      <c r="D770">
        <v>385</v>
      </c>
      <c r="E770" t="s">
        <v>4087</v>
      </c>
      <c r="F770">
        <v>2000</v>
      </c>
      <c r="G770" t="s">
        <v>408</v>
      </c>
      <c r="H770" t="s">
        <v>4088</v>
      </c>
      <c r="I770" t="s">
        <v>1941</v>
      </c>
      <c r="J770">
        <v>2008</v>
      </c>
      <c r="K770" t="s">
        <v>1941</v>
      </c>
      <c r="L770">
        <v>1100</v>
      </c>
      <c r="M770" t="s">
        <v>119</v>
      </c>
      <c r="N770">
        <v>1110</v>
      </c>
      <c r="O770" t="s">
        <v>284</v>
      </c>
      <c r="P770" t="s">
        <v>3108</v>
      </c>
      <c r="Q770" t="s">
        <v>3249</v>
      </c>
      <c r="R770" t="s">
        <v>3249</v>
      </c>
      <c r="S770" t="s">
        <v>810</v>
      </c>
      <c r="T770" t="s">
        <v>2754</v>
      </c>
      <c r="U770" t="s">
        <v>3250</v>
      </c>
      <c r="V770" t="s">
        <v>3250</v>
      </c>
      <c r="W770" t="s">
        <v>3250</v>
      </c>
      <c r="X770" t="s">
        <v>3250</v>
      </c>
      <c r="Y770" t="s">
        <v>3250</v>
      </c>
      <c r="Z770" t="s">
        <v>3250</v>
      </c>
      <c r="AA770" t="s">
        <v>3108</v>
      </c>
      <c r="AB770" t="s">
        <v>3108</v>
      </c>
      <c r="AC770" t="s">
        <v>3250</v>
      </c>
      <c r="AD770" t="s">
        <v>3250</v>
      </c>
      <c r="AE770" t="s">
        <v>3250</v>
      </c>
      <c r="AF770" t="s">
        <v>3250</v>
      </c>
      <c r="AG770" t="s">
        <v>3250</v>
      </c>
      <c r="AH770" t="s">
        <v>3250</v>
      </c>
      <c r="AI770" t="s">
        <v>3250</v>
      </c>
      <c r="AJ770" t="s">
        <v>3250</v>
      </c>
      <c r="AL770" t="s">
        <v>3250</v>
      </c>
      <c r="AM770" t="s">
        <v>3250</v>
      </c>
      <c r="AN770" t="s">
        <v>3250</v>
      </c>
      <c r="AO770" t="s">
        <v>3250</v>
      </c>
      <c r="AS770" t="s">
        <v>3250</v>
      </c>
      <c r="AT770" t="s">
        <v>3250</v>
      </c>
      <c r="AU770" t="s">
        <v>3250</v>
      </c>
      <c r="AV770" t="s">
        <v>3250</v>
      </c>
      <c r="AW770" t="s">
        <v>3250</v>
      </c>
      <c r="AX770" t="s">
        <v>3250</v>
      </c>
      <c r="AY770" t="s">
        <v>3250</v>
      </c>
      <c r="AZ770" t="s">
        <v>3250</v>
      </c>
      <c r="BA770" t="s">
        <v>3250</v>
      </c>
      <c r="BB770" t="s">
        <v>3250</v>
      </c>
      <c r="BC770" t="s">
        <v>3250</v>
      </c>
      <c r="BE770" t="s">
        <v>3250</v>
      </c>
      <c r="BF770" t="s">
        <v>3250</v>
      </c>
      <c r="BG770" t="s">
        <v>3250</v>
      </c>
      <c r="BH770" t="s">
        <v>3250</v>
      </c>
      <c r="BI770" t="s">
        <v>3250</v>
      </c>
      <c r="BK770" t="s">
        <v>3250</v>
      </c>
      <c r="BL770" t="s">
        <v>3250</v>
      </c>
      <c r="BM770" t="s">
        <v>3250</v>
      </c>
      <c r="BN770" t="s">
        <v>3250</v>
      </c>
      <c r="BO770" t="s">
        <v>2916</v>
      </c>
      <c r="BP770">
        <v>3</v>
      </c>
      <c r="BQ770">
        <v>32</v>
      </c>
      <c r="BR770" t="s">
        <v>284</v>
      </c>
      <c r="BS770" t="s">
        <v>4381</v>
      </c>
      <c r="BV770">
        <v>0</v>
      </c>
      <c r="BW770">
        <v>0</v>
      </c>
      <c r="BX770">
        <v>10928</v>
      </c>
      <c r="BY770">
        <v>0</v>
      </c>
      <c r="BZ770">
        <v>0</v>
      </c>
      <c r="CA770">
        <v>0</v>
      </c>
      <c r="CB770">
        <v>0</v>
      </c>
      <c r="CC770">
        <v>0</v>
      </c>
      <c r="CD770">
        <v>2410</v>
      </c>
      <c r="CE770" t="s">
        <v>3108</v>
      </c>
      <c r="CF770" t="s">
        <v>3108</v>
      </c>
      <c r="CG770" t="s">
        <v>3108</v>
      </c>
      <c r="CH770" t="s">
        <v>3108</v>
      </c>
    </row>
    <row r="771" spans="1:86" x14ac:dyDescent="0.2">
      <c r="A771" t="s">
        <v>4413</v>
      </c>
      <c r="B771" t="s">
        <v>4413</v>
      </c>
      <c r="C771">
        <v>41215</v>
      </c>
      <c r="D771">
        <v>386</v>
      </c>
      <c r="E771" t="s">
        <v>4202</v>
      </c>
      <c r="F771">
        <v>2000</v>
      </c>
      <c r="G771" t="s">
        <v>408</v>
      </c>
      <c r="H771" t="s">
        <v>4203</v>
      </c>
      <c r="I771" t="s">
        <v>1793</v>
      </c>
      <c r="J771">
        <v>2007</v>
      </c>
      <c r="K771" t="s">
        <v>1793</v>
      </c>
      <c r="L771">
        <v>1100</v>
      </c>
      <c r="M771" t="s">
        <v>119</v>
      </c>
      <c r="N771">
        <v>1110</v>
      </c>
      <c r="O771" t="s">
        <v>284</v>
      </c>
      <c r="P771" t="s">
        <v>3108</v>
      </c>
      <c r="Q771" t="s">
        <v>3249</v>
      </c>
      <c r="R771" t="s">
        <v>3249</v>
      </c>
      <c r="S771" t="s">
        <v>810</v>
      </c>
      <c r="T771" t="s">
        <v>2754</v>
      </c>
      <c r="U771" t="s">
        <v>3250</v>
      </c>
      <c r="V771" t="s">
        <v>3250</v>
      </c>
      <c r="W771" t="s">
        <v>3250</v>
      </c>
      <c r="X771" t="s">
        <v>3250</v>
      </c>
      <c r="Y771" t="s">
        <v>3250</v>
      </c>
      <c r="Z771" t="s">
        <v>3250</v>
      </c>
      <c r="AA771" t="s">
        <v>3108</v>
      </c>
      <c r="AB771" t="s">
        <v>3108</v>
      </c>
      <c r="AC771" t="s">
        <v>3250</v>
      </c>
      <c r="AD771" t="s">
        <v>3250</v>
      </c>
      <c r="AE771" t="s">
        <v>3250</v>
      </c>
      <c r="AF771" t="s">
        <v>3250</v>
      </c>
      <c r="AG771" t="s">
        <v>3250</v>
      </c>
      <c r="AH771" t="s">
        <v>3250</v>
      </c>
      <c r="AI771" t="s">
        <v>3250</v>
      </c>
      <c r="AJ771" t="s">
        <v>3250</v>
      </c>
      <c r="AL771" t="s">
        <v>3250</v>
      </c>
      <c r="AM771" t="s">
        <v>3250</v>
      </c>
      <c r="AN771" t="s">
        <v>3250</v>
      </c>
      <c r="AO771" t="s">
        <v>3250</v>
      </c>
      <c r="AS771" t="s">
        <v>3250</v>
      </c>
      <c r="AT771" t="s">
        <v>3250</v>
      </c>
      <c r="AU771" t="s">
        <v>3250</v>
      </c>
      <c r="AV771" t="s">
        <v>3250</v>
      </c>
      <c r="AW771" t="s">
        <v>3250</v>
      </c>
      <c r="AX771" t="s">
        <v>3250</v>
      </c>
      <c r="AY771" t="s">
        <v>3250</v>
      </c>
      <c r="AZ771" t="s">
        <v>3250</v>
      </c>
      <c r="BA771" t="s">
        <v>3250</v>
      </c>
      <c r="BB771" t="s">
        <v>3250</v>
      </c>
      <c r="BC771" t="s">
        <v>3250</v>
      </c>
      <c r="BE771" t="s">
        <v>3250</v>
      </c>
      <c r="BF771" t="s">
        <v>3250</v>
      </c>
      <c r="BG771" t="s">
        <v>3250</v>
      </c>
      <c r="BH771" t="s">
        <v>3250</v>
      </c>
      <c r="BI771" t="s">
        <v>3250</v>
      </c>
      <c r="BK771" t="s">
        <v>3250</v>
      </c>
      <c r="BL771" t="s">
        <v>3250</v>
      </c>
      <c r="BM771" t="s">
        <v>3250</v>
      </c>
      <c r="BN771" t="s">
        <v>3250</v>
      </c>
      <c r="BO771" t="s">
        <v>2916</v>
      </c>
      <c r="BP771">
        <v>3</v>
      </c>
      <c r="BQ771">
        <v>32</v>
      </c>
      <c r="BR771" t="s">
        <v>284</v>
      </c>
      <c r="BS771" t="s">
        <v>4381</v>
      </c>
      <c r="BV771">
        <v>0</v>
      </c>
      <c r="BW771">
        <v>0</v>
      </c>
      <c r="BX771">
        <v>0</v>
      </c>
      <c r="BY771">
        <v>0</v>
      </c>
      <c r="BZ771">
        <v>0</v>
      </c>
      <c r="CA771">
        <v>0</v>
      </c>
      <c r="CB771">
        <v>0</v>
      </c>
      <c r="CC771">
        <v>0</v>
      </c>
      <c r="CD771">
        <v>37000</v>
      </c>
      <c r="CE771" t="s">
        <v>3108</v>
      </c>
      <c r="CF771" t="s">
        <v>3108</v>
      </c>
      <c r="CG771" t="s">
        <v>3108</v>
      </c>
      <c r="CH771" t="s">
        <v>3108</v>
      </c>
    </row>
    <row r="772" spans="1:86" x14ac:dyDescent="0.2">
      <c r="A772" t="s">
        <v>4414</v>
      </c>
      <c r="B772" t="s">
        <v>4414</v>
      </c>
      <c r="C772">
        <v>41217</v>
      </c>
      <c r="D772">
        <v>791</v>
      </c>
      <c r="E772" t="s">
        <v>4357</v>
      </c>
      <c r="F772">
        <v>2700</v>
      </c>
      <c r="G772" t="s">
        <v>411</v>
      </c>
      <c r="H772" t="s">
        <v>3997</v>
      </c>
      <c r="I772" t="s">
        <v>2533</v>
      </c>
      <c r="J772">
        <v>2703</v>
      </c>
      <c r="K772" t="s">
        <v>2533</v>
      </c>
      <c r="L772">
        <v>5000</v>
      </c>
      <c r="M772" t="s">
        <v>245</v>
      </c>
      <c r="N772">
        <v>5004</v>
      </c>
      <c r="O772" t="s">
        <v>2442</v>
      </c>
      <c r="P772" t="s">
        <v>3108</v>
      </c>
      <c r="Q772" t="s">
        <v>3249</v>
      </c>
      <c r="R772" t="s">
        <v>3249</v>
      </c>
      <c r="S772" t="s">
        <v>810</v>
      </c>
      <c r="T772" t="s">
        <v>2754</v>
      </c>
      <c r="U772" t="s">
        <v>3250</v>
      </c>
      <c r="V772" t="s">
        <v>3250</v>
      </c>
      <c r="W772" t="s">
        <v>3250</v>
      </c>
      <c r="X772" t="s">
        <v>3250</v>
      </c>
      <c r="Y772" t="s">
        <v>3250</v>
      </c>
      <c r="Z772" t="s">
        <v>3250</v>
      </c>
      <c r="AA772" t="s">
        <v>3108</v>
      </c>
      <c r="AB772" t="s">
        <v>3108</v>
      </c>
      <c r="AC772" t="s">
        <v>3250</v>
      </c>
      <c r="AD772" t="s">
        <v>3250</v>
      </c>
      <c r="AE772" t="s">
        <v>3250</v>
      </c>
      <c r="AF772" t="s">
        <v>3250</v>
      </c>
      <c r="AG772" t="s">
        <v>3250</v>
      </c>
      <c r="AH772" t="s">
        <v>3250</v>
      </c>
      <c r="AI772" t="s">
        <v>3250</v>
      </c>
      <c r="AJ772" t="s">
        <v>3250</v>
      </c>
      <c r="AL772" t="s">
        <v>3250</v>
      </c>
      <c r="AM772" t="s">
        <v>3250</v>
      </c>
      <c r="AN772" t="s">
        <v>3250</v>
      </c>
      <c r="AO772" t="s">
        <v>3250</v>
      </c>
      <c r="AS772" t="s">
        <v>3250</v>
      </c>
      <c r="AT772" t="s">
        <v>3250</v>
      </c>
      <c r="AU772" t="s">
        <v>3250</v>
      </c>
      <c r="AV772" t="s">
        <v>3250</v>
      </c>
      <c r="AW772" t="s">
        <v>3250</v>
      </c>
      <c r="AX772" t="s">
        <v>3250</v>
      </c>
      <c r="AY772">
        <v>1220</v>
      </c>
      <c r="AZ772" t="s">
        <v>2312</v>
      </c>
      <c r="BA772" t="s">
        <v>3250</v>
      </c>
      <c r="BB772">
        <v>1220</v>
      </c>
      <c r="BC772" t="s">
        <v>2312</v>
      </c>
      <c r="BD772" t="s">
        <v>2820</v>
      </c>
      <c r="BE772" t="s">
        <v>3250</v>
      </c>
      <c r="BF772" t="s">
        <v>3250</v>
      </c>
      <c r="BG772" t="s">
        <v>3250</v>
      </c>
      <c r="BH772" t="s">
        <v>3250</v>
      </c>
      <c r="BI772" t="s">
        <v>3250</v>
      </c>
      <c r="BK772" t="s">
        <v>3250</v>
      </c>
      <c r="BL772" t="s">
        <v>3250</v>
      </c>
      <c r="BM772" t="s">
        <v>3250</v>
      </c>
      <c r="BN772" t="s">
        <v>3250</v>
      </c>
      <c r="BP772">
        <v>11</v>
      </c>
      <c r="BQ772">
        <v>111</v>
      </c>
      <c r="BR772" t="s">
        <v>2442</v>
      </c>
      <c r="BS772" t="s">
        <v>245</v>
      </c>
      <c r="BV772">
        <v>0</v>
      </c>
      <c r="BW772">
        <v>0</v>
      </c>
      <c r="BX772">
        <v>96017</v>
      </c>
      <c r="BY772">
        <v>0</v>
      </c>
      <c r="BZ772">
        <v>0</v>
      </c>
      <c r="CA772">
        <v>0</v>
      </c>
      <c r="CB772">
        <v>0</v>
      </c>
      <c r="CC772">
        <v>0</v>
      </c>
      <c r="CD772">
        <v>0</v>
      </c>
      <c r="CE772" t="s">
        <v>3108</v>
      </c>
      <c r="CF772" t="s">
        <v>3108</v>
      </c>
      <c r="CG772" t="s">
        <v>3108</v>
      </c>
      <c r="CH772" t="s">
        <v>3108</v>
      </c>
    </row>
    <row r="773" spans="1:86" x14ac:dyDescent="0.2">
      <c r="A773" t="s">
        <v>4415</v>
      </c>
      <c r="B773" t="s">
        <v>4415</v>
      </c>
      <c r="C773">
        <v>41218</v>
      </c>
      <c r="D773">
        <v>667</v>
      </c>
      <c r="E773" t="s">
        <v>4416</v>
      </c>
      <c r="F773">
        <v>1300</v>
      </c>
      <c r="G773" t="s">
        <v>406</v>
      </c>
      <c r="H773">
        <v>1300</v>
      </c>
      <c r="I773" t="s">
        <v>406</v>
      </c>
      <c r="J773" t="s">
        <v>3250</v>
      </c>
      <c r="K773" t="s">
        <v>3250</v>
      </c>
      <c r="L773">
        <v>5000</v>
      </c>
      <c r="M773" t="s">
        <v>245</v>
      </c>
      <c r="N773">
        <v>5004</v>
      </c>
      <c r="O773" t="s">
        <v>2442</v>
      </c>
      <c r="P773" t="s">
        <v>3108</v>
      </c>
      <c r="Q773" t="s">
        <v>3249</v>
      </c>
      <c r="R773" t="s">
        <v>3249</v>
      </c>
      <c r="S773" t="s">
        <v>472</v>
      </c>
      <c r="T773" t="s">
        <v>2759</v>
      </c>
      <c r="U773" t="s">
        <v>3250</v>
      </c>
      <c r="V773" t="s">
        <v>3250</v>
      </c>
      <c r="W773" t="s">
        <v>3250</v>
      </c>
      <c r="X773" t="s">
        <v>3250</v>
      </c>
      <c r="Y773" t="s">
        <v>3250</v>
      </c>
      <c r="Z773" t="s">
        <v>3250</v>
      </c>
      <c r="AA773" t="s">
        <v>3108</v>
      </c>
      <c r="AB773" t="s">
        <v>3108</v>
      </c>
      <c r="AC773" t="s">
        <v>3250</v>
      </c>
      <c r="AD773" t="s">
        <v>3250</v>
      </c>
      <c r="AE773" t="s">
        <v>3250</v>
      </c>
      <c r="AF773" t="s">
        <v>3250</v>
      </c>
      <c r="AG773" t="s">
        <v>3250</v>
      </c>
      <c r="AH773" t="s">
        <v>3250</v>
      </c>
      <c r="AI773" t="s">
        <v>3250</v>
      </c>
      <c r="AJ773" t="s">
        <v>3250</v>
      </c>
      <c r="AL773" t="s">
        <v>3250</v>
      </c>
      <c r="AM773" t="s">
        <v>3250</v>
      </c>
      <c r="AN773" t="s">
        <v>3250</v>
      </c>
      <c r="AO773" t="s">
        <v>3250</v>
      </c>
      <c r="AS773" t="s">
        <v>3250</v>
      </c>
      <c r="AT773" t="s">
        <v>3250</v>
      </c>
      <c r="AU773" t="s">
        <v>3250</v>
      </c>
      <c r="AV773" t="s">
        <v>3250</v>
      </c>
      <c r="AW773" t="s">
        <v>3250</v>
      </c>
      <c r="AX773" t="s">
        <v>3250</v>
      </c>
      <c r="AY773" t="s">
        <v>3250</v>
      </c>
      <c r="AZ773" t="s">
        <v>3250</v>
      </c>
      <c r="BA773" t="s">
        <v>3250</v>
      </c>
      <c r="BB773" t="s">
        <v>3250</v>
      </c>
      <c r="BC773" t="s">
        <v>3250</v>
      </c>
      <c r="BE773" t="s">
        <v>3250</v>
      </c>
      <c r="BF773" t="s">
        <v>3250</v>
      </c>
      <c r="BG773" t="s">
        <v>3250</v>
      </c>
      <c r="BH773" t="s">
        <v>3250</v>
      </c>
      <c r="BI773" t="s">
        <v>3250</v>
      </c>
      <c r="BK773" t="s">
        <v>3250</v>
      </c>
      <c r="BL773" t="s">
        <v>3250</v>
      </c>
      <c r="BM773" t="s">
        <v>3250</v>
      </c>
      <c r="BN773" t="s">
        <v>3250</v>
      </c>
      <c r="BP773">
        <v>11</v>
      </c>
      <c r="BQ773">
        <v>111</v>
      </c>
      <c r="BR773" t="s">
        <v>2442</v>
      </c>
      <c r="BS773" t="s">
        <v>245</v>
      </c>
      <c r="BV773">
        <v>2100</v>
      </c>
      <c r="BW773">
        <v>8450</v>
      </c>
      <c r="BX773">
        <v>9650</v>
      </c>
      <c r="BY773">
        <v>-800</v>
      </c>
      <c r="BZ773">
        <v>-2000</v>
      </c>
      <c r="CA773">
        <v>-2078</v>
      </c>
      <c r="CB773">
        <v>-2161</v>
      </c>
      <c r="CC773">
        <v>-2248</v>
      </c>
      <c r="CD773">
        <v>1050</v>
      </c>
      <c r="CE773" t="s">
        <v>3108</v>
      </c>
      <c r="CF773" t="s">
        <v>3108</v>
      </c>
      <c r="CG773" t="s">
        <v>3108</v>
      </c>
      <c r="CH773" t="s">
        <v>3108</v>
      </c>
    </row>
    <row r="774" spans="1:86" x14ac:dyDescent="0.2">
      <c r="A774" t="s">
        <v>4417</v>
      </c>
      <c r="B774" t="s">
        <v>4417</v>
      </c>
      <c r="C774">
        <v>41219</v>
      </c>
      <c r="D774">
        <v>668</v>
      </c>
      <c r="E774" t="s">
        <v>4418</v>
      </c>
      <c r="F774">
        <v>1300</v>
      </c>
      <c r="G774" t="s">
        <v>406</v>
      </c>
      <c r="H774">
        <v>1300</v>
      </c>
      <c r="I774" t="s">
        <v>406</v>
      </c>
      <c r="J774" t="s">
        <v>3250</v>
      </c>
      <c r="K774" t="s">
        <v>3250</v>
      </c>
      <c r="L774">
        <v>5000</v>
      </c>
      <c r="M774" t="s">
        <v>245</v>
      </c>
      <c r="N774">
        <v>5004</v>
      </c>
      <c r="O774" t="s">
        <v>2442</v>
      </c>
      <c r="P774" t="s">
        <v>3108</v>
      </c>
      <c r="Q774" t="s">
        <v>3249</v>
      </c>
      <c r="R774" t="s">
        <v>3249</v>
      </c>
      <c r="S774" t="s">
        <v>472</v>
      </c>
      <c r="T774" t="s">
        <v>2759</v>
      </c>
      <c r="U774" t="s">
        <v>3250</v>
      </c>
      <c r="V774" t="s">
        <v>3250</v>
      </c>
      <c r="W774" t="s">
        <v>3250</v>
      </c>
      <c r="X774" t="s">
        <v>3250</v>
      </c>
      <c r="Y774" t="s">
        <v>3250</v>
      </c>
      <c r="Z774" t="s">
        <v>3250</v>
      </c>
      <c r="AA774" t="s">
        <v>3108</v>
      </c>
      <c r="AB774" t="s">
        <v>3108</v>
      </c>
      <c r="AC774" t="s">
        <v>3250</v>
      </c>
      <c r="AD774" t="s">
        <v>3250</v>
      </c>
      <c r="AE774" t="s">
        <v>3250</v>
      </c>
      <c r="AF774" t="s">
        <v>3250</v>
      </c>
      <c r="AG774" t="s">
        <v>3250</v>
      </c>
      <c r="AH774" t="s">
        <v>3250</v>
      </c>
      <c r="AI774" t="s">
        <v>3250</v>
      </c>
      <c r="AJ774" t="s">
        <v>3250</v>
      </c>
      <c r="AL774" t="s">
        <v>3250</v>
      </c>
      <c r="AM774" t="s">
        <v>3250</v>
      </c>
      <c r="AN774" t="s">
        <v>3250</v>
      </c>
      <c r="AO774" t="s">
        <v>3250</v>
      </c>
      <c r="AS774" t="s">
        <v>3250</v>
      </c>
      <c r="AT774" t="s">
        <v>3250</v>
      </c>
      <c r="AU774" t="s">
        <v>3250</v>
      </c>
      <c r="AV774" t="s">
        <v>3250</v>
      </c>
      <c r="AW774" t="s">
        <v>3250</v>
      </c>
      <c r="AX774" t="s">
        <v>3250</v>
      </c>
      <c r="AY774" t="s">
        <v>3250</v>
      </c>
      <c r="AZ774" t="s">
        <v>3250</v>
      </c>
      <c r="BA774" t="s">
        <v>3250</v>
      </c>
      <c r="BB774" t="s">
        <v>3250</v>
      </c>
      <c r="BC774" t="s">
        <v>3250</v>
      </c>
      <c r="BE774" t="s">
        <v>3250</v>
      </c>
      <c r="BF774" t="s">
        <v>3250</v>
      </c>
      <c r="BG774" t="s">
        <v>3250</v>
      </c>
      <c r="BH774" t="s">
        <v>3250</v>
      </c>
      <c r="BI774" t="s">
        <v>3250</v>
      </c>
      <c r="BK774" t="s">
        <v>3250</v>
      </c>
      <c r="BL774" t="s">
        <v>3250</v>
      </c>
      <c r="BM774" t="s">
        <v>3250</v>
      </c>
      <c r="BN774" t="s">
        <v>3250</v>
      </c>
      <c r="BP774">
        <v>11</v>
      </c>
      <c r="BQ774">
        <v>111</v>
      </c>
      <c r="BR774" t="s">
        <v>2442</v>
      </c>
      <c r="BS774" t="s">
        <v>245</v>
      </c>
      <c r="BV774">
        <v>908774</v>
      </c>
      <c r="BW774">
        <v>1119756</v>
      </c>
      <c r="BX774">
        <v>1010818</v>
      </c>
      <c r="BY774">
        <v>-1073778</v>
      </c>
      <c r="BZ774">
        <v>-1073778</v>
      </c>
      <c r="CA774">
        <v>-1115656</v>
      </c>
      <c r="CB774">
        <v>-1160282</v>
      </c>
      <c r="CC774">
        <v>-1206693</v>
      </c>
      <c r="CD774">
        <v>882861</v>
      </c>
      <c r="CE774" t="s">
        <v>3108</v>
      </c>
      <c r="CF774" t="s">
        <v>3108</v>
      </c>
      <c r="CG774" t="s">
        <v>3108</v>
      </c>
      <c r="CH774" t="s">
        <v>3108</v>
      </c>
    </row>
    <row r="775" spans="1:86" x14ac:dyDescent="0.2">
      <c r="A775" t="s">
        <v>4419</v>
      </c>
      <c r="B775" t="s">
        <v>4419</v>
      </c>
      <c r="C775">
        <v>41220</v>
      </c>
      <c r="D775">
        <v>669</v>
      </c>
      <c r="E775" t="s">
        <v>4420</v>
      </c>
      <c r="F775">
        <v>1300</v>
      </c>
      <c r="G775" t="s">
        <v>406</v>
      </c>
      <c r="H775">
        <v>1300</v>
      </c>
      <c r="I775" t="s">
        <v>406</v>
      </c>
      <c r="J775" t="s">
        <v>3250</v>
      </c>
      <c r="K775" t="s">
        <v>3250</v>
      </c>
      <c r="L775">
        <v>5000</v>
      </c>
      <c r="M775" t="s">
        <v>245</v>
      </c>
      <c r="N775">
        <v>5004</v>
      </c>
      <c r="O775" t="s">
        <v>2442</v>
      </c>
      <c r="P775" t="s">
        <v>3108</v>
      </c>
      <c r="Q775" t="s">
        <v>3249</v>
      </c>
      <c r="R775" t="s">
        <v>3249</v>
      </c>
      <c r="S775" t="s">
        <v>472</v>
      </c>
      <c r="T775" t="s">
        <v>2759</v>
      </c>
      <c r="U775" t="s">
        <v>3250</v>
      </c>
      <c r="V775" t="s">
        <v>3250</v>
      </c>
      <c r="W775" t="s">
        <v>3250</v>
      </c>
      <c r="X775" t="s">
        <v>3250</v>
      </c>
      <c r="Y775" t="s">
        <v>3250</v>
      </c>
      <c r="Z775" t="s">
        <v>3250</v>
      </c>
      <c r="AA775" t="s">
        <v>3108</v>
      </c>
      <c r="AB775" t="s">
        <v>3108</v>
      </c>
      <c r="AC775" t="s">
        <v>3250</v>
      </c>
      <c r="AD775" t="s">
        <v>3250</v>
      </c>
      <c r="AE775" t="s">
        <v>3250</v>
      </c>
      <c r="AF775" t="s">
        <v>3250</v>
      </c>
      <c r="AG775" t="s">
        <v>3250</v>
      </c>
      <c r="AH775" t="s">
        <v>3250</v>
      </c>
      <c r="AI775" t="s">
        <v>3250</v>
      </c>
      <c r="AJ775" t="s">
        <v>3250</v>
      </c>
      <c r="AL775" t="s">
        <v>3250</v>
      </c>
      <c r="AM775" t="s">
        <v>3250</v>
      </c>
      <c r="AN775" t="s">
        <v>3250</v>
      </c>
      <c r="AO775" t="s">
        <v>3250</v>
      </c>
      <c r="AS775" t="s">
        <v>3250</v>
      </c>
      <c r="AT775" t="s">
        <v>3250</v>
      </c>
      <c r="AU775" t="s">
        <v>3250</v>
      </c>
      <c r="AV775" t="s">
        <v>3250</v>
      </c>
      <c r="AW775" t="s">
        <v>3250</v>
      </c>
      <c r="AX775" t="s">
        <v>3250</v>
      </c>
      <c r="AY775" t="s">
        <v>3250</v>
      </c>
      <c r="AZ775" t="s">
        <v>3250</v>
      </c>
      <c r="BA775" t="s">
        <v>3250</v>
      </c>
      <c r="BB775" t="s">
        <v>3250</v>
      </c>
      <c r="BC775" t="s">
        <v>3250</v>
      </c>
      <c r="BE775" t="s">
        <v>3250</v>
      </c>
      <c r="BF775" t="s">
        <v>3250</v>
      </c>
      <c r="BG775" t="s">
        <v>3250</v>
      </c>
      <c r="BH775" t="s">
        <v>3250</v>
      </c>
      <c r="BI775" t="s">
        <v>3250</v>
      </c>
      <c r="BK775" t="s">
        <v>3250</v>
      </c>
      <c r="BL775" t="s">
        <v>3250</v>
      </c>
      <c r="BM775" t="s">
        <v>3250</v>
      </c>
      <c r="BN775" t="s">
        <v>3250</v>
      </c>
      <c r="BP775">
        <v>11</v>
      </c>
      <c r="BQ775">
        <v>111</v>
      </c>
      <c r="BR775" t="s">
        <v>2442</v>
      </c>
      <c r="BS775" t="s">
        <v>245</v>
      </c>
      <c r="BV775">
        <v>277200</v>
      </c>
      <c r="BW775">
        <v>340791</v>
      </c>
      <c r="BX775">
        <v>316201</v>
      </c>
      <c r="BY775">
        <v>-390465</v>
      </c>
      <c r="BZ775">
        <v>-390465</v>
      </c>
      <c r="CA775">
        <v>-405693</v>
      </c>
      <c r="CB775">
        <v>-421921</v>
      </c>
      <c r="CC775">
        <v>-438798</v>
      </c>
      <c r="CD775">
        <v>251748</v>
      </c>
      <c r="CE775" t="s">
        <v>3108</v>
      </c>
      <c r="CF775" t="s">
        <v>3108</v>
      </c>
      <c r="CG775" t="s">
        <v>3108</v>
      </c>
      <c r="CH775" t="s">
        <v>3108</v>
      </c>
    </row>
    <row r="776" spans="1:86" x14ac:dyDescent="0.2">
      <c r="A776" t="s">
        <v>4421</v>
      </c>
      <c r="B776" t="s">
        <v>4421</v>
      </c>
      <c r="C776">
        <v>41221</v>
      </c>
      <c r="D776">
        <v>670</v>
      </c>
      <c r="E776" t="s">
        <v>4422</v>
      </c>
      <c r="F776">
        <v>1300</v>
      </c>
      <c r="G776" t="s">
        <v>406</v>
      </c>
      <c r="H776">
        <v>1300</v>
      </c>
      <c r="I776" t="s">
        <v>406</v>
      </c>
      <c r="J776" t="s">
        <v>3250</v>
      </c>
      <c r="K776" t="s">
        <v>3250</v>
      </c>
      <c r="L776">
        <v>5000</v>
      </c>
      <c r="M776" t="s">
        <v>245</v>
      </c>
      <c r="N776">
        <v>5004</v>
      </c>
      <c r="O776" t="s">
        <v>2442</v>
      </c>
      <c r="P776" t="s">
        <v>3108</v>
      </c>
      <c r="Q776" t="s">
        <v>3249</v>
      </c>
      <c r="R776" t="s">
        <v>3249</v>
      </c>
      <c r="S776" t="s">
        <v>472</v>
      </c>
      <c r="T776" t="s">
        <v>2759</v>
      </c>
      <c r="U776" t="s">
        <v>3250</v>
      </c>
      <c r="V776" t="s">
        <v>3250</v>
      </c>
      <c r="W776" t="s">
        <v>3250</v>
      </c>
      <c r="X776" t="s">
        <v>3250</v>
      </c>
      <c r="Y776" t="s">
        <v>3250</v>
      </c>
      <c r="Z776" t="s">
        <v>3250</v>
      </c>
      <c r="AA776" t="s">
        <v>3108</v>
      </c>
      <c r="AB776" t="s">
        <v>3108</v>
      </c>
      <c r="AC776" t="s">
        <v>3250</v>
      </c>
      <c r="AD776" t="s">
        <v>3250</v>
      </c>
      <c r="AE776" t="s">
        <v>3250</v>
      </c>
      <c r="AF776" t="s">
        <v>3250</v>
      </c>
      <c r="AG776" t="s">
        <v>3250</v>
      </c>
      <c r="AH776" t="s">
        <v>3250</v>
      </c>
      <c r="AI776" t="s">
        <v>3250</v>
      </c>
      <c r="AJ776" t="s">
        <v>3250</v>
      </c>
      <c r="AL776" t="s">
        <v>3250</v>
      </c>
      <c r="AM776" t="s">
        <v>3250</v>
      </c>
      <c r="AN776" t="s">
        <v>3250</v>
      </c>
      <c r="AO776" t="s">
        <v>3250</v>
      </c>
      <c r="AS776" t="s">
        <v>3250</v>
      </c>
      <c r="AT776" t="s">
        <v>3250</v>
      </c>
      <c r="AU776" t="s">
        <v>3250</v>
      </c>
      <c r="AV776" t="s">
        <v>3250</v>
      </c>
      <c r="AW776" t="s">
        <v>3250</v>
      </c>
      <c r="AX776" t="s">
        <v>3250</v>
      </c>
      <c r="AY776" t="s">
        <v>3250</v>
      </c>
      <c r="AZ776" t="s">
        <v>3250</v>
      </c>
      <c r="BA776" t="s">
        <v>3250</v>
      </c>
      <c r="BB776" t="s">
        <v>3250</v>
      </c>
      <c r="BC776" t="s">
        <v>3250</v>
      </c>
      <c r="BE776" t="s">
        <v>3250</v>
      </c>
      <c r="BF776" t="s">
        <v>3250</v>
      </c>
      <c r="BG776" t="s">
        <v>3250</v>
      </c>
      <c r="BH776" t="s">
        <v>3250</v>
      </c>
      <c r="BI776" t="s">
        <v>3250</v>
      </c>
      <c r="BK776" t="s">
        <v>3250</v>
      </c>
      <c r="BL776" t="s">
        <v>3250</v>
      </c>
      <c r="BM776" t="s">
        <v>3250</v>
      </c>
      <c r="BN776" t="s">
        <v>3250</v>
      </c>
      <c r="BP776">
        <v>11</v>
      </c>
      <c r="BQ776">
        <v>111</v>
      </c>
      <c r="BR776" t="s">
        <v>2442</v>
      </c>
      <c r="BS776" t="s">
        <v>245</v>
      </c>
      <c r="BV776">
        <v>1315691</v>
      </c>
      <c r="BW776">
        <v>1552924</v>
      </c>
      <c r="BX776">
        <v>1461289</v>
      </c>
      <c r="BY776">
        <v>-2239499</v>
      </c>
      <c r="BZ776">
        <v>-2239499</v>
      </c>
      <c r="CA776">
        <v>-2326840</v>
      </c>
      <c r="CB776">
        <v>-2419913</v>
      </c>
      <c r="CC776">
        <v>-2516710</v>
      </c>
      <c r="CD776">
        <v>1725143</v>
      </c>
      <c r="CE776" t="s">
        <v>3108</v>
      </c>
      <c r="CF776" t="s">
        <v>3108</v>
      </c>
      <c r="CG776" t="s">
        <v>3108</v>
      </c>
      <c r="CH776" t="s">
        <v>3108</v>
      </c>
    </row>
    <row r="777" spans="1:86" x14ac:dyDescent="0.2">
      <c r="A777" t="s">
        <v>4423</v>
      </c>
      <c r="B777" t="s">
        <v>4423</v>
      </c>
      <c r="C777">
        <v>41222</v>
      </c>
      <c r="D777">
        <v>506</v>
      </c>
      <c r="E777" t="s">
        <v>4001</v>
      </c>
      <c r="F777">
        <v>2900</v>
      </c>
      <c r="G777" t="s">
        <v>822</v>
      </c>
      <c r="H777" t="s">
        <v>3108</v>
      </c>
      <c r="I777" t="s">
        <v>3108</v>
      </c>
      <c r="J777">
        <v>2904</v>
      </c>
      <c r="K777" t="s">
        <v>1690</v>
      </c>
      <c r="L777">
        <v>1100</v>
      </c>
      <c r="M777" t="s">
        <v>119</v>
      </c>
      <c r="N777">
        <v>1120</v>
      </c>
      <c r="O777" t="s">
        <v>2367</v>
      </c>
      <c r="P777" t="s">
        <v>3108</v>
      </c>
      <c r="Q777" t="s">
        <v>3249</v>
      </c>
      <c r="R777" t="s">
        <v>3249</v>
      </c>
      <c r="S777" t="s">
        <v>810</v>
      </c>
      <c r="T777" t="s">
        <v>2754</v>
      </c>
      <c r="U777" t="s">
        <v>3250</v>
      </c>
      <c r="V777" t="s">
        <v>3250</v>
      </c>
      <c r="W777" t="s">
        <v>3250</v>
      </c>
      <c r="X777" t="s">
        <v>3250</v>
      </c>
      <c r="Y777" t="s">
        <v>3250</v>
      </c>
      <c r="Z777" t="s">
        <v>3250</v>
      </c>
      <c r="AA777" t="s">
        <v>3108</v>
      </c>
      <c r="AB777" t="s">
        <v>3108</v>
      </c>
      <c r="AC777" t="s">
        <v>3250</v>
      </c>
      <c r="AD777" t="s">
        <v>3250</v>
      </c>
      <c r="AE777" t="s">
        <v>3250</v>
      </c>
      <c r="AF777" t="s">
        <v>3250</v>
      </c>
      <c r="AG777" t="s">
        <v>3250</v>
      </c>
      <c r="AH777" t="s">
        <v>3250</v>
      </c>
      <c r="AI777" t="s">
        <v>3250</v>
      </c>
      <c r="AJ777" t="s">
        <v>3250</v>
      </c>
      <c r="AL777" t="s">
        <v>3250</v>
      </c>
      <c r="AM777" t="s">
        <v>3250</v>
      </c>
      <c r="AN777" t="s">
        <v>3250</v>
      </c>
      <c r="AO777" t="s">
        <v>3250</v>
      </c>
      <c r="AS777" t="s">
        <v>3250</v>
      </c>
      <c r="AT777" t="s">
        <v>3250</v>
      </c>
      <c r="AU777" t="s">
        <v>3250</v>
      </c>
      <c r="AV777" t="s">
        <v>3250</v>
      </c>
      <c r="AW777" t="s">
        <v>3250</v>
      </c>
      <c r="AX777" t="s">
        <v>3250</v>
      </c>
      <c r="AY777" t="s">
        <v>3250</v>
      </c>
      <c r="AZ777" t="s">
        <v>3250</v>
      </c>
      <c r="BA777" t="s">
        <v>3250</v>
      </c>
      <c r="BB777" t="s">
        <v>3250</v>
      </c>
      <c r="BC777" t="s">
        <v>3250</v>
      </c>
      <c r="BE777" t="s">
        <v>3250</v>
      </c>
      <c r="BF777" t="s">
        <v>3250</v>
      </c>
      <c r="BG777" t="s">
        <v>3250</v>
      </c>
      <c r="BH777" t="s">
        <v>3250</v>
      </c>
      <c r="BI777" t="s">
        <v>3250</v>
      </c>
      <c r="BK777" t="s">
        <v>3250</v>
      </c>
      <c r="BL777" t="s">
        <v>3250</v>
      </c>
      <c r="BM777" t="s">
        <v>3250</v>
      </c>
      <c r="BN777" t="s">
        <v>3250</v>
      </c>
      <c r="BP777">
        <v>3</v>
      </c>
      <c r="BQ777">
        <v>31</v>
      </c>
      <c r="BR777" t="s">
        <v>2367</v>
      </c>
      <c r="BS777" t="s">
        <v>4381</v>
      </c>
      <c r="BV777">
        <v>0</v>
      </c>
      <c r="BW777">
        <v>0</v>
      </c>
      <c r="BX777">
        <v>0</v>
      </c>
      <c r="BY777">
        <v>0</v>
      </c>
      <c r="BZ777">
        <v>0</v>
      </c>
      <c r="CA777">
        <v>0</v>
      </c>
      <c r="CB777">
        <v>0</v>
      </c>
      <c r="CC777">
        <v>0</v>
      </c>
      <c r="CD777">
        <v>0</v>
      </c>
      <c r="CE777" t="s">
        <v>3108</v>
      </c>
      <c r="CF777" t="s">
        <v>3108</v>
      </c>
      <c r="CG777" t="s">
        <v>3108</v>
      </c>
      <c r="CH777" t="s">
        <v>3108</v>
      </c>
    </row>
    <row r="778" spans="1:86" x14ac:dyDescent="0.2">
      <c r="A778" t="s">
        <v>4424</v>
      </c>
      <c r="B778" t="s">
        <v>4424</v>
      </c>
      <c r="C778">
        <v>41223</v>
      </c>
      <c r="D778">
        <v>507</v>
      </c>
      <c r="E778" t="s">
        <v>4015</v>
      </c>
      <c r="F778">
        <v>2900</v>
      </c>
      <c r="G778" t="s">
        <v>822</v>
      </c>
      <c r="H778" t="s">
        <v>3108</v>
      </c>
      <c r="I778" t="s">
        <v>3108</v>
      </c>
      <c r="J778">
        <v>2904</v>
      </c>
      <c r="K778" t="s">
        <v>1690</v>
      </c>
      <c r="L778">
        <v>1100</v>
      </c>
      <c r="M778" t="s">
        <v>119</v>
      </c>
      <c r="N778">
        <v>1120</v>
      </c>
      <c r="O778" t="s">
        <v>2367</v>
      </c>
      <c r="P778" t="s">
        <v>3108</v>
      </c>
      <c r="Q778" t="s">
        <v>3249</v>
      </c>
      <c r="R778" t="s">
        <v>3249</v>
      </c>
      <c r="S778" t="s">
        <v>810</v>
      </c>
      <c r="T778" t="s">
        <v>2754</v>
      </c>
      <c r="U778" t="s">
        <v>3250</v>
      </c>
      <c r="V778" t="s">
        <v>3250</v>
      </c>
      <c r="W778" t="s">
        <v>3250</v>
      </c>
      <c r="X778" t="s">
        <v>3250</v>
      </c>
      <c r="Y778" t="s">
        <v>3250</v>
      </c>
      <c r="Z778" t="s">
        <v>3250</v>
      </c>
      <c r="AA778" t="s">
        <v>3108</v>
      </c>
      <c r="AB778" t="s">
        <v>3108</v>
      </c>
      <c r="AC778" t="s">
        <v>3250</v>
      </c>
      <c r="AD778" t="s">
        <v>3250</v>
      </c>
      <c r="AE778" t="s">
        <v>3250</v>
      </c>
      <c r="AF778" t="s">
        <v>3250</v>
      </c>
      <c r="AG778" t="s">
        <v>3250</v>
      </c>
      <c r="AH778" t="s">
        <v>3250</v>
      </c>
      <c r="AI778" t="s">
        <v>3250</v>
      </c>
      <c r="AJ778" t="s">
        <v>3250</v>
      </c>
      <c r="AL778" t="s">
        <v>3250</v>
      </c>
      <c r="AM778" t="s">
        <v>3250</v>
      </c>
      <c r="AN778" t="s">
        <v>3250</v>
      </c>
      <c r="AO778" t="s">
        <v>3250</v>
      </c>
      <c r="AS778" t="s">
        <v>3250</v>
      </c>
      <c r="AT778" t="s">
        <v>3250</v>
      </c>
      <c r="AU778" t="s">
        <v>3250</v>
      </c>
      <c r="AV778" t="s">
        <v>3250</v>
      </c>
      <c r="AW778" t="s">
        <v>3250</v>
      </c>
      <c r="AX778" t="s">
        <v>3250</v>
      </c>
      <c r="AY778" t="s">
        <v>3250</v>
      </c>
      <c r="AZ778" t="s">
        <v>3250</v>
      </c>
      <c r="BA778" t="s">
        <v>3250</v>
      </c>
      <c r="BB778" t="s">
        <v>3250</v>
      </c>
      <c r="BC778" t="s">
        <v>3250</v>
      </c>
      <c r="BE778" t="s">
        <v>3250</v>
      </c>
      <c r="BF778" t="s">
        <v>3250</v>
      </c>
      <c r="BG778" t="s">
        <v>3250</v>
      </c>
      <c r="BH778" t="s">
        <v>3250</v>
      </c>
      <c r="BI778" t="s">
        <v>3250</v>
      </c>
      <c r="BK778" t="s">
        <v>3250</v>
      </c>
      <c r="BL778" t="s">
        <v>3250</v>
      </c>
      <c r="BM778" t="s">
        <v>3250</v>
      </c>
      <c r="BN778" t="s">
        <v>3250</v>
      </c>
      <c r="BP778">
        <v>3</v>
      </c>
      <c r="BQ778">
        <v>31</v>
      </c>
      <c r="BR778" t="s">
        <v>2367</v>
      </c>
      <c r="BS778" t="s">
        <v>4381</v>
      </c>
      <c r="BV778">
        <v>0</v>
      </c>
      <c r="BW778">
        <v>0</v>
      </c>
      <c r="BX778">
        <v>850</v>
      </c>
      <c r="BY778">
        <v>0</v>
      </c>
      <c r="BZ778">
        <v>0</v>
      </c>
      <c r="CA778">
        <v>0</v>
      </c>
      <c r="CB778">
        <v>0</v>
      </c>
      <c r="CC778">
        <v>0</v>
      </c>
      <c r="CD778">
        <v>0</v>
      </c>
      <c r="CE778" t="s">
        <v>3108</v>
      </c>
      <c r="CF778" t="s">
        <v>3108</v>
      </c>
      <c r="CG778" t="s">
        <v>3108</v>
      </c>
      <c r="CH778" t="s">
        <v>3108</v>
      </c>
    </row>
    <row r="779" spans="1:86" x14ac:dyDescent="0.2">
      <c r="A779" t="s">
        <v>4425</v>
      </c>
      <c r="B779" t="s">
        <v>4425</v>
      </c>
      <c r="C779">
        <v>41224</v>
      </c>
      <c r="D779">
        <v>508</v>
      </c>
      <c r="E779" t="s">
        <v>4015</v>
      </c>
      <c r="F779">
        <v>2900</v>
      </c>
      <c r="G779" t="s">
        <v>822</v>
      </c>
      <c r="H779" t="s">
        <v>3108</v>
      </c>
      <c r="I779" t="s">
        <v>3108</v>
      </c>
      <c r="J779">
        <v>2904</v>
      </c>
      <c r="K779" t="s">
        <v>1690</v>
      </c>
      <c r="L779">
        <v>1100</v>
      </c>
      <c r="M779" t="s">
        <v>119</v>
      </c>
      <c r="N779">
        <v>1120</v>
      </c>
      <c r="O779" t="s">
        <v>2367</v>
      </c>
      <c r="P779" t="s">
        <v>3108</v>
      </c>
      <c r="Q779" t="s">
        <v>3249</v>
      </c>
      <c r="R779" t="s">
        <v>3249</v>
      </c>
      <c r="S779" t="s">
        <v>810</v>
      </c>
      <c r="T779" t="s">
        <v>2754</v>
      </c>
      <c r="U779" t="s">
        <v>3250</v>
      </c>
      <c r="V779" t="s">
        <v>3250</v>
      </c>
      <c r="W779" t="s">
        <v>3250</v>
      </c>
      <c r="X779" t="s">
        <v>3250</v>
      </c>
      <c r="Y779" t="s">
        <v>3250</v>
      </c>
      <c r="Z779" t="s">
        <v>3250</v>
      </c>
      <c r="AA779" t="s">
        <v>3108</v>
      </c>
      <c r="AB779" t="s">
        <v>3108</v>
      </c>
      <c r="AC779" t="s">
        <v>3250</v>
      </c>
      <c r="AD779" t="s">
        <v>3250</v>
      </c>
      <c r="AE779" t="s">
        <v>3250</v>
      </c>
      <c r="AF779" t="s">
        <v>3250</v>
      </c>
      <c r="AG779" t="s">
        <v>3250</v>
      </c>
      <c r="AH779" t="s">
        <v>3250</v>
      </c>
      <c r="AI779" t="s">
        <v>3250</v>
      </c>
      <c r="AJ779" t="s">
        <v>3250</v>
      </c>
      <c r="AL779" t="s">
        <v>3250</v>
      </c>
      <c r="AM779" t="s">
        <v>3250</v>
      </c>
      <c r="AN779" t="s">
        <v>3250</v>
      </c>
      <c r="AO779" t="s">
        <v>3250</v>
      </c>
      <c r="AS779" t="s">
        <v>3250</v>
      </c>
      <c r="AT779" t="s">
        <v>3250</v>
      </c>
      <c r="AU779" t="s">
        <v>3250</v>
      </c>
      <c r="AV779" t="s">
        <v>3250</v>
      </c>
      <c r="AW779" t="s">
        <v>3250</v>
      </c>
      <c r="AX779" t="s">
        <v>3250</v>
      </c>
      <c r="AY779" t="s">
        <v>3250</v>
      </c>
      <c r="AZ779" t="s">
        <v>3250</v>
      </c>
      <c r="BA779" t="s">
        <v>3250</v>
      </c>
      <c r="BB779" t="s">
        <v>3250</v>
      </c>
      <c r="BC779" t="s">
        <v>3250</v>
      </c>
      <c r="BE779" t="s">
        <v>3250</v>
      </c>
      <c r="BF779" t="s">
        <v>3250</v>
      </c>
      <c r="BG779" t="s">
        <v>3250</v>
      </c>
      <c r="BH779" t="s">
        <v>3250</v>
      </c>
      <c r="BI779" t="s">
        <v>3250</v>
      </c>
      <c r="BK779" t="s">
        <v>3250</v>
      </c>
      <c r="BL779" t="s">
        <v>3250</v>
      </c>
      <c r="BM779" t="s">
        <v>3250</v>
      </c>
      <c r="BN779" t="s">
        <v>3250</v>
      </c>
      <c r="BP779">
        <v>3</v>
      </c>
      <c r="BQ779">
        <v>31</v>
      </c>
      <c r="BR779" t="s">
        <v>2367</v>
      </c>
      <c r="BS779" t="s">
        <v>4381</v>
      </c>
      <c r="BV779">
        <v>0</v>
      </c>
      <c r="BW779">
        <v>49725</v>
      </c>
      <c r="BX779">
        <v>0</v>
      </c>
      <c r="BY779">
        <v>0</v>
      </c>
      <c r="BZ779">
        <v>0</v>
      </c>
      <c r="CA779">
        <v>0</v>
      </c>
      <c r="CB779">
        <v>0</v>
      </c>
      <c r="CC779">
        <v>0</v>
      </c>
      <c r="CD779">
        <v>0</v>
      </c>
      <c r="CE779" t="s">
        <v>3108</v>
      </c>
      <c r="CF779" t="s">
        <v>3108</v>
      </c>
      <c r="CG779" t="s">
        <v>3108</v>
      </c>
      <c r="CH779" t="s">
        <v>3108</v>
      </c>
    </row>
    <row r="780" spans="1:86" x14ac:dyDescent="0.2">
      <c r="A780" t="s">
        <v>4426</v>
      </c>
      <c r="B780" t="s">
        <v>4426</v>
      </c>
      <c r="C780">
        <v>41225</v>
      </c>
      <c r="D780">
        <v>509</v>
      </c>
      <c r="E780" t="s">
        <v>4006</v>
      </c>
      <c r="F780">
        <v>2700</v>
      </c>
      <c r="G780" t="s">
        <v>411</v>
      </c>
      <c r="H780" t="s">
        <v>4004</v>
      </c>
      <c r="I780" t="s">
        <v>2531</v>
      </c>
      <c r="J780">
        <v>2701</v>
      </c>
      <c r="K780" t="s">
        <v>2531</v>
      </c>
      <c r="L780">
        <v>1100</v>
      </c>
      <c r="M780" t="s">
        <v>119</v>
      </c>
      <c r="N780">
        <v>1120</v>
      </c>
      <c r="O780" t="s">
        <v>2367</v>
      </c>
      <c r="P780" t="s">
        <v>3108</v>
      </c>
      <c r="Q780" t="s">
        <v>3249</v>
      </c>
      <c r="R780" t="s">
        <v>3249</v>
      </c>
      <c r="S780" t="s">
        <v>810</v>
      </c>
      <c r="T780" t="s">
        <v>2754</v>
      </c>
      <c r="U780" t="s">
        <v>3250</v>
      </c>
      <c r="V780" t="s">
        <v>3250</v>
      </c>
      <c r="W780" t="s">
        <v>3250</v>
      </c>
      <c r="X780" t="s">
        <v>3250</v>
      </c>
      <c r="Y780" t="s">
        <v>3250</v>
      </c>
      <c r="Z780" t="s">
        <v>3250</v>
      </c>
      <c r="AA780" t="s">
        <v>3108</v>
      </c>
      <c r="AB780" t="s">
        <v>3108</v>
      </c>
      <c r="AC780" t="s">
        <v>3250</v>
      </c>
      <c r="AD780" t="s">
        <v>3250</v>
      </c>
      <c r="AE780" t="s">
        <v>3250</v>
      </c>
      <c r="AF780" t="s">
        <v>3250</v>
      </c>
      <c r="AG780" t="s">
        <v>3250</v>
      </c>
      <c r="AH780" t="s">
        <v>3250</v>
      </c>
      <c r="AI780" t="s">
        <v>3250</v>
      </c>
      <c r="AJ780" t="s">
        <v>3250</v>
      </c>
      <c r="AL780" t="s">
        <v>3250</v>
      </c>
      <c r="AM780" t="s">
        <v>3250</v>
      </c>
      <c r="AN780" t="s">
        <v>3250</v>
      </c>
      <c r="AO780" t="s">
        <v>3250</v>
      </c>
      <c r="AS780" t="s">
        <v>3250</v>
      </c>
      <c r="AT780" t="s">
        <v>3250</v>
      </c>
      <c r="AU780" t="s">
        <v>3250</v>
      </c>
      <c r="AV780" t="s">
        <v>3250</v>
      </c>
      <c r="AW780" t="s">
        <v>3250</v>
      </c>
      <c r="AX780" t="s">
        <v>3250</v>
      </c>
      <c r="AY780" t="s">
        <v>3250</v>
      </c>
      <c r="AZ780" t="s">
        <v>3250</v>
      </c>
      <c r="BA780" t="s">
        <v>3250</v>
      </c>
      <c r="BB780" t="s">
        <v>3250</v>
      </c>
      <c r="BC780" t="s">
        <v>3250</v>
      </c>
      <c r="BE780" t="s">
        <v>3250</v>
      </c>
      <c r="BF780" t="s">
        <v>3250</v>
      </c>
      <c r="BG780" t="s">
        <v>3250</v>
      </c>
      <c r="BH780" t="s">
        <v>3250</v>
      </c>
      <c r="BI780" t="s">
        <v>3250</v>
      </c>
      <c r="BK780" t="s">
        <v>3250</v>
      </c>
      <c r="BL780" t="s">
        <v>3250</v>
      </c>
      <c r="BM780" t="s">
        <v>3250</v>
      </c>
      <c r="BN780" t="s">
        <v>3250</v>
      </c>
      <c r="BP780">
        <v>3</v>
      </c>
      <c r="BQ780">
        <v>31</v>
      </c>
      <c r="BR780" t="s">
        <v>2367</v>
      </c>
      <c r="BS780" t="s">
        <v>4381</v>
      </c>
      <c r="BV780">
        <v>0</v>
      </c>
      <c r="BW780">
        <v>0</v>
      </c>
      <c r="BX780">
        <v>0</v>
      </c>
      <c r="BY780">
        <v>0</v>
      </c>
      <c r="BZ780">
        <v>0</v>
      </c>
      <c r="CA780">
        <v>0</v>
      </c>
      <c r="CB780">
        <v>0</v>
      </c>
      <c r="CC780">
        <v>0</v>
      </c>
      <c r="CD780">
        <v>0</v>
      </c>
      <c r="CE780" t="s">
        <v>3108</v>
      </c>
      <c r="CF780" t="s">
        <v>3108</v>
      </c>
      <c r="CG780" t="s">
        <v>3108</v>
      </c>
      <c r="CH780" t="s">
        <v>3108</v>
      </c>
    </row>
    <row r="781" spans="1:86" x14ac:dyDescent="0.2">
      <c r="A781" t="s">
        <v>4427</v>
      </c>
      <c r="B781" t="s">
        <v>4427</v>
      </c>
      <c r="C781">
        <v>41226</v>
      </c>
      <c r="D781">
        <v>510</v>
      </c>
      <c r="E781" t="s">
        <v>4003</v>
      </c>
      <c r="F781">
        <v>2700</v>
      </c>
      <c r="G781" t="s">
        <v>411</v>
      </c>
      <c r="H781" t="s">
        <v>4004</v>
      </c>
      <c r="I781" t="s">
        <v>2531</v>
      </c>
      <c r="J781">
        <v>2701</v>
      </c>
      <c r="K781" t="s">
        <v>2531</v>
      </c>
      <c r="L781">
        <v>1100</v>
      </c>
      <c r="M781" t="s">
        <v>119</v>
      </c>
      <c r="N781">
        <v>1120</v>
      </c>
      <c r="O781" t="s">
        <v>2367</v>
      </c>
      <c r="P781" t="s">
        <v>3108</v>
      </c>
      <c r="Q781" t="s">
        <v>3249</v>
      </c>
      <c r="R781" t="s">
        <v>3249</v>
      </c>
      <c r="S781" t="s">
        <v>810</v>
      </c>
      <c r="T781" t="s">
        <v>2754</v>
      </c>
      <c r="U781" t="s">
        <v>3250</v>
      </c>
      <c r="V781" t="s">
        <v>3250</v>
      </c>
      <c r="W781" t="s">
        <v>3250</v>
      </c>
      <c r="X781" t="s">
        <v>3250</v>
      </c>
      <c r="Y781" t="s">
        <v>3250</v>
      </c>
      <c r="Z781" t="s">
        <v>3250</v>
      </c>
      <c r="AA781" t="s">
        <v>3108</v>
      </c>
      <c r="AB781" t="s">
        <v>3108</v>
      </c>
      <c r="AC781" t="s">
        <v>3250</v>
      </c>
      <c r="AD781" t="s">
        <v>3250</v>
      </c>
      <c r="AE781" t="s">
        <v>3250</v>
      </c>
      <c r="AF781" t="s">
        <v>3250</v>
      </c>
      <c r="AG781" t="s">
        <v>3250</v>
      </c>
      <c r="AH781" t="s">
        <v>3250</v>
      </c>
      <c r="AI781" t="s">
        <v>3250</v>
      </c>
      <c r="AJ781" t="s">
        <v>3250</v>
      </c>
      <c r="AL781" t="s">
        <v>3250</v>
      </c>
      <c r="AM781" t="s">
        <v>3250</v>
      </c>
      <c r="AN781" t="s">
        <v>3250</v>
      </c>
      <c r="AO781" t="s">
        <v>3250</v>
      </c>
      <c r="AS781" t="s">
        <v>3250</v>
      </c>
      <c r="AT781" t="s">
        <v>3250</v>
      </c>
      <c r="AU781" t="s">
        <v>3250</v>
      </c>
      <c r="AV781" t="s">
        <v>3250</v>
      </c>
      <c r="AW781" t="s">
        <v>3250</v>
      </c>
      <c r="AX781" t="s">
        <v>3250</v>
      </c>
      <c r="AY781" t="s">
        <v>3250</v>
      </c>
      <c r="AZ781" t="s">
        <v>3250</v>
      </c>
      <c r="BA781" t="s">
        <v>3250</v>
      </c>
      <c r="BB781" t="s">
        <v>3250</v>
      </c>
      <c r="BC781" t="s">
        <v>3250</v>
      </c>
      <c r="BE781" t="s">
        <v>3250</v>
      </c>
      <c r="BF781" t="s">
        <v>3250</v>
      </c>
      <c r="BG781" t="s">
        <v>3250</v>
      </c>
      <c r="BH781" t="s">
        <v>3250</v>
      </c>
      <c r="BI781" t="s">
        <v>3250</v>
      </c>
      <c r="BK781" t="s">
        <v>3250</v>
      </c>
      <c r="BL781" t="s">
        <v>3250</v>
      </c>
      <c r="BM781" t="s">
        <v>3250</v>
      </c>
      <c r="BN781" t="s">
        <v>3250</v>
      </c>
      <c r="BP781">
        <v>3</v>
      </c>
      <c r="BQ781">
        <v>31</v>
      </c>
      <c r="BR781" t="s">
        <v>2367</v>
      </c>
      <c r="BS781" t="s">
        <v>4381</v>
      </c>
      <c r="BV781">
        <v>0</v>
      </c>
      <c r="BW781">
        <v>0</v>
      </c>
      <c r="BX781">
        <v>0</v>
      </c>
      <c r="BY781">
        <v>0</v>
      </c>
      <c r="BZ781">
        <v>0</v>
      </c>
      <c r="CA781">
        <v>0</v>
      </c>
      <c r="CB781">
        <v>0</v>
      </c>
      <c r="CC781">
        <v>0</v>
      </c>
      <c r="CD781">
        <v>0</v>
      </c>
      <c r="CE781" t="s">
        <v>3108</v>
      </c>
      <c r="CF781" t="s">
        <v>3108</v>
      </c>
      <c r="CG781" t="s">
        <v>3108</v>
      </c>
      <c r="CH781" t="s">
        <v>3108</v>
      </c>
    </row>
    <row r="782" spans="1:86" x14ac:dyDescent="0.2">
      <c r="A782" t="s">
        <v>4428</v>
      </c>
      <c r="B782" t="s">
        <v>4428</v>
      </c>
      <c r="C782">
        <v>41231</v>
      </c>
      <c r="D782">
        <v>777</v>
      </c>
      <c r="E782" t="s">
        <v>4429</v>
      </c>
      <c r="F782">
        <v>2700</v>
      </c>
      <c r="G782" t="s">
        <v>411</v>
      </c>
      <c r="H782" t="s">
        <v>3997</v>
      </c>
      <c r="I782" t="s">
        <v>2533</v>
      </c>
      <c r="J782">
        <v>2703</v>
      </c>
      <c r="K782" t="s">
        <v>2533</v>
      </c>
      <c r="L782">
        <v>3100</v>
      </c>
      <c r="M782" t="s">
        <v>127</v>
      </c>
      <c r="N782">
        <v>3107</v>
      </c>
      <c r="O782" t="s">
        <v>2418</v>
      </c>
      <c r="P782" t="s">
        <v>3108</v>
      </c>
      <c r="Q782" t="s">
        <v>3249</v>
      </c>
      <c r="R782" t="s">
        <v>3249</v>
      </c>
      <c r="S782" t="s">
        <v>810</v>
      </c>
      <c r="T782" t="s">
        <v>2754</v>
      </c>
      <c r="U782" t="s">
        <v>3250</v>
      </c>
      <c r="V782" t="s">
        <v>3250</v>
      </c>
      <c r="W782" t="s">
        <v>3250</v>
      </c>
      <c r="X782" t="s">
        <v>3250</v>
      </c>
      <c r="Y782" t="s">
        <v>3250</v>
      </c>
      <c r="Z782" t="s">
        <v>3250</v>
      </c>
      <c r="AA782" t="s">
        <v>3108</v>
      </c>
      <c r="AB782" t="s">
        <v>3108</v>
      </c>
      <c r="AC782" t="s">
        <v>3250</v>
      </c>
      <c r="AD782" t="s">
        <v>3250</v>
      </c>
      <c r="AE782" t="s">
        <v>3250</v>
      </c>
      <c r="AF782" t="s">
        <v>3250</v>
      </c>
      <c r="AG782" t="s">
        <v>3250</v>
      </c>
      <c r="AH782" t="s">
        <v>3250</v>
      </c>
      <c r="AI782" t="s">
        <v>3250</v>
      </c>
      <c r="AJ782" t="s">
        <v>3250</v>
      </c>
      <c r="AL782" t="s">
        <v>3250</v>
      </c>
      <c r="AM782" t="s">
        <v>3250</v>
      </c>
      <c r="AN782" t="s">
        <v>3250</v>
      </c>
      <c r="AO782" t="s">
        <v>3250</v>
      </c>
      <c r="AS782" t="s">
        <v>3250</v>
      </c>
      <c r="AT782" t="s">
        <v>3250</v>
      </c>
      <c r="AU782" t="s">
        <v>3250</v>
      </c>
      <c r="AV782" t="s">
        <v>3250</v>
      </c>
      <c r="AW782" t="s">
        <v>3250</v>
      </c>
      <c r="AX782" t="s">
        <v>3250</v>
      </c>
      <c r="AY782">
        <v>1510</v>
      </c>
      <c r="AZ782" t="s">
        <v>2334</v>
      </c>
      <c r="BA782" t="s">
        <v>3250</v>
      </c>
      <c r="BB782">
        <v>1510</v>
      </c>
      <c r="BC782" t="s">
        <v>2334</v>
      </c>
      <c r="BD782" t="s">
        <v>2820</v>
      </c>
      <c r="BE782" t="s">
        <v>3250</v>
      </c>
      <c r="BF782" t="s">
        <v>3250</v>
      </c>
      <c r="BG782" t="s">
        <v>3250</v>
      </c>
      <c r="BH782" t="s">
        <v>3250</v>
      </c>
      <c r="BI782" t="s">
        <v>3250</v>
      </c>
      <c r="BK782" t="s">
        <v>3250</v>
      </c>
      <c r="BL782" t="s">
        <v>3250</v>
      </c>
      <c r="BM782" t="s">
        <v>3250</v>
      </c>
      <c r="BN782" t="s">
        <v>3250</v>
      </c>
      <c r="BP782">
        <v>8</v>
      </c>
      <c r="BQ782">
        <v>81</v>
      </c>
      <c r="BR782" t="s">
        <v>2418</v>
      </c>
      <c r="BS782" t="s">
        <v>4013</v>
      </c>
      <c r="BV782">
        <v>0</v>
      </c>
      <c r="BW782">
        <v>0</v>
      </c>
      <c r="BX782">
        <v>13553</v>
      </c>
      <c r="BY782">
        <v>0</v>
      </c>
      <c r="BZ782">
        <v>0</v>
      </c>
      <c r="CA782">
        <v>0</v>
      </c>
      <c r="CB782">
        <v>0</v>
      </c>
      <c r="CC782">
        <v>0</v>
      </c>
      <c r="CD782">
        <v>0</v>
      </c>
      <c r="CE782" t="s">
        <v>3108</v>
      </c>
      <c r="CF782" t="s">
        <v>3108</v>
      </c>
      <c r="CG782" t="s">
        <v>3108</v>
      </c>
      <c r="CH782" t="s">
        <v>3108</v>
      </c>
    </row>
    <row r="783" spans="1:86" x14ac:dyDescent="0.2">
      <c r="A783" t="s">
        <v>4430</v>
      </c>
      <c r="B783" t="s">
        <v>4430</v>
      </c>
      <c r="C783">
        <v>41232</v>
      </c>
      <c r="D783">
        <v>778</v>
      </c>
      <c r="E783" t="s">
        <v>4431</v>
      </c>
      <c r="F783">
        <v>2700</v>
      </c>
      <c r="G783" t="s">
        <v>411</v>
      </c>
      <c r="H783" t="s">
        <v>3997</v>
      </c>
      <c r="I783" t="s">
        <v>2533</v>
      </c>
      <c r="J783">
        <v>2703</v>
      </c>
      <c r="K783" t="s">
        <v>2533</v>
      </c>
      <c r="L783">
        <v>1200</v>
      </c>
      <c r="M783" t="s">
        <v>2368</v>
      </c>
      <c r="N783">
        <v>1205</v>
      </c>
      <c r="O783" t="s">
        <v>2372</v>
      </c>
      <c r="P783" t="s">
        <v>3108</v>
      </c>
      <c r="Q783" t="s">
        <v>3249</v>
      </c>
      <c r="R783" t="s">
        <v>3249</v>
      </c>
      <c r="S783" t="s">
        <v>810</v>
      </c>
      <c r="T783" t="s">
        <v>2754</v>
      </c>
      <c r="U783" t="s">
        <v>3250</v>
      </c>
      <c r="V783" t="s">
        <v>3250</v>
      </c>
      <c r="W783" t="s">
        <v>3250</v>
      </c>
      <c r="X783" t="s">
        <v>3250</v>
      </c>
      <c r="Y783" t="s">
        <v>3250</v>
      </c>
      <c r="Z783" t="s">
        <v>3250</v>
      </c>
      <c r="AA783" t="s">
        <v>3108</v>
      </c>
      <c r="AB783" t="s">
        <v>3108</v>
      </c>
      <c r="AC783" t="s">
        <v>3250</v>
      </c>
      <c r="AD783" t="s">
        <v>3250</v>
      </c>
      <c r="AE783" t="s">
        <v>3250</v>
      </c>
      <c r="AF783" t="s">
        <v>3250</v>
      </c>
      <c r="AG783" t="s">
        <v>3250</v>
      </c>
      <c r="AH783" t="s">
        <v>3250</v>
      </c>
      <c r="AI783" t="s">
        <v>3250</v>
      </c>
      <c r="AJ783" t="s">
        <v>3250</v>
      </c>
      <c r="AL783" t="s">
        <v>3250</v>
      </c>
      <c r="AM783" t="s">
        <v>3250</v>
      </c>
      <c r="AN783" t="s">
        <v>3250</v>
      </c>
      <c r="AO783" t="s">
        <v>3250</v>
      </c>
      <c r="AS783" t="s">
        <v>3250</v>
      </c>
      <c r="AT783" t="s">
        <v>3250</v>
      </c>
      <c r="AU783" t="s">
        <v>3250</v>
      </c>
      <c r="AV783" t="s">
        <v>3250</v>
      </c>
      <c r="AW783" t="s">
        <v>3250</v>
      </c>
      <c r="AX783" t="s">
        <v>3250</v>
      </c>
      <c r="AY783">
        <v>1530</v>
      </c>
      <c r="AZ783" t="s">
        <v>2335</v>
      </c>
      <c r="BA783" t="s">
        <v>3250</v>
      </c>
      <c r="BB783">
        <v>1530</v>
      </c>
      <c r="BC783" t="s">
        <v>2335</v>
      </c>
      <c r="BD783" t="s">
        <v>2820</v>
      </c>
      <c r="BE783" t="s">
        <v>3250</v>
      </c>
      <c r="BF783" t="s">
        <v>3250</v>
      </c>
      <c r="BG783" t="s">
        <v>3250</v>
      </c>
      <c r="BH783" t="s">
        <v>3250</v>
      </c>
      <c r="BI783" t="s">
        <v>3250</v>
      </c>
      <c r="BK783" t="s">
        <v>3250</v>
      </c>
      <c r="BL783" t="s">
        <v>3250</v>
      </c>
      <c r="BM783" t="s">
        <v>3250</v>
      </c>
      <c r="BN783" t="s">
        <v>3250</v>
      </c>
      <c r="BP783">
        <v>1</v>
      </c>
      <c r="BQ783">
        <v>12</v>
      </c>
      <c r="BR783" t="s">
        <v>2372</v>
      </c>
      <c r="BS783" t="s">
        <v>3252</v>
      </c>
      <c r="BV783">
        <v>599761</v>
      </c>
      <c r="BW783">
        <v>367982</v>
      </c>
      <c r="BX783">
        <v>211261</v>
      </c>
      <c r="BY783">
        <v>380000</v>
      </c>
      <c r="BZ783">
        <v>980000</v>
      </c>
      <c r="CA783">
        <v>1018220</v>
      </c>
      <c r="CB783">
        <v>1058949</v>
      </c>
      <c r="CC783">
        <v>1101307</v>
      </c>
      <c r="CD783">
        <v>735451</v>
      </c>
      <c r="CE783" t="s">
        <v>3108</v>
      </c>
      <c r="CF783" t="s">
        <v>3108</v>
      </c>
      <c r="CG783" t="s">
        <v>3108</v>
      </c>
      <c r="CH783" t="s">
        <v>3108</v>
      </c>
    </row>
    <row r="784" spans="1:86" x14ac:dyDescent="0.2">
      <c r="A784" t="s">
        <v>4432</v>
      </c>
      <c r="B784" t="s">
        <v>4432</v>
      </c>
      <c r="C784">
        <v>41233</v>
      </c>
      <c r="D784">
        <v>779</v>
      </c>
      <c r="E784" t="s">
        <v>4357</v>
      </c>
      <c r="F784">
        <v>2700</v>
      </c>
      <c r="G784" t="s">
        <v>411</v>
      </c>
      <c r="H784" t="s">
        <v>3997</v>
      </c>
      <c r="I784" t="s">
        <v>2533</v>
      </c>
      <c r="J784">
        <v>2703</v>
      </c>
      <c r="K784" t="s">
        <v>2533</v>
      </c>
      <c r="L784">
        <v>1200</v>
      </c>
      <c r="M784" t="s">
        <v>2368</v>
      </c>
      <c r="N784">
        <v>1202</v>
      </c>
      <c r="O784" t="s">
        <v>2371</v>
      </c>
      <c r="P784" t="s">
        <v>3108</v>
      </c>
      <c r="Q784" t="s">
        <v>3249</v>
      </c>
      <c r="R784" t="s">
        <v>3249</v>
      </c>
      <c r="S784" t="s">
        <v>810</v>
      </c>
      <c r="T784" t="s">
        <v>2754</v>
      </c>
      <c r="U784" t="s">
        <v>3250</v>
      </c>
      <c r="V784" t="s">
        <v>3250</v>
      </c>
      <c r="W784" t="s">
        <v>3250</v>
      </c>
      <c r="X784" t="s">
        <v>3250</v>
      </c>
      <c r="Y784" t="s">
        <v>3250</v>
      </c>
      <c r="Z784" t="s">
        <v>3250</v>
      </c>
      <c r="AA784" t="s">
        <v>3108</v>
      </c>
      <c r="AB784" t="s">
        <v>3108</v>
      </c>
      <c r="AC784" t="s">
        <v>3250</v>
      </c>
      <c r="AD784" t="s">
        <v>3250</v>
      </c>
      <c r="AE784" t="s">
        <v>3250</v>
      </c>
      <c r="AF784" t="s">
        <v>3250</v>
      </c>
      <c r="AG784" t="s">
        <v>3250</v>
      </c>
      <c r="AH784" t="s">
        <v>3250</v>
      </c>
      <c r="AI784" t="s">
        <v>3250</v>
      </c>
      <c r="AJ784" t="s">
        <v>3250</v>
      </c>
      <c r="AL784" t="s">
        <v>3250</v>
      </c>
      <c r="AM784" t="s">
        <v>3250</v>
      </c>
      <c r="AN784" t="s">
        <v>3250</v>
      </c>
      <c r="AO784" t="s">
        <v>3250</v>
      </c>
      <c r="AS784" t="s">
        <v>3250</v>
      </c>
      <c r="AT784" t="s">
        <v>3250</v>
      </c>
      <c r="AU784" t="s">
        <v>3250</v>
      </c>
      <c r="AV784" t="s">
        <v>3250</v>
      </c>
      <c r="AW784" t="s">
        <v>3250</v>
      </c>
      <c r="AX784" t="s">
        <v>3250</v>
      </c>
      <c r="AY784">
        <v>1200</v>
      </c>
      <c r="AZ784" t="s">
        <v>2310</v>
      </c>
      <c r="BA784" t="s">
        <v>3250</v>
      </c>
      <c r="BB784">
        <v>1200</v>
      </c>
      <c r="BC784" t="s">
        <v>2310</v>
      </c>
      <c r="BD784" t="s">
        <v>2820</v>
      </c>
      <c r="BE784" t="s">
        <v>3250</v>
      </c>
      <c r="BF784" t="s">
        <v>3250</v>
      </c>
      <c r="BG784" t="s">
        <v>3250</v>
      </c>
      <c r="BH784" t="s">
        <v>3250</v>
      </c>
      <c r="BI784" t="s">
        <v>3250</v>
      </c>
      <c r="BK784" t="s">
        <v>3250</v>
      </c>
      <c r="BL784" t="s">
        <v>3250</v>
      </c>
      <c r="BM784" t="s">
        <v>3250</v>
      </c>
      <c r="BN784" t="s">
        <v>3250</v>
      </c>
      <c r="BP784">
        <v>1</v>
      </c>
      <c r="BQ784">
        <v>13</v>
      </c>
      <c r="BR784" t="s">
        <v>2371</v>
      </c>
      <c r="BS784" t="s">
        <v>3252</v>
      </c>
      <c r="BV784">
        <v>1064569</v>
      </c>
      <c r="BW784">
        <v>263909</v>
      </c>
      <c r="BX784">
        <v>2930891</v>
      </c>
      <c r="BY784">
        <v>2000000</v>
      </c>
      <c r="BZ784">
        <v>7819500</v>
      </c>
      <c r="CA784">
        <v>10500000</v>
      </c>
      <c r="CB784">
        <v>2200000</v>
      </c>
      <c r="CC784">
        <v>2420000</v>
      </c>
      <c r="CD784">
        <v>9303532</v>
      </c>
      <c r="CE784" t="s">
        <v>3108</v>
      </c>
      <c r="CF784" t="s">
        <v>3108</v>
      </c>
      <c r="CG784" t="s">
        <v>3108</v>
      </c>
      <c r="CH784" t="s">
        <v>3108</v>
      </c>
    </row>
    <row r="785" spans="1:86" x14ac:dyDescent="0.2">
      <c r="A785" t="s">
        <v>4433</v>
      </c>
      <c r="B785" t="s">
        <v>4433</v>
      </c>
      <c r="C785">
        <v>41234</v>
      </c>
      <c r="D785">
        <v>780</v>
      </c>
      <c r="E785" t="s">
        <v>4232</v>
      </c>
      <c r="F785">
        <v>2900</v>
      </c>
      <c r="G785" t="s">
        <v>822</v>
      </c>
      <c r="H785" t="s">
        <v>3108</v>
      </c>
      <c r="I785" t="s">
        <v>3108</v>
      </c>
      <c r="J785">
        <v>2904</v>
      </c>
      <c r="K785" t="s">
        <v>1690</v>
      </c>
      <c r="L785">
        <v>1200</v>
      </c>
      <c r="M785" t="s">
        <v>2368</v>
      </c>
      <c r="N785">
        <v>1205</v>
      </c>
      <c r="O785" t="s">
        <v>2372</v>
      </c>
      <c r="P785" t="s">
        <v>3108</v>
      </c>
      <c r="Q785" t="s">
        <v>3249</v>
      </c>
      <c r="R785" t="s">
        <v>3249</v>
      </c>
      <c r="S785" t="s">
        <v>810</v>
      </c>
      <c r="T785" t="s">
        <v>2754</v>
      </c>
      <c r="U785" t="s">
        <v>3250</v>
      </c>
      <c r="V785" t="s">
        <v>3250</v>
      </c>
      <c r="W785" t="s">
        <v>3250</v>
      </c>
      <c r="X785" t="s">
        <v>3250</v>
      </c>
      <c r="Y785" t="s">
        <v>3250</v>
      </c>
      <c r="Z785" t="s">
        <v>3250</v>
      </c>
      <c r="AA785" t="s">
        <v>3108</v>
      </c>
      <c r="AB785" t="s">
        <v>3108</v>
      </c>
      <c r="AC785" t="s">
        <v>3250</v>
      </c>
      <c r="AD785" t="s">
        <v>3250</v>
      </c>
      <c r="AE785" t="s">
        <v>3250</v>
      </c>
      <c r="AF785" t="s">
        <v>3250</v>
      </c>
      <c r="AG785" t="s">
        <v>3250</v>
      </c>
      <c r="AH785" t="s">
        <v>3250</v>
      </c>
      <c r="AI785" t="s">
        <v>3250</v>
      </c>
      <c r="AJ785" t="s">
        <v>3250</v>
      </c>
      <c r="AL785" t="s">
        <v>3250</v>
      </c>
      <c r="AM785" t="s">
        <v>3250</v>
      </c>
      <c r="AN785" t="s">
        <v>3250</v>
      </c>
      <c r="AO785" t="s">
        <v>3250</v>
      </c>
      <c r="AS785" t="s">
        <v>3250</v>
      </c>
      <c r="AT785" t="s">
        <v>3250</v>
      </c>
      <c r="AU785" t="s">
        <v>3250</v>
      </c>
      <c r="AV785" t="s">
        <v>3250</v>
      </c>
      <c r="AW785" t="s">
        <v>3250</v>
      </c>
      <c r="AX785" t="s">
        <v>3250</v>
      </c>
      <c r="AY785" t="s">
        <v>3250</v>
      </c>
      <c r="AZ785" t="s">
        <v>3250</v>
      </c>
      <c r="BA785" t="s">
        <v>3250</v>
      </c>
      <c r="BB785" t="s">
        <v>3250</v>
      </c>
      <c r="BC785" t="s">
        <v>3250</v>
      </c>
      <c r="BE785" t="s">
        <v>3250</v>
      </c>
      <c r="BF785" t="s">
        <v>3250</v>
      </c>
      <c r="BG785" t="s">
        <v>3250</v>
      </c>
      <c r="BH785" t="s">
        <v>3250</v>
      </c>
      <c r="BI785" t="s">
        <v>3250</v>
      </c>
      <c r="BK785" t="s">
        <v>3250</v>
      </c>
      <c r="BL785" t="s">
        <v>3250</v>
      </c>
      <c r="BM785" t="s">
        <v>3250</v>
      </c>
      <c r="BN785" t="s">
        <v>3250</v>
      </c>
      <c r="BP785">
        <v>1</v>
      </c>
      <c r="BQ785">
        <v>12</v>
      </c>
      <c r="BR785" t="s">
        <v>2372</v>
      </c>
      <c r="BS785" t="s">
        <v>3252</v>
      </c>
      <c r="BV785">
        <v>554925</v>
      </c>
      <c r="BW785">
        <v>610211</v>
      </c>
      <c r="BX785">
        <v>527021</v>
      </c>
      <c r="BY785">
        <v>500000</v>
      </c>
      <c r="BZ785">
        <v>500000</v>
      </c>
      <c r="CA785">
        <v>720000</v>
      </c>
      <c r="CB785">
        <v>530000</v>
      </c>
      <c r="CC785">
        <v>561800</v>
      </c>
      <c r="CD785">
        <v>527777</v>
      </c>
      <c r="CE785" t="s">
        <v>3108</v>
      </c>
      <c r="CF785" t="s">
        <v>3108</v>
      </c>
      <c r="CG785" t="s">
        <v>3108</v>
      </c>
      <c r="CH785" t="s">
        <v>3108</v>
      </c>
    </row>
    <row r="786" spans="1:86" x14ac:dyDescent="0.2">
      <c r="A786" t="s">
        <v>4434</v>
      </c>
      <c r="B786" t="s">
        <v>4434</v>
      </c>
      <c r="C786">
        <v>41235</v>
      </c>
      <c r="D786">
        <v>781</v>
      </c>
      <c r="E786" t="s">
        <v>3994</v>
      </c>
      <c r="F786">
        <v>2600</v>
      </c>
      <c r="G786" t="s">
        <v>1334</v>
      </c>
      <c r="H786">
        <v>2600</v>
      </c>
      <c r="I786" t="s">
        <v>1334</v>
      </c>
      <c r="J786" t="s">
        <v>3250</v>
      </c>
      <c r="K786" t="s">
        <v>3250</v>
      </c>
      <c r="L786">
        <v>1200</v>
      </c>
      <c r="M786" t="s">
        <v>2368</v>
      </c>
      <c r="N786">
        <v>1213</v>
      </c>
      <c r="O786" t="s">
        <v>2377</v>
      </c>
      <c r="P786" t="s">
        <v>3108</v>
      </c>
      <c r="Q786" t="s">
        <v>3249</v>
      </c>
      <c r="R786" t="s">
        <v>3249</v>
      </c>
      <c r="S786" t="s">
        <v>810</v>
      </c>
      <c r="T786" t="s">
        <v>2754</v>
      </c>
      <c r="U786" t="s">
        <v>3250</v>
      </c>
      <c r="V786" t="s">
        <v>3250</v>
      </c>
      <c r="W786" t="s">
        <v>3250</v>
      </c>
      <c r="X786" t="s">
        <v>3250</v>
      </c>
      <c r="Y786" t="s">
        <v>3250</v>
      </c>
      <c r="Z786" t="s">
        <v>3250</v>
      </c>
      <c r="AA786" t="s">
        <v>3108</v>
      </c>
      <c r="AB786" t="s">
        <v>3108</v>
      </c>
      <c r="AC786" t="s">
        <v>3250</v>
      </c>
      <c r="AD786" t="s">
        <v>3250</v>
      </c>
      <c r="AE786" t="s">
        <v>3250</v>
      </c>
      <c r="AF786" t="s">
        <v>3250</v>
      </c>
      <c r="AG786" t="s">
        <v>3250</v>
      </c>
      <c r="AH786" t="s">
        <v>3250</v>
      </c>
      <c r="AI786" t="s">
        <v>3250</v>
      </c>
      <c r="AJ786" t="s">
        <v>3250</v>
      </c>
      <c r="AL786" t="s">
        <v>3250</v>
      </c>
      <c r="AM786" t="s">
        <v>3250</v>
      </c>
      <c r="AN786" t="s">
        <v>3250</v>
      </c>
      <c r="AO786" t="s">
        <v>3250</v>
      </c>
      <c r="AS786" t="s">
        <v>3250</v>
      </c>
      <c r="AT786" t="s">
        <v>3250</v>
      </c>
      <c r="AU786" t="s">
        <v>3250</v>
      </c>
      <c r="AV786" t="s">
        <v>3250</v>
      </c>
      <c r="AW786" t="s">
        <v>3250</v>
      </c>
      <c r="AX786" t="s">
        <v>3250</v>
      </c>
      <c r="AY786" t="s">
        <v>3250</v>
      </c>
      <c r="AZ786" t="s">
        <v>3250</v>
      </c>
      <c r="BA786" t="s">
        <v>3250</v>
      </c>
      <c r="BB786" t="s">
        <v>3250</v>
      </c>
      <c r="BC786" t="s">
        <v>3250</v>
      </c>
      <c r="BE786" t="s">
        <v>3250</v>
      </c>
      <c r="BF786" t="s">
        <v>3250</v>
      </c>
      <c r="BG786" t="s">
        <v>3250</v>
      </c>
      <c r="BH786" t="s">
        <v>3250</v>
      </c>
      <c r="BI786" t="s">
        <v>3250</v>
      </c>
      <c r="BK786" t="s">
        <v>3250</v>
      </c>
      <c r="BL786" t="s">
        <v>3250</v>
      </c>
      <c r="BM786" t="s">
        <v>3250</v>
      </c>
      <c r="BN786" t="s">
        <v>3250</v>
      </c>
      <c r="BP786">
        <v>2</v>
      </c>
      <c r="BQ786">
        <v>21</v>
      </c>
      <c r="BR786" t="s">
        <v>4435</v>
      </c>
      <c r="BS786" t="s">
        <v>4436</v>
      </c>
      <c r="BV786">
        <v>70542</v>
      </c>
      <c r="BW786">
        <v>2465</v>
      </c>
      <c r="BX786">
        <v>17550</v>
      </c>
      <c r="BY786">
        <v>650000</v>
      </c>
      <c r="BZ786">
        <v>150000</v>
      </c>
      <c r="CA786">
        <v>250000</v>
      </c>
      <c r="CB786">
        <v>275000</v>
      </c>
      <c r="CC786">
        <v>302500</v>
      </c>
      <c r="CD786">
        <v>106902</v>
      </c>
      <c r="CE786" t="s">
        <v>3108</v>
      </c>
      <c r="CF786" t="s">
        <v>3108</v>
      </c>
      <c r="CG786" t="s">
        <v>3108</v>
      </c>
      <c r="CH786" t="s">
        <v>3108</v>
      </c>
    </row>
    <row r="787" spans="1:86" x14ac:dyDescent="0.2">
      <c r="A787" t="s">
        <v>4437</v>
      </c>
      <c r="B787" t="s">
        <v>4437</v>
      </c>
      <c r="C787">
        <v>41236</v>
      </c>
      <c r="D787">
        <v>782</v>
      </c>
      <c r="E787" t="s">
        <v>4438</v>
      </c>
      <c r="F787">
        <v>2700</v>
      </c>
      <c r="G787" t="s">
        <v>411</v>
      </c>
      <c r="H787" t="s">
        <v>3837</v>
      </c>
      <c r="I787" t="s">
        <v>2532</v>
      </c>
      <c r="J787">
        <v>2702</v>
      </c>
      <c r="K787" t="s">
        <v>2532</v>
      </c>
      <c r="L787">
        <v>1200</v>
      </c>
      <c r="M787" t="s">
        <v>2368</v>
      </c>
      <c r="N787">
        <v>1204</v>
      </c>
      <c r="O787" t="s">
        <v>1574</v>
      </c>
      <c r="P787" t="s">
        <v>3108</v>
      </c>
      <c r="Q787" t="s">
        <v>3249</v>
      </c>
      <c r="R787" t="s">
        <v>3249</v>
      </c>
      <c r="S787" t="s">
        <v>810</v>
      </c>
      <c r="T787" t="s">
        <v>2754</v>
      </c>
      <c r="U787" t="s">
        <v>3250</v>
      </c>
      <c r="V787" t="s">
        <v>3250</v>
      </c>
      <c r="W787" t="s">
        <v>3250</v>
      </c>
      <c r="X787" t="s">
        <v>3250</v>
      </c>
      <c r="Y787" t="s">
        <v>3250</v>
      </c>
      <c r="Z787" t="s">
        <v>3250</v>
      </c>
      <c r="AA787" t="s">
        <v>3108</v>
      </c>
      <c r="AB787" t="s">
        <v>3108</v>
      </c>
      <c r="AC787" t="s">
        <v>3250</v>
      </c>
      <c r="AD787" t="s">
        <v>3250</v>
      </c>
      <c r="AE787" t="s">
        <v>3250</v>
      </c>
      <c r="AF787" t="s">
        <v>3250</v>
      </c>
      <c r="AG787" t="s">
        <v>3250</v>
      </c>
      <c r="AH787" t="s">
        <v>3250</v>
      </c>
      <c r="AI787" t="s">
        <v>3250</v>
      </c>
      <c r="AJ787" t="s">
        <v>3250</v>
      </c>
      <c r="AL787" t="s">
        <v>3250</v>
      </c>
      <c r="AM787" t="s">
        <v>3250</v>
      </c>
      <c r="AN787" t="s">
        <v>3250</v>
      </c>
      <c r="AO787" t="s">
        <v>3250</v>
      </c>
      <c r="AS787" t="s">
        <v>3250</v>
      </c>
      <c r="AT787" t="s">
        <v>3250</v>
      </c>
      <c r="AU787" t="s">
        <v>3250</v>
      </c>
      <c r="AV787" t="s">
        <v>3250</v>
      </c>
      <c r="AW787" t="s">
        <v>3250</v>
      </c>
      <c r="AX787" t="s">
        <v>3250</v>
      </c>
      <c r="AY787" t="s">
        <v>3250</v>
      </c>
      <c r="AZ787" t="s">
        <v>3250</v>
      </c>
      <c r="BA787" t="s">
        <v>3250</v>
      </c>
      <c r="BB787" t="s">
        <v>3250</v>
      </c>
      <c r="BC787" t="s">
        <v>3250</v>
      </c>
      <c r="BE787" t="s">
        <v>3250</v>
      </c>
      <c r="BF787" t="s">
        <v>3250</v>
      </c>
      <c r="BG787" t="s">
        <v>3250</v>
      </c>
      <c r="BH787" t="s">
        <v>3250</v>
      </c>
      <c r="BI787" t="s">
        <v>3250</v>
      </c>
      <c r="BK787" t="s">
        <v>3250</v>
      </c>
      <c r="BL787" t="s">
        <v>3250</v>
      </c>
      <c r="BM787" t="s">
        <v>3250</v>
      </c>
      <c r="BN787" t="s">
        <v>3250</v>
      </c>
      <c r="BP787">
        <v>1</v>
      </c>
      <c r="BQ787">
        <v>11</v>
      </c>
      <c r="BR787" t="s">
        <v>1574</v>
      </c>
      <c r="BS787" t="s">
        <v>3252</v>
      </c>
      <c r="BV787">
        <v>46397</v>
      </c>
      <c r="BW787">
        <v>1149474</v>
      </c>
      <c r="BX787">
        <v>262525</v>
      </c>
      <c r="BY787">
        <v>260000</v>
      </c>
      <c r="BZ787">
        <v>260000</v>
      </c>
      <c r="CA787">
        <v>270140</v>
      </c>
      <c r="CB787">
        <v>280946</v>
      </c>
      <c r="CC787">
        <v>292183</v>
      </c>
      <c r="CD787">
        <v>79721</v>
      </c>
      <c r="CE787" t="s">
        <v>3108</v>
      </c>
      <c r="CF787" t="s">
        <v>3108</v>
      </c>
      <c r="CG787" t="s">
        <v>3108</v>
      </c>
      <c r="CH787" t="s">
        <v>3108</v>
      </c>
    </row>
    <row r="788" spans="1:86" x14ac:dyDescent="0.2">
      <c r="A788" t="s">
        <v>4439</v>
      </c>
      <c r="B788" t="s">
        <v>4439</v>
      </c>
      <c r="C788">
        <v>41237</v>
      </c>
      <c r="D788">
        <v>783</v>
      </c>
      <c r="E788" t="s">
        <v>4440</v>
      </c>
      <c r="F788">
        <v>2900</v>
      </c>
      <c r="G788" t="s">
        <v>822</v>
      </c>
      <c r="H788" t="s">
        <v>3108</v>
      </c>
      <c r="I788" t="s">
        <v>3108</v>
      </c>
      <c r="J788">
        <v>2904</v>
      </c>
      <c r="K788" t="s">
        <v>1690</v>
      </c>
      <c r="L788">
        <v>1200</v>
      </c>
      <c r="M788" t="s">
        <v>2368</v>
      </c>
      <c r="N788">
        <v>1205</v>
      </c>
      <c r="O788" t="s">
        <v>2372</v>
      </c>
      <c r="P788" t="s">
        <v>3108</v>
      </c>
      <c r="Q788" t="s">
        <v>3249</v>
      </c>
      <c r="R788" t="s">
        <v>3249</v>
      </c>
      <c r="S788" t="s">
        <v>810</v>
      </c>
      <c r="T788" t="s">
        <v>2754</v>
      </c>
      <c r="U788" t="s">
        <v>3250</v>
      </c>
      <c r="V788" t="s">
        <v>3250</v>
      </c>
      <c r="W788" t="s">
        <v>3250</v>
      </c>
      <c r="X788" t="s">
        <v>3250</v>
      </c>
      <c r="Y788" t="s">
        <v>3250</v>
      </c>
      <c r="Z788" t="s">
        <v>3250</v>
      </c>
      <c r="AA788" t="s">
        <v>3108</v>
      </c>
      <c r="AB788" t="s">
        <v>3108</v>
      </c>
      <c r="AC788" t="s">
        <v>3250</v>
      </c>
      <c r="AD788" t="s">
        <v>3250</v>
      </c>
      <c r="AE788" t="s">
        <v>3250</v>
      </c>
      <c r="AF788" t="s">
        <v>3250</v>
      </c>
      <c r="AG788" t="s">
        <v>3250</v>
      </c>
      <c r="AH788" t="s">
        <v>3250</v>
      </c>
      <c r="AI788" t="s">
        <v>3250</v>
      </c>
      <c r="AJ788" t="s">
        <v>3250</v>
      </c>
      <c r="AL788" t="s">
        <v>3250</v>
      </c>
      <c r="AM788" t="s">
        <v>3250</v>
      </c>
      <c r="AN788" t="s">
        <v>3250</v>
      </c>
      <c r="AO788" t="s">
        <v>3250</v>
      </c>
      <c r="AS788" t="s">
        <v>3250</v>
      </c>
      <c r="AT788" t="s">
        <v>3250</v>
      </c>
      <c r="AU788" t="s">
        <v>3250</v>
      </c>
      <c r="AV788" t="s">
        <v>3250</v>
      </c>
      <c r="AW788" t="s">
        <v>3250</v>
      </c>
      <c r="AX788" t="s">
        <v>3250</v>
      </c>
      <c r="AY788" t="s">
        <v>3250</v>
      </c>
      <c r="AZ788" t="s">
        <v>3250</v>
      </c>
      <c r="BA788" t="s">
        <v>3250</v>
      </c>
      <c r="BB788" t="s">
        <v>3250</v>
      </c>
      <c r="BC788" t="s">
        <v>3250</v>
      </c>
      <c r="BE788" t="s">
        <v>3250</v>
      </c>
      <c r="BF788" t="s">
        <v>3250</v>
      </c>
      <c r="BG788" t="s">
        <v>3250</v>
      </c>
      <c r="BH788" t="s">
        <v>3250</v>
      </c>
      <c r="BI788" t="s">
        <v>3250</v>
      </c>
      <c r="BK788" t="s">
        <v>3250</v>
      </c>
      <c r="BL788" t="s">
        <v>3250</v>
      </c>
      <c r="BM788" t="s">
        <v>3250</v>
      </c>
      <c r="BN788" t="s">
        <v>3250</v>
      </c>
      <c r="BP788">
        <v>1</v>
      </c>
      <c r="BQ788">
        <v>12</v>
      </c>
      <c r="BR788" t="s">
        <v>2372</v>
      </c>
      <c r="BS788" t="s">
        <v>3252</v>
      </c>
      <c r="BV788">
        <v>49448</v>
      </c>
      <c r="BW788">
        <v>56131</v>
      </c>
      <c r="BX788">
        <v>13354</v>
      </c>
      <c r="BY788">
        <v>30000</v>
      </c>
      <c r="BZ788">
        <v>90000</v>
      </c>
      <c r="CA788">
        <v>93510</v>
      </c>
      <c r="CB788">
        <v>97250</v>
      </c>
      <c r="CC788">
        <v>101140</v>
      </c>
      <c r="CD788">
        <v>79515</v>
      </c>
      <c r="CE788" t="s">
        <v>3108</v>
      </c>
      <c r="CF788" t="s">
        <v>3108</v>
      </c>
      <c r="CG788" t="s">
        <v>3108</v>
      </c>
      <c r="CH788" t="s">
        <v>3108</v>
      </c>
    </row>
    <row r="789" spans="1:86" x14ac:dyDescent="0.2">
      <c r="A789" t="s">
        <v>4441</v>
      </c>
      <c r="B789" t="s">
        <v>4441</v>
      </c>
      <c r="C789">
        <v>41238</v>
      </c>
      <c r="D789">
        <v>784</v>
      </c>
      <c r="E789" t="s">
        <v>4153</v>
      </c>
      <c r="F789">
        <v>2900</v>
      </c>
      <c r="G789" t="s">
        <v>822</v>
      </c>
      <c r="H789" t="s">
        <v>3108</v>
      </c>
      <c r="I789" t="s">
        <v>3108</v>
      </c>
      <c r="J789">
        <v>2904</v>
      </c>
      <c r="K789" t="s">
        <v>1690</v>
      </c>
      <c r="L789">
        <v>3100</v>
      </c>
      <c r="M789" t="s">
        <v>127</v>
      </c>
      <c r="N789">
        <v>3107</v>
      </c>
      <c r="O789" t="s">
        <v>2418</v>
      </c>
      <c r="P789" t="s">
        <v>3108</v>
      </c>
      <c r="Q789" t="s">
        <v>3249</v>
      </c>
      <c r="R789" t="s">
        <v>3249</v>
      </c>
      <c r="S789" t="s">
        <v>810</v>
      </c>
      <c r="T789" t="s">
        <v>2754</v>
      </c>
      <c r="U789" t="s">
        <v>3250</v>
      </c>
      <c r="V789" t="s">
        <v>3250</v>
      </c>
      <c r="W789" t="s">
        <v>3250</v>
      </c>
      <c r="X789" t="s">
        <v>3250</v>
      </c>
      <c r="Y789" t="s">
        <v>3250</v>
      </c>
      <c r="Z789" t="s">
        <v>3250</v>
      </c>
      <c r="AA789" t="s">
        <v>3108</v>
      </c>
      <c r="AB789" t="s">
        <v>3108</v>
      </c>
      <c r="AC789" t="s">
        <v>3250</v>
      </c>
      <c r="AD789" t="s">
        <v>3250</v>
      </c>
      <c r="AE789" t="s">
        <v>3250</v>
      </c>
      <c r="AF789" t="s">
        <v>3250</v>
      </c>
      <c r="AG789" t="s">
        <v>3250</v>
      </c>
      <c r="AH789" t="s">
        <v>3250</v>
      </c>
      <c r="AI789" t="s">
        <v>3250</v>
      </c>
      <c r="AJ789" t="s">
        <v>3250</v>
      </c>
      <c r="AL789" t="s">
        <v>3250</v>
      </c>
      <c r="AM789" t="s">
        <v>3250</v>
      </c>
      <c r="AN789" t="s">
        <v>3250</v>
      </c>
      <c r="AO789" t="s">
        <v>3250</v>
      </c>
      <c r="AS789" t="s">
        <v>3250</v>
      </c>
      <c r="AT789" t="s">
        <v>3250</v>
      </c>
      <c r="AU789" t="s">
        <v>3250</v>
      </c>
      <c r="AV789" t="s">
        <v>3250</v>
      </c>
      <c r="AW789" t="s">
        <v>3250</v>
      </c>
      <c r="AX789" t="s">
        <v>3250</v>
      </c>
      <c r="AY789" t="s">
        <v>3250</v>
      </c>
      <c r="AZ789" t="s">
        <v>3250</v>
      </c>
      <c r="BA789" t="s">
        <v>3250</v>
      </c>
      <c r="BB789" t="s">
        <v>3250</v>
      </c>
      <c r="BC789" t="s">
        <v>3250</v>
      </c>
      <c r="BE789" t="s">
        <v>3250</v>
      </c>
      <c r="BF789" t="s">
        <v>3250</v>
      </c>
      <c r="BG789" t="s">
        <v>3250</v>
      </c>
      <c r="BH789" t="s">
        <v>3250</v>
      </c>
      <c r="BI789" t="s">
        <v>3250</v>
      </c>
      <c r="BK789" t="s">
        <v>3250</v>
      </c>
      <c r="BL789" t="s">
        <v>3250</v>
      </c>
      <c r="BM789" t="s">
        <v>3250</v>
      </c>
      <c r="BN789" t="s">
        <v>3250</v>
      </c>
      <c r="BP789">
        <v>8</v>
      </c>
      <c r="BQ789">
        <v>81</v>
      </c>
      <c r="BR789" t="s">
        <v>2418</v>
      </c>
      <c r="BS789" t="s">
        <v>4013</v>
      </c>
      <c r="BV789">
        <v>31390</v>
      </c>
      <c r="BW789">
        <v>0</v>
      </c>
      <c r="BX789">
        <v>27339</v>
      </c>
      <c r="BY789">
        <v>0</v>
      </c>
      <c r="BZ789">
        <v>0</v>
      </c>
      <c r="CA789">
        <v>0</v>
      </c>
      <c r="CB789">
        <v>0</v>
      </c>
      <c r="CC789">
        <v>0</v>
      </c>
      <c r="CD789">
        <v>0</v>
      </c>
      <c r="CE789" t="s">
        <v>3108</v>
      </c>
      <c r="CF789" t="s">
        <v>3108</v>
      </c>
      <c r="CG789" t="s">
        <v>3108</v>
      </c>
      <c r="CH789" t="s">
        <v>3108</v>
      </c>
    </row>
    <row r="790" spans="1:86" x14ac:dyDescent="0.2">
      <c r="A790" t="s">
        <v>4442</v>
      </c>
      <c r="B790" t="s">
        <v>4442</v>
      </c>
      <c r="C790">
        <v>41241</v>
      </c>
      <c r="D790">
        <v>813</v>
      </c>
      <c r="E790" t="s">
        <v>4326</v>
      </c>
      <c r="F790">
        <v>2700</v>
      </c>
      <c r="G790" t="s">
        <v>411</v>
      </c>
      <c r="H790" t="s">
        <v>4004</v>
      </c>
      <c r="I790" t="s">
        <v>2531</v>
      </c>
      <c r="J790">
        <v>2701</v>
      </c>
      <c r="K790" t="s">
        <v>2531</v>
      </c>
      <c r="L790">
        <v>1100</v>
      </c>
      <c r="M790" t="s">
        <v>119</v>
      </c>
      <c r="N790">
        <v>1110</v>
      </c>
      <c r="O790" t="s">
        <v>284</v>
      </c>
      <c r="P790" t="s">
        <v>3108</v>
      </c>
      <c r="Q790" t="s">
        <v>3249</v>
      </c>
      <c r="R790" t="s">
        <v>3249</v>
      </c>
      <c r="S790" t="s">
        <v>810</v>
      </c>
      <c r="T790" t="s">
        <v>2754</v>
      </c>
      <c r="U790" t="s">
        <v>3250</v>
      </c>
      <c r="V790" t="s">
        <v>3250</v>
      </c>
      <c r="W790" t="s">
        <v>3250</v>
      </c>
      <c r="X790" t="s">
        <v>3250</v>
      </c>
      <c r="Y790" t="s">
        <v>3250</v>
      </c>
      <c r="Z790" t="s">
        <v>3250</v>
      </c>
      <c r="AA790" t="s">
        <v>3108</v>
      </c>
      <c r="AB790" t="s">
        <v>3108</v>
      </c>
      <c r="AC790" t="s">
        <v>3250</v>
      </c>
      <c r="AD790" t="s">
        <v>3250</v>
      </c>
      <c r="AE790" t="s">
        <v>3250</v>
      </c>
      <c r="AF790" t="s">
        <v>3250</v>
      </c>
      <c r="AG790" t="s">
        <v>3250</v>
      </c>
      <c r="AH790" t="s">
        <v>3250</v>
      </c>
      <c r="AI790" t="s">
        <v>3250</v>
      </c>
      <c r="AJ790" t="s">
        <v>3250</v>
      </c>
      <c r="AL790" t="s">
        <v>3250</v>
      </c>
      <c r="AM790" t="s">
        <v>3250</v>
      </c>
      <c r="AN790" t="s">
        <v>3250</v>
      </c>
      <c r="AO790" t="s">
        <v>3250</v>
      </c>
      <c r="AS790" t="s">
        <v>3250</v>
      </c>
      <c r="AT790" t="s">
        <v>3250</v>
      </c>
      <c r="AU790" t="s">
        <v>3250</v>
      </c>
      <c r="AV790" t="s">
        <v>3250</v>
      </c>
      <c r="AW790" t="s">
        <v>3250</v>
      </c>
      <c r="AX790" t="s">
        <v>3250</v>
      </c>
      <c r="AY790" t="s">
        <v>3250</v>
      </c>
      <c r="AZ790" t="s">
        <v>3250</v>
      </c>
      <c r="BA790" t="s">
        <v>3250</v>
      </c>
      <c r="BB790" t="s">
        <v>3250</v>
      </c>
      <c r="BC790" t="s">
        <v>3250</v>
      </c>
      <c r="BE790" t="s">
        <v>3250</v>
      </c>
      <c r="BF790" t="s">
        <v>3250</v>
      </c>
      <c r="BG790" t="s">
        <v>3250</v>
      </c>
      <c r="BH790" t="s">
        <v>3250</v>
      </c>
      <c r="BI790" t="s">
        <v>3250</v>
      </c>
      <c r="BK790" t="s">
        <v>3250</v>
      </c>
      <c r="BL790" t="s">
        <v>3250</v>
      </c>
      <c r="BM790" t="s">
        <v>3250</v>
      </c>
      <c r="BN790" t="s">
        <v>3250</v>
      </c>
      <c r="BP790">
        <v>3</v>
      </c>
      <c r="BQ790">
        <v>32</v>
      </c>
      <c r="BR790" t="s">
        <v>284</v>
      </c>
      <c r="BS790" t="s">
        <v>4381</v>
      </c>
      <c r="BV790">
        <v>0</v>
      </c>
      <c r="BW790">
        <v>126280</v>
      </c>
      <c r="BX790">
        <v>50146</v>
      </c>
      <c r="BY790">
        <v>0</v>
      </c>
      <c r="BZ790">
        <v>0</v>
      </c>
      <c r="CA790">
        <v>0</v>
      </c>
      <c r="CB790">
        <v>0</v>
      </c>
      <c r="CC790">
        <v>0</v>
      </c>
      <c r="CD790">
        <v>0</v>
      </c>
      <c r="CE790" t="s">
        <v>3108</v>
      </c>
      <c r="CF790" t="s">
        <v>3108</v>
      </c>
      <c r="CG790" t="s">
        <v>3108</v>
      </c>
      <c r="CH790" t="s">
        <v>3108</v>
      </c>
    </row>
    <row r="791" spans="1:86" x14ac:dyDescent="0.2">
      <c r="A791" t="s">
        <v>4443</v>
      </c>
      <c r="B791" t="s">
        <v>4443</v>
      </c>
      <c r="C791">
        <v>41242</v>
      </c>
      <c r="D791">
        <v>814</v>
      </c>
      <c r="E791" t="s">
        <v>4444</v>
      </c>
      <c r="F791">
        <v>2900</v>
      </c>
      <c r="G791" t="s">
        <v>822</v>
      </c>
      <c r="H791" t="s">
        <v>3108</v>
      </c>
      <c r="I791" t="s">
        <v>3108</v>
      </c>
      <c r="J791">
        <v>2904</v>
      </c>
      <c r="K791" t="s">
        <v>1690</v>
      </c>
      <c r="L791">
        <v>1100</v>
      </c>
      <c r="M791" t="s">
        <v>119</v>
      </c>
      <c r="N791">
        <v>1110</v>
      </c>
      <c r="O791" t="s">
        <v>284</v>
      </c>
      <c r="P791" t="s">
        <v>3108</v>
      </c>
      <c r="Q791" t="s">
        <v>3249</v>
      </c>
      <c r="R791" t="s">
        <v>3249</v>
      </c>
      <c r="S791" t="s">
        <v>810</v>
      </c>
      <c r="T791" t="s">
        <v>2754</v>
      </c>
      <c r="U791" t="s">
        <v>3250</v>
      </c>
      <c r="V791" t="s">
        <v>3250</v>
      </c>
      <c r="W791" t="s">
        <v>3250</v>
      </c>
      <c r="X791" t="s">
        <v>3250</v>
      </c>
      <c r="Y791" t="s">
        <v>3250</v>
      </c>
      <c r="Z791" t="s">
        <v>3250</v>
      </c>
      <c r="AA791" t="s">
        <v>3108</v>
      </c>
      <c r="AB791" t="s">
        <v>3108</v>
      </c>
      <c r="AC791" t="s">
        <v>3250</v>
      </c>
      <c r="AD791" t="s">
        <v>3250</v>
      </c>
      <c r="AE791" t="s">
        <v>3250</v>
      </c>
      <c r="AF791" t="s">
        <v>3250</v>
      </c>
      <c r="AG791" t="s">
        <v>3250</v>
      </c>
      <c r="AH791" t="s">
        <v>3250</v>
      </c>
      <c r="AI791" t="s">
        <v>3250</v>
      </c>
      <c r="AJ791" t="s">
        <v>3250</v>
      </c>
      <c r="AL791" t="s">
        <v>3250</v>
      </c>
      <c r="AM791" t="s">
        <v>3250</v>
      </c>
      <c r="AN791" t="s">
        <v>3250</v>
      </c>
      <c r="AO791" t="s">
        <v>3250</v>
      </c>
      <c r="AS791" t="s">
        <v>3250</v>
      </c>
      <c r="AT791" t="s">
        <v>3250</v>
      </c>
      <c r="AU791" t="s">
        <v>3250</v>
      </c>
      <c r="AV791" t="s">
        <v>3250</v>
      </c>
      <c r="AW791" t="s">
        <v>3250</v>
      </c>
      <c r="AX791" t="s">
        <v>3250</v>
      </c>
      <c r="AY791" t="s">
        <v>3250</v>
      </c>
      <c r="AZ791" t="s">
        <v>3250</v>
      </c>
      <c r="BA791" t="s">
        <v>3250</v>
      </c>
      <c r="BB791" t="s">
        <v>3250</v>
      </c>
      <c r="BC791" t="s">
        <v>3250</v>
      </c>
      <c r="BE791" t="s">
        <v>3250</v>
      </c>
      <c r="BF791" t="s">
        <v>3250</v>
      </c>
      <c r="BG791" t="s">
        <v>3250</v>
      </c>
      <c r="BH791" t="s">
        <v>3250</v>
      </c>
      <c r="BI791" t="s">
        <v>3250</v>
      </c>
      <c r="BK791" t="s">
        <v>3250</v>
      </c>
      <c r="BL791" t="s">
        <v>3250</v>
      </c>
      <c r="BM791" t="s">
        <v>3250</v>
      </c>
      <c r="BN791" t="s">
        <v>3250</v>
      </c>
      <c r="BP791">
        <v>3</v>
      </c>
      <c r="BQ791">
        <v>32</v>
      </c>
      <c r="BR791" t="s">
        <v>284</v>
      </c>
      <c r="BS791" t="s">
        <v>4381</v>
      </c>
      <c r="BV791">
        <v>0</v>
      </c>
      <c r="BW791">
        <v>129469</v>
      </c>
      <c r="BX791">
        <v>34903</v>
      </c>
      <c r="BY791">
        <v>0</v>
      </c>
      <c r="BZ791">
        <v>0</v>
      </c>
      <c r="CA791">
        <v>0</v>
      </c>
      <c r="CB791">
        <v>0</v>
      </c>
      <c r="CC791">
        <v>0</v>
      </c>
      <c r="CD791">
        <v>0</v>
      </c>
      <c r="CE791" t="s">
        <v>3108</v>
      </c>
      <c r="CF791" t="s">
        <v>3108</v>
      </c>
      <c r="CG791" t="s">
        <v>3108</v>
      </c>
      <c r="CH791" t="s">
        <v>3108</v>
      </c>
    </row>
    <row r="792" spans="1:86" x14ac:dyDescent="0.2">
      <c r="A792" t="s">
        <v>4445</v>
      </c>
      <c r="B792" t="s">
        <v>4445</v>
      </c>
      <c r="C792">
        <v>41243</v>
      </c>
      <c r="D792">
        <v>815</v>
      </c>
      <c r="E792" t="s">
        <v>4027</v>
      </c>
      <c r="F792">
        <v>2900</v>
      </c>
      <c r="G792" t="s">
        <v>822</v>
      </c>
      <c r="H792" t="s">
        <v>3108</v>
      </c>
      <c r="I792" t="s">
        <v>3108</v>
      </c>
      <c r="J792">
        <v>2904</v>
      </c>
      <c r="K792" t="s">
        <v>1690</v>
      </c>
      <c r="L792">
        <v>1100</v>
      </c>
      <c r="M792" t="s">
        <v>119</v>
      </c>
      <c r="N792">
        <v>1110</v>
      </c>
      <c r="O792" t="s">
        <v>284</v>
      </c>
      <c r="P792" t="s">
        <v>3108</v>
      </c>
      <c r="Q792" t="s">
        <v>3249</v>
      </c>
      <c r="R792" t="s">
        <v>3249</v>
      </c>
      <c r="S792" t="s">
        <v>810</v>
      </c>
      <c r="T792" t="s">
        <v>2754</v>
      </c>
      <c r="U792" t="s">
        <v>3250</v>
      </c>
      <c r="V792" t="s">
        <v>3250</v>
      </c>
      <c r="W792" t="s">
        <v>3250</v>
      </c>
      <c r="X792" t="s">
        <v>3250</v>
      </c>
      <c r="Y792" t="s">
        <v>3250</v>
      </c>
      <c r="Z792" t="s">
        <v>3250</v>
      </c>
      <c r="AA792" t="s">
        <v>3108</v>
      </c>
      <c r="AB792" t="s">
        <v>3108</v>
      </c>
      <c r="AC792" t="s">
        <v>3250</v>
      </c>
      <c r="AD792" t="s">
        <v>3250</v>
      </c>
      <c r="AE792" t="s">
        <v>3250</v>
      </c>
      <c r="AF792" t="s">
        <v>3250</v>
      </c>
      <c r="AG792" t="s">
        <v>3250</v>
      </c>
      <c r="AH792" t="s">
        <v>3250</v>
      </c>
      <c r="AI792" t="s">
        <v>3250</v>
      </c>
      <c r="AJ792" t="s">
        <v>3250</v>
      </c>
      <c r="AL792" t="s">
        <v>3250</v>
      </c>
      <c r="AM792" t="s">
        <v>3250</v>
      </c>
      <c r="AN792" t="s">
        <v>3250</v>
      </c>
      <c r="AO792" t="s">
        <v>3250</v>
      </c>
      <c r="AS792" t="s">
        <v>3250</v>
      </c>
      <c r="AT792" t="s">
        <v>3250</v>
      </c>
      <c r="AU792" t="s">
        <v>3250</v>
      </c>
      <c r="AV792" t="s">
        <v>3250</v>
      </c>
      <c r="AW792" t="s">
        <v>3250</v>
      </c>
      <c r="AX792" t="s">
        <v>3250</v>
      </c>
      <c r="AY792" t="s">
        <v>3250</v>
      </c>
      <c r="AZ792" t="s">
        <v>3250</v>
      </c>
      <c r="BA792" t="s">
        <v>3250</v>
      </c>
      <c r="BB792" t="s">
        <v>3250</v>
      </c>
      <c r="BC792" t="s">
        <v>3250</v>
      </c>
      <c r="BE792" t="s">
        <v>3250</v>
      </c>
      <c r="BF792" t="s">
        <v>3250</v>
      </c>
      <c r="BG792" t="s">
        <v>3250</v>
      </c>
      <c r="BH792" t="s">
        <v>3250</v>
      </c>
      <c r="BI792" t="s">
        <v>3250</v>
      </c>
      <c r="BK792" t="s">
        <v>3250</v>
      </c>
      <c r="BL792" t="s">
        <v>3250</v>
      </c>
      <c r="BM792" t="s">
        <v>3250</v>
      </c>
      <c r="BN792" t="s">
        <v>3250</v>
      </c>
      <c r="BP792">
        <v>3</v>
      </c>
      <c r="BQ792">
        <v>32</v>
      </c>
      <c r="BR792" t="s">
        <v>284</v>
      </c>
      <c r="BS792" t="s">
        <v>4381</v>
      </c>
      <c r="BV792">
        <v>15381</v>
      </c>
      <c r="BW792">
        <v>41062</v>
      </c>
      <c r="BX792">
        <v>0</v>
      </c>
      <c r="BY792">
        <v>50000</v>
      </c>
      <c r="BZ792">
        <v>130000</v>
      </c>
      <c r="CA792">
        <v>135070</v>
      </c>
      <c r="CB792">
        <v>140473</v>
      </c>
      <c r="CC792">
        <v>146092</v>
      </c>
      <c r="CD792">
        <v>224646</v>
      </c>
      <c r="CE792" t="s">
        <v>3108</v>
      </c>
      <c r="CF792" t="s">
        <v>3108</v>
      </c>
      <c r="CG792" t="s">
        <v>3108</v>
      </c>
      <c r="CH792" t="s">
        <v>3108</v>
      </c>
    </row>
    <row r="793" spans="1:86" x14ac:dyDescent="0.2">
      <c r="A793" t="s">
        <v>4446</v>
      </c>
      <c r="B793" t="s">
        <v>4446</v>
      </c>
      <c r="C793">
        <v>41244</v>
      </c>
      <c r="D793">
        <v>816</v>
      </c>
      <c r="E793" t="s">
        <v>4097</v>
      </c>
      <c r="F793">
        <v>2900</v>
      </c>
      <c r="G793" t="s">
        <v>822</v>
      </c>
      <c r="H793" t="s">
        <v>3108</v>
      </c>
      <c r="I793" t="s">
        <v>3108</v>
      </c>
      <c r="J793">
        <v>2904</v>
      </c>
      <c r="K793" t="s">
        <v>1690</v>
      </c>
      <c r="L793">
        <v>1100</v>
      </c>
      <c r="M793" t="s">
        <v>119</v>
      </c>
      <c r="N793">
        <v>1110</v>
      </c>
      <c r="O793" t="s">
        <v>284</v>
      </c>
      <c r="P793" t="s">
        <v>3108</v>
      </c>
      <c r="Q793" t="s">
        <v>3249</v>
      </c>
      <c r="R793" t="s">
        <v>3249</v>
      </c>
      <c r="S793" t="s">
        <v>810</v>
      </c>
      <c r="T793" t="s">
        <v>2754</v>
      </c>
      <c r="U793" t="s">
        <v>3250</v>
      </c>
      <c r="V793" t="s">
        <v>3250</v>
      </c>
      <c r="W793" t="s">
        <v>3250</v>
      </c>
      <c r="X793" t="s">
        <v>3250</v>
      </c>
      <c r="Y793" t="s">
        <v>3250</v>
      </c>
      <c r="Z793" t="s">
        <v>3250</v>
      </c>
      <c r="AA793" t="s">
        <v>3108</v>
      </c>
      <c r="AB793" t="s">
        <v>3108</v>
      </c>
      <c r="AC793" t="s">
        <v>3250</v>
      </c>
      <c r="AD793" t="s">
        <v>3250</v>
      </c>
      <c r="AE793" t="s">
        <v>3250</v>
      </c>
      <c r="AF793" t="s">
        <v>3250</v>
      </c>
      <c r="AG793" t="s">
        <v>3250</v>
      </c>
      <c r="AH793" t="s">
        <v>3250</v>
      </c>
      <c r="AI793" t="s">
        <v>3250</v>
      </c>
      <c r="AJ793" t="s">
        <v>3250</v>
      </c>
      <c r="AL793" t="s">
        <v>3250</v>
      </c>
      <c r="AM793" t="s">
        <v>3250</v>
      </c>
      <c r="AN793" t="s">
        <v>3250</v>
      </c>
      <c r="AO793" t="s">
        <v>3250</v>
      </c>
      <c r="AS793" t="s">
        <v>3250</v>
      </c>
      <c r="AT793" t="s">
        <v>3250</v>
      </c>
      <c r="AU793" t="s">
        <v>3250</v>
      </c>
      <c r="AV793" t="s">
        <v>3250</v>
      </c>
      <c r="AW793" t="s">
        <v>3250</v>
      </c>
      <c r="AX793" t="s">
        <v>3250</v>
      </c>
      <c r="AY793" t="s">
        <v>3250</v>
      </c>
      <c r="AZ793" t="s">
        <v>3250</v>
      </c>
      <c r="BA793" t="s">
        <v>3250</v>
      </c>
      <c r="BB793" t="s">
        <v>3250</v>
      </c>
      <c r="BC793" t="s">
        <v>3250</v>
      </c>
      <c r="BE793" t="s">
        <v>3250</v>
      </c>
      <c r="BF793" t="s">
        <v>3250</v>
      </c>
      <c r="BG793" t="s">
        <v>3250</v>
      </c>
      <c r="BH793" t="s">
        <v>3250</v>
      </c>
      <c r="BI793" t="s">
        <v>3250</v>
      </c>
      <c r="BK793" t="s">
        <v>3250</v>
      </c>
      <c r="BL793" t="s">
        <v>3250</v>
      </c>
      <c r="BM793" t="s">
        <v>3250</v>
      </c>
      <c r="BN793" t="s">
        <v>3250</v>
      </c>
      <c r="BP793">
        <v>3</v>
      </c>
      <c r="BQ793">
        <v>32</v>
      </c>
      <c r="BR793" t="s">
        <v>284</v>
      </c>
      <c r="BS793" t="s">
        <v>4381</v>
      </c>
      <c r="BV793">
        <v>0</v>
      </c>
      <c r="BW793">
        <v>0</v>
      </c>
      <c r="BX793">
        <v>0</v>
      </c>
      <c r="BY793">
        <v>0</v>
      </c>
      <c r="BZ793">
        <v>0</v>
      </c>
      <c r="CA793">
        <v>0</v>
      </c>
      <c r="CB793">
        <v>0</v>
      </c>
      <c r="CC793">
        <v>0</v>
      </c>
      <c r="CD793">
        <v>0</v>
      </c>
      <c r="CE793" t="s">
        <v>3108</v>
      </c>
      <c r="CF793" t="s">
        <v>3108</v>
      </c>
      <c r="CG793" t="s">
        <v>3108</v>
      </c>
      <c r="CH793" t="s">
        <v>3108</v>
      </c>
    </row>
    <row r="794" spans="1:86" x14ac:dyDescent="0.2">
      <c r="A794" t="s">
        <v>4447</v>
      </c>
      <c r="B794" t="s">
        <v>4447</v>
      </c>
      <c r="C794">
        <v>41245</v>
      </c>
      <c r="D794">
        <v>817</v>
      </c>
      <c r="E794" t="s">
        <v>4031</v>
      </c>
      <c r="F794">
        <v>2900</v>
      </c>
      <c r="G794" t="s">
        <v>822</v>
      </c>
      <c r="H794" t="s">
        <v>3108</v>
      </c>
      <c r="I794" t="s">
        <v>3108</v>
      </c>
      <c r="J794">
        <v>2904</v>
      </c>
      <c r="K794" t="s">
        <v>1690</v>
      </c>
      <c r="L794">
        <v>1100</v>
      </c>
      <c r="M794" t="s">
        <v>119</v>
      </c>
      <c r="N794">
        <v>1110</v>
      </c>
      <c r="O794" t="s">
        <v>284</v>
      </c>
      <c r="P794" t="s">
        <v>3108</v>
      </c>
      <c r="Q794" t="s">
        <v>3249</v>
      </c>
      <c r="R794" t="s">
        <v>3249</v>
      </c>
      <c r="S794" t="s">
        <v>810</v>
      </c>
      <c r="T794" t="s">
        <v>2754</v>
      </c>
      <c r="U794" t="s">
        <v>3250</v>
      </c>
      <c r="V794" t="s">
        <v>3250</v>
      </c>
      <c r="W794" t="s">
        <v>3250</v>
      </c>
      <c r="X794" t="s">
        <v>3250</v>
      </c>
      <c r="Y794" t="s">
        <v>3250</v>
      </c>
      <c r="Z794" t="s">
        <v>3250</v>
      </c>
      <c r="AA794" t="s">
        <v>3108</v>
      </c>
      <c r="AB794" t="s">
        <v>3108</v>
      </c>
      <c r="AC794" t="s">
        <v>3250</v>
      </c>
      <c r="AD794" t="s">
        <v>3250</v>
      </c>
      <c r="AE794" t="s">
        <v>3250</v>
      </c>
      <c r="AF794" t="s">
        <v>3250</v>
      </c>
      <c r="AG794" t="s">
        <v>3250</v>
      </c>
      <c r="AH794" t="s">
        <v>3250</v>
      </c>
      <c r="AI794" t="s">
        <v>3250</v>
      </c>
      <c r="AJ794" t="s">
        <v>3250</v>
      </c>
      <c r="AL794" t="s">
        <v>3250</v>
      </c>
      <c r="AM794" t="s">
        <v>3250</v>
      </c>
      <c r="AN794" t="s">
        <v>3250</v>
      </c>
      <c r="AO794" t="s">
        <v>3250</v>
      </c>
      <c r="AS794" t="s">
        <v>3250</v>
      </c>
      <c r="AT794" t="s">
        <v>3250</v>
      </c>
      <c r="AU794" t="s">
        <v>3250</v>
      </c>
      <c r="AV794" t="s">
        <v>3250</v>
      </c>
      <c r="AW794" t="s">
        <v>3250</v>
      </c>
      <c r="AX794" t="s">
        <v>3250</v>
      </c>
      <c r="AY794" t="s">
        <v>3250</v>
      </c>
      <c r="AZ794" t="s">
        <v>3250</v>
      </c>
      <c r="BA794" t="s">
        <v>3250</v>
      </c>
      <c r="BB794" t="s">
        <v>3250</v>
      </c>
      <c r="BC794" t="s">
        <v>3250</v>
      </c>
      <c r="BE794" t="s">
        <v>3250</v>
      </c>
      <c r="BF794" t="s">
        <v>3250</v>
      </c>
      <c r="BG794" t="s">
        <v>3250</v>
      </c>
      <c r="BH794" t="s">
        <v>3250</v>
      </c>
      <c r="BI794" t="s">
        <v>3250</v>
      </c>
      <c r="BK794" t="s">
        <v>3250</v>
      </c>
      <c r="BL794" t="s">
        <v>3250</v>
      </c>
      <c r="BM794" t="s">
        <v>3250</v>
      </c>
      <c r="BN794" t="s">
        <v>3250</v>
      </c>
      <c r="BP794">
        <v>3</v>
      </c>
      <c r="BQ794">
        <v>32</v>
      </c>
      <c r="BR794" t="s">
        <v>284</v>
      </c>
      <c r="BS794" t="s">
        <v>4381</v>
      </c>
      <c r="BV794">
        <v>62454</v>
      </c>
      <c r="BW794">
        <v>89822</v>
      </c>
      <c r="BX794">
        <v>13035</v>
      </c>
      <c r="BY794">
        <v>120000</v>
      </c>
      <c r="BZ794">
        <v>40000</v>
      </c>
      <c r="CA794">
        <v>41560</v>
      </c>
      <c r="CB794">
        <v>43222</v>
      </c>
      <c r="CC794">
        <v>44951</v>
      </c>
      <c r="CD794">
        <v>18683</v>
      </c>
      <c r="CE794" t="s">
        <v>3108</v>
      </c>
      <c r="CF794" t="s">
        <v>3108</v>
      </c>
      <c r="CG794" t="s">
        <v>3108</v>
      </c>
      <c r="CH794" t="s">
        <v>3108</v>
      </c>
    </row>
    <row r="795" spans="1:86" x14ac:dyDescent="0.2">
      <c r="A795" t="s">
        <v>4448</v>
      </c>
      <c r="B795" t="s">
        <v>4448</v>
      </c>
      <c r="C795">
        <v>41246</v>
      </c>
      <c r="D795">
        <v>818</v>
      </c>
      <c r="E795" t="s">
        <v>4033</v>
      </c>
      <c r="F795">
        <v>2900</v>
      </c>
      <c r="G795" t="s">
        <v>822</v>
      </c>
      <c r="H795" t="s">
        <v>3108</v>
      </c>
      <c r="I795" t="s">
        <v>3108</v>
      </c>
      <c r="J795">
        <v>2904</v>
      </c>
      <c r="K795" t="s">
        <v>1690</v>
      </c>
      <c r="L795">
        <v>1100</v>
      </c>
      <c r="M795" t="s">
        <v>119</v>
      </c>
      <c r="N795">
        <v>1110</v>
      </c>
      <c r="O795" t="s">
        <v>284</v>
      </c>
      <c r="P795" t="s">
        <v>3108</v>
      </c>
      <c r="Q795" t="s">
        <v>3249</v>
      </c>
      <c r="R795" t="s">
        <v>3249</v>
      </c>
      <c r="S795" t="s">
        <v>810</v>
      </c>
      <c r="T795" t="s">
        <v>2754</v>
      </c>
      <c r="U795" t="s">
        <v>3250</v>
      </c>
      <c r="V795" t="s">
        <v>3250</v>
      </c>
      <c r="W795" t="s">
        <v>3250</v>
      </c>
      <c r="X795" t="s">
        <v>3250</v>
      </c>
      <c r="Y795" t="s">
        <v>3250</v>
      </c>
      <c r="Z795" t="s">
        <v>3250</v>
      </c>
      <c r="AA795" t="s">
        <v>3108</v>
      </c>
      <c r="AB795" t="s">
        <v>3108</v>
      </c>
      <c r="AC795" t="s">
        <v>3250</v>
      </c>
      <c r="AD795" t="s">
        <v>3250</v>
      </c>
      <c r="AE795" t="s">
        <v>3250</v>
      </c>
      <c r="AF795" t="s">
        <v>3250</v>
      </c>
      <c r="AG795" t="s">
        <v>3250</v>
      </c>
      <c r="AH795" t="s">
        <v>3250</v>
      </c>
      <c r="AI795" t="s">
        <v>3250</v>
      </c>
      <c r="AJ795" t="s">
        <v>3250</v>
      </c>
      <c r="AL795" t="s">
        <v>3250</v>
      </c>
      <c r="AM795" t="s">
        <v>3250</v>
      </c>
      <c r="AN795" t="s">
        <v>3250</v>
      </c>
      <c r="AO795" t="s">
        <v>3250</v>
      </c>
      <c r="AS795" t="s">
        <v>3250</v>
      </c>
      <c r="AT795" t="s">
        <v>3250</v>
      </c>
      <c r="AU795" t="s">
        <v>3250</v>
      </c>
      <c r="AV795" t="s">
        <v>3250</v>
      </c>
      <c r="AW795" t="s">
        <v>3250</v>
      </c>
      <c r="AX795" t="s">
        <v>3250</v>
      </c>
      <c r="AY795" t="s">
        <v>3250</v>
      </c>
      <c r="AZ795" t="s">
        <v>3250</v>
      </c>
      <c r="BA795" t="s">
        <v>3250</v>
      </c>
      <c r="BB795" t="s">
        <v>3250</v>
      </c>
      <c r="BC795" t="s">
        <v>3250</v>
      </c>
      <c r="BE795" t="s">
        <v>3250</v>
      </c>
      <c r="BF795" t="s">
        <v>3250</v>
      </c>
      <c r="BG795" t="s">
        <v>3250</v>
      </c>
      <c r="BH795" t="s">
        <v>3250</v>
      </c>
      <c r="BI795" t="s">
        <v>3250</v>
      </c>
      <c r="BK795" t="s">
        <v>3250</v>
      </c>
      <c r="BL795" t="s">
        <v>3250</v>
      </c>
      <c r="BM795" t="s">
        <v>3250</v>
      </c>
      <c r="BN795" t="s">
        <v>3250</v>
      </c>
      <c r="BP795">
        <v>3</v>
      </c>
      <c r="BQ795">
        <v>32</v>
      </c>
      <c r="BR795" t="s">
        <v>284</v>
      </c>
      <c r="BS795" t="s">
        <v>4381</v>
      </c>
      <c r="BV795">
        <v>19666</v>
      </c>
      <c r="BW795">
        <v>17079</v>
      </c>
      <c r="BX795">
        <v>5726</v>
      </c>
      <c r="BY795">
        <v>40000</v>
      </c>
      <c r="BZ795">
        <v>40000</v>
      </c>
      <c r="CA795">
        <v>41560</v>
      </c>
      <c r="CB795">
        <v>43222</v>
      </c>
      <c r="CC795">
        <v>44951</v>
      </c>
      <c r="CD795">
        <v>18149</v>
      </c>
      <c r="CE795" t="s">
        <v>3108</v>
      </c>
      <c r="CF795" t="s">
        <v>3108</v>
      </c>
      <c r="CG795" t="s">
        <v>3108</v>
      </c>
      <c r="CH795" t="s">
        <v>3108</v>
      </c>
    </row>
    <row r="796" spans="1:86" x14ac:dyDescent="0.2">
      <c r="A796" t="s">
        <v>4449</v>
      </c>
      <c r="B796" t="s">
        <v>4449</v>
      </c>
      <c r="C796">
        <v>41247</v>
      </c>
      <c r="D796">
        <v>819</v>
      </c>
      <c r="E796" t="s">
        <v>4106</v>
      </c>
      <c r="F796">
        <v>2900</v>
      </c>
      <c r="G796" t="s">
        <v>822</v>
      </c>
      <c r="H796" t="s">
        <v>3108</v>
      </c>
      <c r="I796" t="s">
        <v>3108</v>
      </c>
      <c r="J796">
        <v>2904</v>
      </c>
      <c r="K796" t="s">
        <v>1690</v>
      </c>
      <c r="L796">
        <v>1100</v>
      </c>
      <c r="M796" t="s">
        <v>119</v>
      </c>
      <c r="N796">
        <v>1110</v>
      </c>
      <c r="O796" t="s">
        <v>284</v>
      </c>
      <c r="P796" t="s">
        <v>3108</v>
      </c>
      <c r="Q796" t="s">
        <v>3249</v>
      </c>
      <c r="R796" t="s">
        <v>3249</v>
      </c>
      <c r="S796" t="s">
        <v>810</v>
      </c>
      <c r="T796" t="s">
        <v>2754</v>
      </c>
      <c r="U796" t="s">
        <v>3250</v>
      </c>
      <c r="V796" t="s">
        <v>3250</v>
      </c>
      <c r="W796" t="s">
        <v>3250</v>
      </c>
      <c r="X796" t="s">
        <v>3250</v>
      </c>
      <c r="Y796" t="s">
        <v>3250</v>
      </c>
      <c r="Z796" t="s">
        <v>3250</v>
      </c>
      <c r="AA796" t="s">
        <v>3108</v>
      </c>
      <c r="AB796" t="s">
        <v>3108</v>
      </c>
      <c r="AC796" t="s">
        <v>3250</v>
      </c>
      <c r="AD796" t="s">
        <v>3250</v>
      </c>
      <c r="AE796" t="s">
        <v>3250</v>
      </c>
      <c r="AF796" t="s">
        <v>3250</v>
      </c>
      <c r="AG796" t="s">
        <v>3250</v>
      </c>
      <c r="AH796" t="s">
        <v>3250</v>
      </c>
      <c r="AI796" t="s">
        <v>3250</v>
      </c>
      <c r="AJ796" t="s">
        <v>3250</v>
      </c>
      <c r="AL796" t="s">
        <v>3250</v>
      </c>
      <c r="AM796" t="s">
        <v>3250</v>
      </c>
      <c r="AN796" t="s">
        <v>3250</v>
      </c>
      <c r="AO796" t="s">
        <v>3250</v>
      </c>
      <c r="AS796" t="s">
        <v>3250</v>
      </c>
      <c r="AT796" t="s">
        <v>3250</v>
      </c>
      <c r="AU796" t="s">
        <v>3250</v>
      </c>
      <c r="AV796" t="s">
        <v>3250</v>
      </c>
      <c r="AW796" t="s">
        <v>3250</v>
      </c>
      <c r="AX796" t="s">
        <v>3250</v>
      </c>
      <c r="AY796" t="s">
        <v>3250</v>
      </c>
      <c r="AZ796" t="s">
        <v>3250</v>
      </c>
      <c r="BA796" t="s">
        <v>3250</v>
      </c>
      <c r="BB796" t="s">
        <v>3250</v>
      </c>
      <c r="BC796" t="s">
        <v>3250</v>
      </c>
      <c r="BE796" t="s">
        <v>3250</v>
      </c>
      <c r="BF796" t="s">
        <v>3250</v>
      </c>
      <c r="BG796" t="s">
        <v>3250</v>
      </c>
      <c r="BH796" t="s">
        <v>3250</v>
      </c>
      <c r="BI796" t="s">
        <v>3250</v>
      </c>
      <c r="BK796" t="s">
        <v>3250</v>
      </c>
      <c r="BL796" t="s">
        <v>3250</v>
      </c>
      <c r="BM796" t="s">
        <v>3250</v>
      </c>
      <c r="BN796" t="s">
        <v>3250</v>
      </c>
      <c r="BP796">
        <v>3</v>
      </c>
      <c r="BQ796">
        <v>32</v>
      </c>
      <c r="BR796" t="s">
        <v>284</v>
      </c>
      <c r="BS796" t="s">
        <v>4381</v>
      </c>
      <c r="BV796">
        <v>0</v>
      </c>
      <c r="BW796">
        <v>0</v>
      </c>
      <c r="BX796">
        <v>0</v>
      </c>
      <c r="BY796">
        <v>0</v>
      </c>
      <c r="BZ796">
        <v>0</v>
      </c>
      <c r="CA796">
        <v>0</v>
      </c>
      <c r="CB796">
        <v>0</v>
      </c>
      <c r="CC796">
        <v>0</v>
      </c>
      <c r="CD796">
        <v>0</v>
      </c>
      <c r="CE796" t="s">
        <v>3108</v>
      </c>
      <c r="CF796" t="s">
        <v>3108</v>
      </c>
      <c r="CG796" t="s">
        <v>3108</v>
      </c>
      <c r="CH796" t="s">
        <v>3108</v>
      </c>
    </row>
    <row r="797" spans="1:86" x14ac:dyDescent="0.2">
      <c r="A797" t="s">
        <v>4450</v>
      </c>
      <c r="B797" t="s">
        <v>4450</v>
      </c>
      <c r="C797">
        <v>41248</v>
      </c>
      <c r="D797">
        <v>511</v>
      </c>
      <c r="E797" t="s">
        <v>4015</v>
      </c>
      <c r="F797">
        <v>2900</v>
      </c>
      <c r="G797" t="s">
        <v>822</v>
      </c>
      <c r="H797" t="s">
        <v>3108</v>
      </c>
      <c r="I797" t="s">
        <v>3108</v>
      </c>
      <c r="J797">
        <v>2904</v>
      </c>
      <c r="K797" t="s">
        <v>1690</v>
      </c>
      <c r="L797">
        <v>1100</v>
      </c>
      <c r="M797" t="s">
        <v>119</v>
      </c>
      <c r="N797">
        <v>1120</v>
      </c>
      <c r="O797" t="s">
        <v>2367</v>
      </c>
      <c r="P797" t="s">
        <v>3108</v>
      </c>
      <c r="Q797" t="s">
        <v>3249</v>
      </c>
      <c r="R797" t="s">
        <v>3249</v>
      </c>
      <c r="S797" t="s">
        <v>810</v>
      </c>
      <c r="T797" t="s">
        <v>2754</v>
      </c>
      <c r="U797" t="s">
        <v>3250</v>
      </c>
      <c r="V797" t="s">
        <v>3250</v>
      </c>
      <c r="W797" t="s">
        <v>3250</v>
      </c>
      <c r="X797" t="s">
        <v>3250</v>
      </c>
      <c r="Y797" t="s">
        <v>3250</v>
      </c>
      <c r="Z797" t="s">
        <v>3250</v>
      </c>
      <c r="AA797" t="s">
        <v>3108</v>
      </c>
      <c r="AB797" t="s">
        <v>3108</v>
      </c>
      <c r="AC797" t="s">
        <v>3250</v>
      </c>
      <c r="AD797" t="s">
        <v>3250</v>
      </c>
      <c r="AE797" t="s">
        <v>3250</v>
      </c>
      <c r="AF797" t="s">
        <v>3250</v>
      </c>
      <c r="AG797" t="s">
        <v>3250</v>
      </c>
      <c r="AH797" t="s">
        <v>3250</v>
      </c>
      <c r="AI797" t="s">
        <v>3250</v>
      </c>
      <c r="AJ797" t="s">
        <v>3250</v>
      </c>
      <c r="AL797" t="s">
        <v>3250</v>
      </c>
      <c r="AM797" t="s">
        <v>3250</v>
      </c>
      <c r="AN797" t="s">
        <v>3250</v>
      </c>
      <c r="AO797" t="s">
        <v>3250</v>
      </c>
      <c r="AS797" t="s">
        <v>3250</v>
      </c>
      <c r="AT797" t="s">
        <v>3250</v>
      </c>
      <c r="AU797" t="s">
        <v>3250</v>
      </c>
      <c r="AV797" t="s">
        <v>3250</v>
      </c>
      <c r="AW797" t="s">
        <v>3250</v>
      </c>
      <c r="AX797" t="s">
        <v>3250</v>
      </c>
      <c r="AY797" t="s">
        <v>3250</v>
      </c>
      <c r="AZ797" t="s">
        <v>3250</v>
      </c>
      <c r="BA797" t="s">
        <v>3250</v>
      </c>
      <c r="BB797" t="s">
        <v>3250</v>
      </c>
      <c r="BC797" t="s">
        <v>3250</v>
      </c>
      <c r="BE797" t="s">
        <v>3250</v>
      </c>
      <c r="BF797" t="s">
        <v>3250</v>
      </c>
      <c r="BG797" t="s">
        <v>3250</v>
      </c>
      <c r="BH797" t="s">
        <v>3250</v>
      </c>
      <c r="BI797" t="s">
        <v>3250</v>
      </c>
      <c r="BK797" t="s">
        <v>3250</v>
      </c>
      <c r="BL797" t="s">
        <v>3250</v>
      </c>
      <c r="BM797" t="s">
        <v>3250</v>
      </c>
      <c r="BN797" t="s">
        <v>3250</v>
      </c>
      <c r="BP797">
        <v>3</v>
      </c>
      <c r="BQ797">
        <v>31</v>
      </c>
      <c r="BR797" t="s">
        <v>2367</v>
      </c>
      <c r="BS797" t="s">
        <v>4381</v>
      </c>
      <c r="BV797">
        <v>0</v>
      </c>
      <c r="BW797">
        <v>0</v>
      </c>
      <c r="BX797">
        <v>0</v>
      </c>
      <c r="BY797">
        <v>0</v>
      </c>
      <c r="BZ797">
        <v>0</v>
      </c>
      <c r="CA797">
        <v>0</v>
      </c>
      <c r="CB797">
        <v>0</v>
      </c>
      <c r="CC797">
        <v>0</v>
      </c>
      <c r="CD797">
        <v>0</v>
      </c>
      <c r="CE797" t="s">
        <v>3108</v>
      </c>
      <c r="CF797" t="s">
        <v>3108</v>
      </c>
      <c r="CG797" t="s">
        <v>3108</v>
      </c>
      <c r="CH797" t="s">
        <v>3108</v>
      </c>
    </row>
    <row r="798" spans="1:86" x14ac:dyDescent="0.2">
      <c r="A798" t="s">
        <v>4451</v>
      </c>
      <c r="B798" t="s">
        <v>4451</v>
      </c>
      <c r="C798">
        <v>41249</v>
      </c>
      <c r="D798">
        <v>512</v>
      </c>
      <c r="E798" t="s">
        <v>4232</v>
      </c>
      <c r="F798">
        <v>2900</v>
      </c>
      <c r="G798" t="s">
        <v>822</v>
      </c>
      <c r="H798" t="s">
        <v>3108</v>
      </c>
      <c r="I798" t="s">
        <v>3108</v>
      </c>
      <c r="J798">
        <v>2904</v>
      </c>
      <c r="K798" t="s">
        <v>1690</v>
      </c>
      <c r="L798">
        <v>1100</v>
      </c>
      <c r="M798" t="s">
        <v>119</v>
      </c>
      <c r="N798">
        <v>1120</v>
      </c>
      <c r="O798" t="s">
        <v>2367</v>
      </c>
      <c r="P798" t="s">
        <v>3108</v>
      </c>
      <c r="Q798" t="s">
        <v>3249</v>
      </c>
      <c r="R798" t="s">
        <v>3249</v>
      </c>
      <c r="S798" t="s">
        <v>810</v>
      </c>
      <c r="T798" t="s">
        <v>2754</v>
      </c>
      <c r="U798" t="s">
        <v>3250</v>
      </c>
      <c r="V798" t="s">
        <v>3250</v>
      </c>
      <c r="W798" t="s">
        <v>3250</v>
      </c>
      <c r="X798" t="s">
        <v>3250</v>
      </c>
      <c r="Y798" t="s">
        <v>3250</v>
      </c>
      <c r="Z798" t="s">
        <v>3250</v>
      </c>
      <c r="AA798" t="s">
        <v>3108</v>
      </c>
      <c r="AB798" t="s">
        <v>3108</v>
      </c>
      <c r="AC798" t="s">
        <v>3250</v>
      </c>
      <c r="AD798" t="s">
        <v>3250</v>
      </c>
      <c r="AE798" t="s">
        <v>3250</v>
      </c>
      <c r="AF798" t="s">
        <v>3250</v>
      </c>
      <c r="AG798" t="s">
        <v>3250</v>
      </c>
      <c r="AH798" t="s">
        <v>3250</v>
      </c>
      <c r="AI798" t="s">
        <v>3250</v>
      </c>
      <c r="AJ798" t="s">
        <v>3250</v>
      </c>
      <c r="AL798" t="s">
        <v>3250</v>
      </c>
      <c r="AM798" t="s">
        <v>3250</v>
      </c>
      <c r="AN798" t="s">
        <v>3250</v>
      </c>
      <c r="AO798" t="s">
        <v>3250</v>
      </c>
      <c r="AS798" t="s">
        <v>3250</v>
      </c>
      <c r="AT798" t="s">
        <v>3250</v>
      </c>
      <c r="AU798" t="s">
        <v>3250</v>
      </c>
      <c r="AV798" t="s">
        <v>3250</v>
      </c>
      <c r="AW798" t="s">
        <v>3250</v>
      </c>
      <c r="AX798" t="s">
        <v>3250</v>
      </c>
      <c r="AY798" t="s">
        <v>3250</v>
      </c>
      <c r="AZ798" t="s">
        <v>3250</v>
      </c>
      <c r="BA798" t="s">
        <v>3250</v>
      </c>
      <c r="BB798" t="s">
        <v>3250</v>
      </c>
      <c r="BC798" t="s">
        <v>3250</v>
      </c>
      <c r="BE798" t="s">
        <v>3250</v>
      </c>
      <c r="BF798" t="s">
        <v>3250</v>
      </c>
      <c r="BG798" t="s">
        <v>3250</v>
      </c>
      <c r="BH798" t="s">
        <v>3250</v>
      </c>
      <c r="BI798" t="s">
        <v>3250</v>
      </c>
      <c r="BK798" t="s">
        <v>3250</v>
      </c>
      <c r="BL798" t="s">
        <v>3250</v>
      </c>
      <c r="BM798" t="s">
        <v>3250</v>
      </c>
      <c r="BN798" t="s">
        <v>3250</v>
      </c>
      <c r="BP798">
        <v>3</v>
      </c>
      <c r="BQ798">
        <v>31</v>
      </c>
      <c r="BR798" t="s">
        <v>2367</v>
      </c>
      <c r="BS798" t="s">
        <v>4381</v>
      </c>
      <c r="BV798">
        <v>0</v>
      </c>
      <c r="BW798">
        <v>0</v>
      </c>
      <c r="BX798">
        <v>0</v>
      </c>
      <c r="BY798">
        <v>0</v>
      </c>
      <c r="BZ798">
        <v>0</v>
      </c>
      <c r="CA798">
        <v>0</v>
      </c>
      <c r="CB798">
        <v>0</v>
      </c>
      <c r="CC798">
        <v>0</v>
      </c>
      <c r="CD798">
        <v>0</v>
      </c>
      <c r="CE798" t="s">
        <v>3108</v>
      </c>
      <c r="CF798" t="s">
        <v>3108</v>
      </c>
      <c r="CG798" t="s">
        <v>3108</v>
      </c>
      <c r="CH798" t="s">
        <v>3108</v>
      </c>
    </row>
    <row r="799" spans="1:86" x14ac:dyDescent="0.2">
      <c r="A799" t="s">
        <v>4452</v>
      </c>
      <c r="B799" t="s">
        <v>4452</v>
      </c>
      <c r="C799">
        <v>41250</v>
      </c>
      <c r="D799">
        <v>427</v>
      </c>
      <c r="E799" t="s">
        <v>4027</v>
      </c>
      <c r="F799">
        <v>2900</v>
      </c>
      <c r="G799" t="s">
        <v>822</v>
      </c>
      <c r="H799" t="s">
        <v>3108</v>
      </c>
      <c r="I799" t="s">
        <v>3108</v>
      </c>
      <c r="J799">
        <v>2904</v>
      </c>
      <c r="K799" t="s">
        <v>1690</v>
      </c>
      <c r="L799">
        <v>2100</v>
      </c>
      <c r="M799" t="s">
        <v>123</v>
      </c>
      <c r="N799">
        <v>2106</v>
      </c>
      <c r="O799" t="s">
        <v>2399</v>
      </c>
      <c r="P799" t="s">
        <v>3108</v>
      </c>
      <c r="Q799" t="s">
        <v>3249</v>
      </c>
      <c r="R799" t="s">
        <v>3249</v>
      </c>
      <c r="S799" t="s">
        <v>810</v>
      </c>
      <c r="T799" t="s">
        <v>2754</v>
      </c>
      <c r="U799" t="s">
        <v>3250</v>
      </c>
      <c r="V799" t="s">
        <v>3250</v>
      </c>
      <c r="W799" t="s">
        <v>3250</v>
      </c>
      <c r="X799" t="s">
        <v>3250</v>
      </c>
      <c r="Y799" t="s">
        <v>3250</v>
      </c>
      <c r="Z799" t="s">
        <v>3250</v>
      </c>
      <c r="AA799" t="s">
        <v>3108</v>
      </c>
      <c r="AB799" t="s">
        <v>3108</v>
      </c>
      <c r="AC799" t="s">
        <v>3250</v>
      </c>
      <c r="AD799" t="s">
        <v>3250</v>
      </c>
      <c r="AE799" t="s">
        <v>3250</v>
      </c>
      <c r="AF799" t="s">
        <v>3250</v>
      </c>
      <c r="AG799" t="s">
        <v>3250</v>
      </c>
      <c r="AH799" t="s">
        <v>3250</v>
      </c>
      <c r="AI799" t="s">
        <v>3250</v>
      </c>
      <c r="AJ799" t="s">
        <v>3250</v>
      </c>
      <c r="AL799" t="s">
        <v>3250</v>
      </c>
      <c r="AM799" t="s">
        <v>3250</v>
      </c>
      <c r="AN799" t="s">
        <v>3250</v>
      </c>
      <c r="AO799" t="s">
        <v>3250</v>
      </c>
      <c r="AS799" t="s">
        <v>3250</v>
      </c>
      <c r="AT799" t="s">
        <v>3250</v>
      </c>
      <c r="AU799" t="s">
        <v>3250</v>
      </c>
      <c r="AV799" t="s">
        <v>3250</v>
      </c>
      <c r="AW799" t="s">
        <v>3250</v>
      </c>
      <c r="AX799" t="s">
        <v>3250</v>
      </c>
      <c r="AY799" t="s">
        <v>3250</v>
      </c>
      <c r="AZ799" t="s">
        <v>3250</v>
      </c>
      <c r="BA799" t="s">
        <v>3250</v>
      </c>
      <c r="BB799" t="s">
        <v>3250</v>
      </c>
      <c r="BC799" t="s">
        <v>3250</v>
      </c>
      <c r="BE799" t="s">
        <v>3250</v>
      </c>
      <c r="BF799" t="s">
        <v>3250</v>
      </c>
      <c r="BG799" t="s">
        <v>3250</v>
      </c>
      <c r="BH799" t="s">
        <v>3250</v>
      </c>
      <c r="BI799" t="s">
        <v>3250</v>
      </c>
      <c r="BK799" t="s">
        <v>3250</v>
      </c>
      <c r="BL799" t="s">
        <v>3250</v>
      </c>
      <c r="BM799" t="s">
        <v>3250</v>
      </c>
      <c r="BN799" t="s">
        <v>3250</v>
      </c>
      <c r="BP799">
        <v>5</v>
      </c>
      <c r="BQ799">
        <v>53</v>
      </c>
      <c r="BR799" t="s">
        <v>2399</v>
      </c>
      <c r="BS799" t="s">
        <v>4136</v>
      </c>
      <c r="BV799">
        <v>0</v>
      </c>
      <c r="BW799">
        <v>6636</v>
      </c>
      <c r="BX799">
        <v>85100</v>
      </c>
      <c r="BY799">
        <v>0</v>
      </c>
      <c r="BZ799">
        <v>0</v>
      </c>
      <c r="CA799">
        <v>0</v>
      </c>
      <c r="CB799">
        <v>0</v>
      </c>
      <c r="CC799">
        <v>0</v>
      </c>
      <c r="CD799">
        <v>4175</v>
      </c>
      <c r="CE799" t="s">
        <v>3108</v>
      </c>
      <c r="CF799" t="s">
        <v>3108</v>
      </c>
      <c r="CG799" t="s">
        <v>3108</v>
      </c>
      <c r="CH799" t="s">
        <v>3108</v>
      </c>
    </row>
    <row r="800" spans="1:86" x14ac:dyDescent="0.2">
      <c r="A800" t="s">
        <v>4453</v>
      </c>
      <c r="B800" t="s">
        <v>4453</v>
      </c>
      <c r="C800">
        <v>41251</v>
      </c>
      <c r="D800">
        <v>428</v>
      </c>
      <c r="E800" t="s">
        <v>4097</v>
      </c>
      <c r="F800">
        <v>2900</v>
      </c>
      <c r="G800" t="s">
        <v>822</v>
      </c>
      <c r="H800" t="s">
        <v>3108</v>
      </c>
      <c r="I800" t="s">
        <v>3108</v>
      </c>
      <c r="J800">
        <v>2904</v>
      </c>
      <c r="K800" t="s">
        <v>1690</v>
      </c>
      <c r="L800">
        <v>2100</v>
      </c>
      <c r="M800" t="s">
        <v>123</v>
      </c>
      <c r="N800">
        <v>2106</v>
      </c>
      <c r="O800" t="s">
        <v>2399</v>
      </c>
      <c r="P800" t="s">
        <v>3108</v>
      </c>
      <c r="Q800" t="s">
        <v>3249</v>
      </c>
      <c r="R800" t="s">
        <v>3249</v>
      </c>
      <c r="S800" t="s">
        <v>810</v>
      </c>
      <c r="T800" t="s">
        <v>2754</v>
      </c>
      <c r="U800" t="s">
        <v>3250</v>
      </c>
      <c r="V800" t="s">
        <v>3250</v>
      </c>
      <c r="W800" t="s">
        <v>3250</v>
      </c>
      <c r="X800" t="s">
        <v>3250</v>
      </c>
      <c r="Y800" t="s">
        <v>3250</v>
      </c>
      <c r="Z800" t="s">
        <v>3250</v>
      </c>
      <c r="AA800" t="s">
        <v>3108</v>
      </c>
      <c r="AB800" t="s">
        <v>3108</v>
      </c>
      <c r="AC800" t="s">
        <v>3250</v>
      </c>
      <c r="AD800" t="s">
        <v>3250</v>
      </c>
      <c r="AE800" t="s">
        <v>3250</v>
      </c>
      <c r="AF800" t="s">
        <v>3250</v>
      </c>
      <c r="AG800" t="s">
        <v>3250</v>
      </c>
      <c r="AH800" t="s">
        <v>3250</v>
      </c>
      <c r="AI800" t="s">
        <v>3250</v>
      </c>
      <c r="AJ800" t="s">
        <v>3250</v>
      </c>
      <c r="AL800" t="s">
        <v>3250</v>
      </c>
      <c r="AM800" t="s">
        <v>3250</v>
      </c>
      <c r="AN800" t="s">
        <v>3250</v>
      </c>
      <c r="AO800" t="s">
        <v>3250</v>
      </c>
      <c r="AS800" t="s">
        <v>3250</v>
      </c>
      <c r="AT800" t="s">
        <v>3250</v>
      </c>
      <c r="AU800" t="s">
        <v>3250</v>
      </c>
      <c r="AV800" t="s">
        <v>3250</v>
      </c>
      <c r="AW800" t="s">
        <v>3250</v>
      </c>
      <c r="AX800" t="s">
        <v>3250</v>
      </c>
      <c r="AY800" t="s">
        <v>3250</v>
      </c>
      <c r="AZ800" t="s">
        <v>3250</v>
      </c>
      <c r="BA800" t="s">
        <v>3250</v>
      </c>
      <c r="BB800" t="s">
        <v>3250</v>
      </c>
      <c r="BC800" t="s">
        <v>3250</v>
      </c>
      <c r="BE800" t="s">
        <v>3250</v>
      </c>
      <c r="BF800" t="s">
        <v>3250</v>
      </c>
      <c r="BG800" t="s">
        <v>3250</v>
      </c>
      <c r="BH800" t="s">
        <v>3250</v>
      </c>
      <c r="BI800" t="s">
        <v>3250</v>
      </c>
      <c r="BK800" t="s">
        <v>3250</v>
      </c>
      <c r="BL800" t="s">
        <v>3250</v>
      </c>
      <c r="BM800" t="s">
        <v>3250</v>
      </c>
      <c r="BN800" t="s">
        <v>3250</v>
      </c>
      <c r="BP800">
        <v>5</v>
      </c>
      <c r="BQ800">
        <v>53</v>
      </c>
      <c r="BR800" t="s">
        <v>2399</v>
      </c>
      <c r="BS800" t="s">
        <v>4136</v>
      </c>
      <c r="BV800">
        <v>0</v>
      </c>
      <c r="BW800">
        <v>0</v>
      </c>
      <c r="BX800">
        <v>0</v>
      </c>
      <c r="BY800">
        <v>0</v>
      </c>
      <c r="BZ800">
        <v>0</v>
      </c>
      <c r="CA800">
        <v>0</v>
      </c>
      <c r="CB800">
        <v>0</v>
      </c>
      <c r="CC800">
        <v>0</v>
      </c>
      <c r="CD800">
        <v>0</v>
      </c>
      <c r="CE800" t="s">
        <v>3108</v>
      </c>
      <c r="CF800" t="s">
        <v>3108</v>
      </c>
      <c r="CG800" t="s">
        <v>3108</v>
      </c>
      <c r="CH800" t="s">
        <v>3108</v>
      </c>
    </row>
    <row r="801" spans="1:86" x14ac:dyDescent="0.2">
      <c r="A801" t="s">
        <v>4454</v>
      </c>
      <c r="B801" t="s">
        <v>4454</v>
      </c>
      <c r="C801">
        <v>41252</v>
      </c>
      <c r="D801">
        <v>429</v>
      </c>
      <c r="E801" t="s">
        <v>4099</v>
      </c>
      <c r="F801">
        <v>2900</v>
      </c>
      <c r="G801" t="s">
        <v>822</v>
      </c>
      <c r="H801" t="s">
        <v>3108</v>
      </c>
      <c r="I801" t="s">
        <v>3108</v>
      </c>
      <c r="J801">
        <v>2904</v>
      </c>
      <c r="K801" t="s">
        <v>1690</v>
      </c>
      <c r="L801">
        <v>2100</v>
      </c>
      <c r="M801" t="s">
        <v>123</v>
      </c>
      <c r="N801">
        <v>2106</v>
      </c>
      <c r="O801" t="s">
        <v>2399</v>
      </c>
      <c r="P801" t="s">
        <v>3108</v>
      </c>
      <c r="Q801" t="s">
        <v>3249</v>
      </c>
      <c r="R801" t="s">
        <v>3249</v>
      </c>
      <c r="S801" t="s">
        <v>810</v>
      </c>
      <c r="T801" t="s">
        <v>2754</v>
      </c>
      <c r="U801" t="s">
        <v>3250</v>
      </c>
      <c r="V801" t="s">
        <v>3250</v>
      </c>
      <c r="W801" t="s">
        <v>3250</v>
      </c>
      <c r="X801" t="s">
        <v>3250</v>
      </c>
      <c r="Y801" t="s">
        <v>3250</v>
      </c>
      <c r="Z801" t="s">
        <v>3250</v>
      </c>
      <c r="AA801" t="s">
        <v>3108</v>
      </c>
      <c r="AB801" t="s">
        <v>3108</v>
      </c>
      <c r="AC801" t="s">
        <v>3250</v>
      </c>
      <c r="AD801" t="s">
        <v>3250</v>
      </c>
      <c r="AE801" t="s">
        <v>3250</v>
      </c>
      <c r="AF801" t="s">
        <v>3250</v>
      </c>
      <c r="AG801" t="s">
        <v>3250</v>
      </c>
      <c r="AH801" t="s">
        <v>3250</v>
      </c>
      <c r="AI801" t="s">
        <v>3250</v>
      </c>
      <c r="AJ801" t="s">
        <v>3250</v>
      </c>
      <c r="AL801" t="s">
        <v>3250</v>
      </c>
      <c r="AM801" t="s">
        <v>3250</v>
      </c>
      <c r="AN801" t="s">
        <v>3250</v>
      </c>
      <c r="AO801" t="s">
        <v>3250</v>
      </c>
      <c r="AS801" t="s">
        <v>3250</v>
      </c>
      <c r="AT801" t="s">
        <v>3250</v>
      </c>
      <c r="AU801" t="s">
        <v>3250</v>
      </c>
      <c r="AV801" t="s">
        <v>3250</v>
      </c>
      <c r="AW801" t="s">
        <v>3250</v>
      </c>
      <c r="AX801" t="s">
        <v>3250</v>
      </c>
      <c r="AY801" t="s">
        <v>3250</v>
      </c>
      <c r="AZ801" t="s">
        <v>3250</v>
      </c>
      <c r="BA801" t="s">
        <v>3250</v>
      </c>
      <c r="BB801" t="s">
        <v>3250</v>
      </c>
      <c r="BC801" t="s">
        <v>3250</v>
      </c>
      <c r="BE801" t="s">
        <v>3250</v>
      </c>
      <c r="BF801" t="s">
        <v>3250</v>
      </c>
      <c r="BG801" t="s">
        <v>3250</v>
      </c>
      <c r="BH801" t="s">
        <v>3250</v>
      </c>
      <c r="BI801" t="s">
        <v>3250</v>
      </c>
      <c r="BK801" t="s">
        <v>3250</v>
      </c>
      <c r="BL801" t="s">
        <v>3250</v>
      </c>
      <c r="BM801" t="s">
        <v>3250</v>
      </c>
      <c r="BN801" t="s">
        <v>3250</v>
      </c>
      <c r="BP801">
        <v>5</v>
      </c>
      <c r="BQ801">
        <v>53</v>
      </c>
      <c r="BR801" t="s">
        <v>2399</v>
      </c>
      <c r="BS801" t="s">
        <v>4136</v>
      </c>
      <c r="BV801">
        <v>0</v>
      </c>
      <c r="BW801">
        <v>0</v>
      </c>
      <c r="BX801">
        <v>0</v>
      </c>
      <c r="BY801">
        <v>0</v>
      </c>
      <c r="BZ801">
        <v>0</v>
      </c>
      <c r="CA801">
        <v>0</v>
      </c>
      <c r="CB801">
        <v>0</v>
      </c>
      <c r="CC801">
        <v>0</v>
      </c>
      <c r="CD801">
        <v>0</v>
      </c>
      <c r="CE801" t="s">
        <v>3108</v>
      </c>
      <c r="CF801" t="s">
        <v>3108</v>
      </c>
      <c r="CG801" t="s">
        <v>3108</v>
      </c>
      <c r="CH801" t="s">
        <v>3108</v>
      </c>
    </row>
    <row r="802" spans="1:86" x14ac:dyDescent="0.2">
      <c r="A802" t="s">
        <v>4455</v>
      </c>
      <c r="B802" t="s">
        <v>4455</v>
      </c>
      <c r="C802">
        <v>41253</v>
      </c>
      <c r="D802">
        <v>430</v>
      </c>
      <c r="E802" t="s">
        <v>4143</v>
      </c>
      <c r="F802">
        <v>2900</v>
      </c>
      <c r="G802" t="s">
        <v>822</v>
      </c>
      <c r="H802" t="s">
        <v>3108</v>
      </c>
      <c r="I802" t="s">
        <v>3108</v>
      </c>
      <c r="J802">
        <v>2904</v>
      </c>
      <c r="K802" t="s">
        <v>1690</v>
      </c>
      <c r="L802">
        <v>2100</v>
      </c>
      <c r="M802" t="s">
        <v>123</v>
      </c>
      <c r="N802">
        <v>2106</v>
      </c>
      <c r="O802" t="s">
        <v>2399</v>
      </c>
      <c r="P802" t="s">
        <v>3108</v>
      </c>
      <c r="Q802" t="s">
        <v>3249</v>
      </c>
      <c r="R802" t="s">
        <v>3249</v>
      </c>
      <c r="S802" t="s">
        <v>810</v>
      </c>
      <c r="T802" t="s">
        <v>2754</v>
      </c>
      <c r="U802" t="s">
        <v>3250</v>
      </c>
      <c r="V802" t="s">
        <v>3250</v>
      </c>
      <c r="W802" t="s">
        <v>3250</v>
      </c>
      <c r="X802" t="s">
        <v>3250</v>
      </c>
      <c r="Y802" t="s">
        <v>3250</v>
      </c>
      <c r="Z802" t="s">
        <v>3250</v>
      </c>
      <c r="AA802" t="s">
        <v>3108</v>
      </c>
      <c r="AB802" t="s">
        <v>3108</v>
      </c>
      <c r="AC802" t="s">
        <v>3250</v>
      </c>
      <c r="AD802" t="s">
        <v>3250</v>
      </c>
      <c r="AE802" t="s">
        <v>3250</v>
      </c>
      <c r="AF802" t="s">
        <v>3250</v>
      </c>
      <c r="AG802" t="s">
        <v>3250</v>
      </c>
      <c r="AH802" t="s">
        <v>3250</v>
      </c>
      <c r="AI802" t="s">
        <v>3250</v>
      </c>
      <c r="AJ802" t="s">
        <v>3250</v>
      </c>
      <c r="AL802" t="s">
        <v>3250</v>
      </c>
      <c r="AM802" t="s">
        <v>3250</v>
      </c>
      <c r="AN802" t="s">
        <v>3250</v>
      </c>
      <c r="AO802" t="s">
        <v>3250</v>
      </c>
      <c r="AS802" t="s">
        <v>3250</v>
      </c>
      <c r="AT802" t="s">
        <v>3250</v>
      </c>
      <c r="AU802" t="s">
        <v>3250</v>
      </c>
      <c r="AV802" t="s">
        <v>3250</v>
      </c>
      <c r="AW802" t="s">
        <v>3250</v>
      </c>
      <c r="AX802" t="s">
        <v>3250</v>
      </c>
      <c r="AY802" t="s">
        <v>3250</v>
      </c>
      <c r="AZ802" t="s">
        <v>3250</v>
      </c>
      <c r="BA802" t="s">
        <v>3250</v>
      </c>
      <c r="BB802" t="s">
        <v>3250</v>
      </c>
      <c r="BC802" t="s">
        <v>3250</v>
      </c>
      <c r="BE802" t="s">
        <v>3250</v>
      </c>
      <c r="BF802" t="s">
        <v>3250</v>
      </c>
      <c r="BG802" t="s">
        <v>3250</v>
      </c>
      <c r="BH802" t="s">
        <v>3250</v>
      </c>
      <c r="BI802" t="s">
        <v>3250</v>
      </c>
      <c r="BK802" t="s">
        <v>3250</v>
      </c>
      <c r="BL802" t="s">
        <v>3250</v>
      </c>
      <c r="BM802" t="s">
        <v>3250</v>
      </c>
      <c r="BN802" t="s">
        <v>3250</v>
      </c>
      <c r="BP802">
        <v>5</v>
      </c>
      <c r="BQ802">
        <v>53</v>
      </c>
      <c r="BR802" t="s">
        <v>2399</v>
      </c>
      <c r="BS802" t="s">
        <v>4136</v>
      </c>
      <c r="BV802">
        <v>0</v>
      </c>
      <c r="BW802">
        <v>0</v>
      </c>
      <c r="BX802">
        <v>0</v>
      </c>
      <c r="BY802">
        <v>0</v>
      </c>
      <c r="BZ802">
        <v>0</v>
      </c>
      <c r="CA802">
        <v>0</v>
      </c>
      <c r="CB802">
        <v>0</v>
      </c>
      <c r="CC802">
        <v>0</v>
      </c>
      <c r="CD802">
        <v>0</v>
      </c>
      <c r="CE802" t="s">
        <v>3108</v>
      </c>
      <c r="CF802" t="s">
        <v>3108</v>
      </c>
      <c r="CG802" t="s">
        <v>3108</v>
      </c>
      <c r="CH802" t="s">
        <v>3108</v>
      </c>
    </row>
    <row r="803" spans="1:86" x14ac:dyDescent="0.2">
      <c r="A803" t="s">
        <v>4456</v>
      </c>
      <c r="B803" t="s">
        <v>4456</v>
      </c>
      <c r="C803">
        <v>41254</v>
      </c>
      <c r="D803">
        <v>431</v>
      </c>
      <c r="E803" t="s">
        <v>4031</v>
      </c>
      <c r="F803">
        <v>2900</v>
      </c>
      <c r="G803" t="s">
        <v>822</v>
      </c>
      <c r="H803" t="s">
        <v>3108</v>
      </c>
      <c r="I803" t="s">
        <v>3108</v>
      </c>
      <c r="J803">
        <v>2904</v>
      </c>
      <c r="K803" t="s">
        <v>1690</v>
      </c>
      <c r="L803">
        <v>2100</v>
      </c>
      <c r="M803" t="s">
        <v>123</v>
      </c>
      <c r="N803">
        <v>2106</v>
      </c>
      <c r="O803" t="s">
        <v>2399</v>
      </c>
      <c r="P803" t="s">
        <v>3108</v>
      </c>
      <c r="Q803" t="s">
        <v>3249</v>
      </c>
      <c r="R803" t="s">
        <v>3249</v>
      </c>
      <c r="S803" t="s">
        <v>810</v>
      </c>
      <c r="T803" t="s">
        <v>2754</v>
      </c>
      <c r="U803" t="s">
        <v>3250</v>
      </c>
      <c r="V803" t="s">
        <v>3250</v>
      </c>
      <c r="W803" t="s">
        <v>3250</v>
      </c>
      <c r="X803" t="s">
        <v>3250</v>
      </c>
      <c r="Y803" t="s">
        <v>3250</v>
      </c>
      <c r="Z803" t="s">
        <v>3250</v>
      </c>
      <c r="AA803" t="s">
        <v>3108</v>
      </c>
      <c r="AB803" t="s">
        <v>3108</v>
      </c>
      <c r="AC803" t="s">
        <v>3250</v>
      </c>
      <c r="AD803" t="s">
        <v>3250</v>
      </c>
      <c r="AE803" t="s">
        <v>3250</v>
      </c>
      <c r="AF803" t="s">
        <v>3250</v>
      </c>
      <c r="AG803" t="s">
        <v>3250</v>
      </c>
      <c r="AH803" t="s">
        <v>3250</v>
      </c>
      <c r="AI803" t="s">
        <v>3250</v>
      </c>
      <c r="AJ803" t="s">
        <v>3250</v>
      </c>
      <c r="AL803" t="s">
        <v>3250</v>
      </c>
      <c r="AM803" t="s">
        <v>3250</v>
      </c>
      <c r="AN803" t="s">
        <v>3250</v>
      </c>
      <c r="AO803" t="s">
        <v>3250</v>
      </c>
      <c r="AS803" t="s">
        <v>3250</v>
      </c>
      <c r="AT803" t="s">
        <v>3250</v>
      </c>
      <c r="AU803" t="s">
        <v>3250</v>
      </c>
      <c r="AV803" t="s">
        <v>3250</v>
      </c>
      <c r="AW803" t="s">
        <v>3250</v>
      </c>
      <c r="AX803" t="s">
        <v>3250</v>
      </c>
      <c r="AY803" t="s">
        <v>3250</v>
      </c>
      <c r="AZ803" t="s">
        <v>3250</v>
      </c>
      <c r="BA803" t="s">
        <v>3250</v>
      </c>
      <c r="BB803" t="s">
        <v>3250</v>
      </c>
      <c r="BC803" t="s">
        <v>3250</v>
      </c>
      <c r="BE803" t="s">
        <v>3250</v>
      </c>
      <c r="BF803" t="s">
        <v>3250</v>
      </c>
      <c r="BG803" t="s">
        <v>3250</v>
      </c>
      <c r="BH803" t="s">
        <v>3250</v>
      </c>
      <c r="BI803" t="s">
        <v>3250</v>
      </c>
      <c r="BK803" t="s">
        <v>3250</v>
      </c>
      <c r="BL803" t="s">
        <v>3250</v>
      </c>
      <c r="BM803" t="s">
        <v>3250</v>
      </c>
      <c r="BN803" t="s">
        <v>3250</v>
      </c>
      <c r="BP803">
        <v>5</v>
      </c>
      <c r="BQ803">
        <v>53</v>
      </c>
      <c r="BR803" t="s">
        <v>2399</v>
      </c>
      <c r="BS803" t="s">
        <v>4136</v>
      </c>
      <c r="BV803">
        <v>0</v>
      </c>
      <c r="BW803">
        <v>5781</v>
      </c>
      <c r="BX803">
        <v>109433</v>
      </c>
      <c r="BY803">
        <v>0</v>
      </c>
      <c r="BZ803">
        <v>0</v>
      </c>
      <c r="CA803">
        <v>0</v>
      </c>
      <c r="CB803">
        <v>0</v>
      </c>
      <c r="CC803">
        <v>0</v>
      </c>
      <c r="CD803">
        <v>0</v>
      </c>
      <c r="CE803" t="s">
        <v>3108</v>
      </c>
      <c r="CF803" t="s">
        <v>3108</v>
      </c>
      <c r="CG803" t="s">
        <v>3108</v>
      </c>
      <c r="CH803" t="s">
        <v>3108</v>
      </c>
    </row>
    <row r="804" spans="1:86" x14ac:dyDescent="0.2">
      <c r="A804" t="s">
        <v>4457</v>
      </c>
      <c r="B804" t="s">
        <v>4457</v>
      </c>
      <c r="C804">
        <v>41255</v>
      </c>
      <c r="D804">
        <v>432</v>
      </c>
      <c r="E804" t="s">
        <v>4103</v>
      </c>
      <c r="F804">
        <v>2900</v>
      </c>
      <c r="G804" t="s">
        <v>822</v>
      </c>
      <c r="H804" t="s">
        <v>3108</v>
      </c>
      <c r="I804" t="s">
        <v>3108</v>
      </c>
      <c r="J804">
        <v>2904</v>
      </c>
      <c r="K804" t="s">
        <v>1690</v>
      </c>
      <c r="L804">
        <v>2100</v>
      </c>
      <c r="M804" t="s">
        <v>123</v>
      </c>
      <c r="N804">
        <v>2106</v>
      </c>
      <c r="O804" t="s">
        <v>2399</v>
      </c>
      <c r="P804" t="s">
        <v>3108</v>
      </c>
      <c r="Q804" t="s">
        <v>3249</v>
      </c>
      <c r="R804" t="s">
        <v>3249</v>
      </c>
      <c r="S804" t="s">
        <v>810</v>
      </c>
      <c r="T804" t="s">
        <v>2754</v>
      </c>
      <c r="U804" t="s">
        <v>3250</v>
      </c>
      <c r="V804" t="s">
        <v>3250</v>
      </c>
      <c r="W804" t="s">
        <v>3250</v>
      </c>
      <c r="X804" t="s">
        <v>3250</v>
      </c>
      <c r="Y804" t="s">
        <v>3250</v>
      </c>
      <c r="Z804" t="s">
        <v>3250</v>
      </c>
      <c r="AA804" t="s">
        <v>3108</v>
      </c>
      <c r="AB804" t="s">
        <v>3108</v>
      </c>
      <c r="AC804" t="s">
        <v>3250</v>
      </c>
      <c r="AD804" t="s">
        <v>3250</v>
      </c>
      <c r="AE804" t="s">
        <v>3250</v>
      </c>
      <c r="AF804" t="s">
        <v>3250</v>
      </c>
      <c r="AG804" t="s">
        <v>3250</v>
      </c>
      <c r="AH804" t="s">
        <v>3250</v>
      </c>
      <c r="AI804" t="s">
        <v>3250</v>
      </c>
      <c r="AJ804" t="s">
        <v>3250</v>
      </c>
      <c r="AL804" t="s">
        <v>3250</v>
      </c>
      <c r="AM804" t="s">
        <v>3250</v>
      </c>
      <c r="AN804" t="s">
        <v>3250</v>
      </c>
      <c r="AO804" t="s">
        <v>3250</v>
      </c>
      <c r="AS804" t="s">
        <v>3250</v>
      </c>
      <c r="AT804" t="s">
        <v>3250</v>
      </c>
      <c r="AU804" t="s">
        <v>3250</v>
      </c>
      <c r="AV804" t="s">
        <v>3250</v>
      </c>
      <c r="AW804" t="s">
        <v>3250</v>
      </c>
      <c r="AX804" t="s">
        <v>3250</v>
      </c>
      <c r="AY804" t="s">
        <v>3250</v>
      </c>
      <c r="AZ804" t="s">
        <v>3250</v>
      </c>
      <c r="BA804" t="s">
        <v>3250</v>
      </c>
      <c r="BB804" t="s">
        <v>3250</v>
      </c>
      <c r="BC804" t="s">
        <v>3250</v>
      </c>
      <c r="BE804" t="s">
        <v>3250</v>
      </c>
      <c r="BF804" t="s">
        <v>3250</v>
      </c>
      <c r="BG804" t="s">
        <v>3250</v>
      </c>
      <c r="BH804" t="s">
        <v>3250</v>
      </c>
      <c r="BI804" t="s">
        <v>3250</v>
      </c>
      <c r="BK804" t="s">
        <v>3250</v>
      </c>
      <c r="BL804" t="s">
        <v>3250</v>
      </c>
      <c r="BM804" t="s">
        <v>3250</v>
      </c>
      <c r="BN804" t="s">
        <v>3250</v>
      </c>
      <c r="BP804">
        <v>5</v>
      </c>
      <c r="BQ804">
        <v>53</v>
      </c>
      <c r="BR804" t="s">
        <v>2399</v>
      </c>
      <c r="BS804" t="s">
        <v>4136</v>
      </c>
      <c r="BV804">
        <v>0</v>
      </c>
      <c r="BW804">
        <v>0</v>
      </c>
      <c r="BX804">
        <v>44</v>
      </c>
      <c r="BY804">
        <v>0</v>
      </c>
      <c r="BZ804">
        <v>0</v>
      </c>
      <c r="CA804">
        <v>0</v>
      </c>
      <c r="CB804">
        <v>0</v>
      </c>
      <c r="CC804">
        <v>0</v>
      </c>
      <c r="CD804">
        <v>0</v>
      </c>
      <c r="CE804" t="s">
        <v>3108</v>
      </c>
      <c r="CF804" t="s">
        <v>3108</v>
      </c>
      <c r="CG804" t="s">
        <v>3108</v>
      </c>
      <c r="CH804" t="s">
        <v>3108</v>
      </c>
    </row>
    <row r="805" spans="1:86" x14ac:dyDescent="0.2">
      <c r="A805" t="s">
        <v>4458</v>
      </c>
      <c r="B805" t="s">
        <v>4458</v>
      </c>
      <c r="C805">
        <v>41256</v>
      </c>
      <c r="D805">
        <v>433</v>
      </c>
      <c r="E805" t="s">
        <v>4033</v>
      </c>
      <c r="F805">
        <v>2900</v>
      </c>
      <c r="G805" t="s">
        <v>822</v>
      </c>
      <c r="H805" t="s">
        <v>3108</v>
      </c>
      <c r="I805" t="s">
        <v>3108</v>
      </c>
      <c r="J805">
        <v>2904</v>
      </c>
      <c r="K805" t="s">
        <v>1690</v>
      </c>
      <c r="L805">
        <v>2100</v>
      </c>
      <c r="M805" t="s">
        <v>123</v>
      </c>
      <c r="N805">
        <v>2106</v>
      </c>
      <c r="O805" t="s">
        <v>2399</v>
      </c>
      <c r="P805" t="s">
        <v>3108</v>
      </c>
      <c r="Q805" t="s">
        <v>3249</v>
      </c>
      <c r="R805" t="s">
        <v>3249</v>
      </c>
      <c r="S805" t="s">
        <v>810</v>
      </c>
      <c r="T805" t="s">
        <v>2754</v>
      </c>
      <c r="U805" t="s">
        <v>3250</v>
      </c>
      <c r="V805" t="s">
        <v>3250</v>
      </c>
      <c r="W805" t="s">
        <v>3250</v>
      </c>
      <c r="X805" t="s">
        <v>3250</v>
      </c>
      <c r="Y805" t="s">
        <v>3250</v>
      </c>
      <c r="Z805" t="s">
        <v>3250</v>
      </c>
      <c r="AA805" t="s">
        <v>3108</v>
      </c>
      <c r="AB805" t="s">
        <v>3108</v>
      </c>
      <c r="AC805" t="s">
        <v>3250</v>
      </c>
      <c r="AD805" t="s">
        <v>3250</v>
      </c>
      <c r="AE805" t="s">
        <v>3250</v>
      </c>
      <c r="AF805" t="s">
        <v>3250</v>
      </c>
      <c r="AG805" t="s">
        <v>3250</v>
      </c>
      <c r="AH805" t="s">
        <v>3250</v>
      </c>
      <c r="AI805" t="s">
        <v>3250</v>
      </c>
      <c r="AJ805" t="s">
        <v>3250</v>
      </c>
      <c r="AL805" t="s">
        <v>3250</v>
      </c>
      <c r="AM805" t="s">
        <v>3250</v>
      </c>
      <c r="AN805" t="s">
        <v>3250</v>
      </c>
      <c r="AO805" t="s">
        <v>3250</v>
      </c>
      <c r="AS805" t="s">
        <v>3250</v>
      </c>
      <c r="AT805" t="s">
        <v>3250</v>
      </c>
      <c r="AU805" t="s">
        <v>3250</v>
      </c>
      <c r="AV805" t="s">
        <v>3250</v>
      </c>
      <c r="AW805" t="s">
        <v>3250</v>
      </c>
      <c r="AX805" t="s">
        <v>3250</v>
      </c>
      <c r="AY805" t="s">
        <v>3250</v>
      </c>
      <c r="AZ805" t="s">
        <v>3250</v>
      </c>
      <c r="BA805" t="s">
        <v>3250</v>
      </c>
      <c r="BB805" t="s">
        <v>3250</v>
      </c>
      <c r="BC805" t="s">
        <v>3250</v>
      </c>
      <c r="BE805" t="s">
        <v>3250</v>
      </c>
      <c r="BF805" t="s">
        <v>3250</v>
      </c>
      <c r="BG805" t="s">
        <v>3250</v>
      </c>
      <c r="BH805" t="s">
        <v>3250</v>
      </c>
      <c r="BI805" t="s">
        <v>3250</v>
      </c>
      <c r="BK805" t="s">
        <v>3250</v>
      </c>
      <c r="BL805" t="s">
        <v>3250</v>
      </c>
      <c r="BM805" t="s">
        <v>3250</v>
      </c>
      <c r="BN805" t="s">
        <v>3250</v>
      </c>
      <c r="BP805">
        <v>5</v>
      </c>
      <c r="BQ805">
        <v>53</v>
      </c>
      <c r="BR805" t="s">
        <v>2399</v>
      </c>
      <c r="BS805" t="s">
        <v>4136</v>
      </c>
      <c r="BV805">
        <v>0</v>
      </c>
      <c r="BW805">
        <v>0</v>
      </c>
      <c r="BX805">
        <v>0</v>
      </c>
      <c r="BY805">
        <v>0</v>
      </c>
      <c r="BZ805">
        <v>0</v>
      </c>
      <c r="CA805">
        <v>0</v>
      </c>
      <c r="CB805">
        <v>0</v>
      </c>
      <c r="CC805">
        <v>0</v>
      </c>
      <c r="CD805">
        <v>0</v>
      </c>
      <c r="CE805" t="s">
        <v>3108</v>
      </c>
      <c r="CF805" t="s">
        <v>3108</v>
      </c>
      <c r="CG805" t="s">
        <v>3108</v>
      </c>
      <c r="CH805" t="s">
        <v>3108</v>
      </c>
    </row>
    <row r="806" spans="1:86" x14ac:dyDescent="0.2">
      <c r="A806" t="s">
        <v>4459</v>
      </c>
      <c r="B806" t="s">
        <v>4459</v>
      </c>
      <c r="C806">
        <v>41257</v>
      </c>
      <c r="D806">
        <v>434</v>
      </c>
      <c r="E806" t="s">
        <v>4106</v>
      </c>
      <c r="F806">
        <v>2900</v>
      </c>
      <c r="G806" t="s">
        <v>822</v>
      </c>
      <c r="H806" t="s">
        <v>3108</v>
      </c>
      <c r="I806" t="s">
        <v>3108</v>
      </c>
      <c r="J806">
        <v>2904</v>
      </c>
      <c r="K806" t="s">
        <v>1690</v>
      </c>
      <c r="L806">
        <v>2100</v>
      </c>
      <c r="M806" t="s">
        <v>123</v>
      </c>
      <c r="N806">
        <v>2106</v>
      </c>
      <c r="O806" t="s">
        <v>2399</v>
      </c>
      <c r="P806" t="s">
        <v>3108</v>
      </c>
      <c r="Q806" t="s">
        <v>3249</v>
      </c>
      <c r="R806" t="s">
        <v>3249</v>
      </c>
      <c r="S806" t="s">
        <v>810</v>
      </c>
      <c r="T806" t="s">
        <v>2754</v>
      </c>
      <c r="U806" t="s">
        <v>3250</v>
      </c>
      <c r="V806" t="s">
        <v>3250</v>
      </c>
      <c r="W806" t="s">
        <v>3250</v>
      </c>
      <c r="X806" t="s">
        <v>3250</v>
      </c>
      <c r="Y806" t="s">
        <v>3250</v>
      </c>
      <c r="Z806" t="s">
        <v>3250</v>
      </c>
      <c r="AA806" t="s">
        <v>3108</v>
      </c>
      <c r="AB806" t="s">
        <v>3108</v>
      </c>
      <c r="AC806" t="s">
        <v>3250</v>
      </c>
      <c r="AD806" t="s">
        <v>3250</v>
      </c>
      <c r="AE806" t="s">
        <v>3250</v>
      </c>
      <c r="AF806" t="s">
        <v>3250</v>
      </c>
      <c r="AG806" t="s">
        <v>3250</v>
      </c>
      <c r="AH806" t="s">
        <v>3250</v>
      </c>
      <c r="AI806" t="s">
        <v>3250</v>
      </c>
      <c r="AJ806" t="s">
        <v>3250</v>
      </c>
      <c r="AL806" t="s">
        <v>3250</v>
      </c>
      <c r="AM806" t="s">
        <v>3250</v>
      </c>
      <c r="AN806" t="s">
        <v>3250</v>
      </c>
      <c r="AO806" t="s">
        <v>3250</v>
      </c>
      <c r="AS806" t="s">
        <v>3250</v>
      </c>
      <c r="AT806" t="s">
        <v>3250</v>
      </c>
      <c r="AU806" t="s">
        <v>3250</v>
      </c>
      <c r="AV806" t="s">
        <v>3250</v>
      </c>
      <c r="AW806" t="s">
        <v>3250</v>
      </c>
      <c r="AX806" t="s">
        <v>3250</v>
      </c>
      <c r="AY806" t="s">
        <v>3250</v>
      </c>
      <c r="AZ806" t="s">
        <v>3250</v>
      </c>
      <c r="BA806" t="s">
        <v>3250</v>
      </c>
      <c r="BB806" t="s">
        <v>3250</v>
      </c>
      <c r="BC806" t="s">
        <v>3250</v>
      </c>
      <c r="BE806" t="s">
        <v>3250</v>
      </c>
      <c r="BF806" t="s">
        <v>3250</v>
      </c>
      <c r="BG806" t="s">
        <v>3250</v>
      </c>
      <c r="BH806" t="s">
        <v>3250</v>
      </c>
      <c r="BI806" t="s">
        <v>3250</v>
      </c>
      <c r="BK806" t="s">
        <v>3250</v>
      </c>
      <c r="BL806" t="s">
        <v>3250</v>
      </c>
      <c r="BM806" t="s">
        <v>3250</v>
      </c>
      <c r="BN806" t="s">
        <v>3250</v>
      </c>
      <c r="BP806">
        <v>5</v>
      </c>
      <c r="BQ806">
        <v>53</v>
      </c>
      <c r="BR806" t="s">
        <v>2399</v>
      </c>
      <c r="BS806" t="s">
        <v>4136</v>
      </c>
      <c r="BV806">
        <v>0</v>
      </c>
      <c r="BW806">
        <v>0</v>
      </c>
      <c r="BX806">
        <v>0</v>
      </c>
      <c r="BY806">
        <v>0</v>
      </c>
      <c r="BZ806">
        <v>0</v>
      </c>
      <c r="CA806">
        <v>0</v>
      </c>
      <c r="CB806">
        <v>0</v>
      </c>
      <c r="CC806">
        <v>0</v>
      </c>
      <c r="CD806">
        <v>0</v>
      </c>
      <c r="CE806" t="s">
        <v>3108</v>
      </c>
      <c r="CF806" t="s">
        <v>3108</v>
      </c>
      <c r="CG806" t="s">
        <v>3108</v>
      </c>
      <c r="CH806" t="s">
        <v>3108</v>
      </c>
    </row>
    <row r="807" spans="1:86" x14ac:dyDescent="0.2">
      <c r="A807" t="s">
        <v>4460</v>
      </c>
      <c r="B807" t="s">
        <v>4460</v>
      </c>
      <c r="C807">
        <v>41258</v>
      </c>
      <c r="D807">
        <v>435</v>
      </c>
      <c r="E807" t="s">
        <v>4461</v>
      </c>
      <c r="F807">
        <v>2900</v>
      </c>
      <c r="G807" t="s">
        <v>822</v>
      </c>
      <c r="H807" t="s">
        <v>3108</v>
      </c>
      <c r="I807" t="s">
        <v>3108</v>
      </c>
      <c r="J807">
        <v>2904</v>
      </c>
      <c r="K807" t="s">
        <v>1690</v>
      </c>
      <c r="L807">
        <v>1200</v>
      </c>
      <c r="M807" t="s">
        <v>2368</v>
      </c>
      <c r="N807">
        <v>1204</v>
      </c>
      <c r="O807" t="s">
        <v>1574</v>
      </c>
      <c r="P807" t="s">
        <v>3108</v>
      </c>
      <c r="Q807" t="s">
        <v>3249</v>
      </c>
      <c r="R807" t="s">
        <v>3249</v>
      </c>
      <c r="S807" t="s">
        <v>810</v>
      </c>
      <c r="T807" t="s">
        <v>2754</v>
      </c>
      <c r="U807" t="s">
        <v>3250</v>
      </c>
      <c r="V807" t="s">
        <v>3250</v>
      </c>
      <c r="W807" t="s">
        <v>3250</v>
      </c>
      <c r="X807" t="s">
        <v>3250</v>
      </c>
      <c r="Y807" t="s">
        <v>3250</v>
      </c>
      <c r="Z807" t="s">
        <v>3250</v>
      </c>
      <c r="AA807" t="s">
        <v>3108</v>
      </c>
      <c r="AB807" t="s">
        <v>3108</v>
      </c>
      <c r="AC807" t="s">
        <v>3250</v>
      </c>
      <c r="AD807" t="s">
        <v>3250</v>
      </c>
      <c r="AE807" t="s">
        <v>3250</v>
      </c>
      <c r="AF807" t="s">
        <v>3250</v>
      </c>
      <c r="AG807" t="s">
        <v>3250</v>
      </c>
      <c r="AH807" t="s">
        <v>3250</v>
      </c>
      <c r="AI807" t="s">
        <v>3250</v>
      </c>
      <c r="AJ807" t="s">
        <v>3250</v>
      </c>
      <c r="AL807" t="s">
        <v>3250</v>
      </c>
      <c r="AM807" t="s">
        <v>3250</v>
      </c>
      <c r="AN807" t="s">
        <v>3250</v>
      </c>
      <c r="AO807" t="s">
        <v>3250</v>
      </c>
      <c r="AS807" t="s">
        <v>3250</v>
      </c>
      <c r="AT807" t="s">
        <v>3250</v>
      </c>
      <c r="AU807" t="s">
        <v>3250</v>
      </c>
      <c r="AV807" t="s">
        <v>3250</v>
      </c>
      <c r="AW807" t="s">
        <v>3250</v>
      </c>
      <c r="AX807" t="s">
        <v>3250</v>
      </c>
      <c r="AY807" t="s">
        <v>3250</v>
      </c>
      <c r="AZ807" t="s">
        <v>3250</v>
      </c>
      <c r="BA807" t="s">
        <v>3250</v>
      </c>
      <c r="BB807" t="s">
        <v>3250</v>
      </c>
      <c r="BC807" t="s">
        <v>3250</v>
      </c>
      <c r="BE807" t="s">
        <v>3250</v>
      </c>
      <c r="BF807" t="s">
        <v>3250</v>
      </c>
      <c r="BG807" t="s">
        <v>3250</v>
      </c>
      <c r="BH807" t="s">
        <v>3250</v>
      </c>
      <c r="BI807" t="s">
        <v>3250</v>
      </c>
      <c r="BK807" t="s">
        <v>3250</v>
      </c>
      <c r="BL807" t="s">
        <v>3250</v>
      </c>
      <c r="BM807" t="s">
        <v>3250</v>
      </c>
      <c r="BN807" t="s">
        <v>3250</v>
      </c>
      <c r="BP807">
        <v>1</v>
      </c>
      <c r="BQ807">
        <v>11</v>
      </c>
      <c r="BR807" t="s">
        <v>1574</v>
      </c>
      <c r="BS807" t="s">
        <v>3252</v>
      </c>
      <c r="BV807">
        <v>0</v>
      </c>
      <c r="BW807">
        <v>42744</v>
      </c>
      <c r="BX807">
        <v>101089</v>
      </c>
      <c r="BY807">
        <v>309425</v>
      </c>
      <c r="BZ807">
        <v>309425</v>
      </c>
      <c r="CA807">
        <v>321492</v>
      </c>
      <c r="CB807">
        <v>334352</v>
      </c>
      <c r="CC807">
        <v>347726</v>
      </c>
      <c r="CD807">
        <v>124352</v>
      </c>
      <c r="CE807" t="s">
        <v>3108</v>
      </c>
      <c r="CF807" t="s">
        <v>3108</v>
      </c>
      <c r="CG807" t="s">
        <v>3108</v>
      </c>
      <c r="CH807" t="s">
        <v>3108</v>
      </c>
    </row>
    <row r="808" spans="1:86" x14ac:dyDescent="0.2">
      <c r="A808" t="s">
        <v>4462</v>
      </c>
      <c r="B808" t="s">
        <v>4462</v>
      </c>
      <c r="C808">
        <v>41259</v>
      </c>
      <c r="D808">
        <v>436</v>
      </c>
      <c r="E808" t="s">
        <v>4463</v>
      </c>
      <c r="F808">
        <v>2900</v>
      </c>
      <c r="G808" t="s">
        <v>822</v>
      </c>
      <c r="H808" t="s">
        <v>3108</v>
      </c>
      <c r="I808" t="s">
        <v>3108</v>
      </c>
      <c r="J808">
        <v>2904</v>
      </c>
      <c r="K808" t="s">
        <v>1690</v>
      </c>
      <c r="L808">
        <v>4400</v>
      </c>
      <c r="M808" t="s">
        <v>988</v>
      </c>
      <c r="N808">
        <v>4402</v>
      </c>
      <c r="O808" t="s">
        <v>2438</v>
      </c>
      <c r="P808" t="s">
        <v>3108</v>
      </c>
      <c r="Q808" t="s">
        <v>3249</v>
      </c>
      <c r="R808" t="s">
        <v>3249</v>
      </c>
      <c r="S808" t="s">
        <v>810</v>
      </c>
      <c r="T808" t="s">
        <v>2754</v>
      </c>
      <c r="U808" t="s">
        <v>3250</v>
      </c>
      <c r="V808" t="s">
        <v>3250</v>
      </c>
      <c r="W808" t="s">
        <v>3250</v>
      </c>
      <c r="X808" t="s">
        <v>3250</v>
      </c>
      <c r="Y808" t="s">
        <v>3250</v>
      </c>
      <c r="Z808" t="s">
        <v>3250</v>
      </c>
      <c r="AA808" t="s">
        <v>3108</v>
      </c>
      <c r="AB808" t="s">
        <v>3108</v>
      </c>
      <c r="AC808" t="s">
        <v>3250</v>
      </c>
      <c r="AD808" t="s">
        <v>3250</v>
      </c>
      <c r="AE808" t="s">
        <v>3250</v>
      </c>
      <c r="AF808" t="s">
        <v>3250</v>
      </c>
      <c r="AG808" t="s">
        <v>3250</v>
      </c>
      <c r="AH808" t="s">
        <v>3250</v>
      </c>
      <c r="AI808" t="s">
        <v>3250</v>
      </c>
      <c r="AJ808" t="s">
        <v>3250</v>
      </c>
      <c r="AL808" t="s">
        <v>3250</v>
      </c>
      <c r="AM808" t="s">
        <v>3250</v>
      </c>
      <c r="AN808" t="s">
        <v>3250</v>
      </c>
      <c r="AO808" t="s">
        <v>3250</v>
      </c>
      <c r="AS808" t="s">
        <v>3250</v>
      </c>
      <c r="AT808" t="s">
        <v>3250</v>
      </c>
      <c r="AU808" t="s">
        <v>3250</v>
      </c>
      <c r="AV808" t="s">
        <v>3250</v>
      </c>
      <c r="AW808" t="s">
        <v>3250</v>
      </c>
      <c r="AX808" t="s">
        <v>3250</v>
      </c>
      <c r="AY808" t="s">
        <v>3250</v>
      </c>
      <c r="AZ808" t="s">
        <v>3250</v>
      </c>
      <c r="BA808" t="s">
        <v>3250</v>
      </c>
      <c r="BB808" t="s">
        <v>3250</v>
      </c>
      <c r="BC808" t="s">
        <v>3250</v>
      </c>
      <c r="BE808" t="s">
        <v>3250</v>
      </c>
      <c r="BF808" t="s">
        <v>3250</v>
      </c>
      <c r="BG808" t="s">
        <v>3250</v>
      </c>
      <c r="BH808" t="s">
        <v>3250</v>
      </c>
      <c r="BI808" t="s">
        <v>3250</v>
      </c>
      <c r="BK808" t="s">
        <v>3250</v>
      </c>
      <c r="BL808" t="s">
        <v>3250</v>
      </c>
      <c r="BM808" t="s">
        <v>3250</v>
      </c>
      <c r="BN808" t="s">
        <v>3250</v>
      </c>
      <c r="BP808">
        <v>12</v>
      </c>
      <c r="BQ808">
        <v>123</v>
      </c>
      <c r="BR808" t="s">
        <v>2438</v>
      </c>
      <c r="BS808" t="s">
        <v>941</v>
      </c>
      <c r="BV808">
        <v>0</v>
      </c>
      <c r="BW808">
        <v>8150</v>
      </c>
      <c r="BX808">
        <v>221169</v>
      </c>
      <c r="BY808">
        <v>0</v>
      </c>
      <c r="BZ808">
        <v>0</v>
      </c>
      <c r="CA808">
        <v>0</v>
      </c>
      <c r="CB808">
        <v>0</v>
      </c>
      <c r="CC808">
        <v>0</v>
      </c>
      <c r="CD808">
        <v>0</v>
      </c>
      <c r="CE808" t="s">
        <v>3108</v>
      </c>
      <c r="CF808" t="s">
        <v>3108</v>
      </c>
      <c r="CG808" t="s">
        <v>3108</v>
      </c>
      <c r="CH808" t="s">
        <v>3108</v>
      </c>
    </row>
    <row r="809" spans="1:86" x14ac:dyDescent="0.2">
      <c r="A809" t="s">
        <v>4464</v>
      </c>
      <c r="B809" t="s">
        <v>4464</v>
      </c>
      <c r="C809">
        <v>41260</v>
      </c>
      <c r="D809">
        <v>437</v>
      </c>
      <c r="E809" t="s">
        <v>4465</v>
      </c>
      <c r="F809">
        <v>2700</v>
      </c>
      <c r="G809" t="s">
        <v>411</v>
      </c>
      <c r="H809" t="s">
        <v>4004</v>
      </c>
      <c r="I809" t="s">
        <v>2531</v>
      </c>
      <c r="J809">
        <v>2701</v>
      </c>
      <c r="K809" t="s">
        <v>2531</v>
      </c>
      <c r="L809">
        <v>2100</v>
      </c>
      <c r="M809" t="s">
        <v>123</v>
      </c>
      <c r="N809">
        <v>2103</v>
      </c>
      <c r="O809" t="s">
        <v>2396</v>
      </c>
      <c r="P809" t="s">
        <v>3108</v>
      </c>
      <c r="Q809" t="s">
        <v>3249</v>
      </c>
      <c r="R809" t="s">
        <v>3249</v>
      </c>
      <c r="S809" t="s">
        <v>810</v>
      </c>
      <c r="T809" t="s">
        <v>2754</v>
      </c>
      <c r="U809" t="s">
        <v>3250</v>
      </c>
      <c r="V809" t="s">
        <v>3250</v>
      </c>
      <c r="W809" t="s">
        <v>3250</v>
      </c>
      <c r="X809" t="s">
        <v>3250</v>
      </c>
      <c r="Y809" t="s">
        <v>3250</v>
      </c>
      <c r="Z809" t="s">
        <v>3250</v>
      </c>
      <c r="AA809" t="s">
        <v>3108</v>
      </c>
      <c r="AB809" t="s">
        <v>3108</v>
      </c>
      <c r="AC809" t="s">
        <v>3250</v>
      </c>
      <c r="AD809" t="s">
        <v>3250</v>
      </c>
      <c r="AE809" t="s">
        <v>3250</v>
      </c>
      <c r="AF809" t="s">
        <v>3250</v>
      </c>
      <c r="AG809" t="s">
        <v>3250</v>
      </c>
      <c r="AH809" t="s">
        <v>3250</v>
      </c>
      <c r="AI809" t="s">
        <v>3250</v>
      </c>
      <c r="AJ809" t="s">
        <v>3250</v>
      </c>
      <c r="AL809" t="s">
        <v>3250</v>
      </c>
      <c r="AM809" t="s">
        <v>3250</v>
      </c>
      <c r="AN809" t="s">
        <v>3250</v>
      </c>
      <c r="AO809" t="s">
        <v>3250</v>
      </c>
      <c r="AS809" t="s">
        <v>3250</v>
      </c>
      <c r="AT809" t="s">
        <v>3250</v>
      </c>
      <c r="AU809" t="s">
        <v>3250</v>
      </c>
      <c r="AV809" t="s">
        <v>3250</v>
      </c>
      <c r="AW809" t="s">
        <v>3250</v>
      </c>
      <c r="AX809" t="s">
        <v>3250</v>
      </c>
      <c r="AY809" t="s">
        <v>3250</v>
      </c>
      <c r="AZ809" t="s">
        <v>3250</v>
      </c>
      <c r="BA809" t="s">
        <v>3250</v>
      </c>
      <c r="BB809" t="s">
        <v>3250</v>
      </c>
      <c r="BC809" t="s">
        <v>3250</v>
      </c>
      <c r="BE809" t="s">
        <v>3250</v>
      </c>
      <c r="BF809" t="s">
        <v>3250</v>
      </c>
      <c r="BG809" t="s">
        <v>3250</v>
      </c>
      <c r="BH809" t="s">
        <v>3250</v>
      </c>
      <c r="BI809" t="s">
        <v>3250</v>
      </c>
      <c r="BK809" t="s">
        <v>3250</v>
      </c>
      <c r="BL809" t="s">
        <v>3250</v>
      </c>
      <c r="BM809" t="s">
        <v>3250</v>
      </c>
      <c r="BN809" t="s">
        <v>3250</v>
      </c>
      <c r="BP809">
        <v>4</v>
      </c>
      <c r="BQ809">
        <v>50</v>
      </c>
      <c r="BR809" t="s">
        <v>2396</v>
      </c>
      <c r="BS809" t="s">
        <v>4024</v>
      </c>
      <c r="BV809">
        <v>0</v>
      </c>
      <c r="BW809">
        <v>0</v>
      </c>
      <c r="BX809">
        <v>0</v>
      </c>
      <c r="BY809">
        <v>0</v>
      </c>
      <c r="BZ809">
        <v>0</v>
      </c>
      <c r="CA809">
        <v>0</v>
      </c>
      <c r="CB809">
        <v>0</v>
      </c>
      <c r="CC809">
        <v>0</v>
      </c>
      <c r="CD809">
        <v>0</v>
      </c>
      <c r="CE809" t="s">
        <v>3108</v>
      </c>
      <c r="CF809" t="s">
        <v>3108</v>
      </c>
      <c r="CG809" t="s">
        <v>3108</v>
      </c>
      <c r="CH809" t="s">
        <v>3108</v>
      </c>
    </row>
    <row r="810" spans="1:86" x14ac:dyDescent="0.2">
      <c r="A810" t="s">
        <v>4466</v>
      </c>
      <c r="B810" t="s">
        <v>4466</v>
      </c>
      <c r="C810">
        <v>41261</v>
      </c>
      <c r="D810">
        <v>671</v>
      </c>
      <c r="E810" t="s">
        <v>4467</v>
      </c>
      <c r="F810">
        <v>2900</v>
      </c>
      <c r="G810" t="s">
        <v>822</v>
      </c>
      <c r="H810" t="s">
        <v>3108</v>
      </c>
      <c r="I810" t="s">
        <v>3108</v>
      </c>
      <c r="J810">
        <v>2904</v>
      </c>
      <c r="K810" t="s">
        <v>1690</v>
      </c>
      <c r="L810">
        <v>1200</v>
      </c>
      <c r="M810" t="s">
        <v>2368</v>
      </c>
      <c r="N810">
        <v>1201</v>
      </c>
      <c r="O810" t="s">
        <v>2370</v>
      </c>
      <c r="P810" t="s">
        <v>3108</v>
      </c>
      <c r="Q810" t="s">
        <v>3249</v>
      </c>
      <c r="R810" t="s">
        <v>3249</v>
      </c>
      <c r="S810" t="s">
        <v>810</v>
      </c>
      <c r="T810" t="s">
        <v>2754</v>
      </c>
      <c r="U810" t="s">
        <v>3250</v>
      </c>
      <c r="V810" t="s">
        <v>3250</v>
      </c>
      <c r="W810" t="s">
        <v>3250</v>
      </c>
      <c r="X810" t="s">
        <v>3250</v>
      </c>
      <c r="Y810" t="s">
        <v>3250</v>
      </c>
      <c r="Z810" t="s">
        <v>3250</v>
      </c>
      <c r="AA810" t="s">
        <v>3108</v>
      </c>
      <c r="AB810" t="s">
        <v>3108</v>
      </c>
      <c r="AC810" t="s">
        <v>3250</v>
      </c>
      <c r="AD810" t="s">
        <v>3250</v>
      </c>
      <c r="AE810" t="s">
        <v>3250</v>
      </c>
      <c r="AF810" t="s">
        <v>3250</v>
      </c>
      <c r="AG810" t="s">
        <v>3250</v>
      </c>
      <c r="AH810" t="s">
        <v>3250</v>
      </c>
      <c r="AI810" t="s">
        <v>3250</v>
      </c>
      <c r="AJ810" t="s">
        <v>3250</v>
      </c>
      <c r="AL810" t="s">
        <v>3250</v>
      </c>
      <c r="AM810" t="s">
        <v>3250</v>
      </c>
      <c r="AN810" t="s">
        <v>3250</v>
      </c>
      <c r="AO810" t="s">
        <v>3250</v>
      </c>
      <c r="AS810" t="s">
        <v>3250</v>
      </c>
      <c r="AT810" t="s">
        <v>3250</v>
      </c>
      <c r="AU810" t="s">
        <v>3250</v>
      </c>
      <c r="AV810" t="s">
        <v>3250</v>
      </c>
      <c r="AW810" t="s">
        <v>3250</v>
      </c>
      <c r="AX810" t="s">
        <v>3250</v>
      </c>
      <c r="AY810" t="s">
        <v>3250</v>
      </c>
      <c r="AZ810" t="s">
        <v>3250</v>
      </c>
      <c r="BA810" t="s">
        <v>3250</v>
      </c>
      <c r="BB810" t="s">
        <v>3250</v>
      </c>
      <c r="BC810" t="s">
        <v>3250</v>
      </c>
      <c r="BE810" t="s">
        <v>3250</v>
      </c>
      <c r="BF810" t="s">
        <v>3250</v>
      </c>
      <c r="BG810" t="s">
        <v>3250</v>
      </c>
      <c r="BH810" t="s">
        <v>3250</v>
      </c>
      <c r="BI810" t="s">
        <v>3250</v>
      </c>
      <c r="BK810" t="s">
        <v>3250</v>
      </c>
      <c r="BL810" t="s">
        <v>3250</v>
      </c>
      <c r="BM810" t="s">
        <v>3250</v>
      </c>
      <c r="BN810" t="s">
        <v>3250</v>
      </c>
      <c r="BP810">
        <v>1</v>
      </c>
      <c r="BQ810">
        <v>14</v>
      </c>
      <c r="BR810" t="s">
        <v>2370</v>
      </c>
      <c r="BS810" t="s">
        <v>3252</v>
      </c>
      <c r="BV810">
        <v>2400</v>
      </c>
      <c r="BW810">
        <v>14300</v>
      </c>
      <c r="BX810">
        <v>16500</v>
      </c>
      <c r="BY810">
        <v>24000</v>
      </c>
      <c r="BZ810">
        <v>14000</v>
      </c>
      <c r="CA810">
        <v>14546</v>
      </c>
      <c r="CB810">
        <v>15128</v>
      </c>
      <c r="CC810">
        <v>15733</v>
      </c>
      <c r="CD810">
        <v>0</v>
      </c>
      <c r="CE810" t="s">
        <v>3108</v>
      </c>
      <c r="CF810" t="s">
        <v>3108</v>
      </c>
      <c r="CG810" t="s">
        <v>3108</v>
      </c>
      <c r="CH810" t="s">
        <v>3108</v>
      </c>
    </row>
    <row r="811" spans="1:86" x14ac:dyDescent="0.2">
      <c r="A811" t="s">
        <v>4468</v>
      </c>
      <c r="B811" t="s">
        <v>4468</v>
      </c>
      <c r="C811">
        <v>41262</v>
      </c>
      <c r="D811">
        <v>785</v>
      </c>
      <c r="E811" t="s">
        <v>4469</v>
      </c>
      <c r="F811">
        <v>2700</v>
      </c>
      <c r="G811" t="s">
        <v>411</v>
      </c>
      <c r="H811" t="s">
        <v>3997</v>
      </c>
      <c r="I811" t="s">
        <v>2533</v>
      </c>
      <c r="J811">
        <v>2703</v>
      </c>
      <c r="K811" t="s">
        <v>2533</v>
      </c>
      <c r="L811">
        <v>3100</v>
      </c>
      <c r="M811" t="s">
        <v>127</v>
      </c>
      <c r="N811">
        <v>3107</v>
      </c>
      <c r="O811" t="s">
        <v>2418</v>
      </c>
      <c r="P811" t="s">
        <v>3108</v>
      </c>
      <c r="Q811" t="s">
        <v>3249</v>
      </c>
      <c r="R811" t="s">
        <v>3249</v>
      </c>
      <c r="S811" t="s">
        <v>810</v>
      </c>
      <c r="T811" t="s">
        <v>2754</v>
      </c>
      <c r="U811" t="s">
        <v>3250</v>
      </c>
      <c r="V811" t="s">
        <v>3250</v>
      </c>
      <c r="W811" t="s">
        <v>3250</v>
      </c>
      <c r="X811" t="s">
        <v>3250</v>
      </c>
      <c r="Y811" t="s">
        <v>3250</v>
      </c>
      <c r="Z811" t="s">
        <v>3250</v>
      </c>
      <c r="AA811" t="s">
        <v>3108</v>
      </c>
      <c r="AB811" t="s">
        <v>3108</v>
      </c>
      <c r="AC811" t="s">
        <v>3250</v>
      </c>
      <c r="AD811" t="s">
        <v>3250</v>
      </c>
      <c r="AE811" t="s">
        <v>3250</v>
      </c>
      <c r="AF811" t="s">
        <v>3250</v>
      </c>
      <c r="AG811" t="s">
        <v>3250</v>
      </c>
      <c r="AH811" t="s">
        <v>3250</v>
      </c>
      <c r="AI811" t="s">
        <v>3250</v>
      </c>
      <c r="AJ811" t="s">
        <v>3250</v>
      </c>
      <c r="AL811" t="s">
        <v>3250</v>
      </c>
      <c r="AM811" t="s">
        <v>3250</v>
      </c>
      <c r="AN811" t="s">
        <v>3250</v>
      </c>
      <c r="AO811" t="s">
        <v>3250</v>
      </c>
      <c r="AS811" t="s">
        <v>3250</v>
      </c>
      <c r="AT811" t="s">
        <v>3250</v>
      </c>
      <c r="AU811" t="s">
        <v>3250</v>
      </c>
      <c r="AV811" t="s">
        <v>3250</v>
      </c>
      <c r="AW811" t="s">
        <v>3250</v>
      </c>
      <c r="AX811" t="s">
        <v>3250</v>
      </c>
      <c r="AY811" t="s">
        <v>3250</v>
      </c>
      <c r="AZ811" t="s">
        <v>3250</v>
      </c>
      <c r="BA811" t="s">
        <v>3250</v>
      </c>
      <c r="BB811" t="s">
        <v>3250</v>
      </c>
      <c r="BC811" t="s">
        <v>3250</v>
      </c>
      <c r="BE811" t="s">
        <v>3250</v>
      </c>
      <c r="BF811" t="s">
        <v>3250</v>
      </c>
      <c r="BG811" t="s">
        <v>3250</v>
      </c>
      <c r="BH811" t="s">
        <v>3250</v>
      </c>
      <c r="BI811" t="s">
        <v>3250</v>
      </c>
      <c r="BK811" t="s">
        <v>3250</v>
      </c>
      <c r="BL811" t="s">
        <v>3250</v>
      </c>
      <c r="BM811" t="s">
        <v>3250</v>
      </c>
      <c r="BN811" t="s">
        <v>3250</v>
      </c>
      <c r="BP811">
        <v>8</v>
      </c>
      <c r="BQ811">
        <v>81</v>
      </c>
      <c r="BR811" t="s">
        <v>2418</v>
      </c>
      <c r="BS811" t="s">
        <v>4013</v>
      </c>
      <c r="BV811">
        <v>0</v>
      </c>
      <c r="BW811">
        <v>0</v>
      </c>
      <c r="BX811">
        <v>11375</v>
      </c>
      <c r="BY811">
        <v>0</v>
      </c>
      <c r="BZ811">
        <v>0</v>
      </c>
      <c r="CA811">
        <v>0</v>
      </c>
      <c r="CB811">
        <v>0</v>
      </c>
      <c r="CC811">
        <v>0</v>
      </c>
      <c r="CD811">
        <v>0</v>
      </c>
      <c r="CE811" t="s">
        <v>3108</v>
      </c>
      <c r="CF811" t="s">
        <v>3108</v>
      </c>
      <c r="CG811" t="s">
        <v>3108</v>
      </c>
      <c r="CH811" t="s">
        <v>3108</v>
      </c>
    </row>
    <row r="812" spans="1:86" x14ac:dyDescent="0.2">
      <c r="A812" t="s">
        <v>4470</v>
      </c>
      <c r="B812" t="s">
        <v>4470</v>
      </c>
      <c r="C812">
        <v>41263</v>
      </c>
      <c r="D812">
        <v>672</v>
      </c>
      <c r="E812" t="s">
        <v>4471</v>
      </c>
      <c r="F812">
        <v>2900</v>
      </c>
      <c r="G812" t="s">
        <v>822</v>
      </c>
      <c r="H812" t="s">
        <v>3108</v>
      </c>
      <c r="I812" t="s">
        <v>3108</v>
      </c>
      <c r="J812">
        <v>2904</v>
      </c>
      <c r="K812" t="s">
        <v>1690</v>
      </c>
      <c r="L812">
        <v>5000</v>
      </c>
      <c r="M812" t="s">
        <v>245</v>
      </c>
      <c r="N812">
        <v>5004</v>
      </c>
      <c r="O812" t="s">
        <v>2442</v>
      </c>
      <c r="P812" t="s">
        <v>3108</v>
      </c>
      <c r="Q812" t="s">
        <v>3249</v>
      </c>
      <c r="R812" t="s">
        <v>3249</v>
      </c>
      <c r="S812" t="s">
        <v>810</v>
      </c>
      <c r="T812" t="s">
        <v>2754</v>
      </c>
      <c r="U812" t="s">
        <v>3250</v>
      </c>
      <c r="V812" t="s">
        <v>3250</v>
      </c>
      <c r="W812" t="s">
        <v>3250</v>
      </c>
      <c r="X812" t="s">
        <v>3250</v>
      </c>
      <c r="Y812" t="s">
        <v>3250</v>
      </c>
      <c r="Z812" t="s">
        <v>3250</v>
      </c>
      <c r="AA812" t="s">
        <v>3108</v>
      </c>
      <c r="AB812" t="s">
        <v>3108</v>
      </c>
      <c r="AC812" t="s">
        <v>3250</v>
      </c>
      <c r="AD812" t="s">
        <v>3250</v>
      </c>
      <c r="AE812" t="s">
        <v>3250</v>
      </c>
      <c r="AF812" t="s">
        <v>3250</v>
      </c>
      <c r="AG812" t="s">
        <v>3250</v>
      </c>
      <c r="AH812" t="s">
        <v>3250</v>
      </c>
      <c r="AI812" t="s">
        <v>3250</v>
      </c>
      <c r="AJ812" t="s">
        <v>3250</v>
      </c>
      <c r="AL812" t="s">
        <v>3250</v>
      </c>
      <c r="AM812" t="s">
        <v>3250</v>
      </c>
      <c r="AN812" t="s">
        <v>3250</v>
      </c>
      <c r="AO812" t="s">
        <v>3250</v>
      </c>
      <c r="AS812" t="s">
        <v>3250</v>
      </c>
      <c r="AT812" t="s">
        <v>3250</v>
      </c>
      <c r="AU812" t="s">
        <v>3250</v>
      </c>
      <c r="AV812" t="s">
        <v>3250</v>
      </c>
      <c r="AW812" t="s">
        <v>3250</v>
      </c>
      <c r="AX812" t="s">
        <v>3250</v>
      </c>
      <c r="AY812" t="s">
        <v>3250</v>
      </c>
      <c r="AZ812" t="s">
        <v>3250</v>
      </c>
      <c r="BA812" t="s">
        <v>3250</v>
      </c>
      <c r="BB812" t="s">
        <v>3250</v>
      </c>
      <c r="BC812" t="s">
        <v>3250</v>
      </c>
      <c r="BE812" t="s">
        <v>3250</v>
      </c>
      <c r="BF812" t="s">
        <v>3250</v>
      </c>
      <c r="BG812" t="s">
        <v>3250</v>
      </c>
      <c r="BH812" t="s">
        <v>3250</v>
      </c>
      <c r="BI812" t="s">
        <v>3250</v>
      </c>
      <c r="BK812" t="s">
        <v>3250</v>
      </c>
      <c r="BL812" t="s">
        <v>3250</v>
      </c>
      <c r="BM812" t="s">
        <v>3250</v>
      </c>
      <c r="BN812" t="s">
        <v>3250</v>
      </c>
      <c r="BP812">
        <v>11</v>
      </c>
      <c r="BQ812">
        <v>111</v>
      </c>
      <c r="BR812" t="s">
        <v>2442</v>
      </c>
      <c r="BS812" t="s">
        <v>245</v>
      </c>
      <c r="BV812">
        <v>618982</v>
      </c>
      <c r="BW812">
        <v>1011631</v>
      </c>
      <c r="BX812">
        <v>1098813</v>
      </c>
      <c r="BY812">
        <v>900000</v>
      </c>
      <c r="BZ812">
        <v>900000</v>
      </c>
      <c r="CA812">
        <v>935100</v>
      </c>
      <c r="CB812">
        <v>972504</v>
      </c>
      <c r="CC812">
        <v>1011404</v>
      </c>
      <c r="CD812">
        <v>579243</v>
      </c>
      <c r="CE812" t="s">
        <v>3108</v>
      </c>
      <c r="CF812" t="s">
        <v>3108</v>
      </c>
      <c r="CG812" t="s">
        <v>3108</v>
      </c>
      <c r="CH812" t="s">
        <v>3108</v>
      </c>
    </row>
    <row r="813" spans="1:86" x14ac:dyDescent="0.2">
      <c r="A813" t="s">
        <v>4472</v>
      </c>
      <c r="B813" t="s">
        <v>4472</v>
      </c>
      <c r="C813">
        <v>41264</v>
      </c>
      <c r="D813">
        <v>673</v>
      </c>
      <c r="E813" t="s">
        <v>4001</v>
      </c>
      <c r="F813">
        <v>2900</v>
      </c>
      <c r="G813" t="s">
        <v>822</v>
      </c>
      <c r="H813" t="s">
        <v>3108</v>
      </c>
      <c r="I813" t="s">
        <v>3108</v>
      </c>
      <c r="J813">
        <v>2904</v>
      </c>
      <c r="K813" t="s">
        <v>1690</v>
      </c>
      <c r="L813">
        <v>1200</v>
      </c>
      <c r="M813" t="s">
        <v>2368</v>
      </c>
      <c r="N813">
        <v>1201</v>
      </c>
      <c r="O813" t="s">
        <v>2370</v>
      </c>
      <c r="P813" t="s">
        <v>3108</v>
      </c>
      <c r="Q813" t="s">
        <v>3249</v>
      </c>
      <c r="R813" t="s">
        <v>3249</v>
      </c>
      <c r="S813" t="s">
        <v>810</v>
      </c>
      <c r="T813" t="s">
        <v>2754</v>
      </c>
      <c r="U813" t="s">
        <v>3250</v>
      </c>
      <c r="V813" t="s">
        <v>3250</v>
      </c>
      <c r="W813" t="s">
        <v>3250</v>
      </c>
      <c r="X813" t="s">
        <v>3250</v>
      </c>
      <c r="Y813" t="s">
        <v>3250</v>
      </c>
      <c r="Z813" t="s">
        <v>3250</v>
      </c>
      <c r="AA813" t="s">
        <v>3108</v>
      </c>
      <c r="AB813" t="s">
        <v>3108</v>
      </c>
      <c r="AC813" t="s">
        <v>3250</v>
      </c>
      <c r="AD813" t="s">
        <v>3250</v>
      </c>
      <c r="AE813" t="s">
        <v>3250</v>
      </c>
      <c r="AF813" t="s">
        <v>3250</v>
      </c>
      <c r="AG813" t="s">
        <v>3250</v>
      </c>
      <c r="AH813" t="s">
        <v>3250</v>
      </c>
      <c r="AI813" t="s">
        <v>3250</v>
      </c>
      <c r="AJ813" t="s">
        <v>3250</v>
      </c>
      <c r="AL813" t="s">
        <v>3250</v>
      </c>
      <c r="AM813" t="s">
        <v>3250</v>
      </c>
      <c r="AN813" t="s">
        <v>3250</v>
      </c>
      <c r="AO813" t="s">
        <v>3250</v>
      </c>
      <c r="AS813" t="s">
        <v>3250</v>
      </c>
      <c r="AT813" t="s">
        <v>3250</v>
      </c>
      <c r="AU813" t="s">
        <v>3250</v>
      </c>
      <c r="AV813" t="s">
        <v>3250</v>
      </c>
      <c r="AW813" t="s">
        <v>3250</v>
      </c>
      <c r="AX813" t="s">
        <v>3250</v>
      </c>
      <c r="AY813" t="s">
        <v>3250</v>
      </c>
      <c r="AZ813" t="s">
        <v>3250</v>
      </c>
      <c r="BA813" t="s">
        <v>3250</v>
      </c>
      <c r="BB813" t="s">
        <v>3250</v>
      </c>
      <c r="BC813" t="s">
        <v>3250</v>
      </c>
      <c r="BE813" t="s">
        <v>3250</v>
      </c>
      <c r="BF813" t="s">
        <v>3250</v>
      </c>
      <c r="BG813" t="s">
        <v>3250</v>
      </c>
      <c r="BH813" t="s">
        <v>3250</v>
      </c>
      <c r="BI813" t="s">
        <v>3250</v>
      </c>
      <c r="BK813" t="s">
        <v>3250</v>
      </c>
      <c r="BL813" t="s">
        <v>3250</v>
      </c>
      <c r="BM813" t="s">
        <v>3250</v>
      </c>
      <c r="BN813" t="s">
        <v>3250</v>
      </c>
      <c r="BP813">
        <v>1</v>
      </c>
      <c r="BQ813">
        <v>14</v>
      </c>
      <c r="BR813" t="s">
        <v>2370</v>
      </c>
      <c r="BS813" t="s">
        <v>3252</v>
      </c>
      <c r="BV813">
        <v>98804</v>
      </c>
      <c r="BW813">
        <v>73572</v>
      </c>
      <c r="BX813">
        <v>201976</v>
      </c>
      <c r="BY813">
        <v>100000</v>
      </c>
      <c r="BZ813">
        <v>100000</v>
      </c>
      <c r="CA813">
        <v>103900</v>
      </c>
      <c r="CB813">
        <v>108056</v>
      </c>
      <c r="CC813">
        <v>112378</v>
      </c>
      <c r="CD813">
        <v>135837</v>
      </c>
      <c r="CE813" t="s">
        <v>3108</v>
      </c>
      <c r="CF813" t="s">
        <v>3108</v>
      </c>
      <c r="CG813" t="s">
        <v>3108</v>
      </c>
      <c r="CH813" t="s">
        <v>3108</v>
      </c>
    </row>
    <row r="814" spans="1:86" x14ac:dyDescent="0.2">
      <c r="A814" t="s">
        <v>4473</v>
      </c>
      <c r="B814" t="s">
        <v>4473</v>
      </c>
      <c r="C814">
        <v>41265</v>
      </c>
      <c r="D814">
        <v>674</v>
      </c>
      <c r="E814" t="s">
        <v>4047</v>
      </c>
      <c r="F814">
        <v>2600</v>
      </c>
      <c r="G814" t="s">
        <v>1334</v>
      </c>
      <c r="H814">
        <v>2600</v>
      </c>
      <c r="I814" t="s">
        <v>1334</v>
      </c>
      <c r="J814" t="s">
        <v>3250</v>
      </c>
      <c r="K814" t="s">
        <v>3250</v>
      </c>
      <c r="L814">
        <v>1200</v>
      </c>
      <c r="M814" t="s">
        <v>2368</v>
      </c>
      <c r="N814">
        <v>1201</v>
      </c>
      <c r="O814" t="s">
        <v>2370</v>
      </c>
      <c r="P814" t="s">
        <v>3108</v>
      </c>
      <c r="Q814" t="s">
        <v>3249</v>
      </c>
      <c r="R814" t="s">
        <v>3249</v>
      </c>
      <c r="S814" t="s">
        <v>810</v>
      </c>
      <c r="T814" t="s">
        <v>2754</v>
      </c>
      <c r="U814" t="s">
        <v>3250</v>
      </c>
      <c r="V814" t="s">
        <v>3250</v>
      </c>
      <c r="W814" t="s">
        <v>3250</v>
      </c>
      <c r="X814" t="s">
        <v>3250</v>
      </c>
      <c r="Y814" t="s">
        <v>3250</v>
      </c>
      <c r="Z814" t="s">
        <v>3250</v>
      </c>
      <c r="AA814" t="s">
        <v>3108</v>
      </c>
      <c r="AB814" t="s">
        <v>3108</v>
      </c>
      <c r="AC814" t="s">
        <v>3250</v>
      </c>
      <c r="AD814" t="s">
        <v>3250</v>
      </c>
      <c r="AE814" t="s">
        <v>3250</v>
      </c>
      <c r="AF814" t="s">
        <v>3250</v>
      </c>
      <c r="AG814" t="s">
        <v>3250</v>
      </c>
      <c r="AH814" t="s">
        <v>3250</v>
      </c>
      <c r="AI814" t="s">
        <v>3250</v>
      </c>
      <c r="AJ814" t="s">
        <v>3250</v>
      </c>
      <c r="AL814" t="s">
        <v>3250</v>
      </c>
      <c r="AM814" t="s">
        <v>3250</v>
      </c>
      <c r="AN814" t="s">
        <v>3250</v>
      </c>
      <c r="AO814" t="s">
        <v>3250</v>
      </c>
      <c r="AS814" t="s">
        <v>3250</v>
      </c>
      <c r="AT814" t="s">
        <v>3250</v>
      </c>
      <c r="AU814" t="s">
        <v>3250</v>
      </c>
      <c r="AV814" t="s">
        <v>3250</v>
      </c>
      <c r="AW814" t="s">
        <v>3250</v>
      </c>
      <c r="AX814" t="s">
        <v>3250</v>
      </c>
      <c r="AY814" t="s">
        <v>3250</v>
      </c>
      <c r="AZ814" t="s">
        <v>3250</v>
      </c>
      <c r="BA814" t="s">
        <v>3250</v>
      </c>
      <c r="BB814" t="s">
        <v>3250</v>
      </c>
      <c r="BC814" t="s">
        <v>3250</v>
      </c>
      <c r="BE814" t="s">
        <v>3250</v>
      </c>
      <c r="BF814" t="s">
        <v>3250</v>
      </c>
      <c r="BG814" t="s">
        <v>3250</v>
      </c>
      <c r="BH814" t="s">
        <v>3250</v>
      </c>
      <c r="BI814" t="s">
        <v>3250</v>
      </c>
      <c r="BK814" t="s">
        <v>3250</v>
      </c>
      <c r="BL814" t="s">
        <v>3250</v>
      </c>
      <c r="BM814" t="s">
        <v>3250</v>
      </c>
      <c r="BN814" t="s">
        <v>3250</v>
      </c>
      <c r="BP814">
        <v>1</v>
      </c>
      <c r="BQ814">
        <v>14</v>
      </c>
      <c r="BR814" t="s">
        <v>2370</v>
      </c>
      <c r="BS814" t="s">
        <v>3252</v>
      </c>
      <c r="BV814">
        <v>30</v>
      </c>
      <c r="BW814">
        <v>5300</v>
      </c>
      <c r="BX814">
        <v>18511</v>
      </c>
      <c r="BY814">
        <v>180000</v>
      </c>
      <c r="BZ814">
        <v>0</v>
      </c>
      <c r="CA814">
        <v>0</v>
      </c>
      <c r="CB814">
        <v>0</v>
      </c>
      <c r="CC814">
        <v>0</v>
      </c>
      <c r="CD814">
        <v>0</v>
      </c>
      <c r="CE814" t="s">
        <v>3108</v>
      </c>
      <c r="CF814" t="s">
        <v>3108</v>
      </c>
      <c r="CG814" t="s">
        <v>3108</v>
      </c>
      <c r="CH814" t="s">
        <v>3108</v>
      </c>
    </row>
    <row r="815" spans="1:86" x14ac:dyDescent="0.2">
      <c r="A815" t="s">
        <v>4474</v>
      </c>
      <c r="B815" t="s">
        <v>4474</v>
      </c>
      <c r="C815">
        <v>41266</v>
      </c>
      <c r="D815">
        <v>675</v>
      </c>
      <c r="E815" t="s">
        <v>4475</v>
      </c>
      <c r="F815">
        <v>2600</v>
      </c>
      <c r="G815" t="s">
        <v>1334</v>
      </c>
      <c r="H815">
        <v>2600</v>
      </c>
      <c r="I815" t="s">
        <v>1334</v>
      </c>
      <c r="J815" t="s">
        <v>3250</v>
      </c>
      <c r="K815" t="s">
        <v>3250</v>
      </c>
      <c r="L815">
        <v>1200</v>
      </c>
      <c r="M815" t="s">
        <v>2368</v>
      </c>
      <c r="N815">
        <v>1201</v>
      </c>
      <c r="O815" t="s">
        <v>2370</v>
      </c>
      <c r="P815" t="s">
        <v>3108</v>
      </c>
      <c r="Q815" t="s">
        <v>3249</v>
      </c>
      <c r="R815" t="s">
        <v>3249</v>
      </c>
      <c r="S815" t="s">
        <v>810</v>
      </c>
      <c r="T815" t="s">
        <v>2754</v>
      </c>
      <c r="U815" t="s">
        <v>3250</v>
      </c>
      <c r="V815" t="s">
        <v>3250</v>
      </c>
      <c r="W815" t="s">
        <v>3250</v>
      </c>
      <c r="X815" t="s">
        <v>3250</v>
      </c>
      <c r="Y815" t="s">
        <v>3250</v>
      </c>
      <c r="Z815" t="s">
        <v>3250</v>
      </c>
      <c r="AA815" t="s">
        <v>3108</v>
      </c>
      <c r="AB815" t="s">
        <v>3108</v>
      </c>
      <c r="AC815" t="s">
        <v>3250</v>
      </c>
      <c r="AD815" t="s">
        <v>3250</v>
      </c>
      <c r="AE815" t="s">
        <v>3250</v>
      </c>
      <c r="AF815" t="s">
        <v>3250</v>
      </c>
      <c r="AG815" t="s">
        <v>3250</v>
      </c>
      <c r="AH815" t="s">
        <v>3250</v>
      </c>
      <c r="AI815" t="s">
        <v>3250</v>
      </c>
      <c r="AJ815" t="s">
        <v>3250</v>
      </c>
      <c r="AL815" t="s">
        <v>3250</v>
      </c>
      <c r="AM815" t="s">
        <v>3250</v>
      </c>
      <c r="AN815" t="s">
        <v>3250</v>
      </c>
      <c r="AO815" t="s">
        <v>3250</v>
      </c>
      <c r="AS815" t="s">
        <v>3250</v>
      </c>
      <c r="AT815" t="s">
        <v>3250</v>
      </c>
      <c r="AU815" t="s">
        <v>3250</v>
      </c>
      <c r="AV815" t="s">
        <v>3250</v>
      </c>
      <c r="AW815" t="s">
        <v>3250</v>
      </c>
      <c r="AX815" t="s">
        <v>3250</v>
      </c>
      <c r="AY815" t="s">
        <v>3250</v>
      </c>
      <c r="AZ815" t="s">
        <v>3250</v>
      </c>
      <c r="BA815" t="s">
        <v>3250</v>
      </c>
      <c r="BB815" t="s">
        <v>3250</v>
      </c>
      <c r="BC815" t="s">
        <v>3250</v>
      </c>
      <c r="BE815" t="s">
        <v>3250</v>
      </c>
      <c r="BF815" t="s">
        <v>3250</v>
      </c>
      <c r="BG815" t="s">
        <v>3250</v>
      </c>
      <c r="BH815" t="s">
        <v>3250</v>
      </c>
      <c r="BI815" t="s">
        <v>3250</v>
      </c>
      <c r="BK815" t="s">
        <v>3250</v>
      </c>
      <c r="BL815" t="s">
        <v>3250</v>
      </c>
      <c r="BM815" t="s">
        <v>3250</v>
      </c>
      <c r="BN815" t="s">
        <v>3250</v>
      </c>
      <c r="BP815">
        <v>1</v>
      </c>
      <c r="BQ815">
        <v>14</v>
      </c>
      <c r="BR815" t="s">
        <v>2370</v>
      </c>
      <c r="BS815" t="s">
        <v>3252</v>
      </c>
      <c r="BV815">
        <v>0</v>
      </c>
      <c r="BW815">
        <v>0</v>
      </c>
      <c r="BX815">
        <v>0</v>
      </c>
      <c r="BY815">
        <v>0</v>
      </c>
      <c r="BZ815">
        <v>0</v>
      </c>
      <c r="CA815">
        <v>0</v>
      </c>
      <c r="CB815">
        <v>0</v>
      </c>
      <c r="CC815">
        <v>0</v>
      </c>
      <c r="CD815">
        <v>0</v>
      </c>
      <c r="CE815" t="s">
        <v>3108</v>
      </c>
      <c r="CF815" t="s">
        <v>3108</v>
      </c>
      <c r="CG815" t="s">
        <v>3108</v>
      </c>
      <c r="CH815" t="s">
        <v>3108</v>
      </c>
    </row>
    <row r="816" spans="1:86" x14ac:dyDescent="0.2">
      <c r="A816" t="s">
        <v>4476</v>
      </c>
      <c r="B816" t="s">
        <v>4476</v>
      </c>
      <c r="C816">
        <v>41267</v>
      </c>
      <c r="D816">
        <v>676</v>
      </c>
      <c r="E816" t="s">
        <v>4477</v>
      </c>
      <c r="F816">
        <v>2700</v>
      </c>
      <c r="G816" t="s">
        <v>411</v>
      </c>
      <c r="H816" t="s">
        <v>3837</v>
      </c>
      <c r="I816" t="s">
        <v>2532</v>
      </c>
      <c r="J816">
        <v>2702</v>
      </c>
      <c r="K816" t="s">
        <v>2532</v>
      </c>
      <c r="L816">
        <v>3100</v>
      </c>
      <c r="M816" t="s">
        <v>127</v>
      </c>
      <c r="N816">
        <v>3102</v>
      </c>
      <c r="O816" t="s">
        <v>2413</v>
      </c>
      <c r="P816" t="s">
        <v>3108</v>
      </c>
      <c r="Q816" t="s">
        <v>3249</v>
      </c>
      <c r="R816" t="s">
        <v>3249</v>
      </c>
      <c r="S816" t="s">
        <v>810</v>
      </c>
      <c r="T816" t="s">
        <v>2754</v>
      </c>
      <c r="U816" t="s">
        <v>3250</v>
      </c>
      <c r="V816" t="s">
        <v>3250</v>
      </c>
      <c r="W816" t="s">
        <v>3250</v>
      </c>
      <c r="X816" t="s">
        <v>3250</v>
      </c>
      <c r="Y816" t="s">
        <v>3250</v>
      </c>
      <c r="Z816" t="s">
        <v>3250</v>
      </c>
      <c r="AA816" t="s">
        <v>3108</v>
      </c>
      <c r="AB816" t="s">
        <v>3108</v>
      </c>
      <c r="AC816" t="s">
        <v>3250</v>
      </c>
      <c r="AD816" t="s">
        <v>3250</v>
      </c>
      <c r="AE816" t="s">
        <v>3250</v>
      </c>
      <c r="AF816" t="s">
        <v>3250</v>
      </c>
      <c r="AG816" t="s">
        <v>3250</v>
      </c>
      <c r="AH816" t="s">
        <v>3250</v>
      </c>
      <c r="AI816" t="s">
        <v>3250</v>
      </c>
      <c r="AJ816" t="s">
        <v>3250</v>
      </c>
      <c r="AL816" t="s">
        <v>3250</v>
      </c>
      <c r="AM816" t="s">
        <v>3250</v>
      </c>
      <c r="AN816" t="s">
        <v>3250</v>
      </c>
      <c r="AO816" t="s">
        <v>3250</v>
      </c>
      <c r="AS816" t="s">
        <v>3250</v>
      </c>
      <c r="AT816" t="s">
        <v>3250</v>
      </c>
      <c r="AU816" t="s">
        <v>3250</v>
      </c>
      <c r="AV816" t="s">
        <v>3250</v>
      </c>
      <c r="AW816" t="s">
        <v>3250</v>
      </c>
      <c r="AX816" t="s">
        <v>3250</v>
      </c>
      <c r="AY816" t="s">
        <v>3250</v>
      </c>
      <c r="AZ816" t="s">
        <v>3250</v>
      </c>
      <c r="BA816" t="s">
        <v>3250</v>
      </c>
      <c r="BB816" t="s">
        <v>3250</v>
      </c>
      <c r="BC816" t="s">
        <v>3250</v>
      </c>
      <c r="BE816" t="s">
        <v>3250</v>
      </c>
      <c r="BF816" t="s">
        <v>3250</v>
      </c>
      <c r="BG816" t="s">
        <v>3250</v>
      </c>
      <c r="BH816" t="s">
        <v>3250</v>
      </c>
      <c r="BI816" t="s">
        <v>3250</v>
      </c>
      <c r="BK816" t="s">
        <v>3250</v>
      </c>
      <c r="BL816" t="s">
        <v>3250</v>
      </c>
      <c r="BM816" t="s">
        <v>3250</v>
      </c>
      <c r="BN816" t="s">
        <v>3250</v>
      </c>
      <c r="BP816">
        <v>8</v>
      </c>
      <c r="BQ816">
        <v>85</v>
      </c>
      <c r="BR816" t="s">
        <v>2413</v>
      </c>
      <c r="BS816" t="s">
        <v>4013</v>
      </c>
      <c r="BV816">
        <v>0</v>
      </c>
      <c r="BW816">
        <v>0</v>
      </c>
      <c r="BX816">
        <v>186280</v>
      </c>
      <c r="BY816">
        <v>0</v>
      </c>
      <c r="BZ816">
        <v>0</v>
      </c>
      <c r="CA816">
        <v>0</v>
      </c>
      <c r="CB816">
        <v>0</v>
      </c>
      <c r="CC816">
        <v>0</v>
      </c>
      <c r="CD816">
        <v>0</v>
      </c>
      <c r="CE816" t="s">
        <v>3108</v>
      </c>
      <c r="CF816" t="s">
        <v>3108</v>
      </c>
      <c r="CG816" t="s">
        <v>3108</v>
      </c>
      <c r="CH816" t="s">
        <v>3108</v>
      </c>
    </row>
    <row r="817" spans="1:86" x14ac:dyDescent="0.2">
      <c r="A817" t="s">
        <v>4478</v>
      </c>
      <c r="B817" t="s">
        <v>4478</v>
      </c>
      <c r="C817">
        <v>41268</v>
      </c>
      <c r="D817">
        <v>677</v>
      </c>
      <c r="E817" t="s">
        <v>4479</v>
      </c>
      <c r="F817">
        <v>2700</v>
      </c>
      <c r="G817" t="s">
        <v>411</v>
      </c>
      <c r="H817" t="s">
        <v>3837</v>
      </c>
      <c r="I817" t="s">
        <v>2532</v>
      </c>
      <c r="J817">
        <v>2702</v>
      </c>
      <c r="K817" t="s">
        <v>2532</v>
      </c>
      <c r="L817">
        <v>1200</v>
      </c>
      <c r="M817" t="s">
        <v>2368</v>
      </c>
      <c r="N817">
        <v>1208</v>
      </c>
      <c r="O817" t="s">
        <v>2373</v>
      </c>
      <c r="P817" t="s">
        <v>3108</v>
      </c>
      <c r="Q817" t="s">
        <v>3249</v>
      </c>
      <c r="R817" t="s">
        <v>3249</v>
      </c>
      <c r="S817" t="s">
        <v>810</v>
      </c>
      <c r="T817" t="s">
        <v>2754</v>
      </c>
      <c r="U817" t="s">
        <v>3250</v>
      </c>
      <c r="V817" t="s">
        <v>3250</v>
      </c>
      <c r="W817" t="s">
        <v>3250</v>
      </c>
      <c r="X817" t="s">
        <v>3250</v>
      </c>
      <c r="Y817" t="s">
        <v>3250</v>
      </c>
      <c r="Z817" t="s">
        <v>3250</v>
      </c>
      <c r="AA817" t="s">
        <v>3108</v>
      </c>
      <c r="AB817" t="s">
        <v>3108</v>
      </c>
      <c r="AC817" t="s">
        <v>3250</v>
      </c>
      <c r="AD817" t="s">
        <v>3250</v>
      </c>
      <c r="AE817" t="s">
        <v>3250</v>
      </c>
      <c r="AF817" t="s">
        <v>3250</v>
      </c>
      <c r="AG817" t="s">
        <v>3250</v>
      </c>
      <c r="AH817" t="s">
        <v>3250</v>
      </c>
      <c r="AI817" t="s">
        <v>3250</v>
      </c>
      <c r="AJ817" t="s">
        <v>3250</v>
      </c>
      <c r="AL817" t="s">
        <v>3250</v>
      </c>
      <c r="AM817" t="s">
        <v>3250</v>
      </c>
      <c r="AN817" t="s">
        <v>3250</v>
      </c>
      <c r="AO817" t="s">
        <v>3250</v>
      </c>
      <c r="AS817" t="s">
        <v>3250</v>
      </c>
      <c r="AT817" t="s">
        <v>3250</v>
      </c>
      <c r="AU817" t="s">
        <v>3250</v>
      </c>
      <c r="AV817" t="s">
        <v>3250</v>
      </c>
      <c r="AW817" t="s">
        <v>3250</v>
      </c>
      <c r="AX817" t="s">
        <v>3250</v>
      </c>
      <c r="AY817" t="s">
        <v>3250</v>
      </c>
      <c r="AZ817" t="s">
        <v>3250</v>
      </c>
      <c r="BA817" t="s">
        <v>3250</v>
      </c>
      <c r="BB817" t="s">
        <v>3250</v>
      </c>
      <c r="BC817" t="s">
        <v>3250</v>
      </c>
      <c r="BE817" t="s">
        <v>3250</v>
      </c>
      <c r="BF817" t="s">
        <v>3250</v>
      </c>
      <c r="BG817" t="s">
        <v>3250</v>
      </c>
      <c r="BH817" t="s">
        <v>3250</v>
      </c>
      <c r="BI817" t="s">
        <v>3250</v>
      </c>
      <c r="BK817" t="s">
        <v>3250</v>
      </c>
      <c r="BL817" t="s">
        <v>3250</v>
      </c>
      <c r="BM817" t="s">
        <v>3250</v>
      </c>
      <c r="BN817" t="s">
        <v>3250</v>
      </c>
      <c r="BP817">
        <v>1</v>
      </c>
      <c r="BQ817">
        <v>17</v>
      </c>
      <c r="BR817" t="s">
        <v>2373</v>
      </c>
      <c r="BS817" t="s">
        <v>3252</v>
      </c>
      <c r="BV817">
        <v>0</v>
      </c>
      <c r="BW817">
        <v>0</v>
      </c>
      <c r="BX817">
        <v>0</v>
      </c>
      <c r="BY817">
        <v>0</v>
      </c>
      <c r="BZ817">
        <v>0</v>
      </c>
      <c r="CA817">
        <v>0</v>
      </c>
      <c r="CB817">
        <v>0</v>
      </c>
      <c r="CC817">
        <v>0</v>
      </c>
      <c r="CD817">
        <v>0</v>
      </c>
      <c r="CE817" t="s">
        <v>3108</v>
      </c>
      <c r="CF817" t="s">
        <v>3108</v>
      </c>
      <c r="CG817" t="s">
        <v>3108</v>
      </c>
      <c r="CH817" t="s">
        <v>3108</v>
      </c>
    </row>
    <row r="818" spans="1:86" x14ac:dyDescent="0.2">
      <c r="A818" t="s">
        <v>4480</v>
      </c>
      <c r="B818" t="s">
        <v>4480</v>
      </c>
      <c r="C818">
        <v>41269</v>
      </c>
      <c r="D818">
        <v>678</v>
      </c>
      <c r="E818" t="s">
        <v>4481</v>
      </c>
      <c r="F818">
        <v>2700</v>
      </c>
      <c r="G818" t="s">
        <v>411</v>
      </c>
      <c r="H818" t="s">
        <v>3837</v>
      </c>
      <c r="I818" t="s">
        <v>2532</v>
      </c>
      <c r="J818">
        <v>2702</v>
      </c>
      <c r="K818" t="s">
        <v>2532</v>
      </c>
      <c r="L818">
        <v>1200</v>
      </c>
      <c r="M818" t="s">
        <v>2368</v>
      </c>
      <c r="N818">
        <v>1208</v>
      </c>
      <c r="O818" t="s">
        <v>2373</v>
      </c>
      <c r="P818" t="s">
        <v>3108</v>
      </c>
      <c r="Q818" t="s">
        <v>3249</v>
      </c>
      <c r="R818" t="s">
        <v>3249</v>
      </c>
      <c r="S818" t="s">
        <v>810</v>
      </c>
      <c r="T818" t="s">
        <v>2754</v>
      </c>
      <c r="U818" t="s">
        <v>3250</v>
      </c>
      <c r="V818" t="s">
        <v>3250</v>
      </c>
      <c r="W818" t="s">
        <v>3250</v>
      </c>
      <c r="X818" t="s">
        <v>3250</v>
      </c>
      <c r="Y818" t="s">
        <v>3250</v>
      </c>
      <c r="Z818" t="s">
        <v>3250</v>
      </c>
      <c r="AA818" t="s">
        <v>3108</v>
      </c>
      <c r="AB818" t="s">
        <v>3108</v>
      </c>
      <c r="AC818" t="s">
        <v>3250</v>
      </c>
      <c r="AD818" t="s">
        <v>3250</v>
      </c>
      <c r="AE818" t="s">
        <v>3250</v>
      </c>
      <c r="AF818" t="s">
        <v>3250</v>
      </c>
      <c r="AG818" t="s">
        <v>3250</v>
      </c>
      <c r="AH818" t="s">
        <v>3250</v>
      </c>
      <c r="AI818" t="s">
        <v>3250</v>
      </c>
      <c r="AJ818" t="s">
        <v>3250</v>
      </c>
      <c r="AL818" t="s">
        <v>3250</v>
      </c>
      <c r="AM818" t="s">
        <v>3250</v>
      </c>
      <c r="AN818" t="s">
        <v>3250</v>
      </c>
      <c r="AO818" t="s">
        <v>3250</v>
      </c>
      <c r="AS818" t="s">
        <v>3250</v>
      </c>
      <c r="AT818" t="s">
        <v>3250</v>
      </c>
      <c r="AU818" t="s">
        <v>3250</v>
      </c>
      <c r="AV818" t="s">
        <v>3250</v>
      </c>
      <c r="AW818" t="s">
        <v>3250</v>
      </c>
      <c r="AX818" t="s">
        <v>3250</v>
      </c>
      <c r="AY818" t="s">
        <v>3250</v>
      </c>
      <c r="AZ818" t="s">
        <v>3250</v>
      </c>
      <c r="BA818" t="s">
        <v>3250</v>
      </c>
      <c r="BB818" t="s">
        <v>3250</v>
      </c>
      <c r="BC818" t="s">
        <v>3250</v>
      </c>
      <c r="BE818" t="s">
        <v>3250</v>
      </c>
      <c r="BF818" t="s">
        <v>3250</v>
      </c>
      <c r="BG818" t="s">
        <v>3250</v>
      </c>
      <c r="BH818" t="s">
        <v>3250</v>
      </c>
      <c r="BI818" t="s">
        <v>3250</v>
      </c>
      <c r="BK818" t="s">
        <v>3250</v>
      </c>
      <c r="BL818" t="s">
        <v>3250</v>
      </c>
      <c r="BM818" t="s">
        <v>3250</v>
      </c>
      <c r="BN818" t="s">
        <v>3250</v>
      </c>
      <c r="BP818">
        <v>1</v>
      </c>
      <c r="BQ818">
        <v>17</v>
      </c>
      <c r="BR818" t="s">
        <v>2373</v>
      </c>
      <c r="BS818" t="s">
        <v>3252</v>
      </c>
      <c r="BV818">
        <v>0</v>
      </c>
      <c r="BW818">
        <v>0</v>
      </c>
      <c r="BX818">
        <v>0</v>
      </c>
      <c r="BY818">
        <v>0</v>
      </c>
      <c r="BZ818">
        <v>0</v>
      </c>
      <c r="CA818">
        <v>0</v>
      </c>
      <c r="CB818">
        <v>0</v>
      </c>
      <c r="CC818">
        <v>0</v>
      </c>
      <c r="CD818">
        <v>0</v>
      </c>
      <c r="CE818" t="s">
        <v>3108</v>
      </c>
      <c r="CF818" t="s">
        <v>3108</v>
      </c>
      <c r="CG818" t="s">
        <v>3108</v>
      </c>
      <c r="CH818" t="s">
        <v>3108</v>
      </c>
    </row>
    <row r="819" spans="1:86" x14ac:dyDescent="0.2">
      <c r="A819" t="s">
        <v>4482</v>
      </c>
      <c r="B819" t="s">
        <v>4482</v>
      </c>
      <c r="C819">
        <v>41270</v>
      </c>
      <c r="D819">
        <v>679</v>
      </c>
      <c r="E819" t="s">
        <v>4483</v>
      </c>
      <c r="F819">
        <v>2700</v>
      </c>
      <c r="G819" t="s">
        <v>411</v>
      </c>
      <c r="H819" t="s">
        <v>3837</v>
      </c>
      <c r="I819" t="s">
        <v>2532</v>
      </c>
      <c r="J819">
        <v>2702</v>
      </c>
      <c r="K819" t="s">
        <v>2532</v>
      </c>
      <c r="L819">
        <v>1200</v>
      </c>
      <c r="M819" t="s">
        <v>2368</v>
      </c>
      <c r="N819">
        <v>1208</v>
      </c>
      <c r="O819" t="s">
        <v>2373</v>
      </c>
      <c r="P819" t="s">
        <v>3108</v>
      </c>
      <c r="Q819" t="s">
        <v>3249</v>
      </c>
      <c r="R819" t="s">
        <v>3249</v>
      </c>
      <c r="S819" t="s">
        <v>810</v>
      </c>
      <c r="T819" t="s">
        <v>2754</v>
      </c>
      <c r="U819" t="s">
        <v>3250</v>
      </c>
      <c r="V819" t="s">
        <v>3250</v>
      </c>
      <c r="W819" t="s">
        <v>3250</v>
      </c>
      <c r="X819" t="s">
        <v>3250</v>
      </c>
      <c r="Y819" t="s">
        <v>3250</v>
      </c>
      <c r="Z819" t="s">
        <v>3250</v>
      </c>
      <c r="AA819" t="s">
        <v>3108</v>
      </c>
      <c r="AB819" t="s">
        <v>3108</v>
      </c>
      <c r="AC819" t="s">
        <v>3250</v>
      </c>
      <c r="AD819" t="s">
        <v>3250</v>
      </c>
      <c r="AE819" t="s">
        <v>3250</v>
      </c>
      <c r="AF819" t="s">
        <v>3250</v>
      </c>
      <c r="AG819" t="s">
        <v>3250</v>
      </c>
      <c r="AH819" t="s">
        <v>3250</v>
      </c>
      <c r="AI819" t="s">
        <v>3250</v>
      </c>
      <c r="AJ819" t="s">
        <v>3250</v>
      </c>
      <c r="AL819" t="s">
        <v>3250</v>
      </c>
      <c r="AM819" t="s">
        <v>3250</v>
      </c>
      <c r="AN819" t="s">
        <v>3250</v>
      </c>
      <c r="AO819" t="s">
        <v>3250</v>
      </c>
      <c r="AS819" t="s">
        <v>3250</v>
      </c>
      <c r="AT819" t="s">
        <v>3250</v>
      </c>
      <c r="AU819" t="s">
        <v>3250</v>
      </c>
      <c r="AV819" t="s">
        <v>3250</v>
      </c>
      <c r="AW819" t="s">
        <v>3250</v>
      </c>
      <c r="AX819" t="s">
        <v>3250</v>
      </c>
      <c r="AY819" t="s">
        <v>3250</v>
      </c>
      <c r="AZ819" t="s">
        <v>3250</v>
      </c>
      <c r="BA819" t="s">
        <v>3250</v>
      </c>
      <c r="BB819" t="s">
        <v>3250</v>
      </c>
      <c r="BC819" t="s">
        <v>3250</v>
      </c>
      <c r="BE819" t="s">
        <v>3250</v>
      </c>
      <c r="BF819" t="s">
        <v>3250</v>
      </c>
      <c r="BG819" t="s">
        <v>3250</v>
      </c>
      <c r="BH819" t="s">
        <v>3250</v>
      </c>
      <c r="BI819" t="s">
        <v>3250</v>
      </c>
      <c r="BK819" t="s">
        <v>3250</v>
      </c>
      <c r="BL819" t="s">
        <v>3250</v>
      </c>
      <c r="BM819" t="s">
        <v>3250</v>
      </c>
      <c r="BN819" t="s">
        <v>3250</v>
      </c>
      <c r="BP819">
        <v>1</v>
      </c>
      <c r="BQ819">
        <v>17</v>
      </c>
      <c r="BR819" t="s">
        <v>2373</v>
      </c>
      <c r="BS819" t="s">
        <v>3252</v>
      </c>
      <c r="BV819">
        <v>333462</v>
      </c>
      <c r="BW819">
        <v>69507</v>
      </c>
      <c r="BX819">
        <v>792169</v>
      </c>
      <c r="BY819">
        <v>500000</v>
      </c>
      <c r="BZ819">
        <v>500000</v>
      </c>
      <c r="CA819">
        <v>519500</v>
      </c>
      <c r="CB819">
        <v>540280</v>
      </c>
      <c r="CC819">
        <v>561891</v>
      </c>
      <c r="CD819">
        <v>29757</v>
      </c>
      <c r="CE819" t="s">
        <v>3108</v>
      </c>
      <c r="CF819" t="s">
        <v>3108</v>
      </c>
      <c r="CG819" t="s">
        <v>3108</v>
      </c>
      <c r="CH819" t="s">
        <v>3108</v>
      </c>
    </row>
    <row r="820" spans="1:86" x14ac:dyDescent="0.2">
      <c r="A820" t="s">
        <v>4484</v>
      </c>
      <c r="B820" t="s">
        <v>4484</v>
      </c>
      <c r="C820">
        <v>41271</v>
      </c>
      <c r="D820">
        <v>680</v>
      </c>
      <c r="E820" t="s">
        <v>4010</v>
      </c>
      <c r="F820">
        <v>2900</v>
      </c>
      <c r="G820" t="s">
        <v>822</v>
      </c>
      <c r="H820" t="s">
        <v>3108</v>
      </c>
      <c r="I820" t="s">
        <v>3108</v>
      </c>
      <c r="J820">
        <v>2904</v>
      </c>
      <c r="K820" t="s">
        <v>1690</v>
      </c>
      <c r="L820">
        <v>1200</v>
      </c>
      <c r="M820" t="s">
        <v>2368</v>
      </c>
      <c r="N820">
        <v>1201</v>
      </c>
      <c r="O820" t="s">
        <v>2370</v>
      </c>
      <c r="P820" t="s">
        <v>3108</v>
      </c>
      <c r="Q820" t="s">
        <v>3249</v>
      </c>
      <c r="R820" t="s">
        <v>3249</v>
      </c>
      <c r="S820" t="s">
        <v>810</v>
      </c>
      <c r="T820" t="s">
        <v>2754</v>
      </c>
      <c r="U820" t="s">
        <v>3250</v>
      </c>
      <c r="V820" t="s">
        <v>3250</v>
      </c>
      <c r="W820" t="s">
        <v>3250</v>
      </c>
      <c r="X820" t="s">
        <v>3250</v>
      </c>
      <c r="Y820" t="s">
        <v>3250</v>
      </c>
      <c r="Z820" t="s">
        <v>3250</v>
      </c>
      <c r="AA820" t="s">
        <v>3108</v>
      </c>
      <c r="AB820" t="s">
        <v>3108</v>
      </c>
      <c r="AC820" t="s">
        <v>3250</v>
      </c>
      <c r="AD820" t="s">
        <v>3250</v>
      </c>
      <c r="AE820" t="s">
        <v>3250</v>
      </c>
      <c r="AF820" t="s">
        <v>3250</v>
      </c>
      <c r="AG820" t="s">
        <v>3250</v>
      </c>
      <c r="AH820" t="s">
        <v>3250</v>
      </c>
      <c r="AI820" t="s">
        <v>3250</v>
      </c>
      <c r="AJ820" t="s">
        <v>3250</v>
      </c>
      <c r="AL820" t="s">
        <v>3250</v>
      </c>
      <c r="AM820" t="s">
        <v>3250</v>
      </c>
      <c r="AN820" t="s">
        <v>3250</v>
      </c>
      <c r="AO820" t="s">
        <v>3250</v>
      </c>
      <c r="AS820" t="s">
        <v>3250</v>
      </c>
      <c r="AT820" t="s">
        <v>3250</v>
      </c>
      <c r="AU820" t="s">
        <v>3250</v>
      </c>
      <c r="AV820" t="s">
        <v>3250</v>
      </c>
      <c r="AW820" t="s">
        <v>3250</v>
      </c>
      <c r="AX820" t="s">
        <v>3250</v>
      </c>
      <c r="AY820" t="s">
        <v>3250</v>
      </c>
      <c r="AZ820" t="s">
        <v>3250</v>
      </c>
      <c r="BA820" t="s">
        <v>3250</v>
      </c>
      <c r="BB820" t="s">
        <v>3250</v>
      </c>
      <c r="BC820" t="s">
        <v>3250</v>
      </c>
      <c r="BE820" t="s">
        <v>3250</v>
      </c>
      <c r="BF820" t="s">
        <v>3250</v>
      </c>
      <c r="BG820" t="s">
        <v>3250</v>
      </c>
      <c r="BH820" t="s">
        <v>3250</v>
      </c>
      <c r="BI820" t="s">
        <v>3250</v>
      </c>
      <c r="BK820" t="s">
        <v>3250</v>
      </c>
      <c r="BL820" t="s">
        <v>3250</v>
      </c>
      <c r="BM820" t="s">
        <v>3250</v>
      </c>
      <c r="BN820" t="s">
        <v>3250</v>
      </c>
      <c r="BP820">
        <v>1</v>
      </c>
      <c r="BQ820">
        <v>14</v>
      </c>
      <c r="BR820" t="s">
        <v>2370</v>
      </c>
      <c r="BS820" t="s">
        <v>3252</v>
      </c>
      <c r="BV820">
        <v>0</v>
      </c>
      <c r="BW820">
        <v>0</v>
      </c>
      <c r="BX820">
        <v>0</v>
      </c>
      <c r="BY820">
        <v>0</v>
      </c>
      <c r="BZ820">
        <v>0</v>
      </c>
      <c r="CA820">
        <v>0</v>
      </c>
      <c r="CB820">
        <v>0</v>
      </c>
      <c r="CC820">
        <v>0</v>
      </c>
      <c r="CD820">
        <v>0</v>
      </c>
      <c r="CE820" t="s">
        <v>3108</v>
      </c>
      <c r="CF820" t="s">
        <v>3108</v>
      </c>
      <c r="CG820" t="s">
        <v>3108</v>
      </c>
      <c r="CH820" t="s">
        <v>3108</v>
      </c>
    </row>
    <row r="821" spans="1:86" x14ac:dyDescent="0.2">
      <c r="A821" t="s">
        <v>4485</v>
      </c>
      <c r="B821" t="s">
        <v>4485</v>
      </c>
      <c r="C821">
        <v>41272</v>
      </c>
      <c r="D821">
        <v>681</v>
      </c>
      <c r="E821" t="s">
        <v>4486</v>
      </c>
      <c r="F821">
        <v>2900</v>
      </c>
      <c r="G821" t="s">
        <v>822</v>
      </c>
      <c r="H821" t="s">
        <v>3108</v>
      </c>
      <c r="I821" t="s">
        <v>3108</v>
      </c>
      <c r="J821">
        <v>2904</v>
      </c>
      <c r="K821" t="s">
        <v>1690</v>
      </c>
      <c r="L821">
        <v>1200</v>
      </c>
      <c r="M821" t="s">
        <v>2368</v>
      </c>
      <c r="N821">
        <v>1201</v>
      </c>
      <c r="O821" t="s">
        <v>2370</v>
      </c>
      <c r="P821" t="s">
        <v>3108</v>
      </c>
      <c r="Q821" t="s">
        <v>3249</v>
      </c>
      <c r="R821" t="s">
        <v>3249</v>
      </c>
      <c r="S821" t="s">
        <v>810</v>
      </c>
      <c r="T821" t="s">
        <v>2754</v>
      </c>
      <c r="U821" t="s">
        <v>3250</v>
      </c>
      <c r="V821" t="s">
        <v>3250</v>
      </c>
      <c r="W821" t="s">
        <v>3250</v>
      </c>
      <c r="X821" t="s">
        <v>3250</v>
      </c>
      <c r="Y821" t="s">
        <v>3250</v>
      </c>
      <c r="Z821" t="s">
        <v>3250</v>
      </c>
      <c r="AA821" t="s">
        <v>3108</v>
      </c>
      <c r="AB821" t="s">
        <v>3108</v>
      </c>
      <c r="AC821" t="s">
        <v>3250</v>
      </c>
      <c r="AD821" t="s">
        <v>3250</v>
      </c>
      <c r="AE821" t="s">
        <v>3250</v>
      </c>
      <c r="AF821" t="s">
        <v>3250</v>
      </c>
      <c r="AG821" t="s">
        <v>3250</v>
      </c>
      <c r="AH821" t="s">
        <v>3250</v>
      </c>
      <c r="AI821" t="s">
        <v>3250</v>
      </c>
      <c r="AJ821" t="s">
        <v>3250</v>
      </c>
      <c r="AL821" t="s">
        <v>3250</v>
      </c>
      <c r="AM821" t="s">
        <v>3250</v>
      </c>
      <c r="AN821" t="s">
        <v>3250</v>
      </c>
      <c r="AO821" t="s">
        <v>3250</v>
      </c>
      <c r="AS821" t="s">
        <v>3250</v>
      </c>
      <c r="AT821" t="s">
        <v>3250</v>
      </c>
      <c r="AU821" t="s">
        <v>3250</v>
      </c>
      <c r="AV821" t="s">
        <v>3250</v>
      </c>
      <c r="AW821" t="s">
        <v>3250</v>
      </c>
      <c r="AX821" t="s">
        <v>3250</v>
      </c>
      <c r="AY821" t="s">
        <v>3250</v>
      </c>
      <c r="AZ821" t="s">
        <v>3250</v>
      </c>
      <c r="BA821" t="s">
        <v>3250</v>
      </c>
      <c r="BB821" t="s">
        <v>3250</v>
      </c>
      <c r="BC821" t="s">
        <v>3250</v>
      </c>
      <c r="BE821" t="s">
        <v>3250</v>
      </c>
      <c r="BF821" t="s">
        <v>3250</v>
      </c>
      <c r="BG821" t="s">
        <v>3250</v>
      </c>
      <c r="BH821" t="s">
        <v>3250</v>
      </c>
      <c r="BI821" t="s">
        <v>3250</v>
      </c>
      <c r="BK821" t="s">
        <v>3250</v>
      </c>
      <c r="BL821" t="s">
        <v>3250</v>
      </c>
      <c r="BM821" t="s">
        <v>3250</v>
      </c>
      <c r="BN821" t="s">
        <v>3250</v>
      </c>
      <c r="BP821">
        <v>1</v>
      </c>
      <c r="BQ821">
        <v>14</v>
      </c>
      <c r="BR821" t="s">
        <v>2370</v>
      </c>
      <c r="BS821" t="s">
        <v>3252</v>
      </c>
      <c r="BV821">
        <v>0</v>
      </c>
      <c r="BW821">
        <v>0</v>
      </c>
      <c r="BX821">
        <v>0</v>
      </c>
      <c r="BY821">
        <v>0</v>
      </c>
      <c r="BZ821">
        <v>0</v>
      </c>
      <c r="CA821">
        <v>0</v>
      </c>
      <c r="CB821">
        <v>0</v>
      </c>
      <c r="CC821">
        <v>0</v>
      </c>
      <c r="CD821">
        <v>0</v>
      </c>
      <c r="CE821" t="s">
        <v>3108</v>
      </c>
      <c r="CF821" t="s">
        <v>3108</v>
      </c>
      <c r="CG821" t="s">
        <v>3108</v>
      </c>
      <c r="CH821" t="s">
        <v>3108</v>
      </c>
    </row>
    <row r="822" spans="1:86" x14ac:dyDescent="0.2">
      <c r="A822" t="s">
        <v>4487</v>
      </c>
      <c r="B822" t="s">
        <v>4487</v>
      </c>
      <c r="C822">
        <v>41273</v>
      </c>
      <c r="D822">
        <v>682</v>
      </c>
      <c r="E822" t="s">
        <v>4488</v>
      </c>
      <c r="F822">
        <v>2900</v>
      </c>
      <c r="G822" t="s">
        <v>822</v>
      </c>
      <c r="H822" t="s">
        <v>3108</v>
      </c>
      <c r="I822" t="s">
        <v>3108</v>
      </c>
      <c r="J822">
        <v>2904</v>
      </c>
      <c r="K822" t="s">
        <v>1690</v>
      </c>
      <c r="L822">
        <v>1200</v>
      </c>
      <c r="M822" t="s">
        <v>2368</v>
      </c>
      <c r="N822">
        <v>1201</v>
      </c>
      <c r="O822" t="s">
        <v>2370</v>
      </c>
      <c r="P822" t="s">
        <v>3108</v>
      </c>
      <c r="Q822" t="s">
        <v>3249</v>
      </c>
      <c r="R822" t="s">
        <v>3249</v>
      </c>
      <c r="S822" t="s">
        <v>810</v>
      </c>
      <c r="T822" t="s">
        <v>2754</v>
      </c>
      <c r="U822" t="s">
        <v>3250</v>
      </c>
      <c r="V822" t="s">
        <v>3250</v>
      </c>
      <c r="W822" t="s">
        <v>3250</v>
      </c>
      <c r="X822" t="s">
        <v>3250</v>
      </c>
      <c r="Y822" t="s">
        <v>3250</v>
      </c>
      <c r="Z822" t="s">
        <v>3250</v>
      </c>
      <c r="AA822" t="s">
        <v>3108</v>
      </c>
      <c r="AB822" t="s">
        <v>3108</v>
      </c>
      <c r="AC822" t="s">
        <v>3250</v>
      </c>
      <c r="AD822" t="s">
        <v>3250</v>
      </c>
      <c r="AE822" t="s">
        <v>3250</v>
      </c>
      <c r="AF822" t="s">
        <v>3250</v>
      </c>
      <c r="AG822" t="s">
        <v>3250</v>
      </c>
      <c r="AH822" t="s">
        <v>3250</v>
      </c>
      <c r="AI822" t="s">
        <v>3250</v>
      </c>
      <c r="AJ822" t="s">
        <v>3250</v>
      </c>
      <c r="AL822" t="s">
        <v>3250</v>
      </c>
      <c r="AM822" t="s">
        <v>3250</v>
      </c>
      <c r="AN822" t="s">
        <v>3250</v>
      </c>
      <c r="AO822" t="s">
        <v>3250</v>
      </c>
      <c r="AS822" t="s">
        <v>3250</v>
      </c>
      <c r="AT822" t="s">
        <v>3250</v>
      </c>
      <c r="AU822" t="s">
        <v>3250</v>
      </c>
      <c r="AV822" t="s">
        <v>3250</v>
      </c>
      <c r="AW822" t="s">
        <v>3250</v>
      </c>
      <c r="AX822" t="s">
        <v>3250</v>
      </c>
      <c r="AY822" t="s">
        <v>3250</v>
      </c>
      <c r="AZ822" t="s">
        <v>3250</v>
      </c>
      <c r="BA822" t="s">
        <v>3250</v>
      </c>
      <c r="BB822" t="s">
        <v>3250</v>
      </c>
      <c r="BC822" t="s">
        <v>3250</v>
      </c>
      <c r="BE822" t="s">
        <v>3250</v>
      </c>
      <c r="BF822" t="s">
        <v>3250</v>
      </c>
      <c r="BG822" t="s">
        <v>3250</v>
      </c>
      <c r="BH822" t="s">
        <v>3250</v>
      </c>
      <c r="BI822" t="s">
        <v>3250</v>
      </c>
      <c r="BK822" t="s">
        <v>3250</v>
      </c>
      <c r="BL822" t="s">
        <v>3250</v>
      </c>
      <c r="BM822" t="s">
        <v>3250</v>
      </c>
      <c r="BN822" t="s">
        <v>3250</v>
      </c>
      <c r="BP822">
        <v>1</v>
      </c>
      <c r="BQ822">
        <v>14</v>
      </c>
      <c r="BR822" t="s">
        <v>2370</v>
      </c>
      <c r="BS822" t="s">
        <v>3252</v>
      </c>
      <c r="BV822">
        <v>9552</v>
      </c>
      <c r="BW822">
        <v>330017</v>
      </c>
      <c r="BX822">
        <v>484754</v>
      </c>
      <c r="BY822">
        <v>170000</v>
      </c>
      <c r="BZ822">
        <v>170000</v>
      </c>
      <c r="CA822">
        <v>176630</v>
      </c>
      <c r="CB822">
        <v>183695</v>
      </c>
      <c r="CC822">
        <v>191043</v>
      </c>
      <c r="CD822">
        <v>0</v>
      </c>
      <c r="CE822" t="s">
        <v>3108</v>
      </c>
      <c r="CF822" t="s">
        <v>3108</v>
      </c>
      <c r="CG822" t="s">
        <v>3108</v>
      </c>
      <c r="CH822" t="s">
        <v>3108</v>
      </c>
    </row>
    <row r="823" spans="1:86" x14ac:dyDescent="0.2">
      <c r="A823" t="s">
        <v>4489</v>
      </c>
      <c r="B823" t="s">
        <v>4489</v>
      </c>
      <c r="C823">
        <v>41274</v>
      </c>
      <c r="D823">
        <v>683</v>
      </c>
      <c r="E823" t="s">
        <v>4138</v>
      </c>
      <c r="F823">
        <v>2900</v>
      </c>
      <c r="G823" t="s">
        <v>822</v>
      </c>
      <c r="H823" t="s">
        <v>3108</v>
      </c>
      <c r="I823" t="s">
        <v>3108</v>
      </c>
      <c r="J823">
        <v>2904</v>
      </c>
      <c r="K823" t="s">
        <v>1690</v>
      </c>
      <c r="L823">
        <v>1200</v>
      </c>
      <c r="M823" t="s">
        <v>2368</v>
      </c>
      <c r="N823">
        <v>1201</v>
      </c>
      <c r="O823" t="s">
        <v>2370</v>
      </c>
      <c r="P823" t="s">
        <v>3108</v>
      </c>
      <c r="Q823" t="s">
        <v>3249</v>
      </c>
      <c r="R823" t="s">
        <v>3249</v>
      </c>
      <c r="S823" t="s">
        <v>810</v>
      </c>
      <c r="T823" t="s">
        <v>2754</v>
      </c>
      <c r="U823" t="s">
        <v>3250</v>
      </c>
      <c r="V823" t="s">
        <v>3250</v>
      </c>
      <c r="W823" t="s">
        <v>3250</v>
      </c>
      <c r="X823" t="s">
        <v>3250</v>
      </c>
      <c r="Y823" t="s">
        <v>3250</v>
      </c>
      <c r="Z823" t="s">
        <v>3250</v>
      </c>
      <c r="AA823" t="s">
        <v>3108</v>
      </c>
      <c r="AB823" t="s">
        <v>3108</v>
      </c>
      <c r="AC823" t="s">
        <v>3250</v>
      </c>
      <c r="AD823" t="s">
        <v>3250</v>
      </c>
      <c r="AE823" t="s">
        <v>3250</v>
      </c>
      <c r="AF823" t="s">
        <v>3250</v>
      </c>
      <c r="AG823" t="s">
        <v>3250</v>
      </c>
      <c r="AH823" t="s">
        <v>3250</v>
      </c>
      <c r="AI823" t="s">
        <v>3250</v>
      </c>
      <c r="AJ823" t="s">
        <v>3250</v>
      </c>
      <c r="AL823" t="s">
        <v>3250</v>
      </c>
      <c r="AM823" t="s">
        <v>3250</v>
      </c>
      <c r="AN823" t="s">
        <v>3250</v>
      </c>
      <c r="AO823" t="s">
        <v>3250</v>
      </c>
      <c r="AS823" t="s">
        <v>3250</v>
      </c>
      <c r="AT823" t="s">
        <v>3250</v>
      </c>
      <c r="AU823" t="s">
        <v>3250</v>
      </c>
      <c r="AV823" t="s">
        <v>3250</v>
      </c>
      <c r="AW823" t="s">
        <v>3250</v>
      </c>
      <c r="AX823" t="s">
        <v>3250</v>
      </c>
      <c r="AY823" t="s">
        <v>3250</v>
      </c>
      <c r="AZ823" t="s">
        <v>3250</v>
      </c>
      <c r="BA823" t="s">
        <v>3250</v>
      </c>
      <c r="BB823" t="s">
        <v>3250</v>
      </c>
      <c r="BC823" t="s">
        <v>3250</v>
      </c>
      <c r="BE823" t="s">
        <v>3250</v>
      </c>
      <c r="BF823" t="s">
        <v>3250</v>
      </c>
      <c r="BG823" t="s">
        <v>3250</v>
      </c>
      <c r="BH823" t="s">
        <v>3250</v>
      </c>
      <c r="BI823" t="s">
        <v>3250</v>
      </c>
      <c r="BK823" t="s">
        <v>3250</v>
      </c>
      <c r="BL823" t="s">
        <v>3250</v>
      </c>
      <c r="BM823" t="s">
        <v>3250</v>
      </c>
      <c r="BN823" t="s">
        <v>3250</v>
      </c>
      <c r="BP823">
        <v>1</v>
      </c>
      <c r="BQ823">
        <v>14</v>
      </c>
      <c r="BR823" t="s">
        <v>2370</v>
      </c>
      <c r="BS823" t="s">
        <v>3252</v>
      </c>
      <c r="BV823">
        <v>349050</v>
      </c>
      <c r="BW823">
        <v>153449</v>
      </c>
      <c r="BX823">
        <v>231226</v>
      </c>
      <c r="BY823">
        <v>200000</v>
      </c>
      <c r="BZ823">
        <v>300000</v>
      </c>
      <c r="CA823">
        <v>311700</v>
      </c>
      <c r="CB823">
        <v>324168</v>
      </c>
      <c r="CC823">
        <v>337135</v>
      </c>
      <c r="CD823">
        <v>60458</v>
      </c>
      <c r="CE823" t="s">
        <v>3108</v>
      </c>
      <c r="CF823" t="s">
        <v>3108</v>
      </c>
      <c r="CG823" t="s">
        <v>3108</v>
      </c>
      <c r="CH823" t="s">
        <v>3108</v>
      </c>
    </row>
    <row r="824" spans="1:86" x14ac:dyDescent="0.2">
      <c r="A824" t="s">
        <v>4490</v>
      </c>
      <c r="B824" t="s">
        <v>4490</v>
      </c>
      <c r="C824">
        <v>41275</v>
      </c>
      <c r="D824">
        <v>684</v>
      </c>
      <c r="E824" t="s">
        <v>4027</v>
      </c>
      <c r="F824">
        <v>2900</v>
      </c>
      <c r="G824" t="s">
        <v>822</v>
      </c>
      <c r="H824" t="s">
        <v>3108</v>
      </c>
      <c r="I824" t="s">
        <v>3108</v>
      </c>
      <c r="J824">
        <v>2904</v>
      </c>
      <c r="K824" t="s">
        <v>1690</v>
      </c>
      <c r="L824">
        <v>1200</v>
      </c>
      <c r="M824" t="s">
        <v>2368</v>
      </c>
      <c r="N824">
        <v>1201</v>
      </c>
      <c r="O824" t="s">
        <v>2370</v>
      </c>
      <c r="P824" t="s">
        <v>3108</v>
      </c>
      <c r="Q824" t="s">
        <v>3249</v>
      </c>
      <c r="R824" t="s">
        <v>3249</v>
      </c>
      <c r="S824" t="s">
        <v>810</v>
      </c>
      <c r="T824" t="s">
        <v>2754</v>
      </c>
      <c r="U824" t="s">
        <v>3250</v>
      </c>
      <c r="V824" t="s">
        <v>3250</v>
      </c>
      <c r="W824" t="s">
        <v>3250</v>
      </c>
      <c r="X824" t="s">
        <v>3250</v>
      </c>
      <c r="Y824" t="s">
        <v>3250</v>
      </c>
      <c r="Z824" t="s">
        <v>3250</v>
      </c>
      <c r="AA824" t="s">
        <v>3108</v>
      </c>
      <c r="AB824" t="s">
        <v>3108</v>
      </c>
      <c r="AC824" t="s">
        <v>3250</v>
      </c>
      <c r="AD824" t="s">
        <v>3250</v>
      </c>
      <c r="AE824" t="s">
        <v>3250</v>
      </c>
      <c r="AF824" t="s">
        <v>3250</v>
      </c>
      <c r="AG824" t="s">
        <v>3250</v>
      </c>
      <c r="AH824" t="s">
        <v>3250</v>
      </c>
      <c r="AI824" t="s">
        <v>3250</v>
      </c>
      <c r="AJ824" t="s">
        <v>3250</v>
      </c>
      <c r="AL824" t="s">
        <v>3250</v>
      </c>
      <c r="AM824" t="s">
        <v>3250</v>
      </c>
      <c r="AN824" t="s">
        <v>3250</v>
      </c>
      <c r="AO824" t="s">
        <v>3250</v>
      </c>
      <c r="AS824" t="s">
        <v>3250</v>
      </c>
      <c r="AT824" t="s">
        <v>3250</v>
      </c>
      <c r="AU824" t="s">
        <v>3250</v>
      </c>
      <c r="AV824" t="s">
        <v>3250</v>
      </c>
      <c r="AW824" t="s">
        <v>3250</v>
      </c>
      <c r="AX824" t="s">
        <v>3250</v>
      </c>
      <c r="AY824" t="s">
        <v>3250</v>
      </c>
      <c r="AZ824" t="s">
        <v>3250</v>
      </c>
      <c r="BA824" t="s">
        <v>3250</v>
      </c>
      <c r="BB824" t="s">
        <v>3250</v>
      </c>
      <c r="BC824" t="s">
        <v>3250</v>
      </c>
      <c r="BE824" t="s">
        <v>3250</v>
      </c>
      <c r="BF824" t="s">
        <v>3250</v>
      </c>
      <c r="BG824" t="s">
        <v>3250</v>
      </c>
      <c r="BH824" t="s">
        <v>3250</v>
      </c>
      <c r="BI824" t="s">
        <v>3250</v>
      </c>
      <c r="BK824" t="s">
        <v>3250</v>
      </c>
      <c r="BL824" t="s">
        <v>3250</v>
      </c>
      <c r="BM824" t="s">
        <v>3250</v>
      </c>
      <c r="BN824" t="s">
        <v>3250</v>
      </c>
      <c r="BP824">
        <v>1</v>
      </c>
      <c r="BQ824">
        <v>14</v>
      </c>
      <c r="BR824" t="s">
        <v>2370</v>
      </c>
      <c r="BS824" t="s">
        <v>3252</v>
      </c>
      <c r="BV824">
        <v>0</v>
      </c>
      <c r="BW824">
        <v>0</v>
      </c>
      <c r="BX824">
        <v>0</v>
      </c>
      <c r="BY824">
        <v>0</v>
      </c>
      <c r="BZ824">
        <v>0</v>
      </c>
      <c r="CA824">
        <v>0</v>
      </c>
      <c r="CB824">
        <v>0</v>
      </c>
      <c r="CC824">
        <v>0</v>
      </c>
      <c r="CD824">
        <v>0</v>
      </c>
      <c r="CE824" t="s">
        <v>3108</v>
      </c>
      <c r="CF824" t="s">
        <v>3108</v>
      </c>
      <c r="CG824" t="s">
        <v>3108</v>
      </c>
      <c r="CH824" t="s">
        <v>3108</v>
      </c>
    </row>
    <row r="825" spans="1:86" x14ac:dyDescent="0.2">
      <c r="A825" t="s">
        <v>4491</v>
      </c>
      <c r="B825" t="s">
        <v>4491</v>
      </c>
      <c r="C825">
        <v>41276</v>
      </c>
      <c r="D825">
        <v>685</v>
      </c>
      <c r="E825" t="s">
        <v>4097</v>
      </c>
      <c r="F825">
        <v>2900</v>
      </c>
      <c r="G825" t="s">
        <v>822</v>
      </c>
      <c r="H825" t="s">
        <v>3108</v>
      </c>
      <c r="I825" t="s">
        <v>3108</v>
      </c>
      <c r="J825">
        <v>2904</v>
      </c>
      <c r="K825" t="s">
        <v>1690</v>
      </c>
      <c r="L825">
        <v>1200</v>
      </c>
      <c r="M825" t="s">
        <v>2368</v>
      </c>
      <c r="N825">
        <v>1201</v>
      </c>
      <c r="O825" t="s">
        <v>2370</v>
      </c>
      <c r="P825" t="s">
        <v>3108</v>
      </c>
      <c r="Q825" t="s">
        <v>3249</v>
      </c>
      <c r="R825" t="s">
        <v>3249</v>
      </c>
      <c r="S825" t="s">
        <v>810</v>
      </c>
      <c r="T825" t="s">
        <v>2754</v>
      </c>
      <c r="U825" t="s">
        <v>3250</v>
      </c>
      <c r="V825" t="s">
        <v>3250</v>
      </c>
      <c r="W825" t="s">
        <v>3250</v>
      </c>
      <c r="X825" t="s">
        <v>3250</v>
      </c>
      <c r="Y825" t="s">
        <v>3250</v>
      </c>
      <c r="Z825" t="s">
        <v>3250</v>
      </c>
      <c r="AA825" t="s">
        <v>3108</v>
      </c>
      <c r="AB825" t="s">
        <v>3108</v>
      </c>
      <c r="AC825" t="s">
        <v>3250</v>
      </c>
      <c r="AD825" t="s">
        <v>3250</v>
      </c>
      <c r="AE825" t="s">
        <v>3250</v>
      </c>
      <c r="AF825" t="s">
        <v>3250</v>
      </c>
      <c r="AG825" t="s">
        <v>3250</v>
      </c>
      <c r="AH825" t="s">
        <v>3250</v>
      </c>
      <c r="AI825" t="s">
        <v>3250</v>
      </c>
      <c r="AJ825" t="s">
        <v>3250</v>
      </c>
      <c r="AL825" t="s">
        <v>3250</v>
      </c>
      <c r="AM825" t="s">
        <v>3250</v>
      </c>
      <c r="AN825" t="s">
        <v>3250</v>
      </c>
      <c r="AO825" t="s">
        <v>3250</v>
      </c>
      <c r="AS825" t="s">
        <v>3250</v>
      </c>
      <c r="AT825" t="s">
        <v>3250</v>
      </c>
      <c r="AU825" t="s">
        <v>3250</v>
      </c>
      <c r="AV825" t="s">
        <v>3250</v>
      </c>
      <c r="AW825" t="s">
        <v>3250</v>
      </c>
      <c r="AX825" t="s">
        <v>3250</v>
      </c>
      <c r="AY825" t="s">
        <v>3250</v>
      </c>
      <c r="AZ825" t="s">
        <v>3250</v>
      </c>
      <c r="BA825" t="s">
        <v>3250</v>
      </c>
      <c r="BB825" t="s">
        <v>3250</v>
      </c>
      <c r="BC825" t="s">
        <v>3250</v>
      </c>
      <c r="BE825" t="s">
        <v>3250</v>
      </c>
      <c r="BF825" t="s">
        <v>3250</v>
      </c>
      <c r="BG825" t="s">
        <v>3250</v>
      </c>
      <c r="BH825" t="s">
        <v>3250</v>
      </c>
      <c r="BI825" t="s">
        <v>3250</v>
      </c>
      <c r="BK825" t="s">
        <v>3250</v>
      </c>
      <c r="BL825" t="s">
        <v>3250</v>
      </c>
      <c r="BM825" t="s">
        <v>3250</v>
      </c>
      <c r="BN825" t="s">
        <v>3250</v>
      </c>
      <c r="BP825">
        <v>1</v>
      </c>
      <c r="BQ825">
        <v>14</v>
      </c>
      <c r="BR825" t="s">
        <v>2370</v>
      </c>
      <c r="BS825" t="s">
        <v>3252</v>
      </c>
      <c r="BV825">
        <v>0</v>
      </c>
      <c r="BW825">
        <v>0</v>
      </c>
      <c r="BX825">
        <v>0</v>
      </c>
      <c r="BY825">
        <v>0</v>
      </c>
      <c r="BZ825">
        <v>0</v>
      </c>
      <c r="CA825">
        <v>0</v>
      </c>
      <c r="CB825">
        <v>0</v>
      </c>
      <c r="CC825">
        <v>0</v>
      </c>
      <c r="CD825">
        <v>0</v>
      </c>
      <c r="CE825" t="s">
        <v>3108</v>
      </c>
      <c r="CF825" t="s">
        <v>3108</v>
      </c>
      <c r="CG825" t="s">
        <v>3108</v>
      </c>
      <c r="CH825" t="s">
        <v>3108</v>
      </c>
    </row>
    <row r="826" spans="1:86" x14ac:dyDescent="0.2">
      <c r="A826" t="s">
        <v>4492</v>
      </c>
      <c r="B826" t="s">
        <v>4492</v>
      </c>
      <c r="C826">
        <v>41277</v>
      </c>
      <c r="D826">
        <v>686</v>
      </c>
      <c r="E826" t="s">
        <v>4099</v>
      </c>
      <c r="F826">
        <v>2900</v>
      </c>
      <c r="G826" t="s">
        <v>822</v>
      </c>
      <c r="H826" t="s">
        <v>3108</v>
      </c>
      <c r="I826" t="s">
        <v>3108</v>
      </c>
      <c r="J826">
        <v>2904</v>
      </c>
      <c r="K826" t="s">
        <v>1690</v>
      </c>
      <c r="L826">
        <v>1200</v>
      </c>
      <c r="M826" t="s">
        <v>2368</v>
      </c>
      <c r="N826">
        <v>1201</v>
      </c>
      <c r="O826" t="s">
        <v>2370</v>
      </c>
      <c r="P826" t="s">
        <v>3108</v>
      </c>
      <c r="Q826" t="s">
        <v>3249</v>
      </c>
      <c r="R826" t="s">
        <v>3249</v>
      </c>
      <c r="S826" t="s">
        <v>810</v>
      </c>
      <c r="T826" t="s">
        <v>2754</v>
      </c>
      <c r="U826" t="s">
        <v>3250</v>
      </c>
      <c r="V826" t="s">
        <v>3250</v>
      </c>
      <c r="W826" t="s">
        <v>3250</v>
      </c>
      <c r="X826" t="s">
        <v>3250</v>
      </c>
      <c r="Y826" t="s">
        <v>3250</v>
      </c>
      <c r="Z826" t="s">
        <v>3250</v>
      </c>
      <c r="AA826" t="s">
        <v>3108</v>
      </c>
      <c r="AB826" t="s">
        <v>3108</v>
      </c>
      <c r="AC826" t="s">
        <v>3250</v>
      </c>
      <c r="AD826" t="s">
        <v>3250</v>
      </c>
      <c r="AE826" t="s">
        <v>3250</v>
      </c>
      <c r="AF826" t="s">
        <v>3250</v>
      </c>
      <c r="AG826" t="s">
        <v>3250</v>
      </c>
      <c r="AH826" t="s">
        <v>3250</v>
      </c>
      <c r="AI826" t="s">
        <v>3250</v>
      </c>
      <c r="AJ826" t="s">
        <v>3250</v>
      </c>
      <c r="AL826" t="s">
        <v>3250</v>
      </c>
      <c r="AM826" t="s">
        <v>3250</v>
      </c>
      <c r="AN826" t="s">
        <v>3250</v>
      </c>
      <c r="AO826" t="s">
        <v>3250</v>
      </c>
      <c r="AS826" t="s">
        <v>3250</v>
      </c>
      <c r="AT826" t="s">
        <v>3250</v>
      </c>
      <c r="AU826" t="s">
        <v>3250</v>
      </c>
      <c r="AV826" t="s">
        <v>3250</v>
      </c>
      <c r="AW826" t="s">
        <v>3250</v>
      </c>
      <c r="AX826" t="s">
        <v>3250</v>
      </c>
      <c r="AY826" t="s">
        <v>3250</v>
      </c>
      <c r="AZ826" t="s">
        <v>3250</v>
      </c>
      <c r="BA826" t="s">
        <v>3250</v>
      </c>
      <c r="BB826" t="s">
        <v>3250</v>
      </c>
      <c r="BC826" t="s">
        <v>3250</v>
      </c>
      <c r="BE826" t="s">
        <v>3250</v>
      </c>
      <c r="BF826" t="s">
        <v>3250</v>
      </c>
      <c r="BG826" t="s">
        <v>3250</v>
      </c>
      <c r="BH826" t="s">
        <v>3250</v>
      </c>
      <c r="BI826" t="s">
        <v>3250</v>
      </c>
      <c r="BK826" t="s">
        <v>3250</v>
      </c>
      <c r="BL826" t="s">
        <v>3250</v>
      </c>
      <c r="BM826" t="s">
        <v>3250</v>
      </c>
      <c r="BN826" t="s">
        <v>3250</v>
      </c>
      <c r="BP826">
        <v>1</v>
      </c>
      <c r="BQ826">
        <v>14</v>
      </c>
      <c r="BR826" t="s">
        <v>2370</v>
      </c>
      <c r="BS826" t="s">
        <v>3252</v>
      </c>
      <c r="BV826">
        <v>0</v>
      </c>
      <c r="BW826">
        <v>0</v>
      </c>
      <c r="BX826">
        <v>0</v>
      </c>
      <c r="BY826">
        <v>0</v>
      </c>
      <c r="BZ826">
        <v>0</v>
      </c>
      <c r="CA826">
        <v>0</v>
      </c>
      <c r="CB826">
        <v>0</v>
      </c>
      <c r="CC826">
        <v>0</v>
      </c>
      <c r="CD826">
        <v>0</v>
      </c>
      <c r="CE826" t="s">
        <v>3108</v>
      </c>
      <c r="CF826" t="s">
        <v>3108</v>
      </c>
      <c r="CG826" t="s">
        <v>3108</v>
      </c>
      <c r="CH826" t="s">
        <v>3108</v>
      </c>
    </row>
    <row r="827" spans="1:86" x14ac:dyDescent="0.2">
      <c r="A827" t="s">
        <v>4493</v>
      </c>
      <c r="B827" t="s">
        <v>4493</v>
      </c>
      <c r="C827">
        <v>41278</v>
      </c>
      <c r="D827">
        <v>687</v>
      </c>
      <c r="E827" t="s">
        <v>4031</v>
      </c>
      <c r="F827">
        <v>2900</v>
      </c>
      <c r="G827" t="s">
        <v>822</v>
      </c>
      <c r="H827" t="s">
        <v>3108</v>
      </c>
      <c r="I827" t="s">
        <v>3108</v>
      </c>
      <c r="J827">
        <v>2904</v>
      </c>
      <c r="K827" t="s">
        <v>1690</v>
      </c>
      <c r="L827">
        <v>1200</v>
      </c>
      <c r="M827" t="s">
        <v>2368</v>
      </c>
      <c r="N827">
        <v>1201</v>
      </c>
      <c r="O827" t="s">
        <v>2370</v>
      </c>
      <c r="P827" t="s">
        <v>3108</v>
      </c>
      <c r="Q827" t="s">
        <v>3249</v>
      </c>
      <c r="R827" t="s">
        <v>3249</v>
      </c>
      <c r="S827" t="s">
        <v>810</v>
      </c>
      <c r="T827" t="s">
        <v>2754</v>
      </c>
      <c r="U827" t="s">
        <v>3250</v>
      </c>
      <c r="V827" t="s">
        <v>3250</v>
      </c>
      <c r="W827" t="s">
        <v>3250</v>
      </c>
      <c r="X827" t="s">
        <v>3250</v>
      </c>
      <c r="Y827" t="s">
        <v>3250</v>
      </c>
      <c r="Z827" t="s">
        <v>3250</v>
      </c>
      <c r="AA827" t="s">
        <v>3108</v>
      </c>
      <c r="AB827" t="s">
        <v>3108</v>
      </c>
      <c r="AC827" t="s">
        <v>3250</v>
      </c>
      <c r="AD827" t="s">
        <v>3250</v>
      </c>
      <c r="AE827" t="s">
        <v>3250</v>
      </c>
      <c r="AF827" t="s">
        <v>3250</v>
      </c>
      <c r="AG827" t="s">
        <v>3250</v>
      </c>
      <c r="AH827" t="s">
        <v>3250</v>
      </c>
      <c r="AI827" t="s">
        <v>3250</v>
      </c>
      <c r="AJ827" t="s">
        <v>3250</v>
      </c>
      <c r="AL827" t="s">
        <v>3250</v>
      </c>
      <c r="AM827" t="s">
        <v>3250</v>
      </c>
      <c r="AN827" t="s">
        <v>3250</v>
      </c>
      <c r="AO827" t="s">
        <v>3250</v>
      </c>
      <c r="AS827" t="s">
        <v>3250</v>
      </c>
      <c r="AT827" t="s">
        <v>3250</v>
      </c>
      <c r="AU827" t="s">
        <v>3250</v>
      </c>
      <c r="AV827" t="s">
        <v>3250</v>
      </c>
      <c r="AW827" t="s">
        <v>3250</v>
      </c>
      <c r="AX827" t="s">
        <v>3250</v>
      </c>
      <c r="AY827" t="s">
        <v>3250</v>
      </c>
      <c r="AZ827" t="s">
        <v>3250</v>
      </c>
      <c r="BA827" t="s">
        <v>3250</v>
      </c>
      <c r="BB827" t="s">
        <v>3250</v>
      </c>
      <c r="BC827" t="s">
        <v>3250</v>
      </c>
      <c r="BE827" t="s">
        <v>3250</v>
      </c>
      <c r="BF827" t="s">
        <v>3250</v>
      </c>
      <c r="BG827" t="s">
        <v>3250</v>
      </c>
      <c r="BH827" t="s">
        <v>3250</v>
      </c>
      <c r="BI827" t="s">
        <v>3250</v>
      </c>
      <c r="BK827" t="s">
        <v>3250</v>
      </c>
      <c r="BL827" t="s">
        <v>3250</v>
      </c>
      <c r="BM827" t="s">
        <v>3250</v>
      </c>
      <c r="BN827" t="s">
        <v>3250</v>
      </c>
      <c r="BP827">
        <v>1</v>
      </c>
      <c r="BQ827">
        <v>14</v>
      </c>
      <c r="BR827" t="s">
        <v>2370</v>
      </c>
      <c r="BS827" t="s">
        <v>3252</v>
      </c>
      <c r="BV827">
        <v>19677</v>
      </c>
      <c r="BW827">
        <v>15426</v>
      </c>
      <c r="BX827">
        <v>26540</v>
      </c>
      <c r="BY827">
        <v>150000</v>
      </c>
      <c r="BZ827">
        <v>50000</v>
      </c>
      <c r="CA827">
        <v>51950</v>
      </c>
      <c r="CB827">
        <v>54028</v>
      </c>
      <c r="CC827">
        <v>56189</v>
      </c>
      <c r="CD827">
        <v>34247</v>
      </c>
      <c r="CE827" t="s">
        <v>3108</v>
      </c>
      <c r="CF827" t="s">
        <v>3108</v>
      </c>
      <c r="CG827" t="s">
        <v>3108</v>
      </c>
      <c r="CH827" t="s">
        <v>3108</v>
      </c>
    </row>
    <row r="828" spans="1:86" x14ac:dyDescent="0.2">
      <c r="A828" t="s">
        <v>4494</v>
      </c>
      <c r="B828" t="s">
        <v>4494</v>
      </c>
      <c r="C828">
        <v>41279</v>
      </c>
      <c r="D828">
        <v>688</v>
      </c>
      <c r="E828" t="s">
        <v>4103</v>
      </c>
      <c r="F828">
        <v>2900</v>
      </c>
      <c r="G828" t="s">
        <v>822</v>
      </c>
      <c r="H828" t="s">
        <v>3108</v>
      </c>
      <c r="I828" t="s">
        <v>3108</v>
      </c>
      <c r="J828">
        <v>2904</v>
      </c>
      <c r="K828" t="s">
        <v>1690</v>
      </c>
      <c r="L828">
        <v>1200</v>
      </c>
      <c r="M828" t="s">
        <v>2368</v>
      </c>
      <c r="N828">
        <v>1201</v>
      </c>
      <c r="O828" t="s">
        <v>2370</v>
      </c>
      <c r="P828" t="s">
        <v>3108</v>
      </c>
      <c r="Q828" t="s">
        <v>3249</v>
      </c>
      <c r="R828" t="s">
        <v>3249</v>
      </c>
      <c r="S828" t="s">
        <v>810</v>
      </c>
      <c r="T828" t="s">
        <v>2754</v>
      </c>
      <c r="U828" t="s">
        <v>3250</v>
      </c>
      <c r="V828" t="s">
        <v>3250</v>
      </c>
      <c r="W828" t="s">
        <v>3250</v>
      </c>
      <c r="X828" t="s">
        <v>3250</v>
      </c>
      <c r="Y828" t="s">
        <v>3250</v>
      </c>
      <c r="Z828" t="s">
        <v>3250</v>
      </c>
      <c r="AA828" t="s">
        <v>3108</v>
      </c>
      <c r="AB828" t="s">
        <v>3108</v>
      </c>
      <c r="AC828" t="s">
        <v>3250</v>
      </c>
      <c r="AD828" t="s">
        <v>3250</v>
      </c>
      <c r="AE828" t="s">
        <v>3250</v>
      </c>
      <c r="AF828" t="s">
        <v>3250</v>
      </c>
      <c r="AG828" t="s">
        <v>3250</v>
      </c>
      <c r="AH828" t="s">
        <v>3250</v>
      </c>
      <c r="AI828" t="s">
        <v>3250</v>
      </c>
      <c r="AJ828" t="s">
        <v>3250</v>
      </c>
      <c r="AL828" t="s">
        <v>3250</v>
      </c>
      <c r="AM828" t="s">
        <v>3250</v>
      </c>
      <c r="AN828" t="s">
        <v>3250</v>
      </c>
      <c r="AO828" t="s">
        <v>3250</v>
      </c>
      <c r="AS828" t="s">
        <v>3250</v>
      </c>
      <c r="AT828" t="s">
        <v>3250</v>
      </c>
      <c r="AU828" t="s">
        <v>3250</v>
      </c>
      <c r="AV828" t="s">
        <v>3250</v>
      </c>
      <c r="AW828" t="s">
        <v>3250</v>
      </c>
      <c r="AX828" t="s">
        <v>3250</v>
      </c>
      <c r="AY828" t="s">
        <v>3250</v>
      </c>
      <c r="AZ828" t="s">
        <v>3250</v>
      </c>
      <c r="BA828" t="s">
        <v>3250</v>
      </c>
      <c r="BB828" t="s">
        <v>3250</v>
      </c>
      <c r="BC828" t="s">
        <v>3250</v>
      </c>
      <c r="BE828" t="s">
        <v>3250</v>
      </c>
      <c r="BF828" t="s">
        <v>3250</v>
      </c>
      <c r="BG828" t="s">
        <v>3250</v>
      </c>
      <c r="BH828" t="s">
        <v>3250</v>
      </c>
      <c r="BI828" t="s">
        <v>3250</v>
      </c>
      <c r="BK828" t="s">
        <v>3250</v>
      </c>
      <c r="BL828" t="s">
        <v>3250</v>
      </c>
      <c r="BM828" t="s">
        <v>3250</v>
      </c>
      <c r="BN828" t="s">
        <v>3250</v>
      </c>
      <c r="BP828">
        <v>1</v>
      </c>
      <c r="BQ828">
        <v>14</v>
      </c>
      <c r="BR828" t="s">
        <v>2370</v>
      </c>
      <c r="BS828" t="s">
        <v>3252</v>
      </c>
      <c r="BV828">
        <v>0</v>
      </c>
      <c r="BW828">
        <v>0</v>
      </c>
      <c r="BX828">
        <v>0</v>
      </c>
      <c r="BY828">
        <v>0</v>
      </c>
      <c r="BZ828">
        <v>0</v>
      </c>
      <c r="CA828">
        <v>0</v>
      </c>
      <c r="CB828">
        <v>0</v>
      </c>
      <c r="CC828">
        <v>0</v>
      </c>
      <c r="CD828">
        <v>0</v>
      </c>
      <c r="CE828" t="s">
        <v>3108</v>
      </c>
      <c r="CF828" t="s">
        <v>3108</v>
      </c>
      <c r="CG828" t="s">
        <v>3108</v>
      </c>
      <c r="CH828" t="s">
        <v>3108</v>
      </c>
    </row>
    <row r="829" spans="1:86" x14ac:dyDescent="0.2">
      <c r="A829" t="s">
        <v>4495</v>
      </c>
      <c r="B829" t="s">
        <v>4495</v>
      </c>
      <c r="C829">
        <v>41280</v>
      </c>
      <c r="D829">
        <v>689</v>
      </c>
      <c r="E829" t="s">
        <v>4033</v>
      </c>
      <c r="F829">
        <v>2900</v>
      </c>
      <c r="G829" t="s">
        <v>822</v>
      </c>
      <c r="H829" t="s">
        <v>3108</v>
      </c>
      <c r="I829" t="s">
        <v>3108</v>
      </c>
      <c r="J829">
        <v>2904</v>
      </c>
      <c r="K829" t="s">
        <v>1690</v>
      </c>
      <c r="L829">
        <v>1200</v>
      </c>
      <c r="M829" t="s">
        <v>2368</v>
      </c>
      <c r="N829">
        <v>1201</v>
      </c>
      <c r="O829" t="s">
        <v>2370</v>
      </c>
      <c r="P829" t="s">
        <v>3108</v>
      </c>
      <c r="Q829" t="s">
        <v>3249</v>
      </c>
      <c r="R829" t="s">
        <v>3249</v>
      </c>
      <c r="S829" t="s">
        <v>810</v>
      </c>
      <c r="T829" t="s">
        <v>2754</v>
      </c>
      <c r="U829" t="s">
        <v>3250</v>
      </c>
      <c r="V829" t="s">
        <v>3250</v>
      </c>
      <c r="W829" t="s">
        <v>3250</v>
      </c>
      <c r="X829" t="s">
        <v>3250</v>
      </c>
      <c r="Y829" t="s">
        <v>3250</v>
      </c>
      <c r="Z829" t="s">
        <v>3250</v>
      </c>
      <c r="AA829" t="s">
        <v>3108</v>
      </c>
      <c r="AB829" t="s">
        <v>3108</v>
      </c>
      <c r="AC829" t="s">
        <v>3250</v>
      </c>
      <c r="AD829" t="s">
        <v>3250</v>
      </c>
      <c r="AE829" t="s">
        <v>3250</v>
      </c>
      <c r="AF829" t="s">
        <v>3250</v>
      </c>
      <c r="AG829" t="s">
        <v>3250</v>
      </c>
      <c r="AH829" t="s">
        <v>3250</v>
      </c>
      <c r="AI829" t="s">
        <v>3250</v>
      </c>
      <c r="AJ829" t="s">
        <v>3250</v>
      </c>
      <c r="AL829" t="s">
        <v>3250</v>
      </c>
      <c r="AM829" t="s">
        <v>3250</v>
      </c>
      <c r="AN829" t="s">
        <v>3250</v>
      </c>
      <c r="AO829" t="s">
        <v>3250</v>
      </c>
      <c r="AS829" t="s">
        <v>3250</v>
      </c>
      <c r="AT829" t="s">
        <v>3250</v>
      </c>
      <c r="AU829" t="s">
        <v>3250</v>
      </c>
      <c r="AV829" t="s">
        <v>3250</v>
      </c>
      <c r="AW829" t="s">
        <v>3250</v>
      </c>
      <c r="AX829" t="s">
        <v>3250</v>
      </c>
      <c r="AY829" t="s">
        <v>3250</v>
      </c>
      <c r="AZ829" t="s">
        <v>3250</v>
      </c>
      <c r="BA829" t="s">
        <v>3250</v>
      </c>
      <c r="BB829" t="s">
        <v>3250</v>
      </c>
      <c r="BC829" t="s">
        <v>3250</v>
      </c>
      <c r="BE829" t="s">
        <v>3250</v>
      </c>
      <c r="BF829" t="s">
        <v>3250</v>
      </c>
      <c r="BG829" t="s">
        <v>3250</v>
      </c>
      <c r="BH829" t="s">
        <v>3250</v>
      </c>
      <c r="BI829" t="s">
        <v>3250</v>
      </c>
      <c r="BK829" t="s">
        <v>3250</v>
      </c>
      <c r="BL829" t="s">
        <v>3250</v>
      </c>
      <c r="BM829" t="s">
        <v>3250</v>
      </c>
      <c r="BN829" t="s">
        <v>3250</v>
      </c>
      <c r="BP829">
        <v>1</v>
      </c>
      <c r="BQ829">
        <v>14</v>
      </c>
      <c r="BR829" t="s">
        <v>2370</v>
      </c>
      <c r="BS829" t="s">
        <v>3252</v>
      </c>
      <c r="BV829">
        <v>0</v>
      </c>
      <c r="BW829">
        <v>2589</v>
      </c>
      <c r="BX829">
        <v>0</v>
      </c>
      <c r="BY829">
        <v>40000</v>
      </c>
      <c r="BZ829">
        <v>10000</v>
      </c>
      <c r="CA829">
        <v>10390</v>
      </c>
      <c r="CB829">
        <v>10806</v>
      </c>
      <c r="CC829">
        <v>11238</v>
      </c>
      <c r="CD829">
        <v>0</v>
      </c>
      <c r="CE829" t="s">
        <v>3108</v>
      </c>
      <c r="CF829" t="s">
        <v>3108</v>
      </c>
      <c r="CG829" t="s">
        <v>3108</v>
      </c>
      <c r="CH829" t="s">
        <v>3108</v>
      </c>
    </row>
    <row r="830" spans="1:86" x14ac:dyDescent="0.2">
      <c r="A830" t="s">
        <v>4496</v>
      </c>
      <c r="B830" t="s">
        <v>4496</v>
      </c>
      <c r="C830">
        <v>41281</v>
      </c>
      <c r="D830">
        <v>690</v>
      </c>
      <c r="E830" t="s">
        <v>4106</v>
      </c>
      <c r="F830">
        <v>2900</v>
      </c>
      <c r="G830" t="s">
        <v>822</v>
      </c>
      <c r="H830" t="s">
        <v>3108</v>
      </c>
      <c r="I830" t="s">
        <v>3108</v>
      </c>
      <c r="J830">
        <v>2904</v>
      </c>
      <c r="K830" t="s">
        <v>1690</v>
      </c>
      <c r="L830">
        <v>1200</v>
      </c>
      <c r="M830" t="s">
        <v>2368</v>
      </c>
      <c r="N830">
        <v>1201</v>
      </c>
      <c r="O830" t="s">
        <v>2370</v>
      </c>
      <c r="P830" t="s">
        <v>3108</v>
      </c>
      <c r="Q830" t="s">
        <v>3249</v>
      </c>
      <c r="R830" t="s">
        <v>3249</v>
      </c>
      <c r="S830" t="s">
        <v>810</v>
      </c>
      <c r="T830" t="s">
        <v>2754</v>
      </c>
      <c r="U830" t="s">
        <v>3250</v>
      </c>
      <c r="V830" t="s">
        <v>3250</v>
      </c>
      <c r="W830" t="s">
        <v>3250</v>
      </c>
      <c r="X830" t="s">
        <v>3250</v>
      </c>
      <c r="Y830" t="s">
        <v>3250</v>
      </c>
      <c r="Z830" t="s">
        <v>3250</v>
      </c>
      <c r="AA830" t="s">
        <v>3108</v>
      </c>
      <c r="AB830" t="s">
        <v>3108</v>
      </c>
      <c r="AC830" t="s">
        <v>3250</v>
      </c>
      <c r="AD830" t="s">
        <v>3250</v>
      </c>
      <c r="AE830" t="s">
        <v>3250</v>
      </c>
      <c r="AF830" t="s">
        <v>3250</v>
      </c>
      <c r="AG830" t="s">
        <v>3250</v>
      </c>
      <c r="AH830" t="s">
        <v>3250</v>
      </c>
      <c r="AI830" t="s">
        <v>3250</v>
      </c>
      <c r="AJ830" t="s">
        <v>3250</v>
      </c>
      <c r="AL830" t="s">
        <v>3250</v>
      </c>
      <c r="AM830" t="s">
        <v>3250</v>
      </c>
      <c r="AN830" t="s">
        <v>3250</v>
      </c>
      <c r="AO830" t="s">
        <v>3250</v>
      </c>
      <c r="AS830" t="s">
        <v>3250</v>
      </c>
      <c r="AT830" t="s">
        <v>3250</v>
      </c>
      <c r="AU830" t="s">
        <v>3250</v>
      </c>
      <c r="AV830" t="s">
        <v>3250</v>
      </c>
      <c r="AW830" t="s">
        <v>3250</v>
      </c>
      <c r="AX830" t="s">
        <v>3250</v>
      </c>
      <c r="AY830" t="s">
        <v>3250</v>
      </c>
      <c r="AZ830" t="s">
        <v>3250</v>
      </c>
      <c r="BA830" t="s">
        <v>3250</v>
      </c>
      <c r="BB830" t="s">
        <v>3250</v>
      </c>
      <c r="BC830" t="s">
        <v>3250</v>
      </c>
      <c r="BE830" t="s">
        <v>3250</v>
      </c>
      <c r="BF830" t="s">
        <v>3250</v>
      </c>
      <c r="BG830" t="s">
        <v>3250</v>
      </c>
      <c r="BH830" t="s">
        <v>3250</v>
      </c>
      <c r="BI830" t="s">
        <v>3250</v>
      </c>
      <c r="BK830" t="s">
        <v>3250</v>
      </c>
      <c r="BL830" t="s">
        <v>3250</v>
      </c>
      <c r="BM830" t="s">
        <v>3250</v>
      </c>
      <c r="BN830" t="s">
        <v>3250</v>
      </c>
      <c r="BP830">
        <v>1</v>
      </c>
      <c r="BQ830">
        <v>14</v>
      </c>
      <c r="BR830" t="s">
        <v>2370</v>
      </c>
      <c r="BS830" t="s">
        <v>3252</v>
      </c>
      <c r="BV830">
        <v>0</v>
      </c>
      <c r="BW830">
        <v>0</v>
      </c>
      <c r="BX830">
        <v>0</v>
      </c>
      <c r="BY830">
        <v>0</v>
      </c>
      <c r="BZ830">
        <v>0</v>
      </c>
      <c r="CA830">
        <v>0</v>
      </c>
      <c r="CB830">
        <v>0</v>
      </c>
      <c r="CC830">
        <v>0</v>
      </c>
      <c r="CD830">
        <v>0</v>
      </c>
      <c r="CE830" t="s">
        <v>3108</v>
      </c>
      <c r="CF830" t="s">
        <v>3108</v>
      </c>
      <c r="CG830" t="s">
        <v>3108</v>
      </c>
      <c r="CH830" t="s">
        <v>3108</v>
      </c>
    </row>
    <row r="831" spans="1:86" x14ac:dyDescent="0.2">
      <c r="A831" t="s">
        <v>4497</v>
      </c>
      <c r="B831" t="s">
        <v>4497</v>
      </c>
      <c r="C831">
        <v>41282</v>
      </c>
      <c r="D831">
        <v>691</v>
      </c>
      <c r="E831" t="s">
        <v>4173</v>
      </c>
      <c r="F831">
        <v>2900</v>
      </c>
      <c r="G831" t="s">
        <v>822</v>
      </c>
      <c r="H831" t="s">
        <v>3108</v>
      </c>
      <c r="I831" t="s">
        <v>3108</v>
      </c>
      <c r="J831">
        <v>2904</v>
      </c>
      <c r="K831" t="s">
        <v>1690</v>
      </c>
      <c r="L831">
        <v>1200</v>
      </c>
      <c r="M831" t="s">
        <v>2368</v>
      </c>
      <c r="N831">
        <v>1201</v>
      </c>
      <c r="O831" t="s">
        <v>2370</v>
      </c>
      <c r="P831" t="s">
        <v>3108</v>
      </c>
      <c r="Q831" t="s">
        <v>3249</v>
      </c>
      <c r="R831" t="s">
        <v>3249</v>
      </c>
      <c r="S831" t="s">
        <v>810</v>
      </c>
      <c r="T831" t="s">
        <v>2754</v>
      </c>
      <c r="U831" t="s">
        <v>3250</v>
      </c>
      <c r="V831" t="s">
        <v>3250</v>
      </c>
      <c r="W831" t="s">
        <v>3250</v>
      </c>
      <c r="X831" t="s">
        <v>3250</v>
      </c>
      <c r="Y831" t="s">
        <v>3250</v>
      </c>
      <c r="Z831" t="s">
        <v>3250</v>
      </c>
      <c r="AA831" t="s">
        <v>3108</v>
      </c>
      <c r="AB831" t="s">
        <v>3108</v>
      </c>
      <c r="AC831" t="s">
        <v>3250</v>
      </c>
      <c r="AD831" t="s">
        <v>3250</v>
      </c>
      <c r="AE831" t="s">
        <v>3250</v>
      </c>
      <c r="AF831" t="s">
        <v>3250</v>
      </c>
      <c r="AG831" t="s">
        <v>3250</v>
      </c>
      <c r="AH831" t="s">
        <v>3250</v>
      </c>
      <c r="AI831" t="s">
        <v>3250</v>
      </c>
      <c r="AJ831" t="s">
        <v>3250</v>
      </c>
      <c r="AL831" t="s">
        <v>3250</v>
      </c>
      <c r="AM831" t="s">
        <v>3250</v>
      </c>
      <c r="AN831" t="s">
        <v>3250</v>
      </c>
      <c r="AO831" t="s">
        <v>3250</v>
      </c>
      <c r="AS831" t="s">
        <v>3250</v>
      </c>
      <c r="AT831" t="s">
        <v>3250</v>
      </c>
      <c r="AU831" t="s">
        <v>3250</v>
      </c>
      <c r="AV831" t="s">
        <v>3250</v>
      </c>
      <c r="AW831" t="s">
        <v>3250</v>
      </c>
      <c r="AX831" t="s">
        <v>3250</v>
      </c>
      <c r="AY831" t="s">
        <v>3250</v>
      </c>
      <c r="AZ831" t="s">
        <v>3250</v>
      </c>
      <c r="BA831" t="s">
        <v>3250</v>
      </c>
      <c r="BB831" t="s">
        <v>3250</v>
      </c>
      <c r="BC831" t="s">
        <v>3250</v>
      </c>
      <c r="BE831" t="s">
        <v>3250</v>
      </c>
      <c r="BF831" t="s">
        <v>3250</v>
      </c>
      <c r="BG831" t="s">
        <v>3250</v>
      </c>
      <c r="BH831" t="s">
        <v>3250</v>
      </c>
      <c r="BI831" t="s">
        <v>3250</v>
      </c>
      <c r="BK831" t="s">
        <v>3250</v>
      </c>
      <c r="BL831" t="s">
        <v>3250</v>
      </c>
      <c r="BM831" t="s">
        <v>3250</v>
      </c>
      <c r="BN831" t="s">
        <v>3250</v>
      </c>
      <c r="BP831">
        <v>1</v>
      </c>
      <c r="BQ831">
        <v>14</v>
      </c>
      <c r="BR831" t="s">
        <v>2370</v>
      </c>
      <c r="BS831" t="s">
        <v>3252</v>
      </c>
      <c r="BV831">
        <v>0</v>
      </c>
      <c r="BW831">
        <v>0</v>
      </c>
      <c r="BX831">
        <v>9269</v>
      </c>
      <c r="BY831">
        <v>0</v>
      </c>
      <c r="BZ831">
        <v>0</v>
      </c>
      <c r="CA831">
        <v>0</v>
      </c>
      <c r="CB831">
        <v>0</v>
      </c>
      <c r="CC831">
        <v>0</v>
      </c>
      <c r="CD831">
        <v>0</v>
      </c>
      <c r="CE831" t="s">
        <v>3108</v>
      </c>
      <c r="CF831" t="s">
        <v>3108</v>
      </c>
      <c r="CG831" t="s">
        <v>3108</v>
      </c>
      <c r="CH831" t="s">
        <v>3108</v>
      </c>
    </row>
    <row r="832" spans="1:86" x14ac:dyDescent="0.2">
      <c r="A832" t="s">
        <v>4498</v>
      </c>
      <c r="B832" t="s">
        <v>4498</v>
      </c>
      <c r="C832">
        <v>41283</v>
      </c>
      <c r="D832">
        <v>692</v>
      </c>
      <c r="E832" t="s">
        <v>4027</v>
      </c>
      <c r="F832">
        <v>2900</v>
      </c>
      <c r="G832" t="s">
        <v>822</v>
      </c>
      <c r="H832" t="s">
        <v>3108</v>
      </c>
      <c r="I832" t="s">
        <v>3108</v>
      </c>
      <c r="J832">
        <v>2904</v>
      </c>
      <c r="K832" t="s">
        <v>1690</v>
      </c>
      <c r="L832">
        <v>1200</v>
      </c>
      <c r="M832" t="s">
        <v>2368</v>
      </c>
      <c r="N832">
        <v>1207</v>
      </c>
      <c r="O832" t="s">
        <v>286</v>
      </c>
      <c r="P832" t="s">
        <v>3108</v>
      </c>
      <c r="Q832" t="s">
        <v>3249</v>
      </c>
      <c r="R832" t="s">
        <v>3249</v>
      </c>
      <c r="S832" t="s">
        <v>810</v>
      </c>
      <c r="T832" t="s">
        <v>2754</v>
      </c>
      <c r="U832" t="s">
        <v>3250</v>
      </c>
      <c r="V832" t="s">
        <v>3250</v>
      </c>
      <c r="W832" t="s">
        <v>3250</v>
      </c>
      <c r="X832" t="s">
        <v>3250</v>
      </c>
      <c r="Y832" t="s">
        <v>3250</v>
      </c>
      <c r="Z832" t="s">
        <v>3250</v>
      </c>
      <c r="AA832" t="s">
        <v>3108</v>
      </c>
      <c r="AB832" t="s">
        <v>3108</v>
      </c>
      <c r="AC832" t="s">
        <v>3250</v>
      </c>
      <c r="AD832" t="s">
        <v>3250</v>
      </c>
      <c r="AE832" t="s">
        <v>3250</v>
      </c>
      <c r="AF832" t="s">
        <v>3250</v>
      </c>
      <c r="AG832" t="s">
        <v>3250</v>
      </c>
      <c r="AH832" t="s">
        <v>3250</v>
      </c>
      <c r="AI832" t="s">
        <v>3250</v>
      </c>
      <c r="AJ832" t="s">
        <v>3250</v>
      </c>
      <c r="AL832" t="s">
        <v>3250</v>
      </c>
      <c r="AM832" t="s">
        <v>3250</v>
      </c>
      <c r="AN832" t="s">
        <v>3250</v>
      </c>
      <c r="AO832" t="s">
        <v>3250</v>
      </c>
      <c r="AS832" t="s">
        <v>3250</v>
      </c>
      <c r="AT832" t="s">
        <v>3250</v>
      </c>
      <c r="AU832" t="s">
        <v>3250</v>
      </c>
      <c r="AV832" t="s">
        <v>3250</v>
      </c>
      <c r="AW832" t="s">
        <v>3250</v>
      </c>
      <c r="AX832" t="s">
        <v>3250</v>
      </c>
      <c r="AY832" t="s">
        <v>3250</v>
      </c>
      <c r="AZ832" t="s">
        <v>3250</v>
      </c>
      <c r="BA832" t="s">
        <v>3250</v>
      </c>
      <c r="BB832" t="s">
        <v>3250</v>
      </c>
      <c r="BC832" t="s">
        <v>3250</v>
      </c>
      <c r="BE832" t="s">
        <v>3250</v>
      </c>
      <c r="BF832" t="s">
        <v>3250</v>
      </c>
      <c r="BG832" t="s">
        <v>3250</v>
      </c>
      <c r="BH832" t="s">
        <v>3250</v>
      </c>
      <c r="BI832" t="s">
        <v>3250</v>
      </c>
      <c r="BK832" t="s">
        <v>3250</v>
      </c>
      <c r="BL832" t="s">
        <v>3250</v>
      </c>
      <c r="BM832" t="s">
        <v>3250</v>
      </c>
      <c r="BN832" t="s">
        <v>3250</v>
      </c>
      <c r="BP832">
        <v>1</v>
      </c>
      <c r="BQ832">
        <v>18</v>
      </c>
      <c r="BR832" t="s">
        <v>286</v>
      </c>
      <c r="BS832" t="s">
        <v>3252</v>
      </c>
      <c r="BV832">
        <v>0</v>
      </c>
      <c r="BW832">
        <v>0</v>
      </c>
      <c r="BX832">
        <v>0</v>
      </c>
      <c r="BY832">
        <v>0</v>
      </c>
      <c r="BZ832">
        <v>0</v>
      </c>
      <c r="CA832">
        <v>0</v>
      </c>
      <c r="CB832">
        <v>0</v>
      </c>
      <c r="CC832">
        <v>0</v>
      </c>
      <c r="CD832">
        <v>0</v>
      </c>
      <c r="CE832" t="s">
        <v>3108</v>
      </c>
      <c r="CF832" t="s">
        <v>3108</v>
      </c>
      <c r="CG832" t="s">
        <v>3108</v>
      </c>
      <c r="CH832" t="s">
        <v>3108</v>
      </c>
    </row>
    <row r="833" spans="1:86" x14ac:dyDescent="0.2">
      <c r="A833" t="s">
        <v>4499</v>
      </c>
      <c r="B833" t="s">
        <v>4499</v>
      </c>
      <c r="C833">
        <v>41284</v>
      </c>
      <c r="D833">
        <v>693</v>
      </c>
      <c r="E833" t="s">
        <v>4099</v>
      </c>
      <c r="F833">
        <v>2900</v>
      </c>
      <c r="G833" t="s">
        <v>822</v>
      </c>
      <c r="H833" t="s">
        <v>3108</v>
      </c>
      <c r="I833" t="s">
        <v>3108</v>
      </c>
      <c r="J833">
        <v>2904</v>
      </c>
      <c r="K833" t="s">
        <v>1690</v>
      </c>
      <c r="L833">
        <v>1200</v>
      </c>
      <c r="M833" t="s">
        <v>2368</v>
      </c>
      <c r="N833">
        <v>1207</v>
      </c>
      <c r="O833" t="s">
        <v>286</v>
      </c>
      <c r="P833" t="s">
        <v>3108</v>
      </c>
      <c r="Q833" t="s">
        <v>3249</v>
      </c>
      <c r="R833" t="s">
        <v>3249</v>
      </c>
      <c r="S833" t="s">
        <v>810</v>
      </c>
      <c r="T833" t="s">
        <v>2754</v>
      </c>
      <c r="U833" t="s">
        <v>3250</v>
      </c>
      <c r="V833" t="s">
        <v>3250</v>
      </c>
      <c r="W833" t="s">
        <v>3250</v>
      </c>
      <c r="X833" t="s">
        <v>3250</v>
      </c>
      <c r="Y833" t="s">
        <v>3250</v>
      </c>
      <c r="Z833" t="s">
        <v>3250</v>
      </c>
      <c r="AA833" t="s">
        <v>3108</v>
      </c>
      <c r="AB833" t="s">
        <v>3108</v>
      </c>
      <c r="AC833" t="s">
        <v>3250</v>
      </c>
      <c r="AD833" t="s">
        <v>3250</v>
      </c>
      <c r="AE833" t="s">
        <v>3250</v>
      </c>
      <c r="AF833" t="s">
        <v>3250</v>
      </c>
      <c r="AG833" t="s">
        <v>3250</v>
      </c>
      <c r="AH833" t="s">
        <v>3250</v>
      </c>
      <c r="AI833" t="s">
        <v>3250</v>
      </c>
      <c r="AJ833" t="s">
        <v>3250</v>
      </c>
      <c r="AL833" t="s">
        <v>3250</v>
      </c>
      <c r="AM833" t="s">
        <v>3250</v>
      </c>
      <c r="AN833" t="s">
        <v>3250</v>
      </c>
      <c r="AO833" t="s">
        <v>3250</v>
      </c>
      <c r="AS833" t="s">
        <v>3250</v>
      </c>
      <c r="AT833" t="s">
        <v>3250</v>
      </c>
      <c r="AU833" t="s">
        <v>3250</v>
      </c>
      <c r="AV833" t="s">
        <v>3250</v>
      </c>
      <c r="AW833" t="s">
        <v>3250</v>
      </c>
      <c r="AX833" t="s">
        <v>3250</v>
      </c>
      <c r="AY833" t="s">
        <v>3250</v>
      </c>
      <c r="AZ833" t="s">
        <v>3250</v>
      </c>
      <c r="BA833" t="s">
        <v>3250</v>
      </c>
      <c r="BB833" t="s">
        <v>3250</v>
      </c>
      <c r="BC833" t="s">
        <v>3250</v>
      </c>
      <c r="BE833" t="s">
        <v>3250</v>
      </c>
      <c r="BF833" t="s">
        <v>3250</v>
      </c>
      <c r="BG833" t="s">
        <v>3250</v>
      </c>
      <c r="BH833" t="s">
        <v>3250</v>
      </c>
      <c r="BI833" t="s">
        <v>3250</v>
      </c>
      <c r="BK833" t="s">
        <v>3250</v>
      </c>
      <c r="BL833" t="s">
        <v>3250</v>
      </c>
      <c r="BM833" t="s">
        <v>3250</v>
      </c>
      <c r="BN833" t="s">
        <v>3250</v>
      </c>
      <c r="BP833">
        <v>1</v>
      </c>
      <c r="BQ833">
        <v>18</v>
      </c>
      <c r="BR833" t="s">
        <v>286</v>
      </c>
      <c r="BS833" t="s">
        <v>3252</v>
      </c>
      <c r="BV833">
        <v>0</v>
      </c>
      <c r="BW833">
        <v>0</v>
      </c>
      <c r="BX833">
        <v>0</v>
      </c>
      <c r="BY833">
        <v>0</v>
      </c>
      <c r="BZ833">
        <v>0</v>
      </c>
      <c r="CA833">
        <v>0</v>
      </c>
      <c r="CB833">
        <v>0</v>
      </c>
      <c r="CC833">
        <v>0</v>
      </c>
      <c r="CD833">
        <v>0</v>
      </c>
      <c r="CE833" t="s">
        <v>3108</v>
      </c>
      <c r="CF833" t="s">
        <v>3108</v>
      </c>
      <c r="CG833" t="s">
        <v>3108</v>
      </c>
      <c r="CH833" t="s">
        <v>3108</v>
      </c>
    </row>
    <row r="834" spans="1:86" x14ac:dyDescent="0.2">
      <c r="A834" t="s">
        <v>4500</v>
      </c>
      <c r="B834" t="s">
        <v>4500</v>
      </c>
      <c r="C834">
        <v>41285</v>
      </c>
      <c r="D834">
        <v>694</v>
      </c>
      <c r="E834" t="s">
        <v>4031</v>
      </c>
      <c r="F834">
        <v>2900</v>
      </c>
      <c r="G834" t="s">
        <v>822</v>
      </c>
      <c r="H834" t="s">
        <v>3108</v>
      </c>
      <c r="I834" t="s">
        <v>3108</v>
      </c>
      <c r="J834">
        <v>2904</v>
      </c>
      <c r="K834" t="s">
        <v>1690</v>
      </c>
      <c r="L834">
        <v>1200</v>
      </c>
      <c r="M834" t="s">
        <v>2368</v>
      </c>
      <c r="N834">
        <v>1207</v>
      </c>
      <c r="O834" t="s">
        <v>286</v>
      </c>
      <c r="P834" t="s">
        <v>3108</v>
      </c>
      <c r="Q834" t="s">
        <v>3249</v>
      </c>
      <c r="R834" t="s">
        <v>3249</v>
      </c>
      <c r="S834" t="s">
        <v>810</v>
      </c>
      <c r="T834" t="s">
        <v>2754</v>
      </c>
      <c r="U834" t="s">
        <v>3250</v>
      </c>
      <c r="V834" t="s">
        <v>3250</v>
      </c>
      <c r="W834" t="s">
        <v>3250</v>
      </c>
      <c r="X834" t="s">
        <v>3250</v>
      </c>
      <c r="Y834" t="s">
        <v>3250</v>
      </c>
      <c r="Z834" t="s">
        <v>3250</v>
      </c>
      <c r="AA834" t="s">
        <v>3108</v>
      </c>
      <c r="AB834" t="s">
        <v>3108</v>
      </c>
      <c r="AC834" t="s">
        <v>3250</v>
      </c>
      <c r="AD834" t="s">
        <v>3250</v>
      </c>
      <c r="AE834" t="s">
        <v>3250</v>
      </c>
      <c r="AF834" t="s">
        <v>3250</v>
      </c>
      <c r="AG834" t="s">
        <v>3250</v>
      </c>
      <c r="AH834" t="s">
        <v>3250</v>
      </c>
      <c r="AI834" t="s">
        <v>3250</v>
      </c>
      <c r="AJ834" t="s">
        <v>3250</v>
      </c>
      <c r="AL834" t="s">
        <v>3250</v>
      </c>
      <c r="AM834" t="s">
        <v>3250</v>
      </c>
      <c r="AN834" t="s">
        <v>3250</v>
      </c>
      <c r="AO834" t="s">
        <v>3250</v>
      </c>
      <c r="AS834" t="s">
        <v>3250</v>
      </c>
      <c r="AT834" t="s">
        <v>3250</v>
      </c>
      <c r="AU834" t="s">
        <v>3250</v>
      </c>
      <c r="AV834" t="s">
        <v>3250</v>
      </c>
      <c r="AW834" t="s">
        <v>3250</v>
      </c>
      <c r="AX834" t="s">
        <v>3250</v>
      </c>
      <c r="AY834" t="s">
        <v>3250</v>
      </c>
      <c r="AZ834" t="s">
        <v>3250</v>
      </c>
      <c r="BA834" t="s">
        <v>3250</v>
      </c>
      <c r="BB834" t="s">
        <v>3250</v>
      </c>
      <c r="BC834" t="s">
        <v>3250</v>
      </c>
      <c r="BE834" t="s">
        <v>3250</v>
      </c>
      <c r="BF834" t="s">
        <v>3250</v>
      </c>
      <c r="BG834" t="s">
        <v>3250</v>
      </c>
      <c r="BH834" t="s">
        <v>3250</v>
      </c>
      <c r="BI834" t="s">
        <v>3250</v>
      </c>
      <c r="BK834" t="s">
        <v>3250</v>
      </c>
      <c r="BL834" t="s">
        <v>3250</v>
      </c>
      <c r="BM834" t="s">
        <v>3250</v>
      </c>
      <c r="BN834" t="s">
        <v>3250</v>
      </c>
      <c r="BP834">
        <v>1</v>
      </c>
      <c r="BQ834">
        <v>18</v>
      </c>
      <c r="BR834" t="s">
        <v>286</v>
      </c>
      <c r="BS834" t="s">
        <v>3252</v>
      </c>
      <c r="BV834">
        <v>0</v>
      </c>
      <c r="BW834">
        <v>0</v>
      </c>
      <c r="BX834">
        <v>40716</v>
      </c>
      <c r="BY834">
        <v>0</v>
      </c>
      <c r="BZ834">
        <v>0</v>
      </c>
      <c r="CA834">
        <v>0</v>
      </c>
      <c r="CB834">
        <v>0</v>
      </c>
      <c r="CC834">
        <v>0</v>
      </c>
      <c r="CD834">
        <v>0</v>
      </c>
      <c r="CE834" t="s">
        <v>3108</v>
      </c>
      <c r="CF834" t="s">
        <v>3108</v>
      </c>
      <c r="CG834" t="s">
        <v>3108</v>
      </c>
      <c r="CH834" t="s">
        <v>3108</v>
      </c>
    </row>
    <row r="835" spans="1:86" x14ac:dyDescent="0.2">
      <c r="A835" t="s">
        <v>4501</v>
      </c>
      <c r="B835" t="s">
        <v>4501</v>
      </c>
      <c r="C835">
        <v>41286</v>
      </c>
      <c r="D835">
        <v>695</v>
      </c>
      <c r="E835" t="s">
        <v>4033</v>
      </c>
      <c r="F835">
        <v>2900</v>
      </c>
      <c r="G835" t="s">
        <v>822</v>
      </c>
      <c r="H835" t="s">
        <v>3108</v>
      </c>
      <c r="I835" t="s">
        <v>3108</v>
      </c>
      <c r="J835">
        <v>2904</v>
      </c>
      <c r="K835" t="s">
        <v>1690</v>
      </c>
      <c r="L835">
        <v>1200</v>
      </c>
      <c r="M835" t="s">
        <v>2368</v>
      </c>
      <c r="N835">
        <v>1207</v>
      </c>
      <c r="O835" t="s">
        <v>286</v>
      </c>
      <c r="P835" t="s">
        <v>3108</v>
      </c>
      <c r="Q835" t="s">
        <v>3249</v>
      </c>
      <c r="R835" t="s">
        <v>3249</v>
      </c>
      <c r="S835" t="s">
        <v>810</v>
      </c>
      <c r="T835" t="s">
        <v>2754</v>
      </c>
      <c r="U835" t="s">
        <v>3250</v>
      </c>
      <c r="V835" t="s">
        <v>3250</v>
      </c>
      <c r="W835" t="s">
        <v>3250</v>
      </c>
      <c r="X835" t="s">
        <v>3250</v>
      </c>
      <c r="Y835" t="s">
        <v>3250</v>
      </c>
      <c r="Z835" t="s">
        <v>3250</v>
      </c>
      <c r="AA835" t="s">
        <v>3108</v>
      </c>
      <c r="AB835" t="s">
        <v>3108</v>
      </c>
      <c r="AC835" t="s">
        <v>3250</v>
      </c>
      <c r="AD835" t="s">
        <v>3250</v>
      </c>
      <c r="AE835" t="s">
        <v>3250</v>
      </c>
      <c r="AF835" t="s">
        <v>3250</v>
      </c>
      <c r="AG835" t="s">
        <v>3250</v>
      </c>
      <c r="AH835" t="s">
        <v>3250</v>
      </c>
      <c r="AI835" t="s">
        <v>3250</v>
      </c>
      <c r="AJ835" t="s">
        <v>3250</v>
      </c>
      <c r="AL835" t="s">
        <v>3250</v>
      </c>
      <c r="AM835" t="s">
        <v>3250</v>
      </c>
      <c r="AN835" t="s">
        <v>3250</v>
      </c>
      <c r="AO835" t="s">
        <v>3250</v>
      </c>
      <c r="AS835" t="s">
        <v>3250</v>
      </c>
      <c r="AT835" t="s">
        <v>3250</v>
      </c>
      <c r="AU835" t="s">
        <v>3250</v>
      </c>
      <c r="AV835" t="s">
        <v>3250</v>
      </c>
      <c r="AW835" t="s">
        <v>3250</v>
      </c>
      <c r="AX835" t="s">
        <v>3250</v>
      </c>
      <c r="AY835" t="s">
        <v>3250</v>
      </c>
      <c r="AZ835" t="s">
        <v>3250</v>
      </c>
      <c r="BA835" t="s">
        <v>3250</v>
      </c>
      <c r="BB835" t="s">
        <v>3250</v>
      </c>
      <c r="BC835" t="s">
        <v>3250</v>
      </c>
      <c r="BE835" t="s">
        <v>3250</v>
      </c>
      <c r="BF835" t="s">
        <v>3250</v>
      </c>
      <c r="BG835" t="s">
        <v>3250</v>
      </c>
      <c r="BH835" t="s">
        <v>3250</v>
      </c>
      <c r="BI835" t="s">
        <v>3250</v>
      </c>
      <c r="BK835" t="s">
        <v>3250</v>
      </c>
      <c r="BL835" t="s">
        <v>3250</v>
      </c>
      <c r="BM835" t="s">
        <v>3250</v>
      </c>
      <c r="BN835" t="s">
        <v>3250</v>
      </c>
      <c r="BP835">
        <v>1</v>
      </c>
      <c r="BQ835">
        <v>18</v>
      </c>
      <c r="BR835" t="s">
        <v>286</v>
      </c>
      <c r="BS835" t="s">
        <v>3252</v>
      </c>
      <c r="BV835">
        <v>0</v>
      </c>
      <c r="BW835">
        <v>0</v>
      </c>
      <c r="BX835">
        <v>0</v>
      </c>
      <c r="BY835">
        <v>0</v>
      </c>
      <c r="BZ835">
        <v>0</v>
      </c>
      <c r="CA835">
        <v>0</v>
      </c>
      <c r="CB835">
        <v>0</v>
      </c>
      <c r="CC835">
        <v>0</v>
      </c>
      <c r="CD835">
        <v>0</v>
      </c>
      <c r="CE835" t="s">
        <v>3108</v>
      </c>
      <c r="CF835" t="s">
        <v>3108</v>
      </c>
      <c r="CG835" t="s">
        <v>3108</v>
      </c>
      <c r="CH835" t="s">
        <v>3108</v>
      </c>
    </row>
    <row r="836" spans="1:86" x14ac:dyDescent="0.2">
      <c r="A836" t="s">
        <v>4502</v>
      </c>
      <c r="B836" t="s">
        <v>4502</v>
      </c>
      <c r="C836">
        <v>41287</v>
      </c>
      <c r="D836">
        <v>696</v>
      </c>
      <c r="E836" t="s">
        <v>4106</v>
      </c>
      <c r="F836">
        <v>2900</v>
      </c>
      <c r="G836" t="s">
        <v>822</v>
      </c>
      <c r="H836" t="s">
        <v>3108</v>
      </c>
      <c r="I836" t="s">
        <v>3108</v>
      </c>
      <c r="J836">
        <v>2904</v>
      </c>
      <c r="K836" t="s">
        <v>1690</v>
      </c>
      <c r="L836">
        <v>1200</v>
      </c>
      <c r="M836" t="s">
        <v>2368</v>
      </c>
      <c r="N836">
        <v>1207</v>
      </c>
      <c r="O836" t="s">
        <v>286</v>
      </c>
      <c r="P836" t="s">
        <v>3108</v>
      </c>
      <c r="Q836" t="s">
        <v>3249</v>
      </c>
      <c r="R836" t="s">
        <v>3249</v>
      </c>
      <c r="S836" t="s">
        <v>810</v>
      </c>
      <c r="T836" t="s">
        <v>2754</v>
      </c>
      <c r="U836" t="s">
        <v>3250</v>
      </c>
      <c r="V836" t="s">
        <v>3250</v>
      </c>
      <c r="W836" t="s">
        <v>3250</v>
      </c>
      <c r="X836" t="s">
        <v>3250</v>
      </c>
      <c r="Y836" t="s">
        <v>3250</v>
      </c>
      <c r="Z836" t="s">
        <v>3250</v>
      </c>
      <c r="AA836" t="s">
        <v>3108</v>
      </c>
      <c r="AB836" t="s">
        <v>3108</v>
      </c>
      <c r="AC836" t="s">
        <v>3250</v>
      </c>
      <c r="AD836" t="s">
        <v>3250</v>
      </c>
      <c r="AE836" t="s">
        <v>3250</v>
      </c>
      <c r="AF836" t="s">
        <v>3250</v>
      </c>
      <c r="AG836" t="s">
        <v>3250</v>
      </c>
      <c r="AH836" t="s">
        <v>3250</v>
      </c>
      <c r="AI836" t="s">
        <v>3250</v>
      </c>
      <c r="AJ836" t="s">
        <v>3250</v>
      </c>
      <c r="AL836" t="s">
        <v>3250</v>
      </c>
      <c r="AM836" t="s">
        <v>3250</v>
      </c>
      <c r="AN836" t="s">
        <v>3250</v>
      </c>
      <c r="AO836" t="s">
        <v>3250</v>
      </c>
      <c r="AS836" t="s">
        <v>3250</v>
      </c>
      <c r="AT836" t="s">
        <v>3250</v>
      </c>
      <c r="AU836" t="s">
        <v>3250</v>
      </c>
      <c r="AV836" t="s">
        <v>3250</v>
      </c>
      <c r="AW836" t="s">
        <v>3250</v>
      </c>
      <c r="AX836" t="s">
        <v>3250</v>
      </c>
      <c r="AY836" t="s">
        <v>3250</v>
      </c>
      <c r="AZ836" t="s">
        <v>3250</v>
      </c>
      <c r="BA836" t="s">
        <v>3250</v>
      </c>
      <c r="BB836" t="s">
        <v>3250</v>
      </c>
      <c r="BC836" t="s">
        <v>3250</v>
      </c>
      <c r="BE836" t="s">
        <v>3250</v>
      </c>
      <c r="BF836" t="s">
        <v>3250</v>
      </c>
      <c r="BG836" t="s">
        <v>3250</v>
      </c>
      <c r="BH836" t="s">
        <v>3250</v>
      </c>
      <c r="BI836" t="s">
        <v>3250</v>
      </c>
      <c r="BK836" t="s">
        <v>3250</v>
      </c>
      <c r="BL836" t="s">
        <v>3250</v>
      </c>
      <c r="BM836" t="s">
        <v>3250</v>
      </c>
      <c r="BN836" t="s">
        <v>3250</v>
      </c>
      <c r="BP836">
        <v>1</v>
      </c>
      <c r="BQ836">
        <v>18</v>
      </c>
      <c r="BR836" t="s">
        <v>286</v>
      </c>
      <c r="BS836" t="s">
        <v>3252</v>
      </c>
      <c r="BV836">
        <v>0</v>
      </c>
      <c r="BW836">
        <v>0</v>
      </c>
      <c r="BX836">
        <v>0</v>
      </c>
      <c r="BY836">
        <v>0</v>
      </c>
      <c r="BZ836">
        <v>0</v>
      </c>
      <c r="CA836">
        <v>0</v>
      </c>
      <c r="CB836">
        <v>0</v>
      </c>
      <c r="CC836">
        <v>0</v>
      </c>
      <c r="CD836">
        <v>0</v>
      </c>
      <c r="CE836" t="s">
        <v>3108</v>
      </c>
      <c r="CF836" t="s">
        <v>3108</v>
      </c>
      <c r="CG836" t="s">
        <v>3108</v>
      </c>
      <c r="CH836" t="s">
        <v>3108</v>
      </c>
    </row>
    <row r="837" spans="1:86" x14ac:dyDescent="0.2">
      <c r="A837" t="s">
        <v>4503</v>
      </c>
      <c r="B837" t="s">
        <v>4503</v>
      </c>
      <c r="C837">
        <v>41288</v>
      </c>
      <c r="D837">
        <v>697</v>
      </c>
      <c r="E837" t="s">
        <v>4504</v>
      </c>
      <c r="F837">
        <v>2900</v>
      </c>
      <c r="G837" t="s">
        <v>822</v>
      </c>
      <c r="H837" t="s">
        <v>3108</v>
      </c>
      <c r="I837" t="s">
        <v>3108</v>
      </c>
      <c r="J837">
        <v>2904</v>
      </c>
      <c r="K837" t="s">
        <v>1690</v>
      </c>
      <c r="L837">
        <v>1200</v>
      </c>
      <c r="M837" t="s">
        <v>2368</v>
      </c>
      <c r="N837">
        <v>1205</v>
      </c>
      <c r="O837" t="s">
        <v>2372</v>
      </c>
      <c r="P837" t="s">
        <v>3108</v>
      </c>
      <c r="Q837" t="s">
        <v>3249</v>
      </c>
      <c r="R837" t="s">
        <v>3249</v>
      </c>
      <c r="S837" t="s">
        <v>810</v>
      </c>
      <c r="T837" t="s">
        <v>2754</v>
      </c>
      <c r="U837" t="s">
        <v>3250</v>
      </c>
      <c r="V837" t="s">
        <v>3250</v>
      </c>
      <c r="W837" t="s">
        <v>3250</v>
      </c>
      <c r="X837" t="s">
        <v>3250</v>
      </c>
      <c r="Y837" t="s">
        <v>3250</v>
      </c>
      <c r="Z837" t="s">
        <v>3250</v>
      </c>
      <c r="AA837" t="s">
        <v>3108</v>
      </c>
      <c r="AB837" t="s">
        <v>3108</v>
      </c>
      <c r="AC837" t="s">
        <v>3250</v>
      </c>
      <c r="AD837" t="s">
        <v>3250</v>
      </c>
      <c r="AE837" t="s">
        <v>3250</v>
      </c>
      <c r="AF837" t="s">
        <v>3250</v>
      </c>
      <c r="AG837" t="s">
        <v>3250</v>
      </c>
      <c r="AH837" t="s">
        <v>3250</v>
      </c>
      <c r="AI837" t="s">
        <v>3250</v>
      </c>
      <c r="AJ837" t="s">
        <v>3250</v>
      </c>
      <c r="AL837" t="s">
        <v>3250</v>
      </c>
      <c r="AM837" t="s">
        <v>3250</v>
      </c>
      <c r="AN837" t="s">
        <v>3250</v>
      </c>
      <c r="AO837" t="s">
        <v>3250</v>
      </c>
      <c r="AS837" t="s">
        <v>3250</v>
      </c>
      <c r="AT837" t="s">
        <v>3250</v>
      </c>
      <c r="AU837" t="s">
        <v>3250</v>
      </c>
      <c r="AV837" t="s">
        <v>3250</v>
      </c>
      <c r="AW837" t="s">
        <v>3250</v>
      </c>
      <c r="AX837" t="s">
        <v>3250</v>
      </c>
      <c r="AY837" t="s">
        <v>3250</v>
      </c>
      <c r="AZ837" t="s">
        <v>3250</v>
      </c>
      <c r="BA837" t="s">
        <v>3250</v>
      </c>
      <c r="BB837" t="s">
        <v>3250</v>
      </c>
      <c r="BC837" t="s">
        <v>3250</v>
      </c>
      <c r="BE837" t="s">
        <v>3250</v>
      </c>
      <c r="BF837" t="s">
        <v>3250</v>
      </c>
      <c r="BG837" t="s">
        <v>3250</v>
      </c>
      <c r="BH837" t="s">
        <v>3250</v>
      </c>
      <c r="BI837" t="s">
        <v>3250</v>
      </c>
      <c r="BK837" t="s">
        <v>3250</v>
      </c>
      <c r="BL837" t="s">
        <v>3250</v>
      </c>
      <c r="BM837" t="s">
        <v>3250</v>
      </c>
      <c r="BN837" t="s">
        <v>3250</v>
      </c>
      <c r="BP837">
        <v>1</v>
      </c>
      <c r="BQ837">
        <v>12</v>
      </c>
      <c r="BR837" t="s">
        <v>2372</v>
      </c>
      <c r="BS837" t="s">
        <v>3252</v>
      </c>
      <c r="BV837">
        <v>2272</v>
      </c>
      <c r="BW837">
        <v>0</v>
      </c>
      <c r="BX837">
        <v>43988</v>
      </c>
      <c r="BY837">
        <v>0</v>
      </c>
      <c r="BZ837">
        <v>0</v>
      </c>
      <c r="CA837">
        <v>0</v>
      </c>
      <c r="CB837">
        <v>0</v>
      </c>
      <c r="CC837">
        <v>0</v>
      </c>
      <c r="CD837">
        <v>0</v>
      </c>
      <c r="CE837" t="s">
        <v>3108</v>
      </c>
      <c r="CF837" t="s">
        <v>3108</v>
      </c>
      <c r="CG837" t="s">
        <v>3108</v>
      </c>
      <c r="CH837" t="s">
        <v>3108</v>
      </c>
    </row>
    <row r="838" spans="1:86" x14ac:dyDescent="0.2">
      <c r="A838" t="s">
        <v>4505</v>
      </c>
      <c r="B838" t="s">
        <v>4505</v>
      </c>
      <c r="C838">
        <v>41289</v>
      </c>
      <c r="D838">
        <v>698</v>
      </c>
      <c r="E838" t="s">
        <v>4506</v>
      </c>
      <c r="F838">
        <v>2900</v>
      </c>
      <c r="G838" t="s">
        <v>822</v>
      </c>
      <c r="H838" t="s">
        <v>3108</v>
      </c>
      <c r="I838" t="s">
        <v>3108</v>
      </c>
      <c r="J838">
        <v>2904</v>
      </c>
      <c r="K838" t="s">
        <v>1690</v>
      </c>
      <c r="L838">
        <v>1200</v>
      </c>
      <c r="M838" t="s">
        <v>2368</v>
      </c>
      <c r="N838">
        <v>1201</v>
      </c>
      <c r="O838" t="s">
        <v>2370</v>
      </c>
      <c r="P838" t="s">
        <v>3108</v>
      </c>
      <c r="Q838" t="s">
        <v>3249</v>
      </c>
      <c r="R838" t="s">
        <v>3249</v>
      </c>
      <c r="S838" t="s">
        <v>810</v>
      </c>
      <c r="T838" t="s">
        <v>2754</v>
      </c>
      <c r="U838" t="s">
        <v>3250</v>
      </c>
      <c r="V838" t="s">
        <v>3250</v>
      </c>
      <c r="W838" t="s">
        <v>3250</v>
      </c>
      <c r="X838" t="s">
        <v>3250</v>
      </c>
      <c r="Y838" t="s">
        <v>3250</v>
      </c>
      <c r="Z838" t="s">
        <v>3250</v>
      </c>
      <c r="AA838" t="s">
        <v>3108</v>
      </c>
      <c r="AB838" t="s">
        <v>3108</v>
      </c>
      <c r="AC838" t="s">
        <v>3250</v>
      </c>
      <c r="AD838" t="s">
        <v>3250</v>
      </c>
      <c r="AE838" t="s">
        <v>3250</v>
      </c>
      <c r="AF838" t="s">
        <v>3250</v>
      </c>
      <c r="AG838" t="s">
        <v>3250</v>
      </c>
      <c r="AH838" t="s">
        <v>3250</v>
      </c>
      <c r="AI838" t="s">
        <v>3250</v>
      </c>
      <c r="AJ838" t="s">
        <v>3250</v>
      </c>
      <c r="AL838" t="s">
        <v>3250</v>
      </c>
      <c r="AM838" t="s">
        <v>3250</v>
      </c>
      <c r="AN838" t="s">
        <v>3250</v>
      </c>
      <c r="AO838" t="s">
        <v>3250</v>
      </c>
      <c r="AS838" t="s">
        <v>3250</v>
      </c>
      <c r="AT838" t="s">
        <v>3250</v>
      </c>
      <c r="AU838" t="s">
        <v>3250</v>
      </c>
      <c r="AV838" t="s">
        <v>3250</v>
      </c>
      <c r="AW838" t="s">
        <v>3250</v>
      </c>
      <c r="AX838" t="s">
        <v>3250</v>
      </c>
      <c r="AY838" t="s">
        <v>3250</v>
      </c>
      <c r="AZ838" t="s">
        <v>3250</v>
      </c>
      <c r="BA838" t="s">
        <v>3250</v>
      </c>
      <c r="BB838" t="s">
        <v>3250</v>
      </c>
      <c r="BC838" t="s">
        <v>3250</v>
      </c>
      <c r="BE838" t="s">
        <v>3250</v>
      </c>
      <c r="BF838" t="s">
        <v>3250</v>
      </c>
      <c r="BG838" t="s">
        <v>3250</v>
      </c>
      <c r="BH838" t="s">
        <v>3250</v>
      </c>
      <c r="BI838" t="s">
        <v>3250</v>
      </c>
      <c r="BK838" t="s">
        <v>3250</v>
      </c>
      <c r="BL838" t="s">
        <v>3250</v>
      </c>
      <c r="BM838" t="s">
        <v>3250</v>
      </c>
      <c r="BN838" t="s">
        <v>3250</v>
      </c>
      <c r="BP838">
        <v>1</v>
      </c>
      <c r="BQ838">
        <v>14</v>
      </c>
      <c r="BR838" t="s">
        <v>2370</v>
      </c>
      <c r="BS838" t="s">
        <v>3252</v>
      </c>
      <c r="BV838">
        <v>814000</v>
      </c>
      <c r="BW838">
        <v>0</v>
      </c>
      <c r="BX838">
        <v>0</v>
      </c>
      <c r="BY838">
        <v>840000</v>
      </c>
      <c r="BZ838">
        <v>840000</v>
      </c>
      <c r="CA838">
        <v>840000</v>
      </c>
      <c r="CB838">
        <v>840000</v>
      </c>
      <c r="CC838">
        <v>840000</v>
      </c>
      <c r="CD838">
        <v>70000</v>
      </c>
      <c r="CE838" t="s">
        <v>3108</v>
      </c>
      <c r="CF838" t="s">
        <v>3108</v>
      </c>
      <c r="CG838" t="s">
        <v>3108</v>
      </c>
      <c r="CH838" t="s">
        <v>3108</v>
      </c>
    </row>
    <row r="839" spans="1:86" x14ac:dyDescent="0.2">
      <c r="A839" t="s">
        <v>4507</v>
      </c>
      <c r="B839" t="s">
        <v>4507</v>
      </c>
      <c r="C839">
        <v>41291</v>
      </c>
      <c r="D839">
        <v>699</v>
      </c>
      <c r="E839" t="s">
        <v>4508</v>
      </c>
      <c r="F839">
        <v>2900</v>
      </c>
      <c r="G839" t="s">
        <v>822</v>
      </c>
      <c r="H839" t="s">
        <v>3108</v>
      </c>
      <c r="I839" t="s">
        <v>3108</v>
      </c>
      <c r="J839">
        <v>2904</v>
      </c>
      <c r="K839" t="s">
        <v>1690</v>
      </c>
      <c r="L839">
        <v>1200</v>
      </c>
      <c r="M839" t="s">
        <v>2368</v>
      </c>
      <c r="N839">
        <v>1207</v>
      </c>
      <c r="O839" t="s">
        <v>286</v>
      </c>
      <c r="P839" t="s">
        <v>3108</v>
      </c>
      <c r="Q839" t="s">
        <v>3249</v>
      </c>
      <c r="R839" t="s">
        <v>3249</v>
      </c>
      <c r="S839" t="s">
        <v>810</v>
      </c>
      <c r="T839" t="s">
        <v>2754</v>
      </c>
      <c r="U839" t="s">
        <v>3250</v>
      </c>
      <c r="V839" t="s">
        <v>3250</v>
      </c>
      <c r="W839" t="s">
        <v>3250</v>
      </c>
      <c r="X839" t="s">
        <v>3250</v>
      </c>
      <c r="Y839" t="s">
        <v>3250</v>
      </c>
      <c r="Z839" t="s">
        <v>3250</v>
      </c>
      <c r="AA839" t="s">
        <v>3108</v>
      </c>
      <c r="AB839" t="s">
        <v>3108</v>
      </c>
      <c r="AC839" t="s">
        <v>3250</v>
      </c>
      <c r="AD839" t="s">
        <v>3250</v>
      </c>
      <c r="AE839" t="s">
        <v>3250</v>
      </c>
      <c r="AF839" t="s">
        <v>3250</v>
      </c>
      <c r="AG839" t="s">
        <v>3250</v>
      </c>
      <c r="AH839" t="s">
        <v>3250</v>
      </c>
      <c r="AI839" t="s">
        <v>3250</v>
      </c>
      <c r="AJ839" t="s">
        <v>3250</v>
      </c>
      <c r="AL839" t="s">
        <v>3250</v>
      </c>
      <c r="AM839" t="s">
        <v>3250</v>
      </c>
      <c r="AN839" t="s">
        <v>3250</v>
      </c>
      <c r="AO839" t="s">
        <v>3250</v>
      </c>
      <c r="AS839" t="s">
        <v>3250</v>
      </c>
      <c r="AT839" t="s">
        <v>3250</v>
      </c>
      <c r="AU839" t="s">
        <v>3250</v>
      </c>
      <c r="AV839" t="s">
        <v>3250</v>
      </c>
      <c r="AW839" t="s">
        <v>3250</v>
      </c>
      <c r="AX839" t="s">
        <v>3250</v>
      </c>
      <c r="AY839" t="s">
        <v>3250</v>
      </c>
      <c r="AZ839" t="s">
        <v>3250</v>
      </c>
      <c r="BA839" t="s">
        <v>3250</v>
      </c>
      <c r="BB839" t="s">
        <v>3250</v>
      </c>
      <c r="BC839" t="s">
        <v>3250</v>
      </c>
      <c r="BE839" t="s">
        <v>3250</v>
      </c>
      <c r="BF839" t="s">
        <v>3250</v>
      </c>
      <c r="BG839" t="s">
        <v>3250</v>
      </c>
      <c r="BH839" t="s">
        <v>3250</v>
      </c>
      <c r="BI839" t="s">
        <v>3250</v>
      </c>
      <c r="BK839" t="s">
        <v>3250</v>
      </c>
      <c r="BL839" t="s">
        <v>3250</v>
      </c>
      <c r="BM839" t="s">
        <v>3250</v>
      </c>
      <c r="BN839" t="s">
        <v>3250</v>
      </c>
      <c r="BP839">
        <v>1</v>
      </c>
      <c r="BQ839">
        <v>18</v>
      </c>
      <c r="BR839" t="s">
        <v>286</v>
      </c>
      <c r="BS839" t="s">
        <v>3252</v>
      </c>
      <c r="BV839">
        <v>12269</v>
      </c>
      <c r="BW839">
        <v>0</v>
      </c>
      <c r="BX839">
        <v>0</v>
      </c>
      <c r="BY839">
        <v>0</v>
      </c>
      <c r="BZ839">
        <v>0</v>
      </c>
      <c r="CA839">
        <v>0</v>
      </c>
      <c r="CB839">
        <v>0</v>
      </c>
      <c r="CC839">
        <v>0</v>
      </c>
      <c r="CD839">
        <v>0</v>
      </c>
      <c r="CE839" t="s">
        <v>3108</v>
      </c>
      <c r="CF839" t="s">
        <v>3108</v>
      </c>
      <c r="CG839" t="s">
        <v>3108</v>
      </c>
      <c r="CH839" t="s">
        <v>3108</v>
      </c>
    </row>
    <row r="840" spans="1:86" x14ac:dyDescent="0.2">
      <c r="A840" t="s">
        <v>4509</v>
      </c>
      <c r="B840" t="s">
        <v>4509</v>
      </c>
      <c r="C840">
        <v>41292</v>
      </c>
      <c r="D840">
        <v>700</v>
      </c>
      <c r="E840" t="s">
        <v>4510</v>
      </c>
      <c r="F840">
        <v>2900</v>
      </c>
      <c r="G840" t="s">
        <v>822</v>
      </c>
      <c r="H840" t="s">
        <v>3108</v>
      </c>
      <c r="I840" t="s">
        <v>3108</v>
      </c>
      <c r="J840">
        <v>2904</v>
      </c>
      <c r="K840" t="s">
        <v>1690</v>
      </c>
      <c r="L840">
        <v>1200</v>
      </c>
      <c r="M840" t="s">
        <v>2368</v>
      </c>
      <c r="N840">
        <v>1207</v>
      </c>
      <c r="O840" t="s">
        <v>286</v>
      </c>
      <c r="P840" t="s">
        <v>3108</v>
      </c>
      <c r="Q840" t="s">
        <v>3249</v>
      </c>
      <c r="R840" t="s">
        <v>3249</v>
      </c>
      <c r="S840" t="s">
        <v>810</v>
      </c>
      <c r="T840" t="s">
        <v>2754</v>
      </c>
      <c r="U840" t="s">
        <v>3250</v>
      </c>
      <c r="V840" t="s">
        <v>3250</v>
      </c>
      <c r="W840" t="s">
        <v>3250</v>
      </c>
      <c r="X840" t="s">
        <v>3250</v>
      </c>
      <c r="Y840" t="s">
        <v>3250</v>
      </c>
      <c r="Z840" t="s">
        <v>3250</v>
      </c>
      <c r="AA840" t="s">
        <v>3108</v>
      </c>
      <c r="AB840" t="s">
        <v>3108</v>
      </c>
      <c r="AC840" t="s">
        <v>3250</v>
      </c>
      <c r="AD840" t="s">
        <v>3250</v>
      </c>
      <c r="AE840" t="s">
        <v>3250</v>
      </c>
      <c r="AF840" t="s">
        <v>3250</v>
      </c>
      <c r="AG840" t="s">
        <v>3250</v>
      </c>
      <c r="AH840" t="s">
        <v>3250</v>
      </c>
      <c r="AI840" t="s">
        <v>3250</v>
      </c>
      <c r="AJ840" t="s">
        <v>3250</v>
      </c>
      <c r="AL840" t="s">
        <v>3250</v>
      </c>
      <c r="AM840" t="s">
        <v>3250</v>
      </c>
      <c r="AN840" t="s">
        <v>3250</v>
      </c>
      <c r="AO840" t="s">
        <v>3250</v>
      </c>
      <c r="AS840" t="s">
        <v>3250</v>
      </c>
      <c r="AT840" t="s">
        <v>3250</v>
      </c>
      <c r="AU840" t="s">
        <v>3250</v>
      </c>
      <c r="AV840" t="s">
        <v>3250</v>
      </c>
      <c r="AW840" t="s">
        <v>3250</v>
      </c>
      <c r="AX840" t="s">
        <v>3250</v>
      </c>
      <c r="AY840" t="s">
        <v>3250</v>
      </c>
      <c r="AZ840" t="s">
        <v>3250</v>
      </c>
      <c r="BA840" t="s">
        <v>3250</v>
      </c>
      <c r="BB840" t="s">
        <v>3250</v>
      </c>
      <c r="BC840" t="s">
        <v>3250</v>
      </c>
      <c r="BE840" t="s">
        <v>3250</v>
      </c>
      <c r="BF840" t="s">
        <v>3250</v>
      </c>
      <c r="BG840" t="s">
        <v>3250</v>
      </c>
      <c r="BH840" t="s">
        <v>3250</v>
      </c>
      <c r="BI840" t="s">
        <v>3250</v>
      </c>
      <c r="BK840" t="s">
        <v>3250</v>
      </c>
      <c r="BL840" t="s">
        <v>3250</v>
      </c>
      <c r="BM840" t="s">
        <v>3250</v>
      </c>
      <c r="BN840" t="s">
        <v>3250</v>
      </c>
      <c r="BP840">
        <v>1</v>
      </c>
      <c r="BQ840">
        <v>18</v>
      </c>
      <c r="BR840" t="s">
        <v>286</v>
      </c>
      <c r="BS840" t="s">
        <v>3252</v>
      </c>
      <c r="BV840">
        <v>209242</v>
      </c>
      <c r="BW840">
        <v>188801</v>
      </c>
      <c r="BX840">
        <v>0</v>
      </c>
      <c r="BY840">
        <v>195000</v>
      </c>
      <c r="BZ840">
        <v>195000</v>
      </c>
      <c r="CA840">
        <v>202605</v>
      </c>
      <c r="CB840">
        <v>210709</v>
      </c>
      <c r="CC840">
        <v>219138</v>
      </c>
      <c r="CD840">
        <v>189302</v>
      </c>
      <c r="CE840" t="s">
        <v>3108</v>
      </c>
      <c r="CF840" t="s">
        <v>3108</v>
      </c>
      <c r="CG840" t="s">
        <v>3108</v>
      </c>
      <c r="CH840" t="s">
        <v>3108</v>
      </c>
    </row>
    <row r="841" spans="1:86" x14ac:dyDescent="0.2">
      <c r="A841" t="s">
        <v>4511</v>
      </c>
      <c r="B841" t="s">
        <v>4511</v>
      </c>
      <c r="C841">
        <v>41293</v>
      </c>
      <c r="D841">
        <v>701</v>
      </c>
      <c r="E841" t="s">
        <v>4512</v>
      </c>
      <c r="F841">
        <v>2900</v>
      </c>
      <c r="G841" t="s">
        <v>822</v>
      </c>
      <c r="H841" t="s">
        <v>3108</v>
      </c>
      <c r="I841" t="s">
        <v>3108</v>
      </c>
      <c r="J841">
        <v>2904</v>
      </c>
      <c r="K841" t="s">
        <v>1690</v>
      </c>
      <c r="L841">
        <v>1200</v>
      </c>
      <c r="M841" t="s">
        <v>2368</v>
      </c>
      <c r="N841">
        <v>1207</v>
      </c>
      <c r="O841" t="s">
        <v>286</v>
      </c>
      <c r="P841" t="s">
        <v>3108</v>
      </c>
      <c r="Q841" t="s">
        <v>3249</v>
      </c>
      <c r="R841" t="s">
        <v>3249</v>
      </c>
      <c r="S841" t="s">
        <v>810</v>
      </c>
      <c r="T841" t="s">
        <v>2754</v>
      </c>
      <c r="U841" t="s">
        <v>3250</v>
      </c>
      <c r="V841" t="s">
        <v>3250</v>
      </c>
      <c r="W841" t="s">
        <v>3250</v>
      </c>
      <c r="X841" t="s">
        <v>3250</v>
      </c>
      <c r="Y841" t="s">
        <v>3250</v>
      </c>
      <c r="Z841" t="s">
        <v>3250</v>
      </c>
      <c r="AA841" t="s">
        <v>3108</v>
      </c>
      <c r="AB841" t="s">
        <v>3108</v>
      </c>
      <c r="AC841" t="s">
        <v>3250</v>
      </c>
      <c r="AD841" t="s">
        <v>3250</v>
      </c>
      <c r="AE841" t="s">
        <v>3250</v>
      </c>
      <c r="AF841" t="s">
        <v>3250</v>
      </c>
      <c r="AG841" t="s">
        <v>3250</v>
      </c>
      <c r="AH841" t="s">
        <v>3250</v>
      </c>
      <c r="AI841" t="s">
        <v>3250</v>
      </c>
      <c r="AJ841" t="s">
        <v>3250</v>
      </c>
      <c r="AL841" t="s">
        <v>3250</v>
      </c>
      <c r="AM841" t="s">
        <v>3250</v>
      </c>
      <c r="AN841" t="s">
        <v>3250</v>
      </c>
      <c r="AO841" t="s">
        <v>3250</v>
      </c>
      <c r="AS841" t="s">
        <v>3250</v>
      </c>
      <c r="AT841" t="s">
        <v>3250</v>
      </c>
      <c r="AU841" t="s">
        <v>3250</v>
      </c>
      <c r="AV841" t="s">
        <v>3250</v>
      </c>
      <c r="AW841" t="s">
        <v>3250</v>
      </c>
      <c r="AX841" t="s">
        <v>3250</v>
      </c>
      <c r="AY841" t="s">
        <v>3250</v>
      </c>
      <c r="AZ841" t="s">
        <v>3250</v>
      </c>
      <c r="BA841" t="s">
        <v>3250</v>
      </c>
      <c r="BB841" t="s">
        <v>3250</v>
      </c>
      <c r="BC841" t="s">
        <v>3250</v>
      </c>
      <c r="BE841" t="s">
        <v>3250</v>
      </c>
      <c r="BF841" t="s">
        <v>3250</v>
      </c>
      <c r="BG841" t="s">
        <v>3250</v>
      </c>
      <c r="BH841" t="s">
        <v>3250</v>
      </c>
      <c r="BI841" t="s">
        <v>3250</v>
      </c>
      <c r="BK841" t="s">
        <v>3250</v>
      </c>
      <c r="BL841" t="s">
        <v>3250</v>
      </c>
      <c r="BM841" t="s">
        <v>3250</v>
      </c>
      <c r="BN841" t="s">
        <v>3250</v>
      </c>
      <c r="BP841">
        <v>1</v>
      </c>
      <c r="BQ841">
        <v>18</v>
      </c>
      <c r="BR841" t="s">
        <v>286</v>
      </c>
      <c r="BS841" t="s">
        <v>3252</v>
      </c>
      <c r="BV841">
        <v>0</v>
      </c>
      <c r="BW841">
        <v>0</v>
      </c>
      <c r="BX841">
        <v>0</v>
      </c>
      <c r="BY841">
        <v>0</v>
      </c>
      <c r="BZ841">
        <v>0</v>
      </c>
      <c r="CA841">
        <v>0</v>
      </c>
      <c r="CB841">
        <v>0</v>
      </c>
      <c r="CC841">
        <v>0</v>
      </c>
      <c r="CD841">
        <v>0</v>
      </c>
      <c r="CE841" t="s">
        <v>3108</v>
      </c>
      <c r="CF841" t="s">
        <v>3108</v>
      </c>
      <c r="CG841" t="s">
        <v>3108</v>
      </c>
      <c r="CH841" t="s">
        <v>3108</v>
      </c>
    </row>
    <row r="842" spans="1:86" x14ac:dyDescent="0.2">
      <c r="A842" t="s">
        <v>4513</v>
      </c>
      <c r="B842" t="s">
        <v>4513</v>
      </c>
      <c r="C842">
        <v>41294</v>
      </c>
      <c r="D842">
        <v>702</v>
      </c>
      <c r="E842" t="s">
        <v>4514</v>
      </c>
      <c r="F842">
        <v>2900</v>
      </c>
      <c r="G842" t="s">
        <v>822</v>
      </c>
      <c r="H842" t="s">
        <v>3108</v>
      </c>
      <c r="I842" t="s">
        <v>3108</v>
      </c>
      <c r="J842">
        <v>2904</v>
      </c>
      <c r="K842" t="s">
        <v>1690</v>
      </c>
      <c r="L842">
        <v>1200</v>
      </c>
      <c r="M842" t="s">
        <v>2368</v>
      </c>
      <c r="N842">
        <v>1207</v>
      </c>
      <c r="O842" t="s">
        <v>286</v>
      </c>
      <c r="P842" t="s">
        <v>3108</v>
      </c>
      <c r="Q842" t="s">
        <v>3249</v>
      </c>
      <c r="R842" t="s">
        <v>3249</v>
      </c>
      <c r="S842" t="s">
        <v>810</v>
      </c>
      <c r="T842" t="s">
        <v>2754</v>
      </c>
      <c r="U842" t="s">
        <v>3250</v>
      </c>
      <c r="V842" t="s">
        <v>3250</v>
      </c>
      <c r="W842" t="s">
        <v>3250</v>
      </c>
      <c r="X842" t="s">
        <v>3250</v>
      </c>
      <c r="Y842" t="s">
        <v>3250</v>
      </c>
      <c r="Z842" t="s">
        <v>3250</v>
      </c>
      <c r="AA842" t="s">
        <v>3108</v>
      </c>
      <c r="AB842" t="s">
        <v>3108</v>
      </c>
      <c r="AC842" t="s">
        <v>3250</v>
      </c>
      <c r="AD842" t="s">
        <v>3250</v>
      </c>
      <c r="AE842" t="s">
        <v>3250</v>
      </c>
      <c r="AF842" t="s">
        <v>3250</v>
      </c>
      <c r="AG842" t="s">
        <v>3250</v>
      </c>
      <c r="AH842" t="s">
        <v>3250</v>
      </c>
      <c r="AI842" t="s">
        <v>3250</v>
      </c>
      <c r="AJ842" t="s">
        <v>3250</v>
      </c>
      <c r="AL842" t="s">
        <v>3250</v>
      </c>
      <c r="AM842" t="s">
        <v>3250</v>
      </c>
      <c r="AN842" t="s">
        <v>3250</v>
      </c>
      <c r="AO842" t="s">
        <v>3250</v>
      </c>
      <c r="AS842" t="s">
        <v>3250</v>
      </c>
      <c r="AT842" t="s">
        <v>3250</v>
      </c>
      <c r="AU842" t="s">
        <v>3250</v>
      </c>
      <c r="AV842" t="s">
        <v>3250</v>
      </c>
      <c r="AW842" t="s">
        <v>3250</v>
      </c>
      <c r="AX842" t="s">
        <v>3250</v>
      </c>
      <c r="AY842" t="s">
        <v>3250</v>
      </c>
      <c r="AZ842" t="s">
        <v>3250</v>
      </c>
      <c r="BA842" t="s">
        <v>3250</v>
      </c>
      <c r="BB842" t="s">
        <v>3250</v>
      </c>
      <c r="BC842" t="s">
        <v>3250</v>
      </c>
      <c r="BE842" t="s">
        <v>3250</v>
      </c>
      <c r="BF842" t="s">
        <v>3250</v>
      </c>
      <c r="BG842" t="s">
        <v>3250</v>
      </c>
      <c r="BH842" t="s">
        <v>3250</v>
      </c>
      <c r="BI842" t="s">
        <v>3250</v>
      </c>
      <c r="BK842" t="s">
        <v>3250</v>
      </c>
      <c r="BL842" t="s">
        <v>3250</v>
      </c>
      <c r="BM842" t="s">
        <v>3250</v>
      </c>
      <c r="BN842" t="s">
        <v>3250</v>
      </c>
      <c r="BP842">
        <v>1</v>
      </c>
      <c r="BQ842">
        <v>18</v>
      </c>
      <c r="BR842" t="s">
        <v>286</v>
      </c>
      <c r="BS842" t="s">
        <v>3252</v>
      </c>
      <c r="BV842">
        <v>0</v>
      </c>
      <c r="BW842">
        <v>0</v>
      </c>
      <c r="BX842">
        <v>0</v>
      </c>
      <c r="BY842">
        <v>0</v>
      </c>
      <c r="BZ842">
        <v>0</v>
      </c>
      <c r="CA842">
        <v>0</v>
      </c>
      <c r="CB842">
        <v>0</v>
      </c>
      <c r="CC842">
        <v>0</v>
      </c>
      <c r="CD842">
        <v>0</v>
      </c>
      <c r="CE842" t="s">
        <v>3108</v>
      </c>
      <c r="CF842" t="s">
        <v>3108</v>
      </c>
      <c r="CG842" t="s">
        <v>3108</v>
      </c>
      <c r="CH842" t="s">
        <v>3108</v>
      </c>
    </row>
    <row r="843" spans="1:86" x14ac:dyDescent="0.2">
      <c r="A843" t="s">
        <v>4515</v>
      </c>
      <c r="B843" t="s">
        <v>4515</v>
      </c>
      <c r="C843">
        <v>41295</v>
      </c>
      <c r="D843">
        <v>703</v>
      </c>
      <c r="E843" t="s">
        <v>3994</v>
      </c>
      <c r="F843">
        <v>2600</v>
      </c>
      <c r="G843" t="s">
        <v>1334</v>
      </c>
      <c r="H843">
        <v>2600</v>
      </c>
      <c r="I843" t="s">
        <v>1334</v>
      </c>
      <c r="J843" t="s">
        <v>3250</v>
      </c>
      <c r="K843" t="s">
        <v>3250</v>
      </c>
      <c r="L843">
        <v>1200</v>
      </c>
      <c r="M843" t="s">
        <v>2368</v>
      </c>
      <c r="N843">
        <v>1207</v>
      </c>
      <c r="O843" t="s">
        <v>286</v>
      </c>
      <c r="P843" t="s">
        <v>3108</v>
      </c>
      <c r="Q843" t="s">
        <v>3249</v>
      </c>
      <c r="R843" t="s">
        <v>3249</v>
      </c>
      <c r="S843" t="s">
        <v>810</v>
      </c>
      <c r="T843" t="s">
        <v>2754</v>
      </c>
      <c r="U843" t="s">
        <v>3250</v>
      </c>
      <c r="V843" t="s">
        <v>3250</v>
      </c>
      <c r="W843" t="s">
        <v>3250</v>
      </c>
      <c r="X843" t="s">
        <v>3250</v>
      </c>
      <c r="Y843" t="s">
        <v>3250</v>
      </c>
      <c r="Z843" t="s">
        <v>3250</v>
      </c>
      <c r="AA843" t="s">
        <v>3108</v>
      </c>
      <c r="AB843" t="s">
        <v>3108</v>
      </c>
      <c r="AC843" t="s">
        <v>3250</v>
      </c>
      <c r="AD843" t="s">
        <v>3250</v>
      </c>
      <c r="AE843" t="s">
        <v>3250</v>
      </c>
      <c r="AF843" t="s">
        <v>3250</v>
      </c>
      <c r="AG843" t="s">
        <v>3250</v>
      </c>
      <c r="AH843" t="s">
        <v>3250</v>
      </c>
      <c r="AI843" t="s">
        <v>3250</v>
      </c>
      <c r="AJ843" t="s">
        <v>3250</v>
      </c>
      <c r="AL843" t="s">
        <v>3250</v>
      </c>
      <c r="AM843" t="s">
        <v>3250</v>
      </c>
      <c r="AN843" t="s">
        <v>3250</v>
      </c>
      <c r="AO843" t="s">
        <v>3250</v>
      </c>
      <c r="AS843" t="s">
        <v>3250</v>
      </c>
      <c r="AT843" t="s">
        <v>3250</v>
      </c>
      <c r="AU843" t="s">
        <v>3250</v>
      </c>
      <c r="AV843" t="s">
        <v>3250</v>
      </c>
      <c r="AW843" t="s">
        <v>3250</v>
      </c>
      <c r="AX843" t="s">
        <v>3250</v>
      </c>
      <c r="AY843" t="s">
        <v>3250</v>
      </c>
      <c r="AZ843" t="s">
        <v>3250</v>
      </c>
      <c r="BA843" t="s">
        <v>3250</v>
      </c>
      <c r="BB843" t="s">
        <v>3250</v>
      </c>
      <c r="BC843" t="s">
        <v>3250</v>
      </c>
      <c r="BE843" t="s">
        <v>3250</v>
      </c>
      <c r="BF843" t="s">
        <v>3250</v>
      </c>
      <c r="BG843" t="s">
        <v>3250</v>
      </c>
      <c r="BH843" t="s">
        <v>3250</v>
      </c>
      <c r="BI843" t="s">
        <v>3250</v>
      </c>
      <c r="BK843" t="s">
        <v>3250</v>
      </c>
      <c r="BL843" t="s">
        <v>3250</v>
      </c>
      <c r="BM843" t="s">
        <v>3250</v>
      </c>
      <c r="BN843" t="s">
        <v>3250</v>
      </c>
      <c r="BP843">
        <v>1</v>
      </c>
      <c r="BQ843">
        <v>18</v>
      </c>
      <c r="BR843" t="s">
        <v>286</v>
      </c>
      <c r="BS843" t="s">
        <v>3252</v>
      </c>
      <c r="BV843">
        <v>135052</v>
      </c>
      <c r="BW843">
        <v>106615</v>
      </c>
      <c r="BX843">
        <v>603395</v>
      </c>
      <c r="BY843">
        <v>100000</v>
      </c>
      <c r="BZ843">
        <v>100000</v>
      </c>
      <c r="CA843">
        <v>103900</v>
      </c>
      <c r="CB843">
        <v>108056</v>
      </c>
      <c r="CC843">
        <v>112378</v>
      </c>
      <c r="CD843">
        <v>61815</v>
      </c>
      <c r="CE843" t="s">
        <v>3108</v>
      </c>
      <c r="CF843" t="s">
        <v>3108</v>
      </c>
      <c r="CG843" t="s">
        <v>3108</v>
      </c>
      <c r="CH843" t="s">
        <v>3108</v>
      </c>
    </row>
    <row r="844" spans="1:86" x14ac:dyDescent="0.2">
      <c r="A844" t="s">
        <v>4516</v>
      </c>
      <c r="B844" t="s">
        <v>4516</v>
      </c>
      <c r="C844">
        <v>41296</v>
      </c>
      <c r="D844">
        <v>704</v>
      </c>
      <c r="E844" t="s">
        <v>4119</v>
      </c>
      <c r="F844">
        <v>2900</v>
      </c>
      <c r="G844" t="s">
        <v>822</v>
      </c>
      <c r="H844" t="s">
        <v>3108</v>
      </c>
      <c r="I844" t="s">
        <v>3108</v>
      </c>
      <c r="J844">
        <v>2904</v>
      </c>
      <c r="K844" t="s">
        <v>1690</v>
      </c>
      <c r="L844">
        <v>1200</v>
      </c>
      <c r="M844" t="s">
        <v>2368</v>
      </c>
      <c r="N844">
        <v>1207</v>
      </c>
      <c r="O844" t="s">
        <v>286</v>
      </c>
      <c r="P844" t="s">
        <v>3108</v>
      </c>
      <c r="Q844" t="s">
        <v>3249</v>
      </c>
      <c r="R844" t="s">
        <v>3249</v>
      </c>
      <c r="S844" t="s">
        <v>810</v>
      </c>
      <c r="T844" t="s">
        <v>2754</v>
      </c>
      <c r="U844" t="s">
        <v>3250</v>
      </c>
      <c r="V844" t="s">
        <v>3250</v>
      </c>
      <c r="W844" t="s">
        <v>3250</v>
      </c>
      <c r="X844" t="s">
        <v>3250</v>
      </c>
      <c r="Y844" t="s">
        <v>3250</v>
      </c>
      <c r="Z844" t="s">
        <v>3250</v>
      </c>
      <c r="AA844" t="s">
        <v>3108</v>
      </c>
      <c r="AB844" t="s">
        <v>3108</v>
      </c>
      <c r="AC844" t="s">
        <v>3250</v>
      </c>
      <c r="AD844" t="s">
        <v>3250</v>
      </c>
      <c r="AE844" t="s">
        <v>3250</v>
      </c>
      <c r="AF844" t="s">
        <v>3250</v>
      </c>
      <c r="AG844" t="s">
        <v>3250</v>
      </c>
      <c r="AH844" t="s">
        <v>3250</v>
      </c>
      <c r="AI844" t="s">
        <v>3250</v>
      </c>
      <c r="AJ844" t="s">
        <v>3250</v>
      </c>
      <c r="AL844" t="s">
        <v>3250</v>
      </c>
      <c r="AM844" t="s">
        <v>3250</v>
      </c>
      <c r="AN844" t="s">
        <v>3250</v>
      </c>
      <c r="AO844" t="s">
        <v>3250</v>
      </c>
      <c r="AS844" t="s">
        <v>3250</v>
      </c>
      <c r="AT844" t="s">
        <v>3250</v>
      </c>
      <c r="AU844" t="s">
        <v>3250</v>
      </c>
      <c r="AV844" t="s">
        <v>3250</v>
      </c>
      <c r="AW844" t="s">
        <v>3250</v>
      </c>
      <c r="AX844" t="s">
        <v>3250</v>
      </c>
      <c r="AY844" t="s">
        <v>3250</v>
      </c>
      <c r="AZ844" t="s">
        <v>3250</v>
      </c>
      <c r="BA844" t="s">
        <v>3250</v>
      </c>
      <c r="BB844" t="s">
        <v>3250</v>
      </c>
      <c r="BC844" t="s">
        <v>3250</v>
      </c>
      <c r="BE844" t="s">
        <v>3250</v>
      </c>
      <c r="BF844" t="s">
        <v>3250</v>
      </c>
      <c r="BG844" t="s">
        <v>3250</v>
      </c>
      <c r="BH844" t="s">
        <v>3250</v>
      </c>
      <c r="BI844" t="s">
        <v>3250</v>
      </c>
      <c r="BK844" t="s">
        <v>3250</v>
      </c>
      <c r="BL844" t="s">
        <v>3250</v>
      </c>
      <c r="BM844" t="s">
        <v>3250</v>
      </c>
      <c r="BN844" t="s">
        <v>3250</v>
      </c>
      <c r="BP844">
        <v>1</v>
      </c>
      <c r="BQ844">
        <v>18</v>
      </c>
      <c r="BR844" t="s">
        <v>286</v>
      </c>
      <c r="BS844" t="s">
        <v>3252</v>
      </c>
      <c r="BV844">
        <v>74658</v>
      </c>
      <c r="BW844">
        <v>24681</v>
      </c>
      <c r="BX844">
        <v>103743</v>
      </c>
      <c r="BY844">
        <v>40000</v>
      </c>
      <c r="BZ844">
        <v>40000</v>
      </c>
      <c r="CA844">
        <v>41560</v>
      </c>
      <c r="CB844">
        <v>43222</v>
      </c>
      <c r="CC844">
        <v>44951</v>
      </c>
      <c r="CD844">
        <v>80409</v>
      </c>
      <c r="CE844" t="s">
        <v>3108</v>
      </c>
      <c r="CF844" t="s">
        <v>3108</v>
      </c>
      <c r="CG844" t="s">
        <v>3108</v>
      </c>
      <c r="CH844" t="s">
        <v>3108</v>
      </c>
    </row>
    <row r="845" spans="1:86" x14ac:dyDescent="0.2">
      <c r="A845" t="s">
        <v>4517</v>
      </c>
      <c r="B845" t="s">
        <v>4517</v>
      </c>
      <c r="C845">
        <v>41297</v>
      </c>
      <c r="D845">
        <v>705</v>
      </c>
      <c r="E845" t="s">
        <v>4518</v>
      </c>
      <c r="F845">
        <v>2900</v>
      </c>
      <c r="G845" t="s">
        <v>822</v>
      </c>
      <c r="H845" t="s">
        <v>3108</v>
      </c>
      <c r="I845" t="s">
        <v>3108</v>
      </c>
      <c r="J845">
        <v>2904</v>
      </c>
      <c r="K845" t="s">
        <v>1690</v>
      </c>
      <c r="L845">
        <v>1200</v>
      </c>
      <c r="M845" t="s">
        <v>2368</v>
      </c>
      <c r="N845">
        <v>1207</v>
      </c>
      <c r="O845" t="s">
        <v>286</v>
      </c>
      <c r="P845" t="s">
        <v>3108</v>
      </c>
      <c r="Q845" t="s">
        <v>3249</v>
      </c>
      <c r="R845" t="s">
        <v>3249</v>
      </c>
      <c r="S845" t="s">
        <v>810</v>
      </c>
      <c r="T845" t="s">
        <v>2754</v>
      </c>
      <c r="U845" t="s">
        <v>3250</v>
      </c>
      <c r="V845" t="s">
        <v>3250</v>
      </c>
      <c r="W845" t="s">
        <v>3250</v>
      </c>
      <c r="X845" t="s">
        <v>3250</v>
      </c>
      <c r="Y845" t="s">
        <v>3250</v>
      </c>
      <c r="Z845" t="s">
        <v>3250</v>
      </c>
      <c r="AA845" t="s">
        <v>3108</v>
      </c>
      <c r="AB845" t="s">
        <v>3108</v>
      </c>
      <c r="AC845" t="s">
        <v>3250</v>
      </c>
      <c r="AD845" t="s">
        <v>3250</v>
      </c>
      <c r="AE845" t="s">
        <v>3250</v>
      </c>
      <c r="AF845" t="s">
        <v>3250</v>
      </c>
      <c r="AG845" t="s">
        <v>3250</v>
      </c>
      <c r="AH845" t="s">
        <v>3250</v>
      </c>
      <c r="AI845" t="s">
        <v>3250</v>
      </c>
      <c r="AJ845" t="s">
        <v>3250</v>
      </c>
      <c r="AL845" t="s">
        <v>3250</v>
      </c>
      <c r="AM845" t="s">
        <v>3250</v>
      </c>
      <c r="AN845" t="s">
        <v>3250</v>
      </c>
      <c r="AO845" t="s">
        <v>3250</v>
      </c>
      <c r="AS845" t="s">
        <v>3250</v>
      </c>
      <c r="AT845" t="s">
        <v>3250</v>
      </c>
      <c r="AU845" t="s">
        <v>3250</v>
      </c>
      <c r="AV845" t="s">
        <v>3250</v>
      </c>
      <c r="AW845" t="s">
        <v>3250</v>
      </c>
      <c r="AX845" t="s">
        <v>3250</v>
      </c>
      <c r="AY845" t="s">
        <v>3250</v>
      </c>
      <c r="AZ845" t="s">
        <v>3250</v>
      </c>
      <c r="BA845" t="s">
        <v>3250</v>
      </c>
      <c r="BB845" t="s">
        <v>3250</v>
      </c>
      <c r="BC845" t="s">
        <v>3250</v>
      </c>
      <c r="BE845" t="s">
        <v>3250</v>
      </c>
      <c r="BF845" t="s">
        <v>3250</v>
      </c>
      <c r="BG845" t="s">
        <v>3250</v>
      </c>
      <c r="BH845" t="s">
        <v>3250</v>
      </c>
      <c r="BI845" t="s">
        <v>3250</v>
      </c>
      <c r="BK845" t="s">
        <v>3250</v>
      </c>
      <c r="BL845" t="s">
        <v>3250</v>
      </c>
      <c r="BM845" t="s">
        <v>3250</v>
      </c>
      <c r="BN845" t="s">
        <v>3250</v>
      </c>
      <c r="BP845">
        <v>1</v>
      </c>
      <c r="BQ845">
        <v>18</v>
      </c>
      <c r="BR845" t="s">
        <v>286</v>
      </c>
      <c r="BS845" t="s">
        <v>3252</v>
      </c>
      <c r="BV845">
        <v>0</v>
      </c>
      <c r="BW845">
        <v>0</v>
      </c>
      <c r="BX845">
        <v>0</v>
      </c>
      <c r="BY845">
        <v>0</v>
      </c>
      <c r="BZ845">
        <v>0</v>
      </c>
      <c r="CA845">
        <v>0</v>
      </c>
      <c r="CB845">
        <v>0</v>
      </c>
      <c r="CC845">
        <v>0</v>
      </c>
      <c r="CD845">
        <v>0</v>
      </c>
      <c r="CE845" t="s">
        <v>3108</v>
      </c>
      <c r="CF845" t="s">
        <v>3108</v>
      </c>
      <c r="CG845" t="s">
        <v>3108</v>
      </c>
      <c r="CH845" t="s">
        <v>3108</v>
      </c>
    </row>
    <row r="846" spans="1:86" x14ac:dyDescent="0.2">
      <c r="A846" t="s">
        <v>4519</v>
      </c>
      <c r="B846" t="s">
        <v>4519</v>
      </c>
      <c r="C846">
        <v>41298</v>
      </c>
      <c r="D846">
        <v>706</v>
      </c>
      <c r="E846" t="s">
        <v>4520</v>
      </c>
      <c r="F846">
        <v>2900</v>
      </c>
      <c r="G846" t="s">
        <v>822</v>
      </c>
      <c r="H846" t="s">
        <v>3108</v>
      </c>
      <c r="I846" t="s">
        <v>3108</v>
      </c>
      <c r="J846">
        <v>2904</v>
      </c>
      <c r="K846" t="s">
        <v>1690</v>
      </c>
      <c r="L846">
        <v>1200</v>
      </c>
      <c r="M846" t="s">
        <v>2368</v>
      </c>
      <c r="N846">
        <v>1207</v>
      </c>
      <c r="O846" t="s">
        <v>286</v>
      </c>
      <c r="P846" t="s">
        <v>3108</v>
      </c>
      <c r="Q846" t="s">
        <v>3249</v>
      </c>
      <c r="R846" t="s">
        <v>3249</v>
      </c>
      <c r="S846" t="s">
        <v>810</v>
      </c>
      <c r="T846" t="s">
        <v>2754</v>
      </c>
      <c r="U846" t="s">
        <v>3250</v>
      </c>
      <c r="V846" t="s">
        <v>3250</v>
      </c>
      <c r="W846" t="s">
        <v>3250</v>
      </c>
      <c r="X846" t="s">
        <v>3250</v>
      </c>
      <c r="Y846" t="s">
        <v>3250</v>
      </c>
      <c r="Z846" t="s">
        <v>3250</v>
      </c>
      <c r="AA846" t="s">
        <v>3108</v>
      </c>
      <c r="AB846" t="s">
        <v>3108</v>
      </c>
      <c r="AC846" t="s">
        <v>3250</v>
      </c>
      <c r="AD846" t="s">
        <v>3250</v>
      </c>
      <c r="AE846" t="s">
        <v>3250</v>
      </c>
      <c r="AF846" t="s">
        <v>3250</v>
      </c>
      <c r="AG846" t="s">
        <v>3250</v>
      </c>
      <c r="AH846" t="s">
        <v>3250</v>
      </c>
      <c r="AI846" t="s">
        <v>3250</v>
      </c>
      <c r="AJ846" t="s">
        <v>3250</v>
      </c>
      <c r="AL846" t="s">
        <v>3250</v>
      </c>
      <c r="AM846" t="s">
        <v>3250</v>
      </c>
      <c r="AN846" t="s">
        <v>3250</v>
      </c>
      <c r="AO846" t="s">
        <v>3250</v>
      </c>
      <c r="AS846" t="s">
        <v>3250</v>
      </c>
      <c r="AT846" t="s">
        <v>3250</v>
      </c>
      <c r="AU846" t="s">
        <v>3250</v>
      </c>
      <c r="AV846" t="s">
        <v>3250</v>
      </c>
      <c r="AW846" t="s">
        <v>3250</v>
      </c>
      <c r="AX846" t="s">
        <v>3250</v>
      </c>
      <c r="AY846" t="s">
        <v>3250</v>
      </c>
      <c r="AZ846" t="s">
        <v>3250</v>
      </c>
      <c r="BA846" t="s">
        <v>3250</v>
      </c>
      <c r="BB846" t="s">
        <v>3250</v>
      </c>
      <c r="BC846" t="s">
        <v>3250</v>
      </c>
      <c r="BE846" t="s">
        <v>3250</v>
      </c>
      <c r="BF846" t="s">
        <v>3250</v>
      </c>
      <c r="BG846" t="s">
        <v>3250</v>
      </c>
      <c r="BH846" t="s">
        <v>3250</v>
      </c>
      <c r="BI846" t="s">
        <v>3250</v>
      </c>
      <c r="BK846" t="s">
        <v>3250</v>
      </c>
      <c r="BL846" t="s">
        <v>3250</v>
      </c>
      <c r="BM846" t="s">
        <v>3250</v>
      </c>
      <c r="BN846" t="s">
        <v>3250</v>
      </c>
      <c r="BP846">
        <v>1</v>
      </c>
      <c r="BQ846">
        <v>18</v>
      </c>
      <c r="BR846" t="s">
        <v>286</v>
      </c>
      <c r="BS846" t="s">
        <v>3252</v>
      </c>
      <c r="BV846">
        <v>1813514</v>
      </c>
      <c r="BW846">
        <v>665134</v>
      </c>
      <c r="BX846">
        <v>776090</v>
      </c>
      <c r="BY846">
        <v>950000</v>
      </c>
      <c r="BZ846">
        <v>1850000</v>
      </c>
      <c r="CA846">
        <v>1922150</v>
      </c>
      <c r="CB846">
        <v>1999036</v>
      </c>
      <c r="CC846">
        <v>2078997</v>
      </c>
      <c r="CD846">
        <v>108785</v>
      </c>
      <c r="CE846" t="s">
        <v>3108</v>
      </c>
      <c r="CF846" t="s">
        <v>3108</v>
      </c>
      <c r="CG846" t="s">
        <v>3108</v>
      </c>
      <c r="CH846" t="s">
        <v>3108</v>
      </c>
    </row>
    <row r="847" spans="1:86" x14ac:dyDescent="0.2">
      <c r="A847" t="s">
        <v>4521</v>
      </c>
      <c r="B847" t="s">
        <v>4521</v>
      </c>
      <c r="C847">
        <v>41299</v>
      </c>
      <c r="D847">
        <v>707</v>
      </c>
      <c r="E847" t="s">
        <v>4522</v>
      </c>
      <c r="F847">
        <v>2900</v>
      </c>
      <c r="G847" t="s">
        <v>822</v>
      </c>
      <c r="H847" t="s">
        <v>3108</v>
      </c>
      <c r="I847" t="s">
        <v>3108</v>
      </c>
      <c r="J847">
        <v>2904</v>
      </c>
      <c r="K847" t="s">
        <v>1690</v>
      </c>
      <c r="L847">
        <v>1200</v>
      </c>
      <c r="M847" t="s">
        <v>2368</v>
      </c>
      <c r="N847">
        <v>1209</v>
      </c>
      <c r="O847" t="s">
        <v>2374</v>
      </c>
      <c r="P847" t="s">
        <v>3108</v>
      </c>
      <c r="Q847" t="s">
        <v>3249</v>
      </c>
      <c r="R847" t="s">
        <v>3249</v>
      </c>
      <c r="S847" t="s">
        <v>810</v>
      </c>
      <c r="T847" t="s">
        <v>2754</v>
      </c>
      <c r="U847" t="s">
        <v>3250</v>
      </c>
      <c r="V847" t="s">
        <v>3250</v>
      </c>
      <c r="W847" t="s">
        <v>3250</v>
      </c>
      <c r="X847" t="s">
        <v>3250</v>
      </c>
      <c r="Y847" t="s">
        <v>3250</v>
      </c>
      <c r="Z847" t="s">
        <v>3250</v>
      </c>
      <c r="AA847" t="s">
        <v>3108</v>
      </c>
      <c r="AB847" t="s">
        <v>3108</v>
      </c>
      <c r="AC847" t="s">
        <v>3250</v>
      </c>
      <c r="AD847" t="s">
        <v>3250</v>
      </c>
      <c r="AE847" t="s">
        <v>3250</v>
      </c>
      <c r="AF847" t="s">
        <v>3250</v>
      </c>
      <c r="AG847" t="s">
        <v>3250</v>
      </c>
      <c r="AH847" t="s">
        <v>3250</v>
      </c>
      <c r="AI847" t="s">
        <v>3250</v>
      </c>
      <c r="AJ847" t="s">
        <v>3250</v>
      </c>
      <c r="AL847" t="s">
        <v>3250</v>
      </c>
      <c r="AM847" t="s">
        <v>3250</v>
      </c>
      <c r="AN847" t="s">
        <v>3250</v>
      </c>
      <c r="AO847" t="s">
        <v>3250</v>
      </c>
      <c r="AS847" t="s">
        <v>3250</v>
      </c>
      <c r="AT847" t="s">
        <v>3250</v>
      </c>
      <c r="AU847" t="s">
        <v>3250</v>
      </c>
      <c r="AV847" t="s">
        <v>3250</v>
      </c>
      <c r="AW847" t="s">
        <v>3250</v>
      </c>
      <c r="AX847" t="s">
        <v>3250</v>
      </c>
      <c r="AY847" t="s">
        <v>3250</v>
      </c>
      <c r="AZ847" t="s">
        <v>3250</v>
      </c>
      <c r="BA847" t="s">
        <v>3250</v>
      </c>
      <c r="BB847" t="s">
        <v>3250</v>
      </c>
      <c r="BC847" t="s">
        <v>3250</v>
      </c>
      <c r="BE847" t="s">
        <v>3250</v>
      </c>
      <c r="BF847" t="s">
        <v>3250</v>
      </c>
      <c r="BG847" t="s">
        <v>3250</v>
      </c>
      <c r="BH847" t="s">
        <v>3250</v>
      </c>
      <c r="BI847" t="s">
        <v>3250</v>
      </c>
      <c r="BK847" t="s">
        <v>3250</v>
      </c>
      <c r="BL847" t="s">
        <v>3250</v>
      </c>
      <c r="BM847" t="s">
        <v>3250</v>
      </c>
      <c r="BN847" t="s">
        <v>3250</v>
      </c>
      <c r="BP847">
        <v>1</v>
      </c>
      <c r="BQ847">
        <v>19</v>
      </c>
      <c r="BR847" t="s">
        <v>2374</v>
      </c>
      <c r="BS847" t="s">
        <v>3252</v>
      </c>
      <c r="BV847">
        <v>0</v>
      </c>
      <c r="BW847">
        <v>0</v>
      </c>
      <c r="BX847">
        <v>0</v>
      </c>
      <c r="BY847">
        <v>0</v>
      </c>
      <c r="BZ847">
        <v>0</v>
      </c>
      <c r="CA847">
        <v>0</v>
      </c>
      <c r="CB847">
        <v>0</v>
      </c>
      <c r="CC847">
        <v>0</v>
      </c>
      <c r="CD847">
        <v>0</v>
      </c>
      <c r="CE847" t="s">
        <v>3108</v>
      </c>
      <c r="CF847" t="s">
        <v>3108</v>
      </c>
      <c r="CG847" t="s">
        <v>3108</v>
      </c>
      <c r="CH847" t="s">
        <v>3108</v>
      </c>
    </row>
    <row r="848" spans="1:86" x14ac:dyDescent="0.2">
      <c r="A848" t="s">
        <v>4523</v>
      </c>
      <c r="B848" t="s">
        <v>4523</v>
      </c>
      <c r="C848">
        <v>41300</v>
      </c>
      <c r="D848">
        <v>708</v>
      </c>
      <c r="E848" t="s">
        <v>4524</v>
      </c>
      <c r="F848">
        <v>2700</v>
      </c>
      <c r="G848" t="s">
        <v>411</v>
      </c>
      <c r="H848" t="s">
        <v>3837</v>
      </c>
      <c r="I848" t="s">
        <v>2532</v>
      </c>
      <c r="J848">
        <v>2702</v>
      </c>
      <c r="K848" t="s">
        <v>2532</v>
      </c>
      <c r="L848">
        <v>1200</v>
      </c>
      <c r="M848" t="s">
        <v>2368</v>
      </c>
      <c r="N848">
        <v>1209</v>
      </c>
      <c r="O848" t="s">
        <v>2374</v>
      </c>
      <c r="P848" t="s">
        <v>3108</v>
      </c>
      <c r="Q848" t="s">
        <v>3249</v>
      </c>
      <c r="R848" t="s">
        <v>3249</v>
      </c>
      <c r="S848" t="s">
        <v>810</v>
      </c>
      <c r="T848" t="s">
        <v>2754</v>
      </c>
      <c r="U848" t="s">
        <v>3250</v>
      </c>
      <c r="V848" t="s">
        <v>3250</v>
      </c>
      <c r="W848" t="s">
        <v>3250</v>
      </c>
      <c r="X848" t="s">
        <v>3250</v>
      </c>
      <c r="Y848" t="s">
        <v>3250</v>
      </c>
      <c r="Z848" t="s">
        <v>3250</v>
      </c>
      <c r="AA848" t="s">
        <v>3108</v>
      </c>
      <c r="AB848" t="s">
        <v>3108</v>
      </c>
      <c r="AC848" t="s">
        <v>3250</v>
      </c>
      <c r="AD848" t="s">
        <v>3250</v>
      </c>
      <c r="AE848" t="s">
        <v>3250</v>
      </c>
      <c r="AF848" t="s">
        <v>3250</v>
      </c>
      <c r="AG848" t="s">
        <v>3250</v>
      </c>
      <c r="AH848" t="s">
        <v>3250</v>
      </c>
      <c r="AI848" t="s">
        <v>3250</v>
      </c>
      <c r="AJ848" t="s">
        <v>3250</v>
      </c>
      <c r="AL848" t="s">
        <v>3250</v>
      </c>
      <c r="AM848" t="s">
        <v>3250</v>
      </c>
      <c r="AN848" t="s">
        <v>3250</v>
      </c>
      <c r="AO848" t="s">
        <v>3250</v>
      </c>
      <c r="AS848" t="s">
        <v>3250</v>
      </c>
      <c r="AT848" t="s">
        <v>3250</v>
      </c>
      <c r="AU848" t="s">
        <v>3250</v>
      </c>
      <c r="AV848" t="s">
        <v>3250</v>
      </c>
      <c r="AW848" t="s">
        <v>3250</v>
      </c>
      <c r="AX848" t="s">
        <v>3250</v>
      </c>
      <c r="AY848" t="s">
        <v>3250</v>
      </c>
      <c r="AZ848" t="s">
        <v>3250</v>
      </c>
      <c r="BA848" t="s">
        <v>3250</v>
      </c>
      <c r="BB848" t="s">
        <v>3250</v>
      </c>
      <c r="BC848" t="s">
        <v>3250</v>
      </c>
      <c r="BE848" t="s">
        <v>3250</v>
      </c>
      <c r="BF848" t="s">
        <v>3250</v>
      </c>
      <c r="BG848" t="s">
        <v>3250</v>
      </c>
      <c r="BH848" t="s">
        <v>3250</v>
      </c>
      <c r="BI848" t="s">
        <v>3250</v>
      </c>
      <c r="BK848" t="s">
        <v>3250</v>
      </c>
      <c r="BL848" t="s">
        <v>3250</v>
      </c>
      <c r="BM848" t="s">
        <v>3250</v>
      </c>
      <c r="BN848" t="s">
        <v>3250</v>
      </c>
      <c r="BP848">
        <v>1</v>
      </c>
      <c r="BQ848">
        <v>19</v>
      </c>
      <c r="BR848" t="s">
        <v>2374</v>
      </c>
      <c r="BS848" t="s">
        <v>3252</v>
      </c>
      <c r="BV848">
        <v>0</v>
      </c>
      <c r="BW848">
        <v>0</v>
      </c>
      <c r="BX848">
        <v>646223</v>
      </c>
      <c r="BY848">
        <v>0</v>
      </c>
      <c r="BZ848">
        <v>0</v>
      </c>
      <c r="CA848">
        <v>0</v>
      </c>
      <c r="CB848">
        <v>0</v>
      </c>
      <c r="CC848">
        <v>0</v>
      </c>
      <c r="CD848">
        <v>0</v>
      </c>
      <c r="CE848" t="s">
        <v>3108</v>
      </c>
      <c r="CF848" t="s">
        <v>3108</v>
      </c>
      <c r="CG848" t="s">
        <v>3108</v>
      </c>
      <c r="CH848" t="s">
        <v>3108</v>
      </c>
    </row>
    <row r="849" spans="1:86" x14ac:dyDescent="0.2">
      <c r="A849" t="s">
        <v>4525</v>
      </c>
      <c r="B849" t="s">
        <v>4525</v>
      </c>
      <c r="C849">
        <v>41301</v>
      </c>
      <c r="D849">
        <v>714</v>
      </c>
      <c r="E849" t="s">
        <v>4061</v>
      </c>
      <c r="F849">
        <v>2900</v>
      </c>
      <c r="G849" t="s">
        <v>822</v>
      </c>
      <c r="H849" t="s">
        <v>3108</v>
      </c>
      <c r="I849" t="s">
        <v>3108</v>
      </c>
      <c r="J849">
        <v>2904</v>
      </c>
      <c r="K849" t="s">
        <v>1690</v>
      </c>
      <c r="L849">
        <v>1200</v>
      </c>
      <c r="M849" t="s">
        <v>2368</v>
      </c>
      <c r="N849">
        <v>1204</v>
      </c>
      <c r="O849" t="s">
        <v>1574</v>
      </c>
      <c r="P849" t="s">
        <v>3108</v>
      </c>
      <c r="Q849" t="s">
        <v>3249</v>
      </c>
      <c r="R849" t="s">
        <v>3249</v>
      </c>
      <c r="S849" t="s">
        <v>810</v>
      </c>
      <c r="T849" t="s">
        <v>2754</v>
      </c>
      <c r="U849" t="s">
        <v>3250</v>
      </c>
      <c r="V849" t="s">
        <v>3250</v>
      </c>
      <c r="W849" t="s">
        <v>3250</v>
      </c>
      <c r="X849" t="s">
        <v>3250</v>
      </c>
      <c r="Y849" t="s">
        <v>3250</v>
      </c>
      <c r="Z849" t="s">
        <v>3250</v>
      </c>
      <c r="AA849" t="s">
        <v>3108</v>
      </c>
      <c r="AB849" t="s">
        <v>3108</v>
      </c>
      <c r="AC849" t="s">
        <v>3250</v>
      </c>
      <c r="AD849" t="s">
        <v>3250</v>
      </c>
      <c r="AE849" t="s">
        <v>3250</v>
      </c>
      <c r="AF849" t="s">
        <v>3250</v>
      </c>
      <c r="AG849" t="s">
        <v>3250</v>
      </c>
      <c r="AH849" t="s">
        <v>3250</v>
      </c>
      <c r="AI849" t="s">
        <v>3250</v>
      </c>
      <c r="AJ849" t="s">
        <v>3250</v>
      </c>
      <c r="AL849" t="s">
        <v>3250</v>
      </c>
      <c r="AM849" t="s">
        <v>3250</v>
      </c>
      <c r="AN849" t="s">
        <v>3250</v>
      </c>
      <c r="AO849" t="s">
        <v>3250</v>
      </c>
      <c r="AS849" t="s">
        <v>3250</v>
      </c>
      <c r="AT849" t="s">
        <v>3250</v>
      </c>
      <c r="AU849" t="s">
        <v>3250</v>
      </c>
      <c r="AV849" t="s">
        <v>3250</v>
      </c>
      <c r="AW849" t="s">
        <v>3250</v>
      </c>
      <c r="AX849" t="s">
        <v>3250</v>
      </c>
      <c r="AY849" t="s">
        <v>3250</v>
      </c>
      <c r="AZ849" t="s">
        <v>3250</v>
      </c>
      <c r="BA849" t="s">
        <v>3250</v>
      </c>
      <c r="BB849" t="s">
        <v>3250</v>
      </c>
      <c r="BC849" t="s">
        <v>3250</v>
      </c>
      <c r="BE849" t="s">
        <v>3250</v>
      </c>
      <c r="BF849" t="s">
        <v>3250</v>
      </c>
      <c r="BG849" t="s">
        <v>3250</v>
      </c>
      <c r="BH849" t="s">
        <v>3250</v>
      </c>
      <c r="BI849" t="s">
        <v>3250</v>
      </c>
      <c r="BK849" t="s">
        <v>3250</v>
      </c>
      <c r="BL849" t="s">
        <v>3250</v>
      </c>
      <c r="BM849" t="s">
        <v>3250</v>
      </c>
      <c r="BN849" t="s">
        <v>3250</v>
      </c>
      <c r="BP849">
        <v>1</v>
      </c>
      <c r="BQ849">
        <v>11</v>
      </c>
      <c r="BR849" t="s">
        <v>1574</v>
      </c>
      <c r="BS849" t="s">
        <v>3252</v>
      </c>
      <c r="BV849">
        <v>3147</v>
      </c>
      <c r="BW849">
        <v>4207</v>
      </c>
      <c r="BX849">
        <v>5065</v>
      </c>
      <c r="BY849">
        <v>5000</v>
      </c>
      <c r="BZ849">
        <v>5000</v>
      </c>
      <c r="CA849">
        <v>5195</v>
      </c>
      <c r="CB849">
        <v>5403</v>
      </c>
      <c r="CC849">
        <v>5619</v>
      </c>
      <c r="CD849">
        <v>3431</v>
      </c>
      <c r="CE849" t="s">
        <v>3108</v>
      </c>
      <c r="CF849" t="s">
        <v>3108</v>
      </c>
      <c r="CG849" t="s">
        <v>3108</v>
      </c>
      <c r="CH849" t="s">
        <v>3108</v>
      </c>
    </row>
    <row r="850" spans="1:86" x14ac:dyDescent="0.2">
      <c r="A850" t="s">
        <v>4526</v>
      </c>
      <c r="B850" t="s">
        <v>4526</v>
      </c>
      <c r="C850">
        <v>41302</v>
      </c>
      <c r="D850">
        <v>715</v>
      </c>
      <c r="E850" t="s">
        <v>4072</v>
      </c>
      <c r="F850">
        <v>2000</v>
      </c>
      <c r="G850" t="s">
        <v>408</v>
      </c>
      <c r="H850" t="s">
        <v>4070</v>
      </c>
      <c r="I850" t="s">
        <v>1792</v>
      </c>
      <c r="J850">
        <v>2002</v>
      </c>
      <c r="K850" t="s">
        <v>1792</v>
      </c>
      <c r="L850">
        <v>1200</v>
      </c>
      <c r="M850" t="s">
        <v>2368</v>
      </c>
      <c r="N850">
        <v>1204</v>
      </c>
      <c r="O850" t="s">
        <v>1574</v>
      </c>
      <c r="P850" t="s">
        <v>3108</v>
      </c>
      <c r="Q850" t="s">
        <v>3249</v>
      </c>
      <c r="R850" t="s">
        <v>3249</v>
      </c>
      <c r="S850" t="s">
        <v>810</v>
      </c>
      <c r="T850" t="s">
        <v>2754</v>
      </c>
      <c r="U850" t="s">
        <v>3250</v>
      </c>
      <c r="V850" t="s">
        <v>3250</v>
      </c>
      <c r="W850" t="s">
        <v>3250</v>
      </c>
      <c r="X850" t="s">
        <v>3250</v>
      </c>
      <c r="Y850" t="s">
        <v>3250</v>
      </c>
      <c r="Z850" t="s">
        <v>3250</v>
      </c>
      <c r="AA850" t="s">
        <v>3108</v>
      </c>
      <c r="AB850" t="s">
        <v>3108</v>
      </c>
      <c r="AC850" t="s">
        <v>3250</v>
      </c>
      <c r="AD850" t="s">
        <v>3250</v>
      </c>
      <c r="AE850" t="s">
        <v>3250</v>
      </c>
      <c r="AF850" t="s">
        <v>3250</v>
      </c>
      <c r="AG850" t="s">
        <v>3250</v>
      </c>
      <c r="AH850" t="s">
        <v>3250</v>
      </c>
      <c r="AI850" t="s">
        <v>3250</v>
      </c>
      <c r="AJ850" t="s">
        <v>3250</v>
      </c>
      <c r="AL850" t="s">
        <v>3250</v>
      </c>
      <c r="AM850" t="s">
        <v>3250</v>
      </c>
      <c r="AN850" t="s">
        <v>3250</v>
      </c>
      <c r="AO850" t="s">
        <v>3250</v>
      </c>
      <c r="AS850" t="s">
        <v>3250</v>
      </c>
      <c r="AT850" t="s">
        <v>3250</v>
      </c>
      <c r="AU850" t="s">
        <v>3250</v>
      </c>
      <c r="AV850" t="s">
        <v>3250</v>
      </c>
      <c r="AW850" t="s">
        <v>3250</v>
      </c>
      <c r="AX850" t="s">
        <v>3250</v>
      </c>
      <c r="AY850" t="s">
        <v>3250</v>
      </c>
      <c r="AZ850" t="s">
        <v>3250</v>
      </c>
      <c r="BA850" t="s">
        <v>3250</v>
      </c>
      <c r="BB850" t="s">
        <v>3250</v>
      </c>
      <c r="BC850" t="s">
        <v>3250</v>
      </c>
      <c r="BE850" t="s">
        <v>3250</v>
      </c>
      <c r="BF850" t="s">
        <v>3250</v>
      </c>
      <c r="BG850" t="s">
        <v>3250</v>
      </c>
      <c r="BH850" t="s">
        <v>3250</v>
      </c>
      <c r="BI850" t="s">
        <v>3250</v>
      </c>
      <c r="BK850" t="s">
        <v>3250</v>
      </c>
      <c r="BL850" t="s">
        <v>3250</v>
      </c>
      <c r="BM850" t="s">
        <v>3250</v>
      </c>
      <c r="BN850" t="s">
        <v>3250</v>
      </c>
      <c r="BO850" t="s">
        <v>2916</v>
      </c>
      <c r="BP850">
        <v>1</v>
      </c>
      <c r="BQ850">
        <v>11</v>
      </c>
      <c r="BR850" t="s">
        <v>1574</v>
      </c>
      <c r="BS850" t="s">
        <v>3252</v>
      </c>
      <c r="BV850">
        <v>3083</v>
      </c>
      <c r="BW850">
        <v>3750</v>
      </c>
      <c r="BX850">
        <v>5065</v>
      </c>
      <c r="BY850">
        <v>0</v>
      </c>
      <c r="BZ850">
        <v>800</v>
      </c>
      <c r="CA850">
        <v>856</v>
      </c>
      <c r="CB850">
        <v>800</v>
      </c>
      <c r="CC850">
        <v>856</v>
      </c>
      <c r="CD850">
        <v>167</v>
      </c>
      <c r="CE850" t="s">
        <v>3108</v>
      </c>
      <c r="CF850" t="s">
        <v>3108</v>
      </c>
      <c r="CG850" t="s">
        <v>3108</v>
      </c>
      <c r="CH850" t="s">
        <v>3108</v>
      </c>
    </row>
    <row r="851" spans="1:86" x14ac:dyDescent="0.2">
      <c r="A851" t="s">
        <v>4527</v>
      </c>
      <c r="B851" t="s">
        <v>4527</v>
      </c>
      <c r="C851">
        <v>41303</v>
      </c>
      <c r="D851">
        <v>716</v>
      </c>
      <c r="E851" t="s">
        <v>4093</v>
      </c>
      <c r="F851">
        <v>2000</v>
      </c>
      <c r="G851" t="s">
        <v>408</v>
      </c>
      <c r="H851" t="s">
        <v>4094</v>
      </c>
      <c r="I851" t="s">
        <v>1135</v>
      </c>
      <c r="J851">
        <v>2001</v>
      </c>
      <c r="K851" t="s">
        <v>1135</v>
      </c>
      <c r="L851">
        <v>1200</v>
      </c>
      <c r="M851" t="s">
        <v>2368</v>
      </c>
      <c r="N851">
        <v>1204</v>
      </c>
      <c r="O851" t="s">
        <v>1574</v>
      </c>
      <c r="P851" t="s">
        <v>3108</v>
      </c>
      <c r="Q851" t="s">
        <v>3249</v>
      </c>
      <c r="R851" t="s">
        <v>3249</v>
      </c>
      <c r="S851" t="s">
        <v>810</v>
      </c>
      <c r="T851" t="s">
        <v>2754</v>
      </c>
      <c r="U851" t="s">
        <v>3250</v>
      </c>
      <c r="V851" t="s">
        <v>3250</v>
      </c>
      <c r="W851" t="s">
        <v>3250</v>
      </c>
      <c r="X851" t="s">
        <v>3250</v>
      </c>
      <c r="Y851" t="s">
        <v>3250</v>
      </c>
      <c r="Z851" t="s">
        <v>3250</v>
      </c>
      <c r="AA851" t="s">
        <v>3108</v>
      </c>
      <c r="AB851" t="s">
        <v>3108</v>
      </c>
      <c r="AC851" t="s">
        <v>3250</v>
      </c>
      <c r="AD851" t="s">
        <v>3250</v>
      </c>
      <c r="AE851" t="s">
        <v>3250</v>
      </c>
      <c r="AF851" t="s">
        <v>3250</v>
      </c>
      <c r="AG851" t="s">
        <v>3250</v>
      </c>
      <c r="AH851" t="s">
        <v>3250</v>
      </c>
      <c r="AI851" t="s">
        <v>3250</v>
      </c>
      <c r="AJ851" t="s">
        <v>3250</v>
      </c>
      <c r="AL851" t="s">
        <v>3250</v>
      </c>
      <c r="AM851" t="s">
        <v>3250</v>
      </c>
      <c r="AN851" t="s">
        <v>3250</v>
      </c>
      <c r="AO851" t="s">
        <v>3250</v>
      </c>
      <c r="AS851" t="s">
        <v>3250</v>
      </c>
      <c r="AT851" t="s">
        <v>3250</v>
      </c>
      <c r="AU851" t="s">
        <v>3250</v>
      </c>
      <c r="AV851" t="s">
        <v>3250</v>
      </c>
      <c r="AW851" t="s">
        <v>3250</v>
      </c>
      <c r="AX851" t="s">
        <v>3250</v>
      </c>
      <c r="AY851" t="s">
        <v>3250</v>
      </c>
      <c r="AZ851" t="s">
        <v>3250</v>
      </c>
      <c r="BA851" t="s">
        <v>3250</v>
      </c>
      <c r="BB851" t="s">
        <v>3250</v>
      </c>
      <c r="BC851" t="s">
        <v>3250</v>
      </c>
      <c r="BE851" t="s">
        <v>3250</v>
      </c>
      <c r="BF851" t="s">
        <v>3250</v>
      </c>
      <c r="BG851" t="s">
        <v>3250</v>
      </c>
      <c r="BH851" t="s">
        <v>3250</v>
      </c>
      <c r="BI851" t="s">
        <v>3250</v>
      </c>
      <c r="BK851" t="s">
        <v>3250</v>
      </c>
      <c r="BL851" t="s">
        <v>3250</v>
      </c>
      <c r="BM851" t="s">
        <v>3250</v>
      </c>
      <c r="BN851" t="s">
        <v>3250</v>
      </c>
      <c r="BO851" t="s">
        <v>2916</v>
      </c>
      <c r="BP851">
        <v>1</v>
      </c>
      <c r="BQ851">
        <v>11</v>
      </c>
      <c r="BR851" t="s">
        <v>1574</v>
      </c>
      <c r="BS851" t="s">
        <v>3252</v>
      </c>
      <c r="BV851">
        <v>308333</v>
      </c>
      <c r="BW851">
        <v>420764</v>
      </c>
      <c r="BX851">
        <v>500041</v>
      </c>
      <c r="BY851">
        <v>500000</v>
      </c>
      <c r="BZ851">
        <v>500000</v>
      </c>
      <c r="CA851">
        <v>535000</v>
      </c>
      <c r="CB851">
        <v>535000</v>
      </c>
      <c r="CC851">
        <v>572450</v>
      </c>
      <c r="CD851">
        <v>346273</v>
      </c>
      <c r="CE851" t="s">
        <v>3108</v>
      </c>
      <c r="CF851" t="s">
        <v>3108</v>
      </c>
      <c r="CG851" t="s">
        <v>3108</v>
      </c>
      <c r="CH851" t="s">
        <v>3108</v>
      </c>
    </row>
    <row r="852" spans="1:86" x14ac:dyDescent="0.2">
      <c r="A852" t="s">
        <v>4528</v>
      </c>
      <c r="B852" t="s">
        <v>4528</v>
      </c>
      <c r="C852">
        <v>41304</v>
      </c>
      <c r="D852">
        <v>717</v>
      </c>
      <c r="E852" t="s">
        <v>4326</v>
      </c>
      <c r="F852">
        <v>2700</v>
      </c>
      <c r="G852" t="s">
        <v>411</v>
      </c>
      <c r="H852" t="s">
        <v>4004</v>
      </c>
      <c r="I852" t="s">
        <v>2531</v>
      </c>
      <c r="J852">
        <v>2701</v>
      </c>
      <c r="K852" t="s">
        <v>2531</v>
      </c>
      <c r="L852">
        <v>1200</v>
      </c>
      <c r="M852" t="s">
        <v>2368</v>
      </c>
      <c r="N852">
        <v>1204</v>
      </c>
      <c r="O852" t="s">
        <v>1574</v>
      </c>
      <c r="P852" t="s">
        <v>3108</v>
      </c>
      <c r="Q852" t="s">
        <v>3249</v>
      </c>
      <c r="R852" t="s">
        <v>3249</v>
      </c>
      <c r="S852" t="s">
        <v>810</v>
      </c>
      <c r="T852" t="s">
        <v>2754</v>
      </c>
      <c r="U852" t="s">
        <v>3250</v>
      </c>
      <c r="V852" t="s">
        <v>3250</v>
      </c>
      <c r="W852" t="s">
        <v>3250</v>
      </c>
      <c r="X852" t="s">
        <v>3250</v>
      </c>
      <c r="Y852" t="s">
        <v>3250</v>
      </c>
      <c r="Z852" t="s">
        <v>3250</v>
      </c>
      <c r="AA852" t="s">
        <v>3108</v>
      </c>
      <c r="AB852" t="s">
        <v>3108</v>
      </c>
      <c r="AC852" t="s">
        <v>3250</v>
      </c>
      <c r="AD852" t="s">
        <v>3250</v>
      </c>
      <c r="AE852" t="s">
        <v>3250</v>
      </c>
      <c r="AF852" t="s">
        <v>3250</v>
      </c>
      <c r="AG852" t="s">
        <v>3250</v>
      </c>
      <c r="AH852" t="s">
        <v>3250</v>
      </c>
      <c r="AI852" t="s">
        <v>3250</v>
      </c>
      <c r="AJ852" t="s">
        <v>3250</v>
      </c>
      <c r="AL852" t="s">
        <v>3250</v>
      </c>
      <c r="AM852" t="s">
        <v>3250</v>
      </c>
      <c r="AN852" t="s">
        <v>3250</v>
      </c>
      <c r="AO852" t="s">
        <v>3250</v>
      </c>
      <c r="AS852" t="s">
        <v>3250</v>
      </c>
      <c r="AT852" t="s">
        <v>3250</v>
      </c>
      <c r="AU852" t="s">
        <v>3250</v>
      </c>
      <c r="AV852" t="s">
        <v>3250</v>
      </c>
      <c r="AW852" t="s">
        <v>3250</v>
      </c>
      <c r="AX852" t="s">
        <v>3250</v>
      </c>
      <c r="AY852" t="s">
        <v>3250</v>
      </c>
      <c r="AZ852" t="s">
        <v>3250</v>
      </c>
      <c r="BA852" t="s">
        <v>3250</v>
      </c>
      <c r="BB852" t="s">
        <v>3250</v>
      </c>
      <c r="BC852" t="s">
        <v>3250</v>
      </c>
      <c r="BE852" t="s">
        <v>3250</v>
      </c>
      <c r="BF852" t="s">
        <v>3250</v>
      </c>
      <c r="BG852" t="s">
        <v>3250</v>
      </c>
      <c r="BH852" t="s">
        <v>3250</v>
      </c>
      <c r="BI852" t="s">
        <v>3250</v>
      </c>
      <c r="BK852" t="s">
        <v>3250</v>
      </c>
      <c r="BL852" t="s">
        <v>3250</v>
      </c>
      <c r="BM852" t="s">
        <v>3250</v>
      </c>
      <c r="BN852" t="s">
        <v>3250</v>
      </c>
      <c r="BP852">
        <v>1</v>
      </c>
      <c r="BQ852">
        <v>11</v>
      </c>
      <c r="BR852" t="s">
        <v>1574</v>
      </c>
      <c r="BS852" t="s">
        <v>3252</v>
      </c>
      <c r="BV852">
        <v>469864</v>
      </c>
      <c r="BW852">
        <v>0</v>
      </c>
      <c r="BX852">
        <v>1887933</v>
      </c>
      <c r="BY852">
        <v>0</v>
      </c>
      <c r="BZ852">
        <v>0</v>
      </c>
      <c r="CA852">
        <v>0</v>
      </c>
      <c r="CB852">
        <v>0</v>
      </c>
      <c r="CC852">
        <v>0</v>
      </c>
      <c r="CD852">
        <v>0</v>
      </c>
      <c r="CE852" t="s">
        <v>3108</v>
      </c>
      <c r="CF852" t="s">
        <v>3108</v>
      </c>
      <c r="CG852" t="s">
        <v>3108</v>
      </c>
      <c r="CH852" t="s">
        <v>3108</v>
      </c>
    </row>
    <row r="853" spans="1:86" x14ac:dyDescent="0.2">
      <c r="A853" t="s">
        <v>4529</v>
      </c>
      <c r="B853" t="s">
        <v>4529</v>
      </c>
      <c r="C853">
        <v>41305</v>
      </c>
      <c r="D853">
        <v>718</v>
      </c>
      <c r="E853" t="s">
        <v>4444</v>
      </c>
      <c r="F853">
        <v>2900</v>
      </c>
      <c r="G853" t="s">
        <v>822</v>
      </c>
      <c r="H853" t="s">
        <v>3108</v>
      </c>
      <c r="I853" t="s">
        <v>3108</v>
      </c>
      <c r="J853">
        <v>2904</v>
      </c>
      <c r="K853" t="s">
        <v>1690</v>
      </c>
      <c r="L853">
        <v>1200</v>
      </c>
      <c r="M853" t="s">
        <v>2368</v>
      </c>
      <c r="N853">
        <v>1204</v>
      </c>
      <c r="O853" t="s">
        <v>1574</v>
      </c>
      <c r="P853" t="s">
        <v>3108</v>
      </c>
      <c r="Q853" t="s">
        <v>3249</v>
      </c>
      <c r="R853" t="s">
        <v>3249</v>
      </c>
      <c r="S853" t="s">
        <v>810</v>
      </c>
      <c r="T853" t="s">
        <v>2754</v>
      </c>
      <c r="U853" t="s">
        <v>3250</v>
      </c>
      <c r="V853" t="s">
        <v>3250</v>
      </c>
      <c r="W853" t="s">
        <v>3250</v>
      </c>
      <c r="X853" t="s">
        <v>3250</v>
      </c>
      <c r="Y853" t="s">
        <v>3250</v>
      </c>
      <c r="Z853" t="s">
        <v>3250</v>
      </c>
      <c r="AA853" t="s">
        <v>3108</v>
      </c>
      <c r="AB853" t="s">
        <v>3108</v>
      </c>
      <c r="AC853" t="s">
        <v>3250</v>
      </c>
      <c r="AD853" t="s">
        <v>3250</v>
      </c>
      <c r="AE853" t="s">
        <v>3250</v>
      </c>
      <c r="AF853" t="s">
        <v>3250</v>
      </c>
      <c r="AG853" t="s">
        <v>3250</v>
      </c>
      <c r="AH853" t="s">
        <v>3250</v>
      </c>
      <c r="AI853" t="s">
        <v>3250</v>
      </c>
      <c r="AJ853" t="s">
        <v>3250</v>
      </c>
      <c r="AL853" t="s">
        <v>3250</v>
      </c>
      <c r="AM853" t="s">
        <v>3250</v>
      </c>
      <c r="AN853" t="s">
        <v>3250</v>
      </c>
      <c r="AO853" t="s">
        <v>3250</v>
      </c>
      <c r="AS853" t="s">
        <v>3250</v>
      </c>
      <c r="AT853" t="s">
        <v>3250</v>
      </c>
      <c r="AU853" t="s">
        <v>3250</v>
      </c>
      <c r="AV853" t="s">
        <v>3250</v>
      </c>
      <c r="AW853" t="s">
        <v>3250</v>
      </c>
      <c r="AX853" t="s">
        <v>3250</v>
      </c>
      <c r="AY853" t="s">
        <v>3250</v>
      </c>
      <c r="AZ853" t="s">
        <v>3250</v>
      </c>
      <c r="BA853" t="s">
        <v>3250</v>
      </c>
      <c r="BB853" t="s">
        <v>3250</v>
      </c>
      <c r="BC853" t="s">
        <v>3250</v>
      </c>
      <c r="BE853" t="s">
        <v>3250</v>
      </c>
      <c r="BF853" t="s">
        <v>3250</v>
      </c>
      <c r="BG853" t="s">
        <v>3250</v>
      </c>
      <c r="BH853" t="s">
        <v>3250</v>
      </c>
      <c r="BI853" t="s">
        <v>3250</v>
      </c>
      <c r="BK853" t="s">
        <v>3250</v>
      </c>
      <c r="BL853" t="s">
        <v>3250</v>
      </c>
      <c r="BM853" t="s">
        <v>3250</v>
      </c>
      <c r="BN853" t="s">
        <v>3250</v>
      </c>
      <c r="BP853">
        <v>1</v>
      </c>
      <c r="BQ853">
        <v>11</v>
      </c>
      <c r="BR853" t="s">
        <v>1574</v>
      </c>
      <c r="BS853" t="s">
        <v>3252</v>
      </c>
      <c r="BV853">
        <v>0</v>
      </c>
      <c r="BW853">
        <v>0</v>
      </c>
      <c r="BX853">
        <v>0</v>
      </c>
      <c r="BY853">
        <v>0</v>
      </c>
      <c r="BZ853">
        <v>0</v>
      </c>
      <c r="CA853">
        <v>0</v>
      </c>
      <c r="CB853">
        <v>0</v>
      </c>
      <c r="CC853">
        <v>0</v>
      </c>
      <c r="CD853">
        <v>0</v>
      </c>
      <c r="CE853" t="s">
        <v>3108</v>
      </c>
      <c r="CF853" t="s">
        <v>3108</v>
      </c>
      <c r="CG853" t="s">
        <v>3108</v>
      </c>
      <c r="CH853" t="s">
        <v>3108</v>
      </c>
    </row>
    <row r="854" spans="1:86" x14ac:dyDescent="0.2">
      <c r="A854" t="s">
        <v>4530</v>
      </c>
      <c r="B854" t="s">
        <v>4530</v>
      </c>
      <c r="C854">
        <v>41306</v>
      </c>
      <c r="D854">
        <v>719</v>
      </c>
      <c r="E854" t="s">
        <v>4099</v>
      </c>
      <c r="F854">
        <v>2900</v>
      </c>
      <c r="G854" t="s">
        <v>822</v>
      </c>
      <c r="H854" t="s">
        <v>3108</v>
      </c>
      <c r="I854" t="s">
        <v>3108</v>
      </c>
      <c r="J854">
        <v>2904</v>
      </c>
      <c r="K854" t="s">
        <v>1690</v>
      </c>
      <c r="L854">
        <v>1200</v>
      </c>
      <c r="M854" t="s">
        <v>2368</v>
      </c>
      <c r="N854">
        <v>1204</v>
      </c>
      <c r="O854" t="s">
        <v>1574</v>
      </c>
      <c r="P854" t="s">
        <v>3108</v>
      </c>
      <c r="Q854" t="s">
        <v>3249</v>
      </c>
      <c r="R854" t="s">
        <v>3249</v>
      </c>
      <c r="S854" t="s">
        <v>810</v>
      </c>
      <c r="T854" t="s">
        <v>2754</v>
      </c>
      <c r="U854" t="s">
        <v>3250</v>
      </c>
      <c r="V854" t="s">
        <v>3250</v>
      </c>
      <c r="W854" t="s">
        <v>3250</v>
      </c>
      <c r="X854" t="s">
        <v>3250</v>
      </c>
      <c r="Y854" t="s">
        <v>3250</v>
      </c>
      <c r="Z854" t="s">
        <v>3250</v>
      </c>
      <c r="AA854" t="s">
        <v>3108</v>
      </c>
      <c r="AB854" t="s">
        <v>3108</v>
      </c>
      <c r="AC854" t="s">
        <v>3250</v>
      </c>
      <c r="AD854" t="s">
        <v>3250</v>
      </c>
      <c r="AE854" t="s">
        <v>3250</v>
      </c>
      <c r="AF854" t="s">
        <v>3250</v>
      </c>
      <c r="AG854" t="s">
        <v>3250</v>
      </c>
      <c r="AH854" t="s">
        <v>3250</v>
      </c>
      <c r="AI854" t="s">
        <v>3250</v>
      </c>
      <c r="AJ854" t="s">
        <v>3250</v>
      </c>
      <c r="AL854" t="s">
        <v>3250</v>
      </c>
      <c r="AM854" t="s">
        <v>3250</v>
      </c>
      <c r="AN854" t="s">
        <v>3250</v>
      </c>
      <c r="AO854" t="s">
        <v>3250</v>
      </c>
      <c r="AS854" t="s">
        <v>3250</v>
      </c>
      <c r="AT854" t="s">
        <v>3250</v>
      </c>
      <c r="AU854" t="s">
        <v>3250</v>
      </c>
      <c r="AV854" t="s">
        <v>3250</v>
      </c>
      <c r="AW854" t="s">
        <v>3250</v>
      </c>
      <c r="AX854" t="s">
        <v>3250</v>
      </c>
      <c r="AY854" t="s">
        <v>3250</v>
      </c>
      <c r="AZ854" t="s">
        <v>3250</v>
      </c>
      <c r="BA854" t="s">
        <v>3250</v>
      </c>
      <c r="BB854" t="s">
        <v>3250</v>
      </c>
      <c r="BC854" t="s">
        <v>3250</v>
      </c>
      <c r="BE854" t="s">
        <v>3250</v>
      </c>
      <c r="BF854" t="s">
        <v>3250</v>
      </c>
      <c r="BG854" t="s">
        <v>3250</v>
      </c>
      <c r="BH854" t="s">
        <v>3250</v>
      </c>
      <c r="BI854" t="s">
        <v>3250</v>
      </c>
      <c r="BK854" t="s">
        <v>3250</v>
      </c>
      <c r="BL854" t="s">
        <v>3250</v>
      </c>
      <c r="BM854" t="s">
        <v>3250</v>
      </c>
      <c r="BN854" t="s">
        <v>3250</v>
      </c>
      <c r="BP854">
        <v>1</v>
      </c>
      <c r="BQ854">
        <v>11</v>
      </c>
      <c r="BR854" t="s">
        <v>1574</v>
      </c>
      <c r="BS854" t="s">
        <v>3252</v>
      </c>
      <c r="BV854">
        <v>0</v>
      </c>
      <c r="BW854">
        <v>0</v>
      </c>
      <c r="BX854">
        <v>0</v>
      </c>
      <c r="BY854">
        <v>0</v>
      </c>
      <c r="BZ854">
        <v>0</v>
      </c>
      <c r="CA854">
        <v>0</v>
      </c>
      <c r="CB854">
        <v>0</v>
      </c>
      <c r="CC854">
        <v>0</v>
      </c>
      <c r="CD854">
        <v>0</v>
      </c>
      <c r="CE854" t="s">
        <v>3108</v>
      </c>
      <c r="CF854" t="s">
        <v>3108</v>
      </c>
      <c r="CG854" t="s">
        <v>3108</v>
      </c>
      <c r="CH854" t="s">
        <v>3108</v>
      </c>
    </row>
    <row r="855" spans="1:86" x14ac:dyDescent="0.2">
      <c r="A855" t="s">
        <v>4531</v>
      </c>
      <c r="B855" t="s">
        <v>4531</v>
      </c>
      <c r="C855">
        <v>41307</v>
      </c>
      <c r="D855">
        <v>720</v>
      </c>
      <c r="E855" t="s">
        <v>4532</v>
      </c>
      <c r="F855">
        <v>2900</v>
      </c>
      <c r="G855" t="s">
        <v>822</v>
      </c>
      <c r="H855" t="s">
        <v>3108</v>
      </c>
      <c r="I855" t="s">
        <v>3108</v>
      </c>
      <c r="J855">
        <v>2904</v>
      </c>
      <c r="K855" t="s">
        <v>1690</v>
      </c>
      <c r="L855">
        <v>1200</v>
      </c>
      <c r="M855" t="s">
        <v>2368</v>
      </c>
      <c r="N855">
        <v>1204</v>
      </c>
      <c r="O855" t="s">
        <v>1574</v>
      </c>
      <c r="P855" t="s">
        <v>3108</v>
      </c>
      <c r="Q855" t="s">
        <v>3249</v>
      </c>
      <c r="R855" t="s">
        <v>3249</v>
      </c>
      <c r="S855" t="s">
        <v>810</v>
      </c>
      <c r="T855" t="s">
        <v>2754</v>
      </c>
      <c r="U855" t="s">
        <v>3250</v>
      </c>
      <c r="V855" t="s">
        <v>3250</v>
      </c>
      <c r="W855" t="s">
        <v>3250</v>
      </c>
      <c r="X855" t="s">
        <v>3250</v>
      </c>
      <c r="Y855" t="s">
        <v>3250</v>
      </c>
      <c r="Z855" t="s">
        <v>3250</v>
      </c>
      <c r="AA855" t="s">
        <v>3108</v>
      </c>
      <c r="AB855" t="s">
        <v>3108</v>
      </c>
      <c r="AC855" t="s">
        <v>3250</v>
      </c>
      <c r="AD855" t="s">
        <v>3250</v>
      </c>
      <c r="AE855" t="s">
        <v>3250</v>
      </c>
      <c r="AF855" t="s">
        <v>3250</v>
      </c>
      <c r="AG855" t="s">
        <v>3250</v>
      </c>
      <c r="AH855" t="s">
        <v>3250</v>
      </c>
      <c r="AI855" t="s">
        <v>3250</v>
      </c>
      <c r="AJ855" t="s">
        <v>3250</v>
      </c>
      <c r="AL855" t="s">
        <v>3250</v>
      </c>
      <c r="AM855" t="s">
        <v>3250</v>
      </c>
      <c r="AN855" t="s">
        <v>3250</v>
      </c>
      <c r="AO855" t="s">
        <v>3250</v>
      </c>
      <c r="AS855" t="s">
        <v>3250</v>
      </c>
      <c r="AT855" t="s">
        <v>3250</v>
      </c>
      <c r="AU855" t="s">
        <v>3250</v>
      </c>
      <c r="AV855" t="s">
        <v>3250</v>
      </c>
      <c r="AW855" t="s">
        <v>3250</v>
      </c>
      <c r="AX855" t="s">
        <v>3250</v>
      </c>
      <c r="AY855" t="s">
        <v>3250</v>
      </c>
      <c r="AZ855" t="s">
        <v>3250</v>
      </c>
      <c r="BA855" t="s">
        <v>3250</v>
      </c>
      <c r="BB855" t="s">
        <v>3250</v>
      </c>
      <c r="BC855" t="s">
        <v>3250</v>
      </c>
      <c r="BE855" t="s">
        <v>3250</v>
      </c>
      <c r="BF855" t="s">
        <v>3250</v>
      </c>
      <c r="BG855" t="s">
        <v>3250</v>
      </c>
      <c r="BH855" t="s">
        <v>3250</v>
      </c>
      <c r="BI855" t="s">
        <v>3250</v>
      </c>
      <c r="BK855" t="s">
        <v>3250</v>
      </c>
      <c r="BL855" t="s">
        <v>3250</v>
      </c>
      <c r="BM855" t="s">
        <v>3250</v>
      </c>
      <c r="BN855" t="s">
        <v>3250</v>
      </c>
      <c r="BP855">
        <v>1</v>
      </c>
      <c r="BQ855">
        <v>11</v>
      </c>
      <c r="BR855" t="s">
        <v>1574</v>
      </c>
      <c r="BS855" t="s">
        <v>3252</v>
      </c>
      <c r="BV855">
        <v>0</v>
      </c>
      <c r="BW855">
        <v>0</v>
      </c>
      <c r="BX855">
        <v>0</v>
      </c>
      <c r="BY855">
        <v>0</v>
      </c>
      <c r="BZ855">
        <v>0</v>
      </c>
      <c r="CA855">
        <v>0</v>
      </c>
      <c r="CB855">
        <v>0</v>
      </c>
      <c r="CC855">
        <v>0</v>
      </c>
      <c r="CD855">
        <v>0</v>
      </c>
      <c r="CE855" t="s">
        <v>3108</v>
      </c>
      <c r="CF855" t="s">
        <v>3108</v>
      </c>
      <c r="CG855" t="s">
        <v>3108</v>
      </c>
      <c r="CH855" t="s">
        <v>3108</v>
      </c>
    </row>
    <row r="856" spans="1:86" x14ac:dyDescent="0.2">
      <c r="A856" t="s">
        <v>4533</v>
      </c>
      <c r="B856" t="s">
        <v>4533</v>
      </c>
      <c r="C856">
        <v>41308</v>
      </c>
      <c r="D856">
        <v>721</v>
      </c>
      <c r="E856" t="s">
        <v>4031</v>
      </c>
      <c r="F856">
        <v>2900</v>
      </c>
      <c r="G856" t="s">
        <v>822</v>
      </c>
      <c r="H856" t="s">
        <v>3108</v>
      </c>
      <c r="I856" t="s">
        <v>3108</v>
      </c>
      <c r="J856">
        <v>2904</v>
      </c>
      <c r="K856" t="s">
        <v>1690</v>
      </c>
      <c r="L856">
        <v>1200</v>
      </c>
      <c r="M856" t="s">
        <v>2368</v>
      </c>
      <c r="N856">
        <v>1204</v>
      </c>
      <c r="O856" t="s">
        <v>1574</v>
      </c>
      <c r="P856" t="s">
        <v>3108</v>
      </c>
      <c r="Q856" t="s">
        <v>3249</v>
      </c>
      <c r="R856" t="s">
        <v>3249</v>
      </c>
      <c r="S856" t="s">
        <v>810</v>
      </c>
      <c r="T856" t="s">
        <v>2754</v>
      </c>
      <c r="U856" t="s">
        <v>3250</v>
      </c>
      <c r="V856" t="s">
        <v>3250</v>
      </c>
      <c r="W856" t="s">
        <v>3250</v>
      </c>
      <c r="X856" t="s">
        <v>3250</v>
      </c>
      <c r="Y856" t="s">
        <v>3250</v>
      </c>
      <c r="Z856" t="s">
        <v>3250</v>
      </c>
      <c r="AA856" t="s">
        <v>3108</v>
      </c>
      <c r="AB856" t="s">
        <v>3108</v>
      </c>
      <c r="AC856" t="s">
        <v>3250</v>
      </c>
      <c r="AD856" t="s">
        <v>3250</v>
      </c>
      <c r="AE856" t="s">
        <v>3250</v>
      </c>
      <c r="AF856" t="s">
        <v>3250</v>
      </c>
      <c r="AG856" t="s">
        <v>3250</v>
      </c>
      <c r="AH856" t="s">
        <v>3250</v>
      </c>
      <c r="AI856" t="s">
        <v>3250</v>
      </c>
      <c r="AJ856" t="s">
        <v>3250</v>
      </c>
      <c r="AL856" t="s">
        <v>3250</v>
      </c>
      <c r="AM856" t="s">
        <v>3250</v>
      </c>
      <c r="AN856" t="s">
        <v>3250</v>
      </c>
      <c r="AO856" t="s">
        <v>3250</v>
      </c>
      <c r="AS856" t="s">
        <v>3250</v>
      </c>
      <c r="AT856" t="s">
        <v>3250</v>
      </c>
      <c r="AU856" t="s">
        <v>3250</v>
      </c>
      <c r="AV856" t="s">
        <v>3250</v>
      </c>
      <c r="AW856" t="s">
        <v>3250</v>
      </c>
      <c r="AX856" t="s">
        <v>3250</v>
      </c>
      <c r="AY856" t="s">
        <v>3250</v>
      </c>
      <c r="AZ856" t="s">
        <v>3250</v>
      </c>
      <c r="BA856" t="s">
        <v>3250</v>
      </c>
      <c r="BB856" t="s">
        <v>3250</v>
      </c>
      <c r="BC856" t="s">
        <v>3250</v>
      </c>
      <c r="BE856" t="s">
        <v>3250</v>
      </c>
      <c r="BF856" t="s">
        <v>3250</v>
      </c>
      <c r="BG856" t="s">
        <v>3250</v>
      </c>
      <c r="BH856" t="s">
        <v>3250</v>
      </c>
      <c r="BI856" t="s">
        <v>3250</v>
      </c>
      <c r="BK856" t="s">
        <v>3250</v>
      </c>
      <c r="BL856" t="s">
        <v>3250</v>
      </c>
      <c r="BM856" t="s">
        <v>3250</v>
      </c>
      <c r="BN856" t="s">
        <v>3250</v>
      </c>
      <c r="BP856">
        <v>1</v>
      </c>
      <c r="BQ856">
        <v>11</v>
      </c>
      <c r="BR856" t="s">
        <v>1574</v>
      </c>
      <c r="BS856" t="s">
        <v>3252</v>
      </c>
      <c r="BV856">
        <v>34702</v>
      </c>
      <c r="BW856">
        <v>23750</v>
      </c>
      <c r="BX856">
        <v>13297</v>
      </c>
      <c r="BY856">
        <v>0</v>
      </c>
      <c r="BZ856">
        <v>200000</v>
      </c>
      <c r="CA856">
        <v>207800</v>
      </c>
      <c r="CB856">
        <v>216112</v>
      </c>
      <c r="CC856">
        <v>224756</v>
      </c>
      <c r="CD856">
        <v>179739</v>
      </c>
      <c r="CE856" t="s">
        <v>3108</v>
      </c>
      <c r="CF856" t="s">
        <v>3108</v>
      </c>
      <c r="CG856" t="s">
        <v>3108</v>
      </c>
      <c r="CH856" t="s">
        <v>3108</v>
      </c>
    </row>
    <row r="857" spans="1:86" x14ac:dyDescent="0.2">
      <c r="A857" t="s">
        <v>4534</v>
      </c>
      <c r="B857" t="s">
        <v>4534</v>
      </c>
      <c r="C857">
        <v>41309</v>
      </c>
      <c r="D857">
        <v>722</v>
      </c>
      <c r="E857" t="s">
        <v>4103</v>
      </c>
      <c r="F857">
        <v>2900</v>
      </c>
      <c r="G857" t="s">
        <v>822</v>
      </c>
      <c r="H857" t="s">
        <v>3108</v>
      </c>
      <c r="I857" t="s">
        <v>3108</v>
      </c>
      <c r="J857">
        <v>2904</v>
      </c>
      <c r="K857" t="s">
        <v>1690</v>
      </c>
      <c r="L857">
        <v>1200</v>
      </c>
      <c r="M857" t="s">
        <v>2368</v>
      </c>
      <c r="N857">
        <v>1204</v>
      </c>
      <c r="O857" t="s">
        <v>1574</v>
      </c>
      <c r="P857" t="s">
        <v>3108</v>
      </c>
      <c r="Q857" t="s">
        <v>3249</v>
      </c>
      <c r="R857" t="s">
        <v>3249</v>
      </c>
      <c r="S857" t="s">
        <v>810</v>
      </c>
      <c r="T857" t="s">
        <v>2754</v>
      </c>
      <c r="U857" t="s">
        <v>3250</v>
      </c>
      <c r="V857" t="s">
        <v>3250</v>
      </c>
      <c r="W857" t="s">
        <v>3250</v>
      </c>
      <c r="X857" t="s">
        <v>3250</v>
      </c>
      <c r="Y857" t="s">
        <v>3250</v>
      </c>
      <c r="Z857" t="s">
        <v>3250</v>
      </c>
      <c r="AA857" t="s">
        <v>3108</v>
      </c>
      <c r="AB857" t="s">
        <v>3108</v>
      </c>
      <c r="AC857" t="s">
        <v>3250</v>
      </c>
      <c r="AD857" t="s">
        <v>3250</v>
      </c>
      <c r="AE857" t="s">
        <v>3250</v>
      </c>
      <c r="AF857" t="s">
        <v>3250</v>
      </c>
      <c r="AG857" t="s">
        <v>3250</v>
      </c>
      <c r="AH857" t="s">
        <v>3250</v>
      </c>
      <c r="AI857" t="s">
        <v>3250</v>
      </c>
      <c r="AJ857" t="s">
        <v>3250</v>
      </c>
      <c r="AL857" t="s">
        <v>3250</v>
      </c>
      <c r="AM857" t="s">
        <v>3250</v>
      </c>
      <c r="AN857" t="s">
        <v>3250</v>
      </c>
      <c r="AO857" t="s">
        <v>3250</v>
      </c>
      <c r="AS857" t="s">
        <v>3250</v>
      </c>
      <c r="AT857" t="s">
        <v>3250</v>
      </c>
      <c r="AU857" t="s">
        <v>3250</v>
      </c>
      <c r="AV857" t="s">
        <v>3250</v>
      </c>
      <c r="AW857" t="s">
        <v>3250</v>
      </c>
      <c r="AX857" t="s">
        <v>3250</v>
      </c>
      <c r="AY857" t="s">
        <v>3250</v>
      </c>
      <c r="AZ857" t="s">
        <v>3250</v>
      </c>
      <c r="BA857" t="s">
        <v>3250</v>
      </c>
      <c r="BB857" t="s">
        <v>3250</v>
      </c>
      <c r="BC857" t="s">
        <v>3250</v>
      </c>
      <c r="BE857" t="s">
        <v>3250</v>
      </c>
      <c r="BF857" t="s">
        <v>3250</v>
      </c>
      <c r="BG857" t="s">
        <v>3250</v>
      </c>
      <c r="BH857" t="s">
        <v>3250</v>
      </c>
      <c r="BI857" t="s">
        <v>3250</v>
      </c>
      <c r="BK857" t="s">
        <v>3250</v>
      </c>
      <c r="BL857" t="s">
        <v>3250</v>
      </c>
      <c r="BM857" t="s">
        <v>3250</v>
      </c>
      <c r="BN857" t="s">
        <v>3250</v>
      </c>
      <c r="BP857">
        <v>1</v>
      </c>
      <c r="BQ857">
        <v>11</v>
      </c>
      <c r="BR857" t="s">
        <v>1574</v>
      </c>
      <c r="BS857" t="s">
        <v>3252</v>
      </c>
      <c r="BV857">
        <v>0</v>
      </c>
      <c r="BW857">
        <v>0</v>
      </c>
      <c r="BX857">
        <v>18</v>
      </c>
      <c r="BY857">
        <v>0</v>
      </c>
      <c r="BZ857">
        <v>0</v>
      </c>
      <c r="CA857">
        <v>0</v>
      </c>
      <c r="CB857">
        <v>0</v>
      </c>
      <c r="CC857">
        <v>0</v>
      </c>
      <c r="CD857">
        <v>0</v>
      </c>
      <c r="CE857" t="s">
        <v>3108</v>
      </c>
      <c r="CF857" t="s">
        <v>3108</v>
      </c>
      <c r="CG857" t="s">
        <v>3108</v>
      </c>
      <c r="CH857" t="s">
        <v>3108</v>
      </c>
    </row>
    <row r="858" spans="1:86" x14ac:dyDescent="0.2">
      <c r="A858" t="s">
        <v>4535</v>
      </c>
      <c r="B858" t="s">
        <v>4535</v>
      </c>
      <c r="C858">
        <v>41310</v>
      </c>
      <c r="D858">
        <v>723</v>
      </c>
      <c r="E858" t="s">
        <v>4033</v>
      </c>
      <c r="F858">
        <v>2900</v>
      </c>
      <c r="G858" t="s">
        <v>822</v>
      </c>
      <c r="H858" t="s">
        <v>3108</v>
      </c>
      <c r="I858" t="s">
        <v>3108</v>
      </c>
      <c r="J858">
        <v>2904</v>
      </c>
      <c r="K858" t="s">
        <v>1690</v>
      </c>
      <c r="L858">
        <v>1200</v>
      </c>
      <c r="M858" t="s">
        <v>2368</v>
      </c>
      <c r="N858">
        <v>1204</v>
      </c>
      <c r="O858" t="s">
        <v>1574</v>
      </c>
      <c r="P858" t="s">
        <v>3108</v>
      </c>
      <c r="Q858" t="s">
        <v>3249</v>
      </c>
      <c r="R858" t="s">
        <v>3249</v>
      </c>
      <c r="S858" t="s">
        <v>810</v>
      </c>
      <c r="T858" t="s">
        <v>2754</v>
      </c>
      <c r="U858" t="s">
        <v>3250</v>
      </c>
      <c r="V858" t="s">
        <v>3250</v>
      </c>
      <c r="W858" t="s">
        <v>3250</v>
      </c>
      <c r="X858" t="s">
        <v>3250</v>
      </c>
      <c r="Y858" t="s">
        <v>3250</v>
      </c>
      <c r="Z858" t="s">
        <v>3250</v>
      </c>
      <c r="AA858" t="s">
        <v>3108</v>
      </c>
      <c r="AB858" t="s">
        <v>3108</v>
      </c>
      <c r="AC858" t="s">
        <v>3250</v>
      </c>
      <c r="AD858" t="s">
        <v>3250</v>
      </c>
      <c r="AE858" t="s">
        <v>3250</v>
      </c>
      <c r="AF858" t="s">
        <v>3250</v>
      </c>
      <c r="AG858" t="s">
        <v>3250</v>
      </c>
      <c r="AH858" t="s">
        <v>3250</v>
      </c>
      <c r="AI858" t="s">
        <v>3250</v>
      </c>
      <c r="AJ858" t="s">
        <v>3250</v>
      </c>
      <c r="AL858" t="s">
        <v>3250</v>
      </c>
      <c r="AM858" t="s">
        <v>3250</v>
      </c>
      <c r="AN858" t="s">
        <v>3250</v>
      </c>
      <c r="AO858" t="s">
        <v>3250</v>
      </c>
      <c r="AS858" t="s">
        <v>3250</v>
      </c>
      <c r="AT858" t="s">
        <v>3250</v>
      </c>
      <c r="AU858" t="s">
        <v>3250</v>
      </c>
      <c r="AV858" t="s">
        <v>3250</v>
      </c>
      <c r="AW858" t="s">
        <v>3250</v>
      </c>
      <c r="AX858" t="s">
        <v>3250</v>
      </c>
      <c r="AY858" t="s">
        <v>3250</v>
      </c>
      <c r="AZ858" t="s">
        <v>3250</v>
      </c>
      <c r="BA858" t="s">
        <v>3250</v>
      </c>
      <c r="BB858" t="s">
        <v>3250</v>
      </c>
      <c r="BC858" t="s">
        <v>3250</v>
      </c>
      <c r="BE858" t="s">
        <v>3250</v>
      </c>
      <c r="BF858" t="s">
        <v>3250</v>
      </c>
      <c r="BG858" t="s">
        <v>3250</v>
      </c>
      <c r="BH858" t="s">
        <v>3250</v>
      </c>
      <c r="BI858" t="s">
        <v>3250</v>
      </c>
      <c r="BK858" t="s">
        <v>3250</v>
      </c>
      <c r="BL858" t="s">
        <v>3250</v>
      </c>
      <c r="BM858" t="s">
        <v>3250</v>
      </c>
      <c r="BN858" t="s">
        <v>3250</v>
      </c>
      <c r="BP858">
        <v>1</v>
      </c>
      <c r="BQ858">
        <v>11</v>
      </c>
      <c r="BR858" t="s">
        <v>1574</v>
      </c>
      <c r="BS858" t="s">
        <v>3252</v>
      </c>
      <c r="BV858">
        <v>0</v>
      </c>
      <c r="BW858">
        <v>0</v>
      </c>
      <c r="BX858">
        <v>0</v>
      </c>
      <c r="BY858">
        <v>0</v>
      </c>
      <c r="BZ858">
        <v>0</v>
      </c>
      <c r="CA858">
        <v>0</v>
      </c>
      <c r="CB858">
        <v>0</v>
      </c>
      <c r="CC858">
        <v>0</v>
      </c>
      <c r="CD858">
        <v>0</v>
      </c>
      <c r="CE858" t="s">
        <v>3108</v>
      </c>
      <c r="CF858" t="s">
        <v>3108</v>
      </c>
      <c r="CG858" t="s">
        <v>3108</v>
      </c>
      <c r="CH858" t="s">
        <v>3108</v>
      </c>
    </row>
    <row r="859" spans="1:86" x14ac:dyDescent="0.2">
      <c r="A859" t="s">
        <v>4536</v>
      </c>
      <c r="B859" t="s">
        <v>4536</v>
      </c>
      <c r="C859">
        <v>41311</v>
      </c>
      <c r="D859">
        <v>724</v>
      </c>
      <c r="E859" t="s">
        <v>4106</v>
      </c>
      <c r="F859">
        <v>2900</v>
      </c>
      <c r="G859" t="s">
        <v>822</v>
      </c>
      <c r="H859" t="s">
        <v>3108</v>
      </c>
      <c r="I859" t="s">
        <v>3108</v>
      </c>
      <c r="J859">
        <v>2904</v>
      </c>
      <c r="K859" t="s">
        <v>1690</v>
      </c>
      <c r="L859">
        <v>1200</v>
      </c>
      <c r="M859" t="s">
        <v>2368</v>
      </c>
      <c r="N859">
        <v>1204</v>
      </c>
      <c r="O859" t="s">
        <v>1574</v>
      </c>
      <c r="P859" t="s">
        <v>3108</v>
      </c>
      <c r="Q859" t="s">
        <v>3249</v>
      </c>
      <c r="R859" t="s">
        <v>3249</v>
      </c>
      <c r="S859" t="s">
        <v>810</v>
      </c>
      <c r="T859" t="s">
        <v>2754</v>
      </c>
      <c r="U859" t="s">
        <v>3250</v>
      </c>
      <c r="V859" t="s">
        <v>3250</v>
      </c>
      <c r="W859" t="s">
        <v>3250</v>
      </c>
      <c r="X859" t="s">
        <v>3250</v>
      </c>
      <c r="Y859" t="s">
        <v>3250</v>
      </c>
      <c r="Z859" t="s">
        <v>3250</v>
      </c>
      <c r="AA859" t="s">
        <v>3108</v>
      </c>
      <c r="AB859" t="s">
        <v>3108</v>
      </c>
      <c r="AC859" t="s">
        <v>3250</v>
      </c>
      <c r="AD859" t="s">
        <v>3250</v>
      </c>
      <c r="AE859" t="s">
        <v>3250</v>
      </c>
      <c r="AF859" t="s">
        <v>3250</v>
      </c>
      <c r="AG859" t="s">
        <v>3250</v>
      </c>
      <c r="AH859" t="s">
        <v>3250</v>
      </c>
      <c r="AI859" t="s">
        <v>3250</v>
      </c>
      <c r="AJ859" t="s">
        <v>3250</v>
      </c>
      <c r="AL859" t="s">
        <v>3250</v>
      </c>
      <c r="AM859" t="s">
        <v>3250</v>
      </c>
      <c r="AN859" t="s">
        <v>3250</v>
      </c>
      <c r="AO859" t="s">
        <v>3250</v>
      </c>
      <c r="AS859" t="s">
        <v>3250</v>
      </c>
      <c r="AT859" t="s">
        <v>3250</v>
      </c>
      <c r="AU859" t="s">
        <v>3250</v>
      </c>
      <c r="AV859" t="s">
        <v>3250</v>
      </c>
      <c r="AW859" t="s">
        <v>3250</v>
      </c>
      <c r="AX859" t="s">
        <v>3250</v>
      </c>
      <c r="AY859" t="s">
        <v>3250</v>
      </c>
      <c r="AZ859" t="s">
        <v>3250</v>
      </c>
      <c r="BA859" t="s">
        <v>3250</v>
      </c>
      <c r="BB859" t="s">
        <v>3250</v>
      </c>
      <c r="BC859" t="s">
        <v>3250</v>
      </c>
      <c r="BE859" t="s">
        <v>3250</v>
      </c>
      <c r="BF859" t="s">
        <v>3250</v>
      </c>
      <c r="BG859" t="s">
        <v>3250</v>
      </c>
      <c r="BH859" t="s">
        <v>3250</v>
      </c>
      <c r="BI859" t="s">
        <v>3250</v>
      </c>
      <c r="BK859" t="s">
        <v>3250</v>
      </c>
      <c r="BL859" t="s">
        <v>3250</v>
      </c>
      <c r="BM859" t="s">
        <v>3250</v>
      </c>
      <c r="BN859" t="s">
        <v>3250</v>
      </c>
      <c r="BP859">
        <v>1</v>
      </c>
      <c r="BQ859">
        <v>11</v>
      </c>
      <c r="BR859" t="s">
        <v>1574</v>
      </c>
      <c r="BS859" t="s">
        <v>3252</v>
      </c>
      <c r="BV859">
        <v>0</v>
      </c>
      <c r="BW859">
        <v>0</v>
      </c>
      <c r="BX859">
        <v>0</v>
      </c>
      <c r="BY859">
        <v>0</v>
      </c>
      <c r="BZ859">
        <v>0</v>
      </c>
      <c r="CA859">
        <v>0</v>
      </c>
      <c r="CB859">
        <v>0</v>
      </c>
      <c r="CC859">
        <v>0</v>
      </c>
      <c r="CD859">
        <v>0</v>
      </c>
      <c r="CE859" t="s">
        <v>3108</v>
      </c>
      <c r="CF859" t="s">
        <v>3108</v>
      </c>
      <c r="CG859" t="s">
        <v>3108</v>
      </c>
      <c r="CH859" t="s">
        <v>3108</v>
      </c>
    </row>
    <row r="860" spans="1:86" x14ac:dyDescent="0.2">
      <c r="A860" t="s">
        <v>4537</v>
      </c>
      <c r="B860" t="s">
        <v>4537</v>
      </c>
      <c r="C860">
        <v>41313</v>
      </c>
      <c r="D860">
        <v>796</v>
      </c>
      <c r="E860" t="s">
        <v>4538</v>
      </c>
      <c r="F860">
        <v>1600</v>
      </c>
      <c r="G860" t="s">
        <v>1360</v>
      </c>
      <c r="H860">
        <v>1600</v>
      </c>
      <c r="I860" t="s">
        <v>2017</v>
      </c>
      <c r="J860" t="s">
        <v>3250</v>
      </c>
      <c r="K860" t="s">
        <v>3250</v>
      </c>
      <c r="L860">
        <v>1200</v>
      </c>
      <c r="M860" t="s">
        <v>2368</v>
      </c>
      <c r="N860">
        <v>1204</v>
      </c>
      <c r="O860" t="s">
        <v>1574</v>
      </c>
      <c r="P860" t="s">
        <v>3108</v>
      </c>
      <c r="Q860" t="s">
        <v>3249</v>
      </c>
      <c r="R860" t="s">
        <v>3249</v>
      </c>
      <c r="S860" t="s">
        <v>472</v>
      </c>
      <c r="T860" t="s">
        <v>2759</v>
      </c>
      <c r="U860" t="s">
        <v>3250</v>
      </c>
      <c r="V860" t="s">
        <v>3250</v>
      </c>
      <c r="W860" t="s">
        <v>3250</v>
      </c>
      <c r="X860" t="s">
        <v>3250</v>
      </c>
      <c r="Y860" t="s">
        <v>3250</v>
      </c>
      <c r="Z860" t="s">
        <v>3250</v>
      </c>
      <c r="AA860" t="s">
        <v>3108</v>
      </c>
      <c r="AB860" t="s">
        <v>3108</v>
      </c>
      <c r="AC860" t="s">
        <v>3250</v>
      </c>
      <c r="AD860" t="s">
        <v>3250</v>
      </c>
      <c r="AE860" t="s">
        <v>3250</v>
      </c>
      <c r="AF860" t="s">
        <v>3250</v>
      </c>
      <c r="AG860" t="s">
        <v>3250</v>
      </c>
      <c r="AH860" t="s">
        <v>3250</v>
      </c>
      <c r="AI860" t="s">
        <v>3250</v>
      </c>
      <c r="AJ860" t="s">
        <v>3250</v>
      </c>
      <c r="AL860" t="s">
        <v>3250</v>
      </c>
      <c r="AM860" t="s">
        <v>3250</v>
      </c>
      <c r="AN860" t="s">
        <v>3250</v>
      </c>
      <c r="AO860" t="s">
        <v>3250</v>
      </c>
      <c r="AS860" t="s">
        <v>3250</v>
      </c>
      <c r="AT860" t="s">
        <v>3250</v>
      </c>
      <c r="AU860" t="s">
        <v>3250</v>
      </c>
      <c r="AV860" t="s">
        <v>3250</v>
      </c>
      <c r="AW860" t="s">
        <v>3250</v>
      </c>
      <c r="AX860" t="s">
        <v>3250</v>
      </c>
      <c r="AY860" t="s">
        <v>3250</v>
      </c>
      <c r="AZ860" t="s">
        <v>3250</v>
      </c>
      <c r="BA860" t="s">
        <v>3250</v>
      </c>
      <c r="BB860" t="s">
        <v>3250</v>
      </c>
      <c r="BC860" t="s">
        <v>3250</v>
      </c>
      <c r="BE860" t="s">
        <v>3250</v>
      </c>
      <c r="BF860" t="s">
        <v>3250</v>
      </c>
      <c r="BG860" t="s">
        <v>3250</v>
      </c>
      <c r="BH860" t="s">
        <v>3250</v>
      </c>
      <c r="BI860" t="s">
        <v>3250</v>
      </c>
      <c r="BK860" t="s">
        <v>3250</v>
      </c>
      <c r="BL860" t="s">
        <v>3250</v>
      </c>
      <c r="BM860" t="s">
        <v>3250</v>
      </c>
      <c r="BN860" t="s">
        <v>3250</v>
      </c>
      <c r="BP860">
        <v>1</v>
      </c>
      <c r="BQ860">
        <v>11</v>
      </c>
      <c r="BR860" t="s">
        <v>1574</v>
      </c>
      <c r="BS860" t="s">
        <v>3252</v>
      </c>
      <c r="BV860">
        <v>10416</v>
      </c>
      <c r="BW860">
        <v>10812</v>
      </c>
      <c r="BX860">
        <v>15105</v>
      </c>
      <c r="BY860">
        <v>-11289</v>
      </c>
      <c r="BZ860">
        <v>-11289</v>
      </c>
      <c r="CA860">
        <v>-11729</v>
      </c>
      <c r="CB860">
        <v>-12198</v>
      </c>
      <c r="CC860">
        <v>-12686</v>
      </c>
      <c r="CD860">
        <v>10546</v>
      </c>
      <c r="CE860" t="s">
        <v>3108</v>
      </c>
      <c r="CF860" t="s">
        <v>3108</v>
      </c>
      <c r="CG860" t="s">
        <v>3108</v>
      </c>
      <c r="CH860" t="s">
        <v>3108</v>
      </c>
    </row>
    <row r="861" spans="1:86" x14ac:dyDescent="0.2">
      <c r="A861" t="s">
        <v>4539</v>
      </c>
      <c r="B861" t="s">
        <v>4539</v>
      </c>
      <c r="C861">
        <v>41314</v>
      </c>
      <c r="D861">
        <v>797</v>
      </c>
      <c r="E861" t="s">
        <v>4540</v>
      </c>
      <c r="F861">
        <v>900</v>
      </c>
      <c r="G861" t="s">
        <v>403</v>
      </c>
      <c r="H861">
        <v>900</v>
      </c>
      <c r="I861" t="s">
        <v>403</v>
      </c>
      <c r="J861" t="s">
        <v>3250</v>
      </c>
      <c r="K861" t="s">
        <v>3250</v>
      </c>
      <c r="L861">
        <v>1200</v>
      </c>
      <c r="M861" t="s">
        <v>2368</v>
      </c>
      <c r="N861">
        <v>1204</v>
      </c>
      <c r="O861" t="s">
        <v>1574</v>
      </c>
      <c r="P861" t="s">
        <v>3108</v>
      </c>
      <c r="Q861" t="s">
        <v>3249</v>
      </c>
      <c r="R861" t="s">
        <v>3249</v>
      </c>
      <c r="S861" t="s">
        <v>472</v>
      </c>
      <c r="T861" t="s">
        <v>2759</v>
      </c>
      <c r="U861" t="s">
        <v>3250</v>
      </c>
      <c r="V861" t="s">
        <v>3250</v>
      </c>
      <c r="W861" t="s">
        <v>3250</v>
      </c>
      <c r="X861" t="s">
        <v>3250</v>
      </c>
      <c r="Y861" t="s">
        <v>3250</v>
      </c>
      <c r="Z861" t="s">
        <v>3250</v>
      </c>
      <c r="AA861" t="s">
        <v>3108</v>
      </c>
      <c r="AB861" t="s">
        <v>3108</v>
      </c>
      <c r="AC861" t="s">
        <v>3250</v>
      </c>
      <c r="AD861" t="s">
        <v>3250</v>
      </c>
      <c r="AE861" t="s">
        <v>3250</v>
      </c>
      <c r="AF861" t="s">
        <v>3250</v>
      </c>
      <c r="AG861" t="s">
        <v>3250</v>
      </c>
      <c r="AH861" t="s">
        <v>3250</v>
      </c>
      <c r="AI861" t="s">
        <v>3250</v>
      </c>
      <c r="AJ861" t="s">
        <v>3250</v>
      </c>
      <c r="AL861" t="s">
        <v>3250</v>
      </c>
      <c r="AM861" t="s">
        <v>3250</v>
      </c>
      <c r="AN861" t="s">
        <v>3250</v>
      </c>
      <c r="AO861" t="s">
        <v>3250</v>
      </c>
      <c r="AS861" t="s">
        <v>3250</v>
      </c>
      <c r="AT861" t="s">
        <v>3250</v>
      </c>
      <c r="AU861" t="s">
        <v>3250</v>
      </c>
      <c r="AV861" t="s">
        <v>3250</v>
      </c>
      <c r="AW861" t="s">
        <v>3250</v>
      </c>
      <c r="AX861" t="s">
        <v>3250</v>
      </c>
      <c r="AY861" t="s">
        <v>3250</v>
      </c>
      <c r="AZ861" t="s">
        <v>3250</v>
      </c>
      <c r="BA861" t="s">
        <v>3250</v>
      </c>
      <c r="BB861" t="s">
        <v>3250</v>
      </c>
      <c r="BC861" t="s">
        <v>3250</v>
      </c>
      <c r="BE861" t="s">
        <v>3250</v>
      </c>
      <c r="BF861" t="s">
        <v>3250</v>
      </c>
      <c r="BG861" t="s">
        <v>3250</v>
      </c>
      <c r="BH861" t="s">
        <v>3250</v>
      </c>
      <c r="BI861" t="s">
        <v>3250</v>
      </c>
      <c r="BK861" t="s">
        <v>3250</v>
      </c>
      <c r="BL861" t="s">
        <v>3250</v>
      </c>
      <c r="BM861" t="s">
        <v>3250</v>
      </c>
      <c r="BN861" t="s">
        <v>3250</v>
      </c>
      <c r="BP861">
        <v>1</v>
      </c>
      <c r="BQ861">
        <v>11</v>
      </c>
      <c r="BR861" t="s">
        <v>1574</v>
      </c>
      <c r="BS861" t="s">
        <v>3252</v>
      </c>
      <c r="BV861">
        <v>4285972</v>
      </c>
      <c r="BW861">
        <v>4539279</v>
      </c>
      <c r="BX861">
        <v>3483773</v>
      </c>
      <c r="BY861">
        <v>-3850000</v>
      </c>
      <c r="BZ861">
        <v>-3850000</v>
      </c>
      <c r="CA861">
        <v>-4000150</v>
      </c>
      <c r="CB861">
        <v>-4160156</v>
      </c>
      <c r="CC861">
        <v>-4326562</v>
      </c>
      <c r="CD861">
        <v>1350978</v>
      </c>
      <c r="CE861" t="s">
        <v>3108</v>
      </c>
      <c r="CF861" t="s">
        <v>3108</v>
      </c>
      <c r="CG861" t="s">
        <v>3108</v>
      </c>
      <c r="CH861" t="s">
        <v>3108</v>
      </c>
    </row>
    <row r="862" spans="1:86" x14ac:dyDescent="0.2">
      <c r="A862" t="s">
        <v>4541</v>
      </c>
      <c r="B862" t="s">
        <v>4541</v>
      </c>
      <c r="C862">
        <v>41315</v>
      </c>
      <c r="D862">
        <v>798</v>
      </c>
      <c r="E862" t="s">
        <v>4542</v>
      </c>
      <c r="F862">
        <v>1000</v>
      </c>
      <c r="G862" t="s">
        <v>404</v>
      </c>
      <c r="H862">
        <v>1000</v>
      </c>
      <c r="I862" t="s">
        <v>404</v>
      </c>
      <c r="J862" t="s">
        <v>3250</v>
      </c>
      <c r="K862" t="s">
        <v>3250</v>
      </c>
      <c r="L862">
        <v>1200</v>
      </c>
      <c r="M862" t="s">
        <v>2368</v>
      </c>
      <c r="N862">
        <v>1204</v>
      </c>
      <c r="O862" t="s">
        <v>1574</v>
      </c>
      <c r="P862" t="s">
        <v>3108</v>
      </c>
      <c r="Q862" t="s">
        <v>3249</v>
      </c>
      <c r="R862" t="s">
        <v>3249</v>
      </c>
      <c r="S862" t="s">
        <v>472</v>
      </c>
      <c r="T862" t="s">
        <v>2759</v>
      </c>
      <c r="U862" t="s">
        <v>3250</v>
      </c>
      <c r="V862" t="s">
        <v>3250</v>
      </c>
      <c r="W862" t="s">
        <v>3250</v>
      </c>
      <c r="X862" t="s">
        <v>3250</v>
      </c>
      <c r="Y862" t="s">
        <v>3250</v>
      </c>
      <c r="Z862" t="s">
        <v>3250</v>
      </c>
      <c r="AA862" t="s">
        <v>3108</v>
      </c>
      <c r="AB862" t="s">
        <v>3108</v>
      </c>
      <c r="AC862" t="s">
        <v>3250</v>
      </c>
      <c r="AD862" t="s">
        <v>3250</v>
      </c>
      <c r="AE862" t="s">
        <v>3250</v>
      </c>
      <c r="AF862" t="s">
        <v>3250</v>
      </c>
      <c r="AG862" t="s">
        <v>3250</v>
      </c>
      <c r="AH862" t="s">
        <v>3250</v>
      </c>
      <c r="AI862" t="s">
        <v>3250</v>
      </c>
      <c r="AJ862" t="s">
        <v>3250</v>
      </c>
      <c r="AL862" t="s">
        <v>3250</v>
      </c>
      <c r="AM862" t="s">
        <v>3250</v>
      </c>
      <c r="AN862" t="s">
        <v>3250</v>
      </c>
      <c r="AO862" t="s">
        <v>3250</v>
      </c>
      <c r="AS862" t="s">
        <v>3250</v>
      </c>
      <c r="AT862" t="s">
        <v>3250</v>
      </c>
      <c r="AU862" t="s">
        <v>3250</v>
      </c>
      <c r="AV862" t="s">
        <v>3250</v>
      </c>
      <c r="AW862" t="s">
        <v>3250</v>
      </c>
      <c r="AX862" t="s">
        <v>3250</v>
      </c>
      <c r="AY862" t="s">
        <v>3250</v>
      </c>
      <c r="AZ862" t="s">
        <v>3250</v>
      </c>
      <c r="BA862" t="s">
        <v>3250</v>
      </c>
      <c r="BB862" t="s">
        <v>3250</v>
      </c>
      <c r="BC862" t="s">
        <v>3250</v>
      </c>
      <c r="BE862" t="s">
        <v>3250</v>
      </c>
      <c r="BF862" t="s">
        <v>3250</v>
      </c>
      <c r="BG862" t="s">
        <v>3250</v>
      </c>
      <c r="BH862" t="s">
        <v>3250</v>
      </c>
      <c r="BI862" t="s">
        <v>3250</v>
      </c>
      <c r="BK862" t="s">
        <v>3250</v>
      </c>
      <c r="BL862" t="s">
        <v>3250</v>
      </c>
      <c r="BM862" t="s">
        <v>3250</v>
      </c>
      <c r="BN862" t="s">
        <v>3250</v>
      </c>
      <c r="BP862">
        <v>1</v>
      </c>
      <c r="BQ862">
        <v>11</v>
      </c>
      <c r="BR862" t="s">
        <v>1574</v>
      </c>
      <c r="BS862" t="s">
        <v>3252</v>
      </c>
      <c r="BV862">
        <v>940603</v>
      </c>
      <c r="BW862">
        <v>3697592</v>
      </c>
      <c r="BX862">
        <v>2888141</v>
      </c>
      <c r="BY862">
        <v>-1883321</v>
      </c>
      <c r="BZ862">
        <v>0</v>
      </c>
      <c r="CA862">
        <v>0</v>
      </c>
      <c r="CB862">
        <v>0</v>
      </c>
      <c r="CC862">
        <v>0</v>
      </c>
      <c r="CD862">
        <v>-19738</v>
      </c>
      <c r="CE862" t="s">
        <v>3108</v>
      </c>
      <c r="CF862" t="s">
        <v>3108</v>
      </c>
      <c r="CG862" t="s">
        <v>3108</v>
      </c>
      <c r="CH862" t="s">
        <v>3108</v>
      </c>
    </row>
    <row r="863" spans="1:86" x14ac:dyDescent="0.2">
      <c r="A863" t="s">
        <v>4543</v>
      </c>
      <c r="B863" t="s">
        <v>4543</v>
      </c>
      <c r="C863">
        <v>41316</v>
      </c>
      <c r="D863">
        <v>799</v>
      </c>
      <c r="E863" t="s">
        <v>4544</v>
      </c>
      <c r="F863">
        <v>1000</v>
      </c>
      <c r="G863" t="s">
        <v>404</v>
      </c>
      <c r="H863">
        <v>1000</v>
      </c>
      <c r="I863" t="s">
        <v>404</v>
      </c>
      <c r="J863" t="s">
        <v>3250</v>
      </c>
      <c r="K863" t="s">
        <v>3250</v>
      </c>
      <c r="L863">
        <v>1200</v>
      </c>
      <c r="M863" t="s">
        <v>2368</v>
      </c>
      <c r="N863">
        <v>1204</v>
      </c>
      <c r="O863" t="s">
        <v>1574</v>
      </c>
      <c r="P863" t="s">
        <v>3108</v>
      </c>
      <c r="Q863" t="s">
        <v>3249</v>
      </c>
      <c r="R863" t="s">
        <v>3249</v>
      </c>
      <c r="S863" t="s">
        <v>472</v>
      </c>
      <c r="T863" t="s">
        <v>2759</v>
      </c>
      <c r="U863" t="s">
        <v>3250</v>
      </c>
      <c r="V863" t="s">
        <v>3250</v>
      </c>
      <c r="W863" t="s">
        <v>3250</v>
      </c>
      <c r="X863" t="s">
        <v>3250</v>
      </c>
      <c r="Y863" t="s">
        <v>3250</v>
      </c>
      <c r="Z863" t="s">
        <v>3250</v>
      </c>
      <c r="AA863" t="s">
        <v>3108</v>
      </c>
      <c r="AB863" t="s">
        <v>3108</v>
      </c>
      <c r="AC863" t="s">
        <v>3250</v>
      </c>
      <c r="AD863" t="s">
        <v>3250</v>
      </c>
      <c r="AE863" t="s">
        <v>3250</v>
      </c>
      <c r="AF863" t="s">
        <v>3250</v>
      </c>
      <c r="AG863" t="s">
        <v>3250</v>
      </c>
      <c r="AH863" t="s">
        <v>3250</v>
      </c>
      <c r="AI863" t="s">
        <v>3250</v>
      </c>
      <c r="AJ863" t="s">
        <v>3250</v>
      </c>
      <c r="AL863" t="s">
        <v>3250</v>
      </c>
      <c r="AM863" t="s">
        <v>3250</v>
      </c>
      <c r="AN863" t="s">
        <v>3250</v>
      </c>
      <c r="AO863" t="s">
        <v>3250</v>
      </c>
      <c r="AS863" t="s">
        <v>3250</v>
      </c>
      <c r="AT863" t="s">
        <v>3250</v>
      </c>
      <c r="AU863" t="s">
        <v>3250</v>
      </c>
      <c r="AV863" t="s">
        <v>3250</v>
      </c>
      <c r="AW863" t="s">
        <v>3250</v>
      </c>
      <c r="AX863" t="s">
        <v>3250</v>
      </c>
      <c r="AY863" t="s">
        <v>3250</v>
      </c>
      <c r="AZ863" t="s">
        <v>3250</v>
      </c>
      <c r="BA863" t="s">
        <v>3250</v>
      </c>
      <c r="BB863" t="s">
        <v>3250</v>
      </c>
      <c r="BC863" t="s">
        <v>3250</v>
      </c>
      <c r="BE863" t="s">
        <v>3250</v>
      </c>
      <c r="BF863" t="s">
        <v>3250</v>
      </c>
      <c r="BG863" t="s">
        <v>3250</v>
      </c>
      <c r="BH863" t="s">
        <v>3250</v>
      </c>
      <c r="BI863" t="s">
        <v>3250</v>
      </c>
      <c r="BK863" t="s">
        <v>3250</v>
      </c>
      <c r="BL863" t="s">
        <v>3250</v>
      </c>
      <c r="BM863" t="s">
        <v>3250</v>
      </c>
      <c r="BN863" t="s">
        <v>3250</v>
      </c>
      <c r="BP863">
        <v>1</v>
      </c>
      <c r="BQ863">
        <v>11</v>
      </c>
      <c r="BR863" t="s">
        <v>1574</v>
      </c>
      <c r="BS863" t="s">
        <v>3252</v>
      </c>
      <c r="BV863">
        <v>18967</v>
      </c>
      <c r="BW863">
        <v>50507</v>
      </c>
      <c r="BX863">
        <v>31824</v>
      </c>
      <c r="BY863">
        <v>0</v>
      </c>
      <c r="BZ863">
        <v>0</v>
      </c>
      <c r="CA863">
        <v>0</v>
      </c>
      <c r="CB863">
        <v>0</v>
      </c>
      <c r="CC863">
        <v>0</v>
      </c>
      <c r="CD863">
        <v>0</v>
      </c>
      <c r="CE863" t="s">
        <v>3108</v>
      </c>
      <c r="CF863" t="s">
        <v>3108</v>
      </c>
      <c r="CG863" t="s">
        <v>3108</v>
      </c>
      <c r="CH863" t="s">
        <v>3108</v>
      </c>
    </row>
    <row r="864" spans="1:86" x14ac:dyDescent="0.2">
      <c r="A864" t="s">
        <v>4545</v>
      </c>
      <c r="B864" t="s">
        <v>4545</v>
      </c>
      <c r="C864">
        <v>41317</v>
      </c>
      <c r="D864">
        <v>800</v>
      </c>
      <c r="E864" t="s">
        <v>4546</v>
      </c>
      <c r="F864">
        <v>1600</v>
      </c>
      <c r="G864" t="s">
        <v>1360</v>
      </c>
      <c r="H864">
        <v>1605</v>
      </c>
      <c r="I864" t="s">
        <v>2966</v>
      </c>
      <c r="J864" t="s">
        <v>3250</v>
      </c>
      <c r="K864" t="s">
        <v>3250</v>
      </c>
      <c r="L864">
        <v>1200</v>
      </c>
      <c r="M864" t="s">
        <v>2368</v>
      </c>
      <c r="N864">
        <v>1204</v>
      </c>
      <c r="O864" t="s">
        <v>1574</v>
      </c>
      <c r="P864" t="s">
        <v>3108</v>
      </c>
      <c r="Q864" t="s">
        <v>3249</v>
      </c>
      <c r="R864" t="s">
        <v>3249</v>
      </c>
      <c r="S864" t="s">
        <v>472</v>
      </c>
      <c r="T864" t="s">
        <v>2759</v>
      </c>
      <c r="U864" t="s">
        <v>3250</v>
      </c>
      <c r="V864" t="s">
        <v>3250</v>
      </c>
      <c r="W864" t="s">
        <v>3250</v>
      </c>
      <c r="X864" t="s">
        <v>3250</v>
      </c>
      <c r="Y864" t="s">
        <v>3250</v>
      </c>
      <c r="Z864" t="s">
        <v>3250</v>
      </c>
      <c r="AA864" t="s">
        <v>3108</v>
      </c>
      <c r="AB864" t="s">
        <v>3108</v>
      </c>
      <c r="AC864" t="s">
        <v>3250</v>
      </c>
      <c r="AD864" t="s">
        <v>3250</v>
      </c>
      <c r="AE864" t="s">
        <v>3250</v>
      </c>
      <c r="AF864" t="s">
        <v>3250</v>
      </c>
      <c r="AG864" t="s">
        <v>3250</v>
      </c>
      <c r="AH864" t="s">
        <v>3250</v>
      </c>
      <c r="AI864" t="s">
        <v>3250</v>
      </c>
      <c r="AJ864" t="s">
        <v>3250</v>
      </c>
      <c r="AL864" t="s">
        <v>3250</v>
      </c>
      <c r="AM864" t="s">
        <v>3250</v>
      </c>
      <c r="AN864" t="s">
        <v>3250</v>
      </c>
      <c r="AO864" t="s">
        <v>3250</v>
      </c>
      <c r="AS864" t="s">
        <v>3250</v>
      </c>
      <c r="AT864" t="s">
        <v>3250</v>
      </c>
      <c r="AU864" t="s">
        <v>3250</v>
      </c>
      <c r="AV864" t="s">
        <v>3250</v>
      </c>
      <c r="AW864" t="s">
        <v>3250</v>
      </c>
      <c r="AX864" t="s">
        <v>3250</v>
      </c>
      <c r="AY864" t="s">
        <v>3250</v>
      </c>
      <c r="AZ864" t="s">
        <v>3250</v>
      </c>
      <c r="BA864" t="s">
        <v>3250</v>
      </c>
      <c r="BB864" t="s">
        <v>3250</v>
      </c>
      <c r="BC864" t="s">
        <v>3250</v>
      </c>
      <c r="BE864" t="s">
        <v>3250</v>
      </c>
      <c r="BF864" t="s">
        <v>3250</v>
      </c>
      <c r="BG864" t="s">
        <v>3250</v>
      </c>
      <c r="BH864" t="s">
        <v>3250</v>
      </c>
      <c r="BI864" t="s">
        <v>3250</v>
      </c>
      <c r="BK864" t="s">
        <v>3250</v>
      </c>
      <c r="BL864" t="s">
        <v>3250</v>
      </c>
      <c r="BM864" t="s">
        <v>3250</v>
      </c>
      <c r="BN864" t="s">
        <v>3250</v>
      </c>
      <c r="BP864">
        <v>1</v>
      </c>
      <c r="BQ864">
        <v>11</v>
      </c>
      <c r="BR864" t="s">
        <v>1574</v>
      </c>
      <c r="BS864" t="s">
        <v>3252</v>
      </c>
      <c r="BV864">
        <v>0</v>
      </c>
      <c r="BW864">
        <v>0</v>
      </c>
      <c r="BX864">
        <v>0</v>
      </c>
      <c r="BY864">
        <v>0</v>
      </c>
      <c r="BZ864">
        <v>0</v>
      </c>
      <c r="CA864">
        <v>0</v>
      </c>
      <c r="CB864">
        <v>0</v>
      </c>
      <c r="CC864">
        <v>0</v>
      </c>
      <c r="CD864">
        <v>0</v>
      </c>
      <c r="CE864" t="s">
        <v>3108</v>
      </c>
      <c r="CF864" t="s">
        <v>3108</v>
      </c>
      <c r="CG864" t="s">
        <v>3108</v>
      </c>
      <c r="CH864" t="s">
        <v>3108</v>
      </c>
    </row>
    <row r="865" spans="1:86" x14ac:dyDescent="0.2">
      <c r="A865" t="s">
        <v>4547</v>
      </c>
      <c r="B865" t="s">
        <v>4547</v>
      </c>
      <c r="C865">
        <v>41318</v>
      </c>
      <c r="D865">
        <v>801</v>
      </c>
      <c r="E865" t="s">
        <v>4548</v>
      </c>
      <c r="F865">
        <v>1600</v>
      </c>
      <c r="G865" t="s">
        <v>1360</v>
      </c>
      <c r="H865">
        <v>1605</v>
      </c>
      <c r="I865" t="s">
        <v>2966</v>
      </c>
      <c r="J865" t="s">
        <v>3250</v>
      </c>
      <c r="K865" t="s">
        <v>3250</v>
      </c>
      <c r="L865">
        <v>1200</v>
      </c>
      <c r="M865" t="s">
        <v>2368</v>
      </c>
      <c r="N865">
        <v>1204</v>
      </c>
      <c r="O865" t="s">
        <v>1574</v>
      </c>
      <c r="P865" t="s">
        <v>3108</v>
      </c>
      <c r="Q865" t="s">
        <v>3249</v>
      </c>
      <c r="R865" t="s">
        <v>3249</v>
      </c>
      <c r="S865" t="s">
        <v>472</v>
      </c>
      <c r="T865" t="s">
        <v>2759</v>
      </c>
      <c r="U865" t="s">
        <v>3250</v>
      </c>
      <c r="V865" t="s">
        <v>3250</v>
      </c>
      <c r="W865" t="s">
        <v>3250</v>
      </c>
      <c r="X865" t="s">
        <v>3250</v>
      </c>
      <c r="Y865" t="s">
        <v>3250</v>
      </c>
      <c r="Z865" t="s">
        <v>3250</v>
      </c>
      <c r="AA865" t="s">
        <v>3108</v>
      </c>
      <c r="AB865" t="s">
        <v>3108</v>
      </c>
      <c r="AC865" t="s">
        <v>3250</v>
      </c>
      <c r="AD865" t="s">
        <v>3250</v>
      </c>
      <c r="AE865" t="s">
        <v>3250</v>
      </c>
      <c r="AF865" t="s">
        <v>3250</v>
      </c>
      <c r="AG865" t="s">
        <v>3250</v>
      </c>
      <c r="AH865" t="s">
        <v>3250</v>
      </c>
      <c r="AI865" t="s">
        <v>3250</v>
      </c>
      <c r="AJ865" t="s">
        <v>3250</v>
      </c>
      <c r="AL865" t="s">
        <v>3250</v>
      </c>
      <c r="AM865" t="s">
        <v>3250</v>
      </c>
      <c r="AN865" t="s">
        <v>3250</v>
      </c>
      <c r="AO865" t="s">
        <v>3250</v>
      </c>
      <c r="AS865" t="s">
        <v>3250</v>
      </c>
      <c r="AT865" t="s">
        <v>3250</v>
      </c>
      <c r="AU865" t="s">
        <v>3250</v>
      </c>
      <c r="AV865" t="s">
        <v>3250</v>
      </c>
      <c r="AW865" t="s">
        <v>3250</v>
      </c>
      <c r="AX865" t="s">
        <v>3250</v>
      </c>
      <c r="AY865" t="s">
        <v>3250</v>
      </c>
      <c r="AZ865" t="s">
        <v>3250</v>
      </c>
      <c r="BA865" t="s">
        <v>3250</v>
      </c>
      <c r="BB865" t="s">
        <v>3250</v>
      </c>
      <c r="BC865" t="s">
        <v>3250</v>
      </c>
      <c r="BE865" t="s">
        <v>3250</v>
      </c>
      <c r="BF865" t="s">
        <v>3250</v>
      </c>
      <c r="BG865" t="s">
        <v>3250</v>
      </c>
      <c r="BH865" t="s">
        <v>3250</v>
      </c>
      <c r="BI865" t="s">
        <v>3250</v>
      </c>
      <c r="BK865" t="s">
        <v>3250</v>
      </c>
      <c r="BL865" t="s">
        <v>3250</v>
      </c>
      <c r="BM865" t="s">
        <v>3250</v>
      </c>
      <c r="BN865" t="s">
        <v>3250</v>
      </c>
      <c r="BP865">
        <v>1</v>
      </c>
      <c r="BQ865">
        <v>11</v>
      </c>
      <c r="BR865" t="s">
        <v>1574</v>
      </c>
      <c r="BS865" t="s">
        <v>3252</v>
      </c>
      <c r="BV865">
        <v>19696</v>
      </c>
      <c r="BW865">
        <v>0</v>
      </c>
      <c r="BX865">
        <v>0</v>
      </c>
      <c r="BY865">
        <v>-8596</v>
      </c>
      <c r="BZ865">
        <v>-8596</v>
      </c>
      <c r="CA865">
        <v>-8931</v>
      </c>
      <c r="CB865">
        <v>-9288</v>
      </c>
      <c r="CC865">
        <v>-9660</v>
      </c>
      <c r="CD865">
        <v>338979</v>
      </c>
      <c r="CE865" t="s">
        <v>3108</v>
      </c>
      <c r="CF865" t="s">
        <v>3108</v>
      </c>
      <c r="CG865" t="s">
        <v>3108</v>
      </c>
      <c r="CH865" t="s">
        <v>3108</v>
      </c>
    </row>
    <row r="866" spans="1:86" x14ac:dyDescent="0.2">
      <c r="A866" t="s">
        <v>4549</v>
      </c>
      <c r="B866" t="s">
        <v>4549</v>
      </c>
      <c r="C866">
        <v>41319</v>
      </c>
      <c r="D866">
        <v>802</v>
      </c>
      <c r="E866" t="s">
        <v>4550</v>
      </c>
      <c r="F866">
        <v>1200</v>
      </c>
      <c r="G866" t="s">
        <v>2343</v>
      </c>
      <c r="H866">
        <v>1200</v>
      </c>
      <c r="I866" t="s">
        <v>2343</v>
      </c>
      <c r="J866" t="s">
        <v>3250</v>
      </c>
      <c r="K866" t="s">
        <v>3250</v>
      </c>
      <c r="L866">
        <v>3200</v>
      </c>
      <c r="M866" t="s">
        <v>128</v>
      </c>
      <c r="N866">
        <v>3205</v>
      </c>
      <c r="O866" t="s">
        <v>629</v>
      </c>
      <c r="P866" t="s">
        <v>3108</v>
      </c>
      <c r="Q866" t="s">
        <v>3249</v>
      </c>
      <c r="R866" t="s">
        <v>3249</v>
      </c>
      <c r="S866" t="s">
        <v>472</v>
      </c>
      <c r="T866" t="s">
        <v>2759</v>
      </c>
      <c r="U866" t="s">
        <v>3250</v>
      </c>
      <c r="V866" t="s">
        <v>3250</v>
      </c>
      <c r="W866" t="s">
        <v>3250</v>
      </c>
      <c r="X866" t="s">
        <v>3250</v>
      </c>
      <c r="Y866" t="s">
        <v>3250</v>
      </c>
      <c r="Z866" t="s">
        <v>3250</v>
      </c>
      <c r="AA866" t="s">
        <v>3108</v>
      </c>
      <c r="AB866" t="s">
        <v>3108</v>
      </c>
      <c r="AC866" t="s">
        <v>3250</v>
      </c>
      <c r="AD866" t="s">
        <v>3250</v>
      </c>
      <c r="AE866" t="s">
        <v>3250</v>
      </c>
      <c r="AF866" t="s">
        <v>3250</v>
      </c>
      <c r="AG866" t="s">
        <v>3250</v>
      </c>
      <c r="AH866" t="s">
        <v>3250</v>
      </c>
      <c r="AI866" t="s">
        <v>3250</v>
      </c>
      <c r="AJ866" t="s">
        <v>3250</v>
      </c>
      <c r="AL866" t="s">
        <v>3250</v>
      </c>
      <c r="AM866" t="s">
        <v>3250</v>
      </c>
      <c r="AN866" t="s">
        <v>3250</v>
      </c>
      <c r="AO866" t="s">
        <v>3250</v>
      </c>
      <c r="AS866" t="s">
        <v>3250</v>
      </c>
      <c r="AT866" t="s">
        <v>3250</v>
      </c>
      <c r="AU866" t="s">
        <v>3250</v>
      </c>
      <c r="AV866" t="s">
        <v>3250</v>
      </c>
      <c r="AW866" t="s">
        <v>3250</v>
      </c>
      <c r="AX866" t="s">
        <v>3250</v>
      </c>
      <c r="AY866" t="s">
        <v>3250</v>
      </c>
      <c r="AZ866" t="s">
        <v>3250</v>
      </c>
      <c r="BA866" t="s">
        <v>3250</v>
      </c>
      <c r="BB866" t="s">
        <v>3250</v>
      </c>
      <c r="BC866" t="s">
        <v>3250</v>
      </c>
      <c r="BE866" t="s">
        <v>3250</v>
      </c>
      <c r="BF866" t="s">
        <v>3250</v>
      </c>
      <c r="BG866" t="s">
        <v>3250</v>
      </c>
      <c r="BH866" t="s">
        <v>3250</v>
      </c>
      <c r="BI866" t="s">
        <v>3250</v>
      </c>
      <c r="BK866" t="s">
        <v>3250</v>
      </c>
      <c r="BL866" t="s">
        <v>3250</v>
      </c>
      <c r="BM866" t="s">
        <v>3250</v>
      </c>
      <c r="BN866" t="s">
        <v>3250</v>
      </c>
      <c r="BP866">
        <v>7</v>
      </c>
      <c r="BQ866">
        <v>71</v>
      </c>
      <c r="BR866" t="s">
        <v>629</v>
      </c>
      <c r="BS866" t="s">
        <v>4212</v>
      </c>
      <c r="BV866">
        <v>23190</v>
      </c>
      <c r="BW866">
        <v>27055</v>
      </c>
      <c r="BX866">
        <v>26250</v>
      </c>
      <c r="BY866">
        <v>-30000</v>
      </c>
      <c r="BZ866">
        <v>-30000</v>
      </c>
      <c r="CA866">
        <v>-31170</v>
      </c>
      <c r="CB866">
        <v>-32417</v>
      </c>
      <c r="CC866">
        <v>-33713</v>
      </c>
      <c r="CD866">
        <v>0</v>
      </c>
      <c r="CE866" t="s">
        <v>3108</v>
      </c>
      <c r="CF866" t="s">
        <v>3108</v>
      </c>
      <c r="CG866" t="s">
        <v>3108</v>
      </c>
      <c r="CH866" t="s">
        <v>3108</v>
      </c>
    </row>
    <row r="867" spans="1:86" x14ac:dyDescent="0.2">
      <c r="A867" t="s">
        <v>4551</v>
      </c>
      <c r="B867" t="s">
        <v>4551</v>
      </c>
      <c r="C867">
        <v>41320</v>
      </c>
      <c r="D867">
        <v>803</v>
      </c>
      <c r="E867" t="s">
        <v>4552</v>
      </c>
      <c r="F867">
        <v>1500</v>
      </c>
      <c r="G867" t="s">
        <v>2342</v>
      </c>
      <c r="H867">
        <v>1500</v>
      </c>
      <c r="I867" t="s">
        <v>2342</v>
      </c>
      <c r="J867" t="s">
        <v>3250</v>
      </c>
      <c r="K867" t="s">
        <v>3250</v>
      </c>
      <c r="L867">
        <v>1200</v>
      </c>
      <c r="M867" t="s">
        <v>2368</v>
      </c>
      <c r="N867">
        <v>1210</v>
      </c>
      <c r="O867" t="s">
        <v>922</v>
      </c>
      <c r="P867" t="s">
        <v>3108</v>
      </c>
      <c r="Q867" t="s">
        <v>3249</v>
      </c>
      <c r="R867" t="s">
        <v>3249</v>
      </c>
      <c r="S867" t="s">
        <v>472</v>
      </c>
      <c r="T867" t="s">
        <v>2759</v>
      </c>
      <c r="U867" t="s">
        <v>3250</v>
      </c>
      <c r="V867" t="s">
        <v>3250</v>
      </c>
      <c r="W867" t="s">
        <v>3250</v>
      </c>
      <c r="X867" t="s">
        <v>3250</v>
      </c>
      <c r="Y867" t="s">
        <v>3250</v>
      </c>
      <c r="Z867" t="s">
        <v>3250</v>
      </c>
      <c r="AA867" t="s">
        <v>3108</v>
      </c>
      <c r="AB867" t="s">
        <v>3108</v>
      </c>
      <c r="AC867" t="s">
        <v>3250</v>
      </c>
      <c r="AD867" t="s">
        <v>3250</v>
      </c>
      <c r="AE867" t="s">
        <v>3250</v>
      </c>
      <c r="AF867" t="s">
        <v>3250</v>
      </c>
      <c r="AG867" t="s">
        <v>3250</v>
      </c>
      <c r="AH867" t="s">
        <v>3250</v>
      </c>
      <c r="AI867" t="s">
        <v>3250</v>
      </c>
      <c r="AJ867" t="s">
        <v>3250</v>
      </c>
      <c r="AL867" t="s">
        <v>3250</v>
      </c>
      <c r="AM867" t="s">
        <v>3250</v>
      </c>
      <c r="AN867" t="s">
        <v>3250</v>
      </c>
      <c r="AO867" t="s">
        <v>3250</v>
      </c>
      <c r="AS867" t="s">
        <v>3250</v>
      </c>
      <c r="AT867" t="s">
        <v>3250</v>
      </c>
      <c r="AU867" t="s">
        <v>3250</v>
      </c>
      <c r="AV867" t="s">
        <v>3250</v>
      </c>
      <c r="AW867" t="s">
        <v>3250</v>
      </c>
      <c r="AX867" t="s">
        <v>3250</v>
      </c>
      <c r="AY867" t="s">
        <v>3250</v>
      </c>
      <c r="AZ867" t="s">
        <v>3250</v>
      </c>
      <c r="BA867" t="s">
        <v>3250</v>
      </c>
      <c r="BB867" t="s">
        <v>3250</v>
      </c>
      <c r="BC867" t="s">
        <v>3250</v>
      </c>
      <c r="BE867" t="s">
        <v>3250</v>
      </c>
      <c r="BF867" t="s">
        <v>3250</v>
      </c>
      <c r="BG867" t="s">
        <v>3250</v>
      </c>
      <c r="BH867" t="s">
        <v>3250</v>
      </c>
      <c r="BI867" t="s">
        <v>3250</v>
      </c>
      <c r="BK867" t="s">
        <v>3250</v>
      </c>
      <c r="BL867" t="s">
        <v>3250</v>
      </c>
      <c r="BM867" t="s">
        <v>3250</v>
      </c>
      <c r="BN867" t="s">
        <v>3250</v>
      </c>
      <c r="BP867">
        <v>1</v>
      </c>
      <c r="BQ867">
        <v>16</v>
      </c>
      <c r="BR867" t="s">
        <v>922</v>
      </c>
      <c r="BS867" t="s">
        <v>3252</v>
      </c>
      <c r="BV867">
        <v>62733000</v>
      </c>
      <c r="BW867">
        <v>55546000</v>
      </c>
      <c r="BX867">
        <v>51173000</v>
      </c>
      <c r="BY867">
        <v>-67330000</v>
      </c>
      <c r="BZ867">
        <v>-79735000</v>
      </c>
      <c r="CA867">
        <v>-70470000</v>
      </c>
      <c r="CB867">
        <v>-80843000</v>
      </c>
      <c r="CC867">
        <v>-81817000</v>
      </c>
      <c r="CD867">
        <v>79735000</v>
      </c>
      <c r="CE867" t="s">
        <v>3108</v>
      </c>
      <c r="CF867" t="s">
        <v>3108</v>
      </c>
      <c r="CG867" t="s">
        <v>3108</v>
      </c>
      <c r="CH867" t="s">
        <v>3108</v>
      </c>
    </row>
    <row r="868" spans="1:86" x14ac:dyDescent="0.2">
      <c r="A868" t="s">
        <v>4553</v>
      </c>
      <c r="B868" t="s">
        <v>4553</v>
      </c>
      <c r="C868">
        <v>41321</v>
      </c>
      <c r="D868">
        <v>804</v>
      </c>
      <c r="E868" t="s">
        <v>4554</v>
      </c>
      <c r="F868">
        <v>1500</v>
      </c>
      <c r="G868" t="s">
        <v>2342</v>
      </c>
      <c r="H868">
        <v>1500</v>
      </c>
      <c r="I868" t="s">
        <v>2342</v>
      </c>
      <c r="J868" t="s">
        <v>3250</v>
      </c>
      <c r="K868" t="s">
        <v>3250</v>
      </c>
      <c r="L868">
        <v>1200</v>
      </c>
      <c r="M868" t="s">
        <v>2368</v>
      </c>
      <c r="N868">
        <v>1204</v>
      </c>
      <c r="O868" t="s">
        <v>1574</v>
      </c>
      <c r="P868" t="s">
        <v>3108</v>
      </c>
      <c r="Q868" t="s">
        <v>3249</v>
      </c>
      <c r="R868" t="s">
        <v>3249</v>
      </c>
      <c r="S868" t="s">
        <v>472</v>
      </c>
      <c r="T868" t="s">
        <v>2759</v>
      </c>
      <c r="U868" t="s">
        <v>3250</v>
      </c>
      <c r="V868" t="s">
        <v>3250</v>
      </c>
      <c r="W868" t="s">
        <v>3250</v>
      </c>
      <c r="X868" t="s">
        <v>3250</v>
      </c>
      <c r="Y868" t="s">
        <v>3250</v>
      </c>
      <c r="Z868" t="s">
        <v>3250</v>
      </c>
      <c r="AA868" t="s">
        <v>3108</v>
      </c>
      <c r="AB868" t="s">
        <v>3108</v>
      </c>
      <c r="AC868" t="s">
        <v>3250</v>
      </c>
      <c r="AD868" t="s">
        <v>3250</v>
      </c>
      <c r="AE868" t="s">
        <v>3250</v>
      </c>
      <c r="AF868" t="s">
        <v>3250</v>
      </c>
      <c r="AG868" t="s">
        <v>3250</v>
      </c>
      <c r="AH868" t="s">
        <v>3250</v>
      </c>
      <c r="AI868" t="s">
        <v>3250</v>
      </c>
      <c r="AJ868" t="s">
        <v>3250</v>
      </c>
      <c r="AL868" t="s">
        <v>3250</v>
      </c>
      <c r="AM868" t="s">
        <v>3250</v>
      </c>
      <c r="AN868" t="s">
        <v>3250</v>
      </c>
      <c r="AO868" t="s">
        <v>3250</v>
      </c>
      <c r="AS868" t="s">
        <v>3250</v>
      </c>
      <c r="AT868" t="s">
        <v>3250</v>
      </c>
      <c r="AU868" t="s">
        <v>3250</v>
      </c>
      <c r="AV868" t="s">
        <v>3250</v>
      </c>
      <c r="AW868" t="s">
        <v>3250</v>
      </c>
      <c r="AX868" t="s">
        <v>3250</v>
      </c>
      <c r="AY868" t="s">
        <v>3250</v>
      </c>
      <c r="AZ868" t="s">
        <v>3250</v>
      </c>
      <c r="BA868" t="s">
        <v>3250</v>
      </c>
      <c r="BB868" t="s">
        <v>3250</v>
      </c>
      <c r="BC868" t="s">
        <v>3250</v>
      </c>
      <c r="BE868" t="s">
        <v>3250</v>
      </c>
      <c r="BF868" t="s">
        <v>3250</v>
      </c>
      <c r="BG868" t="s">
        <v>3250</v>
      </c>
      <c r="BH868" t="s">
        <v>3250</v>
      </c>
      <c r="BI868" t="s">
        <v>3250</v>
      </c>
      <c r="BK868" t="s">
        <v>3250</v>
      </c>
      <c r="BL868" t="s">
        <v>3250</v>
      </c>
      <c r="BM868" t="s">
        <v>3250</v>
      </c>
      <c r="BN868" t="s">
        <v>3250</v>
      </c>
      <c r="BP868">
        <v>1</v>
      </c>
      <c r="BQ868">
        <v>11</v>
      </c>
      <c r="BR868" t="s">
        <v>1574</v>
      </c>
      <c r="BS868" t="s">
        <v>3252</v>
      </c>
      <c r="BV868">
        <v>2435000</v>
      </c>
      <c r="BW868">
        <v>1970000</v>
      </c>
      <c r="BX868">
        <v>1900000</v>
      </c>
      <c r="BY868">
        <v>-2800000</v>
      </c>
      <c r="BZ868">
        <v>-2800000</v>
      </c>
      <c r="CA868">
        <v>-2850000</v>
      </c>
      <c r="CB868">
        <v>-3000000</v>
      </c>
      <c r="CC868">
        <v>-3000000</v>
      </c>
      <c r="CD868">
        <v>2375729</v>
      </c>
      <c r="CE868" t="s">
        <v>3108</v>
      </c>
      <c r="CF868" t="s">
        <v>3108</v>
      </c>
      <c r="CG868" t="s">
        <v>3108</v>
      </c>
      <c r="CH868" t="s">
        <v>3108</v>
      </c>
    </row>
    <row r="869" spans="1:86" x14ac:dyDescent="0.2">
      <c r="A869" t="s">
        <v>4555</v>
      </c>
      <c r="B869" t="s">
        <v>4555</v>
      </c>
      <c r="C869">
        <v>41322</v>
      </c>
      <c r="D869">
        <v>805</v>
      </c>
      <c r="E869" t="s">
        <v>4556</v>
      </c>
      <c r="F869">
        <v>1600</v>
      </c>
      <c r="G869" t="s">
        <v>1360</v>
      </c>
      <c r="H869">
        <v>1617</v>
      </c>
      <c r="I869" t="s">
        <v>2976</v>
      </c>
      <c r="J869" t="s">
        <v>3250</v>
      </c>
      <c r="K869" t="s">
        <v>3250</v>
      </c>
      <c r="L869">
        <v>1200</v>
      </c>
      <c r="M869" t="s">
        <v>2368</v>
      </c>
      <c r="N869">
        <v>1201</v>
      </c>
      <c r="O869" t="s">
        <v>2370</v>
      </c>
      <c r="P869" t="s">
        <v>3108</v>
      </c>
      <c r="Q869" t="s">
        <v>3249</v>
      </c>
      <c r="R869" t="s">
        <v>3249</v>
      </c>
      <c r="S869" t="s">
        <v>472</v>
      </c>
      <c r="T869" t="s">
        <v>2759</v>
      </c>
      <c r="U869" t="s">
        <v>3250</v>
      </c>
      <c r="V869" t="s">
        <v>3250</v>
      </c>
      <c r="W869" t="s">
        <v>3250</v>
      </c>
      <c r="X869" t="s">
        <v>3250</v>
      </c>
      <c r="Y869" t="s">
        <v>3250</v>
      </c>
      <c r="Z869" t="s">
        <v>3250</v>
      </c>
      <c r="AA869" t="s">
        <v>3108</v>
      </c>
      <c r="AB869" t="s">
        <v>3108</v>
      </c>
      <c r="AC869" t="s">
        <v>3250</v>
      </c>
      <c r="AD869" t="s">
        <v>3250</v>
      </c>
      <c r="AE869" t="s">
        <v>3250</v>
      </c>
      <c r="AF869" t="s">
        <v>3250</v>
      </c>
      <c r="AG869" t="s">
        <v>3250</v>
      </c>
      <c r="AH869" t="s">
        <v>3250</v>
      </c>
      <c r="AI869" t="s">
        <v>3250</v>
      </c>
      <c r="AJ869" t="s">
        <v>3250</v>
      </c>
      <c r="AL869" t="s">
        <v>3250</v>
      </c>
      <c r="AM869" t="s">
        <v>3250</v>
      </c>
      <c r="AN869" t="s">
        <v>3250</v>
      </c>
      <c r="AO869" t="s">
        <v>3250</v>
      </c>
      <c r="AS869" t="s">
        <v>3250</v>
      </c>
      <c r="AT869" t="s">
        <v>3250</v>
      </c>
      <c r="AU869" t="s">
        <v>3250</v>
      </c>
      <c r="AV869" t="s">
        <v>3250</v>
      </c>
      <c r="AW869" t="s">
        <v>3250</v>
      </c>
      <c r="AX869" t="s">
        <v>3250</v>
      </c>
      <c r="AY869" t="s">
        <v>3250</v>
      </c>
      <c r="AZ869" t="s">
        <v>3250</v>
      </c>
      <c r="BA869" t="s">
        <v>3250</v>
      </c>
      <c r="BB869" t="s">
        <v>3250</v>
      </c>
      <c r="BC869" t="s">
        <v>3250</v>
      </c>
      <c r="BE869" t="s">
        <v>3250</v>
      </c>
      <c r="BF869" t="s">
        <v>3250</v>
      </c>
      <c r="BG869" t="s">
        <v>3250</v>
      </c>
      <c r="BH869" t="s">
        <v>3250</v>
      </c>
      <c r="BI869" t="s">
        <v>3250</v>
      </c>
      <c r="BK869" t="s">
        <v>3250</v>
      </c>
      <c r="BL869" t="s">
        <v>3250</v>
      </c>
      <c r="BM869" t="s">
        <v>3250</v>
      </c>
      <c r="BN869" t="s">
        <v>3250</v>
      </c>
      <c r="BP869">
        <v>1</v>
      </c>
      <c r="BQ869">
        <v>14</v>
      </c>
      <c r="BR869" t="s">
        <v>2370</v>
      </c>
      <c r="BS869" t="s">
        <v>3252</v>
      </c>
      <c r="BV869">
        <v>40121</v>
      </c>
      <c r="BW869">
        <v>103105</v>
      </c>
      <c r="BX869">
        <v>23280</v>
      </c>
      <c r="BY869">
        <v>-62000</v>
      </c>
      <c r="BZ869">
        <v>-62000</v>
      </c>
      <c r="CA869">
        <v>-64418</v>
      </c>
      <c r="CB869">
        <v>-66995</v>
      </c>
      <c r="CC869">
        <v>-69675</v>
      </c>
      <c r="CD869">
        <v>82650</v>
      </c>
      <c r="CE869" t="s">
        <v>3108</v>
      </c>
      <c r="CF869" t="s">
        <v>3108</v>
      </c>
      <c r="CG869" t="s">
        <v>3108</v>
      </c>
      <c r="CH869" t="s">
        <v>3108</v>
      </c>
    </row>
    <row r="870" spans="1:86" x14ac:dyDescent="0.2">
      <c r="A870" t="s">
        <v>4557</v>
      </c>
      <c r="B870" t="s">
        <v>4557</v>
      </c>
      <c r="C870">
        <v>41323</v>
      </c>
      <c r="D870">
        <v>806</v>
      </c>
      <c r="E870" t="s">
        <v>4558</v>
      </c>
      <c r="F870">
        <v>1600</v>
      </c>
      <c r="G870" t="s">
        <v>1360</v>
      </c>
      <c r="H870">
        <v>1610</v>
      </c>
      <c r="I870" t="s">
        <v>2970</v>
      </c>
      <c r="J870" t="s">
        <v>3250</v>
      </c>
      <c r="K870" t="s">
        <v>3250</v>
      </c>
      <c r="L870">
        <v>1200</v>
      </c>
      <c r="M870" t="s">
        <v>2368</v>
      </c>
      <c r="N870">
        <v>1204</v>
      </c>
      <c r="O870" t="s">
        <v>1574</v>
      </c>
      <c r="P870" t="s">
        <v>3108</v>
      </c>
      <c r="Q870" t="s">
        <v>3249</v>
      </c>
      <c r="R870" t="s">
        <v>3249</v>
      </c>
      <c r="S870" t="s">
        <v>472</v>
      </c>
      <c r="T870" t="s">
        <v>2759</v>
      </c>
      <c r="U870" t="s">
        <v>3250</v>
      </c>
      <c r="V870" t="s">
        <v>3250</v>
      </c>
      <c r="W870" t="s">
        <v>3250</v>
      </c>
      <c r="X870" t="s">
        <v>3250</v>
      </c>
      <c r="Y870" t="s">
        <v>3250</v>
      </c>
      <c r="Z870" t="s">
        <v>3250</v>
      </c>
      <c r="AA870" t="s">
        <v>3108</v>
      </c>
      <c r="AB870" t="s">
        <v>3108</v>
      </c>
      <c r="AC870" t="s">
        <v>3250</v>
      </c>
      <c r="AD870" t="s">
        <v>3250</v>
      </c>
      <c r="AE870" t="s">
        <v>3250</v>
      </c>
      <c r="AF870" t="s">
        <v>3250</v>
      </c>
      <c r="AG870" t="s">
        <v>3250</v>
      </c>
      <c r="AH870" t="s">
        <v>3250</v>
      </c>
      <c r="AI870" t="s">
        <v>3250</v>
      </c>
      <c r="AJ870" t="s">
        <v>3250</v>
      </c>
      <c r="AL870" t="s">
        <v>3250</v>
      </c>
      <c r="AM870" t="s">
        <v>3250</v>
      </c>
      <c r="AN870" t="s">
        <v>3250</v>
      </c>
      <c r="AO870" t="s">
        <v>3250</v>
      </c>
      <c r="AS870" t="s">
        <v>3250</v>
      </c>
      <c r="AT870" t="s">
        <v>3250</v>
      </c>
      <c r="AU870" t="s">
        <v>3250</v>
      </c>
      <c r="AV870" t="s">
        <v>3250</v>
      </c>
      <c r="AW870" t="s">
        <v>3250</v>
      </c>
      <c r="AX870" t="s">
        <v>3250</v>
      </c>
      <c r="AY870" t="s">
        <v>3250</v>
      </c>
      <c r="AZ870" t="s">
        <v>3250</v>
      </c>
      <c r="BA870" t="s">
        <v>3250</v>
      </c>
      <c r="BB870" t="s">
        <v>3250</v>
      </c>
      <c r="BC870" t="s">
        <v>3250</v>
      </c>
      <c r="BE870" t="s">
        <v>3250</v>
      </c>
      <c r="BF870" t="s">
        <v>3250</v>
      </c>
      <c r="BG870" t="s">
        <v>3250</v>
      </c>
      <c r="BH870" t="s">
        <v>3250</v>
      </c>
      <c r="BI870" t="s">
        <v>3250</v>
      </c>
      <c r="BK870" t="s">
        <v>3250</v>
      </c>
      <c r="BL870" t="s">
        <v>3250</v>
      </c>
      <c r="BM870" t="s">
        <v>3250</v>
      </c>
      <c r="BN870" t="s">
        <v>3250</v>
      </c>
      <c r="BP870">
        <v>1</v>
      </c>
      <c r="BQ870">
        <v>11</v>
      </c>
      <c r="BR870" t="s">
        <v>1574</v>
      </c>
      <c r="BS870" t="s">
        <v>3252</v>
      </c>
      <c r="BV870">
        <v>0</v>
      </c>
      <c r="BW870">
        <v>0</v>
      </c>
      <c r="BX870">
        <v>0</v>
      </c>
      <c r="BY870">
        <v>0</v>
      </c>
      <c r="BZ870">
        <v>0</v>
      </c>
      <c r="CA870">
        <v>0</v>
      </c>
      <c r="CB870">
        <v>0</v>
      </c>
      <c r="CC870">
        <v>0</v>
      </c>
      <c r="CD870">
        <v>0</v>
      </c>
      <c r="CE870" t="s">
        <v>3108</v>
      </c>
      <c r="CF870" t="s">
        <v>3108</v>
      </c>
      <c r="CG870" t="s">
        <v>3108</v>
      </c>
      <c r="CH870" t="s">
        <v>3108</v>
      </c>
    </row>
    <row r="871" spans="1:86" x14ac:dyDescent="0.2">
      <c r="A871" t="s">
        <v>4559</v>
      </c>
      <c r="B871" t="s">
        <v>4559</v>
      </c>
      <c r="C871">
        <v>41324</v>
      </c>
      <c r="D871">
        <v>807</v>
      </c>
      <c r="E871" t="s">
        <v>4560</v>
      </c>
      <c r="F871">
        <v>800</v>
      </c>
      <c r="G871" t="s">
        <v>1404</v>
      </c>
      <c r="H871">
        <v>800</v>
      </c>
      <c r="I871" t="s">
        <v>1404</v>
      </c>
      <c r="J871" t="s">
        <v>3250</v>
      </c>
      <c r="K871" t="s">
        <v>3250</v>
      </c>
      <c r="L871">
        <v>1200</v>
      </c>
      <c r="M871" t="s">
        <v>2368</v>
      </c>
      <c r="N871">
        <v>1204</v>
      </c>
      <c r="O871" t="s">
        <v>1574</v>
      </c>
      <c r="P871" t="s">
        <v>3108</v>
      </c>
      <c r="Q871" t="s">
        <v>3249</v>
      </c>
      <c r="R871" t="s">
        <v>3249</v>
      </c>
      <c r="S871" t="s">
        <v>472</v>
      </c>
      <c r="T871" t="s">
        <v>2759</v>
      </c>
      <c r="U871" t="s">
        <v>3250</v>
      </c>
      <c r="V871" t="s">
        <v>3250</v>
      </c>
      <c r="W871" t="s">
        <v>3250</v>
      </c>
      <c r="X871" t="s">
        <v>3250</v>
      </c>
      <c r="Y871" t="s">
        <v>3250</v>
      </c>
      <c r="Z871" t="s">
        <v>3250</v>
      </c>
      <c r="AA871" t="s">
        <v>3108</v>
      </c>
      <c r="AB871" t="s">
        <v>3108</v>
      </c>
      <c r="AC871" t="s">
        <v>3250</v>
      </c>
      <c r="AD871" t="s">
        <v>3250</v>
      </c>
      <c r="AE871" t="s">
        <v>3250</v>
      </c>
      <c r="AF871" t="s">
        <v>3250</v>
      </c>
      <c r="AG871" t="s">
        <v>3250</v>
      </c>
      <c r="AH871" t="s">
        <v>3250</v>
      </c>
      <c r="AI871" t="s">
        <v>3250</v>
      </c>
      <c r="AJ871" t="s">
        <v>3250</v>
      </c>
      <c r="AL871" t="s">
        <v>3250</v>
      </c>
      <c r="AM871" t="s">
        <v>3250</v>
      </c>
      <c r="AN871" t="s">
        <v>3250</v>
      </c>
      <c r="AO871" t="s">
        <v>3250</v>
      </c>
      <c r="AS871" t="s">
        <v>3250</v>
      </c>
      <c r="AT871" t="s">
        <v>3250</v>
      </c>
      <c r="AU871" t="s">
        <v>3250</v>
      </c>
      <c r="AV871" t="s">
        <v>3250</v>
      </c>
      <c r="AW871" t="s">
        <v>3250</v>
      </c>
      <c r="AX871" t="s">
        <v>3250</v>
      </c>
      <c r="AY871" t="s">
        <v>3250</v>
      </c>
      <c r="AZ871" t="s">
        <v>3250</v>
      </c>
      <c r="BA871" t="s">
        <v>3250</v>
      </c>
      <c r="BB871" t="s">
        <v>3250</v>
      </c>
      <c r="BC871" t="s">
        <v>3250</v>
      </c>
      <c r="BE871" t="s">
        <v>3250</v>
      </c>
      <c r="BF871" t="s">
        <v>3250</v>
      </c>
      <c r="BG871" t="s">
        <v>3250</v>
      </c>
      <c r="BH871" t="s">
        <v>3250</v>
      </c>
      <c r="BI871" t="s">
        <v>3250</v>
      </c>
      <c r="BK871" t="s">
        <v>3250</v>
      </c>
      <c r="BL871" t="s">
        <v>3250</v>
      </c>
      <c r="BM871" t="s">
        <v>3250</v>
      </c>
      <c r="BN871" t="s">
        <v>3250</v>
      </c>
      <c r="BP871">
        <v>1</v>
      </c>
      <c r="BQ871">
        <v>11</v>
      </c>
      <c r="BR871" t="s">
        <v>1574</v>
      </c>
      <c r="BS871" t="s">
        <v>3252</v>
      </c>
      <c r="BV871">
        <v>248300</v>
      </c>
      <c r="BW871">
        <v>131609</v>
      </c>
      <c r="BX871">
        <v>572199</v>
      </c>
      <c r="BY871">
        <v>-345181</v>
      </c>
      <c r="BZ871">
        <v>-345181</v>
      </c>
      <c r="CA871">
        <v>-358643</v>
      </c>
      <c r="CB871">
        <v>-372989</v>
      </c>
      <c r="CC871">
        <v>-387908</v>
      </c>
      <c r="CD871">
        <v>0</v>
      </c>
      <c r="CE871" t="s">
        <v>3108</v>
      </c>
      <c r="CF871" t="s">
        <v>3108</v>
      </c>
      <c r="CG871" t="s">
        <v>3108</v>
      </c>
      <c r="CH871" t="s">
        <v>3108</v>
      </c>
    </row>
    <row r="872" spans="1:86" x14ac:dyDescent="0.2">
      <c r="A872" t="s">
        <v>4561</v>
      </c>
      <c r="B872" t="s">
        <v>4561</v>
      </c>
      <c r="C872">
        <v>41326</v>
      </c>
      <c r="D872">
        <v>89</v>
      </c>
      <c r="E872" t="s">
        <v>4562</v>
      </c>
      <c r="F872">
        <v>1500</v>
      </c>
      <c r="G872" t="s">
        <v>2342</v>
      </c>
      <c r="H872">
        <v>1500</v>
      </c>
      <c r="I872" t="s">
        <v>2342</v>
      </c>
      <c r="J872" t="s">
        <v>3250</v>
      </c>
      <c r="K872" t="s">
        <v>3250</v>
      </c>
      <c r="L872">
        <v>1200</v>
      </c>
      <c r="M872" t="s">
        <v>2368</v>
      </c>
      <c r="N872">
        <v>1204</v>
      </c>
      <c r="O872" t="s">
        <v>1574</v>
      </c>
      <c r="P872" t="s">
        <v>3108</v>
      </c>
      <c r="Q872" t="s">
        <v>3249</v>
      </c>
      <c r="R872" t="s">
        <v>3249</v>
      </c>
      <c r="S872" t="s">
        <v>472</v>
      </c>
      <c r="T872" t="s">
        <v>2759</v>
      </c>
      <c r="U872" t="s">
        <v>3250</v>
      </c>
      <c r="V872" t="s">
        <v>3250</v>
      </c>
      <c r="W872" t="s">
        <v>3250</v>
      </c>
      <c r="X872" t="s">
        <v>3250</v>
      </c>
      <c r="Y872" t="s">
        <v>3250</v>
      </c>
      <c r="Z872" t="s">
        <v>3250</v>
      </c>
      <c r="AA872" t="s">
        <v>3108</v>
      </c>
      <c r="AB872" t="s">
        <v>3108</v>
      </c>
      <c r="AC872" t="s">
        <v>3250</v>
      </c>
      <c r="AD872" t="s">
        <v>3250</v>
      </c>
      <c r="AE872" t="s">
        <v>3250</v>
      </c>
      <c r="AF872" t="s">
        <v>3250</v>
      </c>
      <c r="AG872" t="s">
        <v>3250</v>
      </c>
      <c r="AH872" t="s">
        <v>3250</v>
      </c>
      <c r="AI872" t="s">
        <v>3250</v>
      </c>
      <c r="AJ872" t="s">
        <v>3250</v>
      </c>
      <c r="AL872" t="s">
        <v>3250</v>
      </c>
      <c r="AM872" t="s">
        <v>3250</v>
      </c>
      <c r="AN872" t="s">
        <v>3250</v>
      </c>
      <c r="AO872" t="s">
        <v>3250</v>
      </c>
      <c r="AS872" t="s">
        <v>3250</v>
      </c>
      <c r="AT872" t="s">
        <v>3250</v>
      </c>
      <c r="AU872" t="s">
        <v>3250</v>
      </c>
      <c r="AV872" t="s">
        <v>3250</v>
      </c>
      <c r="AW872" t="s">
        <v>3250</v>
      </c>
      <c r="AX872" t="s">
        <v>3250</v>
      </c>
      <c r="AY872" t="s">
        <v>3250</v>
      </c>
      <c r="AZ872" t="s">
        <v>3250</v>
      </c>
      <c r="BA872" t="s">
        <v>3250</v>
      </c>
      <c r="BB872" t="s">
        <v>3250</v>
      </c>
      <c r="BC872" t="s">
        <v>3250</v>
      </c>
      <c r="BE872" t="s">
        <v>3250</v>
      </c>
      <c r="BF872" t="s">
        <v>3250</v>
      </c>
      <c r="BG872" t="s">
        <v>3250</v>
      </c>
      <c r="BH872" t="s">
        <v>3250</v>
      </c>
      <c r="BI872" t="s">
        <v>3250</v>
      </c>
      <c r="BK872" t="s">
        <v>3250</v>
      </c>
      <c r="BL872" t="s">
        <v>3250</v>
      </c>
      <c r="BM872" t="s">
        <v>3250</v>
      </c>
      <c r="BN872" t="s">
        <v>3250</v>
      </c>
      <c r="BP872">
        <v>1</v>
      </c>
      <c r="BQ872">
        <v>11</v>
      </c>
      <c r="BR872" t="s">
        <v>1574</v>
      </c>
      <c r="BS872" t="s">
        <v>3252</v>
      </c>
      <c r="BV872">
        <v>1440000</v>
      </c>
      <c r="BW872">
        <v>1033999</v>
      </c>
      <c r="BX872">
        <v>1096981</v>
      </c>
      <c r="BY872">
        <v>-1143000</v>
      </c>
      <c r="BZ872">
        <v>-1143000</v>
      </c>
      <c r="CA872">
        <v>-1329000</v>
      </c>
      <c r="CB872">
        <v>-1889680</v>
      </c>
      <c r="CC872">
        <v>-1965267</v>
      </c>
      <c r="CD872">
        <v>1143000</v>
      </c>
      <c r="CE872" t="s">
        <v>3108</v>
      </c>
      <c r="CF872" t="s">
        <v>3108</v>
      </c>
      <c r="CG872" t="s">
        <v>3108</v>
      </c>
      <c r="CH872" t="s">
        <v>3108</v>
      </c>
    </row>
    <row r="873" spans="1:86" x14ac:dyDescent="0.2">
      <c r="A873" t="s">
        <v>4563</v>
      </c>
      <c r="B873" t="s">
        <v>4563</v>
      </c>
      <c r="C873">
        <v>41327</v>
      </c>
      <c r="D873">
        <v>90</v>
      </c>
      <c r="E873" t="s">
        <v>4564</v>
      </c>
      <c r="F873">
        <v>600</v>
      </c>
      <c r="G873" t="s">
        <v>902</v>
      </c>
      <c r="H873">
        <v>600</v>
      </c>
      <c r="I873" t="s">
        <v>1365</v>
      </c>
      <c r="J873" t="s">
        <v>3250</v>
      </c>
      <c r="K873" t="s">
        <v>3250</v>
      </c>
      <c r="L873">
        <v>4400</v>
      </c>
      <c r="M873" t="s">
        <v>988</v>
      </c>
      <c r="N873">
        <v>4403</v>
      </c>
      <c r="O873" t="s">
        <v>2439</v>
      </c>
      <c r="P873" t="s">
        <v>3108</v>
      </c>
      <c r="Q873" t="s">
        <v>3249</v>
      </c>
      <c r="R873" t="s">
        <v>3249</v>
      </c>
      <c r="S873" t="s">
        <v>472</v>
      </c>
      <c r="T873" t="s">
        <v>2759</v>
      </c>
      <c r="U873" t="s">
        <v>3250</v>
      </c>
      <c r="V873" t="s">
        <v>3250</v>
      </c>
      <c r="W873" t="s">
        <v>3250</v>
      </c>
      <c r="X873" t="s">
        <v>3250</v>
      </c>
      <c r="Y873" t="s">
        <v>3250</v>
      </c>
      <c r="Z873" t="s">
        <v>3250</v>
      </c>
      <c r="AA873" t="s">
        <v>3108</v>
      </c>
      <c r="AB873" t="s">
        <v>3108</v>
      </c>
      <c r="AC873" t="s">
        <v>3250</v>
      </c>
      <c r="AD873" t="s">
        <v>3250</v>
      </c>
      <c r="AE873" t="s">
        <v>3250</v>
      </c>
      <c r="AF873" t="s">
        <v>3250</v>
      </c>
      <c r="AG873" t="s">
        <v>3250</v>
      </c>
      <c r="AH873" t="s">
        <v>3250</v>
      </c>
      <c r="AI873" t="s">
        <v>3250</v>
      </c>
      <c r="AJ873" t="s">
        <v>3250</v>
      </c>
      <c r="AL873" t="s">
        <v>3250</v>
      </c>
      <c r="AM873" t="s">
        <v>3250</v>
      </c>
      <c r="AN873" t="s">
        <v>3250</v>
      </c>
      <c r="AO873" t="s">
        <v>3250</v>
      </c>
      <c r="AS873" t="s">
        <v>3250</v>
      </c>
      <c r="AT873" t="s">
        <v>3250</v>
      </c>
      <c r="AU873" t="s">
        <v>3250</v>
      </c>
      <c r="AV873" t="s">
        <v>3250</v>
      </c>
      <c r="AW873" t="s">
        <v>3250</v>
      </c>
      <c r="AX873" t="s">
        <v>3250</v>
      </c>
      <c r="AY873" t="s">
        <v>3250</v>
      </c>
      <c r="AZ873" t="s">
        <v>3250</v>
      </c>
      <c r="BA873" t="s">
        <v>3250</v>
      </c>
      <c r="BB873" t="s">
        <v>3250</v>
      </c>
      <c r="BC873" t="s">
        <v>3250</v>
      </c>
      <c r="BE873" t="s">
        <v>3250</v>
      </c>
      <c r="BF873" t="s">
        <v>3250</v>
      </c>
      <c r="BG873" t="s">
        <v>3250</v>
      </c>
      <c r="BH873" t="s">
        <v>3250</v>
      </c>
      <c r="BI873" t="s">
        <v>3250</v>
      </c>
      <c r="BK873" t="s">
        <v>3250</v>
      </c>
      <c r="BL873" t="s">
        <v>3250</v>
      </c>
      <c r="BM873" t="s">
        <v>3250</v>
      </c>
      <c r="BN873" t="s">
        <v>3250</v>
      </c>
      <c r="BP873">
        <v>12</v>
      </c>
      <c r="BQ873">
        <v>121</v>
      </c>
      <c r="BR873" t="s">
        <v>2439</v>
      </c>
      <c r="BS873" t="s">
        <v>941</v>
      </c>
      <c r="BV873">
        <v>528201</v>
      </c>
      <c r="BW873">
        <v>525667</v>
      </c>
      <c r="BX873">
        <v>497749</v>
      </c>
      <c r="BY873">
        <v>-574287</v>
      </c>
      <c r="BZ873">
        <v>-574287</v>
      </c>
      <c r="CA873">
        <v>-596684</v>
      </c>
      <c r="CB873">
        <v>-620552</v>
      </c>
      <c r="CC873">
        <v>-645374</v>
      </c>
      <c r="CD873">
        <v>444580</v>
      </c>
      <c r="CE873" t="s">
        <v>3108</v>
      </c>
      <c r="CF873" t="s">
        <v>3108</v>
      </c>
      <c r="CG873" t="s">
        <v>3108</v>
      </c>
      <c r="CH873" t="s">
        <v>3108</v>
      </c>
    </row>
    <row r="874" spans="1:86" x14ac:dyDescent="0.2">
      <c r="A874" t="s">
        <v>4565</v>
      </c>
      <c r="B874" t="s">
        <v>4565</v>
      </c>
      <c r="C874">
        <v>41328</v>
      </c>
      <c r="D874">
        <v>809</v>
      </c>
      <c r="E874" t="s">
        <v>4566</v>
      </c>
      <c r="F874">
        <v>1500</v>
      </c>
      <c r="G874" t="s">
        <v>2342</v>
      </c>
      <c r="H874">
        <v>1500</v>
      </c>
      <c r="I874" t="s">
        <v>2342</v>
      </c>
      <c r="J874" t="s">
        <v>3250</v>
      </c>
      <c r="K874" t="s">
        <v>3250</v>
      </c>
      <c r="L874">
        <v>2100</v>
      </c>
      <c r="M874" t="s">
        <v>123</v>
      </c>
      <c r="N874">
        <v>2114</v>
      </c>
      <c r="O874" t="s">
        <v>1444</v>
      </c>
      <c r="P874" t="s">
        <v>3108</v>
      </c>
      <c r="Q874" t="s">
        <v>3249</v>
      </c>
      <c r="R874" t="s">
        <v>3249</v>
      </c>
      <c r="S874" t="s">
        <v>472</v>
      </c>
      <c r="T874" t="s">
        <v>2759</v>
      </c>
      <c r="U874" t="s">
        <v>3250</v>
      </c>
      <c r="V874" t="s">
        <v>3250</v>
      </c>
      <c r="W874" t="s">
        <v>3250</v>
      </c>
      <c r="X874" t="s">
        <v>3250</v>
      </c>
      <c r="Y874" t="s">
        <v>3250</v>
      </c>
      <c r="Z874" t="s">
        <v>3250</v>
      </c>
      <c r="AA874" t="s">
        <v>3108</v>
      </c>
      <c r="AB874" t="s">
        <v>3108</v>
      </c>
      <c r="AC874" t="s">
        <v>3250</v>
      </c>
      <c r="AD874" t="s">
        <v>3250</v>
      </c>
      <c r="AE874" t="s">
        <v>3250</v>
      </c>
      <c r="AF874" t="s">
        <v>3250</v>
      </c>
      <c r="AG874" t="s">
        <v>3250</v>
      </c>
      <c r="AH874" t="s">
        <v>3250</v>
      </c>
      <c r="AI874" t="s">
        <v>3250</v>
      </c>
      <c r="AJ874" t="s">
        <v>3250</v>
      </c>
      <c r="AL874" t="s">
        <v>3250</v>
      </c>
      <c r="AM874" t="s">
        <v>3250</v>
      </c>
      <c r="AN874" t="s">
        <v>3250</v>
      </c>
      <c r="AO874" t="s">
        <v>3250</v>
      </c>
      <c r="AS874" t="s">
        <v>3250</v>
      </c>
      <c r="AT874" t="s">
        <v>3250</v>
      </c>
      <c r="AU874" t="s">
        <v>3250</v>
      </c>
      <c r="AV874" t="s">
        <v>3250</v>
      </c>
      <c r="AW874" t="s">
        <v>3250</v>
      </c>
      <c r="AX874" t="s">
        <v>3250</v>
      </c>
      <c r="AY874" t="s">
        <v>3250</v>
      </c>
      <c r="AZ874" t="s">
        <v>3250</v>
      </c>
      <c r="BA874" t="s">
        <v>3250</v>
      </c>
      <c r="BB874" t="s">
        <v>3250</v>
      </c>
      <c r="BC874" t="s">
        <v>3250</v>
      </c>
      <c r="BE874" t="s">
        <v>3250</v>
      </c>
      <c r="BF874" t="s">
        <v>3250</v>
      </c>
      <c r="BG874" t="s">
        <v>3250</v>
      </c>
      <c r="BH874" t="s">
        <v>3250</v>
      </c>
      <c r="BI874" t="s">
        <v>3250</v>
      </c>
      <c r="BK874" t="s">
        <v>3250</v>
      </c>
      <c r="BL874" t="s">
        <v>3250</v>
      </c>
      <c r="BM874" t="s">
        <v>3250</v>
      </c>
      <c r="BN874" t="s">
        <v>3250</v>
      </c>
      <c r="BP874">
        <v>4</v>
      </c>
      <c r="BQ874">
        <v>42</v>
      </c>
      <c r="BR874" t="s">
        <v>1444</v>
      </c>
      <c r="BS874" t="s">
        <v>4024</v>
      </c>
      <c r="BV874">
        <v>1714000</v>
      </c>
      <c r="BW874">
        <v>2033814</v>
      </c>
      <c r="BX874">
        <v>1418312</v>
      </c>
      <c r="BY874">
        <v>-1817000</v>
      </c>
      <c r="BZ874">
        <v>-1817000</v>
      </c>
      <c r="CA874">
        <v>0</v>
      </c>
      <c r="CB874">
        <v>0</v>
      </c>
      <c r="CC874">
        <v>0</v>
      </c>
      <c r="CD874">
        <v>1816000</v>
      </c>
      <c r="CE874" t="s">
        <v>3108</v>
      </c>
      <c r="CF874" t="s">
        <v>3108</v>
      </c>
      <c r="CG874" t="s">
        <v>3108</v>
      </c>
      <c r="CH874" t="s">
        <v>3108</v>
      </c>
    </row>
    <row r="875" spans="1:86" x14ac:dyDescent="0.2">
      <c r="A875" t="s">
        <v>4567</v>
      </c>
      <c r="B875" t="s">
        <v>4567</v>
      </c>
      <c r="C875">
        <v>41329</v>
      </c>
      <c r="D875">
        <v>810</v>
      </c>
      <c r="E875" t="s">
        <v>4568</v>
      </c>
      <c r="F875">
        <v>1600</v>
      </c>
      <c r="G875" t="s">
        <v>1360</v>
      </c>
      <c r="H875">
        <v>1600</v>
      </c>
      <c r="I875" t="s">
        <v>2017</v>
      </c>
      <c r="J875" t="s">
        <v>3250</v>
      </c>
      <c r="K875" t="s">
        <v>3250</v>
      </c>
      <c r="L875">
        <v>2100</v>
      </c>
      <c r="M875" t="s">
        <v>123</v>
      </c>
      <c r="N875">
        <v>2114</v>
      </c>
      <c r="O875" t="s">
        <v>1444</v>
      </c>
      <c r="P875" t="s">
        <v>3108</v>
      </c>
      <c r="Q875" t="s">
        <v>3249</v>
      </c>
      <c r="R875" t="s">
        <v>3249</v>
      </c>
      <c r="S875" t="s">
        <v>472</v>
      </c>
      <c r="T875" t="s">
        <v>2759</v>
      </c>
      <c r="U875" t="s">
        <v>3250</v>
      </c>
      <c r="V875" t="s">
        <v>3250</v>
      </c>
      <c r="W875" t="s">
        <v>3250</v>
      </c>
      <c r="X875" t="s">
        <v>3250</v>
      </c>
      <c r="Y875" t="s">
        <v>3250</v>
      </c>
      <c r="Z875" t="s">
        <v>3250</v>
      </c>
      <c r="AA875" t="s">
        <v>3108</v>
      </c>
      <c r="AB875" t="s">
        <v>3108</v>
      </c>
      <c r="AC875" t="s">
        <v>3250</v>
      </c>
      <c r="AD875" t="s">
        <v>3250</v>
      </c>
      <c r="AE875" t="s">
        <v>3250</v>
      </c>
      <c r="AF875" t="s">
        <v>3250</v>
      </c>
      <c r="AG875" t="s">
        <v>3250</v>
      </c>
      <c r="AH875" t="s">
        <v>3250</v>
      </c>
      <c r="AI875" t="s">
        <v>3250</v>
      </c>
      <c r="AJ875" t="s">
        <v>3250</v>
      </c>
      <c r="AL875" t="s">
        <v>3250</v>
      </c>
      <c r="AM875" t="s">
        <v>3250</v>
      </c>
      <c r="AN875" t="s">
        <v>3250</v>
      </c>
      <c r="AO875" t="s">
        <v>3250</v>
      </c>
      <c r="AS875" t="s">
        <v>3250</v>
      </c>
      <c r="AT875" t="s">
        <v>3250</v>
      </c>
      <c r="AU875" t="s">
        <v>3250</v>
      </c>
      <c r="AV875" t="s">
        <v>3250</v>
      </c>
      <c r="AW875" t="s">
        <v>3250</v>
      </c>
      <c r="AX875" t="s">
        <v>3250</v>
      </c>
      <c r="AY875" t="s">
        <v>3250</v>
      </c>
      <c r="AZ875" t="s">
        <v>3250</v>
      </c>
      <c r="BA875" t="s">
        <v>3250</v>
      </c>
      <c r="BB875" t="s">
        <v>3250</v>
      </c>
      <c r="BC875" t="s">
        <v>3250</v>
      </c>
      <c r="BE875" t="s">
        <v>3250</v>
      </c>
      <c r="BF875" t="s">
        <v>3250</v>
      </c>
      <c r="BG875" t="s">
        <v>3250</v>
      </c>
      <c r="BH875" t="s">
        <v>3250</v>
      </c>
      <c r="BI875" t="s">
        <v>3250</v>
      </c>
      <c r="BK875" t="s">
        <v>3250</v>
      </c>
      <c r="BL875" t="s">
        <v>3250</v>
      </c>
      <c r="BM875" t="s">
        <v>3250</v>
      </c>
      <c r="BN875" t="s">
        <v>3250</v>
      </c>
      <c r="BP875">
        <v>4</v>
      </c>
      <c r="BQ875">
        <v>42</v>
      </c>
      <c r="BR875" t="s">
        <v>1444</v>
      </c>
      <c r="BS875" t="s">
        <v>4024</v>
      </c>
      <c r="BV875">
        <v>0</v>
      </c>
      <c r="BW875">
        <v>0</v>
      </c>
      <c r="BX875">
        <v>0</v>
      </c>
      <c r="BY875">
        <v>0</v>
      </c>
      <c r="BZ875">
        <v>0</v>
      </c>
      <c r="CA875">
        <v>0</v>
      </c>
      <c r="CB875">
        <v>0</v>
      </c>
      <c r="CC875">
        <v>0</v>
      </c>
      <c r="CD875">
        <v>0</v>
      </c>
      <c r="CE875" t="s">
        <v>3108</v>
      </c>
      <c r="CF875" t="s">
        <v>3108</v>
      </c>
      <c r="CG875" t="s">
        <v>3108</v>
      </c>
      <c r="CH875" t="s">
        <v>3108</v>
      </c>
    </row>
    <row r="876" spans="1:86" x14ac:dyDescent="0.2">
      <c r="A876" t="s">
        <v>4569</v>
      </c>
      <c r="B876" t="s">
        <v>4569</v>
      </c>
      <c r="C876">
        <v>41330</v>
      </c>
      <c r="D876">
        <v>811</v>
      </c>
      <c r="E876" t="s">
        <v>4570</v>
      </c>
      <c r="F876">
        <v>1600</v>
      </c>
      <c r="G876" t="s">
        <v>1360</v>
      </c>
      <c r="H876">
        <v>1600</v>
      </c>
      <c r="I876" t="s">
        <v>2017</v>
      </c>
      <c r="J876" t="s">
        <v>3250</v>
      </c>
      <c r="K876" t="s">
        <v>3250</v>
      </c>
      <c r="L876">
        <v>2100</v>
      </c>
      <c r="M876" t="s">
        <v>123</v>
      </c>
      <c r="N876">
        <v>2114</v>
      </c>
      <c r="O876" t="s">
        <v>1444</v>
      </c>
      <c r="P876" t="s">
        <v>3108</v>
      </c>
      <c r="Q876" t="s">
        <v>3249</v>
      </c>
      <c r="R876" t="s">
        <v>3249</v>
      </c>
      <c r="S876" t="s">
        <v>472</v>
      </c>
      <c r="T876" t="s">
        <v>2759</v>
      </c>
      <c r="U876" t="s">
        <v>3250</v>
      </c>
      <c r="V876" t="s">
        <v>3250</v>
      </c>
      <c r="W876" t="s">
        <v>3250</v>
      </c>
      <c r="X876" t="s">
        <v>3250</v>
      </c>
      <c r="Y876" t="s">
        <v>3250</v>
      </c>
      <c r="Z876" t="s">
        <v>3250</v>
      </c>
      <c r="AA876" t="s">
        <v>3108</v>
      </c>
      <c r="AB876" t="s">
        <v>3108</v>
      </c>
      <c r="AC876" t="s">
        <v>3250</v>
      </c>
      <c r="AD876" t="s">
        <v>3250</v>
      </c>
      <c r="AE876" t="s">
        <v>3250</v>
      </c>
      <c r="AF876" t="s">
        <v>3250</v>
      </c>
      <c r="AG876" t="s">
        <v>3250</v>
      </c>
      <c r="AH876" t="s">
        <v>3250</v>
      </c>
      <c r="AI876" t="s">
        <v>3250</v>
      </c>
      <c r="AJ876" t="s">
        <v>3250</v>
      </c>
      <c r="AL876" t="s">
        <v>3250</v>
      </c>
      <c r="AM876" t="s">
        <v>3250</v>
      </c>
      <c r="AN876" t="s">
        <v>3250</v>
      </c>
      <c r="AO876" t="s">
        <v>3250</v>
      </c>
      <c r="AS876" t="s">
        <v>3250</v>
      </c>
      <c r="AT876" t="s">
        <v>3250</v>
      </c>
      <c r="AU876" t="s">
        <v>3250</v>
      </c>
      <c r="AV876" t="s">
        <v>3250</v>
      </c>
      <c r="AW876" t="s">
        <v>3250</v>
      </c>
      <c r="AX876" t="s">
        <v>3250</v>
      </c>
      <c r="AY876" t="s">
        <v>3250</v>
      </c>
      <c r="AZ876" t="s">
        <v>3250</v>
      </c>
      <c r="BA876" t="s">
        <v>3250</v>
      </c>
      <c r="BB876" t="s">
        <v>3250</v>
      </c>
      <c r="BC876" t="s">
        <v>3250</v>
      </c>
      <c r="BE876" t="s">
        <v>3250</v>
      </c>
      <c r="BF876" t="s">
        <v>3250</v>
      </c>
      <c r="BG876" t="s">
        <v>3250</v>
      </c>
      <c r="BH876" t="s">
        <v>3250</v>
      </c>
      <c r="BI876" t="s">
        <v>3250</v>
      </c>
      <c r="BK876" t="s">
        <v>3250</v>
      </c>
      <c r="BL876" t="s">
        <v>3250</v>
      </c>
      <c r="BM876" t="s">
        <v>3250</v>
      </c>
      <c r="BN876" t="s">
        <v>3250</v>
      </c>
      <c r="BP876">
        <v>4</v>
      </c>
      <c r="BQ876">
        <v>42</v>
      </c>
      <c r="BR876" t="s">
        <v>1444</v>
      </c>
      <c r="BS876" t="s">
        <v>4024</v>
      </c>
      <c r="BV876">
        <v>16907</v>
      </c>
      <c r="BW876">
        <v>24853</v>
      </c>
      <c r="BX876">
        <v>-41578</v>
      </c>
      <c r="BY876">
        <v>-18394</v>
      </c>
      <c r="BZ876">
        <v>-18394</v>
      </c>
      <c r="CA876">
        <v>-19111</v>
      </c>
      <c r="CB876">
        <v>-19876</v>
      </c>
      <c r="CC876">
        <v>-20671</v>
      </c>
      <c r="CD876">
        <v>12702</v>
      </c>
      <c r="CE876" t="s">
        <v>3108</v>
      </c>
      <c r="CF876" t="s">
        <v>3108</v>
      </c>
      <c r="CG876" t="s">
        <v>3108</v>
      </c>
      <c r="CH876" t="s">
        <v>3108</v>
      </c>
    </row>
    <row r="877" spans="1:86" x14ac:dyDescent="0.2">
      <c r="A877" t="s">
        <v>4571</v>
      </c>
      <c r="B877" t="s">
        <v>4571</v>
      </c>
      <c r="C877">
        <v>41331</v>
      </c>
      <c r="D877">
        <v>82</v>
      </c>
      <c r="E877" t="s">
        <v>4572</v>
      </c>
      <c r="F877">
        <v>1600</v>
      </c>
      <c r="G877" t="s">
        <v>1360</v>
      </c>
      <c r="H877">
        <v>1600</v>
      </c>
      <c r="I877" t="s">
        <v>2017</v>
      </c>
      <c r="J877" t="s">
        <v>3250</v>
      </c>
      <c r="K877" t="s">
        <v>3250</v>
      </c>
      <c r="L877">
        <v>3100</v>
      </c>
      <c r="M877" t="s">
        <v>127</v>
      </c>
      <c r="N877">
        <v>3107</v>
      </c>
      <c r="O877" t="s">
        <v>2418</v>
      </c>
      <c r="P877" t="s">
        <v>3108</v>
      </c>
      <c r="Q877" t="s">
        <v>3249</v>
      </c>
      <c r="R877" t="s">
        <v>3249</v>
      </c>
      <c r="S877" t="s">
        <v>472</v>
      </c>
      <c r="T877" t="s">
        <v>2759</v>
      </c>
      <c r="U877" t="s">
        <v>3250</v>
      </c>
      <c r="V877" t="s">
        <v>3250</v>
      </c>
      <c r="W877" t="s">
        <v>3250</v>
      </c>
      <c r="X877" t="s">
        <v>3250</v>
      </c>
      <c r="Y877" t="s">
        <v>3250</v>
      </c>
      <c r="Z877" t="s">
        <v>3250</v>
      </c>
      <c r="AA877" t="s">
        <v>3108</v>
      </c>
      <c r="AB877" t="s">
        <v>3108</v>
      </c>
      <c r="AC877" t="s">
        <v>3250</v>
      </c>
      <c r="AD877" t="s">
        <v>3250</v>
      </c>
      <c r="AE877" t="s">
        <v>3250</v>
      </c>
      <c r="AF877" t="s">
        <v>3250</v>
      </c>
      <c r="AG877" t="s">
        <v>3250</v>
      </c>
      <c r="AH877" t="s">
        <v>3250</v>
      </c>
      <c r="AI877" t="s">
        <v>3250</v>
      </c>
      <c r="AJ877" t="s">
        <v>3250</v>
      </c>
      <c r="AL877" t="s">
        <v>3250</v>
      </c>
      <c r="AM877" t="s">
        <v>3250</v>
      </c>
      <c r="AN877" t="s">
        <v>3250</v>
      </c>
      <c r="AO877" t="s">
        <v>3250</v>
      </c>
      <c r="AS877" t="s">
        <v>3250</v>
      </c>
      <c r="AT877" t="s">
        <v>3250</v>
      </c>
      <c r="AU877" t="s">
        <v>3250</v>
      </c>
      <c r="AV877" t="s">
        <v>3250</v>
      </c>
      <c r="AW877" t="s">
        <v>3250</v>
      </c>
      <c r="AX877" t="s">
        <v>3250</v>
      </c>
      <c r="AY877" t="s">
        <v>3250</v>
      </c>
      <c r="AZ877" t="s">
        <v>3250</v>
      </c>
      <c r="BA877" t="s">
        <v>3250</v>
      </c>
      <c r="BB877" t="s">
        <v>3250</v>
      </c>
      <c r="BC877" t="s">
        <v>3250</v>
      </c>
      <c r="BE877" t="s">
        <v>3250</v>
      </c>
      <c r="BF877" t="s">
        <v>3250</v>
      </c>
      <c r="BG877" t="s">
        <v>3250</v>
      </c>
      <c r="BH877" t="s">
        <v>3250</v>
      </c>
      <c r="BI877" t="s">
        <v>3250</v>
      </c>
      <c r="BK877" t="s">
        <v>3250</v>
      </c>
      <c r="BL877" t="s">
        <v>3250</v>
      </c>
      <c r="BM877" t="s">
        <v>3250</v>
      </c>
      <c r="BN877" t="s">
        <v>3250</v>
      </c>
      <c r="BP877">
        <v>8</v>
      </c>
      <c r="BQ877">
        <v>81</v>
      </c>
      <c r="BR877" t="s">
        <v>2418</v>
      </c>
      <c r="BS877" t="s">
        <v>4013</v>
      </c>
      <c r="BV877">
        <v>126101</v>
      </c>
      <c r="BW877">
        <v>188324</v>
      </c>
      <c r="BX877">
        <v>410197</v>
      </c>
      <c r="BY877">
        <v>-900000</v>
      </c>
      <c r="BZ877">
        <v>-2426211</v>
      </c>
      <c r="CA877">
        <v>-900000</v>
      </c>
      <c r="CB877">
        <v>-2621667</v>
      </c>
      <c r="CC877">
        <v>-2726533</v>
      </c>
      <c r="CD877">
        <v>2382235</v>
      </c>
      <c r="CE877" t="s">
        <v>3108</v>
      </c>
      <c r="CF877" t="s">
        <v>3108</v>
      </c>
      <c r="CG877" t="s">
        <v>3108</v>
      </c>
      <c r="CH877" t="s">
        <v>3108</v>
      </c>
    </row>
    <row r="878" spans="1:86" x14ac:dyDescent="0.2">
      <c r="A878" t="s">
        <v>4573</v>
      </c>
      <c r="B878" t="s">
        <v>4573</v>
      </c>
      <c r="C878">
        <v>41332</v>
      </c>
      <c r="D878">
        <v>83</v>
      </c>
      <c r="E878" t="s">
        <v>4574</v>
      </c>
      <c r="F878">
        <v>3300</v>
      </c>
      <c r="G878" t="s">
        <v>2346</v>
      </c>
      <c r="H878">
        <v>3300</v>
      </c>
      <c r="I878" t="s">
        <v>2346</v>
      </c>
      <c r="J878" t="s">
        <v>3250</v>
      </c>
      <c r="K878" t="s">
        <v>3250</v>
      </c>
      <c r="L878">
        <v>4100</v>
      </c>
      <c r="M878" t="s">
        <v>2365</v>
      </c>
      <c r="N878">
        <v>4101</v>
      </c>
      <c r="O878" t="s">
        <v>2432</v>
      </c>
      <c r="P878" t="s">
        <v>3108</v>
      </c>
      <c r="Q878">
        <v>2010</v>
      </c>
      <c r="R878" t="s">
        <v>1355</v>
      </c>
      <c r="S878" t="s">
        <v>472</v>
      </c>
      <c r="T878" t="s">
        <v>2759</v>
      </c>
      <c r="U878" t="s">
        <v>3250</v>
      </c>
      <c r="V878" t="s">
        <v>3250</v>
      </c>
      <c r="W878" t="s">
        <v>3250</v>
      </c>
      <c r="X878" t="s">
        <v>3250</v>
      </c>
      <c r="Y878" t="s">
        <v>3250</v>
      </c>
      <c r="Z878" t="s">
        <v>3250</v>
      </c>
      <c r="AA878" t="s">
        <v>3108</v>
      </c>
      <c r="AB878" t="s">
        <v>3108</v>
      </c>
      <c r="AC878" t="s">
        <v>3250</v>
      </c>
      <c r="AD878" t="s">
        <v>3250</v>
      </c>
      <c r="AE878" t="s">
        <v>3250</v>
      </c>
      <c r="AF878" t="s">
        <v>3250</v>
      </c>
      <c r="AG878" t="s">
        <v>3250</v>
      </c>
      <c r="AH878" t="s">
        <v>3250</v>
      </c>
      <c r="AI878" t="s">
        <v>3250</v>
      </c>
      <c r="AJ878" t="s">
        <v>3250</v>
      </c>
      <c r="AL878" t="s">
        <v>3250</v>
      </c>
      <c r="AM878" t="s">
        <v>3250</v>
      </c>
      <c r="AN878" t="s">
        <v>3250</v>
      </c>
      <c r="AO878" t="s">
        <v>3250</v>
      </c>
      <c r="AS878" t="s">
        <v>3250</v>
      </c>
      <c r="AT878" t="s">
        <v>3250</v>
      </c>
      <c r="AU878" t="s">
        <v>3250</v>
      </c>
      <c r="AV878" t="s">
        <v>3250</v>
      </c>
      <c r="AW878" t="s">
        <v>3250</v>
      </c>
      <c r="AX878" t="s">
        <v>3250</v>
      </c>
      <c r="AY878" t="s">
        <v>3250</v>
      </c>
      <c r="AZ878" t="s">
        <v>3250</v>
      </c>
      <c r="BA878" t="s">
        <v>3250</v>
      </c>
      <c r="BB878" t="s">
        <v>3250</v>
      </c>
      <c r="BC878" t="s">
        <v>3250</v>
      </c>
      <c r="BE878" t="s">
        <v>3250</v>
      </c>
      <c r="BF878" t="s">
        <v>3250</v>
      </c>
      <c r="BG878" t="s">
        <v>3250</v>
      </c>
      <c r="BH878" t="s">
        <v>3250</v>
      </c>
      <c r="BI878" t="s">
        <v>3250</v>
      </c>
      <c r="BK878" t="s">
        <v>3250</v>
      </c>
      <c r="BL878" t="s">
        <v>3250</v>
      </c>
      <c r="BM878" t="s">
        <v>3250</v>
      </c>
      <c r="BN878" t="s">
        <v>3250</v>
      </c>
      <c r="BP878">
        <v>6</v>
      </c>
      <c r="BQ878">
        <v>61</v>
      </c>
      <c r="BR878" t="s">
        <v>555</v>
      </c>
      <c r="BS878" t="s">
        <v>4397</v>
      </c>
      <c r="BV878">
        <v>0</v>
      </c>
      <c r="BW878">
        <v>0</v>
      </c>
      <c r="BX878">
        <v>0</v>
      </c>
      <c r="BY878">
        <v>0</v>
      </c>
      <c r="BZ878">
        <v>0</v>
      </c>
      <c r="CA878">
        <v>0</v>
      </c>
      <c r="CB878">
        <v>0</v>
      </c>
      <c r="CC878">
        <v>0</v>
      </c>
      <c r="CD878">
        <v>0</v>
      </c>
      <c r="CE878" t="s">
        <v>3108</v>
      </c>
      <c r="CF878" t="s">
        <v>3108</v>
      </c>
      <c r="CG878" t="s">
        <v>3108</v>
      </c>
      <c r="CH878" t="s">
        <v>3108</v>
      </c>
    </row>
    <row r="879" spans="1:86" x14ac:dyDescent="0.2">
      <c r="A879" t="s">
        <v>4575</v>
      </c>
      <c r="B879" t="s">
        <v>4575</v>
      </c>
      <c r="C879">
        <v>41333</v>
      </c>
      <c r="D879">
        <v>84</v>
      </c>
      <c r="E879" t="s">
        <v>4576</v>
      </c>
      <c r="F879">
        <v>1600</v>
      </c>
      <c r="G879" t="s">
        <v>1360</v>
      </c>
      <c r="H879">
        <v>1600</v>
      </c>
      <c r="I879" t="s">
        <v>2017</v>
      </c>
      <c r="J879" t="s">
        <v>3250</v>
      </c>
      <c r="K879" t="s">
        <v>3250</v>
      </c>
      <c r="L879">
        <v>1200</v>
      </c>
      <c r="M879" t="s">
        <v>2368</v>
      </c>
      <c r="N879">
        <v>1204</v>
      </c>
      <c r="O879" t="s">
        <v>1574</v>
      </c>
      <c r="P879" t="s">
        <v>3108</v>
      </c>
      <c r="Q879" t="s">
        <v>3249</v>
      </c>
      <c r="R879" t="s">
        <v>3249</v>
      </c>
      <c r="S879" t="s">
        <v>472</v>
      </c>
      <c r="T879" t="s">
        <v>2759</v>
      </c>
      <c r="U879" t="s">
        <v>3250</v>
      </c>
      <c r="V879" t="s">
        <v>3250</v>
      </c>
      <c r="W879" t="s">
        <v>3250</v>
      </c>
      <c r="X879" t="s">
        <v>3250</v>
      </c>
      <c r="Y879" t="s">
        <v>3250</v>
      </c>
      <c r="Z879" t="s">
        <v>3250</v>
      </c>
      <c r="AA879" t="s">
        <v>3108</v>
      </c>
      <c r="AB879" t="s">
        <v>3108</v>
      </c>
      <c r="AC879" t="s">
        <v>3250</v>
      </c>
      <c r="AD879" t="s">
        <v>3250</v>
      </c>
      <c r="AE879" t="s">
        <v>3250</v>
      </c>
      <c r="AF879" t="s">
        <v>3250</v>
      </c>
      <c r="AG879" t="s">
        <v>3250</v>
      </c>
      <c r="AH879" t="s">
        <v>3250</v>
      </c>
      <c r="AI879" t="s">
        <v>3250</v>
      </c>
      <c r="AJ879" t="s">
        <v>3250</v>
      </c>
      <c r="AL879" t="s">
        <v>3250</v>
      </c>
      <c r="AM879" t="s">
        <v>3250</v>
      </c>
      <c r="AN879" t="s">
        <v>3250</v>
      </c>
      <c r="AO879" t="s">
        <v>3250</v>
      </c>
      <c r="AS879" t="s">
        <v>3250</v>
      </c>
      <c r="AT879" t="s">
        <v>3250</v>
      </c>
      <c r="AU879" t="s">
        <v>3250</v>
      </c>
      <c r="AV879" t="s">
        <v>3250</v>
      </c>
      <c r="AW879" t="s">
        <v>3250</v>
      </c>
      <c r="AX879" t="s">
        <v>3250</v>
      </c>
      <c r="AY879" t="s">
        <v>3250</v>
      </c>
      <c r="AZ879" t="s">
        <v>3250</v>
      </c>
      <c r="BA879" t="s">
        <v>3250</v>
      </c>
      <c r="BB879" t="s">
        <v>3250</v>
      </c>
      <c r="BC879" t="s">
        <v>3250</v>
      </c>
      <c r="BE879" t="s">
        <v>3250</v>
      </c>
      <c r="BF879" t="s">
        <v>3250</v>
      </c>
      <c r="BG879" t="s">
        <v>3250</v>
      </c>
      <c r="BH879" t="s">
        <v>3250</v>
      </c>
      <c r="BI879" t="s">
        <v>3250</v>
      </c>
      <c r="BK879" t="s">
        <v>3250</v>
      </c>
      <c r="BL879" t="s">
        <v>3250</v>
      </c>
      <c r="BM879" t="s">
        <v>3250</v>
      </c>
      <c r="BN879" t="s">
        <v>3250</v>
      </c>
      <c r="BP879">
        <v>1</v>
      </c>
      <c r="BQ879">
        <v>11</v>
      </c>
      <c r="BR879" t="s">
        <v>1574</v>
      </c>
      <c r="BS879" t="s">
        <v>3252</v>
      </c>
      <c r="BV879">
        <v>216957</v>
      </c>
      <c r="BW879">
        <v>173400</v>
      </c>
      <c r="BX879">
        <v>164778</v>
      </c>
      <c r="BY879">
        <v>-135000</v>
      </c>
      <c r="BZ879">
        <v>-135000</v>
      </c>
      <c r="CA879">
        <v>-140265</v>
      </c>
      <c r="CB879">
        <v>-145876</v>
      </c>
      <c r="CC879">
        <v>-151711</v>
      </c>
      <c r="CD879">
        <v>262130</v>
      </c>
      <c r="CE879" t="s">
        <v>3108</v>
      </c>
      <c r="CF879" t="s">
        <v>3108</v>
      </c>
      <c r="CG879" t="s">
        <v>3108</v>
      </c>
      <c r="CH879" t="s">
        <v>3108</v>
      </c>
    </row>
    <row r="880" spans="1:86" x14ac:dyDescent="0.2">
      <c r="A880" t="s">
        <v>4577</v>
      </c>
      <c r="B880" t="s">
        <v>4577</v>
      </c>
      <c r="C880">
        <v>41334</v>
      </c>
      <c r="D880">
        <v>85</v>
      </c>
      <c r="E880" t="s">
        <v>4578</v>
      </c>
      <c r="F880">
        <v>1600</v>
      </c>
      <c r="G880" t="s">
        <v>1360</v>
      </c>
      <c r="H880">
        <v>1600</v>
      </c>
      <c r="I880" t="s">
        <v>2017</v>
      </c>
      <c r="J880" t="s">
        <v>3250</v>
      </c>
      <c r="K880" t="s">
        <v>3250</v>
      </c>
      <c r="L880">
        <v>3100</v>
      </c>
      <c r="M880" t="s">
        <v>127</v>
      </c>
      <c r="N880">
        <v>3107</v>
      </c>
      <c r="O880" t="s">
        <v>2418</v>
      </c>
      <c r="P880" t="s">
        <v>3108</v>
      </c>
      <c r="Q880" t="s">
        <v>3249</v>
      </c>
      <c r="R880" t="s">
        <v>3249</v>
      </c>
      <c r="S880" t="s">
        <v>472</v>
      </c>
      <c r="T880" t="s">
        <v>2759</v>
      </c>
      <c r="U880" t="s">
        <v>3250</v>
      </c>
      <c r="V880" t="s">
        <v>3250</v>
      </c>
      <c r="W880" t="s">
        <v>3250</v>
      </c>
      <c r="X880" t="s">
        <v>3250</v>
      </c>
      <c r="Y880" t="s">
        <v>3250</v>
      </c>
      <c r="Z880" t="s">
        <v>3250</v>
      </c>
      <c r="AA880" t="s">
        <v>3108</v>
      </c>
      <c r="AB880" t="s">
        <v>3108</v>
      </c>
      <c r="AC880" t="s">
        <v>3250</v>
      </c>
      <c r="AD880" t="s">
        <v>3250</v>
      </c>
      <c r="AE880" t="s">
        <v>3250</v>
      </c>
      <c r="AF880" t="s">
        <v>3250</v>
      </c>
      <c r="AG880" t="s">
        <v>3250</v>
      </c>
      <c r="AH880" t="s">
        <v>3250</v>
      </c>
      <c r="AI880" t="s">
        <v>3250</v>
      </c>
      <c r="AJ880" t="s">
        <v>3250</v>
      </c>
      <c r="AL880" t="s">
        <v>3250</v>
      </c>
      <c r="AM880" t="s">
        <v>3250</v>
      </c>
      <c r="AN880" t="s">
        <v>3250</v>
      </c>
      <c r="AO880" t="s">
        <v>3250</v>
      </c>
      <c r="AS880" t="s">
        <v>3250</v>
      </c>
      <c r="AT880" t="s">
        <v>3250</v>
      </c>
      <c r="AU880" t="s">
        <v>3250</v>
      </c>
      <c r="AV880" t="s">
        <v>3250</v>
      </c>
      <c r="AW880" t="s">
        <v>3250</v>
      </c>
      <c r="AX880" t="s">
        <v>3250</v>
      </c>
      <c r="AY880" t="s">
        <v>3250</v>
      </c>
      <c r="AZ880" t="s">
        <v>3250</v>
      </c>
      <c r="BA880" t="s">
        <v>3250</v>
      </c>
      <c r="BB880" t="s">
        <v>3250</v>
      </c>
      <c r="BC880" t="s">
        <v>3250</v>
      </c>
      <c r="BE880" t="s">
        <v>3250</v>
      </c>
      <c r="BF880" t="s">
        <v>3250</v>
      </c>
      <c r="BG880" t="s">
        <v>3250</v>
      </c>
      <c r="BH880" t="s">
        <v>3250</v>
      </c>
      <c r="BI880" t="s">
        <v>3250</v>
      </c>
      <c r="BK880" t="s">
        <v>3250</v>
      </c>
      <c r="BL880" t="s">
        <v>3250</v>
      </c>
      <c r="BM880" t="s">
        <v>3250</v>
      </c>
      <c r="BN880" t="s">
        <v>3250</v>
      </c>
      <c r="BP880">
        <v>8</v>
      </c>
      <c r="BQ880">
        <v>81</v>
      </c>
      <c r="BR880" t="s">
        <v>2418</v>
      </c>
      <c r="BS880" t="s">
        <v>4013</v>
      </c>
      <c r="BV880">
        <v>6644</v>
      </c>
      <c r="BW880">
        <v>39368</v>
      </c>
      <c r="BX880">
        <v>8814</v>
      </c>
      <c r="BY880">
        <v>-38955</v>
      </c>
      <c r="BZ880">
        <v>-38955</v>
      </c>
      <c r="CA880">
        <v>-40474</v>
      </c>
      <c r="CB880">
        <v>-42093</v>
      </c>
      <c r="CC880">
        <v>-43777</v>
      </c>
      <c r="CD880">
        <v>19878</v>
      </c>
      <c r="CE880" t="s">
        <v>3108</v>
      </c>
      <c r="CF880" t="s">
        <v>3108</v>
      </c>
      <c r="CG880" t="s">
        <v>3108</v>
      </c>
      <c r="CH880" t="s">
        <v>3108</v>
      </c>
    </row>
    <row r="881" spans="1:86" x14ac:dyDescent="0.2">
      <c r="A881" t="s">
        <v>4579</v>
      </c>
      <c r="B881" t="s">
        <v>4579</v>
      </c>
      <c r="C881">
        <v>41335</v>
      </c>
      <c r="D881">
        <v>725</v>
      </c>
      <c r="E881" t="s">
        <v>3836</v>
      </c>
      <c r="F881">
        <v>2700</v>
      </c>
      <c r="G881" t="s">
        <v>411</v>
      </c>
      <c r="H881" t="s">
        <v>3837</v>
      </c>
      <c r="I881" t="s">
        <v>2532</v>
      </c>
      <c r="J881">
        <v>2702</v>
      </c>
      <c r="K881" t="s">
        <v>2532</v>
      </c>
      <c r="L881">
        <v>1200</v>
      </c>
      <c r="M881" t="s">
        <v>2368</v>
      </c>
      <c r="N881">
        <v>1204</v>
      </c>
      <c r="O881" t="s">
        <v>1574</v>
      </c>
      <c r="P881" t="s">
        <v>3108</v>
      </c>
      <c r="Q881" t="s">
        <v>3249</v>
      </c>
      <c r="R881" t="s">
        <v>3249</v>
      </c>
      <c r="S881" t="s">
        <v>810</v>
      </c>
      <c r="T881" t="s">
        <v>2754</v>
      </c>
      <c r="U881" t="s">
        <v>3250</v>
      </c>
      <c r="V881" t="s">
        <v>3250</v>
      </c>
      <c r="W881" t="s">
        <v>3250</v>
      </c>
      <c r="X881" t="s">
        <v>3250</v>
      </c>
      <c r="Y881" t="s">
        <v>3250</v>
      </c>
      <c r="Z881" t="s">
        <v>3250</v>
      </c>
      <c r="AA881" t="s">
        <v>3108</v>
      </c>
      <c r="AB881" t="s">
        <v>3108</v>
      </c>
      <c r="AC881" t="s">
        <v>3250</v>
      </c>
      <c r="AD881" t="s">
        <v>3250</v>
      </c>
      <c r="AE881" t="s">
        <v>3250</v>
      </c>
      <c r="AF881" t="s">
        <v>3250</v>
      </c>
      <c r="AG881" t="s">
        <v>3250</v>
      </c>
      <c r="AH881" t="s">
        <v>3250</v>
      </c>
      <c r="AI881" t="s">
        <v>3250</v>
      </c>
      <c r="AJ881" t="s">
        <v>3250</v>
      </c>
      <c r="AL881" t="s">
        <v>3250</v>
      </c>
      <c r="AM881" t="s">
        <v>3250</v>
      </c>
      <c r="AN881" t="s">
        <v>3250</v>
      </c>
      <c r="AO881" t="s">
        <v>3250</v>
      </c>
      <c r="AS881" t="s">
        <v>3250</v>
      </c>
      <c r="AT881" t="s">
        <v>3250</v>
      </c>
      <c r="AU881" t="s">
        <v>3250</v>
      </c>
      <c r="AV881" t="s">
        <v>3250</v>
      </c>
      <c r="AW881" t="s">
        <v>3250</v>
      </c>
      <c r="AX881" t="s">
        <v>3250</v>
      </c>
      <c r="AY881" t="s">
        <v>3250</v>
      </c>
      <c r="AZ881" t="s">
        <v>3250</v>
      </c>
      <c r="BA881" t="s">
        <v>3250</v>
      </c>
      <c r="BB881" t="s">
        <v>3250</v>
      </c>
      <c r="BC881" t="s">
        <v>3250</v>
      </c>
      <c r="BE881" t="s">
        <v>3250</v>
      </c>
      <c r="BF881" t="s">
        <v>3250</v>
      </c>
      <c r="BG881" t="s">
        <v>3250</v>
      </c>
      <c r="BH881" t="s">
        <v>3250</v>
      </c>
      <c r="BI881" t="s">
        <v>3250</v>
      </c>
      <c r="BK881" t="s">
        <v>3250</v>
      </c>
      <c r="BL881" t="s">
        <v>3250</v>
      </c>
      <c r="BM881" t="s">
        <v>3250</v>
      </c>
      <c r="BN881" t="s">
        <v>3250</v>
      </c>
      <c r="BP881">
        <v>1</v>
      </c>
      <c r="BQ881">
        <v>11</v>
      </c>
      <c r="BR881" t="s">
        <v>1574</v>
      </c>
      <c r="BS881" t="s">
        <v>3252</v>
      </c>
      <c r="BV881">
        <v>462244</v>
      </c>
      <c r="BW881">
        <v>262804</v>
      </c>
      <c r="BX881">
        <v>62730</v>
      </c>
      <c r="BY881">
        <v>3000000</v>
      </c>
      <c r="BZ881">
        <v>2474200</v>
      </c>
      <c r="CA881">
        <v>2570694</v>
      </c>
      <c r="CB881">
        <v>2673522</v>
      </c>
      <c r="CC881">
        <v>2780462</v>
      </c>
      <c r="CD881">
        <v>715631</v>
      </c>
      <c r="CE881" t="s">
        <v>3108</v>
      </c>
      <c r="CF881" t="s">
        <v>3108</v>
      </c>
      <c r="CG881" t="s">
        <v>3108</v>
      </c>
      <c r="CH881" t="s">
        <v>3108</v>
      </c>
    </row>
    <row r="882" spans="1:86" x14ac:dyDescent="0.2">
      <c r="A882" t="s">
        <v>4580</v>
      </c>
      <c r="B882" t="s">
        <v>4580</v>
      </c>
      <c r="C882">
        <v>41336</v>
      </c>
      <c r="D882">
        <v>726</v>
      </c>
      <c r="E882" t="s">
        <v>4117</v>
      </c>
      <c r="F882">
        <v>2900</v>
      </c>
      <c r="G882" t="s">
        <v>822</v>
      </c>
      <c r="H882" t="s">
        <v>3108</v>
      </c>
      <c r="I882" t="s">
        <v>3108</v>
      </c>
      <c r="J882">
        <v>2904</v>
      </c>
      <c r="K882" t="s">
        <v>1690</v>
      </c>
      <c r="L882">
        <v>1200</v>
      </c>
      <c r="M882" t="s">
        <v>2368</v>
      </c>
      <c r="N882">
        <v>1204</v>
      </c>
      <c r="O882" t="s">
        <v>1574</v>
      </c>
      <c r="P882" t="s">
        <v>3108</v>
      </c>
      <c r="Q882" t="s">
        <v>3249</v>
      </c>
      <c r="R882" t="s">
        <v>3249</v>
      </c>
      <c r="S882" t="s">
        <v>810</v>
      </c>
      <c r="T882" t="s">
        <v>2754</v>
      </c>
      <c r="U882" t="s">
        <v>3250</v>
      </c>
      <c r="V882" t="s">
        <v>3250</v>
      </c>
      <c r="W882" t="s">
        <v>3250</v>
      </c>
      <c r="X882" t="s">
        <v>3250</v>
      </c>
      <c r="Y882" t="s">
        <v>3250</v>
      </c>
      <c r="Z882" t="s">
        <v>3250</v>
      </c>
      <c r="AA882" t="s">
        <v>3108</v>
      </c>
      <c r="AB882" t="s">
        <v>3108</v>
      </c>
      <c r="AC882" t="s">
        <v>3250</v>
      </c>
      <c r="AD882" t="s">
        <v>3250</v>
      </c>
      <c r="AE882" t="s">
        <v>3250</v>
      </c>
      <c r="AF882" t="s">
        <v>3250</v>
      </c>
      <c r="AG882" t="s">
        <v>3250</v>
      </c>
      <c r="AH882" t="s">
        <v>3250</v>
      </c>
      <c r="AI882" t="s">
        <v>3250</v>
      </c>
      <c r="AJ882" t="s">
        <v>3250</v>
      </c>
      <c r="AL882" t="s">
        <v>3250</v>
      </c>
      <c r="AM882" t="s">
        <v>3250</v>
      </c>
      <c r="AN882" t="s">
        <v>3250</v>
      </c>
      <c r="AO882" t="s">
        <v>3250</v>
      </c>
      <c r="AS882" t="s">
        <v>3250</v>
      </c>
      <c r="AT882" t="s">
        <v>3250</v>
      </c>
      <c r="AU882" t="s">
        <v>3250</v>
      </c>
      <c r="AV882" t="s">
        <v>3250</v>
      </c>
      <c r="AW882" t="s">
        <v>3250</v>
      </c>
      <c r="AX882" t="s">
        <v>3250</v>
      </c>
      <c r="AY882" t="s">
        <v>3250</v>
      </c>
      <c r="AZ882" t="s">
        <v>3250</v>
      </c>
      <c r="BA882" t="s">
        <v>3250</v>
      </c>
      <c r="BB882" t="s">
        <v>3250</v>
      </c>
      <c r="BC882" t="s">
        <v>3250</v>
      </c>
      <c r="BE882" t="s">
        <v>3250</v>
      </c>
      <c r="BF882" t="s">
        <v>3250</v>
      </c>
      <c r="BG882" t="s">
        <v>3250</v>
      </c>
      <c r="BH882" t="s">
        <v>3250</v>
      </c>
      <c r="BI882" t="s">
        <v>3250</v>
      </c>
      <c r="BK882" t="s">
        <v>3250</v>
      </c>
      <c r="BL882" t="s">
        <v>3250</v>
      </c>
      <c r="BM882" t="s">
        <v>3250</v>
      </c>
      <c r="BN882" t="s">
        <v>3250</v>
      </c>
      <c r="BP882">
        <v>1</v>
      </c>
      <c r="BQ882">
        <v>11</v>
      </c>
      <c r="BR882" t="s">
        <v>1574</v>
      </c>
      <c r="BS882" t="s">
        <v>3252</v>
      </c>
      <c r="BV882">
        <v>0</v>
      </c>
      <c r="BW882">
        <v>0</v>
      </c>
      <c r="BX882">
        <v>5952</v>
      </c>
      <c r="BY882">
        <v>79704</v>
      </c>
      <c r="BZ882">
        <v>79704</v>
      </c>
      <c r="CA882">
        <v>0</v>
      </c>
      <c r="CB882">
        <v>0</v>
      </c>
      <c r="CC882">
        <v>0</v>
      </c>
      <c r="CD882">
        <v>0</v>
      </c>
      <c r="CE882" t="s">
        <v>3108</v>
      </c>
      <c r="CF882" t="s">
        <v>3108</v>
      </c>
      <c r="CG882" t="s">
        <v>3108</v>
      </c>
      <c r="CH882" t="s">
        <v>3108</v>
      </c>
    </row>
    <row r="883" spans="1:86" x14ac:dyDescent="0.2">
      <c r="A883" t="s">
        <v>4581</v>
      </c>
      <c r="B883" t="s">
        <v>4581</v>
      </c>
      <c r="C883">
        <v>41337</v>
      </c>
      <c r="D883">
        <v>727</v>
      </c>
      <c r="E883" t="s">
        <v>4582</v>
      </c>
      <c r="F883">
        <v>2900</v>
      </c>
      <c r="G883" t="s">
        <v>822</v>
      </c>
      <c r="H883" t="s">
        <v>3108</v>
      </c>
      <c r="I883" t="s">
        <v>3108</v>
      </c>
      <c r="J883">
        <v>2904</v>
      </c>
      <c r="K883" t="s">
        <v>1690</v>
      </c>
      <c r="L883">
        <v>1200</v>
      </c>
      <c r="M883" t="s">
        <v>2368</v>
      </c>
      <c r="N883">
        <v>1210</v>
      </c>
      <c r="O883" t="s">
        <v>922</v>
      </c>
      <c r="P883" t="s">
        <v>3108</v>
      </c>
      <c r="Q883" t="s">
        <v>3249</v>
      </c>
      <c r="R883" t="s">
        <v>3249</v>
      </c>
      <c r="S883" t="s">
        <v>810</v>
      </c>
      <c r="T883" t="s">
        <v>2754</v>
      </c>
      <c r="U883" t="s">
        <v>3250</v>
      </c>
      <c r="V883" t="s">
        <v>3250</v>
      </c>
      <c r="W883" t="s">
        <v>3250</v>
      </c>
      <c r="X883" t="s">
        <v>3250</v>
      </c>
      <c r="Y883" t="s">
        <v>3250</v>
      </c>
      <c r="Z883" t="s">
        <v>3250</v>
      </c>
      <c r="AA883" t="s">
        <v>3108</v>
      </c>
      <c r="AB883" t="s">
        <v>3108</v>
      </c>
      <c r="AC883" t="s">
        <v>3250</v>
      </c>
      <c r="AD883" t="s">
        <v>3250</v>
      </c>
      <c r="AE883" t="s">
        <v>3250</v>
      </c>
      <c r="AF883" t="s">
        <v>3250</v>
      </c>
      <c r="AG883" t="s">
        <v>3250</v>
      </c>
      <c r="AH883" t="s">
        <v>3250</v>
      </c>
      <c r="AI883" t="s">
        <v>3250</v>
      </c>
      <c r="AJ883" t="s">
        <v>3250</v>
      </c>
      <c r="AL883" t="s">
        <v>3250</v>
      </c>
      <c r="AM883" t="s">
        <v>3250</v>
      </c>
      <c r="AN883" t="s">
        <v>3250</v>
      </c>
      <c r="AO883" t="s">
        <v>3250</v>
      </c>
      <c r="AS883" t="s">
        <v>3250</v>
      </c>
      <c r="AT883" t="s">
        <v>3250</v>
      </c>
      <c r="AU883" t="s">
        <v>3250</v>
      </c>
      <c r="AV883" t="s">
        <v>3250</v>
      </c>
      <c r="AW883" t="s">
        <v>3250</v>
      </c>
      <c r="AX883" t="s">
        <v>3250</v>
      </c>
      <c r="AY883" t="s">
        <v>3250</v>
      </c>
      <c r="AZ883" t="s">
        <v>3250</v>
      </c>
      <c r="BA883" t="s">
        <v>3250</v>
      </c>
      <c r="BB883" t="s">
        <v>3250</v>
      </c>
      <c r="BC883" t="s">
        <v>3250</v>
      </c>
      <c r="BE883" t="s">
        <v>3250</v>
      </c>
      <c r="BF883" t="s">
        <v>3250</v>
      </c>
      <c r="BG883" t="s">
        <v>3250</v>
      </c>
      <c r="BH883" t="s">
        <v>3250</v>
      </c>
      <c r="BI883" t="s">
        <v>3250</v>
      </c>
      <c r="BK883" t="s">
        <v>3250</v>
      </c>
      <c r="BL883" t="s">
        <v>3250</v>
      </c>
      <c r="BM883" t="s">
        <v>3250</v>
      </c>
      <c r="BN883" t="s">
        <v>3250</v>
      </c>
      <c r="BP883">
        <v>1</v>
      </c>
      <c r="BQ883">
        <v>16</v>
      </c>
      <c r="BR883" t="s">
        <v>922</v>
      </c>
      <c r="BS883" t="s">
        <v>3252</v>
      </c>
      <c r="BV883">
        <v>875564</v>
      </c>
      <c r="BW883">
        <v>811415</v>
      </c>
      <c r="BX883">
        <v>264064</v>
      </c>
      <c r="BY883">
        <v>900000</v>
      </c>
      <c r="BZ883">
        <v>900000</v>
      </c>
      <c r="CA883">
        <v>935100</v>
      </c>
      <c r="CB883">
        <v>972504</v>
      </c>
      <c r="CC883">
        <v>1011404</v>
      </c>
      <c r="CD883">
        <v>672185</v>
      </c>
      <c r="CE883" t="s">
        <v>3108</v>
      </c>
      <c r="CF883" t="s">
        <v>3108</v>
      </c>
      <c r="CG883" t="s">
        <v>3108</v>
      </c>
      <c r="CH883" t="s">
        <v>3108</v>
      </c>
    </row>
    <row r="884" spans="1:86" x14ac:dyDescent="0.2">
      <c r="A884" t="s">
        <v>4583</v>
      </c>
      <c r="B884" t="s">
        <v>4583</v>
      </c>
      <c r="C884">
        <v>41338</v>
      </c>
      <c r="D884">
        <v>728</v>
      </c>
      <c r="E884" t="s">
        <v>4584</v>
      </c>
      <c r="F884">
        <v>2900</v>
      </c>
      <c r="G884" t="s">
        <v>822</v>
      </c>
      <c r="H884" t="s">
        <v>3108</v>
      </c>
      <c r="I884" t="s">
        <v>3108</v>
      </c>
      <c r="J884">
        <v>2904</v>
      </c>
      <c r="K884" t="s">
        <v>1690</v>
      </c>
      <c r="L884">
        <v>1200</v>
      </c>
      <c r="M884" t="s">
        <v>2368</v>
      </c>
      <c r="N884">
        <v>1210</v>
      </c>
      <c r="O884" t="s">
        <v>922</v>
      </c>
      <c r="P884" t="s">
        <v>3108</v>
      </c>
      <c r="Q884" t="s">
        <v>3249</v>
      </c>
      <c r="R884" t="s">
        <v>3249</v>
      </c>
      <c r="S884" t="s">
        <v>810</v>
      </c>
      <c r="T884" t="s">
        <v>2754</v>
      </c>
      <c r="U884" t="s">
        <v>3250</v>
      </c>
      <c r="V884" t="s">
        <v>3250</v>
      </c>
      <c r="W884" t="s">
        <v>3250</v>
      </c>
      <c r="X884" t="s">
        <v>3250</v>
      </c>
      <c r="Y884" t="s">
        <v>3250</v>
      </c>
      <c r="Z884" t="s">
        <v>3250</v>
      </c>
      <c r="AA884" t="s">
        <v>3108</v>
      </c>
      <c r="AB884" t="s">
        <v>3108</v>
      </c>
      <c r="AC884" t="s">
        <v>3250</v>
      </c>
      <c r="AD884" t="s">
        <v>3250</v>
      </c>
      <c r="AE884" t="s">
        <v>3250</v>
      </c>
      <c r="AF884" t="s">
        <v>3250</v>
      </c>
      <c r="AG884" t="s">
        <v>3250</v>
      </c>
      <c r="AH884" t="s">
        <v>3250</v>
      </c>
      <c r="AI884" t="s">
        <v>3250</v>
      </c>
      <c r="AJ884" t="s">
        <v>3250</v>
      </c>
      <c r="AL884" t="s">
        <v>3250</v>
      </c>
      <c r="AM884" t="s">
        <v>3250</v>
      </c>
      <c r="AN884" t="s">
        <v>3250</v>
      </c>
      <c r="AO884" t="s">
        <v>3250</v>
      </c>
      <c r="AS884" t="s">
        <v>3250</v>
      </c>
      <c r="AT884" t="s">
        <v>3250</v>
      </c>
      <c r="AU884" t="s">
        <v>3250</v>
      </c>
      <c r="AV884" t="s">
        <v>3250</v>
      </c>
      <c r="AW884" t="s">
        <v>3250</v>
      </c>
      <c r="AX884" t="s">
        <v>3250</v>
      </c>
      <c r="AY884" t="s">
        <v>3250</v>
      </c>
      <c r="AZ884" t="s">
        <v>3250</v>
      </c>
      <c r="BA884" t="s">
        <v>3250</v>
      </c>
      <c r="BB884" t="s">
        <v>3250</v>
      </c>
      <c r="BC884" t="s">
        <v>3250</v>
      </c>
      <c r="BE884" t="s">
        <v>3250</v>
      </c>
      <c r="BF884" t="s">
        <v>3250</v>
      </c>
      <c r="BG884" t="s">
        <v>3250</v>
      </c>
      <c r="BH884" t="s">
        <v>3250</v>
      </c>
      <c r="BI884" t="s">
        <v>3250</v>
      </c>
      <c r="BK884" t="s">
        <v>3250</v>
      </c>
      <c r="BL884" t="s">
        <v>3250</v>
      </c>
      <c r="BM884" t="s">
        <v>3250</v>
      </c>
      <c r="BN884" t="s">
        <v>3250</v>
      </c>
      <c r="BP884">
        <v>1</v>
      </c>
      <c r="BQ884">
        <v>16</v>
      </c>
      <c r="BR884" t="s">
        <v>922</v>
      </c>
      <c r="BS884" t="s">
        <v>3252</v>
      </c>
      <c r="BV884">
        <v>0</v>
      </c>
      <c r="BW884">
        <v>0</v>
      </c>
      <c r="BX884">
        <v>0</v>
      </c>
      <c r="BY884">
        <v>0</v>
      </c>
      <c r="BZ884">
        <v>0</v>
      </c>
      <c r="CA884">
        <v>0</v>
      </c>
      <c r="CB884">
        <v>0</v>
      </c>
      <c r="CC884">
        <v>0</v>
      </c>
      <c r="CD884">
        <v>0</v>
      </c>
      <c r="CE884" t="s">
        <v>3108</v>
      </c>
      <c r="CF884" t="s">
        <v>3108</v>
      </c>
      <c r="CG884" t="s">
        <v>3108</v>
      </c>
      <c r="CH884" t="s">
        <v>3108</v>
      </c>
    </row>
    <row r="885" spans="1:86" x14ac:dyDescent="0.2">
      <c r="A885" t="s">
        <v>4585</v>
      </c>
      <c r="B885" t="s">
        <v>4585</v>
      </c>
      <c r="C885">
        <v>41339</v>
      </c>
      <c r="D885">
        <v>729</v>
      </c>
      <c r="E885" t="s">
        <v>4586</v>
      </c>
      <c r="F885">
        <v>2900</v>
      </c>
      <c r="G885" t="s">
        <v>822</v>
      </c>
      <c r="H885" t="s">
        <v>3108</v>
      </c>
      <c r="I885" t="s">
        <v>3108</v>
      </c>
      <c r="J885">
        <v>2904</v>
      </c>
      <c r="K885" t="s">
        <v>1690</v>
      </c>
      <c r="L885">
        <v>1200</v>
      </c>
      <c r="M885" t="s">
        <v>2368</v>
      </c>
      <c r="N885">
        <v>1210</v>
      </c>
      <c r="O885" t="s">
        <v>922</v>
      </c>
      <c r="P885" t="s">
        <v>3108</v>
      </c>
      <c r="Q885" t="s">
        <v>3249</v>
      </c>
      <c r="R885" t="s">
        <v>3249</v>
      </c>
      <c r="S885" t="s">
        <v>810</v>
      </c>
      <c r="T885" t="s">
        <v>2754</v>
      </c>
      <c r="U885" t="s">
        <v>3250</v>
      </c>
      <c r="V885" t="s">
        <v>3250</v>
      </c>
      <c r="W885" t="s">
        <v>3250</v>
      </c>
      <c r="X885" t="s">
        <v>3250</v>
      </c>
      <c r="Y885" t="s">
        <v>3250</v>
      </c>
      <c r="Z885" t="s">
        <v>3250</v>
      </c>
      <c r="AA885" t="s">
        <v>3108</v>
      </c>
      <c r="AB885" t="s">
        <v>3108</v>
      </c>
      <c r="AC885" t="s">
        <v>3250</v>
      </c>
      <c r="AD885" t="s">
        <v>3250</v>
      </c>
      <c r="AE885" t="s">
        <v>3250</v>
      </c>
      <c r="AF885" t="s">
        <v>3250</v>
      </c>
      <c r="AG885" t="s">
        <v>3250</v>
      </c>
      <c r="AH885" t="s">
        <v>3250</v>
      </c>
      <c r="AI885" t="s">
        <v>3250</v>
      </c>
      <c r="AJ885" t="s">
        <v>3250</v>
      </c>
      <c r="AL885" t="s">
        <v>3250</v>
      </c>
      <c r="AM885" t="s">
        <v>3250</v>
      </c>
      <c r="AN885" t="s">
        <v>3250</v>
      </c>
      <c r="AO885" t="s">
        <v>3250</v>
      </c>
      <c r="AS885" t="s">
        <v>3250</v>
      </c>
      <c r="AT885" t="s">
        <v>3250</v>
      </c>
      <c r="AU885" t="s">
        <v>3250</v>
      </c>
      <c r="AV885" t="s">
        <v>3250</v>
      </c>
      <c r="AW885" t="s">
        <v>3250</v>
      </c>
      <c r="AX885" t="s">
        <v>3250</v>
      </c>
      <c r="AY885" t="s">
        <v>3250</v>
      </c>
      <c r="AZ885" t="s">
        <v>3250</v>
      </c>
      <c r="BA885" t="s">
        <v>3250</v>
      </c>
      <c r="BB885" t="s">
        <v>3250</v>
      </c>
      <c r="BC885" t="s">
        <v>3250</v>
      </c>
      <c r="BE885" t="s">
        <v>3250</v>
      </c>
      <c r="BF885" t="s">
        <v>3250</v>
      </c>
      <c r="BG885" t="s">
        <v>3250</v>
      </c>
      <c r="BH885" t="s">
        <v>3250</v>
      </c>
      <c r="BI885" t="s">
        <v>3250</v>
      </c>
      <c r="BK885" t="s">
        <v>3250</v>
      </c>
      <c r="BL885" t="s">
        <v>3250</v>
      </c>
      <c r="BM885" t="s">
        <v>3250</v>
      </c>
      <c r="BN885" t="s">
        <v>3250</v>
      </c>
      <c r="BP885">
        <v>1</v>
      </c>
      <c r="BQ885">
        <v>16</v>
      </c>
      <c r="BR885" t="s">
        <v>922</v>
      </c>
      <c r="BS885" t="s">
        <v>3252</v>
      </c>
      <c r="BV885">
        <v>0</v>
      </c>
      <c r="BW885">
        <v>0</v>
      </c>
      <c r="BX885">
        <v>0</v>
      </c>
      <c r="BY885">
        <v>0</v>
      </c>
      <c r="BZ885">
        <v>0</v>
      </c>
      <c r="CA885">
        <v>0</v>
      </c>
      <c r="CB885">
        <v>0</v>
      </c>
      <c r="CC885">
        <v>0</v>
      </c>
      <c r="CD885">
        <v>0</v>
      </c>
      <c r="CE885" t="s">
        <v>3108</v>
      </c>
      <c r="CF885" t="s">
        <v>3108</v>
      </c>
      <c r="CG885" t="s">
        <v>3108</v>
      </c>
      <c r="CH885" t="s">
        <v>3108</v>
      </c>
    </row>
    <row r="886" spans="1:86" x14ac:dyDescent="0.2">
      <c r="A886" t="s">
        <v>4587</v>
      </c>
      <c r="B886" t="s">
        <v>4587</v>
      </c>
      <c r="C886">
        <v>41340</v>
      </c>
      <c r="D886">
        <v>730</v>
      </c>
      <c r="E886" t="s">
        <v>4588</v>
      </c>
      <c r="F886">
        <v>2900</v>
      </c>
      <c r="G886" t="s">
        <v>822</v>
      </c>
      <c r="H886" t="s">
        <v>3108</v>
      </c>
      <c r="I886" t="s">
        <v>3108</v>
      </c>
      <c r="J886">
        <v>2904</v>
      </c>
      <c r="K886" t="s">
        <v>1690</v>
      </c>
      <c r="L886">
        <v>1200</v>
      </c>
      <c r="M886" t="s">
        <v>2368</v>
      </c>
      <c r="N886">
        <v>1210</v>
      </c>
      <c r="O886" t="s">
        <v>922</v>
      </c>
      <c r="P886" t="s">
        <v>3108</v>
      </c>
      <c r="Q886" t="s">
        <v>3249</v>
      </c>
      <c r="R886" t="s">
        <v>3249</v>
      </c>
      <c r="S886" t="s">
        <v>810</v>
      </c>
      <c r="T886" t="s">
        <v>2754</v>
      </c>
      <c r="U886" t="s">
        <v>3250</v>
      </c>
      <c r="V886" t="s">
        <v>3250</v>
      </c>
      <c r="W886" t="s">
        <v>3250</v>
      </c>
      <c r="X886" t="s">
        <v>3250</v>
      </c>
      <c r="Y886" t="s">
        <v>3250</v>
      </c>
      <c r="Z886" t="s">
        <v>3250</v>
      </c>
      <c r="AA886" t="s">
        <v>3108</v>
      </c>
      <c r="AB886" t="s">
        <v>3108</v>
      </c>
      <c r="AC886" t="s">
        <v>3250</v>
      </c>
      <c r="AD886" t="s">
        <v>3250</v>
      </c>
      <c r="AE886" t="s">
        <v>3250</v>
      </c>
      <c r="AF886" t="s">
        <v>3250</v>
      </c>
      <c r="AG886" t="s">
        <v>3250</v>
      </c>
      <c r="AH886" t="s">
        <v>3250</v>
      </c>
      <c r="AI886" t="s">
        <v>3250</v>
      </c>
      <c r="AJ886" t="s">
        <v>3250</v>
      </c>
      <c r="AL886" t="s">
        <v>3250</v>
      </c>
      <c r="AM886" t="s">
        <v>3250</v>
      </c>
      <c r="AN886" t="s">
        <v>3250</v>
      </c>
      <c r="AO886" t="s">
        <v>3250</v>
      </c>
      <c r="AS886" t="s">
        <v>3250</v>
      </c>
      <c r="AT886" t="s">
        <v>3250</v>
      </c>
      <c r="AU886" t="s">
        <v>3250</v>
      </c>
      <c r="AV886" t="s">
        <v>3250</v>
      </c>
      <c r="AW886" t="s">
        <v>3250</v>
      </c>
      <c r="AX886" t="s">
        <v>3250</v>
      </c>
      <c r="AY886" t="s">
        <v>3250</v>
      </c>
      <c r="AZ886" t="s">
        <v>3250</v>
      </c>
      <c r="BA886" t="s">
        <v>3250</v>
      </c>
      <c r="BB886" t="s">
        <v>3250</v>
      </c>
      <c r="BC886" t="s">
        <v>3250</v>
      </c>
      <c r="BE886" t="s">
        <v>3250</v>
      </c>
      <c r="BF886" t="s">
        <v>3250</v>
      </c>
      <c r="BG886" t="s">
        <v>3250</v>
      </c>
      <c r="BH886" t="s">
        <v>3250</v>
      </c>
      <c r="BI886" t="s">
        <v>3250</v>
      </c>
      <c r="BK886" t="s">
        <v>3250</v>
      </c>
      <c r="BL886" t="s">
        <v>3250</v>
      </c>
      <c r="BM886" t="s">
        <v>3250</v>
      </c>
      <c r="BN886" t="s">
        <v>3250</v>
      </c>
      <c r="BP886">
        <v>1</v>
      </c>
      <c r="BQ886">
        <v>16</v>
      </c>
      <c r="BR886" t="s">
        <v>922</v>
      </c>
      <c r="BS886" t="s">
        <v>3252</v>
      </c>
      <c r="BV886">
        <v>513855</v>
      </c>
      <c r="BW886">
        <v>277391</v>
      </c>
      <c r="BX886">
        <v>273465</v>
      </c>
      <c r="BY886">
        <v>595650</v>
      </c>
      <c r="BZ886">
        <v>595650</v>
      </c>
      <c r="CA886">
        <v>618880</v>
      </c>
      <c r="CB886">
        <v>643636</v>
      </c>
      <c r="CC886">
        <v>669381</v>
      </c>
      <c r="CD886">
        <v>531528</v>
      </c>
      <c r="CE886" t="s">
        <v>3108</v>
      </c>
      <c r="CF886" t="s">
        <v>3108</v>
      </c>
      <c r="CG886" t="s">
        <v>3108</v>
      </c>
      <c r="CH886" t="s">
        <v>3108</v>
      </c>
    </row>
    <row r="887" spans="1:86" x14ac:dyDescent="0.2">
      <c r="A887" t="s">
        <v>4589</v>
      </c>
      <c r="B887" t="s">
        <v>4589</v>
      </c>
      <c r="C887">
        <v>41341</v>
      </c>
      <c r="D887">
        <v>731</v>
      </c>
      <c r="E887" t="s">
        <v>4590</v>
      </c>
      <c r="F887">
        <v>2900</v>
      </c>
      <c r="G887" t="s">
        <v>822</v>
      </c>
      <c r="H887" t="s">
        <v>3108</v>
      </c>
      <c r="I887" t="s">
        <v>3108</v>
      </c>
      <c r="J887">
        <v>2904</v>
      </c>
      <c r="K887" t="s">
        <v>1690</v>
      </c>
      <c r="L887">
        <v>1200</v>
      </c>
      <c r="M887" t="s">
        <v>2368</v>
      </c>
      <c r="N887">
        <v>1210</v>
      </c>
      <c r="O887" t="s">
        <v>922</v>
      </c>
      <c r="P887" t="s">
        <v>3108</v>
      </c>
      <c r="Q887" t="s">
        <v>3249</v>
      </c>
      <c r="R887" t="s">
        <v>3249</v>
      </c>
      <c r="S887" t="s">
        <v>810</v>
      </c>
      <c r="T887" t="s">
        <v>2754</v>
      </c>
      <c r="U887" t="s">
        <v>3250</v>
      </c>
      <c r="V887" t="s">
        <v>3250</v>
      </c>
      <c r="W887" t="s">
        <v>3250</v>
      </c>
      <c r="X887" t="s">
        <v>3250</v>
      </c>
      <c r="Y887" t="s">
        <v>3250</v>
      </c>
      <c r="Z887" t="s">
        <v>3250</v>
      </c>
      <c r="AA887" t="s">
        <v>3108</v>
      </c>
      <c r="AB887" t="s">
        <v>3108</v>
      </c>
      <c r="AC887" t="s">
        <v>3250</v>
      </c>
      <c r="AD887" t="s">
        <v>3250</v>
      </c>
      <c r="AE887" t="s">
        <v>3250</v>
      </c>
      <c r="AF887" t="s">
        <v>3250</v>
      </c>
      <c r="AG887" t="s">
        <v>3250</v>
      </c>
      <c r="AH887" t="s">
        <v>3250</v>
      </c>
      <c r="AI887" t="s">
        <v>3250</v>
      </c>
      <c r="AJ887" t="s">
        <v>3250</v>
      </c>
      <c r="AL887" t="s">
        <v>3250</v>
      </c>
      <c r="AM887" t="s">
        <v>3250</v>
      </c>
      <c r="AN887" t="s">
        <v>3250</v>
      </c>
      <c r="AO887" t="s">
        <v>3250</v>
      </c>
      <c r="AS887" t="s">
        <v>3250</v>
      </c>
      <c r="AT887" t="s">
        <v>3250</v>
      </c>
      <c r="AU887" t="s">
        <v>3250</v>
      </c>
      <c r="AV887" t="s">
        <v>3250</v>
      </c>
      <c r="AW887" t="s">
        <v>3250</v>
      </c>
      <c r="AX887" t="s">
        <v>3250</v>
      </c>
      <c r="AY887" t="s">
        <v>3250</v>
      </c>
      <c r="AZ887" t="s">
        <v>3250</v>
      </c>
      <c r="BA887" t="s">
        <v>3250</v>
      </c>
      <c r="BB887" t="s">
        <v>3250</v>
      </c>
      <c r="BC887" t="s">
        <v>3250</v>
      </c>
      <c r="BE887" t="s">
        <v>3250</v>
      </c>
      <c r="BF887" t="s">
        <v>3250</v>
      </c>
      <c r="BG887" t="s">
        <v>3250</v>
      </c>
      <c r="BH887" t="s">
        <v>3250</v>
      </c>
      <c r="BI887" t="s">
        <v>3250</v>
      </c>
      <c r="BK887" t="s">
        <v>3250</v>
      </c>
      <c r="BL887" t="s">
        <v>3250</v>
      </c>
      <c r="BM887" t="s">
        <v>3250</v>
      </c>
      <c r="BN887" t="s">
        <v>3250</v>
      </c>
      <c r="BP887">
        <v>1</v>
      </c>
      <c r="BQ887">
        <v>16</v>
      </c>
      <c r="BR887" t="s">
        <v>922</v>
      </c>
      <c r="BS887" t="s">
        <v>3252</v>
      </c>
      <c r="BV887">
        <v>22503</v>
      </c>
      <c r="BW887">
        <v>26071</v>
      </c>
      <c r="BX887">
        <v>18427</v>
      </c>
      <c r="BY887">
        <v>40000</v>
      </c>
      <c r="BZ887">
        <v>40000</v>
      </c>
      <c r="CA887">
        <v>41560</v>
      </c>
      <c r="CB887">
        <v>43222</v>
      </c>
      <c r="CC887">
        <v>44951</v>
      </c>
      <c r="CD887">
        <v>14799</v>
      </c>
      <c r="CE887" t="s">
        <v>3108</v>
      </c>
      <c r="CF887" t="s">
        <v>3108</v>
      </c>
      <c r="CG887" t="s">
        <v>3108</v>
      </c>
      <c r="CH887" t="s">
        <v>3108</v>
      </c>
    </row>
    <row r="888" spans="1:86" x14ac:dyDescent="0.2">
      <c r="A888" t="s">
        <v>4591</v>
      </c>
      <c r="B888" t="s">
        <v>4591</v>
      </c>
      <c r="C888">
        <v>41342</v>
      </c>
      <c r="D888">
        <v>732</v>
      </c>
      <c r="E888" t="s">
        <v>4592</v>
      </c>
      <c r="F888">
        <v>2900</v>
      </c>
      <c r="G888" t="s">
        <v>822</v>
      </c>
      <c r="H888" t="s">
        <v>3108</v>
      </c>
      <c r="I888" t="s">
        <v>3108</v>
      </c>
      <c r="J888">
        <v>2904</v>
      </c>
      <c r="K888" t="s">
        <v>1690</v>
      </c>
      <c r="L888">
        <v>1200</v>
      </c>
      <c r="M888" t="s">
        <v>2368</v>
      </c>
      <c r="N888">
        <v>1210</v>
      </c>
      <c r="O888" t="s">
        <v>922</v>
      </c>
      <c r="P888" t="s">
        <v>3108</v>
      </c>
      <c r="Q888" t="s">
        <v>3249</v>
      </c>
      <c r="R888" t="s">
        <v>3249</v>
      </c>
      <c r="S888" t="s">
        <v>810</v>
      </c>
      <c r="T888" t="s">
        <v>2754</v>
      </c>
      <c r="U888" t="s">
        <v>3250</v>
      </c>
      <c r="V888" t="s">
        <v>3250</v>
      </c>
      <c r="W888" t="s">
        <v>3250</v>
      </c>
      <c r="X888" t="s">
        <v>3250</v>
      </c>
      <c r="Y888" t="s">
        <v>3250</v>
      </c>
      <c r="Z888" t="s">
        <v>3250</v>
      </c>
      <c r="AA888" t="s">
        <v>3108</v>
      </c>
      <c r="AB888" t="s">
        <v>3108</v>
      </c>
      <c r="AC888" t="s">
        <v>3250</v>
      </c>
      <c r="AD888" t="s">
        <v>3250</v>
      </c>
      <c r="AE888" t="s">
        <v>3250</v>
      </c>
      <c r="AF888" t="s">
        <v>3250</v>
      </c>
      <c r="AG888" t="s">
        <v>3250</v>
      </c>
      <c r="AH888" t="s">
        <v>3250</v>
      </c>
      <c r="AI888" t="s">
        <v>3250</v>
      </c>
      <c r="AJ888" t="s">
        <v>3250</v>
      </c>
      <c r="AL888" t="s">
        <v>3250</v>
      </c>
      <c r="AM888" t="s">
        <v>3250</v>
      </c>
      <c r="AN888" t="s">
        <v>3250</v>
      </c>
      <c r="AO888" t="s">
        <v>3250</v>
      </c>
      <c r="AS888" t="s">
        <v>3250</v>
      </c>
      <c r="AT888" t="s">
        <v>3250</v>
      </c>
      <c r="AU888" t="s">
        <v>3250</v>
      </c>
      <c r="AV888" t="s">
        <v>3250</v>
      </c>
      <c r="AW888" t="s">
        <v>3250</v>
      </c>
      <c r="AX888" t="s">
        <v>3250</v>
      </c>
      <c r="AY888" t="s">
        <v>3250</v>
      </c>
      <c r="AZ888" t="s">
        <v>3250</v>
      </c>
      <c r="BA888" t="s">
        <v>3250</v>
      </c>
      <c r="BB888" t="s">
        <v>3250</v>
      </c>
      <c r="BC888" t="s">
        <v>3250</v>
      </c>
      <c r="BE888" t="s">
        <v>3250</v>
      </c>
      <c r="BF888" t="s">
        <v>3250</v>
      </c>
      <c r="BG888" t="s">
        <v>3250</v>
      </c>
      <c r="BH888" t="s">
        <v>3250</v>
      </c>
      <c r="BI888" t="s">
        <v>3250</v>
      </c>
      <c r="BK888" t="s">
        <v>3250</v>
      </c>
      <c r="BL888" t="s">
        <v>3250</v>
      </c>
      <c r="BM888" t="s">
        <v>3250</v>
      </c>
      <c r="BN888" t="s">
        <v>3250</v>
      </c>
      <c r="BP888">
        <v>1</v>
      </c>
      <c r="BQ888">
        <v>16</v>
      </c>
      <c r="BR888" t="s">
        <v>922</v>
      </c>
      <c r="BS888" t="s">
        <v>3252</v>
      </c>
      <c r="BV888">
        <v>0</v>
      </c>
      <c r="BW888">
        <v>0</v>
      </c>
      <c r="BX888">
        <v>0</v>
      </c>
      <c r="BY888">
        <v>0</v>
      </c>
      <c r="BZ888">
        <v>0</v>
      </c>
      <c r="CA888">
        <v>0</v>
      </c>
      <c r="CB888">
        <v>0</v>
      </c>
      <c r="CC888">
        <v>0</v>
      </c>
      <c r="CD888">
        <v>0</v>
      </c>
      <c r="CE888" t="s">
        <v>3108</v>
      </c>
      <c r="CF888" t="s">
        <v>3108</v>
      </c>
      <c r="CG888" t="s">
        <v>3108</v>
      </c>
      <c r="CH888" t="s">
        <v>3108</v>
      </c>
    </row>
    <row r="889" spans="1:86" x14ac:dyDescent="0.2">
      <c r="A889" t="s">
        <v>4593</v>
      </c>
      <c r="B889" t="s">
        <v>4593</v>
      </c>
      <c r="C889">
        <v>41343</v>
      </c>
      <c r="D889">
        <v>733</v>
      </c>
      <c r="E889" t="s">
        <v>4594</v>
      </c>
      <c r="F889">
        <v>2900</v>
      </c>
      <c r="G889" t="s">
        <v>822</v>
      </c>
      <c r="H889" t="s">
        <v>3108</v>
      </c>
      <c r="I889" t="s">
        <v>3108</v>
      </c>
      <c r="J889">
        <v>2904</v>
      </c>
      <c r="K889" t="s">
        <v>1690</v>
      </c>
      <c r="L889">
        <v>1200</v>
      </c>
      <c r="M889" t="s">
        <v>2368</v>
      </c>
      <c r="N889">
        <v>1210</v>
      </c>
      <c r="O889" t="s">
        <v>922</v>
      </c>
      <c r="P889" t="s">
        <v>3108</v>
      </c>
      <c r="Q889" t="s">
        <v>3249</v>
      </c>
      <c r="R889" t="s">
        <v>3249</v>
      </c>
      <c r="S889" t="s">
        <v>810</v>
      </c>
      <c r="T889" t="s">
        <v>2754</v>
      </c>
      <c r="U889" t="s">
        <v>3250</v>
      </c>
      <c r="V889" t="s">
        <v>3250</v>
      </c>
      <c r="W889" t="s">
        <v>3250</v>
      </c>
      <c r="X889" t="s">
        <v>3250</v>
      </c>
      <c r="Y889" t="s">
        <v>3250</v>
      </c>
      <c r="Z889" t="s">
        <v>3250</v>
      </c>
      <c r="AA889" t="s">
        <v>3108</v>
      </c>
      <c r="AB889" t="s">
        <v>3108</v>
      </c>
      <c r="AC889" t="s">
        <v>3250</v>
      </c>
      <c r="AD889" t="s">
        <v>3250</v>
      </c>
      <c r="AE889" t="s">
        <v>3250</v>
      </c>
      <c r="AF889" t="s">
        <v>3250</v>
      </c>
      <c r="AG889" t="s">
        <v>3250</v>
      </c>
      <c r="AH889" t="s">
        <v>3250</v>
      </c>
      <c r="AI889" t="s">
        <v>3250</v>
      </c>
      <c r="AJ889" t="s">
        <v>3250</v>
      </c>
      <c r="AL889" t="s">
        <v>3250</v>
      </c>
      <c r="AM889" t="s">
        <v>3250</v>
      </c>
      <c r="AN889" t="s">
        <v>3250</v>
      </c>
      <c r="AO889" t="s">
        <v>3250</v>
      </c>
      <c r="AS889" t="s">
        <v>3250</v>
      </c>
      <c r="AT889" t="s">
        <v>3250</v>
      </c>
      <c r="AU889" t="s">
        <v>3250</v>
      </c>
      <c r="AV889" t="s">
        <v>3250</v>
      </c>
      <c r="AW889" t="s">
        <v>3250</v>
      </c>
      <c r="AX889" t="s">
        <v>3250</v>
      </c>
      <c r="AY889" t="s">
        <v>3250</v>
      </c>
      <c r="AZ889" t="s">
        <v>3250</v>
      </c>
      <c r="BA889" t="s">
        <v>3250</v>
      </c>
      <c r="BB889" t="s">
        <v>3250</v>
      </c>
      <c r="BC889" t="s">
        <v>3250</v>
      </c>
      <c r="BE889" t="s">
        <v>3250</v>
      </c>
      <c r="BF889" t="s">
        <v>3250</v>
      </c>
      <c r="BG889" t="s">
        <v>3250</v>
      </c>
      <c r="BH889" t="s">
        <v>3250</v>
      </c>
      <c r="BI889" t="s">
        <v>3250</v>
      </c>
      <c r="BK889" t="s">
        <v>3250</v>
      </c>
      <c r="BL889" t="s">
        <v>3250</v>
      </c>
      <c r="BM889" t="s">
        <v>3250</v>
      </c>
      <c r="BN889" t="s">
        <v>3250</v>
      </c>
      <c r="BP889">
        <v>1</v>
      </c>
      <c r="BQ889">
        <v>16</v>
      </c>
      <c r="BR889" t="s">
        <v>922</v>
      </c>
      <c r="BS889" t="s">
        <v>3252</v>
      </c>
      <c r="BV889">
        <v>0</v>
      </c>
      <c r="BW889">
        <v>0</v>
      </c>
      <c r="BX889">
        <v>17200</v>
      </c>
      <c r="BY889">
        <v>0</v>
      </c>
      <c r="BZ889">
        <v>0</v>
      </c>
      <c r="CA889">
        <v>0</v>
      </c>
      <c r="CB889">
        <v>0</v>
      </c>
      <c r="CC889">
        <v>0</v>
      </c>
      <c r="CD889">
        <v>0</v>
      </c>
      <c r="CE889" t="s">
        <v>3108</v>
      </c>
      <c r="CF889" t="s">
        <v>3108</v>
      </c>
      <c r="CG889" t="s">
        <v>3108</v>
      </c>
      <c r="CH889" t="s">
        <v>3108</v>
      </c>
    </row>
    <row r="890" spans="1:86" x14ac:dyDescent="0.2">
      <c r="A890" t="s">
        <v>4595</v>
      </c>
      <c r="B890" t="s">
        <v>4595</v>
      </c>
      <c r="C890">
        <v>41344</v>
      </c>
      <c r="D890">
        <v>734</v>
      </c>
      <c r="E890" t="s">
        <v>4596</v>
      </c>
      <c r="F890">
        <v>2900</v>
      </c>
      <c r="G890" t="s">
        <v>822</v>
      </c>
      <c r="H890" t="s">
        <v>3108</v>
      </c>
      <c r="I890" t="s">
        <v>3108</v>
      </c>
      <c r="J890">
        <v>2904</v>
      </c>
      <c r="K890" t="s">
        <v>1690</v>
      </c>
      <c r="L890">
        <v>1200</v>
      </c>
      <c r="M890" t="s">
        <v>2368</v>
      </c>
      <c r="N890">
        <v>1201</v>
      </c>
      <c r="O890" t="s">
        <v>2370</v>
      </c>
      <c r="P890" t="s">
        <v>3108</v>
      </c>
      <c r="Q890" t="s">
        <v>3249</v>
      </c>
      <c r="R890" t="s">
        <v>3249</v>
      </c>
      <c r="S890" t="s">
        <v>810</v>
      </c>
      <c r="T890" t="s">
        <v>2754</v>
      </c>
      <c r="U890" t="s">
        <v>3250</v>
      </c>
      <c r="V890" t="s">
        <v>3250</v>
      </c>
      <c r="W890" t="s">
        <v>3250</v>
      </c>
      <c r="X890" t="s">
        <v>3250</v>
      </c>
      <c r="Y890" t="s">
        <v>3250</v>
      </c>
      <c r="Z890" t="s">
        <v>3250</v>
      </c>
      <c r="AA890" t="s">
        <v>3108</v>
      </c>
      <c r="AB890" t="s">
        <v>3108</v>
      </c>
      <c r="AC890" t="s">
        <v>3250</v>
      </c>
      <c r="AD890" t="s">
        <v>3250</v>
      </c>
      <c r="AE890" t="s">
        <v>3250</v>
      </c>
      <c r="AF890" t="s">
        <v>3250</v>
      </c>
      <c r="AG890" t="s">
        <v>3250</v>
      </c>
      <c r="AH890" t="s">
        <v>3250</v>
      </c>
      <c r="AI890" t="s">
        <v>3250</v>
      </c>
      <c r="AJ890" t="s">
        <v>3250</v>
      </c>
      <c r="AL890" t="s">
        <v>3250</v>
      </c>
      <c r="AM890" t="s">
        <v>3250</v>
      </c>
      <c r="AN890" t="s">
        <v>3250</v>
      </c>
      <c r="AO890" t="s">
        <v>3250</v>
      </c>
      <c r="AS890" t="s">
        <v>3250</v>
      </c>
      <c r="AT890" t="s">
        <v>3250</v>
      </c>
      <c r="AU890" t="s">
        <v>3250</v>
      </c>
      <c r="AV890" t="s">
        <v>3250</v>
      </c>
      <c r="AW890" t="s">
        <v>3250</v>
      </c>
      <c r="AX890" t="s">
        <v>3250</v>
      </c>
      <c r="AY890" t="s">
        <v>3250</v>
      </c>
      <c r="AZ890" t="s">
        <v>3250</v>
      </c>
      <c r="BA890" t="s">
        <v>3250</v>
      </c>
      <c r="BB890" t="s">
        <v>3250</v>
      </c>
      <c r="BC890" t="s">
        <v>3250</v>
      </c>
      <c r="BE890" t="s">
        <v>3250</v>
      </c>
      <c r="BF890" t="s">
        <v>3250</v>
      </c>
      <c r="BG890" t="s">
        <v>3250</v>
      </c>
      <c r="BH890" t="s">
        <v>3250</v>
      </c>
      <c r="BI890" t="s">
        <v>3250</v>
      </c>
      <c r="BK890" t="s">
        <v>3250</v>
      </c>
      <c r="BL890" t="s">
        <v>3250</v>
      </c>
      <c r="BM890" t="s">
        <v>3250</v>
      </c>
      <c r="BN890" t="s">
        <v>3250</v>
      </c>
      <c r="BP890">
        <v>1</v>
      </c>
      <c r="BQ890">
        <v>14</v>
      </c>
      <c r="BR890" t="s">
        <v>2370</v>
      </c>
      <c r="BS890" t="s">
        <v>3252</v>
      </c>
      <c r="BV890">
        <v>465556</v>
      </c>
      <c r="BW890">
        <v>328304</v>
      </c>
      <c r="BX890">
        <v>520371</v>
      </c>
      <c r="BY890">
        <v>450000</v>
      </c>
      <c r="BZ890">
        <v>306000</v>
      </c>
      <c r="CA890">
        <v>311700</v>
      </c>
      <c r="CB890">
        <v>324168</v>
      </c>
      <c r="CC890">
        <v>337135</v>
      </c>
      <c r="CD890">
        <v>342226</v>
      </c>
      <c r="CE890" t="s">
        <v>3108</v>
      </c>
      <c r="CF890" t="s">
        <v>3108</v>
      </c>
      <c r="CG890" t="s">
        <v>3108</v>
      </c>
      <c r="CH890" t="s">
        <v>3108</v>
      </c>
    </row>
    <row r="891" spans="1:86" x14ac:dyDescent="0.2">
      <c r="A891" t="s">
        <v>4597</v>
      </c>
      <c r="B891" t="s">
        <v>4597</v>
      </c>
      <c r="C891">
        <v>41345</v>
      </c>
      <c r="D891">
        <v>735</v>
      </c>
      <c r="E891" t="s">
        <v>4598</v>
      </c>
      <c r="F891">
        <v>2700</v>
      </c>
      <c r="G891" t="s">
        <v>411</v>
      </c>
      <c r="H891" t="s">
        <v>4004</v>
      </c>
      <c r="I891" t="s">
        <v>2531</v>
      </c>
      <c r="J891">
        <v>2701</v>
      </c>
      <c r="K891" t="s">
        <v>2531</v>
      </c>
      <c r="L891">
        <v>1200</v>
      </c>
      <c r="M891" t="s">
        <v>2368</v>
      </c>
      <c r="N891">
        <v>1210</v>
      </c>
      <c r="O891" t="s">
        <v>922</v>
      </c>
      <c r="P891" t="s">
        <v>3108</v>
      </c>
      <c r="Q891" t="s">
        <v>3249</v>
      </c>
      <c r="R891" t="s">
        <v>3249</v>
      </c>
      <c r="S891" t="s">
        <v>810</v>
      </c>
      <c r="T891" t="s">
        <v>2754</v>
      </c>
      <c r="U891" t="s">
        <v>3250</v>
      </c>
      <c r="V891" t="s">
        <v>3250</v>
      </c>
      <c r="W891" t="s">
        <v>3250</v>
      </c>
      <c r="X891" t="s">
        <v>3250</v>
      </c>
      <c r="Y891" t="s">
        <v>3250</v>
      </c>
      <c r="Z891" t="s">
        <v>3250</v>
      </c>
      <c r="AA891" t="s">
        <v>3108</v>
      </c>
      <c r="AB891" t="s">
        <v>3108</v>
      </c>
      <c r="AC891" t="s">
        <v>3250</v>
      </c>
      <c r="AD891" t="s">
        <v>3250</v>
      </c>
      <c r="AE891" t="s">
        <v>3250</v>
      </c>
      <c r="AF891" t="s">
        <v>3250</v>
      </c>
      <c r="AG891" t="s">
        <v>3250</v>
      </c>
      <c r="AH891" t="s">
        <v>3250</v>
      </c>
      <c r="AI891" t="s">
        <v>3250</v>
      </c>
      <c r="AJ891" t="s">
        <v>3250</v>
      </c>
      <c r="AL891" t="s">
        <v>3250</v>
      </c>
      <c r="AM891" t="s">
        <v>3250</v>
      </c>
      <c r="AN891" t="s">
        <v>3250</v>
      </c>
      <c r="AO891" t="s">
        <v>3250</v>
      </c>
      <c r="AS891" t="s">
        <v>3250</v>
      </c>
      <c r="AT891" t="s">
        <v>3250</v>
      </c>
      <c r="AU891" t="s">
        <v>3250</v>
      </c>
      <c r="AV891" t="s">
        <v>3250</v>
      </c>
      <c r="AW891" t="s">
        <v>3250</v>
      </c>
      <c r="AX891" t="s">
        <v>3250</v>
      </c>
      <c r="AY891" t="s">
        <v>3250</v>
      </c>
      <c r="AZ891" t="s">
        <v>3250</v>
      </c>
      <c r="BA891" t="s">
        <v>3250</v>
      </c>
      <c r="BB891" t="s">
        <v>3250</v>
      </c>
      <c r="BC891" t="s">
        <v>3250</v>
      </c>
      <c r="BE891" t="s">
        <v>3250</v>
      </c>
      <c r="BF891" t="s">
        <v>3250</v>
      </c>
      <c r="BG891" t="s">
        <v>3250</v>
      </c>
      <c r="BH891" t="s">
        <v>3250</v>
      </c>
      <c r="BI891" t="s">
        <v>3250</v>
      </c>
      <c r="BK891" t="s">
        <v>3250</v>
      </c>
      <c r="BL891" t="s">
        <v>3250</v>
      </c>
      <c r="BM891" t="s">
        <v>3250</v>
      </c>
      <c r="BN891" t="s">
        <v>3250</v>
      </c>
      <c r="BP891">
        <v>1</v>
      </c>
      <c r="BQ891">
        <v>16</v>
      </c>
      <c r="BR891" t="s">
        <v>922</v>
      </c>
      <c r="BS891" t="s">
        <v>3252</v>
      </c>
      <c r="BV891">
        <v>838231</v>
      </c>
      <c r="BW891">
        <v>1090510</v>
      </c>
      <c r="BX891">
        <v>784703</v>
      </c>
      <c r="BY891">
        <v>1100000</v>
      </c>
      <c r="BZ891">
        <v>1100000</v>
      </c>
      <c r="CA891">
        <v>1142900</v>
      </c>
      <c r="CB891">
        <v>1188616</v>
      </c>
      <c r="CC891">
        <v>1236161</v>
      </c>
      <c r="CD891">
        <v>454050</v>
      </c>
      <c r="CE891" t="s">
        <v>3108</v>
      </c>
      <c r="CF891" t="s">
        <v>3108</v>
      </c>
      <c r="CG891" t="s">
        <v>3108</v>
      </c>
      <c r="CH891" t="s">
        <v>3108</v>
      </c>
    </row>
    <row r="892" spans="1:86" x14ac:dyDescent="0.2">
      <c r="A892" t="s">
        <v>4599</v>
      </c>
      <c r="B892" t="s">
        <v>4599</v>
      </c>
      <c r="C892">
        <v>41346</v>
      </c>
      <c r="D892">
        <v>736</v>
      </c>
      <c r="E892" t="s">
        <v>4600</v>
      </c>
      <c r="F892">
        <v>2700</v>
      </c>
      <c r="G892" t="s">
        <v>411</v>
      </c>
      <c r="H892" t="s">
        <v>3837</v>
      </c>
      <c r="I892" t="s">
        <v>2532</v>
      </c>
      <c r="J892">
        <v>2702</v>
      </c>
      <c r="K892" t="s">
        <v>2532</v>
      </c>
      <c r="L892">
        <v>1200</v>
      </c>
      <c r="M892" t="s">
        <v>2368</v>
      </c>
      <c r="N892">
        <v>1210</v>
      </c>
      <c r="O892" t="s">
        <v>922</v>
      </c>
      <c r="P892" t="s">
        <v>3108</v>
      </c>
      <c r="Q892" t="s">
        <v>3249</v>
      </c>
      <c r="R892" t="s">
        <v>3249</v>
      </c>
      <c r="S892" t="s">
        <v>810</v>
      </c>
      <c r="T892" t="s">
        <v>2754</v>
      </c>
      <c r="U892" t="s">
        <v>3250</v>
      </c>
      <c r="V892" t="s">
        <v>3250</v>
      </c>
      <c r="W892" t="s">
        <v>3250</v>
      </c>
      <c r="X892" t="s">
        <v>3250</v>
      </c>
      <c r="Y892" t="s">
        <v>3250</v>
      </c>
      <c r="Z892" t="s">
        <v>3250</v>
      </c>
      <c r="AA892" t="s">
        <v>3108</v>
      </c>
      <c r="AB892" t="s">
        <v>3108</v>
      </c>
      <c r="AC892" t="s">
        <v>3250</v>
      </c>
      <c r="AD892" t="s">
        <v>3250</v>
      </c>
      <c r="AE892" t="s">
        <v>3250</v>
      </c>
      <c r="AF892" t="s">
        <v>3250</v>
      </c>
      <c r="AG892" t="s">
        <v>3250</v>
      </c>
      <c r="AH892" t="s">
        <v>3250</v>
      </c>
      <c r="AI892" t="s">
        <v>3250</v>
      </c>
      <c r="AJ892" t="s">
        <v>3250</v>
      </c>
      <c r="AL892" t="s">
        <v>3250</v>
      </c>
      <c r="AM892" t="s">
        <v>3250</v>
      </c>
      <c r="AN892" t="s">
        <v>3250</v>
      </c>
      <c r="AO892" t="s">
        <v>3250</v>
      </c>
      <c r="AS892" t="s">
        <v>3250</v>
      </c>
      <c r="AT892" t="s">
        <v>3250</v>
      </c>
      <c r="AU892" t="s">
        <v>3250</v>
      </c>
      <c r="AV892" t="s">
        <v>3250</v>
      </c>
      <c r="AW892" t="s">
        <v>3250</v>
      </c>
      <c r="AX892" t="s">
        <v>3250</v>
      </c>
      <c r="AY892" t="s">
        <v>3250</v>
      </c>
      <c r="AZ892" t="s">
        <v>3250</v>
      </c>
      <c r="BA892" t="s">
        <v>3250</v>
      </c>
      <c r="BB892" t="s">
        <v>3250</v>
      </c>
      <c r="BC892" t="s">
        <v>3250</v>
      </c>
      <c r="BE892" t="s">
        <v>3250</v>
      </c>
      <c r="BF892" t="s">
        <v>3250</v>
      </c>
      <c r="BG892" t="s">
        <v>3250</v>
      </c>
      <c r="BH892" t="s">
        <v>3250</v>
      </c>
      <c r="BI892" t="s">
        <v>3250</v>
      </c>
      <c r="BK892" t="s">
        <v>3250</v>
      </c>
      <c r="BL892" t="s">
        <v>3250</v>
      </c>
      <c r="BM892" t="s">
        <v>3250</v>
      </c>
      <c r="BN892" t="s">
        <v>3250</v>
      </c>
      <c r="BP892">
        <v>1</v>
      </c>
      <c r="BQ892">
        <v>16</v>
      </c>
      <c r="BR892" t="s">
        <v>922</v>
      </c>
      <c r="BS892" t="s">
        <v>3252</v>
      </c>
      <c r="BV892">
        <v>0</v>
      </c>
      <c r="BW892">
        <v>0</v>
      </c>
      <c r="BX892">
        <v>19539</v>
      </c>
      <c r="BY892">
        <v>0</v>
      </c>
      <c r="BZ892">
        <v>0</v>
      </c>
      <c r="CA892">
        <v>0</v>
      </c>
      <c r="CB892">
        <v>0</v>
      </c>
      <c r="CC892">
        <v>0</v>
      </c>
      <c r="CD892">
        <v>0</v>
      </c>
      <c r="CE892" t="s">
        <v>3108</v>
      </c>
      <c r="CF892" t="s">
        <v>3108</v>
      </c>
      <c r="CG892" t="s">
        <v>3108</v>
      </c>
      <c r="CH892" t="s">
        <v>3108</v>
      </c>
    </row>
    <row r="893" spans="1:86" x14ac:dyDescent="0.2">
      <c r="A893" t="s">
        <v>4601</v>
      </c>
      <c r="B893" t="s">
        <v>4601</v>
      </c>
      <c r="C893">
        <v>41347</v>
      </c>
      <c r="D893">
        <v>737</v>
      </c>
      <c r="E893" t="s">
        <v>4602</v>
      </c>
      <c r="F893">
        <v>2700</v>
      </c>
      <c r="G893" t="s">
        <v>411</v>
      </c>
      <c r="H893" t="s">
        <v>3997</v>
      </c>
      <c r="I893" t="s">
        <v>2533</v>
      </c>
      <c r="J893">
        <v>2703</v>
      </c>
      <c r="K893" t="s">
        <v>2533</v>
      </c>
      <c r="L893">
        <v>1200</v>
      </c>
      <c r="M893" t="s">
        <v>2368</v>
      </c>
      <c r="N893">
        <v>1210</v>
      </c>
      <c r="O893" t="s">
        <v>922</v>
      </c>
      <c r="P893" t="s">
        <v>3108</v>
      </c>
      <c r="Q893" t="s">
        <v>3249</v>
      </c>
      <c r="R893" t="s">
        <v>3249</v>
      </c>
      <c r="S893" t="s">
        <v>810</v>
      </c>
      <c r="T893" t="s">
        <v>2754</v>
      </c>
      <c r="U893" t="s">
        <v>3250</v>
      </c>
      <c r="V893" t="s">
        <v>3250</v>
      </c>
      <c r="W893" t="s">
        <v>3250</v>
      </c>
      <c r="X893" t="s">
        <v>3250</v>
      </c>
      <c r="Y893" t="s">
        <v>3250</v>
      </c>
      <c r="Z893" t="s">
        <v>3250</v>
      </c>
      <c r="AA893" t="s">
        <v>3108</v>
      </c>
      <c r="AB893" t="s">
        <v>3108</v>
      </c>
      <c r="AC893" t="s">
        <v>3250</v>
      </c>
      <c r="AD893" t="s">
        <v>3250</v>
      </c>
      <c r="AE893" t="s">
        <v>3250</v>
      </c>
      <c r="AF893" t="s">
        <v>3250</v>
      </c>
      <c r="AG893" t="s">
        <v>3250</v>
      </c>
      <c r="AH893" t="s">
        <v>3250</v>
      </c>
      <c r="AI893" t="s">
        <v>3250</v>
      </c>
      <c r="AJ893" t="s">
        <v>3250</v>
      </c>
      <c r="AL893" t="s">
        <v>3250</v>
      </c>
      <c r="AM893" t="s">
        <v>3250</v>
      </c>
      <c r="AN893" t="s">
        <v>3250</v>
      </c>
      <c r="AO893" t="s">
        <v>3250</v>
      </c>
      <c r="AS893" t="s">
        <v>3250</v>
      </c>
      <c r="AT893" t="s">
        <v>3250</v>
      </c>
      <c r="AU893" t="s">
        <v>3250</v>
      </c>
      <c r="AV893" t="s">
        <v>3250</v>
      </c>
      <c r="AW893" t="s">
        <v>3250</v>
      </c>
      <c r="AX893" t="s">
        <v>3250</v>
      </c>
      <c r="AY893" t="s">
        <v>3250</v>
      </c>
      <c r="AZ893" t="s">
        <v>3250</v>
      </c>
      <c r="BA893" t="s">
        <v>3250</v>
      </c>
      <c r="BB893" t="s">
        <v>3250</v>
      </c>
      <c r="BC893" t="s">
        <v>3250</v>
      </c>
      <c r="BE893" t="s">
        <v>3250</v>
      </c>
      <c r="BF893" t="s">
        <v>3250</v>
      </c>
      <c r="BG893" t="s">
        <v>3250</v>
      </c>
      <c r="BH893" t="s">
        <v>3250</v>
      </c>
      <c r="BI893" t="s">
        <v>3250</v>
      </c>
      <c r="BK893" t="s">
        <v>3250</v>
      </c>
      <c r="BL893" t="s">
        <v>3250</v>
      </c>
      <c r="BM893" t="s">
        <v>3250</v>
      </c>
      <c r="BN893" t="s">
        <v>3250</v>
      </c>
      <c r="BP893">
        <v>1</v>
      </c>
      <c r="BQ893">
        <v>16</v>
      </c>
      <c r="BR893" t="s">
        <v>922</v>
      </c>
      <c r="BS893" t="s">
        <v>3252</v>
      </c>
      <c r="BV893">
        <v>0</v>
      </c>
      <c r="BW893">
        <v>7673</v>
      </c>
      <c r="BX893">
        <v>21239</v>
      </c>
      <c r="BY893">
        <v>0</v>
      </c>
      <c r="BZ893">
        <v>0</v>
      </c>
      <c r="CA893">
        <v>0</v>
      </c>
      <c r="CB893">
        <v>0</v>
      </c>
      <c r="CC893">
        <v>0</v>
      </c>
      <c r="CD893">
        <v>0</v>
      </c>
      <c r="CE893" t="s">
        <v>3108</v>
      </c>
      <c r="CF893" t="s">
        <v>3108</v>
      </c>
      <c r="CG893" t="s">
        <v>3108</v>
      </c>
      <c r="CH893" t="s">
        <v>3108</v>
      </c>
    </row>
    <row r="894" spans="1:86" x14ac:dyDescent="0.2">
      <c r="A894" t="s">
        <v>4603</v>
      </c>
      <c r="B894" t="s">
        <v>4603</v>
      </c>
      <c r="C894">
        <v>41348</v>
      </c>
      <c r="D894">
        <v>738</v>
      </c>
      <c r="E894" t="s">
        <v>4326</v>
      </c>
      <c r="F894">
        <v>2700</v>
      </c>
      <c r="G894" t="s">
        <v>411</v>
      </c>
      <c r="H894" t="s">
        <v>4004</v>
      </c>
      <c r="I894" t="s">
        <v>2531</v>
      </c>
      <c r="J894">
        <v>2701</v>
      </c>
      <c r="K894" t="s">
        <v>2531</v>
      </c>
      <c r="L894">
        <v>1200</v>
      </c>
      <c r="M894" t="s">
        <v>2368</v>
      </c>
      <c r="N894">
        <v>1204</v>
      </c>
      <c r="O894" t="s">
        <v>1574</v>
      </c>
      <c r="P894" t="s">
        <v>3108</v>
      </c>
      <c r="Q894" t="s">
        <v>3249</v>
      </c>
      <c r="R894" t="s">
        <v>3249</v>
      </c>
      <c r="S894" t="s">
        <v>810</v>
      </c>
      <c r="T894" t="s">
        <v>2754</v>
      </c>
      <c r="U894" t="s">
        <v>3250</v>
      </c>
      <c r="V894" t="s">
        <v>3250</v>
      </c>
      <c r="W894" t="s">
        <v>3250</v>
      </c>
      <c r="X894" t="s">
        <v>3250</v>
      </c>
      <c r="Y894" t="s">
        <v>3250</v>
      </c>
      <c r="Z894" t="s">
        <v>3250</v>
      </c>
      <c r="AA894" t="s">
        <v>3108</v>
      </c>
      <c r="AB894" t="s">
        <v>3108</v>
      </c>
      <c r="AC894" t="s">
        <v>3250</v>
      </c>
      <c r="AD894" t="s">
        <v>3250</v>
      </c>
      <c r="AE894" t="s">
        <v>3250</v>
      </c>
      <c r="AF894" t="s">
        <v>3250</v>
      </c>
      <c r="AG894" t="s">
        <v>3250</v>
      </c>
      <c r="AH894" t="s">
        <v>3250</v>
      </c>
      <c r="AI894" t="s">
        <v>3250</v>
      </c>
      <c r="AJ894" t="s">
        <v>3250</v>
      </c>
      <c r="AL894" t="s">
        <v>3250</v>
      </c>
      <c r="AM894" t="s">
        <v>3250</v>
      </c>
      <c r="AN894" t="s">
        <v>3250</v>
      </c>
      <c r="AO894" t="s">
        <v>3250</v>
      </c>
      <c r="AS894" t="s">
        <v>3250</v>
      </c>
      <c r="AT894" t="s">
        <v>3250</v>
      </c>
      <c r="AU894" t="s">
        <v>3250</v>
      </c>
      <c r="AV894" t="s">
        <v>3250</v>
      </c>
      <c r="AW894" t="s">
        <v>3250</v>
      </c>
      <c r="AX894" t="s">
        <v>3250</v>
      </c>
      <c r="AY894" t="s">
        <v>3250</v>
      </c>
      <c r="AZ894" t="s">
        <v>3250</v>
      </c>
      <c r="BA894" t="s">
        <v>3250</v>
      </c>
      <c r="BB894" t="s">
        <v>3250</v>
      </c>
      <c r="BC894" t="s">
        <v>3250</v>
      </c>
      <c r="BE894" t="s">
        <v>3250</v>
      </c>
      <c r="BF894" t="s">
        <v>3250</v>
      </c>
      <c r="BG894" t="s">
        <v>3250</v>
      </c>
      <c r="BH894" t="s">
        <v>3250</v>
      </c>
      <c r="BI894" t="s">
        <v>3250</v>
      </c>
      <c r="BK894" t="s">
        <v>3250</v>
      </c>
      <c r="BL894" t="s">
        <v>3250</v>
      </c>
      <c r="BM894" t="s">
        <v>3250</v>
      </c>
      <c r="BN894" t="s">
        <v>3250</v>
      </c>
      <c r="BP894">
        <v>1</v>
      </c>
      <c r="BQ894">
        <v>11</v>
      </c>
      <c r="BR894" t="s">
        <v>1574</v>
      </c>
      <c r="BS894" t="s">
        <v>3252</v>
      </c>
      <c r="BV894">
        <v>2735566</v>
      </c>
      <c r="BW894">
        <v>1498372</v>
      </c>
      <c r="BX894">
        <v>393875</v>
      </c>
      <c r="BY894">
        <v>1400000</v>
      </c>
      <c r="BZ894">
        <v>1400000</v>
      </c>
      <c r="CA894">
        <v>1454600</v>
      </c>
      <c r="CB894">
        <v>1512784</v>
      </c>
      <c r="CC894">
        <v>1573295</v>
      </c>
      <c r="CD894">
        <v>1548519</v>
      </c>
      <c r="CE894" t="s">
        <v>3108</v>
      </c>
      <c r="CF894" t="s">
        <v>3108</v>
      </c>
      <c r="CG894" t="s">
        <v>3108</v>
      </c>
      <c r="CH894" t="s">
        <v>3108</v>
      </c>
    </row>
    <row r="895" spans="1:86" x14ac:dyDescent="0.2">
      <c r="A895" t="s">
        <v>4604</v>
      </c>
      <c r="B895" t="s">
        <v>4604</v>
      </c>
      <c r="C895">
        <v>41349</v>
      </c>
      <c r="D895">
        <v>739</v>
      </c>
      <c r="E895" t="s">
        <v>4006</v>
      </c>
      <c r="F895">
        <v>2700</v>
      </c>
      <c r="G895" t="s">
        <v>411</v>
      </c>
      <c r="H895" t="s">
        <v>4004</v>
      </c>
      <c r="I895" t="s">
        <v>2531</v>
      </c>
      <c r="J895">
        <v>2701</v>
      </c>
      <c r="K895" t="s">
        <v>2531</v>
      </c>
      <c r="L895">
        <v>1200</v>
      </c>
      <c r="M895" t="s">
        <v>2368</v>
      </c>
      <c r="N895">
        <v>1210</v>
      </c>
      <c r="O895" t="s">
        <v>922</v>
      </c>
      <c r="P895" t="s">
        <v>3108</v>
      </c>
      <c r="Q895" t="s">
        <v>3249</v>
      </c>
      <c r="R895" t="s">
        <v>3249</v>
      </c>
      <c r="S895" t="s">
        <v>810</v>
      </c>
      <c r="T895" t="s">
        <v>2754</v>
      </c>
      <c r="U895" t="s">
        <v>3250</v>
      </c>
      <c r="V895" t="s">
        <v>3250</v>
      </c>
      <c r="W895" t="s">
        <v>3250</v>
      </c>
      <c r="X895" t="s">
        <v>3250</v>
      </c>
      <c r="Y895" t="s">
        <v>3250</v>
      </c>
      <c r="Z895" t="s">
        <v>3250</v>
      </c>
      <c r="AA895" t="s">
        <v>3108</v>
      </c>
      <c r="AB895" t="s">
        <v>3108</v>
      </c>
      <c r="AC895" t="s">
        <v>3250</v>
      </c>
      <c r="AD895" t="s">
        <v>3250</v>
      </c>
      <c r="AE895" t="s">
        <v>3250</v>
      </c>
      <c r="AF895" t="s">
        <v>3250</v>
      </c>
      <c r="AG895" t="s">
        <v>3250</v>
      </c>
      <c r="AH895" t="s">
        <v>3250</v>
      </c>
      <c r="AI895" t="s">
        <v>3250</v>
      </c>
      <c r="AJ895" t="s">
        <v>3250</v>
      </c>
      <c r="AL895" t="s">
        <v>3250</v>
      </c>
      <c r="AM895" t="s">
        <v>3250</v>
      </c>
      <c r="AN895" t="s">
        <v>3250</v>
      </c>
      <c r="AO895" t="s">
        <v>3250</v>
      </c>
      <c r="AS895" t="s">
        <v>3250</v>
      </c>
      <c r="AT895" t="s">
        <v>3250</v>
      </c>
      <c r="AU895" t="s">
        <v>3250</v>
      </c>
      <c r="AV895" t="s">
        <v>3250</v>
      </c>
      <c r="AW895" t="s">
        <v>3250</v>
      </c>
      <c r="AX895" t="s">
        <v>3250</v>
      </c>
      <c r="AY895" t="s">
        <v>3250</v>
      </c>
      <c r="AZ895" t="s">
        <v>3250</v>
      </c>
      <c r="BA895" t="s">
        <v>3250</v>
      </c>
      <c r="BB895" t="s">
        <v>3250</v>
      </c>
      <c r="BC895" t="s">
        <v>3250</v>
      </c>
      <c r="BE895" t="s">
        <v>3250</v>
      </c>
      <c r="BF895" t="s">
        <v>3250</v>
      </c>
      <c r="BG895" t="s">
        <v>3250</v>
      </c>
      <c r="BH895" t="s">
        <v>3250</v>
      </c>
      <c r="BI895" t="s">
        <v>3250</v>
      </c>
      <c r="BK895" t="s">
        <v>3250</v>
      </c>
      <c r="BL895" t="s">
        <v>3250</v>
      </c>
      <c r="BM895" t="s">
        <v>3250</v>
      </c>
      <c r="BN895" t="s">
        <v>3250</v>
      </c>
      <c r="BP895">
        <v>1</v>
      </c>
      <c r="BQ895">
        <v>16</v>
      </c>
      <c r="BR895" t="s">
        <v>922</v>
      </c>
      <c r="BS895" t="s">
        <v>3252</v>
      </c>
      <c r="BV895">
        <v>0</v>
      </c>
      <c r="BW895">
        <v>42250</v>
      </c>
      <c r="BX895">
        <v>0</v>
      </c>
      <c r="BY895">
        <v>0</v>
      </c>
      <c r="BZ895">
        <v>0</v>
      </c>
      <c r="CA895">
        <v>0</v>
      </c>
      <c r="CB895">
        <v>0</v>
      </c>
      <c r="CC895">
        <v>0</v>
      </c>
      <c r="CD895">
        <v>0</v>
      </c>
      <c r="CE895" t="s">
        <v>3108</v>
      </c>
      <c r="CF895" t="s">
        <v>3108</v>
      </c>
      <c r="CG895" t="s">
        <v>3108</v>
      </c>
      <c r="CH895" t="s">
        <v>3108</v>
      </c>
    </row>
    <row r="896" spans="1:86" x14ac:dyDescent="0.2">
      <c r="A896" t="s">
        <v>4605</v>
      </c>
      <c r="B896" t="s">
        <v>4605</v>
      </c>
      <c r="C896">
        <v>41350</v>
      </c>
      <c r="D896">
        <v>740</v>
      </c>
      <c r="E896" t="s">
        <v>4003</v>
      </c>
      <c r="F896">
        <v>2700</v>
      </c>
      <c r="G896" t="s">
        <v>411</v>
      </c>
      <c r="H896" t="s">
        <v>4004</v>
      </c>
      <c r="I896" t="s">
        <v>2531</v>
      </c>
      <c r="J896">
        <v>2701</v>
      </c>
      <c r="K896" t="s">
        <v>2531</v>
      </c>
      <c r="L896">
        <v>1200</v>
      </c>
      <c r="M896" t="s">
        <v>2368</v>
      </c>
      <c r="N896">
        <v>1210</v>
      </c>
      <c r="O896" t="s">
        <v>922</v>
      </c>
      <c r="P896" t="s">
        <v>3108</v>
      </c>
      <c r="Q896" t="s">
        <v>3249</v>
      </c>
      <c r="R896" t="s">
        <v>3249</v>
      </c>
      <c r="S896" t="s">
        <v>810</v>
      </c>
      <c r="T896" t="s">
        <v>2754</v>
      </c>
      <c r="U896" t="s">
        <v>3250</v>
      </c>
      <c r="V896" t="s">
        <v>3250</v>
      </c>
      <c r="W896" t="s">
        <v>3250</v>
      </c>
      <c r="X896" t="s">
        <v>3250</v>
      </c>
      <c r="Y896" t="s">
        <v>3250</v>
      </c>
      <c r="Z896" t="s">
        <v>3250</v>
      </c>
      <c r="AA896" t="s">
        <v>3108</v>
      </c>
      <c r="AB896" t="s">
        <v>3108</v>
      </c>
      <c r="AC896" t="s">
        <v>3250</v>
      </c>
      <c r="AD896" t="s">
        <v>3250</v>
      </c>
      <c r="AE896" t="s">
        <v>3250</v>
      </c>
      <c r="AF896" t="s">
        <v>3250</v>
      </c>
      <c r="AG896" t="s">
        <v>3250</v>
      </c>
      <c r="AH896" t="s">
        <v>3250</v>
      </c>
      <c r="AI896" t="s">
        <v>3250</v>
      </c>
      <c r="AJ896" t="s">
        <v>3250</v>
      </c>
      <c r="AL896" t="s">
        <v>3250</v>
      </c>
      <c r="AM896" t="s">
        <v>3250</v>
      </c>
      <c r="AN896" t="s">
        <v>3250</v>
      </c>
      <c r="AO896" t="s">
        <v>3250</v>
      </c>
      <c r="AS896" t="s">
        <v>3250</v>
      </c>
      <c r="AT896" t="s">
        <v>3250</v>
      </c>
      <c r="AU896" t="s">
        <v>3250</v>
      </c>
      <c r="AV896" t="s">
        <v>3250</v>
      </c>
      <c r="AW896" t="s">
        <v>3250</v>
      </c>
      <c r="AX896" t="s">
        <v>3250</v>
      </c>
      <c r="AY896" t="s">
        <v>3250</v>
      </c>
      <c r="AZ896" t="s">
        <v>3250</v>
      </c>
      <c r="BA896" t="s">
        <v>3250</v>
      </c>
      <c r="BB896" t="s">
        <v>3250</v>
      </c>
      <c r="BC896" t="s">
        <v>3250</v>
      </c>
      <c r="BE896" t="s">
        <v>3250</v>
      </c>
      <c r="BF896" t="s">
        <v>3250</v>
      </c>
      <c r="BG896" t="s">
        <v>3250</v>
      </c>
      <c r="BH896" t="s">
        <v>3250</v>
      </c>
      <c r="BI896" t="s">
        <v>3250</v>
      </c>
      <c r="BK896" t="s">
        <v>3250</v>
      </c>
      <c r="BL896" t="s">
        <v>3250</v>
      </c>
      <c r="BM896" t="s">
        <v>3250</v>
      </c>
      <c r="BN896" t="s">
        <v>3250</v>
      </c>
      <c r="BP896">
        <v>1</v>
      </c>
      <c r="BQ896">
        <v>16</v>
      </c>
      <c r="BR896" t="s">
        <v>922</v>
      </c>
      <c r="BS896" t="s">
        <v>3252</v>
      </c>
      <c r="BV896">
        <v>0</v>
      </c>
      <c r="BW896">
        <v>0</v>
      </c>
      <c r="BX896">
        <v>0</v>
      </c>
      <c r="BY896">
        <v>0</v>
      </c>
      <c r="BZ896">
        <v>0</v>
      </c>
      <c r="CA896">
        <v>0</v>
      </c>
      <c r="CB896">
        <v>0</v>
      </c>
      <c r="CC896">
        <v>0</v>
      </c>
      <c r="CD896">
        <v>0</v>
      </c>
      <c r="CE896" t="s">
        <v>3108</v>
      </c>
      <c r="CF896" t="s">
        <v>3108</v>
      </c>
      <c r="CG896" t="s">
        <v>3108</v>
      </c>
      <c r="CH896" t="s">
        <v>3108</v>
      </c>
    </row>
    <row r="897" spans="1:86" x14ac:dyDescent="0.2">
      <c r="A897" t="s">
        <v>4606</v>
      </c>
      <c r="B897" t="s">
        <v>4606</v>
      </c>
      <c r="C897">
        <v>41351</v>
      </c>
      <c r="D897">
        <v>741</v>
      </c>
      <c r="E897" t="s">
        <v>4477</v>
      </c>
      <c r="F897">
        <v>2700</v>
      </c>
      <c r="G897" t="s">
        <v>411</v>
      </c>
      <c r="H897" t="s">
        <v>3837</v>
      </c>
      <c r="I897" t="s">
        <v>2532</v>
      </c>
      <c r="J897">
        <v>2702</v>
      </c>
      <c r="K897" t="s">
        <v>2532</v>
      </c>
      <c r="L897">
        <v>1200</v>
      </c>
      <c r="M897" t="s">
        <v>2368</v>
      </c>
      <c r="N897">
        <v>1210</v>
      </c>
      <c r="O897" t="s">
        <v>922</v>
      </c>
      <c r="P897" t="s">
        <v>3108</v>
      </c>
      <c r="Q897" t="s">
        <v>3249</v>
      </c>
      <c r="R897" t="s">
        <v>3249</v>
      </c>
      <c r="S897" t="s">
        <v>810</v>
      </c>
      <c r="T897" t="s">
        <v>2754</v>
      </c>
      <c r="U897" t="s">
        <v>3250</v>
      </c>
      <c r="V897" t="s">
        <v>3250</v>
      </c>
      <c r="W897" t="s">
        <v>3250</v>
      </c>
      <c r="X897" t="s">
        <v>3250</v>
      </c>
      <c r="Y897" t="s">
        <v>3250</v>
      </c>
      <c r="Z897" t="s">
        <v>3250</v>
      </c>
      <c r="AA897" t="s">
        <v>3108</v>
      </c>
      <c r="AB897" t="s">
        <v>3108</v>
      </c>
      <c r="AC897" t="s">
        <v>3250</v>
      </c>
      <c r="AD897" t="s">
        <v>3250</v>
      </c>
      <c r="AE897" t="s">
        <v>3250</v>
      </c>
      <c r="AF897" t="s">
        <v>3250</v>
      </c>
      <c r="AG897" t="s">
        <v>3250</v>
      </c>
      <c r="AH897" t="s">
        <v>3250</v>
      </c>
      <c r="AI897" t="s">
        <v>3250</v>
      </c>
      <c r="AJ897" t="s">
        <v>3250</v>
      </c>
      <c r="AL897" t="s">
        <v>3250</v>
      </c>
      <c r="AM897" t="s">
        <v>3250</v>
      </c>
      <c r="AN897" t="s">
        <v>3250</v>
      </c>
      <c r="AO897" t="s">
        <v>3250</v>
      </c>
      <c r="AS897" t="s">
        <v>3250</v>
      </c>
      <c r="AT897" t="s">
        <v>3250</v>
      </c>
      <c r="AU897" t="s">
        <v>3250</v>
      </c>
      <c r="AV897" t="s">
        <v>3250</v>
      </c>
      <c r="AW897" t="s">
        <v>3250</v>
      </c>
      <c r="AX897" t="s">
        <v>3250</v>
      </c>
      <c r="AY897" t="s">
        <v>3250</v>
      </c>
      <c r="AZ897" t="s">
        <v>3250</v>
      </c>
      <c r="BA897" t="s">
        <v>3250</v>
      </c>
      <c r="BB897" t="s">
        <v>3250</v>
      </c>
      <c r="BC897" t="s">
        <v>3250</v>
      </c>
      <c r="BE897" t="s">
        <v>3250</v>
      </c>
      <c r="BF897" t="s">
        <v>3250</v>
      </c>
      <c r="BG897" t="s">
        <v>3250</v>
      </c>
      <c r="BH897" t="s">
        <v>3250</v>
      </c>
      <c r="BI897" t="s">
        <v>3250</v>
      </c>
      <c r="BK897" t="s">
        <v>3250</v>
      </c>
      <c r="BL897" t="s">
        <v>3250</v>
      </c>
      <c r="BM897" t="s">
        <v>3250</v>
      </c>
      <c r="BN897" t="s">
        <v>3250</v>
      </c>
      <c r="BP897">
        <v>1</v>
      </c>
      <c r="BQ897">
        <v>16</v>
      </c>
      <c r="BR897" t="s">
        <v>922</v>
      </c>
      <c r="BS897" t="s">
        <v>3252</v>
      </c>
      <c r="BV897">
        <v>0</v>
      </c>
      <c r="BW897">
        <v>0</v>
      </c>
      <c r="BX897">
        <v>0</v>
      </c>
      <c r="BY897">
        <v>0</v>
      </c>
      <c r="BZ897">
        <v>0</v>
      </c>
      <c r="CA897">
        <v>0</v>
      </c>
      <c r="CB897">
        <v>0</v>
      </c>
      <c r="CC897">
        <v>0</v>
      </c>
      <c r="CD897">
        <v>0</v>
      </c>
      <c r="CE897" t="s">
        <v>3108</v>
      </c>
      <c r="CF897" t="s">
        <v>3108</v>
      </c>
      <c r="CG897" t="s">
        <v>3108</v>
      </c>
      <c r="CH897" t="s">
        <v>3108</v>
      </c>
    </row>
    <row r="898" spans="1:86" x14ac:dyDescent="0.2">
      <c r="A898" t="s">
        <v>4607</v>
      </c>
      <c r="B898" t="s">
        <v>4607</v>
      </c>
      <c r="C898">
        <v>41352</v>
      </c>
      <c r="D898">
        <v>742</v>
      </c>
      <c r="E898" t="s">
        <v>4608</v>
      </c>
      <c r="F898">
        <v>2900</v>
      </c>
      <c r="G898" t="s">
        <v>822</v>
      </c>
      <c r="H898" t="s">
        <v>3108</v>
      </c>
      <c r="I898" t="s">
        <v>3108</v>
      </c>
      <c r="J898">
        <v>2904</v>
      </c>
      <c r="K898" t="s">
        <v>1690</v>
      </c>
      <c r="L898">
        <v>1200</v>
      </c>
      <c r="M898" t="s">
        <v>2368</v>
      </c>
      <c r="N898">
        <v>1204</v>
      </c>
      <c r="O898" t="s">
        <v>1574</v>
      </c>
      <c r="P898" t="s">
        <v>3108</v>
      </c>
      <c r="Q898" t="s">
        <v>3249</v>
      </c>
      <c r="R898" t="s">
        <v>3249</v>
      </c>
      <c r="S898" t="s">
        <v>810</v>
      </c>
      <c r="T898" t="s">
        <v>2754</v>
      </c>
      <c r="U898" t="s">
        <v>3250</v>
      </c>
      <c r="V898" t="s">
        <v>3250</v>
      </c>
      <c r="W898" t="s">
        <v>3250</v>
      </c>
      <c r="X898" t="s">
        <v>3250</v>
      </c>
      <c r="Y898" t="s">
        <v>3250</v>
      </c>
      <c r="Z898" t="s">
        <v>3250</v>
      </c>
      <c r="AA898" t="s">
        <v>3108</v>
      </c>
      <c r="AB898" t="s">
        <v>3108</v>
      </c>
      <c r="AC898" t="s">
        <v>3250</v>
      </c>
      <c r="AD898" t="s">
        <v>3250</v>
      </c>
      <c r="AE898" t="s">
        <v>3250</v>
      </c>
      <c r="AF898" t="s">
        <v>3250</v>
      </c>
      <c r="AG898" t="s">
        <v>3250</v>
      </c>
      <c r="AH898" t="s">
        <v>3250</v>
      </c>
      <c r="AI898" t="s">
        <v>3250</v>
      </c>
      <c r="AJ898" t="s">
        <v>3250</v>
      </c>
      <c r="AL898" t="s">
        <v>3250</v>
      </c>
      <c r="AM898" t="s">
        <v>3250</v>
      </c>
      <c r="AN898" t="s">
        <v>3250</v>
      </c>
      <c r="AO898" t="s">
        <v>3250</v>
      </c>
      <c r="AS898" t="s">
        <v>3250</v>
      </c>
      <c r="AT898" t="s">
        <v>3250</v>
      </c>
      <c r="AU898" t="s">
        <v>3250</v>
      </c>
      <c r="AV898" t="s">
        <v>3250</v>
      </c>
      <c r="AW898" t="s">
        <v>3250</v>
      </c>
      <c r="AX898" t="s">
        <v>3250</v>
      </c>
      <c r="AY898" t="s">
        <v>3250</v>
      </c>
      <c r="AZ898" t="s">
        <v>3250</v>
      </c>
      <c r="BA898" t="s">
        <v>3250</v>
      </c>
      <c r="BB898" t="s">
        <v>3250</v>
      </c>
      <c r="BC898" t="s">
        <v>3250</v>
      </c>
      <c r="BE898" t="s">
        <v>3250</v>
      </c>
      <c r="BF898" t="s">
        <v>3250</v>
      </c>
      <c r="BG898" t="s">
        <v>3250</v>
      </c>
      <c r="BH898" t="s">
        <v>3250</v>
      </c>
      <c r="BI898" t="s">
        <v>3250</v>
      </c>
      <c r="BK898" t="s">
        <v>3250</v>
      </c>
      <c r="BL898" t="s">
        <v>3250</v>
      </c>
      <c r="BM898" t="s">
        <v>3250</v>
      </c>
      <c r="BN898" t="s">
        <v>3250</v>
      </c>
      <c r="BP898">
        <v>1</v>
      </c>
      <c r="BQ898">
        <v>11</v>
      </c>
      <c r="BR898" t="s">
        <v>1574</v>
      </c>
      <c r="BS898" t="s">
        <v>3252</v>
      </c>
      <c r="BV898">
        <v>262563</v>
      </c>
      <c r="BW898">
        <v>181310</v>
      </c>
      <c r="BX898">
        <v>170456</v>
      </c>
      <c r="BY898">
        <v>214543</v>
      </c>
      <c r="BZ898">
        <v>214543</v>
      </c>
      <c r="CA898">
        <v>222910</v>
      </c>
      <c r="CB898">
        <v>231827</v>
      </c>
      <c r="CC898">
        <v>241100</v>
      </c>
      <c r="CD898">
        <v>174193</v>
      </c>
      <c r="CE898" t="s">
        <v>3108</v>
      </c>
      <c r="CF898" t="s">
        <v>3108</v>
      </c>
      <c r="CG898" t="s">
        <v>3108</v>
      </c>
      <c r="CH898" t="s">
        <v>3108</v>
      </c>
    </row>
    <row r="899" spans="1:86" x14ac:dyDescent="0.2">
      <c r="A899" t="s">
        <v>4609</v>
      </c>
      <c r="B899" t="s">
        <v>4609</v>
      </c>
      <c r="C899">
        <v>41353</v>
      </c>
      <c r="D899">
        <v>743</v>
      </c>
      <c r="E899" t="s">
        <v>4610</v>
      </c>
      <c r="F899">
        <v>2900</v>
      </c>
      <c r="G899" t="s">
        <v>822</v>
      </c>
      <c r="H899" t="s">
        <v>3108</v>
      </c>
      <c r="I899" t="s">
        <v>3108</v>
      </c>
      <c r="J899">
        <v>2904</v>
      </c>
      <c r="K899" t="s">
        <v>1690</v>
      </c>
      <c r="L899">
        <v>1200</v>
      </c>
      <c r="M899" t="s">
        <v>2368</v>
      </c>
      <c r="N899">
        <v>1204</v>
      </c>
      <c r="O899" t="s">
        <v>1574</v>
      </c>
      <c r="P899" t="s">
        <v>3108</v>
      </c>
      <c r="Q899" t="s">
        <v>3249</v>
      </c>
      <c r="R899" t="s">
        <v>3249</v>
      </c>
      <c r="S899" t="s">
        <v>810</v>
      </c>
      <c r="T899" t="s">
        <v>2754</v>
      </c>
      <c r="U899" t="s">
        <v>3250</v>
      </c>
      <c r="V899" t="s">
        <v>3250</v>
      </c>
      <c r="W899" t="s">
        <v>3250</v>
      </c>
      <c r="X899" t="s">
        <v>3250</v>
      </c>
      <c r="Y899" t="s">
        <v>3250</v>
      </c>
      <c r="Z899" t="s">
        <v>3250</v>
      </c>
      <c r="AA899" t="s">
        <v>3108</v>
      </c>
      <c r="AB899" t="s">
        <v>3108</v>
      </c>
      <c r="AC899" t="s">
        <v>3250</v>
      </c>
      <c r="AD899" t="s">
        <v>3250</v>
      </c>
      <c r="AE899" t="s">
        <v>3250</v>
      </c>
      <c r="AF899" t="s">
        <v>3250</v>
      </c>
      <c r="AG899" t="s">
        <v>3250</v>
      </c>
      <c r="AH899" t="s">
        <v>3250</v>
      </c>
      <c r="AI899" t="s">
        <v>3250</v>
      </c>
      <c r="AJ899" t="s">
        <v>3250</v>
      </c>
      <c r="AL899" t="s">
        <v>3250</v>
      </c>
      <c r="AM899" t="s">
        <v>3250</v>
      </c>
      <c r="AN899" t="s">
        <v>3250</v>
      </c>
      <c r="AO899" t="s">
        <v>3250</v>
      </c>
      <c r="AS899" t="s">
        <v>3250</v>
      </c>
      <c r="AT899" t="s">
        <v>3250</v>
      </c>
      <c r="AU899" t="s">
        <v>3250</v>
      </c>
      <c r="AV899" t="s">
        <v>3250</v>
      </c>
      <c r="AW899" t="s">
        <v>3250</v>
      </c>
      <c r="AX899" t="s">
        <v>3250</v>
      </c>
      <c r="AY899" t="s">
        <v>3250</v>
      </c>
      <c r="AZ899" t="s">
        <v>3250</v>
      </c>
      <c r="BA899" t="s">
        <v>3250</v>
      </c>
      <c r="BB899" t="s">
        <v>3250</v>
      </c>
      <c r="BC899" t="s">
        <v>3250</v>
      </c>
      <c r="BE899" t="s">
        <v>3250</v>
      </c>
      <c r="BF899" t="s">
        <v>3250</v>
      </c>
      <c r="BG899" t="s">
        <v>3250</v>
      </c>
      <c r="BH899" t="s">
        <v>3250</v>
      </c>
      <c r="BI899" t="s">
        <v>3250</v>
      </c>
      <c r="BK899" t="s">
        <v>3250</v>
      </c>
      <c r="BL899" t="s">
        <v>3250</v>
      </c>
      <c r="BM899" t="s">
        <v>3250</v>
      </c>
      <c r="BN899" t="s">
        <v>3250</v>
      </c>
      <c r="BP899">
        <v>1</v>
      </c>
      <c r="BQ899">
        <v>11</v>
      </c>
      <c r="BR899" t="s">
        <v>1574</v>
      </c>
      <c r="BS899" t="s">
        <v>3252</v>
      </c>
      <c r="BV899">
        <v>0</v>
      </c>
      <c r="BW899">
        <v>0</v>
      </c>
      <c r="BX899">
        <v>0</v>
      </c>
      <c r="BY899">
        <v>0</v>
      </c>
      <c r="BZ899">
        <v>0</v>
      </c>
      <c r="CA899">
        <v>0</v>
      </c>
      <c r="CB899">
        <v>0</v>
      </c>
      <c r="CC899">
        <v>0</v>
      </c>
      <c r="CD899">
        <v>0</v>
      </c>
      <c r="CE899" t="s">
        <v>3108</v>
      </c>
      <c r="CF899" t="s">
        <v>3108</v>
      </c>
      <c r="CG899" t="s">
        <v>3108</v>
      </c>
      <c r="CH899" t="s">
        <v>3108</v>
      </c>
    </row>
    <row r="900" spans="1:86" x14ac:dyDescent="0.2">
      <c r="A900" t="s">
        <v>4611</v>
      </c>
      <c r="B900" t="s">
        <v>4611</v>
      </c>
      <c r="C900">
        <v>41354</v>
      </c>
      <c r="D900">
        <v>744</v>
      </c>
      <c r="E900" t="s">
        <v>4612</v>
      </c>
      <c r="F900">
        <v>2400</v>
      </c>
      <c r="G900" t="s">
        <v>1359</v>
      </c>
      <c r="H900">
        <v>2400</v>
      </c>
      <c r="I900" t="s">
        <v>1359</v>
      </c>
      <c r="J900" t="s">
        <v>3250</v>
      </c>
      <c r="K900" t="s">
        <v>3250</v>
      </c>
      <c r="L900">
        <v>1200</v>
      </c>
      <c r="M900" t="s">
        <v>2368</v>
      </c>
      <c r="N900">
        <v>1204</v>
      </c>
      <c r="O900" t="s">
        <v>1574</v>
      </c>
      <c r="P900" t="s">
        <v>3108</v>
      </c>
      <c r="Q900" t="s">
        <v>3249</v>
      </c>
      <c r="R900" t="s">
        <v>3249</v>
      </c>
      <c r="S900" t="s">
        <v>810</v>
      </c>
      <c r="T900" t="s">
        <v>2754</v>
      </c>
      <c r="U900" t="s">
        <v>3250</v>
      </c>
      <c r="V900" t="s">
        <v>3250</v>
      </c>
      <c r="W900" t="s">
        <v>3250</v>
      </c>
      <c r="X900" t="s">
        <v>3250</v>
      </c>
      <c r="Y900" t="s">
        <v>3250</v>
      </c>
      <c r="Z900" t="s">
        <v>3250</v>
      </c>
      <c r="AA900" t="s">
        <v>3108</v>
      </c>
      <c r="AB900" t="s">
        <v>3108</v>
      </c>
      <c r="AC900" t="s">
        <v>3250</v>
      </c>
      <c r="AD900" t="s">
        <v>3250</v>
      </c>
      <c r="AE900" t="s">
        <v>3250</v>
      </c>
      <c r="AF900" t="s">
        <v>3250</v>
      </c>
      <c r="AG900" t="s">
        <v>3250</v>
      </c>
      <c r="AH900" t="s">
        <v>3250</v>
      </c>
      <c r="AI900" t="s">
        <v>3250</v>
      </c>
      <c r="AJ900" t="s">
        <v>3250</v>
      </c>
      <c r="AL900" t="s">
        <v>3250</v>
      </c>
      <c r="AM900" t="s">
        <v>3250</v>
      </c>
      <c r="AN900" t="s">
        <v>3250</v>
      </c>
      <c r="AO900" t="s">
        <v>3250</v>
      </c>
      <c r="AS900" t="s">
        <v>3250</v>
      </c>
      <c r="AT900" t="s">
        <v>3250</v>
      </c>
      <c r="AU900" t="s">
        <v>3250</v>
      </c>
      <c r="AV900" t="s">
        <v>3250</v>
      </c>
      <c r="AW900" t="s">
        <v>3250</v>
      </c>
      <c r="AX900" t="s">
        <v>3250</v>
      </c>
      <c r="AY900" t="s">
        <v>3250</v>
      </c>
      <c r="AZ900" t="s">
        <v>3250</v>
      </c>
      <c r="BA900" t="s">
        <v>3250</v>
      </c>
      <c r="BB900" t="s">
        <v>3250</v>
      </c>
      <c r="BC900" t="s">
        <v>3250</v>
      </c>
      <c r="BE900" t="s">
        <v>3250</v>
      </c>
      <c r="BF900" t="s">
        <v>3250</v>
      </c>
      <c r="BG900" t="s">
        <v>3250</v>
      </c>
      <c r="BH900" t="s">
        <v>3250</v>
      </c>
      <c r="BI900" t="s">
        <v>3250</v>
      </c>
      <c r="BK900" t="s">
        <v>3250</v>
      </c>
      <c r="BL900" t="s">
        <v>3250</v>
      </c>
      <c r="BM900" t="s">
        <v>3250</v>
      </c>
      <c r="BN900" t="s">
        <v>3250</v>
      </c>
      <c r="BP900">
        <v>1</v>
      </c>
      <c r="BQ900">
        <v>11</v>
      </c>
      <c r="BR900" t="s">
        <v>1574</v>
      </c>
      <c r="BS900" t="s">
        <v>3252</v>
      </c>
      <c r="BV900">
        <v>4109</v>
      </c>
      <c r="BW900">
        <v>2646</v>
      </c>
      <c r="BX900">
        <v>0</v>
      </c>
      <c r="BY900">
        <v>0</v>
      </c>
      <c r="BZ900">
        <v>0</v>
      </c>
      <c r="CA900">
        <v>0</v>
      </c>
      <c r="CB900">
        <v>0</v>
      </c>
      <c r="CC900">
        <v>0</v>
      </c>
      <c r="CD900">
        <v>4941</v>
      </c>
      <c r="CE900" t="s">
        <v>3108</v>
      </c>
      <c r="CF900" t="s">
        <v>3108</v>
      </c>
      <c r="CG900" t="s">
        <v>3108</v>
      </c>
      <c r="CH900" t="s">
        <v>3108</v>
      </c>
    </row>
    <row r="901" spans="1:86" x14ac:dyDescent="0.2">
      <c r="A901" t="s">
        <v>4613</v>
      </c>
      <c r="B901" t="s">
        <v>4613</v>
      </c>
      <c r="C901">
        <v>41355</v>
      </c>
      <c r="D901">
        <v>745</v>
      </c>
      <c r="E901" t="s">
        <v>4122</v>
      </c>
      <c r="F901">
        <v>2000</v>
      </c>
      <c r="G901" t="s">
        <v>408</v>
      </c>
      <c r="H901" t="s">
        <v>4123</v>
      </c>
      <c r="I901" t="s">
        <v>1454</v>
      </c>
      <c r="J901">
        <v>2012</v>
      </c>
      <c r="K901" t="s">
        <v>1454</v>
      </c>
      <c r="L901">
        <v>1200</v>
      </c>
      <c r="M901" t="s">
        <v>2368</v>
      </c>
      <c r="N901">
        <v>1204</v>
      </c>
      <c r="O901" t="s">
        <v>1574</v>
      </c>
      <c r="P901" t="s">
        <v>3108</v>
      </c>
      <c r="Q901" t="s">
        <v>3249</v>
      </c>
      <c r="R901" t="s">
        <v>3249</v>
      </c>
      <c r="S901" t="s">
        <v>810</v>
      </c>
      <c r="T901" t="s">
        <v>2754</v>
      </c>
      <c r="U901" t="s">
        <v>3250</v>
      </c>
      <c r="V901" t="s">
        <v>3250</v>
      </c>
      <c r="W901" t="s">
        <v>3250</v>
      </c>
      <c r="X901" t="s">
        <v>3250</v>
      </c>
      <c r="Y901" t="s">
        <v>3250</v>
      </c>
      <c r="Z901" t="s">
        <v>3250</v>
      </c>
      <c r="AA901" t="s">
        <v>3108</v>
      </c>
      <c r="AB901" t="s">
        <v>3108</v>
      </c>
      <c r="AC901" t="s">
        <v>3250</v>
      </c>
      <c r="AD901" t="s">
        <v>3250</v>
      </c>
      <c r="AE901" t="s">
        <v>3250</v>
      </c>
      <c r="AF901" t="s">
        <v>3250</v>
      </c>
      <c r="AG901" t="s">
        <v>3250</v>
      </c>
      <c r="AH901" t="s">
        <v>3250</v>
      </c>
      <c r="AI901" t="s">
        <v>3250</v>
      </c>
      <c r="AJ901" t="s">
        <v>3250</v>
      </c>
      <c r="AL901" t="s">
        <v>3250</v>
      </c>
      <c r="AM901" t="s">
        <v>3250</v>
      </c>
      <c r="AN901" t="s">
        <v>3250</v>
      </c>
      <c r="AO901" t="s">
        <v>3250</v>
      </c>
      <c r="AS901" t="s">
        <v>3250</v>
      </c>
      <c r="AT901" t="s">
        <v>3250</v>
      </c>
      <c r="AU901" t="s">
        <v>3250</v>
      </c>
      <c r="AV901" t="s">
        <v>3250</v>
      </c>
      <c r="AW901" t="s">
        <v>3250</v>
      </c>
      <c r="AX901" t="s">
        <v>3250</v>
      </c>
      <c r="AY901" t="s">
        <v>3250</v>
      </c>
      <c r="AZ901" t="s">
        <v>3250</v>
      </c>
      <c r="BA901" t="s">
        <v>3250</v>
      </c>
      <c r="BB901" t="s">
        <v>3250</v>
      </c>
      <c r="BC901" t="s">
        <v>3250</v>
      </c>
      <c r="BE901" t="s">
        <v>3250</v>
      </c>
      <c r="BF901" t="s">
        <v>3250</v>
      </c>
      <c r="BG901" t="s">
        <v>3250</v>
      </c>
      <c r="BH901" t="s">
        <v>3250</v>
      </c>
      <c r="BI901" t="s">
        <v>3250</v>
      </c>
      <c r="BK901" t="s">
        <v>3250</v>
      </c>
      <c r="BL901" t="s">
        <v>3250</v>
      </c>
      <c r="BM901" t="s">
        <v>3250</v>
      </c>
      <c r="BN901" t="s">
        <v>3250</v>
      </c>
      <c r="BO901" t="s">
        <v>2916</v>
      </c>
      <c r="BP901">
        <v>1</v>
      </c>
      <c r="BQ901">
        <v>11</v>
      </c>
      <c r="BR901" t="s">
        <v>1574</v>
      </c>
      <c r="BS901" t="s">
        <v>3252</v>
      </c>
      <c r="BV901">
        <v>0</v>
      </c>
      <c r="BW901">
        <v>637330</v>
      </c>
      <c r="BX901">
        <v>266881</v>
      </c>
      <c r="BY901">
        <v>0</v>
      </c>
      <c r="BZ901">
        <v>5000</v>
      </c>
      <c r="CA901">
        <v>5350</v>
      </c>
      <c r="CB901">
        <v>5000</v>
      </c>
      <c r="CC901">
        <v>5350</v>
      </c>
      <c r="CD901">
        <v>2322</v>
      </c>
      <c r="CE901" t="s">
        <v>3108</v>
      </c>
      <c r="CF901" t="s">
        <v>3108</v>
      </c>
      <c r="CG901" t="s">
        <v>3108</v>
      </c>
      <c r="CH901" t="s">
        <v>3108</v>
      </c>
    </row>
    <row r="902" spans="1:86" x14ac:dyDescent="0.2">
      <c r="A902" t="s">
        <v>4614</v>
      </c>
      <c r="B902" t="s">
        <v>4614</v>
      </c>
      <c r="C902">
        <v>41356</v>
      </c>
      <c r="D902">
        <v>746</v>
      </c>
      <c r="E902" t="s">
        <v>4615</v>
      </c>
      <c r="F902">
        <v>2700</v>
      </c>
      <c r="G902" t="s">
        <v>411</v>
      </c>
      <c r="H902" t="s">
        <v>4004</v>
      </c>
      <c r="I902" t="s">
        <v>2531</v>
      </c>
      <c r="J902">
        <v>2701</v>
      </c>
      <c r="K902" t="s">
        <v>2531</v>
      </c>
      <c r="L902">
        <v>1200</v>
      </c>
      <c r="M902" t="s">
        <v>2368</v>
      </c>
      <c r="N902">
        <v>1204</v>
      </c>
      <c r="O902" t="s">
        <v>1574</v>
      </c>
      <c r="P902" t="s">
        <v>3108</v>
      </c>
      <c r="Q902" t="s">
        <v>3249</v>
      </c>
      <c r="R902" t="s">
        <v>3249</v>
      </c>
      <c r="S902" t="s">
        <v>810</v>
      </c>
      <c r="T902" t="s">
        <v>2754</v>
      </c>
      <c r="U902" t="s">
        <v>3250</v>
      </c>
      <c r="V902" t="s">
        <v>3250</v>
      </c>
      <c r="W902" t="s">
        <v>3250</v>
      </c>
      <c r="X902" t="s">
        <v>3250</v>
      </c>
      <c r="Y902" t="s">
        <v>3250</v>
      </c>
      <c r="Z902" t="s">
        <v>3250</v>
      </c>
      <c r="AA902" t="s">
        <v>3108</v>
      </c>
      <c r="AB902" t="s">
        <v>3108</v>
      </c>
      <c r="AC902" t="s">
        <v>3250</v>
      </c>
      <c r="AD902" t="s">
        <v>3250</v>
      </c>
      <c r="AE902" t="s">
        <v>3250</v>
      </c>
      <c r="AF902" t="s">
        <v>3250</v>
      </c>
      <c r="AG902" t="s">
        <v>3250</v>
      </c>
      <c r="AH902" t="s">
        <v>3250</v>
      </c>
      <c r="AI902" t="s">
        <v>3250</v>
      </c>
      <c r="AJ902" t="s">
        <v>3250</v>
      </c>
      <c r="AL902" t="s">
        <v>3250</v>
      </c>
      <c r="AM902" t="s">
        <v>3250</v>
      </c>
      <c r="AN902" t="s">
        <v>3250</v>
      </c>
      <c r="AO902" t="s">
        <v>3250</v>
      </c>
      <c r="AS902" t="s">
        <v>3250</v>
      </c>
      <c r="AT902" t="s">
        <v>3250</v>
      </c>
      <c r="AU902" t="s">
        <v>3250</v>
      </c>
      <c r="AV902" t="s">
        <v>3250</v>
      </c>
      <c r="AW902" t="s">
        <v>3250</v>
      </c>
      <c r="AX902" t="s">
        <v>3250</v>
      </c>
      <c r="AY902" t="s">
        <v>3250</v>
      </c>
      <c r="AZ902" t="s">
        <v>3250</v>
      </c>
      <c r="BA902" t="s">
        <v>3250</v>
      </c>
      <c r="BB902" t="s">
        <v>3250</v>
      </c>
      <c r="BC902" t="s">
        <v>3250</v>
      </c>
      <c r="BE902" t="s">
        <v>3250</v>
      </c>
      <c r="BF902" t="s">
        <v>3250</v>
      </c>
      <c r="BG902" t="s">
        <v>3250</v>
      </c>
      <c r="BH902" t="s">
        <v>3250</v>
      </c>
      <c r="BI902" t="s">
        <v>3250</v>
      </c>
      <c r="BK902" t="s">
        <v>3250</v>
      </c>
      <c r="BL902" t="s">
        <v>3250</v>
      </c>
      <c r="BM902" t="s">
        <v>3250</v>
      </c>
      <c r="BN902" t="s">
        <v>3250</v>
      </c>
      <c r="BP902">
        <v>1</v>
      </c>
      <c r="BQ902">
        <v>11</v>
      </c>
      <c r="BR902" t="s">
        <v>1574</v>
      </c>
      <c r="BS902" t="s">
        <v>3252</v>
      </c>
      <c r="BV902">
        <v>3837</v>
      </c>
      <c r="BW902">
        <v>26856</v>
      </c>
      <c r="BX902">
        <v>14396</v>
      </c>
      <c r="BY902">
        <v>73337</v>
      </c>
      <c r="BZ902">
        <v>73337</v>
      </c>
      <c r="CA902">
        <v>76197</v>
      </c>
      <c r="CB902">
        <v>79245</v>
      </c>
      <c r="CC902">
        <v>82415</v>
      </c>
      <c r="CD902">
        <v>0</v>
      </c>
      <c r="CE902" t="s">
        <v>3108</v>
      </c>
      <c r="CF902" t="s">
        <v>3108</v>
      </c>
      <c r="CG902" t="s">
        <v>3108</v>
      </c>
      <c r="CH902" t="s">
        <v>3108</v>
      </c>
    </row>
    <row r="903" spans="1:86" x14ac:dyDescent="0.2">
      <c r="A903" t="s">
        <v>4616</v>
      </c>
      <c r="B903" t="s">
        <v>4616</v>
      </c>
      <c r="C903">
        <v>41357</v>
      </c>
      <c r="D903">
        <v>747</v>
      </c>
      <c r="E903" t="s">
        <v>4617</v>
      </c>
      <c r="F903">
        <v>2200</v>
      </c>
      <c r="G903" t="s">
        <v>1282</v>
      </c>
      <c r="H903">
        <v>2200</v>
      </c>
      <c r="I903" t="s">
        <v>1282</v>
      </c>
      <c r="J903" t="s">
        <v>3250</v>
      </c>
      <c r="K903" t="s">
        <v>3250</v>
      </c>
      <c r="L903">
        <v>1200</v>
      </c>
      <c r="M903" t="s">
        <v>2368</v>
      </c>
      <c r="N903">
        <v>1204</v>
      </c>
      <c r="O903" t="s">
        <v>1574</v>
      </c>
      <c r="P903" t="s">
        <v>3108</v>
      </c>
      <c r="Q903" t="s">
        <v>3249</v>
      </c>
      <c r="R903" t="s">
        <v>3249</v>
      </c>
      <c r="S903" t="s">
        <v>810</v>
      </c>
      <c r="T903" t="s">
        <v>2754</v>
      </c>
      <c r="U903" t="s">
        <v>3250</v>
      </c>
      <c r="V903" t="s">
        <v>3250</v>
      </c>
      <c r="W903" t="s">
        <v>3250</v>
      </c>
      <c r="X903" t="s">
        <v>3250</v>
      </c>
      <c r="Y903" t="s">
        <v>3250</v>
      </c>
      <c r="Z903" t="s">
        <v>3250</v>
      </c>
      <c r="AA903" t="s">
        <v>3108</v>
      </c>
      <c r="AB903" t="s">
        <v>3108</v>
      </c>
      <c r="AC903" t="s">
        <v>3250</v>
      </c>
      <c r="AD903" t="s">
        <v>3250</v>
      </c>
      <c r="AE903" t="s">
        <v>3250</v>
      </c>
      <c r="AF903" t="s">
        <v>3250</v>
      </c>
      <c r="AG903" t="s">
        <v>3250</v>
      </c>
      <c r="AH903" t="s">
        <v>3250</v>
      </c>
      <c r="AI903" t="s">
        <v>3250</v>
      </c>
      <c r="AJ903" t="s">
        <v>3250</v>
      </c>
      <c r="AL903" t="s">
        <v>3250</v>
      </c>
      <c r="AM903" t="s">
        <v>3250</v>
      </c>
      <c r="AN903" t="s">
        <v>3250</v>
      </c>
      <c r="AO903" t="s">
        <v>3250</v>
      </c>
      <c r="AS903" t="s">
        <v>3250</v>
      </c>
      <c r="AT903" t="s">
        <v>3250</v>
      </c>
      <c r="AU903" t="s">
        <v>3250</v>
      </c>
      <c r="AV903" t="s">
        <v>3250</v>
      </c>
      <c r="AW903" t="s">
        <v>3250</v>
      </c>
      <c r="AX903" t="s">
        <v>3250</v>
      </c>
      <c r="AY903" t="s">
        <v>3250</v>
      </c>
      <c r="AZ903" t="s">
        <v>3250</v>
      </c>
      <c r="BA903" t="s">
        <v>3250</v>
      </c>
      <c r="BB903" t="s">
        <v>3250</v>
      </c>
      <c r="BC903" t="s">
        <v>3250</v>
      </c>
      <c r="BE903" t="s">
        <v>3250</v>
      </c>
      <c r="BF903" t="s">
        <v>3250</v>
      </c>
      <c r="BG903" t="s">
        <v>3250</v>
      </c>
      <c r="BH903" t="s">
        <v>3250</v>
      </c>
      <c r="BI903" t="s">
        <v>3250</v>
      </c>
      <c r="BK903" t="s">
        <v>3250</v>
      </c>
      <c r="BL903" t="s">
        <v>3250</v>
      </c>
      <c r="BM903" t="s">
        <v>3250</v>
      </c>
      <c r="BN903" t="s">
        <v>3250</v>
      </c>
      <c r="BP903">
        <v>1</v>
      </c>
      <c r="BQ903">
        <v>11</v>
      </c>
      <c r="BR903" t="s">
        <v>1574</v>
      </c>
      <c r="BS903" t="s">
        <v>3252</v>
      </c>
      <c r="BV903">
        <v>590455</v>
      </c>
      <c r="BW903">
        <v>1539532</v>
      </c>
      <c r="BX903">
        <v>741640</v>
      </c>
      <c r="BY903">
        <v>3140135</v>
      </c>
      <c r="BZ903">
        <v>3140135</v>
      </c>
      <c r="CA903">
        <v>3140135</v>
      </c>
      <c r="CB903">
        <v>3579753</v>
      </c>
      <c r="CC903">
        <v>4080919</v>
      </c>
      <c r="CD903">
        <v>0</v>
      </c>
      <c r="CE903" t="s">
        <v>3108</v>
      </c>
      <c r="CF903" t="s">
        <v>3108</v>
      </c>
      <c r="CG903" t="s">
        <v>3108</v>
      </c>
      <c r="CH903" t="s">
        <v>3108</v>
      </c>
    </row>
    <row r="904" spans="1:86" x14ac:dyDescent="0.2">
      <c r="A904" t="s">
        <v>4618</v>
      </c>
      <c r="B904" t="s">
        <v>4618</v>
      </c>
      <c r="C904">
        <v>41358</v>
      </c>
      <c r="D904">
        <v>748</v>
      </c>
      <c r="E904" t="s">
        <v>4438</v>
      </c>
      <c r="F904">
        <v>2700</v>
      </c>
      <c r="G904" t="s">
        <v>411</v>
      </c>
      <c r="H904" t="s">
        <v>3837</v>
      </c>
      <c r="I904" t="s">
        <v>2532</v>
      </c>
      <c r="J904">
        <v>2702</v>
      </c>
      <c r="K904" t="s">
        <v>2532</v>
      </c>
      <c r="L904">
        <v>1200</v>
      </c>
      <c r="M904" t="s">
        <v>2368</v>
      </c>
      <c r="N904">
        <v>1214</v>
      </c>
      <c r="O904" t="s">
        <v>2378</v>
      </c>
      <c r="P904" t="s">
        <v>3108</v>
      </c>
      <c r="Q904" t="s">
        <v>3249</v>
      </c>
      <c r="R904" t="s">
        <v>3249</v>
      </c>
      <c r="S904" t="s">
        <v>810</v>
      </c>
      <c r="T904" t="s">
        <v>2754</v>
      </c>
      <c r="U904" t="s">
        <v>3250</v>
      </c>
      <c r="V904" t="s">
        <v>3250</v>
      </c>
      <c r="W904" t="s">
        <v>3250</v>
      </c>
      <c r="X904" t="s">
        <v>3250</v>
      </c>
      <c r="Y904" t="s">
        <v>3250</v>
      </c>
      <c r="Z904" t="s">
        <v>3250</v>
      </c>
      <c r="AA904" t="s">
        <v>3108</v>
      </c>
      <c r="AB904" t="s">
        <v>3108</v>
      </c>
      <c r="AC904" t="s">
        <v>3250</v>
      </c>
      <c r="AD904" t="s">
        <v>3250</v>
      </c>
      <c r="AE904" t="s">
        <v>3250</v>
      </c>
      <c r="AF904" t="s">
        <v>3250</v>
      </c>
      <c r="AG904" t="s">
        <v>3250</v>
      </c>
      <c r="AH904" t="s">
        <v>3250</v>
      </c>
      <c r="AI904" t="s">
        <v>3250</v>
      </c>
      <c r="AJ904" t="s">
        <v>3250</v>
      </c>
      <c r="AL904" t="s">
        <v>3250</v>
      </c>
      <c r="AM904" t="s">
        <v>3250</v>
      </c>
      <c r="AN904" t="s">
        <v>3250</v>
      </c>
      <c r="AO904" t="s">
        <v>3250</v>
      </c>
      <c r="AS904" t="s">
        <v>3250</v>
      </c>
      <c r="AT904" t="s">
        <v>3250</v>
      </c>
      <c r="AU904" t="s">
        <v>3250</v>
      </c>
      <c r="AV904" t="s">
        <v>3250</v>
      </c>
      <c r="AW904" t="s">
        <v>3250</v>
      </c>
      <c r="AX904" t="s">
        <v>3250</v>
      </c>
      <c r="AY904" t="s">
        <v>3250</v>
      </c>
      <c r="AZ904" t="s">
        <v>3250</v>
      </c>
      <c r="BA904" t="s">
        <v>3250</v>
      </c>
      <c r="BB904" t="s">
        <v>3250</v>
      </c>
      <c r="BC904" t="s">
        <v>3250</v>
      </c>
      <c r="BE904" t="s">
        <v>3250</v>
      </c>
      <c r="BF904" t="s">
        <v>3250</v>
      </c>
      <c r="BG904" t="s">
        <v>3250</v>
      </c>
      <c r="BH904" t="s">
        <v>3250</v>
      </c>
      <c r="BI904" t="s">
        <v>3250</v>
      </c>
      <c r="BK904" t="s">
        <v>3250</v>
      </c>
      <c r="BL904" t="s">
        <v>3250</v>
      </c>
      <c r="BM904" t="s">
        <v>3250</v>
      </c>
      <c r="BN904" t="s">
        <v>3250</v>
      </c>
      <c r="BP904">
        <v>1</v>
      </c>
      <c r="BQ904">
        <v>20</v>
      </c>
      <c r="BR904" t="s">
        <v>2378</v>
      </c>
      <c r="BS904" t="s">
        <v>3252</v>
      </c>
      <c r="BV904">
        <v>272</v>
      </c>
      <c r="BW904">
        <v>0</v>
      </c>
      <c r="BX904">
        <v>0</v>
      </c>
      <c r="BY904">
        <v>0</v>
      </c>
      <c r="BZ904">
        <v>0</v>
      </c>
      <c r="CA904">
        <v>0</v>
      </c>
      <c r="CB904">
        <v>0</v>
      </c>
      <c r="CC904">
        <v>0</v>
      </c>
      <c r="CD904">
        <v>0</v>
      </c>
      <c r="CE904" t="s">
        <v>3108</v>
      </c>
      <c r="CF904" t="s">
        <v>3108</v>
      </c>
      <c r="CG904" t="s">
        <v>3108</v>
      </c>
      <c r="CH904" t="s">
        <v>3108</v>
      </c>
    </row>
    <row r="905" spans="1:86" x14ac:dyDescent="0.2">
      <c r="A905" t="s">
        <v>4619</v>
      </c>
      <c r="B905" t="s">
        <v>4619</v>
      </c>
      <c r="C905">
        <v>41359</v>
      </c>
      <c r="D905">
        <v>749</v>
      </c>
      <c r="E905" t="s">
        <v>4620</v>
      </c>
      <c r="F905">
        <v>2900</v>
      </c>
      <c r="G905" t="s">
        <v>822</v>
      </c>
      <c r="H905" t="s">
        <v>3108</v>
      </c>
      <c r="I905" t="s">
        <v>3108</v>
      </c>
      <c r="J905">
        <v>2904</v>
      </c>
      <c r="K905" t="s">
        <v>1690</v>
      </c>
      <c r="L905">
        <v>1200</v>
      </c>
      <c r="M905" t="s">
        <v>2368</v>
      </c>
      <c r="N905">
        <v>1207</v>
      </c>
      <c r="O905" t="s">
        <v>286</v>
      </c>
      <c r="P905" t="s">
        <v>3108</v>
      </c>
      <c r="Q905" t="s">
        <v>3249</v>
      </c>
      <c r="R905" t="s">
        <v>3249</v>
      </c>
      <c r="S905" t="s">
        <v>810</v>
      </c>
      <c r="T905" t="s">
        <v>2754</v>
      </c>
      <c r="U905" t="s">
        <v>3250</v>
      </c>
      <c r="V905" t="s">
        <v>3250</v>
      </c>
      <c r="W905" t="s">
        <v>3250</v>
      </c>
      <c r="X905" t="s">
        <v>3250</v>
      </c>
      <c r="Y905" t="s">
        <v>3250</v>
      </c>
      <c r="Z905" t="s">
        <v>3250</v>
      </c>
      <c r="AA905" t="s">
        <v>3108</v>
      </c>
      <c r="AB905" t="s">
        <v>3108</v>
      </c>
      <c r="AC905" t="s">
        <v>3250</v>
      </c>
      <c r="AD905" t="s">
        <v>3250</v>
      </c>
      <c r="AE905" t="s">
        <v>3250</v>
      </c>
      <c r="AF905" t="s">
        <v>3250</v>
      </c>
      <c r="AG905" t="s">
        <v>3250</v>
      </c>
      <c r="AH905" t="s">
        <v>3250</v>
      </c>
      <c r="AI905" t="s">
        <v>3250</v>
      </c>
      <c r="AJ905" t="s">
        <v>3250</v>
      </c>
      <c r="AL905" t="s">
        <v>3250</v>
      </c>
      <c r="AM905" t="s">
        <v>3250</v>
      </c>
      <c r="AN905" t="s">
        <v>3250</v>
      </c>
      <c r="AO905" t="s">
        <v>3250</v>
      </c>
      <c r="AS905" t="s">
        <v>3250</v>
      </c>
      <c r="AT905" t="s">
        <v>3250</v>
      </c>
      <c r="AU905" t="s">
        <v>3250</v>
      </c>
      <c r="AV905" t="s">
        <v>3250</v>
      </c>
      <c r="AW905" t="s">
        <v>3250</v>
      </c>
      <c r="AX905" t="s">
        <v>3250</v>
      </c>
      <c r="AY905" t="s">
        <v>3250</v>
      </c>
      <c r="AZ905" t="s">
        <v>3250</v>
      </c>
      <c r="BA905" t="s">
        <v>3250</v>
      </c>
      <c r="BB905" t="s">
        <v>3250</v>
      </c>
      <c r="BC905" t="s">
        <v>3250</v>
      </c>
      <c r="BE905" t="s">
        <v>3250</v>
      </c>
      <c r="BF905" t="s">
        <v>3250</v>
      </c>
      <c r="BG905" t="s">
        <v>3250</v>
      </c>
      <c r="BH905" t="s">
        <v>3250</v>
      </c>
      <c r="BI905" t="s">
        <v>3250</v>
      </c>
      <c r="BK905" t="s">
        <v>3250</v>
      </c>
      <c r="BL905" t="s">
        <v>3250</v>
      </c>
      <c r="BM905" t="s">
        <v>3250</v>
      </c>
      <c r="BN905" t="s">
        <v>3250</v>
      </c>
      <c r="BP905">
        <v>1</v>
      </c>
      <c r="BQ905">
        <v>18</v>
      </c>
      <c r="BR905" t="s">
        <v>286</v>
      </c>
      <c r="BS905" t="s">
        <v>3252</v>
      </c>
      <c r="BV905">
        <v>0</v>
      </c>
      <c r="BW905">
        <v>0</v>
      </c>
      <c r="BX905">
        <v>18205</v>
      </c>
      <c r="BY905">
        <v>0</v>
      </c>
      <c r="BZ905">
        <v>0</v>
      </c>
      <c r="CA905">
        <v>0</v>
      </c>
      <c r="CB905">
        <v>0</v>
      </c>
      <c r="CC905">
        <v>0</v>
      </c>
      <c r="CD905">
        <v>0</v>
      </c>
      <c r="CE905" t="s">
        <v>3108</v>
      </c>
      <c r="CF905" t="s">
        <v>3108</v>
      </c>
      <c r="CG905" t="s">
        <v>3108</v>
      </c>
      <c r="CH905" t="s">
        <v>3108</v>
      </c>
    </row>
    <row r="906" spans="1:86" x14ac:dyDescent="0.2">
      <c r="A906" t="s">
        <v>4621</v>
      </c>
      <c r="B906" t="s">
        <v>4621</v>
      </c>
      <c r="C906">
        <v>41360</v>
      </c>
      <c r="D906">
        <v>750</v>
      </c>
      <c r="E906" t="s">
        <v>4084</v>
      </c>
      <c r="F906">
        <v>2000</v>
      </c>
      <c r="G906" t="s">
        <v>408</v>
      </c>
      <c r="H906" t="s">
        <v>4085</v>
      </c>
      <c r="I906" t="s">
        <v>1453</v>
      </c>
      <c r="J906">
        <v>2010</v>
      </c>
      <c r="K906" t="s">
        <v>1453</v>
      </c>
      <c r="L906">
        <v>1200</v>
      </c>
      <c r="M906" t="s">
        <v>2368</v>
      </c>
      <c r="N906">
        <v>1204</v>
      </c>
      <c r="O906" t="s">
        <v>1574</v>
      </c>
      <c r="P906" t="s">
        <v>3108</v>
      </c>
      <c r="Q906" t="s">
        <v>3249</v>
      </c>
      <c r="R906" t="s">
        <v>3249</v>
      </c>
      <c r="S906" t="s">
        <v>810</v>
      </c>
      <c r="T906" t="s">
        <v>2754</v>
      </c>
      <c r="U906" t="s">
        <v>3250</v>
      </c>
      <c r="V906" t="s">
        <v>3250</v>
      </c>
      <c r="W906" t="s">
        <v>3250</v>
      </c>
      <c r="X906" t="s">
        <v>3250</v>
      </c>
      <c r="Y906" t="s">
        <v>3250</v>
      </c>
      <c r="Z906" t="s">
        <v>3250</v>
      </c>
      <c r="AA906" t="s">
        <v>3108</v>
      </c>
      <c r="AB906" t="s">
        <v>3108</v>
      </c>
      <c r="AC906" t="s">
        <v>3250</v>
      </c>
      <c r="AD906" t="s">
        <v>3250</v>
      </c>
      <c r="AE906" t="s">
        <v>3250</v>
      </c>
      <c r="AF906" t="s">
        <v>3250</v>
      </c>
      <c r="AG906" t="s">
        <v>3250</v>
      </c>
      <c r="AH906" t="s">
        <v>3250</v>
      </c>
      <c r="AI906" t="s">
        <v>3250</v>
      </c>
      <c r="AJ906" t="s">
        <v>3250</v>
      </c>
      <c r="AL906" t="s">
        <v>3250</v>
      </c>
      <c r="AM906" t="s">
        <v>3250</v>
      </c>
      <c r="AN906" t="s">
        <v>3250</v>
      </c>
      <c r="AO906" t="s">
        <v>3250</v>
      </c>
      <c r="AS906" t="s">
        <v>3250</v>
      </c>
      <c r="AT906" t="s">
        <v>3250</v>
      </c>
      <c r="AU906" t="s">
        <v>3250</v>
      </c>
      <c r="AV906" t="s">
        <v>3250</v>
      </c>
      <c r="AW906" t="s">
        <v>3250</v>
      </c>
      <c r="AX906" t="s">
        <v>3250</v>
      </c>
      <c r="AY906" t="s">
        <v>3250</v>
      </c>
      <c r="AZ906" t="s">
        <v>3250</v>
      </c>
      <c r="BA906" t="s">
        <v>3250</v>
      </c>
      <c r="BB906" t="s">
        <v>3250</v>
      </c>
      <c r="BC906" t="s">
        <v>3250</v>
      </c>
      <c r="BE906" t="s">
        <v>3250</v>
      </c>
      <c r="BF906" t="s">
        <v>3250</v>
      </c>
      <c r="BG906" t="s">
        <v>3250</v>
      </c>
      <c r="BH906" t="s">
        <v>3250</v>
      </c>
      <c r="BI906" t="s">
        <v>3250</v>
      </c>
      <c r="BK906" t="s">
        <v>3250</v>
      </c>
      <c r="BL906" t="s">
        <v>3250</v>
      </c>
      <c r="BM906" t="s">
        <v>3250</v>
      </c>
      <c r="BN906" t="s">
        <v>3250</v>
      </c>
      <c r="BO906" t="s">
        <v>2916</v>
      </c>
      <c r="BP906">
        <v>1</v>
      </c>
      <c r="BQ906">
        <v>11</v>
      </c>
      <c r="BR906" t="s">
        <v>1574</v>
      </c>
      <c r="BS906" t="s">
        <v>3252</v>
      </c>
      <c r="BV906">
        <v>149157</v>
      </c>
      <c r="BW906">
        <v>154503</v>
      </c>
      <c r="BX906">
        <v>279963</v>
      </c>
      <c r="BY906">
        <v>239111</v>
      </c>
      <c r="BZ906">
        <v>239111</v>
      </c>
      <c r="CA906">
        <v>255849</v>
      </c>
      <c r="CB906">
        <v>255849</v>
      </c>
      <c r="CC906">
        <v>273758</v>
      </c>
      <c r="CD906">
        <v>42370</v>
      </c>
      <c r="CE906" t="s">
        <v>3108</v>
      </c>
      <c r="CF906" t="s">
        <v>3108</v>
      </c>
      <c r="CG906" t="s">
        <v>3108</v>
      </c>
      <c r="CH906" t="s">
        <v>3108</v>
      </c>
    </row>
    <row r="907" spans="1:86" x14ac:dyDescent="0.2">
      <c r="A907" t="s">
        <v>4622</v>
      </c>
      <c r="B907" t="s">
        <v>4622</v>
      </c>
      <c r="C907">
        <v>41361</v>
      </c>
      <c r="D907">
        <v>751</v>
      </c>
      <c r="E907" t="s">
        <v>4623</v>
      </c>
      <c r="F907">
        <v>2900</v>
      </c>
      <c r="G907" t="s">
        <v>822</v>
      </c>
      <c r="H907" t="s">
        <v>3108</v>
      </c>
      <c r="I907" t="s">
        <v>3108</v>
      </c>
      <c r="J907">
        <v>2904</v>
      </c>
      <c r="K907" t="s">
        <v>1690</v>
      </c>
      <c r="L907">
        <v>1200</v>
      </c>
      <c r="M907" t="s">
        <v>2368</v>
      </c>
      <c r="N907">
        <v>1204</v>
      </c>
      <c r="O907" t="s">
        <v>1574</v>
      </c>
      <c r="P907" t="s">
        <v>3108</v>
      </c>
      <c r="Q907" t="s">
        <v>3249</v>
      </c>
      <c r="R907" t="s">
        <v>3249</v>
      </c>
      <c r="S907" t="s">
        <v>810</v>
      </c>
      <c r="T907" t="s">
        <v>2754</v>
      </c>
      <c r="U907" t="s">
        <v>3250</v>
      </c>
      <c r="V907" t="s">
        <v>3250</v>
      </c>
      <c r="W907" t="s">
        <v>3250</v>
      </c>
      <c r="X907" t="s">
        <v>3250</v>
      </c>
      <c r="Y907" t="s">
        <v>3250</v>
      </c>
      <c r="Z907" t="s">
        <v>3250</v>
      </c>
      <c r="AA907" t="s">
        <v>3108</v>
      </c>
      <c r="AB907" t="s">
        <v>3108</v>
      </c>
      <c r="AC907" t="s">
        <v>3250</v>
      </c>
      <c r="AD907" t="s">
        <v>3250</v>
      </c>
      <c r="AE907" t="s">
        <v>3250</v>
      </c>
      <c r="AF907" t="s">
        <v>3250</v>
      </c>
      <c r="AG907" t="s">
        <v>3250</v>
      </c>
      <c r="AH907" t="s">
        <v>3250</v>
      </c>
      <c r="AI907" t="s">
        <v>3250</v>
      </c>
      <c r="AJ907" t="s">
        <v>3250</v>
      </c>
      <c r="AL907" t="s">
        <v>3250</v>
      </c>
      <c r="AM907" t="s">
        <v>3250</v>
      </c>
      <c r="AN907" t="s">
        <v>3250</v>
      </c>
      <c r="AO907" t="s">
        <v>3250</v>
      </c>
      <c r="AS907" t="s">
        <v>3250</v>
      </c>
      <c r="AT907" t="s">
        <v>3250</v>
      </c>
      <c r="AU907" t="s">
        <v>3250</v>
      </c>
      <c r="AV907" t="s">
        <v>3250</v>
      </c>
      <c r="AW907" t="s">
        <v>3250</v>
      </c>
      <c r="AX907" t="s">
        <v>3250</v>
      </c>
      <c r="AY907" t="s">
        <v>3250</v>
      </c>
      <c r="AZ907" t="s">
        <v>3250</v>
      </c>
      <c r="BA907" t="s">
        <v>3250</v>
      </c>
      <c r="BB907" t="s">
        <v>3250</v>
      </c>
      <c r="BC907" t="s">
        <v>3250</v>
      </c>
      <c r="BE907" t="s">
        <v>3250</v>
      </c>
      <c r="BF907" t="s">
        <v>3250</v>
      </c>
      <c r="BG907" t="s">
        <v>3250</v>
      </c>
      <c r="BH907" t="s">
        <v>3250</v>
      </c>
      <c r="BI907" t="s">
        <v>3250</v>
      </c>
      <c r="BK907" t="s">
        <v>3250</v>
      </c>
      <c r="BL907" t="s">
        <v>3250</v>
      </c>
      <c r="BM907" t="s">
        <v>3250</v>
      </c>
      <c r="BN907" t="s">
        <v>3250</v>
      </c>
      <c r="BP907">
        <v>1</v>
      </c>
      <c r="BQ907">
        <v>11</v>
      </c>
      <c r="BR907" t="s">
        <v>1574</v>
      </c>
      <c r="BS907" t="s">
        <v>3252</v>
      </c>
      <c r="BV907">
        <v>0</v>
      </c>
      <c r="BW907">
        <v>0</v>
      </c>
      <c r="BX907">
        <v>0</v>
      </c>
      <c r="BY907">
        <v>0</v>
      </c>
      <c r="BZ907">
        <v>0</v>
      </c>
      <c r="CA907">
        <v>0</v>
      </c>
      <c r="CB907">
        <v>0</v>
      </c>
      <c r="CC907">
        <v>0</v>
      </c>
      <c r="CD907">
        <v>0</v>
      </c>
      <c r="CE907" t="s">
        <v>3108</v>
      </c>
      <c r="CF907" t="s">
        <v>3108</v>
      </c>
      <c r="CG907" t="s">
        <v>3108</v>
      </c>
      <c r="CH907" t="s">
        <v>3108</v>
      </c>
    </row>
    <row r="908" spans="1:86" x14ac:dyDescent="0.2">
      <c r="A908" t="s">
        <v>4624</v>
      </c>
      <c r="B908" t="s">
        <v>4624</v>
      </c>
      <c r="C908">
        <v>41362</v>
      </c>
      <c r="D908">
        <v>752</v>
      </c>
      <c r="E908" t="s">
        <v>4625</v>
      </c>
      <c r="F908">
        <v>2900</v>
      </c>
      <c r="G908" t="s">
        <v>822</v>
      </c>
      <c r="H908" t="s">
        <v>3108</v>
      </c>
      <c r="I908" t="s">
        <v>3108</v>
      </c>
      <c r="J908">
        <v>2904</v>
      </c>
      <c r="K908" t="s">
        <v>1690</v>
      </c>
      <c r="L908">
        <v>1200</v>
      </c>
      <c r="M908" t="s">
        <v>2368</v>
      </c>
      <c r="N908">
        <v>1204</v>
      </c>
      <c r="O908" t="s">
        <v>1574</v>
      </c>
      <c r="P908" t="s">
        <v>3108</v>
      </c>
      <c r="Q908" t="s">
        <v>3249</v>
      </c>
      <c r="R908" t="s">
        <v>3249</v>
      </c>
      <c r="S908" t="s">
        <v>810</v>
      </c>
      <c r="T908" t="s">
        <v>2754</v>
      </c>
      <c r="U908" t="s">
        <v>3250</v>
      </c>
      <c r="V908" t="s">
        <v>3250</v>
      </c>
      <c r="W908" t="s">
        <v>3250</v>
      </c>
      <c r="X908" t="s">
        <v>3250</v>
      </c>
      <c r="Y908" t="s">
        <v>3250</v>
      </c>
      <c r="Z908" t="s">
        <v>3250</v>
      </c>
      <c r="AA908" t="s">
        <v>3108</v>
      </c>
      <c r="AB908" t="s">
        <v>3108</v>
      </c>
      <c r="AC908" t="s">
        <v>3250</v>
      </c>
      <c r="AD908" t="s">
        <v>3250</v>
      </c>
      <c r="AE908" t="s">
        <v>3250</v>
      </c>
      <c r="AF908" t="s">
        <v>3250</v>
      </c>
      <c r="AG908" t="s">
        <v>3250</v>
      </c>
      <c r="AH908" t="s">
        <v>3250</v>
      </c>
      <c r="AI908" t="s">
        <v>3250</v>
      </c>
      <c r="AJ908" t="s">
        <v>3250</v>
      </c>
      <c r="AL908" t="s">
        <v>3250</v>
      </c>
      <c r="AM908" t="s">
        <v>3250</v>
      </c>
      <c r="AN908" t="s">
        <v>3250</v>
      </c>
      <c r="AO908" t="s">
        <v>3250</v>
      </c>
      <c r="AS908" t="s">
        <v>3250</v>
      </c>
      <c r="AT908" t="s">
        <v>3250</v>
      </c>
      <c r="AU908" t="s">
        <v>3250</v>
      </c>
      <c r="AV908" t="s">
        <v>3250</v>
      </c>
      <c r="AW908" t="s">
        <v>3250</v>
      </c>
      <c r="AX908" t="s">
        <v>3250</v>
      </c>
      <c r="AY908" t="s">
        <v>3250</v>
      </c>
      <c r="AZ908" t="s">
        <v>3250</v>
      </c>
      <c r="BA908" t="s">
        <v>3250</v>
      </c>
      <c r="BB908" t="s">
        <v>3250</v>
      </c>
      <c r="BC908" t="s">
        <v>3250</v>
      </c>
      <c r="BE908" t="s">
        <v>3250</v>
      </c>
      <c r="BF908" t="s">
        <v>3250</v>
      </c>
      <c r="BG908" t="s">
        <v>3250</v>
      </c>
      <c r="BH908" t="s">
        <v>3250</v>
      </c>
      <c r="BI908" t="s">
        <v>3250</v>
      </c>
      <c r="BK908" t="s">
        <v>3250</v>
      </c>
      <c r="BL908" t="s">
        <v>3250</v>
      </c>
      <c r="BM908" t="s">
        <v>3250</v>
      </c>
      <c r="BN908" t="s">
        <v>3250</v>
      </c>
      <c r="BP908">
        <v>1</v>
      </c>
      <c r="BQ908">
        <v>11</v>
      </c>
      <c r="BR908" t="s">
        <v>1574</v>
      </c>
      <c r="BS908" t="s">
        <v>3252</v>
      </c>
      <c r="BV908">
        <v>918043</v>
      </c>
      <c r="BW908">
        <v>503200</v>
      </c>
      <c r="BX908">
        <v>627875</v>
      </c>
      <c r="BY908">
        <v>548625</v>
      </c>
      <c r="BZ908">
        <v>548625</v>
      </c>
      <c r="CA908">
        <v>570021</v>
      </c>
      <c r="CB908">
        <v>592822</v>
      </c>
      <c r="CC908">
        <v>616535</v>
      </c>
      <c r="CD908">
        <v>483250</v>
      </c>
      <c r="CE908" t="s">
        <v>3108</v>
      </c>
      <c r="CF908" t="s">
        <v>3108</v>
      </c>
      <c r="CG908" t="s">
        <v>3108</v>
      </c>
      <c r="CH908" t="s">
        <v>3108</v>
      </c>
    </row>
    <row r="909" spans="1:86" x14ac:dyDescent="0.2">
      <c r="A909" t="s">
        <v>4626</v>
      </c>
      <c r="B909" t="s">
        <v>4626</v>
      </c>
      <c r="C909">
        <v>41363</v>
      </c>
      <c r="D909">
        <v>753</v>
      </c>
      <c r="E909" t="s">
        <v>4627</v>
      </c>
      <c r="F909">
        <v>2300</v>
      </c>
      <c r="G909" t="s">
        <v>1305</v>
      </c>
      <c r="H909" t="s">
        <v>4628</v>
      </c>
      <c r="I909" t="s">
        <v>1386</v>
      </c>
      <c r="J909">
        <v>2301</v>
      </c>
      <c r="K909" t="s">
        <v>4629</v>
      </c>
      <c r="L909">
        <v>1200</v>
      </c>
      <c r="M909" t="s">
        <v>2368</v>
      </c>
      <c r="N909">
        <v>1202</v>
      </c>
      <c r="O909" t="s">
        <v>2371</v>
      </c>
      <c r="P909" t="s">
        <v>3108</v>
      </c>
      <c r="Q909" t="s">
        <v>3249</v>
      </c>
      <c r="R909" t="s">
        <v>3249</v>
      </c>
      <c r="S909" t="s">
        <v>810</v>
      </c>
      <c r="T909" t="s">
        <v>2754</v>
      </c>
      <c r="U909" t="s">
        <v>3250</v>
      </c>
      <c r="V909" t="s">
        <v>3250</v>
      </c>
      <c r="W909" t="s">
        <v>3250</v>
      </c>
      <c r="X909" t="s">
        <v>3250</v>
      </c>
      <c r="Y909" t="s">
        <v>3250</v>
      </c>
      <c r="Z909" t="s">
        <v>3250</v>
      </c>
      <c r="AA909" t="s">
        <v>3108</v>
      </c>
      <c r="AB909" t="s">
        <v>3108</v>
      </c>
      <c r="AC909" t="s">
        <v>3250</v>
      </c>
      <c r="AD909" t="s">
        <v>3250</v>
      </c>
      <c r="AE909" t="s">
        <v>3250</v>
      </c>
      <c r="AF909" t="s">
        <v>3250</v>
      </c>
      <c r="AG909" t="s">
        <v>3250</v>
      </c>
      <c r="AH909" t="s">
        <v>3250</v>
      </c>
      <c r="AI909" t="s">
        <v>3250</v>
      </c>
      <c r="AJ909" t="s">
        <v>3250</v>
      </c>
      <c r="AL909" t="s">
        <v>3250</v>
      </c>
      <c r="AM909" t="s">
        <v>3250</v>
      </c>
      <c r="AN909" t="s">
        <v>3250</v>
      </c>
      <c r="AO909" t="s">
        <v>3250</v>
      </c>
      <c r="AS909" t="s">
        <v>3250</v>
      </c>
      <c r="AT909" t="s">
        <v>3250</v>
      </c>
      <c r="AU909" t="s">
        <v>3250</v>
      </c>
      <c r="AV909" t="s">
        <v>3250</v>
      </c>
      <c r="AW909" t="s">
        <v>3250</v>
      </c>
      <c r="AX909" t="s">
        <v>3250</v>
      </c>
      <c r="AY909" t="s">
        <v>3250</v>
      </c>
      <c r="AZ909" t="s">
        <v>3250</v>
      </c>
      <c r="BA909" t="s">
        <v>3250</v>
      </c>
      <c r="BB909" t="s">
        <v>3250</v>
      </c>
      <c r="BC909" t="s">
        <v>3250</v>
      </c>
      <c r="BE909">
        <v>790</v>
      </c>
      <c r="BF909" t="s">
        <v>2284</v>
      </c>
      <c r="BG909" t="s">
        <v>3250</v>
      </c>
      <c r="BH909">
        <v>790</v>
      </c>
      <c r="BI909" t="s">
        <v>2284</v>
      </c>
      <c r="BJ909" t="s">
        <v>2821</v>
      </c>
      <c r="BK909" t="s">
        <v>3250</v>
      </c>
      <c r="BL909" t="s">
        <v>3250</v>
      </c>
      <c r="BM909" t="s">
        <v>3250</v>
      </c>
      <c r="BN909" t="s">
        <v>3250</v>
      </c>
      <c r="BP909">
        <v>1</v>
      </c>
      <c r="BQ909">
        <v>13</v>
      </c>
      <c r="BR909" t="s">
        <v>2371</v>
      </c>
      <c r="BS909" t="s">
        <v>3252</v>
      </c>
      <c r="BV909">
        <v>3916490</v>
      </c>
      <c r="BW909">
        <v>3299272</v>
      </c>
      <c r="BX909">
        <v>2662192</v>
      </c>
      <c r="BY909">
        <v>3787600</v>
      </c>
      <c r="BZ909">
        <v>3787600</v>
      </c>
      <c r="CA909">
        <v>3935316</v>
      </c>
      <c r="CB909">
        <v>4092729</v>
      </c>
      <c r="CC909">
        <v>4256438</v>
      </c>
      <c r="CD909">
        <v>3277529</v>
      </c>
      <c r="CE909" t="s">
        <v>3108</v>
      </c>
      <c r="CF909" t="s">
        <v>3108</v>
      </c>
      <c r="CG909" t="s">
        <v>3108</v>
      </c>
      <c r="CH909" t="s">
        <v>3108</v>
      </c>
    </row>
    <row r="910" spans="1:86" x14ac:dyDescent="0.2">
      <c r="A910" t="s">
        <v>4630</v>
      </c>
      <c r="B910" t="s">
        <v>4630</v>
      </c>
      <c r="C910">
        <v>41364</v>
      </c>
      <c r="D910">
        <v>754</v>
      </c>
      <c r="E910" t="s">
        <v>4631</v>
      </c>
      <c r="F910">
        <v>2300</v>
      </c>
      <c r="G910" t="s">
        <v>1305</v>
      </c>
      <c r="H910" t="s">
        <v>4628</v>
      </c>
      <c r="I910" t="s">
        <v>1386</v>
      </c>
      <c r="J910">
        <v>2301</v>
      </c>
      <c r="K910" t="s">
        <v>4629</v>
      </c>
      <c r="L910">
        <v>1200</v>
      </c>
      <c r="M910" t="s">
        <v>2368</v>
      </c>
      <c r="N910">
        <v>1202</v>
      </c>
      <c r="O910" t="s">
        <v>2371</v>
      </c>
      <c r="P910" t="s">
        <v>3108</v>
      </c>
      <c r="Q910" t="s">
        <v>3249</v>
      </c>
      <c r="R910" t="s">
        <v>3249</v>
      </c>
      <c r="S910" t="s">
        <v>810</v>
      </c>
      <c r="T910" t="s">
        <v>2754</v>
      </c>
      <c r="U910" t="s">
        <v>3250</v>
      </c>
      <c r="V910" t="s">
        <v>3250</v>
      </c>
      <c r="W910" t="s">
        <v>3250</v>
      </c>
      <c r="X910" t="s">
        <v>3250</v>
      </c>
      <c r="Y910" t="s">
        <v>3250</v>
      </c>
      <c r="Z910" t="s">
        <v>3250</v>
      </c>
      <c r="AA910" t="s">
        <v>3108</v>
      </c>
      <c r="AB910" t="s">
        <v>3108</v>
      </c>
      <c r="AC910" t="s">
        <v>3250</v>
      </c>
      <c r="AD910" t="s">
        <v>3250</v>
      </c>
      <c r="AE910" t="s">
        <v>3250</v>
      </c>
      <c r="AF910" t="s">
        <v>3250</v>
      </c>
      <c r="AG910" t="s">
        <v>3250</v>
      </c>
      <c r="AH910" t="s">
        <v>3250</v>
      </c>
      <c r="AI910" t="s">
        <v>3250</v>
      </c>
      <c r="AJ910" t="s">
        <v>3250</v>
      </c>
      <c r="AL910" t="s">
        <v>3250</v>
      </c>
      <c r="AM910" t="s">
        <v>3250</v>
      </c>
      <c r="AN910" t="s">
        <v>3250</v>
      </c>
      <c r="AO910" t="s">
        <v>3250</v>
      </c>
      <c r="AS910" t="s">
        <v>3250</v>
      </c>
      <c r="AT910" t="s">
        <v>3250</v>
      </c>
      <c r="AU910" t="s">
        <v>3250</v>
      </c>
      <c r="AV910" t="s">
        <v>3250</v>
      </c>
      <c r="AW910" t="s">
        <v>3250</v>
      </c>
      <c r="AX910" t="s">
        <v>3250</v>
      </c>
      <c r="AY910" t="s">
        <v>3250</v>
      </c>
      <c r="AZ910" t="s">
        <v>3250</v>
      </c>
      <c r="BA910" t="s">
        <v>3250</v>
      </c>
      <c r="BB910" t="s">
        <v>3250</v>
      </c>
      <c r="BC910" t="s">
        <v>3250</v>
      </c>
      <c r="BE910">
        <v>1490</v>
      </c>
      <c r="BF910" t="s">
        <v>2333</v>
      </c>
      <c r="BG910" t="s">
        <v>3250</v>
      </c>
      <c r="BH910">
        <v>1490</v>
      </c>
      <c r="BI910" t="s">
        <v>2333</v>
      </c>
      <c r="BJ910" t="s">
        <v>2821</v>
      </c>
      <c r="BK910" t="s">
        <v>3250</v>
      </c>
      <c r="BL910" t="s">
        <v>3250</v>
      </c>
      <c r="BM910" t="s">
        <v>3250</v>
      </c>
      <c r="BN910" t="s">
        <v>3250</v>
      </c>
      <c r="BP910">
        <v>1</v>
      </c>
      <c r="BQ910">
        <v>13</v>
      </c>
      <c r="BR910" t="s">
        <v>2371</v>
      </c>
      <c r="BS910" t="s">
        <v>3252</v>
      </c>
      <c r="BV910">
        <v>228980</v>
      </c>
      <c r="BW910">
        <v>583732</v>
      </c>
      <c r="BX910">
        <v>1952528</v>
      </c>
      <c r="BY910">
        <v>1002993</v>
      </c>
      <c r="BZ910">
        <v>1002993</v>
      </c>
      <c r="CA910">
        <v>1042110</v>
      </c>
      <c r="CB910">
        <v>1083794</v>
      </c>
      <c r="CC910">
        <v>1127146</v>
      </c>
      <c r="CD910">
        <v>156987</v>
      </c>
      <c r="CE910" t="s">
        <v>3108</v>
      </c>
      <c r="CF910" t="s">
        <v>3108</v>
      </c>
      <c r="CG910" t="s">
        <v>3108</v>
      </c>
      <c r="CH910" t="s">
        <v>3108</v>
      </c>
    </row>
    <row r="911" spans="1:86" x14ac:dyDescent="0.2">
      <c r="A911" t="s">
        <v>4632</v>
      </c>
      <c r="B911" t="s">
        <v>4632</v>
      </c>
      <c r="C911">
        <v>41365</v>
      </c>
      <c r="D911">
        <v>755</v>
      </c>
      <c r="E911" t="s">
        <v>4633</v>
      </c>
      <c r="F911">
        <v>2300</v>
      </c>
      <c r="G911" t="s">
        <v>1305</v>
      </c>
      <c r="H911" t="s">
        <v>4628</v>
      </c>
      <c r="I911" t="s">
        <v>1386</v>
      </c>
      <c r="J911">
        <v>2301</v>
      </c>
      <c r="K911" t="s">
        <v>4629</v>
      </c>
      <c r="L911">
        <v>1200</v>
      </c>
      <c r="M911" t="s">
        <v>2368</v>
      </c>
      <c r="N911">
        <v>1202</v>
      </c>
      <c r="O911" t="s">
        <v>2371</v>
      </c>
      <c r="P911" t="s">
        <v>3108</v>
      </c>
      <c r="Q911" t="s">
        <v>3249</v>
      </c>
      <c r="R911" t="s">
        <v>3249</v>
      </c>
      <c r="S911" t="s">
        <v>810</v>
      </c>
      <c r="T911" t="s">
        <v>2754</v>
      </c>
      <c r="U911" t="s">
        <v>3250</v>
      </c>
      <c r="V911" t="s">
        <v>3250</v>
      </c>
      <c r="W911" t="s">
        <v>3250</v>
      </c>
      <c r="X911" t="s">
        <v>3250</v>
      </c>
      <c r="Y911" t="s">
        <v>3250</v>
      </c>
      <c r="Z911" t="s">
        <v>3250</v>
      </c>
      <c r="AA911" t="s">
        <v>3108</v>
      </c>
      <c r="AB911" t="s">
        <v>3108</v>
      </c>
      <c r="AC911" t="s">
        <v>3250</v>
      </c>
      <c r="AD911" t="s">
        <v>3250</v>
      </c>
      <c r="AE911" t="s">
        <v>3250</v>
      </c>
      <c r="AF911" t="s">
        <v>3250</v>
      </c>
      <c r="AG911" t="s">
        <v>3250</v>
      </c>
      <c r="AH911" t="s">
        <v>3250</v>
      </c>
      <c r="AI911" t="s">
        <v>3250</v>
      </c>
      <c r="AJ911" t="s">
        <v>3250</v>
      </c>
      <c r="AL911" t="s">
        <v>3250</v>
      </c>
      <c r="AM911" t="s">
        <v>3250</v>
      </c>
      <c r="AN911" t="s">
        <v>3250</v>
      </c>
      <c r="AO911" t="s">
        <v>3250</v>
      </c>
      <c r="AS911" t="s">
        <v>3250</v>
      </c>
      <c r="AT911" t="s">
        <v>3250</v>
      </c>
      <c r="AU911" t="s">
        <v>3250</v>
      </c>
      <c r="AV911" t="s">
        <v>3250</v>
      </c>
      <c r="AW911" t="s">
        <v>3250</v>
      </c>
      <c r="AX911" t="s">
        <v>3250</v>
      </c>
      <c r="AY911" t="s">
        <v>3250</v>
      </c>
      <c r="AZ911" t="s">
        <v>3250</v>
      </c>
      <c r="BA911" t="s">
        <v>3250</v>
      </c>
      <c r="BB911" t="s">
        <v>3250</v>
      </c>
      <c r="BC911" t="s">
        <v>3250</v>
      </c>
      <c r="BE911">
        <v>1130</v>
      </c>
      <c r="BF911" t="s">
        <v>2339</v>
      </c>
      <c r="BG911" t="s">
        <v>3250</v>
      </c>
      <c r="BH911">
        <v>1130</v>
      </c>
      <c r="BI911" t="s">
        <v>2339</v>
      </c>
      <c r="BJ911" t="s">
        <v>2821</v>
      </c>
      <c r="BK911" t="s">
        <v>3250</v>
      </c>
      <c r="BL911" t="s">
        <v>3250</v>
      </c>
      <c r="BM911" t="s">
        <v>3250</v>
      </c>
      <c r="BN911" t="s">
        <v>3250</v>
      </c>
      <c r="BP911">
        <v>1</v>
      </c>
      <c r="BQ911">
        <v>13</v>
      </c>
      <c r="BR911" t="s">
        <v>2371</v>
      </c>
      <c r="BS911" t="s">
        <v>3252</v>
      </c>
      <c r="BV911">
        <v>0</v>
      </c>
      <c r="BW911">
        <v>0</v>
      </c>
      <c r="BX911">
        <v>0</v>
      </c>
      <c r="BY911">
        <v>0</v>
      </c>
      <c r="BZ911">
        <v>0</v>
      </c>
      <c r="CA911">
        <v>0</v>
      </c>
      <c r="CB911">
        <v>0</v>
      </c>
      <c r="CC911">
        <v>0</v>
      </c>
      <c r="CD911">
        <v>0</v>
      </c>
      <c r="CE911" t="s">
        <v>3108</v>
      </c>
      <c r="CF911" t="s">
        <v>3108</v>
      </c>
      <c r="CG911" t="s">
        <v>3108</v>
      </c>
      <c r="CH911" t="s">
        <v>3108</v>
      </c>
    </row>
    <row r="912" spans="1:86" x14ac:dyDescent="0.2">
      <c r="A912" t="s">
        <v>4634</v>
      </c>
      <c r="B912" t="s">
        <v>4634</v>
      </c>
      <c r="C912">
        <v>41366</v>
      </c>
      <c r="D912">
        <v>756</v>
      </c>
      <c r="E912" t="s">
        <v>4635</v>
      </c>
      <c r="F912">
        <v>2300</v>
      </c>
      <c r="G912" t="s">
        <v>1305</v>
      </c>
      <c r="H912" t="s">
        <v>4628</v>
      </c>
      <c r="I912" t="s">
        <v>1386</v>
      </c>
      <c r="J912">
        <v>2301</v>
      </c>
      <c r="K912" t="s">
        <v>4629</v>
      </c>
      <c r="L912">
        <v>1200</v>
      </c>
      <c r="M912" t="s">
        <v>2368</v>
      </c>
      <c r="N912">
        <v>1202</v>
      </c>
      <c r="O912" t="s">
        <v>2371</v>
      </c>
      <c r="P912" t="s">
        <v>3108</v>
      </c>
      <c r="Q912" t="s">
        <v>3249</v>
      </c>
      <c r="R912" t="s">
        <v>3249</v>
      </c>
      <c r="S912" t="s">
        <v>810</v>
      </c>
      <c r="T912" t="s">
        <v>2754</v>
      </c>
      <c r="U912" t="s">
        <v>3250</v>
      </c>
      <c r="V912" t="s">
        <v>3250</v>
      </c>
      <c r="W912" t="s">
        <v>3250</v>
      </c>
      <c r="X912" t="s">
        <v>3250</v>
      </c>
      <c r="Y912" t="s">
        <v>3250</v>
      </c>
      <c r="Z912" t="s">
        <v>3250</v>
      </c>
      <c r="AA912" t="s">
        <v>3108</v>
      </c>
      <c r="AB912" t="s">
        <v>3108</v>
      </c>
      <c r="AC912" t="s">
        <v>3250</v>
      </c>
      <c r="AD912" t="s">
        <v>3250</v>
      </c>
      <c r="AE912" t="s">
        <v>3250</v>
      </c>
      <c r="AF912" t="s">
        <v>3250</v>
      </c>
      <c r="AG912" t="s">
        <v>3250</v>
      </c>
      <c r="AH912" t="s">
        <v>3250</v>
      </c>
      <c r="AI912" t="s">
        <v>3250</v>
      </c>
      <c r="AJ912" t="s">
        <v>3250</v>
      </c>
      <c r="AL912" t="s">
        <v>3250</v>
      </c>
      <c r="AM912" t="s">
        <v>3250</v>
      </c>
      <c r="AN912" t="s">
        <v>3250</v>
      </c>
      <c r="AO912" t="s">
        <v>3250</v>
      </c>
      <c r="AS912" t="s">
        <v>3250</v>
      </c>
      <c r="AT912" t="s">
        <v>3250</v>
      </c>
      <c r="AU912" t="s">
        <v>3250</v>
      </c>
      <c r="AV912" t="s">
        <v>3250</v>
      </c>
      <c r="AW912" t="s">
        <v>3250</v>
      </c>
      <c r="AX912" t="s">
        <v>3250</v>
      </c>
      <c r="AY912" t="s">
        <v>3250</v>
      </c>
      <c r="AZ912" t="s">
        <v>3250</v>
      </c>
      <c r="BA912" t="s">
        <v>3250</v>
      </c>
      <c r="BB912" t="s">
        <v>3250</v>
      </c>
      <c r="BC912" t="s">
        <v>3250</v>
      </c>
      <c r="BE912">
        <v>880</v>
      </c>
      <c r="BF912" t="s">
        <v>288</v>
      </c>
      <c r="BG912" t="s">
        <v>3250</v>
      </c>
      <c r="BH912">
        <v>880</v>
      </c>
      <c r="BI912" t="s">
        <v>288</v>
      </c>
      <c r="BJ912" t="s">
        <v>2821</v>
      </c>
      <c r="BK912" t="s">
        <v>3250</v>
      </c>
      <c r="BL912" t="s">
        <v>3250</v>
      </c>
      <c r="BM912" t="s">
        <v>3250</v>
      </c>
      <c r="BN912" t="s">
        <v>3250</v>
      </c>
      <c r="BP912">
        <v>1</v>
      </c>
      <c r="BQ912">
        <v>13</v>
      </c>
      <c r="BR912" t="s">
        <v>2371</v>
      </c>
      <c r="BS912" t="s">
        <v>3252</v>
      </c>
      <c r="BV912">
        <v>0</v>
      </c>
      <c r="BW912">
        <v>0</v>
      </c>
      <c r="BX912">
        <v>0</v>
      </c>
      <c r="BY912">
        <v>0</v>
      </c>
      <c r="BZ912">
        <v>0</v>
      </c>
      <c r="CA912">
        <v>0</v>
      </c>
      <c r="CB912">
        <v>0</v>
      </c>
      <c r="CC912">
        <v>0</v>
      </c>
      <c r="CD912">
        <v>0</v>
      </c>
      <c r="CE912" t="s">
        <v>3108</v>
      </c>
      <c r="CF912" t="s">
        <v>3108</v>
      </c>
      <c r="CG912" t="s">
        <v>3108</v>
      </c>
      <c r="CH912" t="s">
        <v>3108</v>
      </c>
    </row>
    <row r="913" spans="1:86" x14ac:dyDescent="0.2">
      <c r="A913" t="s">
        <v>4636</v>
      </c>
      <c r="B913" t="s">
        <v>4636</v>
      </c>
      <c r="C913">
        <v>41367</v>
      </c>
      <c r="D913">
        <v>757</v>
      </c>
      <c r="E913" t="s">
        <v>4637</v>
      </c>
      <c r="F913">
        <v>2300</v>
      </c>
      <c r="G913" t="s">
        <v>1305</v>
      </c>
      <c r="H913" t="s">
        <v>4628</v>
      </c>
      <c r="I913" t="s">
        <v>1386</v>
      </c>
      <c r="J913">
        <v>2301</v>
      </c>
      <c r="K913" t="s">
        <v>4629</v>
      </c>
      <c r="L913">
        <v>1200</v>
      </c>
      <c r="M913" t="s">
        <v>2368</v>
      </c>
      <c r="N913">
        <v>1202</v>
      </c>
      <c r="O913" t="s">
        <v>2371</v>
      </c>
      <c r="P913" t="s">
        <v>3108</v>
      </c>
      <c r="Q913" t="s">
        <v>3249</v>
      </c>
      <c r="R913" t="s">
        <v>3249</v>
      </c>
      <c r="S913" t="s">
        <v>810</v>
      </c>
      <c r="T913" t="s">
        <v>2754</v>
      </c>
      <c r="U913" t="s">
        <v>3250</v>
      </c>
      <c r="V913" t="s">
        <v>3250</v>
      </c>
      <c r="W913" t="s">
        <v>3250</v>
      </c>
      <c r="X913" t="s">
        <v>3250</v>
      </c>
      <c r="Y913" t="s">
        <v>3250</v>
      </c>
      <c r="Z913" t="s">
        <v>3250</v>
      </c>
      <c r="AA913" t="s">
        <v>3108</v>
      </c>
      <c r="AB913" t="s">
        <v>3108</v>
      </c>
      <c r="AC913" t="s">
        <v>3250</v>
      </c>
      <c r="AD913" t="s">
        <v>3250</v>
      </c>
      <c r="AE913" t="s">
        <v>3250</v>
      </c>
      <c r="AF913" t="s">
        <v>3250</v>
      </c>
      <c r="AG913" t="s">
        <v>3250</v>
      </c>
      <c r="AH913" t="s">
        <v>3250</v>
      </c>
      <c r="AI913" t="s">
        <v>3250</v>
      </c>
      <c r="AJ913" t="s">
        <v>3250</v>
      </c>
      <c r="AL913" t="s">
        <v>3250</v>
      </c>
      <c r="AM913" t="s">
        <v>3250</v>
      </c>
      <c r="AN913" t="s">
        <v>3250</v>
      </c>
      <c r="AO913" t="s">
        <v>3250</v>
      </c>
      <c r="AS913" t="s">
        <v>3250</v>
      </c>
      <c r="AT913" t="s">
        <v>3250</v>
      </c>
      <c r="AU913" t="s">
        <v>3250</v>
      </c>
      <c r="AV913" t="s">
        <v>3250</v>
      </c>
      <c r="AW913" t="s">
        <v>3250</v>
      </c>
      <c r="AX913" t="s">
        <v>3250</v>
      </c>
      <c r="AY913" t="s">
        <v>3250</v>
      </c>
      <c r="AZ913" t="s">
        <v>3250</v>
      </c>
      <c r="BA913" t="s">
        <v>3250</v>
      </c>
      <c r="BB913" t="s">
        <v>3250</v>
      </c>
      <c r="BC913" t="s">
        <v>3250</v>
      </c>
      <c r="BE913">
        <v>1510</v>
      </c>
      <c r="BF913" t="s">
        <v>2334</v>
      </c>
      <c r="BG913" t="s">
        <v>3250</v>
      </c>
      <c r="BH913">
        <v>1510</v>
      </c>
      <c r="BI913" t="s">
        <v>2334</v>
      </c>
      <c r="BJ913" t="s">
        <v>2821</v>
      </c>
      <c r="BK913" t="s">
        <v>3250</v>
      </c>
      <c r="BL913" t="s">
        <v>3250</v>
      </c>
      <c r="BM913" t="s">
        <v>3250</v>
      </c>
      <c r="BN913" t="s">
        <v>3250</v>
      </c>
      <c r="BP913">
        <v>1</v>
      </c>
      <c r="BQ913">
        <v>13</v>
      </c>
      <c r="BR913" t="s">
        <v>2371</v>
      </c>
      <c r="BS913" t="s">
        <v>3252</v>
      </c>
      <c r="BV913">
        <v>130400</v>
      </c>
      <c r="BW913">
        <v>0</v>
      </c>
      <c r="BX913">
        <v>0</v>
      </c>
      <c r="BY913">
        <v>175336</v>
      </c>
      <c r="BZ913">
        <v>175336</v>
      </c>
      <c r="CA913">
        <v>182174</v>
      </c>
      <c r="CB913">
        <v>189461</v>
      </c>
      <c r="CC913">
        <v>197040</v>
      </c>
      <c r="CD913">
        <v>88831</v>
      </c>
      <c r="CE913" t="s">
        <v>3108</v>
      </c>
      <c r="CF913" t="s">
        <v>3108</v>
      </c>
      <c r="CG913" t="s">
        <v>3108</v>
      </c>
      <c r="CH913" t="s">
        <v>3108</v>
      </c>
    </row>
    <row r="914" spans="1:86" x14ac:dyDescent="0.2">
      <c r="A914" t="s">
        <v>4638</v>
      </c>
      <c r="B914" t="s">
        <v>4638</v>
      </c>
      <c r="C914">
        <v>41368</v>
      </c>
      <c r="D914">
        <v>758</v>
      </c>
      <c r="E914" t="s">
        <v>4639</v>
      </c>
      <c r="F914">
        <v>2300</v>
      </c>
      <c r="G914" t="s">
        <v>1305</v>
      </c>
      <c r="H914" t="s">
        <v>4628</v>
      </c>
      <c r="I914" t="s">
        <v>1386</v>
      </c>
      <c r="J914">
        <v>2301</v>
      </c>
      <c r="K914" t="s">
        <v>4629</v>
      </c>
      <c r="L914">
        <v>1200</v>
      </c>
      <c r="M914" t="s">
        <v>2368</v>
      </c>
      <c r="N914">
        <v>1202</v>
      </c>
      <c r="O914" t="s">
        <v>2371</v>
      </c>
      <c r="P914" t="s">
        <v>3108</v>
      </c>
      <c r="Q914" t="s">
        <v>3249</v>
      </c>
      <c r="R914" t="s">
        <v>3249</v>
      </c>
      <c r="S914" t="s">
        <v>810</v>
      </c>
      <c r="T914" t="s">
        <v>2754</v>
      </c>
      <c r="U914" t="s">
        <v>3250</v>
      </c>
      <c r="V914" t="s">
        <v>3250</v>
      </c>
      <c r="W914" t="s">
        <v>3250</v>
      </c>
      <c r="X914" t="s">
        <v>3250</v>
      </c>
      <c r="Y914" t="s">
        <v>3250</v>
      </c>
      <c r="Z914" t="s">
        <v>3250</v>
      </c>
      <c r="AA914" t="s">
        <v>3108</v>
      </c>
      <c r="AB914" t="s">
        <v>3108</v>
      </c>
      <c r="AC914" t="s">
        <v>3250</v>
      </c>
      <c r="AD914" t="s">
        <v>3250</v>
      </c>
      <c r="AE914" t="s">
        <v>3250</v>
      </c>
      <c r="AF914" t="s">
        <v>3250</v>
      </c>
      <c r="AG914" t="s">
        <v>3250</v>
      </c>
      <c r="AH914" t="s">
        <v>3250</v>
      </c>
      <c r="AI914" t="s">
        <v>3250</v>
      </c>
      <c r="AJ914" t="s">
        <v>3250</v>
      </c>
      <c r="AL914" t="s">
        <v>3250</v>
      </c>
      <c r="AM914" t="s">
        <v>3250</v>
      </c>
      <c r="AN914" t="s">
        <v>3250</v>
      </c>
      <c r="AO914" t="s">
        <v>3250</v>
      </c>
      <c r="AS914" t="s">
        <v>3250</v>
      </c>
      <c r="AT914" t="s">
        <v>3250</v>
      </c>
      <c r="AU914" t="s">
        <v>3250</v>
      </c>
      <c r="AV914" t="s">
        <v>3250</v>
      </c>
      <c r="AW914" t="s">
        <v>3250</v>
      </c>
      <c r="AX914" t="s">
        <v>3250</v>
      </c>
      <c r="AY914" t="s">
        <v>3250</v>
      </c>
      <c r="AZ914" t="s">
        <v>3250</v>
      </c>
      <c r="BA914" t="s">
        <v>3250</v>
      </c>
      <c r="BB914" t="s">
        <v>3250</v>
      </c>
      <c r="BC914" t="s">
        <v>3250</v>
      </c>
      <c r="BE914">
        <v>1200</v>
      </c>
      <c r="BF914" t="s">
        <v>2310</v>
      </c>
      <c r="BG914" t="s">
        <v>3250</v>
      </c>
      <c r="BH914">
        <v>1200</v>
      </c>
      <c r="BI914" t="s">
        <v>2310</v>
      </c>
      <c r="BJ914" t="s">
        <v>2821</v>
      </c>
      <c r="BK914" t="s">
        <v>3250</v>
      </c>
      <c r="BL914" t="s">
        <v>3250</v>
      </c>
      <c r="BM914" t="s">
        <v>3250</v>
      </c>
      <c r="BN914" t="s">
        <v>3250</v>
      </c>
      <c r="BP914">
        <v>1</v>
      </c>
      <c r="BQ914">
        <v>13</v>
      </c>
      <c r="BR914" t="s">
        <v>2371</v>
      </c>
      <c r="BS914" t="s">
        <v>3252</v>
      </c>
      <c r="BV914">
        <v>355326</v>
      </c>
      <c r="BW914">
        <v>1538246</v>
      </c>
      <c r="BX914">
        <v>1321351</v>
      </c>
      <c r="BY914">
        <v>545746</v>
      </c>
      <c r="BZ914">
        <v>545746</v>
      </c>
      <c r="CA914">
        <v>567030</v>
      </c>
      <c r="CB914">
        <v>589711</v>
      </c>
      <c r="CC914">
        <v>613300</v>
      </c>
      <c r="CD914">
        <v>583475</v>
      </c>
      <c r="CE914" t="s">
        <v>3108</v>
      </c>
      <c r="CF914" t="s">
        <v>3108</v>
      </c>
      <c r="CG914" t="s">
        <v>3108</v>
      </c>
      <c r="CH914" t="s">
        <v>3108</v>
      </c>
    </row>
    <row r="915" spans="1:86" x14ac:dyDescent="0.2">
      <c r="A915" t="s">
        <v>4640</v>
      </c>
      <c r="B915" t="s">
        <v>4640</v>
      </c>
      <c r="C915">
        <v>41369</v>
      </c>
      <c r="D915">
        <v>759</v>
      </c>
      <c r="E915" t="s">
        <v>4641</v>
      </c>
      <c r="F915">
        <v>2300</v>
      </c>
      <c r="G915" t="s">
        <v>1305</v>
      </c>
      <c r="H915" t="s">
        <v>4628</v>
      </c>
      <c r="I915" t="s">
        <v>1386</v>
      </c>
      <c r="J915">
        <v>2301</v>
      </c>
      <c r="K915" t="s">
        <v>4629</v>
      </c>
      <c r="L915">
        <v>1200</v>
      </c>
      <c r="M915" t="s">
        <v>2368</v>
      </c>
      <c r="N915">
        <v>1202</v>
      </c>
      <c r="O915" t="s">
        <v>2371</v>
      </c>
      <c r="P915" t="s">
        <v>3108</v>
      </c>
      <c r="Q915" t="s">
        <v>3249</v>
      </c>
      <c r="R915" t="s">
        <v>3249</v>
      </c>
      <c r="S915" t="s">
        <v>810</v>
      </c>
      <c r="T915" t="s">
        <v>2754</v>
      </c>
      <c r="U915" t="s">
        <v>3250</v>
      </c>
      <c r="V915" t="s">
        <v>3250</v>
      </c>
      <c r="W915" t="s">
        <v>3250</v>
      </c>
      <c r="X915" t="s">
        <v>3250</v>
      </c>
      <c r="Y915" t="s">
        <v>3250</v>
      </c>
      <c r="Z915" t="s">
        <v>3250</v>
      </c>
      <c r="AA915" t="s">
        <v>3108</v>
      </c>
      <c r="AB915" t="s">
        <v>3108</v>
      </c>
      <c r="AC915" t="s">
        <v>3250</v>
      </c>
      <c r="AD915" t="s">
        <v>3250</v>
      </c>
      <c r="AE915" t="s">
        <v>3250</v>
      </c>
      <c r="AF915" t="s">
        <v>3250</v>
      </c>
      <c r="AG915" t="s">
        <v>3250</v>
      </c>
      <c r="AH915" t="s">
        <v>3250</v>
      </c>
      <c r="AI915" t="s">
        <v>3250</v>
      </c>
      <c r="AJ915" t="s">
        <v>3250</v>
      </c>
      <c r="AL915" t="s">
        <v>3250</v>
      </c>
      <c r="AM915" t="s">
        <v>3250</v>
      </c>
      <c r="AN915" t="s">
        <v>3250</v>
      </c>
      <c r="AO915" t="s">
        <v>3250</v>
      </c>
      <c r="AS915" t="s">
        <v>3250</v>
      </c>
      <c r="AT915" t="s">
        <v>3250</v>
      </c>
      <c r="AU915" t="s">
        <v>3250</v>
      </c>
      <c r="AV915" t="s">
        <v>3250</v>
      </c>
      <c r="AW915" t="s">
        <v>3250</v>
      </c>
      <c r="AX915" t="s">
        <v>3250</v>
      </c>
      <c r="AY915" t="s">
        <v>3250</v>
      </c>
      <c r="AZ915" t="s">
        <v>3250</v>
      </c>
      <c r="BA915" t="s">
        <v>3250</v>
      </c>
      <c r="BB915" t="s">
        <v>3250</v>
      </c>
      <c r="BC915" t="s">
        <v>3250</v>
      </c>
      <c r="BE915">
        <v>120</v>
      </c>
      <c r="BF915" t="s">
        <v>629</v>
      </c>
      <c r="BG915" t="s">
        <v>3250</v>
      </c>
      <c r="BH915">
        <v>120</v>
      </c>
      <c r="BI915" t="s">
        <v>629</v>
      </c>
      <c r="BJ915" t="s">
        <v>2821</v>
      </c>
      <c r="BK915" t="s">
        <v>3250</v>
      </c>
      <c r="BL915" t="s">
        <v>3250</v>
      </c>
      <c r="BM915" t="s">
        <v>3250</v>
      </c>
      <c r="BN915" t="s">
        <v>3250</v>
      </c>
      <c r="BP915">
        <v>1</v>
      </c>
      <c r="BQ915">
        <v>13</v>
      </c>
      <c r="BR915" t="s">
        <v>2371</v>
      </c>
      <c r="BS915" t="s">
        <v>3252</v>
      </c>
      <c r="BV915">
        <v>3574823</v>
      </c>
      <c r="BW915">
        <v>3301206</v>
      </c>
      <c r="BX915">
        <v>2854713</v>
      </c>
      <c r="BY915">
        <v>3787600</v>
      </c>
      <c r="BZ915">
        <v>3787600</v>
      </c>
      <c r="CA915">
        <v>3935316</v>
      </c>
      <c r="CB915">
        <v>4092729</v>
      </c>
      <c r="CC915">
        <v>4256438</v>
      </c>
      <c r="CD915">
        <v>3046189</v>
      </c>
      <c r="CE915" t="s">
        <v>3108</v>
      </c>
      <c r="CF915" t="s">
        <v>3108</v>
      </c>
      <c r="CG915" t="s">
        <v>3108</v>
      </c>
      <c r="CH915" t="s">
        <v>3108</v>
      </c>
    </row>
    <row r="916" spans="1:86" x14ac:dyDescent="0.2">
      <c r="A916" t="s">
        <v>4642</v>
      </c>
      <c r="B916" t="s">
        <v>4642</v>
      </c>
      <c r="C916">
        <v>41370</v>
      </c>
      <c r="D916">
        <v>760</v>
      </c>
      <c r="E916" t="s">
        <v>4463</v>
      </c>
      <c r="F916">
        <v>2900</v>
      </c>
      <c r="G916" t="s">
        <v>822</v>
      </c>
      <c r="H916" t="s">
        <v>3108</v>
      </c>
      <c r="I916" t="s">
        <v>3108</v>
      </c>
      <c r="J916">
        <v>2904</v>
      </c>
      <c r="K916" t="s">
        <v>1690</v>
      </c>
      <c r="L916">
        <v>4400</v>
      </c>
      <c r="M916" t="s">
        <v>988</v>
      </c>
      <c r="N916">
        <v>4402</v>
      </c>
      <c r="O916" t="s">
        <v>2438</v>
      </c>
      <c r="P916" t="s">
        <v>3108</v>
      </c>
      <c r="Q916" t="s">
        <v>3249</v>
      </c>
      <c r="R916" t="s">
        <v>3249</v>
      </c>
      <c r="S916" t="s">
        <v>810</v>
      </c>
      <c r="T916" t="s">
        <v>2754</v>
      </c>
      <c r="U916" t="s">
        <v>3250</v>
      </c>
      <c r="V916" t="s">
        <v>3250</v>
      </c>
      <c r="W916" t="s">
        <v>3250</v>
      </c>
      <c r="X916" t="s">
        <v>3250</v>
      </c>
      <c r="Y916" t="s">
        <v>3250</v>
      </c>
      <c r="Z916" t="s">
        <v>3250</v>
      </c>
      <c r="AA916" t="s">
        <v>3108</v>
      </c>
      <c r="AB916" t="s">
        <v>3108</v>
      </c>
      <c r="AC916" t="s">
        <v>3250</v>
      </c>
      <c r="AD916" t="s">
        <v>3250</v>
      </c>
      <c r="AE916" t="s">
        <v>3250</v>
      </c>
      <c r="AF916" t="s">
        <v>3250</v>
      </c>
      <c r="AG916" t="s">
        <v>3250</v>
      </c>
      <c r="AH916" t="s">
        <v>3250</v>
      </c>
      <c r="AI916" t="s">
        <v>3250</v>
      </c>
      <c r="AJ916" t="s">
        <v>3250</v>
      </c>
      <c r="AL916" t="s">
        <v>3250</v>
      </c>
      <c r="AM916" t="s">
        <v>3250</v>
      </c>
      <c r="AN916" t="s">
        <v>3250</v>
      </c>
      <c r="AO916" t="s">
        <v>3250</v>
      </c>
      <c r="AS916" t="s">
        <v>3250</v>
      </c>
      <c r="AT916" t="s">
        <v>3250</v>
      </c>
      <c r="AU916" t="s">
        <v>3250</v>
      </c>
      <c r="AV916" t="s">
        <v>3250</v>
      </c>
      <c r="AW916" t="s">
        <v>3250</v>
      </c>
      <c r="AX916" t="s">
        <v>3250</v>
      </c>
      <c r="AY916" t="s">
        <v>3250</v>
      </c>
      <c r="AZ916" t="s">
        <v>3250</v>
      </c>
      <c r="BA916" t="s">
        <v>3250</v>
      </c>
      <c r="BB916" t="s">
        <v>3250</v>
      </c>
      <c r="BC916" t="s">
        <v>3250</v>
      </c>
      <c r="BE916" t="s">
        <v>3250</v>
      </c>
      <c r="BF916" t="s">
        <v>3250</v>
      </c>
      <c r="BG916" t="s">
        <v>3250</v>
      </c>
      <c r="BH916" t="s">
        <v>3250</v>
      </c>
      <c r="BI916" t="s">
        <v>3250</v>
      </c>
      <c r="BK916" t="s">
        <v>3250</v>
      </c>
      <c r="BL916" t="s">
        <v>3250</v>
      </c>
      <c r="BM916" t="s">
        <v>3250</v>
      </c>
      <c r="BN916" t="s">
        <v>3250</v>
      </c>
      <c r="BP916">
        <v>12</v>
      </c>
      <c r="BQ916">
        <v>123</v>
      </c>
      <c r="BR916" t="s">
        <v>2438</v>
      </c>
      <c r="BS916" t="s">
        <v>941</v>
      </c>
      <c r="BV916">
        <v>60478</v>
      </c>
      <c r="BW916">
        <v>0</v>
      </c>
      <c r="BX916">
        <v>0</v>
      </c>
      <c r="BY916">
        <v>380000</v>
      </c>
      <c r="BZ916">
        <v>380000</v>
      </c>
      <c r="CA916">
        <v>480000</v>
      </c>
      <c r="CB916">
        <v>499200</v>
      </c>
      <c r="CC916">
        <v>519168</v>
      </c>
      <c r="CD916">
        <v>138366</v>
      </c>
      <c r="CE916" t="s">
        <v>3108</v>
      </c>
      <c r="CF916" t="s">
        <v>3108</v>
      </c>
      <c r="CG916" t="s">
        <v>3108</v>
      </c>
      <c r="CH916" t="s">
        <v>3108</v>
      </c>
    </row>
    <row r="917" spans="1:86" x14ac:dyDescent="0.2">
      <c r="A917" t="s">
        <v>4643</v>
      </c>
      <c r="B917" t="s">
        <v>4643</v>
      </c>
      <c r="C917">
        <v>41371</v>
      </c>
      <c r="D917">
        <v>438</v>
      </c>
      <c r="E917" t="s">
        <v>4047</v>
      </c>
      <c r="F917">
        <v>2600</v>
      </c>
      <c r="G917" t="s">
        <v>1334</v>
      </c>
      <c r="H917">
        <v>2600</v>
      </c>
      <c r="I917" t="s">
        <v>1334</v>
      </c>
      <c r="J917" t="s">
        <v>3250</v>
      </c>
      <c r="K917" t="s">
        <v>3250</v>
      </c>
      <c r="L917">
        <v>4400</v>
      </c>
      <c r="M917" t="s">
        <v>988</v>
      </c>
      <c r="N917">
        <v>4403</v>
      </c>
      <c r="O917" t="s">
        <v>2439</v>
      </c>
      <c r="P917" t="s">
        <v>3108</v>
      </c>
      <c r="Q917" t="s">
        <v>3249</v>
      </c>
      <c r="R917" t="s">
        <v>3249</v>
      </c>
      <c r="S917" t="s">
        <v>810</v>
      </c>
      <c r="T917" t="s">
        <v>2754</v>
      </c>
      <c r="U917" t="s">
        <v>3250</v>
      </c>
      <c r="V917" t="s">
        <v>3250</v>
      </c>
      <c r="W917" t="s">
        <v>3250</v>
      </c>
      <c r="X917" t="s">
        <v>3250</v>
      </c>
      <c r="Y917" t="s">
        <v>3250</v>
      </c>
      <c r="Z917" t="s">
        <v>3250</v>
      </c>
      <c r="AA917" t="s">
        <v>3108</v>
      </c>
      <c r="AB917" t="s">
        <v>3108</v>
      </c>
      <c r="AC917" t="s">
        <v>3250</v>
      </c>
      <c r="AD917" t="s">
        <v>3250</v>
      </c>
      <c r="AE917" t="s">
        <v>3250</v>
      </c>
      <c r="AF917" t="s">
        <v>3250</v>
      </c>
      <c r="AG917" t="s">
        <v>3250</v>
      </c>
      <c r="AH917" t="s">
        <v>3250</v>
      </c>
      <c r="AI917" t="s">
        <v>3250</v>
      </c>
      <c r="AJ917" t="s">
        <v>3250</v>
      </c>
      <c r="AL917" t="s">
        <v>3250</v>
      </c>
      <c r="AM917" t="s">
        <v>3250</v>
      </c>
      <c r="AN917" t="s">
        <v>3250</v>
      </c>
      <c r="AO917" t="s">
        <v>3250</v>
      </c>
      <c r="AS917" t="s">
        <v>3250</v>
      </c>
      <c r="AT917" t="s">
        <v>3250</v>
      </c>
      <c r="AU917" t="s">
        <v>3250</v>
      </c>
      <c r="AV917" t="s">
        <v>3250</v>
      </c>
      <c r="AW917" t="s">
        <v>3250</v>
      </c>
      <c r="AX917" t="s">
        <v>3250</v>
      </c>
      <c r="AY917" t="s">
        <v>3250</v>
      </c>
      <c r="AZ917" t="s">
        <v>3250</v>
      </c>
      <c r="BA917" t="s">
        <v>3250</v>
      </c>
      <c r="BB917" t="s">
        <v>3250</v>
      </c>
      <c r="BC917" t="s">
        <v>3250</v>
      </c>
      <c r="BE917" t="s">
        <v>3250</v>
      </c>
      <c r="BF917" t="s">
        <v>3250</v>
      </c>
      <c r="BG917" t="s">
        <v>3250</v>
      </c>
      <c r="BH917" t="s">
        <v>3250</v>
      </c>
      <c r="BI917" t="s">
        <v>3250</v>
      </c>
      <c r="BK917" t="s">
        <v>3250</v>
      </c>
      <c r="BL917" t="s">
        <v>3250</v>
      </c>
      <c r="BM917" t="s">
        <v>3250</v>
      </c>
      <c r="BN917" t="s">
        <v>3250</v>
      </c>
      <c r="BP917">
        <v>12</v>
      </c>
      <c r="BQ917">
        <v>121</v>
      </c>
      <c r="BR917" t="s">
        <v>2439</v>
      </c>
      <c r="BS917" t="s">
        <v>941</v>
      </c>
      <c r="BV917">
        <v>0</v>
      </c>
      <c r="BW917">
        <v>0</v>
      </c>
      <c r="BX917">
        <v>0</v>
      </c>
      <c r="BY917">
        <v>0</v>
      </c>
      <c r="BZ917">
        <v>0</v>
      </c>
      <c r="CA917">
        <v>0</v>
      </c>
      <c r="CB917">
        <v>0</v>
      </c>
      <c r="CC917">
        <v>0</v>
      </c>
      <c r="CD917">
        <v>0</v>
      </c>
      <c r="CE917" t="s">
        <v>3108</v>
      </c>
      <c r="CF917" t="s">
        <v>3108</v>
      </c>
      <c r="CG917" t="s">
        <v>3108</v>
      </c>
      <c r="CH917" t="s">
        <v>3108</v>
      </c>
    </row>
    <row r="918" spans="1:86" x14ac:dyDescent="0.2">
      <c r="A918" t="s">
        <v>4644</v>
      </c>
      <c r="B918" t="s">
        <v>4644</v>
      </c>
      <c r="C918">
        <v>41372</v>
      </c>
      <c r="D918">
        <v>439</v>
      </c>
      <c r="E918" t="s">
        <v>3994</v>
      </c>
      <c r="F918">
        <v>2600</v>
      </c>
      <c r="G918" t="s">
        <v>1334</v>
      </c>
      <c r="H918">
        <v>2600</v>
      </c>
      <c r="I918" t="s">
        <v>1334</v>
      </c>
      <c r="J918" t="s">
        <v>3250</v>
      </c>
      <c r="K918" t="s">
        <v>3250</v>
      </c>
      <c r="L918">
        <v>4400</v>
      </c>
      <c r="M918" t="s">
        <v>988</v>
      </c>
      <c r="N918">
        <v>4403</v>
      </c>
      <c r="O918" t="s">
        <v>2439</v>
      </c>
      <c r="P918" t="s">
        <v>3108</v>
      </c>
      <c r="Q918" t="s">
        <v>3249</v>
      </c>
      <c r="R918" t="s">
        <v>3249</v>
      </c>
      <c r="S918" t="s">
        <v>810</v>
      </c>
      <c r="T918" t="s">
        <v>2754</v>
      </c>
      <c r="U918" t="s">
        <v>3250</v>
      </c>
      <c r="V918" t="s">
        <v>3250</v>
      </c>
      <c r="W918" t="s">
        <v>3250</v>
      </c>
      <c r="X918" t="s">
        <v>3250</v>
      </c>
      <c r="Y918" t="s">
        <v>3250</v>
      </c>
      <c r="Z918" t="s">
        <v>3250</v>
      </c>
      <c r="AA918" t="s">
        <v>3108</v>
      </c>
      <c r="AB918" t="s">
        <v>3108</v>
      </c>
      <c r="AC918" t="s">
        <v>3250</v>
      </c>
      <c r="AD918" t="s">
        <v>3250</v>
      </c>
      <c r="AE918" t="s">
        <v>3250</v>
      </c>
      <c r="AF918" t="s">
        <v>3250</v>
      </c>
      <c r="AG918" t="s">
        <v>3250</v>
      </c>
      <c r="AH918" t="s">
        <v>3250</v>
      </c>
      <c r="AI918" t="s">
        <v>3250</v>
      </c>
      <c r="AJ918" t="s">
        <v>3250</v>
      </c>
      <c r="AL918" t="s">
        <v>3250</v>
      </c>
      <c r="AM918" t="s">
        <v>3250</v>
      </c>
      <c r="AN918" t="s">
        <v>3250</v>
      </c>
      <c r="AO918" t="s">
        <v>3250</v>
      </c>
      <c r="AS918" t="s">
        <v>3250</v>
      </c>
      <c r="AT918" t="s">
        <v>3250</v>
      </c>
      <c r="AU918" t="s">
        <v>3250</v>
      </c>
      <c r="AV918" t="s">
        <v>3250</v>
      </c>
      <c r="AW918" t="s">
        <v>3250</v>
      </c>
      <c r="AX918" t="s">
        <v>3250</v>
      </c>
      <c r="AY918" t="s">
        <v>3250</v>
      </c>
      <c r="AZ918" t="s">
        <v>3250</v>
      </c>
      <c r="BA918" t="s">
        <v>3250</v>
      </c>
      <c r="BB918" t="s">
        <v>3250</v>
      </c>
      <c r="BC918" t="s">
        <v>3250</v>
      </c>
      <c r="BE918" t="s">
        <v>3250</v>
      </c>
      <c r="BF918" t="s">
        <v>3250</v>
      </c>
      <c r="BG918" t="s">
        <v>3250</v>
      </c>
      <c r="BH918" t="s">
        <v>3250</v>
      </c>
      <c r="BI918" t="s">
        <v>3250</v>
      </c>
      <c r="BK918" t="s">
        <v>3250</v>
      </c>
      <c r="BL918" t="s">
        <v>3250</v>
      </c>
      <c r="BM918" t="s">
        <v>3250</v>
      </c>
      <c r="BN918" t="s">
        <v>3250</v>
      </c>
      <c r="BP918">
        <v>12</v>
      </c>
      <c r="BQ918">
        <v>121</v>
      </c>
      <c r="BR918" t="s">
        <v>2439</v>
      </c>
      <c r="BS918" t="s">
        <v>941</v>
      </c>
      <c r="BV918">
        <v>0</v>
      </c>
      <c r="BW918">
        <v>0</v>
      </c>
      <c r="BX918">
        <v>24929</v>
      </c>
      <c r="BY918">
        <v>0</v>
      </c>
      <c r="BZ918">
        <v>0</v>
      </c>
      <c r="CA918">
        <v>0</v>
      </c>
      <c r="CB918">
        <v>0</v>
      </c>
      <c r="CC918">
        <v>0</v>
      </c>
      <c r="CD918">
        <v>0</v>
      </c>
      <c r="CE918" t="s">
        <v>3108</v>
      </c>
      <c r="CF918" t="s">
        <v>3108</v>
      </c>
      <c r="CG918" t="s">
        <v>3108</v>
      </c>
      <c r="CH918" t="s">
        <v>3108</v>
      </c>
    </row>
    <row r="919" spans="1:86" x14ac:dyDescent="0.2">
      <c r="A919" t="s">
        <v>4645</v>
      </c>
      <c r="B919" t="s">
        <v>4645</v>
      </c>
      <c r="C919">
        <v>41373</v>
      </c>
      <c r="D919">
        <v>440</v>
      </c>
      <c r="E919" t="s">
        <v>4006</v>
      </c>
      <c r="F919">
        <v>2700</v>
      </c>
      <c r="G919" t="s">
        <v>411</v>
      </c>
      <c r="H919" t="s">
        <v>4004</v>
      </c>
      <c r="I919" t="s">
        <v>2531</v>
      </c>
      <c r="J919">
        <v>2701</v>
      </c>
      <c r="K919" t="s">
        <v>2531</v>
      </c>
      <c r="L919">
        <v>4400</v>
      </c>
      <c r="M919" t="s">
        <v>988</v>
      </c>
      <c r="N919">
        <v>4403</v>
      </c>
      <c r="O919" t="s">
        <v>2439</v>
      </c>
      <c r="P919" t="s">
        <v>3108</v>
      </c>
      <c r="Q919" t="s">
        <v>3249</v>
      </c>
      <c r="R919" t="s">
        <v>3249</v>
      </c>
      <c r="S919" t="s">
        <v>810</v>
      </c>
      <c r="T919" t="s">
        <v>2754</v>
      </c>
      <c r="U919" t="s">
        <v>3250</v>
      </c>
      <c r="V919" t="s">
        <v>3250</v>
      </c>
      <c r="W919" t="s">
        <v>3250</v>
      </c>
      <c r="X919" t="s">
        <v>3250</v>
      </c>
      <c r="Y919" t="s">
        <v>3250</v>
      </c>
      <c r="Z919" t="s">
        <v>3250</v>
      </c>
      <c r="AA919" t="s">
        <v>3108</v>
      </c>
      <c r="AB919" t="s">
        <v>3108</v>
      </c>
      <c r="AC919" t="s">
        <v>3250</v>
      </c>
      <c r="AD919" t="s">
        <v>3250</v>
      </c>
      <c r="AE919" t="s">
        <v>3250</v>
      </c>
      <c r="AF919" t="s">
        <v>3250</v>
      </c>
      <c r="AG919" t="s">
        <v>3250</v>
      </c>
      <c r="AH919" t="s">
        <v>3250</v>
      </c>
      <c r="AI919" t="s">
        <v>3250</v>
      </c>
      <c r="AJ919" t="s">
        <v>3250</v>
      </c>
      <c r="AL919" t="s">
        <v>3250</v>
      </c>
      <c r="AM919" t="s">
        <v>3250</v>
      </c>
      <c r="AN919" t="s">
        <v>3250</v>
      </c>
      <c r="AO919" t="s">
        <v>3250</v>
      </c>
      <c r="AS919" t="s">
        <v>3250</v>
      </c>
      <c r="AT919" t="s">
        <v>3250</v>
      </c>
      <c r="AU919" t="s">
        <v>3250</v>
      </c>
      <c r="AV919" t="s">
        <v>3250</v>
      </c>
      <c r="AW919" t="s">
        <v>3250</v>
      </c>
      <c r="AX919" t="s">
        <v>3250</v>
      </c>
      <c r="AY919" t="s">
        <v>3250</v>
      </c>
      <c r="AZ919" t="s">
        <v>3250</v>
      </c>
      <c r="BA919" t="s">
        <v>3250</v>
      </c>
      <c r="BB919" t="s">
        <v>3250</v>
      </c>
      <c r="BC919" t="s">
        <v>3250</v>
      </c>
      <c r="BE919" t="s">
        <v>3250</v>
      </c>
      <c r="BF919" t="s">
        <v>3250</v>
      </c>
      <c r="BG919" t="s">
        <v>3250</v>
      </c>
      <c r="BH919" t="s">
        <v>3250</v>
      </c>
      <c r="BI919" t="s">
        <v>3250</v>
      </c>
      <c r="BK919" t="s">
        <v>3250</v>
      </c>
      <c r="BL919" t="s">
        <v>3250</v>
      </c>
      <c r="BM919" t="s">
        <v>3250</v>
      </c>
      <c r="BN919" t="s">
        <v>3250</v>
      </c>
      <c r="BP919">
        <v>12</v>
      </c>
      <c r="BQ919">
        <v>121</v>
      </c>
      <c r="BR919" t="s">
        <v>2439</v>
      </c>
      <c r="BS919" t="s">
        <v>941</v>
      </c>
      <c r="BV919">
        <v>0</v>
      </c>
      <c r="BW919">
        <v>6000</v>
      </c>
      <c r="BX919">
        <v>0</v>
      </c>
      <c r="BY919">
        <v>0</v>
      </c>
      <c r="BZ919">
        <v>0</v>
      </c>
      <c r="CA919">
        <v>0</v>
      </c>
      <c r="CB919">
        <v>0</v>
      </c>
      <c r="CC919">
        <v>0</v>
      </c>
      <c r="CD919">
        <v>0</v>
      </c>
      <c r="CE919" t="s">
        <v>3108</v>
      </c>
      <c r="CF919" t="s">
        <v>3108</v>
      </c>
      <c r="CG919" t="s">
        <v>3108</v>
      </c>
      <c r="CH919" t="s">
        <v>3108</v>
      </c>
    </row>
    <row r="920" spans="1:86" x14ac:dyDescent="0.2">
      <c r="A920" t="s">
        <v>4646</v>
      </c>
      <c r="B920" t="s">
        <v>4646</v>
      </c>
      <c r="C920">
        <v>41388</v>
      </c>
      <c r="D920">
        <v>387</v>
      </c>
      <c r="E920" t="s">
        <v>4093</v>
      </c>
      <c r="F920">
        <v>2000</v>
      </c>
      <c r="G920" t="s">
        <v>408</v>
      </c>
      <c r="H920" t="s">
        <v>4094</v>
      </c>
      <c r="I920" t="s">
        <v>1135</v>
      </c>
      <c r="J920">
        <v>2001</v>
      </c>
      <c r="K920" t="s">
        <v>1135</v>
      </c>
      <c r="L920">
        <v>1100</v>
      </c>
      <c r="M920" t="s">
        <v>119</v>
      </c>
      <c r="N920">
        <v>1110</v>
      </c>
      <c r="O920" t="s">
        <v>284</v>
      </c>
      <c r="P920" t="s">
        <v>3108</v>
      </c>
      <c r="Q920" t="s">
        <v>3249</v>
      </c>
      <c r="R920" t="s">
        <v>3249</v>
      </c>
      <c r="S920" t="s">
        <v>810</v>
      </c>
      <c r="T920" t="s">
        <v>2754</v>
      </c>
      <c r="U920" t="s">
        <v>3250</v>
      </c>
      <c r="V920" t="s">
        <v>3250</v>
      </c>
      <c r="W920" t="s">
        <v>3250</v>
      </c>
      <c r="X920" t="s">
        <v>3250</v>
      </c>
      <c r="Y920" t="s">
        <v>3250</v>
      </c>
      <c r="Z920" t="s">
        <v>3250</v>
      </c>
      <c r="AA920" t="s">
        <v>3108</v>
      </c>
      <c r="AB920" t="s">
        <v>3108</v>
      </c>
      <c r="AC920" t="s">
        <v>3250</v>
      </c>
      <c r="AD920" t="s">
        <v>3250</v>
      </c>
      <c r="AE920" t="s">
        <v>3250</v>
      </c>
      <c r="AF920" t="s">
        <v>3250</v>
      </c>
      <c r="AG920" t="s">
        <v>3250</v>
      </c>
      <c r="AH920" t="s">
        <v>3250</v>
      </c>
      <c r="AI920" t="s">
        <v>3250</v>
      </c>
      <c r="AJ920" t="s">
        <v>3250</v>
      </c>
      <c r="AL920" t="s">
        <v>3250</v>
      </c>
      <c r="AM920" t="s">
        <v>3250</v>
      </c>
      <c r="AN920" t="s">
        <v>3250</v>
      </c>
      <c r="AO920" t="s">
        <v>3250</v>
      </c>
      <c r="AS920" t="s">
        <v>3250</v>
      </c>
      <c r="AT920" t="s">
        <v>3250</v>
      </c>
      <c r="AU920" t="s">
        <v>3250</v>
      </c>
      <c r="AV920" t="s">
        <v>3250</v>
      </c>
      <c r="AW920" t="s">
        <v>3250</v>
      </c>
      <c r="AX920" t="s">
        <v>3250</v>
      </c>
      <c r="AY920" t="s">
        <v>3250</v>
      </c>
      <c r="AZ920" t="s">
        <v>3250</v>
      </c>
      <c r="BA920" t="s">
        <v>3250</v>
      </c>
      <c r="BB920" t="s">
        <v>3250</v>
      </c>
      <c r="BC920" t="s">
        <v>3250</v>
      </c>
      <c r="BE920" t="s">
        <v>3250</v>
      </c>
      <c r="BF920" t="s">
        <v>3250</v>
      </c>
      <c r="BG920" t="s">
        <v>3250</v>
      </c>
      <c r="BH920" t="s">
        <v>3250</v>
      </c>
      <c r="BI920" t="s">
        <v>3250</v>
      </c>
      <c r="BK920" t="s">
        <v>3250</v>
      </c>
      <c r="BL920" t="s">
        <v>3250</v>
      </c>
      <c r="BM920" t="s">
        <v>3250</v>
      </c>
      <c r="BN920" t="s">
        <v>3250</v>
      </c>
      <c r="BO920" t="s">
        <v>2916</v>
      </c>
      <c r="BP920">
        <v>3</v>
      </c>
      <c r="BQ920">
        <v>32</v>
      </c>
      <c r="BR920" t="s">
        <v>284</v>
      </c>
      <c r="BS920" t="s">
        <v>4381</v>
      </c>
      <c r="BV920">
        <v>1549959</v>
      </c>
      <c r="BW920">
        <v>1061347</v>
      </c>
      <c r="BX920">
        <v>935515</v>
      </c>
      <c r="BY920">
        <v>0</v>
      </c>
      <c r="BZ920">
        <v>0</v>
      </c>
      <c r="CA920">
        <v>0</v>
      </c>
      <c r="CB920">
        <v>0</v>
      </c>
      <c r="CC920">
        <v>0</v>
      </c>
      <c r="CD920">
        <v>778863</v>
      </c>
      <c r="CE920" t="s">
        <v>3108</v>
      </c>
      <c r="CF920" t="s">
        <v>3108</v>
      </c>
      <c r="CG920" t="s">
        <v>3108</v>
      </c>
      <c r="CH920" t="s">
        <v>3108</v>
      </c>
    </row>
    <row r="921" spans="1:86" x14ac:dyDescent="0.2">
      <c r="A921" t="s">
        <v>4647</v>
      </c>
      <c r="B921" t="s">
        <v>4647</v>
      </c>
      <c r="C921">
        <v>41389</v>
      </c>
      <c r="D921">
        <v>388</v>
      </c>
      <c r="E921" t="s">
        <v>4648</v>
      </c>
      <c r="F921">
        <v>2100</v>
      </c>
      <c r="G921" t="s">
        <v>458</v>
      </c>
      <c r="H921">
        <v>210001</v>
      </c>
      <c r="I921" t="s">
        <v>1135</v>
      </c>
      <c r="J921" t="s">
        <v>3250</v>
      </c>
      <c r="K921" t="s">
        <v>3250</v>
      </c>
      <c r="L921">
        <v>1100</v>
      </c>
      <c r="M921" t="s">
        <v>119</v>
      </c>
      <c r="N921">
        <v>1110</v>
      </c>
      <c r="O921" t="s">
        <v>284</v>
      </c>
      <c r="P921" t="s">
        <v>3108</v>
      </c>
      <c r="Q921" t="s">
        <v>3249</v>
      </c>
      <c r="R921" t="s">
        <v>3249</v>
      </c>
      <c r="S921" t="s">
        <v>810</v>
      </c>
      <c r="T921" t="s">
        <v>2754</v>
      </c>
      <c r="U921" t="s">
        <v>3250</v>
      </c>
      <c r="V921" t="s">
        <v>3250</v>
      </c>
      <c r="W921" t="s">
        <v>3250</v>
      </c>
      <c r="X921" t="s">
        <v>3250</v>
      </c>
      <c r="Y921" t="s">
        <v>3250</v>
      </c>
      <c r="Z921" t="s">
        <v>3250</v>
      </c>
      <c r="AA921" t="s">
        <v>3108</v>
      </c>
      <c r="AB921" t="s">
        <v>3108</v>
      </c>
      <c r="AC921" t="s">
        <v>3250</v>
      </c>
      <c r="AD921" t="s">
        <v>3250</v>
      </c>
      <c r="AE921" t="s">
        <v>3250</v>
      </c>
      <c r="AF921" t="s">
        <v>3250</v>
      </c>
      <c r="AG921" t="s">
        <v>3250</v>
      </c>
      <c r="AH921" t="s">
        <v>3250</v>
      </c>
      <c r="AI921" t="s">
        <v>3250</v>
      </c>
      <c r="AJ921" t="s">
        <v>3250</v>
      </c>
      <c r="AL921" t="s">
        <v>3250</v>
      </c>
      <c r="AM921" t="s">
        <v>3250</v>
      </c>
      <c r="AN921" t="s">
        <v>3250</v>
      </c>
      <c r="AO921" t="s">
        <v>3250</v>
      </c>
      <c r="AS921" t="s">
        <v>3250</v>
      </c>
      <c r="AT921" t="s">
        <v>3250</v>
      </c>
      <c r="AU921" t="s">
        <v>3250</v>
      </c>
      <c r="AV921" t="s">
        <v>3250</v>
      </c>
      <c r="AW921" t="s">
        <v>3250</v>
      </c>
      <c r="AX921" t="s">
        <v>3250</v>
      </c>
      <c r="AY921" t="s">
        <v>3250</v>
      </c>
      <c r="AZ921" t="s">
        <v>3250</v>
      </c>
      <c r="BA921" t="s">
        <v>3250</v>
      </c>
      <c r="BB921" t="s">
        <v>3250</v>
      </c>
      <c r="BC921" t="s">
        <v>3250</v>
      </c>
      <c r="BE921" t="s">
        <v>3250</v>
      </c>
      <c r="BF921" t="s">
        <v>3250</v>
      </c>
      <c r="BG921" t="s">
        <v>3250</v>
      </c>
      <c r="BH921" t="s">
        <v>3250</v>
      </c>
      <c r="BI921" t="s">
        <v>3250</v>
      </c>
      <c r="BK921" t="s">
        <v>3250</v>
      </c>
      <c r="BL921" t="s">
        <v>3250</v>
      </c>
      <c r="BM921" t="s">
        <v>3250</v>
      </c>
      <c r="BN921" t="s">
        <v>3250</v>
      </c>
      <c r="BP921">
        <v>3</v>
      </c>
      <c r="BQ921">
        <v>32</v>
      </c>
      <c r="BR921" t="s">
        <v>284</v>
      </c>
      <c r="BS921" t="s">
        <v>4381</v>
      </c>
      <c r="BV921">
        <v>639856</v>
      </c>
      <c r="BW921">
        <v>605225</v>
      </c>
      <c r="BX921">
        <v>725216</v>
      </c>
      <c r="BY921">
        <v>912993</v>
      </c>
      <c r="BZ921">
        <v>912993</v>
      </c>
      <c r="CA921">
        <v>958643</v>
      </c>
      <c r="CB921">
        <v>958223</v>
      </c>
      <c r="CC921">
        <v>964567</v>
      </c>
      <c r="CD921">
        <v>717383</v>
      </c>
      <c r="CE921" t="s">
        <v>3108</v>
      </c>
      <c r="CF921" t="s">
        <v>3108</v>
      </c>
      <c r="CG921" t="s">
        <v>3108</v>
      </c>
      <c r="CH921" t="s">
        <v>3108</v>
      </c>
    </row>
    <row r="922" spans="1:86" x14ac:dyDescent="0.2">
      <c r="A922" t="s">
        <v>4649</v>
      </c>
      <c r="B922" t="s">
        <v>4649</v>
      </c>
      <c r="C922">
        <v>41390</v>
      </c>
      <c r="D922">
        <v>389</v>
      </c>
      <c r="E922" t="s">
        <v>4650</v>
      </c>
      <c r="F922">
        <v>2100</v>
      </c>
      <c r="G922" t="s">
        <v>458</v>
      </c>
      <c r="H922">
        <v>210005</v>
      </c>
      <c r="I922" t="s">
        <v>1793</v>
      </c>
      <c r="J922" t="s">
        <v>3250</v>
      </c>
      <c r="K922" t="s">
        <v>3250</v>
      </c>
      <c r="L922">
        <v>1100</v>
      </c>
      <c r="M922" t="s">
        <v>119</v>
      </c>
      <c r="N922">
        <v>1110</v>
      </c>
      <c r="O922" t="s">
        <v>284</v>
      </c>
      <c r="P922" t="s">
        <v>3108</v>
      </c>
      <c r="Q922" t="s">
        <v>3249</v>
      </c>
      <c r="R922" t="s">
        <v>3249</v>
      </c>
      <c r="S922" t="s">
        <v>810</v>
      </c>
      <c r="T922" t="s">
        <v>2754</v>
      </c>
      <c r="U922" t="s">
        <v>3250</v>
      </c>
      <c r="V922" t="s">
        <v>3250</v>
      </c>
      <c r="W922" t="s">
        <v>3250</v>
      </c>
      <c r="X922" t="s">
        <v>3250</v>
      </c>
      <c r="Y922" t="s">
        <v>3250</v>
      </c>
      <c r="Z922" t="s">
        <v>3250</v>
      </c>
      <c r="AA922" t="s">
        <v>3108</v>
      </c>
      <c r="AB922" t="s">
        <v>3108</v>
      </c>
      <c r="AC922" t="s">
        <v>3250</v>
      </c>
      <c r="AD922" t="s">
        <v>3250</v>
      </c>
      <c r="AE922" t="s">
        <v>3250</v>
      </c>
      <c r="AF922" t="s">
        <v>3250</v>
      </c>
      <c r="AG922" t="s">
        <v>3250</v>
      </c>
      <c r="AH922" t="s">
        <v>3250</v>
      </c>
      <c r="AI922" t="s">
        <v>3250</v>
      </c>
      <c r="AJ922" t="s">
        <v>3250</v>
      </c>
      <c r="AL922" t="s">
        <v>3250</v>
      </c>
      <c r="AM922" t="s">
        <v>3250</v>
      </c>
      <c r="AN922" t="s">
        <v>3250</v>
      </c>
      <c r="AO922" t="s">
        <v>3250</v>
      </c>
      <c r="AS922" t="s">
        <v>3250</v>
      </c>
      <c r="AT922" t="s">
        <v>3250</v>
      </c>
      <c r="AU922" t="s">
        <v>3250</v>
      </c>
      <c r="AV922" t="s">
        <v>3250</v>
      </c>
      <c r="AW922" t="s">
        <v>3250</v>
      </c>
      <c r="AX922" t="s">
        <v>3250</v>
      </c>
      <c r="AY922" t="s">
        <v>3250</v>
      </c>
      <c r="AZ922" t="s">
        <v>3250</v>
      </c>
      <c r="BA922" t="s">
        <v>3250</v>
      </c>
      <c r="BB922" t="s">
        <v>3250</v>
      </c>
      <c r="BC922" t="s">
        <v>3250</v>
      </c>
      <c r="BE922" t="s">
        <v>3250</v>
      </c>
      <c r="BF922" t="s">
        <v>3250</v>
      </c>
      <c r="BG922" t="s">
        <v>3250</v>
      </c>
      <c r="BH922" t="s">
        <v>3250</v>
      </c>
      <c r="BI922" t="s">
        <v>3250</v>
      </c>
      <c r="BK922" t="s">
        <v>3250</v>
      </c>
      <c r="BL922" t="s">
        <v>3250</v>
      </c>
      <c r="BM922" t="s">
        <v>3250</v>
      </c>
      <c r="BN922" t="s">
        <v>3250</v>
      </c>
      <c r="BP922">
        <v>3</v>
      </c>
      <c r="BQ922">
        <v>32</v>
      </c>
      <c r="BR922" t="s">
        <v>284</v>
      </c>
      <c r="BS922" t="s">
        <v>4381</v>
      </c>
      <c r="BV922">
        <v>41100</v>
      </c>
      <c r="BW922">
        <v>40800</v>
      </c>
      <c r="BX922">
        <v>29100</v>
      </c>
      <c r="BY922">
        <v>44400</v>
      </c>
      <c r="BZ922">
        <v>44400</v>
      </c>
      <c r="CA922">
        <v>46620</v>
      </c>
      <c r="CB922">
        <v>44400</v>
      </c>
      <c r="CC922">
        <v>44400</v>
      </c>
      <c r="CD922">
        <v>76729</v>
      </c>
      <c r="CE922" t="s">
        <v>3108</v>
      </c>
      <c r="CF922" t="s">
        <v>3108</v>
      </c>
      <c r="CG922" t="s">
        <v>3108</v>
      </c>
      <c r="CH922" t="s">
        <v>3108</v>
      </c>
    </row>
    <row r="923" spans="1:86" x14ac:dyDescent="0.2">
      <c r="A923" t="s">
        <v>4651</v>
      </c>
      <c r="B923" t="s">
        <v>4651</v>
      </c>
      <c r="C923">
        <v>41391</v>
      </c>
      <c r="D923">
        <v>390</v>
      </c>
      <c r="E923" t="s">
        <v>3852</v>
      </c>
      <c r="F923">
        <v>200</v>
      </c>
      <c r="G923" t="s">
        <v>467</v>
      </c>
      <c r="H923">
        <v>200</v>
      </c>
      <c r="I923" t="s">
        <v>3840</v>
      </c>
      <c r="J923" t="s">
        <v>3250</v>
      </c>
      <c r="K923" t="s">
        <v>3250</v>
      </c>
      <c r="L923">
        <v>1200</v>
      </c>
      <c r="M923" t="s">
        <v>2368</v>
      </c>
      <c r="N923">
        <v>1204</v>
      </c>
      <c r="O923" t="s">
        <v>1574</v>
      </c>
      <c r="P923" t="s">
        <v>3108</v>
      </c>
      <c r="Q923" t="s">
        <v>3249</v>
      </c>
      <c r="R923" t="s">
        <v>3249</v>
      </c>
      <c r="S923" t="s">
        <v>810</v>
      </c>
      <c r="T923" t="s">
        <v>2759</v>
      </c>
      <c r="U923" t="s">
        <v>3250</v>
      </c>
      <c r="V923" t="s">
        <v>3250</v>
      </c>
      <c r="W923" t="s">
        <v>3250</v>
      </c>
      <c r="X923" t="s">
        <v>3250</v>
      </c>
      <c r="Y923" t="s">
        <v>3250</v>
      </c>
      <c r="Z923" t="s">
        <v>3250</v>
      </c>
      <c r="AA923" t="s">
        <v>3108</v>
      </c>
      <c r="AB923" t="s">
        <v>3108</v>
      </c>
      <c r="AC923" t="s">
        <v>3250</v>
      </c>
      <c r="AD923" t="s">
        <v>3250</v>
      </c>
      <c r="AE923" t="s">
        <v>3250</v>
      </c>
      <c r="AF923" t="s">
        <v>3250</v>
      </c>
      <c r="AG923" t="s">
        <v>3250</v>
      </c>
      <c r="AH923" t="s">
        <v>3250</v>
      </c>
      <c r="AI923" t="s">
        <v>3250</v>
      </c>
      <c r="AJ923" t="s">
        <v>3250</v>
      </c>
      <c r="AL923" t="s">
        <v>3250</v>
      </c>
      <c r="AM923" t="s">
        <v>3250</v>
      </c>
      <c r="AN923" t="s">
        <v>3250</v>
      </c>
      <c r="AO923" t="s">
        <v>3250</v>
      </c>
      <c r="AS923" t="s">
        <v>3250</v>
      </c>
      <c r="AT923" t="s">
        <v>3250</v>
      </c>
      <c r="AU923" t="s">
        <v>3250</v>
      </c>
      <c r="AV923" t="s">
        <v>3250</v>
      </c>
      <c r="AW923" t="s">
        <v>3250</v>
      </c>
      <c r="AX923" t="s">
        <v>3250</v>
      </c>
      <c r="AY923" t="s">
        <v>3250</v>
      </c>
      <c r="AZ923" t="s">
        <v>3250</v>
      </c>
      <c r="BA923" t="s">
        <v>3250</v>
      </c>
      <c r="BB923" t="s">
        <v>3250</v>
      </c>
      <c r="BC923" t="s">
        <v>3250</v>
      </c>
      <c r="BE923" t="s">
        <v>3250</v>
      </c>
      <c r="BF923" t="s">
        <v>3250</v>
      </c>
      <c r="BG923" t="s">
        <v>3250</v>
      </c>
      <c r="BH923" t="s">
        <v>3250</v>
      </c>
      <c r="BI923" t="s">
        <v>3250</v>
      </c>
      <c r="BK923" t="s">
        <v>3250</v>
      </c>
      <c r="BL923" t="s">
        <v>3250</v>
      </c>
      <c r="BM923" t="s">
        <v>3250</v>
      </c>
      <c r="BN923" t="s">
        <v>3250</v>
      </c>
      <c r="BP923">
        <v>1</v>
      </c>
      <c r="BQ923">
        <v>11</v>
      </c>
      <c r="BR923" t="s">
        <v>1574</v>
      </c>
      <c r="BS923" t="s">
        <v>3252</v>
      </c>
      <c r="BV923">
        <v>0</v>
      </c>
      <c r="BW923">
        <v>0</v>
      </c>
      <c r="BX923">
        <v>-32400</v>
      </c>
      <c r="BY923">
        <v>0</v>
      </c>
      <c r="BZ923">
        <v>0</v>
      </c>
      <c r="CA923">
        <v>0</v>
      </c>
      <c r="CB923">
        <v>0</v>
      </c>
      <c r="CC923">
        <v>0</v>
      </c>
      <c r="CD923">
        <v>0</v>
      </c>
      <c r="CE923" t="s">
        <v>3108</v>
      </c>
      <c r="CF923" t="s">
        <v>3108</v>
      </c>
      <c r="CG923" t="s">
        <v>3108</v>
      </c>
      <c r="CH923" t="s">
        <v>3108</v>
      </c>
    </row>
    <row r="924" spans="1:86" x14ac:dyDescent="0.2">
      <c r="A924" t="s">
        <v>4652</v>
      </c>
      <c r="B924" t="s">
        <v>4652</v>
      </c>
      <c r="C924">
        <v>41392</v>
      </c>
      <c r="D924">
        <v>391</v>
      </c>
      <c r="E924" t="s">
        <v>4653</v>
      </c>
      <c r="F924">
        <v>2100</v>
      </c>
      <c r="G924" t="s">
        <v>458</v>
      </c>
      <c r="H924">
        <v>210001</v>
      </c>
      <c r="I924" t="s">
        <v>1135</v>
      </c>
      <c r="J924" t="s">
        <v>3250</v>
      </c>
      <c r="K924" t="s">
        <v>3250</v>
      </c>
      <c r="L924">
        <v>1100</v>
      </c>
      <c r="M924" t="s">
        <v>119</v>
      </c>
      <c r="N924">
        <v>1110</v>
      </c>
      <c r="O924" t="s">
        <v>284</v>
      </c>
      <c r="P924" t="s">
        <v>3108</v>
      </c>
      <c r="Q924" t="s">
        <v>3249</v>
      </c>
      <c r="R924" t="s">
        <v>3249</v>
      </c>
      <c r="S924" t="s">
        <v>810</v>
      </c>
      <c r="T924" t="s">
        <v>2754</v>
      </c>
      <c r="U924" t="s">
        <v>3250</v>
      </c>
      <c r="V924" t="s">
        <v>3250</v>
      </c>
      <c r="W924" t="s">
        <v>3250</v>
      </c>
      <c r="X924" t="s">
        <v>3250</v>
      </c>
      <c r="Y924" t="s">
        <v>3250</v>
      </c>
      <c r="Z924" t="s">
        <v>3250</v>
      </c>
      <c r="AA924" t="s">
        <v>3108</v>
      </c>
      <c r="AB924" t="s">
        <v>3108</v>
      </c>
      <c r="AC924" t="s">
        <v>3250</v>
      </c>
      <c r="AD924" t="s">
        <v>3250</v>
      </c>
      <c r="AE924" t="s">
        <v>3250</v>
      </c>
      <c r="AF924" t="s">
        <v>3250</v>
      </c>
      <c r="AG924" t="s">
        <v>3250</v>
      </c>
      <c r="AH924" t="s">
        <v>3250</v>
      </c>
      <c r="AI924" t="s">
        <v>3250</v>
      </c>
      <c r="AJ924" t="s">
        <v>3250</v>
      </c>
      <c r="AL924" t="s">
        <v>3250</v>
      </c>
      <c r="AM924" t="s">
        <v>3250</v>
      </c>
      <c r="AN924" t="s">
        <v>3250</v>
      </c>
      <c r="AO924" t="s">
        <v>3250</v>
      </c>
      <c r="AS924" t="s">
        <v>3250</v>
      </c>
      <c r="AT924" t="s">
        <v>3250</v>
      </c>
      <c r="AU924" t="s">
        <v>3250</v>
      </c>
      <c r="AV924" t="s">
        <v>3250</v>
      </c>
      <c r="AW924" t="s">
        <v>3250</v>
      </c>
      <c r="AX924" t="s">
        <v>3250</v>
      </c>
      <c r="AY924" t="s">
        <v>3250</v>
      </c>
      <c r="AZ924" t="s">
        <v>3250</v>
      </c>
      <c r="BA924" t="s">
        <v>3250</v>
      </c>
      <c r="BB924" t="s">
        <v>3250</v>
      </c>
      <c r="BC924" t="s">
        <v>3250</v>
      </c>
      <c r="BE924" t="s">
        <v>3250</v>
      </c>
      <c r="BF924" t="s">
        <v>3250</v>
      </c>
      <c r="BG924" t="s">
        <v>3250</v>
      </c>
      <c r="BH924" t="s">
        <v>3250</v>
      </c>
      <c r="BI924" t="s">
        <v>3250</v>
      </c>
      <c r="BK924" t="s">
        <v>3250</v>
      </c>
      <c r="BL924" t="s">
        <v>3250</v>
      </c>
      <c r="BM924" t="s">
        <v>3250</v>
      </c>
      <c r="BN924" t="s">
        <v>3250</v>
      </c>
      <c r="BP924">
        <v>3</v>
      </c>
      <c r="BQ924">
        <v>32</v>
      </c>
      <c r="BR924" t="s">
        <v>284</v>
      </c>
      <c r="BS924" t="s">
        <v>4381</v>
      </c>
      <c r="BV924">
        <v>638743</v>
      </c>
      <c r="BW924">
        <v>528581</v>
      </c>
      <c r="BX924">
        <v>580173</v>
      </c>
      <c r="BY924">
        <v>685976</v>
      </c>
      <c r="BZ924">
        <v>685976</v>
      </c>
      <c r="CA924">
        <v>720274</v>
      </c>
      <c r="CB924">
        <v>720274</v>
      </c>
      <c r="CC924">
        <v>724998</v>
      </c>
      <c r="CD924">
        <v>646936</v>
      </c>
      <c r="CE924" t="s">
        <v>3108</v>
      </c>
      <c r="CF924" t="s">
        <v>3108</v>
      </c>
      <c r="CG924" t="s">
        <v>3108</v>
      </c>
      <c r="CH924" t="s">
        <v>3108</v>
      </c>
    </row>
    <row r="925" spans="1:86" x14ac:dyDescent="0.2">
      <c r="A925" t="s">
        <v>4654</v>
      </c>
      <c r="B925" t="s">
        <v>4654</v>
      </c>
      <c r="C925">
        <v>41393</v>
      </c>
      <c r="D925">
        <v>392</v>
      </c>
      <c r="E925" t="s">
        <v>4655</v>
      </c>
      <c r="F925">
        <v>2100</v>
      </c>
      <c r="G925" t="s">
        <v>458</v>
      </c>
      <c r="H925">
        <v>210001</v>
      </c>
      <c r="I925" t="s">
        <v>1135</v>
      </c>
      <c r="J925" t="s">
        <v>3250</v>
      </c>
      <c r="K925" t="s">
        <v>3250</v>
      </c>
      <c r="L925">
        <v>1100</v>
      </c>
      <c r="M925" t="s">
        <v>119</v>
      </c>
      <c r="N925">
        <v>1110</v>
      </c>
      <c r="O925" t="s">
        <v>284</v>
      </c>
      <c r="P925" t="s">
        <v>3108</v>
      </c>
      <c r="Q925" t="s">
        <v>3249</v>
      </c>
      <c r="R925" t="s">
        <v>3249</v>
      </c>
      <c r="S925" t="s">
        <v>810</v>
      </c>
      <c r="T925" t="s">
        <v>2754</v>
      </c>
      <c r="U925" t="s">
        <v>3250</v>
      </c>
      <c r="V925" t="s">
        <v>3250</v>
      </c>
      <c r="W925" t="s">
        <v>3250</v>
      </c>
      <c r="X925" t="s">
        <v>3250</v>
      </c>
      <c r="Y925" t="s">
        <v>3250</v>
      </c>
      <c r="Z925" t="s">
        <v>3250</v>
      </c>
      <c r="AA925" t="s">
        <v>3108</v>
      </c>
      <c r="AB925" t="s">
        <v>3108</v>
      </c>
      <c r="AC925" t="s">
        <v>3250</v>
      </c>
      <c r="AD925" t="s">
        <v>3250</v>
      </c>
      <c r="AE925" t="s">
        <v>3250</v>
      </c>
      <c r="AF925" t="s">
        <v>3250</v>
      </c>
      <c r="AG925" t="s">
        <v>3250</v>
      </c>
      <c r="AH925" t="s">
        <v>3250</v>
      </c>
      <c r="AI925" t="s">
        <v>3250</v>
      </c>
      <c r="AJ925" t="s">
        <v>3250</v>
      </c>
      <c r="AL925" t="s">
        <v>3250</v>
      </c>
      <c r="AM925" t="s">
        <v>3250</v>
      </c>
      <c r="AN925" t="s">
        <v>3250</v>
      </c>
      <c r="AO925" t="s">
        <v>3250</v>
      </c>
      <c r="AS925" t="s">
        <v>3250</v>
      </c>
      <c r="AT925" t="s">
        <v>3250</v>
      </c>
      <c r="AU925" t="s">
        <v>3250</v>
      </c>
      <c r="AV925" t="s">
        <v>3250</v>
      </c>
      <c r="AW925" t="s">
        <v>3250</v>
      </c>
      <c r="AX925" t="s">
        <v>3250</v>
      </c>
      <c r="AY925" t="s">
        <v>3250</v>
      </c>
      <c r="AZ925" t="s">
        <v>3250</v>
      </c>
      <c r="BA925" t="s">
        <v>3250</v>
      </c>
      <c r="BB925" t="s">
        <v>3250</v>
      </c>
      <c r="BC925" t="s">
        <v>3250</v>
      </c>
      <c r="BE925" t="s">
        <v>3250</v>
      </c>
      <c r="BF925" t="s">
        <v>3250</v>
      </c>
      <c r="BG925" t="s">
        <v>3250</v>
      </c>
      <c r="BH925" t="s">
        <v>3250</v>
      </c>
      <c r="BI925" t="s">
        <v>3250</v>
      </c>
      <c r="BK925" t="s">
        <v>3250</v>
      </c>
      <c r="BL925" t="s">
        <v>3250</v>
      </c>
      <c r="BM925" t="s">
        <v>3250</v>
      </c>
      <c r="BN925" t="s">
        <v>3250</v>
      </c>
      <c r="BP925">
        <v>3</v>
      </c>
      <c r="BQ925">
        <v>32</v>
      </c>
      <c r="BR925" t="s">
        <v>284</v>
      </c>
      <c r="BS925" t="s">
        <v>4381</v>
      </c>
      <c r="BV925">
        <v>514309</v>
      </c>
      <c r="BW925">
        <v>484181</v>
      </c>
      <c r="BX925">
        <v>585677</v>
      </c>
      <c r="BY925">
        <v>685976</v>
      </c>
      <c r="BZ925">
        <v>3384300</v>
      </c>
      <c r="CA925">
        <v>720274</v>
      </c>
      <c r="CB925">
        <v>720274</v>
      </c>
      <c r="CC925">
        <v>724998</v>
      </c>
      <c r="CD925">
        <v>597707</v>
      </c>
      <c r="CE925" t="s">
        <v>3108</v>
      </c>
      <c r="CF925" t="s">
        <v>3108</v>
      </c>
      <c r="CG925" t="s">
        <v>3108</v>
      </c>
      <c r="CH925" t="s">
        <v>3108</v>
      </c>
    </row>
    <row r="926" spans="1:86" x14ac:dyDescent="0.2">
      <c r="A926" t="s">
        <v>4656</v>
      </c>
      <c r="B926" t="s">
        <v>4656</v>
      </c>
      <c r="C926">
        <v>41394</v>
      </c>
      <c r="D926">
        <v>393</v>
      </c>
      <c r="E926" t="s">
        <v>4657</v>
      </c>
      <c r="F926">
        <v>2100</v>
      </c>
      <c r="G926" t="s">
        <v>458</v>
      </c>
      <c r="H926">
        <v>210005</v>
      </c>
      <c r="I926" t="s">
        <v>1793</v>
      </c>
      <c r="J926" t="s">
        <v>3250</v>
      </c>
      <c r="K926" t="s">
        <v>3250</v>
      </c>
      <c r="L926">
        <v>1100</v>
      </c>
      <c r="M926" t="s">
        <v>119</v>
      </c>
      <c r="N926">
        <v>1110</v>
      </c>
      <c r="O926" t="s">
        <v>284</v>
      </c>
      <c r="P926" t="s">
        <v>3108</v>
      </c>
      <c r="Q926" t="s">
        <v>3249</v>
      </c>
      <c r="R926" t="s">
        <v>3249</v>
      </c>
      <c r="S926" t="s">
        <v>810</v>
      </c>
      <c r="T926" t="s">
        <v>2754</v>
      </c>
      <c r="U926" t="s">
        <v>3250</v>
      </c>
      <c r="V926" t="s">
        <v>3250</v>
      </c>
      <c r="W926" t="s">
        <v>3250</v>
      </c>
      <c r="X926" t="s">
        <v>3250</v>
      </c>
      <c r="Y926" t="s">
        <v>3250</v>
      </c>
      <c r="Z926" t="s">
        <v>3250</v>
      </c>
      <c r="AA926" t="s">
        <v>3108</v>
      </c>
      <c r="AB926" t="s">
        <v>3108</v>
      </c>
      <c r="AC926" t="s">
        <v>3250</v>
      </c>
      <c r="AD926" t="s">
        <v>3250</v>
      </c>
      <c r="AE926" t="s">
        <v>3250</v>
      </c>
      <c r="AF926" t="s">
        <v>3250</v>
      </c>
      <c r="AG926" t="s">
        <v>3250</v>
      </c>
      <c r="AH926" t="s">
        <v>3250</v>
      </c>
      <c r="AI926" t="s">
        <v>3250</v>
      </c>
      <c r="AJ926" t="s">
        <v>3250</v>
      </c>
      <c r="AL926" t="s">
        <v>3250</v>
      </c>
      <c r="AM926" t="s">
        <v>3250</v>
      </c>
      <c r="AN926" t="s">
        <v>3250</v>
      </c>
      <c r="AO926" t="s">
        <v>3250</v>
      </c>
      <c r="AS926" t="s">
        <v>3250</v>
      </c>
      <c r="AT926" t="s">
        <v>3250</v>
      </c>
      <c r="AU926" t="s">
        <v>3250</v>
      </c>
      <c r="AV926" t="s">
        <v>3250</v>
      </c>
      <c r="AW926" t="s">
        <v>3250</v>
      </c>
      <c r="AX926" t="s">
        <v>3250</v>
      </c>
      <c r="AY926" t="s">
        <v>3250</v>
      </c>
      <c r="AZ926" t="s">
        <v>3250</v>
      </c>
      <c r="BA926" t="s">
        <v>3250</v>
      </c>
      <c r="BB926" t="s">
        <v>3250</v>
      </c>
      <c r="BC926" t="s">
        <v>3250</v>
      </c>
      <c r="BE926" t="s">
        <v>3250</v>
      </c>
      <c r="BF926" t="s">
        <v>3250</v>
      </c>
      <c r="BG926" t="s">
        <v>3250</v>
      </c>
      <c r="BH926" t="s">
        <v>3250</v>
      </c>
      <c r="BI926" t="s">
        <v>3250</v>
      </c>
      <c r="BK926" t="s">
        <v>3250</v>
      </c>
      <c r="BL926" t="s">
        <v>3250</v>
      </c>
      <c r="BM926" t="s">
        <v>3250</v>
      </c>
      <c r="BN926" t="s">
        <v>3250</v>
      </c>
      <c r="BP926">
        <v>3</v>
      </c>
      <c r="BQ926">
        <v>32</v>
      </c>
      <c r="BR926" t="s">
        <v>284</v>
      </c>
      <c r="BS926" t="s">
        <v>4381</v>
      </c>
      <c r="BV926">
        <v>47100</v>
      </c>
      <c r="BW926">
        <v>48000</v>
      </c>
      <c r="BX926">
        <v>35700</v>
      </c>
      <c r="BY926">
        <v>44400</v>
      </c>
      <c r="BZ926">
        <v>488400</v>
      </c>
      <c r="CA926">
        <v>46620</v>
      </c>
      <c r="CB926">
        <v>44400</v>
      </c>
      <c r="CC926">
        <v>44400</v>
      </c>
      <c r="CD926">
        <v>37000</v>
      </c>
      <c r="CE926" t="s">
        <v>3108</v>
      </c>
      <c r="CF926" t="s">
        <v>3108</v>
      </c>
      <c r="CG926" t="s">
        <v>3108</v>
      </c>
      <c r="CH926" t="s">
        <v>3108</v>
      </c>
    </row>
    <row r="927" spans="1:86" x14ac:dyDescent="0.2">
      <c r="A927" t="s">
        <v>4658</v>
      </c>
      <c r="B927" t="s">
        <v>4658</v>
      </c>
      <c r="C927">
        <v>41395</v>
      </c>
      <c r="D927">
        <v>394</v>
      </c>
      <c r="E927" t="s">
        <v>4659</v>
      </c>
      <c r="F927">
        <v>2100</v>
      </c>
      <c r="G927" t="s">
        <v>458</v>
      </c>
      <c r="H927">
        <v>210001</v>
      </c>
      <c r="I927" t="s">
        <v>1135</v>
      </c>
      <c r="J927" t="s">
        <v>3250</v>
      </c>
      <c r="K927" t="s">
        <v>3250</v>
      </c>
      <c r="L927">
        <v>1100</v>
      </c>
      <c r="M927" t="s">
        <v>119</v>
      </c>
      <c r="N927">
        <v>1110</v>
      </c>
      <c r="O927" t="s">
        <v>284</v>
      </c>
      <c r="P927" t="s">
        <v>3108</v>
      </c>
      <c r="Q927" t="s">
        <v>3249</v>
      </c>
      <c r="R927" t="s">
        <v>3249</v>
      </c>
      <c r="S927" t="s">
        <v>810</v>
      </c>
      <c r="T927" t="s">
        <v>2754</v>
      </c>
      <c r="U927" t="s">
        <v>3250</v>
      </c>
      <c r="V927" t="s">
        <v>3250</v>
      </c>
      <c r="W927" t="s">
        <v>3250</v>
      </c>
      <c r="X927" t="s">
        <v>3250</v>
      </c>
      <c r="Y927" t="s">
        <v>3250</v>
      </c>
      <c r="Z927" t="s">
        <v>3250</v>
      </c>
      <c r="AA927" t="s">
        <v>3108</v>
      </c>
      <c r="AB927" t="s">
        <v>3108</v>
      </c>
      <c r="AC927" t="s">
        <v>3250</v>
      </c>
      <c r="AD927" t="s">
        <v>3250</v>
      </c>
      <c r="AE927" t="s">
        <v>3250</v>
      </c>
      <c r="AF927" t="s">
        <v>3250</v>
      </c>
      <c r="AG927" t="s">
        <v>3250</v>
      </c>
      <c r="AH927" t="s">
        <v>3250</v>
      </c>
      <c r="AI927" t="s">
        <v>3250</v>
      </c>
      <c r="AJ927" t="s">
        <v>3250</v>
      </c>
      <c r="AL927" t="s">
        <v>3250</v>
      </c>
      <c r="AM927" t="s">
        <v>3250</v>
      </c>
      <c r="AN927" t="s">
        <v>3250</v>
      </c>
      <c r="AO927" t="s">
        <v>3250</v>
      </c>
      <c r="AS927" t="s">
        <v>3250</v>
      </c>
      <c r="AT927" t="s">
        <v>3250</v>
      </c>
      <c r="AU927" t="s">
        <v>3250</v>
      </c>
      <c r="AV927" t="s">
        <v>3250</v>
      </c>
      <c r="AW927" t="s">
        <v>3250</v>
      </c>
      <c r="AX927" t="s">
        <v>3250</v>
      </c>
      <c r="AY927" t="s">
        <v>3250</v>
      </c>
      <c r="AZ927" t="s">
        <v>3250</v>
      </c>
      <c r="BA927" t="s">
        <v>3250</v>
      </c>
      <c r="BB927" t="s">
        <v>3250</v>
      </c>
      <c r="BC927" t="s">
        <v>3250</v>
      </c>
      <c r="BE927" t="s">
        <v>3250</v>
      </c>
      <c r="BF927" t="s">
        <v>3250</v>
      </c>
      <c r="BG927" t="s">
        <v>3250</v>
      </c>
      <c r="BH927" t="s">
        <v>3250</v>
      </c>
      <c r="BI927" t="s">
        <v>3250</v>
      </c>
      <c r="BK927" t="s">
        <v>3250</v>
      </c>
      <c r="BL927" t="s">
        <v>3250</v>
      </c>
      <c r="BM927" t="s">
        <v>3250</v>
      </c>
      <c r="BN927" t="s">
        <v>3250</v>
      </c>
      <c r="BP927">
        <v>3</v>
      </c>
      <c r="BQ927">
        <v>32</v>
      </c>
      <c r="BR927" t="s">
        <v>284</v>
      </c>
      <c r="BS927" t="s">
        <v>4381</v>
      </c>
      <c r="BV927">
        <v>253862</v>
      </c>
      <c r="BW927">
        <v>253233</v>
      </c>
      <c r="BX927">
        <v>301566</v>
      </c>
      <c r="BY927">
        <v>390131</v>
      </c>
      <c r="BZ927">
        <v>390131</v>
      </c>
      <c r="CA927">
        <v>409637</v>
      </c>
      <c r="CB927">
        <v>410037</v>
      </c>
      <c r="CC927">
        <v>413022</v>
      </c>
      <c r="CD927">
        <v>1072693</v>
      </c>
      <c r="CE927" t="s">
        <v>3108</v>
      </c>
      <c r="CF927" t="s">
        <v>3108</v>
      </c>
      <c r="CG927" t="s">
        <v>3108</v>
      </c>
      <c r="CH927" t="s">
        <v>3108</v>
      </c>
    </row>
    <row r="928" spans="1:86" x14ac:dyDescent="0.2">
      <c r="A928" t="s">
        <v>4660</v>
      </c>
      <c r="B928" t="s">
        <v>4660</v>
      </c>
      <c r="C928">
        <v>41396</v>
      </c>
      <c r="D928">
        <v>395</v>
      </c>
      <c r="E928" t="s">
        <v>4661</v>
      </c>
      <c r="F928">
        <v>2100</v>
      </c>
      <c r="G928" t="s">
        <v>458</v>
      </c>
      <c r="H928">
        <v>210005</v>
      </c>
      <c r="I928" t="s">
        <v>1793</v>
      </c>
      <c r="J928" t="s">
        <v>3250</v>
      </c>
      <c r="K928" t="s">
        <v>3250</v>
      </c>
      <c r="L928">
        <v>1100</v>
      </c>
      <c r="M928" t="s">
        <v>119</v>
      </c>
      <c r="N928">
        <v>1110</v>
      </c>
      <c r="O928" t="s">
        <v>284</v>
      </c>
      <c r="P928" t="s">
        <v>3108</v>
      </c>
      <c r="Q928" t="s">
        <v>3249</v>
      </c>
      <c r="R928" t="s">
        <v>3249</v>
      </c>
      <c r="S928" t="s">
        <v>810</v>
      </c>
      <c r="T928" t="s">
        <v>2754</v>
      </c>
      <c r="U928" t="s">
        <v>3250</v>
      </c>
      <c r="V928" t="s">
        <v>3250</v>
      </c>
      <c r="W928" t="s">
        <v>3250</v>
      </c>
      <c r="X928" t="s">
        <v>3250</v>
      </c>
      <c r="Y928" t="s">
        <v>3250</v>
      </c>
      <c r="Z928" t="s">
        <v>3250</v>
      </c>
      <c r="AA928" t="s">
        <v>3108</v>
      </c>
      <c r="AB928" t="s">
        <v>3108</v>
      </c>
      <c r="AC928" t="s">
        <v>3250</v>
      </c>
      <c r="AD928" t="s">
        <v>3250</v>
      </c>
      <c r="AE928" t="s">
        <v>3250</v>
      </c>
      <c r="AF928" t="s">
        <v>3250</v>
      </c>
      <c r="AG928" t="s">
        <v>3250</v>
      </c>
      <c r="AH928" t="s">
        <v>3250</v>
      </c>
      <c r="AI928" t="s">
        <v>3250</v>
      </c>
      <c r="AJ928" t="s">
        <v>3250</v>
      </c>
      <c r="AL928" t="s">
        <v>3250</v>
      </c>
      <c r="AM928" t="s">
        <v>3250</v>
      </c>
      <c r="AN928" t="s">
        <v>3250</v>
      </c>
      <c r="AO928" t="s">
        <v>3250</v>
      </c>
      <c r="AS928" t="s">
        <v>3250</v>
      </c>
      <c r="AT928" t="s">
        <v>3250</v>
      </c>
      <c r="AU928" t="s">
        <v>3250</v>
      </c>
      <c r="AV928" t="s">
        <v>3250</v>
      </c>
      <c r="AW928" t="s">
        <v>3250</v>
      </c>
      <c r="AX928" t="s">
        <v>3250</v>
      </c>
      <c r="AY928" t="s">
        <v>3250</v>
      </c>
      <c r="AZ928" t="s">
        <v>3250</v>
      </c>
      <c r="BA928" t="s">
        <v>3250</v>
      </c>
      <c r="BB928" t="s">
        <v>3250</v>
      </c>
      <c r="BC928" t="s">
        <v>3250</v>
      </c>
      <c r="BE928" t="s">
        <v>3250</v>
      </c>
      <c r="BF928" t="s">
        <v>3250</v>
      </c>
      <c r="BG928" t="s">
        <v>3250</v>
      </c>
      <c r="BH928" t="s">
        <v>3250</v>
      </c>
      <c r="BI928" t="s">
        <v>3250</v>
      </c>
      <c r="BK928" t="s">
        <v>3250</v>
      </c>
      <c r="BL928" t="s">
        <v>3250</v>
      </c>
      <c r="BM928" t="s">
        <v>3250</v>
      </c>
      <c r="BN928" t="s">
        <v>3250</v>
      </c>
      <c r="BP928">
        <v>3</v>
      </c>
      <c r="BQ928">
        <v>32</v>
      </c>
      <c r="BR928" t="s">
        <v>284</v>
      </c>
      <c r="BS928" t="s">
        <v>4381</v>
      </c>
      <c r="BV928">
        <v>47400</v>
      </c>
      <c r="BW928">
        <v>44400</v>
      </c>
      <c r="BX928">
        <v>32400</v>
      </c>
      <c r="BY928">
        <v>44400</v>
      </c>
      <c r="BZ928">
        <v>44400</v>
      </c>
      <c r="CA928">
        <v>46620</v>
      </c>
      <c r="CB928">
        <v>44400</v>
      </c>
      <c r="CC928">
        <v>44400</v>
      </c>
      <c r="CD928">
        <v>3700</v>
      </c>
      <c r="CE928" t="s">
        <v>3108</v>
      </c>
      <c r="CF928" t="s">
        <v>3108</v>
      </c>
      <c r="CG928" t="s">
        <v>3108</v>
      </c>
      <c r="CH928" t="s">
        <v>3108</v>
      </c>
    </row>
    <row r="929" spans="1:86" x14ac:dyDescent="0.2">
      <c r="A929" t="s">
        <v>4662</v>
      </c>
      <c r="B929" t="s">
        <v>4662</v>
      </c>
      <c r="C929">
        <v>41397</v>
      </c>
      <c r="D929">
        <v>396</v>
      </c>
      <c r="E929" t="s">
        <v>4663</v>
      </c>
      <c r="F929">
        <v>2900</v>
      </c>
      <c r="G929" t="s">
        <v>822</v>
      </c>
      <c r="H929" t="s">
        <v>3108</v>
      </c>
      <c r="I929" t="s">
        <v>3108</v>
      </c>
      <c r="J929">
        <v>2904</v>
      </c>
      <c r="K929" t="s">
        <v>1690</v>
      </c>
      <c r="L929">
        <v>1100</v>
      </c>
      <c r="M929" t="s">
        <v>119</v>
      </c>
      <c r="N929">
        <v>1110</v>
      </c>
      <c r="O929" t="s">
        <v>284</v>
      </c>
      <c r="P929" t="s">
        <v>3108</v>
      </c>
      <c r="Q929" t="s">
        <v>3249</v>
      </c>
      <c r="R929" t="s">
        <v>3249</v>
      </c>
      <c r="S929" t="s">
        <v>810</v>
      </c>
      <c r="T929" t="s">
        <v>2754</v>
      </c>
      <c r="U929" t="s">
        <v>3250</v>
      </c>
      <c r="V929" t="s">
        <v>3250</v>
      </c>
      <c r="W929" t="s">
        <v>3250</v>
      </c>
      <c r="X929" t="s">
        <v>3250</v>
      </c>
      <c r="Y929" t="s">
        <v>3250</v>
      </c>
      <c r="Z929" t="s">
        <v>3250</v>
      </c>
      <c r="AA929" t="s">
        <v>3108</v>
      </c>
      <c r="AB929" t="s">
        <v>3108</v>
      </c>
      <c r="AC929" t="s">
        <v>3250</v>
      </c>
      <c r="AD929" t="s">
        <v>3250</v>
      </c>
      <c r="AE929" t="s">
        <v>3250</v>
      </c>
      <c r="AF929" t="s">
        <v>3250</v>
      </c>
      <c r="AG929" t="s">
        <v>3250</v>
      </c>
      <c r="AH929" t="s">
        <v>3250</v>
      </c>
      <c r="AI929" t="s">
        <v>3250</v>
      </c>
      <c r="AJ929" t="s">
        <v>3250</v>
      </c>
      <c r="AL929" t="s">
        <v>3250</v>
      </c>
      <c r="AM929" t="s">
        <v>3250</v>
      </c>
      <c r="AN929" t="s">
        <v>3250</v>
      </c>
      <c r="AO929" t="s">
        <v>3250</v>
      </c>
      <c r="AS929" t="s">
        <v>3250</v>
      </c>
      <c r="AT929" t="s">
        <v>3250</v>
      </c>
      <c r="AU929" t="s">
        <v>3250</v>
      </c>
      <c r="AV929" t="s">
        <v>3250</v>
      </c>
      <c r="AW929" t="s">
        <v>3250</v>
      </c>
      <c r="AX929" t="s">
        <v>3250</v>
      </c>
      <c r="AY929" t="s">
        <v>3250</v>
      </c>
      <c r="AZ929" t="s">
        <v>3250</v>
      </c>
      <c r="BA929" t="s">
        <v>3250</v>
      </c>
      <c r="BB929" t="s">
        <v>3250</v>
      </c>
      <c r="BC929" t="s">
        <v>3250</v>
      </c>
      <c r="BE929" t="s">
        <v>3250</v>
      </c>
      <c r="BF929" t="s">
        <v>3250</v>
      </c>
      <c r="BG929" t="s">
        <v>3250</v>
      </c>
      <c r="BH929" t="s">
        <v>3250</v>
      </c>
      <c r="BI929" t="s">
        <v>3250</v>
      </c>
      <c r="BK929" t="s">
        <v>3250</v>
      </c>
      <c r="BL929" t="s">
        <v>3250</v>
      </c>
      <c r="BM929" t="s">
        <v>3250</v>
      </c>
      <c r="BN929" t="s">
        <v>3250</v>
      </c>
      <c r="BP929">
        <v>3</v>
      </c>
      <c r="BQ929">
        <v>32</v>
      </c>
      <c r="BR929" t="s">
        <v>284</v>
      </c>
      <c r="BS929" t="s">
        <v>4381</v>
      </c>
      <c r="BV929">
        <v>0</v>
      </c>
      <c r="BW929">
        <v>0</v>
      </c>
      <c r="BX929">
        <v>0</v>
      </c>
      <c r="BY929">
        <v>0</v>
      </c>
      <c r="BZ929">
        <v>0</v>
      </c>
      <c r="CA929">
        <v>0</v>
      </c>
      <c r="CB929">
        <v>0</v>
      </c>
      <c r="CC929">
        <v>0</v>
      </c>
      <c r="CD929">
        <v>0</v>
      </c>
      <c r="CE929" t="s">
        <v>3108</v>
      </c>
      <c r="CF929" t="s">
        <v>3108</v>
      </c>
      <c r="CG929" t="s">
        <v>3108</v>
      </c>
      <c r="CH929" t="s">
        <v>3108</v>
      </c>
    </row>
    <row r="930" spans="1:86" x14ac:dyDescent="0.2">
      <c r="A930" t="s">
        <v>4664</v>
      </c>
      <c r="B930" t="s">
        <v>4664</v>
      </c>
      <c r="C930">
        <v>41398</v>
      </c>
      <c r="D930">
        <v>397</v>
      </c>
      <c r="E930" t="s">
        <v>4665</v>
      </c>
      <c r="F930">
        <v>2100</v>
      </c>
      <c r="G930" t="s">
        <v>458</v>
      </c>
      <c r="H930">
        <v>210001</v>
      </c>
      <c r="I930" t="s">
        <v>1135</v>
      </c>
      <c r="J930" t="s">
        <v>3250</v>
      </c>
      <c r="K930" t="s">
        <v>3250</v>
      </c>
      <c r="L930">
        <v>1100</v>
      </c>
      <c r="M930" t="s">
        <v>119</v>
      </c>
      <c r="N930">
        <v>1110</v>
      </c>
      <c r="O930" t="s">
        <v>284</v>
      </c>
      <c r="P930" t="s">
        <v>3108</v>
      </c>
      <c r="Q930" t="s">
        <v>3249</v>
      </c>
      <c r="R930" t="s">
        <v>3249</v>
      </c>
      <c r="S930" t="s">
        <v>810</v>
      </c>
      <c r="T930" t="s">
        <v>2754</v>
      </c>
      <c r="U930" t="s">
        <v>3250</v>
      </c>
      <c r="V930" t="s">
        <v>3250</v>
      </c>
      <c r="W930" t="s">
        <v>3250</v>
      </c>
      <c r="X930" t="s">
        <v>3250</v>
      </c>
      <c r="Y930" t="s">
        <v>3250</v>
      </c>
      <c r="Z930" t="s">
        <v>3250</v>
      </c>
      <c r="AA930" t="s">
        <v>3108</v>
      </c>
      <c r="AB930" t="s">
        <v>3108</v>
      </c>
      <c r="AC930" t="s">
        <v>3250</v>
      </c>
      <c r="AD930" t="s">
        <v>3250</v>
      </c>
      <c r="AE930" t="s">
        <v>3250</v>
      </c>
      <c r="AF930" t="s">
        <v>3250</v>
      </c>
      <c r="AG930" t="s">
        <v>3250</v>
      </c>
      <c r="AH930" t="s">
        <v>3250</v>
      </c>
      <c r="AI930" t="s">
        <v>3250</v>
      </c>
      <c r="AJ930" t="s">
        <v>3250</v>
      </c>
      <c r="AL930" t="s">
        <v>3250</v>
      </c>
      <c r="AM930" t="s">
        <v>3250</v>
      </c>
      <c r="AN930" t="s">
        <v>3250</v>
      </c>
      <c r="AO930" t="s">
        <v>3250</v>
      </c>
      <c r="AS930" t="s">
        <v>3250</v>
      </c>
      <c r="AT930" t="s">
        <v>3250</v>
      </c>
      <c r="AU930" t="s">
        <v>3250</v>
      </c>
      <c r="AV930" t="s">
        <v>3250</v>
      </c>
      <c r="AW930" t="s">
        <v>3250</v>
      </c>
      <c r="AX930" t="s">
        <v>3250</v>
      </c>
      <c r="AY930" t="s">
        <v>3250</v>
      </c>
      <c r="AZ930" t="s">
        <v>3250</v>
      </c>
      <c r="BA930" t="s">
        <v>3250</v>
      </c>
      <c r="BB930" t="s">
        <v>3250</v>
      </c>
      <c r="BC930" t="s">
        <v>3250</v>
      </c>
      <c r="BE930" t="s">
        <v>3250</v>
      </c>
      <c r="BF930" t="s">
        <v>3250</v>
      </c>
      <c r="BG930" t="s">
        <v>3250</v>
      </c>
      <c r="BH930" t="s">
        <v>3250</v>
      </c>
      <c r="BI930" t="s">
        <v>3250</v>
      </c>
      <c r="BK930" t="s">
        <v>3250</v>
      </c>
      <c r="BL930" t="s">
        <v>3250</v>
      </c>
      <c r="BM930" t="s">
        <v>3250</v>
      </c>
      <c r="BN930" t="s">
        <v>3250</v>
      </c>
      <c r="BP930">
        <v>3</v>
      </c>
      <c r="BQ930">
        <v>32</v>
      </c>
      <c r="BR930" t="s">
        <v>284</v>
      </c>
      <c r="BS930" t="s">
        <v>4381</v>
      </c>
      <c r="BV930">
        <v>3382955</v>
      </c>
      <c r="BW930">
        <v>3364451</v>
      </c>
      <c r="BX930">
        <v>2577553</v>
      </c>
      <c r="BY930">
        <v>3077245</v>
      </c>
      <c r="BZ930">
        <v>378921</v>
      </c>
      <c r="CA930">
        <v>3231107</v>
      </c>
      <c r="CB930">
        <v>548717</v>
      </c>
      <c r="CC930">
        <v>3699296</v>
      </c>
      <c r="CD930">
        <v>1615783</v>
      </c>
      <c r="CE930" t="s">
        <v>3108</v>
      </c>
      <c r="CF930" t="s">
        <v>3108</v>
      </c>
      <c r="CG930" t="s">
        <v>3108</v>
      </c>
      <c r="CH930" t="s">
        <v>3108</v>
      </c>
    </row>
    <row r="931" spans="1:86" x14ac:dyDescent="0.2">
      <c r="A931" t="s">
        <v>4666</v>
      </c>
      <c r="B931" t="s">
        <v>4666</v>
      </c>
      <c r="C931">
        <v>41399</v>
      </c>
      <c r="D931">
        <v>398</v>
      </c>
      <c r="E931" t="s">
        <v>4667</v>
      </c>
      <c r="F931">
        <v>2100</v>
      </c>
      <c r="G931" t="s">
        <v>458</v>
      </c>
      <c r="H931">
        <v>210005</v>
      </c>
      <c r="I931" t="s">
        <v>1793</v>
      </c>
      <c r="J931" t="s">
        <v>3250</v>
      </c>
      <c r="K931" t="s">
        <v>3250</v>
      </c>
      <c r="L931">
        <v>1100</v>
      </c>
      <c r="M931" t="s">
        <v>119</v>
      </c>
      <c r="N931">
        <v>1110</v>
      </c>
      <c r="O931" t="s">
        <v>284</v>
      </c>
      <c r="P931" t="s">
        <v>3108</v>
      </c>
      <c r="Q931" t="s">
        <v>3249</v>
      </c>
      <c r="R931" t="s">
        <v>3249</v>
      </c>
      <c r="S931" t="s">
        <v>810</v>
      </c>
      <c r="T931" t="s">
        <v>2754</v>
      </c>
      <c r="U931" t="s">
        <v>3250</v>
      </c>
      <c r="V931" t="s">
        <v>3250</v>
      </c>
      <c r="W931" t="s">
        <v>3250</v>
      </c>
      <c r="X931" t="s">
        <v>3250</v>
      </c>
      <c r="Y931" t="s">
        <v>3250</v>
      </c>
      <c r="Z931" t="s">
        <v>3250</v>
      </c>
      <c r="AA931" t="s">
        <v>3108</v>
      </c>
      <c r="AB931" t="s">
        <v>3108</v>
      </c>
      <c r="AC931" t="s">
        <v>3250</v>
      </c>
      <c r="AD931" t="s">
        <v>3250</v>
      </c>
      <c r="AE931" t="s">
        <v>3250</v>
      </c>
      <c r="AF931" t="s">
        <v>3250</v>
      </c>
      <c r="AG931" t="s">
        <v>3250</v>
      </c>
      <c r="AH931" t="s">
        <v>3250</v>
      </c>
      <c r="AI931" t="s">
        <v>3250</v>
      </c>
      <c r="AJ931" t="s">
        <v>3250</v>
      </c>
      <c r="AL931" t="s">
        <v>3250</v>
      </c>
      <c r="AM931" t="s">
        <v>3250</v>
      </c>
      <c r="AN931" t="s">
        <v>3250</v>
      </c>
      <c r="AO931" t="s">
        <v>3250</v>
      </c>
      <c r="AS931" t="s">
        <v>3250</v>
      </c>
      <c r="AT931" t="s">
        <v>3250</v>
      </c>
      <c r="AU931" t="s">
        <v>3250</v>
      </c>
      <c r="AV931" t="s">
        <v>3250</v>
      </c>
      <c r="AW931" t="s">
        <v>3250</v>
      </c>
      <c r="AX931" t="s">
        <v>3250</v>
      </c>
      <c r="AY931" t="s">
        <v>3250</v>
      </c>
      <c r="AZ931" t="s">
        <v>3250</v>
      </c>
      <c r="BA931" t="s">
        <v>3250</v>
      </c>
      <c r="BB931" t="s">
        <v>3250</v>
      </c>
      <c r="BC931" t="s">
        <v>3250</v>
      </c>
      <c r="BE931" t="s">
        <v>3250</v>
      </c>
      <c r="BF931" t="s">
        <v>3250</v>
      </c>
      <c r="BG931" t="s">
        <v>3250</v>
      </c>
      <c r="BH931" t="s">
        <v>3250</v>
      </c>
      <c r="BI931" t="s">
        <v>3250</v>
      </c>
      <c r="BK931" t="s">
        <v>3250</v>
      </c>
      <c r="BL931" t="s">
        <v>3250</v>
      </c>
      <c r="BM931" t="s">
        <v>3250</v>
      </c>
      <c r="BN931" t="s">
        <v>3250</v>
      </c>
      <c r="BP931">
        <v>3</v>
      </c>
      <c r="BQ931">
        <v>32</v>
      </c>
      <c r="BR931" t="s">
        <v>284</v>
      </c>
      <c r="BS931" t="s">
        <v>4381</v>
      </c>
      <c r="BV931">
        <v>458230</v>
      </c>
      <c r="BW931">
        <v>440300</v>
      </c>
      <c r="BX931">
        <v>305600</v>
      </c>
      <c r="BY931">
        <v>488400</v>
      </c>
      <c r="BZ931">
        <v>44400</v>
      </c>
      <c r="CA931">
        <v>512820</v>
      </c>
      <c r="CB931">
        <v>548717</v>
      </c>
      <c r="CC931">
        <v>587128</v>
      </c>
      <c r="CD931">
        <v>213000</v>
      </c>
      <c r="CE931" t="s">
        <v>3108</v>
      </c>
      <c r="CF931" t="s">
        <v>3108</v>
      </c>
      <c r="CG931" t="s">
        <v>3108</v>
      </c>
      <c r="CH931" t="s">
        <v>3108</v>
      </c>
    </row>
    <row r="932" spans="1:86" x14ac:dyDescent="0.2">
      <c r="A932" t="s">
        <v>4668</v>
      </c>
      <c r="B932" t="s">
        <v>4668</v>
      </c>
      <c r="C932">
        <v>41400</v>
      </c>
      <c r="D932">
        <v>709</v>
      </c>
      <c r="E932" t="s">
        <v>4615</v>
      </c>
      <c r="F932">
        <v>2700</v>
      </c>
      <c r="G932" t="s">
        <v>411</v>
      </c>
      <c r="H932" t="s">
        <v>4004</v>
      </c>
      <c r="I932" t="s">
        <v>2531</v>
      </c>
      <c r="J932">
        <v>2701</v>
      </c>
      <c r="K932" t="s">
        <v>2531</v>
      </c>
      <c r="L932">
        <v>1200</v>
      </c>
      <c r="M932" t="s">
        <v>2368</v>
      </c>
      <c r="N932">
        <v>1201</v>
      </c>
      <c r="O932" t="s">
        <v>2370</v>
      </c>
      <c r="P932" t="s">
        <v>3108</v>
      </c>
      <c r="Q932" t="s">
        <v>3249</v>
      </c>
      <c r="R932" t="s">
        <v>3249</v>
      </c>
      <c r="S932" t="s">
        <v>810</v>
      </c>
      <c r="T932" t="s">
        <v>2754</v>
      </c>
      <c r="U932" t="s">
        <v>3250</v>
      </c>
      <c r="V932" t="s">
        <v>3250</v>
      </c>
      <c r="W932" t="s">
        <v>3250</v>
      </c>
      <c r="X932" t="s">
        <v>3250</v>
      </c>
      <c r="Y932" t="s">
        <v>3250</v>
      </c>
      <c r="Z932" t="s">
        <v>3250</v>
      </c>
      <c r="AA932" t="s">
        <v>3108</v>
      </c>
      <c r="AB932" t="s">
        <v>3108</v>
      </c>
      <c r="AC932" t="s">
        <v>3250</v>
      </c>
      <c r="AD932" t="s">
        <v>3250</v>
      </c>
      <c r="AE932" t="s">
        <v>3250</v>
      </c>
      <c r="AF932" t="s">
        <v>3250</v>
      </c>
      <c r="AG932" t="s">
        <v>3250</v>
      </c>
      <c r="AH932" t="s">
        <v>3250</v>
      </c>
      <c r="AI932" t="s">
        <v>3250</v>
      </c>
      <c r="AJ932" t="s">
        <v>3250</v>
      </c>
      <c r="AL932" t="s">
        <v>3250</v>
      </c>
      <c r="AM932" t="s">
        <v>3250</v>
      </c>
      <c r="AN932" t="s">
        <v>3250</v>
      </c>
      <c r="AO932" t="s">
        <v>3250</v>
      </c>
      <c r="AS932" t="s">
        <v>3250</v>
      </c>
      <c r="AT932" t="s">
        <v>3250</v>
      </c>
      <c r="AU932" t="s">
        <v>3250</v>
      </c>
      <c r="AV932" t="s">
        <v>3250</v>
      </c>
      <c r="AW932" t="s">
        <v>3250</v>
      </c>
      <c r="AX932" t="s">
        <v>3250</v>
      </c>
      <c r="AY932" t="s">
        <v>3250</v>
      </c>
      <c r="AZ932" t="s">
        <v>3250</v>
      </c>
      <c r="BA932" t="s">
        <v>3250</v>
      </c>
      <c r="BB932" t="s">
        <v>3250</v>
      </c>
      <c r="BC932" t="s">
        <v>3250</v>
      </c>
      <c r="BE932" t="s">
        <v>3250</v>
      </c>
      <c r="BF932" t="s">
        <v>3250</v>
      </c>
      <c r="BG932" t="s">
        <v>3250</v>
      </c>
      <c r="BH932" t="s">
        <v>3250</v>
      </c>
      <c r="BI932" t="s">
        <v>3250</v>
      </c>
      <c r="BK932" t="s">
        <v>3250</v>
      </c>
      <c r="BL932" t="s">
        <v>3250</v>
      </c>
      <c r="BM932" t="s">
        <v>3250</v>
      </c>
      <c r="BN932" t="s">
        <v>3250</v>
      </c>
      <c r="BP932">
        <v>1</v>
      </c>
      <c r="BQ932">
        <v>14</v>
      </c>
      <c r="BR932" t="s">
        <v>2370</v>
      </c>
      <c r="BS932" t="s">
        <v>3252</v>
      </c>
      <c r="BV932">
        <v>229785</v>
      </c>
      <c r="BW932">
        <v>64826</v>
      </c>
      <c r="BX932">
        <v>79701</v>
      </c>
      <c r="BY932">
        <v>0</v>
      </c>
      <c r="BZ932">
        <v>0</v>
      </c>
      <c r="CA932">
        <v>0</v>
      </c>
      <c r="CB932">
        <v>0</v>
      </c>
      <c r="CC932">
        <v>0</v>
      </c>
      <c r="CD932">
        <v>0</v>
      </c>
      <c r="CE932" t="s">
        <v>3108</v>
      </c>
      <c r="CF932" t="s">
        <v>3108</v>
      </c>
      <c r="CG932" t="s">
        <v>3108</v>
      </c>
      <c r="CH932" t="s">
        <v>3108</v>
      </c>
    </row>
    <row r="933" spans="1:86" x14ac:dyDescent="0.2">
      <c r="A933" t="s">
        <v>4669</v>
      </c>
      <c r="B933" t="s">
        <v>4669</v>
      </c>
      <c r="C933">
        <v>41401</v>
      </c>
      <c r="D933">
        <v>710</v>
      </c>
      <c r="E933" t="s">
        <v>4031</v>
      </c>
      <c r="F933">
        <v>2900</v>
      </c>
      <c r="G933" t="s">
        <v>822</v>
      </c>
      <c r="H933" t="s">
        <v>3108</v>
      </c>
      <c r="I933" t="s">
        <v>3108</v>
      </c>
      <c r="J933">
        <v>2904</v>
      </c>
      <c r="K933" t="s">
        <v>1690</v>
      </c>
      <c r="L933">
        <v>1200</v>
      </c>
      <c r="M933" t="s">
        <v>2368</v>
      </c>
      <c r="N933">
        <v>1201</v>
      </c>
      <c r="O933" t="s">
        <v>2370</v>
      </c>
      <c r="P933" t="s">
        <v>3108</v>
      </c>
      <c r="Q933" t="s">
        <v>3249</v>
      </c>
      <c r="R933" t="s">
        <v>3249</v>
      </c>
      <c r="S933" t="s">
        <v>810</v>
      </c>
      <c r="T933" t="s">
        <v>2754</v>
      </c>
      <c r="U933" t="s">
        <v>3250</v>
      </c>
      <c r="V933" t="s">
        <v>3250</v>
      </c>
      <c r="W933" t="s">
        <v>3250</v>
      </c>
      <c r="X933" t="s">
        <v>3250</v>
      </c>
      <c r="Y933" t="s">
        <v>3250</v>
      </c>
      <c r="Z933" t="s">
        <v>3250</v>
      </c>
      <c r="AA933" t="s">
        <v>3108</v>
      </c>
      <c r="AB933" t="s">
        <v>3108</v>
      </c>
      <c r="AC933" t="s">
        <v>3250</v>
      </c>
      <c r="AD933" t="s">
        <v>3250</v>
      </c>
      <c r="AE933" t="s">
        <v>3250</v>
      </c>
      <c r="AF933" t="s">
        <v>3250</v>
      </c>
      <c r="AG933" t="s">
        <v>3250</v>
      </c>
      <c r="AH933" t="s">
        <v>3250</v>
      </c>
      <c r="AI933" t="s">
        <v>3250</v>
      </c>
      <c r="AJ933" t="s">
        <v>3250</v>
      </c>
      <c r="AL933" t="s">
        <v>3250</v>
      </c>
      <c r="AM933" t="s">
        <v>3250</v>
      </c>
      <c r="AN933" t="s">
        <v>3250</v>
      </c>
      <c r="AO933" t="s">
        <v>3250</v>
      </c>
      <c r="AS933" t="s">
        <v>3250</v>
      </c>
      <c r="AT933" t="s">
        <v>3250</v>
      </c>
      <c r="AU933" t="s">
        <v>3250</v>
      </c>
      <c r="AV933" t="s">
        <v>3250</v>
      </c>
      <c r="AW933" t="s">
        <v>3250</v>
      </c>
      <c r="AX933" t="s">
        <v>3250</v>
      </c>
      <c r="AY933" t="s">
        <v>3250</v>
      </c>
      <c r="AZ933" t="s">
        <v>3250</v>
      </c>
      <c r="BA933" t="s">
        <v>3250</v>
      </c>
      <c r="BB933" t="s">
        <v>3250</v>
      </c>
      <c r="BC933" t="s">
        <v>3250</v>
      </c>
      <c r="BE933" t="s">
        <v>3250</v>
      </c>
      <c r="BF933" t="s">
        <v>3250</v>
      </c>
      <c r="BG933" t="s">
        <v>3250</v>
      </c>
      <c r="BH933" t="s">
        <v>3250</v>
      </c>
      <c r="BI933" t="s">
        <v>3250</v>
      </c>
      <c r="BK933" t="s">
        <v>3250</v>
      </c>
      <c r="BL933" t="s">
        <v>3250</v>
      </c>
      <c r="BM933" t="s">
        <v>3250</v>
      </c>
      <c r="BN933" t="s">
        <v>3250</v>
      </c>
      <c r="BP933">
        <v>1</v>
      </c>
      <c r="BQ933">
        <v>14</v>
      </c>
      <c r="BR933" t="s">
        <v>2370</v>
      </c>
      <c r="BS933" t="s">
        <v>3252</v>
      </c>
      <c r="BV933">
        <v>0</v>
      </c>
      <c r="BW933">
        <v>0</v>
      </c>
      <c r="BX933">
        <v>27143</v>
      </c>
      <c r="BY933">
        <v>0</v>
      </c>
      <c r="BZ933">
        <v>0</v>
      </c>
      <c r="CA933">
        <v>0</v>
      </c>
      <c r="CB933">
        <v>0</v>
      </c>
      <c r="CC933">
        <v>0</v>
      </c>
      <c r="CD933">
        <v>0</v>
      </c>
      <c r="CE933" t="s">
        <v>3108</v>
      </c>
      <c r="CF933" t="s">
        <v>3108</v>
      </c>
      <c r="CG933" t="s">
        <v>3108</v>
      </c>
      <c r="CH933" t="s">
        <v>3108</v>
      </c>
    </row>
    <row r="934" spans="1:86" x14ac:dyDescent="0.2">
      <c r="A934" t="s">
        <v>4670</v>
      </c>
      <c r="B934" t="s">
        <v>4670</v>
      </c>
      <c r="C934">
        <v>41402</v>
      </c>
      <c r="D934">
        <v>711</v>
      </c>
      <c r="E934" t="s">
        <v>4326</v>
      </c>
      <c r="F934">
        <v>2700</v>
      </c>
      <c r="G934" t="s">
        <v>411</v>
      </c>
      <c r="H934" t="s">
        <v>4004</v>
      </c>
      <c r="I934" t="s">
        <v>2531</v>
      </c>
      <c r="J934">
        <v>2701</v>
      </c>
      <c r="K934" t="s">
        <v>2531</v>
      </c>
      <c r="L934">
        <v>1200</v>
      </c>
      <c r="M934" t="s">
        <v>2368</v>
      </c>
      <c r="N934">
        <v>1201</v>
      </c>
      <c r="O934" t="s">
        <v>2370</v>
      </c>
      <c r="P934" t="s">
        <v>3108</v>
      </c>
      <c r="Q934" t="s">
        <v>3249</v>
      </c>
      <c r="R934" t="s">
        <v>3249</v>
      </c>
      <c r="S934" t="s">
        <v>810</v>
      </c>
      <c r="T934" t="s">
        <v>2754</v>
      </c>
      <c r="U934" t="s">
        <v>3250</v>
      </c>
      <c r="V934" t="s">
        <v>3250</v>
      </c>
      <c r="W934" t="s">
        <v>3250</v>
      </c>
      <c r="X934" t="s">
        <v>3250</v>
      </c>
      <c r="Y934" t="s">
        <v>3250</v>
      </c>
      <c r="Z934" t="s">
        <v>3250</v>
      </c>
      <c r="AA934" t="s">
        <v>3108</v>
      </c>
      <c r="AB934" t="s">
        <v>3108</v>
      </c>
      <c r="AC934" t="s">
        <v>3250</v>
      </c>
      <c r="AD934" t="s">
        <v>3250</v>
      </c>
      <c r="AE934" t="s">
        <v>3250</v>
      </c>
      <c r="AF934" t="s">
        <v>3250</v>
      </c>
      <c r="AG934" t="s">
        <v>3250</v>
      </c>
      <c r="AH934" t="s">
        <v>3250</v>
      </c>
      <c r="AI934" t="s">
        <v>3250</v>
      </c>
      <c r="AJ934" t="s">
        <v>3250</v>
      </c>
      <c r="AL934" t="s">
        <v>3250</v>
      </c>
      <c r="AM934" t="s">
        <v>3250</v>
      </c>
      <c r="AN934" t="s">
        <v>3250</v>
      </c>
      <c r="AO934" t="s">
        <v>3250</v>
      </c>
      <c r="AS934" t="s">
        <v>3250</v>
      </c>
      <c r="AT934" t="s">
        <v>3250</v>
      </c>
      <c r="AU934" t="s">
        <v>3250</v>
      </c>
      <c r="AV934" t="s">
        <v>3250</v>
      </c>
      <c r="AW934" t="s">
        <v>3250</v>
      </c>
      <c r="AX934" t="s">
        <v>3250</v>
      </c>
      <c r="AY934" t="s">
        <v>3250</v>
      </c>
      <c r="AZ934" t="s">
        <v>3250</v>
      </c>
      <c r="BA934" t="s">
        <v>3250</v>
      </c>
      <c r="BB934" t="s">
        <v>3250</v>
      </c>
      <c r="BC934" t="s">
        <v>3250</v>
      </c>
      <c r="BE934" t="s">
        <v>3250</v>
      </c>
      <c r="BF934" t="s">
        <v>3250</v>
      </c>
      <c r="BG934" t="s">
        <v>3250</v>
      </c>
      <c r="BH934" t="s">
        <v>3250</v>
      </c>
      <c r="BI934" t="s">
        <v>3250</v>
      </c>
      <c r="BK934" t="s">
        <v>3250</v>
      </c>
      <c r="BL934" t="s">
        <v>3250</v>
      </c>
      <c r="BM934" t="s">
        <v>3250</v>
      </c>
      <c r="BN934" t="s">
        <v>3250</v>
      </c>
      <c r="BP934">
        <v>1</v>
      </c>
      <c r="BQ934">
        <v>14</v>
      </c>
      <c r="BR934" t="s">
        <v>2370</v>
      </c>
      <c r="BS934" t="s">
        <v>3252</v>
      </c>
      <c r="BV934">
        <v>31243</v>
      </c>
      <c r="BW934">
        <v>13843</v>
      </c>
      <c r="BX934">
        <v>1494</v>
      </c>
      <c r="BY934">
        <v>0</v>
      </c>
      <c r="BZ934">
        <v>0</v>
      </c>
      <c r="CA934">
        <v>0</v>
      </c>
      <c r="CB934">
        <v>0</v>
      </c>
      <c r="CC934">
        <v>0</v>
      </c>
      <c r="CD934">
        <v>0</v>
      </c>
      <c r="CE934" t="s">
        <v>3108</v>
      </c>
      <c r="CF934" t="s">
        <v>3108</v>
      </c>
      <c r="CG934" t="s">
        <v>3108</v>
      </c>
      <c r="CH934" t="s">
        <v>3108</v>
      </c>
    </row>
    <row r="935" spans="1:86" x14ac:dyDescent="0.2">
      <c r="A935" t="s">
        <v>4671</v>
      </c>
      <c r="B935" t="s">
        <v>4671</v>
      </c>
      <c r="C935">
        <v>41403</v>
      </c>
      <c r="D935">
        <v>712</v>
      </c>
      <c r="E935" t="s">
        <v>4672</v>
      </c>
      <c r="F935">
        <v>2700</v>
      </c>
      <c r="G935" t="s">
        <v>411</v>
      </c>
      <c r="H935" t="s">
        <v>3837</v>
      </c>
      <c r="I935" t="s">
        <v>2532</v>
      </c>
      <c r="J935">
        <v>2702</v>
      </c>
      <c r="K935" t="s">
        <v>2532</v>
      </c>
      <c r="L935">
        <v>1200</v>
      </c>
      <c r="M935" t="s">
        <v>2368</v>
      </c>
      <c r="N935">
        <v>1201</v>
      </c>
      <c r="O935" t="s">
        <v>2370</v>
      </c>
      <c r="P935" t="s">
        <v>3108</v>
      </c>
      <c r="Q935" t="s">
        <v>3249</v>
      </c>
      <c r="R935" t="s">
        <v>3249</v>
      </c>
      <c r="S935" t="s">
        <v>810</v>
      </c>
      <c r="T935" t="s">
        <v>2754</v>
      </c>
      <c r="U935" t="s">
        <v>3250</v>
      </c>
      <c r="V935" t="s">
        <v>3250</v>
      </c>
      <c r="W935" t="s">
        <v>3250</v>
      </c>
      <c r="X935" t="s">
        <v>3250</v>
      </c>
      <c r="Y935" t="s">
        <v>3250</v>
      </c>
      <c r="Z935" t="s">
        <v>3250</v>
      </c>
      <c r="AA935" t="s">
        <v>3108</v>
      </c>
      <c r="AB935" t="s">
        <v>3108</v>
      </c>
      <c r="AC935" t="s">
        <v>3250</v>
      </c>
      <c r="AD935" t="s">
        <v>3250</v>
      </c>
      <c r="AE935" t="s">
        <v>3250</v>
      </c>
      <c r="AF935" t="s">
        <v>3250</v>
      </c>
      <c r="AG935" t="s">
        <v>3250</v>
      </c>
      <c r="AH935" t="s">
        <v>3250</v>
      </c>
      <c r="AI935" t="s">
        <v>3250</v>
      </c>
      <c r="AJ935" t="s">
        <v>3250</v>
      </c>
      <c r="AL935" t="s">
        <v>3250</v>
      </c>
      <c r="AM935" t="s">
        <v>3250</v>
      </c>
      <c r="AN935" t="s">
        <v>3250</v>
      </c>
      <c r="AO935" t="s">
        <v>3250</v>
      </c>
      <c r="AS935" t="s">
        <v>3250</v>
      </c>
      <c r="AT935" t="s">
        <v>3250</v>
      </c>
      <c r="AU935" t="s">
        <v>3250</v>
      </c>
      <c r="AV935" t="s">
        <v>3250</v>
      </c>
      <c r="AW935" t="s">
        <v>3250</v>
      </c>
      <c r="AX935" t="s">
        <v>3250</v>
      </c>
      <c r="AY935" t="s">
        <v>3250</v>
      </c>
      <c r="AZ935" t="s">
        <v>3250</v>
      </c>
      <c r="BA935" t="s">
        <v>3250</v>
      </c>
      <c r="BB935" t="s">
        <v>3250</v>
      </c>
      <c r="BC935" t="s">
        <v>3250</v>
      </c>
      <c r="BE935" t="s">
        <v>3250</v>
      </c>
      <c r="BF935" t="s">
        <v>3250</v>
      </c>
      <c r="BG935" t="s">
        <v>3250</v>
      </c>
      <c r="BH935" t="s">
        <v>3250</v>
      </c>
      <c r="BI935" t="s">
        <v>3250</v>
      </c>
      <c r="BK935" t="s">
        <v>3250</v>
      </c>
      <c r="BL935" t="s">
        <v>3250</v>
      </c>
      <c r="BM935" t="s">
        <v>3250</v>
      </c>
      <c r="BN935" t="s">
        <v>3250</v>
      </c>
      <c r="BP935">
        <v>1</v>
      </c>
      <c r="BQ935">
        <v>14</v>
      </c>
      <c r="BR935" t="s">
        <v>2370</v>
      </c>
      <c r="BS935" t="s">
        <v>3252</v>
      </c>
      <c r="BV935">
        <v>0</v>
      </c>
      <c r="BW935">
        <v>0</v>
      </c>
      <c r="BX935">
        <v>0</v>
      </c>
      <c r="BY935">
        <v>0</v>
      </c>
      <c r="BZ935">
        <v>0</v>
      </c>
      <c r="CA935">
        <v>0</v>
      </c>
      <c r="CB935">
        <v>0</v>
      </c>
      <c r="CC935">
        <v>0</v>
      </c>
      <c r="CD935">
        <v>0</v>
      </c>
      <c r="CE935" t="s">
        <v>3108</v>
      </c>
      <c r="CF935" t="s">
        <v>3108</v>
      </c>
      <c r="CG935" t="s">
        <v>3108</v>
      </c>
      <c r="CH935" t="s">
        <v>3108</v>
      </c>
    </row>
    <row r="936" spans="1:86" x14ac:dyDescent="0.2">
      <c r="A936" t="s">
        <v>4673</v>
      </c>
      <c r="B936" t="s">
        <v>4673</v>
      </c>
      <c r="C936">
        <v>41404</v>
      </c>
      <c r="D936">
        <v>713</v>
      </c>
      <c r="E936" t="s">
        <v>4047</v>
      </c>
      <c r="F936">
        <v>2600</v>
      </c>
      <c r="G936" t="s">
        <v>1334</v>
      </c>
      <c r="H936">
        <v>2600</v>
      </c>
      <c r="I936" t="s">
        <v>1334</v>
      </c>
      <c r="J936" t="s">
        <v>3250</v>
      </c>
      <c r="K936" t="s">
        <v>3250</v>
      </c>
      <c r="L936">
        <v>1200</v>
      </c>
      <c r="M936" t="s">
        <v>2368</v>
      </c>
      <c r="N936">
        <v>1201</v>
      </c>
      <c r="O936" t="s">
        <v>2370</v>
      </c>
      <c r="P936" t="s">
        <v>3108</v>
      </c>
      <c r="Q936" t="s">
        <v>3249</v>
      </c>
      <c r="R936" t="s">
        <v>3249</v>
      </c>
      <c r="S936" t="s">
        <v>810</v>
      </c>
      <c r="T936" t="s">
        <v>2754</v>
      </c>
      <c r="U936" t="s">
        <v>3250</v>
      </c>
      <c r="V936" t="s">
        <v>3250</v>
      </c>
      <c r="W936" t="s">
        <v>3250</v>
      </c>
      <c r="X936" t="s">
        <v>3250</v>
      </c>
      <c r="Y936" t="s">
        <v>3250</v>
      </c>
      <c r="Z936" t="s">
        <v>3250</v>
      </c>
      <c r="AA936" t="s">
        <v>3108</v>
      </c>
      <c r="AB936" t="s">
        <v>3108</v>
      </c>
      <c r="AC936" t="s">
        <v>3250</v>
      </c>
      <c r="AD936" t="s">
        <v>3250</v>
      </c>
      <c r="AE936" t="s">
        <v>3250</v>
      </c>
      <c r="AF936" t="s">
        <v>3250</v>
      </c>
      <c r="AG936" t="s">
        <v>3250</v>
      </c>
      <c r="AH936" t="s">
        <v>3250</v>
      </c>
      <c r="AI936" t="s">
        <v>3250</v>
      </c>
      <c r="AJ936" t="s">
        <v>3250</v>
      </c>
      <c r="AL936" t="s">
        <v>3250</v>
      </c>
      <c r="AM936" t="s">
        <v>3250</v>
      </c>
      <c r="AN936" t="s">
        <v>3250</v>
      </c>
      <c r="AO936" t="s">
        <v>3250</v>
      </c>
      <c r="AS936" t="s">
        <v>3250</v>
      </c>
      <c r="AT936" t="s">
        <v>3250</v>
      </c>
      <c r="AU936" t="s">
        <v>3250</v>
      </c>
      <c r="AV936" t="s">
        <v>3250</v>
      </c>
      <c r="AW936" t="s">
        <v>3250</v>
      </c>
      <c r="AX936" t="s">
        <v>3250</v>
      </c>
      <c r="AY936" t="s">
        <v>3250</v>
      </c>
      <c r="AZ936" t="s">
        <v>3250</v>
      </c>
      <c r="BA936" t="s">
        <v>3250</v>
      </c>
      <c r="BB936" t="s">
        <v>3250</v>
      </c>
      <c r="BC936" t="s">
        <v>3250</v>
      </c>
      <c r="BE936" t="s">
        <v>3250</v>
      </c>
      <c r="BF936" t="s">
        <v>3250</v>
      </c>
      <c r="BG936" t="s">
        <v>3250</v>
      </c>
      <c r="BH936" t="s">
        <v>3250</v>
      </c>
      <c r="BI936" t="s">
        <v>3250</v>
      </c>
      <c r="BK936" t="s">
        <v>3250</v>
      </c>
      <c r="BL936" t="s">
        <v>3250</v>
      </c>
      <c r="BM936" t="s">
        <v>3250</v>
      </c>
      <c r="BN936" t="s">
        <v>3250</v>
      </c>
      <c r="BP936">
        <v>1</v>
      </c>
      <c r="BQ936">
        <v>14</v>
      </c>
      <c r="BR936" t="s">
        <v>2370</v>
      </c>
      <c r="BS936" t="s">
        <v>3252</v>
      </c>
      <c r="BV936">
        <v>582542</v>
      </c>
      <c r="BW936">
        <v>712795</v>
      </c>
      <c r="BX936">
        <v>160160</v>
      </c>
      <c r="BY936">
        <v>500000</v>
      </c>
      <c r="BZ936">
        <v>500000</v>
      </c>
      <c r="CA936">
        <v>519500</v>
      </c>
      <c r="CB936">
        <v>540280</v>
      </c>
      <c r="CC936">
        <v>561891</v>
      </c>
      <c r="CD936">
        <v>529463</v>
      </c>
      <c r="CE936" t="s">
        <v>3108</v>
      </c>
      <c r="CF936" t="s">
        <v>3108</v>
      </c>
      <c r="CG936" t="s">
        <v>3108</v>
      </c>
      <c r="CH936" t="s">
        <v>3108</v>
      </c>
    </row>
    <row r="937" spans="1:86" x14ac:dyDescent="0.2">
      <c r="A937" t="s">
        <v>4674</v>
      </c>
      <c r="B937" t="s">
        <v>4674</v>
      </c>
      <c r="C937">
        <v>41405</v>
      </c>
      <c r="D937">
        <v>786</v>
      </c>
      <c r="E937" t="s">
        <v>4255</v>
      </c>
      <c r="F937">
        <v>2900</v>
      </c>
      <c r="G937" t="s">
        <v>822</v>
      </c>
      <c r="H937" t="s">
        <v>3108</v>
      </c>
      <c r="I937" t="s">
        <v>3108</v>
      </c>
      <c r="J937">
        <v>2904</v>
      </c>
      <c r="K937" t="s">
        <v>1690</v>
      </c>
      <c r="L937">
        <v>3100</v>
      </c>
      <c r="M937" t="s">
        <v>127</v>
      </c>
      <c r="N937">
        <v>3108</v>
      </c>
      <c r="O937" t="s">
        <v>2419</v>
      </c>
      <c r="P937" t="s">
        <v>3108</v>
      </c>
      <c r="Q937" t="s">
        <v>3249</v>
      </c>
      <c r="R937" t="s">
        <v>3249</v>
      </c>
      <c r="S937" t="s">
        <v>810</v>
      </c>
      <c r="T937" t="s">
        <v>2754</v>
      </c>
      <c r="U937" t="s">
        <v>3250</v>
      </c>
      <c r="V937" t="s">
        <v>3250</v>
      </c>
      <c r="W937" t="s">
        <v>3250</v>
      </c>
      <c r="X937" t="s">
        <v>3250</v>
      </c>
      <c r="Y937" t="s">
        <v>3250</v>
      </c>
      <c r="Z937" t="s">
        <v>3250</v>
      </c>
      <c r="AA937" t="s">
        <v>3108</v>
      </c>
      <c r="AB937" t="s">
        <v>3108</v>
      </c>
      <c r="AC937" t="s">
        <v>3250</v>
      </c>
      <c r="AD937" t="s">
        <v>3250</v>
      </c>
      <c r="AE937" t="s">
        <v>3250</v>
      </c>
      <c r="AF937" t="s">
        <v>3250</v>
      </c>
      <c r="AG937" t="s">
        <v>3250</v>
      </c>
      <c r="AH937" t="s">
        <v>3250</v>
      </c>
      <c r="AI937" t="s">
        <v>3250</v>
      </c>
      <c r="AJ937" t="s">
        <v>3250</v>
      </c>
      <c r="AL937" t="s">
        <v>3250</v>
      </c>
      <c r="AM937" t="s">
        <v>3250</v>
      </c>
      <c r="AN937" t="s">
        <v>3250</v>
      </c>
      <c r="AO937" t="s">
        <v>3250</v>
      </c>
      <c r="AS937" t="s">
        <v>3250</v>
      </c>
      <c r="AT937" t="s">
        <v>3250</v>
      </c>
      <c r="AU937" t="s">
        <v>3250</v>
      </c>
      <c r="AV937" t="s">
        <v>3250</v>
      </c>
      <c r="AW937" t="s">
        <v>3250</v>
      </c>
      <c r="AX937" t="s">
        <v>3250</v>
      </c>
      <c r="AY937" t="s">
        <v>3250</v>
      </c>
      <c r="AZ937" t="s">
        <v>3250</v>
      </c>
      <c r="BA937" t="s">
        <v>3250</v>
      </c>
      <c r="BB937" t="s">
        <v>3250</v>
      </c>
      <c r="BC937" t="s">
        <v>3250</v>
      </c>
      <c r="BE937" t="s">
        <v>3250</v>
      </c>
      <c r="BF937" t="s">
        <v>3250</v>
      </c>
      <c r="BG937" t="s">
        <v>3250</v>
      </c>
      <c r="BH937" t="s">
        <v>3250</v>
      </c>
      <c r="BI937" t="s">
        <v>3250</v>
      </c>
      <c r="BK937" t="s">
        <v>3250</v>
      </c>
      <c r="BL937" t="s">
        <v>3250</v>
      </c>
      <c r="BM937" t="s">
        <v>3250</v>
      </c>
      <c r="BN937" t="s">
        <v>3250</v>
      </c>
      <c r="BP937">
        <v>8</v>
      </c>
      <c r="BQ937">
        <v>86</v>
      </c>
      <c r="BR937" t="s">
        <v>2419</v>
      </c>
      <c r="BS937" t="s">
        <v>4013</v>
      </c>
      <c r="BV937">
        <v>0</v>
      </c>
      <c r="BW937">
        <v>0</v>
      </c>
      <c r="BX937">
        <v>0</v>
      </c>
      <c r="BY937">
        <v>0</v>
      </c>
      <c r="BZ937">
        <v>0</v>
      </c>
      <c r="CA937">
        <v>0</v>
      </c>
      <c r="CB937">
        <v>0</v>
      </c>
      <c r="CC937">
        <v>0</v>
      </c>
      <c r="CD937">
        <v>0</v>
      </c>
      <c r="CE937" t="s">
        <v>3108</v>
      </c>
      <c r="CF937" t="s">
        <v>3108</v>
      </c>
      <c r="CG937" t="s">
        <v>3108</v>
      </c>
      <c r="CH937" t="s">
        <v>3108</v>
      </c>
    </row>
    <row r="938" spans="1:86" x14ac:dyDescent="0.2">
      <c r="A938" t="s">
        <v>4675</v>
      </c>
      <c r="B938" t="s">
        <v>4675</v>
      </c>
      <c r="C938">
        <v>41406</v>
      </c>
      <c r="D938">
        <v>787</v>
      </c>
      <c r="E938" t="s">
        <v>4253</v>
      </c>
      <c r="F938">
        <v>2900</v>
      </c>
      <c r="G938" t="s">
        <v>822</v>
      </c>
      <c r="H938" t="s">
        <v>3108</v>
      </c>
      <c r="I938" t="s">
        <v>3108</v>
      </c>
      <c r="J938">
        <v>2904</v>
      </c>
      <c r="K938" t="s">
        <v>1690</v>
      </c>
      <c r="L938">
        <v>3100</v>
      </c>
      <c r="M938" t="s">
        <v>127</v>
      </c>
      <c r="N938">
        <v>3107</v>
      </c>
      <c r="O938" t="s">
        <v>2418</v>
      </c>
      <c r="P938" t="s">
        <v>3108</v>
      </c>
      <c r="Q938" t="s">
        <v>3249</v>
      </c>
      <c r="R938" t="s">
        <v>3249</v>
      </c>
      <c r="S938" t="s">
        <v>810</v>
      </c>
      <c r="T938" t="s">
        <v>2754</v>
      </c>
      <c r="U938" t="s">
        <v>3250</v>
      </c>
      <c r="V938" t="s">
        <v>3250</v>
      </c>
      <c r="W938" t="s">
        <v>3250</v>
      </c>
      <c r="X938" t="s">
        <v>3250</v>
      </c>
      <c r="Y938" t="s">
        <v>3250</v>
      </c>
      <c r="Z938" t="s">
        <v>3250</v>
      </c>
      <c r="AA938" t="s">
        <v>3108</v>
      </c>
      <c r="AB938" t="s">
        <v>3108</v>
      </c>
      <c r="AC938" t="s">
        <v>3250</v>
      </c>
      <c r="AD938" t="s">
        <v>3250</v>
      </c>
      <c r="AE938" t="s">
        <v>3250</v>
      </c>
      <c r="AF938" t="s">
        <v>3250</v>
      </c>
      <c r="AG938" t="s">
        <v>3250</v>
      </c>
      <c r="AH938" t="s">
        <v>3250</v>
      </c>
      <c r="AI938" t="s">
        <v>3250</v>
      </c>
      <c r="AJ938" t="s">
        <v>3250</v>
      </c>
      <c r="AL938" t="s">
        <v>3250</v>
      </c>
      <c r="AM938" t="s">
        <v>3250</v>
      </c>
      <c r="AN938" t="s">
        <v>3250</v>
      </c>
      <c r="AO938" t="s">
        <v>3250</v>
      </c>
      <c r="AS938" t="s">
        <v>3250</v>
      </c>
      <c r="AT938" t="s">
        <v>3250</v>
      </c>
      <c r="AU938" t="s">
        <v>3250</v>
      </c>
      <c r="AV938" t="s">
        <v>3250</v>
      </c>
      <c r="AW938" t="s">
        <v>3250</v>
      </c>
      <c r="AX938" t="s">
        <v>3250</v>
      </c>
      <c r="AY938" t="s">
        <v>3250</v>
      </c>
      <c r="AZ938" t="s">
        <v>3250</v>
      </c>
      <c r="BA938" t="s">
        <v>3250</v>
      </c>
      <c r="BB938" t="s">
        <v>3250</v>
      </c>
      <c r="BC938" t="s">
        <v>3250</v>
      </c>
      <c r="BE938" t="s">
        <v>3250</v>
      </c>
      <c r="BF938" t="s">
        <v>3250</v>
      </c>
      <c r="BG938" t="s">
        <v>3250</v>
      </c>
      <c r="BH938" t="s">
        <v>3250</v>
      </c>
      <c r="BI938" t="s">
        <v>3250</v>
      </c>
      <c r="BK938" t="s">
        <v>3250</v>
      </c>
      <c r="BL938" t="s">
        <v>3250</v>
      </c>
      <c r="BM938" t="s">
        <v>3250</v>
      </c>
      <c r="BN938" t="s">
        <v>3250</v>
      </c>
      <c r="BP938">
        <v>8</v>
      </c>
      <c r="BQ938">
        <v>81</v>
      </c>
      <c r="BR938" t="s">
        <v>2418</v>
      </c>
      <c r="BS938" t="s">
        <v>4013</v>
      </c>
      <c r="BV938">
        <v>25000</v>
      </c>
      <c r="BW938">
        <v>1683</v>
      </c>
      <c r="BX938">
        <v>0</v>
      </c>
      <c r="BY938">
        <v>100000</v>
      </c>
      <c r="BZ938">
        <v>0</v>
      </c>
      <c r="CA938">
        <v>0</v>
      </c>
      <c r="CB938">
        <v>0</v>
      </c>
      <c r="CC938">
        <v>0</v>
      </c>
      <c r="CD938">
        <v>0</v>
      </c>
      <c r="CE938" t="s">
        <v>3108</v>
      </c>
      <c r="CF938" t="s">
        <v>3108</v>
      </c>
      <c r="CG938" t="s">
        <v>3108</v>
      </c>
      <c r="CH938" t="s">
        <v>3108</v>
      </c>
    </row>
    <row r="939" spans="1:86" x14ac:dyDescent="0.2">
      <c r="A939" t="s">
        <v>4676</v>
      </c>
      <c r="B939" t="s">
        <v>4676</v>
      </c>
      <c r="C939">
        <v>41407</v>
      </c>
      <c r="D939">
        <v>788</v>
      </c>
      <c r="E939" t="s">
        <v>4255</v>
      </c>
      <c r="F939">
        <v>2900</v>
      </c>
      <c r="G939" t="s">
        <v>822</v>
      </c>
      <c r="H939" t="s">
        <v>3108</v>
      </c>
      <c r="I939" t="s">
        <v>3108</v>
      </c>
      <c r="J939">
        <v>2904</v>
      </c>
      <c r="K939" t="s">
        <v>1690</v>
      </c>
      <c r="L939">
        <v>3100</v>
      </c>
      <c r="M939" t="s">
        <v>127</v>
      </c>
      <c r="N939">
        <v>3107</v>
      </c>
      <c r="O939" t="s">
        <v>2418</v>
      </c>
      <c r="P939" t="s">
        <v>3108</v>
      </c>
      <c r="Q939" t="s">
        <v>3249</v>
      </c>
      <c r="R939" t="s">
        <v>3249</v>
      </c>
      <c r="S939" t="s">
        <v>810</v>
      </c>
      <c r="T939" t="s">
        <v>2754</v>
      </c>
      <c r="U939" t="s">
        <v>3250</v>
      </c>
      <c r="V939" t="s">
        <v>3250</v>
      </c>
      <c r="W939" t="s">
        <v>3250</v>
      </c>
      <c r="X939" t="s">
        <v>3250</v>
      </c>
      <c r="Y939" t="s">
        <v>3250</v>
      </c>
      <c r="Z939" t="s">
        <v>3250</v>
      </c>
      <c r="AA939" t="s">
        <v>3108</v>
      </c>
      <c r="AB939" t="s">
        <v>3108</v>
      </c>
      <c r="AC939" t="s">
        <v>3250</v>
      </c>
      <c r="AD939" t="s">
        <v>3250</v>
      </c>
      <c r="AE939" t="s">
        <v>3250</v>
      </c>
      <c r="AF939" t="s">
        <v>3250</v>
      </c>
      <c r="AG939" t="s">
        <v>3250</v>
      </c>
      <c r="AH939" t="s">
        <v>3250</v>
      </c>
      <c r="AI939" t="s">
        <v>3250</v>
      </c>
      <c r="AJ939" t="s">
        <v>3250</v>
      </c>
      <c r="AL939" t="s">
        <v>3250</v>
      </c>
      <c r="AM939" t="s">
        <v>3250</v>
      </c>
      <c r="AN939" t="s">
        <v>3250</v>
      </c>
      <c r="AO939" t="s">
        <v>3250</v>
      </c>
      <c r="AS939" t="s">
        <v>3250</v>
      </c>
      <c r="AT939" t="s">
        <v>3250</v>
      </c>
      <c r="AU939" t="s">
        <v>3250</v>
      </c>
      <c r="AV939" t="s">
        <v>3250</v>
      </c>
      <c r="AW939" t="s">
        <v>3250</v>
      </c>
      <c r="AX939" t="s">
        <v>3250</v>
      </c>
      <c r="AY939" t="s">
        <v>3250</v>
      </c>
      <c r="AZ939" t="s">
        <v>3250</v>
      </c>
      <c r="BA939" t="s">
        <v>3250</v>
      </c>
      <c r="BB939" t="s">
        <v>3250</v>
      </c>
      <c r="BC939" t="s">
        <v>3250</v>
      </c>
      <c r="BE939" t="s">
        <v>3250</v>
      </c>
      <c r="BF939" t="s">
        <v>3250</v>
      </c>
      <c r="BG939" t="s">
        <v>3250</v>
      </c>
      <c r="BH939" t="s">
        <v>3250</v>
      </c>
      <c r="BI939" t="s">
        <v>3250</v>
      </c>
      <c r="BK939" t="s">
        <v>3250</v>
      </c>
      <c r="BL939" t="s">
        <v>3250</v>
      </c>
      <c r="BM939" t="s">
        <v>3250</v>
      </c>
      <c r="BN939" t="s">
        <v>3250</v>
      </c>
      <c r="BP939">
        <v>8</v>
      </c>
      <c r="BQ939">
        <v>81</v>
      </c>
      <c r="BR939" t="s">
        <v>2418</v>
      </c>
      <c r="BS939" t="s">
        <v>4013</v>
      </c>
      <c r="BV939">
        <v>0</v>
      </c>
      <c r="BW939">
        <v>0</v>
      </c>
      <c r="BX939">
        <v>11501</v>
      </c>
      <c r="BY939">
        <v>5000</v>
      </c>
      <c r="BZ939">
        <v>0</v>
      </c>
      <c r="CA939">
        <v>0</v>
      </c>
      <c r="CB939">
        <v>0</v>
      </c>
      <c r="CC939">
        <v>0</v>
      </c>
      <c r="CD939">
        <v>0</v>
      </c>
      <c r="CE939" t="s">
        <v>3108</v>
      </c>
      <c r="CF939" t="s">
        <v>3108</v>
      </c>
      <c r="CG939" t="s">
        <v>3108</v>
      </c>
      <c r="CH939" t="s">
        <v>3108</v>
      </c>
    </row>
    <row r="940" spans="1:86" x14ac:dyDescent="0.2">
      <c r="A940" t="s">
        <v>4677</v>
      </c>
      <c r="B940" t="s">
        <v>4677</v>
      </c>
      <c r="C940">
        <v>41408</v>
      </c>
      <c r="D940">
        <v>789</v>
      </c>
      <c r="E940" t="s">
        <v>4015</v>
      </c>
      <c r="F940">
        <v>2900</v>
      </c>
      <c r="G940" t="s">
        <v>822</v>
      </c>
      <c r="H940" t="s">
        <v>3108</v>
      </c>
      <c r="I940" t="s">
        <v>3108</v>
      </c>
      <c r="J940">
        <v>2904</v>
      </c>
      <c r="K940" t="s">
        <v>1690</v>
      </c>
      <c r="L940">
        <v>3100</v>
      </c>
      <c r="M940" t="s">
        <v>127</v>
      </c>
      <c r="N940">
        <v>3107</v>
      </c>
      <c r="O940" t="s">
        <v>2418</v>
      </c>
      <c r="P940" t="s">
        <v>3108</v>
      </c>
      <c r="Q940" t="s">
        <v>3249</v>
      </c>
      <c r="R940" t="s">
        <v>3249</v>
      </c>
      <c r="S940" t="s">
        <v>810</v>
      </c>
      <c r="T940" t="s">
        <v>2754</v>
      </c>
      <c r="U940" t="s">
        <v>3250</v>
      </c>
      <c r="V940" t="s">
        <v>3250</v>
      </c>
      <c r="W940" t="s">
        <v>3250</v>
      </c>
      <c r="X940" t="s">
        <v>3250</v>
      </c>
      <c r="Y940" t="s">
        <v>3250</v>
      </c>
      <c r="Z940" t="s">
        <v>3250</v>
      </c>
      <c r="AA940" t="s">
        <v>3108</v>
      </c>
      <c r="AB940" t="s">
        <v>3108</v>
      </c>
      <c r="AC940" t="s">
        <v>3250</v>
      </c>
      <c r="AD940" t="s">
        <v>3250</v>
      </c>
      <c r="AE940" t="s">
        <v>3250</v>
      </c>
      <c r="AF940" t="s">
        <v>3250</v>
      </c>
      <c r="AG940" t="s">
        <v>3250</v>
      </c>
      <c r="AH940" t="s">
        <v>3250</v>
      </c>
      <c r="AI940" t="s">
        <v>3250</v>
      </c>
      <c r="AJ940" t="s">
        <v>3250</v>
      </c>
      <c r="AL940" t="s">
        <v>3250</v>
      </c>
      <c r="AM940" t="s">
        <v>3250</v>
      </c>
      <c r="AN940" t="s">
        <v>3250</v>
      </c>
      <c r="AO940" t="s">
        <v>3250</v>
      </c>
      <c r="AS940" t="s">
        <v>3250</v>
      </c>
      <c r="AT940" t="s">
        <v>3250</v>
      </c>
      <c r="AU940" t="s">
        <v>3250</v>
      </c>
      <c r="AV940" t="s">
        <v>3250</v>
      </c>
      <c r="AW940" t="s">
        <v>3250</v>
      </c>
      <c r="AX940" t="s">
        <v>3250</v>
      </c>
      <c r="AY940" t="s">
        <v>3250</v>
      </c>
      <c r="AZ940" t="s">
        <v>3250</v>
      </c>
      <c r="BA940" t="s">
        <v>3250</v>
      </c>
      <c r="BB940" t="s">
        <v>3250</v>
      </c>
      <c r="BC940" t="s">
        <v>3250</v>
      </c>
      <c r="BE940" t="s">
        <v>3250</v>
      </c>
      <c r="BF940" t="s">
        <v>3250</v>
      </c>
      <c r="BG940" t="s">
        <v>3250</v>
      </c>
      <c r="BH940" t="s">
        <v>3250</v>
      </c>
      <c r="BI940" t="s">
        <v>3250</v>
      </c>
      <c r="BK940" t="s">
        <v>3250</v>
      </c>
      <c r="BL940" t="s">
        <v>3250</v>
      </c>
      <c r="BM940" t="s">
        <v>3250</v>
      </c>
      <c r="BN940" t="s">
        <v>3250</v>
      </c>
      <c r="BP940">
        <v>8</v>
      </c>
      <c r="BQ940">
        <v>81</v>
      </c>
      <c r="BR940" t="s">
        <v>2418</v>
      </c>
      <c r="BS940" t="s">
        <v>4013</v>
      </c>
      <c r="BV940">
        <v>0</v>
      </c>
      <c r="BW940">
        <v>0</v>
      </c>
      <c r="BX940">
        <v>-1</v>
      </c>
      <c r="BY940">
        <v>20000</v>
      </c>
      <c r="BZ940">
        <v>0</v>
      </c>
      <c r="CA940">
        <v>0</v>
      </c>
      <c r="CB940">
        <v>0</v>
      </c>
      <c r="CC940">
        <v>0</v>
      </c>
      <c r="CD940">
        <v>0</v>
      </c>
      <c r="CE940" t="s">
        <v>3108</v>
      </c>
      <c r="CF940" t="s">
        <v>3108</v>
      </c>
      <c r="CG940" t="s">
        <v>3108</v>
      </c>
      <c r="CH940" t="s">
        <v>3108</v>
      </c>
    </row>
    <row r="941" spans="1:86" x14ac:dyDescent="0.2">
      <c r="A941" t="s">
        <v>4678</v>
      </c>
      <c r="B941" t="s">
        <v>4678</v>
      </c>
      <c r="C941">
        <v>41409</v>
      </c>
      <c r="D941">
        <v>790</v>
      </c>
      <c r="E941" t="s">
        <v>4401</v>
      </c>
      <c r="F941">
        <v>2700</v>
      </c>
      <c r="G941" t="s">
        <v>411</v>
      </c>
      <c r="H941" t="s">
        <v>3837</v>
      </c>
      <c r="I941" t="s">
        <v>2532</v>
      </c>
      <c r="J941">
        <v>2702</v>
      </c>
      <c r="K941" t="s">
        <v>2532</v>
      </c>
      <c r="L941">
        <v>3100</v>
      </c>
      <c r="M941" t="s">
        <v>127</v>
      </c>
      <c r="N941">
        <v>3107</v>
      </c>
      <c r="O941" t="s">
        <v>2418</v>
      </c>
      <c r="P941" t="s">
        <v>3108</v>
      </c>
      <c r="Q941" t="s">
        <v>3249</v>
      </c>
      <c r="R941" t="s">
        <v>3249</v>
      </c>
      <c r="S941" t="s">
        <v>810</v>
      </c>
      <c r="T941" t="s">
        <v>2754</v>
      </c>
      <c r="U941" t="s">
        <v>3250</v>
      </c>
      <c r="V941" t="s">
        <v>3250</v>
      </c>
      <c r="W941" t="s">
        <v>3250</v>
      </c>
      <c r="X941" t="s">
        <v>3250</v>
      </c>
      <c r="Y941" t="s">
        <v>3250</v>
      </c>
      <c r="Z941" t="s">
        <v>3250</v>
      </c>
      <c r="AA941" t="s">
        <v>3108</v>
      </c>
      <c r="AB941" t="s">
        <v>3108</v>
      </c>
      <c r="AC941" t="s">
        <v>3250</v>
      </c>
      <c r="AD941" t="s">
        <v>3250</v>
      </c>
      <c r="AE941" t="s">
        <v>3250</v>
      </c>
      <c r="AF941" t="s">
        <v>3250</v>
      </c>
      <c r="AG941" t="s">
        <v>3250</v>
      </c>
      <c r="AH941" t="s">
        <v>3250</v>
      </c>
      <c r="AI941" t="s">
        <v>3250</v>
      </c>
      <c r="AJ941" t="s">
        <v>3250</v>
      </c>
      <c r="AL941" t="s">
        <v>3250</v>
      </c>
      <c r="AM941" t="s">
        <v>3250</v>
      </c>
      <c r="AN941" t="s">
        <v>3250</v>
      </c>
      <c r="AO941" t="s">
        <v>3250</v>
      </c>
      <c r="AS941" t="s">
        <v>3250</v>
      </c>
      <c r="AT941" t="s">
        <v>3250</v>
      </c>
      <c r="AU941" t="s">
        <v>3250</v>
      </c>
      <c r="AV941" t="s">
        <v>3250</v>
      </c>
      <c r="AW941" t="s">
        <v>3250</v>
      </c>
      <c r="AX941" t="s">
        <v>3250</v>
      </c>
      <c r="AY941" t="s">
        <v>3250</v>
      </c>
      <c r="AZ941" t="s">
        <v>3250</v>
      </c>
      <c r="BA941" t="s">
        <v>3250</v>
      </c>
      <c r="BB941" t="s">
        <v>3250</v>
      </c>
      <c r="BC941" t="s">
        <v>3250</v>
      </c>
      <c r="BE941" t="s">
        <v>3250</v>
      </c>
      <c r="BF941" t="s">
        <v>3250</v>
      </c>
      <c r="BG941" t="s">
        <v>3250</v>
      </c>
      <c r="BH941" t="s">
        <v>3250</v>
      </c>
      <c r="BI941" t="s">
        <v>3250</v>
      </c>
      <c r="BK941" t="s">
        <v>3250</v>
      </c>
      <c r="BL941" t="s">
        <v>3250</v>
      </c>
      <c r="BM941" t="s">
        <v>3250</v>
      </c>
      <c r="BN941" t="s">
        <v>3250</v>
      </c>
      <c r="BP941">
        <v>8</v>
      </c>
      <c r="BQ941">
        <v>81</v>
      </c>
      <c r="BR941" t="s">
        <v>2418</v>
      </c>
      <c r="BS941" t="s">
        <v>4013</v>
      </c>
      <c r="BV941">
        <v>420</v>
      </c>
      <c r="BW941">
        <v>24000</v>
      </c>
      <c r="BX941">
        <v>0</v>
      </c>
      <c r="BY941">
        <v>0</v>
      </c>
      <c r="BZ941">
        <v>0</v>
      </c>
      <c r="CA941">
        <v>0</v>
      </c>
      <c r="CB941">
        <v>0</v>
      </c>
      <c r="CC941">
        <v>0</v>
      </c>
      <c r="CD941">
        <v>0</v>
      </c>
      <c r="CE941" t="s">
        <v>3108</v>
      </c>
      <c r="CF941" t="s">
        <v>3108</v>
      </c>
      <c r="CG941" t="s">
        <v>3108</v>
      </c>
      <c r="CH941" t="s">
        <v>3108</v>
      </c>
    </row>
    <row r="942" spans="1:86" x14ac:dyDescent="0.2">
      <c r="A942" t="s">
        <v>4679</v>
      </c>
      <c r="B942" t="s">
        <v>4679</v>
      </c>
      <c r="C942">
        <v>41410</v>
      </c>
      <c r="D942">
        <v>258</v>
      </c>
      <c r="E942" t="s">
        <v>4680</v>
      </c>
      <c r="F942" t="s">
        <v>3249</v>
      </c>
      <c r="G942" t="s">
        <v>3249</v>
      </c>
      <c r="H942" t="s">
        <v>3250</v>
      </c>
      <c r="I942" t="s">
        <v>3250</v>
      </c>
      <c r="J942" t="s">
        <v>3250</v>
      </c>
      <c r="K942" t="s">
        <v>3250</v>
      </c>
      <c r="L942">
        <v>1200</v>
      </c>
      <c r="M942" t="s">
        <v>2368</v>
      </c>
      <c r="N942">
        <v>1205</v>
      </c>
      <c r="O942" t="s">
        <v>2372</v>
      </c>
      <c r="P942" t="s">
        <v>2805</v>
      </c>
      <c r="Q942">
        <v>2080</v>
      </c>
      <c r="R942" t="s">
        <v>423</v>
      </c>
      <c r="S942" t="s">
        <v>427</v>
      </c>
      <c r="T942" t="s">
        <v>3251</v>
      </c>
      <c r="U942">
        <v>240</v>
      </c>
      <c r="V942" t="s">
        <v>4251</v>
      </c>
      <c r="W942">
        <v>240</v>
      </c>
      <c r="X942" t="s">
        <v>1323</v>
      </c>
      <c r="Y942" t="s">
        <v>3250</v>
      </c>
      <c r="Z942" t="s">
        <v>3250</v>
      </c>
      <c r="AA942" t="s">
        <v>3108</v>
      </c>
      <c r="AB942" t="s">
        <v>3108</v>
      </c>
      <c r="AC942" t="s">
        <v>3250</v>
      </c>
      <c r="AD942" t="s">
        <v>3250</v>
      </c>
      <c r="AE942" t="s">
        <v>3250</v>
      </c>
      <c r="AF942" t="s">
        <v>3250</v>
      </c>
      <c r="AG942">
        <v>1530</v>
      </c>
      <c r="AH942" t="s">
        <v>2335</v>
      </c>
      <c r="AI942">
        <v>1530</v>
      </c>
      <c r="AJ942" t="s">
        <v>2335</v>
      </c>
      <c r="AL942">
        <v>241</v>
      </c>
      <c r="AM942" t="s">
        <v>1455</v>
      </c>
      <c r="AN942">
        <v>241</v>
      </c>
      <c r="AO942" t="s">
        <v>1455</v>
      </c>
      <c r="AS942">
        <v>1530</v>
      </c>
      <c r="AT942">
        <v>1530</v>
      </c>
      <c r="AU942" t="s">
        <v>2335</v>
      </c>
      <c r="AV942" t="s">
        <v>2335</v>
      </c>
      <c r="AW942" t="s">
        <v>3250</v>
      </c>
      <c r="AX942" t="s">
        <v>3250</v>
      </c>
      <c r="AY942" t="s">
        <v>3250</v>
      </c>
      <c r="AZ942" t="s">
        <v>3250</v>
      </c>
      <c r="BA942" t="s">
        <v>3250</v>
      </c>
      <c r="BB942" t="s">
        <v>3250</v>
      </c>
      <c r="BC942" t="s">
        <v>3250</v>
      </c>
      <c r="BE942" t="s">
        <v>3250</v>
      </c>
      <c r="BF942" t="s">
        <v>3250</v>
      </c>
      <c r="BG942" t="s">
        <v>3250</v>
      </c>
      <c r="BH942" t="s">
        <v>3250</v>
      </c>
      <c r="BI942" t="s">
        <v>3250</v>
      </c>
      <c r="BK942" t="s">
        <v>3250</v>
      </c>
      <c r="BL942" t="s">
        <v>3250</v>
      </c>
      <c r="BM942" t="s">
        <v>3250</v>
      </c>
      <c r="BN942" t="s">
        <v>3250</v>
      </c>
      <c r="BP942">
        <v>1</v>
      </c>
      <c r="BQ942">
        <v>12</v>
      </c>
      <c r="BR942" t="s">
        <v>2372</v>
      </c>
      <c r="BS942" t="s">
        <v>3252</v>
      </c>
      <c r="BV942">
        <v>2845481</v>
      </c>
      <c r="BW942">
        <v>2845481</v>
      </c>
      <c r="BX942">
        <v>2845481</v>
      </c>
      <c r="BY942">
        <v>0</v>
      </c>
      <c r="BZ942">
        <v>0</v>
      </c>
      <c r="CA942">
        <v>0</v>
      </c>
      <c r="CB942">
        <v>0</v>
      </c>
      <c r="CC942">
        <v>0</v>
      </c>
      <c r="CD942">
        <v>2845481</v>
      </c>
      <c r="CE942" t="s">
        <v>3108</v>
      </c>
      <c r="CF942" t="s">
        <v>3108</v>
      </c>
      <c r="CG942" t="s">
        <v>3108</v>
      </c>
      <c r="CH942" t="s">
        <v>3108</v>
      </c>
    </row>
    <row r="943" spans="1:86" x14ac:dyDescent="0.2">
      <c r="A943" t="s">
        <v>4681</v>
      </c>
      <c r="B943" t="s">
        <v>4681</v>
      </c>
      <c r="C943">
        <v>41411</v>
      </c>
      <c r="D943">
        <v>259</v>
      </c>
      <c r="E943" t="s">
        <v>4682</v>
      </c>
      <c r="F943" t="s">
        <v>3249</v>
      </c>
      <c r="G943" t="s">
        <v>3249</v>
      </c>
      <c r="H943" t="s">
        <v>3250</v>
      </c>
      <c r="I943" t="s">
        <v>3250</v>
      </c>
      <c r="J943" t="s">
        <v>3250</v>
      </c>
      <c r="K943" t="s">
        <v>3250</v>
      </c>
      <c r="L943">
        <v>2100</v>
      </c>
      <c r="M943" t="s">
        <v>123</v>
      </c>
      <c r="N943">
        <v>2106</v>
      </c>
      <c r="O943" t="s">
        <v>2399</v>
      </c>
      <c r="P943" t="s">
        <v>2805</v>
      </c>
      <c r="Q943">
        <v>2080</v>
      </c>
      <c r="R943" t="s">
        <v>423</v>
      </c>
      <c r="S943" t="s">
        <v>427</v>
      </c>
      <c r="T943" t="s">
        <v>3251</v>
      </c>
      <c r="U943">
        <v>240</v>
      </c>
      <c r="V943" t="s">
        <v>4251</v>
      </c>
      <c r="W943">
        <v>240</v>
      </c>
      <c r="X943" t="s">
        <v>1323</v>
      </c>
      <c r="Y943" t="s">
        <v>3250</v>
      </c>
      <c r="Z943" t="s">
        <v>3250</v>
      </c>
      <c r="AA943" t="s">
        <v>3108</v>
      </c>
      <c r="AB943" t="s">
        <v>3108</v>
      </c>
      <c r="AC943" t="s">
        <v>3250</v>
      </c>
      <c r="AD943" t="s">
        <v>3250</v>
      </c>
      <c r="AE943" t="s">
        <v>3250</v>
      </c>
      <c r="AF943" t="s">
        <v>3250</v>
      </c>
      <c r="AG943">
        <v>1490</v>
      </c>
      <c r="AH943" t="s">
        <v>2333</v>
      </c>
      <c r="AI943">
        <v>1490</v>
      </c>
      <c r="AJ943" t="s">
        <v>2333</v>
      </c>
      <c r="AL943">
        <v>241</v>
      </c>
      <c r="AM943" t="s">
        <v>1455</v>
      </c>
      <c r="AN943">
        <v>241</v>
      </c>
      <c r="AO943" t="s">
        <v>1455</v>
      </c>
      <c r="AS943">
        <v>1490</v>
      </c>
      <c r="AT943">
        <v>1490</v>
      </c>
      <c r="AU943" t="s">
        <v>2333</v>
      </c>
      <c r="AV943" t="s">
        <v>2333</v>
      </c>
      <c r="AW943" t="s">
        <v>3250</v>
      </c>
      <c r="AX943" t="s">
        <v>3250</v>
      </c>
      <c r="AY943" t="s">
        <v>3250</v>
      </c>
      <c r="AZ943" t="s">
        <v>3250</v>
      </c>
      <c r="BA943" t="s">
        <v>3250</v>
      </c>
      <c r="BB943" t="s">
        <v>3250</v>
      </c>
      <c r="BC943" t="s">
        <v>3250</v>
      </c>
      <c r="BE943" t="s">
        <v>3250</v>
      </c>
      <c r="BF943" t="s">
        <v>3250</v>
      </c>
      <c r="BG943" t="s">
        <v>3250</v>
      </c>
      <c r="BH943" t="s">
        <v>3250</v>
      </c>
      <c r="BI943" t="s">
        <v>3250</v>
      </c>
      <c r="BK943" t="s">
        <v>3250</v>
      </c>
      <c r="BL943" t="s">
        <v>3250</v>
      </c>
      <c r="BM943" t="s">
        <v>3250</v>
      </c>
      <c r="BN943" t="s">
        <v>3250</v>
      </c>
      <c r="BP943">
        <v>5</v>
      </c>
      <c r="BQ943">
        <v>53</v>
      </c>
      <c r="BR943" t="s">
        <v>2399</v>
      </c>
      <c r="BS943" t="s">
        <v>4136</v>
      </c>
      <c r="BV943">
        <v>617932</v>
      </c>
      <c r="BW943">
        <v>200995</v>
      </c>
      <c r="BX943">
        <v>166592</v>
      </c>
      <c r="BY943">
        <v>0</v>
      </c>
      <c r="BZ943">
        <v>0</v>
      </c>
      <c r="CA943">
        <v>0</v>
      </c>
      <c r="CB943">
        <v>0</v>
      </c>
      <c r="CC943">
        <v>0</v>
      </c>
      <c r="CD943">
        <v>617932</v>
      </c>
      <c r="CE943" t="s">
        <v>3108</v>
      </c>
      <c r="CF943" t="s">
        <v>3108</v>
      </c>
      <c r="CG943" t="s">
        <v>3108</v>
      </c>
      <c r="CH943" t="s">
        <v>3108</v>
      </c>
    </row>
    <row r="944" spans="1:86" x14ac:dyDescent="0.2">
      <c r="A944" t="s">
        <v>4683</v>
      </c>
      <c r="B944" t="s">
        <v>4683</v>
      </c>
      <c r="C944">
        <v>41412</v>
      </c>
      <c r="D944">
        <v>260</v>
      </c>
      <c r="E944" t="s">
        <v>4684</v>
      </c>
      <c r="F944" t="s">
        <v>3249</v>
      </c>
      <c r="G944" t="s">
        <v>3249</v>
      </c>
      <c r="H944" t="s">
        <v>3250</v>
      </c>
      <c r="I944" t="s">
        <v>3250</v>
      </c>
      <c r="J944" t="s">
        <v>3250</v>
      </c>
      <c r="K944" t="s">
        <v>3250</v>
      </c>
      <c r="L944">
        <v>1200</v>
      </c>
      <c r="M944" t="s">
        <v>2368</v>
      </c>
      <c r="N944">
        <v>1202</v>
      </c>
      <c r="O944" t="s">
        <v>2371</v>
      </c>
      <c r="P944" t="s">
        <v>2805</v>
      </c>
      <c r="Q944">
        <v>2080</v>
      </c>
      <c r="R944" t="s">
        <v>423</v>
      </c>
      <c r="S944" t="s">
        <v>427</v>
      </c>
      <c r="T944" t="s">
        <v>3251</v>
      </c>
      <c r="U944">
        <v>240</v>
      </c>
      <c r="V944" t="s">
        <v>4251</v>
      </c>
      <c r="W944">
        <v>240</v>
      </c>
      <c r="X944" t="s">
        <v>1323</v>
      </c>
      <c r="Y944" t="s">
        <v>3250</v>
      </c>
      <c r="Z944" t="s">
        <v>3250</v>
      </c>
      <c r="AA944" t="s">
        <v>3108</v>
      </c>
      <c r="AB944" t="s">
        <v>3108</v>
      </c>
      <c r="AC944" t="s">
        <v>3250</v>
      </c>
      <c r="AD944" t="s">
        <v>3250</v>
      </c>
      <c r="AE944" t="s">
        <v>3250</v>
      </c>
      <c r="AF944" t="s">
        <v>3250</v>
      </c>
      <c r="AG944">
        <v>1470</v>
      </c>
      <c r="AH944" t="s">
        <v>2332</v>
      </c>
      <c r="AI944">
        <v>1470</v>
      </c>
      <c r="AJ944" t="s">
        <v>2332</v>
      </c>
      <c r="AL944">
        <v>241</v>
      </c>
      <c r="AM944" t="s">
        <v>1455</v>
      </c>
      <c r="AN944">
        <v>241</v>
      </c>
      <c r="AO944" t="s">
        <v>1455</v>
      </c>
      <c r="AS944">
        <v>1470</v>
      </c>
      <c r="AT944">
        <v>1470</v>
      </c>
      <c r="AU944" t="s">
        <v>2332</v>
      </c>
      <c r="AV944" t="s">
        <v>2332</v>
      </c>
      <c r="AW944" t="s">
        <v>3250</v>
      </c>
      <c r="AX944" t="s">
        <v>3250</v>
      </c>
      <c r="AY944" t="s">
        <v>3250</v>
      </c>
      <c r="AZ944" t="s">
        <v>3250</v>
      </c>
      <c r="BA944" t="s">
        <v>3250</v>
      </c>
      <c r="BB944" t="s">
        <v>3250</v>
      </c>
      <c r="BC944" t="s">
        <v>3250</v>
      </c>
      <c r="BE944" t="s">
        <v>3250</v>
      </c>
      <c r="BF944" t="s">
        <v>3250</v>
      </c>
      <c r="BG944" t="s">
        <v>3250</v>
      </c>
      <c r="BH944" t="s">
        <v>3250</v>
      </c>
      <c r="BI944" t="s">
        <v>3250</v>
      </c>
      <c r="BK944" t="s">
        <v>3250</v>
      </c>
      <c r="BL944" t="s">
        <v>3250</v>
      </c>
      <c r="BM944" t="s">
        <v>3250</v>
      </c>
      <c r="BN944" t="s">
        <v>3250</v>
      </c>
      <c r="BP944">
        <v>1</v>
      </c>
      <c r="BQ944">
        <v>13</v>
      </c>
      <c r="BR944" t="s">
        <v>2371</v>
      </c>
      <c r="BS944" t="s">
        <v>3252</v>
      </c>
      <c r="BV944">
        <v>977996</v>
      </c>
      <c r="BW944">
        <v>321813</v>
      </c>
      <c r="BX944">
        <v>241468</v>
      </c>
      <c r="BY944">
        <v>300000</v>
      </c>
      <c r="BZ944">
        <v>300000</v>
      </c>
      <c r="CA944">
        <v>555000</v>
      </c>
      <c r="CB944">
        <v>324168</v>
      </c>
      <c r="CC944">
        <v>337135</v>
      </c>
      <c r="CD944">
        <v>1231827</v>
      </c>
      <c r="CE944" t="s">
        <v>3108</v>
      </c>
      <c r="CF944" t="s">
        <v>3108</v>
      </c>
      <c r="CG944" t="s">
        <v>3108</v>
      </c>
      <c r="CH944" t="s">
        <v>3108</v>
      </c>
    </row>
    <row r="945" spans="1:86" x14ac:dyDescent="0.2">
      <c r="A945" t="s">
        <v>4685</v>
      </c>
      <c r="B945" t="s">
        <v>4685</v>
      </c>
      <c r="C945">
        <v>41413</v>
      </c>
      <c r="D945">
        <v>261</v>
      </c>
      <c r="E945" t="s">
        <v>4686</v>
      </c>
      <c r="F945" t="s">
        <v>3249</v>
      </c>
      <c r="G945" t="s">
        <v>3249</v>
      </c>
      <c r="H945" t="s">
        <v>3250</v>
      </c>
      <c r="I945" t="s">
        <v>3250</v>
      </c>
      <c r="J945" t="s">
        <v>3250</v>
      </c>
      <c r="K945" t="s">
        <v>3250</v>
      </c>
      <c r="L945">
        <v>2100</v>
      </c>
      <c r="M945" t="s">
        <v>123</v>
      </c>
      <c r="N945">
        <v>2106</v>
      </c>
      <c r="O945" t="s">
        <v>2399</v>
      </c>
      <c r="P945" t="s">
        <v>2805</v>
      </c>
      <c r="Q945">
        <v>2080</v>
      </c>
      <c r="R945" t="s">
        <v>423</v>
      </c>
      <c r="S945" t="s">
        <v>427</v>
      </c>
      <c r="T945" t="s">
        <v>3251</v>
      </c>
      <c r="U945">
        <v>240</v>
      </c>
      <c r="V945" t="s">
        <v>4251</v>
      </c>
      <c r="W945">
        <v>240</v>
      </c>
      <c r="X945" t="s">
        <v>1323</v>
      </c>
      <c r="Y945" t="s">
        <v>3250</v>
      </c>
      <c r="Z945" t="s">
        <v>3250</v>
      </c>
      <c r="AA945" t="s">
        <v>3108</v>
      </c>
      <c r="AB945" t="s">
        <v>3108</v>
      </c>
      <c r="AC945" t="s">
        <v>3250</v>
      </c>
      <c r="AD945" t="s">
        <v>3250</v>
      </c>
      <c r="AE945" t="s">
        <v>3250</v>
      </c>
      <c r="AF945" t="s">
        <v>3250</v>
      </c>
      <c r="AG945">
        <v>1510</v>
      </c>
      <c r="AH945" t="s">
        <v>2334</v>
      </c>
      <c r="AI945">
        <v>1510</v>
      </c>
      <c r="AJ945" t="s">
        <v>2334</v>
      </c>
      <c r="AL945">
        <v>241</v>
      </c>
      <c r="AM945" t="s">
        <v>1455</v>
      </c>
      <c r="AN945">
        <v>241</v>
      </c>
      <c r="AO945" t="s">
        <v>1455</v>
      </c>
      <c r="AS945">
        <v>1510</v>
      </c>
      <c r="AT945">
        <v>1510</v>
      </c>
      <c r="AU945" t="s">
        <v>2334</v>
      </c>
      <c r="AV945" t="s">
        <v>2334</v>
      </c>
      <c r="AW945" t="s">
        <v>3250</v>
      </c>
      <c r="AX945" t="s">
        <v>3250</v>
      </c>
      <c r="AY945" t="s">
        <v>3250</v>
      </c>
      <c r="AZ945" t="s">
        <v>3250</v>
      </c>
      <c r="BA945" t="s">
        <v>3250</v>
      </c>
      <c r="BB945" t="s">
        <v>3250</v>
      </c>
      <c r="BC945" t="s">
        <v>3250</v>
      </c>
      <c r="BE945" t="s">
        <v>3250</v>
      </c>
      <c r="BF945" t="s">
        <v>3250</v>
      </c>
      <c r="BG945" t="s">
        <v>3250</v>
      </c>
      <c r="BH945" t="s">
        <v>3250</v>
      </c>
      <c r="BI945" t="s">
        <v>3250</v>
      </c>
      <c r="BK945" t="s">
        <v>3250</v>
      </c>
      <c r="BL945" t="s">
        <v>3250</v>
      </c>
      <c r="BM945" t="s">
        <v>3250</v>
      </c>
      <c r="BN945" t="s">
        <v>3250</v>
      </c>
      <c r="BP945">
        <v>5</v>
      </c>
      <c r="BQ945">
        <v>53</v>
      </c>
      <c r="BR945" t="s">
        <v>2399</v>
      </c>
      <c r="BS945" t="s">
        <v>4136</v>
      </c>
      <c r="BV945">
        <v>0</v>
      </c>
      <c r="BW945">
        <v>0</v>
      </c>
      <c r="BX945">
        <v>0</v>
      </c>
      <c r="BY945">
        <v>0</v>
      </c>
      <c r="BZ945">
        <v>0</v>
      </c>
      <c r="CA945">
        <v>0</v>
      </c>
      <c r="CB945">
        <v>0</v>
      </c>
      <c r="CC945">
        <v>0</v>
      </c>
      <c r="CD945">
        <v>0</v>
      </c>
      <c r="CE945" t="s">
        <v>3108</v>
      </c>
      <c r="CF945" t="s">
        <v>3108</v>
      </c>
      <c r="CG945" t="s">
        <v>3108</v>
      </c>
      <c r="CH945" t="s">
        <v>3108</v>
      </c>
    </row>
    <row r="946" spans="1:86" x14ac:dyDescent="0.2">
      <c r="A946" t="s">
        <v>4687</v>
      </c>
      <c r="B946" t="s">
        <v>4687</v>
      </c>
      <c r="C946">
        <v>41414</v>
      </c>
      <c r="D946">
        <v>249</v>
      </c>
      <c r="E946" t="s">
        <v>4688</v>
      </c>
      <c r="F946" t="s">
        <v>3249</v>
      </c>
      <c r="G946" t="s">
        <v>3249</v>
      </c>
      <c r="H946" t="s">
        <v>3250</v>
      </c>
      <c r="I946" t="s">
        <v>3250</v>
      </c>
      <c r="J946" t="s">
        <v>3250</v>
      </c>
      <c r="K946" t="s">
        <v>3250</v>
      </c>
      <c r="L946">
        <v>3200</v>
      </c>
      <c r="M946" t="s">
        <v>128</v>
      </c>
      <c r="N946">
        <v>3205</v>
      </c>
      <c r="O946" t="s">
        <v>629</v>
      </c>
      <c r="P946" t="s">
        <v>2805</v>
      </c>
      <c r="Q946">
        <v>2080</v>
      </c>
      <c r="R946" t="s">
        <v>423</v>
      </c>
      <c r="S946" t="s">
        <v>427</v>
      </c>
      <c r="T946" t="s">
        <v>3251</v>
      </c>
      <c r="U946">
        <v>240</v>
      </c>
      <c r="V946" t="s">
        <v>4251</v>
      </c>
      <c r="W946">
        <v>240</v>
      </c>
      <c r="X946" t="s">
        <v>1323</v>
      </c>
      <c r="Y946" t="s">
        <v>3250</v>
      </c>
      <c r="Z946" t="s">
        <v>3250</v>
      </c>
      <c r="AA946" t="s">
        <v>3108</v>
      </c>
      <c r="AB946" t="s">
        <v>3108</v>
      </c>
      <c r="AC946" t="s">
        <v>3250</v>
      </c>
      <c r="AD946" t="s">
        <v>3250</v>
      </c>
      <c r="AE946" t="s">
        <v>3250</v>
      </c>
      <c r="AF946" t="s">
        <v>3250</v>
      </c>
      <c r="AG946">
        <v>110</v>
      </c>
      <c r="AH946" t="s">
        <v>2230</v>
      </c>
      <c r="AI946">
        <v>110</v>
      </c>
      <c r="AJ946" t="s">
        <v>2230</v>
      </c>
      <c r="AL946">
        <v>241</v>
      </c>
      <c r="AM946" t="s">
        <v>1455</v>
      </c>
      <c r="AN946">
        <v>241</v>
      </c>
      <c r="AO946" t="s">
        <v>1455</v>
      </c>
      <c r="AS946" t="s">
        <v>3250</v>
      </c>
      <c r="AT946" t="s">
        <v>3250</v>
      </c>
      <c r="AU946" t="s">
        <v>3250</v>
      </c>
      <c r="AV946" t="s">
        <v>3250</v>
      </c>
      <c r="AW946">
        <v>120</v>
      </c>
      <c r="AX946" t="s">
        <v>629</v>
      </c>
      <c r="AY946" t="s">
        <v>3250</v>
      </c>
      <c r="AZ946" t="s">
        <v>3250</v>
      </c>
      <c r="BA946">
        <v>120</v>
      </c>
      <c r="BB946" t="s">
        <v>3250</v>
      </c>
      <c r="BC946" t="s">
        <v>3250</v>
      </c>
      <c r="BE946" t="s">
        <v>3250</v>
      </c>
      <c r="BF946" t="s">
        <v>3250</v>
      </c>
      <c r="BG946" t="s">
        <v>629</v>
      </c>
      <c r="BH946" t="s">
        <v>3250</v>
      </c>
      <c r="BI946" t="s">
        <v>3250</v>
      </c>
      <c r="BK946" t="s">
        <v>3250</v>
      </c>
      <c r="BL946" t="s">
        <v>3250</v>
      </c>
      <c r="BM946" t="s">
        <v>3250</v>
      </c>
      <c r="BN946" t="s">
        <v>3250</v>
      </c>
      <c r="BP946">
        <v>7</v>
      </c>
      <c r="BQ946">
        <v>71</v>
      </c>
      <c r="BR946" t="s">
        <v>629</v>
      </c>
      <c r="BS946" t="s">
        <v>4212</v>
      </c>
      <c r="BV946">
        <v>0</v>
      </c>
      <c r="BW946">
        <v>0</v>
      </c>
      <c r="BX946">
        <v>0</v>
      </c>
      <c r="BY946">
        <v>0</v>
      </c>
      <c r="BZ946">
        <v>0</v>
      </c>
      <c r="CA946">
        <v>0</v>
      </c>
      <c r="CB946">
        <v>0</v>
      </c>
      <c r="CC946">
        <v>0</v>
      </c>
      <c r="CD946">
        <v>0</v>
      </c>
      <c r="CE946" t="s">
        <v>3108</v>
      </c>
      <c r="CF946" t="s">
        <v>3108</v>
      </c>
      <c r="CG946" t="s">
        <v>3108</v>
      </c>
      <c r="CH946" t="s">
        <v>3108</v>
      </c>
    </row>
    <row r="947" spans="1:86" x14ac:dyDescent="0.2">
      <c r="A947" t="s">
        <v>4689</v>
      </c>
      <c r="B947" t="s">
        <v>4689</v>
      </c>
      <c r="C947">
        <v>41415</v>
      </c>
      <c r="D947">
        <v>250</v>
      </c>
      <c r="E947" t="s">
        <v>4250</v>
      </c>
      <c r="F947" t="s">
        <v>3249</v>
      </c>
      <c r="G947" t="s">
        <v>3249</v>
      </c>
      <c r="H947" t="s">
        <v>3250</v>
      </c>
      <c r="I947" t="s">
        <v>3250</v>
      </c>
      <c r="J947" t="s">
        <v>3250</v>
      </c>
      <c r="K947" t="s">
        <v>3250</v>
      </c>
      <c r="L947">
        <v>3200</v>
      </c>
      <c r="M947" t="s">
        <v>128</v>
      </c>
      <c r="N947">
        <v>3205</v>
      </c>
      <c r="O947" t="s">
        <v>629</v>
      </c>
      <c r="P947" t="s">
        <v>2805</v>
      </c>
      <c r="Q947">
        <v>2080</v>
      </c>
      <c r="R947" t="s">
        <v>423</v>
      </c>
      <c r="S947" t="s">
        <v>427</v>
      </c>
      <c r="T947" t="s">
        <v>3251</v>
      </c>
      <c r="U947">
        <v>240</v>
      </c>
      <c r="V947" t="s">
        <v>4251</v>
      </c>
      <c r="W947">
        <v>240</v>
      </c>
      <c r="X947" t="s">
        <v>1323</v>
      </c>
      <c r="Y947" t="s">
        <v>3250</v>
      </c>
      <c r="Z947" t="s">
        <v>3250</v>
      </c>
      <c r="AA947" t="s">
        <v>3108</v>
      </c>
      <c r="AB947" t="s">
        <v>3108</v>
      </c>
      <c r="AC947" t="s">
        <v>3250</v>
      </c>
      <c r="AD947" t="s">
        <v>3250</v>
      </c>
      <c r="AE947" t="s">
        <v>3250</v>
      </c>
      <c r="AF947" t="s">
        <v>3250</v>
      </c>
      <c r="AG947" t="s">
        <v>3250</v>
      </c>
      <c r="AH947" t="s">
        <v>3250</v>
      </c>
      <c r="AI947" t="s">
        <v>3250</v>
      </c>
      <c r="AJ947" t="s">
        <v>3250</v>
      </c>
      <c r="AK947">
        <v>110</v>
      </c>
      <c r="AL947">
        <v>241</v>
      </c>
      <c r="AM947" t="s">
        <v>1455</v>
      </c>
      <c r="AN947">
        <v>241</v>
      </c>
      <c r="AO947" t="s">
        <v>1455</v>
      </c>
      <c r="AS947" t="s">
        <v>3250</v>
      </c>
      <c r="AT947" t="s">
        <v>3250</v>
      </c>
      <c r="AU947" t="s">
        <v>3250</v>
      </c>
      <c r="AV947" t="s">
        <v>3250</v>
      </c>
      <c r="AW947">
        <v>120</v>
      </c>
      <c r="AX947" t="s">
        <v>629</v>
      </c>
      <c r="AY947" t="s">
        <v>3250</v>
      </c>
      <c r="AZ947" t="s">
        <v>3250</v>
      </c>
      <c r="BA947">
        <v>120</v>
      </c>
      <c r="BB947" t="s">
        <v>3250</v>
      </c>
      <c r="BC947" t="s">
        <v>3250</v>
      </c>
      <c r="BE947" t="s">
        <v>3250</v>
      </c>
      <c r="BF947" t="s">
        <v>3250</v>
      </c>
      <c r="BG947" t="s">
        <v>629</v>
      </c>
      <c r="BH947" t="s">
        <v>3250</v>
      </c>
      <c r="BI947" t="s">
        <v>3250</v>
      </c>
      <c r="BK947" t="s">
        <v>3250</v>
      </c>
      <c r="BL947" t="s">
        <v>3250</v>
      </c>
      <c r="BM947" t="s">
        <v>3250</v>
      </c>
      <c r="BN947" t="s">
        <v>3250</v>
      </c>
      <c r="BP947">
        <v>7</v>
      </c>
      <c r="BQ947">
        <v>71</v>
      </c>
      <c r="BR947" t="s">
        <v>629</v>
      </c>
      <c r="BS947" t="s">
        <v>4212</v>
      </c>
      <c r="BV947">
        <v>1</v>
      </c>
      <c r="BW947">
        <v>1</v>
      </c>
      <c r="BX947">
        <v>124</v>
      </c>
      <c r="BY947">
        <v>0</v>
      </c>
      <c r="BZ947">
        <v>0</v>
      </c>
      <c r="CA947">
        <v>0</v>
      </c>
      <c r="CB947">
        <v>0</v>
      </c>
      <c r="CC947">
        <v>0</v>
      </c>
      <c r="CD947">
        <v>1</v>
      </c>
      <c r="CE947" t="s">
        <v>3108</v>
      </c>
      <c r="CF947" t="s">
        <v>3108</v>
      </c>
      <c r="CG947" t="s">
        <v>3108</v>
      </c>
      <c r="CH947" t="s">
        <v>3108</v>
      </c>
    </row>
    <row r="948" spans="1:86" x14ac:dyDescent="0.2">
      <c r="A948" t="s">
        <v>4690</v>
      </c>
      <c r="B948" t="s">
        <v>4690</v>
      </c>
      <c r="C948">
        <v>41416</v>
      </c>
      <c r="E948" t="s">
        <v>4250</v>
      </c>
      <c r="F948" t="s">
        <v>3249</v>
      </c>
      <c r="G948" t="s">
        <v>3249</v>
      </c>
      <c r="H948" t="s">
        <v>3250</v>
      </c>
      <c r="I948" t="s">
        <v>3250</v>
      </c>
      <c r="J948" t="s">
        <v>3250</v>
      </c>
      <c r="K948" t="s">
        <v>3250</v>
      </c>
      <c r="L948">
        <v>2100</v>
      </c>
      <c r="M948" t="s">
        <v>123</v>
      </c>
      <c r="N948">
        <v>2105</v>
      </c>
      <c r="O948" t="s">
        <v>2398</v>
      </c>
      <c r="P948" t="s">
        <v>2805</v>
      </c>
      <c r="Q948">
        <v>2010</v>
      </c>
      <c r="R948" t="s">
        <v>1355</v>
      </c>
      <c r="S948" t="s">
        <v>427</v>
      </c>
      <c r="T948" t="s">
        <v>3251</v>
      </c>
      <c r="U948">
        <v>240</v>
      </c>
      <c r="V948" t="s">
        <v>4251</v>
      </c>
      <c r="W948">
        <v>240</v>
      </c>
      <c r="X948" t="s">
        <v>1323</v>
      </c>
      <c r="Y948" t="s">
        <v>3250</v>
      </c>
      <c r="Z948" t="s">
        <v>3250</v>
      </c>
      <c r="AA948" t="s">
        <v>3108</v>
      </c>
      <c r="AB948" t="s">
        <v>3108</v>
      </c>
      <c r="AC948" t="s">
        <v>3250</v>
      </c>
      <c r="AD948" t="s">
        <v>3250</v>
      </c>
      <c r="AE948" t="s">
        <v>3250</v>
      </c>
      <c r="AF948" t="s">
        <v>3250</v>
      </c>
      <c r="AG948" t="s">
        <v>3250</v>
      </c>
      <c r="AH948" t="s">
        <v>3250</v>
      </c>
      <c r="AI948" t="s">
        <v>3250</v>
      </c>
      <c r="AJ948" t="s">
        <v>3250</v>
      </c>
      <c r="AK948">
        <v>770</v>
      </c>
      <c r="AL948">
        <v>241</v>
      </c>
      <c r="AM948" t="s">
        <v>1455</v>
      </c>
      <c r="AN948">
        <v>241</v>
      </c>
      <c r="AO948" t="s">
        <v>1455</v>
      </c>
      <c r="AS948">
        <v>810</v>
      </c>
      <c r="AT948">
        <v>810</v>
      </c>
      <c r="AU948" t="s">
        <v>2286</v>
      </c>
      <c r="AV948" t="s">
        <v>2286</v>
      </c>
      <c r="AW948" t="s">
        <v>3250</v>
      </c>
      <c r="AX948" t="s">
        <v>3250</v>
      </c>
      <c r="AY948" t="s">
        <v>3250</v>
      </c>
      <c r="AZ948" t="s">
        <v>3250</v>
      </c>
      <c r="BA948" t="s">
        <v>3250</v>
      </c>
      <c r="BB948" t="s">
        <v>3250</v>
      </c>
      <c r="BC948" t="s">
        <v>3250</v>
      </c>
      <c r="BE948" t="s">
        <v>3250</v>
      </c>
      <c r="BF948" t="s">
        <v>3250</v>
      </c>
      <c r="BG948" t="s">
        <v>3250</v>
      </c>
      <c r="BH948" t="s">
        <v>3250</v>
      </c>
      <c r="BI948" t="s">
        <v>3250</v>
      </c>
      <c r="BK948" t="s">
        <v>3250</v>
      </c>
      <c r="BL948" t="s">
        <v>3250</v>
      </c>
      <c r="BM948" t="s">
        <v>3250</v>
      </c>
      <c r="BN948" t="s">
        <v>3250</v>
      </c>
      <c r="BP948">
        <v>4</v>
      </c>
      <c r="BQ948">
        <v>49</v>
      </c>
      <c r="BR948" t="s">
        <v>2398</v>
      </c>
      <c r="BS948" t="s">
        <v>4024</v>
      </c>
      <c r="BV948">
        <v>0</v>
      </c>
      <c r="BW948">
        <v>0</v>
      </c>
      <c r="BX948">
        <v>0</v>
      </c>
      <c r="BY948">
        <v>1538516</v>
      </c>
      <c r="BZ948">
        <v>1538516</v>
      </c>
      <c r="CA948">
        <v>0</v>
      </c>
      <c r="CB948">
        <v>0</v>
      </c>
      <c r="CC948">
        <v>0</v>
      </c>
      <c r="CD948">
        <v>0</v>
      </c>
      <c r="CE948" t="s">
        <v>3108</v>
      </c>
      <c r="CF948" t="s">
        <v>3108</v>
      </c>
      <c r="CG948" t="s">
        <v>3108</v>
      </c>
      <c r="CH948" t="s">
        <v>3108</v>
      </c>
    </row>
    <row r="949" spans="1:86" x14ac:dyDescent="0.2">
      <c r="A949" t="s">
        <v>4691</v>
      </c>
      <c r="B949" t="s">
        <v>4691</v>
      </c>
      <c r="C949">
        <v>41417</v>
      </c>
      <c r="D949">
        <v>252</v>
      </c>
      <c r="E949" t="s">
        <v>4250</v>
      </c>
      <c r="F949" t="s">
        <v>3249</v>
      </c>
      <c r="G949" t="s">
        <v>3249</v>
      </c>
      <c r="H949" t="s">
        <v>3250</v>
      </c>
      <c r="I949" t="s">
        <v>3250</v>
      </c>
      <c r="J949" t="s">
        <v>3250</v>
      </c>
      <c r="K949" t="s">
        <v>3250</v>
      </c>
      <c r="L949">
        <v>3200</v>
      </c>
      <c r="M949" t="s">
        <v>128</v>
      </c>
      <c r="N949">
        <v>3205</v>
      </c>
      <c r="O949" t="s">
        <v>629</v>
      </c>
      <c r="P949" t="s">
        <v>2805</v>
      </c>
      <c r="Q949">
        <v>2010</v>
      </c>
      <c r="R949" t="s">
        <v>1355</v>
      </c>
      <c r="S949" t="s">
        <v>427</v>
      </c>
      <c r="T949" t="s">
        <v>3251</v>
      </c>
      <c r="U949">
        <v>240</v>
      </c>
      <c r="V949" t="s">
        <v>4251</v>
      </c>
      <c r="W949">
        <v>240</v>
      </c>
      <c r="X949" t="s">
        <v>1323</v>
      </c>
      <c r="Y949" t="s">
        <v>3250</v>
      </c>
      <c r="Z949" t="s">
        <v>3250</v>
      </c>
      <c r="AA949" t="s">
        <v>3108</v>
      </c>
      <c r="AB949" t="s">
        <v>3108</v>
      </c>
      <c r="AC949" t="s">
        <v>3250</v>
      </c>
      <c r="AD949" t="s">
        <v>3250</v>
      </c>
      <c r="AE949" t="s">
        <v>3250</v>
      </c>
      <c r="AF949" t="s">
        <v>3250</v>
      </c>
      <c r="AG949" t="s">
        <v>3250</v>
      </c>
      <c r="AH949" t="s">
        <v>3250</v>
      </c>
      <c r="AI949" t="s">
        <v>3250</v>
      </c>
      <c r="AJ949" t="s">
        <v>3250</v>
      </c>
      <c r="AK949">
        <v>110</v>
      </c>
      <c r="AL949">
        <v>241</v>
      </c>
      <c r="AM949" t="s">
        <v>1455</v>
      </c>
      <c r="AN949">
        <v>241</v>
      </c>
      <c r="AO949" t="s">
        <v>1455</v>
      </c>
      <c r="AS949" t="s">
        <v>3250</v>
      </c>
      <c r="AT949" t="s">
        <v>3250</v>
      </c>
      <c r="AU949" t="s">
        <v>3250</v>
      </c>
      <c r="AV949" t="s">
        <v>3250</v>
      </c>
      <c r="AW949" t="s">
        <v>3250</v>
      </c>
      <c r="AX949" t="s">
        <v>3250</v>
      </c>
      <c r="AY949" t="s">
        <v>3250</v>
      </c>
      <c r="AZ949" t="s">
        <v>3250</v>
      </c>
      <c r="BA949" t="s">
        <v>3250</v>
      </c>
      <c r="BB949" t="s">
        <v>3250</v>
      </c>
      <c r="BC949" t="s">
        <v>3250</v>
      </c>
      <c r="BE949" t="s">
        <v>3250</v>
      </c>
      <c r="BF949" t="s">
        <v>3250</v>
      </c>
      <c r="BG949" t="s">
        <v>3250</v>
      </c>
      <c r="BH949" t="s">
        <v>3250</v>
      </c>
      <c r="BI949" t="s">
        <v>3250</v>
      </c>
      <c r="BK949">
        <v>120</v>
      </c>
      <c r="BL949" t="s">
        <v>629</v>
      </c>
      <c r="BM949">
        <v>120</v>
      </c>
      <c r="BN949" t="s">
        <v>629</v>
      </c>
      <c r="BP949">
        <v>7</v>
      </c>
      <c r="BQ949">
        <v>71</v>
      </c>
      <c r="BR949" t="s">
        <v>629</v>
      </c>
      <c r="BS949" t="s">
        <v>4212</v>
      </c>
      <c r="BV949">
        <v>0</v>
      </c>
      <c r="BW949">
        <v>2214341</v>
      </c>
      <c r="BX949">
        <v>0</v>
      </c>
      <c r="BY949">
        <v>0</v>
      </c>
      <c r="BZ949">
        <v>0</v>
      </c>
      <c r="CA949">
        <v>0</v>
      </c>
      <c r="CB949">
        <v>0</v>
      </c>
      <c r="CC949">
        <v>0</v>
      </c>
      <c r="CD949">
        <v>0</v>
      </c>
      <c r="CE949" t="s">
        <v>3108</v>
      </c>
      <c r="CF949" t="s">
        <v>3108</v>
      </c>
      <c r="CG949" t="s">
        <v>3108</v>
      </c>
      <c r="CH949" t="s">
        <v>3108</v>
      </c>
    </row>
    <row r="950" spans="1:86" x14ac:dyDescent="0.2">
      <c r="A950" t="s">
        <v>4692</v>
      </c>
      <c r="B950" t="s">
        <v>4692</v>
      </c>
      <c r="C950">
        <v>41418</v>
      </c>
      <c r="D950">
        <v>253</v>
      </c>
      <c r="E950" t="s">
        <v>4250</v>
      </c>
      <c r="F950" t="s">
        <v>3249</v>
      </c>
      <c r="G950" t="s">
        <v>3249</v>
      </c>
      <c r="H950" t="s">
        <v>3250</v>
      </c>
      <c r="I950" t="s">
        <v>3250</v>
      </c>
      <c r="J950" t="s">
        <v>3250</v>
      </c>
      <c r="K950" t="s">
        <v>3250</v>
      </c>
      <c r="L950">
        <v>3200</v>
      </c>
      <c r="M950" t="s">
        <v>128</v>
      </c>
      <c r="N950">
        <v>3205</v>
      </c>
      <c r="O950" t="s">
        <v>629</v>
      </c>
      <c r="P950" t="s">
        <v>2805</v>
      </c>
      <c r="Q950">
        <v>2010</v>
      </c>
      <c r="R950" t="s">
        <v>1355</v>
      </c>
      <c r="S950" t="s">
        <v>427</v>
      </c>
      <c r="T950" t="s">
        <v>3251</v>
      </c>
      <c r="U950">
        <v>240</v>
      </c>
      <c r="V950" t="s">
        <v>4251</v>
      </c>
      <c r="W950">
        <v>240</v>
      </c>
      <c r="X950" t="s">
        <v>1323</v>
      </c>
      <c r="Y950" t="s">
        <v>3250</v>
      </c>
      <c r="Z950" t="s">
        <v>3250</v>
      </c>
      <c r="AA950" t="s">
        <v>3108</v>
      </c>
      <c r="AB950" t="s">
        <v>3108</v>
      </c>
      <c r="AC950" t="s">
        <v>3250</v>
      </c>
      <c r="AD950" t="s">
        <v>3250</v>
      </c>
      <c r="AE950" t="s">
        <v>3250</v>
      </c>
      <c r="AF950" t="s">
        <v>3250</v>
      </c>
      <c r="AG950" t="s">
        <v>3250</v>
      </c>
      <c r="AH950" t="s">
        <v>3250</v>
      </c>
      <c r="AI950" t="s">
        <v>3250</v>
      </c>
      <c r="AJ950" t="s">
        <v>3250</v>
      </c>
      <c r="AK950">
        <v>110</v>
      </c>
      <c r="AL950">
        <v>241</v>
      </c>
      <c r="AM950" t="s">
        <v>1455</v>
      </c>
      <c r="AN950">
        <v>241</v>
      </c>
      <c r="AO950" t="s">
        <v>1455</v>
      </c>
      <c r="AS950" t="s">
        <v>3250</v>
      </c>
      <c r="AT950" t="s">
        <v>3250</v>
      </c>
      <c r="AU950" t="s">
        <v>3250</v>
      </c>
      <c r="AV950" t="s">
        <v>3250</v>
      </c>
      <c r="AW950" t="s">
        <v>3250</v>
      </c>
      <c r="AX950" t="s">
        <v>3250</v>
      </c>
      <c r="AY950" t="s">
        <v>3250</v>
      </c>
      <c r="AZ950" t="s">
        <v>3250</v>
      </c>
      <c r="BA950" t="s">
        <v>3250</v>
      </c>
      <c r="BB950" t="s">
        <v>3250</v>
      </c>
      <c r="BC950" t="s">
        <v>3250</v>
      </c>
      <c r="BE950" t="s">
        <v>3250</v>
      </c>
      <c r="BF950" t="s">
        <v>3250</v>
      </c>
      <c r="BG950" t="s">
        <v>3250</v>
      </c>
      <c r="BH950" t="s">
        <v>3250</v>
      </c>
      <c r="BI950" t="s">
        <v>3250</v>
      </c>
      <c r="BK950">
        <v>120</v>
      </c>
      <c r="BL950" t="s">
        <v>629</v>
      </c>
      <c r="BM950">
        <v>120</v>
      </c>
      <c r="BN950" t="s">
        <v>629</v>
      </c>
      <c r="BP950">
        <v>7</v>
      </c>
      <c r="BQ950">
        <v>71</v>
      </c>
      <c r="BR950" t="s">
        <v>629</v>
      </c>
      <c r="BS950" t="s">
        <v>4212</v>
      </c>
      <c r="BV950">
        <v>0</v>
      </c>
      <c r="BW950">
        <v>0</v>
      </c>
      <c r="BX950">
        <v>327290</v>
      </c>
      <c r="BY950">
        <v>0</v>
      </c>
      <c r="BZ950">
        <v>0</v>
      </c>
      <c r="CA950">
        <v>0</v>
      </c>
      <c r="CB950">
        <v>0</v>
      </c>
      <c r="CC950">
        <v>0</v>
      </c>
      <c r="CD950">
        <v>0</v>
      </c>
      <c r="CE950" t="s">
        <v>3108</v>
      </c>
      <c r="CF950" t="s">
        <v>3108</v>
      </c>
      <c r="CG950" t="s">
        <v>3108</v>
      </c>
      <c r="CH950" t="s">
        <v>3108</v>
      </c>
    </row>
    <row r="951" spans="1:86" x14ac:dyDescent="0.2">
      <c r="A951" t="s">
        <v>4693</v>
      </c>
      <c r="B951" t="s">
        <v>4693</v>
      </c>
      <c r="C951">
        <v>41419</v>
      </c>
      <c r="D951">
        <v>254</v>
      </c>
      <c r="E951" t="s">
        <v>4250</v>
      </c>
      <c r="F951" t="s">
        <v>3249</v>
      </c>
      <c r="G951" t="s">
        <v>3249</v>
      </c>
      <c r="H951" t="s">
        <v>3250</v>
      </c>
      <c r="I951" t="s">
        <v>3250</v>
      </c>
      <c r="J951" t="s">
        <v>3250</v>
      </c>
      <c r="K951" t="s">
        <v>3250</v>
      </c>
      <c r="L951">
        <v>2100</v>
      </c>
      <c r="M951" t="s">
        <v>123</v>
      </c>
      <c r="N951">
        <v>2106</v>
      </c>
      <c r="O951" t="s">
        <v>2399</v>
      </c>
      <c r="P951" t="s">
        <v>2805</v>
      </c>
      <c r="Q951">
        <v>2010</v>
      </c>
      <c r="R951" t="s">
        <v>1355</v>
      </c>
      <c r="S951" t="s">
        <v>427</v>
      </c>
      <c r="T951" t="s">
        <v>3251</v>
      </c>
      <c r="U951">
        <v>240</v>
      </c>
      <c r="V951" t="s">
        <v>4251</v>
      </c>
      <c r="W951">
        <v>240</v>
      </c>
      <c r="X951" t="s">
        <v>1323</v>
      </c>
      <c r="Y951" t="s">
        <v>3250</v>
      </c>
      <c r="Z951" t="s">
        <v>3250</v>
      </c>
      <c r="AA951" t="s">
        <v>3108</v>
      </c>
      <c r="AB951" t="s">
        <v>3108</v>
      </c>
      <c r="AC951" t="s">
        <v>3250</v>
      </c>
      <c r="AD951" t="s">
        <v>3250</v>
      </c>
      <c r="AE951" t="s">
        <v>3250</v>
      </c>
      <c r="AF951" t="s">
        <v>3250</v>
      </c>
      <c r="AG951" t="s">
        <v>3250</v>
      </c>
      <c r="AH951" t="s">
        <v>3250</v>
      </c>
      <c r="AI951" t="s">
        <v>3250</v>
      </c>
      <c r="AJ951" t="s">
        <v>3250</v>
      </c>
      <c r="AK951">
        <v>770</v>
      </c>
      <c r="AL951">
        <v>241</v>
      </c>
      <c r="AM951" t="s">
        <v>1455</v>
      </c>
      <c r="AN951">
        <v>241</v>
      </c>
      <c r="AO951" t="s">
        <v>1455</v>
      </c>
      <c r="AS951">
        <v>790</v>
      </c>
      <c r="AT951">
        <v>790</v>
      </c>
      <c r="AU951" t="s">
        <v>2284</v>
      </c>
      <c r="AV951" t="s">
        <v>2284</v>
      </c>
      <c r="AW951" t="s">
        <v>3250</v>
      </c>
      <c r="AX951" t="s">
        <v>3250</v>
      </c>
      <c r="AY951" t="s">
        <v>3250</v>
      </c>
      <c r="AZ951" t="s">
        <v>3250</v>
      </c>
      <c r="BA951" t="s">
        <v>3250</v>
      </c>
      <c r="BB951" t="s">
        <v>3250</v>
      </c>
      <c r="BC951" t="s">
        <v>3250</v>
      </c>
      <c r="BE951" t="s">
        <v>3250</v>
      </c>
      <c r="BF951" t="s">
        <v>3250</v>
      </c>
      <c r="BG951" t="s">
        <v>3250</v>
      </c>
      <c r="BH951" t="s">
        <v>3250</v>
      </c>
      <c r="BI951" t="s">
        <v>3250</v>
      </c>
      <c r="BK951" t="s">
        <v>3250</v>
      </c>
      <c r="BL951" t="s">
        <v>3250</v>
      </c>
      <c r="BM951" t="s">
        <v>3250</v>
      </c>
      <c r="BN951" t="s">
        <v>3250</v>
      </c>
      <c r="BP951">
        <v>5</v>
      </c>
      <c r="BQ951">
        <v>53</v>
      </c>
      <c r="BR951" t="s">
        <v>2399</v>
      </c>
      <c r="BS951" t="s">
        <v>4136</v>
      </c>
      <c r="BV951">
        <v>-169960</v>
      </c>
      <c r="BW951">
        <v>5374928</v>
      </c>
      <c r="BX951">
        <v>486926</v>
      </c>
      <c r="BY951">
        <v>0</v>
      </c>
      <c r="BZ951">
        <v>0</v>
      </c>
      <c r="CA951">
        <v>0</v>
      </c>
      <c r="CB951">
        <v>0</v>
      </c>
      <c r="CC951">
        <v>0</v>
      </c>
      <c r="CD951">
        <v>-169960</v>
      </c>
      <c r="CE951" t="s">
        <v>3108</v>
      </c>
      <c r="CF951" t="s">
        <v>3108</v>
      </c>
      <c r="CG951" t="s">
        <v>3108</v>
      </c>
      <c r="CH951" t="s">
        <v>3108</v>
      </c>
    </row>
    <row r="952" spans="1:86" x14ac:dyDescent="0.2">
      <c r="A952" t="s">
        <v>4694</v>
      </c>
      <c r="B952" t="s">
        <v>4694</v>
      </c>
      <c r="C952">
        <v>41420</v>
      </c>
      <c r="D952">
        <v>255</v>
      </c>
      <c r="E952" t="s">
        <v>4250</v>
      </c>
      <c r="F952" t="s">
        <v>3249</v>
      </c>
      <c r="G952" t="s">
        <v>3249</v>
      </c>
      <c r="H952" t="s">
        <v>3250</v>
      </c>
      <c r="I952" t="s">
        <v>3250</v>
      </c>
      <c r="J952" t="s">
        <v>3250</v>
      </c>
      <c r="K952" t="s">
        <v>3250</v>
      </c>
      <c r="L952">
        <v>3200</v>
      </c>
      <c r="M952" t="s">
        <v>128</v>
      </c>
      <c r="N952">
        <v>3205</v>
      </c>
      <c r="O952" t="s">
        <v>629</v>
      </c>
      <c r="P952" t="s">
        <v>2805</v>
      </c>
      <c r="Q952">
        <v>2010</v>
      </c>
      <c r="R952" t="s">
        <v>1355</v>
      </c>
      <c r="S952" t="s">
        <v>427</v>
      </c>
      <c r="T952" t="s">
        <v>3251</v>
      </c>
      <c r="U952">
        <v>240</v>
      </c>
      <c r="V952" t="s">
        <v>4251</v>
      </c>
      <c r="W952">
        <v>240</v>
      </c>
      <c r="X952" t="s">
        <v>1323</v>
      </c>
      <c r="Y952" t="s">
        <v>3250</v>
      </c>
      <c r="Z952" t="s">
        <v>3250</v>
      </c>
      <c r="AA952" t="s">
        <v>3108</v>
      </c>
      <c r="AB952" t="s">
        <v>3108</v>
      </c>
      <c r="AC952" t="s">
        <v>3250</v>
      </c>
      <c r="AD952" t="s">
        <v>3250</v>
      </c>
      <c r="AE952" t="s">
        <v>3250</v>
      </c>
      <c r="AF952" t="s">
        <v>3250</v>
      </c>
      <c r="AG952" t="s">
        <v>3250</v>
      </c>
      <c r="AH952" t="s">
        <v>3250</v>
      </c>
      <c r="AI952" t="s">
        <v>3250</v>
      </c>
      <c r="AJ952" t="s">
        <v>3250</v>
      </c>
      <c r="AK952">
        <v>110</v>
      </c>
      <c r="AL952">
        <v>241</v>
      </c>
      <c r="AM952" t="s">
        <v>1455</v>
      </c>
      <c r="AN952">
        <v>241</v>
      </c>
      <c r="AO952" t="s">
        <v>1455</v>
      </c>
      <c r="AS952" t="s">
        <v>3250</v>
      </c>
      <c r="AT952" t="s">
        <v>3250</v>
      </c>
      <c r="AU952" t="s">
        <v>3250</v>
      </c>
      <c r="AV952" t="s">
        <v>3250</v>
      </c>
      <c r="AW952" t="s">
        <v>3250</v>
      </c>
      <c r="AX952" t="s">
        <v>3250</v>
      </c>
      <c r="AY952" t="s">
        <v>3250</v>
      </c>
      <c r="AZ952" t="s">
        <v>3250</v>
      </c>
      <c r="BA952" t="s">
        <v>3250</v>
      </c>
      <c r="BB952" t="s">
        <v>3250</v>
      </c>
      <c r="BC952" t="s">
        <v>3250</v>
      </c>
      <c r="BE952" t="s">
        <v>3250</v>
      </c>
      <c r="BF952" t="s">
        <v>3250</v>
      </c>
      <c r="BG952" t="s">
        <v>3250</v>
      </c>
      <c r="BH952" t="s">
        <v>3250</v>
      </c>
      <c r="BI952" t="s">
        <v>3250</v>
      </c>
      <c r="BK952">
        <v>120</v>
      </c>
      <c r="BL952" t="s">
        <v>629</v>
      </c>
      <c r="BM952">
        <v>120</v>
      </c>
      <c r="BN952" t="s">
        <v>629</v>
      </c>
      <c r="BP952">
        <v>7</v>
      </c>
      <c r="BQ952">
        <v>71</v>
      </c>
      <c r="BR952" t="s">
        <v>629</v>
      </c>
      <c r="BS952" t="s">
        <v>4212</v>
      </c>
      <c r="BV952">
        <v>0</v>
      </c>
      <c r="BW952">
        <v>0</v>
      </c>
      <c r="BX952">
        <v>276080</v>
      </c>
      <c r="BY952">
        <v>0</v>
      </c>
      <c r="BZ952">
        <v>0</v>
      </c>
      <c r="CA952">
        <v>0</v>
      </c>
      <c r="CB952">
        <v>0</v>
      </c>
      <c r="CC952">
        <v>0</v>
      </c>
      <c r="CD952">
        <v>0</v>
      </c>
      <c r="CE952" t="s">
        <v>3108</v>
      </c>
      <c r="CF952" t="s">
        <v>3108</v>
      </c>
      <c r="CG952" t="s">
        <v>3108</v>
      </c>
      <c r="CH952" t="s">
        <v>3108</v>
      </c>
    </row>
    <row r="953" spans="1:86" x14ac:dyDescent="0.2">
      <c r="A953" t="s">
        <v>4695</v>
      </c>
      <c r="B953" t="s">
        <v>4695</v>
      </c>
      <c r="C953">
        <v>41422</v>
      </c>
      <c r="D953">
        <v>256</v>
      </c>
      <c r="E953" t="s">
        <v>4250</v>
      </c>
      <c r="F953" t="s">
        <v>3249</v>
      </c>
      <c r="G953" t="s">
        <v>3249</v>
      </c>
      <c r="H953" t="s">
        <v>3250</v>
      </c>
      <c r="I953" t="s">
        <v>3250</v>
      </c>
      <c r="J953" t="s">
        <v>3250</v>
      </c>
      <c r="K953" t="s">
        <v>3250</v>
      </c>
      <c r="L953">
        <v>3200</v>
      </c>
      <c r="M953" t="s">
        <v>128</v>
      </c>
      <c r="N953">
        <v>3205</v>
      </c>
      <c r="O953" t="s">
        <v>629</v>
      </c>
      <c r="P953" t="s">
        <v>2805</v>
      </c>
      <c r="Q953">
        <v>2010</v>
      </c>
      <c r="R953" t="s">
        <v>1355</v>
      </c>
      <c r="S953" t="s">
        <v>427</v>
      </c>
      <c r="T953" t="s">
        <v>3251</v>
      </c>
      <c r="U953">
        <v>240</v>
      </c>
      <c r="V953" t="s">
        <v>4251</v>
      </c>
      <c r="W953">
        <v>240</v>
      </c>
      <c r="X953" t="s">
        <v>1323</v>
      </c>
      <c r="Y953" t="s">
        <v>3250</v>
      </c>
      <c r="Z953" t="s">
        <v>3250</v>
      </c>
      <c r="AA953" t="s">
        <v>3108</v>
      </c>
      <c r="AB953" t="s">
        <v>3108</v>
      </c>
      <c r="AC953" t="s">
        <v>3250</v>
      </c>
      <c r="AD953" t="s">
        <v>3250</v>
      </c>
      <c r="AE953" t="s">
        <v>3250</v>
      </c>
      <c r="AF953" t="s">
        <v>3250</v>
      </c>
      <c r="AG953" t="s">
        <v>3250</v>
      </c>
      <c r="AH953" t="s">
        <v>3250</v>
      </c>
      <c r="AI953" t="s">
        <v>3250</v>
      </c>
      <c r="AJ953" t="s">
        <v>3250</v>
      </c>
      <c r="AK953">
        <v>110</v>
      </c>
      <c r="AL953">
        <v>241</v>
      </c>
      <c r="AM953" t="s">
        <v>1455</v>
      </c>
      <c r="AN953">
        <v>241</v>
      </c>
      <c r="AO953" t="s">
        <v>1455</v>
      </c>
      <c r="AS953" t="s">
        <v>3250</v>
      </c>
      <c r="AT953" t="s">
        <v>3250</v>
      </c>
      <c r="AU953" t="s">
        <v>3250</v>
      </c>
      <c r="AV953" t="s">
        <v>3250</v>
      </c>
      <c r="AW953" t="s">
        <v>3250</v>
      </c>
      <c r="AX953" t="s">
        <v>3250</v>
      </c>
      <c r="AY953" t="s">
        <v>3250</v>
      </c>
      <c r="AZ953" t="s">
        <v>3250</v>
      </c>
      <c r="BA953" t="s">
        <v>3250</v>
      </c>
      <c r="BB953" t="s">
        <v>3250</v>
      </c>
      <c r="BC953" t="s">
        <v>3250</v>
      </c>
      <c r="BE953" t="s">
        <v>3250</v>
      </c>
      <c r="BF953" t="s">
        <v>3250</v>
      </c>
      <c r="BG953" t="s">
        <v>3250</v>
      </c>
      <c r="BH953" t="s">
        <v>3250</v>
      </c>
      <c r="BI953" t="s">
        <v>3250</v>
      </c>
      <c r="BK953">
        <v>120</v>
      </c>
      <c r="BL953" t="s">
        <v>629</v>
      </c>
      <c r="BM953">
        <v>120</v>
      </c>
      <c r="BN953" t="s">
        <v>629</v>
      </c>
      <c r="BP953">
        <v>7</v>
      </c>
      <c r="BQ953">
        <v>71</v>
      </c>
      <c r="BR953" t="s">
        <v>629</v>
      </c>
      <c r="BS953" t="s">
        <v>4212</v>
      </c>
      <c r="BV953">
        <v>0</v>
      </c>
      <c r="BW953">
        <v>0</v>
      </c>
      <c r="BX953">
        <v>0</v>
      </c>
      <c r="BY953">
        <v>0</v>
      </c>
      <c r="BZ953">
        <v>0</v>
      </c>
      <c r="CA953">
        <v>0</v>
      </c>
      <c r="CB953">
        <v>0</v>
      </c>
      <c r="CC953">
        <v>0</v>
      </c>
      <c r="CD953">
        <v>0</v>
      </c>
      <c r="CE953" t="s">
        <v>3108</v>
      </c>
      <c r="CF953" t="s">
        <v>3108</v>
      </c>
      <c r="CG953" t="s">
        <v>3108</v>
      </c>
      <c r="CH953" t="s">
        <v>3108</v>
      </c>
    </row>
    <row r="954" spans="1:86" x14ac:dyDescent="0.2">
      <c r="A954" t="s">
        <v>4696</v>
      </c>
      <c r="B954" t="s">
        <v>4696</v>
      </c>
      <c r="C954">
        <v>41424</v>
      </c>
      <c r="D954">
        <v>79</v>
      </c>
      <c r="E954" t="s">
        <v>4697</v>
      </c>
      <c r="F954">
        <v>3300</v>
      </c>
      <c r="G954" t="s">
        <v>2346</v>
      </c>
      <c r="H954">
        <v>3300</v>
      </c>
      <c r="I954" t="s">
        <v>2346</v>
      </c>
      <c r="J954" t="s">
        <v>3250</v>
      </c>
      <c r="K954" t="s">
        <v>3250</v>
      </c>
      <c r="L954">
        <v>1200</v>
      </c>
      <c r="M954" t="s">
        <v>2368</v>
      </c>
      <c r="N954">
        <v>1204</v>
      </c>
      <c r="O954" t="s">
        <v>1574</v>
      </c>
      <c r="P954" t="s">
        <v>3108</v>
      </c>
      <c r="Q954">
        <v>2010</v>
      </c>
      <c r="R954" t="s">
        <v>1355</v>
      </c>
      <c r="S954" t="s">
        <v>472</v>
      </c>
      <c r="T954" t="s">
        <v>2759</v>
      </c>
      <c r="U954" t="s">
        <v>3250</v>
      </c>
      <c r="V954" t="s">
        <v>3250</v>
      </c>
      <c r="W954" t="s">
        <v>3250</v>
      </c>
      <c r="X954" t="s">
        <v>3250</v>
      </c>
      <c r="Y954" t="s">
        <v>3250</v>
      </c>
      <c r="Z954" t="s">
        <v>3250</v>
      </c>
      <c r="AA954" t="s">
        <v>3108</v>
      </c>
      <c r="AB954" t="s">
        <v>3108</v>
      </c>
      <c r="AC954" t="s">
        <v>3250</v>
      </c>
      <c r="AD954" t="s">
        <v>3250</v>
      </c>
      <c r="AE954" t="s">
        <v>3250</v>
      </c>
      <c r="AF954" t="s">
        <v>3250</v>
      </c>
      <c r="AG954" t="s">
        <v>3250</v>
      </c>
      <c r="AH954" t="s">
        <v>3250</v>
      </c>
      <c r="AI954" t="s">
        <v>3250</v>
      </c>
      <c r="AJ954" t="s">
        <v>3250</v>
      </c>
      <c r="AL954" t="s">
        <v>3250</v>
      </c>
      <c r="AM954" t="s">
        <v>3250</v>
      </c>
      <c r="AN954" t="s">
        <v>3250</v>
      </c>
      <c r="AO954" t="s">
        <v>3250</v>
      </c>
      <c r="AS954" t="s">
        <v>3250</v>
      </c>
      <c r="AT954" t="s">
        <v>3250</v>
      </c>
      <c r="AU954" t="s">
        <v>3250</v>
      </c>
      <c r="AV954" t="s">
        <v>3250</v>
      </c>
      <c r="AW954" t="s">
        <v>3250</v>
      </c>
      <c r="AX954" t="s">
        <v>3250</v>
      </c>
      <c r="AY954" t="s">
        <v>3250</v>
      </c>
      <c r="AZ954" t="s">
        <v>3250</v>
      </c>
      <c r="BA954" t="s">
        <v>3250</v>
      </c>
      <c r="BB954" t="s">
        <v>3250</v>
      </c>
      <c r="BC954" t="s">
        <v>3250</v>
      </c>
      <c r="BE954" t="s">
        <v>3250</v>
      </c>
      <c r="BF954" t="s">
        <v>3250</v>
      </c>
      <c r="BG954" t="s">
        <v>3250</v>
      </c>
      <c r="BH954" t="s">
        <v>3250</v>
      </c>
      <c r="BI954" t="s">
        <v>3250</v>
      </c>
      <c r="BK954" t="s">
        <v>3250</v>
      </c>
      <c r="BL954" t="s">
        <v>3250</v>
      </c>
      <c r="BM954" t="s">
        <v>3250</v>
      </c>
      <c r="BN954" t="s">
        <v>3250</v>
      </c>
      <c r="BP954">
        <v>1</v>
      </c>
      <c r="BQ954">
        <v>11</v>
      </c>
      <c r="BR954" t="s">
        <v>1574</v>
      </c>
      <c r="BS954" t="s">
        <v>3252</v>
      </c>
      <c r="BV954">
        <v>16076001</v>
      </c>
      <c r="BW954">
        <v>19385000</v>
      </c>
      <c r="BX954">
        <v>17725197</v>
      </c>
      <c r="BY954">
        <v>-15996000</v>
      </c>
      <c r="BZ954">
        <v>-25800000</v>
      </c>
      <c r="CA954">
        <v>-24755000</v>
      </c>
      <c r="CB954">
        <v>-17781000</v>
      </c>
      <c r="CC954">
        <v>-18394000</v>
      </c>
      <c r="CD954">
        <v>17727838</v>
      </c>
      <c r="CE954" t="s">
        <v>3108</v>
      </c>
      <c r="CF954" t="s">
        <v>3108</v>
      </c>
      <c r="CG954" t="s">
        <v>3108</v>
      </c>
      <c r="CH954" t="s">
        <v>3108</v>
      </c>
    </row>
    <row r="955" spans="1:86" x14ac:dyDescent="0.2">
      <c r="A955" t="s">
        <v>4698</v>
      </c>
      <c r="B955" t="s">
        <v>4698</v>
      </c>
      <c r="C955">
        <v>41425</v>
      </c>
      <c r="D955">
        <v>80</v>
      </c>
      <c r="E955" t="s">
        <v>4250</v>
      </c>
      <c r="F955" t="s">
        <v>3249</v>
      </c>
      <c r="G955" t="s">
        <v>3249</v>
      </c>
      <c r="H955" t="s">
        <v>3250</v>
      </c>
      <c r="I955" t="s">
        <v>3250</v>
      </c>
      <c r="J955" t="s">
        <v>3250</v>
      </c>
      <c r="K955" t="s">
        <v>3250</v>
      </c>
      <c r="L955">
        <v>2100</v>
      </c>
      <c r="M955" t="s">
        <v>123</v>
      </c>
      <c r="N955">
        <v>2106</v>
      </c>
      <c r="O955" t="s">
        <v>2399</v>
      </c>
      <c r="P955" t="s">
        <v>2805</v>
      </c>
      <c r="Q955">
        <v>2010</v>
      </c>
      <c r="R955" t="s">
        <v>1355</v>
      </c>
      <c r="S955" t="s">
        <v>427</v>
      </c>
      <c r="T955" t="s">
        <v>3251</v>
      </c>
      <c r="U955">
        <v>240</v>
      </c>
      <c r="V955" t="s">
        <v>4251</v>
      </c>
      <c r="W955">
        <v>240</v>
      </c>
      <c r="X955" t="s">
        <v>1323</v>
      </c>
      <c r="Y955" t="s">
        <v>3250</v>
      </c>
      <c r="Z955" t="s">
        <v>3250</v>
      </c>
      <c r="AA955" t="s">
        <v>3108</v>
      </c>
      <c r="AB955" t="s">
        <v>3108</v>
      </c>
      <c r="AC955" t="s">
        <v>3250</v>
      </c>
      <c r="AD955" t="s">
        <v>3250</v>
      </c>
      <c r="AE955" t="s">
        <v>3250</v>
      </c>
      <c r="AF955" t="s">
        <v>3250</v>
      </c>
      <c r="AG955" t="s">
        <v>3250</v>
      </c>
      <c r="AH955" t="s">
        <v>3250</v>
      </c>
      <c r="AI955" t="s">
        <v>3250</v>
      </c>
      <c r="AJ955" t="s">
        <v>3250</v>
      </c>
      <c r="AK955">
        <v>770</v>
      </c>
      <c r="AL955">
        <v>241</v>
      </c>
      <c r="AM955" t="s">
        <v>1455</v>
      </c>
      <c r="AN955">
        <v>241</v>
      </c>
      <c r="AO955" t="s">
        <v>1455</v>
      </c>
      <c r="AS955">
        <v>810</v>
      </c>
      <c r="AT955">
        <v>810</v>
      </c>
      <c r="AU955" t="s">
        <v>2286</v>
      </c>
      <c r="AV955" t="s">
        <v>2286</v>
      </c>
      <c r="AW955" t="s">
        <v>3250</v>
      </c>
      <c r="AX955" t="s">
        <v>3250</v>
      </c>
      <c r="AY955" t="s">
        <v>3250</v>
      </c>
      <c r="AZ955" t="s">
        <v>3250</v>
      </c>
      <c r="BA955" t="s">
        <v>3250</v>
      </c>
      <c r="BB955" t="s">
        <v>3250</v>
      </c>
      <c r="BC955" t="s">
        <v>3250</v>
      </c>
      <c r="BE955" t="s">
        <v>3250</v>
      </c>
      <c r="BF955" t="s">
        <v>3250</v>
      </c>
      <c r="BG955" t="s">
        <v>3250</v>
      </c>
      <c r="BH955" t="s">
        <v>3250</v>
      </c>
      <c r="BI955" t="s">
        <v>3250</v>
      </c>
      <c r="BK955" t="s">
        <v>3250</v>
      </c>
      <c r="BL955" t="s">
        <v>3250</v>
      </c>
      <c r="BM955" t="s">
        <v>3250</v>
      </c>
      <c r="BN955" t="s">
        <v>3250</v>
      </c>
      <c r="BP955">
        <v>5</v>
      </c>
      <c r="BQ955">
        <v>53</v>
      </c>
      <c r="BR955" t="s">
        <v>2399</v>
      </c>
      <c r="BS955" t="s">
        <v>4136</v>
      </c>
      <c r="BV955">
        <v>0</v>
      </c>
      <c r="BW955">
        <v>0</v>
      </c>
      <c r="BX955">
        <v>0</v>
      </c>
      <c r="BY955">
        <v>0</v>
      </c>
      <c r="BZ955">
        <v>0</v>
      </c>
      <c r="CA955">
        <v>0</v>
      </c>
      <c r="CB955">
        <v>0</v>
      </c>
      <c r="CC955">
        <v>0</v>
      </c>
      <c r="CD955">
        <v>0</v>
      </c>
      <c r="CE955" t="s">
        <v>3108</v>
      </c>
      <c r="CF955" t="s">
        <v>3108</v>
      </c>
      <c r="CG955" t="s">
        <v>3108</v>
      </c>
      <c r="CH955" t="s">
        <v>3108</v>
      </c>
    </row>
    <row r="956" spans="1:86" x14ac:dyDescent="0.2">
      <c r="A956" t="s">
        <v>4699</v>
      </c>
      <c r="B956" t="s">
        <v>4699</v>
      </c>
      <c r="C956">
        <v>41426</v>
      </c>
      <c r="D956">
        <v>81</v>
      </c>
      <c r="E956" t="s">
        <v>4250</v>
      </c>
      <c r="F956" t="s">
        <v>3249</v>
      </c>
      <c r="G956" t="s">
        <v>3249</v>
      </c>
      <c r="H956" t="s">
        <v>3250</v>
      </c>
      <c r="I956" t="s">
        <v>3250</v>
      </c>
      <c r="J956" t="s">
        <v>3250</v>
      </c>
      <c r="K956" t="s">
        <v>3250</v>
      </c>
      <c r="L956">
        <v>2100</v>
      </c>
      <c r="M956" t="s">
        <v>123</v>
      </c>
      <c r="N956">
        <v>2106</v>
      </c>
      <c r="O956" t="s">
        <v>2399</v>
      </c>
      <c r="P956" t="s">
        <v>2805</v>
      </c>
      <c r="Q956">
        <v>2010</v>
      </c>
      <c r="R956" t="s">
        <v>1355</v>
      </c>
      <c r="S956" t="s">
        <v>427</v>
      </c>
      <c r="T956" t="s">
        <v>3251</v>
      </c>
      <c r="U956">
        <v>240</v>
      </c>
      <c r="V956" t="s">
        <v>4251</v>
      </c>
      <c r="W956">
        <v>240</v>
      </c>
      <c r="X956" t="s">
        <v>1323</v>
      </c>
      <c r="Y956" t="s">
        <v>3250</v>
      </c>
      <c r="Z956" t="s">
        <v>3250</v>
      </c>
      <c r="AA956" t="s">
        <v>3108</v>
      </c>
      <c r="AB956" t="s">
        <v>3108</v>
      </c>
      <c r="AC956" t="s">
        <v>3250</v>
      </c>
      <c r="AD956" t="s">
        <v>3250</v>
      </c>
      <c r="AE956" t="s">
        <v>3250</v>
      </c>
      <c r="AF956" t="s">
        <v>3250</v>
      </c>
      <c r="AG956" t="s">
        <v>3250</v>
      </c>
      <c r="AH956" t="s">
        <v>3250</v>
      </c>
      <c r="AI956" t="s">
        <v>3250</v>
      </c>
      <c r="AJ956" t="s">
        <v>3250</v>
      </c>
      <c r="AK956">
        <v>770</v>
      </c>
      <c r="AL956">
        <v>241</v>
      </c>
      <c r="AM956" t="s">
        <v>1455</v>
      </c>
      <c r="AN956">
        <v>241</v>
      </c>
      <c r="AO956" t="s">
        <v>1455</v>
      </c>
      <c r="AS956">
        <v>790</v>
      </c>
      <c r="AT956">
        <v>790</v>
      </c>
      <c r="AU956" t="s">
        <v>2284</v>
      </c>
      <c r="AV956" t="s">
        <v>2284</v>
      </c>
      <c r="AW956" t="s">
        <v>3250</v>
      </c>
      <c r="AX956" t="s">
        <v>3250</v>
      </c>
      <c r="AY956" t="s">
        <v>3250</v>
      </c>
      <c r="AZ956" t="s">
        <v>3250</v>
      </c>
      <c r="BA956" t="s">
        <v>3250</v>
      </c>
      <c r="BB956" t="s">
        <v>3250</v>
      </c>
      <c r="BC956" t="s">
        <v>3250</v>
      </c>
      <c r="BE956" t="s">
        <v>3250</v>
      </c>
      <c r="BF956" t="s">
        <v>3250</v>
      </c>
      <c r="BG956" t="s">
        <v>3250</v>
      </c>
      <c r="BH956" t="s">
        <v>3250</v>
      </c>
      <c r="BI956" t="s">
        <v>3250</v>
      </c>
      <c r="BK956" t="s">
        <v>3250</v>
      </c>
      <c r="BL956" t="s">
        <v>3250</v>
      </c>
      <c r="BM956" t="s">
        <v>3250</v>
      </c>
      <c r="BN956" t="s">
        <v>3250</v>
      </c>
      <c r="BP956">
        <v>5</v>
      </c>
      <c r="BQ956">
        <v>53</v>
      </c>
      <c r="BR956" t="s">
        <v>2399</v>
      </c>
      <c r="BS956" t="s">
        <v>4136</v>
      </c>
      <c r="BV956">
        <v>0</v>
      </c>
      <c r="BW956">
        <v>0</v>
      </c>
      <c r="BX956">
        <v>0</v>
      </c>
      <c r="BY956">
        <v>0</v>
      </c>
      <c r="BZ956">
        <v>0</v>
      </c>
      <c r="CA956">
        <v>0</v>
      </c>
      <c r="CB956">
        <v>0</v>
      </c>
      <c r="CC956">
        <v>0</v>
      </c>
      <c r="CD956">
        <v>0</v>
      </c>
      <c r="CE956" t="s">
        <v>3108</v>
      </c>
      <c r="CF956" t="s">
        <v>3108</v>
      </c>
      <c r="CG956" t="s">
        <v>3108</v>
      </c>
      <c r="CH956" t="s">
        <v>3108</v>
      </c>
    </row>
    <row r="957" spans="1:86" x14ac:dyDescent="0.2">
      <c r="A957" t="s">
        <v>4700</v>
      </c>
      <c r="B957" t="s">
        <v>4700</v>
      </c>
      <c r="C957">
        <v>41427</v>
      </c>
      <c r="D957">
        <v>211</v>
      </c>
      <c r="E957" t="s">
        <v>4701</v>
      </c>
      <c r="F957" t="s">
        <v>3249</v>
      </c>
      <c r="G957" t="s">
        <v>3249</v>
      </c>
      <c r="H957" t="s">
        <v>3250</v>
      </c>
      <c r="I957" t="s">
        <v>3250</v>
      </c>
      <c r="J957" t="s">
        <v>3250</v>
      </c>
      <c r="K957" t="s">
        <v>3250</v>
      </c>
      <c r="L957">
        <v>1200</v>
      </c>
      <c r="M957" t="s">
        <v>2368</v>
      </c>
      <c r="N957">
        <v>1204</v>
      </c>
      <c r="O957" t="s">
        <v>1574</v>
      </c>
      <c r="P957" t="s">
        <v>3108</v>
      </c>
      <c r="Q957" t="s">
        <v>3249</v>
      </c>
      <c r="R957" t="s">
        <v>3249</v>
      </c>
      <c r="S957" t="s">
        <v>472</v>
      </c>
      <c r="T957" t="s">
        <v>3789</v>
      </c>
      <c r="U957">
        <v>360</v>
      </c>
      <c r="V957" t="s">
        <v>3790</v>
      </c>
      <c r="W957">
        <v>360</v>
      </c>
      <c r="X957" t="s">
        <v>601</v>
      </c>
      <c r="Y957" t="s">
        <v>3250</v>
      </c>
      <c r="Z957" t="s">
        <v>3250</v>
      </c>
      <c r="AA957" t="s">
        <v>3108</v>
      </c>
      <c r="AB957" t="s">
        <v>3108</v>
      </c>
      <c r="AC957" t="s">
        <v>3250</v>
      </c>
      <c r="AD957" t="s">
        <v>3250</v>
      </c>
      <c r="AE957" t="s">
        <v>3250</v>
      </c>
      <c r="AF957" t="s">
        <v>3250</v>
      </c>
      <c r="AG957" t="s">
        <v>3250</v>
      </c>
      <c r="AH957" t="s">
        <v>3250</v>
      </c>
      <c r="AI957" t="s">
        <v>3250</v>
      </c>
      <c r="AJ957" t="s">
        <v>3250</v>
      </c>
      <c r="AL957">
        <v>361</v>
      </c>
      <c r="AM957" t="s">
        <v>2523</v>
      </c>
      <c r="AN957">
        <v>361</v>
      </c>
      <c r="AO957" t="s">
        <v>2523</v>
      </c>
      <c r="AS957" t="s">
        <v>3250</v>
      </c>
      <c r="AT957" t="s">
        <v>3250</v>
      </c>
      <c r="AU957" t="s">
        <v>3250</v>
      </c>
      <c r="AV957" t="s">
        <v>3250</v>
      </c>
      <c r="AW957" t="s">
        <v>3250</v>
      </c>
      <c r="AX957" t="s">
        <v>3250</v>
      </c>
      <c r="AY957" t="s">
        <v>3250</v>
      </c>
      <c r="AZ957" t="s">
        <v>3250</v>
      </c>
      <c r="BA957" t="s">
        <v>3250</v>
      </c>
      <c r="BB957" t="s">
        <v>3250</v>
      </c>
      <c r="BC957" t="s">
        <v>3250</v>
      </c>
      <c r="BE957" t="s">
        <v>3250</v>
      </c>
      <c r="BF957" t="s">
        <v>3250</v>
      </c>
      <c r="BG957" t="s">
        <v>3250</v>
      </c>
      <c r="BH957" t="s">
        <v>3250</v>
      </c>
      <c r="BI957" t="s">
        <v>3250</v>
      </c>
      <c r="BK957" t="s">
        <v>3250</v>
      </c>
      <c r="BL957" t="s">
        <v>3250</v>
      </c>
      <c r="BM957" t="s">
        <v>3250</v>
      </c>
      <c r="BN957" t="s">
        <v>3250</v>
      </c>
      <c r="BP957">
        <v>1</v>
      </c>
      <c r="BQ957">
        <v>11</v>
      </c>
      <c r="BR957" t="s">
        <v>1574</v>
      </c>
      <c r="BS957" t="s">
        <v>3252</v>
      </c>
      <c r="BV957">
        <v>1152306</v>
      </c>
      <c r="BW957">
        <v>2283213</v>
      </c>
      <c r="BX957">
        <v>3667014</v>
      </c>
      <c r="BY957">
        <v>-2283212</v>
      </c>
      <c r="BZ957">
        <v>-3935435</v>
      </c>
      <c r="CA957">
        <v>0</v>
      </c>
      <c r="CB957">
        <v>0</v>
      </c>
      <c r="CC957">
        <v>0</v>
      </c>
      <c r="CD957">
        <v>1552331</v>
      </c>
      <c r="CE957" t="s">
        <v>3108</v>
      </c>
      <c r="CF957" t="s">
        <v>3108</v>
      </c>
      <c r="CG957" t="s">
        <v>3108</v>
      </c>
      <c r="CH957" t="s">
        <v>3108</v>
      </c>
    </row>
    <row r="958" spans="1:86" x14ac:dyDescent="0.2">
      <c r="A958" t="s">
        <v>4702</v>
      </c>
      <c r="B958" t="s">
        <v>4702</v>
      </c>
      <c r="C958">
        <v>41429</v>
      </c>
      <c r="D958">
        <v>213</v>
      </c>
      <c r="E958" t="s">
        <v>4686</v>
      </c>
      <c r="F958" t="s">
        <v>3249</v>
      </c>
      <c r="G958" t="s">
        <v>3249</v>
      </c>
      <c r="H958" t="s">
        <v>3250</v>
      </c>
      <c r="I958" t="s">
        <v>3250</v>
      </c>
      <c r="J958" t="s">
        <v>3250</v>
      </c>
      <c r="K958" t="s">
        <v>3250</v>
      </c>
      <c r="L958">
        <v>1200</v>
      </c>
      <c r="M958" t="s">
        <v>2368</v>
      </c>
      <c r="N958">
        <v>1204</v>
      </c>
      <c r="O958" t="s">
        <v>1574</v>
      </c>
      <c r="P958" t="s">
        <v>2805</v>
      </c>
      <c r="Q958">
        <v>2080</v>
      </c>
      <c r="R958" t="s">
        <v>423</v>
      </c>
      <c r="S958" t="s">
        <v>427</v>
      </c>
      <c r="T958" t="s">
        <v>3251</v>
      </c>
      <c r="U958">
        <v>240</v>
      </c>
      <c r="V958" t="s">
        <v>4251</v>
      </c>
      <c r="W958">
        <v>240</v>
      </c>
      <c r="X958" t="s">
        <v>1323</v>
      </c>
      <c r="Y958" t="s">
        <v>3250</v>
      </c>
      <c r="Z958" t="s">
        <v>3250</v>
      </c>
      <c r="AA958" t="s">
        <v>3108</v>
      </c>
      <c r="AB958" t="s">
        <v>3108</v>
      </c>
      <c r="AC958" t="s">
        <v>3250</v>
      </c>
      <c r="AD958" t="s">
        <v>3250</v>
      </c>
      <c r="AE958" t="s">
        <v>3250</v>
      </c>
      <c r="AF958" t="s">
        <v>3250</v>
      </c>
      <c r="AG958">
        <v>1510</v>
      </c>
      <c r="AH958" t="s">
        <v>2334</v>
      </c>
      <c r="AI958">
        <v>1510</v>
      </c>
      <c r="AJ958" t="s">
        <v>2334</v>
      </c>
      <c r="AL958">
        <v>241</v>
      </c>
      <c r="AM958" t="s">
        <v>1455</v>
      </c>
      <c r="AN958">
        <v>241</v>
      </c>
      <c r="AO958" t="s">
        <v>1455</v>
      </c>
      <c r="AS958">
        <v>1510</v>
      </c>
      <c r="AT958">
        <v>1510</v>
      </c>
      <c r="AU958" t="s">
        <v>2334</v>
      </c>
      <c r="AV958" t="s">
        <v>2334</v>
      </c>
      <c r="AW958" t="s">
        <v>3250</v>
      </c>
      <c r="AX958" t="s">
        <v>3250</v>
      </c>
      <c r="AY958" t="s">
        <v>3250</v>
      </c>
      <c r="AZ958" t="s">
        <v>3250</v>
      </c>
      <c r="BA958" t="s">
        <v>3250</v>
      </c>
      <c r="BB958" t="s">
        <v>3250</v>
      </c>
      <c r="BC958" t="s">
        <v>3250</v>
      </c>
      <c r="BE958" t="s">
        <v>3250</v>
      </c>
      <c r="BF958" t="s">
        <v>3250</v>
      </c>
      <c r="BG958" t="s">
        <v>3250</v>
      </c>
      <c r="BH958" t="s">
        <v>3250</v>
      </c>
      <c r="BI958" t="s">
        <v>3250</v>
      </c>
      <c r="BK958" t="s">
        <v>3250</v>
      </c>
      <c r="BL958" t="s">
        <v>3250</v>
      </c>
      <c r="BM958" t="s">
        <v>3250</v>
      </c>
      <c r="BN958" t="s">
        <v>3250</v>
      </c>
      <c r="BP958">
        <v>1</v>
      </c>
      <c r="BQ958">
        <v>11</v>
      </c>
      <c r="BR958" t="s">
        <v>1574</v>
      </c>
      <c r="BS958" t="s">
        <v>3252</v>
      </c>
      <c r="BV958">
        <v>0</v>
      </c>
      <c r="BW958">
        <v>0</v>
      </c>
      <c r="BX958">
        <v>0</v>
      </c>
      <c r="BY958">
        <v>0</v>
      </c>
      <c r="BZ958">
        <v>0</v>
      </c>
      <c r="CA958">
        <v>0</v>
      </c>
      <c r="CB958">
        <v>0</v>
      </c>
      <c r="CC958">
        <v>0</v>
      </c>
      <c r="CD958">
        <v>0</v>
      </c>
      <c r="CE958" t="s">
        <v>3108</v>
      </c>
      <c r="CF958" t="s">
        <v>3108</v>
      </c>
      <c r="CG958" t="s">
        <v>3108</v>
      </c>
      <c r="CH958" t="s">
        <v>3108</v>
      </c>
    </row>
    <row r="959" spans="1:86" x14ac:dyDescent="0.2">
      <c r="A959" t="s">
        <v>4703</v>
      </c>
      <c r="B959" t="s">
        <v>4703</v>
      </c>
      <c r="C959">
        <v>41430</v>
      </c>
      <c r="D959">
        <v>214</v>
      </c>
      <c r="E959" t="s">
        <v>4682</v>
      </c>
      <c r="F959" t="s">
        <v>3249</v>
      </c>
      <c r="G959" t="s">
        <v>3249</v>
      </c>
      <c r="H959" t="s">
        <v>3250</v>
      </c>
      <c r="I959" t="s">
        <v>3250</v>
      </c>
      <c r="J959" t="s">
        <v>3250</v>
      </c>
      <c r="K959" t="s">
        <v>3250</v>
      </c>
      <c r="L959">
        <v>1200</v>
      </c>
      <c r="M959" t="s">
        <v>2368</v>
      </c>
      <c r="N959">
        <v>1204</v>
      </c>
      <c r="O959" t="s">
        <v>1574</v>
      </c>
      <c r="P959" t="s">
        <v>2805</v>
      </c>
      <c r="Q959">
        <v>2080</v>
      </c>
      <c r="R959" t="s">
        <v>423</v>
      </c>
      <c r="S959" t="s">
        <v>427</v>
      </c>
      <c r="T959" t="s">
        <v>3251</v>
      </c>
      <c r="U959">
        <v>240</v>
      </c>
      <c r="V959" t="s">
        <v>4251</v>
      </c>
      <c r="W959">
        <v>240</v>
      </c>
      <c r="X959" t="s">
        <v>1323</v>
      </c>
      <c r="Y959" t="s">
        <v>3250</v>
      </c>
      <c r="Z959" t="s">
        <v>3250</v>
      </c>
      <c r="AA959" t="s">
        <v>3108</v>
      </c>
      <c r="AB959" t="s">
        <v>3108</v>
      </c>
      <c r="AC959" t="s">
        <v>3250</v>
      </c>
      <c r="AD959" t="s">
        <v>3250</v>
      </c>
      <c r="AE959" t="s">
        <v>3250</v>
      </c>
      <c r="AF959" t="s">
        <v>3250</v>
      </c>
      <c r="AG959">
        <v>1490</v>
      </c>
      <c r="AH959" t="s">
        <v>2333</v>
      </c>
      <c r="AI959">
        <v>1490</v>
      </c>
      <c r="AJ959" t="s">
        <v>2333</v>
      </c>
      <c r="AL959">
        <v>241</v>
      </c>
      <c r="AM959" t="s">
        <v>1455</v>
      </c>
      <c r="AN959">
        <v>241</v>
      </c>
      <c r="AO959" t="s">
        <v>1455</v>
      </c>
      <c r="AS959">
        <v>1490</v>
      </c>
      <c r="AT959">
        <v>1490</v>
      </c>
      <c r="AU959" t="s">
        <v>2333</v>
      </c>
      <c r="AV959" t="s">
        <v>2333</v>
      </c>
      <c r="AW959" t="s">
        <v>3250</v>
      </c>
      <c r="AX959" t="s">
        <v>3250</v>
      </c>
      <c r="AY959" t="s">
        <v>3250</v>
      </c>
      <c r="AZ959" t="s">
        <v>3250</v>
      </c>
      <c r="BA959" t="s">
        <v>3250</v>
      </c>
      <c r="BB959" t="s">
        <v>3250</v>
      </c>
      <c r="BC959" t="s">
        <v>3250</v>
      </c>
      <c r="BE959" t="s">
        <v>3250</v>
      </c>
      <c r="BF959" t="s">
        <v>3250</v>
      </c>
      <c r="BG959" t="s">
        <v>3250</v>
      </c>
      <c r="BH959" t="s">
        <v>3250</v>
      </c>
      <c r="BI959" t="s">
        <v>3250</v>
      </c>
      <c r="BK959" t="s">
        <v>3250</v>
      </c>
      <c r="BL959" t="s">
        <v>3250</v>
      </c>
      <c r="BM959" t="s">
        <v>3250</v>
      </c>
      <c r="BN959" t="s">
        <v>3250</v>
      </c>
      <c r="BP959">
        <v>1</v>
      </c>
      <c r="BQ959">
        <v>11</v>
      </c>
      <c r="BR959" t="s">
        <v>1574</v>
      </c>
      <c r="BS959" t="s">
        <v>3252</v>
      </c>
      <c r="BV959">
        <v>0</v>
      </c>
      <c r="BW959">
        <v>0</v>
      </c>
      <c r="BX959">
        <v>0</v>
      </c>
      <c r="BY959">
        <v>0</v>
      </c>
      <c r="BZ959">
        <v>0</v>
      </c>
      <c r="CA959">
        <v>0</v>
      </c>
      <c r="CB959">
        <v>0</v>
      </c>
      <c r="CC959">
        <v>0</v>
      </c>
      <c r="CD959">
        <v>0</v>
      </c>
      <c r="CE959" t="s">
        <v>3108</v>
      </c>
      <c r="CF959" t="s">
        <v>3108</v>
      </c>
      <c r="CG959" t="s">
        <v>3108</v>
      </c>
      <c r="CH959" t="s">
        <v>3108</v>
      </c>
    </row>
    <row r="960" spans="1:86" x14ac:dyDescent="0.2">
      <c r="A960" t="s">
        <v>4704</v>
      </c>
      <c r="B960" t="s">
        <v>4704</v>
      </c>
      <c r="C960">
        <v>41431</v>
      </c>
      <c r="D960">
        <v>215</v>
      </c>
      <c r="E960" t="s">
        <v>4684</v>
      </c>
      <c r="F960" t="s">
        <v>3249</v>
      </c>
      <c r="G960" t="s">
        <v>3249</v>
      </c>
      <c r="H960" t="s">
        <v>3250</v>
      </c>
      <c r="I960" t="s">
        <v>3250</v>
      </c>
      <c r="J960" t="s">
        <v>3250</v>
      </c>
      <c r="K960" t="s">
        <v>3250</v>
      </c>
      <c r="L960">
        <v>1200</v>
      </c>
      <c r="M960" t="s">
        <v>2368</v>
      </c>
      <c r="N960">
        <v>1204</v>
      </c>
      <c r="O960" t="s">
        <v>1574</v>
      </c>
      <c r="P960" t="s">
        <v>2805</v>
      </c>
      <c r="Q960">
        <v>2080</v>
      </c>
      <c r="R960" t="s">
        <v>423</v>
      </c>
      <c r="S960" t="s">
        <v>427</v>
      </c>
      <c r="T960" t="s">
        <v>3251</v>
      </c>
      <c r="U960">
        <v>240</v>
      </c>
      <c r="V960" t="s">
        <v>4251</v>
      </c>
      <c r="W960">
        <v>240</v>
      </c>
      <c r="X960" t="s">
        <v>1323</v>
      </c>
      <c r="Y960" t="s">
        <v>3250</v>
      </c>
      <c r="Z960" t="s">
        <v>3250</v>
      </c>
      <c r="AA960" t="s">
        <v>3108</v>
      </c>
      <c r="AB960" t="s">
        <v>3108</v>
      </c>
      <c r="AC960" t="s">
        <v>3250</v>
      </c>
      <c r="AD960" t="s">
        <v>3250</v>
      </c>
      <c r="AE960" t="s">
        <v>3250</v>
      </c>
      <c r="AF960" t="s">
        <v>3250</v>
      </c>
      <c r="AG960">
        <v>1470</v>
      </c>
      <c r="AH960" t="s">
        <v>2332</v>
      </c>
      <c r="AI960">
        <v>1470</v>
      </c>
      <c r="AJ960" t="s">
        <v>2332</v>
      </c>
      <c r="AL960">
        <v>241</v>
      </c>
      <c r="AM960" t="s">
        <v>1455</v>
      </c>
      <c r="AN960">
        <v>241</v>
      </c>
      <c r="AO960" t="s">
        <v>1455</v>
      </c>
      <c r="AS960">
        <v>1470</v>
      </c>
      <c r="AT960">
        <v>1470</v>
      </c>
      <c r="AU960" t="s">
        <v>2332</v>
      </c>
      <c r="AV960" t="s">
        <v>2332</v>
      </c>
      <c r="AW960" t="s">
        <v>3250</v>
      </c>
      <c r="AX960" t="s">
        <v>3250</v>
      </c>
      <c r="AY960" t="s">
        <v>3250</v>
      </c>
      <c r="AZ960" t="s">
        <v>3250</v>
      </c>
      <c r="BA960" t="s">
        <v>3250</v>
      </c>
      <c r="BB960" t="s">
        <v>3250</v>
      </c>
      <c r="BC960" t="s">
        <v>3250</v>
      </c>
      <c r="BE960" t="s">
        <v>3250</v>
      </c>
      <c r="BF960" t="s">
        <v>3250</v>
      </c>
      <c r="BG960" t="s">
        <v>3250</v>
      </c>
      <c r="BH960" t="s">
        <v>3250</v>
      </c>
      <c r="BI960" t="s">
        <v>3250</v>
      </c>
      <c r="BK960" t="s">
        <v>3250</v>
      </c>
      <c r="BL960" t="s">
        <v>3250</v>
      </c>
      <c r="BM960" t="s">
        <v>3250</v>
      </c>
      <c r="BN960" t="s">
        <v>3250</v>
      </c>
      <c r="BP960">
        <v>1</v>
      </c>
      <c r="BQ960">
        <v>11</v>
      </c>
      <c r="BR960" t="s">
        <v>1574</v>
      </c>
      <c r="BS960" t="s">
        <v>3252</v>
      </c>
      <c r="BV960">
        <v>0</v>
      </c>
      <c r="BW960">
        <v>0</v>
      </c>
      <c r="BX960">
        <v>0</v>
      </c>
      <c r="BY960">
        <v>0</v>
      </c>
      <c r="BZ960">
        <v>0</v>
      </c>
      <c r="CA960">
        <v>0</v>
      </c>
      <c r="CB960">
        <v>0</v>
      </c>
      <c r="CC960">
        <v>0</v>
      </c>
      <c r="CD960">
        <v>0</v>
      </c>
      <c r="CE960" t="s">
        <v>3108</v>
      </c>
      <c r="CF960" t="s">
        <v>3108</v>
      </c>
      <c r="CG960" t="s">
        <v>3108</v>
      </c>
      <c r="CH960" t="s">
        <v>3108</v>
      </c>
    </row>
    <row r="961" spans="1:86" x14ac:dyDescent="0.2">
      <c r="A961" t="s">
        <v>4705</v>
      </c>
      <c r="B961" t="s">
        <v>4705</v>
      </c>
      <c r="C961">
        <v>41432</v>
      </c>
      <c r="D961">
        <v>216</v>
      </c>
      <c r="E961" t="s">
        <v>4706</v>
      </c>
      <c r="F961" t="s">
        <v>3249</v>
      </c>
      <c r="G961" t="s">
        <v>3249</v>
      </c>
      <c r="H961" t="s">
        <v>3250</v>
      </c>
      <c r="I961" t="s">
        <v>3250</v>
      </c>
      <c r="J961" t="s">
        <v>3250</v>
      </c>
      <c r="K961" t="s">
        <v>3250</v>
      </c>
      <c r="L961">
        <v>1200</v>
      </c>
      <c r="M961" t="s">
        <v>2368</v>
      </c>
      <c r="N961">
        <v>1204</v>
      </c>
      <c r="O961" t="s">
        <v>1574</v>
      </c>
      <c r="P961" t="s">
        <v>3108</v>
      </c>
      <c r="Q961" t="s">
        <v>3249</v>
      </c>
      <c r="R961" t="s">
        <v>3249</v>
      </c>
      <c r="S961" t="s">
        <v>472</v>
      </c>
      <c r="T961" t="s">
        <v>3251</v>
      </c>
      <c r="U961">
        <v>140</v>
      </c>
      <c r="V961" t="s">
        <v>1327</v>
      </c>
      <c r="W961">
        <v>140</v>
      </c>
      <c r="X961" t="s">
        <v>1327</v>
      </c>
      <c r="Y961" t="s">
        <v>3250</v>
      </c>
      <c r="Z961" t="s">
        <v>3250</v>
      </c>
      <c r="AA961" t="s">
        <v>3108</v>
      </c>
      <c r="AB961" t="s">
        <v>3108</v>
      </c>
      <c r="AC961" t="s">
        <v>3250</v>
      </c>
      <c r="AD961" t="s">
        <v>3250</v>
      </c>
      <c r="AE961" t="s">
        <v>3250</v>
      </c>
      <c r="AF961" t="s">
        <v>3250</v>
      </c>
      <c r="AG961" t="s">
        <v>3250</v>
      </c>
      <c r="AH961" t="s">
        <v>3250</v>
      </c>
      <c r="AI961" t="s">
        <v>3250</v>
      </c>
      <c r="AJ961" t="s">
        <v>3250</v>
      </c>
      <c r="AL961">
        <v>141</v>
      </c>
      <c r="AM961" t="s">
        <v>1327</v>
      </c>
      <c r="AN961">
        <v>141</v>
      </c>
      <c r="AO961" t="s">
        <v>1327</v>
      </c>
      <c r="AS961" t="s">
        <v>3250</v>
      </c>
      <c r="AT961" t="s">
        <v>3250</v>
      </c>
      <c r="AU961" t="s">
        <v>3250</v>
      </c>
      <c r="AV961" t="s">
        <v>3250</v>
      </c>
      <c r="AW961" t="s">
        <v>3250</v>
      </c>
      <c r="AX961" t="s">
        <v>3250</v>
      </c>
      <c r="AY961" t="s">
        <v>3250</v>
      </c>
      <c r="AZ961" t="s">
        <v>3250</v>
      </c>
      <c r="BA961" t="s">
        <v>3250</v>
      </c>
      <c r="BB961" t="s">
        <v>3250</v>
      </c>
      <c r="BC961" t="s">
        <v>3250</v>
      </c>
      <c r="BE961" t="s">
        <v>3250</v>
      </c>
      <c r="BF961" t="s">
        <v>3250</v>
      </c>
      <c r="BG961" t="s">
        <v>3250</v>
      </c>
      <c r="BH961" t="s">
        <v>3250</v>
      </c>
      <c r="BI961" t="s">
        <v>3250</v>
      </c>
      <c r="BK961" t="s">
        <v>3250</v>
      </c>
      <c r="BL961" t="s">
        <v>3250</v>
      </c>
      <c r="BM961" t="s">
        <v>3250</v>
      </c>
      <c r="BN961" t="s">
        <v>3250</v>
      </c>
      <c r="BP961">
        <v>1</v>
      </c>
      <c r="BQ961">
        <v>11</v>
      </c>
      <c r="BR961" t="s">
        <v>1574</v>
      </c>
      <c r="BS961" t="s">
        <v>3252</v>
      </c>
      <c r="BV961">
        <v>2017882</v>
      </c>
      <c r="BW961">
        <v>1409733</v>
      </c>
      <c r="BX961">
        <v>743980</v>
      </c>
      <c r="BY961">
        <v>0</v>
      </c>
      <c r="BZ961">
        <v>574287</v>
      </c>
      <c r="CA961">
        <v>0</v>
      </c>
      <c r="CB961">
        <v>0</v>
      </c>
      <c r="CC961">
        <v>0</v>
      </c>
      <c r="CD961">
        <v>2529137</v>
      </c>
      <c r="CE961" t="s">
        <v>3108</v>
      </c>
      <c r="CF961" t="s">
        <v>3108</v>
      </c>
      <c r="CG961" t="s">
        <v>3108</v>
      </c>
      <c r="CH961" t="s">
        <v>3108</v>
      </c>
    </row>
    <row r="962" spans="1:86" x14ac:dyDescent="0.2">
      <c r="A962" t="s">
        <v>4707</v>
      </c>
      <c r="B962" t="s">
        <v>4707</v>
      </c>
      <c r="C962">
        <v>41433</v>
      </c>
      <c r="D962">
        <v>217</v>
      </c>
      <c r="E962" t="s">
        <v>4708</v>
      </c>
      <c r="F962" t="s">
        <v>3249</v>
      </c>
      <c r="G962" t="s">
        <v>3249</v>
      </c>
      <c r="H962" t="s">
        <v>3250</v>
      </c>
      <c r="I962" t="s">
        <v>3250</v>
      </c>
      <c r="J962" t="s">
        <v>3250</v>
      </c>
      <c r="K962" t="s">
        <v>3250</v>
      </c>
      <c r="L962">
        <v>1200</v>
      </c>
      <c r="M962" t="s">
        <v>2368</v>
      </c>
      <c r="N962">
        <v>1204</v>
      </c>
      <c r="O962" t="s">
        <v>1574</v>
      </c>
      <c r="P962" t="s">
        <v>3108</v>
      </c>
      <c r="Q962" t="s">
        <v>3249</v>
      </c>
      <c r="R962" t="s">
        <v>3249</v>
      </c>
      <c r="S962" t="s">
        <v>472</v>
      </c>
      <c r="T962" t="s">
        <v>3251</v>
      </c>
      <c r="U962">
        <v>140</v>
      </c>
      <c r="V962" t="s">
        <v>1327</v>
      </c>
      <c r="W962">
        <v>140</v>
      </c>
      <c r="X962" t="s">
        <v>1327</v>
      </c>
      <c r="Y962" t="s">
        <v>3250</v>
      </c>
      <c r="Z962" t="s">
        <v>3250</v>
      </c>
      <c r="AA962" t="s">
        <v>3108</v>
      </c>
      <c r="AB962" t="s">
        <v>3108</v>
      </c>
      <c r="AC962" t="s">
        <v>3250</v>
      </c>
      <c r="AD962" t="s">
        <v>3250</v>
      </c>
      <c r="AE962" t="s">
        <v>3250</v>
      </c>
      <c r="AF962" t="s">
        <v>3250</v>
      </c>
      <c r="AG962" t="s">
        <v>3250</v>
      </c>
      <c r="AH962" t="s">
        <v>3250</v>
      </c>
      <c r="AI962" t="s">
        <v>3250</v>
      </c>
      <c r="AJ962" t="s">
        <v>3250</v>
      </c>
      <c r="AL962">
        <v>141</v>
      </c>
      <c r="AM962" t="s">
        <v>1327</v>
      </c>
      <c r="AN962">
        <v>141</v>
      </c>
      <c r="AO962" t="s">
        <v>1327</v>
      </c>
      <c r="AS962" t="s">
        <v>3250</v>
      </c>
      <c r="AT962" t="s">
        <v>3250</v>
      </c>
      <c r="AU962" t="s">
        <v>3250</v>
      </c>
      <c r="AV962" t="s">
        <v>3250</v>
      </c>
      <c r="AW962" t="s">
        <v>3250</v>
      </c>
      <c r="AX962" t="s">
        <v>3250</v>
      </c>
      <c r="AY962" t="s">
        <v>3250</v>
      </c>
      <c r="AZ962" t="s">
        <v>3250</v>
      </c>
      <c r="BA962" t="s">
        <v>3250</v>
      </c>
      <c r="BB962" t="s">
        <v>3250</v>
      </c>
      <c r="BC962" t="s">
        <v>3250</v>
      </c>
      <c r="BE962" t="s">
        <v>3250</v>
      </c>
      <c r="BF962" t="s">
        <v>3250</v>
      </c>
      <c r="BG962" t="s">
        <v>3250</v>
      </c>
      <c r="BH962" t="s">
        <v>3250</v>
      </c>
      <c r="BI962" t="s">
        <v>3250</v>
      </c>
      <c r="BK962" t="s">
        <v>3250</v>
      </c>
      <c r="BL962" t="s">
        <v>3250</v>
      </c>
      <c r="BM962" t="s">
        <v>3250</v>
      </c>
      <c r="BN962" t="s">
        <v>3250</v>
      </c>
      <c r="BP962">
        <v>1</v>
      </c>
      <c r="BQ962">
        <v>11</v>
      </c>
      <c r="BR962" t="s">
        <v>1574</v>
      </c>
      <c r="BS962" t="s">
        <v>3252</v>
      </c>
      <c r="BV962">
        <v>11353319</v>
      </c>
      <c r="BW962">
        <v>7953541</v>
      </c>
      <c r="BX962">
        <v>5226039</v>
      </c>
      <c r="BY962">
        <v>0</v>
      </c>
      <c r="BZ962">
        <v>0</v>
      </c>
      <c r="CA962">
        <v>0</v>
      </c>
      <c r="CB962">
        <v>0</v>
      </c>
      <c r="CC962">
        <v>0</v>
      </c>
      <c r="CD962">
        <v>14341189</v>
      </c>
      <c r="CE962" t="s">
        <v>3108</v>
      </c>
      <c r="CF962" t="s">
        <v>3108</v>
      </c>
      <c r="CG962" t="s">
        <v>3108</v>
      </c>
      <c r="CH962" t="s">
        <v>3108</v>
      </c>
    </row>
    <row r="963" spans="1:86" x14ac:dyDescent="0.2">
      <c r="A963" t="s">
        <v>4709</v>
      </c>
      <c r="B963" t="s">
        <v>4709</v>
      </c>
      <c r="C963">
        <v>41434</v>
      </c>
      <c r="D963">
        <v>218</v>
      </c>
      <c r="E963" t="s">
        <v>4710</v>
      </c>
      <c r="F963" t="s">
        <v>3249</v>
      </c>
      <c r="G963" t="s">
        <v>3249</v>
      </c>
      <c r="H963" t="s">
        <v>3250</v>
      </c>
      <c r="I963" t="s">
        <v>3250</v>
      </c>
      <c r="J963" t="s">
        <v>3250</v>
      </c>
      <c r="K963" t="s">
        <v>3250</v>
      </c>
      <c r="L963">
        <v>1200</v>
      </c>
      <c r="M963" t="s">
        <v>2368</v>
      </c>
      <c r="N963">
        <v>1204</v>
      </c>
      <c r="O963" t="s">
        <v>1574</v>
      </c>
      <c r="P963" t="s">
        <v>3108</v>
      </c>
      <c r="Q963" t="s">
        <v>3249</v>
      </c>
      <c r="R963" t="s">
        <v>3249</v>
      </c>
      <c r="S963" t="s">
        <v>472</v>
      </c>
      <c r="T963" t="s">
        <v>3251</v>
      </c>
      <c r="U963">
        <v>150</v>
      </c>
      <c r="V963" t="s">
        <v>1328</v>
      </c>
      <c r="W963">
        <v>150</v>
      </c>
      <c r="X963" t="s">
        <v>1328</v>
      </c>
      <c r="Y963" t="s">
        <v>3250</v>
      </c>
      <c r="Z963" t="s">
        <v>3250</v>
      </c>
      <c r="AA963" t="s">
        <v>3108</v>
      </c>
      <c r="AB963" t="s">
        <v>3108</v>
      </c>
      <c r="AC963" t="s">
        <v>3250</v>
      </c>
      <c r="AD963" t="s">
        <v>3250</v>
      </c>
      <c r="AE963" t="s">
        <v>3250</v>
      </c>
      <c r="AF963" t="s">
        <v>3250</v>
      </c>
      <c r="AG963" t="s">
        <v>3250</v>
      </c>
      <c r="AH963" t="s">
        <v>3250</v>
      </c>
      <c r="AI963" t="s">
        <v>3250</v>
      </c>
      <c r="AJ963" t="s">
        <v>3250</v>
      </c>
      <c r="AL963" t="s">
        <v>3250</v>
      </c>
      <c r="AM963" t="s">
        <v>3250</v>
      </c>
      <c r="AN963" t="s">
        <v>3250</v>
      </c>
      <c r="AO963" t="s">
        <v>3250</v>
      </c>
      <c r="AS963" t="s">
        <v>3250</v>
      </c>
      <c r="AT963" t="s">
        <v>3250</v>
      </c>
      <c r="AU963" t="s">
        <v>3250</v>
      </c>
      <c r="AV963" t="s">
        <v>3250</v>
      </c>
      <c r="AW963" t="s">
        <v>3250</v>
      </c>
      <c r="AX963" t="s">
        <v>3250</v>
      </c>
      <c r="AY963" t="s">
        <v>3250</v>
      </c>
      <c r="AZ963" t="s">
        <v>3250</v>
      </c>
      <c r="BA963" t="s">
        <v>3250</v>
      </c>
      <c r="BB963" t="s">
        <v>3250</v>
      </c>
      <c r="BC963" t="s">
        <v>3250</v>
      </c>
      <c r="BE963" t="s">
        <v>3250</v>
      </c>
      <c r="BF963" t="s">
        <v>3250</v>
      </c>
      <c r="BG963" t="s">
        <v>3250</v>
      </c>
      <c r="BH963" t="s">
        <v>3250</v>
      </c>
      <c r="BI963" t="s">
        <v>3250</v>
      </c>
      <c r="BK963" t="s">
        <v>3250</v>
      </c>
      <c r="BL963" t="s">
        <v>3250</v>
      </c>
      <c r="BM963" t="s">
        <v>3250</v>
      </c>
      <c r="BN963" t="s">
        <v>3250</v>
      </c>
      <c r="BP963">
        <v>1</v>
      </c>
      <c r="BQ963">
        <v>11</v>
      </c>
      <c r="BR963" t="s">
        <v>1574</v>
      </c>
      <c r="BS963" t="s">
        <v>3252</v>
      </c>
      <c r="BV963">
        <v>0</v>
      </c>
      <c r="BW963">
        <v>0</v>
      </c>
      <c r="BX963">
        <v>0</v>
      </c>
      <c r="BY963">
        <v>0</v>
      </c>
      <c r="BZ963">
        <v>0</v>
      </c>
      <c r="CA963">
        <v>0</v>
      </c>
      <c r="CB963">
        <v>0</v>
      </c>
      <c r="CC963">
        <v>0</v>
      </c>
      <c r="CD963">
        <v>0</v>
      </c>
      <c r="CE963" t="s">
        <v>3108</v>
      </c>
      <c r="CF963" t="s">
        <v>3108</v>
      </c>
      <c r="CG963" t="s">
        <v>3108</v>
      </c>
      <c r="CH963" t="s">
        <v>3108</v>
      </c>
    </row>
    <row r="964" spans="1:86" x14ac:dyDescent="0.2">
      <c r="A964" t="s">
        <v>4711</v>
      </c>
      <c r="B964" t="s">
        <v>4711</v>
      </c>
      <c r="C964">
        <v>41435</v>
      </c>
      <c r="D964">
        <v>219</v>
      </c>
      <c r="E964" t="s">
        <v>4712</v>
      </c>
      <c r="F964" t="s">
        <v>3249</v>
      </c>
      <c r="G964" t="s">
        <v>3249</v>
      </c>
      <c r="H964" t="s">
        <v>3250</v>
      </c>
      <c r="I964" t="s">
        <v>3250</v>
      </c>
      <c r="J964" t="s">
        <v>3250</v>
      </c>
      <c r="K964" t="s">
        <v>3250</v>
      </c>
      <c r="L964">
        <v>1200</v>
      </c>
      <c r="M964" t="s">
        <v>2368</v>
      </c>
      <c r="N964">
        <v>1204</v>
      </c>
      <c r="O964" t="s">
        <v>1574</v>
      </c>
      <c r="P964" t="s">
        <v>3108</v>
      </c>
      <c r="Q964" t="s">
        <v>3249</v>
      </c>
      <c r="R964" t="s">
        <v>3249</v>
      </c>
      <c r="S964" t="s">
        <v>472</v>
      </c>
      <c r="T964" t="s">
        <v>3789</v>
      </c>
      <c r="U964">
        <v>330</v>
      </c>
      <c r="V964" t="s">
        <v>4713</v>
      </c>
      <c r="W964">
        <v>330</v>
      </c>
      <c r="X964" t="s">
        <v>1127</v>
      </c>
      <c r="Y964" t="s">
        <v>3250</v>
      </c>
      <c r="Z964" t="s">
        <v>3250</v>
      </c>
      <c r="AA964" t="s">
        <v>3108</v>
      </c>
      <c r="AB964" t="s">
        <v>3108</v>
      </c>
      <c r="AC964" t="s">
        <v>3250</v>
      </c>
      <c r="AD964" t="s">
        <v>3250</v>
      </c>
      <c r="AE964" t="s">
        <v>3250</v>
      </c>
      <c r="AF964" t="s">
        <v>3250</v>
      </c>
      <c r="AG964" t="s">
        <v>3250</v>
      </c>
      <c r="AH964" t="s">
        <v>3250</v>
      </c>
      <c r="AI964" t="s">
        <v>3250</v>
      </c>
      <c r="AJ964" t="s">
        <v>3250</v>
      </c>
      <c r="AL964" t="s">
        <v>3250</v>
      </c>
      <c r="AM964" t="s">
        <v>3250</v>
      </c>
      <c r="AN964" t="s">
        <v>3250</v>
      </c>
      <c r="AO964" t="s">
        <v>3250</v>
      </c>
      <c r="AS964" t="s">
        <v>3250</v>
      </c>
      <c r="AT964" t="s">
        <v>3250</v>
      </c>
      <c r="AU964" t="s">
        <v>3250</v>
      </c>
      <c r="AV964" t="s">
        <v>3250</v>
      </c>
      <c r="AW964" t="s">
        <v>3250</v>
      </c>
      <c r="AX964" t="s">
        <v>3250</v>
      </c>
      <c r="AY964" t="s">
        <v>3250</v>
      </c>
      <c r="AZ964" t="s">
        <v>3250</v>
      </c>
      <c r="BA964" t="s">
        <v>3250</v>
      </c>
      <c r="BB964" t="s">
        <v>3250</v>
      </c>
      <c r="BC964" t="s">
        <v>3250</v>
      </c>
      <c r="BE964" t="s">
        <v>3250</v>
      </c>
      <c r="BF964" t="s">
        <v>3250</v>
      </c>
      <c r="BG964" t="s">
        <v>3250</v>
      </c>
      <c r="BH964" t="s">
        <v>3250</v>
      </c>
      <c r="BI964" t="s">
        <v>3250</v>
      </c>
      <c r="BK964" t="s">
        <v>3250</v>
      </c>
      <c r="BL964" t="s">
        <v>3250</v>
      </c>
      <c r="BM964" t="s">
        <v>3250</v>
      </c>
      <c r="BN964" t="s">
        <v>3250</v>
      </c>
      <c r="BP964">
        <v>1</v>
      </c>
      <c r="BQ964">
        <v>11</v>
      </c>
      <c r="BR964" t="s">
        <v>1574</v>
      </c>
      <c r="BS964" t="s">
        <v>3252</v>
      </c>
      <c r="BV964">
        <v>0</v>
      </c>
      <c r="BW964">
        <v>0</v>
      </c>
      <c r="BX964">
        <v>0</v>
      </c>
      <c r="BY964">
        <v>0</v>
      </c>
      <c r="BZ964">
        <v>0</v>
      </c>
      <c r="CA964">
        <v>0</v>
      </c>
      <c r="CB964">
        <v>0</v>
      </c>
      <c r="CC964">
        <v>0</v>
      </c>
      <c r="CD964">
        <v>0</v>
      </c>
      <c r="CE964" t="s">
        <v>3108</v>
      </c>
      <c r="CF964" t="s">
        <v>3108</v>
      </c>
      <c r="CG964" t="s">
        <v>3108</v>
      </c>
      <c r="CH964" t="s">
        <v>3108</v>
      </c>
    </row>
    <row r="965" spans="1:86" x14ac:dyDescent="0.2">
      <c r="A965" t="s">
        <v>4714</v>
      </c>
      <c r="B965" t="s">
        <v>4714</v>
      </c>
      <c r="C965">
        <v>41436</v>
      </c>
      <c r="D965">
        <v>220</v>
      </c>
      <c r="E965" t="s">
        <v>4715</v>
      </c>
      <c r="F965" t="s">
        <v>3249</v>
      </c>
      <c r="G965" t="s">
        <v>3249</v>
      </c>
      <c r="H965" t="s">
        <v>3250</v>
      </c>
      <c r="I965" t="s">
        <v>3250</v>
      </c>
      <c r="J965" t="s">
        <v>3250</v>
      </c>
      <c r="K965" t="s">
        <v>3250</v>
      </c>
      <c r="L965">
        <v>1200</v>
      </c>
      <c r="M965" t="s">
        <v>2368</v>
      </c>
      <c r="N965">
        <v>1204</v>
      </c>
      <c r="O965" t="s">
        <v>1574</v>
      </c>
      <c r="P965" t="s">
        <v>3108</v>
      </c>
      <c r="Q965" t="s">
        <v>3249</v>
      </c>
      <c r="R965" t="s">
        <v>3249</v>
      </c>
      <c r="S965" t="s">
        <v>472</v>
      </c>
      <c r="T965" t="s">
        <v>3251</v>
      </c>
      <c r="U965">
        <v>130</v>
      </c>
      <c r="V965" t="s">
        <v>4716</v>
      </c>
      <c r="W965">
        <v>130</v>
      </c>
      <c r="X965" t="s">
        <v>4716</v>
      </c>
      <c r="Y965" t="s">
        <v>3250</v>
      </c>
      <c r="Z965" t="s">
        <v>3250</v>
      </c>
      <c r="AA965" t="s">
        <v>3108</v>
      </c>
      <c r="AB965" t="s">
        <v>3108</v>
      </c>
      <c r="AC965" t="s">
        <v>3250</v>
      </c>
      <c r="AD965" t="s">
        <v>3250</v>
      </c>
      <c r="AE965" t="s">
        <v>3250</v>
      </c>
      <c r="AF965" t="s">
        <v>3250</v>
      </c>
      <c r="AG965" t="s">
        <v>3250</v>
      </c>
      <c r="AH965" t="s">
        <v>3250</v>
      </c>
      <c r="AI965" t="s">
        <v>3250</v>
      </c>
      <c r="AJ965" t="s">
        <v>3250</v>
      </c>
      <c r="AL965" t="s">
        <v>3250</v>
      </c>
      <c r="AM965" t="s">
        <v>3250</v>
      </c>
      <c r="AN965" t="s">
        <v>3250</v>
      </c>
      <c r="AO965" t="s">
        <v>3250</v>
      </c>
      <c r="AS965" t="s">
        <v>3250</v>
      </c>
      <c r="AT965" t="s">
        <v>3250</v>
      </c>
      <c r="AU965" t="s">
        <v>3250</v>
      </c>
      <c r="AV965" t="s">
        <v>3250</v>
      </c>
      <c r="AW965" t="s">
        <v>3250</v>
      </c>
      <c r="AX965" t="s">
        <v>3250</v>
      </c>
      <c r="AY965" t="s">
        <v>3250</v>
      </c>
      <c r="AZ965" t="s">
        <v>3250</v>
      </c>
      <c r="BA965" t="s">
        <v>3250</v>
      </c>
      <c r="BB965" t="s">
        <v>3250</v>
      </c>
      <c r="BC965" t="s">
        <v>3250</v>
      </c>
      <c r="BE965" t="s">
        <v>3250</v>
      </c>
      <c r="BF965" t="s">
        <v>3250</v>
      </c>
      <c r="BG965" t="s">
        <v>3250</v>
      </c>
      <c r="BH965" t="s">
        <v>3250</v>
      </c>
      <c r="BI965" t="s">
        <v>3250</v>
      </c>
      <c r="BK965" t="s">
        <v>3250</v>
      </c>
      <c r="BL965" t="s">
        <v>3250</v>
      </c>
      <c r="BM965" t="s">
        <v>3250</v>
      </c>
      <c r="BN965" t="s">
        <v>3250</v>
      </c>
      <c r="BP965">
        <v>1</v>
      </c>
      <c r="BQ965">
        <v>11</v>
      </c>
      <c r="BR965" t="s">
        <v>1574</v>
      </c>
      <c r="BS965" t="s">
        <v>3252</v>
      </c>
      <c r="BV965">
        <v>0</v>
      </c>
      <c r="BW965">
        <v>0</v>
      </c>
      <c r="BX965">
        <v>0</v>
      </c>
      <c r="BY965">
        <v>57134917</v>
      </c>
      <c r="BZ965">
        <v>0</v>
      </c>
      <c r="CA965">
        <v>0</v>
      </c>
      <c r="CB965">
        <v>0</v>
      </c>
      <c r="CC965">
        <v>0</v>
      </c>
      <c r="CD965">
        <v>0</v>
      </c>
      <c r="CE965" t="s">
        <v>3108</v>
      </c>
      <c r="CF965" t="s">
        <v>3108</v>
      </c>
      <c r="CG965" t="s">
        <v>3108</v>
      </c>
      <c r="CH965" t="s">
        <v>3108</v>
      </c>
    </row>
    <row r="966" spans="1:86" x14ac:dyDescent="0.2">
      <c r="A966" t="s">
        <v>4717</v>
      </c>
      <c r="B966" t="s">
        <v>4717</v>
      </c>
      <c r="C966">
        <v>41437</v>
      </c>
      <c r="D966">
        <v>221</v>
      </c>
      <c r="E966" t="s">
        <v>4718</v>
      </c>
      <c r="F966" t="s">
        <v>3249</v>
      </c>
      <c r="G966" t="s">
        <v>3249</v>
      </c>
      <c r="H966" t="s">
        <v>3250</v>
      </c>
      <c r="I966" t="s">
        <v>3250</v>
      </c>
      <c r="J966" t="s">
        <v>3250</v>
      </c>
      <c r="K966" t="s">
        <v>3250</v>
      </c>
      <c r="L966">
        <v>1200</v>
      </c>
      <c r="M966" t="s">
        <v>2368</v>
      </c>
      <c r="N966">
        <v>1204</v>
      </c>
      <c r="O966" t="s">
        <v>1574</v>
      </c>
      <c r="P966" t="s">
        <v>3108</v>
      </c>
      <c r="Q966" t="s">
        <v>3249</v>
      </c>
      <c r="R966" t="s">
        <v>3249</v>
      </c>
      <c r="S966" t="s">
        <v>472</v>
      </c>
      <c r="T966" t="s">
        <v>3789</v>
      </c>
      <c r="U966">
        <v>360</v>
      </c>
      <c r="V966" t="s">
        <v>3790</v>
      </c>
      <c r="W966">
        <v>360</v>
      </c>
      <c r="X966" t="s">
        <v>601</v>
      </c>
      <c r="Y966" t="s">
        <v>3250</v>
      </c>
      <c r="Z966" t="s">
        <v>3250</v>
      </c>
      <c r="AA966" t="s">
        <v>3108</v>
      </c>
      <c r="AB966" t="s">
        <v>3108</v>
      </c>
      <c r="AC966" t="s">
        <v>3250</v>
      </c>
      <c r="AD966" t="s">
        <v>3250</v>
      </c>
      <c r="AE966" t="s">
        <v>3250</v>
      </c>
      <c r="AF966" t="s">
        <v>3250</v>
      </c>
      <c r="AG966" t="s">
        <v>3250</v>
      </c>
      <c r="AH966" t="s">
        <v>3250</v>
      </c>
      <c r="AI966" t="s">
        <v>3250</v>
      </c>
      <c r="AJ966" t="s">
        <v>3250</v>
      </c>
      <c r="AL966">
        <v>364</v>
      </c>
      <c r="AM966" t="s">
        <v>1321</v>
      </c>
      <c r="AN966">
        <v>364</v>
      </c>
      <c r="AO966" t="s">
        <v>1321</v>
      </c>
      <c r="AS966" t="s">
        <v>3250</v>
      </c>
      <c r="AT966" t="s">
        <v>3250</v>
      </c>
      <c r="AU966" t="s">
        <v>3250</v>
      </c>
      <c r="AV966" t="s">
        <v>3250</v>
      </c>
      <c r="AW966" t="s">
        <v>3250</v>
      </c>
      <c r="AX966" t="s">
        <v>3250</v>
      </c>
      <c r="AY966" t="s">
        <v>3250</v>
      </c>
      <c r="AZ966" t="s">
        <v>3250</v>
      </c>
      <c r="BA966" t="s">
        <v>3250</v>
      </c>
      <c r="BB966" t="s">
        <v>3250</v>
      </c>
      <c r="BC966" t="s">
        <v>3250</v>
      </c>
      <c r="BE966" t="s">
        <v>3250</v>
      </c>
      <c r="BF966" t="s">
        <v>3250</v>
      </c>
      <c r="BG966" t="s">
        <v>3250</v>
      </c>
      <c r="BH966" t="s">
        <v>3250</v>
      </c>
      <c r="BI966" t="s">
        <v>3250</v>
      </c>
      <c r="BK966" t="s">
        <v>3250</v>
      </c>
      <c r="BL966" t="s">
        <v>3250</v>
      </c>
      <c r="BM966" t="s">
        <v>3250</v>
      </c>
      <c r="BN966" t="s">
        <v>3250</v>
      </c>
      <c r="BP966">
        <v>1</v>
      </c>
      <c r="BQ966">
        <v>11</v>
      </c>
      <c r="BR966" t="s">
        <v>1574</v>
      </c>
      <c r="BS966" t="s">
        <v>3252</v>
      </c>
      <c r="BV966">
        <v>4843145</v>
      </c>
      <c r="BW966">
        <v>3953390</v>
      </c>
      <c r="BX966">
        <v>2728658</v>
      </c>
      <c r="BY966">
        <v>0</v>
      </c>
      <c r="BZ966">
        <v>0</v>
      </c>
      <c r="CA966">
        <v>0</v>
      </c>
      <c r="CB966">
        <v>0</v>
      </c>
      <c r="CC966">
        <v>0</v>
      </c>
      <c r="CD966">
        <v>5996600</v>
      </c>
      <c r="CE966" t="s">
        <v>3108</v>
      </c>
      <c r="CF966" t="s">
        <v>3108</v>
      </c>
      <c r="CG966" t="s">
        <v>3108</v>
      </c>
      <c r="CH966" t="s">
        <v>3108</v>
      </c>
    </row>
    <row r="967" spans="1:86" x14ac:dyDescent="0.2">
      <c r="A967" t="s">
        <v>4719</v>
      </c>
      <c r="B967" t="s">
        <v>4719</v>
      </c>
      <c r="C967">
        <v>41438</v>
      </c>
      <c r="D967">
        <v>222</v>
      </c>
      <c r="E967" t="s">
        <v>3796</v>
      </c>
      <c r="F967" t="s">
        <v>3249</v>
      </c>
      <c r="G967" t="s">
        <v>3249</v>
      </c>
      <c r="H967" t="s">
        <v>3250</v>
      </c>
      <c r="I967" t="s">
        <v>3250</v>
      </c>
      <c r="J967" t="s">
        <v>3250</v>
      </c>
      <c r="K967" t="s">
        <v>3250</v>
      </c>
      <c r="L967">
        <v>1200</v>
      </c>
      <c r="M967" t="s">
        <v>2368</v>
      </c>
      <c r="N967">
        <v>1204</v>
      </c>
      <c r="O967" t="s">
        <v>1574</v>
      </c>
      <c r="P967" t="s">
        <v>3108</v>
      </c>
      <c r="Q967" t="s">
        <v>3249</v>
      </c>
      <c r="R967" t="s">
        <v>3249</v>
      </c>
      <c r="S967" t="s">
        <v>472</v>
      </c>
      <c r="T967" t="s">
        <v>3251</v>
      </c>
      <c r="U967">
        <v>150</v>
      </c>
      <c r="V967" t="s">
        <v>1328</v>
      </c>
      <c r="W967">
        <v>150</v>
      </c>
      <c r="X967" t="s">
        <v>1328</v>
      </c>
      <c r="Y967" t="s">
        <v>3250</v>
      </c>
      <c r="Z967" t="s">
        <v>3250</v>
      </c>
      <c r="AA967" t="s">
        <v>3108</v>
      </c>
      <c r="AB967" t="s">
        <v>3108</v>
      </c>
      <c r="AC967" t="s">
        <v>3250</v>
      </c>
      <c r="AD967" t="s">
        <v>3250</v>
      </c>
      <c r="AE967" t="s">
        <v>3250</v>
      </c>
      <c r="AF967" t="s">
        <v>3250</v>
      </c>
      <c r="AG967" t="s">
        <v>3250</v>
      </c>
      <c r="AH967" t="s">
        <v>3250</v>
      </c>
      <c r="AI967" t="s">
        <v>3250</v>
      </c>
      <c r="AJ967" t="s">
        <v>3250</v>
      </c>
      <c r="AL967" t="s">
        <v>3250</v>
      </c>
      <c r="AM967" t="s">
        <v>3250</v>
      </c>
      <c r="AN967" t="s">
        <v>3250</v>
      </c>
      <c r="AO967" t="s">
        <v>3250</v>
      </c>
      <c r="AS967" t="s">
        <v>3250</v>
      </c>
      <c r="AT967" t="s">
        <v>3250</v>
      </c>
      <c r="AU967" t="s">
        <v>3250</v>
      </c>
      <c r="AV967" t="s">
        <v>3250</v>
      </c>
      <c r="AW967" t="s">
        <v>3250</v>
      </c>
      <c r="AX967" t="s">
        <v>3250</v>
      </c>
      <c r="AY967" t="s">
        <v>3250</v>
      </c>
      <c r="AZ967" t="s">
        <v>3250</v>
      </c>
      <c r="BA967" t="s">
        <v>3250</v>
      </c>
      <c r="BB967" t="s">
        <v>3250</v>
      </c>
      <c r="BC967" t="s">
        <v>3250</v>
      </c>
      <c r="BE967" t="s">
        <v>3250</v>
      </c>
      <c r="BF967" t="s">
        <v>3250</v>
      </c>
      <c r="BG967" t="s">
        <v>3250</v>
      </c>
      <c r="BH967" t="s">
        <v>3250</v>
      </c>
      <c r="BI967" t="s">
        <v>3250</v>
      </c>
      <c r="BK967" t="s">
        <v>3250</v>
      </c>
      <c r="BL967" t="s">
        <v>3250</v>
      </c>
      <c r="BM967" t="s">
        <v>3250</v>
      </c>
      <c r="BN967" t="s">
        <v>3250</v>
      </c>
      <c r="BP967">
        <v>1</v>
      </c>
      <c r="BQ967">
        <v>11</v>
      </c>
      <c r="BR967" t="s">
        <v>1574</v>
      </c>
      <c r="BS967" t="s">
        <v>3252</v>
      </c>
      <c r="BV967">
        <v>22228811</v>
      </c>
      <c r="BW967">
        <v>14018608</v>
      </c>
      <c r="BX967">
        <v>6107950</v>
      </c>
      <c r="BY967">
        <v>0</v>
      </c>
      <c r="BZ967">
        <v>0</v>
      </c>
      <c r="CA967">
        <v>0</v>
      </c>
      <c r="CB967">
        <v>0</v>
      </c>
      <c r="CC967">
        <v>0</v>
      </c>
      <c r="CD967">
        <v>34301198</v>
      </c>
      <c r="CE967" t="s">
        <v>3108</v>
      </c>
      <c r="CF967" t="s">
        <v>3108</v>
      </c>
      <c r="CG967" t="s">
        <v>3108</v>
      </c>
      <c r="CH967" t="s">
        <v>3108</v>
      </c>
    </row>
    <row r="968" spans="1:86" x14ac:dyDescent="0.2">
      <c r="A968" t="s">
        <v>4720</v>
      </c>
      <c r="B968" t="s">
        <v>4720</v>
      </c>
      <c r="C968">
        <v>41439</v>
      </c>
      <c r="D968">
        <v>223</v>
      </c>
      <c r="E968" t="s">
        <v>3824</v>
      </c>
      <c r="F968" t="s">
        <v>3249</v>
      </c>
      <c r="G968" t="s">
        <v>3249</v>
      </c>
      <c r="H968" t="s">
        <v>3250</v>
      </c>
      <c r="I968" t="s">
        <v>3250</v>
      </c>
      <c r="J968" t="s">
        <v>3250</v>
      </c>
      <c r="K968" t="s">
        <v>3250</v>
      </c>
      <c r="L968">
        <v>1200</v>
      </c>
      <c r="M968" t="s">
        <v>2368</v>
      </c>
      <c r="N968">
        <v>1204</v>
      </c>
      <c r="O968" t="s">
        <v>1574</v>
      </c>
      <c r="P968" t="s">
        <v>3108</v>
      </c>
      <c r="Q968" t="s">
        <v>3249</v>
      </c>
      <c r="R968" t="s">
        <v>3249</v>
      </c>
      <c r="S968" t="s">
        <v>472</v>
      </c>
      <c r="T968" t="s">
        <v>3789</v>
      </c>
      <c r="U968">
        <v>360</v>
      </c>
      <c r="V968" t="s">
        <v>3790</v>
      </c>
      <c r="W968">
        <v>360</v>
      </c>
      <c r="X968" t="s">
        <v>601</v>
      </c>
      <c r="Y968" t="s">
        <v>3250</v>
      </c>
      <c r="Z968" t="s">
        <v>3250</v>
      </c>
      <c r="AA968" t="s">
        <v>3108</v>
      </c>
      <c r="AB968" t="s">
        <v>3108</v>
      </c>
      <c r="AC968" t="s">
        <v>3250</v>
      </c>
      <c r="AD968" t="s">
        <v>3250</v>
      </c>
      <c r="AE968" t="s">
        <v>3250</v>
      </c>
      <c r="AF968" t="s">
        <v>3250</v>
      </c>
      <c r="AG968" t="s">
        <v>3250</v>
      </c>
      <c r="AH968" t="s">
        <v>3250</v>
      </c>
      <c r="AI968" t="s">
        <v>3250</v>
      </c>
      <c r="AJ968" t="s">
        <v>3250</v>
      </c>
      <c r="AL968">
        <v>361</v>
      </c>
      <c r="AM968" t="s">
        <v>2523</v>
      </c>
      <c r="AN968">
        <v>361</v>
      </c>
      <c r="AO968" t="s">
        <v>2523</v>
      </c>
      <c r="AS968" t="s">
        <v>3250</v>
      </c>
      <c r="AT968" t="s">
        <v>3250</v>
      </c>
      <c r="AU968" t="s">
        <v>3250</v>
      </c>
      <c r="AV968" t="s">
        <v>3250</v>
      </c>
      <c r="AW968" t="s">
        <v>3250</v>
      </c>
      <c r="AX968" t="s">
        <v>3250</v>
      </c>
      <c r="AY968" t="s">
        <v>3250</v>
      </c>
      <c r="AZ968" t="s">
        <v>3250</v>
      </c>
      <c r="BA968" t="s">
        <v>3250</v>
      </c>
      <c r="BB968" t="s">
        <v>3250</v>
      </c>
      <c r="BC968" t="s">
        <v>3250</v>
      </c>
      <c r="BE968" t="s">
        <v>3250</v>
      </c>
      <c r="BF968" t="s">
        <v>3250</v>
      </c>
      <c r="BG968" t="s">
        <v>3250</v>
      </c>
      <c r="BH968" t="s">
        <v>3250</v>
      </c>
      <c r="BI968" t="s">
        <v>3250</v>
      </c>
      <c r="BK968" t="s">
        <v>3250</v>
      </c>
      <c r="BL968" t="s">
        <v>3250</v>
      </c>
      <c r="BM968" t="s">
        <v>3250</v>
      </c>
      <c r="BN968" t="s">
        <v>3250</v>
      </c>
      <c r="BP968">
        <v>1</v>
      </c>
      <c r="BQ968">
        <v>11</v>
      </c>
      <c r="BR968" t="s">
        <v>1574</v>
      </c>
      <c r="BS968" t="s">
        <v>3252</v>
      </c>
      <c r="BV968">
        <v>2576332</v>
      </c>
      <c r="BW968">
        <v>2353095</v>
      </c>
      <c r="BX968">
        <v>2115010</v>
      </c>
      <c r="BY968">
        <v>0</v>
      </c>
      <c r="BZ968">
        <v>0</v>
      </c>
      <c r="CA968">
        <v>0</v>
      </c>
      <c r="CB968">
        <v>0</v>
      </c>
      <c r="CC968">
        <v>0</v>
      </c>
      <c r="CD968">
        <v>2576332</v>
      </c>
      <c r="CE968" t="s">
        <v>3108</v>
      </c>
      <c r="CF968" t="s">
        <v>3108</v>
      </c>
      <c r="CG968" t="s">
        <v>3108</v>
      </c>
      <c r="CH968" t="s">
        <v>3108</v>
      </c>
    </row>
    <row r="969" spans="1:86" x14ac:dyDescent="0.2">
      <c r="A969" t="s">
        <v>4721</v>
      </c>
      <c r="B969" t="s">
        <v>4721</v>
      </c>
      <c r="C969">
        <v>41440</v>
      </c>
      <c r="D969">
        <v>302</v>
      </c>
      <c r="E969" t="s">
        <v>4722</v>
      </c>
      <c r="F969">
        <v>2000</v>
      </c>
      <c r="G969" t="s">
        <v>408</v>
      </c>
      <c r="H969" t="s">
        <v>4064</v>
      </c>
      <c r="I969" t="s">
        <v>1340</v>
      </c>
      <c r="J969">
        <v>2009</v>
      </c>
      <c r="K969" t="s">
        <v>1340</v>
      </c>
      <c r="L969">
        <v>1100</v>
      </c>
      <c r="M969" t="s">
        <v>119</v>
      </c>
      <c r="N969">
        <v>1120</v>
      </c>
      <c r="O969" t="s">
        <v>2367</v>
      </c>
      <c r="P969" t="s">
        <v>3108</v>
      </c>
      <c r="Q969" t="s">
        <v>3249</v>
      </c>
      <c r="R969" t="s">
        <v>3249</v>
      </c>
      <c r="S969" t="s">
        <v>810</v>
      </c>
      <c r="T969" t="s">
        <v>2754</v>
      </c>
      <c r="U969" t="s">
        <v>3250</v>
      </c>
      <c r="V969" t="s">
        <v>3250</v>
      </c>
      <c r="W969" t="s">
        <v>3250</v>
      </c>
      <c r="X969" t="s">
        <v>3250</v>
      </c>
      <c r="Y969" t="s">
        <v>3250</v>
      </c>
      <c r="Z969" t="s">
        <v>3250</v>
      </c>
      <c r="AA969" t="s">
        <v>3108</v>
      </c>
      <c r="AB969" t="s">
        <v>3108</v>
      </c>
      <c r="AC969" t="s">
        <v>3250</v>
      </c>
      <c r="AD969" t="s">
        <v>3250</v>
      </c>
      <c r="AE969" t="s">
        <v>3250</v>
      </c>
      <c r="AF969" t="s">
        <v>3250</v>
      </c>
      <c r="AG969" t="s">
        <v>3250</v>
      </c>
      <c r="AH969" t="s">
        <v>3250</v>
      </c>
      <c r="AI969" t="s">
        <v>3250</v>
      </c>
      <c r="AJ969" t="s">
        <v>3250</v>
      </c>
      <c r="AL969" t="s">
        <v>3250</v>
      </c>
      <c r="AM969" t="s">
        <v>3250</v>
      </c>
      <c r="AN969" t="s">
        <v>3250</v>
      </c>
      <c r="AO969" t="s">
        <v>3250</v>
      </c>
      <c r="AS969" t="s">
        <v>3250</v>
      </c>
      <c r="AT969" t="s">
        <v>3250</v>
      </c>
      <c r="AU969" t="s">
        <v>3250</v>
      </c>
      <c r="AV969" t="s">
        <v>3250</v>
      </c>
      <c r="AW969" t="s">
        <v>3250</v>
      </c>
      <c r="AX969" t="s">
        <v>3250</v>
      </c>
      <c r="AY969" t="s">
        <v>3250</v>
      </c>
      <c r="AZ969" t="s">
        <v>3250</v>
      </c>
      <c r="BA969" t="s">
        <v>3250</v>
      </c>
      <c r="BB969" t="s">
        <v>3250</v>
      </c>
      <c r="BC969" t="s">
        <v>3250</v>
      </c>
      <c r="BE969" t="s">
        <v>3250</v>
      </c>
      <c r="BF969" t="s">
        <v>3250</v>
      </c>
      <c r="BG969" t="s">
        <v>3250</v>
      </c>
      <c r="BH969" t="s">
        <v>3250</v>
      </c>
      <c r="BI969" t="s">
        <v>3250</v>
      </c>
      <c r="BK969" t="s">
        <v>3250</v>
      </c>
      <c r="BL969" t="s">
        <v>3250</v>
      </c>
      <c r="BM969" t="s">
        <v>3250</v>
      </c>
      <c r="BN969" t="s">
        <v>3250</v>
      </c>
      <c r="BO969" t="s">
        <v>2917</v>
      </c>
      <c r="BP969">
        <v>3</v>
      </c>
      <c r="BQ969">
        <v>31</v>
      </c>
      <c r="BR969" t="s">
        <v>2367</v>
      </c>
      <c r="BS969" t="s">
        <v>4381</v>
      </c>
      <c r="BV969">
        <v>37</v>
      </c>
      <c r="BW969">
        <v>9</v>
      </c>
      <c r="BX969">
        <v>41</v>
      </c>
      <c r="BY969">
        <v>71</v>
      </c>
      <c r="BZ969">
        <v>71</v>
      </c>
      <c r="CA969">
        <v>76</v>
      </c>
      <c r="CB969">
        <v>82</v>
      </c>
      <c r="CC969">
        <v>87</v>
      </c>
      <c r="CD969">
        <v>3908</v>
      </c>
      <c r="CE969" t="s">
        <v>3108</v>
      </c>
      <c r="CF969" t="s">
        <v>3108</v>
      </c>
      <c r="CG969" t="s">
        <v>3108</v>
      </c>
      <c r="CH969" t="s">
        <v>3108</v>
      </c>
    </row>
    <row r="970" spans="1:86" x14ac:dyDescent="0.2">
      <c r="A970" t="s">
        <v>4723</v>
      </c>
      <c r="B970" t="s">
        <v>4723</v>
      </c>
      <c r="C970">
        <v>41441</v>
      </c>
      <c r="D970">
        <v>303</v>
      </c>
      <c r="E970" t="s">
        <v>4724</v>
      </c>
      <c r="F970">
        <v>2000</v>
      </c>
      <c r="G970" t="s">
        <v>408</v>
      </c>
      <c r="H970" t="s">
        <v>4067</v>
      </c>
      <c r="I970" t="s">
        <v>650</v>
      </c>
      <c r="J970">
        <v>2003</v>
      </c>
      <c r="K970" t="s">
        <v>650</v>
      </c>
      <c r="L970">
        <v>1100</v>
      </c>
      <c r="M970" t="s">
        <v>119</v>
      </c>
      <c r="N970">
        <v>1120</v>
      </c>
      <c r="O970" t="s">
        <v>2367</v>
      </c>
      <c r="P970" t="s">
        <v>3108</v>
      </c>
      <c r="Q970" t="s">
        <v>3249</v>
      </c>
      <c r="R970" t="s">
        <v>3249</v>
      </c>
      <c r="S970" t="s">
        <v>810</v>
      </c>
      <c r="T970" t="s">
        <v>2754</v>
      </c>
      <c r="U970" t="s">
        <v>3250</v>
      </c>
      <c r="V970" t="s">
        <v>3250</v>
      </c>
      <c r="W970" t="s">
        <v>3250</v>
      </c>
      <c r="X970" t="s">
        <v>3250</v>
      </c>
      <c r="Y970" t="s">
        <v>3250</v>
      </c>
      <c r="Z970" t="s">
        <v>3250</v>
      </c>
      <c r="AA970" t="s">
        <v>3108</v>
      </c>
      <c r="AB970" t="s">
        <v>3108</v>
      </c>
      <c r="AC970" t="s">
        <v>3250</v>
      </c>
      <c r="AD970" t="s">
        <v>3250</v>
      </c>
      <c r="AE970" t="s">
        <v>3250</v>
      </c>
      <c r="AF970" t="s">
        <v>3250</v>
      </c>
      <c r="AG970" t="s">
        <v>3250</v>
      </c>
      <c r="AH970" t="s">
        <v>3250</v>
      </c>
      <c r="AI970" t="s">
        <v>3250</v>
      </c>
      <c r="AJ970" t="s">
        <v>3250</v>
      </c>
      <c r="AL970" t="s">
        <v>3250</v>
      </c>
      <c r="AM970" t="s">
        <v>3250</v>
      </c>
      <c r="AN970" t="s">
        <v>3250</v>
      </c>
      <c r="AO970" t="s">
        <v>3250</v>
      </c>
      <c r="AS970" t="s">
        <v>3250</v>
      </c>
      <c r="AT970" t="s">
        <v>3250</v>
      </c>
      <c r="AU970" t="s">
        <v>3250</v>
      </c>
      <c r="AV970" t="s">
        <v>3250</v>
      </c>
      <c r="AW970" t="s">
        <v>3250</v>
      </c>
      <c r="AX970" t="s">
        <v>3250</v>
      </c>
      <c r="AY970" t="s">
        <v>3250</v>
      </c>
      <c r="AZ970" t="s">
        <v>3250</v>
      </c>
      <c r="BA970" t="s">
        <v>3250</v>
      </c>
      <c r="BB970" t="s">
        <v>3250</v>
      </c>
      <c r="BC970" t="s">
        <v>3250</v>
      </c>
      <c r="BE970" t="s">
        <v>3250</v>
      </c>
      <c r="BF970" t="s">
        <v>3250</v>
      </c>
      <c r="BG970" t="s">
        <v>3250</v>
      </c>
      <c r="BH970" t="s">
        <v>3250</v>
      </c>
      <c r="BI970" t="s">
        <v>3250</v>
      </c>
      <c r="BK970" t="s">
        <v>3250</v>
      </c>
      <c r="BL970" t="s">
        <v>3250</v>
      </c>
      <c r="BM970" t="s">
        <v>3250</v>
      </c>
      <c r="BN970" t="s">
        <v>3250</v>
      </c>
      <c r="BO970" t="s">
        <v>2917</v>
      </c>
      <c r="BP970">
        <v>3</v>
      </c>
      <c r="BQ970">
        <v>31</v>
      </c>
      <c r="BR970" t="s">
        <v>2367</v>
      </c>
      <c r="BS970" t="s">
        <v>4381</v>
      </c>
      <c r="BV970">
        <v>0</v>
      </c>
      <c r="BW970">
        <v>0</v>
      </c>
      <c r="BX970">
        <v>0</v>
      </c>
      <c r="BY970">
        <v>0</v>
      </c>
      <c r="BZ970">
        <v>0</v>
      </c>
      <c r="CA970">
        <v>0</v>
      </c>
      <c r="CB970">
        <v>0</v>
      </c>
      <c r="CC970">
        <v>0</v>
      </c>
      <c r="CD970">
        <v>0</v>
      </c>
      <c r="CE970" t="s">
        <v>3108</v>
      </c>
      <c r="CF970" t="s">
        <v>3108</v>
      </c>
      <c r="CG970" t="s">
        <v>3108</v>
      </c>
      <c r="CH970" t="s">
        <v>3108</v>
      </c>
    </row>
    <row r="971" spans="1:86" x14ac:dyDescent="0.2">
      <c r="A971" t="s">
        <v>4725</v>
      </c>
      <c r="B971" t="s">
        <v>4725</v>
      </c>
      <c r="C971">
        <v>41442</v>
      </c>
      <c r="D971">
        <v>304</v>
      </c>
      <c r="E971" t="s">
        <v>4726</v>
      </c>
      <c r="F971">
        <v>2000</v>
      </c>
      <c r="G971" t="s">
        <v>408</v>
      </c>
      <c r="H971" t="s">
        <v>4070</v>
      </c>
      <c r="I971" t="s">
        <v>1792</v>
      </c>
      <c r="J971">
        <v>2002</v>
      </c>
      <c r="K971" t="s">
        <v>1792</v>
      </c>
      <c r="L971">
        <v>1100</v>
      </c>
      <c r="M971" t="s">
        <v>119</v>
      </c>
      <c r="N971">
        <v>1120</v>
      </c>
      <c r="O971" t="s">
        <v>2367</v>
      </c>
      <c r="P971" t="s">
        <v>3108</v>
      </c>
      <c r="Q971" t="s">
        <v>3249</v>
      </c>
      <c r="R971" t="s">
        <v>3249</v>
      </c>
      <c r="S971" t="s">
        <v>810</v>
      </c>
      <c r="T971" t="s">
        <v>2754</v>
      </c>
      <c r="U971" t="s">
        <v>3250</v>
      </c>
      <c r="V971" t="s">
        <v>3250</v>
      </c>
      <c r="W971" t="s">
        <v>3250</v>
      </c>
      <c r="X971" t="s">
        <v>3250</v>
      </c>
      <c r="Y971" t="s">
        <v>3250</v>
      </c>
      <c r="Z971" t="s">
        <v>3250</v>
      </c>
      <c r="AA971" t="s">
        <v>3108</v>
      </c>
      <c r="AB971" t="s">
        <v>3108</v>
      </c>
      <c r="AC971" t="s">
        <v>3250</v>
      </c>
      <c r="AD971" t="s">
        <v>3250</v>
      </c>
      <c r="AE971" t="s">
        <v>3250</v>
      </c>
      <c r="AF971" t="s">
        <v>3250</v>
      </c>
      <c r="AG971" t="s">
        <v>3250</v>
      </c>
      <c r="AH971" t="s">
        <v>3250</v>
      </c>
      <c r="AI971" t="s">
        <v>3250</v>
      </c>
      <c r="AJ971" t="s">
        <v>3250</v>
      </c>
      <c r="AL971" t="s">
        <v>3250</v>
      </c>
      <c r="AM971" t="s">
        <v>3250</v>
      </c>
      <c r="AN971" t="s">
        <v>3250</v>
      </c>
      <c r="AO971" t="s">
        <v>3250</v>
      </c>
      <c r="AS971" t="s">
        <v>3250</v>
      </c>
      <c r="AT971" t="s">
        <v>3250</v>
      </c>
      <c r="AU971" t="s">
        <v>3250</v>
      </c>
      <c r="AV971" t="s">
        <v>3250</v>
      </c>
      <c r="AW971" t="s">
        <v>3250</v>
      </c>
      <c r="AX971" t="s">
        <v>3250</v>
      </c>
      <c r="AY971" t="s">
        <v>3250</v>
      </c>
      <c r="AZ971" t="s">
        <v>3250</v>
      </c>
      <c r="BA971" t="s">
        <v>3250</v>
      </c>
      <c r="BB971" t="s">
        <v>3250</v>
      </c>
      <c r="BC971" t="s">
        <v>3250</v>
      </c>
      <c r="BE971" t="s">
        <v>3250</v>
      </c>
      <c r="BF971" t="s">
        <v>3250</v>
      </c>
      <c r="BG971" t="s">
        <v>3250</v>
      </c>
      <c r="BH971" t="s">
        <v>3250</v>
      </c>
      <c r="BI971" t="s">
        <v>3250</v>
      </c>
      <c r="BK971" t="s">
        <v>3250</v>
      </c>
      <c r="BL971" t="s">
        <v>3250</v>
      </c>
      <c r="BM971" t="s">
        <v>3250</v>
      </c>
      <c r="BN971" t="s">
        <v>3250</v>
      </c>
      <c r="BO971" t="s">
        <v>2917</v>
      </c>
      <c r="BP971">
        <v>3</v>
      </c>
      <c r="BQ971">
        <v>31</v>
      </c>
      <c r="BR971" t="s">
        <v>2367</v>
      </c>
      <c r="BS971" t="s">
        <v>4381</v>
      </c>
      <c r="BV971">
        <v>0</v>
      </c>
      <c r="BW971">
        <v>0</v>
      </c>
      <c r="BX971">
        <v>0</v>
      </c>
      <c r="BY971">
        <v>0</v>
      </c>
      <c r="BZ971">
        <v>0</v>
      </c>
      <c r="CA971">
        <v>0</v>
      </c>
      <c r="CB971">
        <v>0</v>
      </c>
      <c r="CC971">
        <v>0</v>
      </c>
      <c r="CD971">
        <v>0</v>
      </c>
      <c r="CE971" t="s">
        <v>3108</v>
      </c>
      <c r="CF971" t="s">
        <v>3108</v>
      </c>
      <c r="CG971" t="s">
        <v>3108</v>
      </c>
      <c r="CH971" t="s">
        <v>3108</v>
      </c>
    </row>
    <row r="972" spans="1:86" x14ac:dyDescent="0.2">
      <c r="A972" t="s">
        <v>4727</v>
      </c>
      <c r="B972" t="s">
        <v>4727</v>
      </c>
      <c r="C972">
        <v>41443</v>
      </c>
      <c r="D972">
        <v>305</v>
      </c>
      <c r="E972" t="s">
        <v>4728</v>
      </c>
      <c r="F972">
        <v>2000</v>
      </c>
      <c r="G972" t="s">
        <v>408</v>
      </c>
      <c r="H972" t="s">
        <v>4082</v>
      </c>
      <c r="I972" t="s">
        <v>652</v>
      </c>
      <c r="J972">
        <v>2005</v>
      </c>
      <c r="K972" t="s">
        <v>652</v>
      </c>
      <c r="L972">
        <v>1100</v>
      </c>
      <c r="M972" t="s">
        <v>119</v>
      </c>
      <c r="N972">
        <v>1120</v>
      </c>
      <c r="O972" t="s">
        <v>2367</v>
      </c>
      <c r="P972" t="s">
        <v>3108</v>
      </c>
      <c r="Q972" t="s">
        <v>3249</v>
      </c>
      <c r="R972" t="s">
        <v>3249</v>
      </c>
      <c r="S972" t="s">
        <v>810</v>
      </c>
      <c r="T972" t="s">
        <v>2754</v>
      </c>
      <c r="U972" t="s">
        <v>3250</v>
      </c>
      <c r="V972" t="s">
        <v>3250</v>
      </c>
      <c r="W972" t="s">
        <v>3250</v>
      </c>
      <c r="X972" t="s">
        <v>3250</v>
      </c>
      <c r="Y972" t="s">
        <v>3250</v>
      </c>
      <c r="Z972" t="s">
        <v>3250</v>
      </c>
      <c r="AA972" t="s">
        <v>3108</v>
      </c>
      <c r="AB972" t="s">
        <v>3108</v>
      </c>
      <c r="AC972" t="s">
        <v>3250</v>
      </c>
      <c r="AD972" t="s">
        <v>3250</v>
      </c>
      <c r="AE972" t="s">
        <v>3250</v>
      </c>
      <c r="AF972" t="s">
        <v>3250</v>
      </c>
      <c r="AG972" t="s">
        <v>3250</v>
      </c>
      <c r="AH972" t="s">
        <v>3250</v>
      </c>
      <c r="AI972" t="s">
        <v>3250</v>
      </c>
      <c r="AJ972" t="s">
        <v>3250</v>
      </c>
      <c r="AL972" t="s">
        <v>3250</v>
      </c>
      <c r="AM972" t="s">
        <v>3250</v>
      </c>
      <c r="AN972" t="s">
        <v>3250</v>
      </c>
      <c r="AO972" t="s">
        <v>3250</v>
      </c>
      <c r="AS972" t="s">
        <v>3250</v>
      </c>
      <c r="AT972" t="s">
        <v>3250</v>
      </c>
      <c r="AU972" t="s">
        <v>3250</v>
      </c>
      <c r="AV972" t="s">
        <v>3250</v>
      </c>
      <c r="AW972" t="s">
        <v>3250</v>
      </c>
      <c r="AX972" t="s">
        <v>3250</v>
      </c>
      <c r="AY972" t="s">
        <v>3250</v>
      </c>
      <c r="AZ972" t="s">
        <v>3250</v>
      </c>
      <c r="BA972" t="s">
        <v>3250</v>
      </c>
      <c r="BB972" t="s">
        <v>3250</v>
      </c>
      <c r="BC972" t="s">
        <v>3250</v>
      </c>
      <c r="BE972" t="s">
        <v>3250</v>
      </c>
      <c r="BF972" t="s">
        <v>3250</v>
      </c>
      <c r="BG972" t="s">
        <v>3250</v>
      </c>
      <c r="BH972" t="s">
        <v>3250</v>
      </c>
      <c r="BI972" t="s">
        <v>3250</v>
      </c>
      <c r="BK972" t="s">
        <v>3250</v>
      </c>
      <c r="BL972" t="s">
        <v>3250</v>
      </c>
      <c r="BM972" t="s">
        <v>3250</v>
      </c>
      <c r="BN972" t="s">
        <v>3250</v>
      </c>
      <c r="BO972" t="s">
        <v>2917</v>
      </c>
      <c r="BP972">
        <v>3</v>
      </c>
      <c r="BQ972">
        <v>31</v>
      </c>
      <c r="BR972" t="s">
        <v>2367</v>
      </c>
      <c r="BS972" t="s">
        <v>4381</v>
      </c>
      <c r="BV972">
        <v>53035</v>
      </c>
      <c r="BW972">
        <v>0</v>
      </c>
      <c r="BX972">
        <v>130215</v>
      </c>
      <c r="BY972">
        <v>122042</v>
      </c>
      <c r="BZ972">
        <v>122042</v>
      </c>
      <c r="CA972">
        <v>130585</v>
      </c>
      <c r="CB972">
        <v>139726</v>
      </c>
      <c r="CC972">
        <v>149507</v>
      </c>
      <c r="CD972">
        <v>0</v>
      </c>
      <c r="CE972" t="s">
        <v>3108</v>
      </c>
      <c r="CF972" t="s">
        <v>3108</v>
      </c>
      <c r="CG972" t="s">
        <v>3108</v>
      </c>
      <c r="CH972" t="s">
        <v>3108</v>
      </c>
    </row>
    <row r="973" spans="1:86" x14ac:dyDescent="0.2">
      <c r="A973" t="s">
        <v>4729</v>
      </c>
      <c r="B973" t="s">
        <v>4729</v>
      </c>
      <c r="C973">
        <v>41444</v>
      </c>
      <c r="D973">
        <v>306</v>
      </c>
      <c r="E973" t="s">
        <v>4730</v>
      </c>
      <c r="F973">
        <v>2000</v>
      </c>
      <c r="G973" t="s">
        <v>408</v>
      </c>
      <c r="H973" t="s">
        <v>4064</v>
      </c>
      <c r="I973" t="s">
        <v>1340</v>
      </c>
      <c r="J973">
        <v>2001</v>
      </c>
      <c r="K973" t="s">
        <v>1135</v>
      </c>
      <c r="L973">
        <v>1100</v>
      </c>
      <c r="M973" t="s">
        <v>119</v>
      </c>
      <c r="N973">
        <v>1120</v>
      </c>
      <c r="O973" t="s">
        <v>2367</v>
      </c>
      <c r="P973" t="s">
        <v>3108</v>
      </c>
      <c r="Q973" t="s">
        <v>3249</v>
      </c>
      <c r="R973" t="s">
        <v>3249</v>
      </c>
      <c r="S973" t="s">
        <v>810</v>
      </c>
      <c r="T973" t="s">
        <v>2754</v>
      </c>
      <c r="U973" t="s">
        <v>3250</v>
      </c>
      <c r="V973" t="s">
        <v>3250</v>
      </c>
      <c r="W973" t="s">
        <v>3250</v>
      </c>
      <c r="X973" t="s">
        <v>3250</v>
      </c>
      <c r="Y973" t="s">
        <v>3250</v>
      </c>
      <c r="Z973" t="s">
        <v>3250</v>
      </c>
      <c r="AA973" t="s">
        <v>3108</v>
      </c>
      <c r="AB973" t="s">
        <v>3108</v>
      </c>
      <c r="AC973" t="s">
        <v>3250</v>
      </c>
      <c r="AD973" t="s">
        <v>3250</v>
      </c>
      <c r="AE973" t="s">
        <v>3250</v>
      </c>
      <c r="AF973" t="s">
        <v>3250</v>
      </c>
      <c r="AG973" t="s">
        <v>3250</v>
      </c>
      <c r="AH973" t="s">
        <v>3250</v>
      </c>
      <c r="AI973" t="s">
        <v>3250</v>
      </c>
      <c r="AJ973" t="s">
        <v>3250</v>
      </c>
      <c r="AL973" t="s">
        <v>3250</v>
      </c>
      <c r="AM973" t="s">
        <v>3250</v>
      </c>
      <c r="AN973" t="s">
        <v>3250</v>
      </c>
      <c r="AO973" t="s">
        <v>3250</v>
      </c>
      <c r="AS973" t="s">
        <v>3250</v>
      </c>
      <c r="AT973" t="s">
        <v>3250</v>
      </c>
      <c r="AU973" t="s">
        <v>3250</v>
      </c>
      <c r="AV973" t="s">
        <v>3250</v>
      </c>
      <c r="AW973" t="s">
        <v>3250</v>
      </c>
      <c r="AX973" t="s">
        <v>3250</v>
      </c>
      <c r="AY973" t="s">
        <v>3250</v>
      </c>
      <c r="AZ973" t="s">
        <v>3250</v>
      </c>
      <c r="BA973" t="s">
        <v>3250</v>
      </c>
      <c r="BB973" t="s">
        <v>3250</v>
      </c>
      <c r="BC973" t="s">
        <v>3250</v>
      </c>
      <c r="BE973" t="s">
        <v>3250</v>
      </c>
      <c r="BF973" t="s">
        <v>3250</v>
      </c>
      <c r="BG973" t="s">
        <v>3250</v>
      </c>
      <c r="BH973" t="s">
        <v>3250</v>
      </c>
      <c r="BI973" t="s">
        <v>3250</v>
      </c>
      <c r="BK973" t="s">
        <v>3250</v>
      </c>
      <c r="BL973" t="s">
        <v>3250</v>
      </c>
      <c r="BM973" t="s">
        <v>3250</v>
      </c>
      <c r="BN973" t="s">
        <v>3250</v>
      </c>
      <c r="BO973" t="s">
        <v>2917</v>
      </c>
      <c r="BP973">
        <v>3</v>
      </c>
      <c r="BQ973">
        <v>31</v>
      </c>
      <c r="BR973" t="s">
        <v>2367</v>
      </c>
      <c r="BS973" t="s">
        <v>4381</v>
      </c>
      <c r="BV973">
        <v>0</v>
      </c>
      <c r="BW973">
        <v>0</v>
      </c>
      <c r="BX973">
        <v>0</v>
      </c>
      <c r="BY973">
        <v>0</v>
      </c>
      <c r="BZ973">
        <v>0</v>
      </c>
      <c r="CA973">
        <v>0</v>
      </c>
      <c r="CB973">
        <v>0</v>
      </c>
      <c r="CC973">
        <v>0</v>
      </c>
      <c r="CD973">
        <v>0</v>
      </c>
      <c r="CE973" t="s">
        <v>3108</v>
      </c>
      <c r="CF973" t="s">
        <v>3108</v>
      </c>
      <c r="CG973" t="s">
        <v>3108</v>
      </c>
      <c r="CH973" t="s">
        <v>3108</v>
      </c>
    </row>
    <row r="974" spans="1:86" x14ac:dyDescent="0.2">
      <c r="A974" t="s">
        <v>4731</v>
      </c>
      <c r="B974" t="s">
        <v>4731</v>
      </c>
      <c r="C974">
        <v>41445</v>
      </c>
      <c r="D974">
        <v>307</v>
      </c>
      <c r="E974" t="s">
        <v>4732</v>
      </c>
      <c r="F974">
        <v>2000</v>
      </c>
      <c r="G974" t="s">
        <v>408</v>
      </c>
      <c r="H974" t="s">
        <v>4085</v>
      </c>
      <c r="I974" t="s">
        <v>1453</v>
      </c>
      <c r="J974">
        <v>2010</v>
      </c>
      <c r="K974" t="s">
        <v>1453</v>
      </c>
      <c r="L974">
        <v>1100</v>
      </c>
      <c r="M974" t="s">
        <v>119</v>
      </c>
      <c r="N974">
        <v>1120</v>
      </c>
      <c r="O974" t="s">
        <v>2367</v>
      </c>
      <c r="P974" t="s">
        <v>3108</v>
      </c>
      <c r="Q974" t="s">
        <v>3249</v>
      </c>
      <c r="R974" t="s">
        <v>3249</v>
      </c>
      <c r="S974" t="s">
        <v>810</v>
      </c>
      <c r="T974" t="s">
        <v>2754</v>
      </c>
      <c r="U974" t="s">
        <v>3250</v>
      </c>
      <c r="V974" t="s">
        <v>3250</v>
      </c>
      <c r="W974" t="s">
        <v>3250</v>
      </c>
      <c r="X974" t="s">
        <v>3250</v>
      </c>
      <c r="Y974" t="s">
        <v>3250</v>
      </c>
      <c r="Z974" t="s">
        <v>3250</v>
      </c>
      <c r="AA974" t="s">
        <v>3108</v>
      </c>
      <c r="AB974" t="s">
        <v>3108</v>
      </c>
      <c r="AC974" t="s">
        <v>3250</v>
      </c>
      <c r="AD974" t="s">
        <v>3250</v>
      </c>
      <c r="AE974" t="s">
        <v>3250</v>
      </c>
      <c r="AF974" t="s">
        <v>3250</v>
      </c>
      <c r="AG974" t="s">
        <v>3250</v>
      </c>
      <c r="AH974" t="s">
        <v>3250</v>
      </c>
      <c r="AI974" t="s">
        <v>3250</v>
      </c>
      <c r="AJ974" t="s">
        <v>3250</v>
      </c>
      <c r="AL974" t="s">
        <v>3250</v>
      </c>
      <c r="AM974" t="s">
        <v>3250</v>
      </c>
      <c r="AN974" t="s">
        <v>3250</v>
      </c>
      <c r="AO974" t="s">
        <v>3250</v>
      </c>
      <c r="AS974" t="s">
        <v>3250</v>
      </c>
      <c r="AT974" t="s">
        <v>3250</v>
      </c>
      <c r="AU974" t="s">
        <v>3250</v>
      </c>
      <c r="AV974" t="s">
        <v>3250</v>
      </c>
      <c r="AW974" t="s">
        <v>3250</v>
      </c>
      <c r="AX974" t="s">
        <v>3250</v>
      </c>
      <c r="AY974" t="s">
        <v>3250</v>
      </c>
      <c r="AZ974" t="s">
        <v>3250</v>
      </c>
      <c r="BA974" t="s">
        <v>3250</v>
      </c>
      <c r="BB974" t="s">
        <v>3250</v>
      </c>
      <c r="BC974" t="s">
        <v>3250</v>
      </c>
      <c r="BE974" t="s">
        <v>3250</v>
      </c>
      <c r="BF974" t="s">
        <v>3250</v>
      </c>
      <c r="BG974" t="s">
        <v>3250</v>
      </c>
      <c r="BH974" t="s">
        <v>3250</v>
      </c>
      <c r="BI974" t="s">
        <v>3250</v>
      </c>
      <c r="BK974" t="s">
        <v>3250</v>
      </c>
      <c r="BL974" t="s">
        <v>3250</v>
      </c>
      <c r="BM974" t="s">
        <v>3250</v>
      </c>
      <c r="BN974" t="s">
        <v>3250</v>
      </c>
      <c r="BO974" t="s">
        <v>2917</v>
      </c>
      <c r="BP974">
        <v>3</v>
      </c>
      <c r="BQ974">
        <v>31</v>
      </c>
      <c r="BR974" t="s">
        <v>2367</v>
      </c>
      <c r="BS974" t="s">
        <v>4381</v>
      </c>
      <c r="BV974">
        <v>0</v>
      </c>
      <c r="BW974">
        <v>88793</v>
      </c>
      <c r="BX974">
        <v>157474</v>
      </c>
      <c r="BY974">
        <v>61842</v>
      </c>
      <c r="BZ974">
        <v>61842</v>
      </c>
      <c r="CA974">
        <v>66171</v>
      </c>
      <c r="CB974">
        <v>70803</v>
      </c>
      <c r="CC974">
        <v>75760</v>
      </c>
      <c r="CD974">
        <v>26554</v>
      </c>
      <c r="CE974" t="s">
        <v>3108</v>
      </c>
      <c r="CF974" t="s">
        <v>3108</v>
      </c>
      <c r="CG974" t="s">
        <v>3108</v>
      </c>
      <c r="CH974" t="s">
        <v>3108</v>
      </c>
    </row>
    <row r="975" spans="1:86" x14ac:dyDescent="0.2">
      <c r="A975" t="s">
        <v>4733</v>
      </c>
      <c r="B975" t="s">
        <v>4733</v>
      </c>
      <c r="C975">
        <v>41446</v>
      </c>
      <c r="D975">
        <v>308</v>
      </c>
      <c r="E975" t="s">
        <v>4734</v>
      </c>
      <c r="F975">
        <v>2000</v>
      </c>
      <c r="G975" t="s">
        <v>408</v>
      </c>
      <c r="H975" t="s">
        <v>4203</v>
      </c>
      <c r="I975" t="s">
        <v>1793</v>
      </c>
      <c r="J975">
        <v>2007</v>
      </c>
      <c r="K975" t="s">
        <v>1793</v>
      </c>
      <c r="L975">
        <v>1100</v>
      </c>
      <c r="M975" t="s">
        <v>119</v>
      </c>
      <c r="N975">
        <v>1120</v>
      </c>
      <c r="O975" t="s">
        <v>2367</v>
      </c>
      <c r="P975" t="s">
        <v>3108</v>
      </c>
      <c r="Q975" t="s">
        <v>3249</v>
      </c>
      <c r="R975" t="s">
        <v>3249</v>
      </c>
      <c r="S975" t="s">
        <v>810</v>
      </c>
      <c r="T975" t="s">
        <v>2754</v>
      </c>
      <c r="U975" t="s">
        <v>3250</v>
      </c>
      <c r="V975" t="s">
        <v>3250</v>
      </c>
      <c r="W975" t="s">
        <v>3250</v>
      </c>
      <c r="X975" t="s">
        <v>3250</v>
      </c>
      <c r="Y975" t="s">
        <v>3250</v>
      </c>
      <c r="Z975" t="s">
        <v>3250</v>
      </c>
      <c r="AA975" t="s">
        <v>3108</v>
      </c>
      <c r="AB975" t="s">
        <v>3108</v>
      </c>
      <c r="AC975" t="s">
        <v>3250</v>
      </c>
      <c r="AD975" t="s">
        <v>3250</v>
      </c>
      <c r="AE975" t="s">
        <v>3250</v>
      </c>
      <c r="AF975" t="s">
        <v>3250</v>
      </c>
      <c r="AG975" t="s">
        <v>3250</v>
      </c>
      <c r="AH975" t="s">
        <v>3250</v>
      </c>
      <c r="AI975" t="s">
        <v>3250</v>
      </c>
      <c r="AJ975" t="s">
        <v>3250</v>
      </c>
      <c r="AL975" t="s">
        <v>3250</v>
      </c>
      <c r="AM975" t="s">
        <v>3250</v>
      </c>
      <c r="AN975" t="s">
        <v>3250</v>
      </c>
      <c r="AO975" t="s">
        <v>3250</v>
      </c>
      <c r="AS975" t="s">
        <v>3250</v>
      </c>
      <c r="AT975" t="s">
        <v>3250</v>
      </c>
      <c r="AU975" t="s">
        <v>3250</v>
      </c>
      <c r="AV975" t="s">
        <v>3250</v>
      </c>
      <c r="AW975" t="s">
        <v>3250</v>
      </c>
      <c r="AX975" t="s">
        <v>3250</v>
      </c>
      <c r="AY975" t="s">
        <v>3250</v>
      </c>
      <c r="AZ975" t="s">
        <v>3250</v>
      </c>
      <c r="BA975" t="s">
        <v>3250</v>
      </c>
      <c r="BB975" t="s">
        <v>3250</v>
      </c>
      <c r="BC975" t="s">
        <v>3250</v>
      </c>
      <c r="BE975" t="s">
        <v>3250</v>
      </c>
      <c r="BF975" t="s">
        <v>3250</v>
      </c>
      <c r="BG975" t="s">
        <v>3250</v>
      </c>
      <c r="BH975" t="s">
        <v>3250</v>
      </c>
      <c r="BI975" t="s">
        <v>3250</v>
      </c>
      <c r="BK975" t="s">
        <v>3250</v>
      </c>
      <c r="BL975" t="s">
        <v>3250</v>
      </c>
      <c r="BM975" t="s">
        <v>3250</v>
      </c>
      <c r="BN975" t="s">
        <v>3250</v>
      </c>
      <c r="BO975" t="s">
        <v>2917</v>
      </c>
      <c r="BP975">
        <v>3</v>
      </c>
      <c r="BQ975">
        <v>31</v>
      </c>
      <c r="BR975" t="s">
        <v>2367</v>
      </c>
      <c r="BS975" t="s">
        <v>4381</v>
      </c>
      <c r="BV975">
        <v>6800</v>
      </c>
      <c r="BW975">
        <v>12000</v>
      </c>
      <c r="BX975">
        <v>15000</v>
      </c>
      <c r="BY975">
        <v>27000</v>
      </c>
      <c r="BZ975">
        <v>27000</v>
      </c>
      <c r="CA975">
        <v>28890</v>
      </c>
      <c r="CB975">
        <v>30912</v>
      </c>
      <c r="CC975">
        <v>33076</v>
      </c>
      <c r="CD975">
        <v>377186</v>
      </c>
      <c r="CE975" t="s">
        <v>3108</v>
      </c>
      <c r="CF975" t="s">
        <v>3108</v>
      </c>
      <c r="CG975" t="s">
        <v>3108</v>
      </c>
      <c r="CH975" t="s">
        <v>3108</v>
      </c>
    </row>
    <row r="976" spans="1:86" x14ac:dyDescent="0.2">
      <c r="A976" t="s">
        <v>4735</v>
      </c>
      <c r="B976" t="s">
        <v>4735</v>
      </c>
      <c r="C976">
        <v>41447</v>
      </c>
      <c r="D976">
        <v>309</v>
      </c>
      <c r="E976" t="s">
        <v>4736</v>
      </c>
      <c r="F976">
        <v>2000</v>
      </c>
      <c r="G976" t="s">
        <v>408</v>
      </c>
      <c r="H976" t="s">
        <v>4088</v>
      </c>
      <c r="I976" t="s">
        <v>1941</v>
      </c>
      <c r="J976">
        <v>2008</v>
      </c>
      <c r="K976" t="s">
        <v>1941</v>
      </c>
      <c r="L976">
        <v>1100</v>
      </c>
      <c r="M976" t="s">
        <v>119</v>
      </c>
      <c r="N976">
        <v>1120</v>
      </c>
      <c r="O976" t="s">
        <v>2367</v>
      </c>
      <c r="P976" t="s">
        <v>3108</v>
      </c>
      <c r="Q976" t="s">
        <v>3249</v>
      </c>
      <c r="R976" t="s">
        <v>3249</v>
      </c>
      <c r="S976" t="s">
        <v>810</v>
      </c>
      <c r="T976" t="s">
        <v>2754</v>
      </c>
      <c r="U976" t="s">
        <v>3250</v>
      </c>
      <c r="V976" t="s">
        <v>3250</v>
      </c>
      <c r="W976" t="s">
        <v>3250</v>
      </c>
      <c r="X976" t="s">
        <v>3250</v>
      </c>
      <c r="Y976" t="s">
        <v>3250</v>
      </c>
      <c r="Z976" t="s">
        <v>3250</v>
      </c>
      <c r="AA976" t="s">
        <v>3108</v>
      </c>
      <c r="AB976" t="s">
        <v>3108</v>
      </c>
      <c r="AC976" t="s">
        <v>3250</v>
      </c>
      <c r="AD976" t="s">
        <v>3250</v>
      </c>
      <c r="AE976" t="s">
        <v>3250</v>
      </c>
      <c r="AF976" t="s">
        <v>3250</v>
      </c>
      <c r="AG976" t="s">
        <v>3250</v>
      </c>
      <c r="AH976" t="s">
        <v>3250</v>
      </c>
      <c r="AI976" t="s">
        <v>3250</v>
      </c>
      <c r="AJ976" t="s">
        <v>3250</v>
      </c>
      <c r="AL976" t="s">
        <v>3250</v>
      </c>
      <c r="AM976" t="s">
        <v>3250</v>
      </c>
      <c r="AN976" t="s">
        <v>3250</v>
      </c>
      <c r="AO976" t="s">
        <v>3250</v>
      </c>
      <c r="AS976" t="s">
        <v>3250</v>
      </c>
      <c r="AT976" t="s">
        <v>3250</v>
      </c>
      <c r="AU976" t="s">
        <v>3250</v>
      </c>
      <c r="AV976" t="s">
        <v>3250</v>
      </c>
      <c r="AW976" t="s">
        <v>3250</v>
      </c>
      <c r="AX976" t="s">
        <v>3250</v>
      </c>
      <c r="AY976" t="s">
        <v>3250</v>
      </c>
      <c r="AZ976" t="s">
        <v>3250</v>
      </c>
      <c r="BA976" t="s">
        <v>3250</v>
      </c>
      <c r="BB976" t="s">
        <v>3250</v>
      </c>
      <c r="BC976" t="s">
        <v>3250</v>
      </c>
      <c r="BE976" t="s">
        <v>3250</v>
      </c>
      <c r="BF976" t="s">
        <v>3250</v>
      </c>
      <c r="BG976" t="s">
        <v>3250</v>
      </c>
      <c r="BH976" t="s">
        <v>3250</v>
      </c>
      <c r="BI976" t="s">
        <v>3250</v>
      </c>
      <c r="BK976" t="s">
        <v>3250</v>
      </c>
      <c r="BL976" t="s">
        <v>3250</v>
      </c>
      <c r="BM976" t="s">
        <v>3250</v>
      </c>
      <c r="BN976" t="s">
        <v>3250</v>
      </c>
      <c r="BO976" t="s">
        <v>2917</v>
      </c>
      <c r="BP976">
        <v>3</v>
      </c>
      <c r="BQ976">
        <v>31</v>
      </c>
      <c r="BR976" t="s">
        <v>2367</v>
      </c>
      <c r="BS976" t="s">
        <v>4381</v>
      </c>
      <c r="BV976">
        <v>28000</v>
      </c>
      <c r="BW976">
        <v>0</v>
      </c>
      <c r="BX976">
        <v>0</v>
      </c>
      <c r="BY976">
        <v>0</v>
      </c>
      <c r="BZ976">
        <v>0</v>
      </c>
      <c r="CA976">
        <v>0</v>
      </c>
      <c r="CB976">
        <v>0</v>
      </c>
      <c r="CC976">
        <v>0</v>
      </c>
      <c r="CD976">
        <v>0</v>
      </c>
      <c r="CE976" t="s">
        <v>3108</v>
      </c>
      <c r="CF976" t="s">
        <v>3108</v>
      </c>
      <c r="CG976" t="s">
        <v>3108</v>
      </c>
      <c r="CH976" t="s">
        <v>3108</v>
      </c>
    </row>
    <row r="977" spans="1:86" x14ac:dyDescent="0.2">
      <c r="A977" t="s">
        <v>4737</v>
      </c>
      <c r="B977" t="s">
        <v>4737</v>
      </c>
      <c r="C977">
        <v>41448</v>
      </c>
      <c r="D977">
        <v>310</v>
      </c>
      <c r="E977" t="s">
        <v>4738</v>
      </c>
      <c r="F977">
        <v>2000</v>
      </c>
      <c r="G977" t="s">
        <v>408</v>
      </c>
      <c r="H977" t="s">
        <v>4094</v>
      </c>
      <c r="I977" t="s">
        <v>1135</v>
      </c>
      <c r="J977">
        <v>2001</v>
      </c>
      <c r="K977" t="s">
        <v>1135</v>
      </c>
      <c r="L977">
        <v>1100</v>
      </c>
      <c r="M977" t="s">
        <v>119</v>
      </c>
      <c r="N977">
        <v>1120</v>
      </c>
      <c r="O977" t="s">
        <v>2367</v>
      </c>
      <c r="P977" t="s">
        <v>3108</v>
      </c>
      <c r="Q977" t="s">
        <v>3249</v>
      </c>
      <c r="R977" t="s">
        <v>3249</v>
      </c>
      <c r="S977" t="s">
        <v>810</v>
      </c>
      <c r="T977" t="s">
        <v>2754</v>
      </c>
      <c r="U977" t="s">
        <v>3250</v>
      </c>
      <c r="V977" t="s">
        <v>3250</v>
      </c>
      <c r="W977" t="s">
        <v>3250</v>
      </c>
      <c r="X977" t="s">
        <v>3250</v>
      </c>
      <c r="Y977" t="s">
        <v>3250</v>
      </c>
      <c r="Z977" t="s">
        <v>3250</v>
      </c>
      <c r="AA977" t="s">
        <v>3108</v>
      </c>
      <c r="AB977" t="s">
        <v>3108</v>
      </c>
      <c r="AC977" t="s">
        <v>3250</v>
      </c>
      <c r="AD977" t="s">
        <v>3250</v>
      </c>
      <c r="AE977" t="s">
        <v>3250</v>
      </c>
      <c r="AF977" t="s">
        <v>3250</v>
      </c>
      <c r="AG977" t="s">
        <v>3250</v>
      </c>
      <c r="AH977" t="s">
        <v>3250</v>
      </c>
      <c r="AI977" t="s">
        <v>3250</v>
      </c>
      <c r="AJ977" t="s">
        <v>3250</v>
      </c>
      <c r="AL977" t="s">
        <v>3250</v>
      </c>
      <c r="AM977" t="s">
        <v>3250</v>
      </c>
      <c r="AN977" t="s">
        <v>3250</v>
      </c>
      <c r="AO977" t="s">
        <v>3250</v>
      </c>
      <c r="AS977" t="s">
        <v>3250</v>
      </c>
      <c r="AT977" t="s">
        <v>3250</v>
      </c>
      <c r="AU977" t="s">
        <v>3250</v>
      </c>
      <c r="AV977" t="s">
        <v>3250</v>
      </c>
      <c r="AW977" t="s">
        <v>3250</v>
      </c>
      <c r="AX977" t="s">
        <v>3250</v>
      </c>
      <c r="AY977" t="s">
        <v>3250</v>
      </c>
      <c r="AZ977" t="s">
        <v>3250</v>
      </c>
      <c r="BA977" t="s">
        <v>3250</v>
      </c>
      <c r="BB977" t="s">
        <v>3250</v>
      </c>
      <c r="BC977" t="s">
        <v>3250</v>
      </c>
      <c r="BE977" t="s">
        <v>3250</v>
      </c>
      <c r="BF977" t="s">
        <v>3250</v>
      </c>
      <c r="BG977" t="s">
        <v>3250</v>
      </c>
      <c r="BH977" t="s">
        <v>3250</v>
      </c>
      <c r="BI977" t="s">
        <v>3250</v>
      </c>
      <c r="BK977" t="s">
        <v>3250</v>
      </c>
      <c r="BL977" t="s">
        <v>3250</v>
      </c>
      <c r="BM977" t="s">
        <v>3250</v>
      </c>
      <c r="BN977" t="s">
        <v>3250</v>
      </c>
      <c r="BO977" t="s">
        <v>2917</v>
      </c>
      <c r="BP977">
        <v>3</v>
      </c>
      <c r="BQ977">
        <v>31</v>
      </c>
      <c r="BR977" t="s">
        <v>2367</v>
      </c>
      <c r="BS977" t="s">
        <v>4381</v>
      </c>
      <c r="BV977">
        <v>275067</v>
      </c>
      <c r="BW977">
        <v>622440</v>
      </c>
      <c r="BX977">
        <v>845162</v>
      </c>
      <c r="BY977">
        <v>1030708</v>
      </c>
      <c r="BZ977">
        <v>1030708</v>
      </c>
      <c r="CA977">
        <v>1102857</v>
      </c>
      <c r="CB977">
        <v>1180057</v>
      </c>
      <c r="CC977">
        <v>1262661</v>
      </c>
      <c r="CD977">
        <v>480352</v>
      </c>
      <c r="CE977" t="s">
        <v>3108</v>
      </c>
      <c r="CF977" t="s">
        <v>3108</v>
      </c>
      <c r="CG977" t="s">
        <v>3108</v>
      </c>
      <c r="CH977" t="s">
        <v>3108</v>
      </c>
    </row>
    <row r="978" spans="1:86" x14ac:dyDescent="0.2">
      <c r="A978" t="s">
        <v>4739</v>
      </c>
      <c r="B978" t="s">
        <v>4739</v>
      </c>
      <c r="C978">
        <v>41449</v>
      </c>
      <c r="D978">
        <v>339</v>
      </c>
      <c r="E978" t="s">
        <v>4740</v>
      </c>
      <c r="F978">
        <v>2000</v>
      </c>
      <c r="G978" t="s">
        <v>408</v>
      </c>
      <c r="H978" t="s">
        <v>4064</v>
      </c>
      <c r="I978" t="s">
        <v>1340</v>
      </c>
      <c r="J978">
        <v>2001</v>
      </c>
      <c r="K978" t="s">
        <v>1135</v>
      </c>
      <c r="L978">
        <v>1200</v>
      </c>
      <c r="M978" t="s">
        <v>2368</v>
      </c>
      <c r="N978">
        <v>1204</v>
      </c>
      <c r="O978" t="s">
        <v>1574</v>
      </c>
      <c r="P978" t="s">
        <v>3108</v>
      </c>
      <c r="Q978" t="s">
        <v>3249</v>
      </c>
      <c r="R978" t="s">
        <v>3249</v>
      </c>
      <c r="S978" t="s">
        <v>810</v>
      </c>
      <c r="T978" t="s">
        <v>2754</v>
      </c>
      <c r="U978" t="s">
        <v>3250</v>
      </c>
      <c r="V978" t="s">
        <v>3250</v>
      </c>
      <c r="W978" t="s">
        <v>3250</v>
      </c>
      <c r="X978" t="s">
        <v>3250</v>
      </c>
      <c r="Y978" t="s">
        <v>3250</v>
      </c>
      <c r="Z978" t="s">
        <v>3250</v>
      </c>
      <c r="AA978" t="s">
        <v>3108</v>
      </c>
      <c r="AB978" t="s">
        <v>3108</v>
      </c>
      <c r="AC978" t="s">
        <v>3250</v>
      </c>
      <c r="AD978" t="s">
        <v>3250</v>
      </c>
      <c r="AE978" t="s">
        <v>3250</v>
      </c>
      <c r="AF978" t="s">
        <v>3250</v>
      </c>
      <c r="AG978" t="s">
        <v>3250</v>
      </c>
      <c r="AH978" t="s">
        <v>3250</v>
      </c>
      <c r="AI978" t="s">
        <v>3250</v>
      </c>
      <c r="AJ978" t="s">
        <v>3250</v>
      </c>
      <c r="AL978" t="s">
        <v>3250</v>
      </c>
      <c r="AM978" t="s">
        <v>3250</v>
      </c>
      <c r="AN978" t="s">
        <v>3250</v>
      </c>
      <c r="AO978" t="s">
        <v>3250</v>
      </c>
      <c r="AS978" t="s">
        <v>3250</v>
      </c>
      <c r="AT978" t="s">
        <v>3250</v>
      </c>
      <c r="AU978" t="s">
        <v>3250</v>
      </c>
      <c r="AV978" t="s">
        <v>3250</v>
      </c>
      <c r="AW978" t="s">
        <v>3250</v>
      </c>
      <c r="AX978" t="s">
        <v>3250</v>
      </c>
      <c r="AY978" t="s">
        <v>3250</v>
      </c>
      <c r="AZ978" t="s">
        <v>3250</v>
      </c>
      <c r="BA978" t="s">
        <v>3250</v>
      </c>
      <c r="BB978" t="s">
        <v>3250</v>
      </c>
      <c r="BC978" t="s">
        <v>3250</v>
      </c>
      <c r="BE978" t="s">
        <v>3250</v>
      </c>
      <c r="BF978" t="s">
        <v>3250</v>
      </c>
      <c r="BG978" t="s">
        <v>3250</v>
      </c>
      <c r="BH978" t="s">
        <v>3250</v>
      </c>
      <c r="BI978" t="s">
        <v>3250</v>
      </c>
      <c r="BK978" t="s">
        <v>3250</v>
      </c>
      <c r="BL978" t="s">
        <v>3250</v>
      </c>
      <c r="BM978" t="s">
        <v>3250</v>
      </c>
      <c r="BN978" t="s">
        <v>3250</v>
      </c>
      <c r="BO978" t="s">
        <v>2917</v>
      </c>
      <c r="BP978">
        <v>1</v>
      </c>
      <c r="BQ978">
        <v>11</v>
      </c>
      <c r="BR978" t="s">
        <v>1574</v>
      </c>
      <c r="BS978" t="s">
        <v>3252</v>
      </c>
      <c r="BV978">
        <v>146687</v>
      </c>
      <c r="BW978">
        <v>0</v>
      </c>
      <c r="BX978">
        <v>0</v>
      </c>
      <c r="BY978">
        <v>0</v>
      </c>
      <c r="BZ978">
        <v>0</v>
      </c>
      <c r="CA978">
        <v>0</v>
      </c>
      <c r="CB978">
        <v>0</v>
      </c>
      <c r="CC978">
        <v>0</v>
      </c>
      <c r="CD978">
        <v>0</v>
      </c>
      <c r="CE978" t="s">
        <v>3108</v>
      </c>
      <c r="CF978" t="s">
        <v>3108</v>
      </c>
      <c r="CG978" t="s">
        <v>3108</v>
      </c>
      <c r="CH978" t="s">
        <v>3108</v>
      </c>
    </row>
    <row r="979" spans="1:86" x14ac:dyDescent="0.2">
      <c r="A979" t="s">
        <v>4741</v>
      </c>
      <c r="B979" t="s">
        <v>4741</v>
      </c>
      <c r="C979">
        <v>41450</v>
      </c>
      <c r="D979">
        <v>340</v>
      </c>
      <c r="E979" t="s">
        <v>4742</v>
      </c>
      <c r="F979">
        <v>2000</v>
      </c>
      <c r="G979" t="s">
        <v>408</v>
      </c>
      <c r="H979" t="s">
        <v>4085</v>
      </c>
      <c r="I979" t="s">
        <v>1453</v>
      </c>
      <c r="J979">
        <v>2010</v>
      </c>
      <c r="K979" t="s">
        <v>1453</v>
      </c>
      <c r="L979">
        <v>1200</v>
      </c>
      <c r="M979" t="s">
        <v>2368</v>
      </c>
      <c r="N979">
        <v>1204</v>
      </c>
      <c r="O979" t="s">
        <v>1574</v>
      </c>
      <c r="P979" t="s">
        <v>3108</v>
      </c>
      <c r="Q979" t="s">
        <v>3249</v>
      </c>
      <c r="R979" t="s">
        <v>3249</v>
      </c>
      <c r="S979" t="s">
        <v>810</v>
      </c>
      <c r="T979" t="s">
        <v>2754</v>
      </c>
      <c r="U979" t="s">
        <v>3250</v>
      </c>
      <c r="V979" t="s">
        <v>3250</v>
      </c>
      <c r="W979" t="s">
        <v>3250</v>
      </c>
      <c r="X979" t="s">
        <v>3250</v>
      </c>
      <c r="Y979" t="s">
        <v>3250</v>
      </c>
      <c r="Z979" t="s">
        <v>3250</v>
      </c>
      <c r="AA979" t="s">
        <v>3108</v>
      </c>
      <c r="AB979" t="s">
        <v>3108</v>
      </c>
      <c r="AC979" t="s">
        <v>3250</v>
      </c>
      <c r="AD979" t="s">
        <v>3250</v>
      </c>
      <c r="AE979" t="s">
        <v>3250</v>
      </c>
      <c r="AF979" t="s">
        <v>3250</v>
      </c>
      <c r="AG979" t="s">
        <v>3250</v>
      </c>
      <c r="AH979" t="s">
        <v>3250</v>
      </c>
      <c r="AI979" t="s">
        <v>3250</v>
      </c>
      <c r="AJ979" t="s">
        <v>3250</v>
      </c>
      <c r="AL979" t="s">
        <v>3250</v>
      </c>
      <c r="AM979" t="s">
        <v>3250</v>
      </c>
      <c r="AN979" t="s">
        <v>3250</v>
      </c>
      <c r="AO979" t="s">
        <v>3250</v>
      </c>
      <c r="AS979" t="s">
        <v>3250</v>
      </c>
      <c r="AT979" t="s">
        <v>3250</v>
      </c>
      <c r="AU979" t="s">
        <v>3250</v>
      </c>
      <c r="AV979" t="s">
        <v>3250</v>
      </c>
      <c r="AW979" t="s">
        <v>3250</v>
      </c>
      <c r="AX979" t="s">
        <v>3250</v>
      </c>
      <c r="AY979" t="s">
        <v>3250</v>
      </c>
      <c r="AZ979" t="s">
        <v>3250</v>
      </c>
      <c r="BA979" t="s">
        <v>3250</v>
      </c>
      <c r="BB979" t="s">
        <v>3250</v>
      </c>
      <c r="BC979" t="s">
        <v>3250</v>
      </c>
      <c r="BE979" t="s">
        <v>3250</v>
      </c>
      <c r="BF979" t="s">
        <v>3250</v>
      </c>
      <c r="BG979" t="s">
        <v>3250</v>
      </c>
      <c r="BH979" t="s">
        <v>3250</v>
      </c>
      <c r="BI979" t="s">
        <v>3250</v>
      </c>
      <c r="BK979" t="s">
        <v>3250</v>
      </c>
      <c r="BL979" t="s">
        <v>3250</v>
      </c>
      <c r="BM979" t="s">
        <v>3250</v>
      </c>
      <c r="BN979" t="s">
        <v>3250</v>
      </c>
      <c r="BO979" t="s">
        <v>2917</v>
      </c>
      <c r="BP979">
        <v>1</v>
      </c>
      <c r="BQ979">
        <v>11</v>
      </c>
      <c r="BR979" t="s">
        <v>1574</v>
      </c>
      <c r="BS979" t="s">
        <v>3252</v>
      </c>
      <c r="BV979">
        <v>5403</v>
      </c>
      <c r="BW979">
        <v>41678</v>
      </c>
      <c r="BX979">
        <v>0</v>
      </c>
      <c r="BY979">
        <v>59089</v>
      </c>
      <c r="BZ979">
        <v>59089</v>
      </c>
      <c r="CA979">
        <v>63225</v>
      </c>
      <c r="CB979">
        <v>63225</v>
      </c>
      <c r="CC979">
        <v>67651</v>
      </c>
      <c r="CD979">
        <v>0</v>
      </c>
      <c r="CE979" t="s">
        <v>3108</v>
      </c>
      <c r="CF979" t="s">
        <v>3108</v>
      </c>
      <c r="CG979" t="s">
        <v>3108</v>
      </c>
      <c r="CH979" t="s">
        <v>3108</v>
      </c>
    </row>
    <row r="980" spans="1:86" x14ac:dyDescent="0.2">
      <c r="A980" t="s">
        <v>4743</v>
      </c>
      <c r="B980" t="s">
        <v>4743</v>
      </c>
      <c r="C980">
        <v>41451</v>
      </c>
      <c r="D980">
        <v>341</v>
      </c>
      <c r="E980" t="s">
        <v>4744</v>
      </c>
      <c r="F980">
        <v>2000</v>
      </c>
      <c r="G980" t="s">
        <v>408</v>
      </c>
      <c r="H980" t="s">
        <v>4203</v>
      </c>
      <c r="I980" t="s">
        <v>1793</v>
      </c>
      <c r="J980">
        <v>2007</v>
      </c>
      <c r="K980" t="s">
        <v>1793</v>
      </c>
      <c r="L980">
        <v>1200</v>
      </c>
      <c r="M980" t="s">
        <v>2368</v>
      </c>
      <c r="N980">
        <v>1204</v>
      </c>
      <c r="O980" t="s">
        <v>1574</v>
      </c>
      <c r="P980" t="s">
        <v>3108</v>
      </c>
      <c r="Q980" t="s">
        <v>3249</v>
      </c>
      <c r="R980" t="s">
        <v>3249</v>
      </c>
      <c r="S980" t="s">
        <v>810</v>
      </c>
      <c r="T980" t="s">
        <v>2754</v>
      </c>
      <c r="U980" t="s">
        <v>3250</v>
      </c>
      <c r="V980" t="s">
        <v>3250</v>
      </c>
      <c r="W980" t="s">
        <v>3250</v>
      </c>
      <c r="X980" t="s">
        <v>3250</v>
      </c>
      <c r="Y980" t="s">
        <v>3250</v>
      </c>
      <c r="Z980" t="s">
        <v>3250</v>
      </c>
      <c r="AA980" t="s">
        <v>3108</v>
      </c>
      <c r="AB980" t="s">
        <v>3108</v>
      </c>
      <c r="AC980" t="s">
        <v>3250</v>
      </c>
      <c r="AD980" t="s">
        <v>3250</v>
      </c>
      <c r="AE980" t="s">
        <v>3250</v>
      </c>
      <c r="AF980" t="s">
        <v>3250</v>
      </c>
      <c r="AG980" t="s">
        <v>3250</v>
      </c>
      <c r="AH980" t="s">
        <v>3250</v>
      </c>
      <c r="AI980" t="s">
        <v>3250</v>
      </c>
      <c r="AJ980" t="s">
        <v>3250</v>
      </c>
      <c r="AL980" t="s">
        <v>3250</v>
      </c>
      <c r="AM980" t="s">
        <v>3250</v>
      </c>
      <c r="AN980" t="s">
        <v>3250</v>
      </c>
      <c r="AO980" t="s">
        <v>3250</v>
      </c>
      <c r="AS980" t="s">
        <v>3250</v>
      </c>
      <c r="AT980" t="s">
        <v>3250</v>
      </c>
      <c r="AU980" t="s">
        <v>3250</v>
      </c>
      <c r="AV980" t="s">
        <v>3250</v>
      </c>
      <c r="AW980" t="s">
        <v>3250</v>
      </c>
      <c r="AX980" t="s">
        <v>3250</v>
      </c>
      <c r="AY980" t="s">
        <v>3250</v>
      </c>
      <c r="AZ980" t="s">
        <v>3250</v>
      </c>
      <c r="BA980" t="s">
        <v>3250</v>
      </c>
      <c r="BB980" t="s">
        <v>3250</v>
      </c>
      <c r="BC980" t="s">
        <v>3250</v>
      </c>
      <c r="BE980" t="s">
        <v>3250</v>
      </c>
      <c r="BF980" t="s">
        <v>3250</v>
      </c>
      <c r="BG980" t="s">
        <v>3250</v>
      </c>
      <c r="BH980" t="s">
        <v>3250</v>
      </c>
      <c r="BI980" t="s">
        <v>3250</v>
      </c>
      <c r="BK980" t="s">
        <v>3250</v>
      </c>
      <c r="BL980" t="s">
        <v>3250</v>
      </c>
      <c r="BM980" t="s">
        <v>3250</v>
      </c>
      <c r="BN980" t="s">
        <v>3250</v>
      </c>
      <c r="BO980" t="s">
        <v>2917</v>
      </c>
      <c r="BP980">
        <v>1</v>
      </c>
      <c r="BQ980">
        <v>11</v>
      </c>
      <c r="BR980" t="s">
        <v>1574</v>
      </c>
      <c r="BS980" t="s">
        <v>3252</v>
      </c>
      <c r="BV980">
        <v>7680</v>
      </c>
      <c r="BW980">
        <v>14400</v>
      </c>
      <c r="BX980">
        <v>6800</v>
      </c>
      <c r="BY980">
        <v>18000</v>
      </c>
      <c r="BZ980">
        <v>18000</v>
      </c>
      <c r="CA980">
        <v>19260</v>
      </c>
      <c r="CB980">
        <v>19260</v>
      </c>
      <c r="CC980">
        <v>20608</v>
      </c>
      <c r="CD980">
        <v>14000</v>
      </c>
      <c r="CE980" t="s">
        <v>3108</v>
      </c>
      <c r="CF980" t="s">
        <v>3108</v>
      </c>
      <c r="CG980" t="s">
        <v>3108</v>
      </c>
      <c r="CH980" t="s">
        <v>3108</v>
      </c>
    </row>
    <row r="981" spans="1:86" x14ac:dyDescent="0.2">
      <c r="A981" t="s">
        <v>4745</v>
      </c>
      <c r="B981" t="s">
        <v>4745</v>
      </c>
      <c r="C981">
        <v>41452</v>
      </c>
      <c r="D981">
        <v>342</v>
      </c>
      <c r="E981" t="s">
        <v>4746</v>
      </c>
      <c r="F981">
        <v>2000</v>
      </c>
      <c r="G981" t="s">
        <v>408</v>
      </c>
      <c r="H981" t="s">
        <v>4088</v>
      </c>
      <c r="I981" t="s">
        <v>1941</v>
      </c>
      <c r="J981">
        <v>2008</v>
      </c>
      <c r="K981" t="s">
        <v>1941</v>
      </c>
      <c r="L981">
        <v>1200</v>
      </c>
      <c r="M981" t="s">
        <v>2368</v>
      </c>
      <c r="N981">
        <v>1204</v>
      </c>
      <c r="O981" t="s">
        <v>1574</v>
      </c>
      <c r="P981" t="s">
        <v>3108</v>
      </c>
      <c r="Q981" t="s">
        <v>3249</v>
      </c>
      <c r="R981" t="s">
        <v>3249</v>
      </c>
      <c r="S981" t="s">
        <v>810</v>
      </c>
      <c r="T981" t="s">
        <v>2754</v>
      </c>
      <c r="U981" t="s">
        <v>3250</v>
      </c>
      <c r="V981" t="s">
        <v>3250</v>
      </c>
      <c r="W981" t="s">
        <v>3250</v>
      </c>
      <c r="X981" t="s">
        <v>3250</v>
      </c>
      <c r="Y981" t="s">
        <v>3250</v>
      </c>
      <c r="Z981" t="s">
        <v>3250</v>
      </c>
      <c r="AA981" t="s">
        <v>3108</v>
      </c>
      <c r="AB981" t="s">
        <v>3108</v>
      </c>
      <c r="AC981" t="s">
        <v>3250</v>
      </c>
      <c r="AD981" t="s">
        <v>3250</v>
      </c>
      <c r="AE981" t="s">
        <v>3250</v>
      </c>
      <c r="AF981" t="s">
        <v>3250</v>
      </c>
      <c r="AG981" t="s">
        <v>3250</v>
      </c>
      <c r="AH981" t="s">
        <v>3250</v>
      </c>
      <c r="AI981" t="s">
        <v>3250</v>
      </c>
      <c r="AJ981" t="s">
        <v>3250</v>
      </c>
      <c r="AL981" t="s">
        <v>3250</v>
      </c>
      <c r="AM981" t="s">
        <v>3250</v>
      </c>
      <c r="AN981" t="s">
        <v>3250</v>
      </c>
      <c r="AO981" t="s">
        <v>3250</v>
      </c>
      <c r="AS981" t="s">
        <v>3250</v>
      </c>
      <c r="AT981" t="s">
        <v>3250</v>
      </c>
      <c r="AU981" t="s">
        <v>3250</v>
      </c>
      <c r="AV981" t="s">
        <v>3250</v>
      </c>
      <c r="AW981" t="s">
        <v>3250</v>
      </c>
      <c r="AX981" t="s">
        <v>3250</v>
      </c>
      <c r="AY981" t="s">
        <v>3250</v>
      </c>
      <c r="AZ981" t="s">
        <v>3250</v>
      </c>
      <c r="BA981" t="s">
        <v>3250</v>
      </c>
      <c r="BB981" t="s">
        <v>3250</v>
      </c>
      <c r="BC981" t="s">
        <v>3250</v>
      </c>
      <c r="BE981" t="s">
        <v>3250</v>
      </c>
      <c r="BF981" t="s">
        <v>3250</v>
      </c>
      <c r="BG981" t="s">
        <v>3250</v>
      </c>
      <c r="BH981" t="s">
        <v>3250</v>
      </c>
      <c r="BI981" t="s">
        <v>3250</v>
      </c>
      <c r="BK981" t="s">
        <v>3250</v>
      </c>
      <c r="BL981" t="s">
        <v>3250</v>
      </c>
      <c r="BM981" t="s">
        <v>3250</v>
      </c>
      <c r="BN981" t="s">
        <v>3250</v>
      </c>
      <c r="BO981" t="s">
        <v>2917</v>
      </c>
      <c r="BP981">
        <v>1</v>
      </c>
      <c r="BQ981">
        <v>11</v>
      </c>
      <c r="BR981" t="s">
        <v>1574</v>
      </c>
      <c r="BS981" t="s">
        <v>3252</v>
      </c>
      <c r="BV981">
        <v>31671</v>
      </c>
      <c r="BW981">
        <v>63342</v>
      </c>
      <c r="BX981">
        <v>26393</v>
      </c>
      <c r="BY981">
        <v>13200</v>
      </c>
      <c r="BZ981">
        <v>13200</v>
      </c>
      <c r="CA981">
        <v>14124</v>
      </c>
      <c r="CB981">
        <v>14124</v>
      </c>
      <c r="CC981">
        <v>15113</v>
      </c>
      <c r="CD981">
        <v>0</v>
      </c>
      <c r="CE981" t="s">
        <v>3108</v>
      </c>
      <c r="CF981" t="s">
        <v>3108</v>
      </c>
      <c r="CG981" t="s">
        <v>3108</v>
      </c>
      <c r="CH981" t="s">
        <v>3108</v>
      </c>
    </row>
    <row r="982" spans="1:86" x14ac:dyDescent="0.2">
      <c r="A982" t="s">
        <v>4747</v>
      </c>
      <c r="B982" t="s">
        <v>4747</v>
      </c>
      <c r="C982">
        <v>41453</v>
      </c>
      <c r="D982">
        <v>343</v>
      </c>
      <c r="E982" t="s">
        <v>4748</v>
      </c>
      <c r="F982">
        <v>2000</v>
      </c>
      <c r="G982" t="s">
        <v>408</v>
      </c>
      <c r="H982" t="s">
        <v>4094</v>
      </c>
      <c r="I982" t="s">
        <v>1135</v>
      </c>
      <c r="J982">
        <v>2001</v>
      </c>
      <c r="K982" t="s">
        <v>1135</v>
      </c>
      <c r="L982">
        <v>1200</v>
      </c>
      <c r="M982" t="s">
        <v>2368</v>
      </c>
      <c r="N982">
        <v>1204</v>
      </c>
      <c r="O982" t="s">
        <v>1574</v>
      </c>
      <c r="P982" t="s">
        <v>3108</v>
      </c>
      <c r="Q982" t="s">
        <v>3249</v>
      </c>
      <c r="R982" t="s">
        <v>3249</v>
      </c>
      <c r="S982" t="s">
        <v>810</v>
      </c>
      <c r="T982" t="s">
        <v>2754</v>
      </c>
      <c r="U982" t="s">
        <v>3250</v>
      </c>
      <c r="V982" t="s">
        <v>3250</v>
      </c>
      <c r="W982" t="s">
        <v>3250</v>
      </c>
      <c r="X982" t="s">
        <v>3250</v>
      </c>
      <c r="Y982" t="s">
        <v>3250</v>
      </c>
      <c r="Z982" t="s">
        <v>3250</v>
      </c>
      <c r="AA982" t="s">
        <v>3108</v>
      </c>
      <c r="AB982" t="s">
        <v>3108</v>
      </c>
      <c r="AC982" t="s">
        <v>3250</v>
      </c>
      <c r="AD982" t="s">
        <v>3250</v>
      </c>
      <c r="AE982" t="s">
        <v>3250</v>
      </c>
      <c r="AF982" t="s">
        <v>3250</v>
      </c>
      <c r="AG982" t="s">
        <v>3250</v>
      </c>
      <c r="AH982" t="s">
        <v>3250</v>
      </c>
      <c r="AI982" t="s">
        <v>3250</v>
      </c>
      <c r="AJ982" t="s">
        <v>3250</v>
      </c>
      <c r="AL982" t="s">
        <v>3250</v>
      </c>
      <c r="AM982" t="s">
        <v>3250</v>
      </c>
      <c r="AN982" t="s">
        <v>3250</v>
      </c>
      <c r="AO982" t="s">
        <v>3250</v>
      </c>
      <c r="AS982" t="s">
        <v>3250</v>
      </c>
      <c r="AT982" t="s">
        <v>3250</v>
      </c>
      <c r="AU982" t="s">
        <v>3250</v>
      </c>
      <c r="AV982" t="s">
        <v>3250</v>
      </c>
      <c r="AW982" t="s">
        <v>3250</v>
      </c>
      <c r="AX982" t="s">
        <v>3250</v>
      </c>
      <c r="AY982" t="s">
        <v>3250</v>
      </c>
      <c r="AZ982" t="s">
        <v>3250</v>
      </c>
      <c r="BA982" t="s">
        <v>3250</v>
      </c>
      <c r="BB982" t="s">
        <v>3250</v>
      </c>
      <c r="BC982" t="s">
        <v>3250</v>
      </c>
      <c r="BE982" t="s">
        <v>3250</v>
      </c>
      <c r="BF982" t="s">
        <v>3250</v>
      </c>
      <c r="BG982" t="s">
        <v>3250</v>
      </c>
      <c r="BH982" t="s">
        <v>3250</v>
      </c>
      <c r="BI982" t="s">
        <v>3250</v>
      </c>
      <c r="BK982" t="s">
        <v>3250</v>
      </c>
      <c r="BL982" t="s">
        <v>3250</v>
      </c>
      <c r="BM982" t="s">
        <v>3250</v>
      </c>
      <c r="BN982" t="s">
        <v>3250</v>
      </c>
      <c r="BO982" t="s">
        <v>2917</v>
      </c>
      <c r="BP982">
        <v>1</v>
      </c>
      <c r="BQ982">
        <v>11</v>
      </c>
      <c r="BR982" t="s">
        <v>1574</v>
      </c>
      <c r="BS982" t="s">
        <v>3252</v>
      </c>
      <c r="BV982">
        <v>523806</v>
      </c>
      <c r="BW982">
        <v>858925</v>
      </c>
      <c r="BX982">
        <v>372734</v>
      </c>
      <c r="BY982">
        <v>984815</v>
      </c>
      <c r="BZ982">
        <v>984815</v>
      </c>
      <c r="CA982">
        <v>1053752</v>
      </c>
      <c r="CB982">
        <v>1053752</v>
      </c>
      <c r="CC982">
        <v>1127514</v>
      </c>
      <c r="CD982">
        <v>692511</v>
      </c>
      <c r="CE982" t="s">
        <v>3108</v>
      </c>
      <c r="CF982" t="s">
        <v>3108</v>
      </c>
      <c r="CG982" t="s">
        <v>3108</v>
      </c>
      <c r="CH982" t="s">
        <v>3108</v>
      </c>
    </row>
    <row r="983" spans="1:86" x14ac:dyDescent="0.2">
      <c r="A983" t="s">
        <v>4749</v>
      </c>
      <c r="B983" t="s">
        <v>4749</v>
      </c>
      <c r="C983">
        <v>41454</v>
      </c>
      <c r="D983">
        <v>344</v>
      </c>
      <c r="E983" t="s">
        <v>4750</v>
      </c>
      <c r="F983">
        <v>2000</v>
      </c>
      <c r="G983" t="s">
        <v>408</v>
      </c>
      <c r="H983" t="s">
        <v>4082</v>
      </c>
      <c r="I983" t="s">
        <v>652</v>
      </c>
      <c r="J983">
        <v>2005</v>
      </c>
      <c r="K983" t="s">
        <v>652</v>
      </c>
      <c r="L983">
        <v>1200</v>
      </c>
      <c r="M983" t="s">
        <v>2368</v>
      </c>
      <c r="N983">
        <v>1204</v>
      </c>
      <c r="O983" t="s">
        <v>1574</v>
      </c>
      <c r="P983" t="s">
        <v>3108</v>
      </c>
      <c r="Q983" t="s">
        <v>3249</v>
      </c>
      <c r="R983" t="s">
        <v>3249</v>
      </c>
      <c r="S983" t="s">
        <v>810</v>
      </c>
      <c r="T983" t="s">
        <v>2754</v>
      </c>
      <c r="U983" t="s">
        <v>3250</v>
      </c>
      <c r="V983" t="s">
        <v>3250</v>
      </c>
      <c r="W983" t="s">
        <v>3250</v>
      </c>
      <c r="X983" t="s">
        <v>3250</v>
      </c>
      <c r="Y983" t="s">
        <v>3250</v>
      </c>
      <c r="Z983" t="s">
        <v>3250</v>
      </c>
      <c r="AA983" t="s">
        <v>3108</v>
      </c>
      <c r="AB983" t="s">
        <v>3108</v>
      </c>
      <c r="AC983" t="s">
        <v>3250</v>
      </c>
      <c r="AD983" t="s">
        <v>3250</v>
      </c>
      <c r="AE983" t="s">
        <v>3250</v>
      </c>
      <c r="AF983" t="s">
        <v>3250</v>
      </c>
      <c r="AG983" t="s">
        <v>3250</v>
      </c>
      <c r="AH983" t="s">
        <v>3250</v>
      </c>
      <c r="AI983" t="s">
        <v>3250</v>
      </c>
      <c r="AJ983" t="s">
        <v>3250</v>
      </c>
      <c r="AL983" t="s">
        <v>3250</v>
      </c>
      <c r="AM983" t="s">
        <v>3250</v>
      </c>
      <c r="AN983" t="s">
        <v>3250</v>
      </c>
      <c r="AO983" t="s">
        <v>3250</v>
      </c>
      <c r="AS983" t="s">
        <v>3250</v>
      </c>
      <c r="AT983" t="s">
        <v>3250</v>
      </c>
      <c r="AU983" t="s">
        <v>3250</v>
      </c>
      <c r="AV983" t="s">
        <v>3250</v>
      </c>
      <c r="AW983" t="s">
        <v>3250</v>
      </c>
      <c r="AX983" t="s">
        <v>3250</v>
      </c>
      <c r="AY983" t="s">
        <v>3250</v>
      </c>
      <c r="AZ983" t="s">
        <v>3250</v>
      </c>
      <c r="BA983" t="s">
        <v>3250</v>
      </c>
      <c r="BB983" t="s">
        <v>3250</v>
      </c>
      <c r="BC983" t="s">
        <v>3250</v>
      </c>
      <c r="BE983" t="s">
        <v>3250</v>
      </c>
      <c r="BF983" t="s">
        <v>3250</v>
      </c>
      <c r="BG983" t="s">
        <v>3250</v>
      </c>
      <c r="BH983" t="s">
        <v>3250</v>
      </c>
      <c r="BI983" t="s">
        <v>3250</v>
      </c>
      <c r="BK983" t="s">
        <v>3250</v>
      </c>
      <c r="BL983" t="s">
        <v>3250</v>
      </c>
      <c r="BM983" t="s">
        <v>3250</v>
      </c>
      <c r="BN983" t="s">
        <v>3250</v>
      </c>
      <c r="BO983" t="s">
        <v>2917</v>
      </c>
      <c r="BP983">
        <v>1</v>
      </c>
      <c r="BQ983">
        <v>11</v>
      </c>
      <c r="BR983" t="s">
        <v>1574</v>
      </c>
      <c r="BS983" t="s">
        <v>3252</v>
      </c>
      <c r="BV983">
        <v>0</v>
      </c>
      <c r="BW983">
        <v>0</v>
      </c>
      <c r="BX983">
        <v>0</v>
      </c>
      <c r="BY983">
        <v>0</v>
      </c>
      <c r="BZ983">
        <v>0</v>
      </c>
      <c r="CA983">
        <v>0</v>
      </c>
      <c r="CB983">
        <v>0</v>
      </c>
      <c r="CC983">
        <v>0</v>
      </c>
      <c r="CD983">
        <v>0</v>
      </c>
      <c r="CE983" t="s">
        <v>3108</v>
      </c>
      <c r="CF983" t="s">
        <v>3108</v>
      </c>
      <c r="CG983" t="s">
        <v>3108</v>
      </c>
      <c r="CH983" t="s">
        <v>3108</v>
      </c>
    </row>
    <row r="984" spans="1:86" x14ac:dyDescent="0.2">
      <c r="A984" t="s">
        <v>4751</v>
      </c>
      <c r="B984" t="s">
        <v>4751</v>
      </c>
      <c r="C984">
        <v>41456</v>
      </c>
      <c r="D984">
        <v>345</v>
      </c>
      <c r="E984" t="s">
        <v>4752</v>
      </c>
      <c r="F984">
        <v>2000</v>
      </c>
      <c r="G984" t="s">
        <v>408</v>
      </c>
      <c r="H984" t="s">
        <v>4070</v>
      </c>
      <c r="I984" t="s">
        <v>1792</v>
      </c>
      <c r="J984">
        <v>2002</v>
      </c>
      <c r="K984" t="s">
        <v>1792</v>
      </c>
      <c r="L984">
        <v>1200</v>
      </c>
      <c r="M984" t="s">
        <v>2368</v>
      </c>
      <c r="N984">
        <v>1204</v>
      </c>
      <c r="O984" t="s">
        <v>1574</v>
      </c>
      <c r="P984" t="s">
        <v>3108</v>
      </c>
      <c r="Q984" t="s">
        <v>3249</v>
      </c>
      <c r="R984" t="s">
        <v>3249</v>
      </c>
      <c r="S984" t="s">
        <v>810</v>
      </c>
      <c r="T984" t="s">
        <v>2754</v>
      </c>
      <c r="U984" t="s">
        <v>3250</v>
      </c>
      <c r="V984" t="s">
        <v>3250</v>
      </c>
      <c r="W984" t="s">
        <v>3250</v>
      </c>
      <c r="X984" t="s">
        <v>3250</v>
      </c>
      <c r="Y984" t="s">
        <v>3250</v>
      </c>
      <c r="Z984" t="s">
        <v>3250</v>
      </c>
      <c r="AA984" t="s">
        <v>3108</v>
      </c>
      <c r="AB984" t="s">
        <v>3108</v>
      </c>
      <c r="AC984" t="s">
        <v>3250</v>
      </c>
      <c r="AD984" t="s">
        <v>3250</v>
      </c>
      <c r="AE984" t="s">
        <v>3250</v>
      </c>
      <c r="AF984" t="s">
        <v>3250</v>
      </c>
      <c r="AG984" t="s">
        <v>3250</v>
      </c>
      <c r="AH984" t="s">
        <v>3250</v>
      </c>
      <c r="AI984" t="s">
        <v>3250</v>
      </c>
      <c r="AJ984" t="s">
        <v>3250</v>
      </c>
      <c r="AL984" t="s">
        <v>3250</v>
      </c>
      <c r="AM984" t="s">
        <v>3250</v>
      </c>
      <c r="AN984" t="s">
        <v>3250</v>
      </c>
      <c r="AO984" t="s">
        <v>3250</v>
      </c>
      <c r="AS984" t="s">
        <v>3250</v>
      </c>
      <c r="AT984" t="s">
        <v>3250</v>
      </c>
      <c r="AU984" t="s">
        <v>3250</v>
      </c>
      <c r="AV984" t="s">
        <v>3250</v>
      </c>
      <c r="AW984" t="s">
        <v>3250</v>
      </c>
      <c r="AX984" t="s">
        <v>3250</v>
      </c>
      <c r="AY984" t="s">
        <v>3250</v>
      </c>
      <c r="AZ984" t="s">
        <v>3250</v>
      </c>
      <c r="BA984" t="s">
        <v>3250</v>
      </c>
      <c r="BB984" t="s">
        <v>3250</v>
      </c>
      <c r="BC984" t="s">
        <v>3250</v>
      </c>
      <c r="BE984" t="s">
        <v>3250</v>
      </c>
      <c r="BF984" t="s">
        <v>3250</v>
      </c>
      <c r="BG984" t="s">
        <v>3250</v>
      </c>
      <c r="BH984" t="s">
        <v>3250</v>
      </c>
      <c r="BI984" t="s">
        <v>3250</v>
      </c>
      <c r="BK984" t="s">
        <v>3250</v>
      </c>
      <c r="BL984" t="s">
        <v>3250</v>
      </c>
      <c r="BM984" t="s">
        <v>3250</v>
      </c>
      <c r="BN984" t="s">
        <v>3250</v>
      </c>
      <c r="BO984" t="s">
        <v>2917</v>
      </c>
      <c r="BP984">
        <v>1</v>
      </c>
      <c r="BQ984">
        <v>11</v>
      </c>
      <c r="BR984" t="s">
        <v>1574</v>
      </c>
      <c r="BS984" t="s">
        <v>3252</v>
      </c>
      <c r="BV984">
        <v>595</v>
      </c>
      <c r="BW984">
        <v>149</v>
      </c>
      <c r="BX984">
        <v>1487</v>
      </c>
      <c r="BY984">
        <v>9848</v>
      </c>
      <c r="BZ984">
        <v>9848</v>
      </c>
      <c r="CA984">
        <v>10538</v>
      </c>
      <c r="CB984">
        <v>10538</v>
      </c>
      <c r="CC984">
        <v>11275</v>
      </c>
      <c r="CD984">
        <v>1487</v>
      </c>
      <c r="CE984" t="s">
        <v>3108</v>
      </c>
      <c r="CF984" t="s">
        <v>3108</v>
      </c>
      <c r="CG984" t="s">
        <v>3108</v>
      </c>
      <c r="CH984" t="s">
        <v>3108</v>
      </c>
    </row>
    <row r="985" spans="1:86" x14ac:dyDescent="0.2">
      <c r="A985" t="s">
        <v>4753</v>
      </c>
      <c r="B985" t="s">
        <v>4753</v>
      </c>
      <c r="C985">
        <v>41458</v>
      </c>
      <c r="D985">
        <v>346</v>
      </c>
      <c r="E985" t="s">
        <v>4754</v>
      </c>
      <c r="F985">
        <v>2000</v>
      </c>
      <c r="G985" t="s">
        <v>408</v>
      </c>
      <c r="H985" t="s">
        <v>4067</v>
      </c>
      <c r="I985" t="s">
        <v>650</v>
      </c>
      <c r="J985">
        <v>2003</v>
      </c>
      <c r="K985" t="s">
        <v>650</v>
      </c>
      <c r="L985">
        <v>1200</v>
      </c>
      <c r="M985" t="s">
        <v>2368</v>
      </c>
      <c r="N985">
        <v>1204</v>
      </c>
      <c r="O985" t="s">
        <v>1574</v>
      </c>
      <c r="P985" t="s">
        <v>3108</v>
      </c>
      <c r="Q985" t="s">
        <v>3249</v>
      </c>
      <c r="R985" t="s">
        <v>3249</v>
      </c>
      <c r="S985" t="s">
        <v>810</v>
      </c>
      <c r="T985" t="s">
        <v>2754</v>
      </c>
      <c r="U985" t="s">
        <v>3250</v>
      </c>
      <c r="V985" t="s">
        <v>3250</v>
      </c>
      <c r="W985" t="s">
        <v>3250</v>
      </c>
      <c r="X985" t="s">
        <v>3250</v>
      </c>
      <c r="Y985" t="s">
        <v>3250</v>
      </c>
      <c r="Z985" t="s">
        <v>3250</v>
      </c>
      <c r="AA985" t="s">
        <v>3108</v>
      </c>
      <c r="AB985" t="s">
        <v>3108</v>
      </c>
      <c r="AC985" t="s">
        <v>3250</v>
      </c>
      <c r="AD985" t="s">
        <v>3250</v>
      </c>
      <c r="AE985" t="s">
        <v>3250</v>
      </c>
      <c r="AF985" t="s">
        <v>3250</v>
      </c>
      <c r="AG985" t="s">
        <v>3250</v>
      </c>
      <c r="AH985" t="s">
        <v>3250</v>
      </c>
      <c r="AI985" t="s">
        <v>3250</v>
      </c>
      <c r="AJ985" t="s">
        <v>3250</v>
      </c>
      <c r="AL985" t="s">
        <v>3250</v>
      </c>
      <c r="AM985" t="s">
        <v>3250</v>
      </c>
      <c r="AN985" t="s">
        <v>3250</v>
      </c>
      <c r="AO985" t="s">
        <v>3250</v>
      </c>
      <c r="AS985" t="s">
        <v>3250</v>
      </c>
      <c r="AT985" t="s">
        <v>3250</v>
      </c>
      <c r="AU985" t="s">
        <v>3250</v>
      </c>
      <c r="AV985" t="s">
        <v>3250</v>
      </c>
      <c r="AW985" t="s">
        <v>3250</v>
      </c>
      <c r="AX985" t="s">
        <v>3250</v>
      </c>
      <c r="AY985" t="s">
        <v>3250</v>
      </c>
      <c r="AZ985" t="s">
        <v>3250</v>
      </c>
      <c r="BA985" t="s">
        <v>3250</v>
      </c>
      <c r="BB985" t="s">
        <v>3250</v>
      </c>
      <c r="BC985" t="s">
        <v>3250</v>
      </c>
      <c r="BE985" t="s">
        <v>3250</v>
      </c>
      <c r="BF985" t="s">
        <v>3250</v>
      </c>
      <c r="BG985" t="s">
        <v>3250</v>
      </c>
      <c r="BH985" t="s">
        <v>3250</v>
      </c>
      <c r="BI985" t="s">
        <v>3250</v>
      </c>
      <c r="BK985" t="s">
        <v>3250</v>
      </c>
      <c r="BL985" t="s">
        <v>3250</v>
      </c>
      <c r="BM985" t="s">
        <v>3250</v>
      </c>
      <c r="BN985" t="s">
        <v>3250</v>
      </c>
      <c r="BO985" t="s">
        <v>2917</v>
      </c>
      <c r="BP985">
        <v>1</v>
      </c>
      <c r="BQ985">
        <v>11</v>
      </c>
      <c r="BR985" t="s">
        <v>1574</v>
      </c>
      <c r="BS985" t="s">
        <v>3252</v>
      </c>
      <c r="BV985">
        <v>7433</v>
      </c>
      <c r="BW985">
        <v>0</v>
      </c>
      <c r="BX985">
        <v>0</v>
      </c>
      <c r="BY985">
        <v>0</v>
      </c>
      <c r="BZ985">
        <v>40000</v>
      </c>
      <c r="CA985">
        <v>42800</v>
      </c>
      <c r="CB985">
        <v>40000</v>
      </c>
      <c r="CC985">
        <v>42800</v>
      </c>
      <c r="CD985">
        <v>40000</v>
      </c>
      <c r="CE985" t="s">
        <v>3108</v>
      </c>
      <c r="CF985" t="s">
        <v>3108</v>
      </c>
      <c r="CG985" t="s">
        <v>3108</v>
      </c>
      <c r="CH985" t="s">
        <v>3108</v>
      </c>
    </row>
    <row r="986" spans="1:86" x14ac:dyDescent="0.2">
      <c r="A986" t="s">
        <v>4755</v>
      </c>
      <c r="B986" t="s">
        <v>4755</v>
      </c>
      <c r="C986">
        <v>41459</v>
      </c>
      <c r="D986">
        <v>347</v>
      </c>
      <c r="E986" t="s">
        <v>4756</v>
      </c>
      <c r="F986">
        <v>2000</v>
      </c>
      <c r="G986" t="s">
        <v>408</v>
      </c>
      <c r="H986" t="s">
        <v>4070</v>
      </c>
      <c r="I986" t="s">
        <v>1792</v>
      </c>
      <c r="J986">
        <v>2002</v>
      </c>
      <c r="K986" t="s">
        <v>1792</v>
      </c>
      <c r="L986">
        <v>1200</v>
      </c>
      <c r="M986" t="s">
        <v>2368</v>
      </c>
      <c r="N986">
        <v>1204</v>
      </c>
      <c r="O986" t="s">
        <v>1574</v>
      </c>
      <c r="P986" t="s">
        <v>3108</v>
      </c>
      <c r="Q986" t="s">
        <v>3249</v>
      </c>
      <c r="R986" t="s">
        <v>3249</v>
      </c>
      <c r="S986" t="s">
        <v>810</v>
      </c>
      <c r="T986" t="s">
        <v>2754</v>
      </c>
      <c r="U986" t="s">
        <v>3250</v>
      </c>
      <c r="V986" t="s">
        <v>3250</v>
      </c>
      <c r="W986" t="s">
        <v>3250</v>
      </c>
      <c r="X986" t="s">
        <v>3250</v>
      </c>
      <c r="Y986" t="s">
        <v>3250</v>
      </c>
      <c r="Z986" t="s">
        <v>3250</v>
      </c>
      <c r="AA986" t="s">
        <v>3108</v>
      </c>
      <c r="AB986" t="s">
        <v>3108</v>
      </c>
      <c r="AC986" t="s">
        <v>3250</v>
      </c>
      <c r="AD986" t="s">
        <v>3250</v>
      </c>
      <c r="AE986" t="s">
        <v>3250</v>
      </c>
      <c r="AF986" t="s">
        <v>3250</v>
      </c>
      <c r="AG986" t="s">
        <v>3250</v>
      </c>
      <c r="AH986" t="s">
        <v>3250</v>
      </c>
      <c r="AI986" t="s">
        <v>3250</v>
      </c>
      <c r="AJ986" t="s">
        <v>3250</v>
      </c>
      <c r="AL986" t="s">
        <v>3250</v>
      </c>
      <c r="AM986" t="s">
        <v>3250</v>
      </c>
      <c r="AN986" t="s">
        <v>3250</v>
      </c>
      <c r="AO986" t="s">
        <v>3250</v>
      </c>
      <c r="AS986" t="s">
        <v>3250</v>
      </c>
      <c r="AT986" t="s">
        <v>3250</v>
      </c>
      <c r="AU986" t="s">
        <v>3250</v>
      </c>
      <c r="AV986" t="s">
        <v>3250</v>
      </c>
      <c r="AW986" t="s">
        <v>3250</v>
      </c>
      <c r="AX986" t="s">
        <v>3250</v>
      </c>
      <c r="AY986" t="s">
        <v>3250</v>
      </c>
      <c r="AZ986" t="s">
        <v>3250</v>
      </c>
      <c r="BA986" t="s">
        <v>3250</v>
      </c>
      <c r="BB986" t="s">
        <v>3250</v>
      </c>
      <c r="BC986" t="s">
        <v>3250</v>
      </c>
      <c r="BE986" t="s">
        <v>3250</v>
      </c>
      <c r="BF986" t="s">
        <v>3250</v>
      </c>
      <c r="BG986" t="s">
        <v>3250</v>
      </c>
      <c r="BH986" t="s">
        <v>3250</v>
      </c>
      <c r="BI986" t="s">
        <v>3250</v>
      </c>
      <c r="BK986" t="s">
        <v>3250</v>
      </c>
      <c r="BL986" t="s">
        <v>3250</v>
      </c>
      <c r="BM986" t="s">
        <v>3250</v>
      </c>
      <c r="BN986" t="s">
        <v>3250</v>
      </c>
      <c r="BO986" t="s">
        <v>2917</v>
      </c>
      <c r="BP986">
        <v>1</v>
      </c>
      <c r="BQ986">
        <v>11</v>
      </c>
      <c r="BR986" t="s">
        <v>1574</v>
      </c>
      <c r="BS986" t="s">
        <v>3252</v>
      </c>
      <c r="BV986">
        <v>11915</v>
      </c>
      <c r="BW986">
        <v>0</v>
      </c>
      <c r="BX986">
        <v>0</v>
      </c>
      <c r="BY986">
        <v>0</v>
      </c>
      <c r="BZ986">
        <v>26000</v>
      </c>
      <c r="CA986">
        <v>27820</v>
      </c>
      <c r="CB986">
        <v>26000</v>
      </c>
      <c r="CC986">
        <v>27820</v>
      </c>
      <c r="CD986">
        <v>26241</v>
      </c>
      <c r="CE986" t="s">
        <v>3108</v>
      </c>
      <c r="CF986" t="s">
        <v>3108</v>
      </c>
      <c r="CG986" t="s">
        <v>3108</v>
      </c>
      <c r="CH986" t="s">
        <v>3108</v>
      </c>
    </row>
    <row r="987" spans="1:86" x14ac:dyDescent="0.2">
      <c r="A987" t="s">
        <v>4757</v>
      </c>
      <c r="B987" t="s">
        <v>4757</v>
      </c>
      <c r="C987">
        <v>41460</v>
      </c>
      <c r="D987">
        <v>808</v>
      </c>
      <c r="E987" t="s">
        <v>4758</v>
      </c>
      <c r="F987">
        <v>1500</v>
      </c>
      <c r="G987" t="s">
        <v>2342</v>
      </c>
      <c r="H987">
        <v>1500</v>
      </c>
      <c r="I987" t="s">
        <v>2342</v>
      </c>
      <c r="J987" t="s">
        <v>3250</v>
      </c>
      <c r="K987" t="s">
        <v>3250</v>
      </c>
      <c r="L987">
        <v>1200</v>
      </c>
      <c r="M987" t="s">
        <v>2368</v>
      </c>
      <c r="N987">
        <v>1204</v>
      </c>
      <c r="O987" t="s">
        <v>1574</v>
      </c>
      <c r="P987" t="s">
        <v>3108</v>
      </c>
      <c r="Q987" t="s">
        <v>3249</v>
      </c>
      <c r="R987" t="s">
        <v>3249</v>
      </c>
      <c r="S987" t="s">
        <v>472</v>
      </c>
      <c r="T987" t="s">
        <v>2759</v>
      </c>
      <c r="U987" t="s">
        <v>3250</v>
      </c>
      <c r="V987" t="s">
        <v>3250</v>
      </c>
      <c r="W987" t="s">
        <v>3250</v>
      </c>
      <c r="X987" t="s">
        <v>3250</v>
      </c>
      <c r="Y987" t="s">
        <v>3250</v>
      </c>
      <c r="Z987" t="s">
        <v>3250</v>
      </c>
      <c r="AA987" t="s">
        <v>3108</v>
      </c>
      <c r="AB987" t="s">
        <v>3108</v>
      </c>
      <c r="AC987" t="s">
        <v>3250</v>
      </c>
      <c r="AD987" t="s">
        <v>3250</v>
      </c>
      <c r="AE987" t="s">
        <v>3250</v>
      </c>
      <c r="AF987" t="s">
        <v>3250</v>
      </c>
      <c r="AG987" t="s">
        <v>3250</v>
      </c>
      <c r="AH987" t="s">
        <v>3250</v>
      </c>
      <c r="AI987" t="s">
        <v>3250</v>
      </c>
      <c r="AJ987" t="s">
        <v>3250</v>
      </c>
      <c r="AL987" t="s">
        <v>3250</v>
      </c>
      <c r="AM987" t="s">
        <v>3250</v>
      </c>
      <c r="AN987" t="s">
        <v>3250</v>
      </c>
      <c r="AO987" t="s">
        <v>3250</v>
      </c>
      <c r="AS987" t="s">
        <v>3250</v>
      </c>
      <c r="AT987" t="s">
        <v>3250</v>
      </c>
      <c r="AU987" t="s">
        <v>3250</v>
      </c>
      <c r="AV987" t="s">
        <v>3250</v>
      </c>
      <c r="AW987" t="s">
        <v>3250</v>
      </c>
      <c r="AX987" t="s">
        <v>3250</v>
      </c>
      <c r="AY987" t="s">
        <v>3250</v>
      </c>
      <c r="AZ987" t="s">
        <v>3250</v>
      </c>
      <c r="BA987" t="s">
        <v>3250</v>
      </c>
      <c r="BB987" t="s">
        <v>3250</v>
      </c>
      <c r="BC987" t="s">
        <v>3250</v>
      </c>
      <c r="BE987" t="s">
        <v>3250</v>
      </c>
      <c r="BF987" t="s">
        <v>3250</v>
      </c>
      <c r="BG987" t="s">
        <v>3250</v>
      </c>
      <c r="BH987" t="s">
        <v>3250</v>
      </c>
      <c r="BI987" t="s">
        <v>3250</v>
      </c>
      <c r="BK987" t="s">
        <v>3250</v>
      </c>
      <c r="BL987" t="s">
        <v>3250</v>
      </c>
      <c r="BM987" t="s">
        <v>3250</v>
      </c>
      <c r="BN987" t="s">
        <v>3250</v>
      </c>
      <c r="BP987">
        <v>1</v>
      </c>
      <c r="BQ987">
        <v>11</v>
      </c>
      <c r="BR987" t="s">
        <v>1574</v>
      </c>
      <c r="BS987" t="s">
        <v>3252</v>
      </c>
      <c r="BV987">
        <v>0</v>
      </c>
      <c r="BW987">
        <v>0</v>
      </c>
      <c r="BX987">
        <v>23917</v>
      </c>
      <c r="BY987">
        <v>0</v>
      </c>
      <c r="BZ987">
        <v>0</v>
      </c>
      <c r="CA987">
        <v>0</v>
      </c>
      <c r="CB987">
        <v>0</v>
      </c>
      <c r="CC987">
        <v>0</v>
      </c>
      <c r="CD987">
        <v>0</v>
      </c>
      <c r="CE987" t="s">
        <v>3108</v>
      </c>
      <c r="CF987" t="s">
        <v>3108</v>
      </c>
      <c r="CG987" t="s">
        <v>3108</v>
      </c>
      <c r="CH987" t="s">
        <v>3108</v>
      </c>
    </row>
    <row r="988" spans="1:86" x14ac:dyDescent="0.2">
      <c r="A988" t="s">
        <v>4759</v>
      </c>
      <c r="B988" t="s">
        <v>4759</v>
      </c>
      <c r="C988">
        <v>41462</v>
      </c>
      <c r="D988">
        <v>812</v>
      </c>
      <c r="E988" t="s">
        <v>4760</v>
      </c>
      <c r="F988">
        <v>1200</v>
      </c>
      <c r="G988" t="s">
        <v>2343</v>
      </c>
      <c r="H988">
        <v>1200</v>
      </c>
      <c r="I988" t="s">
        <v>2343</v>
      </c>
      <c r="J988" t="s">
        <v>3250</v>
      </c>
      <c r="K988" t="s">
        <v>3250</v>
      </c>
      <c r="L988">
        <v>2100</v>
      </c>
      <c r="M988" t="s">
        <v>123</v>
      </c>
      <c r="N988">
        <v>2114</v>
      </c>
      <c r="O988" t="s">
        <v>1444</v>
      </c>
      <c r="P988" t="s">
        <v>3108</v>
      </c>
      <c r="Q988" t="s">
        <v>3249</v>
      </c>
      <c r="R988" t="s">
        <v>3249</v>
      </c>
      <c r="S988" t="s">
        <v>472</v>
      </c>
      <c r="T988" t="s">
        <v>2759</v>
      </c>
      <c r="U988" t="s">
        <v>3250</v>
      </c>
      <c r="V988" t="s">
        <v>3250</v>
      </c>
      <c r="W988" t="s">
        <v>3250</v>
      </c>
      <c r="X988" t="s">
        <v>3250</v>
      </c>
      <c r="Y988" t="s">
        <v>3250</v>
      </c>
      <c r="Z988" t="s">
        <v>3250</v>
      </c>
      <c r="AA988" t="s">
        <v>3108</v>
      </c>
      <c r="AB988" t="s">
        <v>3108</v>
      </c>
      <c r="AC988" t="s">
        <v>3250</v>
      </c>
      <c r="AD988" t="s">
        <v>3250</v>
      </c>
      <c r="AE988" t="s">
        <v>3250</v>
      </c>
      <c r="AF988" t="s">
        <v>3250</v>
      </c>
      <c r="AG988" t="s">
        <v>3250</v>
      </c>
      <c r="AH988" t="s">
        <v>3250</v>
      </c>
      <c r="AI988" t="s">
        <v>3250</v>
      </c>
      <c r="AJ988" t="s">
        <v>3250</v>
      </c>
      <c r="AL988" t="s">
        <v>3250</v>
      </c>
      <c r="AM988" t="s">
        <v>3250</v>
      </c>
      <c r="AN988" t="s">
        <v>3250</v>
      </c>
      <c r="AO988" t="s">
        <v>3250</v>
      </c>
      <c r="AS988" t="s">
        <v>3250</v>
      </c>
      <c r="AT988" t="s">
        <v>3250</v>
      </c>
      <c r="AU988" t="s">
        <v>3250</v>
      </c>
      <c r="AV988" t="s">
        <v>3250</v>
      </c>
      <c r="AW988" t="s">
        <v>3250</v>
      </c>
      <c r="AX988" t="s">
        <v>3250</v>
      </c>
      <c r="AY988" t="s">
        <v>3250</v>
      </c>
      <c r="AZ988" t="s">
        <v>3250</v>
      </c>
      <c r="BA988" t="s">
        <v>3250</v>
      </c>
      <c r="BB988" t="s">
        <v>3250</v>
      </c>
      <c r="BC988" t="s">
        <v>3250</v>
      </c>
      <c r="BE988" t="s">
        <v>3250</v>
      </c>
      <c r="BF988" t="s">
        <v>3250</v>
      </c>
      <c r="BG988" t="s">
        <v>3250</v>
      </c>
      <c r="BH988" t="s">
        <v>3250</v>
      </c>
      <c r="BI988" t="s">
        <v>3250</v>
      </c>
      <c r="BK988" t="s">
        <v>3250</v>
      </c>
      <c r="BL988" t="s">
        <v>3250</v>
      </c>
      <c r="BM988" t="s">
        <v>3250</v>
      </c>
      <c r="BN988" t="s">
        <v>3250</v>
      </c>
      <c r="BP988">
        <v>4</v>
      </c>
      <c r="BQ988">
        <v>42</v>
      </c>
      <c r="BR988" t="s">
        <v>1444</v>
      </c>
      <c r="BS988" t="s">
        <v>4024</v>
      </c>
      <c r="BV988">
        <v>1445</v>
      </c>
      <c r="BW988">
        <v>2465</v>
      </c>
      <c r="BX988">
        <v>1953</v>
      </c>
      <c r="BY988">
        <v>-4200</v>
      </c>
      <c r="BZ988">
        <v>-4200</v>
      </c>
      <c r="CA988">
        <v>-4363</v>
      </c>
      <c r="CB988">
        <v>-4538</v>
      </c>
      <c r="CC988">
        <v>-4720</v>
      </c>
      <c r="CD988">
        <v>2197</v>
      </c>
      <c r="CE988" t="s">
        <v>3108</v>
      </c>
      <c r="CF988" t="s">
        <v>3108</v>
      </c>
      <c r="CG988" t="s">
        <v>3108</v>
      </c>
      <c r="CH988" t="s">
        <v>3108</v>
      </c>
    </row>
    <row r="989" spans="1:86" x14ac:dyDescent="0.2">
      <c r="A989" t="s">
        <v>4761</v>
      </c>
      <c r="B989" t="s">
        <v>4761</v>
      </c>
      <c r="C989">
        <v>41463</v>
      </c>
      <c r="D989">
        <v>415</v>
      </c>
      <c r="E989" t="s">
        <v>4762</v>
      </c>
      <c r="F989">
        <v>2000</v>
      </c>
      <c r="G989" t="s">
        <v>408</v>
      </c>
      <c r="H989" t="s">
        <v>4064</v>
      </c>
      <c r="I989" t="s">
        <v>1340</v>
      </c>
      <c r="J989">
        <v>2001</v>
      </c>
      <c r="K989" t="s">
        <v>1135</v>
      </c>
      <c r="L989">
        <v>3200</v>
      </c>
      <c r="M989" t="s">
        <v>128</v>
      </c>
      <c r="N989">
        <v>3205</v>
      </c>
      <c r="O989" t="s">
        <v>629</v>
      </c>
      <c r="P989" t="s">
        <v>3108</v>
      </c>
      <c r="Q989" t="s">
        <v>3249</v>
      </c>
      <c r="R989" t="s">
        <v>3249</v>
      </c>
      <c r="S989" t="s">
        <v>810</v>
      </c>
      <c r="T989" t="s">
        <v>2754</v>
      </c>
      <c r="U989" t="s">
        <v>3250</v>
      </c>
      <c r="V989" t="s">
        <v>3250</v>
      </c>
      <c r="W989" t="s">
        <v>3250</v>
      </c>
      <c r="X989" t="s">
        <v>3250</v>
      </c>
      <c r="Y989" t="s">
        <v>3250</v>
      </c>
      <c r="Z989" t="s">
        <v>3250</v>
      </c>
      <c r="AA989" t="s">
        <v>3108</v>
      </c>
      <c r="AB989" t="s">
        <v>3108</v>
      </c>
      <c r="AC989" t="s">
        <v>3250</v>
      </c>
      <c r="AD989" t="s">
        <v>3250</v>
      </c>
      <c r="AE989" t="s">
        <v>3250</v>
      </c>
      <c r="AF989" t="s">
        <v>3250</v>
      </c>
      <c r="AG989" t="s">
        <v>3250</v>
      </c>
      <c r="AH989" t="s">
        <v>3250</v>
      </c>
      <c r="AI989" t="s">
        <v>3250</v>
      </c>
      <c r="AJ989" t="s">
        <v>3250</v>
      </c>
      <c r="AL989" t="s">
        <v>3250</v>
      </c>
      <c r="AM989" t="s">
        <v>3250</v>
      </c>
      <c r="AN989" t="s">
        <v>3250</v>
      </c>
      <c r="AO989" t="s">
        <v>3250</v>
      </c>
      <c r="AS989" t="s">
        <v>3250</v>
      </c>
      <c r="AT989" t="s">
        <v>3250</v>
      </c>
      <c r="AU989" t="s">
        <v>3250</v>
      </c>
      <c r="AV989" t="s">
        <v>3250</v>
      </c>
      <c r="AW989" t="s">
        <v>3250</v>
      </c>
      <c r="AX989" t="s">
        <v>3250</v>
      </c>
      <c r="AY989" t="s">
        <v>3250</v>
      </c>
      <c r="AZ989" t="s">
        <v>3250</v>
      </c>
      <c r="BA989" t="s">
        <v>3250</v>
      </c>
      <c r="BB989" t="s">
        <v>3250</v>
      </c>
      <c r="BC989" t="s">
        <v>3250</v>
      </c>
      <c r="BE989" t="s">
        <v>3250</v>
      </c>
      <c r="BF989" t="s">
        <v>3250</v>
      </c>
      <c r="BG989" t="s">
        <v>3250</v>
      </c>
      <c r="BH989" t="s">
        <v>3250</v>
      </c>
      <c r="BI989" t="s">
        <v>3250</v>
      </c>
      <c r="BK989" t="s">
        <v>3250</v>
      </c>
      <c r="BL989" t="s">
        <v>3250</v>
      </c>
      <c r="BM989" t="s">
        <v>3250</v>
      </c>
      <c r="BN989" t="s">
        <v>3250</v>
      </c>
      <c r="BO989" t="s">
        <v>2917</v>
      </c>
      <c r="BP989">
        <v>7</v>
      </c>
      <c r="BQ989">
        <v>71</v>
      </c>
      <c r="BR989" t="s">
        <v>629</v>
      </c>
      <c r="BS989" t="s">
        <v>4212</v>
      </c>
      <c r="BV989">
        <v>0</v>
      </c>
      <c r="BW989">
        <v>0</v>
      </c>
      <c r="BX989">
        <v>0</v>
      </c>
      <c r="BY989">
        <v>0</v>
      </c>
      <c r="BZ989">
        <v>0</v>
      </c>
      <c r="CA989">
        <v>0</v>
      </c>
      <c r="CB989">
        <v>0</v>
      </c>
      <c r="CC989">
        <v>0</v>
      </c>
      <c r="CD989">
        <v>0</v>
      </c>
      <c r="CE989" t="s">
        <v>3108</v>
      </c>
      <c r="CF989" t="s">
        <v>3108</v>
      </c>
      <c r="CG989" t="s">
        <v>3108</v>
      </c>
      <c r="CH989" t="s">
        <v>3108</v>
      </c>
    </row>
    <row r="990" spans="1:86" x14ac:dyDescent="0.2">
      <c r="A990" t="s">
        <v>4763</v>
      </c>
      <c r="B990" t="s">
        <v>4763</v>
      </c>
      <c r="C990">
        <v>41464</v>
      </c>
      <c r="D990">
        <v>416</v>
      </c>
      <c r="E990" t="s">
        <v>4764</v>
      </c>
      <c r="F990">
        <v>2000</v>
      </c>
      <c r="G990" t="s">
        <v>408</v>
      </c>
      <c r="H990" t="s">
        <v>4085</v>
      </c>
      <c r="I990" t="s">
        <v>1453</v>
      </c>
      <c r="J990">
        <v>2010</v>
      </c>
      <c r="K990" t="s">
        <v>1453</v>
      </c>
      <c r="L990">
        <v>3200</v>
      </c>
      <c r="M990" t="s">
        <v>128</v>
      </c>
      <c r="N990">
        <v>3205</v>
      </c>
      <c r="O990" t="s">
        <v>629</v>
      </c>
      <c r="P990" t="s">
        <v>3108</v>
      </c>
      <c r="Q990" t="s">
        <v>3249</v>
      </c>
      <c r="R990" t="s">
        <v>3249</v>
      </c>
      <c r="S990" t="s">
        <v>810</v>
      </c>
      <c r="T990" t="s">
        <v>2754</v>
      </c>
      <c r="U990" t="s">
        <v>3250</v>
      </c>
      <c r="V990" t="s">
        <v>3250</v>
      </c>
      <c r="W990" t="s">
        <v>3250</v>
      </c>
      <c r="X990" t="s">
        <v>3250</v>
      </c>
      <c r="Y990" t="s">
        <v>3250</v>
      </c>
      <c r="Z990" t="s">
        <v>3250</v>
      </c>
      <c r="AA990" t="s">
        <v>3108</v>
      </c>
      <c r="AB990" t="s">
        <v>3108</v>
      </c>
      <c r="AC990" t="s">
        <v>3250</v>
      </c>
      <c r="AD990" t="s">
        <v>3250</v>
      </c>
      <c r="AE990" t="s">
        <v>3250</v>
      </c>
      <c r="AF990" t="s">
        <v>3250</v>
      </c>
      <c r="AG990" t="s">
        <v>3250</v>
      </c>
      <c r="AH990" t="s">
        <v>3250</v>
      </c>
      <c r="AI990" t="s">
        <v>3250</v>
      </c>
      <c r="AJ990" t="s">
        <v>3250</v>
      </c>
      <c r="AL990" t="s">
        <v>3250</v>
      </c>
      <c r="AM990" t="s">
        <v>3250</v>
      </c>
      <c r="AN990" t="s">
        <v>3250</v>
      </c>
      <c r="AO990" t="s">
        <v>3250</v>
      </c>
      <c r="AS990" t="s">
        <v>3250</v>
      </c>
      <c r="AT990" t="s">
        <v>3250</v>
      </c>
      <c r="AU990" t="s">
        <v>3250</v>
      </c>
      <c r="AV990" t="s">
        <v>3250</v>
      </c>
      <c r="AW990" t="s">
        <v>3250</v>
      </c>
      <c r="AX990" t="s">
        <v>3250</v>
      </c>
      <c r="AY990" t="s">
        <v>3250</v>
      </c>
      <c r="AZ990" t="s">
        <v>3250</v>
      </c>
      <c r="BA990" t="s">
        <v>3250</v>
      </c>
      <c r="BB990" t="s">
        <v>3250</v>
      </c>
      <c r="BC990" t="s">
        <v>3250</v>
      </c>
      <c r="BE990" t="s">
        <v>3250</v>
      </c>
      <c r="BF990" t="s">
        <v>3250</v>
      </c>
      <c r="BG990" t="s">
        <v>3250</v>
      </c>
      <c r="BH990" t="s">
        <v>3250</v>
      </c>
      <c r="BI990" t="s">
        <v>3250</v>
      </c>
      <c r="BK990" t="s">
        <v>3250</v>
      </c>
      <c r="BL990" t="s">
        <v>3250</v>
      </c>
      <c r="BM990" t="s">
        <v>3250</v>
      </c>
      <c r="BN990" t="s">
        <v>3250</v>
      </c>
      <c r="BO990" t="s">
        <v>2917</v>
      </c>
      <c r="BP990">
        <v>7</v>
      </c>
      <c r="BQ990">
        <v>71</v>
      </c>
      <c r="BR990" t="s">
        <v>629</v>
      </c>
      <c r="BS990" t="s">
        <v>4212</v>
      </c>
      <c r="BV990">
        <v>0</v>
      </c>
      <c r="BW990">
        <v>0</v>
      </c>
      <c r="BX990">
        <v>0</v>
      </c>
      <c r="BY990">
        <v>0</v>
      </c>
      <c r="BZ990">
        <v>0</v>
      </c>
      <c r="CA990">
        <v>0</v>
      </c>
      <c r="CB990">
        <v>0</v>
      </c>
      <c r="CC990">
        <v>0</v>
      </c>
      <c r="CD990">
        <v>0</v>
      </c>
      <c r="CE990" t="s">
        <v>3108</v>
      </c>
      <c r="CF990" t="s">
        <v>3108</v>
      </c>
      <c r="CG990" t="s">
        <v>3108</v>
      </c>
      <c r="CH990" t="s">
        <v>3108</v>
      </c>
    </row>
    <row r="991" spans="1:86" x14ac:dyDescent="0.2">
      <c r="A991" t="s">
        <v>4765</v>
      </c>
      <c r="B991" t="s">
        <v>4765</v>
      </c>
      <c r="C991">
        <v>41465</v>
      </c>
      <c r="D991">
        <v>417</v>
      </c>
      <c r="E991" t="s">
        <v>4766</v>
      </c>
      <c r="F991">
        <v>2000</v>
      </c>
      <c r="G991" t="s">
        <v>408</v>
      </c>
      <c r="H991" t="s">
        <v>4203</v>
      </c>
      <c r="I991" t="s">
        <v>1793</v>
      </c>
      <c r="J991">
        <v>2007</v>
      </c>
      <c r="K991" t="s">
        <v>1793</v>
      </c>
      <c r="L991">
        <v>3200</v>
      </c>
      <c r="M991" t="s">
        <v>128</v>
      </c>
      <c r="N991">
        <v>3205</v>
      </c>
      <c r="O991" t="s">
        <v>629</v>
      </c>
      <c r="P991" t="s">
        <v>3108</v>
      </c>
      <c r="Q991" t="s">
        <v>3249</v>
      </c>
      <c r="R991" t="s">
        <v>3249</v>
      </c>
      <c r="S991" t="s">
        <v>810</v>
      </c>
      <c r="T991" t="s">
        <v>2754</v>
      </c>
      <c r="U991" t="s">
        <v>3250</v>
      </c>
      <c r="V991" t="s">
        <v>3250</v>
      </c>
      <c r="W991" t="s">
        <v>3250</v>
      </c>
      <c r="X991" t="s">
        <v>3250</v>
      </c>
      <c r="Y991" t="s">
        <v>3250</v>
      </c>
      <c r="Z991" t="s">
        <v>3250</v>
      </c>
      <c r="AA991" t="s">
        <v>3108</v>
      </c>
      <c r="AB991" t="s">
        <v>3108</v>
      </c>
      <c r="AC991" t="s">
        <v>3250</v>
      </c>
      <c r="AD991" t="s">
        <v>3250</v>
      </c>
      <c r="AE991" t="s">
        <v>3250</v>
      </c>
      <c r="AF991" t="s">
        <v>3250</v>
      </c>
      <c r="AG991" t="s">
        <v>3250</v>
      </c>
      <c r="AH991" t="s">
        <v>3250</v>
      </c>
      <c r="AI991" t="s">
        <v>3250</v>
      </c>
      <c r="AJ991" t="s">
        <v>3250</v>
      </c>
      <c r="AL991" t="s">
        <v>3250</v>
      </c>
      <c r="AM991" t="s">
        <v>3250</v>
      </c>
      <c r="AN991" t="s">
        <v>3250</v>
      </c>
      <c r="AO991" t="s">
        <v>3250</v>
      </c>
      <c r="AS991" t="s">
        <v>3250</v>
      </c>
      <c r="AT991" t="s">
        <v>3250</v>
      </c>
      <c r="AU991" t="s">
        <v>3250</v>
      </c>
      <c r="AV991" t="s">
        <v>3250</v>
      </c>
      <c r="AW991" t="s">
        <v>3250</v>
      </c>
      <c r="AX991" t="s">
        <v>3250</v>
      </c>
      <c r="AY991" t="s">
        <v>3250</v>
      </c>
      <c r="AZ991" t="s">
        <v>3250</v>
      </c>
      <c r="BA991" t="s">
        <v>3250</v>
      </c>
      <c r="BB991" t="s">
        <v>3250</v>
      </c>
      <c r="BC991" t="s">
        <v>3250</v>
      </c>
      <c r="BE991" t="s">
        <v>3250</v>
      </c>
      <c r="BF991" t="s">
        <v>3250</v>
      </c>
      <c r="BG991" t="s">
        <v>3250</v>
      </c>
      <c r="BH991" t="s">
        <v>3250</v>
      </c>
      <c r="BI991" t="s">
        <v>3250</v>
      </c>
      <c r="BK991" t="s">
        <v>3250</v>
      </c>
      <c r="BL991" t="s">
        <v>3250</v>
      </c>
      <c r="BM991" t="s">
        <v>3250</v>
      </c>
      <c r="BN991" t="s">
        <v>3250</v>
      </c>
      <c r="BO991" t="s">
        <v>2917</v>
      </c>
      <c r="BP991">
        <v>7</v>
      </c>
      <c r="BQ991">
        <v>71</v>
      </c>
      <c r="BR991" t="s">
        <v>629</v>
      </c>
      <c r="BS991" t="s">
        <v>4212</v>
      </c>
      <c r="BV991">
        <v>10200</v>
      </c>
      <c r="BW991">
        <v>9600</v>
      </c>
      <c r="BX991">
        <v>7200</v>
      </c>
      <c r="BY991">
        <v>6000</v>
      </c>
      <c r="BZ991">
        <v>6000</v>
      </c>
      <c r="CA991">
        <v>6420</v>
      </c>
      <c r="CB991">
        <v>6869</v>
      </c>
      <c r="CC991">
        <v>7350</v>
      </c>
      <c r="CD991">
        <v>20000</v>
      </c>
      <c r="CE991" t="s">
        <v>3108</v>
      </c>
      <c r="CF991" t="s">
        <v>3108</v>
      </c>
      <c r="CG991" t="s">
        <v>3108</v>
      </c>
      <c r="CH991" t="s">
        <v>3108</v>
      </c>
    </row>
    <row r="992" spans="1:86" x14ac:dyDescent="0.2">
      <c r="A992" t="s">
        <v>4767</v>
      </c>
      <c r="B992" t="s">
        <v>4767</v>
      </c>
      <c r="C992">
        <v>41466</v>
      </c>
      <c r="D992">
        <v>418</v>
      </c>
      <c r="E992" t="s">
        <v>4768</v>
      </c>
      <c r="F992">
        <v>2000</v>
      </c>
      <c r="G992" t="s">
        <v>408</v>
      </c>
      <c r="H992" t="s">
        <v>4088</v>
      </c>
      <c r="I992" t="s">
        <v>1941</v>
      </c>
      <c r="J992">
        <v>2008</v>
      </c>
      <c r="K992" t="s">
        <v>1941</v>
      </c>
      <c r="L992">
        <v>3200</v>
      </c>
      <c r="M992" t="s">
        <v>128</v>
      </c>
      <c r="N992">
        <v>3205</v>
      </c>
      <c r="O992" t="s">
        <v>629</v>
      </c>
      <c r="P992" t="s">
        <v>3108</v>
      </c>
      <c r="Q992" t="s">
        <v>3249</v>
      </c>
      <c r="R992" t="s">
        <v>3249</v>
      </c>
      <c r="S992" t="s">
        <v>810</v>
      </c>
      <c r="T992" t="s">
        <v>2754</v>
      </c>
      <c r="U992" t="s">
        <v>3250</v>
      </c>
      <c r="V992" t="s">
        <v>3250</v>
      </c>
      <c r="W992" t="s">
        <v>3250</v>
      </c>
      <c r="X992" t="s">
        <v>3250</v>
      </c>
      <c r="Y992" t="s">
        <v>3250</v>
      </c>
      <c r="Z992" t="s">
        <v>3250</v>
      </c>
      <c r="AA992" t="s">
        <v>3108</v>
      </c>
      <c r="AB992" t="s">
        <v>3108</v>
      </c>
      <c r="AC992" t="s">
        <v>3250</v>
      </c>
      <c r="AD992" t="s">
        <v>3250</v>
      </c>
      <c r="AE992" t="s">
        <v>3250</v>
      </c>
      <c r="AF992" t="s">
        <v>3250</v>
      </c>
      <c r="AG992" t="s">
        <v>3250</v>
      </c>
      <c r="AH992" t="s">
        <v>3250</v>
      </c>
      <c r="AI992" t="s">
        <v>3250</v>
      </c>
      <c r="AJ992" t="s">
        <v>3250</v>
      </c>
      <c r="AL992" t="s">
        <v>3250</v>
      </c>
      <c r="AM992" t="s">
        <v>3250</v>
      </c>
      <c r="AN992" t="s">
        <v>3250</v>
      </c>
      <c r="AO992" t="s">
        <v>3250</v>
      </c>
      <c r="AS992" t="s">
        <v>3250</v>
      </c>
      <c r="AT992" t="s">
        <v>3250</v>
      </c>
      <c r="AU992" t="s">
        <v>3250</v>
      </c>
      <c r="AV992" t="s">
        <v>3250</v>
      </c>
      <c r="AW992" t="s">
        <v>3250</v>
      </c>
      <c r="AX992" t="s">
        <v>3250</v>
      </c>
      <c r="AY992" t="s">
        <v>3250</v>
      </c>
      <c r="AZ992" t="s">
        <v>3250</v>
      </c>
      <c r="BA992" t="s">
        <v>3250</v>
      </c>
      <c r="BB992" t="s">
        <v>3250</v>
      </c>
      <c r="BC992" t="s">
        <v>3250</v>
      </c>
      <c r="BE992" t="s">
        <v>3250</v>
      </c>
      <c r="BF992" t="s">
        <v>3250</v>
      </c>
      <c r="BG992" t="s">
        <v>3250</v>
      </c>
      <c r="BH992" t="s">
        <v>3250</v>
      </c>
      <c r="BI992" t="s">
        <v>3250</v>
      </c>
      <c r="BK992" t="s">
        <v>3250</v>
      </c>
      <c r="BL992" t="s">
        <v>3250</v>
      </c>
      <c r="BM992" t="s">
        <v>3250</v>
      </c>
      <c r="BN992" t="s">
        <v>3250</v>
      </c>
      <c r="BO992" t="s">
        <v>2917</v>
      </c>
      <c r="BP992">
        <v>7</v>
      </c>
      <c r="BQ992">
        <v>71</v>
      </c>
      <c r="BR992" t="s">
        <v>629</v>
      </c>
      <c r="BS992" t="s">
        <v>4212</v>
      </c>
      <c r="BV992">
        <v>0</v>
      </c>
      <c r="BW992">
        <v>0</v>
      </c>
      <c r="BX992">
        <v>0</v>
      </c>
      <c r="BY992">
        <v>0</v>
      </c>
      <c r="BZ992">
        <v>0</v>
      </c>
      <c r="CA992">
        <v>0</v>
      </c>
      <c r="CB992">
        <v>0</v>
      </c>
      <c r="CC992">
        <v>0</v>
      </c>
      <c r="CD992">
        <v>0</v>
      </c>
      <c r="CE992" t="s">
        <v>3108</v>
      </c>
      <c r="CF992" t="s">
        <v>3108</v>
      </c>
      <c r="CG992" t="s">
        <v>3108</v>
      </c>
      <c r="CH992" t="s">
        <v>3108</v>
      </c>
    </row>
    <row r="993" spans="1:86" x14ac:dyDescent="0.2">
      <c r="A993" t="s">
        <v>4769</v>
      </c>
      <c r="B993" t="s">
        <v>4769</v>
      </c>
      <c r="C993">
        <v>41467</v>
      </c>
      <c r="D993">
        <v>419</v>
      </c>
      <c r="E993" t="s">
        <v>4770</v>
      </c>
      <c r="F993">
        <v>2000</v>
      </c>
      <c r="G993" t="s">
        <v>408</v>
      </c>
      <c r="H993" t="s">
        <v>4094</v>
      </c>
      <c r="I993" t="s">
        <v>1135</v>
      </c>
      <c r="J993">
        <v>2001</v>
      </c>
      <c r="K993" t="s">
        <v>1135</v>
      </c>
      <c r="L993">
        <v>3200</v>
      </c>
      <c r="M993" t="s">
        <v>128</v>
      </c>
      <c r="N993">
        <v>3205</v>
      </c>
      <c r="O993" t="s">
        <v>629</v>
      </c>
      <c r="P993" t="s">
        <v>3108</v>
      </c>
      <c r="Q993" t="s">
        <v>3249</v>
      </c>
      <c r="R993" t="s">
        <v>3249</v>
      </c>
      <c r="S993" t="s">
        <v>810</v>
      </c>
      <c r="T993" t="s">
        <v>2754</v>
      </c>
      <c r="U993" t="s">
        <v>3250</v>
      </c>
      <c r="V993" t="s">
        <v>3250</v>
      </c>
      <c r="W993" t="s">
        <v>3250</v>
      </c>
      <c r="X993" t="s">
        <v>3250</v>
      </c>
      <c r="Y993" t="s">
        <v>3250</v>
      </c>
      <c r="Z993" t="s">
        <v>3250</v>
      </c>
      <c r="AA993" t="s">
        <v>3108</v>
      </c>
      <c r="AB993" t="s">
        <v>3108</v>
      </c>
      <c r="AC993" t="s">
        <v>3250</v>
      </c>
      <c r="AD993" t="s">
        <v>3250</v>
      </c>
      <c r="AE993" t="s">
        <v>3250</v>
      </c>
      <c r="AF993" t="s">
        <v>3250</v>
      </c>
      <c r="AG993" t="s">
        <v>3250</v>
      </c>
      <c r="AH993" t="s">
        <v>3250</v>
      </c>
      <c r="AI993" t="s">
        <v>3250</v>
      </c>
      <c r="AJ993" t="s">
        <v>3250</v>
      </c>
      <c r="AL993" t="s">
        <v>3250</v>
      </c>
      <c r="AM993" t="s">
        <v>3250</v>
      </c>
      <c r="AN993" t="s">
        <v>3250</v>
      </c>
      <c r="AO993" t="s">
        <v>3250</v>
      </c>
      <c r="AS993" t="s">
        <v>3250</v>
      </c>
      <c r="AT993" t="s">
        <v>3250</v>
      </c>
      <c r="AU993" t="s">
        <v>3250</v>
      </c>
      <c r="AV993" t="s">
        <v>3250</v>
      </c>
      <c r="AW993" t="s">
        <v>3250</v>
      </c>
      <c r="AX993" t="s">
        <v>3250</v>
      </c>
      <c r="AY993" t="s">
        <v>3250</v>
      </c>
      <c r="AZ993" t="s">
        <v>3250</v>
      </c>
      <c r="BA993" t="s">
        <v>3250</v>
      </c>
      <c r="BB993" t="s">
        <v>3250</v>
      </c>
      <c r="BC993" t="s">
        <v>3250</v>
      </c>
      <c r="BE993" t="s">
        <v>3250</v>
      </c>
      <c r="BF993" t="s">
        <v>3250</v>
      </c>
      <c r="BG993" t="s">
        <v>3250</v>
      </c>
      <c r="BH993" t="s">
        <v>3250</v>
      </c>
      <c r="BI993" t="s">
        <v>3250</v>
      </c>
      <c r="BK993" t="s">
        <v>3250</v>
      </c>
      <c r="BL993" t="s">
        <v>3250</v>
      </c>
      <c r="BM993" t="s">
        <v>3250</v>
      </c>
      <c r="BN993" t="s">
        <v>3250</v>
      </c>
      <c r="BO993" t="s">
        <v>2917</v>
      </c>
      <c r="BP993">
        <v>7</v>
      </c>
      <c r="BQ993">
        <v>71</v>
      </c>
      <c r="BR993" t="s">
        <v>629</v>
      </c>
      <c r="BS993" t="s">
        <v>4212</v>
      </c>
      <c r="BV993">
        <v>679273</v>
      </c>
      <c r="BW993">
        <v>755023</v>
      </c>
      <c r="BX993">
        <v>540570</v>
      </c>
      <c r="BY993">
        <v>886332</v>
      </c>
      <c r="BZ993">
        <v>886332</v>
      </c>
      <c r="CA993">
        <v>948375</v>
      </c>
      <c r="CB993">
        <v>1014761</v>
      </c>
      <c r="CC993">
        <v>1085795</v>
      </c>
      <c r="CD993">
        <v>455375</v>
      </c>
      <c r="CE993" t="s">
        <v>3108</v>
      </c>
      <c r="CF993" t="s">
        <v>3108</v>
      </c>
      <c r="CG993" t="s">
        <v>3108</v>
      </c>
      <c r="CH993" t="s">
        <v>3108</v>
      </c>
    </row>
    <row r="994" spans="1:86" x14ac:dyDescent="0.2">
      <c r="A994" t="s">
        <v>4771</v>
      </c>
      <c r="B994" t="s">
        <v>4771</v>
      </c>
      <c r="C994">
        <v>41468</v>
      </c>
      <c r="D994">
        <v>420</v>
      </c>
      <c r="E994" t="s">
        <v>4772</v>
      </c>
      <c r="F994">
        <v>2000</v>
      </c>
      <c r="G994" t="s">
        <v>408</v>
      </c>
      <c r="H994" t="s">
        <v>4082</v>
      </c>
      <c r="I994" t="s">
        <v>652</v>
      </c>
      <c r="J994">
        <v>2005</v>
      </c>
      <c r="K994" t="s">
        <v>652</v>
      </c>
      <c r="L994">
        <v>3200</v>
      </c>
      <c r="M994" t="s">
        <v>128</v>
      </c>
      <c r="N994">
        <v>3205</v>
      </c>
      <c r="O994" t="s">
        <v>629</v>
      </c>
      <c r="P994" t="s">
        <v>3108</v>
      </c>
      <c r="Q994" t="s">
        <v>3249</v>
      </c>
      <c r="R994" t="s">
        <v>3249</v>
      </c>
      <c r="S994" t="s">
        <v>810</v>
      </c>
      <c r="T994" t="s">
        <v>2754</v>
      </c>
      <c r="U994" t="s">
        <v>3250</v>
      </c>
      <c r="V994" t="s">
        <v>3250</v>
      </c>
      <c r="W994" t="s">
        <v>3250</v>
      </c>
      <c r="X994" t="s">
        <v>3250</v>
      </c>
      <c r="Y994" t="s">
        <v>3250</v>
      </c>
      <c r="Z994" t="s">
        <v>3250</v>
      </c>
      <c r="AA994" t="s">
        <v>3108</v>
      </c>
      <c r="AB994" t="s">
        <v>3108</v>
      </c>
      <c r="AC994" t="s">
        <v>3250</v>
      </c>
      <c r="AD994" t="s">
        <v>3250</v>
      </c>
      <c r="AE994" t="s">
        <v>3250</v>
      </c>
      <c r="AF994" t="s">
        <v>3250</v>
      </c>
      <c r="AG994" t="s">
        <v>3250</v>
      </c>
      <c r="AH994" t="s">
        <v>3250</v>
      </c>
      <c r="AI994" t="s">
        <v>3250</v>
      </c>
      <c r="AJ994" t="s">
        <v>3250</v>
      </c>
      <c r="AL994" t="s">
        <v>3250</v>
      </c>
      <c r="AM994" t="s">
        <v>3250</v>
      </c>
      <c r="AN994" t="s">
        <v>3250</v>
      </c>
      <c r="AO994" t="s">
        <v>3250</v>
      </c>
      <c r="AS994" t="s">
        <v>3250</v>
      </c>
      <c r="AT994" t="s">
        <v>3250</v>
      </c>
      <c r="AU994" t="s">
        <v>3250</v>
      </c>
      <c r="AV994" t="s">
        <v>3250</v>
      </c>
      <c r="AW994" t="s">
        <v>3250</v>
      </c>
      <c r="AX994" t="s">
        <v>3250</v>
      </c>
      <c r="AY994" t="s">
        <v>3250</v>
      </c>
      <c r="AZ994" t="s">
        <v>3250</v>
      </c>
      <c r="BA994" t="s">
        <v>3250</v>
      </c>
      <c r="BB994" t="s">
        <v>3250</v>
      </c>
      <c r="BC994" t="s">
        <v>3250</v>
      </c>
      <c r="BE994" t="s">
        <v>3250</v>
      </c>
      <c r="BF994" t="s">
        <v>3250</v>
      </c>
      <c r="BG994" t="s">
        <v>3250</v>
      </c>
      <c r="BH994" t="s">
        <v>3250</v>
      </c>
      <c r="BI994" t="s">
        <v>3250</v>
      </c>
      <c r="BK994" t="s">
        <v>3250</v>
      </c>
      <c r="BL994" t="s">
        <v>3250</v>
      </c>
      <c r="BM994" t="s">
        <v>3250</v>
      </c>
      <c r="BN994" t="s">
        <v>3250</v>
      </c>
      <c r="BO994" t="s">
        <v>2917</v>
      </c>
      <c r="BP994">
        <v>7</v>
      </c>
      <c r="BQ994">
        <v>71</v>
      </c>
      <c r="BR994" t="s">
        <v>629</v>
      </c>
      <c r="BS994" t="s">
        <v>4212</v>
      </c>
      <c r="BV994">
        <v>49818</v>
      </c>
      <c r="BW994">
        <v>0</v>
      </c>
      <c r="BX994">
        <v>0</v>
      </c>
      <c r="BY994">
        <v>0</v>
      </c>
      <c r="BZ994">
        <v>0</v>
      </c>
      <c r="CA994">
        <v>0</v>
      </c>
      <c r="CB994">
        <v>0</v>
      </c>
      <c r="CC994">
        <v>0</v>
      </c>
      <c r="CD994">
        <v>0</v>
      </c>
      <c r="CE994" t="s">
        <v>3108</v>
      </c>
      <c r="CF994" t="s">
        <v>3108</v>
      </c>
      <c r="CG994" t="s">
        <v>3108</v>
      </c>
      <c r="CH994" t="s">
        <v>3108</v>
      </c>
    </row>
    <row r="995" spans="1:86" x14ac:dyDescent="0.2">
      <c r="A995" t="s">
        <v>4773</v>
      </c>
      <c r="B995" t="s">
        <v>4773</v>
      </c>
      <c r="C995">
        <v>41469</v>
      </c>
      <c r="D995">
        <v>421</v>
      </c>
      <c r="E995" t="s">
        <v>4061</v>
      </c>
      <c r="F995">
        <v>2900</v>
      </c>
      <c r="G995" t="s">
        <v>822</v>
      </c>
      <c r="H995" t="s">
        <v>3108</v>
      </c>
      <c r="I995" t="s">
        <v>3108</v>
      </c>
      <c r="J995">
        <v>2904</v>
      </c>
      <c r="K995" t="s">
        <v>1690</v>
      </c>
      <c r="L995">
        <v>1200</v>
      </c>
      <c r="M995" t="s">
        <v>2368</v>
      </c>
      <c r="N995">
        <v>1204</v>
      </c>
      <c r="O995" t="s">
        <v>1574</v>
      </c>
      <c r="P995" t="s">
        <v>3108</v>
      </c>
      <c r="Q995" t="s">
        <v>3249</v>
      </c>
      <c r="R995" t="s">
        <v>3249</v>
      </c>
      <c r="S995" t="s">
        <v>810</v>
      </c>
      <c r="T995" t="s">
        <v>2754</v>
      </c>
      <c r="U995" t="s">
        <v>3250</v>
      </c>
      <c r="V995" t="s">
        <v>3250</v>
      </c>
      <c r="W995" t="s">
        <v>3250</v>
      </c>
      <c r="X995" t="s">
        <v>3250</v>
      </c>
      <c r="Y995" t="s">
        <v>3250</v>
      </c>
      <c r="Z995" t="s">
        <v>3250</v>
      </c>
      <c r="AA995" t="s">
        <v>3108</v>
      </c>
      <c r="AB995" t="s">
        <v>3108</v>
      </c>
      <c r="AC995" t="s">
        <v>3250</v>
      </c>
      <c r="AD995" t="s">
        <v>3250</v>
      </c>
      <c r="AE995" t="s">
        <v>3250</v>
      </c>
      <c r="AF995" t="s">
        <v>3250</v>
      </c>
      <c r="AG995" t="s">
        <v>3250</v>
      </c>
      <c r="AH995" t="s">
        <v>3250</v>
      </c>
      <c r="AI995" t="s">
        <v>3250</v>
      </c>
      <c r="AJ995" t="s">
        <v>3250</v>
      </c>
      <c r="AL995" t="s">
        <v>3250</v>
      </c>
      <c r="AM995" t="s">
        <v>3250</v>
      </c>
      <c r="AN995" t="s">
        <v>3250</v>
      </c>
      <c r="AO995" t="s">
        <v>3250</v>
      </c>
      <c r="AS995" t="s">
        <v>3250</v>
      </c>
      <c r="AT995" t="s">
        <v>3250</v>
      </c>
      <c r="AU995" t="s">
        <v>3250</v>
      </c>
      <c r="AV995" t="s">
        <v>3250</v>
      </c>
      <c r="AW995" t="s">
        <v>3250</v>
      </c>
      <c r="AX995" t="s">
        <v>3250</v>
      </c>
      <c r="AY995" t="s">
        <v>3250</v>
      </c>
      <c r="AZ995" t="s">
        <v>3250</v>
      </c>
      <c r="BA995" t="s">
        <v>3250</v>
      </c>
      <c r="BB995" t="s">
        <v>3250</v>
      </c>
      <c r="BC995" t="s">
        <v>3250</v>
      </c>
      <c r="BE995" t="s">
        <v>3250</v>
      </c>
      <c r="BF995" t="s">
        <v>3250</v>
      </c>
      <c r="BG995" t="s">
        <v>3250</v>
      </c>
      <c r="BH995" t="s">
        <v>3250</v>
      </c>
      <c r="BI995" t="s">
        <v>3250</v>
      </c>
      <c r="BK995" t="s">
        <v>3250</v>
      </c>
      <c r="BL995" t="s">
        <v>3250</v>
      </c>
      <c r="BM995" t="s">
        <v>3250</v>
      </c>
      <c r="BN995" t="s">
        <v>3250</v>
      </c>
      <c r="BP995">
        <v>1</v>
      </c>
      <c r="BQ995">
        <v>11</v>
      </c>
      <c r="BR995" t="s">
        <v>1574</v>
      </c>
      <c r="BS995" t="s">
        <v>3252</v>
      </c>
      <c r="BV995">
        <v>0</v>
      </c>
      <c r="BW995">
        <v>0</v>
      </c>
      <c r="BX995">
        <v>0</v>
      </c>
      <c r="BY995">
        <v>0</v>
      </c>
      <c r="BZ995">
        <v>0</v>
      </c>
      <c r="CA995">
        <v>0</v>
      </c>
      <c r="CB995">
        <v>0</v>
      </c>
      <c r="CC995">
        <v>0</v>
      </c>
      <c r="CD995">
        <v>0</v>
      </c>
      <c r="CE995" t="s">
        <v>3108</v>
      </c>
      <c r="CF995" t="s">
        <v>3108</v>
      </c>
      <c r="CG995" t="s">
        <v>3108</v>
      </c>
      <c r="CH995" t="s">
        <v>3108</v>
      </c>
    </row>
    <row r="996" spans="1:86" x14ac:dyDescent="0.2">
      <c r="A996" t="s">
        <v>4774</v>
      </c>
      <c r="B996" t="s">
        <v>4774</v>
      </c>
      <c r="C996">
        <v>41470</v>
      </c>
      <c r="D996">
        <v>422</v>
      </c>
      <c r="E996" t="s">
        <v>4059</v>
      </c>
      <c r="F996">
        <v>2900</v>
      </c>
      <c r="G996" t="s">
        <v>822</v>
      </c>
      <c r="H996" t="s">
        <v>3108</v>
      </c>
      <c r="I996" t="s">
        <v>3108</v>
      </c>
      <c r="J996">
        <v>2904</v>
      </c>
      <c r="K996" t="s">
        <v>1690</v>
      </c>
      <c r="L996">
        <v>1200</v>
      </c>
      <c r="M996" t="s">
        <v>2368</v>
      </c>
      <c r="N996">
        <v>1204</v>
      </c>
      <c r="O996" t="s">
        <v>1574</v>
      </c>
      <c r="P996" t="s">
        <v>3108</v>
      </c>
      <c r="Q996" t="s">
        <v>3249</v>
      </c>
      <c r="R996" t="s">
        <v>3249</v>
      </c>
      <c r="S996" t="s">
        <v>810</v>
      </c>
      <c r="T996" t="s">
        <v>2754</v>
      </c>
      <c r="U996" t="s">
        <v>3250</v>
      </c>
      <c r="V996" t="s">
        <v>3250</v>
      </c>
      <c r="W996" t="s">
        <v>3250</v>
      </c>
      <c r="X996" t="s">
        <v>3250</v>
      </c>
      <c r="Y996" t="s">
        <v>3250</v>
      </c>
      <c r="Z996" t="s">
        <v>3250</v>
      </c>
      <c r="AA996" t="s">
        <v>3108</v>
      </c>
      <c r="AB996" t="s">
        <v>3108</v>
      </c>
      <c r="AC996" t="s">
        <v>3250</v>
      </c>
      <c r="AD996" t="s">
        <v>3250</v>
      </c>
      <c r="AE996" t="s">
        <v>3250</v>
      </c>
      <c r="AF996" t="s">
        <v>3250</v>
      </c>
      <c r="AG996" t="s">
        <v>3250</v>
      </c>
      <c r="AH996" t="s">
        <v>3250</v>
      </c>
      <c r="AI996" t="s">
        <v>3250</v>
      </c>
      <c r="AJ996" t="s">
        <v>3250</v>
      </c>
      <c r="AL996" t="s">
        <v>3250</v>
      </c>
      <c r="AM996" t="s">
        <v>3250</v>
      </c>
      <c r="AN996" t="s">
        <v>3250</v>
      </c>
      <c r="AO996" t="s">
        <v>3250</v>
      </c>
      <c r="AS996" t="s">
        <v>3250</v>
      </c>
      <c r="AT996" t="s">
        <v>3250</v>
      </c>
      <c r="AU996" t="s">
        <v>3250</v>
      </c>
      <c r="AV996" t="s">
        <v>3250</v>
      </c>
      <c r="AW996" t="s">
        <v>3250</v>
      </c>
      <c r="AX996" t="s">
        <v>3250</v>
      </c>
      <c r="AY996" t="s">
        <v>3250</v>
      </c>
      <c r="AZ996" t="s">
        <v>3250</v>
      </c>
      <c r="BA996" t="s">
        <v>3250</v>
      </c>
      <c r="BB996" t="s">
        <v>3250</v>
      </c>
      <c r="BC996" t="s">
        <v>3250</v>
      </c>
      <c r="BE996" t="s">
        <v>3250</v>
      </c>
      <c r="BF996" t="s">
        <v>3250</v>
      </c>
      <c r="BG996" t="s">
        <v>3250</v>
      </c>
      <c r="BH996" t="s">
        <v>3250</v>
      </c>
      <c r="BI996" t="s">
        <v>3250</v>
      </c>
      <c r="BK996" t="s">
        <v>3250</v>
      </c>
      <c r="BL996" t="s">
        <v>3250</v>
      </c>
      <c r="BM996" t="s">
        <v>3250</v>
      </c>
      <c r="BN996" t="s">
        <v>3250</v>
      </c>
      <c r="BP996">
        <v>1</v>
      </c>
      <c r="BQ996">
        <v>11</v>
      </c>
      <c r="BR996" t="s">
        <v>1574</v>
      </c>
      <c r="BS996" t="s">
        <v>3252</v>
      </c>
      <c r="BV996">
        <v>0</v>
      </c>
      <c r="BW996">
        <v>0</v>
      </c>
      <c r="BX996">
        <v>0</v>
      </c>
      <c r="BY996">
        <v>0</v>
      </c>
      <c r="BZ996">
        <v>0</v>
      </c>
      <c r="CA996">
        <v>0</v>
      </c>
      <c r="CB996">
        <v>0</v>
      </c>
      <c r="CC996">
        <v>0</v>
      </c>
      <c r="CD996">
        <v>0</v>
      </c>
      <c r="CE996" t="s">
        <v>3108</v>
      </c>
      <c r="CF996" t="s">
        <v>3108</v>
      </c>
      <c r="CG996" t="s">
        <v>3108</v>
      </c>
      <c r="CH996" t="s">
        <v>3108</v>
      </c>
    </row>
    <row r="997" spans="1:86" x14ac:dyDescent="0.2">
      <c r="A997" t="s">
        <v>4775</v>
      </c>
      <c r="B997" t="s">
        <v>4775</v>
      </c>
      <c r="C997">
        <v>41471</v>
      </c>
      <c r="D997">
        <v>423</v>
      </c>
      <c r="E997" t="s">
        <v>4776</v>
      </c>
      <c r="F997">
        <v>2000</v>
      </c>
      <c r="G997" t="s">
        <v>408</v>
      </c>
      <c r="H997" t="s">
        <v>4064</v>
      </c>
      <c r="I997" t="s">
        <v>1340</v>
      </c>
      <c r="J997">
        <v>2009</v>
      </c>
      <c r="K997" t="s">
        <v>1340</v>
      </c>
      <c r="L997">
        <v>3200</v>
      </c>
      <c r="M997" t="s">
        <v>128</v>
      </c>
      <c r="N997">
        <v>3205</v>
      </c>
      <c r="O997" t="s">
        <v>629</v>
      </c>
      <c r="P997" t="s">
        <v>3108</v>
      </c>
      <c r="Q997" t="s">
        <v>3249</v>
      </c>
      <c r="R997" t="s">
        <v>3249</v>
      </c>
      <c r="S997" t="s">
        <v>810</v>
      </c>
      <c r="T997" t="s">
        <v>2754</v>
      </c>
      <c r="U997" t="s">
        <v>3250</v>
      </c>
      <c r="V997" t="s">
        <v>3250</v>
      </c>
      <c r="W997" t="s">
        <v>3250</v>
      </c>
      <c r="X997" t="s">
        <v>3250</v>
      </c>
      <c r="Y997" t="s">
        <v>3250</v>
      </c>
      <c r="Z997" t="s">
        <v>3250</v>
      </c>
      <c r="AA997" t="s">
        <v>3108</v>
      </c>
      <c r="AB997" t="s">
        <v>3108</v>
      </c>
      <c r="AC997" t="s">
        <v>3250</v>
      </c>
      <c r="AD997" t="s">
        <v>3250</v>
      </c>
      <c r="AE997" t="s">
        <v>3250</v>
      </c>
      <c r="AF997" t="s">
        <v>3250</v>
      </c>
      <c r="AG997" t="s">
        <v>3250</v>
      </c>
      <c r="AH997" t="s">
        <v>3250</v>
      </c>
      <c r="AI997" t="s">
        <v>3250</v>
      </c>
      <c r="AJ997" t="s">
        <v>3250</v>
      </c>
      <c r="AL997" t="s">
        <v>3250</v>
      </c>
      <c r="AM997" t="s">
        <v>3250</v>
      </c>
      <c r="AN997" t="s">
        <v>3250</v>
      </c>
      <c r="AO997" t="s">
        <v>3250</v>
      </c>
      <c r="AS997" t="s">
        <v>3250</v>
      </c>
      <c r="AT997" t="s">
        <v>3250</v>
      </c>
      <c r="AU997" t="s">
        <v>3250</v>
      </c>
      <c r="AV997" t="s">
        <v>3250</v>
      </c>
      <c r="AW997" t="s">
        <v>3250</v>
      </c>
      <c r="AX997" t="s">
        <v>3250</v>
      </c>
      <c r="AY997" t="s">
        <v>3250</v>
      </c>
      <c r="AZ997" t="s">
        <v>3250</v>
      </c>
      <c r="BA997" t="s">
        <v>3250</v>
      </c>
      <c r="BB997" t="s">
        <v>3250</v>
      </c>
      <c r="BC997" t="s">
        <v>3250</v>
      </c>
      <c r="BE997" t="s">
        <v>3250</v>
      </c>
      <c r="BF997" t="s">
        <v>3250</v>
      </c>
      <c r="BG997" t="s">
        <v>3250</v>
      </c>
      <c r="BH997" t="s">
        <v>3250</v>
      </c>
      <c r="BI997" t="s">
        <v>3250</v>
      </c>
      <c r="BK997" t="s">
        <v>3250</v>
      </c>
      <c r="BL997" t="s">
        <v>3250</v>
      </c>
      <c r="BM997" t="s">
        <v>3250</v>
      </c>
      <c r="BN997" t="s">
        <v>3250</v>
      </c>
      <c r="BO997" t="s">
        <v>2917</v>
      </c>
      <c r="BP997">
        <v>7</v>
      </c>
      <c r="BQ997">
        <v>71</v>
      </c>
      <c r="BR997" t="s">
        <v>629</v>
      </c>
      <c r="BS997" t="s">
        <v>4212</v>
      </c>
      <c r="BV997">
        <v>0</v>
      </c>
      <c r="BW997">
        <v>9</v>
      </c>
      <c r="BX997">
        <v>74</v>
      </c>
      <c r="BY997">
        <v>0</v>
      </c>
      <c r="BZ997">
        <v>0</v>
      </c>
      <c r="CA997">
        <v>0</v>
      </c>
      <c r="CB997">
        <v>0</v>
      </c>
      <c r="CC997">
        <v>0</v>
      </c>
      <c r="CD997">
        <v>0</v>
      </c>
      <c r="CE997" t="s">
        <v>3108</v>
      </c>
      <c r="CF997" t="s">
        <v>3108</v>
      </c>
      <c r="CG997" t="s">
        <v>3108</v>
      </c>
      <c r="CH997" t="s">
        <v>3108</v>
      </c>
    </row>
    <row r="998" spans="1:86" x14ac:dyDescent="0.2">
      <c r="A998" t="s">
        <v>4777</v>
      </c>
      <c r="B998" t="s">
        <v>4777</v>
      </c>
      <c r="C998">
        <v>41472</v>
      </c>
      <c r="D998">
        <v>424</v>
      </c>
      <c r="E998" t="s">
        <v>4778</v>
      </c>
      <c r="F998">
        <v>2000</v>
      </c>
      <c r="G998" t="s">
        <v>408</v>
      </c>
      <c r="H998" t="s">
        <v>4067</v>
      </c>
      <c r="I998" t="s">
        <v>650</v>
      </c>
      <c r="J998">
        <v>2003</v>
      </c>
      <c r="K998" t="s">
        <v>650</v>
      </c>
      <c r="L998">
        <v>3200</v>
      </c>
      <c r="M998" t="s">
        <v>128</v>
      </c>
      <c r="N998">
        <v>3205</v>
      </c>
      <c r="O998" t="s">
        <v>629</v>
      </c>
      <c r="P998" t="s">
        <v>3108</v>
      </c>
      <c r="Q998" t="s">
        <v>3249</v>
      </c>
      <c r="R998" t="s">
        <v>3249</v>
      </c>
      <c r="S998" t="s">
        <v>810</v>
      </c>
      <c r="T998" t="s">
        <v>2754</v>
      </c>
      <c r="U998" t="s">
        <v>3250</v>
      </c>
      <c r="V998" t="s">
        <v>3250</v>
      </c>
      <c r="W998" t="s">
        <v>3250</v>
      </c>
      <c r="X998" t="s">
        <v>3250</v>
      </c>
      <c r="Y998" t="s">
        <v>3250</v>
      </c>
      <c r="Z998" t="s">
        <v>3250</v>
      </c>
      <c r="AA998" t="s">
        <v>3108</v>
      </c>
      <c r="AB998" t="s">
        <v>3108</v>
      </c>
      <c r="AC998" t="s">
        <v>3250</v>
      </c>
      <c r="AD998" t="s">
        <v>3250</v>
      </c>
      <c r="AE998" t="s">
        <v>3250</v>
      </c>
      <c r="AF998" t="s">
        <v>3250</v>
      </c>
      <c r="AG998" t="s">
        <v>3250</v>
      </c>
      <c r="AH998" t="s">
        <v>3250</v>
      </c>
      <c r="AI998" t="s">
        <v>3250</v>
      </c>
      <c r="AJ998" t="s">
        <v>3250</v>
      </c>
      <c r="AL998" t="s">
        <v>3250</v>
      </c>
      <c r="AM998" t="s">
        <v>3250</v>
      </c>
      <c r="AN998" t="s">
        <v>3250</v>
      </c>
      <c r="AO998" t="s">
        <v>3250</v>
      </c>
      <c r="AS998" t="s">
        <v>3250</v>
      </c>
      <c r="AT998" t="s">
        <v>3250</v>
      </c>
      <c r="AU998" t="s">
        <v>3250</v>
      </c>
      <c r="AV998" t="s">
        <v>3250</v>
      </c>
      <c r="AW998" t="s">
        <v>3250</v>
      </c>
      <c r="AX998" t="s">
        <v>3250</v>
      </c>
      <c r="AY998" t="s">
        <v>3250</v>
      </c>
      <c r="AZ998" t="s">
        <v>3250</v>
      </c>
      <c r="BA998" t="s">
        <v>3250</v>
      </c>
      <c r="BB998" t="s">
        <v>3250</v>
      </c>
      <c r="BC998" t="s">
        <v>3250</v>
      </c>
      <c r="BE998" t="s">
        <v>3250</v>
      </c>
      <c r="BF998" t="s">
        <v>3250</v>
      </c>
      <c r="BG998" t="s">
        <v>3250</v>
      </c>
      <c r="BH998" t="s">
        <v>3250</v>
      </c>
      <c r="BI998" t="s">
        <v>3250</v>
      </c>
      <c r="BK998" t="s">
        <v>3250</v>
      </c>
      <c r="BL998" t="s">
        <v>3250</v>
      </c>
      <c r="BM998" t="s">
        <v>3250</v>
      </c>
      <c r="BN998" t="s">
        <v>3250</v>
      </c>
      <c r="BO998" t="s">
        <v>2917</v>
      </c>
      <c r="BP998">
        <v>7</v>
      </c>
      <c r="BQ998">
        <v>71</v>
      </c>
      <c r="BR998" t="s">
        <v>629</v>
      </c>
      <c r="BS998" t="s">
        <v>4212</v>
      </c>
      <c r="BV998">
        <v>0</v>
      </c>
      <c r="BW998">
        <v>0</v>
      </c>
      <c r="BX998">
        <v>0</v>
      </c>
      <c r="BY998">
        <v>0</v>
      </c>
      <c r="BZ998">
        <v>0</v>
      </c>
      <c r="CA998">
        <v>0</v>
      </c>
      <c r="CB998">
        <v>0</v>
      </c>
      <c r="CC998">
        <v>0</v>
      </c>
      <c r="CD998">
        <v>0</v>
      </c>
      <c r="CE998" t="s">
        <v>3108</v>
      </c>
      <c r="CF998" t="s">
        <v>3108</v>
      </c>
      <c r="CG998" t="s">
        <v>3108</v>
      </c>
      <c r="CH998" t="s">
        <v>3108</v>
      </c>
    </row>
    <row r="999" spans="1:86" x14ac:dyDescent="0.2">
      <c r="A999" t="s">
        <v>4779</v>
      </c>
      <c r="B999" t="s">
        <v>4779</v>
      </c>
      <c r="C999">
        <v>41473</v>
      </c>
      <c r="D999">
        <v>425</v>
      </c>
      <c r="E999" t="s">
        <v>4780</v>
      </c>
      <c r="F999">
        <v>2000</v>
      </c>
      <c r="G999" t="s">
        <v>408</v>
      </c>
      <c r="H999" t="s">
        <v>4070</v>
      </c>
      <c r="I999" t="s">
        <v>1792</v>
      </c>
      <c r="J999">
        <v>2002</v>
      </c>
      <c r="K999" t="s">
        <v>1792</v>
      </c>
      <c r="L999">
        <v>3200</v>
      </c>
      <c r="M999" t="s">
        <v>128</v>
      </c>
      <c r="N999">
        <v>3205</v>
      </c>
      <c r="O999" t="s">
        <v>629</v>
      </c>
      <c r="P999" t="s">
        <v>3108</v>
      </c>
      <c r="Q999" t="s">
        <v>3249</v>
      </c>
      <c r="R999" t="s">
        <v>3249</v>
      </c>
      <c r="S999" t="s">
        <v>810</v>
      </c>
      <c r="T999" t="s">
        <v>2754</v>
      </c>
      <c r="U999" t="s">
        <v>3250</v>
      </c>
      <c r="V999" t="s">
        <v>3250</v>
      </c>
      <c r="W999" t="s">
        <v>3250</v>
      </c>
      <c r="X999" t="s">
        <v>3250</v>
      </c>
      <c r="Y999" t="s">
        <v>3250</v>
      </c>
      <c r="Z999" t="s">
        <v>3250</v>
      </c>
      <c r="AA999" t="s">
        <v>3108</v>
      </c>
      <c r="AB999" t="s">
        <v>3108</v>
      </c>
      <c r="AC999" t="s">
        <v>3250</v>
      </c>
      <c r="AD999" t="s">
        <v>3250</v>
      </c>
      <c r="AE999" t="s">
        <v>3250</v>
      </c>
      <c r="AF999" t="s">
        <v>3250</v>
      </c>
      <c r="AG999" t="s">
        <v>3250</v>
      </c>
      <c r="AH999" t="s">
        <v>3250</v>
      </c>
      <c r="AI999" t="s">
        <v>3250</v>
      </c>
      <c r="AJ999" t="s">
        <v>3250</v>
      </c>
      <c r="AL999" t="s">
        <v>3250</v>
      </c>
      <c r="AM999" t="s">
        <v>3250</v>
      </c>
      <c r="AN999" t="s">
        <v>3250</v>
      </c>
      <c r="AO999" t="s">
        <v>3250</v>
      </c>
      <c r="AS999" t="s">
        <v>3250</v>
      </c>
      <c r="AT999" t="s">
        <v>3250</v>
      </c>
      <c r="AU999" t="s">
        <v>3250</v>
      </c>
      <c r="AV999" t="s">
        <v>3250</v>
      </c>
      <c r="AW999" t="s">
        <v>3250</v>
      </c>
      <c r="AX999" t="s">
        <v>3250</v>
      </c>
      <c r="AY999" t="s">
        <v>3250</v>
      </c>
      <c r="AZ999" t="s">
        <v>3250</v>
      </c>
      <c r="BA999" t="s">
        <v>3250</v>
      </c>
      <c r="BB999" t="s">
        <v>3250</v>
      </c>
      <c r="BC999" t="s">
        <v>3250</v>
      </c>
      <c r="BE999" t="s">
        <v>3250</v>
      </c>
      <c r="BF999" t="s">
        <v>3250</v>
      </c>
      <c r="BG999" t="s">
        <v>3250</v>
      </c>
      <c r="BH999" t="s">
        <v>3250</v>
      </c>
      <c r="BI999" t="s">
        <v>3250</v>
      </c>
      <c r="BK999" t="s">
        <v>3250</v>
      </c>
      <c r="BL999" t="s">
        <v>3250</v>
      </c>
      <c r="BM999" t="s">
        <v>3250</v>
      </c>
      <c r="BN999" t="s">
        <v>3250</v>
      </c>
      <c r="BO999" t="s">
        <v>2917</v>
      </c>
      <c r="BP999">
        <v>7</v>
      </c>
      <c r="BQ999">
        <v>71</v>
      </c>
      <c r="BR999" t="s">
        <v>629</v>
      </c>
      <c r="BS999" t="s">
        <v>4212</v>
      </c>
      <c r="BV999">
        <v>0</v>
      </c>
      <c r="BW999">
        <v>0</v>
      </c>
      <c r="BX999">
        <v>0</v>
      </c>
      <c r="BY999">
        <v>0</v>
      </c>
      <c r="BZ999">
        <v>0</v>
      </c>
      <c r="CA999">
        <v>0</v>
      </c>
      <c r="CB999">
        <v>0</v>
      </c>
      <c r="CC999">
        <v>0</v>
      </c>
      <c r="CD999">
        <v>0</v>
      </c>
      <c r="CE999" t="s">
        <v>3108</v>
      </c>
      <c r="CF999" t="s">
        <v>3108</v>
      </c>
      <c r="CG999" t="s">
        <v>3108</v>
      </c>
      <c r="CH999" t="s">
        <v>3108</v>
      </c>
    </row>
    <row r="1000" spans="1:86" x14ac:dyDescent="0.2">
      <c r="A1000" t="s">
        <v>4781</v>
      </c>
      <c r="B1000" t="s">
        <v>4781</v>
      </c>
      <c r="C1000">
        <v>41474</v>
      </c>
      <c r="D1000">
        <v>426</v>
      </c>
      <c r="E1000" t="s">
        <v>4782</v>
      </c>
      <c r="F1000">
        <v>2000</v>
      </c>
      <c r="G1000" t="s">
        <v>408</v>
      </c>
      <c r="H1000" t="s">
        <v>4070</v>
      </c>
      <c r="I1000" t="s">
        <v>1792</v>
      </c>
      <c r="J1000">
        <v>2002</v>
      </c>
      <c r="K1000" t="s">
        <v>1792</v>
      </c>
      <c r="L1000">
        <v>3200</v>
      </c>
      <c r="M1000" t="s">
        <v>128</v>
      </c>
      <c r="N1000">
        <v>3205</v>
      </c>
      <c r="O1000" t="s">
        <v>629</v>
      </c>
      <c r="P1000" t="s">
        <v>3108</v>
      </c>
      <c r="Q1000" t="s">
        <v>3249</v>
      </c>
      <c r="R1000" t="s">
        <v>3249</v>
      </c>
      <c r="S1000" t="s">
        <v>810</v>
      </c>
      <c r="T1000" t="s">
        <v>2754</v>
      </c>
      <c r="U1000" t="s">
        <v>3250</v>
      </c>
      <c r="V1000" t="s">
        <v>3250</v>
      </c>
      <c r="W1000" t="s">
        <v>3250</v>
      </c>
      <c r="X1000" t="s">
        <v>3250</v>
      </c>
      <c r="Y1000" t="s">
        <v>3250</v>
      </c>
      <c r="Z1000" t="s">
        <v>3250</v>
      </c>
      <c r="AA1000" t="s">
        <v>3108</v>
      </c>
      <c r="AB1000" t="s">
        <v>3108</v>
      </c>
      <c r="AC1000" t="s">
        <v>3250</v>
      </c>
      <c r="AD1000" t="s">
        <v>3250</v>
      </c>
      <c r="AE1000" t="s">
        <v>3250</v>
      </c>
      <c r="AF1000" t="s">
        <v>3250</v>
      </c>
      <c r="AG1000" t="s">
        <v>3250</v>
      </c>
      <c r="AH1000" t="s">
        <v>3250</v>
      </c>
      <c r="AI1000" t="s">
        <v>3250</v>
      </c>
      <c r="AJ1000" t="s">
        <v>3250</v>
      </c>
      <c r="AL1000" t="s">
        <v>3250</v>
      </c>
      <c r="AM1000" t="s">
        <v>3250</v>
      </c>
      <c r="AN1000" t="s">
        <v>3250</v>
      </c>
      <c r="AO1000" t="s">
        <v>3250</v>
      </c>
      <c r="AS1000" t="s">
        <v>3250</v>
      </c>
      <c r="AT1000" t="s">
        <v>3250</v>
      </c>
      <c r="AU1000" t="s">
        <v>3250</v>
      </c>
      <c r="AV1000" t="s">
        <v>3250</v>
      </c>
      <c r="AW1000" t="s">
        <v>3250</v>
      </c>
      <c r="AX1000" t="s">
        <v>3250</v>
      </c>
      <c r="AY1000" t="s">
        <v>3250</v>
      </c>
      <c r="AZ1000" t="s">
        <v>3250</v>
      </c>
      <c r="BA1000" t="s">
        <v>3250</v>
      </c>
      <c r="BB1000" t="s">
        <v>3250</v>
      </c>
      <c r="BC1000" t="s">
        <v>3250</v>
      </c>
      <c r="BE1000" t="s">
        <v>3250</v>
      </c>
      <c r="BF1000" t="s">
        <v>3250</v>
      </c>
      <c r="BG1000" t="s">
        <v>3250</v>
      </c>
      <c r="BH1000" t="s">
        <v>3250</v>
      </c>
      <c r="BI1000" t="s">
        <v>3250</v>
      </c>
      <c r="BK1000" t="s">
        <v>3250</v>
      </c>
      <c r="BL1000" t="s">
        <v>3250</v>
      </c>
      <c r="BM1000" t="s">
        <v>3250</v>
      </c>
      <c r="BN1000" t="s">
        <v>3250</v>
      </c>
      <c r="BO1000" t="s">
        <v>2917</v>
      </c>
      <c r="BP1000">
        <v>7</v>
      </c>
      <c r="BQ1000">
        <v>71</v>
      </c>
      <c r="BR1000" t="s">
        <v>629</v>
      </c>
      <c r="BS1000" t="s">
        <v>4212</v>
      </c>
      <c r="BV1000">
        <v>595</v>
      </c>
      <c r="BW1000">
        <v>149</v>
      </c>
      <c r="BX1000">
        <v>1338</v>
      </c>
      <c r="BY1000">
        <v>0</v>
      </c>
      <c r="BZ1000">
        <v>0</v>
      </c>
      <c r="CA1000">
        <v>0</v>
      </c>
      <c r="CB1000">
        <v>0</v>
      </c>
      <c r="CC1000">
        <v>0</v>
      </c>
      <c r="CD1000">
        <v>4609</v>
      </c>
      <c r="CE1000" t="s">
        <v>3108</v>
      </c>
      <c r="CF1000" t="s">
        <v>3108</v>
      </c>
      <c r="CG1000" t="s">
        <v>3108</v>
      </c>
      <c r="CH1000" t="s">
        <v>3108</v>
      </c>
    </row>
    <row r="1001" spans="1:86" x14ac:dyDescent="0.2">
      <c r="A1001" t="s">
        <v>4783</v>
      </c>
      <c r="B1001" t="s">
        <v>4783</v>
      </c>
      <c r="C1001">
        <v>41475</v>
      </c>
      <c r="D1001">
        <v>130</v>
      </c>
      <c r="E1001" t="s">
        <v>4001</v>
      </c>
      <c r="F1001">
        <v>2900</v>
      </c>
      <c r="G1001" t="s">
        <v>822</v>
      </c>
      <c r="H1001" t="s">
        <v>3108</v>
      </c>
      <c r="I1001" t="s">
        <v>3108</v>
      </c>
      <c r="J1001">
        <v>2904</v>
      </c>
      <c r="K1001" t="s">
        <v>1690</v>
      </c>
      <c r="L1001">
        <v>2100</v>
      </c>
      <c r="M1001" t="s">
        <v>123</v>
      </c>
      <c r="N1001">
        <v>2112</v>
      </c>
      <c r="O1001" t="s">
        <v>2404</v>
      </c>
      <c r="P1001" t="s">
        <v>3108</v>
      </c>
      <c r="Q1001" t="s">
        <v>3249</v>
      </c>
      <c r="R1001" t="s">
        <v>3249</v>
      </c>
      <c r="S1001" t="s">
        <v>810</v>
      </c>
      <c r="T1001" t="s">
        <v>2754</v>
      </c>
      <c r="U1001" t="s">
        <v>3250</v>
      </c>
      <c r="V1001" t="s">
        <v>3250</v>
      </c>
      <c r="W1001" t="s">
        <v>3250</v>
      </c>
      <c r="X1001" t="s">
        <v>3250</v>
      </c>
      <c r="Y1001" t="s">
        <v>3250</v>
      </c>
      <c r="Z1001" t="s">
        <v>3250</v>
      </c>
      <c r="AA1001" t="s">
        <v>3108</v>
      </c>
      <c r="AB1001" t="s">
        <v>3108</v>
      </c>
      <c r="AC1001" t="s">
        <v>3250</v>
      </c>
      <c r="AD1001" t="s">
        <v>3250</v>
      </c>
      <c r="AE1001" t="s">
        <v>3250</v>
      </c>
      <c r="AF1001" t="s">
        <v>3250</v>
      </c>
      <c r="AG1001" t="s">
        <v>3250</v>
      </c>
      <c r="AH1001" t="s">
        <v>3250</v>
      </c>
      <c r="AI1001" t="s">
        <v>3250</v>
      </c>
      <c r="AJ1001" t="s">
        <v>3250</v>
      </c>
      <c r="AL1001" t="s">
        <v>3250</v>
      </c>
      <c r="AM1001" t="s">
        <v>3250</v>
      </c>
      <c r="AN1001" t="s">
        <v>3250</v>
      </c>
      <c r="AO1001" t="s">
        <v>3250</v>
      </c>
      <c r="AS1001" t="s">
        <v>3250</v>
      </c>
      <c r="AT1001" t="s">
        <v>3250</v>
      </c>
      <c r="AU1001" t="s">
        <v>3250</v>
      </c>
      <c r="AV1001" t="s">
        <v>3250</v>
      </c>
      <c r="AW1001" t="s">
        <v>3250</v>
      </c>
      <c r="AX1001" t="s">
        <v>3250</v>
      </c>
      <c r="AY1001" t="s">
        <v>3250</v>
      </c>
      <c r="AZ1001" t="s">
        <v>3250</v>
      </c>
      <c r="BA1001" t="s">
        <v>3250</v>
      </c>
      <c r="BB1001" t="s">
        <v>3250</v>
      </c>
      <c r="BC1001" t="s">
        <v>3250</v>
      </c>
      <c r="BE1001" t="s">
        <v>3250</v>
      </c>
      <c r="BF1001" t="s">
        <v>3250</v>
      </c>
      <c r="BG1001" t="s">
        <v>3250</v>
      </c>
      <c r="BH1001" t="s">
        <v>3250</v>
      </c>
      <c r="BI1001" t="s">
        <v>3250</v>
      </c>
      <c r="BK1001" t="s">
        <v>3250</v>
      </c>
      <c r="BL1001" t="s">
        <v>3250</v>
      </c>
      <c r="BM1001" t="s">
        <v>3250</v>
      </c>
      <c r="BN1001" t="s">
        <v>3250</v>
      </c>
      <c r="BP1001">
        <v>4</v>
      </c>
      <c r="BQ1001">
        <v>46</v>
      </c>
      <c r="BR1001" t="s">
        <v>2404</v>
      </c>
      <c r="BS1001" t="s">
        <v>4024</v>
      </c>
      <c r="BV1001">
        <v>0</v>
      </c>
      <c r="BW1001">
        <v>0</v>
      </c>
      <c r="BX1001">
        <v>13419</v>
      </c>
      <c r="BY1001">
        <v>0</v>
      </c>
      <c r="BZ1001">
        <v>0</v>
      </c>
      <c r="CA1001">
        <v>0</v>
      </c>
      <c r="CB1001">
        <v>0</v>
      </c>
      <c r="CC1001">
        <v>0</v>
      </c>
      <c r="CD1001">
        <v>0</v>
      </c>
      <c r="CE1001" t="s">
        <v>3108</v>
      </c>
      <c r="CF1001" t="s">
        <v>3108</v>
      </c>
      <c r="CG1001" t="s">
        <v>3108</v>
      </c>
      <c r="CH1001" t="s">
        <v>3108</v>
      </c>
    </row>
    <row r="1002" spans="1:86" x14ac:dyDescent="0.2">
      <c r="A1002" t="s">
        <v>4784</v>
      </c>
      <c r="B1002" t="s">
        <v>4784</v>
      </c>
      <c r="C1002">
        <v>41476</v>
      </c>
      <c r="D1002">
        <v>131</v>
      </c>
      <c r="E1002" t="s">
        <v>4153</v>
      </c>
      <c r="F1002">
        <v>2900</v>
      </c>
      <c r="G1002" t="s">
        <v>822</v>
      </c>
      <c r="H1002" t="s">
        <v>3108</v>
      </c>
      <c r="I1002" t="s">
        <v>3108</v>
      </c>
      <c r="J1002">
        <v>2904</v>
      </c>
      <c r="K1002" t="s">
        <v>1690</v>
      </c>
      <c r="L1002">
        <v>2100</v>
      </c>
      <c r="M1002" t="s">
        <v>123</v>
      </c>
      <c r="N1002">
        <v>2112</v>
      </c>
      <c r="O1002" t="s">
        <v>2404</v>
      </c>
      <c r="P1002" t="s">
        <v>3108</v>
      </c>
      <c r="Q1002" t="s">
        <v>3249</v>
      </c>
      <c r="R1002" t="s">
        <v>3249</v>
      </c>
      <c r="S1002" t="s">
        <v>810</v>
      </c>
      <c r="T1002" t="s">
        <v>2754</v>
      </c>
      <c r="U1002" t="s">
        <v>3250</v>
      </c>
      <c r="V1002" t="s">
        <v>3250</v>
      </c>
      <c r="W1002" t="s">
        <v>3250</v>
      </c>
      <c r="X1002" t="s">
        <v>3250</v>
      </c>
      <c r="Y1002" t="s">
        <v>3250</v>
      </c>
      <c r="Z1002" t="s">
        <v>3250</v>
      </c>
      <c r="AA1002" t="s">
        <v>3108</v>
      </c>
      <c r="AB1002" t="s">
        <v>3108</v>
      </c>
      <c r="AC1002" t="s">
        <v>3250</v>
      </c>
      <c r="AD1002" t="s">
        <v>3250</v>
      </c>
      <c r="AE1002" t="s">
        <v>3250</v>
      </c>
      <c r="AF1002" t="s">
        <v>3250</v>
      </c>
      <c r="AG1002" t="s">
        <v>3250</v>
      </c>
      <c r="AH1002" t="s">
        <v>3250</v>
      </c>
      <c r="AI1002" t="s">
        <v>3250</v>
      </c>
      <c r="AJ1002" t="s">
        <v>3250</v>
      </c>
      <c r="AL1002" t="s">
        <v>3250</v>
      </c>
      <c r="AM1002" t="s">
        <v>3250</v>
      </c>
      <c r="AN1002" t="s">
        <v>3250</v>
      </c>
      <c r="AO1002" t="s">
        <v>3250</v>
      </c>
      <c r="AS1002" t="s">
        <v>3250</v>
      </c>
      <c r="AT1002" t="s">
        <v>3250</v>
      </c>
      <c r="AU1002" t="s">
        <v>3250</v>
      </c>
      <c r="AV1002" t="s">
        <v>3250</v>
      </c>
      <c r="AW1002" t="s">
        <v>3250</v>
      </c>
      <c r="AX1002" t="s">
        <v>3250</v>
      </c>
      <c r="AY1002" t="s">
        <v>3250</v>
      </c>
      <c r="AZ1002" t="s">
        <v>3250</v>
      </c>
      <c r="BA1002" t="s">
        <v>3250</v>
      </c>
      <c r="BB1002" t="s">
        <v>3250</v>
      </c>
      <c r="BC1002" t="s">
        <v>3250</v>
      </c>
      <c r="BE1002" t="s">
        <v>3250</v>
      </c>
      <c r="BF1002" t="s">
        <v>3250</v>
      </c>
      <c r="BG1002" t="s">
        <v>3250</v>
      </c>
      <c r="BH1002" t="s">
        <v>3250</v>
      </c>
      <c r="BI1002" t="s">
        <v>3250</v>
      </c>
      <c r="BK1002" t="s">
        <v>3250</v>
      </c>
      <c r="BL1002" t="s">
        <v>3250</v>
      </c>
      <c r="BM1002" t="s">
        <v>3250</v>
      </c>
      <c r="BN1002" t="s">
        <v>3250</v>
      </c>
      <c r="BP1002">
        <v>4</v>
      </c>
      <c r="BQ1002">
        <v>46</v>
      </c>
      <c r="BR1002" t="s">
        <v>2404</v>
      </c>
      <c r="BS1002" t="s">
        <v>4024</v>
      </c>
      <c r="BV1002">
        <v>0</v>
      </c>
      <c r="BW1002">
        <v>0</v>
      </c>
      <c r="BX1002">
        <v>0</v>
      </c>
      <c r="BY1002">
        <v>0</v>
      </c>
      <c r="BZ1002">
        <v>0</v>
      </c>
      <c r="CA1002">
        <v>0</v>
      </c>
      <c r="CB1002">
        <v>0</v>
      </c>
      <c r="CC1002">
        <v>0</v>
      </c>
      <c r="CD1002">
        <v>0</v>
      </c>
      <c r="CE1002" t="s">
        <v>3108</v>
      </c>
      <c r="CF1002" t="s">
        <v>3108</v>
      </c>
      <c r="CG1002" t="s">
        <v>3108</v>
      </c>
      <c r="CH1002" t="s">
        <v>3108</v>
      </c>
    </row>
    <row r="1003" spans="1:86" x14ac:dyDescent="0.2">
      <c r="A1003" t="s">
        <v>4785</v>
      </c>
      <c r="B1003" t="s">
        <v>4785</v>
      </c>
      <c r="C1003">
        <v>41477</v>
      </c>
      <c r="D1003">
        <v>107</v>
      </c>
      <c r="E1003" t="s">
        <v>4138</v>
      </c>
      <c r="F1003">
        <v>2900</v>
      </c>
      <c r="G1003" t="s">
        <v>822</v>
      </c>
      <c r="H1003" t="s">
        <v>3108</v>
      </c>
      <c r="I1003" t="s">
        <v>3108</v>
      </c>
      <c r="J1003">
        <v>2904</v>
      </c>
      <c r="K1003" t="s">
        <v>1690</v>
      </c>
      <c r="L1003">
        <v>4400</v>
      </c>
      <c r="M1003" t="s">
        <v>988</v>
      </c>
      <c r="N1003">
        <v>4403</v>
      </c>
      <c r="O1003" t="s">
        <v>2439</v>
      </c>
      <c r="P1003" t="s">
        <v>3108</v>
      </c>
      <c r="Q1003" t="s">
        <v>3249</v>
      </c>
      <c r="R1003" t="s">
        <v>3249</v>
      </c>
      <c r="S1003" t="s">
        <v>810</v>
      </c>
      <c r="T1003" t="s">
        <v>2754</v>
      </c>
      <c r="U1003" t="s">
        <v>3250</v>
      </c>
      <c r="V1003" t="s">
        <v>3250</v>
      </c>
      <c r="W1003" t="s">
        <v>3250</v>
      </c>
      <c r="X1003" t="s">
        <v>3250</v>
      </c>
      <c r="Y1003" t="s">
        <v>3250</v>
      </c>
      <c r="Z1003" t="s">
        <v>3250</v>
      </c>
      <c r="AA1003" t="s">
        <v>3108</v>
      </c>
      <c r="AB1003" t="s">
        <v>3108</v>
      </c>
      <c r="AC1003" t="s">
        <v>3250</v>
      </c>
      <c r="AD1003" t="s">
        <v>3250</v>
      </c>
      <c r="AE1003" t="s">
        <v>3250</v>
      </c>
      <c r="AF1003" t="s">
        <v>3250</v>
      </c>
      <c r="AG1003" t="s">
        <v>3250</v>
      </c>
      <c r="AH1003" t="s">
        <v>3250</v>
      </c>
      <c r="AI1003" t="s">
        <v>3250</v>
      </c>
      <c r="AJ1003" t="s">
        <v>3250</v>
      </c>
      <c r="AL1003" t="s">
        <v>3250</v>
      </c>
      <c r="AM1003" t="s">
        <v>3250</v>
      </c>
      <c r="AN1003" t="s">
        <v>3250</v>
      </c>
      <c r="AO1003" t="s">
        <v>3250</v>
      </c>
      <c r="AS1003" t="s">
        <v>3250</v>
      </c>
      <c r="AT1003" t="s">
        <v>3250</v>
      </c>
      <c r="AU1003" t="s">
        <v>3250</v>
      </c>
      <c r="AV1003" t="s">
        <v>3250</v>
      </c>
      <c r="AW1003" t="s">
        <v>3250</v>
      </c>
      <c r="AX1003" t="s">
        <v>3250</v>
      </c>
      <c r="AY1003" t="s">
        <v>3250</v>
      </c>
      <c r="AZ1003" t="s">
        <v>3250</v>
      </c>
      <c r="BA1003" t="s">
        <v>3250</v>
      </c>
      <c r="BB1003" t="s">
        <v>3250</v>
      </c>
      <c r="BC1003" t="s">
        <v>3250</v>
      </c>
      <c r="BE1003" t="s">
        <v>3250</v>
      </c>
      <c r="BF1003" t="s">
        <v>3250</v>
      </c>
      <c r="BG1003" t="s">
        <v>3250</v>
      </c>
      <c r="BH1003" t="s">
        <v>3250</v>
      </c>
      <c r="BI1003" t="s">
        <v>3250</v>
      </c>
      <c r="BK1003" t="s">
        <v>3250</v>
      </c>
      <c r="BL1003" t="s">
        <v>3250</v>
      </c>
      <c r="BM1003" t="s">
        <v>3250</v>
      </c>
      <c r="BN1003" t="s">
        <v>3250</v>
      </c>
      <c r="BP1003">
        <v>12</v>
      </c>
      <c r="BQ1003">
        <v>121</v>
      </c>
      <c r="BR1003" t="s">
        <v>2439</v>
      </c>
      <c r="BS1003" t="s">
        <v>941</v>
      </c>
      <c r="BV1003">
        <v>0</v>
      </c>
      <c r="BW1003">
        <v>0</v>
      </c>
      <c r="BX1003">
        <v>0</v>
      </c>
      <c r="BY1003">
        <v>0</v>
      </c>
      <c r="BZ1003">
        <v>0</v>
      </c>
      <c r="CA1003">
        <v>0</v>
      </c>
      <c r="CB1003">
        <v>0</v>
      </c>
      <c r="CC1003">
        <v>0</v>
      </c>
      <c r="CD1003">
        <v>0</v>
      </c>
      <c r="CE1003" t="s">
        <v>3108</v>
      </c>
      <c r="CF1003" t="s">
        <v>3108</v>
      </c>
      <c r="CG1003" t="s">
        <v>3108</v>
      </c>
      <c r="CH1003" t="s">
        <v>3108</v>
      </c>
    </row>
    <row r="1004" spans="1:86" x14ac:dyDescent="0.2">
      <c r="A1004" t="s">
        <v>4786</v>
      </c>
      <c r="B1004" t="s">
        <v>4786</v>
      </c>
      <c r="C1004">
        <v>41478</v>
      </c>
      <c r="D1004">
        <v>108</v>
      </c>
      <c r="E1004" t="s">
        <v>3994</v>
      </c>
      <c r="F1004">
        <v>2600</v>
      </c>
      <c r="G1004" t="s">
        <v>1334</v>
      </c>
      <c r="H1004">
        <v>2600</v>
      </c>
      <c r="I1004" t="s">
        <v>1334</v>
      </c>
      <c r="J1004" t="s">
        <v>3250</v>
      </c>
      <c r="K1004" t="s">
        <v>3250</v>
      </c>
      <c r="L1004">
        <v>4400</v>
      </c>
      <c r="M1004" t="s">
        <v>988</v>
      </c>
      <c r="N1004">
        <v>4403</v>
      </c>
      <c r="O1004" t="s">
        <v>2439</v>
      </c>
      <c r="P1004" t="s">
        <v>3108</v>
      </c>
      <c r="Q1004" t="s">
        <v>3249</v>
      </c>
      <c r="R1004" t="s">
        <v>3249</v>
      </c>
      <c r="S1004" t="s">
        <v>810</v>
      </c>
      <c r="T1004" t="s">
        <v>2754</v>
      </c>
      <c r="U1004" t="s">
        <v>3250</v>
      </c>
      <c r="V1004" t="s">
        <v>3250</v>
      </c>
      <c r="W1004" t="s">
        <v>3250</v>
      </c>
      <c r="X1004" t="s">
        <v>3250</v>
      </c>
      <c r="Y1004" t="s">
        <v>3250</v>
      </c>
      <c r="Z1004" t="s">
        <v>3250</v>
      </c>
      <c r="AA1004" t="s">
        <v>3108</v>
      </c>
      <c r="AB1004" t="s">
        <v>3108</v>
      </c>
      <c r="AC1004" t="s">
        <v>3250</v>
      </c>
      <c r="AD1004" t="s">
        <v>3250</v>
      </c>
      <c r="AE1004" t="s">
        <v>3250</v>
      </c>
      <c r="AF1004" t="s">
        <v>3250</v>
      </c>
      <c r="AG1004" t="s">
        <v>3250</v>
      </c>
      <c r="AH1004" t="s">
        <v>3250</v>
      </c>
      <c r="AI1004" t="s">
        <v>3250</v>
      </c>
      <c r="AJ1004" t="s">
        <v>3250</v>
      </c>
      <c r="AL1004" t="s">
        <v>3250</v>
      </c>
      <c r="AM1004" t="s">
        <v>3250</v>
      </c>
      <c r="AN1004" t="s">
        <v>3250</v>
      </c>
      <c r="AO1004" t="s">
        <v>3250</v>
      </c>
      <c r="AS1004" t="s">
        <v>3250</v>
      </c>
      <c r="AT1004" t="s">
        <v>3250</v>
      </c>
      <c r="AU1004" t="s">
        <v>3250</v>
      </c>
      <c r="AV1004" t="s">
        <v>3250</v>
      </c>
      <c r="AW1004" t="s">
        <v>3250</v>
      </c>
      <c r="AX1004" t="s">
        <v>3250</v>
      </c>
      <c r="AY1004" t="s">
        <v>3250</v>
      </c>
      <c r="AZ1004" t="s">
        <v>3250</v>
      </c>
      <c r="BA1004" t="s">
        <v>3250</v>
      </c>
      <c r="BB1004" t="s">
        <v>3250</v>
      </c>
      <c r="BC1004" t="s">
        <v>3250</v>
      </c>
      <c r="BE1004" t="s">
        <v>3250</v>
      </c>
      <c r="BF1004" t="s">
        <v>3250</v>
      </c>
      <c r="BG1004" t="s">
        <v>3250</v>
      </c>
      <c r="BH1004" t="s">
        <v>3250</v>
      </c>
      <c r="BI1004" t="s">
        <v>3250</v>
      </c>
      <c r="BK1004" t="s">
        <v>3250</v>
      </c>
      <c r="BL1004" t="s">
        <v>3250</v>
      </c>
      <c r="BM1004" t="s">
        <v>3250</v>
      </c>
      <c r="BN1004" t="s">
        <v>3250</v>
      </c>
      <c r="BP1004">
        <v>12</v>
      </c>
      <c r="BQ1004">
        <v>121</v>
      </c>
      <c r="BR1004" t="s">
        <v>2439</v>
      </c>
      <c r="BS1004" t="s">
        <v>941</v>
      </c>
      <c r="BV1004">
        <v>0</v>
      </c>
      <c r="BW1004">
        <v>1287</v>
      </c>
      <c r="BX1004">
        <v>0</v>
      </c>
      <c r="BY1004">
        <v>30000</v>
      </c>
      <c r="BZ1004">
        <v>20000</v>
      </c>
      <c r="CA1004">
        <v>50000</v>
      </c>
      <c r="CB1004">
        <v>52000</v>
      </c>
      <c r="CC1004">
        <v>54080</v>
      </c>
      <c r="CD1004">
        <v>29600</v>
      </c>
      <c r="CE1004" t="s">
        <v>3108</v>
      </c>
      <c r="CF1004" t="s">
        <v>3108</v>
      </c>
      <c r="CG1004" t="s">
        <v>3108</v>
      </c>
      <c r="CH1004" t="s">
        <v>3108</v>
      </c>
    </row>
    <row r="1005" spans="1:86" x14ac:dyDescent="0.2">
      <c r="A1005" t="s">
        <v>4787</v>
      </c>
      <c r="B1005" t="s">
        <v>4787</v>
      </c>
      <c r="C1005">
        <v>41479</v>
      </c>
      <c r="D1005">
        <v>109</v>
      </c>
      <c r="E1005" t="s">
        <v>4006</v>
      </c>
      <c r="F1005">
        <v>2700</v>
      </c>
      <c r="G1005" t="s">
        <v>411</v>
      </c>
      <c r="H1005" t="s">
        <v>4004</v>
      </c>
      <c r="I1005" t="s">
        <v>2531</v>
      </c>
      <c r="J1005">
        <v>2701</v>
      </c>
      <c r="K1005" t="s">
        <v>2531</v>
      </c>
      <c r="L1005">
        <v>4400</v>
      </c>
      <c r="M1005" t="s">
        <v>988</v>
      </c>
      <c r="N1005">
        <v>4403</v>
      </c>
      <c r="O1005" t="s">
        <v>2439</v>
      </c>
      <c r="P1005" t="s">
        <v>3108</v>
      </c>
      <c r="Q1005" t="s">
        <v>3249</v>
      </c>
      <c r="R1005" t="s">
        <v>3249</v>
      </c>
      <c r="S1005" t="s">
        <v>810</v>
      </c>
      <c r="T1005" t="s">
        <v>2754</v>
      </c>
      <c r="U1005" t="s">
        <v>3250</v>
      </c>
      <c r="V1005" t="s">
        <v>3250</v>
      </c>
      <c r="W1005" t="s">
        <v>3250</v>
      </c>
      <c r="X1005" t="s">
        <v>3250</v>
      </c>
      <c r="Y1005" t="s">
        <v>3250</v>
      </c>
      <c r="Z1005" t="s">
        <v>3250</v>
      </c>
      <c r="AA1005" t="s">
        <v>3108</v>
      </c>
      <c r="AB1005" t="s">
        <v>3108</v>
      </c>
      <c r="AC1005" t="s">
        <v>3250</v>
      </c>
      <c r="AD1005" t="s">
        <v>3250</v>
      </c>
      <c r="AE1005" t="s">
        <v>3250</v>
      </c>
      <c r="AF1005" t="s">
        <v>3250</v>
      </c>
      <c r="AG1005" t="s">
        <v>3250</v>
      </c>
      <c r="AH1005" t="s">
        <v>3250</v>
      </c>
      <c r="AI1005" t="s">
        <v>3250</v>
      </c>
      <c r="AJ1005" t="s">
        <v>3250</v>
      </c>
      <c r="AL1005" t="s">
        <v>3250</v>
      </c>
      <c r="AM1005" t="s">
        <v>3250</v>
      </c>
      <c r="AN1005" t="s">
        <v>3250</v>
      </c>
      <c r="AO1005" t="s">
        <v>3250</v>
      </c>
      <c r="AS1005" t="s">
        <v>3250</v>
      </c>
      <c r="AT1005" t="s">
        <v>3250</v>
      </c>
      <c r="AU1005" t="s">
        <v>3250</v>
      </c>
      <c r="AV1005" t="s">
        <v>3250</v>
      </c>
      <c r="AW1005" t="s">
        <v>3250</v>
      </c>
      <c r="AX1005" t="s">
        <v>3250</v>
      </c>
      <c r="AY1005" t="s">
        <v>3250</v>
      </c>
      <c r="AZ1005" t="s">
        <v>3250</v>
      </c>
      <c r="BA1005" t="s">
        <v>3250</v>
      </c>
      <c r="BB1005" t="s">
        <v>3250</v>
      </c>
      <c r="BC1005" t="s">
        <v>3250</v>
      </c>
      <c r="BE1005" t="s">
        <v>3250</v>
      </c>
      <c r="BF1005" t="s">
        <v>3250</v>
      </c>
      <c r="BG1005" t="s">
        <v>3250</v>
      </c>
      <c r="BH1005" t="s">
        <v>3250</v>
      </c>
      <c r="BI1005" t="s">
        <v>3250</v>
      </c>
      <c r="BK1005" t="s">
        <v>3250</v>
      </c>
      <c r="BL1005" t="s">
        <v>3250</v>
      </c>
      <c r="BM1005" t="s">
        <v>3250</v>
      </c>
      <c r="BN1005" t="s">
        <v>3250</v>
      </c>
      <c r="BP1005">
        <v>12</v>
      </c>
      <c r="BQ1005">
        <v>121</v>
      </c>
      <c r="BR1005" t="s">
        <v>2439</v>
      </c>
      <c r="BS1005" t="s">
        <v>941</v>
      </c>
      <c r="BV1005">
        <v>0</v>
      </c>
      <c r="BW1005">
        <v>0</v>
      </c>
      <c r="BX1005">
        <v>1149</v>
      </c>
      <c r="BY1005">
        <v>5000</v>
      </c>
      <c r="BZ1005">
        <v>5000</v>
      </c>
      <c r="CA1005">
        <v>30000</v>
      </c>
      <c r="CB1005">
        <v>31200</v>
      </c>
      <c r="CC1005">
        <v>32448</v>
      </c>
      <c r="CD1005">
        <v>200</v>
      </c>
      <c r="CE1005" t="s">
        <v>3108</v>
      </c>
      <c r="CF1005" t="s">
        <v>3108</v>
      </c>
      <c r="CG1005" t="s">
        <v>3108</v>
      </c>
      <c r="CH1005" t="s">
        <v>3108</v>
      </c>
    </row>
    <row r="1006" spans="1:86" x14ac:dyDescent="0.2">
      <c r="A1006" t="s">
        <v>4788</v>
      </c>
      <c r="B1006" t="s">
        <v>4788</v>
      </c>
      <c r="C1006">
        <v>41480</v>
      </c>
      <c r="D1006">
        <v>78</v>
      </c>
      <c r="E1006" t="s">
        <v>3994</v>
      </c>
      <c r="F1006">
        <v>2600</v>
      </c>
      <c r="G1006" t="s">
        <v>1334</v>
      </c>
      <c r="H1006">
        <v>2600</v>
      </c>
      <c r="I1006" t="s">
        <v>1334</v>
      </c>
      <c r="J1006" t="s">
        <v>3250</v>
      </c>
      <c r="K1006" t="s">
        <v>3250</v>
      </c>
      <c r="L1006">
        <v>2100</v>
      </c>
      <c r="M1006" t="s">
        <v>123</v>
      </c>
      <c r="N1006">
        <v>2109</v>
      </c>
      <c r="O1006" t="s">
        <v>2402</v>
      </c>
      <c r="P1006" t="s">
        <v>3108</v>
      </c>
      <c r="Q1006" t="s">
        <v>3249</v>
      </c>
      <c r="R1006" t="s">
        <v>3249</v>
      </c>
      <c r="S1006" t="s">
        <v>810</v>
      </c>
      <c r="T1006" t="s">
        <v>2754</v>
      </c>
      <c r="U1006" t="s">
        <v>3250</v>
      </c>
      <c r="V1006" t="s">
        <v>3250</v>
      </c>
      <c r="W1006" t="s">
        <v>3250</v>
      </c>
      <c r="X1006" t="s">
        <v>3250</v>
      </c>
      <c r="Y1006" t="s">
        <v>3250</v>
      </c>
      <c r="Z1006" t="s">
        <v>3250</v>
      </c>
      <c r="AA1006" t="s">
        <v>3108</v>
      </c>
      <c r="AB1006" t="s">
        <v>3108</v>
      </c>
      <c r="AC1006" t="s">
        <v>3250</v>
      </c>
      <c r="AD1006" t="s">
        <v>3250</v>
      </c>
      <c r="AE1006" t="s">
        <v>3250</v>
      </c>
      <c r="AF1006" t="s">
        <v>3250</v>
      </c>
      <c r="AG1006" t="s">
        <v>3250</v>
      </c>
      <c r="AH1006" t="s">
        <v>3250</v>
      </c>
      <c r="AI1006" t="s">
        <v>3250</v>
      </c>
      <c r="AJ1006" t="s">
        <v>3250</v>
      </c>
      <c r="AL1006" t="s">
        <v>3250</v>
      </c>
      <c r="AM1006" t="s">
        <v>3250</v>
      </c>
      <c r="AN1006" t="s">
        <v>3250</v>
      </c>
      <c r="AO1006" t="s">
        <v>3250</v>
      </c>
      <c r="AS1006" t="s">
        <v>3250</v>
      </c>
      <c r="AT1006" t="s">
        <v>3250</v>
      </c>
      <c r="AU1006" t="s">
        <v>3250</v>
      </c>
      <c r="AV1006" t="s">
        <v>3250</v>
      </c>
      <c r="AW1006" t="s">
        <v>3250</v>
      </c>
      <c r="AX1006" t="s">
        <v>3250</v>
      </c>
      <c r="AY1006" t="s">
        <v>3250</v>
      </c>
      <c r="AZ1006" t="s">
        <v>3250</v>
      </c>
      <c r="BA1006" t="s">
        <v>3250</v>
      </c>
      <c r="BB1006" t="s">
        <v>3250</v>
      </c>
      <c r="BC1006" t="s">
        <v>3250</v>
      </c>
      <c r="BE1006" t="s">
        <v>3250</v>
      </c>
      <c r="BF1006" t="s">
        <v>3250</v>
      </c>
      <c r="BG1006" t="s">
        <v>3250</v>
      </c>
      <c r="BH1006" t="s">
        <v>3250</v>
      </c>
      <c r="BI1006" t="s">
        <v>3250</v>
      </c>
      <c r="BK1006" t="s">
        <v>3250</v>
      </c>
      <c r="BL1006" t="s">
        <v>3250</v>
      </c>
      <c r="BM1006" t="s">
        <v>3250</v>
      </c>
      <c r="BN1006" t="s">
        <v>3250</v>
      </c>
      <c r="BP1006">
        <v>4</v>
      </c>
      <c r="BQ1006">
        <v>41</v>
      </c>
      <c r="BR1006" t="s">
        <v>2402</v>
      </c>
      <c r="BS1006" t="s">
        <v>4024</v>
      </c>
      <c r="BV1006">
        <v>248627</v>
      </c>
      <c r="BW1006">
        <v>45723</v>
      </c>
      <c r="BX1006">
        <v>124769</v>
      </c>
      <c r="BY1006">
        <v>100000</v>
      </c>
      <c r="BZ1006">
        <v>600000</v>
      </c>
      <c r="CA1006">
        <v>800000</v>
      </c>
      <c r="CB1006">
        <v>832000</v>
      </c>
      <c r="CC1006">
        <v>865280</v>
      </c>
      <c r="CD1006">
        <v>87086</v>
      </c>
      <c r="CE1006" t="s">
        <v>3108</v>
      </c>
      <c r="CF1006" t="s">
        <v>3108</v>
      </c>
      <c r="CG1006" t="s">
        <v>3108</v>
      </c>
      <c r="CH1006" t="s">
        <v>3108</v>
      </c>
    </row>
    <row r="1007" spans="1:86" x14ac:dyDescent="0.2">
      <c r="A1007" t="s">
        <v>4789</v>
      </c>
      <c r="B1007" t="s">
        <v>4789</v>
      </c>
      <c r="C1007">
        <v>41481</v>
      </c>
      <c r="D1007">
        <v>75</v>
      </c>
      <c r="E1007" t="s">
        <v>4037</v>
      </c>
      <c r="F1007">
        <v>2900</v>
      </c>
      <c r="G1007" t="s">
        <v>822</v>
      </c>
      <c r="H1007" t="s">
        <v>3108</v>
      </c>
      <c r="I1007" t="s">
        <v>3108</v>
      </c>
      <c r="J1007">
        <v>2904</v>
      </c>
      <c r="K1007" t="s">
        <v>1690</v>
      </c>
      <c r="L1007">
        <v>2200</v>
      </c>
      <c r="M1007" t="s">
        <v>124</v>
      </c>
      <c r="N1007">
        <v>2205</v>
      </c>
      <c r="O1007" t="s">
        <v>2390</v>
      </c>
      <c r="P1007" t="s">
        <v>3108</v>
      </c>
      <c r="Q1007" t="s">
        <v>3249</v>
      </c>
      <c r="R1007" t="s">
        <v>3249</v>
      </c>
      <c r="S1007" t="s">
        <v>810</v>
      </c>
      <c r="T1007" t="s">
        <v>2754</v>
      </c>
      <c r="U1007" t="s">
        <v>3250</v>
      </c>
      <c r="V1007" t="s">
        <v>3250</v>
      </c>
      <c r="W1007" t="s">
        <v>3250</v>
      </c>
      <c r="X1007" t="s">
        <v>3250</v>
      </c>
      <c r="Y1007" t="s">
        <v>3250</v>
      </c>
      <c r="Z1007" t="s">
        <v>3250</v>
      </c>
      <c r="AA1007" t="s">
        <v>3108</v>
      </c>
      <c r="AB1007" t="s">
        <v>3108</v>
      </c>
      <c r="AC1007" t="s">
        <v>3250</v>
      </c>
      <c r="AD1007" t="s">
        <v>3250</v>
      </c>
      <c r="AE1007" t="s">
        <v>3250</v>
      </c>
      <c r="AF1007" t="s">
        <v>3250</v>
      </c>
      <c r="AG1007" t="s">
        <v>3250</v>
      </c>
      <c r="AH1007" t="s">
        <v>3250</v>
      </c>
      <c r="AI1007" t="s">
        <v>3250</v>
      </c>
      <c r="AJ1007" t="s">
        <v>3250</v>
      </c>
      <c r="AL1007" t="s">
        <v>3250</v>
      </c>
      <c r="AM1007" t="s">
        <v>3250</v>
      </c>
      <c r="AN1007" t="s">
        <v>3250</v>
      </c>
      <c r="AO1007" t="s">
        <v>3250</v>
      </c>
      <c r="AS1007" t="s">
        <v>3250</v>
      </c>
      <c r="AT1007" t="s">
        <v>3250</v>
      </c>
      <c r="AU1007" t="s">
        <v>3250</v>
      </c>
      <c r="AV1007" t="s">
        <v>3250</v>
      </c>
      <c r="AW1007" t="s">
        <v>3250</v>
      </c>
      <c r="AX1007" t="s">
        <v>3250</v>
      </c>
      <c r="AY1007" t="s">
        <v>3250</v>
      </c>
      <c r="AZ1007" t="s">
        <v>3250</v>
      </c>
      <c r="BA1007" t="s">
        <v>3250</v>
      </c>
      <c r="BB1007" t="s">
        <v>3250</v>
      </c>
      <c r="BC1007" t="s">
        <v>3250</v>
      </c>
      <c r="BE1007" t="s">
        <v>3250</v>
      </c>
      <c r="BF1007" t="s">
        <v>3250</v>
      </c>
      <c r="BG1007" t="s">
        <v>3250</v>
      </c>
      <c r="BH1007" t="s">
        <v>3250</v>
      </c>
      <c r="BI1007" t="s">
        <v>3250</v>
      </c>
      <c r="BK1007" t="s">
        <v>3250</v>
      </c>
      <c r="BL1007" t="s">
        <v>3250</v>
      </c>
      <c r="BM1007" t="s">
        <v>3250</v>
      </c>
      <c r="BN1007" t="s">
        <v>3250</v>
      </c>
      <c r="BP1007">
        <v>9</v>
      </c>
      <c r="BQ1007">
        <v>91</v>
      </c>
      <c r="BR1007" t="s">
        <v>2390</v>
      </c>
      <c r="BS1007" t="s">
        <v>1675</v>
      </c>
      <c r="BV1007">
        <v>0</v>
      </c>
      <c r="BW1007">
        <v>0</v>
      </c>
      <c r="BX1007">
        <v>1000</v>
      </c>
      <c r="BY1007">
        <v>0</v>
      </c>
      <c r="BZ1007">
        <v>0</v>
      </c>
      <c r="CA1007">
        <v>0</v>
      </c>
      <c r="CB1007">
        <v>0</v>
      </c>
      <c r="CC1007">
        <v>0</v>
      </c>
      <c r="CD1007">
        <v>0</v>
      </c>
      <c r="CE1007" t="s">
        <v>3108</v>
      </c>
      <c r="CF1007" t="s">
        <v>3108</v>
      </c>
      <c r="CG1007" t="s">
        <v>3108</v>
      </c>
      <c r="CH1007" t="s">
        <v>3108</v>
      </c>
    </row>
    <row r="1008" spans="1:86" x14ac:dyDescent="0.2">
      <c r="A1008" t="s">
        <v>4790</v>
      </c>
      <c r="B1008" t="s">
        <v>4790</v>
      </c>
      <c r="C1008">
        <v>41482</v>
      </c>
      <c r="D1008">
        <v>76</v>
      </c>
      <c r="E1008" t="s">
        <v>4006</v>
      </c>
      <c r="F1008">
        <v>2700</v>
      </c>
      <c r="G1008" t="s">
        <v>411</v>
      </c>
      <c r="H1008" t="s">
        <v>4004</v>
      </c>
      <c r="I1008" t="s">
        <v>2531</v>
      </c>
      <c r="J1008">
        <v>2701</v>
      </c>
      <c r="K1008" t="s">
        <v>2531</v>
      </c>
      <c r="L1008">
        <v>2200</v>
      </c>
      <c r="M1008" t="s">
        <v>124</v>
      </c>
      <c r="N1008">
        <v>2205</v>
      </c>
      <c r="O1008" t="s">
        <v>2390</v>
      </c>
      <c r="P1008" t="s">
        <v>3108</v>
      </c>
      <c r="Q1008" t="s">
        <v>3249</v>
      </c>
      <c r="R1008" t="s">
        <v>3249</v>
      </c>
      <c r="S1008" t="s">
        <v>810</v>
      </c>
      <c r="T1008" t="s">
        <v>2754</v>
      </c>
      <c r="U1008" t="s">
        <v>3250</v>
      </c>
      <c r="V1008" t="s">
        <v>3250</v>
      </c>
      <c r="W1008" t="s">
        <v>3250</v>
      </c>
      <c r="X1008" t="s">
        <v>3250</v>
      </c>
      <c r="Y1008" t="s">
        <v>3250</v>
      </c>
      <c r="Z1008" t="s">
        <v>3250</v>
      </c>
      <c r="AA1008" t="s">
        <v>3108</v>
      </c>
      <c r="AB1008" t="s">
        <v>3108</v>
      </c>
      <c r="AC1008" t="s">
        <v>3250</v>
      </c>
      <c r="AD1008" t="s">
        <v>3250</v>
      </c>
      <c r="AE1008" t="s">
        <v>3250</v>
      </c>
      <c r="AF1008" t="s">
        <v>3250</v>
      </c>
      <c r="AG1008" t="s">
        <v>3250</v>
      </c>
      <c r="AH1008" t="s">
        <v>3250</v>
      </c>
      <c r="AI1008" t="s">
        <v>3250</v>
      </c>
      <c r="AJ1008" t="s">
        <v>3250</v>
      </c>
      <c r="AL1008" t="s">
        <v>3250</v>
      </c>
      <c r="AM1008" t="s">
        <v>3250</v>
      </c>
      <c r="AN1008" t="s">
        <v>3250</v>
      </c>
      <c r="AO1008" t="s">
        <v>3250</v>
      </c>
      <c r="AS1008" t="s">
        <v>3250</v>
      </c>
      <c r="AT1008" t="s">
        <v>3250</v>
      </c>
      <c r="AU1008" t="s">
        <v>3250</v>
      </c>
      <c r="AV1008" t="s">
        <v>3250</v>
      </c>
      <c r="AW1008" t="s">
        <v>3250</v>
      </c>
      <c r="AX1008" t="s">
        <v>3250</v>
      </c>
      <c r="AY1008" t="s">
        <v>3250</v>
      </c>
      <c r="AZ1008" t="s">
        <v>3250</v>
      </c>
      <c r="BA1008" t="s">
        <v>3250</v>
      </c>
      <c r="BB1008" t="s">
        <v>3250</v>
      </c>
      <c r="BC1008" t="s">
        <v>3250</v>
      </c>
      <c r="BE1008" t="s">
        <v>3250</v>
      </c>
      <c r="BF1008" t="s">
        <v>3250</v>
      </c>
      <c r="BG1008" t="s">
        <v>3250</v>
      </c>
      <c r="BH1008" t="s">
        <v>3250</v>
      </c>
      <c r="BI1008" t="s">
        <v>3250</v>
      </c>
      <c r="BK1008" t="s">
        <v>3250</v>
      </c>
      <c r="BL1008" t="s">
        <v>3250</v>
      </c>
      <c r="BM1008" t="s">
        <v>3250</v>
      </c>
      <c r="BN1008" t="s">
        <v>3250</v>
      </c>
      <c r="BP1008">
        <v>9</v>
      </c>
      <c r="BQ1008">
        <v>91</v>
      </c>
      <c r="BR1008" t="s">
        <v>2390</v>
      </c>
      <c r="BS1008" t="s">
        <v>1675</v>
      </c>
      <c r="BV1008">
        <v>0</v>
      </c>
      <c r="BW1008">
        <v>0</v>
      </c>
      <c r="BX1008">
        <v>0</v>
      </c>
      <c r="BY1008">
        <v>10000</v>
      </c>
      <c r="BZ1008">
        <v>10000</v>
      </c>
      <c r="CA1008">
        <v>20000</v>
      </c>
      <c r="CB1008">
        <v>20800</v>
      </c>
      <c r="CC1008">
        <v>21632</v>
      </c>
      <c r="CD1008">
        <v>0</v>
      </c>
      <c r="CE1008" t="s">
        <v>3108</v>
      </c>
      <c r="CF1008" t="s">
        <v>3108</v>
      </c>
      <c r="CG1008" t="s">
        <v>3108</v>
      </c>
      <c r="CH1008" t="s">
        <v>3108</v>
      </c>
    </row>
    <row r="1009" spans="1:86" x14ac:dyDescent="0.2">
      <c r="A1009" t="s">
        <v>4791</v>
      </c>
      <c r="B1009" t="s">
        <v>4791</v>
      </c>
      <c r="C1009">
        <v>41483</v>
      </c>
      <c r="D1009">
        <v>77</v>
      </c>
      <c r="E1009" t="s">
        <v>4003</v>
      </c>
      <c r="F1009">
        <v>2700</v>
      </c>
      <c r="G1009" t="s">
        <v>411</v>
      </c>
      <c r="H1009" t="s">
        <v>4004</v>
      </c>
      <c r="I1009" t="s">
        <v>2531</v>
      </c>
      <c r="J1009">
        <v>2701</v>
      </c>
      <c r="K1009" t="s">
        <v>2531</v>
      </c>
      <c r="L1009">
        <v>2200</v>
      </c>
      <c r="M1009" t="s">
        <v>124</v>
      </c>
      <c r="N1009">
        <v>2205</v>
      </c>
      <c r="O1009" t="s">
        <v>2390</v>
      </c>
      <c r="P1009" t="s">
        <v>3108</v>
      </c>
      <c r="Q1009" t="s">
        <v>3249</v>
      </c>
      <c r="R1009" t="s">
        <v>3249</v>
      </c>
      <c r="S1009" t="s">
        <v>810</v>
      </c>
      <c r="T1009" t="s">
        <v>2754</v>
      </c>
      <c r="U1009" t="s">
        <v>3250</v>
      </c>
      <c r="V1009" t="s">
        <v>3250</v>
      </c>
      <c r="W1009" t="s">
        <v>3250</v>
      </c>
      <c r="X1009" t="s">
        <v>3250</v>
      </c>
      <c r="Y1009" t="s">
        <v>3250</v>
      </c>
      <c r="Z1009" t="s">
        <v>3250</v>
      </c>
      <c r="AA1009" t="s">
        <v>3108</v>
      </c>
      <c r="AB1009" t="s">
        <v>3108</v>
      </c>
      <c r="AC1009" t="s">
        <v>3250</v>
      </c>
      <c r="AD1009" t="s">
        <v>3250</v>
      </c>
      <c r="AE1009" t="s">
        <v>3250</v>
      </c>
      <c r="AF1009" t="s">
        <v>3250</v>
      </c>
      <c r="AG1009" t="s">
        <v>3250</v>
      </c>
      <c r="AH1009" t="s">
        <v>3250</v>
      </c>
      <c r="AI1009" t="s">
        <v>3250</v>
      </c>
      <c r="AJ1009" t="s">
        <v>3250</v>
      </c>
      <c r="AL1009" t="s">
        <v>3250</v>
      </c>
      <c r="AM1009" t="s">
        <v>3250</v>
      </c>
      <c r="AN1009" t="s">
        <v>3250</v>
      </c>
      <c r="AO1009" t="s">
        <v>3250</v>
      </c>
      <c r="AS1009" t="s">
        <v>3250</v>
      </c>
      <c r="AT1009" t="s">
        <v>3250</v>
      </c>
      <c r="AU1009" t="s">
        <v>3250</v>
      </c>
      <c r="AV1009" t="s">
        <v>3250</v>
      </c>
      <c r="AW1009" t="s">
        <v>3250</v>
      </c>
      <c r="AX1009" t="s">
        <v>3250</v>
      </c>
      <c r="AY1009" t="s">
        <v>3250</v>
      </c>
      <c r="AZ1009" t="s">
        <v>3250</v>
      </c>
      <c r="BA1009" t="s">
        <v>3250</v>
      </c>
      <c r="BB1009" t="s">
        <v>3250</v>
      </c>
      <c r="BC1009" t="s">
        <v>3250</v>
      </c>
      <c r="BE1009" t="s">
        <v>3250</v>
      </c>
      <c r="BF1009" t="s">
        <v>3250</v>
      </c>
      <c r="BG1009" t="s">
        <v>3250</v>
      </c>
      <c r="BH1009" t="s">
        <v>3250</v>
      </c>
      <c r="BI1009" t="s">
        <v>3250</v>
      </c>
      <c r="BK1009" t="s">
        <v>3250</v>
      </c>
      <c r="BL1009" t="s">
        <v>3250</v>
      </c>
      <c r="BM1009" t="s">
        <v>3250</v>
      </c>
      <c r="BN1009" t="s">
        <v>3250</v>
      </c>
      <c r="BP1009">
        <v>9</v>
      </c>
      <c r="BQ1009">
        <v>91</v>
      </c>
      <c r="BR1009" t="s">
        <v>2390</v>
      </c>
      <c r="BS1009" t="s">
        <v>1675</v>
      </c>
      <c r="BV1009">
        <v>45100</v>
      </c>
      <c r="BW1009">
        <v>37750</v>
      </c>
      <c r="BX1009">
        <v>44900</v>
      </c>
      <c r="BY1009">
        <v>80000</v>
      </c>
      <c r="BZ1009">
        <v>80000</v>
      </c>
      <c r="CA1009">
        <v>50000</v>
      </c>
      <c r="CB1009">
        <v>52000</v>
      </c>
      <c r="CC1009">
        <v>54080</v>
      </c>
      <c r="CD1009">
        <v>0</v>
      </c>
      <c r="CE1009" t="s">
        <v>3108</v>
      </c>
      <c r="CF1009" t="s">
        <v>3108</v>
      </c>
      <c r="CG1009" t="s">
        <v>3108</v>
      </c>
      <c r="CH1009" t="s">
        <v>3108</v>
      </c>
    </row>
    <row r="1010" spans="1:86" x14ac:dyDescent="0.2">
      <c r="A1010" t="s">
        <v>4792</v>
      </c>
      <c r="B1010" t="s">
        <v>4792</v>
      </c>
      <c r="C1010">
        <v>41484</v>
      </c>
      <c r="D1010">
        <v>495</v>
      </c>
      <c r="E1010" t="s">
        <v>3994</v>
      </c>
      <c r="F1010">
        <v>2600</v>
      </c>
      <c r="G1010" t="s">
        <v>1334</v>
      </c>
      <c r="H1010">
        <v>2600</v>
      </c>
      <c r="I1010" t="s">
        <v>1334</v>
      </c>
      <c r="J1010" t="s">
        <v>3250</v>
      </c>
      <c r="K1010" t="s">
        <v>3250</v>
      </c>
      <c r="L1010">
        <v>2500</v>
      </c>
      <c r="M1010" t="s">
        <v>1551</v>
      </c>
      <c r="N1010">
        <v>2502</v>
      </c>
      <c r="O1010" t="s">
        <v>2379</v>
      </c>
      <c r="P1010" t="s">
        <v>3108</v>
      </c>
      <c r="Q1010" t="s">
        <v>3249</v>
      </c>
      <c r="R1010" t="s">
        <v>3249</v>
      </c>
      <c r="S1010" t="s">
        <v>810</v>
      </c>
      <c r="T1010" t="s">
        <v>2754</v>
      </c>
      <c r="U1010" t="s">
        <v>3250</v>
      </c>
      <c r="V1010" t="s">
        <v>3250</v>
      </c>
      <c r="W1010" t="s">
        <v>3250</v>
      </c>
      <c r="X1010" t="s">
        <v>3250</v>
      </c>
      <c r="Y1010" t="s">
        <v>3250</v>
      </c>
      <c r="Z1010" t="s">
        <v>3250</v>
      </c>
      <c r="AA1010" t="s">
        <v>3108</v>
      </c>
      <c r="AB1010" t="s">
        <v>3108</v>
      </c>
      <c r="AC1010" t="s">
        <v>3250</v>
      </c>
      <c r="AD1010" t="s">
        <v>3250</v>
      </c>
      <c r="AE1010" t="s">
        <v>3250</v>
      </c>
      <c r="AF1010" t="s">
        <v>3250</v>
      </c>
      <c r="AG1010" t="s">
        <v>3250</v>
      </c>
      <c r="AH1010" t="s">
        <v>3250</v>
      </c>
      <c r="AI1010" t="s">
        <v>3250</v>
      </c>
      <c r="AJ1010" t="s">
        <v>3250</v>
      </c>
      <c r="AL1010" t="s">
        <v>3250</v>
      </c>
      <c r="AM1010" t="s">
        <v>3250</v>
      </c>
      <c r="AN1010" t="s">
        <v>3250</v>
      </c>
      <c r="AO1010" t="s">
        <v>3250</v>
      </c>
      <c r="AS1010" t="s">
        <v>3250</v>
      </c>
      <c r="AT1010" t="s">
        <v>3250</v>
      </c>
      <c r="AU1010" t="s">
        <v>3250</v>
      </c>
      <c r="AV1010" t="s">
        <v>3250</v>
      </c>
      <c r="AW1010" t="s">
        <v>3250</v>
      </c>
      <c r="AX1010" t="s">
        <v>3250</v>
      </c>
      <c r="AY1010" t="s">
        <v>3250</v>
      </c>
      <c r="AZ1010" t="s">
        <v>3250</v>
      </c>
      <c r="BA1010" t="s">
        <v>3250</v>
      </c>
      <c r="BB1010" t="s">
        <v>3250</v>
      </c>
      <c r="BC1010" t="s">
        <v>3250</v>
      </c>
      <c r="BE1010" t="s">
        <v>3250</v>
      </c>
      <c r="BF1010" t="s">
        <v>3250</v>
      </c>
      <c r="BG1010" t="s">
        <v>3250</v>
      </c>
      <c r="BH1010" t="s">
        <v>3250</v>
      </c>
      <c r="BI1010" t="s">
        <v>3250</v>
      </c>
      <c r="BK1010" t="s">
        <v>3250</v>
      </c>
      <c r="BL1010" t="s">
        <v>3250</v>
      </c>
      <c r="BM1010" t="s">
        <v>3250</v>
      </c>
      <c r="BN1010" t="s">
        <v>3250</v>
      </c>
      <c r="BP1010">
        <v>15</v>
      </c>
      <c r="BQ1010">
        <v>151</v>
      </c>
      <c r="BR1010" t="s">
        <v>2379</v>
      </c>
      <c r="BS1010" t="s">
        <v>1551</v>
      </c>
      <c r="BV1010">
        <v>0</v>
      </c>
      <c r="BW1010">
        <v>0</v>
      </c>
      <c r="BX1010">
        <v>8400</v>
      </c>
      <c r="BY1010">
        <v>0</v>
      </c>
      <c r="BZ1010">
        <v>0</v>
      </c>
      <c r="CA1010">
        <v>0</v>
      </c>
      <c r="CB1010">
        <v>0</v>
      </c>
      <c r="CC1010">
        <v>0</v>
      </c>
      <c r="CD1010">
        <v>0</v>
      </c>
      <c r="CE1010" t="s">
        <v>3108</v>
      </c>
      <c r="CF1010" t="s">
        <v>3108</v>
      </c>
      <c r="CG1010" t="s">
        <v>3108</v>
      </c>
      <c r="CH1010" t="s">
        <v>3108</v>
      </c>
    </row>
    <row r="1011" spans="1:86" x14ac:dyDescent="0.2">
      <c r="A1011" t="s">
        <v>4793</v>
      </c>
      <c r="B1011" t="s">
        <v>4793</v>
      </c>
      <c r="C1011">
        <v>41485</v>
      </c>
      <c r="D1011">
        <v>496</v>
      </c>
      <c r="E1011" t="s">
        <v>4153</v>
      </c>
      <c r="F1011">
        <v>2900</v>
      </c>
      <c r="G1011" t="s">
        <v>822</v>
      </c>
      <c r="H1011" t="s">
        <v>3108</v>
      </c>
      <c r="I1011" t="s">
        <v>3108</v>
      </c>
      <c r="J1011">
        <v>2904</v>
      </c>
      <c r="K1011" t="s">
        <v>1690</v>
      </c>
      <c r="L1011">
        <v>2500</v>
      </c>
      <c r="M1011" t="s">
        <v>1551</v>
      </c>
      <c r="N1011">
        <v>2502</v>
      </c>
      <c r="O1011" t="s">
        <v>2379</v>
      </c>
      <c r="P1011" t="s">
        <v>3108</v>
      </c>
      <c r="Q1011" t="s">
        <v>3249</v>
      </c>
      <c r="R1011" t="s">
        <v>3249</v>
      </c>
      <c r="S1011" t="s">
        <v>810</v>
      </c>
      <c r="T1011" t="s">
        <v>2754</v>
      </c>
      <c r="U1011" t="s">
        <v>3250</v>
      </c>
      <c r="V1011" t="s">
        <v>3250</v>
      </c>
      <c r="W1011" t="s">
        <v>3250</v>
      </c>
      <c r="X1011" t="s">
        <v>3250</v>
      </c>
      <c r="Y1011" t="s">
        <v>3250</v>
      </c>
      <c r="Z1011" t="s">
        <v>3250</v>
      </c>
      <c r="AA1011" t="s">
        <v>3108</v>
      </c>
      <c r="AB1011" t="s">
        <v>3108</v>
      </c>
      <c r="AC1011" t="s">
        <v>3250</v>
      </c>
      <c r="AD1011" t="s">
        <v>3250</v>
      </c>
      <c r="AE1011" t="s">
        <v>3250</v>
      </c>
      <c r="AF1011" t="s">
        <v>3250</v>
      </c>
      <c r="AG1011" t="s">
        <v>3250</v>
      </c>
      <c r="AH1011" t="s">
        <v>3250</v>
      </c>
      <c r="AI1011" t="s">
        <v>3250</v>
      </c>
      <c r="AJ1011" t="s">
        <v>3250</v>
      </c>
      <c r="AL1011" t="s">
        <v>3250</v>
      </c>
      <c r="AM1011" t="s">
        <v>3250</v>
      </c>
      <c r="AN1011" t="s">
        <v>3250</v>
      </c>
      <c r="AO1011" t="s">
        <v>3250</v>
      </c>
      <c r="AS1011" t="s">
        <v>3250</v>
      </c>
      <c r="AT1011" t="s">
        <v>3250</v>
      </c>
      <c r="AU1011" t="s">
        <v>3250</v>
      </c>
      <c r="AV1011" t="s">
        <v>3250</v>
      </c>
      <c r="AW1011" t="s">
        <v>3250</v>
      </c>
      <c r="AX1011" t="s">
        <v>3250</v>
      </c>
      <c r="AY1011" t="s">
        <v>3250</v>
      </c>
      <c r="AZ1011" t="s">
        <v>3250</v>
      </c>
      <c r="BA1011" t="s">
        <v>3250</v>
      </c>
      <c r="BB1011" t="s">
        <v>3250</v>
      </c>
      <c r="BC1011" t="s">
        <v>3250</v>
      </c>
      <c r="BE1011" t="s">
        <v>3250</v>
      </c>
      <c r="BF1011" t="s">
        <v>3250</v>
      </c>
      <c r="BG1011" t="s">
        <v>3250</v>
      </c>
      <c r="BH1011" t="s">
        <v>3250</v>
      </c>
      <c r="BI1011" t="s">
        <v>3250</v>
      </c>
      <c r="BK1011" t="s">
        <v>3250</v>
      </c>
      <c r="BL1011" t="s">
        <v>3250</v>
      </c>
      <c r="BM1011" t="s">
        <v>3250</v>
      </c>
      <c r="BN1011" t="s">
        <v>3250</v>
      </c>
      <c r="BP1011">
        <v>15</v>
      </c>
      <c r="BQ1011">
        <v>151</v>
      </c>
      <c r="BR1011" t="s">
        <v>2379</v>
      </c>
      <c r="BS1011" t="s">
        <v>1551</v>
      </c>
      <c r="BV1011">
        <v>0</v>
      </c>
      <c r="BW1011">
        <v>0</v>
      </c>
      <c r="BX1011">
        <v>2934</v>
      </c>
      <c r="BY1011">
        <v>0</v>
      </c>
      <c r="BZ1011">
        <v>0</v>
      </c>
      <c r="CA1011">
        <v>0</v>
      </c>
      <c r="CB1011">
        <v>0</v>
      </c>
      <c r="CC1011">
        <v>0</v>
      </c>
      <c r="CD1011">
        <v>0</v>
      </c>
      <c r="CE1011" t="s">
        <v>3108</v>
      </c>
      <c r="CF1011" t="s">
        <v>3108</v>
      </c>
      <c r="CG1011" t="s">
        <v>3108</v>
      </c>
      <c r="CH1011" t="s">
        <v>3108</v>
      </c>
    </row>
    <row r="1012" spans="1:86" x14ac:dyDescent="0.2">
      <c r="A1012" t="s">
        <v>4794</v>
      </c>
      <c r="B1012" t="s">
        <v>4794</v>
      </c>
      <c r="C1012">
        <v>41486</v>
      </c>
      <c r="D1012">
        <v>497</v>
      </c>
      <c r="E1012" t="s">
        <v>4795</v>
      </c>
      <c r="F1012">
        <v>2700</v>
      </c>
      <c r="G1012" t="s">
        <v>411</v>
      </c>
      <c r="H1012" t="s">
        <v>3837</v>
      </c>
      <c r="I1012" t="s">
        <v>2532</v>
      </c>
      <c r="J1012">
        <v>2702</v>
      </c>
      <c r="K1012" t="s">
        <v>2532</v>
      </c>
      <c r="L1012">
        <v>2500</v>
      </c>
      <c r="M1012" t="s">
        <v>1551</v>
      </c>
      <c r="N1012">
        <v>2502</v>
      </c>
      <c r="O1012" t="s">
        <v>2379</v>
      </c>
      <c r="P1012" t="s">
        <v>3108</v>
      </c>
      <c r="Q1012" t="s">
        <v>3249</v>
      </c>
      <c r="R1012" t="s">
        <v>3249</v>
      </c>
      <c r="S1012" t="s">
        <v>810</v>
      </c>
      <c r="T1012" t="s">
        <v>2754</v>
      </c>
      <c r="U1012" t="s">
        <v>3250</v>
      </c>
      <c r="V1012" t="s">
        <v>3250</v>
      </c>
      <c r="W1012" t="s">
        <v>3250</v>
      </c>
      <c r="X1012" t="s">
        <v>3250</v>
      </c>
      <c r="Y1012" t="s">
        <v>3250</v>
      </c>
      <c r="Z1012" t="s">
        <v>3250</v>
      </c>
      <c r="AA1012" t="s">
        <v>3108</v>
      </c>
      <c r="AB1012" t="s">
        <v>3108</v>
      </c>
      <c r="AC1012" t="s">
        <v>3250</v>
      </c>
      <c r="AD1012" t="s">
        <v>3250</v>
      </c>
      <c r="AE1012" t="s">
        <v>3250</v>
      </c>
      <c r="AF1012" t="s">
        <v>3250</v>
      </c>
      <c r="AG1012" t="s">
        <v>3250</v>
      </c>
      <c r="AH1012" t="s">
        <v>3250</v>
      </c>
      <c r="AI1012" t="s">
        <v>3250</v>
      </c>
      <c r="AJ1012" t="s">
        <v>3250</v>
      </c>
      <c r="AL1012" t="s">
        <v>3250</v>
      </c>
      <c r="AM1012" t="s">
        <v>3250</v>
      </c>
      <c r="AN1012" t="s">
        <v>3250</v>
      </c>
      <c r="AO1012" t="s">
        <v>3250</v>
      </c>
      <c r="AS1012" t="s">
        <v>3250</v>
      </c>
      <c r="AT1012" t="s">
        <v>3250</v>
      </c>
      <c r="AU1012" t="s">
        <v>3250</v>
      </c>
      <c r="AV1012" t="s">
        <v>3250</v>
      </c>
      <c r="AW1012" t="s">
        <v>3250</v>
      </c>
      <c r="AX1012" t="s">
        <v>3250</v>
      </c>
      <c r="AY1012" t="s">
        <v>3250</v>
      </c>
      <c r="AZ1012" t="s">
        <v>3250</v>
      </c>
      <c r="BA1012" t="s">
        <v>3250</v>
      </c>
      <c r="BB1012" t="s">
        <v>3250</v>
      </c>
      <c r="BC1012" t="s">
        <v>3250</v>
      </c>
      <c r="BE1012" t="s">
        <v>3250</v>
      </c>
      <c r="BF1012" t="s">
        <v>3250</v>
      </c>
      <c r="BG1012" t="s">
        <v>3250</v>
      </c>
      <c r="BH1012" t="s">
        <v>3250</v>
      </c>
      <c r="BI1012" t="s">
        <v>3250</v>
      </c>
      <c r="BK1012" t="s">
        <v>3250</v>
      </c>
      <c r="BL1012" t="s">
        <v>3250</v>
      </c>
      <c r="BM1012" t="s">
        <v>3250</v>
      </c>
      <c r="BN1012" t="s">
        <v>3250</v>
      </c>
      <c r="BP1012">
        <v>15</v>
      </c>
      <c r="BQ1012">
        <v>151</v>
      </c>
      <c r="BR1012" t="s">
        <v>2379</v>
      </c>
      <c r="BS1012" t="s">
        <v>1551</v>
      </c>
      <c r="BV1012">
        <v>0</v>
      </c>
      <c r="BW1012">
        <v>4040</v>
      </c>
      <c r="BX1012">
        <v>0</v>
      </c>
      <c r="BY1012">
        <v>0</v>
      </c>
      <c r="BZ1012">
        <v>0</v>
      </c>
      <c r="CA1012">
        <v>0</v>
      </c>
      <c r="CB1012">
        <v>0</v>
      </c>
      <c r="CC1012">
        <v>0</v>
      </c>
      <c r="CD1012">
        <v>0</v>
      </c>
      <c r="CE1012" t="s">
        <v>3108</v>
      </c>
      <c r="CF1012" t="s">
        <v>3108</v>
      </c>
      <c r="CG1012" t="s">
        <v>3108</v>
      </c>
      <c r="CH1012" t="s">
        <v>3108</v>
      </c>
    </row>
    <row r="1013" spans="1:86" x14ac:dyDescent="0.2">
      <c r="A1013" t="s">
        <v>4796</v>
      </c>
      <c r="B1013" t="s">
        <v>4796</v>
      </c>
      <c r="C1013">
        <v>41487</v>
      </c>
      <c r="D1013">
        <v>269</v>
      </c>
      <c r="E1013" t="s">
        <v>4001</v>
      </c>
      <c r="F1013">
        <v>2900</v>
      </c>
      <c r="G1013" t="s">
        <v>822</v>
      </c>
      <c r="H1013" t="s">
        <v>3108</v>
      </c>
      <c r="I1013" t="s">
        <v>3108</v>
      </c>
      <c r="J1013">
        <v>2904</v>
      </c>
      <c r="K1013" t="s">
        <v>1690</v>
      </c>
      <c r="L1013">
        <v>1100</v>
      </c>
      <c r="M1013" t="s">
        <v>119</v>
      </c>
      <c r="N1013">
        <v>1120</v>
      </c>
      <c r="O1013" t="s">
        <v>2367</v>
      </c>
      <c r="P1013" t="s">
        <v>3108</v>
      </c>
      <c r="Q1013" t="s">
        <v>3249</v>
      </c>
      <c r="R1013" t="s">
        <v>3249</v>
      </c>
      <c r="S1013" t="s">
        <v>810</v>
      </c>
      <c r="T1013" t="s">
        <v>2754</v>
      </c>
      <c r="U1013" t="s">
        <v>3250</v>
      </c>
      <c r="V1013" t="s">
        <v>3250</v>
      </c>
      <c r="W1013" t="s">
        <v>3250</v>
      </c>
      <c r="X1013" t="s">
        <v>3250</v>
      </c>
      <c r="Y1013" t="s">
        <v>3250</v>
      </c>
      <c r="Z1013" t="s">
        <v>3250</v>
      </c>
      <c r="AA1013" t="s">
        <v>3108</v>
      </c>
      <c r="AB1013" t="s">
        <v>3108</v>
      </c>
      <c r="AC1013" t="s">
        <v>3250</v>
      </c>
      <c r="AD1013" t="s">
        <v>3250</v>
      </c>
      <c r="AE1013" t="s">
        <v>3250</v>
      </c>
      <c r="AF1013" t="s">
        <v>3250</v>
      </c>
      <c r="AG1013" t="s">
        <v>3250</v>
      </c>
      <c r="AH1013" t="s">
        <v>3250</v>
      </c>
      <c r="AI1013" t="s">
        <v>3250</v>
      </c>
      <c r="AJ1013" t="s">
        <v>3250</v>
      </c>
      <c r="AL1013" t="s">
        <v>3250</v>
      </c>
      <c r="AM1013" t="s">
        <v>3250</v>
      </c>
      <c r="AN1013" t="s">
        <v>3250</v>
      </c>
      <c r="AO1013" t="s">
        <v>3250</v>
      </c>
      <c r="AS1013" t="s">
        <v>3250</v>
      </c>
      <c r="AT1013" t="s">
        <v>3250</v>
      </c>
      <c r="AU1013" t="s">
        <v>3250</v>
      </c>
      <c r="AV1013" t="s">
        <v>3250</v>
      </c>
      <c r="AW1013" t="s">
        <v>3250</v>
      </c>
      <c r="AX1013" t="s">
        <v>3250</v>
      </c>
      <c r="AY1013" t="s">
        <v>3250</v>
      </c>
      <c r="AZ1013" t="s">
        <v>3250</v>
      </c>
      <c r="BA1013" t="s">
        <v>3250</v>
      </c>
      <c r="BB1013" t="s">
        <v>3250</v>
      </c>
      <c r="BC1013" t="s">
        <v>3250</v>
      </c>
      <c r="BE1013" t="s">
        <v>3250</v>
      </c>
      <c r="BF1013" t="s">
        <v>3250</v>
      </c>
      <c r="BG1013" t="s">
        <v>3250</v>
      </c>
      <c r="BH1013" t="s">
        <v>3250</v>
      </c>
      <c r="BI1013" t="s">
        <v>3250</v>
      </c>
      <c r="BK1013" t="s">
        <v>3250</v>
      </c>
      <c r="BL1013" t="s">
        <v>3250</v>
      </c>
      <c r="BM1013" t="s">
        <v>3250</v>
      </c>
      <c r="BN1013" t="s">
        <v>3250</v>
      </c>
      <c r="BP1013">
        <v>3</v>
      </c>
      <c r="BQ1013">
        <v>31</v>
      </c>
      <c r="BR1013" t="s">
        <v>2367</v>
      </c>
      <c r="BS1013" t="s">
        <v>4381</v>
      </c>
      <c r="BV1013">
        <v>0</v>
      </c>
      <c r="BW1013">
        <v>0</v>
      </c>
      <c r="BX1013">
        <v>84840</v>
      </c>
      <c r="BY1013">
        <v>0</v>
      </c>
      <c r="BZ1013">
        <v>0</v>
      </c>
      <c r="CA1013">
        <v>0</v>
      </c>
      <c r="CB1013">
        <v>0</v>
      </c>
      <c r="CC1013">
        <v>0</v>
      </c>
      <c r="CD1013">
        <v>0</v>
      </c>
      <c r="CE1013" t="s">
        <v>3108</v>
      </c>
      <c r="CF1013" t="s">
        <v>3108</v>
      </c>
      <c r="CG1013" t="s">
        <v>3108</v>
      </c>
      <c r="CH1013" t="s">
        <v>3108</v>
      </c>
    </row>
    <row r="1014" spans="1:86" x14ac:dyDescent="0.2">
      <c r="A1014" t="s">
        <v>4797</v>
      </c>
      <c r="B1014" t="s">
        <v>4797</v>
      </c>
      <c r="C1014">
        <v>41488</v>
      </c>
      <c r="D1014">
        <v>270</v>
      </c>
      <c r="E1014" t="s">
        <v>4047</v>
      </c>
      <c r="F1014">
        <v>2600</v>
      </c>
      <c r="G1014" t="s">
        <v>1334</v>
      </c>
      <c r="H1014">
        <v>2600</v>
      </c>
      <c r="I1014" t="s">
        <v>1334</v>
      </c>
      <c r="J1014" t="s">
        <v>3250</v>
      </c>
      <c r="K1014" t="s">
        <v>3250</v>
      </c>
      <c r="L1014">
        <v>1100</v>
      </c>
      <c r="M1014" t="s">
        <v>119</v>
      </c>
      <c r="N1014">
        <v>1120</v>
      </c>
      <c r="O1014" t="s">
        <v>2367</v>
      </c>
      <c r="P1014" t="s">
        <v>3108</v>
      </c>
      <c r="Q1014" t="s">
        <v>3249</v>
      </c>
      <c r="R1014" t="s">
        <v>3249</v>
      </c>
      <c r="S1014" t="s">
        <v>810</v>
      </c>
      <c r="T1014" t="s">
        <v>2754</v>
      </c>
      <c r="U1014" t="s">
        <v>3250</v>
      </c>
      <c r="V1014" t="s">
        <v>3250</v>
      </c>
      <c r="W1014" t="s">
        <v>3250</v>
      </c>
      <c r="X1014" t="s">
        <v>3250</v>
      </c>
      <c r="Y1014" t="s">
        <v>3250</v>
      </c>
      <c r="Z1014" t="s">
        <v>3250</v>
      </c>
      <c r="AA1014" t="s">
        <v>3108</v>
      </c>
      <c r="AB1014" t="s">
        <v>3108</v>
      </c>
      <c r="AC1014" t="s">
        <v>3250</v>
      </c>
      <c r="AD1014" t="s">
        <v>3250</v>
      </c>
      <c r="AE1014" t="s">
        <v>3250</v>
      </c>
      <c r="AF1014" t="s">
        <v>3250</v>
      </c>
      <c r="AG1014" t="s">
        <v>3250</v>
      </c>
      <c r="AH1014" t="s">
        <v>3250</v>
      </c>
      <c r="AI1014" t="s">
        <v>3250</v>
      </c>
      <c r="AJ1014" t="s">
        <v>3250</v>
      </c>
      <c r="AL1014" t="s">
        <v>3250</v>
      </c>
      <c r="AM1014" t="s">
        <v>3250</v>
      </c>
      <c r="AN1014" t="s">
        <v>3250</v>
      </c>
      <c r="AO1014" t="s">
        <v>3250</v>
      </c>
      <c r="AS1014" t="s">
        <v>3250</v>
      </c>
      <c r="AT1014" t="s">
        <v>3250</v>
      </c>
      <c r="AU1014" t="s">
        <v>3250</v>
      </c>
      <c r="AV1014" t="s">
        <v>3250</v>
      </c>
      <c r="AW1014" t="s">
        <v>3250</v>
      </c>
      <c r="AX1014" t="s">
        <v>3250</v>
      </c>
      <c r="AY1014" t="s">
        <v>3250</v>
      </c>
      <c r="AZ1014" t="s">
        <v>3250</v>
      </c>
      <c r="BA1014" t="s">
        <v>3250</v>
      </c>
      <c r="BB1014" t="s">
        <v>3250</v>
      </c>
      <c r="BC1014" t="s">
        <v>3250</v>
      </c>
      <c r="BE1014" t="s">
        <v>3250</v>
      </c>
      <c r="BF1014" t="s">
        <v>3250</v>
      </c>
      <c r="BG1014" t="s">
        <v>3250</v>
      </c>
      <c r="BH1014" t="s">
        <v>3250</v>
      </c>
      <c r="BI1014" t="s">
        <v>3250</v>
      </c>
      <c r="BK1014" t="s">
        <v>3250</v>
      </c>
      <c r="BL1014" t="s">
        <v>3250</v>
      </c>
      <c r="BM1014" t="s">
        <v>3250</v>
      </c>
      <c r="BN1014" t="s">
        <v>3250</v>
      </c>
      <c r="BP1014">
        <v>3</v>
      </c>
      <c r="BQ1014">
        <v>31</v>
      </c>
      <c r="BR1014" t="s">
        <v>2367</v>
      </c>
      <c r="BS1014" t="s">
        <v>4381</v>
      </c>
      <c r="BV1014">
        <v>23262</v>
      </c>
      <c r="BW1014">
        <v>60000</v>
      </c>
      <c r="BX1014">
        <v>0</v>
      </c>
      <c r="BY1014">
        <v>0</v>
      </c>
      <c r="BZ1014">
        <v>0</v>
      </c>
      <c r="CA1014">
        <v>0</v>
      </c>
      <c r="CB1014">
        <v>0</v>
      </c>
      <c r="CC1014">
        <v>0</v>
      </c>
      <c r="CD1014">
        <v>0</v>
      </c>
      <c r="CE1014" t="s">
        <v>3108</v>
      </c>
      <c r="CF1014" t="s">
        <v>3108</v>
      </c>
      <c r="CG1014" t="s">
        <v>3108</v>
      </c>
      <c r="CH1014" t="s">
        <v>3108</v>
      </c>
    </row>
    <row r="1015" spans="1:86" x14ac:dyDescent="0.2">
      <c r="A1015" t="s">
        <v>4798</v>
      </c>
      <c r="B1015" t="s">
        <v>4798</v>
      </c>
      <c r="C1015">
        <v>41489</v>
      </c>
      <c r="D1015">
        <v>271</v>
      </c>
      <c r="E1015" t="s">
        <v>3994</v>
      </c>
      <c r="F1015">
        <v>2600</v>
      </c>
      <c r="G1015" t="s">
        <v>1334</v>
      </c>
      <c r="H1015">
        <v>2600</v>
      </c>
      <c r="I1015" t="s">
        <v>1334</v>
      </c>
      <c r="J1015" t="s">
        <v>3250</v>
      </c>
      <c r="K1015" t="s">
        <v>3250</v>
      </c>
      <c r="L1015">
        <v>1100</v>
      </c>
      <c r="M1015" t="s">
        <v>119</v>
      </c>
      <c r="N1015">
        <v>1120</v>
      </c>
      <c r="O1015" t="s">
        <v>2367</v>
      </c>
      <c r="P1015" t="s">
        <v>3108</v>
      </c>
      <c r="Q1015" t="s">
        <v>3249</v>
      </c>
      <c r="R1015" t="s">
        <v>3249</v>
      </c>
      <c r="S1015" t="s">
        <v>810</v>
      </c>
      <c r="T1015" t="s">
        <v>2754</v>
      </c>
      <c r="U1015" t="s">
        <v>3250</v>
      </c>
      <c r="V1015" t="s">
        <v>3250</v>
      </c>
      <c r="W1015" t="s">
        <v>3250</v>
      </c>
      <c r="X1015" t="s">
        <v>3250</v>
      </c>
      <c r="Y1015" t="s">
        <v>3250</v>
      </c>
      <c r="Z1015" t="s">
        <v>3250</v>
      </c>
      <c r="AA1015" t="s">
        <v>3108</v>
      </c>
      <c r="AB1015" t="s">
        <v>3108</v>
      </c>
      <c r="AC1015" t="s">
        <v>3250</v>
      </c>
      <c r="AD1015" t="s">
        <v>3250</v>
      </c>
      <c r="AE1015" t="s">
        <v>3250</v>
      </c>
      <c r="AF1015" t="s">
        <v>3250</v>
      </c>
      <c r="AG1015" t="s">
        <v>3250</v>
      </c>
      <c r="AH1015" t="s">
        <v>3250</v>
      </c>
      <c r="AI1015" t="s">
        <v>3250</v>
      </c>
      <c r="AJ1015" t="s">
        <v>3250</v>
      </c>
      <c r="AL1015" t="s">
        <v>3250</v>
      </c>
      <c r="AM1015" t="s">
        <v>3250</v>
      </c>
      <c r="AN1015" t="s">
        <v>3250</v>
      </c>
      <c r="AO1015" t="s">
        <v>3250</v>
      </c>
      <c r="AS1015" t="s">
        <v>3250</v>
      </c>
      <c r="AT1015" t="s">
        <v>3250</v>
      </c>
      <c r="AU1015" t="s">
        <v>3250</v>
      </c>
      <c r="AV1015" t="s">
        <v>3250</v>
      </c>
      <c r="AW1015" t="s">
        <v>3250</v>
      </c>
      <c r="AX1015" t="s">
        <v>3250</v>
      </c>
      <c r="AY1015" t="s">
        <v>3250</v>
      </c>
      <c r="AZ1015" t="s">
        <v>3250</v>
      </c>
      <c r="BA1015" t="s">
        <v>3250</v>
      </c>
      <c r="BB1015" t="s">
        <v>3250</v>
      </c>
      <c r="BC1015" t="s">
        <v>3250</v>
      </c>
      <c r="BE1015" t="s">
        <v>3250</v>
      </c>
      <c r="BF1015" t="s">
        <v>3250</v>
      </c>
      <c r="BG1015" t="s">
        <v>3250</v>
      </c>
      <c r="BH1015" t="s">
        <v>3250</v>
      </c>
      <c r="BI1015" t="s">
        <v>3250</v>
      </c>
      <c r="BK1015" t="s">
        <v>3250</v>
      </c>
      <c r="BL1015" t="s">
        <v>3250</v>
      </c>
      <c r="BM1015" t="s">
        <v>3250</v>
      </c>
      <c r="BN1015" t="s">
        <v>3250</v>
      </c>
      <c r="BP1015">
        <v>3</v>
      </c>
      <c r="BQ1015">
        <v>31</v>
      </c>
      <c r="BR1015" t="s">
        <v>2367</v>
      </c>
      <c r="BS1015" t="s">
        <v>4381</v>
      </c>
      <c r="BV1015">
        <v>199660</v>
      </c>
      <c r="BW1015">
        <v>0</v>
      </c>
      <c r="BX1015">
        <v>536428</v>
      </c>
      <c r="BY1015">
        <v>1500000</v>
      </c>
      <c r="BZ1015">
        <v>1700000</v>
      </c>
      <c r="CA1015">
        <v>1766300</v>
      </c>
      <c r="CB1015">
        <v>1836952</v>
      </c>
      <c r="CC1015">
        <v>1910430</v>
      </c>
      <c r="CD1015">
        <v>1016043</v>
      </c>
      <c r="CE1015" t="s">
        <v>3108</v>
      </c>
      <c r="CF1015" t="s">
        <v>3108</v>
      </c>
      <c r="CG1015" t="s">
        <v>3108</v>
      </c>
      <c r="CH1015" t="s">
        <v>3108</v>
      </c>
    </row>
    <row r="1016" spans="1:86" x14ac:dyDescent="0.2">
      <c r="A1016" t="s">
        <v>4799</v>
      </c>
      <c r="B1016" t="s">
        <v>4799</v>
      </c>
      <c r="C1016">
        <v>41490</v>
      </c>
      <c r="D1016">
        <v>272</v>
      </c>
      <c r="E1016" t="s">
        <v>4006</v>
      </c>
      <c r="F1016">
        <v>2700</v>
      </c>
      <c r="G1016" t="s">
        <v>411</v>
      </c>
      <c r="H1016" t="s">
        <v>4004</v>
      </c>
      <c r="I1016" t="s">
        <v>2531</v>
      </c>
      <c r="J1016">
        <v>2701</v>
      </c>
      <c r="K1016" t="s">
        <v>2531</v>
      </c>
      <c r="L1016">
        <v>1100</v>
      </c>
      <c r="M1016" t="s">
        <v>119</v>
      </c>
      <c r="N1016">
        <v>1120</v>
      </c>
      <c r="O1016" t="s">
        <v>2367</v>
      </c>
      <c r="P1016" t="s">
        <v>3108</v>
      </c>
      <c r="Q1016" t="s">
        <v>3249</v>
      </c>
      <c r="R1016" t="s">
        <v>3249</v>
      </c>
      <c r="S1016" t="s">
        <v>810</v>
      </c>
      <c r="T1016" t="s">
        <v>2754</v>
      </c>
      <c r="U1016" t="s">
        <v>3250</v>
      </c>
      <c r="V1016" t="s">
        <v>3250</v>
      </c>
      <c r="W1016" t="s">
        <v>3250</v>
      </c>
      <c r="X1016" t="s">
        <v>3250</v>
      </c>
      <c r="Y1016" t="s">
        <v>3250</v>
      </c>
      <c r="Z1016" t="s">
        <v>3250</v>
      </c>
      <c r="AA1016" t="s">
        <v>3108</v>
      </c>
      <c r="AB1016" t="s">
        <v>3108</v>
      </c>
      <c r="AC1016" t="s">
        <v>3250</v>
      </c>
      <c r="AD1016" t="s">
        <v>3250</v>
      </c>
      <c r="AE1016" t="s">
        <v>3250</v>
      </c>
      <c r="AF1016" t="s">
        <v>3250</v>
      </c>
      <c r="AG1016" t="s">
        <v>3250</v>
      </c>
      <c r="AH1016" t="s">
        <v>3250</v>
      </c>
      <c r="AI1016" t="s">
        <v>3250</v>
      </c>
      <c r="AJ1016" t="s">
        <v>3250</v>
      </c>
      <c r="AL1016" t="s">
        <v>3250</v>
      </c>
      <c r="AM1016" t="s">
        <v>3250</v>
      </c>
      <c r="AN1016" t="s">
        <v>3250</v>
      </c>
      <c r="AO1016" t="s">
        <v>3250</v>
      </c>
      <c r="AS1016" t="s">
        <v>3250</v>
      </c>
      <c r="AT1016" t="s">
        <v>3250</v>
      </c>
      <c r="AU1016" t="s">
        <v>3250</v>
      </c>
      <c r="AV1016" t="s">
        <v>3250</v>
      </c>
      <c r="AW1016" t="s">
        <v>3250</v>
      </c>
      <c r="AX1016" t="s">
        <v>3250</v>
      </c>
      <c r="AY1016" t="s">
        <v>3250</v>
      </c>
      <c r="AZ1016" t="s">
        <v>3250</v>
      </c>
      <c r="BA1016" t="s">
        <v>3250</v>
      </c>
      <c r="BB1016" t="s">
        <v>3250</v>
      </c>
      <c r="BC1016" t="s">
        <v>3250</v>
      </c>
      <c r="BE1016" t="s">
        <v>3250</v>
      </c>
      <c r="BF1016" t="s">
        <v>3250</v>
      </c>
      <c r="BG1016" t="s">
        <v>3250</v>
      </c>
      <c r="BH1016" t="s">
        <v>3250</v>
      </c>
      <c r="BI1016" t="s">
        <v>3250</v>
      </c>
      <c r="BK1016" t="s">
        <v>3250</v>
      </c>
      <c r="BL1016" t="s">
        <v>3250</v>
      </c>
      <c r="BM1016" t="s">
        <v>3250</v>
      </c>
      <c r="BN1016" t="s">
        <v>3250</v>
      </c>
      <c r="BP1016">
        <v>3</v>
      </c>
      <c r="BQ1016">
        <v>31</v>
      </c>
      <c r="BR1016" t="s">
        <v>2367</v>
      </c>
      <c r="BS1016" t="s">
        <v>4381</v>
      </c>
      <c r="BV1016">
        <v>0</v>
      </c>
      <c r="BW1016">
        <v>0</v>
      </c>
      <c r="BX1016">
        <v>22300</v>
      </c>
      <c r="BY1016">
        <v>0</v>
      </c>
      <c r="BZ1016">
        <v>0</v>
      </c>
      <c r="CA1016">
        <v>0</v>
      </c>
      <c r="CB1016">
        <v>0</v>
      </c>
      <c r="CC1016">
        <v>0</v>
      </c>
      <c r="CD1016">
        <v>0</v>
      </c>
      <c r="CE1016" t="s">
        <v>3108</v>
      </c>
      <c r="CF1016" t="s">
        <v>3108</v>
      </c>
      <c r="CG1016" t="s">
        <v>3108</v>
      </c>
      <c r="CH1016" t="s">
        <v>3108</v>
      </c>
    </row>
    <row r="1017" spans="1:86" x14ac:dyDescent="0.2">
      <c r="A1017" t="s">
        <v>4800</v>
      </c>
      <c r="B1017" t="s">
        <v>4800</v>
      </c>
      <c r="C1017">
        <v>41491</v>
      </c>
      <c r="D1017">
        <v>273</v>
      </c>
      <c r="E1017" t="s">
        <v>4003</v>
      </c>
      <c r="F1017">
        <v>2700</v>
      </c>
      <c r="G1017" t="s">
        <v>411</v>
      </c>
      <c r="H1017" t="s">
        <v>4004</v>
      </c>
      <c r="I1017" t="s">
        <v>2531</v>
      </c>
      <c r="J1017">
        <v>2701</v>
      </c>
      <c r="K1017" t="s">
        <v>2531</v>
      </c>
      <c r="L1017">
        <v>1100</v>
      </c>
      <c r="M1017" t="s">
        <v>119</v>
      </c>
      <c r="N1017">
        <v>1120</v>
      </c>
      <c r="O1017" t="s">
        <v>2367</v>
      </c>
      <c r="P1017" t="s">
        <v>3108</v>
      </c>
      <c r="Q1017" t="s">
        <v>3249</v>
      </c>
      <c r="R1017" t="s">
        <v>3249</v>
      </c>
      <c r="S1017" t="s">
        <v>810</v>
      </c>
      <c r="T1017" t="s">
        <v>2754</v>
      </c>
      <c r="U1017" t="s">
        <v>3250</v>
      </c>
      <c r="V1017" t="s">
        <v>3250</v>
      </c>
      <c r="W1017" t="s">
        <v>3250</v>
      </c>
      <c r="X1017" t="s">
        <v>3250</v>
      </c>
      <c r="Y1017" t="s">
        <v>3250</v>
      </c>
      <c r="Z1017" t="s">
        <v>3250</v>
      </c>
      <c r="AA1017" t="s">
        <v>3108</v>
      </c>
      <c r="AB1017" t="s">
        <v>3108</v>
      </c>
      <c r="AC1017" t="s">
        <v>3250</v>
      </c>
      <c r="AD1017" t="s">
        <v>3250</v>
      </c>
      <c r="AE1017" t="s">
        <v>3250</v>
      </c>
      <c r="AF1017" t="s">
        <v>3250</v>
      </c>
      <c r="AG1017" t="s">
        <v>3250</v>
      </c>
      <c r="AH1017" t="s">
        <v>3250</v>
      </c>
      <c r="AI1017" t="s">
        <v>3250</v>
      </c>
      <c r="AJ1017" t="s">
        <v>3250</v>
      </c>
      <c r="AL1017" t="s">
        <v>3250</v>
      </c>
      <c r="AM1017" t="s">
        <v>3250</v>
      </c>
      <c r="AN1017" t="s">
        <v>3250</v>
      </c>
      <c r="AO1017" t="s">
        <v>3250</v>
      </c>
      <c r="AS1017" t="s">
        <v>3250</v>
      </c>
      <c r="AT1017" t="s">
        <v>3250</v>
      </c>
      <c r="AU1017" t="s">
        <v>3250</v>
      </c>
      <c r="AV1017" t="s">
        <v>3250</v>
      </c>
      <c r="AW1017" t="s">
        <v>3250</v>
      </c>
      <c r="AX1017" t="s">
        <v>3250</v>
      </c>
      <c r="AY1017" t="s">
        <v>3250</v>
      </c>
      <c r="AZ1017" t="s">
        <v>3250</v>
      </c>
      <c r="BA1017" t="s">
        <v>3250</v>
      </c>
      <c r="BB1017" t="s">
        <v>3250</v>
      </c>
      <c r="BC1017" t="s">
        <v>3250</v>
      </c>
      <c r="BE1017" t="s">
        <v>3250</v>
      </c>
      <c r="BF1017" t="s">
        <v>3250</v>
      </c>
      <c r="BG1017" t="s">
        <v>3250</v>
      </c>
      <c r="BH1017" t="s">
        <v>3250</v>
      </c>
      <c r="BI1017" t="s">
        <v>3250</v>
      </c>
      <c r="BK1017" t="s">
        <v>3250</v>
      </c>
      <c r="BL1017" t="s">
        <v>3250</v>
      </c>
      <c r="BM1017" t="s">
        <v>3250</v>
      </c>
      <c r="BN1017" t="s">
        <v>3250</v>
      </c>
      <c r="BP1017">
        <v>3</v>
      </c>
      <c r="BQ1017">
        <v>31</v>
      </c>
      <c r="BR1017" t="s">
        <v>2367</v>
      </c>
      <c r="BS1017" t="s">
        <v>4381</v>
      </c>
      <c r="BV1017">
        <v>0</v>
      </c>
      <c r="BW1017">
        <v>0</v>
      </c>
      <c r="BX1017">
        <v>21975</v>
      </c>
      <c r="BY1017">
        <v>0</v>
      </c>
      <c r="BZ1017">
        <v>0</v>
      </c>
      <c r="CA1017">
        <v>0</v>
      </c>
      <c r="CB1017">
        <v>0</v>
      </c>
      <c r="CC1017">
        <v>0</v>
      </c>
      <c r="CD1017">
        <v>0</v>
      </c>
      <c r="CE1017" t="s">
        <v>3108</v>
      </c>
      <c r="CF1017" t="s">
        <v>3108</v>
      </c>
      <c r="CG1017" t="s">
        <v>3108</v>
      </c>
      <c r="CH1017" t="s">
        <v>3108</v>
      </c>
    </row>
    <row r="1018" spans="1:86" x14ac:dyDescent="0.2">
      <c r="A1018" t="s">
        <v>4801</v>
      </c>
      <c r="B1018" t="s">
        <v>4801</v>
      </c>
      <c r="C1018">
        <v>41492</v>
      </c>
      <c r="D1018">
        <v>86</v>
      </c>
      <c r="E1018" t="s">
        <v>4802</v>
      </c>
      <c r="F1018">
        <v>1500</v>
      </c>
      <c r="G1018" t="s">
        <v>2342</v>
      </c>
      <c r="H1018">
        <v>1500</v>
      </c>
      <c r="I1018" t="s">
        <v>2342</v>
      </c>
      <c r="J1018" t="s">
        <v>3250</v>
      </c>
      <c r="K1018" t="s">
        <v>3250</v>
      </c>
      <c r="L1018">
        <v>3100</v>
      </c>
      <c r="M1018" t="s">
        <v>127</v>
      </c>
      <c r="N1018">
        <v>3107</v>
      </c>
      <c r="O1018" t="s">
        <v>2418</v>
      </c>
      <c r="P1018" t="s">
        <v>3108</v>
      </c>
      <c r="Q1018" t="s">
        <v>3249</v>
      </c>
      <c r="R1018" t="s">
        <v>3249</v>
      </c>
      <c r="S1018" t="s">
        <v>472</v>
      </c>
      <c r="T1018" t="s">
        <v>2759</v>
      </c>
      <c r="U1018" t="s">
        <v>3250</v>
      </c>
      <c r="V1018" t="s">
        <v>3250</v>
      </c>
      <c r="W1018" t="s">
        <v>3250</v>
      </c>
      <c r="X1018" t="s">
        <v>3250</v>
      </c>
      <c r="Y1018" t="s">
        <v>3250</v>
      </c>
      <c r="Z1018" t="s">
        <v>3250</v>
      </c>
      <c r="AA1018" t="s">
        <v>3108</v>
      </c>
      <c r="AB1018" t="s">
        <v>3108</v>
      </c>
      <c r="AC1018" t="s">
        <v>3250</v>
      </c>
      <c r="AD1018" t="s">
        <v>3250</v>
      </c>
      <c r="AE1018" t="s">
        <v>3250</v>
      </c>
      <c r="AF1018" t="s">
        <v>3250</v>
      </c>
      <c r="AG1018" t="s">
        <v>3250</v>
      </c>
      <c r="AH1018" t="s">
        <v>3250</v>
      </c>
      <c r="AI1018" t="s">
        <v>3250</v>
      </c>
      <c r="AJ1018" t="s">
        <v>3250</v>
      </c>
      <c r="AL1018" t="s">
        <v>3250</v>
      </c>
      <c r="AM1018" t="s">
        <v>3250</v>
      </c>
      <c r="AN1018" t="s">
        <v>3250</v>
      </c>
      <c r="AO1018" t="s">
        <v>3250</v>
      </c>
      <c r="AS1018" t="s">
        <v>3250</v>
      </c>
      <c r="AT1018" t="s">
        <v>3250</v>
      </c>
      <c r="AU1018" t="s">
        <v>3250</v>
      </c>
      <c r="AV1018" t="s">
        <v>3250</v>
      </c>
      <c r="AW1018" t="s">
        <v>3250</v>
      </c>
      <c r="AX1018" t="s">
        <v>3250</v>
      </c>
      <c r="AY1018" t="s">
        <v>3250</v>
      </c>
      <c r="AZ1018" t="s">
        <v>3250</v>
      </c>
      <c r="BA1018" t="s">
        <v>3250</v>
      </c>
      <c r="BB1018" t="s">
        <v>3250</v>
      </c>
      <c r="BC1018" t="s">
        <v>3250</v>
      </c>
      <c r="BE1018" t="s">
        <v>3250</v>
      </c>
      <c r="BF1018" t="s">
        <v>3250</v>
      </c>
      <c r="BG1018" t="s">
        <v>3250</v>
      </c>
      <c r="BH1018" t="s">
        <v>3250</v>
      </c>
      <c r="BI1018" t="s">
        <v>3250</v>
      </c>
      <c r="BK1018" t="s">
        <v>3250</v>
      </c>
      <c r="BL1018" t="s">
        <v>3250</v>
      </c>
      <c r="BM1018" t="s">
        <v>3250</v>
      </c>
      <c r="BN1018" t="s">
        <v>3250</v>
      </c>
      <c r="BP1018">
        <v>8</v>
      </c>
      <c r="BQ1018">
        <v>81</v>
      </c>
      <c r="BR1018" t="s">
        <v>2418</v>
      </c>
      <c r="BS1018" t="s">
        <v>4013</v>
      </c>
      <c r="BV1018">
        <v>0</v>
      </c>
      <c r="BW1018">
        <v>0</v>
      </c>
      <c r="BX1018">
        <v>0</v>
      </c>
      <c r="BY1018">
        <v>0</v>
      </c>
      <c r="BZ1018">
        <v>0</v>
      </c>
      <c r="CA1018">
        <v>0</v>
      </c>
      <c r="CB1018">
        <v>0</v>
      </c>
      <c r="CC1018">
        <v>0</v>
      </c>
      <c r="CD1018">
        <v>0</v>
      </c>
      <c r="CE1018" t="s">
        <v>3108</v>
      </c>
      <c r="CF1018" t="s">
        <v>3108</v>
      </c>
      <c r="CG1018" t="s">
        <v>3108</v>
      </c>
      <c r="CH1018" t="s">
        <v>3108</v>
      </c>
    </row>
    <row r="1019" spans="1:86" x14ac:dyDescent="0.2">
      <c r="A1019" t="s">
        <v>4803</v>
      </c>
      <c r="B1019" t="s">
        <v>4803</v>
      </c>
      <c r="C1019">
        <v>41493</v>
      </c>
      <c r="D1019">
        <v>365</v>
      </c>
      <c r="E1019" t="s">
        <v>4776</v>
      </c>
      <c r="F1019">
        <v>2000</v>
      </c>
      <c r="G1019" t="s">
        <v>408</v>
      </c>
      <c r="H1019" t="s">
        <v>4064</v>
      </c>
      <c r="I1019" t="s">
        <v>1340</v>
      </c>
      <c r="J1019">
        <v>2009</v>
      </c>
      <c r="K1019" t="s">
        <v>1340</v>
      </c>
      <c r="L1019">
        <v>1200</v>
      </c>
      <c r="M1019" t="s">
        <v>2368</v>
      </c>
      <c r="N1019">
        <v>1201</v>
      </c>
      <c r="O1019" t="s">
        <v>2370</v>
      </c>
      <c r="P1019" t="s">
        <v>3108</v>
      </c>
      <c r="Q1019" t="s">
        <v>3249</v>
      </c>
      <c r="R1019" t="s">
        <v>3249</v>
      </c>
      <c r="S1019" t="s">
        <v>810</v>
      </c>
      <c r="T1019" t="s">
        <v>2754</v>
      </c>
      <c r="U1019" t="s">
        <v>3250</v>
      </c>
      <c r="V1019" t="s">
        <v>3250</v>
      </c>
      <c r="W1019" t="s">
        <v>3250</v>
      </c>
      <c r="X1019" t="s">
        <v>3250</v>
      </c>
      <c r="Y1019" t="s">
        <v>3250</v>
      </c>
      <c r="Z1019" t="s">
        <v>3250</v>
      </c>
      <c r="AA1019" t="s">
        <v>3108</v>
      </c>
      <c r="AB1019" t="s">
        <v>3108</v>
      </c>
      <c r="AC1019" t="s">
        <v>3250</v>
      </c>
      <c r="AD1019" t="s">
        <v>3250</v>
      </c>
      <c r="AE1019" t="s">
        <v>3250</v>
      </c>
      <c r="AF1019" t="s">
        <v>3250</v>
      </c>
      <c r="AG1019" t="s">
        <v>3250</v>
      </c>
      <c r="AH1019" t="s">
        <v>3250</v>
      </c>
      <c r="AI1019" t="s">
        <v>3250</v>
      </c>
      <c r="AJ1019" t="s">
        <v>3250</v>
      </c>
      <c r="AL1019" t="s">
        <v>3250</v>
      </c>
      <c r="AM1019" t="s">
        <v>3250</v>
      </c>
      <c r="AN1019" t="s">
        <v>3250</v>
      </c>
      <c r="AO1019" t="s">
        <v>3250</v>
      </c>
      <c r="AS1019" t="s">
        <v>3250</v>
      </c>
      <c r="AT1019" t="s">
        <v>3250</v>
      </c>
      <c r="AU1019" t="s">
        <v>3250</v>
      </c>
      <c r="AV1019" t="s">
        <v>3250</v>
      </c>
      <c r="AW1019" t="s">
        <v>3250</v>
      </c>
      <c r="AX1019" t="s">
        <v>3250</v>
      </c>
      <c r="AY1019" t="s">
        <v>3250</v>
      </c>
      <c r="AZ1019" t="s">
        <v>3250</v>
      </c>
      <c r="BA1019" t="s">
        <v>3250</v>
      </c>
      <c r="BB1019" t="s">
        <v>3250</v>
      </c>
      <c r="BC1019" t="s">
        <v>3250</v>
      </c>
      <c r="BE1019" t="s">
        <v>3250</v>
      </c>
      <c r="BF1019" t="s">
        <v>3250</v>
      </c>
      <c r="BG1019" t="s">
        <v>3250</v>
      </c>
      <c r="BH1019" t="s">
        <v>3250</v>
      </c>
      <c r="BI1019" t="s">
        <v>3250</v>
      </c>
      <c r="BK1019" t="s">
        <v>3250</v>
      </c>
      <c r="BL1019" t="s">
        <v>3250</v>
      </c>
      <c r="BM1019" t="s">
        <v>3250</v>
      </c>
      <c r="BN1019" t="s">
        <v>3250</v>
      </c>
      <c r="BO1019" t="s">
        <v>2917</v>
      </c>
      <c r="BP1019">
        <v>1</v>
      </c>
      <c r="BQ1019">
        <v>14</v>
      </c>
      <c r="BR1019" t="s">
        <v>2370</v>
      </c>
      <c r="BS1019" t="s">
        <v>3252</v>
      </c>
      <c r="BV1019">
        <v>0</v>
      </c>
      <c r="BW1019">
        <v>9</v>
      </c>
      <c r="BX1019">
        <v>83</v>
      </c>
      <c r="BY1019">
        <v>71</v>
      </c>
      <c r="BZ1019">
        <v>71</v>
      </c>
      <c r="CA1019">
        <v>76</v>
      </c>
      <c r="CB1019">
        <v>82</v>
      </c>
      <c r="CC1019">
        <v>87</v>
      </c>
      <c r="CD1019">
        <v>0</v>
      </c>
      <c r="CE1019" t="s">
        <v>3108</v>
      </c>
      <c r="CF1019" t="s">
        <v>3108</v>
      </c>
      <c r="CG1019" t="s">
        <v>3108</v>
      </c>
      <c r="CH1019" t="s">
        <v>3108</v>
      </c>
    </row>
    <row r="1020" spans="1:86" x14ac:dyDescent="0.2">
      <c r="A1020" t="s">
        <v>4804</v>
      </c>
      <c r="B1020" t="s">
        <v>4804</v>
      </c>
      <c r="C1020">
        <v>41494</v>
      </c>
      <c r="D1020">
        <v>366</v>
      </c>
      <c r="E1020" t="s">
        <v>4778</v>
      </c>
      <c r="F1020">
        <v>2000</v>
      </c>
      <c r="G1020" t="s">
        <v>408</v>
      </c>
      <c r="H1020" t="s">
        <v>4067</v>
      </c>
      <c r="I1020" t="s">
        <v>650</v>
      </c>
      <c r="J1020">
        <v>2003</v>
      </c>
      <c r="K1020" t="s">
        <v>650</v>
      </c>
      <c r="L1020">
        <v>1200</v>
      </c>
      <c r="M1020" t="s">
        <v>2368</v>
      </c>
      <c r="N1020">
        <v>1201</v>
      </c>
      <c r="O1020" t="s">
        <v>2370</v>
      </c>
      <c r="P1020" t="s">
        <v>3108</v>
      </c>
      <c r="Q1020" t="s">
        <v>3249</v>
      </c>
      <c r="R1020" t="s">
        <v>3249</v>
      </c>
      <c r="S1020" t="s">
        <v>810</v>
      </c>
      <c r="T1020" t="s">
        <v>2754</v>
      </c>
      <c r="U1020" t="s">
        <v>3250</v>
      </c>
      <c r="V1020" t="s">
        <v>3250</v>
      </c>
      <c r="W1020" t="s">
        <v>3250</v>
      </c>
      <c r="X1020" t="s">
        <v>3250</v>
      </c>
      <c r="Y1020" t="s">
        <v>3250</v>
      </c>
      <c r="Z1020" t="s">
        <v>3250</v>
      </c>
      <c r="AA1020" t="s">
        <v>3108</v>
      </c>
      <c r="AB1020" t="s">
        <v>3108</v>
      </c>
      <c r="AC1020" t="s">
        <v>3250</v>
      </c>
      <c r="AD1020" t="s">
        <v>3250</v>
      </c>
      <c r="AE1020" t="s">
        <v>3250</v>
      </c>
      <c r="AF1020" t="s">
        <v>3250</v>
      </c>
      <c r="AG1020" t="s">
        <v>3250</v>
      </c>
      <c r="AH1020" t="s">
        <v>3250</v>
      </c>
      <c r="AI1020" t="s">
        <v>3250</v>
      </c>
      <c r="AJ1020" t="s">
        <v>3250</v>
      </c>
      <c r="AL1020" t="s">
        <v>3250</v>
      </c>
      <c r="AM1020" t="s">
        <v>3250</v>
      </c>
      <c r="AN1020" t="s">
        <v>3250</v>
      </c>
      <c r="AO1020" t="s">
        <v>3250</v>
      </c>
      <c r="AS1020" t="s">
        <v>3250</v>
      </c>
      <c r="AT1020" t="s">
        <v>3250</v>
      </c>
      <c r="AU1020" t="s">
        <v>3250</v>
      </c>
      <c r="AV1020" t="s">
        <v>3250</v>
      </c>
      <c r="AW1020" t="s">
        <v>3250</v>
      </c>
      <c r="AX1020" t="s">
        <v>3250</v>
      </c>
      <c r="AY1020" t="s">
        <v>3250</v>
      </c>
      <c r="AZ1020" t="s">
        <v>3250</v>
      </c>
      <c r="BA1020" t="s">
        <v>3250</v>
      </c>
      <c r="BB1020" t="s">
        <v>3250</v>
      </c>
      <c r="BC1020" t="s">
        <v>3250</v>
      </c>
      <c r="BE1020" t="s">
        <v>3250</v>
      </c>
      <c r="BF1020" t="s">
        <v>3250</v>
      </c>
      <c r="BG1020" t="s">
        <v>3250</v>
      </c>
      <c r="BH1020" t="s">
        <v>3250</v>
      </c>
      <c r="BI1020" t="s">
        <v>3250</v>
      </c>
      <c r="BK1020" t="s">
        <v>3250</v>
      </c>
      <c r="BL1020" t="s">
        <v>3250</v>
      </c>
      <c r="BM1020" t="s">
        <v>3250</v>
      </c>
      <c r="BN1020" t="s">
        <v>3250</v>
      </c>
      <c r="BO1020" t="s">
        <v>2917</v>
      </c>
      <c r="BP1020">
        <v>1</v>
      </c>
      <c r="BQ1020">
        <v>14</v>
      </c>
      <c r="BR1020" t="s">
        <v>2370</v>
      </c>
      <c r="BS1020" t="s">
        <v>3252</v>
      </c>
      <c r="BV1020">
        <v>0</v>
      </c>
      <c r="BW1020">
        <v>0</v>
      </c>
      <c r="BX1020">
        <v>0</v>
      </c>
      <c r="BY1020">
        <v>0</v>
      </c>
      <c r="BZ1020">
        <v>0</v>
      </c>
      <c r="CA1020">
        <v>0</v>
      </c>
      <c r="CB1020">
        <v>0</v>
      </c>
      <c r="CC1020">
        <v>0</v>
      </c>
      <c r="CD1020">
        <v>0</v>
      </c>
      <c r="CE1020" t="s">
        <v>3108</v>
      </c>
      <c r="CF1020" t="s">
        <v>3108</v>
      </c>
      <c r="CG1020" t="s">
        <v>3108</v>
      </c>
      <c r="CH1020" t="s">
        <v>3108</v>
      </c>
    </row>
    <row r="1021" spans="1:86" x14ac:dyDescent="0.2">
      <c r="A1021" t="s">
        <v>4805</v>
      </c>
      <c r="B1021" t="s">
        <v>4805</v>
      </c>
      <c r="C1021">
        <v>41495</v>
      </c>
      <c r="D1021">
        <v>367</v>
      </c>
      <c r="E1021" t="s">
        <v>4780</v>
      </c>
      <c r="F1021">
        <v>2000</v>
      </c>
      <c r="G1021" t="s">
        <v>408</v>
      </c>
      <c r="H1021" t="s">
        <v>4070</v>
      </c>
      <c r="I1021" t="s">
        <v>1792</v>
      </c>
      <c r="J1021">
        <v>2002</v>
      </c>
      <c r="K1021" t="s">
        <v>1792</v>
      </c>
      <c r="L1021">
        <v>1200</v>
      </c>
      <c r="M1021" t="s">
        <v>2368</v>
      </c>
      <c r="N1021">
        <v>1201</v>
      </c>
      <c r="O1021" t="s">
        <v>2370</v>
      </c>
      <c r="P1021" t="s">
        <v>3108</v>
      </c>
      <c r="Q1021" t="s">
        <v>3249</v>
      </c>
      <c r="R1021" t="s">
        <v>3249</v>
      </c>
      <c r="S1021" t="s">
        <v>810</v>
      </c>
      <c r="T1021" t="s">
        <v>2754</v>
      </c>
      <c r="U1021" t="s">
        <v>3250</v>
      </c>
      <c r="V1021" t="s">
        <v>3250</v>
      </c>
      <c r="W1021" t="s">
        <v>3250</v>
      </c>
      <c r="X1021" t="s">
        <v>3250</v>
      </c>
      <c r="Y1021" t="s">
        <v>3250</v>
      </c>
      <c r="Z1021" t="s">
        <v>3250</v>
      </c>
      <c r="AA1021" t="s">
        <v>3108</v>
      </c>
      <c r="AB1021" t="s">
        <v>3108</v>
      </c>
      <c r="AC1021" t="s">
        <v>3250</v>
      </c>
      <c r="AD1021" t="s">
        <v>3250</v>
      </c>
      <c r="AE1021" t="s">
        <v>3250</v>
      </c>
      <c r="AF1021" t="s">
        <v>3250</v>
      </c>
      <c r="AG1021" t="s">
        <v>3250</v>
      </c>
      <c r="AH1021" t="s">
        <v>3250</v>
      </c>
      <c r="AI1021" t="s">
        <v>3250</v>
      </c>
      <c r="AJ1021" t="s">
        <v>3250</v>
      </c>
      <c r="AL1021" t="s">
        <v>3250</v>
      </c>
      <c r="AM1021" t="s">
        <v>3250</v>
      </c>
      <c r="AN1021" t="s">
        <v>3250</v>
      </c>
      <c r="AO1021" t="s">
        <v>3250</v>
      </c>
      <c r="AS1021" t="s">
        <v>3250</v>
      </c>
      <c r="AT1021" t="s">
        <v>3250</v>
      </c>
      <c r="AU1021" t="s">
        <v>3250</v>
      </c>
      <c r="AV1021" t="s">
        <v>3250</v>
      </c>
      <c r="AW1021" t="s">
        <v>3250</v>
      </c>
      <c r="AX1021" t="s">
        <v>3250</v>
      </c>
      <c r="AY1021" t="s">
        <v>3250</v>
      </c>
      <c r="AZ1021" t="s">
        <v>3250</v>
      </c>
      <c r="BA1021" t="s">
        <v>3250</v>
      </c>
      <c r="BB1021" t="s">
        <v>3250</v>
      </c>
      <c r="BC1021" t="s">
        <v>3250</v>
      </c>
      <c r="BE1021" t="s">
        <v>3250</v>
      </c>
      <c r="BF1021" t="s">
        <v>3250</v>
      </c>
      <c r="BG1021" t="s">
        <v>3250</v>
      </c>
      <c r="BH1021" t="s">
        <v>3250</v>
      </c>
      <c r="BI1021" t="s">
        <v>3250</v>
      </c>
      <c r="BK1021" t="s">
        <v>3250</v>
      </c>
      <c r="BL1021" t="s">
        <v>3250</v>
      </c>
      <c r="BM1021" t="s">
        <v>3250</v>
      </c>
      <c r="BN1021" t="s">
        <v>3250</v>
      </c>
      <c r="BO1021" t="s">
        <v>2917</v>
      </c>
      <c r="BP1021">
        <v>1</v>
      </c>
      <c r="BQ1021">
        <v>14</v>
      </c>
      <c r="BR1021" t="s">
        <v>2370</v>
      </c>
      <c r="BS1021" t="s">
        <v>3252</v>
      </c>
      <c r="BV1021">
        <v>0</v>
      </c>
      <c r="BW1021">
        <v>0</v>
      </c>
      <c r="BX1021">
        <v>0</v>
      </c>
      <c r="BY1021">
        <v>0</v>
      </c>
      <c r="BZ1021">
        <v>0</v>
      </c>
      <c r="CA1021">
        <v>0</v>
      </c>
      <c r="CB1021">
        <v>0</v>
      </c>
      <c r="CC1021">
        <v>0</v>
      </c>
      <c r="CD1021">
        <v>0</v>
      </c>
      <c r="CE1021" t="s">
        <v>3108</v>
      </c>
      <c r="CF1021" t="s">
        <v>3108</v>
      </c>
      <c r="CG1021" t="s">
        <v>3108</v>
      </c>
      <c r="CH1021" t="s">
        <v>3108</v>
      </c>
    </row>
    <row r="1022" spans="1:86" x14ac:dyDescent="0.2">
      <c r="A1022" t="s">
        <v>4806</v>
      </c>
      <c r="B1022" t="s">
        <v>4806</v>
      </c>
      <c r="C1022">
        <v>41496</v>
      </c>
      <c r="D1022">
        <v>368</v>
      </c>
      <c r="E1022" t="s">
        <v>4782</v>
      </c>
      <c r="F1022">
        <v>2000</v>
      </c>
      <c r="G1022" t="s">
        <v>408</v>
      </c>
      <c r="H1022" t="s">
        <v>4070</v>
      </c>
      <c r="I1022" t="s">
        <v>1792</v>
      </c>
      <c r="J1022">
        <v>2002</v>
      </c>
      <c r="K1022" t="s">
        <v>1792</v>
      </c>
      <c r="L1022">
        <v>1200</v>
      </c>
      <c r="M1022" t="s">
        <v>2368</v>
      </c>
      <c r="N1022">
        <v>1201</v>
      </c>
      <c r="O1022" t="s">
        <v>2370</v>
      </c>
      <c r="P1022" t="s">
        <v>3108</v>
      </c>
      <c r="Q1022" t="s">
        <v>3249</v>
      </c>
      <c r="R1022" t="s">
        <v>3249</v>
      </c>
      <c r="S1022" t="s">
        <v>810</v>
      </c>
      <c r="T1022" t="s">
        <v>2754</v>
      </c>
      <c r="U1022" t="s">
        <v>3250</v>
      </c>
      <c r="V1022" t="s">
        <v>3250</v>
      </c>
      <c r="W1022" t="s">
        <v>3250</v>
      </c>
      <c r="X1022" t="s">
        <v>3250</v>
      </c>
      <c r="Y1022" t="s">
        <v>3250</v>
      </c>
      <c r="Z1022" t="s">
        <v>3250</v>
      </c>
      <c r="AA1022" t="s">
        <v>3108</v>
      </c>
      <c r="AB1022" t="s">
        <v>3108</v>
      </c>
      <c r="AC1022" t="s">
        <v>3250</v>
      </c>
      <c r="AD1022" t="s">
        <v>3250</v>
      </c>
      <c r="AE1022" t="s">
        <v>3250</v>
      </c>
      <c r="AF1022" t="s">
        <v>3250</v>
      </c>
      <c r="AG1022" t="s">
        <v>3250</v>
      </c>
      <c r="AH1022" t="s">
        <v>3250</v>
      </c>
      <c r="AI1022" t="s">
        <v>3250</v>
      </c>
      <c r="AJ1022" t="s">
        <v>3250</v>
      </c>
      <c r="AL1022" t="s">
        <v>3250</v>
      </c>
      <c r="AM1022" t="s">
        <v>3250</v>
      </c>
      <c r="AN1022" t="s">
        <v>3250</v>
      </c>
      <c r="AO1022" t="s">
        <v>3250</v>
      </c>
      <c r="AS1022" t="s">
        <v>3250</v>
      </c>
      <c r="AT1022" t="s">
        <v>3250</v>
      </c>
      <c r="AU1022" t="s">
        <v>3250</v>
      </c>
      <c r="AV1022" t="s">
        <v>3250</v>
      </c>
      <c r="AW1022" t="s">
        <v>3250</v>
      </c>
      <c r="AX1022" t="s">
        <v>3250</v>
      </c>
      <c r="AY1022" t="s">
        <v>3250</v>
      </c>
      <c r="AZ1022" t="s">
        <v>3250</v>
      </c>
      <c r="BA1022" t="s">
        <v>3250</v>
      </c>
      <c r="BB1022" t="s">
        <v>3250</v>
      </c>
      <c r="BC1022" t="s">
        <v>3250</v>
      </c>
      <c r="BE1022" t="s">
        <v>3250</v>
      </c>
      <c r="BF1022" t="s">
        <v>3250</v>
      </c>
      <c r="BG1022" t="s">
        <v>3250</v>
      </c>
      <c r="BH1022" t="s">
        <v>3250</v>
      </c>
      <c r="BI1022" t="s">
        <v>3250</v>
      </c>
      <c r="BK1022" t="s">
        <v>3250</v>
      </c>
      <c r="BL1022" t="s">
        <v>3250</v>
      </c>
      <c r="BM1022" t="s">
        <v>3250</v>
      </c>
      <c r="BN1022" t="s">
        <v>3250</v>
      </c>
      <c r="BO1022" t="s">
        <v>2917</v>
      </c>
      <c r="BP1022">
        <v>1</v>
      </c>
      <c r="BQ1022">
        <v>14</v>
      </c>
      <c r="BR1022" t="s">
        <v>2370</v>
      </c>
      <c r="BS1022" t="s">
        <v>3252</v>
      </c>
      <c r="BV1022">
        <v>595</v>
      </c>
      <c r="BW1022">
        <v>149</v>
      </c>
      <c r="BX1022">
        <v>1487</v>
      </c>
      <c r="BY1022">
        <v>9303</v>
      </c>
      <c r="BZ1022">
        <v>9303</v>
      </c>
      <c r="CA1022">
        <v>9954</v>
      </c>
      <c r="CB1022">
        <v>10651</v>
      </c>
      <c r="CC1022">
        <v>11396</v>
      </c>
      <c r="CD1022">
        <v>0</v>
      </c>
      <c r="CE1022" t="s">
        <v>3108</v>
      </c>
      <c r="CF1022" t="s">
        <v>3108</v>
      </c>
      <c r="CG1022" t="s">
        <v>3108</v>
      </c>
      <c r="CH1022" t="s">
        <v>3108</v>
      </c>
    </row>
    <row r="1023" spans="1:86" x14ac:dyDescent="0.2">
      <c r="A1023" t="s">
        <v>4807</v>
      </c>
      <c r="B1023" t="s">
        <v>4807</v>
      </c>
      <c r="C1023">
        <v>41497</v>
      </c>
      <c r="D1023">
        <v>369</v>
      </c>
      <c r="E1023" t="s">
        <v>4762</v>
      </c>
      <c r="F1023">
        <v>2000</v>
      </c>
      <c r="G1023" t="s">
        <v>408</v>
      </c>
      <c r="H1023" t="s">
        <v>4064</v>
      </c>
      <c r="I1023" t="s">
        <v>1340</v>
      </c>
      <c r="J1023">
        <v>2001</v>
      </c>
      <c r="K1023" t="s">
        <v>1135</v>
      </c>
      <c r="L1023">
        <v>1200</v>
      </c>
      <c r="M1023" t="s">
        <v>2368</v>
      </c>
      <c r="N1023">
        <v>1201</v>
      </c>
      <c r="O1023" t="s">
        <v>2370</v>
      </c>
      <c r="P1023" t="s">
        <v>3108</v>
      </c>
      <c r="Q1023" t="s">
        <v>3249</v>
      </c>
      <c r="R1023" t="s">
        <v>3249</v>
      </c>
      <c r="S1023" t="s">
        <v>810</v>
      </c>
      <c r="T1023" t="s">
        <v>2754</v>
      </c>
      <c r="U1023" t="s">
        <v>3250</v>
      </c>
      <c r="V1023" t="s">
        <v>3250</v>
      </c>
      <c r="W1023" t="s">
        <v>3250</v>
      </c>
      <c r="X1023" t="s">
        <v>3250</v>
      </c>
      <c r="Y1023" t="s">
        <v>3250</v>
      </c>
      <c r="Z1023" t="s">
        <v>3250</v>
      </c>
      <c r="AA1023" t="s">
        <v>3108</v>
      </c>
      <c r="AB1023" t="s">
        <v>3108</v>
      </c>
      <c r="AC1023" t="s">
        <v>3250</v>
      </c>
      <c r="AD1023" t="s">
        <v>3250</v>
      </c>
      <c r="AE1023" t="s">
        <v>3250</v>
      </c>
      <c r="AF1023" t="s">
        <v>3250</v>
      </c>
      <c r="AG1023" t="s">
        <v>3250</v>
      </c>
      <c r="AH1023" t="s">
        <v>3250</v>
      </c>
      <c r="AI1023" t="s">
        <v>3250</v>
      </c>
      <c r="AJ1023" t="s">
        <v>3250</v>
      </c>
      <c r="AL1023" t="s">
        <v>3250</v>
      </c>
      <c r="AM1023" t="s">
        <v>3250</v>
      </c>
      <c r="AN1023" t="s">
        <v>3250</v>
      </c>
      <c r="AO1023" t="s">
        <v>3250</v>
      </c>
      <c r="AS1023" t="s">
        <v>3250</v>
      </c>
      <c r="AT1023" t="s">
        <v>3250</v>
      </c>
      <c r="AU1023" t="s">
        <v>3250</v>
      </c>
      <c r="AV1023" t="s">
        <v>3250</v>
      </c>
      <c r="AW1023" t="s">
        <v>3250</v>
      </c>
      <c r="AX1023" t="s">
        <v>3250</v>
      </c>
      <c r="AY1023" t="s">
        <v>3250</v>
      </c>
      <c r="AZ1023" t="s">
        <v>3250</v>
      </c>
      <c r="BA1023" t="s">
        <v>3250</v>
      </c>
      <c r="BB1023" t="s">
        <v>3250</v>
      </c>
      <c r="BC1023" t="s">
        <v>3250</v>
      </c>
      <c r="BE1023" t="s">
        <v>3250</v>
      </c>
      <c r="BF1023" t="s">
        <v>3250</v>
      </c>
      <c r="BG1023" t="s">
        <v>3250</v>
      </c>
      <c r="BH1023" t="s">
        <v>3250</v>
      </c>
      <c r="BI1023" t="s">
        <v>3250</v>
      </c>
      <c r="BK1023" t="s">
        <v>3250</v>
      </c>
      <c r="BL1023" t="s">
        <v>3250</v>
      </c>
      <c r="BM1023" t="s">
        <v>3250</v>
      </c>
      <c r="BN1023" t="s">
        <v>3250</v>
      </c>
      <c r="BO1023" t="s">
        <v>2917</v>
      </c>
      <c r="BP1023">
        <v>1</v>
      </c>
      <c r="BQ1023">
        <v>14</v>
      </c>
      <c r="BR1023" t="s">
        <v>2370</v>
      </c>
      <c r="BS1023" t="s">
        <v>3252</v>
      </c>
      <c r="BV1023">
        <v>0</v>
      </c>
      <c r="BW1023">
        <v>0</v>
      </c>
      <c r="BX1023">
        <v>0</v>
      </c>
      <c r="BY1023">
        <v>0</v>
      </c>
      <c r="BZ1023">
        <v>0</v>
      </c>
      <c r="CA1023">
        <v>0</v>
      </c>
      <c r="CB1023">
        <v>0</v>
      </c>
      <c r="CC1023">
        <v>0</v>
      </c>
      <c r="CD1023">
        <v>0</v>
      </c>
      <c r="CE1023" t="s">
        <v>3108</v>
      </c>
      <c r="CF1023" t="s">
        <v>3108</v>
      </c>
      <c r="CG1023" t="s">
        <v>3108</v>
      </c>
      <c r="CH1023" t="s">
        <v>3108</v>
      </c>
    </row>
    <row r="1024" spans="1:86" x14ac:dyDescent="0.2">
      <c r="A1024" t="s">
        <v>4808</v>
      </c>
      <c r="B1024" t="s">
        <v>4808</v>
      </c>
      <c r="C1024">
        <v>41498</v>
      </c>
      <c r="D1024">
        <v>370</v>
      </c>
      <c r="E1024" t="s">
        <v>4764</v>
      </c>
      <c r="F1024">
        <v>2000</v>
      </c>
      <c r="G1024" t="s">
        <v>408</v>
      </c>
      <c r="H1024" t="s">
        <v>4085</v>
      </c>
      <c r="I1024" t="s">
        <v>1453</v>
      </c>
      <c r="J1024">
        <v>2010</v>
      </c>
      <c r="K1024" t="s">
        <v>1453</v>
      </c>
      <c r="L1024">
        <v>1200</v>
      </c>
      <c r="M1024" t="s">
        <v>2368</v>
      </c>
      <c r="N1024">
        <v>1201</v>
      </c>
      <c r="O1024" t="s">
        <v>2370</v>
      </c>
      <c r="P1024" t="s">
        <v>3108</v>
      </c>
      <c r="Q1024" t="s">
        <v>3249</v>
      </c>
      <c r="R1024" t="s">
        <v>3249</v>
      </c>
      <c r="S1024" t="s">
        <v>810</v>
      </c>
      <c r="T1024" t="s">
        <v>2754</v>
      </c>
      <c r="U1024" t="s">
        <v>3250</v>
      </c>
      <c r="V1024" t="s">
        <v>3250</v>
      </c>
      <c r="W1024" t="s">
        <v>3250</v>
      </c>
      <c r="X1024" t="s">
        <v>3250</v>
      </c>
      <c r="Y1024" t="s">
        <v>3250</v>
      </c>
      <c r="Z1024" t="s">
        <v>3250</v>
      </c>
      <c r="AA1024" t="s">
        <v>3108</v>
      </c>
      <c r="AB1024" t="s">
        <v>3108</v>
      </c>
      <c r="AC1024" t="s">
        <v>3250</v>
      </c>
      <c r="AD1024" t="s">
        <v>3250</v>
      </c>
      <c r="AE1024" t="s">
        <v>3250</v>
      </c>
      <c r="AF1024" t="s">
        <v>3250</v>
      </c>
      <c r="AG1024" t="s">
        <v>3250</v>
      </c>
      <c r="AH1024" t="s">
        <v>3250</v>
      </c>
      <c r="AI1024" t="s">
        <v>3250</v>
      </c>
      <c r="AJ1024" t="s">
        <v>3250</v>
      </c>
      <c r="AL1024" t="s">
        <v>3250</v>
      </c>
      <c r="AM1024" t="s">
        <v>3250</v>
      </c>
      <c r="AN1024" t="s">
        <v>3250</v>
      </c>
      <c r="AO1024" t="s">
        <v>3250</v>
      </c>
      <c r="AS1024" t="s">
        <v>3250</v>
      </c>
      <c r="AT1024" t="s">
        <v>3250</v>
      </c>
      <c r="AU1024" t="s">
        <v>3250</v>
      </c>
      <c r="AV1024" t="s">
        <v>3250</v>
      </c>
      <c r="AW1024" t="s">
        <v>3250</v>
      </c>
      <c r="AX1024" t="s">
        <v>3250</v>
      </c>
      <c r="AY1024" t="s">
        <v>3250</v>
      </c>
      <c r="AZ1024" t="s">
        <v>3250</v>
      </c>
      <c r="BA1024" t="s">
        <v>3250</v>
      </c>
      <c r="BB1024" t="s">
        <v>3250</v>
      </c>
      <c r="BC1024" t="s">
        <v>3250</v>
      </c>
      <c r="BE1024" t="s">
        <v>3250</v>
      </c>
      <c r="BF1024" t="s">
        <v>3250</v>
      </c>
      <c r="BG1024" t="s">
        <v>3250</v>
      </c>
      <c r="BH1024" t="s">
        <v>3250</v>
      </c>
      <c r="BI1024" t="s">
        <v>3250</v>
      </c>
      <c r="BK1024" t="s">
        <v>3250</v>
      </c>
      <c r="BL1024" t="s">
        <v>3250</v>
      </c>
      <c r="BM1024" t="s">
        <v>3250</v>
      </c>
      <c r="BN1024" t="s">
        <v>3250</v>
      </c>
      <c r="BO1024" t="s">
        <v>2917</v>
      </c>
      <c r="BP1024">
        <v>1</v>
      </c>
      <c r="BQ1024">
        <v>14</v>
      </c>
      <c r="BR1024" t="s">
        <v>2370</v>
      </c>
      <c r="BS1024" t="s">
        <v>3252</v>
      </c>
      <c r="BV1024">
        <v>0</v>
      </c>
      <c r="BW1024">
        <v>0</v>
      </c>
      <c r="BX1024">
        <v>0</v>
      </c>
      <c r="BY1024">
        <v>0</v>
      </c>
      <c r="BZ1024">
        <v>0</v>
      </c>
      <c r="CA1024">
        <v>0</v>
      </c>
      <c r="CB1024">
        <v>0</v>
      </c>
      <c r="CC1024">
        <v>0</v>
      </c>
      <c r="CD1024">
        <v>0</v>
      </c>
      <c r="CE1024" t="s">
        <v>3108</v>
      </c>
      <c r="CF1024" t="s">
        <v>3108</v>
      </c>
      <c r="CG1024" t="s">
        <v>3108</v>
      </c>
      <c r="CH1024" t="s">
        <v>3108</v>
      </c>
    </row>
    <row r="1025" spans="1:86" x14ac:dyDescent="0.2">
      <c r="A1025" t="s">
        <v>4809</v>
      </c>
      <c r="B1025" t="s">
        <v>4809</v>
      </c>
      <c r="C1025">
        <v>41499</v>
      </c>
      <c r="D1025">
        <v>371</v>
      </c>
      <c r="E1025" t="s">
        <v>4766</v>
      </c>
      <c r="F1025">
        <v>2000</v>
      </c>
      <c r="G1025" t="s">
        <v>408</v>
      </c>
      <c r="H1025" t="s">
        <v>4203</v>
      </c>
      <c r="I1025" t="s">
        <v>1793</v>
      </c>
      <c r="J1025">
        <v>2007</v>
      </c>
      <c r="K1025" t="s">
        <v>1793</v>
      </c>
      <c r="L1025">
        <v>1200</v>
      </c>
      <c r="M1025" t="s">
        <v>2368</v>
      </c>
      <c r="N1025">
        <v>1201</v>
      </c>
      <c r="O1025" t="s">
        <v>2370</v>
      </c>
      <c r="P1025" t="s">
        <v>3108</v>
      </c>
      <c r="Q1025" t="s">
        <v>3249</v>
      </c>
      <c r="R1025" t="s">
        <v>3249</v>
      </c>
      <c r="S1025" t="s">
        <v>810</v>
      </c>
      <c r="T1025" t="s">
        <v>2754</v>
      </c>
      <c r="U1025" t="s">
        <v>3250</v>
      </c>
      <c r="V1025" t="s">
        <v>3250</v>
      </c>
      <c r="W1025" t="s">
        <v>3250</v>
      </c>
      <c r="X1025" t="s">
        <v>3250</v>
      </c>
      <c r="Y1025" t="s">
        <v>3250</v>
      </c>
      <c r="Z1025" t="s">
        <v>3250</v>
      </c>
      <c r="AA1025" t="s">
        <v>3108</v>
      </c>
      <c r="AB1025" t="s">
        <v>3108</v>
      </c>
      <c r="AC1025" t="s">
        <v>3250</v>
      </c>
      <c r="AD1025" t="s">
        <v>3250</v>
      </c>
      <c r="AE1025" t="s">
        <v>3250</v>
      </c>
      <c r="AF1025" t="s">
        <v>3250</v>
      </c>
      <c r="AG1025" t="s">
        <v>3250</v>
      </c>
      <c r="AH1025" t="s">
        <v>3250</v>
      </c>
      <c r="AI1025" t="s">
        <v>3250</v>
      </c>
      <c r="AJ1025" t="s">
        <v>3250</v>
      </c>
      <c r="AL1025" t="s">
        <v>3250</v>
      </c>
      <c r="AM1025" t="s">
        <v>3250</v>
      </c>
      <c r="AN1025" t="s">
        <v>3250</v>
      </c>
      <c r="AO1025" t="s">
        <v>3250</v>
      </c>
      <c r="AS1025" t="s">
        <v>3250</v>
      </c>
      <c r="AT1025" t="s">
        <v>3250</v>
      </c>
      <c r="AU1025" t="s">
        <v>3250</v>
      </c>
      <c r="AV1025" t="s">
        <v>3250</v>
      </c>
      <c r="AW1025" t="s">
        <v>3250</v>
      </c>
      <c r="AX1025" t="s">
        <v>3250</v>
      </c>
      <c r="AY1025" t="s">
        <v>3250</v>
      </c>
      <c r="AZ1025" t="s">
        <v>3250</v>
      </c>
      <c r="BA1025" t="s">
        <v>3250</v>
      </c>
      <c r="BB1025" t="s">
        <v>3250</v>
      </c>
      <c r="BC1025" t="s">
        <v>3250</v>
      </c>
      <c r="BE1025" t="s">
        <v>3250</v>
      </c>
      <c r="BF1025" t="s">
        <v>3250</v>
      </c>
      <c r="BG1025" t="s">
        <v>3250</v>
      </c>
      <c r="BH1025" t="s">
        <v>3250</v>
      </c>
      <c r="BI1025" t="s">
        <v>3250</v>
      </c>
      <c r="BK1025" t="s">
        <v>3250</v>
      </c>
      <c r="BL1025" t="s">
        <v>3250</v>
      </c>
      <c r="BM1025" t="s">
        <v>3250</v>
      </c>
      <c r="BN1025" t="s">
        <v>3250</v>
      </c>
      <c r="BO1025" t="s">
        <v>2917</v>
      </c>
      <c r="BP1025">
        <v>1</v>
      </c>
      <c r="BQ1025">
        <v>14</v>
      </c>
      <c r="BR1025" t="s">
        <v>2370</v>
      </c>
      <c r="BS1025" t="s">
        <v>3252</v>
      </c>
      <c r="BV1025">
        <v>11400</v>
      </c>
      <c r="BW1025">
        <v>9600</v>
      </c>
      <c r="BX1025">
        <v>8800</v>
      </c>
      <c r="BY1025">
        <v>9000</v>
      </c>
      <c r="BZ1025">
        <v>9000</v>
      </c>
      <c r="CA1025">
        <v>9630</v>
      </c>
      <c r="CB1025">
        <v>10304</v>
      </c>
      <c r="CC1025">
        <v>11025</v>
      </c>
      <c r="CD1025">
        <v>0</v>
      </c>
      <c r="CE1025" t="s">
        <v>3108</v>
      </c>
      <c r="CF1025" t="s">
        <v>3108</v>
      </c>
      <c r="CG1025" t="s">
        <v>3108</v>
      </c>
      <c r="CH1025" t="s">
        <v>3108</v>
      </c>
    </row>
    <row r="1026" spans="1:86" x14ac:dyDescent="0.2">
      <c r="A1026" t="s">
        <v>4810</v>
      </c>
      <c r="B1026" t="s">
        <v>4810</v>
      </c>
      <c r="C1026">
        <v>41500</v>
      </c>
      <c r="D1026">
        <v>372</v>
      </c>
      <c r="E1026" t="s">
        <v>4768</v>
      </c>
      <c r="F1026">
        <v>2000</v>
      </c>
      <c r="G1026" t="s">
        <v>408</v>
      </c>
      <c r="H1026" t="s">
        <v>4088</v>
      </c>
      <c r="I1026" t="s">
        <v>1941</v>
      </c>
      <c r="J1026">
        <v>2008</v>
      </c>
      <c r="K1026" t="s">
        <v>1941</v>
      </c>
      <c r="L1026">
        <v>1200</v>
      </c>
      <c r="M1026" t="s">
        <v>2368</v>
      </c>
      <c r="N1026">
        <v>1201</v>
      </c>
      <c r="O1026" t="s">
        <v>2370</v>
      </c>
      <c r="P1026" t="s">
        <v>3108</v>
      </c>
      <c r="Q1026" t="s">
        <v>3249</v>
      </c>
      <c r="R1026" t="s">
        <v>3249</v>
      </c>
      <c r="S1026" t="s">
        <v>810</v>
      </c>
      <c r="T1026" t="s">
        <v>2754</v>
      </c>
      <c r="U1026" t="s">
        <v>3250</v>
      </c>
      <c r="V1026" t="s">
        <v>3250</v>
      </c>
      <c r="W1026" t="s">
        <v>3250</v>
      </c>
      <c r="X1026" t="s">
        <v>3250</v>
      </c>
      <c r="Y1026" t="s">
        <v>3250</v>
      </c>
      <c r="Z1026" t="s">
        <v>3250</v>
      </c>
      <c r="AA1026" t="s">
        <v>3108</v>
      </c>
      <c r="AB1026" t="s">
        <v>3108</v>
      </c>
      <c r="AC1026" t="s">
        <v>3250</v>
      </c>
      <c r="AD1026" t="s">
        <v>3250</v>
      </c>
      <c r="AE1026" t="s">
        <v>3250</v>
      </c>
      <c r="AF1026" t="s">
        <v>3250</v>
      </c>
      <c r="AG1026" t="s">
        <v>3250</v>
      </c>
      <c r="AH1026" t="s">
        <v>3250</v>
      </c>
      <c r="AI1026" t="s">
        <v>3250</v>
      </c>
      <c r="AJ1026" t="s">
        <v>3250</v>
      </c>
      <c r="AL1026" t="s">
        <v>3250</v>
      </c>
      <c r="AM1026" t="s">
        <v>3250</v>
      </c>
      <c r="AN1026" t="s">
        <v>3250</v>
      </c>
      <c r="AO1026" t="s">
        <v>3250</v>
      </c>
      <c r="AS1026" t="s">
        <v>3250</v>
      </c>
      <c r="AT1026" t="s">
        <v>3250</v>
      </c>
      <c r="AU1026" t="s">
        <v>3250</v>
      </c>
      <c r="AV1026" t="s">
        <v>3250</v>
      </c>
      <c r="AW1026" t="s">
        <v>3250</v>
      </c>
      <c r="AX1026" t="s">
        <v>3250</v>
      </c>
      <c r="AY1026" t="s">
        <v>3250</v>
      </c>
      <c r="AZ1026" t="s">
        <v>3250</v>
      </c>
      <c r="BA1026" t="s">
        <v>3250</v>
      </c>
      <c r="BB1026" t="s">
        <v>3250</v>
      </c>
      <c r="BC1026" t="s">
        <v>3250</v>
      </c>
      <c r="BE1026" t="s">
        <v>3250</v>
      </c>
      <c r="BF1026" t="s">
        <v>3250</v>
      </c>
      <c r="BG1026" t="s">
        <v>3250</v>
      </c>
      <c r="BH1026" t="s">
        <v>3250</v>
      </c>
      <c r="BI1026" t="s">
        <v>3250</v>
      </c>
      <c r="BK1026" t="s">
        <v>3250</v>
      </c>
      <c r="BL1026" t="s">
        <v>3250</v>
      </c>
      <c r="BM1026" t="s">
        <v>3250</v>
      </c>
      <c r="BN1026" t="s">
        <v>3250</v>
      </c>
      <c r="BO1026" t="s">
        <v>2917</v>
      </c>
      <c r="BP1026">
        <v>1</v>
      </c>
      <c r="BQ1026">
        <v>14</v>
      </c>
      <c r="BR1026" t="s">
        <v>2370</v>
      </c>
      <c r="BS1026" t="s">
        <v>3252</v>
      </c>
      <c r="BV1026">
        <v>0</v>
      </c>
      <c r="BW1026">
        <v>0</v>
      </c>
      <c r="BX1026">
        <v>0</v>
      </c>
      <c r="BY1026">
        <v>0</v>
      </c>
      <c r="BZ1026">
        <v>0</v>
      </c>
      <c r="CA1026">
        <v>0</v>
      </c>
      <c r="CB1026">
        <v>0</v>
      </c>
      <c r="CC1026">
        <v>0</v>
      </c>
      <c r="CD1026">
        <v>0</v>
      </c>
      <c r="CE1026" t="s">
        <v>3108</v>
      </c>
      <c r="CF1026" t="s">
        <v>3108</v>
      </c>
      <c r="CG1026" t="s">
        <v>3108</v>
      </c>
      <c r="CH1026" t="s">
        <v>3108</v>
      </c>
    </row>
    <row r="1027" spans="1:86" x14ac:dyDescent="0.2">
      <c r="A1027" t="s">
        <v>4811</v>
      </c>
      <c r="B1027" t="s">
        <v>4811</v>
      </c>
      <c r="C1027">
        <v>41501</v>
      </c>
      <c r="D1027">
        <v>373</v>
      </c>
      <c r="E1027" t="s">
        <v>4770</v>
      </c>
      <c r="F1027">
        <v>2000</v>
      </c>
      <c r="G1027" t="s">
        <v>408</v>
      </c>
      <c r="H1027" t="s">
        <v>4094</v>
      </c>
      <c r="I1027" t="s">
        <v>1135</v>
      </c>
      <c r="J1027">
        <v>2001</v>
      </c>
      <c r="K1027" t="s">
        <v>1135</v>
      </c>
      <c r="L1027">
        <v>1200</v>
      </c>
      <c r="M1027" t="s">
        <v>2368</v>
      </c>
      <c r="N1027">
        <v>1201</v>
      </c>
      <c r="O1027" t="s">
        <v>2370</v>
      </c>
      <c r="P1027" t="s">
        <v>3108</v>
      </c>
      <c r="Q1027" t="s">
        <v>3249</v>
      </c>
      <c r="R1027" t="s">
        <v>3249</v>
      </c>
      <c r="S1027" t="s">
        <v>810</v>
      </c>
      <c r="T1027" t="s">
        <v>2754</v>
      </c>
      <c r="U1027" t="s">
        <v>3250</v>
      </c>
      <c r="V1027" t="s">
        <v>3250</v>
      </c>
      <c r="W1027" t="s">
        <v>3250</v>
      </c>
      <c r="X1027" t="s">
        <v>3250</v>
      </c>
      <c r="Y1027" t="s">
        <v>3250</v>
      </c>
      <c r="Z1027" t="s">
        <v>3250</v>
      </c>
      <c r="AA1027" t="s">
        <v>3108</v>
      </c>
      <c r="AB1027" t="s">
        <v>3108</v>
      </c>
      <c r="AC1027" t="s">
        <v>3250</v>
      </c>
      <c r="AD1027" t="s">
        <v>3250</v>
      </c>
      <c r="AE1027" t="s">
        <v>3250</v>
      </c>
      <c r="AF1027" t="s">
        <v>3250</v>
      </c>
      <c r="AG1027" t="s">
        <v>3250</v>
      </c>
      <c r="AH1027" t="s">
        <v>3250</v>
      </c>
      <c r="AI1027" t="s">
        <v>3250</v>
      </c>
      <c r="AJ1027" t="s">
        <v>3250</v>
      </c>
      <c r="AL1027" t="s">
        <v>3250</v>
      </c>
      <c r="AM1027" t="s">
        <v>3250</v>
      </c>
      <c r="AN1027" t="s">
        <v>3250</v>
      </c>
      <c r="AO1027" t="s">
        <v>3250</v>
      </c>
      <c r="AS1027" t="s">
        <v>3250</v>
      </c>
      <c r="AT1027" t="s">
        <v>3250</v>
      </c>
      <c r="AU1027" t="s">
        <v>3250</v>
      </c>
      <c r="AV1027" t="s">
        <v>3250</v>
      </c>
      <c r="AW1027" t="s">
        <v>3250</v>
      </c>
      <c r="AX1027" t="s">
        <v>3250</v>
      </c>
      <c r="AY1027" t="s">
        <v>3250</v>
      </c>
      <c r="AZ1027" t="s">
        <v>3250</v>
      </c>
      <c r="BA1027" t="s">
        <v>3250</v>
      </c>
      <c r="BB1027" t="s">
        <v>3250</v>
      </c>
      <c r="BC1027" t="s">
        <v>3250</v>
      </c>
      <c r="BE1027" t="s">
        <v>3250</v>
      </c>
      <c r="BF1027" t="s">
        <v>3250</v>
      </c>
      <c r="BG1027" t="s">
        <v>3250</v>
      </c>
      <c r="BH1027" t="s">
        <v>3250</v>
      </c>
      <c r="BI1027" t="s">
        <v>3250</v>
      </c>
      <c r="BK1027" t="s">
        <v>3250</v>
      </c>
      <c r="BL1027" t="s">
        <v>3250</v>
      </c>
      <c r="BM1027" t="s">
        <v>3250</v>
      </c>
      <c r="BN1027" t="s">
        <v>3250</v>
      </c>
      <c r="BO1027" t="s">
        <v>2917</v>
      </c>
      <c r="BP1027">
        <v>1</v>
      </c>
      <c r="BQ1027">
        <v>14</v>
      </c>
      <c r="BR1027" t="s">
        <v>2370</v>
      </c>
      <c r="BS1027" t="s">
        <v>3252</v>
      </c>
      <c r="BV1027">
        <v>988280</v>
      </c>
      <c r="BW1027">
        <v>903892</v>
      </c>
      <c r="BX1027">
        <v>729329</v>
      </c>
      <c r="BY1027">
        <v>930270</v>
      </c>
      <c r="BZ1027">
        <v>280270</v>
      </c>
      <c r="CA1027">
        <v>299888</v>
      </c>
      <c r="CB1027">
        <v>320881</v>
      </c>
      <c r="CC1027">
        <v>343342</v>
      </c>
      <c r="CD1027">
        <v>0</v>
      </c>
      <c r="CE1027" t="s">
        <v>3108</v>
      </c>
      <c r="CF1027" t="s">
        <v>3108</v>
      </c>
      <c r="CG1027" t="s">
        <v>3108</v>
      </c>
      <c r="CH1027" t="s">
        <v>3108</v>
      </c>
    </row>
    <row r="1028" spans="1:86" x14ac:dyDescent="0.2">
      <c r="A1028" t="s">
        <v>4812</v>
      </c>
      <c r="B1028" t="s">
        <v>4812</v>
      </c>
      <c r="C1028">
        <v>41502</v>
      </c>
      <c r="D1028">
        <v>374</v>
      </c>
      <c r="E1028" t="s">
        <v>4772</v>
      </c>
      <c r="F1028">
        <v>2000</v>
      </c>
      <c r="G1028" t="s">
        <v>408</v>
      </c>
      <c r="H1028" t="s">
        <v>4082</v>
      </c>
      <c r="I1028" t="s">
        <v>652</v>
      </c>
      <c r="J1028">
        <v>2005</v>
      </c>
      <c r="K1028" t="s">
        <v>652</v>
      </c>
      <c r="L1028">
        <v>1200</v>
      </c>
      <c r="M1028" t="s">
        <v>2368</v>
      </c>
      <c r="N1028">
        <v>1201</v>
      </c>
      <c r="O1028" t="s">
        <v>2370</v>
      </c>
      <c r="P1028" t="s">
        <v>3108</v>
      </c>
      <c r="Q1028" t="s">
        <v>3249</v>
      </c>
      <c r="R1028" t="s">
        <v>3249</v>
      </c>
      <c r="S1028" t="s">
        <v>810</v>
      </c>
      <c r="T1028" t="s">
        <v>2754</v>
      </c>
      <c r="U1028" t="s">
        <v>3250</v>
      </c>
      <c r="V1028" t="s">
        <v>3250</v>
      </c>
      <c r="W1028" t="s">
        <v>3250</v>
      </c>
      <c r="X1028" t="s">
        <v>3250</v>
      </c>
      <c r="Y1028" t="s">
        <v>3250</v>
      </c>
      <c r="Z1028" t="s">
        <v>3250</v>
      </c>
      <c r="AA1028" t="s">
        <v>3108</v>
      </c>
      <c r="AB1028" t="s">
        <v>3108</v>
      </c>
      <c r="AC1028" t="s">
        <v>3250</v>
      </c>
      <c r="AD1028" t="s">
        <v>3250</v>
      </c>
      <c r="AE1028" t="s">
        <v>3250</v>
      </c>
      <c r="AF1028" t="s">
        <v>3250</v>
      </c>
      <c r="AG1028" t="s">
        <v>3250</v>
      </c>
      <c r="AH1028" t="s">
        <v>3250</v>
      </c>
      <c r="AI1028" t="s">
        <v>3250</v>
      </c>
      <c r="AJ1028" t="s">
        <v>3250</v>
      </c>
      <c r="AL1028" t="s">
        <v>3250</v>
      </c>
      <c r="AM1028" t="s">
        <v>3250</v>
      </c>
      <c r="AN1028" t="s">
        <v>3250</v>
      </c>
      <c r="AO1028" t="s">
        <v>3250</v>
      </c>
      <c r="AS1028" t="s">
        <v>3250</v>
      </c>
      <c r="AT1028" t="s">
        <v>3250</v>
      </c>
      <c r="AU1028" t="s">
        <v>3250</v>
      </c>
      <c r="AV1028" t="s">
        <v>3250</v>
      </c>
      <c r="AW1028" t="s">
        <v>3250</v>
      </c>
      <c r="AX1028" t="s">
        <v>3250</v>
      </c>
      <c r="AY1028" t="s">
        <v>3250</v>
      </c>
      <c r="AZ1028" t="s">
        <v>3250</v>
      </c>
      <c r="BA1028" t="s">
        <v>3250</v>
      </c>
      <c r="BB1028" t="s">
        <v>3250</v>
      </c>
      <c r="BC1028" t="s">
        <v>3250</v>
      </c>
      <c r="BE1028" t="s">
        <v>3250</v>
      </c>
      <c r="BF1028" t="s">
        <v>3250</v>
      </c>
      <c r="BG1028" t="s">
        <v>3250</v>
      </c>
      <c r="BH1028" t="s">
        <v>3250</v>
      </c>
      <c r="BI1028" t="s">
        <v>3250</v>
      </c>
      <c r="BK1028" t="s">
        <v>3250</v>
      </c>
      <c r="BL1028" t="s">
        <v>3250</v>
      </c>
      <c r="BM1028" t="s">
        <v>3250</v>
      </c>
      <c r="BN1028" t="s">
        <v>3250</v>
      </c>
      <c r="BO1028" t="s">
        <v>2917</v>
      </c>
      <c r="BP1028">
        <v>1</v>
      </c>
      <c r="BQ1028">
        <v>14</v>
      </c>
      <c r="BR1028" t="s">
        <v>2370</v>
      </c>
      <c r="BS1028" t="s">
        <v>3252</v>
      </c>
      <c r="BV1028">
        <v>67654</v>
      </c>
      <c r="BW1028">
        <v>0</v>
      </c>
      <c r="BX1028">
        <v>0</v>
      </c>
      <c r="BY1028">
        <v>0</v>
      </c>
      <c r="BZ1028">
        <v>0</v>
      </c>
      <c r="CA1028">
        <v>0</v>
      </c>
      <c r="CB1028">
        <v>0</v>
      </c>
      <c r="CC1028">
        <v>0</v>
      </c>
      <c r="CD1028">
        <v>0</v>
      </c>
      <c r="CE1028" t="s">
        <v>3108</v>
      </c>
      <c r="CF1028" t="s">
        <v>3108</v>
      </c>
      <c r="CG1028" t="s">
        <v>3108</v>
      </c>
      <c r="CH1028" t="s">
        <v>3108</v>
      </c>
    </row>
    <row r="1029" spans="1:86" x14ac:dyDescent="0.2">
      <c r="A1029" t="s">
        <v>4813</v>
      </c>
      <c r="B1029" t="s">
        <v>4813</v>
      </c>
      <c r="C1029">
        <v>41503</v>
      </c>
      <c r="D1029">
        <v>157</v>
      </c>
      <c r="E1029" t="s">
        <v>4762</v>
      </c>
      <c r="F1029">
        <v>2000</v>
      </c>
      <c r="G1029" t="s">
        <v>408</v>
      </c>
      <c r="H1029" t="s">
        <v>4064</v>
      </c>
      <c r="I1029" t="s">
        <v>1340</v>
      </c>
      <c r="J1029">
        <v>2001</v>
      </c>
      <c r="K1029" t="s">
        <v>1135</v>
      </c>
      <c r="L1029">
        <v>2100</v>
      </c>
      <c r="M1029" t="s">
        <v>123</v>
      </c>
      <c r="N1029">
        <v>2106</v>
      </c>
      <c r="O1029" t="s">
        <v>2399</v>
      </c>
      <c r="P1029" t="s">
        <v>3108</v>
      </c>
      <c r="Q1029" t="s">
        <v>3249</v>
      </c>
      <c r="R1029" t="s">
        <v>3249</v>
      </c>
      <c r="S1029" t="s">
        <v>810</v>
      </c>
      <c r="T1029" t="s">
        <v>2754</v>
      </c>
      <c r="U1029" t="s">
        <v>3250</v>
      </c>
      <c r="V1029" t="s">
        <v>3250</v>
      </c>
      <c r="W1029" t="s">
        <v>3250</v>
      </c>
      <c r="X1029" t="s">
        <v>3250</v>
      </c>
      <c r="Y1029" t="s">
        <v>3250</v>
      </c>
      <c r="Z1029" t="s">
        <v>3250</v>
      </c>
      <c r="AA1029" t="s">
        <v>3108</v>
      </c>
      <c r="AB1029" t="s">
        <v>3108</v>
      </c>
      <c r="AC1029" t="s">
        <v>3250</v>
      </c>
      <c r="AD1029" t="s">
        <v>3250</v>
      </c>
      <c r="AE1029" t="s">
        <v>3250</v>
      </c>
      <c r="AF1029" t="s">
        <v>3250</v>
      </c>
      <c r="AG1029" t="s">
        <v>3250</v>
      </c>
      <c r="AH1029" t="s">
        <v>3250</v>
      </c>
      <c r="AI1029" t="s">
        <v>3250</v>
      </c>
      <c r="AJ1029" t="s">
        <v>3250</v>
      </c>
      <c r="AL1029" t="s">
        <v>3250</v>
      </c>
      <c r="AM1029" t="s">
        <v>3250</v>
      </c>
      <c r="AN1029" t="s">
        <v>3250</v>
      </c>
      <c r="AO1029" t="s">
        <v>3250</v>
      </c>
      <c r="AS1029" t="s">
        <v>3250</v>
      </c>
      <c r="AT1029" t="s">
        <v>3250</v>
      </c>
      <c r="AU1029" t="s">
        <v>3250</v>
      </c>
      <c r="AV1029" t="s">
        <v>3250</v>
      </c>
      <c r="AW1029" t="s">
        <v>3250</v>
      </c>
      <c r="AX1029" t="s">
        <v>3250</v>
      </c>
      <c r="AY1029" t="s">
        <v>3250</v>
      </c>
      <c r="AZ1029" t="s">
        <v>3250</v>
      </c>
      <c r="BA1029" t="s">
        <v>3250</v>
      </c>
      <c r="BB1029" t="s">
        <v>3250</v>
      </c>
      <c r="BC1029" t="s">
        <v>3250</v>
      </c>
      <c r="BE1029" t="s">
        <v>3250</v>
      </c>
      <c r="BF1029" t="s">
        <v>3250</v>
      </c>
      <c r="BG1029" t="s">
        <v>3250</v>
      </c>
      <c r="BH1029" t="s">
        <v>3250</v>
      </c>
      <c r="BI1029" t="s">
        <v>3250</v>
      </c>
      <c r="BK1029" t="s">
        <v>3250</v>
      </c>
      <c r="BL1029" t="s">
        <v>3250</v>
      </c>
      <c r="BM1029" t="s">
        <v>3250</v>
      </c>
      <c r="BN1029" t="s">
        <v>3250</v>
      </c>
      <c r="BO1029" t="s">
        <v>2917</v>
      </c>
      <c r="BP1029">
        <v>5</v>
      </c>
      <c r="BQ1029">
        <v>53</v>
      </c>
      <c r="BR1029" t="s">
        <v>2399</v>
      </c>
      <c r="BS1029" t="s">
        <v>4136</v>
      </c>
      <c r="BV1029">
        <v>0</v>
      </c>
      <c r="BW1029">
        <v>0</v>
      </c>
      <c r="BX1029">
        <v>0</v>
      </c>
      <c r="BY1029">
        <v>0</v>
      </c>
      <c r="BZ1029">
        <v>0</v>
      </c>
      <c r="CA1029">
        <v>0</v>
      </c>
      <c r="CB1029">
        <v>0</v>
      </c>
      <c r="CC1029">
        <v>0</v>
      </c>
      <c r="CD1029">
        <v>0</v>
      </c>
      <c r="CE1029" t="s">
        <v>3108</v>
      </c>
      <c r="CF1029" t="s">
        <v>3108</v>
      </c>
      <c r="CG1029" t="s">
        <v>3108</v>
      </c>
      <c r="CH1029" t="s">
        <v>3108</v>
      </c>
    </row>
    <row r="1030" spans="1:86" x14ac:dyDescent="0.2">
      <c r="A1030" t="s">
        <v>4814</v>
      </c>
      <c r="B1030" t="s">
        <v>4814</v>
      </c>
      <c r="C1030">
        <v>41504</v>
      </c>
      <c r="D1030">
        <v>158</v>
      </c>
      <c r="E1030" t="s">
        <v>4764</v>
      </c>
      <c r="F1030">
        <v>2000</v>
      </c>
      <c r="G1030" t="s">
        <v>408</v>
      </c>
      <c r="H1030" t="s">
        <v>4085</v>
      </c>
      <c r="I1030" t="s">
        <v>1453</v>
      </c>
      <c r="J1030">
        <v>2010</v>
      </c>
      <c r="K1030" t="s">
        <v>1453</v>
      </c>
      <c r="L1030">
        <v>2100</v>
      </c>
      <c r="M1030" t="s">
        <v>123</v>
      </c>
      <c r="N1030">
        <v>2106</v>
      </c>
      <c r="O1030" t="s">
        <v>2399</v>
      </c>
      <c r="P1030" t="s">
        <v>3108</v>
      </c>
      <c r="Q1030" t="s">
        <v>3249</v>
      </c>
      <c r="R1030" t="s">
        <v>3249</v>
      </c>
      <c r="S1030" t="s">
        <v>810</v>
      </c>
      <c r="T1030" t="s">
        <v>2754</v>
      </c>
      <c r="U1030" t="s">
        <v>3250</v>
      </c>
      <c r="V1030" t="s">
        <v>3250</v>
      </c>
      <c r="W1030" t="s">
        <v>3250</v>
      </c>
      <c r="X1030" t="s">
        <v>3250</v>
      </c>
      <c r="Y1030" t="s">
        <v>3250</v>
      </c>
      <c r="Z1030" t="s">
        <v>3250</v>
      </c>
      <c r="AA1030" t="s">
        <v>3108</v>
      </c>
      <c r="AB1030" t="s">
        <v>3108</v>
      </c>
      <c r="AC1030" t="s">
        <v>3250</v>
      </c>
      <c r="AD1030" t="s">
        <v>3250</v>
      </c>
      <c r="AE1030" t="s">
        <v>3250</v>
      </c>
      <c r="AF1030" t="s">
        <v>3250</v>
      </c>
      <c r="AG1030" t="s">
        <v>3250</v>
      </c>
      <c r="AH1030" t="s">
        <v>3250</v>
      </c>
      <c r="AI1030" t="s">
        <v>3250</v>
      </c>
      <c r="AJ1030" t="s">
        <v>3250</v>
      </c>
      <c r="AL1030" t="s">
        <v>3250</v>
      </c>
      <c r="AM1030" t="s">
        <v>3250</v>
      </c>
      <c r="AN1030" t="s">
        <v>3250</v>
      </c>
      <c r="AO1030" t="s">
        <v>3250</v>
      </c>
      <c r="AS1030" t="s">
        <v>3250</v>
      </c>
      <c r="AT1030" t="s">
        <v>3250</v>
      </c>
      <c r="AU1030" t="s">
        <v>3250</v>
      </c>
      <c r="AV1030" t="s">
        <v>3250</v>
      </c>
      <c r="AW1030" t="s">
        <v>3250</v>
      </c>
      <c r="AX1030" t="s">
        <v>3250</v>
      </c>
      <c r="AY1030" t="s">
        <v>3250</v>
      </c>
      <c r="AZ1030" t="s">
        <v>3250</v>
      </c>
      <c r="BA1030" t="s">
        <v>3250</v>
      </c>
      <c r="BB1030" t="s">
        <v>3250</v>
      </c>
      <c r="BC1030" t="s">
        <v>3250</v>
      </c>
      <c r="BE1030" t="s">
        <v>3250</v>
      </c>
      <c r="BF1030" t="s">
        <v>3250</v>
      </c>
      <c r="BG1030" t="s">
        <v>3250</v>
      </c>
      <c r="BH1030" t="s">
        <v>3250</v>
      </c>
      <c r="BI1030" t="s">
        <v>3250</v>
      </c>
      <c r="BK1030" t="s">
        <v>3250</v>
      </c>
      <c r="BL1030" t="s">
        <v>3250</v>
      </c>
      <c r="BM1030" t="s">
        <v>3250</v>
      </c>
      <c r="BN1030" t="s">
        <v>3250</v>
      </c>
      <c r="BO1030" t="s">
        <v>2917</v>
      </c>
      <c r="BP1030">
        <v>5</v>
      </c>
      <c r="BQ1030">
        <v>53</v>
      </c>
      <c r="BR1030" t="s">
        <v>2399</v>
      </c>
      <c r="BS1030" t="s">
        <v>4136</v>
      </c>
      <c r="BV1030">
        <v>0</v>
      </c>
      <c r="BW1030">
        <v>0</v>
      </c>
      <c r="BX1030">
        <v>0</v>
      </c>
      <c r="BY1030">
        <v>0</v>
      </c>
      <c r="BZ1030">
        <v>0</v>
      </c>
      <c r="CA1030">
        <v>0</v>
      </c>
      <c r="CB1030">
        <v>0</v>
      </c>
      <c r="CC1030">
        <v>0</v>
      </c>
      <c r="CD1030">
        <v>0</v>
      </c>
      <c r="CE1030" t="s">
        <v>3108</v>
      </c>
      <c r="CF1030" t="s">
        <v>3108</v>
      </c>
      <c r="CG1030" t="s">
        <v>3108</v>
      </c>
      <c r="CH1030" t="s">
        <v>3108</v>
      </c>
    </row>
    <row r="1031" spans="1:86" x14ac:dyDescent="0.2">
      <c r="A1031" t="s">
        <v>4815</v>
      </c>
      <c r="B1031" t="s">
        <v>4815</v>
      </c>
      <c r="C1031">
        <v>41505</v>
      </c>
      <c r="D1031">
        <v>159</v>
      </c>
      <c r="E1031" t="s">
        <v>4766</v>
      </c>
      <c r="F1031">
        <v>2000</v>
      </c>
      <c r="G1031" t="s">
        <v>408</v>
      </c>
      <c r="H1031" t="s">
        <v>4203</v>
      </c>
      <c r="I1031" t="s">
        <v>1793</v>
      </c>
      <c r="J1031">
        <v>2007</v>
      </c>
      <c r="K1031" t="s">
        <v>1793</v>
      </c>
      <c r="L1031">
        <v>2100</v>
      </c>
      <c r="M1031" t="s">
        <v>123</v>
      </c>
      <c r="N1031">
        <v>2106</v>
      </c>
      <c r="O1031" t="s">
        <v>2399</v>
      </c>
      <c r="P1031" t="s">
        <v>3108</v>
      </c>
      <c r="Q1031" t="s">
        <v>3249</v>
      </c>
      <c r="R1031" t="s">
        <v>3249</v>
      </c>
      <c r="S1031" t="s">
        <v>810</v>
      </c>
      <c r="T1031" t="s">
        <v>2754</v>
      </c>
      <c r="U1031" t="s">
        <v>3250</v>
      </c>
      <c r="V1031" t="s">
        <v>3250</v>
      </c>
      <c r="W1031" t="s">
        <v>3250</v>
      </c>
      <c r="X1031" t="s">
        <v>3250</v>
      </c>
      <c r="Y1031" t="s">
        <v>3250</v>
      </c>
      <c r="Z1031" t="s">
        <v>3250</v>
      </c>
      <c r="AA1031" t="s">
        <v>3108</v>
      </c>
      <c r="AB1031" t="s">
        <v>3108</v>
      </c>
      <c r="AC1031" t="s">
        <v>3250</v>
      </c>
      <c r="AD1031" t="s">
        <v>3250</v>
      </c>
      <c r="AE1031" t="s">
        <v>3250</v>
      </c>
      <c r="AF1031" t="s">
        <v>3250</v>
      </c>
      <c r="AG1031" t="s">
        <v>3250</v>
      </c>
      <c r="AH1031" t="s">
        <v>3250</v>
      </c>
      <c r="AI1031" t="s">
        <v>3250</v>
      </c>
      <c r="AJ1031" t="s">
        <v>3250</v>
      </c>
      <c r="AL1031" t="s">
        <v>3250</v>
      </c>
      <c r="AM1031" t="s">
        <v>3250</v>
      </c>
      <c r="AN1031" t="s">
        <v>3250</v>
      </c>
      <c r="AO1031" t="s">
        <v>3250</v>
      </c>
      <c r="AS1031" t="s">
        <v>3250</v>
      </c>
      <c r="AT1031" t="s">
        <v>3250</v>
      </c>
      <c r="AU1031" t="s">
        <v>3250</v>
      </c>
      <c r="AV1031" t="s">
        <v>3250</v>
      </c>
      <c r="AW1031" t="s">
        <v>3250</v>
      </c>
      <c r="AX1031" t="s">
        <v>3250</v>
      </c>
      <c r="AY1031" t="s">
        <v>3250</v>
      </c>
      <c r="AZ1031" t="s">
        <v>3250</v>
      </c>
      <c r="BA1031" t="s">
        <v>3250</v>
      </c>
      <c r="BB1031" t="s">
        <v>3250</v>
      </c>
      <c r="BC1031" t="s">
        <v>3250</v>
      </c>
      <c r="BE1031" t="s">
        <v>3250</v>
      </c>
      <c r="BF1031" t="s">
        <v>3250</v>
      </c>
      <c r="BG1031" t="s">
        <v>3250</v>
      </c>
      <c r="BH1031" t="s">
        <v>3250</v>
      </c>
      <c r="BI1031" t="s">
        <v>3250</v>
      </c>
      <c r="BK1031" t="s">
        <v>3250</v>
      </c>
      <c r="BL1031" t="s">
        <v>3250</v>
      </c>
      <c r="BM1031" t="s">
        <v>3250</v>
      </c>
      <c r="BN1031" t="s">
        <v>3250</v>
      </c>
      <c r="BO1031" t="s">
        <v>2917</v>
      </c>
      <c r="BP1031">
        <v>5</v>
      </c>
      <c r="BQ1031">
        <v>53</v>
      </c>
      <c r="BR1031" t="s">
        <v>2399</v>
      </c>
      <c r="BS1031" t="s">
        <v>4136</v>
      </c>
      <c r="BV1031">
        <v>11280</v>
      </c>
      <c r="BW1031">
        <v>9600</v>
      </c>
      <c r="BX1031">
        <v>6400</v>
      </c>
      <c r="BY1031">
        <v>18000</v>
      </c>
      <c r="BZ1031">
        <v>18000</v>
      </c>
      <c r="CA1031">
        <v>19260</v>
      </c>
      <c r="CB1031">
        <v>20608</v>
      </c>
      <c r="CC1031">
        <v>22051</v>
      </c>
      <c r="CD1031">
        <v>22880</v>
      </c>
      <c r="CE1031" t="s">
        <v>3108</v>
      </c>
      <c r="CF1031" t="s">
        <v>3108</v>
      </c>
      <c r="CG1031" t="s">
        <v>3108</v>
      </c>
      <c r="CH1031" t="s">
        <v>3108</v>
      </c>
    </row>
    <row r="1032" spans="1:86" x14ac:dyDescent="0.2">
      <c r="A1032" t="s">
        <v>4816</v>
      </c>
      <c r="B1032" t="s">
        <v>4816</v>
      </c>
      <c r="C1032">
        <v>41506</v>
      </c>
      <c r="D1032">
        <v>160</v>
      </c>
      <c r="E1032" t="s">
        <v>4770</v>
      </c>
      <c r="F1032">
        <v>2000</v>
      </c>
      <c r="G1032" t="s">
        <v>408</v>
      </c>
      <c r="H1032" t="s">
        <v>4094</v>
      </c>
      <c r="I1032" t="s">
        <v>1135</v>
      </c>
      <c r="J1032">
        <v>2001</v>
      </c>
      <c r="K1032" t="s">
        <v>1135</v>
      </c>
      <c r="L1032">
        <v>2100</v>
      </c>
      <c r="M1032" t="s">
        <v>123</v>
      </c>
      <c r="N1032">
        <v>2106</v>
      </c>
      <c r="O1032" t="s">
        <v>2399</v>
      </c>
      <c r="P1032" t="s">
        <v>3108</v>
      </c>
      <c r="Q1032" t="s">
        <v>3249</v>
      </c>
      <c r="R1032" t="s">
        <v>3249</v>
      </c>
      <c r="S1032" t="s">
        <v>810</v>
      </c>
      <c r="T1032" t="s">
        <v>2754</v>
      </c>
      <c r="U1032" t="s">
        <v>3250</v>
      </c>
      <c r="V1032" t="s">
        <v>3250</v>
      </c>
      <c r="W1032" t="s">
        <v>3250</v>
      </c>
      <c r="X1032" t="s">
        <v>3250</v>
      </c>
      <c r="Y1032" t="s">
        <v>3250</v>
      </c>
      <c r="Z1032" t="s">
        <v>3250</v>
      </c>
      <c r="AA1032" t="s">
        <v>3108</v>
      </c>
      <c r="AB1032" t="s">
        <v>3108</v>
      </c>
      <c r="AC1032" t="s">
        <v>3250</v>
      </c>
      <c r="AD1032" t="s">
        <v>3250</v>
      </c>
      <c r="AE1032" t="s">
        <v>3250</v>
      </c>
      <c r="AF1032" t="s">
        <v>3250</v>
      </c>
      <c r="AG1032" t="s">
        <v>3250</v>
      </c>
      <c r="AH1032" t="s">
        <v>3250</v>
      </c>
      <c r="AI1032" t="s">
        <v>3250</v>
      </c>
      <c r="AJ1032" t="s">
        <v>3250</v>
      </c>
      <c r="AL1032" t="s">
        <v>3250</v>
      </c>
      <c r="AM1032" t="s">
        <v>3250</v>
      </c>
      <c r="AN1032" t="s">
        <v>3250</v>
      </c>
      <c r="AO1032" t="s">
        <v>3250</v>
      </c>
      <c r="AS1032" t="s">
        <v>3250</v>
      </c>
      <c r="AT1032" t="s">
        <v>3250</v>
      </c>
      <c r="AU1032" t="s">
        <v>3250</v>
      </c>
      <c r="AV1032" t="s">
        <v>3250</v>
      </c>
      <c r="AW1032" t="s">
        <v>3250</v>
      </c>
      <c r="AX1032" t="s">
        <v>3250</v>
      </c>
      <c r="AY1032" t="s">
        <v>3250</v>
      </c>
      <c r="AZ1032" t="s">
        <v>3250</v>
      </c>
      <c r="BA1032" t="s">
        <v>3250</v>
      </c>
      <c r="BB1032" t="s">
        <v>3250</v>
      </c>
      <c r="BC1032" t="s">
        <v>3250</v>
      </c>
      <c r="BE1032" t="s">
        <v>3250</v>
      </c>
      <c r="BF1032" t="s">
        <v>3250</v>
      </c>
      <c r="BG1032" t="s">
        <v>3250</v>
      </c>
      <c r="BH1032" t="s">
        <v>3250</v>
      </c>
      <c r="BI1032" t="s">
        <v>3250</v>
      </c>
      <c r="BK1032" t="s">
        <v>3250</v>
      </c>
      <c r="BL1032" t="s">
        <v>3250</v>
      </c>
      <c r="BM1032" t="s">
        <v>3250</v>
      </c>
      <c r="BN1032" t="s">
        <v>3250</v>
      </c>
      <c r="BO1032" t="s">
        <v>2917</v>
      </c>
      <c r="BP1032">
        <v>5</v>
      </c>
      <c r="BQ1032">
        <v>53</v>
      </c>
      <c r="BR1032" t="s">
        <v>2399</v>
      </c>
      <c r="BS1032" t="s">
        <v>4136</v>
      </c>
      <c r="BV1032">
        <v>745503</v>
      </c>
      <c r="BW1032">
        <v>771703</v>
      </c>
      <c r="BX1032">
        <v>486626</v>
      </c>
      <c r="BY1032">
        <v>886332</v>
      </c>
      <c r="BZ1032">
        <v>886332</v>
      </c>
      <c r="CA1032">
        <v>948375</v>
      </c>
      <c r="CB1032">
        <v>1014761</v>
      </c>
      <c r="CC1032">
        <v>1085795</v>
      </c>
      <c r="CD1032">
        <v>428495</v>
      </c>
      <c r="CE1032" t="s">
        <v>3108</v>
      </c>
      <c r="CF1032" t="s">
        <v>3108</v>
      </c>
      <c r="CG1032" t="s">
        <v>3108</v>
      </c>
      <c r="CH1032" t="s">
        <v>3108</v>
      </c>
    </row>
    <row r="1033" spans="1:86" x14ac:dyDescent="0.2">
      <c r="A1033" t="s">
        <v>4817</v>
      </c>
      <c r="B1033" t="s">
        <v>4817</v>
      </c>
      <c r="C1033">
        <v>41507</v>
      </c>
      <c r="D1033">
        <v>161</v>
      </c>
      <c r="E1033" t="s">
        <v>4772</v>
      </c>
      <c r="F1033">
        <v>2000</v>
      </c>
      <c r="G1033" t="s">
        <v>408</v>
      </c>
      <c r="H1033" t="s">
        <v>4082</v>
      </c>
      <c r="I1033" t="s">
        <v>652</v>
      </c>
      <c r="J1033">
        <v>2005</v>
      </c>
      <c r="K1033" t="s">
        <v>652</v>
      </c>
      <c r="L1033">
        <v>2100</v>
      </c>
      <c r="M1033" t="s">
        <v>123</v>
      </c>
      <c r="N1033">
        <v>2106</v>
      </c>
      <c r="O1033" t="s">
        <v>2399</v>
      </c>
      <c r="P1033" t="s">
        <v>3108</v>
      </c>
      <c r="Q1033" t="s">
        <v>3249</v>
      </c>
      <c r="R1033" t="s">
        <v>3249</v>
      </c>
      <c r="S1033" t="s">
        <v>810</v>
      </c>
      <c r="T1033" t="s">
        <v>2754</v>
      </c>
      <c r="U1033" t="s">
        <v>3250</v>
      </c>
      <c r="V1033" t="s">
        <v>3250</v>
      </c>
      <c r="W1033" t="s">
        <v>3250</v>
      </c>
      <c r="X1033" t="s">
        <v>3250</v>
      </c>
      <c r="Y1033" t="s">
        <v>3250</v>
      </c>
      <c r="Z1033" t="s">
        <v>3250</v>
      </c>
      <c r="AA1033" t="s">
        <v>3108</v>
      </c>
      <c r="AB1033" t="s">
        <v>3108</v>
      </c>
      <c r="AC1033" t="s">
        <v>3250</v>
      </c>
      <c r="AD1033" t="s">
        <v>3250</v>
      </c>
      <c r="AE1033" t="s">
        <v>3250</v>
      </c>
      <c r="AF1033" t="s">
        <v>3250</v>
      </c>
      <c r="AG1033" t="s">
        <v>3250</v>
      </c>
      <c r="AH1033" t="s">
        <v>3250</v>
      </c>
      <c r="AI1033" t="s">
        <v>3250</v>
      </c>
      <c r="AJ1033" t="s">
        <v>3250</v>
      </c>
      <c r="AL1033" t="s">
        <v>3250</v>
      </c>
      <c r="AM1033" t="s">
        <v>3250</v>
      </c>
      <c r="AN1033" t="s">
        <v>3250</v>
      </c>
      <c r="AO1033" t="s">
        <v>3250</v>
      </c>
      <c r="AS1033" t="s">
        <v>3250</v>
      </c>
      <c r="AT1033" t="s">
        <v>3250</v>
      </c>
      <c r="AU1033" t="s">
        <v>3250</v>
      </c>
      <c r="AV1033" t="s">
        <v>3250</v>
      </c>
      <c r="AW1033" t="s">
        <v>3250</v>
      </c>
      <c r="AX1033" t="s">
        <v>3250</v>
      </c>
      <c r="AY1033" t="s">
        <v>3250</v>
      </c>
      <c r="AZ1033" t="s">
        <v>3250</v>
      </c>
      <c r="BA1033" t="s">
        <v>3250</v>
      </c>
      <c r="BB1033" t="s">
        <v>3250</v>
      </c>
      <c r="BC1033" t="s">
        <v>3250</v>
      </c>
      <c r="BE1033" t="s">
        <v>3250</v>
      </c>
      <c r="BF1033" t="s">
        <v>3250</v>
      </c>
      <c r="BG1033" t="s">
        <v>3250</v>
      </c>
      <c r="BH1033" t="s">
        <v>3250</v>
      </c>
      <c r="BI1033" t="s">
        <v>3250</v>
      </c>
      <c r="BK1033" t="s">
        <v>3250</v>
      </c>
      <c r="BL1033" t="s">
        <v>3250</v>
      </c>
      <c r="BM1033" t="s">
        <v>3250</v>
      </c>
      <c r="BN1033" t="s">
        <v>3250</v>
      </c>
      <c r="BO1033" t="s">
        <v>2917</v>
      </c>
      <c r="BP1033">
        <v>5</v>
      </c>
      <c r="BQ1033">
        <v>53</v>
      </c>
      <c r="BR1033" t="s">
        <v>2399</v>
      </c>
      <c r="BS1033" t="s">
        <v>4136</v>
      </c>
      <c r="BV1033">
        <v>0</v>
      </c>
      <c r="BW1033">
        <v>0</v>
      </c>
      <c r="BX1033">
        <v>0</v>
      </c>
      <c r="BY1033">
        <v>0</v>
      </c>
      <c r="BZ1033">
        <v>0</v>
      </c>
      <c r="CA1033">
        <v>0</v>
      </c>
      <c r="CB1033">
        <v>0</v>
      </c>
      <c r="CC1033">
        <v>0</v>
      </c>
      <c r="CD1033">
        <v>0</v>
      </c>
      <c r="CE1033" t="s">
        <v>3108</v>
      </c>
      <c r="CF1033" t="s">
        <v>3108</v>
      </c>
      <c r="CG1033" t="s">
        <v>3108</v>
      </c>
      <c r="CH1033" t="s">
        <v>3108</v>
      </c>
    </row>
    <row r="1034" spans="1:86" x14ac:dyDescent="0.2">
      <c r="A1034" t="s">
        <v>4818</v>
      </c>
      <c r="B1034" t="s">
        <v>4818</v>
      </c>
      <c r="C1034">
        <v>41508</v>
      </c>
      <c r="D1034">
        <v>162</v>
      </c>
      <c r="E1034" t="s">
        <v>4776</v>
      </c>
      <c r="F1034">
        <v>2000</v>
      </c>
      <c r="G1034" t="s">
        <v>408</v>
      </c>
      <c r="H1034" t="s">
        <v>4064</v>
      </c>
      <c r="I1034" t="s">
        <v>1340</v>
      </c>
      <c r="J1034">
        <v>2009</v>
      </c>
      <c r="K1034" t="s">
        <v>1340</v>
      </c>
      <c r="L1034">
        <v>2100</v>
      </c>
      <c r="M1034" t="s">
        <v>123</v>
      </c>
      <c r="N1034">
        <v>2106</v>
      </c>
      <c r="O1034" t="s">
        <v>2399</v>
      </c>
      <c r="P1034" t="s">
        <v>3108</v>
      </c>
      <c r="Q1034" t="s">
        <v>3249</v>
      </c>
      <c r="R1034" t="s">
        <v>3249</v>
      </c>
      <c r="S1034" t="s">
        <v>810</v>
      </c>
      <c r="T1034" t="s">
        <v>2754</v>
      </c>
      <c r="U1034" t="s">
        <v>3250</v>
      </c>
      <c r="V1034" t="s">
        <v>3250</v>
      </c>
      <c r="W1034" t="s">
        <v>3250</v>
      </c>
      <c r="X1034" t="s">
        <v>3250</v>
      </c>
      <c r="Y1034" t="s">
        <v>3250</v>
      </c>
      <c r="Z1034" t="s">
        <v>3250</v>
      </c>
      <c r="AA1034" t="s">
        <v>3108</v>
      </c>
      <c r="AB1034" t="s">
        <v>3108</v>
      </c>
      <c r="AC1034" t="s">
        <v>3250</v>
      </c>
      <c r="AD1034" t="s">
        <v>3250</v>
      </c>
      <c r="AE1034" t="s">
        <v>3250</v>
      </c>
      <c r="AF1034" t="s">
        <v>3250</v>
      </c>
      <c r="AG1034" t="s">
        <v>3250</v>
      </c>
      <c r="AH1034" t="s">
        <v>3250</v>
      </c>
      <c r="AI1034" t="s">
        <v>3250</v>
      </c>
      <c r="AJ1034" t="s">
        <v>3250</v>
      </c>
      <c r="AL1034" t="s">
        <v>3250</v>
      </c>
      <c r="AM1034" t="s">
        <v>3250</v>
      </c>
      <c r="AN1034" t="s">
        <v>3250</v>
      </c>
      <c r="AO1034" t="s">
        <v>3250</v>
      </c>
      <c r="AS1034" t="s">
        <v>3250</v>
      </c>
      <c r="AT1034" t="s">
        <v>3250</v>
      </c>
      <c r="AU1034" t="s">
        <v>3250</v>
      </c>
      <c r="AV1034" t="s">
        <v>3250</v>
      </c>
      <c r="AW1034" t="s">
        <v>3250</v>
      </c>
      <c r="AX1034" t="s">
        <v>3250</v>
      </c>
      <c r="AY1034" t="s">
        <v>3250</v>
      </c>
      <c r="AZ1034" t="s">
        <v>3250</v>
      </c>
      <c r="BA1034" t="s">
        <v>3250</v>
      </c>
      <c r="BB1034" t="s">
        <v>3250</v>
      </c>
      <c r="BC1034" t="s">
        <v>3250</v>
      </c>
      <c r="BE1034" t="s">
        <v>3250</v>
      </c>
      <c r="BF1034" t="s">
        <v>3250</v>
      </c>
      <c r="BG1034" t="s">
        <v>3250</v>
      </c>
      <c r="BH1034" t="s">
        <v>3250</v>
      </c>
      <c r="BI1034" t="s">
        <v>3250</v>
      </c>
      <c r="BK1034" t="s">
        <v>3250</v>
      </c>
      <c r="BL1034" t="s">
        <v>3250</v>
      </c>
      <c r="BM1034" t="s">
        <v>3250</v>
      </c>
      <c r="BN1034" t="s">
        <v>3250</v>
      </c>
      <c r="BO1034" t="s">
        <v>2917</v>
      </c>
      <c r="BP1034">
        <v>5</v>
      </c>
      <c r="BQ1034">
        <v>53</v>
      </c>
      <c r="BR1034" t="s">
        <v>2399</v>
      </c>
      <c r="BS1034" t="s">
        <v>4136</v>
      </c>
      <c r="BV1034">
        <v>0</v>
      </c>
      <c r="BW1034">
        <v>0</v>
      </c>
      <c r="BX1034">
        <v>0</v>
      </c>
      <c r="BY1034">
        <v>0</v>
      </c>
      <c r="BZ1034">
        <v>0</v>
      </c>
      <c r="CA1034">
        <v>0</v>
      </c>
      <c r="CB1034">
        <v>0</v>
      </c>
      <c r="CC1034">
        <v>0</v>
      </c>
      <c r="CD1034">
        <v>0</v>
      </c>
      <c r="CE1034" t="s">
        <v>3108</v>
      </c>
      <c r="CF1034" t="s">
        <v>3108</v>
      </c>
      <c r="CG1034" t="s">
        <v>3108</v>
      </c>
      <c r="CH1034" t="s">
        <v>3108</v>
      </c>
    </row>
    <row r="1035" spans="1:86" x14ac:dyDescent="0.2">
      <c r="A1035" t="s">
        <v>4819</v>
      </c>
      <c r="B1035" t="s">
        <v>4819</v>
      </c>
      <c r="C1035">
        <v>41509</v>
      </c>
      <c r="D1035">
        <v>163</v>
      </c>
      <c r="E1035" t="s">
        <v>4778</v>
      </c>
      <c r="F1035">
        <v>2000</v>
      </c>
      <c r="G1035" t="s">
        <v>408</v>
      </c>
      <c r="H1035" t="s">
        <v>4067</v>
      </c>
      <c r="I1035" t="s">
        <v>650</v>
      </c>
      <c r="J1035">
        <v>2003</v>
      </c>
      <c r="K1035" t="s">
        <v>650</v>
      </c>
      <c r="L1035">
        <v>2100</v>
      </c>
      <c r="M1035" t="s">
        <v>123</v>
      </c>
      <c r="N1035">
        <v>2106</v>
      </c>
      <c r="O1035" t="s">
        <v>2399</v>
      </c>
      <c r="P1035" t="s">
        <v>3108</v>
      </c>
      <c r="Q1035" t="s">
        <v>3249</v>
      </c>
      <c r="R1035" t="s">
        <v>3249</v>
      </c>
      <c r="S1035" t="s">
        <v>810</v>
      </c>
      <c r="T1035" t="s">
        <v>2754</v>
      </c>
      <c r="U1035" t="s">
        <v>3250</v>
      </c>
      <c r="V1035" t="s">
        <v>3250</v>
      </c>
      <c r="W1035" t="s">
        <v>3250</v>
      </c>
      <c r="X1035" t="s">
        <v>3250</v>
      </c>
      <c r="Y1035" t="s">
        <v>3250</v>
      </c>
      <c r="Z1035" t="s">
        <v>3250</v>
      </c>
      <c r="AA1035" t="s">
        <v>3108</v>
      </c>
      <c r="AB1035" t="s">
        <v>3108</v>
      </c>
      <c r="AC1035" t="s">
        <v>3250</v>
      </c>
      <c r="AD1035" t="s">
        <v>3250</v>
      </c>
      <c r="AE1035" t="s">
        <v>3250</v>
      </c>
      <c r="AF1035" t="s">
        <v>3250</v>
      </c>
      <c r="AG1035" t="s">
        <v>3250</v>
      </c>
      <c r="AH1035" t="s">
        <v>3250</v>
      </c>
      <c r="AI1035" t="s">
        <v>3250</v>
      </c>
      <c r="AJ1035" t="s">
        <v>3250</v>
      </c>
      <c r="AL1035" t="s">
        <v>3250</v>
      </c>
      <c r="AM1035" t="s">
        <v>3250</v>
      </c>
      <c r="AN1035" t="s">
        <v>3250</v>
      </c>
      <c r="AO1035" t="s">
        <v>3250</v>
      </c>
      <c r="AS1035" t="s">
        <v>3250</v>
      </c>
      <c r="AT1035" t="s">
        <v>3250</v>
      </c>
      <c r="AU1035" t="s">
        <v>3250</v>
      </c>
      <c r="AV1035" t="s">
        <v>3250</v>
      </c>
      <c r="AW1035" t="s">
        <v>3250</v>
      </c>
      <c r="AX1035" t="s">
        <v>3250</v>
      </c>
      <c r="AY1035" t="s">
        <v>3250</v>
      </c>
      <c r="AZ1035" t="s">
        <v>3250</v>
      </c>
      <c r="BA1035" t="s">
        <v>3250</v>
      </c>
      <c r="BB1035" t="s">
        <v>3250</v>
      </c>
      <c r="BC1035" t="s">
        <v>3250</v>
      </c>
      <c r="BE1035" t="s">
        <v>3250</v>
      </c>
      <c r="BF1035" t="s">
        <v>3250</v>
      </c>
      <c r="BG1035" t="s">
        <v>3250</v>
      </c>
      <c r="BH1035" t="s">
        <v>3250</v>
      </c>
      <c r="BI1035" t="s">
        <v>3250</v>
      </c>
      <c r="BK1035" t="s">
        <v>3250</v>
      </c>
      <c r="BL1035" t="s">
        <v>3250</v>
      </c>
      <c r="BM1035" t="s">
        <v>3250</v>
      </c>
      <c r="BN1035" t="s">
        <v>3250</v>
      </c>
      <c r="BO1035" t="s">
        <v>2917</v>
      </c>
      <c r="BP1035">
        <v>5</v>
      </c>
      <c r="BQ1035">
        <v>53</v>
      </c>
      <c r="BR1035" t="s">
        <v>2399</v>
      </c>
      <c r="BS1035" t="s">
        <v>4136</v>
      </c>
      <c r="BV1035">
        <v>4037</v>
      </c>
      <c r="BW1035">
        <v>0</v>
      </c>
      <c r="BX1035">
        <v>0</v>
      </c>
      <c r="BY1035">
        <v>0</v>
      </c>
      <c r="BZ1035">
        <v>0</v>
      </c>
      <c r="CA1035">
        <v>0</v>
      </c>
      <c r="CB1035">
        <v>0</v>
      </c>
      <c r="CC1035">
        <v>0</v>
      </c>
      <c r="CD1035">
        <v>0</v>
      </c>
      <c r="CE1035" t="s">
        <v>3108</v>
      </c>
      <c r="CF1035" t="s">
        <v>3108</v>
      </c>
      <c r="CG1035" t="s">
        <v>3108</v>
      </c>
      <c r="CH1035" t="s">
        <v>3108</v>
      </c>
    </row>
    <row r="1036" spans="1:86" x14ac:dyDescent="0.2">
      <c r="A1036" t="s">
        <v>4820</v>
      </c>
      <c r="B1036" t="s">
        <v>4820</v>
      </c>
      <c r="C1036">
        <v>41510</v>
      </c>
      <c r="D1036">
        <v>164</v>
      </c>
      <c r="E1036" t="s">
        <v>4780</v>
      </c>
      <c r="F1036">
        <v>2000</v>
      </c>
      <c r="G1036" t="s">
        <v>408</v>
      </c>
      <c r="H1036" t="s">
        <v>4070</v>
      </c>
      <c r="I1036" t="s">
        <v>1792</v>
      </c>
      <c r="J1036">
        <v>2002</v>
      </c>
      <c r="K1036" t="s">
        <v>1792</v>
      </c>
      <c r="L1036">
        <v>2100</v>
      </c>
      <c r="M1036" t="s">
        <v>123</v>
      </c>
      <c r="N1036">
        <v>2106</v>
      </c>
      <c r="O1036" t="s">
        <v>2399</v>
      </c>
      <c r="P1036" t="s">
        <v>3108</v>
      </c>
      <c r="Q1036" t="s">
        <v>3249</v>
      </c>
      <c r="R1036" t="s">
        <v>3249</v>
      </c>
      <c r="S1036" t="s">
        <v>810</v>
      </c>
      <c r="T1036" t="s">
        <v>2754</v>
      </c>
      <c r="U1036" t="s">
        <v>3250</v>
      </c>
      <c r="V1036" t="s">
        <v>3250</v>
      </c>
      <c r="W1036" t="s">
        <v>3250</v>
      </c>
      <c r="X1036" t="s">
        <v>3250</v>
      </c>
      <c r="Y1036" t="s">
        <v>3250</v>
      </c>
      <c r="Z1036" t="s">
        <v>3250</v>
      </c>
      <c r="AA1036" t="s">
        <v>3108</v>
      </c>
      <c r="AB1036" t="s">
        <v>3108</v>
      </c>
      <c r="AC1036" t="s">
        <v>3250</v>
      </c>
      <c r="AD1036" t="s">
        <v>3250</v>
      </c>
      <c r="AE1036" t="s">
        <v>3250</v>
      </c>
      <c r="AF1036" t="s">
        <v>3250</v>
      </c>
      <c r="AG1036" t="s">
        <v>3250</v>
      </c>
      <c r="AH1036" t="s">
        <v>3250</v>
      </c>
      <c r="AI1036" t="s">
        <v>3250</v>
      </c>
      <c r="AJ1036" t="s">
        <v>3250</v>
      </c>
      <c r="AL1036" t="s">
        <v>3250</v>
      </c>
      <c r="AM1036" t="s">
        <v>3250</v>
      </c>
      <c r="AN1036" t="s">
        <v>3250</v>
      </c>
      <c r="AO1036" t="s">
        <v>3250</v>
      </c>
      <c r="AS1036" t="s">
        <v>3250</v>
      </c>
      <c r="AT1036" t="s">
        <v>3250</v>
      </c>
      <c r="AU1036" t="s">
        <v>3250</v>
      </c>
      <c r="AV1036" t="s">
        <v>3250</v>
      </c>
      <c r="AW1036" t="s">
        <v>3250</v>
      </c>
      <c r="AX1036" t="s">
        <v>3250</v>
      </c>
      <c r="AY1036" t="s">
        <v>3250</v>
      </c>
      <c r="AZ1036" t="s">
        <v>3250</v>
      </c>
      <c r="BA1036" t="s">
        <v>3250</v>
      </c>
      <c r="BB1036" t="s">
        <v>3250</v>
      </c>
      <c r="BC1036" t="s">
        <v>3250</v>
      </c>
      <c r="BE1036" t="s">
        <v>3250</v>
      </c>
      <c r="BF1036" t="s">
        <v>3250</v>
      </c>
      <c r="BG1036" t="s">
        <v>3250</v>
      </c>
      <c r="BH1036" t="s">
        <v>3250</v>
      </c>
      <c r="BI1036" t="s">
        <v>3250</v>
      </c>
      <c r="BK1036" t="s">
        <v>3250</v>
      </c>
      <c r="BL1036" t="s">
        <v>3250</v>
      </c>
      <c r="BM1036" t="s">
        <v>3250</v>
      </c>
      <c r="BN1036" t="s">
        <v>3250</v>
      </c>
      <c r="BO1036" t="s">
        <v>2917</v>
      </c>
      <c r="BP1036">
        <v>5</v>
      </c>
      <c r="BQ1036">
        <v>53</v>
      </c>
      <c r="BR1036" t="s">
        <v>2399</v>
      </c>
      <c r="BS1036" t="s">
        <v>4136</v>
      </c>
      <c r="BV1036">
        <v>0</v>
      </c>
      <c r="BW1036">
        <v>0</v>
      </c>
      <c r="BX1036">
        <v>0</v>
      </c>
      <c r="BY1036">
        <v>0</v>
      </c>
      <c r="BZ1036">
        <v>0</v>
      </c>
      <c r="CA1036">
        <v>0</v>
      </c>
      <c r="CB1036">
        <v>0</v>
      </c>
      <c r="CC1036">
        <v>0</v>
      </c>
      <c r="CD1036">
        <v>0</v>
      </c>
      <c r="CE1036" t="s">
        <v>3108</v>
      </c>
      <c r="CF1036" t="s">
        <v>3108</v>
      </c>
      <c r="CG1036" t="s">
        <v>3108</v>
      </c>
      <c r="CH1036" t="s">
        <v>3108</v>
      </c>
    </row>
    <row r="1037" spans="1:86" x14ac:dyDescent="0.2">
      <c r="A1037" t="s">
        <v>4821</v>
      </c>
      <c r="B1037" t="s">
        <v>4821</v>
      </c>
      <c r="C1037">
        <v>41511</v>
      </c>
      <c r="D1037">
        <v>165</v>
      </c>
      <c r="E1037" t="s">
        <v>4782</v>
      </c>
      <c r="F1037">
        <v>2000</v>
      </c>
      <c r="G1037" t="s">
        <v>408</v>
      </c>
      <c r="H1037" t="s">
        <v>4070</v>
      </c>
      <c r="I1037" t="s">
        <v>1792</v>
      </c>
      <c r="J1037">
        <v>2002</v>
      </c>
      <c r="K1037" t="s">
        <v>1792</v>
      </c>
      <c r="L1037">
        <v>2100</v>
      </c>
      <c r="M1037" t="s">
        <v>123</v>
      </c>
      <c r="N1037">
        <v>2106</v>
      </c>
      <c r="O1037" t="s">
        <v>2399</v>
      </c>
      <c r="P1037" t="s">
        <v>3108</v>
      </c>
      <c r="Q1037" t="s">
        <v>3249</v>
      </c>
      <c r="R1037" t="s">
        <v>3249</v>
      </c>
      <c r="S1037" t="s">
        <v>810</v>
      </c>
      <c r="T1037" t="s">
        <v>2754</v>
      </c>
      <c r="U1037" t="s">
        <v>3250</v>
      </c>
      <c r="V1037" t="s">
        <v>3250</v>
      </c>
      <c r="W1037" t="s">
        <v>3250</v>
      </c>
      <c r="X1037" t="s">
        <v>3250</v>
      </c>
      <c r="Y1037" t="s">
        <v>3250</v>
      </c>
      <c r="Z1037" t="s">
        <v>3250</v>
      </c>
      <c r="AA1037" t="s">
        <v>3108</v>
      </c>
      <c r="AB1037" t="s">
        <v>3108</v>
      </c>
      <c r="AC1037" t="s">
        <v>3250</v>
      </c>
      <c r="AD1037" t="s">
        <v>3250</v>
      </c>
      <c r="AE1037" t="s">
        <v>3250</v>
      </c>
      <c r="AF1037" t="s">
        <v>3250</v>
      </c>
      <c r="AG1037" t="s">
        <v>3250</v>
      </c>
      <c r="AH1037" t="s">
        <v>3250</v>
      </c>
      <c r="AI1037" t="s">
        <v>3250</v>
      </c>
      <c r="AJ1037" t="s">
        <v>3250</v>
      </c>
      <c r="AL1037" t="s">
        <v>3250</v>
      </c>
      <c r="AM1037" t="s">
        <v>3250</v>
      </c>
      <c r="AN1037" t="s">
        <v>3250</v>
      </c>
      <c r="AO1037" t="s">
        <v>3250</v>
      </c>
      <c r="AS1037" t="s">
        <v>3250</v>
      </c>
      <c r="AT1037" t="s">
        <v>3250</v>
      </c>
      <c r="AU1037" t="s">
        <v>3250</v>
      </c>
      <c r="AV1037" t="s">
        <v>3250</v>
      </c>
      <c r="AW1037" t="s">
        <v>3250</v>
      </c>
      <c r="AX1037" t="s">
        <v>3250</v>
      </c>
      <c r="AY1037" t="s">
        <v>3250</v>
      </c>
      <c r="AZ1037" t="s">
        <v>3250</v>
      </c>
      <c r="BA1037" t="s">
        <v>3250</v>
      </c>
      <c r="BB1037" t="s">
        <v>3250</v>
      </c>
      <c r="BC1037" t="s">
        <v>3250</v>
      </c>
      <c r="BE1037" t="s">
        <v>3250</v>
      </c>
      <c r="BF1037" t="s">
        <v>3250</v>
      </c>
      <c r="BG1037" t="s">
        <v>3250</v>
      </c>
      <c r="BH1037" t="s">
        <v>3250</v>
      </c>
      <c r="BI1037" t="s">
        <v>3250</v>
      </c>
      <c r="BK1037" t="s">
        <v>3250</v>
      </c>
      <c r="BL1037" t="s">
        <v>3250</v>
      </c>
      <c r="BM1037" t="s">
        <v>3250</v>
      </c>
      <c r="BN1037" t="s">
        <v>3250</v>
      </c>
      <c r="BO1037" t="s">
        <v>2917</v>
      </c>
      <c r="BP1037">
        <v>5</v>
      </c>
      <c r="BQ1037">
        <v>53</v>
      </c>
      <c r="BR1037" t="s">
        <v>2399</v>
      </c>
      <c r="BS1037" t="s">
        <v>4136</v>
      </c>
      <c r="BV1037">
        <v>595</v>
      </c>
      <c r="BW1037">
        <v>149</v>
      </c>
      <c r="BX1037">
        <v>1190</v>
      </c>
      <c r="BY1037">
        <v>0</v>
      </c>
      <c r="BZ1037">
        <v>0</v>
      </c>
      <c r="CA1037">
        <v>0</v>
      </c>
      <c r="CB1037">
        <v>0</v>
      </c>
      <c r="CC1037">
        <v>0</v>
      </c>
      <c r="CD1037">
        <v>0</v>
      </c>
      <c r="CE1037" t="s">
        <v>3108</v>
      </c>
      <c r="CF1037" t="s">
        <v>3108</v>
      </c>
      <c r="CG1037" t="s">
        <v>3108</v>
      </c>
      <c r="CH1037" t="s">
        <v>3108</v>
      </c>
    </row>
    <row r="1038" spans="1:86" x14ac:dyDescent="0.2">
      <c r="A1038" t="s">
        <v>4822</v>
      </c>
      <c r="B1038" t="s">
        <v>4822</v>
      </c>
      <c r="C1038">
        <v>41512</v>
      </c>
      <c r="D1038">
        <v>1338</v>
      </c>
      <c r="E1038" t="s">
        <v>4823</v>
      </c>
      <c r="F1038" t="s">
        <v>3249</v>
      </c>
      <c r="G1038" t="s">
        <v>3249</v>
      </c>
      <c r="H1038" t="s">
        <v>3250</v>
      </c>
      <c r="I1038" t="s">
        <v>3250</v>
      </c>
      <c r="J1038" t="s">
        <v>3250</v>
      </c>
      <c r="K1038" t="s">
        <v>3250</v>
      </c>
      <c r="L1038">
        <v>1200</v>
      </c>
      <c r="M1038" t="s">
        <v>2368</v>
      </c>
      <c r="N1038">
        <v>1204</v>
      </c>
      <c r="O1038" t="s">
        <v>1574</v>
      </c>
      <c r="P1038" t="s">
        <v>3108</v>
      </c>
      <c r="Q1038" t="s">
        <v>3249</v>
      </c>
      <c r="R1038" t="s">
        <v>3249</v>
      </c>
      <c r="S1038" t="s">
        <v>472</v>
      </c>
      <c r="T1038" t="s">
        <v>3789</v>
      </c>
      <c r="U1038">
        <v>360</v>
      </c>
      <c r="V1038" t="s">
        <v>3790</v>
      </c>
      <c r="W1038">
        <v>360</v>
      </c>
      <c r="X1038" t="s">
        <v>601</v>
      </c>
      <c r="Y1038" t="s">
        <v>3250</v>
      </c>
      <c r="Z1038" t="s">
        <v>3250</v>
      </c>
      <c r="AA1038" t="s">
        <v>3108</v>
      </c>
      <c r="AB1038" t="s">
        <v>3108</v>
      </c>
      <c r="AC1038" t="s">
        <v>3250</v>
      </c>
      <c r="AD1038" t="s">
        <v>3250</v>
      </c>
      <c r="AE1038" t="s">
        <v>3250</v>
      </c>
      <c r="AF1038" t="s">
        <v>3250</v>
      </c>
      <c r="AG1038" t="s">
        <v>3250</v>
      </c>
      <c r="AH1038" t="s">
        <v>3250</v>
      </c>
      <c r="AI1038" t="s">
        <v>3250</v>
      </c>
      <c r="AJ1038" t="s">
        <v>3250</v>
      </c>
      <c r="AL1038">
        <v>361</v>
      </c>
      <c r="AM1038" t="s">
        <v>2523</v>
      </c>
      <c r="AN1038">
        <v>361</v>
      </c>
      <c r="AO1038" t="s">
        <v>2523</v>
      </c>
      <c r="AS1038" t="s">
        <v>3250</v>
      </c>
      <c r="AT1038" t="s">
        <v>3250</v>
      </c>
      <c r="AU1038" t="s">
        <v>3250</v>
      </c>
      <c r="AV1038" t="s">
        <v>3250</v>
      </c>
      <c r="AW1038" t="s">
        <v>3250</v>
      </c>
      <c r="AX1038" t="s">
        <v>3250</v>
      </c>
      <c r="AY1038" t="s">
        <v>3250</v>
      </c>
      <c r="AZ1038" t="s">
        <v>3250</v>
      </c>
      <c r="BA1038" t="s">
        <v>3250</v>
      </c>
      <c r="BB1038" t="s">
        <v>3250</v>
      </c>
      <c r="BC1038" t="s">
        <v>3250</v>
      </c>
      <c r="BE1038" t="s">
        <v>3250</v>
      </c>
      <c r="BF1038" t="s">
        <v>3250</v>
      </c>
      <c r="BG1038" t="s">
        <v>3250</v>
      </c>
      <c r="BH1038" t="s">
        <v>3250</v>
      </c>
      <c r="BI1038" t="s">
        <v>3250</v>
      </c>
      <c r="BK1038" t="s">
        <v>3250</v>
      </c>
      <c r="BL1038" t="s">
        <v>3250</v>
      </c>
      <c r="BM1038" t="s">
        <v>3250</v>
      </c>
      <c r="BN1038" t="s">
        <v>3250</v>
      </c>
      <c r="BP1038">
        <v>1</v>
      </c>
      <c r="BQ1038">
        <v>11</v>
      </c>
      <c r="BR1038" t="s">
        <v>1574</v>
      </c>
      <c r="BS1038" t="s">
        <v>3252</v>
      </c>
      <c r="BV1038">
        <v>0</v>
      </c>
      <c r="BW1038">
        <v>0</v>
      </c>
      <c r="BX1038">
        <v>0</v>
      </c>
      <c r="BY1038">
        <v>0</v>
      </c>
      <c r="BZ1038">
        <v>0</v>
      </c>
      <c r="CA1038">
        <v>0</v>
      </c>
      <c r="CB1038">
        <v>0</v>
      </c>
      <c r="CC1038">
        <v>0</v>
      </c>
      <c r="CD1038">
        <v>-467026</v>
      </c>
      <c r="CE1038" t="s">
        <v>3108</v>
      </c>
      <c r="CF1038" t="s">
        <v>3108</v>
      </c>
      <c r="CG1038" t="s">
        <v>3108</v>
      </c>
      <c r="CH1038" t="s">
        <v>3108</v>
      </c>
    </row>
    <row r="1039" spans="1:86" x14ac:dyDescent="0.2">
      <c r="A1039" t="s">
        <v>4824</v>
      </c>
      <c r="B1039" t="s">
        <v>4824</v>
      </c>
      <c r="C1039">
        <v>41513</v>
      </c>
      <c r="D1039">
        <v>1360</v>
      </c>
      <c r="E1039" t="s">
        <v>4825</v>
      </c>
      <c r="F1039" t="s">
        <v>3249</v>
      </c>
      <c r="G1039" t="s">
        <v>3249</v>
      </c>
      <c r="H1039" t="s">
        <v>3250</v>
      </c>
      <c r="I1039" t="s">
        <v>3250</v>
      </c>
      <c r="J1039" t="s">
        <v>3250</v>
      </c>
      <c r="K1039" t="s">
        <v>3250</v>
      </c>
      <c r="L1039">
        <v>1200</v>
      </c>
      <c r="M1039" t="s">
        <v>2368</v>
      </c>
      <c r="N1039">
        <v>1202</v>
      </c>
      <c r="O1039" t="s">
        <v>2371</v>
      </c>
      <c r="P1039" t="s">
        <v>3108</v>
      </c>
      <c r="Q1039">
        <v>2080</v>
      </c>
      <c r="R1039" t="s">
        <v>423</v>
      </c>
      <c r="S1039" t="s">
        <v>427</v>
      </c>
      <c r="T1039" t="s">
        <v>3251</v>
      </c>
      <c r="U1039">
        <v>270</v>
      </c>
      <c r="V1039" t="s">
        <v>4826</v>
      </c>
      <c r="W1039">
        <v>270</v>
      </c>
      <c r="X1039" t="s">
        <v>814</v>
      </c>
      <c r="Y1039" t="s">
        <v>3250</v>
      </c>
      <c r="Z1039" t="s">
        <v>3250</v>
      </c>
      <c r="AA1039" t="s">
        <v>3108</v>
      </c>
      <c r="AB1039" t="s">
        <v>3108</v>
      </c>
      <c r="AC1039" t="s">
        <v>3250</v>
      </c>
      <c r="AD1039" t="s">
        <v>3250</v>
      </c>
      <c r="AE1039" t="s">
        <v>3250</v>
      </c>
      <c r="AF1039" t="s">
        <v>3250</v>
      </c>
      <c r="AG1039">
        <v>1370</v>
      </c>
      <c r="AH1039" t="s">
        <v>2325</v>
      </c>
      <c r="AI1039">
        <v>1370</v>
      </c>
      <c r="AJ1039" t="s">
        <v>2325</v>
      </c>
      <c r="AL1039" t="s">
        <v>3250</v>
      </c>
      <c r="AM1039" t="s">
        <v>3250</v>
      </c>
      <c r="AN1039" t="s">
        <v>3250</v>
      </c>
      <c r="AO1039" t="s">
        <v>3250</v>
      </c>
      <c r="AS1039" t="s">
        <v>3250</v>
      </c>
      <c r="AT1039" t="s">
        <v>3250</v>
      </c>
      <c r="AU1039" t="s">
        <v>3250</v>
      </c>
      <c r="AV1039" t="s">
        <v>3250</v>
      </c>
      <c r="AW1039">
        <v>1430</v>
      </c>
      <c r="AX1039" t="s">
        <v>2329</v>
      </c>
      <c r="AY1039" t="s">
        <v>3250</v>
      </c>
      <c r="AZ1039" t="s">
        <v>3250</v>
      </c>
      <c r="BA1039">
        <v>1430</v>
      </c>
      <c r="BB1039" t="s">
        <v>3250</v>
      </c>
      <c r="BC1039" t="s">
        <v>3250</v>
      </c>
      <c r="BE1039" t="s">
        <v>3250</v>
      </c>
      <c r="BF1039" t="s">
        <v>3250</v>
      </c>
      <c r="BG1039" t="s">
        <v>2329</v>
      </c>
      <c r="BH1039" t="s">
        <v>3250</v>
      </c>
      <c r="BI1039" t="s">
        <v>3250</v>
      </c>
      <c r="BK1039" t="s">
        <v>3250</v>
      </c>
      <c r="BL1039" t="s">
        <v>3250</v>
      </c>
      <c r="BM1039" t="s">
        <v>3250</v>
      </c>
      <c r="BN1039" t="s">
        <v>3250</v>
      </c>
      <c r="BP1039">
        <v>1</v>
      </c>
      <c r="BQ1039">
        <v>13</v>
      </c>
      <c r="BR1039" t="s">
        <v>2371</v>
      </c>
      <c r="BS1039" t="s">
        <v>3252</v>
      </c>
      <c r="BV1039">
        <v>0</v>
      </c>
      <c r="BW1039">
        <v>0</v>
      </c>
      <c r="BX1039">
        <v>0</v>
      </c>
      <c r="BY1039">
        <v>0</v>
      </c>
      <c r="BZ1039">
        <v>0</v>
      </c>
      <c r="CA1039">
        <v>0</v>
      </c>
      <c r="CB1039">
        <v>0</v>
      </c>
      <c r="CC1039">
        <v>0</v>
      </c>
      <c r="CD1039">
        <v>0</v>
      </c>
      <c r="CE1039" t="s">
        <v>3108</v>
      </c>
      <c r="CF1039" t="s">
        <v>3108</v>
      </c>
      <c r="CG1039" t="s">
        <v>3108</v>
      </c>
      <c r="CH1039" t="s">
        <v>3108</v>
      </c>
    </row>
    <row r="1040" spans="1:86" x14ac:dyDescent="0.2">
      <c r="A1040" t="s">
        <v>4827</v>
      </c>
      <c r="B1040" t="s">
        <v>4827</v>
      </c>
      <c r="C1040">
        <v>41514</v>
      </c>
      <c r="D1040">
        <v>1361</v>
      </c>
      <c r="E1040" t="s">
        <v>4828</v>
      </c>
      <c r="F1040" t="s">
        <v>3249</v>
      </c>
      <c r="G1040" t="s">
        <v>3249</v>
      </c>
      <c r="H1040" t="s">
        <v>3250</v>
      </c>
      <c r="I1040" t="s">
        <v>3250</v>
      </c>
      <c r="J1040" t="s">
        <v>3250</v>
      </c>
      <c r="K1040" t="s">
        <v>3250</v>
      </c>
      <c r="L1040">
        <v>1200</v>
      </c>
      <c r="M1040" t="s">
        <v>2368</v>
      </c>
      <c r="N1040">
        <v>1202</v>
      </c>
      <c r="O1040" t="s">
        <v>2371</v>
      </c>
      <c r="P1040" t="s">
        <v>3108</v>
      </c>
      <c r="Q1040">
        <v>2080</v>
      </c>
      <c r="R1040" t="s">
        <v>423</v>
      </c>
      <c r="S1040" t="s">
        <v>427</v>
      </c>
      <c r="T1040" t="s">
        <v>3251</v>
      </c>
      <c r="U1040">
        <v>270</v>
      </c>
      <c r="V1040" t="s">
        <v>4826</v>
      </c>
      <c r="W1040">
        <v>270</v>
      </c>
      <c r="X1040" t="s">
        <v>814</v>
      </c>
      <c r="Y1040" t="s">
        <v>3250</v>
      </c>
      <c r="Z1040" t="s">
        <v>3250</v>
      </c>
      <c r="AA1040" t="s">
        <v>3108</v>
      </c>
      <c r="AB1040" t="s">
        <v>3108</v>
      </c>
      <c r="AC1040" t="s">
        <v>3250</v>
      </c>
      <c r="AD1040" t="s">
        <v>3250</v>
      </c>
      <c r="AE1040" t="s">
        <v>3250</v>
      </c>
      <c r="AF1040" t="s">
        <v>3250</v>
      </c>
      <c r="AG1040">
        <v>1370</v>
      </c>
      <c r="AH1040" t="s">
        <v>2325</v>
      </c>
      <c r="AI1040">
        <v>1370</v>
      </c>
      <c r="AJ1040" t="s">
        <v>2325</v>
      </c>
      <c r="AL1040" t="s">
        <v>3250</v>
      </c>
      <c r="AM1040" t="s">
        <v>3250</v>
      </c>
      <c r="AN1040" t="s">
        <v>3250</v>
      </c>
      <c r="AO1040" t="s">
        <v>3250</v>
      </c>
      <c r="AS1040" t="s">
        <v>3250</v>
      </c>
      <c r="AT1040" t="s">
        <v>3250</v>
      </c>
      <c r="AU1040" t="s">
        <v>3250</v>
      </c>
      <c r="AV1040" t="s">
        <v>3250</v>
      </c>
      <c r="AW1040">
        <v>1430</v>
      </c>
      <c r="AX1040" t="s">
        <v>2329</v>
      </c>
      <c r="AY1040" t="s">
        <v>3250</v>
      </c>
      <c r="AZ1040" t="s">
        <v>3250</v>
      </c>
      <c r="BA1040">
        <v>1430</v>
      </c>
      <c r="BB1040" t="s">
        <v>3250</v>
      </c>
      <c r="BC1040" t="s">
        <v>3250</v>
      </c>
      <c r="BE1040" t="s">
        <v>3250</v>
      </c>
      <c r="BF1040" t="s">
        <v>3250</v>
      </c>
      <c r="BG1040" t="s">
        <v>2329</v>
      </c>
      <c r="BH1040" t="s">
        <v>3250</v>
      </c>
      <c r="BI1040" t="s">
        <v>3250</v>
      </c>
      <c r="BK1040" t="s">
        <v>3250</v>
      </c>
      <c r="BL1040" t="s">
        <v>3250</v>
      </c>
      <c r="BM1040" t="s">
        <v>3250</v>
      </c>
      <c r="BN1040" t="s">
        <v>3250</v>
      </c>
      <c r="BP1040">
        <v>1</v>
      </c>
      <c r="BQ1040">
        <v>13</v>
      </c>
      <c r="BR1040" t="s">
        <v>2371</v>
      </c>
      <c r="BS1040" t="s">
        <v>3252</v>
      </c>
      <c r="BV1040">
        <v>0</v>
      </c>
      <c r="BW1040">
        <v>0</v>
      </c>
      <c r="BX1040">
        <v>0</v>
      </c>
      <c r="BY1040">
        <v>0</v>
      </c>
      <c r="BZ1040">
        <v>0</v>
      </c>
      <c r="CA1040">
        <v>0</v>
      </c>
      <c r="CB1040">
        <v>0</v>
      </c>
      <c r="CC1040">
        <v>0</v>
      </c>
      <c r="CD1040">
        <v>0</v>
      </c>
      <c r="CE1040" t="s">
        <v>3108</v>
      </c>
      <c r="CF1040" t="s">
        <v>3108</v>
      </c>
      <c r="CG1040" t="s">
        <v>3108</v>
      </c>
      <c r="CH1040" t="s">
        <v>3108</v>
      </c>
    </row>
    <row r="1041" spans="1:86" x14ac:dyDescent="0.2">
      <c r="A1041" t="s">
        <v>4829</v>
      </c>
      <c r="B1041" t="s">
        <v>4829</v>
      </c>
      <c r="C1041">
        <v>41515</v>
      </c>
      <c r="D1041">
        <v>1362</v>
      </c>
      <c r="E1041" t="s">
        <v>4830</v>
      </c>
      <c r="F1041" t="s">
        <v>3249</v>
      </c>
      <c r="G1041" t="s">
        <v>3249</v>
      </c>
      <c r="H1041" t="s">
        <v>3250</v>
      </c>
      <c r="I1041" t="s">
        <v>3250</v>
      </c>
      <c r="J1041" t="s">
        <v>3250</v>
      </c>
      <c r="K1041" t="s">
        <v>3250</v>
      </c>
      <c r="L1041">
        <v>1200</v>
      </c>
      <c r="M1041" t="s">
        <v>2368</v>
      </c>
      <c r="N1041">
        <v>1202</v>
      </c>
      <c r="O1041" t="s">
        <v>2371</v>
      </c>
      <c r="P1041" t="s">
        <v>2805</v>
      </c>
      <c r="Q1041">
        <v>2080</v>
      </c>
      <c r="R1041" t="s">
        <v>423</v>
      </c>
      <c r="S1041" t="s">
        <v>427</v>
      </c>
      <c r="T1041" t="s">
        <v>3251</v>
      </c>
      <c r="U1041">
        <v>270</v>
      </c>
      <c r="V1041" t="s">
        <v>4826</v>
      </c>
      <c r="W1041">
        <v>270</v>
      </c>
      <c r="X1041" t="s">
        <v>814</v>
      </c>
      <c r="Y1041" t="s">
        <v>3250</v>
      </c>
      <c r="Z1041" t="s">
        <v>3250</v>
      </c>
      <c r="AA1041" t="s">
        <v>3108</v>
      </c>
      <c r="AB1041" t="s">
        <v>3108</v>
      </c>
      <c r="AC1041" t="s">
        <v>3250</v>
      </c>
      <c r="AD1041" t="s">
        <v>3250</v>
      </c>
      <c r="AE1041" t="s">
        <v>3250</v>
      </c>
      <c r="AF1041" t="s">
        <v>3250</v>
      </c>
      <c r="AG1041">
        <v>1370</v>
      </c>
      <c r="AH1041" t="s">
        <v>2325</v>
      </c>
      <c r="AI1041">
        <v>1370</v>
      </c>
      <c r="AJ1041" t="s">
        <v>2325</v>
      </c>
      <c r="AL1041" t="s">
        <v>3250</v>
      </c>
      <c r="AM1041" t="s">
        <v>3250</v>
      </c>
      <c r="AN1041" t="s">
        <v>3250</v>
      </c>
      <c r="AO1041" t="s">
        <v>3250</v>
      </c>
      <c r="AS1041" t="s">
        <v>3250</v>
      </c>
      <c r="AT1041" t="s">
        <v>3250</v>
      </c>
      <c r="AU1041" t="s">
        <v>3250</v>
      </c>
      <c r="AV1041" t="s">
        <v>3250</v>
      </c>
      <c r="AW1041">
        <v>1430</v>
      </c>
      <c r="AX1041" t="s">
        <v>2329</v>
      </c>
      <c r="AY1041" t="s">
        <v>3250</v>
      </c>
      <c r="AZ1041" t="s">
        <v>3250</v>
      </c>
      <c r="BA1041">
        <v>1430</v>
      </c>
      <c r="BB1041" t="s">
        <v>3250</v>
      </c>
      <c r="BC1041" t="s">
        <v>3250</v>
      </c>
      <c r="BE1041" t="s">
        <v>3250</v>
      </c>
      <c r="BF1041" t="s">
        <v>3250</v>
      </c>
      <c r="BG1041" t="s">
        <v>2329</v>
      </c>
      <c r="BH1041" t="s">
        <v>3250</v>
      </c>
      <c r="BI1041" t="s">
        <v>3250</v>
      </c>
      <c r="BK1041" t="s">
        <v>3250</v>
      </c>
      <c r="BL1041" t="s">
        <v>3250</v>
      </c>
      <c r="BM1041" t="s">
        <v>3250</v>
      </c>
      <c r="BN1041" t="s">
        <v>3250</v>
      </c>
      <c r="BP1041">
        <v>1</v>
      </c>
      <c r="BQ1041">
        <v>13</v>
      </c>
      <c r="BR1041" t="s">
        <v>2371</v>
      </c>
      <c r="BS1041" t="s">
        <v>3252</v>
      </c>
      <c r="BV1041">
        <v>0</v>
      </c>
      <c r="BW1041">
        <v>0</v>
      </c>
      <c r="BX1041">
        <v>0</v>
      </c>
      <c r="BY1041">
        <v>0</v>
      </c>
      <c r="BZ1041">
        <v>0</v>
      </c>
      <c r="CA1041">
        <v>0</v>
      </c>
      <c r="CB1041">
        <v>0</v>
      </c>
      <c r="CC1041">
        <v>0</v>
      </c>
      <c r="CD1041">
        <v>0</v>
      </c>
      <c r="CE1041" t="s">
        <v>3108</v>
      </c>
      <c r="CF1041" t="s">
        <v>3108</v>
      </c>
      <c r="CG1041" t="s">
        <v>3108</v>
      </c>
      <c r="CH1041" t="s">
        <v>3108</v>
      </c>
    </row>
    <row r="1042" spans="1:86" x14ac:dyDescent="0.2">
      <c r="A1042" t="s">
        <v>4831</v>
      </c>
      <c r="B1042" t="s">
        <v>4831</v>
      </c>
      <c r="C1042">
        <v>41516</v>
      </c>
      <c r="D1042">
        <v>1363</v>
      </c>
      <c r="E1042" t="s">
        <v>4832</v>
      </c>
      <c r="F1042" t="s">
        <v>3249</v>
      </c>
      <c r="G1042" t="s">
        <v>3249</v>
      </c>
      <c r="H1042" t="s">
        <v>3250</v>
      </c>
      <c r="I1042" t="s">
        <v>3250</v>
      </c>
      <c r="J1042" t="s">
        <v>3250</v>
      </c>
      <c r="K1042" t="s">
        <v>3250</v>
      </c>
      <c r="L1042">
        <v>1200</v>
      </c>
      <c r="M1042" t="s">
        <v>2368</v>
      </c>
      <c r="N1042">
        <v>1202</v>
      </c>
      <c r="O1042" t="s">
        <v>2371</v>
      </c>
      <c r="P1042" t="s">
        <v>3108</v>
      </c>
      <c r="Q1042">
        <v>2080</v>
      </c>
      <c r="R1042" t="s">
        <v>423</v>
      </c>
      <c r="S1042" t="s">
        <v>427</v>
      </c>
      <c r="T1042" t="s">
        <v>3251</v>
      </c>
      <c r="U1042">
        <v>240</v>
      </c>
      <c r="V1042" t="s">
        <v>4251</v>
      </c>
      <c r="W1042">
        <v>240</v>
      </c>
      <c r="X1042" t="s">
        <v>1323</v>
      </c>
      <c r="Y1042" t="s">
        <v>3250</v>
      </c>
      <c r="Z1042" t="s">
        <v>3250</v>
      </c>
      <c r="AA1042" t="s">
        <v>3108</v>
      </c>
      <c r="AB1042" t="s">
        <v>3108</v>
      </c>
      <c r="AC1042" t="s">
        <v>3250</v>
      </c>
      <c r="AD1042" t="s">
        <v>3250</v>
      </c>
      <c r="AE1042" t="s">
        <v>3250</v>
      </c>
      <c r="AF1042" t="s">
        <v>3250</v>
      </c>
      <c r="AG1042">
        <v>1180</v>
      </c>
      <c r="AH1042" t="s">
        <v>1738</v>
      </c>
      <c r="AI1042">
        <v>1180</v>
      </c>
      <c r="AJ1042" t="s">
        <v>1738</v>
      </c>
      <c r="AL1042">
        <v>243</v>
      </c>
      <c r="AM1042" t="s">
        <v>700</v>
      </c>
      <c r="AN1042">
        <v>243</v>
      </c>
      <c r="AO1042" t="s">
        <v>700</v>
      </c>
      <c r="AS1042" t="s">
        <v>3250</v>
      </c>
      <c r="AT1042" t="s">
        <v>3250</v>
      </c>
      <c r="AU1042" t="s">
        <v>3250</v>
      </c>
      <c r="AV1042" t="s">
        <v>3250</v>
      </c>
      <c r="AW1042">
        <v>1200</v>
      </c>
      <c r="AX1042" t="s">
        <v>2310</v>
      </c>
      <c r="AY1042" t="s">
        <v>3250</v>
      </c>
      <c r="AZ1042" t="s">
        <v>3250</v>
      </c>
      <c r="BA1042">
        <v>1200</v>
      </c>
      <c r="BB1042" t="s">
        <v>3250</v>
      </c>
      <c r="BC1042" t="s">
        <v>3250</v>
      </c>
      <c r="BE1042" t="s">
        <v>3250</v>
      </c>
      <c r="BF1042" t="s">
        <v>3250</v>
      </c>
      <c r="BG1042" t="s">
        <v>2310</v>
      </c>
      <c r="BH1042" t="s">
        <v>3250</v>
      </c>
      <c r="BI1042" t="s">
        <v>3250</v>
      </c>
      <c r="BK1042" t="s">
        <v>3250</v>
      </c>
      <c r="BL1042" t="s">
        <v>3250</v>
      </c>
      <c r="BM1042" t="s">
        <v>3250</v>
      </c>
      <c r="BN1042" t="s">
        <v>3250</v>
      </c>
      <c r="BP1042">
        <v>1</v>
      </c>
      <c r="BQ1042">
        <v>13</v>
      </c>
      <c r="BR1042" t="s">
        <v>2371</v>
      </c>
      <c r="BS1042" t="s">
        <v>3252</v>
      </c>
      <c r="BV1042">
        <v>0</v>
      </c>
      <c r="BW1042">
        <v>0</v>
      </c>
      <c r="BX1042">
        <v>0</v>
      </c>
      <c r="BY1042">
        <v>0</v>
      </c>
      <c r="BZ1042">
        <v>0</v>
      </c>
      <c r="CA1042">
        <v>0</v>
      </c>
      <c r="CB1042">
        <v>0</v>
      </c>
      <c r="CC1042">
        <v>0</v>
      </c>
      <c r="CD1042">
        <v>0</v>
      </c>
      <c r="CE1042" t="s">
        <v>3108</v>
      </c>
      <c r="CF1042" t="s">
        <v>3108</v>
      </c>
      <c r="CG1042" t="s">
        <v>3108</v>
      </c>
      <c r="CH1042" t="s">
        <v>3108</v>
      </c>
    </row>
    <row r="1043" spans="1:86" x14ac:dyDescent="0.2">
      <c r="A1043" t="s">
        <v>4833</v>
      </c>
      <c r="B1043" t="s">
        <v>4833</v>
      </c>
      <c r="C1043">
        <v>41517</v>
      </c>
      <c r="D1043">
        <v>1364</v>
      </c>
      <c r="E1043" t="s">
        <v>4834</v>
      </c>
      <c r="F1043" t="s">
        <v>3249</v>
      </c>
      <c r="G1043" t="s">
        <v>3249</v>
      </c>
      <c r="H1043" t="s">
        <v>3250</v>
      </c>
      <c r="I1043" t="s">
        <v>3250</v>
      </c>
      <c r="J1043" t="s">
        <v>3250</v>
      </c>
      <c r="K1043" t="s">
        <v>3250</v>
      </c>
      <c r="L1043">
        <v>1200</v>
      </c>
      <c r="M1043" t="s">
        <v>2368</v>
      </c>
      <c r="N1043">
        <v>1202</v>
      </c>
      <c r="O1043" t="s">
        <v>2371</v>
      </c>
      <c r="P1043" t="s">
        <v>3108</v>
      </c>
      <c r="Q1043">
        <v>2080</v>
      </c>
      <c r="R1043" t="s">
        <v>423</v>
      </c>
      <c r="S1043" t="s">
        <v>427</v>
      </c>
      <c r="T1043" t="s">
        <v>3251</v>
      </c>
      <c r="U1043">
        <v>240</v>
      </c>
      <c r="V1043" t="s">
        <v>4251</v>
      </c>
      <c r="W1043">
        <v>240</v>
      </c>
      <c r="X1043" t="s">
        <v>1323</v>
      </c>
      <c r="Y1043" t="s">
        <v>3250</v>
      </c>
      <c r="Z1043" t="s">
        <v>3250</v>
      </c>
      <c r="AA1043" t="s">
        <v>3108</v>
      </c>
      <c r="AB1043" t="s">
        <v>3108</v>
      </c>
      <c r="AC1043" t="s">
        <v>3250</v>
      </c>
      <c r="AD1043" t="s">
        <v>3250</v>
      </c>
      <c r="AE1043" t="s">
        <v>3250</v>
      </c>
      <c r="AF1043" t="s">
        <v>3250</v>
      </c>
      <c r="AG1043">
        <v>1180</v>
      </c>
      <c r="AH1043" t="s">
        <v>1738</v>
      </c>
      <c r="AI1043">
        <v>1180</v>
      </c>
      <c r="AJ1043" t="s">
        <v>1738</v>
      </c>
      <c r="AL1043">
        <v>241</v>
      </c>
      <c r="AM1043" t="s">
        <v>1455</v>
      </c>
      <c r="AN1043">
        <v>241</v>
      </c>
      <c r="AO1043" t="s">
        <v>1455</v>
      </c>
      <c r="AS1043" t="s">
        <v>3250</v>
      </c>
      <c r="AT1043" t="s">
        <v>3250</v>
      </c>
      <c r="AU1043" t="s">
        <v>3250</v>
      </c>
      <c r="AV1043" t="s">
        <v>3250</v>
      </c>
      <c r="AW1043">
        <v>1200</v>
      </c>
      <c r="AX1043" t="s">
        <v>2310</v>
      </c>
      <c r="AY1043" t="s">
        <v>3250</v>
      </c>
      <c r="AZ1043" t="s">
        <v>3250</v>
      </c>
      <c r="BA1043">
        <v>1200</v>
      </c>
      <c r="BB1043" t="s">
        <v>3250</v>
      </c>
      <c r="BC1043" t="s">
        <v>3250</v>
      </c>
      <c r="BE1043" t="s">
        <v>3250</v>
      </c>
      <c r="BF1043" t="s">
        <v>3250</v>
      </c>
      <c r="BG1043" t="s">
        <v>2310</v>
      </c>
      <c r="BH1043" t="s">
        <v>3250</v>
      </c>
      <c r="BI1043" t="s">
        <v>3250</v>
      </c>
      <c r="BK1043" t="s">
        <v>3250</v>
      </c>
      <c r="BL1043" t="s">
        <v>3250</v>
      </c>
      <c r="BM1043" t="s">
        <v>3250</v>
      </c>
      <c r="BN1043" t="s">
        <v>3250</v>
      </c>
      <c r="BP1043">
        <v>1</v>
      </c>
      <c r="BQ1043">
        <v>13</v>
      </c>
      <c r="BR1043" t="s">
        <v>2371</v>
      </c>
      <c r="BS1043" t="s">
        <v>3252</v>
      </c>
      <c r="BV1043">
        <v>0</v>
      </c>
      <c r="BW1043">
        <v>0</v>
      </c>
      <c r="BX1043">
        <v>0</v>
      </c>
      <c r="BY1043">
        <v>0</v>
      </c>
      <c r="BZ1043">
        <v>0</v>
      </c>
      <c r="CA1043">
        <v>0</v>
      </c>
      <c r="CB1043">
        <v>0</v>
      </c>
      <c r="CC1043">
        <v>0</v>
      </c>
      <c r="CD1043">
        <v>0</v>
      </c>
      <c r="CE1043" t="s">
        <v>3108</v>
      </c>
      <c r="CF1043" t="s">
        <v>3108</v>
      </c>
      <c r="CG1043" t="s">
        <v>3108</v>
      </c>
      <c r="CH1043" t="s">
        <v>3108</v>
      </c>
    </row>
    <row r="1044" spans="1:86" x14ac:dyDescent="0.2">
      <c r="A1044" t="s">
        <v>4835</v>
      </c>
      <c r="B1044" t="s">
        <v>4835</v>
      </c>
      <c r="C1044">
        <v>41518</v>
      </c>
      <c r="D1044">
        <v>1365</v>
      </c>
      <c r="E1044" t="s">
        <v>4836</v>
      </c>
      <c r="F1044" t="s">
        <v>3249</v>
      </c>
      <c r="G1044" t="s">
        <v>3249</v>
      </c>
      <c r="H1044" t="s">
        <v>3250</v>
      </c>
      <c r="I1044" t="s">
        <v>3250</v>
      </c>
      <c r="J1044" t="s">
        <v>3250</v>
      </c>
      <c r="K1044" t="s">
        <v>3250</v>
      </c>
      <c r="L1044">
        <v>1200</v>
      </c>
      <c r="M1044" t="s">
        <v>2368</v>
      </c>
      <c r="N1044">
        <v>1202</v>
      </c>
      <c r="O1044" t="s">
        <v>2371</v>
      </c>
      <c r="P1044" t="s">
        <v>2805</v>
      </c>
      <c r="Q1044">
        <v>2080</v>
      </c>
      <c r="R1044" t="s">
        <v>423</v>
      </c>
      <c r="S1044" t="s">
        <v>427</v>
      </c>
      <c r="T1044" t="s">
        <v>3251</v>
      </c>
      <c r="U1044">
        <v>240</v>
      </c>
      <c r="V1044" t="s">
        <v>4251</v>
      </c>
      <c r="W1044">
        <v>240</v>
      </c>
      <c r="X1044" t="s">
        <v>1323</v>
      </c>
      <c r="Y1044" t="s">
        <v>3250</v>
      </c>
      <c r="Z1044" t="s">
        <v>3250</v>
      </c>
      <c r="AA1044" t="s">
        <v>3108</v>
      </c>
      <c r="AB1044" t="s">
        <v>3108</v>
      </c>
      <c r="AC1044" t="s">
        <v>3250</v>
      </c>
      <c r="AD1044" t="s">
        <v>3250</v>
      </c>
      <c r="AE1044" t="s">
        <v>3250</v>
      </c>
      <c r="AF1044" t="s">
        <v>3250</v>
      </c>
      <c r="AG1044">
        <v>1180</v>
      </c>
      <c r="AH1044" t="s">
        <v>1738</v>
      </c>
      <c r="AI1044">
        <v>1180</v>
      </c>
      <c r="AJ1044" t="s">
        <v>1738</v>
      </c>
      <c r="AL1044">
        <v>241</v>
      </c>
      <c r="AM1044" t="s">
        <v>1455</v>
      </c>
      <c r="AN1044">
        <v>241</v>
      </c>
      <c r="AO1044" t="s">
        <v>1455</v>
      </c>
      <c r="AS1044" t="s">
        <v>3250</v>
      </c>
      <c r="AT1044" t="s">
        <v>3250</v>
      </c>
      <c r="AU1044" t="s">
        <v>3250</v>
      </c>
      <c r="AV1044" t="s">
        <v>3250</v>
      </c>
      <c r="AW1044">
        <v>1200</v>
      </c>
      <c r="AX1044" t="s">
        <v>2310</v>
      </c>
      <c r="AY1044" t="s">
        <v>3250</v>
      </c>
      <c r="AZ1044" t="s">
        <v>3250</v>
      </c>
      <c r="BA1044">
        <v>1200</v>
      </c>
      <c r="BB1044" t="s">
        <v>3250</v>
      </c>
      <c r="BC1044" t="s">
        <v>3250</v>
      </c>
      <c r="BE1044" t="s">
        <v>3250</v>
      </c>
      <c r="BF1044" t="s">
        <v>3250</v>
      </c>
      <c r="BG1044" t="s">
        <v>2310</v>
      </c>
      <c r="BH1044" t="s">
        <v>3250</v>
      </c>
      <c r="BI1044" t="s">
        <v>3250</v>
      </c>
      <c r="BK1044" t="s">
        <v>3250</v>
      </c>
      <c r="BL1044" t="s">
        <v>3250</v>
      </c>
      <c r="BM1044" t="s">
        <v>3250</v>
      </c>
      <c r="BN1044" t="s">
        <v>3250</v>
      </c>
      <c r="BP1044">
        <v>1</v>
      </c>
      <c r="BQ1044">
        <v>13</v>
      </c>
      <c r="BR1044" t="s">
        <v>2371</v>
      </c>
      <c r="BS1044" t="s">
        <v>3252</v>
      </c>
      <c r="BV1044">
        <v>0</v>
      </c>
      <c r="BW1044">
        <v>0</v>
      </c>
      <c r="BX1044">
        <v>0</v>
      </c>
      <c r="BY1044">
        <v>0</v>
      </c>
      <c r="BZ1044">
        <v>0</v>
      </c>
      <c r="CA1044">
        <v>0</v>
      </c>
      <c r="CB1044">
        <v>0</v>
      </c>
      <c r="CC1044">
        <v>0</v>
      </c>
      <c r="CD1044">
        <v>0</v>
      </c>
      <c r="CE1044" t="s">
        <v>3108</v>
      </c>
      <c r="CF1044" t="s">
        <v>3108</v>
      </c>
      <c r="CG1044" t="s">
        <v>3108</v>
      </c>
      <c r="CH1044" t="s">
        <v>3108</v>
      </c>
    </row>
    <row r="1045" spans="1:86" x14ac:dyDescent="0.2">
      <c r="A1045" t="s">
        <v>4837</v>
      </c>
      <c r="B1045" t="s">
        <v>4837</v>
      </c>
      <c r="C1045">
        <v>41522</v>
      </c>
      <c r="D1045">
        <v>1366</v>
      </c>
      <c r="E1045" t="s">
        <v>4838</v>
      </c>
      <c r="F1045" t="s">
        <v>3249</v>
      </c>
      <c r="G1045" t="s">
        <v>3249</v>
      </c>
      <c r="H1045" t="s">
        <v>3250</v>
      </c>
      <c r="I1045" t="s">
        <v>3250</v>
      </c>
      <c r="J1045" t="s">
        <v>3250</v>
      </c>
      <c r="K1045" t="s">
        <v>3250</v>
      </c>
      <c r="L1045">
        <v>1200</v>
      </c>
      <c r="M1045" t="s">
        <v>2368</v>
      </c>
      <c r="N1045">
        <v>1202</v>
      </c>
      <c r="O1045" t="s">
        <v>2371</v>
      </c>
      <c r="P1045" t="s">
        <v>3108</v>
      </c>
      <c r="Q1045">
        <v>2080</v>
      </c>
      <c r="R1045" t="s">
        <v>423</v>
      </c>
      <c r="S1045" t="s">
        <v>427</v>
      </c>
      <c r="T1045" t="s">
        <v>3251</v>
      </c>
      <c r="U1045">
        <v>240</v>
      </c>
      <c r="V1045" t="s">
        <v>4251</v>
      </c>
      <c r="W1045">
        <v>240</v>
      </c>
      <c r="X1045" t="s">
        <v>1323</v>
      </c>
      <c r="Y1045" t="s">
        <v>3250</v>
      </c>
      <c r="Z1045" t="s">
        <v>3250</v>
      </c>
      <c r="AA1045" t="s">
        <v>3108</v>
      </c>
      <c r="AB1045" t="s">
        <v>3108</v>
      </c>
      <c r="AC1045" t="s">
        <v>3250</v>
      </c>
      <c r="AD1045" t="s">
        <v>3250</v>
      </c>
      <c r="AE1045" t="s">
        <v>3250</v>
      </c>
      <c r="AF1045" t="s">
        <v>3250</v>
      </c>
      <c r="AG1045">
        <v>770</v>
      </c>
      <c r="AH1045" t="s">
        <v>2282</v>
      </c>
      <c r="AI1045">
        <v>770</v>
      </c>
      <c r="AJ1045" t="s">
        <v>2282</v>
      </c>
      <c r="AL1045">
        <v>243</v>
      </c>
      <c r="AM1045" t="s">
        <v>700</v>
      </c>
      <c r="AN1045">
        <v>243</v>
      </c>
      <c r="AO1045" t="s">
        <v>700</v>
      </c>
      <c r="AS1045" t="s">
        <v>3250</v>
      </c>
      <c r="AT1045" t="s">
        <v>3250</v>
      </c>
      <c r="AU1045" t="s">
        <v>3250</v>
      </c>
      <c r="AV1045" t="s">
        <v>3250</v>
      </c>
      <c r="AW1045">
        <v>810</v>
      </c>
      <c r="AX1045" t="s">
        <v>2286</v>
      </c>
      <c r="AY1045" t="s">
        <v>3250</v>
      </c>
      <c r="AZ1045" t="s">
        <v>3250</v>
      </c>
      <c r="BA1045">
        <v>810</v>
      </c>
      <c r="BB1045" t="s">
        <v>3250</v>
      </c>
      <c r="BC1045" t="s">
        <v>3250</v>
      </c>
      <c r="BE1045" t="s">
        <v>3250</v>
      </c>
      <c r="BF1045" t="s">
        <v>3250</v>
      </c>
      <c r="BG1045" t="s">
        <v>2286</v>
      </c>
      <c r="BH1045" t="s">
        <v>3250</v>
      </c>
      <c r="BI1045" t="s">
        <v>3250</v>
      </c>
      <c r="BK1045" t="s">
        <v>3250</v>
      </c>
      <c r="BL1045" t="s">
        <v>3250</v>
      </c>
      <c r="BM1045" t="s">
        <v>3250</v>
      </c>
      <c r="BN1045" t="s">
        <v>3250</v>
      </c>
      <c r="BP1045">
        <v>1</v>
      </c>
      <c r="BQ1045">
        <v>13</v>
      </c>
      <c r="BR1045" t="s">
        <v>2371</v>
      </c>
      <c r="BS1045" t="s">
        <v>3252</v>
      </c>
      <c r="BV1045">
        <v>-971580</v>
      </c>
      <c r="BW1045">
        <v>0</v>
      </c>
      <c r="BX1045">
        <v>0</v>
      </c>
      <c r="BY1045">
        <v>0</v>
      </c>
      <c r="BZ1045">
        <v>0</v>
      </c>
      <c r="CA1045">
        <v>0</v>
      </c>
      <c r="CB1045">
        <v>0</v>
      </c>
      <c r="CC1045">
        <v>0</v>
      </c>
      <c r="CD1045">
        <v>-1136848</v>
      </c>
      <c r="CE1045" t="s">
        <v>3108</v>
      </c>
      <c r="CF1045" t="s">
        <v>3108</v>
      </c>
      <c r="CG1045" t="s">
        <v>3108</v>
      </c>
      <c r="CH1045" t="s">
        <v>3108</v>
      </c>
    </row>
    <row r="1046" spans="1:86" x14ac:dyDescent="0.2">
      <c r="A1046" t="s">
        <v>4839</v>
      </c>
      <c r="B1046" t="s">
        <v>4839</v>
      </c>
      <c r="C1046">
        <v>41523</v>
      </c>
      <c r="D1046">
        <v>1367</v>
      </c>
      <c r="E1046" t="s">
        <v>4840</v>
      </c>
      <c r="F1046" t="s">
        <v>3249</v>
      </c>
      <c r="G1046" t="s">
        <v>3249</v>
      </c>
      <c r="H1046" t="s">
        <v>3250</v>
      </c>
      <c r="I1046" t="s">
        <v>3250</v>
      </c>
      <c r="J1046" t="s">
        <v>3250</v>
      </c>
      <c r="K1046" t="s">
        <v>3250</v>
      </c>
      <c r="L1046">
        <v>1200</v>
      </c>
      <c r="M1046" t="s">
        <v>2368</v>
      </c>
      <c r="N1046">
        <v>1202</v>
      </c>
      <c r="O1046" t="s">
        <v>2371</v>
      </c>
      <c r="P1046" t="s">
        <v>3108</v>
      </c>
      <c r="Q1046">
        <v>2080</v>
      </c>
      <c r="R1046" t="s">
        <v>423</v>
      </c>
      <c r="S1046" t="s">
        <v>427</v>
      </c>
      <c r="T1046" t="s">
        <v>3251</v>
      </c>
      <c r="U1046">
        <v>240</v>
      </c>
      <c r="V1046" t="s">
        <v>4251</v>
      </c>
      <c r="W1046">
        <v>240</v>
      </c>
      <c r="X1046" t="s">
        <v>1323</v>
      </c>
      <c r="Y1046" t="s">
        <v>3250</v>
      </c>
      <c r="Z1046" t="s">
        <v>3250</v>
      </c>
      <c r="AA1046" t="s">
        <v>3108</v>
      </c>
      <c r="AB1046" t="s">
        <v>3108</v>
      </c>
      <c r="AC1046" t="s">
        <v>3250</v>
      </c>
      <c r="AD1046" t="s">
        <v>3250</v>
      </c>
      <c r="AE1046" t="s">
        <v>3250</v>
      </c>
      <c r="AF1046" t="s">
        <v>3250</v>
      </c>
      <c r="AG1046">
        <v>770</v>
      </c>
      <c r="AH1046" t="s">
        <v>2282</v>
      </c>
      <c r="AI1046">
        <v>770</v>
      </c>
      <c r="AJ1046" t="s">
        <v>2282</v>
      </c>
      <c r="AL1046">
        <v>241</v>
      </c>
      <c r="AM1046" t="s">
        <v>1455</v>
      </c>
      <c r="AN1046">
        <v>241</v>
      </c>
      <c r="AO1046" t="s">
        <v>1455</v>
      </c>
      <c r="AS1046" t="s">
        <v>3250</v>
      </c>
      <c r="AT1046" t="s">
        <v>3250</v>
      </c>
      <c r="AU1046" t="s">
        <v>3250</v>
      </c>
      <c r="AV1046" t="s">
        <v>3250</v>
      </c>
      <c r="AW1046">
        <v>810</v>
      </c>
      <c r="AX1046" t="s">
        <v>2286</v>
      </c>
      <c r="AY1046" t="s">
        <v>3250</v>
      </c>
      <c r="AZ1046" t="s">
        <v>3250</v>
      </c>
      <c r="BA1046">
        <v>810</v>
      </c>
      <c r="BB1046" t="s">
        <v>3250</v>
      </c>
      <c r="BC1046" t="s">
        <v>3250</v>
      </c>
      <c r="BE1046" t="s">
        <v>3250</v>
      </c>
      <c r="BF1046" t="s">
        <v>3250</v>
      </c>
      <c r="BG1046" t="s">
        <v>2286</v>
      </c>
      <c r="BH1046" t="s">
        <v>3250</v>
      </c>
      <c r="BI1046" t="s">
        <v>3250</v>
      </c>
      <c r="BK1046" t="s">
        <v>3250</v>
      </c>
      <c r="BL1046" t="s">
        <v>3250</v>
      </c>
      <c r="BM1046" t="s">
        <v>3250</v>
      </c>
      <c r="BN1046" t="s">
        <v>3250</v>
      </c>
      <c r="BP1046">
        <v>1</v>
      </c>
      <c r="BQ1046">
        <v>13</v>
      </c>
      <c r="BR1046" t="s">
        <v>2371</v>
      </c>
      <c r="BS1046" t="s">
        <v>3252</v>
      </c>
      <c r="BV1046">
        <v>0</v>
      </c>
      <c r="BW1046">
        <v>0</v>
      </c>
      <c r="BX1046">
        <v>0</v>
      </c>
      <c r="BY1046">
        <v>0</v>
      </c>
      <c r="BZ1046">
        <v>0</v>
      </c>
      <c r="CA1046">
        <v>0</v>
      </c>
      <c r="CB1046">
        <v>0</v>
      </c>
      <c r="CC1046">
        <v>0</v>
      </c>
      <c r="CD1046">
        <v>0</v>
      </c>
      <c r="CE1046" t="s">
        <v>3108</v>
      </c>
      <c r="CF1046" t="s">
        <v>3108</v>
      </c>
      <c r="CG1046" t="s">
        <v>3108</v>
      </c>
      <c r="CH1046" t="s">
        <v>3108</v>
      </c>
    </row>
    <row r="1047" spans="1:86" x14ac:dyDescent="0.2">
      <c r="A1047" t="s">
        <v>4841</v>
      </c>
      <c r="B1047" t="s">
        <v>4841</v>
      </c>
      <c r="C1047">
        <v>41524</v>
      </c>
      <c r="D1047">
        <v>1368</v>
      </c>
      <c r="E1047" t="s">
        <v>4842</v>
      </c>
      <c r="F1047" t="s">
        <v>3249</v>
      </c>
      <c r="G1047" t="s">
        <v>3249</v>
      </c>
      <c r="H1047" t="s">
        <v>3250</v>
      </c>
      <c r="I1047" t="s">
        <v>3250</v>
      </c>
      <c r="J1047" t="s">
        <v>3250</v>
      </c>
      <c r="K1047" t="s">
        <v>3250</v>
      </c>
      <c r="L1047">
        <v>1200</v>
      </c>
      <c r="M1047" t="s">
        <v>2368</v>
      </c>
      <c r="N1047">
        <v>1202</v>
      </c>
      <c r="O1047" t="s">
        <v>2371</v>
      </c>
      <c r="P1047" t="s">
        <v>2805</v>
      </c>
      <c r="Q1047">
        <v>2080</v>
      </c>
      <c r="R1047" t="s">
        <v>423</v>
      </c>
      <c r="S1047" t="s">
        <v>427</v>
      </c>
      <c r="T1047" t="s">
        <v>3251</v>
      </c>
      <c r="U1047">
        <v>240</v>
      </c>
      <c r="V1047" t="s">
        <v>4251</v>
      </c>
      <c r="W1047">
        <v>240</v>
      </c>
      <c r="X1047" t="s">
        <v>1323</v>
      </c>
      <c r="Y1047" t="s">
        <v>3250</v>
      </c>
      <c r="Z1047" t="s">
        <v>3250</v>
      </c>
      <c r="AA1047" t="s">
        <v>3108</v>
      </c>
      <c r="AB1047" t="s">
        <v>3108</v>
      </c>
      <c r="AC1047" t="s">
        <v>3250</v>
      </c>
      <c r="AD1047" t="s">
        <v>3250</v>
      </c>
      <c r="AE1047" t="s">
        <v>3250</v>
      </c>
      <c r="AF1047" t="s">
        <v>3250</v>
      </c>
      <c r="AG1047">
        <v>770</v>
      </c>
      <c r="AH1047" t="s">
        <v>2282</v>
      </c>
      <c r="AI1047">
        <v>770</v>
      </c>
      <c r="AJ1047" t="s">
        <v>2282</v>
      </c>
      <c r="AL1047">
        <v>241</v>
      </c>
      <c r="AM1047" t="s">
        <v>1455</v>
      </c>
      <c r="AN1047">
        <v>241</v>
      </c>
      <c r="AO1047" t="s">
        <v>1455</v>
      </c>
      <c r="AS1047" t="s">
        <v>3250</v>
      </c>
      <c r="AT1047" t="s">
        <v>3250</v>
      </c>
      <c r="AU1047" t="s">
        <v>3250</v>
      </c>
      <c r="AV1047" t="s">
        <v>3250</v>
      </c>
      <c r="AW1047">
        <v>810</v>
      </c>
      <c r="AX1047" t="s">
        <v>2286</v>
      </c>
      <c r="AY1047" t="s">
        <v>3250</v>
      </c>
      <c r="AZ1047" t="s">
        <v>3250</v>
      </c>
      <c r="BA1047">
        <v>810</v>
      </c>
      <c r="BB1047" t="s">
        <v>3250</v>
      </c>
      <c r="BC1047" t="s">
        <v>3250</v>
      </c>
      <c r="BE1047" t="s">
        <v>3250</v>
      </c>
      <c r="BF1047" t="s">
        <v>3250</v>
      </c>
      <c r="BG1047" t="s">
        <v>2286</v>
      </c>
      <c r="BH1047" t="s">
        <v>3250</v>
      </c>
      <c r="BI1047" t="s">
        <v>3250</v>
      </c>
      <c r="BK1047" t="s">
        <v>3250</v>
      </c>
      <c r="BL1047" t="s">
        <v>3250</v>
      </c>
      <c r="BM1047" t="s">
        <v>3250</v>
      </c>
      <c r="BN1047" t="s">
        <v>3250</v>
      </c>
      <c r="BP1047">
        <v>1</v>
      </c>
      <c r="BQ1047">
        <v>13</v>
      </c>
      <c r="BR1047" t="s">
        <v>2371</v>
      </c>
      <c r="BS1047" t="s">
        <v>3252</v>
      </c>
      <c r="BV1047">
        <v>0</v>
      </c>
      <c r="BW1047">
        <v>0</v>
      </c>
      <c r="BX1047">
        <v>0</v>
      </c>
      <c r="BY1047">
        <v>0</v>
      </c>
      <c r="BZ1047">
        <v>0</v>
      </c>
      <c r="CA1047">
        <v>0</v>
      </c>
      <c r="CB1047">
        <v>0</v>
      </c>
      <c r="CC1047">
        <v>0</v>
      </c>
      <c r="CD1047">
        <v>0</v>
      </c>
      <c r="CE1047" t="s">
        <v>3108</v>
      </c>
      <c r="CF1047" t="s">
        <v>3108</v>
      </c>
      <c r="CG1047" t="s">
        <v>3108</v>
      </c>
      <c r="CH1047" t="s">
        <v>3108</v>
      </c>
    </row>
    <row r="1048" spans="1:86" x14ac:dyDescent="0.2">
      <c r="A1048" t="s">
        <v>4843</v>
      </c>
      <c r="B1048" t="s">
        <v>4843</v>
      </c>
      <c r="C1048">
        <v>41525</v>
      </c>
      <c r="D1048">
        <v>1369</v>
      </c>
      <c r="E1048" t="s">
        <v>4838</v>
      </c>
      <c r="F1048" t="s">
        <v>3249</v>
      </c>
      <c r="G1048" t="s">
        <v>3249</v>
      </c>
      <c r="H1048" t="s">
        <v>3250</v>
      </c>
      <c r="I1048" t="s">
        <v>3250</v>
      </c>
      <c r="J1048" t="s">
        <v>3250</v>
      </c>
      <c r="K1048" t="s">
        <v>3250</v>
      </c>
      <c r="L1048">
        <v>1200</v>
      </c>
      <c r="M1048" t="s">
        <v>2368</v>
      </c>
      <c r="N1048">
        <v>1202</v>
      </c>
      <c r="O1048" t="s">
        <v>2371</v>
      </c>
      <c r="P1048" t="s">
        <v>3108</v>
      </c>
      <c r="Q1048">
        <v>2080</v>
      </c>
      <c r="R1048" t="s">
        <v>423</v>
      </c>
      <c r="S1048" t="s">
        <v>427</v>
      </c>
      <c r="T1048" t="s">
        <v>3251</v>
      </c>
      <c r="U1048">
        <v>240</v>
      </c>
      <c r="V1048" t="s">
        <v>4251</v>
      </c>
      <c r="W1048">
        <v>240</v>
      </c>
      <c r="X1048" t="s">
        <v>1323</v>
      </c>
      <c r="Y1048" t="s">
        <v>3250</v>
      </c>
      <c r="Z1048" t="s">
        <v>3250</v>
      </c>
      <c r="AA1048" t="s">
        <v>3108</v>
      </c>
      <c r="AB1048" t="s">
        <v>3108</v>
      </c>
      <c r="AC1048" t="s">
        <v>3250</v>
      </c>
      <c r="AD1048" t="s">
        <v>3250</v>
      </c>
      <c r="AE1048" t="s">
        <v>3250</v>
      </c>
      <c r="AF1048" t="s">
        <v>3250</v>
      </c>
      <c r="AG1048">
        <v>770</v>
      </c>
      <c r="AH1048" t="s">
        <v>2282</v>
      </c>
      <c r="AI1048">
        <v>770</v>
      </c>
      <c r="AJ1048" t="s">
        <v>2282</v>
      </c>
      <c r="AL1048">
        <v>243</v>
      </c>
      <c r="AM1048" t="s">
        <v>700</v>
      </c>
      <c r="AN1048">
        <v>243</v>
      </c>
      <c r="AO1048" t="s">
        <v>700</v>
      </c>
      <c r="AS1048" t="s">
        <v>3250</v>
      </c>
      <c r="AT1048" t="s">
        <v>3250</v>
      </c>
      <c r="AU1048" t="s">
        <v>3250</v>
      </c>
      <c r="AV1048" t="s">
        <v>3250</v>
      </c>
      <c r="AW1048">
        <v>790</v>
      </c>
      <c r="AX1048" t="s">
        <v>2284</v>
      </c>
      <c r="AY1048" t="s">
        <v>3250</v>
      </c>
      <c r="AZ1048" t="s">
        <v>3250</v>
      </c>
      <c r="BA1048">
        <v>790</v>
      </c>
      <c r="BB1048" t="s">
        <v>3250</v>
      </c>
      <c r="BC1048" t="s">
        <v>3250</v>
      </c>
      <c r="BE1048" t="s">
        <v>3250</v>
      </c>
      <c r="BF1048" t="s">
        <v>3250</v>
      </c>
      <c r="BG1048" t="s">
        <v>2284</v>
      </c>
      <c r="BH1048" t="s">
        <v>3250</v>
      </c>
      <c r="BI1048" t="s">
        <v>3250</v>
      </c>
      <c r="BK1048" t="s">
        <v>3250</v>
      </c>
      <c r="BL1048" t="s">
        <v>3250</v>
      </c>
      <c r="BM1048" t="s">
        <v>3250</v>
      </c>
      <c r="BN1048" t="s">
        <v>3250</v>
      </c>
      <c r="BP1048">
        <v>1</v>
      </c>
      <c r="BQ1048">
        <v>13</v>
      </c>
      <c r="BR1048" t="s">
        <v>2371</v>
      </c>
      <c r="BS1048" t="s">
        <v>3252</v>
      </c>
      <c r="BV1048">
        <v>0</v>
      </c>
      <c r="BW1048">
        <v>0</v>
      </c>
      <c r="BX1048">
        <v>0</v>
      </c>
      <c r="BY1048">
        <v>0</v>
      </c>
      <c r="BZ1048">
        <v>0</v>
      </c>
      <c r="CA1048">
        <v>0</v>
      </c>
      <c r="CB1048">
        <v>0</v>
      </c>
      <c r="CC1048">
        <v>0</v>
      </c>
      <c r="CD1048">
        <v>0</v>
      </c>
      <c r="CE1048" t="s">
        <v>3108</v>
      </c>
      <c r="CF1048" t="s">
        <v>3108</v>
      </c>
      <c r="CG1048" t="s">
        <v>3108</v>
      </c>
      <c r="CH1048" t="s">
        <v>3108</v>
      </c>
    </row>
    <row r="1049" spans="1:86" x14ac:dyDescent="0.2">
      <c r="A1049" t="s">
        <v>4844</v>
      </c>
      <c r="B1049" t="s">
        <v>4844</v>
      </c>
      <c r="C1049">
        <v>41526</v>
      </c>
      <c r="D1049">
        <v>1370</v>
      </c>
      <c r="E1049" t="s">
        <v>4840</v>
      </c>
      <c r="F1049" t="s">
        <v>3249</v>
      </c>
      <c r="G1049" t="s">
        <v>3249</v>
      </c>
      <c r="H1049" t="s">
        <v>3250</v>
      </c>
      <c r="I1049" t="s">
        <v>3250</v>
      </c>
      <c r="J1049" t="s">
        <v>3250</v>
      </c>
      <c r="K1049" t="s">
        <v>3250</v>
      </c>
      <c r="L1049">
        <v>1200</v>
      </c>
      <c r="M1049" t="s">
        <v>2368</v>
      </c>
      <c r="N1049">
        <v>1202</v>
      </c>
      <c r="O1049" t="s">
        <v>2371</v>
      </c>
      <c r="P1049" t="s">
        <v>3108</v>
      </c>
      <c r="Q1049">
        <v>2080</v>
      </c>
      <c r="R1049" t="s">
        <v>423</v>
      </c>
      <c r="S1049" t="s">
        <v>427</v>
      </c>
      <c r="T1049" t="s">
        <v>3251</v>
      </c>
      <c r="U1049">
        <v>240</v>
      </c>
      <c r="V1049" t="s">
        <v>4251</v>
      </c>
      <c r="W1049">
        <v>240</v>
      </c>
      <c r="X1049" t="s">
        <v>1323</v>
      </c>
      <c r="Y1049" t="s">
        <v>3250</v>
      </c>
      <c r="Z1049" t="s">
        <v>3250</v>
      </c>
      <c r="AA1049" t="s">
        <v>3108</v>
      </c>
      <c r="AB1049" t="s">
        <v>3108</v>
      </c>
      <c r="AC1049" t="s">
        <v>3250</v>
      </c>
      <c r="AD1049" t="s">
        <v>3250</v>
      </c>
      <c r="AE1049" t="s">
        <v>3250</v>
      </c>
      <c r="AF1049" t="s">
        <v>3250</v>
      </c>
      <c r="AG1049">
        <v>770</v>
      </c>
      <c r="AH1049" t="s">
        <v>2282</v>
      </c>
      <c r="AI1049">
        <v>770</v>
      </c>
      <c r="AJ1049" t="s">
        <v>2282</v>
      </c>
      <c r="AL1049">
        <v>241</v>
      </c>
      <c r="AM1049" t="s">
        <v>1455</v>
      </c>
      <c r="AN1049">
        <v>241</v>
      </c>
      <c r="AO1049" t="s">
        <v>1455</v>
      </c>
      <c r="AS1049" t="s">
        <v>3250</v>
      </c>
      <c r="AT1049" t="s">
        <v>3250</v>
      </c>
      <c r="AU1049" t="s">
        <v>3250</v>
      </c>
      <c r="AV1049" t="s">
        <v>3250</v>
      </c>
      <c r="AW1049">
        <v>790</v>
      </c>
      <c r="AX1049" t="s">
        <v>2284</v>
      </c>
      <c r="AY1049" t="s">
        <v>3250</v>
      </c>
      <c r="AZ1049" t="s">
        <v>3250</v>
      </c>
      <c r="BA1049">
        <v>790</v>
      </c>
      <c r="BB1049" t="s">
        <v>3250</v>
      </c>
      <c r="BC1049" t="s">
        <v>3250</v>
      </c>
      <c r="BE1049" t="s">
        <v>3250</v>
      </c>
      <c r="BF1049" t="s">
        <v>3250</v>
      </c>
      <c r="BG1049" t="s">
        <v>2284</v>
      </c>
      <c r="BH1049" t="s">
        <v>3250</v>
      </c>
      <c r="BI1049" t="s">
        <v>3250</v>
      </c>
      <c r="BK1049" t="s">
        <v>3250</v>
      </c>
      <c r="BL1049" t="s">
        <v>3250</v>
      </c>
      <c r="BM1049" t="s">
        <v>3250</v>
      </c>
      <c r="BN1049" t="s">
        <v>3250</v>
      </c>
      <c r="BP1049">
        <v>1</v>
      </c>
      <c r="BQ1049">
        <v>13</v>
      </c>
      <c r="BR1049" t="s">
        <v>2371</v>
      </c>
      <c r="BS1049" t="s">
        <v>3252</v>
      </c>
      <c r="BV1049">
        <v>0</v>
      </c>
      <c r="BW1049">
        <v>0</v>
      </c>
      <c r="BX1049">
        <v>0</v>
      </c>
      <c r="BY1049">
        <v>0</v>
      </c>
      <c r="BZ1049">
        <v>0</v>
      </c>
      <c r="CA1049">
        <v>0</v>
      </c>
      <c r="CB1049">
        <v>0</v>
      </c>
      <c r="CC1049">
        <v>0</v>
      </c>
      <c r="CD1049">
        <v>0</v>
      </c>
      <c r="CE1049" t="s">
        <v>3108</v>
      </c>
      <c r="CF1049" t="s">
        <v>3108</v>
      </c>
      <c r="CG1049" t="s">
        <v>3108</v>
      </c>
      <c r="CH1049" t="s">
        <v>3108</v>
      </c>
    </row>
    <row r="1050" spans="1:86" x14ac:dyDescent="0.2">
      <c r="A1050" t="s">
        <v>4845</v>
      </c>
      <c r="B1050" t="s">
        <v>4845</v>
      </c>
      <c r="C1050">
        <v>41527</v>
      </c>
      <c r="D1050">
        <v>1371</v>
      </c>
      <c r="E1050" t="s">
        <v>4842</v>
      </c>
      <c r="F1050" t="s">
        <v>3249</v>
      </c>
      <c r="G1050" t="s">
        <v>3249</v>
      </c>
      <c r="H1050" t="s">
        <v>3250</v>
      </c>
      <c r="I1050" t="s">
        <v>3250</v>
      </c>
      <c r="J1050" t="s">
        <v>3250</v>
      </c>
      <c r="K1050" t="s">
        <v>3250</v>
      </c>
      <c r="L1050">
        <v>1200</v>
      </c>
      <c r="M1050" t="s">
        <v>2368</v>
      </c>
      <c r="N1050">
        <v>1202</v>
      </c>
      <c r="O1050" t="s">
        <v>2371</v>
      </c>
      <c r="P1050" t="s">
        <v>2805</v>
      </c>
      <c r="Q1050">
        <v>2080</v>
      </c>
      <c r="R1050" t="s">
        <v>423</v>
      </c>
      <c r="S1050" t="s">
        <v>427</v>
      </c>
      <c r="T1050" t="s">
        <v>3251</v>
      </c>
      <c r="U1050">
        <v>240</v>
      </c>
      <c r="V1050" t="s">
        <v>4251</v>
      </c>
      <c r="W1050">
        <v>240</v>
      </c>
      <c r="X1050" t="s">
        <v>1323</v>
      </c>
      <c r="Y1050" t="s">
        <v>3250</v>
      </c>
      <c r="Z1050" t="s">
        <v>3250</v>
      </c>
      <c r="AA1050" t="s">
        <v>3108</v>
      </c>
      <c r="AB1050" t="s">
        <v>3108</v>
      </c>
      <c r="AC1050" t="s">
        <v>3250</v>
      </c>
      <c r="AD1050" t="s">
        <v>3250</v>
      </c>
      <c r="AE1050" t="s">
        <v>3250</v>
      </c>
      <c r="AF1050" t="s">
        <v>3250</v>
      </c>
      <c r="AG1050">
        <v>770</v>
      </c>
      <c r="AH1050" t="s">
        <v>2282</v>
      </c>
      <c r="AI1050">
        <v>770</v>
      </c>
      <c r="AJ1050" t="s">
        <v>2282</v>
      </c>
      <c r="AL1050">
        <v>241</v>
      </c>
      <c r="AM1050" t="s">
        <v>1455</v>
      </c>
      <c r="AN1050">
        <v>241</v>
      </c>
      <c r="AO1050" t="s">
        <v>1455</v>
      </c>
      <c r="AS1050" t="s">
        <v>3250</v>
      </c>
      <c r="AT1050" t="s">
        <v>3250</v>
      </c>
      <c r="AU1050" t="s">
        <v>3250</v>
      </c>
      <c r="AV1050" t="s">
        <v>3250</v>
      </c>
      <c r="AW1050">
        <v>790</v>
      </c>
      <c r="AX1050" t="s">
        <v>2284</v>
      </c>
      <c r="AY1050" t="s">
        <v>3250</v>
      </c>
      <c r="AZ1050" t="s">
        <v>3250</v>
      </c>
      <c r="BA1050">
        <v>790</v>
      </c>
      <c r="BB1050" t="s">
        <v>3250</v>
      </c>
      <c r="BC1050" t="s">
        <v>3250</v>
      </c>
      <c r="BE1050" t="s">
        <v>3250</v>
      </c>
      <c r="BF1050" t="s">
        <v>3250</v>
      </c>
      <c r="BG1050" t="s">
        <v>2284</v>
      </c>
      <c r="BH1050" t="s">
        <v>3250</v>
      </c>
      <c r="BI1050" t="s">
        <v>3250</v>
      </c>
      <c r="BK1050" t="s">
        <v>3250</v>
      </c>
      <c r="BL1050" t="s">
        <v>3250</v>
      </c>
      <c r="BM1050" t="s">
        <v>3250</v>
      </c>
      <c r="BN1050" t="s">
        <v>3250</v>
      </c>
      <c r="BP1050">
        <v>1</v>
      </c>
      <c r="BQ1050">
        <v>13</v>
      </c>
      <c r="BR1050" t="s">
        <v>2371</v>
      </c>
      <c r="BS1050" t="s">
        <v>3252</v>
      </c>
      <c r="BV1050">
        <v>0</v>
      </c>
      <c r="BW1050">
        <v>0</v>
      </c>
      <c r="BX1050">
        <v>0</v>
      </c>
      <c r="BY1050">
        <v>0</v>
      </c>
      <c r="BZ1050">
        <v>0</v>
      </c>
      <c r="CA1050">
        <v>0</v>
      </c>
      <c r="CB1050">
        <v>0</v>
      </c>
      <c r="CC1050">
        <v>0</v>
      </c>
      <c r="CD1050">
        <v>0</v>
      </c>
      <c r="CE1050" t="s">
        <v>3108</v>
      </c>
      <c r="CF1050" t="s">
        <v>3108</v>
      </c>
      <c r="CG1050" t="s">
        <v>3108</v>
      </c>
      <c r="CH1050" t="s">
        <v>3108</v>
      </c>
    </row>
    <row r="1051" spans="1:86" x14ac:dyDescent="0.2">
      <c r="A1051" t="s">
        <v>4846</v>
      </c>
      <c r="B1051" t="s">
        <v>4846</v>
      </c>
      <c r="C1051">
        <v>41528</v>
      </c>
      <c r="D1051">
        <v>1372</v>
      </c>
      <c r="E1051" t="s">
        <v>4838</v>
      </c>
      <c r="F1051" t="s">
        <v>3249</v>
      </c>
      <c r="G1051" t="s">
        <v>3249</v>
      </c>
      <c r="H1051" t="s">
        <v>3250</v>
      </c>
      <c r="I1051" t="s">
        <v>3250</v>
      </c>
      <c r="J1051" t="s">
        <v>3250</v>
      </c>
      <c r="K1051" t="s">
        <v>3250</v>
      </c>
      <c r="L1051">
        <v>1200</v>
      </c>
      <c r="M1051" t="s">
        <v>2368</v>
      </c>
      <c r="N1051">
        <v>1202</v>
      </c>
      <c r="O1051" t="s">
        <v>2371</v>
      </c>
      <c r="P1051" t="s">
        <v>3108</v>
      </c>
      <c r="Q1051">
        <v>2080</v>
      </c>
      <c r="R1051" t="s">
        <v>423</v>
      </c>
      <c r="S1051" t="s">
        <v>427</v>
      </c>
      <c r="T1051" t="s">
        <v>3251</v>
      </c>
      <c r="U1051">
        <v>240</v>
      </c>
      <c r="V1051" t="s">
        <v>4251</v>
      </c>
      <c r="W1051">
        <v>240</v>
      </c>
      <c r="X1051" t="s">
        <v>1323</v>
      </c>
      <c r="Y1051" t="s">
        <v>3250</v>
      </c>
      <c r="Z1051" t="s">
        <v>3250</v>
      </c>
      <c r="AA1051" t="s">
        <v>3108</v>
      </c>
      <c r="AB1051" t="s">
        <v>3108</v>
      </c>
      <c r="AC1051" t="s">
        <v>3250</v>
      </c>
      <c r="AD1051" t="s">
        <v>3250</v>
      </c>
      <c r="AE1051" t="s">
        <v>3250</v>
      </c>
      <c r="AF1051" t="s">
        <v>3250</v>
      </c>
      <c r="AG1051">
        <v>770</v>
      </c>
      <c r="AH1051" t="s">
        <v>2282</v>
      </c>
      <c r="AI1051">
        <v>770</v>
      </c>
      <c r="AJ1051" t="s">
        <v>2282</v>
      </c>
      <c r="AL1051">
        <v>243</v>
      </c>
      <c r="AM1051" t="s">
        <v>700</v>
      </c>
      <c r="AN1051">
        <v>243</v>
      </c>
      <c r="AO1051" t="s">
        <v>700</v>
      </c>
      <c r="AS1051" t="s">
        <v>3250</v>
      </c>
      <c r="AT1051" t="s">
        <v>3250</v>
      </c>
      <c r="AU1051" t="s">
        <v>3250</v>
      </c>
      <c r="AV1051" t="s">
        <v>3250</v>
      </c>
      <c r="AW1051">
        <v>880</v>
      </c>
      <c r="AX1051" t="s">
        <v>288</v>
      </c>
      <c r="AY1051" t="s">
        <v>3250</v>
      </c>
      <c r="AZ1051" t="s">
        <v>3250</v>
      </c>
      <c r="BA1051">
        <v>880</v>
      </c>
      <c r="BB1051" t="s">
        <v>3250</v>
      </c>
      <c r="BC1051" t="s">
        <v>3250</v>
      </c>
      <c r="BE1051" t="s">
        <v>3250</v>
      </c>
      <c r="BF1051" t="s">
        <v>3250</v>
      </c>
      <c r="BG1051" t="s">
        <v>288</v>
      </c>
      <c r="BH1051" t="s">
        <v>3250</v>
      </c>
      <c r="BI1051" t="s">
        <v>3250</v>
      </c>
      <c r="BK1051" t="s">
        <v>3250</v>
      </c>
      <c r="BL1051" t="s">
        <v>3250</v>
      </c>
      <c r="BM1051" t="s">
        <v>3250</v>
      </c>
      <c r="BN1051" t="s">
        <v>3250</v>
      </c>
      <c r="BP1051">
        <v>1</v>
      </c>
      <c r="BQ1051">
        <v>13</v>
      </c>
      <c r="BR1051" t="s">
        <v>2371</v>
      </c>
      <c r="BS1051" t="s">
        <v>3252</v>
      </c>
      <c r="BV1051">
        <v>0</v>
      </c>
      <c r="BW1051">
        <v>0</v>
      </c>
      <c r="BX1051">
        <v>0</v>
      </c>
      <c r="BY1051">
        <v>0</v>
      </c>
      <c r="BZ1051">
        <v>0</v>
      </c>
      <c r="CA1051">
        <v>0</v>
      </c>
      <c r="CB1051">
        <v>0</v>
      </c>
      <c r="CC1051">
        <v>0</v>
      </c>
      <c r="CD1051">
        <v>0</v>
      </c>
      <c r="CE1051" t="s">
        <v>3108</v>
      </c>
      <c r="CF1051" t="s">
        <v>3108</v>
      </c>
      <c r="CG1051" t="s">
        <v>3108</v>
      </c>
      <c r="CH1051" t="s">
        <v>3108</v>
      </c>
    </row>
    <row r="1052" spans="1:86" x14ac:dyDescent="0.2">
      <c r="A1052" t="s">
        <v>4847</v>
      </c>
      <c r="B1052" t="s">
        <v>4847</v>
      </c>
      <c r="C1052">
        <v>41529</v>
      </c>
      <c r="D1052">
        <v>1373</v>
      </c>
      <c r="E1052" t="s">
        <v>4840</v>
      </c>
      <c r="F1052" t="s">
        <v>3249</v>
      </c>
      <c r="G1052" t="s">
        <v>3249</v>
      </c>
      <c r="H1052" t="s">
        <v>3250</v>
      </c>
      <c r="I1052" t="s">
        <v>3250</v>
      </c>
      <c r="J1052" t="s">
        <v>3250</v>
      </c>
      <c r="K1052" t="s">
        <v>3250</v>
      </c>
      <c r="L1052">
        <v>1200</v>
      </c>
      <c r="M1052" t="s">
        <v>2368</v>
      </c>
      <c r="N1052">
        <v>1202</v>
      </c>
      <c r="O1052" t="s">
        <v>2371</v>
      </c>
      <c r="P1052" t="s">
        <v>3108</v>
      </c>
      <c r="Q1052">
        <v>2080</v>
      </c>
      <c r="R1052" t="s">
        <v>423</v>
      </c>
      <c r="S1052" t="s">
        <v>427</v>
      </c>
      <c r="T1052" t="s">
        <v>3251</v>
      </c>
      <c r="U1052">
        <v>240</v>
      </c>
      <c r="V1052" t="s">
        <v>4251</v>
      </c>
      <c r="W1052">
        <v>240</v>
      </c>
      <c r="X1052" t="s">
        <v>1323</v>
      </c>
      <c r="Y1052" t="s">
        <v>3250</v>
      </c>
      <c r="Z1052" t="s">
        <v>3250</v>
      </c>
      <c r="AA1052" t="s">
        <v>3108</v>
      </c>
      <c r="AB1052" t="s">
        <v>3108</v>
      </c>
      <c r="AC1052" t="s">
        <v>3250</v>
      </c>
      <c r="AD1052" t="s">
        <v>3250</v>
      </c>
      <c r="AE1052" t="s">
        <v>3250</v>
      </c>
      <c r="AF1052" t="s">
        <v>3250</v>
      </c>
      <c r="AG1052">
        <v>770</v>
      </c>
      <c r="AH1052" t="s">
        <v>2282</v>
      </c>
      <c r="AI1052">
        <v>770</v>
      </c>
      <c r="AJ1052" t="s">
        <v>2282</v>
      </c>
      <c r="AL1052">
        <v>241</v>
      </c>
      <c r="AM1052" t="s">
        <v>1455</v>
      </c>
      <c r="AN1052">
        <v>241</v>
      </c>
      <c r="AO1052" t="s">
        <v>1455</v>
      </c>
      <c r="AS1052" t="s">
        <v>3250</v>
      </c>
      <c r="AT1052" t="s">
        <v>3250</v>
      </c>
      <c r="AU1052" t="s">
        <v>3250</v>
      </c>
      <c r="AV1052" t="s">
        <v>3250</v>
      </c>
      <c r="AW1052">
        <v>880</v>
      </c>
      <c r="AX1052" t="s">
        <v>288</v>
      </c>
      <c r="AY1052" t="s">
        <v>3250</v>
      </c>
      <c r="AZ1052" t="s">
        <v>3250</v>
      </c>
      <c r="BA1052">
        <v>880</v>
      </c>
      <c r="BB1052" t="s">
        <v>3250</v>
      </c>
      <c r="BC1052" t="s">
        <v>3250</v>
      </c>
      <c r="BE1052" t="s">
        <v>3250</v>
      </c>
      <c r="BF1052" t="s">
        <v>3250</v>
      </c>
      <c r="BG1052" t="s">
        <v>288</v>
      </c>
      <c r="BH1052" t="s">
        <v>3250</v>
      </c>
      <c r="BI1052" t="s">
        <v>3250</v>
      </c>
      <c r="BK1052" t="s">
        <v>3250</v>
      </c>
      <c r="BL1052" t="s">
        <v>3250</v>
      </c>
      <c r="BM1052" t="s">
        <v>3250</v>
      </c>
      <c r="BN1052" t="s">
        <v>3250</v>
      </c>
      <c r="BP1052">
        <v>1</v>
      </c>
      <c r="BQ1052">
        <v>13</v>
      </c>
      <c r="BR1052" t="s">
        <v>2371</v>
      </c>
      <c r="BS1052" t="s">
        <v>3252</v>
      </c>
      <c r="BV1052">
        <v>0</v>
      </c>
      <c r="BW1052">
        <v>0</v>
      </c>
      <c r="BX1052">
        <v>0</v>
      </c>
      <c r="BY1052">
        <v>0</v>
      </c>
      <c r="BZ1052">
        <v>0</v>
      </c>
      <c r="CA1052">
        <v>0</v>
      </c>
      <c r="CB1052">
        <v>0</v>
      </c>
      <c r="CC1052">
        <v>0</v>
      </c>
      <c r="CD1052">
        <v>0</v>
      </c>
      <c r="CE1052" t="s">
        <v>3108</v>
      </c>
      <c r="CF1052" t="s">
        <v>3108</v>
      </c>
      <c r="CG1052" t="s">
        <v>3108</v>
      </c>
      <c r="CH1052" t="s">
        <v>3108</v>
      </c>
    </row>
    <row r="1053" spans="1:86" x14ac:dyDescent="0.2">
      <c r="A1053" t="s">
        <v>4848</v>
      </c>
      <c r="B1053" t="s">
        <v>4848</v>
      </c>
      <c r="C1053">
        <v>41530</v>
      </c>
      <c r="D1053">
        <v>1374</v>
      </c>
      <c r="E1053" t="s">
        <v>4842</v>
      </c>
      <c r="F1053" t="s">
        <v>3249</v>
      </c>
      <c r="G1053" t="s">
        <v>3249</v>
      </c>
      <c r="H1053" t="s">
        <v>3250</v>
      </c>
      <c r="I1053" t="s">
        <v>3250</v>
      </c>
      <c r="J1053" t="s">
        <v>3250</v>
      </c>
      <c r="K1053" t="s">
        <v>3250</v>
      </c>
      <c r="L1053">
        <v>1200</v>
      </c>
      <c r="M1053" t="s">
        <v>2368</v>
      </c>
      <c r="N1053">
        <v>1202</v>
      </c>
      <c r="O1053" t="s">
        <v>2371</v>
      </c>
      <c r="P1053" t="s">
        <v>2805</v>
      </c>
      <c r="Q1053">
        <v>2080</v>
      </c>
      <c r="R1053" t="s">
        <v>423</v>
      </c>
      <c r="S1053" t="s">
        <v>427</v>
      </c>
      <c r="T1053" t="s">
        <v>3251</v>
      </c>
      <c r="U1053">
        <v>240</v>
      </c>
      <c r="V1053" t="s">
        <v>4251</v>
      </c>
      <c r="W1053">
        <v>240</v>
      </c>
      <c r="X1053" t="s">
        <v>1323</v>
      </c>
      <c r="Y1053" t="s">
        <v>3250</v>
      </c>
      <c r="Z1053" t="s">
        <v>3250</v>
      </c>
      <c r="AA1053" t="s">
        <v>3108</v>
      </c>
      <c r="AB1053" t="s">
        <v>3108</v>
      </c>
      <c r="AC1053" t="s">
        <v>3250</v>
      </c>
      <c r="AD1053" t="s">
        <v>3250</v>
      </c>
      <c r="AE1053" t="s">
        <v>3250</v>
      </c>
      <c r="AF1053" t="s">
        <v>3250</v>
      </c>
      <c r="AG1053">
        <v>770</v>
      </c>
      <c r="AH1053" t="s">
        <v>2282</v>
      </c>
      <c r="AI1053">
        <v>770</v>
      </c>
      <c r="AJ1053" t="s">
        <v>2282</v>
      </c>
      <c r="AL1053">
        <v>241</v>
      </c>
      <c r="AM1053" t="s">
        <v>1455</v>
      </c>
      <c r="AN1053">
        <v>241</v>
      </c>
      <c r="AO1053" t="s">
        <v>1455</v>
      </c>
      <c r="AS1053" t="s">
        <v>3250</v>
      </c>
      <c r="AT1053" t="s">
        <v>3250</v>
      </c>
      <c r="AU1053" t="s">
        <v>3250</v>
      </c>
      <c r="AV1053" t="s">
        <v>3250</v>
      </c>
      <c r="AW1053">
        <v>880</v>
      </c>
      <c r="AX1053" t="s">
        <v>288</v>
      </c>
      <c r="AY1053" t="s">
        <v>3250</v>
      </c>
      <c r="AZ1053" t="s">
        <v>3250</v>
      </c>
      <c r="BA1053">
        <v>880</v>
      </c>
      <c r="BB1053" t="s">
        <v>3250</v>
      </c>
      <c r="BC1053" t="s">
        <v>3250</v>
      </c>
      <c r="BE1053" t="s">
        <v>3250</v>
      </c>
      <c r="BF1053" t="s">
        <v>3250</v>
      </c>
      <c r="BG1053" t="s">
        <v>288</v>
      </c>
      <c r="BH1053" t="s">
        <v>3250</v>
      </c>
      <c r="BI1053" t="s">
        <v>3250</v>
      </c>
      <c r="BK1053" t="s">
        <v>3250</v>
      </c>
      <c r="BL1053" t="s">
        <v>3250</v>
      </c>
      <c r="BM1053" t="s">
        <v>3250</v>
      </c>
      <c r="BN1053" t="s">
        <v>3250</v>
      </c>
      <c r="BP1053">
        <v>1</v>
      </c>
      <c r="BQ1053">
        <v>13</v>
      </c>
      <c r="BR1053" t="s">
        <v>2371</v>
      </c>
      <c r="BS1053" t="s">
        <v>3252</v>
      </c>
      <c r="BV1053">
        <v>0</v>
      </c>
      <c r="BW1053">
        <v>0</v>
      </c>
      <c r="BX1053">
        <v>0</v>
      </c>
      <c r="BY1053">
        <v>0</v>
      </c>
      <c r="BZ1053">
        <v>0</v>
      </c>
      <c r="CA1053">
        <v>0</v>
      </c>
      <c r="CB1053">
        <v>0</v>
      </c>
      <c r="CC1053">
        <v>0</v>
      </c>
      <c r="CD1053">
        <v>0</v>
      </c>
      <c r="CE1053" t="s">
        <v>3108</v>
      </c>
      <c r="CF1053" t="s">
        <v>3108</v>
      </c>
      <c r="CG1053" t="s">
        <v>3108</v>
      </c>
      <c r="CH1053" t="s">
        <v>3108</v>
      </c>
    </row>
    <row r="1054" spans="1:86" x14ac:dyDescent="0.2">
      <c r="A1054" t="s">
        <v>4849</v>
      </c>
      <c r="B1054" t="s">
        <v>4849</v>
      </c>
      <c r="C1054">
        <v>41531</v>
      </c>
      <c r="D1054">
        <v>1375</v>
      </c>
      <c r="E1054" t="s">
        <v>4838</v>
      </c>
      <c r="F1054" t="s">
        <v>3249</v>
      </c>
      <c r="G1054" t="s">
        <v>3249</v>
      </c>
      <c r="H1054" t="s">
        <v>3250</v>
      </c>
      <c r="I1054" t="s">
        <v>3250</v>
      </c>
      <c r="J1054" t="s">
        <v>3250</v>
      </c>
      <c r="K1054" t="s">
        <v>3250</v>
      </c>
      <c r="L1054">
        <v>1200</v>
      </c>
      <c r="M1054" t="s">
        <v>2368</v>
      </c>
      <c r="N1054">
        <v>1202</v>
      </c>
      <c r="O1054" t="s">
        <v>2371</v>
      </c>
      <c r="P1054" t="s">
        <v>3108</v>
      </c>
      <c r="Q1054">
        <v>2080</v>
      </c>
      <c r="R1054" t="s">
        <v>423</v>
      </c>
      <c r="S1054" t="s">
        <v>427</v>
      </c>
      <c r="T1054" t="s">
        <v>3251</v>
      </c>
      <c r="U1054">
        <v>240</v>
      </c>
      <c r="V1054" t="s">
        <v>4251</v>
      </c>
      <c r="W1054">
        <v>240</v>
      </c>
      <c r="X1054" t="s">
        <v>1323</v>
      </c>
      <c r="Y1054" t="s">
        <v>3250</v>
      </c>
      <c r="Z1054" t="s">
        <v>3250</v>
      </c>
      <c r="AA1054" t="s">
        <v>3108</v>
      </c>
      <c r="AB1054" t="s">
        <v>3108</v>
      </c>
      <c r="AC1054" t="s">
        <v>3250</v>
      </c>
      <c r="AD1054" t="s">
        <v>3250</v>
      </c>
      <c r="AE1054" t="s">
        <v>3250</v>
      </c>
      <c r="AF1054" t="s">
        <v>3250</v>
      </c>
      <c r="AG1054">
        <v>770</v>
      </c>
      <c r="AH1054" t="s">
        <v>2282</v>
      </c>
      <c r="AI1054">
        <v>770</v>
      </c>
      <c r="AJ1054" t="s">
        <v>2282</v>
      </c>
      <c r="AL1054">
        <v>243</v>
      </c>
      <c r="AM1054" t="s">
        <v>700</v>
      </c>
      <c r="AN1054">
        <v>243</v>
      </c>
      <c r="AO1054" t="s">
        <v>700</v>
      </c>
      <c r="AS1054" t="s">
        <v>3250</v>
      </c>
      <c r="AT1054" t="s">
        <v>3250</v>
      </c>
      <c r="AU1054" t="s">
        <v>3250</v>
      </c>
      <c r="AV1054" t="s">
        <v>3250</v>
      </c>
      <c r="AW1054">
        <v>1030</v>
      </c>
      <c r="AX1054" t="s">
        <v>2303</v>
      </c>
      <c r="AY1054" t="s">
        <v>3250</v>
      </c>
      <c r="AZ1054" t="s">
        <v>3250</v>
      </c>
      <c r="BA1054">
        <v>1030</v>
      </c>
      <c r="BB1054" t="s">
        <v>3250</v>
      </c>
      <c r="BC1054" t="s">
        <v>3250</v>
      </c>
      <c r="BE1054" t="s">
        <v>3250</v>
      </c>
      <c r="BF1054" t="s">
        <v>3250</v>
      </c>
      <c r="BG1054" t="s">
        <v>2303</v>
      </c>
      <c r="BH1054" t="s">
        <v>3250</v>
      </c>
      <c r="BI1054" t="s">
        <v>3250</v>
      </c>
      <c r="BK1054" t="s">
        <v>3250</v>
      </c>
      <c r="BL1054" t="s">
        <v>3250</v>
      </c>
      <c r="BM1054" t="s">
        <v>3250</v>
      </c>
      <c r="BN1054" t="s">
        <v>3250</v>
      </c>
      <c r="BP1054">
        <v>1</v>
      </c>
      <c r="BQ1054">
        <v>13</v>
      </c>
      <c r="BR1054" t="s">
        <v>2371</v>
      </c>
      <c r="BS1054" t="s">
        <v>3252</v>
      </c>
      <c r="BV1054">
        <v>0</v>
      </c>
      <c r="BW1054">
        <v>0</v>
      </c>
      <c r="BX1054">
        <v>0</v>
      </c>
      <c r="BY1054">
        <v>0</v>
      </c>
      <c r="BZ1054">
        <v>0</v>
      </c>
      <c r="CA1054">
        <v>0</v>
      </c>
      <c r="CB1054">
        <v>0</v>
      </c>
      <c r="CC1054">
        <v>0</v>
      </c>
      <c r="CD1054">
        <v>0</v>
      </c>
      <c r="CE1054" t="s">
        <v>3108</v>
      </c>
      <c r="CF1054" t="s">
        <v>3108</v>
      </c>
      <c r="CG1054" t="s">
        <v>3108</v>
      </c>
      <c r="CH1054" t="s">
        <v>3108</v>
      </c>
    </row>
    <row r="1055" spans="1:86" x14ac:dyDescent="0.2">
      <c r="A1055" t="s">
        <v>4850</v>
      </c>
      <c r="B1055" t="s">
        <v>4850</v>
      </c>
      <c r="C1055">
        <v>41532</v>
      </c>
      <c r="D1055">
        <v>1376</v>
      </c>
      <c r="E1055" t="s">
        <v>4840</v>
      </c>
      <c r="F1055" t="s">
        <v>3249</v>
      </c>
      <c r="G1055" t="s">
        <v>3249</v>
      </c>
      <c r="H1055" t="s">
        <v>3250</v>
      </c>
      <c r="I1055" t="s">
        <v>3250</v>
      </c>
      <c r="J1055" t="s">
        <v>3250</v>
      </c>
      <c r="K1055" t="s">
        <v>3250</v>
      </c>
      <c r="L1055">
        <v>1200</v>
      </c>
      <c r="M1055" t="s">
        <v>2368</v>
      </c>
      <c r="N1055">
        <v>1202</v>
      </c>
      <c r="O1055" t="s">
        <v>2371</v>
      </c>
      <c r="P1055" t="s">
        <v>3108</v>
      </c>
      <c r="Q1055">
        <v>2080</v>
      </c>
      <c r="R1055" t="s">
        <v>423</v>
      </c>
      <c r="S1055" t="s">
        <v>427</v>
      </c>
      <c r="T1055" t="s">
        <v>3251</v>
      </c>
      <c r="U1055">
        <v>240</v>
      </c>
      <c r="V1055" t="s">
        <v>4251</v>
      </c>
      <c r="W1055">
        <v>240</v>
      </c>
      <c r="X1055" t="s">
        <v>1323</v>
      </c>
      <c r="Y1055" t="s">
        <v>3250</v>
      </c>
      <c r="Z1055" t="s">
        <v>3250</v>
      </c>
      <c r="AA1055" t="s">
        <v>3108</v>
      </c>
      <c r="AB1055" t="s">
        <v>3108</v>
      </c>
      <c r="AC1055" t="s">
        <v>3250</v>
      </c>
      <c r="AD1055" t="s">
        <v>3250</v>
      </c>
      <c r="AE1055" t="s">
        <v>3250</v>
      </c>
      <c r="AF1055" t="s">
        <v>3250</v>
      </c>
      <c r="AG1055">
        <v>770</v>
      </c>
      <c r="AH1055" t="s">
        <v>2282</v>
      </c>
      <c r="AI1055">
        <v>770</v>
      </c>
      <c r="AJ1055" t="s">
        <v>2282</v>
      </c>
      <c r="AL1055">
        <v>241</v>
      </c>
      <c r="AM1055" t="s">
        <v>1455</v>
      </c>
      <c r="AN1055">
        <v>241</v>
      </c>
      <c r="AO1055" t="s">
        <v>1455</v>
      </c>
      <c r="AS1055" t="s">
        <v>3250</v>
      </c>
      <c r="AT1055" t="s">
        <v>3250</v>
      </c>
      <c r="AU1055" t="s">
        <v>3250</v>
      </c>
      <c r="AV1055" t="s">
        <v>3250</v>
      </c>
      <c r="AW1055">
        <v>1030</v>
      </c>
      <c r="AX1055" t="s">
        <v>2303</v>
      </c>
      <c r="AY1055" t="s">
        <v>3250</v>
      </c>
      <c r="AZ1055" t="s">
        <v>3250</v>
      </c>
      <c r="BA1055">
        <v>1030</v>
      </c>
      <c r="BB1055" t="s">
        <v>3250</v>
      </c>
      <c r="BC1055" t="s">
        <v>3250</v>
      </c>
      <c r="BE1055" t="s">
        <v>3250</v>
      </c>
      <c r="BF1055" t="s">
        <v>3250</v>
      </c>
      <c r="BG1055" t="s">
        <v>2303</v>
      </c>
      <c r="BH1055" t="s">
        <v>3250</v>
      </c>
      <c r="BI1055" t="s">
        <v>3250</v>
      </c>
      <c r="BK1055" t="s">
        <v>3250</v>
      </c>
      <c r="BL1055" t="s">
        <v>3250</v>
      </c>
      <c r="BM1055" t="s">
        <v>3250</v>
      </c>
      <c r="BN1055" t="s">
        <v>3250</v>
      </c>
      <c r="BP1055">
        <v>1</v>
      </c>
      <c r="BQ1055">
        <v>13</v>
      </c>
      <c r="BR1055" t="s">
        <v>2371</v>
      </c>
      <c r="BS1055" t="s">
        <v>3252</v>
      </c>
      <c r="BV1055">
        <v>-2457239</v>
      </c>
      <c r="BW1055">
        <v>-2457239</v>
      </c>
      <c r="BX1055">
        <v>-1952528</v>
      </c>
      <c r="BY1055">
        <v>0</v>
      </c>
      <c r="BZ1055">
        <v>0</v>
      </c>
      <c r="CA1055">
        <v>0</v>
      </c>
      <c r="CB1055">
        <v>0</v>
      </c>
      <c r="CC1055">
        <v>0</v>
      </c>
      <c r="CD1055">
        <v>-2457239</v>
      </c>
      <c r="CE1055" t="s">
        <v>3108</v>
      </c>
      <c r="CF1055" t="s">
        <v>3108</v>
      </c>
      <c r="CG1055" t="s">
        <v>3108</v>
      </c>
      <c r="CH1055" t="s">
        <v>3108</v>
      </c>
    </row>
    <row r="1056" spans="1:86" x14ac:dyDescent="0.2">
      <c r="A1056" t="s">
        <v>4851</v>
      </c>
      <c r="B1056" t="s">
        <v>4851</v>
      </c>
      <c r="C1056">
        <v>41533</v>
      </c>
      <c r="D1056">
        <v>1377</v>
      </c>
      <c r="E1056" t="s">
        <v>4842</v>
      </c>
      <c r="F1056" t="s">
        <v>3249</v>
      </c>
      <c r="G1056" t="s">
        <v>3249</v>
      </c>
      <c r="H1056" t="s">
        <v>3250</v>
      </c>
      <c r="I1056" t="s">
        <v>3250</v>
      </c>
      <c r="J1056" t="s">
        <v>3250</v>
      </c>
      <c r="K1056" t="s">
        <v>3250</v>
      </c>
      <c r="L1056">
        <v>1200</v>
      </c>
      <c r="M1056" t="s">
        <v>2368</v>
      </c>
      <c r="N1056">
        <v>1202</v>
      </c>
      <c r="O1056" t="s">
        <v>2371</v>
      </c>
      <c r="P1056" t="s">
        <v>2805</v>
      </c>
      <c r="Q1056">
        <v>2080</v>
      </c>
      <c r="R1056" t="s">
        <v>423</v>
      </c>
      <c r="S1056" t="s">
        <v>427</v>
      </c>
      <c r="T1056" t="s">
        <v>3251</v>
      </c>
      <c r="U1056">
        <v>240</v>
      </c>
      <c r="V1056" t="s">
        <v>4251</v>
      </c>
      <c r="W1056">
        <v>240</v>
      </c>
      <c r="X1056" t="s">
        <v>1323</v>
      </c>
      <c r="Y1056" t="s">
        <v>3250</v>
      </c>
      <c r="Z1056" t="s">
        <v>3250</v>
      </c>
      <c r="AA1056" t="s">
        <v>3108</v>
      </c>
      <c r="AB1056" t="s">
        <v>3108</v>
      </c>
      <c r="AC1056" t="s">
        <v>3250</v>
      </c>
      <c r="AD1056" t="s">
        <v>3250</v>
      </c>
      <c r="AE1056" t="s">
        <v>3250</v>
      </c>
      <c r="AF1056" t="s">
        <v>3250</v>
      </c>
      <c r="AG1056">
        <v>770</v>
      </c>
      <c r="AH1056" t="s">
        <v>2282</v>
      </c>
      <c r="AI1056">
        <v>770</v>
      </c>
      <c r="AJ1056" t="s">
        <v>2282</v>
      </c>
      <c r="AL1056">
        <v>241</v>
      </c>
      <c r="AM1056" t="s">
        <v>1455</v>
      </c>
      <c r="AN1056">
        <v>241</v>
      </c>
      <c r="AO1056" t="s">
        <v>1455</v>
      </c>
      <c r="AS1056" t="s">
        <v>3250</v>
      </c>
      <c r="AT1056" t="s">
        <v>3250</v>
      </c>
      <c r="AU1056" t="s">
        <v>3250</v>
      </c>
      <c r="AV1056" t="s">
        <v>3250</v>
      </c>
      <c r="AW1056">
        <v>1030</v>
      </c>
      <c r="AX1056" t="s">
        <v>2303</v>
      </c>
      <c r="AY1056" t="s">
        <v>3250</v>
      </c>
      <c r="AZ1056" t="s">
        <v>3250</v>
      </c>
      <c r="BA1056">
        <v>1030</v>
      </c>
      <c r="BB1056" t="s">
        <v>3250</v>
      </c>
      <c r="BC1056" t="s">
        <v>3250</v>
      </c>
      <c r="BE1056" t="s">
        <v>3250</v>
      </c>
      <c r="BF1056" t="s">
        <v>3250</v>
      </c>
      <c r="BG1056" t="s">
        <v>2303</v>
      </c>
      <c r="BH1056" t="s">
        <v>3250</v>
      </c>
      <c r="BI1056" t="s">
        <v>3250</v>
      </c>
      <c r="BK1056" t="s">
        <v>3250</v>
      </c>
      <c r="BL1056" t="s">
        <v>3250</v>
      </c>
      <c r="BM1056" t="s">
        <v>3250</v>
      </c>
      <c r="BN1056" t="s">
        <v>3250</v>
      </c>
      <c r="BP1056">
        <v>1</v>
      </c>
      <c r="BQ1056">
        <v>13</v>
      </c>
      <c r="BR1056" t="s">
        <v>2371</v>
      </c>
      <c r="BS1056" t="s">
        <v>3252</v>
      </c>
      <c r="BV1056">
        <v>0</v>
      </c>
      <c r="BW1056">
        <v>0</v>
      </c>
      <c r="BX1056">
        <v>0</v>
      </c>
      <c r="BY1056">
        <v>0</v>
      </c>
      <c r="BZ1056">
        <v>0</v>
      </c>
      <c r="CA1056">
        <v>0</v>
      </c>
      <c r="CB1056">
        <v>0</v>
      </c>
      <c r="CC1056">
        <v>0</v>
      </c>
      <c r="CD1056">
        <v>0</v>
      </c>
      <c r="CE1056" t="s">
        <v>3108</v>
      </c>
      <c r="CF1056" t="s">
        <v>3108</v>
      </c>
      <c r="CG1056" t="s">
        <v>3108</v>
      </c>
      <c r="CH1056" t="s">
        <v>3108</v>
      </c>
    </row>
    <row r="1057" spans="1:86" x14ac:dyDescent="0.2">
      <c r="A1057" t="s">
        <v>4852</v>
      </c>
      <c r="B1057" t="s">
        <v>4852</v>
      </c>
      <c r="C1057">
        <v>41534</v>
      </c>
      <c r="D1057">
        <v>1378</v>
      </c>
      <c r="E1057" t="s">
        <v>4853</v>
      </c>
      <c r="F1057" t="s">
        <v>3249</v>
      </c>
      <c r="G1057" t="s">
        <v>3249</v>
      </c>
      <c r="H1057" t="s">
        <v>3250</v>
      </c>
      <c r="I1057" t="s">
        <v>3250</v>
      </c>
      <c r="J1057" t="s">
        <v>3250</v>
      </c>
      <c r="K1057" t="s">
        <v>3250</v>
      </c>
      <c r="L1057">
        <v>1200</v>
      </c>
      <c r="M1057" t="s">
        <v>2368</v>
      </c>
      <c r="N1057">
        <v>1202</v>
      </c>
      <c r="O1057" t="s">
        <v>2371</v>
      </c>
      <c r="P1057" t="s">
        <v>3108</v>
      </c>
      <c r="Q1057">
        <v>2080</v>
      </c>
      <c r="R1057" t="s">
        <v>423</v>
      </c>
      <c r="S1057" t="s">
        <v>427</v>
      </c>
      <c r="T1057" t="s">
        <v>3251</v>
      </c>
      <c r="U1057">
        <v>240</v>
      </c>
      <c r="V1057" t="s">
        <v>4251</v>
      </c>
      <c r="W1057">
        <v>240</v>
      </c>
      <c r="X1057" t="s">
        <v>1323</v>
      </c>
      <c r="Y1057" t="s">
        <v>3250</v>
      </c>
      <c r="Z1057" t="s">
        <v>3250</v>
      </c>
      <c r="AA1057" t="s">
        <v>3108</v>
      </c>
      <c r="AB1057" t="s">
        <v>3108</v>
      </c>
      <c r="AC1057" t="s">
        <v>3250</v>
      </c>
      <c r="AD1057" t="s">
        <v>3250</v>
      </c>
      <c r="AE1057" t="s">
        <v>3250</v>
      </c>
      <c r="AF1057" t="s">
        <v>3250</v>
      </c>
      <c r="AG1057">
        <v>1530</v>
      </c>
      <c r="AH1057" t="s">
        <v>2335</v>
      </c>
      <c r="AI1057">
        <v>1530</v>
      </c>
      <c r="AJ1057" t="s">
        <v>2335</v>
      </c>
      <c r="AL1057">
        <v>243</v>
      </c>
      <c r="AM1057" t="s">
        <v>700</v>
      </c>
      <c r="AN1057">
        <v>243</v>
      </c>
      <c r="AO1057" t="s">
        <v>700</v>
      </c>
      <c r="AS1057" t="s">
        <v>3250</v>
      </c>
      <c r="AT1057" t="s">
        <v>3250</v>
      </c>
      <c r="AU1057" t="s">
        <v>3250</v>
      </c>
      <c r="AV1057" t="s">
        <v>3250</v>
      </c>
      <c r="AW1057">
        <v>1530</v>
      </c>
      <c r="AX1057" t="s">
        <v>2335</v>
      </c>
      <c r="AY1057" t="s">
        <v>3250</v>
      </c>
      <c r="AZ1057" t="s">
        <v>3250</v>
      </c>
      <c r="BA1057">
        <v>1530</v>
      </c>
      <c r="BB1057" t="s">
        <v>3250</v>
      </c>
      <c r="BC1057" t="s">
        <v>3250</v>
      </c>
      <c r="BE1057" t="s">
        <v>3250</v>
      </c>
      <c r="BF1057" t="s">
        <v>3250</v>
      </c>
      <c r="BG1057" t="s">
        <v>2335</v>
      </c>
      <c r="BH1057" t="s">
        <v>3250</v>
      </c>
      <c r="BI1057" t="s">
        <v>3250</v>
      </c>
      <c r="BK1057" t="s">
        <v>3250</v>
      </c>
      <c r="BL1057" t="s">
        <v>3250</v>
      </c>
      <c r="BM1057" t="s">
        <v>3250</v>
      </c>
      <c r="BN1057" t="s">
        <v>3250</v>
      </c>
      <c r="BP1057">
        <v>1</v>
      </c>
      <c r="BQ1057">
        <v>13</v>
      </c>
      <c r="BR1057" t="s">
        <v>2371</v>
      </c>
      <c r="BS1057" t="s">
        <v>3252</v>
      </c>
      <c r="BV1057">
        <v>-2520444</v>
      </c>
      <c r="BW1057">
        <v>478982</v>
      </c>
      <c r="BX1057">
        <v>0</v>
      </c>
      <c r="BY1057">
        <v>0</v>
      </c>
      <c r="BZ1057">
        <v>0</v>
      </c>
      <c r="CA1057">
        <v>-963076</v>
      </c>
      <c r="CB1057">
        <v>-1019619</v>
      </c>
      <c r="CC1057">
        <v>-1121580</v>
      </c>
      <c r="CD1057">
        <v>-3157559</v>
      </c>
      <c r="CE1057" t="s">
        <v>3108</v>
      </c>
      <c r="CF1057" t="s">
        <v>3108</v>
      </c>
      <c r="CG1057" t="s">
        <v>3108</v>
      </c>
      <c r="CH1057" t="s">
        <v>3108</v>
      </c>
    </row>
    <row r="1058" spans="1:86" x14ac:dyDescent="0.2">
      <c r="A1058" t="s">
        <v>4854</v>
      </c>
      <c r="B1058" t="s">
        <v>4854</v>
      </c>
      <c r="C1058">
        <v>41535</v>
      </c>
      <c r="D1058">
        <v>1379</v>
      </c>
      <c r="E1058" t="s">
        <v>4855</v>
      </c>
      <c r="F1058" t="s">
        <v>3249</v>
      </c>
      <c r="G1058" t="s">
        <v>3249</v>
      </c>
      <c r="H1058" t="s">
        <v>3250</v>
      </c>
      <c r="I1058" t="s">
        <v>3250</v>
      </c>
      <c r="J1058" t="s">
        <v>3250</v>
      </c>
      <c r="K1058" t="s">
        <v>3250</v>
      </c>
      <c r="L1058">
        <v>1200</v>
      </c>
      <c r="M1058" t="s">
        <v>2368</v>
      </c>
      <c r="N1058">
        <v>1202</v>
      </c>
      <c r="O1058" t="s">
        <v>2371</v>
      </c>
      <c r="P1058" t="s">
        <v>3108</v>
      </c>
      <c r="Q1058">
        <v>2080</v>
      </c>
      <c r="R1058" t="s">
        <v>423</v>
      </c>
      <c r="S1058" t="s">
        <v>427</v>
      </c>
      <c r="T1058" t="s">
        <v>3251</v>
      </c>
      <c r="U1058">
        <v>240</v>
      </c>
      <c r="V1058" t="s">
        <v>4251</v>
      </c>
      <c r="W1058">
        <v>240</v>
      </c>
      <c r="X1058" t="s">
        <v>1323</v>
      </c>
      <c r="Y1058" t="s">
        <v>3250</v>
      </c>
      <c r="Z1058" t="s">
        <v>3250</v>
      </c>
      <c r="AA1058" t="s">
        <v>3108</v>
      </c>
      <c r="AB1058" t="s">
        <v>3108</v>
      </c>
      <c r="AC1058" t="s">
        <v>3250</v>
      </c>
      <c r="AD1058" t="s">
        <v>3250</v>
      </c>
      <c r="AE1058" t="s">
        <v>3250</v>
      </c>
      <c r="AF1058" t="s">
        <v>3250</v>
      </c>
      <c r="AG1058">
        <v>1530</v>
      </c>
      <c r="AH1058" t="s">
        <v>2335</v>
      </c>
      <c r="AI1058">
        <v>1530</v>
      </c>
      <c r="AJ1058" t="s">
        <v>2335</v>
      </c>
      <c r="AL1058">
        <v>241</v>
      </c>
      <c r="AM1058" t="s">
        <v>1455</v>
      </c>
      <c r="AN1058">
        <v>241</v>
      </c>
      <c r="AO1058" t="s">
        <v>1455</v>
      </c>
      <c r="AS1058" t="s">
        <v>3250</v>
      </c>
      <c r="AT1058" t="s">
        <v>3250</v>
      </c>
      <c r="AU1058" t="s">
        <v>3250</v>
      </c>
      <c r="AV1058" t="s">
        <v>3250</v>
      </c>
      <c r="AW1058">
        <v>1530</v>
      </c>
      <c r="AX1058" t="s">
        <v>2335</v>
      </c>
      <c r="AY1058" t="s">
        <v>3250</v>
      </c>
      <c r="AZ1058" t="s">
        <v>3250</v>
      </c>
      <c r="BA1058">
        <v>1530</v>
      </c>
      <c r="BB1058" t="s">
        <v>3250</v>
      </c>
      <c r="BC1058" t="s">
        <v>3250</v>
      </c>
      <c r="BE1058" t="s">
        <v>3250</v>
      </c>
      <c r="BF1058" t="s">
        <v>3250</v>
      </c>
      <c r="BG1058" t="s">
        <v>2335</v>
      </c>
      <c r="BH1058" t="s">
        <v>3250</v>
      </c>
      <c r="BI1058" t="s">
        <v>3250</v>
      </c>
      <c r="BK1058" t="s">
        <v>3250</v>
      </c>
      <c r="BL1058" t="s">
        <v>3250</v>
      </c>
      <c r="BM1058" t="s">
        <v>3250</v>
      </c>
      <c r="BN1058" t="s">
        <v>3250</v>
      </c>
      <c r="BP1058">
        <v>1</v>
      </c>
      <c r="BQ1058">
        <v>13</v>
      </c>
      <c r="BR1058" t="s">
        <v>2371</v>
      </c>
      <c r="BS1058" t="s">
        <v>3252</v>
      </c>
      <c r="BV1058">
        <v>0</v>
      </c>
      <c r="BW1058">
        <v>0</v>
      </c>
      <c r="BX1058">
        <v>0</v>
      </c>
      <c r="BY1058">
        <v>0</v>
      </c>
      <c r="BZ1058">
        <v>0</v>
      </c>
      <c r="CA1058">
        <v>0</v>
      </c>
      <c r="CB1058">
        <v>0</v>
      </c>
      <c r="CC1058">
        <v>0</v>
      </c>
      <c r="CD1058">
        <v>0</v>
      </c>
      <c r="CE1058" t="s">
        <v>3108</v>
      </c>
      <c r="CF1058" t="s">
        <v>3108</v>
      </c>
      <c r="CG1058" t="s">
        <v>3108</v>
      </c>
      <c r="CH1058" t="s">
        <v>3108</v>
      </c>
    </row>
    <row r="1059" spans="1:86" x14ac:dyDescent="0.2">
      <c r="A1059" t="s">
        <v>4856</v>
      </c>
      <c r="B1059" t="s">
        <v>4856</v>
      </c>
      <c r="C1059">
        <v>41536</v>
      </c>
      <c r="D1059">
        <v>1380</v>
      </c>
      <c r="E1059" t="s">
        <v>4857</v>
      </c>
      <c r="F1059" t="s">
        <v>3249</v>
      </c>
      <c r="G1059" t="s">
        <v>3249</v>
      </c>
      <c r="H1059" t="s">
        <v>3250</v>
      </c>
      <c r="I1059" t="s">
        <v>3250</v>
      </c>
      <c r="J1059" t="s">
        <v>3250</v>
      </c>
      <c r="K1059" t="s">
        <v>3250</v>
      </c>
      <c r="L1059">
        <v>1200</v>
      </c>
      <c r="M1059" t="s">
        <v>2368</v>
      </c>
      <c r="N1059">
        <v>1202</v>
      </c>
      <c r="O1059" t="s">
        <v>2371</v>
      </c>
      <c r="P1059" t="s">
        <v>2805</v>
      </c>
      <c r="Q1059">
        <v>2080</v>
      </c>
      <c r="R1059" t="s">
        <v>423</v>
      </c>
      <c r="S1059" t="s">
        <v>427</v>
      </c>
      <c r="T1059" t="s">
        <v>3251</v>
      </c>
      <c r="U1059">
        <v>240</v>
      </c>
      <c r="V1059" t="s">
        <v>4251</v>
      </c>
      <c r="W1059">
        <v>240</v>
      </c>
      <c r="X1059" t="s">
        <v>1323</v>
      </c>
      <c r="Y1059" t="s">
        <v>3250</v>
      </c>
      <c r="Z1059" t="s">
        <v>3250</v>
      </c>
      <c r="AA1059" t="s">
        <v>3108</v>
      </c>
      <c r="AB1059" t="s">
        <v>3108</v>
      </c>
      <c r="AC1059" t="s">
        <v>3250</v>
      </c>
      <c r="AD1059" t="s">
        <v>3250</v>
      </c>
      <c r="AE1059" t="s">
        <v>3250</v>
      </c>
      <c r="AF1059" t="s">
        <v>3250</v>
      </c>
      <c r="AG1059">
        <v>1530</v>
      </c>
      <c r="AH1059" t="s">
        <v>2335</v>
      </c>
      <c r="AI1059">
        <v>1530</v>
      </c>
      <c r="AJ1059" t="s">
        <v>2335</v>
      </c>
      <c r="AL1059">
        <v>241</v>
      </c>
      <c r="AM1059" t="s">
        <v>1455</v>
      </c>
      <c r="AN1059">
        <v>241</v>
      </c>
      <c r="AO1059" t="s">
        <v>1455</v>
      </c>
      <c r="AS1059" t="s">
        <v>3250</v>
      </c>
      <c r="AT1059" t="s">
        <v>3250</v>
      </c>
      <c r="AU1059" t="s">
        <v>3250</v>
      </c>
      <c r="AV1059" t="s">
        <v>3250</v>
      </c>
      <c r="AW1059">
        <v>1530</v>
      </c>
      <c r="AX1059" t="s">
        <v>2335</v>
      </c>
      <c r="AY1059" t="s">
        <v>3250</v>
      </c>
      <c r="AZ1059" t="s">
        <v>3250</v>
      </c>
      <c r="BA1059">
        <v>1530</v>
      </c>
      <c r="BB1059" t="s">
        <v>3250</v>
      </c>
      <c r="BC1059" t="s">
        <v>3250</v>
      </c>
      <c r="BE1059" t="s">
        <v>3250</v>
      </c>
      <c r="BF1059" t="s">
        <v>3250</v>
      </c>
      <c r="BG1059" t="s">
        <v>2335</v>
      </c>
      <c r="BH1059" t="s">
        <v>3250</v>
      </c>
      <c r="BI1059" t="s">
        <v>3250</v>
      </c>
      <c r="BK1059" t="s">
        <v>3250</v>
      </c>
      <c r="BL1059" t="s">
        <v>3250</v>
      </c>
      <c r="BM1059" t="s">
        <v>3250</v>
      </c>
      <c r="BN1059" t="s">
        <v>3250</v>
      </c>
      <c r="BP1059">
        <v>1</v>
      </c>
      <c r="BQ1059">
        <v>13</v>
      </c>
      <c r="BR1059" t="s">
        <v>2371</v>
      </c>
      <c r="BS1059" t="s">
        <v>3252</v>
      </c>
      <c r="BV1059">
        <v>0</v>
      </c>
      <c r="BW1059">
        <v>0</v>
      </c>
      <c r="BX1059">
        <v>0</v>
      </c>
      <c r="BY1059">
        <v>0</v>
      </c>
      <c r="BZ1059">
        <v>0</v>
      </c>
      <c r="CA1059">
        <v>0</v>
      </c>
      <c r="CB1059">
        <v>0</v>
      </c>
      <c r="CC1059">
        <v>0</v>
      </c>
      <c r="CD1059">
        <v>0</v>
      </c>
      <c r="CE1059" t="s">
        <v>3108</v>
      </c>
      <c r="CF1059" t="s">
        <v>3108</v>
      </c>
      <c r="CG1059" t="s">
        <v>3108</v>
      </c>
      <c r="CH1059" t="s">
        <v>3108</v>
      </c>
    </row>
    <row r="1060" spans="1:86" x14ac:dyDescent="0.2">
      <c r="A1060" t="s">
        <v>4858</v>
      </c>
      <c r="B1060" t="s">
        <v>4858</v>
      </c>
      <c r="C1060">
        <v>41537</v>
      </c>
      <c r="D1060">
        <v>1381</v>
      </c>
      <c r="E1060" t="s">
        <v>4859</v>
      </c>
      <c r="F1060" t="s">
        <v>3249</v>
      </c>
      <c r="G1060" t="s">
        <v>3249</v>
      </c>
      <c r="H1060" t="s">
        <v>3250</v>
      </c>
      <c r="I1060" t="s">
        <v>3250</v>
      </c>
      <c r="J1060" t="s">
        <v>3250</v>
      </c>
      <c r="K1060" t="s">
        <v>3250</v>
      </c>
      <c r="L1060">
        <v>1200</v>
      </c>
      <c r="M1060" t="s">
        <v>2368</v>
      </c>
      <c r="N1060">
        <v>1202</v>
      </c>
      <c r="O1060" t="s">
        <v>2371</v>
      </c>
      <c r="P1060" t="s">
        <v>3108</v>
      </c>
      <c r="Q1060">
        <v>2080</v>
      </c>
      <c r="R1060" t="s">
        <v>423</v>
      </c>
      <c r="S1060" t="s">
        <v>427</v>
      </c>
      <c r="T1060" t="s">
        <v>3251</v>
      </c>
      <c r="U1060">
        <v>240</v>
      </c>
      <c r="V1060" t="s">
        <v>4251</v>
      </c>
      <c r="W1060">
        <v>240</v>
      </c>
      <c r="X1060" t="s">
        <v>1323</v>
      </c>
      <c r="Y1060" t="s">
        <v>3250</v>
      </c>
      <c r="Z1060" t="s">
        <v>3250</v>
      </c>
      <c r="AA1060" t="s">
        <v>3108</v>
      </c>
      <c r="AB1060" t="s">
        <v>3108</v>
      </c>
      <c r="AC1060" t="s">
        <v>3250</v>
      </c>
      <c r="AD1060" t="s">
        <v>3250</v>
      </c>
      <c r="AE1060" t="s">
        <v>3250</v>
      </c>
      <c r="AF1060" t="s">
        <v>3250</v>
      </c>
      <c r="AG1060">
        <v>1470</v>
      </c>
      <c r="AH1060" t="s">
        <v>2332</v>
      </c>
      <c r="AI1060">
        <v>1470</v>
      </c>
      <c r="AJ1060" t="s">
        <v>2332</v>
      </c>
      <c r="AL1060">
        <v>243</v>
      </c>
      <c r="AM1060" t="s">
        <v>700</v>
      </c>
      <c r="AN1060">
        <v>243</v>
      </c>
      <c r="AO1060" t="s">
        <v>700</v>
      </c>
      <c r="AS1060" t="s">
        <v>3250</v>
      </c>
      <c r="AT1060" t="s">
        <v>3250</v>
      </c>
      <c r="AU1060" t="s">
        <v>3250</v>
      </c>
      <c r="AV1060" t="s">
        <v>3250</v>
      </c>
      <c r="AW1060">
        <v>1470</v>
      </c>
      <c r="AX1060" t="s">
        <v>2332</v>
      </c>
      <c r="AY1060" t="s">
        <v>3250</v>
      </c>
      <c r="AZ1060" t="s">
        <v>3250</v>
      </c>
      <c r="BA1060">
        <v>1470</v>
      </c>
      <c r="BB1060" t="s">
        <v>3250</v>
      </c>
      <c r="BC1060" t="s">
        <v>3250</v>
      </c>
      <c r="BE1060" t="s">
        <v>3250</v>
      </c>
      <c r="BF1060" t="s">
        <v>3250</v>
      </c>
      <c r="BG1060" t="s">
        <v>2332</v>
      </c>
      <c r="BH1060" t="s">
        <v>3250</v>
      </c>
      <c r="BI1060" t="s">
        <v>3250</v>
      </c>
      <c r="BK1060" t="s">
        <v>3250</v>
      </c>
      <c r="BL1060" t="s">
        <v>3250</v>
      </c>
      <c r="BM1060" t="s">
        <v>3250</v>
      </c>
      <c r="BN1060" t="s">
        <v>3250</v>
      </c>
      <c r="BP1060">
        <v>1</v>
      </c>
      <c r="BQ1060">
        <v>13</v>
      </c>
      <c r="BR1060" t="s">
        <v>2371</v>
      </c>
      <c r="BS1060" t="s">
        <v>3252</v>
      </c>
      <c r="BV1060">
        <v>0</v>
      </c>
      <c r="BW1060">
        <v>0</v>
      </c>
      <c r="BX1060">
        <v>0</v>
      </c>
      <c r="BY1060">
        <v>0</v>
      </c>
      <c r="BZ1060">
        <v>0</v>
      </c>
      <c r="CA1060">
        <v>0</v>
      </c>
      <c r="CB1060">
        <v>0</v>
      </c>
      <c r="CC1060">
        <v>0</v>
      </c>
      <c r="CD1060">
        <v>0</v>
      </c>
      <c r="CE1060" t="s">
        <v>3108</v>
      </c>
      <c r="CF1060" t="s">
        <v>3108</v>
      </c>
      <c r="CG1060" t="s">
        <v>3108</v>
      </c>
      <c r="CH1060" t="s">
        <v>3108</v>
      </c>
    </row>
    <row r="1061" spans="1:86" x14ac:dyDescent="0.2">
      <c r="A1061" t="s">
        <v>4860</v>
      </c>
      <c r="B1061" t="s">
        <v>4860</v>
      </c>
      <c r="C1061">
        <v>41538</v>
      </c>
      <c r="D1061">
        <v>1382</v>
      </c>
      <c r="E1061" t="s">
        <v>4861</v>
      </c>
      <c r="F1061" t="s">
        <v>3249</v>
      </c>
      <c r="G1061" t="s">
        <v>3249</v>
      </c>
      <c r="H1061" t="s">
        <v>3250</v>
      </c>
      <c r="I1061" t="s">
        <v>3250</v>
      </c>
      <c r="J1061" t="s">
        <v>3250</v>
      </c>
      <c r="K1061" t="s">
        <v>3250</v>
      </c>
      <c r="L1061">
        <v>1200</v>
      </c>
      <c r="M1061" t="s">
        <v>2368</v>
      </c>
      <c r="N1061">
        <v>1202</v>
      </c>
      <c r="O1061" t="s">
        <v>2371</v>
      </c>
      <c r="P1061" t="s">
        <v>3108</v>
      </c>
      <c r="Q1061">
        <v>2080</v>
      </c>
      <c r="R1061" t="s">
        <v>423</v>
      </c>
      <c r="S1061" t="s">
        <v>427</v>
      </c>
      <c r="T1061" t="s">
        <v>3251</v>
      </c>
      <c r="U1061">
        <v>240</v>
      </c>
      <c r="V1061" t="s">
        <v>4251</v>
      </c>
      <c r="W1061">
        <v>240</v>
      </c>
      <c r="X1061" t="s">
        <v>1323</v>
      </c>
      <c r="Y1061" t="s">
        <v>3250</v>
      </c>
      <c r="Z1061" t="s">
        <v>3250</v>
      </c>
      <c r="AA1061" t="s">
        <v>3108</v>
      </c>
      <c r="AB1061" t="s">
        <v>3108</v>
      </c>
      <c r="AC1061" t="s">
        <v>3250</v>
      </c>
      <c r="AD1061" t="s">
        <v>3250</v>
      </c>
      <c r="AE1061" t="s">
        <v>3250</v>
      </c>
      <c r="AF1061" t="s">
        <v>3250</v>
      </c>
      <c r="AG1061">
        <v>1470</v>
      </c>
      <c r="AH1061" t="s">
        <v>2332</v>
      </c>
      <c r="AI1061">
        <v>1470</v>
      </c>
      <c r="AJ1061" t="s">
        <v>2332</v>
      </c>
      <c r="AL1061">
        <v>241</v>
      </c>
      <c r="AM1061" t="s">
        <v>1455</v>
      </c>
      <c r="AN1061">
        <v>241</v>
      </c>
      <c r="AO1061" t="s">
        <v>1455</v>
      </c>
      <c r="AS1061" t="s">
        <v>3250</v>
      </c>
      <c r="AT1061" t="s">
        <v>3250</v>
      </c>
      <c r="AU1061" t="s">
        <v>3250</v>
      </c>
      <c r="AV1061" t="s">
        <v>3250</v>
      </c>
      <c r="AW1061">
        <v>1470</v>
      </c>
      <c r="AX1061" t="s">
        <v>2332</v>
      </c>
      <c r="AY1061" t="s">
        <v>3250</v>
      </c>
      <c r="AZ1061" t="s">
        <v>3250</v>
      </c>
      <c r="BA1061">
        <v>1470</v>
      </c>
      <c r="BB1061" t="s">
        <v>3250</v>
      </c>
      <c r="BC1061" t="s">
        <v>3250</v>
      </c>
      <c r="BE1061" t="s">
        <v>3250</v>
      </c>
      <c r="BF1061" t="s">
        <v>3250</v>
      </c>
      <c r="BG1061" t="s">
        <v>2332</v>
      </c>
      <c r="BH1061" t="s">
        <v>3250</v>
      </c>
      <c r="BI1061" t="s">
        <v>3250</v>
      </c>
      <c r="BK1061" t="s">
        <v>3250</v>
      </c>
      <c r="BL1061" t="s">
        <v>3250</v>
      </c>
      <c r="BM1061" t="s">
        <v>3250</v>
      </c>
      <c r="BN1061" t="s">
        <v>3250</v>
      </c>
      <c r="BP1061">
        <v>1</v>
      </c>
      <c r="BQ1061">
        <v>13</v>
      </c>
      <c r="BR1061" t="s">
        <v>2371</v>
      </c>
      <c r="BS1061" t="s">
        <v>3252</v>
      </c>
      <c r="BV1061">
        <v>0</v>
      </c>
      <c r="BW1061">
        <v>0</v>
      </c>
      <c r="BX1061">
        <v>0</v>
      </c>
      <c r="BY1061">
        <v>0</v>
      </c>
      <c r="BZ1061">
        <v>0</v>
      </c>
      <c r="CA1061">
        <v>0</v>
      </c>
      <c r="CB1061">
        <v>0</v>
      </c>
      <c r="CC1061">
        <v>0</v>
      </c>
      <c r="CD1061">
        <v>0</v>
      </c>
      <c r="CE1061" t="s">
        <v>3108</v>
      </c>
      <c r="CF1061" t="s">
        <v>3108</v>
      </c>
      <c r="CG1061" t="s">
        <v>3108</v>
      </c>
      <c r="CH1061" t="s">
        <v>3108</v>
      </c>
    </row>
    <row r="1062" spans="1:86" x14ac:dyDescent="0.2">
      <c r="A1062" t="s">
        <v>4862</v>
      </c>
      <c r="B1062" t="s">
        <v>4862</v>
      </c>
      <c r="C1062">
        <v>41539</v>
      </c>
      <c r="D1062">
        <v>1383</v>
      </c>
      <c r="E1062" t="s">
        <v>4863</v>
      </c>
      <c r="F1062" t="s">
        <v>3249</v>
      </c>
      <c r="G1062" t="s">
        <v>3249</v>
      </c>
      <c r="H1062" t="s">
        <v>3250</v>
      </c>
      <c r="I1062" t="s">
        <v>3250</v>
      </c>
      <c r="J1062" t="s">
        <v>3250</v>
      </c>
      <c r="K1062" t="s">
        <v>3250</v>
      </c>
      <c r="L1062">
        <v>1200</v>
      </c>
      <c r="M1062" t="s">
        <v>2368</v>
      </c>
      <c r="N1062">
        <v>1202</v>
      </c>
      <c r="O1062" t="s">
        <v>2371</v>
      </c>
      <c r="P1062" t="s">
        <v>2805</v>
      </c>
      <c r="Q1062">
        <v>2080</v>
      </c>
      <c r="R1062" t="s">
        <v>423</v>
      </c>
      <c r="S1062" t="s">
        <v>427</v>
      </c>
      <c r="T1062" t="s">
        <v>3251</v>
      </c>
      <c r="U1062">
        <v>240</v>
      </c>
      <c r="V1062" t="s">
        <v>4251</v>
      </c>
      <c r="W1062">
        <v>240</v>
      </c>
      <c r="X1062" t="s">
        <v>1323</v>
      </c>
      <c r="Y1062" t="s">
        <v>3250</v>
      </c>
      <c r="Z1062" t="s">
        <v>3250</v>
      </c>
      <c r="AA1062" t="s">
        <v>3108</v>
      </c>
      <c r="AB1062" t="s">
        <v>3108</v>
      </c>
      <c r="AC1062" t="s">
        <v>3250</v>
      </c>
      <c r="AD1062" t="s">
        <v>3250</v>
      </c>
      <c r="AE1062" t="s">
        <v>3250</v>
      </c>
      <c r="AF1062" t="s">
        <v>3250</v>
      </c>
      <c r="AG1062">
        <v>1470</v>
      </c>
      <c r="AH1062" t="s">
        <v>2332</v>
      </c>
      <c r="AI1062">
        <v>1470</v>
      </c>
      <c r="AJ1062" t="s">
        <v>2332</v>
      </c>
      <c r="AL1062">
        <v>241</v>
      </c>
      <c r="AM1062" t="s">
        <v>1455</v>
      </c>
      <c r="AN1062">
        <v>241</v>
      </c>
      <c r="AO1062" t="s">
        <v>1455</v>
      </c>
      <c r="AS1062" t="s">
        <v>3250</v>
      </c>
      <c r="AT1062" t="s">
        <v>3250</v>
      </c>
      <c r="AU1062" t="s">
        <v>3250</v>
      </c>
      <c r="AV1062" t="s">
        <v>3250</v>
      </c>
      <c r="AW1062">
        <v>1470</v>
      </c>
      <c r="AX1062" t="s">
        <v>2332</v>
      </c>
      <c r="AY1062" t="s">
        <v>3250</v>
      </c>
      <c r="AZ1062" t="s">
        <v>3250</v>
      </c>
      <c r="BA1062">
        <v>1470</v>
      </c>
      <c r="BB1062" t="s">
        <v>3250</v>
      </c>
      <c r="BC1062" t="s">
        <v>3250</v>
      </c>
      <c r="BE1062" t="s">
        <v>3250</v>
      </c>
      <c r="BF1062" t="s">
        <v>3250</v>
      </c>
      <c r="BG1062" t="s">
        <v>2332</v>
      </c>
      <c r="BH1062" t="s">
        <v>3250</v>
      </c>
      <c r="BI1062" t="s">
        <v>3250</v>
      </c>
      <c r="BK1062" t="s">
        <v>3250</v>
      </c>
      <c r="BL1062" t="s">
        <v>3250</v>
      </c>
      <c r="BM1062" t="s">
        <v>3250</v>
      </c>
      <c r="BN1062" t="s">
        <v>3250</v>
      </c>
      <c r="BP1062">
        <v>1</v>
      </c>
      <c r="BQ1062">
        <v>13</v>
      </c>
      <c r="BR1062" t="s">
        <v>2371</v>
      </c>
      <c r="BS1062" t="s">
        <v>3252</v>
      </c>
      <c r="BV1062">
        <v>0</v>
      </c>
      <c r="BW1062">
        <v>0</v>
      </c>
      <c r="BX1062">
        <v>0</v>
      </c>
      <c r="BY1062">
        <v>0</v>
      </c>
      <c r="BZ1062">
        <v>0</v>
      </c>
      <c r="CA1062">
        <v>0</v>
      </c>
      <c r="CB1062">
        <v>0</v>
      </c>
      <c r="CC1062">
        <v>0</v>
      </c>
      <c r="CD1062">
        <v>0</v>
      </c>
      <c r="CE1062" t="s">
        <v>3108</v>
      </c>
      <c r="CF1062" t="s">
        <v>3108</v>
      </c>
      <c r="CG1062" t="s">
        <v>3108</v>
      </c>
      <c r="CH1062" t="s">
        <v>3108</v>
      </c>
    </row>
    <row r="1063" spans="1:86" x14ac:dyDescent="0.2">
      <c r="A1063" t="s">
        <v>4864</v>
      </c>
      <c r="B1063" t="s">
        <v>4864</v>
      </c>
      <c r="C1063">
        <v>41540</v>
      </c>
      <c r="D1063">
        <v>1384</v>
      </c>
      <c r="E1063" t="s">
        <v>4865</v>
      </c>
      <c r="F1063" t="s">
        <v>3249</v>
      </c>
      <c r="G1063" t="s">
        <v>3249</v>
      </c>
      <c r="H1063" t="s">
        <v>3250</v>
      </c>
      <c r="I1063" t="s">
        <v>3250</v>
      </c>
      <c r="J1063" t="s">
        <v>3250</v>
      </c>
      <c r="K1063" t="s">
        <v>3250</v>
      </c>
      <c r="L1063">
        <v>1200</v>
      </c>
      <c r="M1063" t="s">
        <v>2368</v>
      </c>
      <c r="N1063">
        <v>1202</v>
      </c>
      <c r="O1063" t="s">
        <v>2371</v>
      </c>
      <c r="P1063" t="s">
        <v>3108</v>
      </c>
      <c r="Q1063">
        <v>2080</v>
      </c>
      <c r="R1063" t="s">
        <v>423</v>
      </c>
      <c r="S1063" t="s">
        <v>427</v>
      </c>
      <c r="T1063" t="s">
        <v>3251</v>
      </c>
      <c r="U1063">
        <v>240</v>
      </c>
      <c r="V1063" t="s">
        <v>4251</v>
      </c>
      <c r="W1063">
        <v>240</v>
      </c>
      <c r="X1063" t="s">
        <v>1323</v>
      </c>
      <c r="Y1063" t="s">
        <v>3250</v>
      </c>
      <c r="Z1063" t="s">
        <v>3250</v>
      </c>
      <c r="AA1063" t="s">
        <v>3108</v>
      </c>
      <c r="AB1063" t="s">
        <v>3108</v>
      </c>
      <c r="AC1063" t="s">
        <v>3250</v>
      </c>
      <c r="AD1063" t="s">
        <v>3250</v>
      </c>
      <c r="AE1063" t="s">
        <v>3250</v>
      </c>
      <c r="AF1063" t="s">
        <v>3250</v>
      </c>
      <c r="AG1063">
        <v>1490</v>
      </c>
      <c r="AH1063" t="s">
        <v>2333</v>
      </c>
      <c r="AI1063">
        <v>1490</v>
      </c>
      <c r="AJ1063" t="s">
        <v>2333</v>
      </c>
      <c r="AL1063">
        <v>243</v>
      </c>
      <c r="AM1063" t="s">
        <v>700</v>
      </c>
      <c r="AN1063">
        <v>243</v>
      </c>
      <c r="AO1063" t="s">
        <v>700</v>
      </c>
      <c r="AS1063" t="s">
        <v>3250</v>
      </c>
      <c r="AT1063" t="s">
        <v>3250</v>
      </c>
      <c r="AU1063" t="s">
        <v>3250</v>
      </c>
      <c r="AV1063" t="s">
        <v>3250</v>
      </c>
      <c r="AW1063">
        <v>1490</v>
      </c>
      <c r="AX1063" t="s">
        <v>2333</v>
      </c>
      <c r="AY1063" t="s">
        <v>3250</v>
      </c>
      <c r="AZ1063" t="s">
        <v>3250</v>
      </c>
      <c r="BA1063">
        <v>1490</v>
      </c>
      <c r="BB1063" t="s">
        <v>3250</v>
      </c>
      <c r="BC1063" t="s">
        <v>3250</v>
      </c>
      <c r="BE1063" t="s">
        <v>3250</v>
      </c>
      <c r="BF1063" t="s">
        <v>3250</v>
      </c>
      <c r="BG1063" t="s">
        <v>2333</v>
      </c>
      <c r="BH1063" t="s">
        <v>3250</v>
      </c>
      <c r="BI1063" t="s">
        <v>3250</v>
      </c>
      <c r="BK1063" t="s">
        <v>3250</v>
      </c>
      <c r="BL1063" t="s">
        <v>3250</v>
      </c>
      <c r="BM1063" t="s">
        <v>3250</v>
      </c>
      <c r="BN1063" t="s">
        <v>3250</v>
      </c>
      <c r="BP1063">
        <v>1</v>
      </c>
      <c r="BQ1063">
        <v>13</v>
      </c>
      <c r="BR1063" t="s">
        <v>2371</v>
      </c>
      <c r="BS1063" t="s">
        <v>3252</v>
      </c>
      <c r="BV1063">
        <v>-672874</v>
      </c>
      <c r="BW1063">
        <v>0</v>
      </c>
      <c r="BX1063">
        <v>0</v>
      </c>
      <c r="BY1063">
        <v>0</v>
      </c>
      <c r="BZ1063">
        <v>0</v>
      </c>
      <c r="CA1063">
        <v>0</v>
      </c>
      <c r="CB1063">
        <v>0</v>
      </c>
      <c r="CC1063">
        <v>0</v>
      </c>
      <c r="CD1063">
        <v>-777707</v>
      </c>
      <c r="CE1063" t="s">
        <v>3108</v>
      </c>
      <c r="CF1063" t="s">
        <v>3108</v>
      </c>
      <c r="CG1063" t="s">
        <v>3108</v>
      </c>
      <c r="CH1063" t="s">
        <v>3108</v>
      </c>
    </row>
    <row r="1064" spans="1:86" x14ac:dyDescent="0.2">
      <c r="A1064" t="s">
        <v>4866</v>
      </c>
      <c r="B1064" t="s">
        <v>4866</v>
      </c>
      <c r="C1064">
        <v>41541</v>
      </c>
      <c r="D1064">
        <v>1385</v>
      </c>
      <c r="E1064" t="s">
        <v>4867</v>
      </c>
      <c r="F1064" t="s">
        <v>3249</v>
      </c>
      <c r="G1064" t="s">
        <v>3249</v>
      </c>
      <c r="H1064" t="s">
        <v>3250</v>
      </c>
      <c r="I1064" t="s">
        <v>3250</v>
      </c>
      <c r="J1064" t="s">
        <v>3250</v>
      </c>
      <c r="K1064" t="s">
        <v>3250</v>
      </c>
      <c r="L1064">
        <v>1200</v>
      </c>
      <c r="M1064" t="s">
        <v>2368</v>
      </c>
      <c r="N1064">
        <v>1202</v>
      </c>
      <c r="O1064" t="s">
        <v>2371</v>
      </c>
      <c r="P1064" t="s">
        <v>3108</v>
      </c>
      <c r="Q1064">
        <v>2080</v>
      </c>
      <c r="R1064" t="s">
        <v>423</v>
      </c>
      <c r="S1064" t="s">
        <v>427</v>
      </c>
      <c r="T1064" t="s">
        <v>3251</v>
      </c>
      <c r="U1064">
        <v>240</v>
      </c>
      <c r="V1064" t="s">
        <v>4251</v>
      </c>
      <c r="W1064">
        <v>240</v>
      </c>
      <c r="X1064" t="s">
        <v>1323</v>
      </c>
      <c r="Y1064" t="s">
        <v>3250</v>
      </c>
      <c r="Z1064" t="s">
        <v>3250</v>
      </c>
      <c r="AA1064" t="s">
        <v>3108</v>
      </c>
      <c r="AB1064" t="s">
        <v>3108</v>
      </c>
      <c r="AC1064" t="s">
        <v>3250</v>
      </c>
      <c r="AD1064" t="s">
        <v>3250</v>
      </c>
      <c r="AE1064" t="s">
        <v>3250</v>
      </c>
      <c r="AF1064" t="s">
        <v>3250</v>
      </c>
      <c r="AG1064">
        <v>1490</v>
      </c>
      <c r="AH1064" t="s">
        <v>2333</v>
      </c>
      <c r="AI1064">
        <v>1490</v>
      </c>
      <c r="AJ1064" t="s">
        <v>2333</v>
      </c>
      <c r="AL1064">
        <v>241</v>
      </c>
      <c r="AM1064" t="s">
        <v>1455</v>
      </c>
      <c r="AN1064">
        <v>241</v>
      </c>
      <c r="AO1064" t="s">
        <v>1455</v>
      </c>
      <c r="AS1064" t="s">
        <v>3250</v>
      </c>
      <c r="AT1064" t="s">
        <v>3250</v>
      </c>
      <c r="AU1064" t="s">
        <v>3250</v>
      </c>
      <c r="AV1064" t="s">
        <v>3250</v>
      </c>
      <c r="AW1064">
        <v>1490</v>
      </c>
      <c r="AX1064" t="s">
        <v>2333</v>
      </c>
      <c r="AY1064" t="s">
        <v>3250</v>
      </c>
      <c r="AZ1064" t="s">
        <v>3250</v>
      </c>
      <c r="BA1064">
        <v>1490</v>
      </c>
      <c r="BB1064" t="s">
        <v>3250</v>
      </c>
      <c r="BC1064" t="s">
        <v>3250</v>
      </c>
      <c r="BE1064" t="s">
        <v>3250</v>
      </c>
      <c r="BF1064" t="s">
        <v>3250</v>
      </c>
      <c r="BG1064" t="s">
        <v>2333</v>
      </c>
      <c r="BH1064" t="s">
        <v>3250</v>
      </c>
      <c r="BI1064" t="s">
        <v>3250</v>
      </c>
      <c r="BK1064" t="s">
        <v>3250</v>
      </c>
      <c r="BL1064" t="s">
        <v>3250</v>
      </c>
      <c r="BM1064" t="s">
        <v>3250</v>
      </c>
      <c r="BN1064" t="s">
        <v>3250</v>
      </c>
      <c r="BP1064">
        <v>1</v>
      </c>
      <c r="BQ1064">
        <v>13</v>
      </c>
      <c r="BR1064" t="s">
        <v>2371</v>
      </c>
      <c r="BS1064" t="s">
        <v>3252</v>
      </c>
      <c r="BV1064">
        <v>0</v>
      </c>
      <c r="BW1064">
        <v>0</v>
      </c>
      <c r="BX1064">
        <v>0</v>
      </c>
      <c r="BY1064">
        <v>0</v>
      </c>
      <c r="BZ1064">
        <v>0</v>
      </c>
      <c r="CA1064">
        <v>0</v>
      </c>
      <c r="CB1064">
        <v>0</v>
      </c>
      <c r="CC1064">
        <v>0</v>
      </c>
      <c r="CD1064">
        <v>0</v>
      </c>
      <c r="CE1064" t="s">
        <v>3108</v>
      </c>
      <c r="CF1064" t="s">
        <v>3108</v>
      </c>
      <c r="CG1064" t="s">
        <v>3108</v>
      </c>
      <c r="CH1064" t="s">
        <v>3108</v>
      </c>
    </row>
    <row r="1065" spans="1:86" x14ac:dyDescent="0.2">
      <c r="A1065" t="s">
        <v>4868</v>
      </c>
      <c r="B1065" t="s">
        <v>4868</v>
      </c>
      <c r="C1065">
        <v>41542</v>
      </c>
      <c r="D1065">
        <v>1386</v>
      </c>
      <c r="E1065" t="s">
        <v>4869</v>
      </c>
      <c r="F1065" t="s">
        <v>3249</v>
      </c>
      <c r="G1065" t="s">
        <v>3249</v>
      </c>
      <c r="H1065" t="s">
        <v>3250</v>
      </c>
      <c r="I1065" t="s">
        <v>3250</v>
      </c>
      <c r="J1065" t="s">
        <v>3250</v>
      </c>
      <c r="K1065" t="s">
        <v>3250</v>
      </c>
      <c r="L1065">
        <v>1200</v>
      </c>
      <c r="M1065" t="s">
        <v>2368</v>
      </c>
      <c r="N1065">
        <v>1202</v>
      </c>
      <c r="O1065" t="s">
        <v>2371</v>
      </c>
      <c r="P1065" t="s">
        <v>2805</v>
      </c>
      <c r="Q1065">
        <v>2080</v>
      </c>
      <c r="R1065" t="s">
        <v>423</v>
      </c>
      <c r="S1065" t="s">
        <v>427</v>
      </c>
      <c r="T1065" t="s">
        <v>3251</v>
      </c>
      <c r="U1065">
        <v>240</v>
      </c>
      <c r="V1065" t="s">
        <v>4251</v>
      </c>
      <c r="W1065">
        <v>240</v>
      </c>
      <c r="X1065" t="s">
        <v>1323</v>
      </c>
      <c r="Y1065" t="s">
        <v>3250</v>
      </c>
      <c r="Z1065" t="s">
        <v>3250</v>
      </c>
      <c r="AA1065" t="s">
        <v>3108</v>
      </c>
      <c r="AB1065" t="s">
        <v>3108</v>
      </c>
      <c r="AC1065" t="s">
        <v>3250</v>
      </c>
      <c r="AD1065" t="s">
        <v>3250</v>
      </c>
      <c r="AE1065" t="s">
        <v>3250</v>
      </c>
      <c r="AF1065" t="s">
        <v>3250</v>
      </c>
      <c r="AG1065">
        <v>1490</v>
      </c>
      <c r="AH1065" t="s">
        <v>2333</v>
      </c>
      <c r="AI1065">
        <v>1490</v>
      </c>
      <c r="AJ1065" t="s">
        <v>2333</v>
      </c>
      <c r="AL1065">
        <v>241</v>
      </c>
      <c r="AM1065" t="s">
        <v>1455</v>
      </c>
      <c r="AN1065">
        <v>241</v>
      </c>
      <c r="AO1065" t="s">
        <v>1455</v>
      </c>
      <c r="AS1065" t="s">
        <v>3250</v>
      </c>
      <c r="AT1065" t="s">
        <v>3250</v>
      </c>
      <c r="AU1065" t="s">
        <v>3250</v>
      </c>
      <c r="AV1065" t="s">
        <v>3250</v>
      </c>
      <c r="AW1065">
        <v>1490</v>
      </c>
      <c r="AX1065" t="s">
        <v>2333</v>
      </c>
      <c r="AY1065" t="s">
        <v>3250</v>
      </c>
      <c r="AZ1065" t="s">
        <v>3250</v>
      </c>
      <c r="BA1065">
        <v>1490</v>
      </c>
      <c r="BB1065" t="s">
        <v>3250</v>
      </c>
      <c r="BC1065" t="s">
        <v>3250</v>
      </c>
      <c r="BE1065" t="s">
        <v>3250</v>
      </c>
      <c r="BF1065" t="s">
        <v>3250</v>
      </c>
      <c r="BG1065" t="s">
        <v>2333</v>
      </c>
      <c r="BH1065" t="s">
        <v>3250</v>
      </c>
      <c r="BI1065" t="s">
        <v>3250</v>
      </c>
      <c r="BK1065" t="s">
        <v>3250</v>
      </c>
      <c r="BL1065" t="s">
        <v>3250</v>
      </c>
      <c r="BM1065" t="s">
        <v>3250</v>
      </c>
      <c r="BN1065" t="s">
        <v>3250</v>
      </c>
      <c r="BP1065">
        <v>1</v>
      </c>
      <c r="BQ1065">
        <v>13</v>
      </c>
      <c r="BR1065" t="s">
        <v>2371</v>
      </c>
      <c r="BS1065" t="s">
        <v>3252</v>
      </c>
      <c r="BV1065">
        <v>0</v>
      </c>
      <c r="BW1065">
        <v>0</v>
      </c>
      <c r="BX1065">
        <v>0</v>
      </c>
      <c r="BY1065">
        <v>0</v>
      </c>
      <c r="BZ1065">
        <v>0</v>
      </c>
      <c r="CA1065">
        <v>0</v>
      </c>
      <c r="CB1065">
        <v>0</v>
      </c>
      <c r="CC1065">
        <v>0</v>
      </c>
      <c r="CD1065">
        <v>0</v>
      </c>
      <c r="CE1065" t="s">
        <v>3108</v>
      </c>
      <c r="CF1065" t="s">
        <v>3108</v>
      </c>
      <c r="CG1065" t="s">
        <v>3108</v>
      </c>
      <c r="CH1065" t="s">
        <v>3108</v>
      </c>
    </row>
    <row r="1066" spans="1:86" x14ac:dyDescent="0.2">
      <c r="A1066" t="s">
        <v>4870</v>
      </c>
      <c r="B1066" t="s">
        <v>4870</v>
      </c>
      <c r="C1066">
        <v>41543</v>
      </c>
      <c r="D1066">
        <v>1387</v>
      </c>
      <c r="E1066" t="s">
        <v>4871</v>
      </c>
      <c r="F1066" t="s">
        <v>3249</v>
      </c>
      <c r="G1066" t="s">
        <v>3249</v>
      </c>
      <c r="H1066" t="s">
        <v>3250</v>
      </c>
      <c r="I1066" t="s">
        <v>3250</v>
      </c>
      <c r="J1066" t="s">
        <v>3250</v>
      </c>
      <c r="K1066" t="s">
        <v>3250</v>
      </c>
      <c r="L1066">
        <v>1200</v>
      </c>
      <c r="M1066" t="s">
        <v>2368</v>
      </c>
      <c r="N1066">
        <v>1202</v>
      </c>
      <c r="O1066" t="s">
        <v>2371</v>
      </c>
      <c r="P1066" t="s">
        <v>3108</v>
      </c>
      <c r="Q1066">
        <v>2080</v>
      </c>
      <c r="R1066" t="s">
        <v>423</v>
      </c>
      <c r="S1066" t="s">
        <v>427</v>
      </c>
      <c r="T1066" t="s">
        <v>3251</v>
      </c>
      <c r="U1066">
        <v>240</v>
      </c>
      <c r="V1066" t="s">
        <v>4251</v>
      </c>
      <c r="W1066">
        <v>240</v>
      </c>
      <c r="X1066" t="s">
        <v>1323</v>
      </c>
      <c r="Y1066" t="s">
        <v>3250</v>
      </c>
      <c r="Z1066" t="s">
        <v>3250</v>
      </c>
      <c r="AA1066" t="s">
        <v>3108</v>
      </c>
      <c r="AB1066" t="s">
        <v>3108</v>
      </c>
      <c r="AC1066" t="s">
        <v>3250</v>
      </c>
      <c r="AD1066" t="s">
        <v>3250</v>
      </c>
      <c r="AE1066" t="s">
        <v>3250</v>
      </c>
      <c r="AF1066" t="s">
        <v>3250</v>
      </c>
      <c r="AG1066">
        <v>1510</v>
      </c>
      <c r="AH1066" t="s">
        <v>2334</v>
      </c>
      <c r="AI1066">
        <v>1510</v>
      </c>
      <c r="AJ1066" t="s">
        <v>2334</v>
      </c>
      <c r="AL1066">
        <v>243</v>
      </c>
      <c r="AM1066" t="s">
        <v>700</v>
      </c>
      <c r="AN1066">
        <v>243</v>
      </c>
      <c r="AO1066" t="s">
        <v>700</v>
      </c>
      <c r="AS1066" t="s">
        <v>3250</v>
      </c>
      <c r="AT1066" t="s">
        <v>3250</v>
      </c>
      <c r="AU1066" t="s">
        <v>3250</v>
      </c>
      <c r="AV1066" t="s">
        <v>3250</v>
      </c>
      <c r="AW1066">
        <v>1510</v>
      </c>
      <c r="AX1066" t="s">
        <v>2334</v>
      </c>
      <c r="AY1066" t="s">
        <v>3250</v>
      </c>
      <c r="AZ1066" t="s">
        <v>3250</v>
      </c>
      <c r="BA1066">
        <v>1510</v>
      </c>
      <c r="BB1066" t="s">
        <v>3250</v>
      </c>
      <c r="BC1066" t="s">
        <v>3250</v>
      </c>
      <c r="BE1066" t="s">
        <v>3250</v>
      </c>
      <c r="BF1066" t="s">
        <v>3250</v>
      </c>
      <c r="BG1066" t="s">
        <v>2334</v>
      </c>
      <c r="BH1066" t="s">
        <v>3250</v>
      </c>
      <c r="BI1066" t="s">
        <v>3250</v>
      </c>
      <c r="BK1066" t="s">
        <v>3250</v>
      </c>
      <c r="BL1066" t="s">
        <v>3250</v>
      </c>
      <c r="BM1066" t="s">
        <v>3250</v>
      </c>
      <c r="BN1066" t="s">
        <v>3250</v>
      </c>
      <c r="BP1066">
        <v>1</v>
      </c>
      <c r="BQ1066">
        <v>13</v>
      </c>
      <c r="BR1066" t="s">
        <v>2371</v>
      </c>
      <c r="BS1066" t="s">
        <v>3252</v>
      </c>
      <c r="BV1066">
        <v>-763990</v>
      </c>
      <c r="BW1066">
        <v>0</v>
      </c>
      <c r="BX1066">
        <v>0</v>
      </c>
      <c r="BY1066">
        <v>0</v>
      </c>
      <c r="BZ1066">
        <v>0</v>
      </c>
      <c r="CA1066">
        <v>0</v>
      </c>
      <c r="CB1066">
        <v>0</v>
      </c>
      <c r="CC1066">
        <v>0</v>
      </c>
      <c r="CD1066">
        <v>-881650</v>
      </c>
      <c r="CE1066" t="s">
        <v>3108</v>
      </c>
      <c r="CF1066" t="s">
        <v>3108</v>
      </c>
      <c r="CG1066" t="s">
        <v>3108</v>
      </c>
      <c r="CH1066" t="s">
        <v>3108</v>
      </c>
    </row>
    <row r="1067" spans="1:86" x14ac:dyDescent="0.2">
      <c r="A1067" t="s">
        <v>4872</v>
      </c>
      <c r="B1067" t="s">
        <v>4872</v>
      </c>
      <c r="C1067">
        <v>41544</v>
      </c>
      <c r="D1067">
        <v>1388</v>
      </c>
      <c r="E1067" t="s">
        <v>4873</v>
      </c>
      <c r="F1067" t="s">
        <v>3249</v>
      </c>
      <c r="G1067" t="s">
        <v>3249</v>
      </c>
      <c r="H1067" t="s">
        <v>3250</v>
      </c>
      <c r="I1067" t="s">
        <v>3250</v>
      </c>
      <c r="J1067" t="s">
        <v>3250</v>
      </c>
      <c r="K1067" t="s">
        <v>3250</v>
      </c>
      <c r="L1067">
        <v>1200</v>
      </c>
      <c r="M1067" t="s">
        <v>2368</v>
      </c>
      <c r="N1067">
        <v>1202</v>
      </c>
      <c r="O1067" t="s">
        <v>2371</v>
      </c>
      <c r="P1067" t="s">
        <v>3108</v>
      </c>
      <c r="Q1067">
        <v>2080</v>
      </c>
      <c r="R1067" t="s">
        <v>423</v>
      </c>
      <c r="S1067" t="s">
        <v>427</v>
      </c>
      <c r="T1067" t="s">
        <v>3251</v>
      </c>
      <c r="U1067">
        <v>240</v>
      </c>
      <c r="V1067" t="s">
        <v>4251</v>
      </c>
      <c r="W1067">
        <v>240</v>
      </c>
      <c r="X1067" t="s">
        <v>1323</v>
      </c>
      <c r="Y1067" t="s">
        <v>3250</v>
      </c>
      <c r="Z1067" t="s">
        <v>3250</v>
      </c>
      <c r="AA1067" t="s">
        <v>3108</v>
      </c>
      <c r="AB1067" t="s">
        <v>3108</v>
      </c>
      <c r="AC1067" t="s">
        <v>3250</v>
      </c>
      <c r="AD1067" t="s">
        <v>3250</v>
      </c>
      <c r="AE1067" t="s">
        <v>3250</v>
      </c>
      <c r="AF1067" t="s">
        <v>3250</v>
      </c>
      <c r="AG1067">
        <v>1510</v>
      </c>
      <c r="AH1067" t="s">
        <v>2334</v>
      </c>
      <c r="AI1067">
        <v>1510</v>
      </c>
      <c r="AJ1067" t="s">
        <v>2334</v>
      </c>
      <c r="AL1067">
        <v>241</v>
      </c>
      <c r="AM1067" t="s">
        <v>1455</v>
      </c>
      <c r="AN1067">
        <v>241</v>
      </c>
      <c r="AO1067" t="s">
        <v>1455</v>
      </c>
      <c r="AS1067" t="s">
        <v>3250</v>
      </c>
      <c r="AT1067" t="s">
        <v>3250</v>
      </c>
      <c r="AU1067" t="s">
        <v>3250</v>
      </c>
      <c r="AV1067" t="s">
        <v>3250</v>
      </c>
      <c r="AW1067">
        <v>1510</v>
      </c>
      <c r="AX1067" t="s">
        <v>2334</v>
      </c>
      <c r="AY1067" t="s">
        <v>3250</v>
      </c>
      <c r="AZ1067" t="s">
        <v>3250</v>
      </c>
      <c r="BA1067">
        <v>1510</v>
      </c>
      <c r="BB1067" t="s">
        <v>3250</v>
      </c>
      <c r="BC1067" t="s">
        <v>3250</v>
      </c>
      <c r="BE1067" t="s">
        <v>3250</v>
      </c>
      <c r="BF1067" t="s">
        <v>3250</v>
      </c>
      <c r="BG1067" t="s">
        <v>2334</v>
      </c>
      <c r="BH1067" t="s">
        <v>3250</v>
      </c>
      <c r="BI1067" t="s">
        <v>3250</v>
      </c>
      <c r="BK1067" t="s">
        <v>3250</v>
      </c>
      <c r="BL1067" t="s">
        <v>3250</v>
      </c>
      <c r="BM1067" t="s">
        <v>3250</v>
      </c>
      <c r="BN1067" t="s">
        <v>3250</v>
      </c>
      <c r="BP1067">
        <v>1</v>
      </c>
      <c r="BQ1067">
        <v>13</v>
      </c>
      <c r="BR1067" t="s">
        <v>2371</v>
      </c>
      <c r="BS1067" t="s">
        <v>3252</v>
      </c>
      <c r="BV1067">
        <v>0</v>
      </c>
      <c r="BW1067">
        <v>0</v>
      </c>
      <c r="BX1067">
        <v>0</v>
      </c>
      <c r="BY1067">
        <v>0</v>
      </c>
      <c r="BZ1067">
        <v>0</v>
      </c>
      <c r="CA1067">
        <v>0</v>
      </c>
      <c r="CB1067">
        <v>0</v>
      </c>
      <c r="CC1067">
        <v>0</v>
      </c>
      <c r="CD1067">
        <v>0</v>
      </c>
      <c r="CE1067" t="s">
        <v>3108</v>
      </c>
      <c r="CF1067" t="s">
        <v>3108</v>
      </c>
      <c r="CG1067" t="s">
        <v>3108</v>
      </c>
      <c r="CH1067" t="s">
        <v>3108</v>
      </c>
    </row>
    <row r="1068" spans="1:86" x14ac:dyDescent="0.2">
      <c r="A1068" t="s">
        <v>4874</v>
      </c>
      <c r="B1068" t="s">
        <v>4874</v>
      </c>
      <c r="C1068">
        <v>41545</v>
      </c>
      <c r="D1068">
        <v>1389</v>
      </c>
      <c r="E1068" t="s">
        <v>4875</v>
      </c>
      <c r="F1068" t="s">
        <v>3249</v>
      </c>
      <c r="G1068" t="s">
        <v>3249</v>
      </c>
      <c r="H1068" t="s">
        <v>3250</v>
      </c>
      <c r="I1068" t="s">
        <v>3250</v>
      </c>
      <c r="J1068" t="s">
        <v>3250</v>
      </c>
      <c r="K1068" t="s">
        <v>3250</v>
      </c>
      <c r="L1068">
        <v>1200</v>
      </c>
      <c r="M1068" t="s">
        <v>2368</v>
      </c>
      <c r="N1068">
        <v>1202</v>
      </c>
      <c r="O1068" t="s">
        <v>2371</v>
      </c>
      <c r="P1068" t="s">
        <v>2805</v>
      </c>
      <c r="Q1068">
        <v>2080</v>
      </c>
      <c r="R1068" t="s">
        <v>423</v>
      </c>
      <c r="S1068" t="s">
        <v>427</v>
      </c>
      <c r="T1068" t="s">
        <v>3251</v>
      </c>
      <c r="U1068">
        <v>240</v>
      </c>
      <c r="V1068" t="s">
        <v>4251</v>
      </c>
      <c r="W1068">
        <v>240</v>
      </c>
      <c r="X1068" t="s">
        <v>1323</v>
      </c>
      <c r="Y1068" t="s">
        <v>3250</v>
      </c>
      <c r="Z1068" t="s">
        <v>3250</v>
      </c>
      <c r="AA1068" t="s">
        <v>3108</v>
      </c>
      <c r="AB1068" t="s">
        <v>3108</v>
      </c>
      <c r="AC1068" t="s">
        <v>3250</v>
      </c>
      <c r="AD1068" t="s">
        <v>3250</v>
      </c>
      <c r="AE1068" t="s">
        <v>3250</v>
      </c>
      <c r="AF1068" t="s">
        <v>3250</v>
      </c>
      <c r="AG1068">
        <v>1510</v>
      </c>
      <c r="AH1068" t="s">
        <v>2334</v>
      </c>
      <c r="AI1068">
        <v>1510</v>
      </c>
      <c r="AJ1068" t="s">
        <v>2334</v>
      </c>
      <c r="AL1068">
        <v>241</v>
      </c>
      <c r="AM1068" t="s">
        <v>1455</v>
      </c>
      <c r="AN1068">
        <v>241</v>
      </c>
      <c r="AO1068" t="s">
        <v>1455</v>
      </c>
      <c r="AS1068" t="s">
        <v>3250</v>
      </c>
      <c r="AT1068" t="s">
        <v>3250</v>
      </c>
      <c r="AU1068" t="s">
        <v>3250</v>
      </c>
      <c r="AV1068" t="s">
        <v>3250</v>
      </c>
      <c r="AW1068">
        <v>1510</v>
      </c>
      <c r="AX1068" t="s">
        <v>2334</v>
      </c>
      <c r="AY1068" t="s">
        <v>3250</v>
      </c>
      <c r="AZ1068" t="s">
        <v>3250</v>
      </c>
      <c r="BA1068">
        <v>1510</v>
      </c>
      <c r="BB1068" t="s">
        <v>3250</v>
      </c>
      <c r="BC1068" t="s">
        <v>3250</v>
      </c>
      <c r="BE1068" t="s">
        <v>3250</v>
      </c>
      <c r="BF1068" t="s">
        <v>3250</v>
      </c>
      <c r="BG1068" t="s">
        <v>2334</v>
      </c>
      <c r="BH1068" t="s">
        <v>3250</v>
      </c>
      <c r="BI1068" t="s">
        <v>3250</v>
      </c>
      <c r="BK1068" t="s">
        <v>3250</v>
      </c>
      <c r="BL1068" t="s">
        <v>3250</v>
      </c>
      <c r="BM1068" t="s">
        <v>3250</v>
      </c>
      <c r="BN1068" t="s">
        <v>3250</v>
      </c>
      <c r="BP1068">
        <v>1</v>
      </c>
      <c r="BQ1068">
        <v>13</v>
      </c>
      <c r="BR1068" t="s">
        <v>2371</v>
      </c>
      <c r="BS1068" t="s">
        <v>3252</v>
      </c>
      <c r="BV1068">
        <v>0</v>
      </c>
      <c r="BW1068">
        <v>0</v>
      </c>
      <c r="BX1068">
        <v>0</v>
      </c>
      <c r="BY1068">
        <v>0</v>
      </c>
      <c r="BZ1068">
        <v>0</v>
      </c>
      <c r="CA1068">
        <v>0</v>
      </c>
      <c r="CB1068">
        <v>0</v>
      </c>
      <c r="CC1068">
        <v>0</v>
      </c>
      <c r="CD1068">
        <v>0</v>
      </c>
      <c r="CE1068" t="s">
        <v>3108</v>
      </c>
      <c r="CF1068" t="s">
        <v>3108</v>
      </c>
      <c r="CG1068" t="s">
        <v>3108</v>
      </c>
      <c r="CH1068" t="s">
        <v>3108</v>
      </c>
    </row>
    <row r="1069" spans="1:86" x14ac:dyDescent="0.2">
      <c r="A1069" t="s">
        <v>4876</v>
      </c>
      <c r="B1069" t="s">
        <v>4876</v>
      </c>
      <c r="C1069">
        <v>41546</v>
      </c>
      <c r="D1069">
        <v>1465</v>
      </c>
      <c r="E1069" t="s">
        <v>4877</v>
      </c>
      <c r="F1069">
        <v>2000</v>
      </c>
      <c r="G1069" t="s">
        <v>408</v>
      </c>
      <c r="H1069" t="s">
        <v>4123</v>
      </c>
      <c r="I1069" t="s">
        <v>1454</v>
      </c>
      <c r="J1069">
        <v>2012</v>
      </c>
      <c r="K1069" t="s">
        <v>1454</v>
      </c>
      <c r="L1069">
        <v>5000</v>
      </c>
      <c r="M1069" t="s">
        <v>245</v>
      </c>
      <c r="N1069">
        <v>5004</v>
      </c>
      <c r="O1069" t="s">
        <v>2442</v>
      </c>
      <c r="P1069" t="s">
        <v>3108</v>
      </c>
      <c r="Q1069" t="s">
        <v>3249</v>
      </c>
      <c r="R1069" t="s">
        <v>3249</v>
      </c>
      <c r="S1069" t="s">
        <v>810</v>
      </c>
      <c r="T1069" t="s">
        <v>2754</v>
      </c>
      <c r="U1069" t="s">
        <v>3250</v>
      </c>
      <c r="V1069" t="s">
        <v>3250</v>
      </c>
      <c r="W1069" t="s">
        <v>3250</v>
      </c>
      <c r="X1069" t="s">
        <v>3250</v>
      </c>
      <c r="Y1069" t="s">
        <v>3250</v>
      </c>
      <c r="Z1069" t="s">
        <v>3250</v>
      </c>
      <c r="AA1069" t="s">
        <v>3108</v>
      </c>
      <c r="AB1069" t="s">
        <v>3108</v>
      </c>
      <c r="AC1069" t="s">
        <v>3250</v>
      </c>
      <c r="AD1069" t="s">
        <v>3250</v>
      </c>
      <c r="AE1069" t="s">
        <v>3250</v>
      </c>
      <c r="AF1069" t="s">
        <v>3250</v>
      </c>
      <c r="AG1069" t="s">
        <v>3250</v>
      </c>
      <c r="AH1069" t="s">
        <v>3250</v>
      </c>
      <c r="AI1069" t="s">
        <v>3250</v>
      </c>
      <c r="AJ1069" t="s">
        <v>3250</v>
      </c>
      <c r="AL1069" t="s">
        <v>3250</v>
      </c>
      <c r="AM1069" t="s">
        <v>3250</v>
      </c>
      <c r="AN1069" t="s">
        <v>3250</v>
      </c>
      <c r="AO1069" t="s">
        <v>3250</v>
      </c>
      <c r="AS1069" t="s">
        <v>3250</v>
      </c>
      <c r="AT1069" t="s">
        <v>3250</v>
      </c>
      <c r="AU1069" t="s">
        <v>3250</v>
      </c>
      <c r="AV1069" t="s">
        <v>3250</v>
      </c>
      <c r="AW1069" t="s">
        <v>3250</v>
      </c>
      <c r="AX1069" t="s">
        <v>3250</v>
      </c>
      <c r="AY1069" t="s">
        <v>3250</v>
      </c>
      <c r="AZ1069" t="s">
        <v>3250</v>
      </c>
      <c r="BA1069" t="s">
        <v>3250</v>
      </c>
      <c r="BB1069" t="s">
        <v>3250</v>
      </c>
      <c r="BC1069" t="s">
        <v>3250</v>
      </c>
      <c r="BE1069" t="s">
        <v>3250</v>
      </c>
      <c r="BF1069" t="s">
        <v>3250</v>
      </c>
      <c r="BG1069" t="s">
        <v>3250</v>
      </c>
      <c r="BH1069" t="s">
        <v>3250</v>
      </c>
      <c r="BI1069" t="s">
        <v>3250</v>
      </c>
      <c r="BK1069" t="s">
        <v>3250</v>
      </c>
      <c r="BL1069" t="s">
        <v>3250</v>
      </c>
      <c r="BM1069" t="s">
        <v>3250</v>
      </c>
      <c r="BN1069" t="s">
        <v>3250</v>
      </c>
      <c r="BO1069" t="s">
        <v>2916</v>
      </c>
      <c r="BP1069">
        <v>11</v>
      </c>
      <c r="BQ1069">
        <v>111</v>
      </c>
      <c r="BR1069" t="s">
        <v>2442</v>
      </c>
      <c r="BS1069" t="s">
        <v>245</v>
      </c>
      <c r="BV1069">
        <v>0</v>
      </c>
      <c r="BW1069">
        <v>0</v>
      </c>
      <c r="BX1069">
        <v>0</v>
      </c>
      <c r="BY1069">
        <v>0</v>
      </c>
      <c r="BZ1069">
        <v>0</v>
      </c>
      <c r="CA1069">
        <v>0</v>
      </c>
      <c r="CB1069">
        <v>0</v>
      </c>
      <c r="CC1069">
        <v>0</v>
      </c>
      <c r="CD1069">
        <v>0</v>
      </c>
      <c r="CE1069" t="s">
        <v>3108</v>
      </c>
      <c r="CF1069" t="s">
        <v>3108</v>
      </c>
      <c r="CG1069" t="s">
        <v>3108</v>
      </c>
      <c r="CH1069" t="s">
        <v>3108</v>
      </c>
    </row>
    <row r="1070" spans="1:86" x14ac:dyDescent="0.2">
      <c r="A1070" t="s">
        <v>4878</v>
      </c>
      <c r="B1070" t="s">
        <v>4878</v>
      </c>
      <c r="C1070">
        <v>41547</v>
      </c>
      <c r="D1070">
        <v>1466</v>
      </c>
      <c r="E1070" t="s">
        <v>4879</v>
      </c>
      <c r="F1070">
        <v>2000</v>
      </c>
      <c r="G1070" t="s">
        <v>408</v>
      </c>
      <c r="H1070" t="s">
        <v>4123</v>
      </c>
      <c r="I1070" t="s">
        <v>1454</v>
      </c>
      <c r="J1070">
        <v>2012</v>
      </c>
      <c r="K1070" t="s">
        <v>1454</v>
      </c>
      <c r="L1070">
        <v>2100</v>
      </c>
      <c r="M1070" t="s">
        <v>123</v>
      </c>
      <c r="N1070">
        <v>2106</v>
      </c>
      <c r="O1070" t="s">
        <v>2399</v>
      </c>
      <c r="P1070" t="s">
        <v>3108</v>
      </c>
      <c r="Q1070" t="s">
        <v>3249</v>
      </c>
      <c r="R1070" t="s">
        <v>3249</v>
      </c>
      <c r="S1070" t="s">
        <v>810</v>
      </c>
      <c r="T1070" t="s">
        <v>2754</v>
      </c>
      <c r="U1070" t="s">
        <v>3250</v>
      </c>
      <c r="V1070" t="s">
        <v>3250</v>
      </c>
      <c r="W1070" t="s">
        <v>3250</v>
      </c>
      <c r="X1070" t="s">
        <v>3250</v>
      </c>
      <c r="Y1070" t="s">
        <v>3250</v>
      </c>
      <c r="Z1070" t="s">
        <v>3250</v>
      </c>
      <c r="AA1070" t="s">
        <v>3108</v>
      </c>
      <c r="AB1070" t="s">
        <v>3108</v>
      </c>
      <c r="AC1070" t="s">
        <v>3250</v>
      </c>
      <c r="AD1070" t="s">
        <v>3250</v>
      </c>
      <c r="AE1070" t="s">
        <v>3250</v>
      </c>
      <c r="AF1070" t="s">
        <v>3250</v>
      </c>
      <c r="AG1070" t="s">
        <v>3250</v>
      </c>
      <c r="AH1070" t="s">
        <v>3250</v>
      </c>
      <c r="AI1070" t="s">
        <v>3250</v>
      </c>
      <c r="AJ1070" t="s">
        <v>3250</v>
      </c>
      <c r="AL1070" t="s">
        <v>3250</v>
      </c>
      <c r="AM1070" t="s">
        <v>3250</v>
      </c>
      <c r="AN1070" t="s">
        <v>3250</v>
      </c>
      <c r="AO1070" t="s">
        <v>3250</v>
      </c>
      <c r="AS1070" t="s">
        <v>3250</v>
      </c>
      <c r="AT1070" t="s">
        <v>3250</v>
      </c>
      <c r="AU1070" t="s">
        <v>3250</v>
      </c>
      <c r="AV1070" t="s">
        <v>3250</v>
      </c>
      <c r="AW1070" t="s">
        <v>3250</v>
      </c>
      <c r="AX1070" t="s">
        <v>3250</v>
      </c>
      <c r="AY1070" t="s">
        <v>3250</v>
      </c>
      <c r="AZ1070" t="s">
        <v>3250</v>
      </c>
      <c r="BA1070" t="s">
        <v>3250</v>
      </c>
      <c r="BB1070" t="s">
        <v>3250</v>
      </c>
      <c r="BC1070" t="s">
        <v>3250</v>
      </c>
      <c r="BE1070" t="s">
        <v>3250</v>
      </c>
      <c r="BF1070" t="s">
        <v>3250</v>
      </c>
      <c r="BG1070" t="s">
        <v>3250</v>
      </c>
      <c r="BH1070" t="s">
        <v>3250</v>
      </c>
      <c r="BI1070" t="s">
        <v>3250</v>
      </c>
      <c r="BK1070" t="s">
        <v>3250</v>
      </c>
      <c r="BL1070" t="s">
        <v>3250</v>
      </c>
      <c r="BM1070" t="s">
        <v>3250</v>
      </c>
      <c r="BN1070" t="s">
        <v>3250</v>
      </c>
      <c r="BO1070" t="s">
        <v>2917</v>
      </c>
      <c r="BP1070">
        <v>5</v>
      </c>
      <c r="BQ1070">
        <v>53</v>
      </c>
      <c r="BR1070" t="s">
        <v>2399</v>
      </c>
      <c r="BS1070" t="s">
        <v>4136</v>
      </c>
      <c r="BV1070">
        <v>0</v>
      </c>
      <c r="BW1070">
        <v>0</v>
      </c>
      <c r="BX1070">
        <v>0</v>
      </c>
      <c r="BY1070">
        <v>0</v>
      </c>
      <c r="BZ1070">
        <v>0</v>
      </c>
      <c r="CA1070">
        <v>0</v>
      </c>
      <c r="CB1070">
        <v>0</v>
      </c>
      <c r="CC1070">
        <v>0</v>
      </c>
      <c r="CD1070">
        <v>0</v>
      </c>
      <c r="CE1070" t="s">
        <v>3108</v>
      </c>
      <c r="CF1070" t="s">
        <v>3108</v>
      </c>
      <c r="CG1070" t="s">
        <v>3108</v>
      </c>
      <c r="CH1070" t="s">
        <v>3108</v>
      </c>
    </row>
    <row r="1071" spans="1:86" x14ac:dyDescent="0.2">
      <c r="A1071" t="s">
        <v>4880</v>
      </c>
      <c r="B1071" t="s">
        <v>4880</v>
      </c>
      <c r="C1071">
        <v>41548</v>
      </c>
      <c r="D1071">
        <v>1467</v>
      </c>
      <c r="E1071" t="s">
        <v>4877</v>
      </c>
      <c r="F1071">
        <v>2000</v>
      </c>
      <c r="G1071" t="s">
        <v>408</v>
      </c>
      <c r="H1071" t="s">
        <v>4123</v>
      </c>
      <c r="I1071" t="s">
        <v>1454</v>
      </c>
      <c r="J1071">
        <v>2012</v>
      </c>
      <c r="K1071" t="s">
        <v>1454</v>
      </c>
      <c r="L1071">
        <v>2100</v>
      </c>
      <c r="M1071" t="s">
        <v>123</v>
      </c>
      <c r="N1071">
        <v>2106</v>
      </c>
      <c r="O1071" t="s">
        <v>2399</v>
      </c>
      <c r="P1071" t="s">
        <v>3108</v>
      </c>
      <c r="Q1071" t="s">
        <v>3249</v>
      </c>
      <c r="R1071" t="s">
        <v>3249</v>
      </c>
      <c r="S1071" t="s">
        <v>810</v>
      </c>
      <c r="T1071" t="s">
        <v>2754</v>
      </c>
      <c r="U1071" t="s">
        <v>3250</v>
      </c>
      <c r="V1071" t="s">
        <v>3250</v>
      </c>
      <c r="W1071" t="s">
        <v>3250</v>
      </c>
      <c r="X1071" t="s">
        <v>3250</v>
      </c>
      <c r="Y1071" t="s">
        <v>3250</v>
      </c>
      <c r="Z1071" t="s">
        <v>3250</v>
      </c>
      <c r="AA1071" t="s">
        <v>3108</v>
      </c>
      <c r="AB1071" t="s">
        <v>3108</v>
      </c>
      <c r="AC1071" t="s">
        <v>3250</v>
      </c>
      <c r="AD1071" t="s">
        <v>3250</v>
      </c>
      <c r="AE1071" t="s">
        <v>3250</v>
      </c>
      <c r="AF1071" t="s">
        <v>3250</v>
      </c>
      <c r="AG1071" t="s">
        <v>3250</v>
      </c>
      <c r="AH1071" t="s">
        <v>3250</v>
      </c>
      <c r="AI1071" t="s">
        <v>3250</v>
      </c>
      <c r="AJ1071" t="s">
        <v>3250</v>
      </c>
      <c r="AL1071" t="s">
        <v>3250</v>
      </c>
      <c r="AM1071" t="s">
        <v>3250</v>
      </c>
      <c r="AN1071" t="s">
        <v>3250</v>
      </c>
      <c r="AO1071" t="s">
        <v>3250</v>
      </c>
      <c r="AS1071" t="s">
        <v>3250</v>
      </c>
      <c r="AT1071" t="s">
        <v>3250</v>
      </c>
      <c r="AU1071" t="s">
        <v>3250</v>
      </c>
      <c r="AV1071" t="s">
        <v>3250</v>
      </c>
      <c r="AW1071" t="s">
        <v>3250</v>
      </c>
      <c r="AX1071" t="s">
        <v>3250</v>
      </c>
      <c r="AY1071" t="s">
        <v>3250</v>
      </c>
      <c r="AZ1071" t="s">
        <v>3250</v>
      </c>
      <c r="BA1071" t="s">
        <v>3250</v>
      </c>
      <c r="BB1071" t="s">
        <v>3250</v>
      </c>
      <c r="BC1071" t="s">
        <v>3250</v>
      </c>
      <c r="BE1071" t="s">
        <v>3250</v>
      </c>
      <c r="BF1071" t="s">
        <v>3250</v>
      </c>
      <c r="BG1071" t="s">
        <v>3250</v>
      </c>
      <c r="BH1071" t="s">
        <v>3250</v>
      </c>
      <c r="BI1071" t="s">
        <v>3250</v>
      </c>
      <c r="BK1071" t="s">
        <v>3250</v>
      </c>
      <c r="BL1071" t="s">
        <v>3250</v>
      </c>
      <c r="BM1071" t="s">
        <v>3250</v>
      </c>
      <c r="BN1071" t="s">
        <v>3250</v>
      </c>
      <c r="BO1071" t="s">
        <v>2916</v>
      </c>
      <c r="BP1071">
        <v>5</v>
      </c>
      <c r="BQ1071">
        <v>53</v>
      </c>
      <c r="BR1071" t="s">
        <v>2399</v>
      </c>
      <c r="BS1071" t="s">
        <v>4136</v>
      </c>
      <c r="BV1071">
        <v>0</v>
      </c>
      <c r="BW1071">
        <v>0</v>
      </c>
      <c r="BX1071">
        <v>0</v>
      </c>
      <c r="BY1071">
        <v>0</v>
      </c>
      <c r="BZ1071">
        <v>0</v>
      </c>
      <c r="CA1071">
        <v>0</v>
      </c>
      <c r="CB1071">
        <v>0</v>
      </c>
      <c r="CC1071">
        <v>0</v>
      </c>
      <c r="CD1071">
        <v>0</v>
      </c>
      <c r="CE1071" t="s">
        <v>3108</v>
      </c>
      <c r="CF1071" t="s">
        <v>3108</v>
      </c>
      <c r="CG1071" t="s">
        <v>3108</v>
      </c>
      <c r="CH1071" t="s">
        <v>3108</v>
      </c>
    </row>
    <row r="1072" spans="1:86" x14ac:dyDescent="0.2">
      <c r="A1072" t="s">
        <v>4881</v>
      </c>
      <c r="B1072" t="s">
        <v>4881</v>
      </c>
      <c r="C1072">
        <v>41549</v>
      </c>
      <c r="D1072">
        <v>1468</v>
      </c>
      <c r="E1072" t="s">
        <v>4877</v>
      </c>
      <c r="F1072">
        <v>2000</v>
      </c>
      <c r="G1072" t="s">
        <v>408</v>
      </c>
      <c r="H1072" t="s">
        <v>4123</v>
      </c>
      <c r="I1072" t="s">
        <v>1454</v>
      </c>
      <c r="J1072">
        <v>2012</v>
      </c>
      <c r="K1072" t="s">
        <v>1454</v>
      </c>
      <c r="L1072">
        <v>3200</v>
      </c>
      <c r="M1072" t="s">
        <v>128</v>
      </c>
      <c r="N1072">
        <v>3205</v>
      </c>
      <c r="O1072" t="s">
        <v>629</v>
      </c>
      <c r="P1072" t="s">
        <v>3108</v>
      </c>
      <c r="Q1072" t="s">
        <v>3249</v>
      </c>
      <c r="R1072" t="s">
        <v>3249</v>
      </c>
      <c r="S1072" t="s">
        <v>810</v>
      </c>
      <c r="T1072" t="s">
        <v>2754</v>
      </c>
      <c r="U1072" t="s">
        <v>3250</v>
      </c>
      <c r="V1072" t="s">
        <v>3250</v>
      </c>
      <c r="W1072" t="s">
        <v>3250</v>
      </c>
      <c r="X1072" t="s">
        <v>3250</v>
      </c>
      <c r="Y1072" t="s">
        <v>3250</v>
      </c>
      <c r="Z1072" t="s">
        <v>3250</v>
      </c>
      <c r="AA1072" t="s">
        <v>3108</v>
      </c>
      <c r="AB1072" t="s">
        <v>3108</v>
      </c>
      <c r="AC1072" t="s">
        <v>3250</v>
      </c>
      <c r="AD1072" t="s">
        <v>3250</v>
      </c>
      <c r="AE1072" t="s">
        <v>3250</v>
      </c>
      <c r="AF1072" t="s">
        <v>3250</v>
      </c>
      <c r="AG1072" t="s">
        <v>3250</v>
      </c>
      <c r="AH1072" t="s">
        <v>3250</v>
      </c>
      <c r="AI1072" t="s">
        <v>3250</v>
      </c>
      <c r="AJ1072" t="s">
        <v>3250</v>
      </c>
      <c r="AL1072" t="s">
        <v>3250</v>
      </c>
      <c r="AM1072" t="s">
        <v>3250</v>
      </c>
      <c r="AN1072" t="s">
        <v>3250</v>
      </c>
      <c r="AO1072" t="s">
        <v>3250</v>
      </c>
      <c r="AS1072" t="s">
        <v>3250</v>
      </c>
      <c r="AT1072" t="s">
        <v>3250</v>
      </c>
      <c r="AU1072" t="s">
        <v>3250</v>
      </c>
      <c r="AV1072" t="s">
        <v>3250</v>
      </c>
      <c r="AW1072" t="s">
        <v>3250</v>
      </c>
      <c r="AX1072" t="s">
        <v>3250</v>
      </c>
      <c r="AY1072" t="s">
        <v>3250</v>
      </c>
      <c r="AZ1072" t="s">
        <v>3250</v>
      </c>
      <c r="BA1072" t="s">
        <v>3250</v>
      </c>
      <c r="BB1072" t="s">
        <v>3250</v>
      </c>
      <c r="BC1072" t="s">
        <v>3250</v>
      </c>
      <c r="BE1072" t="s">
        <v>3250</v>
      </c>
      <c r="BF1072" t="s">
        <v>3250</v>
      </c>
      <c r="BG1072" t="s">
        <v>3250</v>
      </c>
      <c r="BH1072" t="s">
        <v>3250</v>
      </c>
      <c r="BI1072" t="s">
        <v>3250</v>
      </c>
      <c r="BK1072" t="s">
        <v>3250</v>
      </c>
      <c r="BL1072" t="s">
        <v>3250</v>
      </c>
      <c r="BM1072" t="s">
        <v>3250</v>
      </c>
      <c r="BN1072" t="s">
        <v>3250</v>
      </c>
      <c r="BO1072" t="s">
        <v>2916</v>
      </c>
      <c r="BP1072">
        <v>7</v>
      </c>
      <c r="BQ1072">
        <v>71</v>
      </c>
      <c r="BR1072" t="s">
        <v>629</v>
      </c>
      <c r="BS1072" t="s">
        <v>4212</v>
      </c>
      <c r="BV1072">
        <v>0</v>
      </c>
      <c r="BW1072">
        <v>0</v>
      </c>
      <c r="BX1072">
        <v>0</v>
      </c>
      <c r="BY1072">
        <v>0</v>
      </c>
      <c r="BZ1072">
        <v>66000</v>
      </c>
      <c r="CA1072">
        <v>70620</v>
      </c>
      <c r="CB1072">
        <v>0</v>
      </c>
      <c r="CC1072">
        <v>0</v>
      </c>
      <c r="CD1072">
        <v>33392</v>
      </c>
      <c r="CE1072" t="s">
        <v>3108</v>
      </c>
      <c r="CF1072" t="s">
        <v>3108</v>
      </c>
      <c r="CG1072" t="s">
        <v>3108</v>
      </c>
      <c r="CH1072" t="s">
        <v>3108</v>
      </c>
    </row>
    <row r="1073" spans="1:86" x14ac:dyDescent="0.2">
      <c r="A1073" t="s">
        <v>4882</v>
      </c>
      <c r="B1073" t="s">
        <v>4882</v>
      </c>
      <c r="C1073">
        <v>41550</v>
      </c>
      <c r="D1073">
        <v>1469</v>
      </c>
      <c r="E1073" t="s">
        <v>4879</v>
      </c>
      <c r="F1073">
        <v>2000</v>
      </c>
      <c r="G1073" t="s">
        <v>408</v>
      </c>
      <c r="H1073" t="s">
        <v>4123</v>
      </c>
      <c r="I1073" t="s">
        <v>1454</v>
      </c>
      <c r="J1073">
        <v>2012</v>
      </c>
      <c r="K1073" t="s">
        <v>1454</v>
      </c>
      <c r="L1073">
        <v>3200</v>
      </c>
      <c r="M1073" t="s">
        <v>128</v>
      </c>
      <c r="N1073">
        <v>3205</v>
      </c>
      <c r="O1073" t="s">
        <v>629</v>
      </c>
      <c r="P1073" t="s">
        <v>3108</v>
      </c>
      <c r="Q1073" t="s">
        <v>3249</v>
      </c>
      <c r="R1073" t="s">
        <v>3249</v>
      </c>
      <c r="S1073" t="s">
        <v>810</v>
      </c>
      <c r="T1073" t="s">
        <v>2754</v>
      </c>
      <c r="U1073" t="s">
        <v>3250</v>
      </c>
      <c r="V1073" t="s">
        <v>3250</v>
      </c>
      <c r="W1073" t="s">
        <v>3250</v>
      </c>
      <c r="X1073" t="s">
        <v>3250</v>
      </c>
      <c r="Y1073" t="s">
        <v>3250</v>
      </c>
      <c r="Z1073" t="s">
        <v>3250</v>
      </c>
      <c r="AA1073" t="s">
        <v>3108</v>
      </c>
      <c r="AB1073" t="s">
        <v>3108</v>
      </c>
      <c r="AC1073" t="s">
        <v>3250</v>
      </c>
      <c r="AD1073" t="s">
        <v>3250</v>
      </c>
      <c r="AE1073" t="s">
        <v>3250</v>
      </c>
      <c r="AF1073" t="s">
        <v>3250</v>
      </c>
      <c r="AG1073" t="s">
        <v>3250</v>
      </c>
      <c r="AH1073" t="s">
        <v>3250</v>
      </c>
      <c r="AI1073" t="s">
        <v>3250</v>
      </c>
      <c r="AJ1073" t="s">
        <v>3250</v>
      </c>
      <c r="AL1073" t="s">
        <v>3250</v>
      </c>
      <c r="AM1073" t="s">
        <v>3250</v>
      </c>
      <c r="AN1073" t="s">
        <v>3250</v>
      </c>
      <c r="AO1073" t="s">
        <v>3250</v>
      </c>
      <c r="AS1073" t="s">
        <v>3250</v>
      </c>
      <c r="AT1073" t="s">
        <v>3250</v>
      </c>
      <c r="AU1073" t="s">
        <v>3250</v>
      </c>
      <c r="AV1073" t="s">
        <v>3250</v>
      </c>
      <c r="AW1073" t="s">
        <v>3250</v>
      </c>
      <c r="AX1073" t="s">
        <v>3250</v>
      </c>
      <c r="AY1073" t="s">
        <v>3250</v>
      </c>
      <c r="AZ1073" t="s">
        <v>3250</v>
      </c>
      <c r="BA1073" t="s">
        <v>3250</v>
      </c>
      <c r="BB1073" t="s">
        <v>3250</v>
      </c>
      <c r="BC1073" t="s">
        <v>3250</v>
      </c>
      <c r="BE1073" t="s">
        <v>3250</v>
      </c>
      <c r="BF1073" t="s">
        <v>3250</v>
      </c>
      <c r="BG1073" t="s">
        <v>3250</v>
      </c>
      <c r="BH1073" t="s">
        <v>3250</v>
      </c>
      <c r="BI1073" t="s">
        <v>3250</v>
      </c>
      <c r="BK1073" t="s">
        <v>3250</v>
      </c>
      <c r="BL1073" t="s">
        <v>3250</v>
      </c>
      <c r="BM1073" t="s">
        <v>3250</v>
      </c>
      <c r="BN1073" t="s">
        <v>3250</v>
      </c>
      <c r="BO1073" t="s">
        <v>2917</v>
      </c>
      <c r="BP1073">
        <v>7</v>
      </c>
      <c r="BQ1073">
        <v>71</v>
      </c>
      <c r="BR1073" t="s">
        <v>629</v>
      </c>
      <c r="BS1073" t="s">
        <v>4212</v>
      </c>
      <c r="BV1073">
        <v>0</v>
      </c>
      <c r="BW1073">
        <v>0</v>
      </c>
      <c r="BX1073">
        <v>0</v>
      </c>
      <c r="BY1073">
        <v>0</v>
      </c>
      <c r="BZ1073">
        <v>0</v>
      </c>
      <c r="CA1073">
        <v>0</v>
      </c>
      <c r="CB1073">
        <v>0</v>
      </c>
      <c r="CC1073">
        <v>0</v>
      </c>
      <c r="CD1073">
        <v>0</v>
      </c>
      <c r="CE1073" t="s">
        <v>3108</v>
      </c>
      <c r="CF1073" t="s">
        <v>3108</v>
      </c>
      <c r="CG1073" t="s">
        <v>3108</v>
      </c>
      <c r="CH1073" t="s">
        <v>3108</v>
      </c>
    </row>
    <row r="1074" spans="1:86" x14ac:dyDescent="0.2">
      <c r="A1074" t="s">
        <v>4883</v>
      </c>
      <c r="B1074" t="s">
        <v>4883</v>
      </c>
      <c r="C1074">
        <v>41551</v>
      </c>
      <c r="D1074">
        <v>820</v>
      </c>
      <c r="E1074" t="s">
        <v>3438</v>
      </c>
      <c r="F1074" t="s">
        <v>3249</v>
      </c>
      <c r="G1074" t="s">
        <v>3249</v>
      </c>
      <c r="H1074" t="s">
        <v>3250</v>
      </c>
      <c r="I1074" t="s">
        <v>3250</v>
      </c>
      <c r="J1074" t="s">
        <v>3250</v>
      </c>
      <c r="K1074" t="s">
        <v>3250</v>
      </c>
      <c r="L1074">
        <v>1200</v>
      </c>
      <c r="M1074" t="s">
        <v>2368</v>
      </c>
      <c r="N1074">
        <v>1204</v>
      </c>
      <c r="O1074" t="s">
        <v>1574</v>
      </c>
      <c r="P1074" t="s">
        <v>3108</v>
      </c>
      <c r="Q1074" t="s">
        <v>3249</v>
      </c>
      <c r="R1074" t="s">
        <v>3249</v>
      </c>
      <c r="S1074" t="s">
        <v>472</v>
      </c>
      <c r="T1074" t="s">
        <v>3251</v>
      </c>
      <c r="U1074">
        <v>140</v>
      </c>
      <c r="V1074" t="s">
        <v>1327</v>
      </c>
      <c r="W1074">
        <v>140</v>
      </c>
      <c r="X1074" t="s">
        <v>1327</v>
      </c>
      <c r="Y1074" t="s">
        <v>3250</v>
      </c>
      <c r="Z1074" t="s">
        <v>3250</v>
      </c>
      <c r="AA1074" t="s">
        <v>3108</v>
      </c>
      <c r="AB1074" t="s">
        <v>3108</v>
      </c>
      <c r="AC1074" t="s">
        <v>3250</v>
      </c>
      <c r="AD1074" t="s">
        <v>3250</v>
      </c>
      <c r="AE1074" t="s">
        <v>3250</v>
      </c>
      <c r="AF1074" t="s">
        <v>3250</v>
      </c>
      <c r="AG1074" t="s">
        <v>3250</v>
      </c>
      <c r="AH1074" t="s">
        <v>3250</v>
      </c>
      <c r="AI1074" t="s">
        <v>3250</v>
      </c>
      <c r="AJ1074" t="s">
        <v>3250</v>
      </c>
      <c r="AL1074">
        <v>141</v>
      </c>
      <c r="AM1074" t="s">
        <v>1327</v>
      </c>
      <c r="AN1074">
        <v>141</v>
      </c>
      <c r="AO1074" t="s">
        <v>1327</v>
      </c>
      <c r="AS1074" t="s">
        <v>3250</v>
      </c>
      <c r="AT1074" t="s">
        <v>3250</v>
      </c>
      <c r="AU1074" t="s">
        <v>3250</v>
      </c>
      <c r="AV1074" t="s">
        <v>3250</v>
      </c>
      <c r="AW1074" t="s">
        <v>3250</v>
      </c>
      <c r="AX1074" t="s">
        <v>3250</v>
      </c>
      <c r="AY1074" t="s">
        <v>3250</v>
      </c>
      <c r="AZ1074" t="s">
        <v>3250</v>
      </c>
      <c r="BA1074" t="s">
        <v>3250</v>
      </c>
      <c r="BB1074" t="s">
        <v>3250</v>
      </c>
      <c r="BC1074" t="s">
        <v>3250</v>
      </c>
      <c r="BE1074" t="s">
        <v>3250</v>
      </c>
      <c r="BF1074" t="s">
        <v>3250</v>
      </c>
      <c r="BG1074" t="s">
        <v>3250</v>
      </c>
      <c r="BH1074" t="s">
        <v>3250</v>
      </c>
      <c r="BI1074" t="s">
        <v>3250</v>
      </c>
      <c r="BK1074" t="s">
        <v>3250</v>
      </c>
      <c r="BL1074" t="s">
        <v>3250</v>
      </c>
      <c r="BM1074" t="s">
        <v>3250</v>
      </c>
      <c r="BN1074" t="s">
        <v>3250</v>
      </c>
      <c r="BP1074">
        <v>1</v>
      </c>
      <c r="BQ1074">
        <v>11</v>
      </c>
      <c r="BR1074" t="s">
        <v>1574</v>
      </c>
      <c r="BS1074" t="s">
        <v>3252</v>
      </c>
      <c r="BV1074">
        <v>0</v>
      </c>
      <c r="BW1074">
        <v>0</v>
      </c>
      <c r="BX1074">
        <v>0</v>
      </c>
      <c r="BY1074">
        <v>0</v>
      </c>
      <c r="BZ1074">
        <v>0</v>
      </c>
      <c r="CA1074">
        <v>0</v>
      </c>
      <c r="CB1074">
        <v>0</v>
      </c>
      <c r="CC1074">
        <v>0</v>
      </c>
      <c r="CD1074">
        <v>0</v>
      </c>
      <c r="CE1074" t="s">
        <v>3108</v>
      </c>
      <c r="CF1074" t="s">
        <v>3108</v>
      </c>
      <c r="CG1074" t="s">
        <v>3108</v>
      </c>
      <c r="CH1074" t="s">
        <v>3108</v>
      </c>
    </row>
    <row r="1075" spans="1:86" x14ac:dyDescent="0.2">
      <c r="A1075" t="s">
        <v>4884</v>
      </c>
      <c r="B1075" t="s">
        <v>4884</v>
      </c>
      <c r="C1075">
        <v>41552</v>
      </c>
      <c r="D1075">
        <v>821</v>
      </c>
      <c r="E1075" t="s">
        <v>3440</v>
      </c>
      <c r="F1075" t="s">
        <v>3249</v>
      </c>
      <c r="G1075" t="s">
        <v>3249</v>
      </c>
      <c r="H1075" t="s">
        <v>3250</v>
      </c>
      <c r="I1075" t="s">
        <v>3250</v>
      </c>
      <c r="J1075" t="s">
        <v>3250</v>
      </c>
      <c r="K1075" t="s">
        <v>3250</v>
      </c>
      <c r="L1075">
        <v>1200</v>
      </c>
      <c r="M1075" t="s">
        <v>2368</v>
      </c>
      <c r="N1075">
        <v>1204</v>
      </c>
      <c r="O1075" t="s">
        <v>1574</v>
      </c>
      <c r="P1075" t="s">
        <v>3108</v>
      </c>
      <c r="Q1075" t="s">
        <v>3249</v>
      </c>
      <c r="R1075" t="s">
        <v>3249</v>
      </c>
      <c r="S1075" t="s">
        <v>472</v>
      </c>
      <c r="T1075" t="s">
        <v>3251</v>
      </c>
      <c r="U1075">
        <v>140</v>
      </c>
      <c r="V1075" t="s">
        <v>1327</v>
      </c>
      <c r="W1075">
        <v>140</v>
      </c>
      <c r="X1075" t="s">
        <v>1327</v>
      </c>
      <c r="Y1075" t="s">
        <v>3250</v>
      </c>
      <c r="Z1075" t="s">
        <v>3250</v>
      </c>
      <c r="AA1075" t="s">
        <v>3108</v>
      </c>
      <c r="AB1075" t="s">
        <v>3108</v>
      </c>
      <c r="AC1075" t="s">
        <v>3250</v>
      </c>
      <c r="AD1075" t="s">
        <v>3250</v>
      </c>
      <c r="AE1075" t="s">
        <v>3250</v>
      </c>
      <c r="AF1075" t="s">
        <v>3250</v>
      </c>
      <c r="AG1075" t="s">
        <v>3250</v>
      </c>
      <c r="AH1075" t="s">
        <v>3250</v>
      </c>
      <c r="AI1075" t="s">
        <v>3250</v>
      </c>
      <c r="AJ1075" t="s">
        <v>3250</v>
      </c>
      <c r="AL1075">
        <v>141</v>
      </c>
      <c r="AM1075" t="s">
        <v>1327</v>
      </c>
      <c r="AN1075">
        <v>141</v>
      </c>
      <c r="AO1075" t="s">
        <v>1327</v>
      </c>
      <c r="AS1075" t="s">
        <v>3250</v>
      </c>
      <c r="AT1075" t="s">
        <v>3250</v>
      </c>
      <c r="AU1075" t="s">
        <v>3250</v>
      </c>
      <c r="AV1075" t="s">
        <v>3250</v>
      </c>
      <c r="AW1075" t="s">
        <v>3250</v>
      </c>
      <c r="AX1075" t="s">
        <v>3250</v>
      </c>
      <c r="AY1075" t="s">
        <v>3250</v>
      </c>
      <c r="AZ1075" t="s">
        <v>3250</v>
      </c>
      <c r="BA1075" t="s">
        <v>3250</v>
      </c>
      <c r="BB1075" t="s">
        <v>3250</v>
      </c>
      <c r="BC1075" t="s">
        <v>3250</v>
      </c>
      <c r="BE1075" t="s">
        <v>3250</v>
      </c>
      <c r="BF1075" t="s">
        <v>3250</v>
      </c>
      <c r="BG1075" t="s">
        <v>3250</v>
      </c>
      <c r="BH1075" t="s">
        <v>3250</v>
      </c>
      <c r="BI1075" t="s">
        <v>3250</v>
      </c>
      <c r="BK1075" t="s">
        <v>3250</v>
      </c>
      <c r="BL1075" t="s">
        <v>3250</v>
      </c>
      <c r="BM1075" t="s">
        <v>3250</v>
      </c>
      <c r="BN1075" t="s">
        <v>3250</v>
      </c>
      <c r="BP1075">
        <v>1</v>
      </c>
      <c r="BQ1075">
        <v>11</v>
      </c>
      <c r="BR1075" t="s">
        <v>1574</v>
      </c>
      <c r="BS1075" t="s">
        <v>3252</v>
      </c>
      <c r="BV1075">
        <v>0</v>
      </c>
      <c r="BW1075">
        <v>0</v>
      </c>
      <c r="BX1075">
        <v>0</v>
      </c>
      <c r="BY1075">
        <v>0</v>
      </c>
      <c r="BZ1075">
        <v>0</v>
      </c>
      <c r="CA1075">
        <v>0</v>
      </c>
      <c r="CB1075">
        <v>0</v>
      </c>
      <c r="CC1075">
        <v>0</v>
      </c>
      <c r="CD1075">
        <v>0</v>
      </c>
      <c r="CE1075" t="s">
        <v>3108</v>
      </c>
      <c r="CF1075" t="s">
        <v>3108</v>
      </c>
      <c r="CG1075" t="s">
        <v>3108</v>
      </c>
      <c r="CH1075" t="s">
        <v>3108</v>
      </c>
    </row>
    <row r="1076" spans="1:86" x14ac:dyDescent="0.2">
      <c r="A1076" t="s">
        <v>4885</v>
      </c>
      <c r="B1076" t="s">
        <v>4885</v>
      </c>
      <c r="C1076">
        <v>41553</v>
      </c>
      <c r="D1076">
        <v>822</v>
      </c>
      <c r="E1076" t="s">
        <v>3442</v>
      </c>
      <c r="F1076" t="s">
        <v>3249</v>
      </c>
      <c r="G1076" t="s">
        <v>3249</v>
      </c>
      <c r="H1076" t="s">
        <v>3250</v>
      </c>
      <c r="I1076" t="s">
        <v>3250</v>
      </c>
      <c r="J1076" t="s">
        <v>3250</v>
      </c>
      <c r="K1076" t="s">
        <v>3250</v>
      </c>
      <c r="L1076">
        <v>1200</v>
      </c>
      <c r="M1076" t="s">
        <v>2368</v>
      </c>
      <c r="N1076">
        <v>1204</v>
      </c>
      <c r="O1076" t="s">
        <v>1574</v>
      </c>
      <c r="P1076" t="s">
        <v>3108</v>
      </c>
      <c r="Q1076" t="s">
        <v>3249</v>
      </c>
      <c r="R1076" t="s">
        <v>3249</v>
      </c>
      <c r="S1076" t="s">
        <v>472</v>
      </c>
      <c r="T1076" t="s">
        <v>3251</v>
      </c>
      <c r="U1076">
        <v>140</v>
      </c>
      <c r="V1076" t="s">
        <v>1327</v>
      </c>
      <c r="W1076">
        <v>140</v>
      </c>
      <c r="X1076" t="s">
        <v>1327</v>
      </c>
      <c r="Y1076" t="s">
        <v>3250</v>
      </c>
      <c r="Z1076" t="s">
        <v>3250</v>
      </c>
      <c r="AA1076" t="s">
        <v>3108</v>
      </c>
      <c r="AB1076" t="s">
        <v>3108</v>
      </c>
      <c r="AC1076" t="s">
        <v>3250</v>
      </c>
      <c r="AD1076" t="s">
        <v>3250</v>
      </c>
      <c r="AE1076" t="s">
        <v>3250</v>
      </c>
      <c r="AF1076" t="s">
        <v>3250</v>
      </c>
      <c r="AG1076" t="s">
        <v>3250</v>
      </c>
      <c r="AH1076" t="s">
        <v>3250</v>
      </c>
      <c r="AI1076" t="s">
        <v>3250</v>
      </c>
      <c r="AJ1076" t="s">
        <v>3250</v>
      </c>
      <c r="AL1076">
        <v>147</v>
      </c>
      <c r="AM1076" t="s">
        <v>6</v>
      </c>
      <c r="AN1076">
        <v>147</v>
      </c>
      <c r="AO1076" t="s">
        <v>6</v>
      </c>
      <c r="AS1076" t="s">
        <v>3250</v>
      </c>
      <c r="AT1076" t="s">
        <v>3250</v>
      </c>
      <c r="AU1076" t="s">
        <v>3250</v>
      </c>
      <c r="AV1076" t="s">
        <v>3250</v>
      </c>
      <c r="AW1076" t="s">
        <v>3250</v>
      </c>
      <c r="AX1076" t="s">
        <v>3250</v>
      </c>
      <c r="AY1076" t="s">
        <v>3250</v>
      </c>
      <c r="AZ1076" t="s">
        <v>3250</v>
      </c>
      <c r="BA1076" t="s">
        <v>3250</v>
      </c>
      <c r="BB1076" t="s">
        <v>3250</v>
      </c>
      <c r="BC1076" t="s">
        <v>3250</v>
      </c>
      <c r="BE1076" t="s">
        <v>3250</v>
      </c>
      <c r="BF1076" t="s">
        <v>3250</v>
      </c>
      <c r="BG1076" t="s">
        <v>3250</v>
      </c>
      <c r="BH1076" t="s">
        <v>3250</v>
      </c>
      <c r="BI1076" t="s">
        <v>3250</v>
      </c>
      <c r="BK1076" t="s">
        <v>3250</v>
      </c>
      <c r="BL1076" t="s">
        <v>3250</v>
      </c>
      <c r="BM1076" t="s">
        <v>3250</v>
      </c>
      <c r="BN1076" t="s">
        <v>3250</v>
      </c>
      <c r="BP1076">
        <v>1</v>
      </c>
      <c r="BQ1076">
        <v>11</v>
      </c>
      <c r="BR1076" t="s">
        <v>1574</v>
      </c>
      <c r="BS1076" t="s">
        <v>3252</v>
      </c>
      <c r="BV1076">
        <v>0</v>
      </c>
      <c r="BW1076">
        <v>0</v>
      </c>
      <c r="BX1076">
        <v>0</v>
      </c>
      <c r="BY1076">
        <v>0</v>
      </c>
      <c r="BZ1076">
        <v>0</v>
      </c>
      <c r="CA1076">
        <v>0</v>
      </c>
      <c r="CB1076">
        <v>0</v>
      </c>
      <c r="CC1076">
        <v>0</v>
      </c>
      <c r="CD1076">
        <v>0</v>
      </c>
      <c r="CE1076" t="s">
        <v>3108</v>
      </c>
      <c r="CF1076" t="s">
        <v>3108</v>
      </c>
      <c r="CG1076" t="s">
        <v>3108</v>
      </c>
      <c r="CH1076" t="s">
        <v>3108</v>
      </c>
    </row>
    <row r="1077" spans="1:86" x14ac:dyDescent="0.2">
      <c r="A1077" t="s">
        <v>4886</v>
      </c>
      <c r="B1077" t="s">
        <v>4886</v>
      </c>
      <c r="C1077">
        <v>41554</v>
      </c>
      <c r="D1077">
        <v>823</v>
      </c>
      <c r="E1077" t="s">
        <v>3444</v>
      </c>
      <c r="F1077" t="s">
        <v>3249</v>
      </c>
      <c r="G1077" t="s">
        <v>3249</v>
      </c>
      <c r="H1077" t="s">
        <v>3250</v>
      </c>
      <c r="I1077" t="s">
        <v>3250</v>
      </c>
      <c r="J1077" t="s">
        <v>3250</v>
      </c>
      <c r="K1077" t="s">
        <v>3250</v>
      </c>
      <c r="L1077">
        <v>1200</v>
      </c>
      <c r="M1077" t="s">
        <v>2368</v>
      </c>
      <c r="N1077">
        <v>1204</v>
      </c>
      <c r="O1077" t="s">
        <v>1574</v>
      </c>
      <c r="P1077" t="s">
        <v>3108</v>
      </c>
      <c r="Q1077" t="s">
        <v>3249</v>
      </c>
      <c r="R1077" t="s">
        <v>3249</v>
      </c>
      <c r="S1077" t="s">
        <v>472</v>
      </c>
      <c r="T1077" t="s">
        <v>3251</v>
      </c>
      <c r="U1077">
        <v>140</v>
      </c>
      <c r="V1077" t="s">
        <v>1327</v>
      </c>
      <c r="W1077">
        <v>140</v>
      </c>
      <c r="X1077" t="s">
        <v>1327</v>
      </c>
      <c r="Y1077" t="s">
        <v>3250</v>
      </c>
      <c r="Z1077" t="s">
        <v>3250</v>
      </c>
      <c r="AA1077" t="s">
        <v>3108</v>
      </c>
      <c r="AB1077" t="s">
        <v>3108</v>
      </c>
      <c r="AC1077" t="s">
        <v>3250</v>
      </c>
      <c r="AD1077" t="s">
        <v>3250</v>
      </c>
      <c r="AE1077" t="s">
        <v>3250</v>
      </c>
      <c r="AF1077" t="s">
        <v>3250</v>
      </c>
      <c r="AG1077" t="s">
        <v>3250</v>
      </c>
      <c r="AH1077" t="s">
        <v>3250</v>
      </c>
      <c r="AI1077" t="s">
        <v>3250</v>
      </c>
      <c r="AJ1077" t="s">
        <v>3250</v>
      </c>
      <c r="AL1077">
        <v>141</v>
      </c>
      <c r="AM1077" t="s">
        <v>1327</v>
      </c>
      <c r="AN1077">
        <v>141</v>
      </c>
      <c r="AO1077" t="s">
        <v>1327</v>
      </c>
      <c r="AS1077" t="s">
        <v>3250</v>
      </c>
      <c r="AT1077" t="s">
        <v>3250</v>
      </c>
      <c r="AU1077" t="s">
        <v>3250</v>
      </c>
      <c r="AV1077" t="s">
        <v>3250</v>
      </c>
      <c r="AW1077" t="s">
        <v>3250</v>
      </c>
      <c r="AX1077" t="s">
        <v>3250</v>
      </c>
      <c r="AY1077" t="s">
        <v>3250</v>
      </c>
      <c r="AZ1077" t="s">
        <v>3250</v>
      </c>
      <c r="BA1077" t="s">
        <v>3250</v>
      </c>
      <c r="BB1077" t="s">
        <v>3250</v>
      </c>
      <c r="BC1077" t="s">
        <v>3250</v>
      </c>
      <c r="BE1077" t="s">
        <v>3250</v>
      </c>
      <c r="BF1077" t="s">
        <v>3250</v>
      </c>
      <c r="BG1077" t="s">
        <v>3250</v>
      </c>
      <c r="BH1077" t="s">
        <v>3250</v>
      </c>
      <c r="BI1077" t="s">
        <v>3250</v>
      </c>
      <c r="BK1077" t="s">
        <v>3250</v>
      </c>
      <c r="BL1077" t="s">
        <v>3250</v>
      </c>
      <c r="BM1077" t="s">
        <v>3250</v>
      </c>
      <c r="BN1077" t="s">
        <v>3250</v>
      </c>
      <c r="BP1077">
        <v>1</v>
      </c>
      <c r="BQ1077">
        <v>11</v>
      </c>
      <c r="BR1077" t="s">
        <v>1574</v>
      </c>
      <c r="BS1077" t="s">
        <v>3252</v>
      </c>
      <c r="BV1077">
        <v>0</v>
      </c>
      <c r="BW1077">
        <v>0</v>
      </c>
      <c r="BX1077">
        <v>0</v>
      </c>
      <c r="BY1077">
        <v>0</v>
      </c>
      <c r="BZ1077">
        <v>0</v>
      </c>
      <c r="CA1077">
        <v>0</v>
      </c>
      <c r="CB1077">
        <v>0</v>
      </c>
      <c r="CC1077">
        <v>0</v>
      </c>
      <c r="CD1077">
        <v>0</v>
      </c>
      <c r="CE1077" t="s">
        <v>3108</v>
      </c>
      <c r="CF1077" t="s">
        <v>3108</v>
      </c>
      <c r="CG1077" t="s">
        <v>3108</v>
      </c>
      <c r="CH1077" t="s">
        <v>3108</v>
      </c>
    </row>
    <row r="1078" spans="1:86" x14ac:dyDescent="0.2">
      <c r="A1078" t="s">
        <v>4887</v>
      </c>
      <c r="B1078" t="s">
        <v>4887</v>
      </c>
      <c r="C1078">
        <v>41555</v>
      </c>
      <c r="D1078">
        <v>824</v>
      </c>
      <c r="E1078" t="s">
        <v>3446</v>
      </c>
      <c r="F1078" t="s">
        <v>3249</v>
      </c>
      <c r="G1078" t="s">
        <v>3249</v>
      </c>
      <c r="H1078" t="s">
        <v>3250</v>
      </c>
      <c r="I1078" t="s">
        <v>3250</v>
      </c>
      <c r="J1078" t="s">
        <v>3250</v>
      </c>
      <c r="K1078" t="s">
        <v>3250</v>
      </c>
      <c r="L1078">
        <v>1200</v>
      </c>
      <c r="M1078" t="s">
        <v>2368</v>
      </c>
      <c r="N1078">
        <v>1204</v>
      </c>
      <c r="O1078" t="s">
        <v>1574</v>
      </c>
      <c r="P1078" t="s">
        <v>3108</v>
      </c>
      <c r="Q1078" t="s">
        <v>3249</v>
      </c>
      <c r="R1078" t="s">
        <v>3249</v>
      </c>
      <c r="S1078" t="s">
        <v>472</v>
      </c>
      <c r="T1078" t="s">
        <v>3251</v>
      </c>
      <c r="U1078">
        <v>140</v>
      </c>
      <c r="V1078" t="s">
        <v>1327</v>
      </c>
      <c r="W1078">
        <v>140</v>
      </c>
      <c r="X1078" t="s">
        <v>1327</v>
      </c>
      <c r="Y1078" t="s">
        <v>3250</v>
      </c>
      <c r="Z1078" t="s">
        <v>3250</v>
      </c>
      <c r="AA1078" t="s">
        <v>3108</v>
      </c>
      <c r="AB1078" t="s">
        <v>3108</v>
      </c>
      <c r="AC1078" t="s">
        <v>3250</v>
      </c>
      <c r="AD1078" t="s">
        <v>3250</v>
      </c>
      <c r="AE1078" t="s">
        <v>3250</v>
      </c>
      <c r="AF1078" t="s">
        <v>3250</v>
      </c>
      <c r="AG1078" t="s">
        <v>3250</v>
      </c>
      <c r="AH1078" t="s">
        <v>3250</v>
      </c>
      <c r="AI1078" t="s">
        <v>3250</v>
      </c>
      <c r="AJ1078" t="s">
        <v>3250</v>
      </c>
      <c r="AL1078">
        <v>141</v>
      </c>
      <c r="AM1078" t="s">
        <v>1327</v>
      </c>
      <c r="AN1078">
        <v>141</v>
      </c>
      <c r="AO1078" t="s">
        <v>1327</v>
      </c>
      <c r="AS1078" t="s">
        <v>3250</v>
      </c>
      <c r="AT1078" t="s">
        <v>3250</v>
      </c>
      <c r="AU1078" t="s">
        <v>3250</v>
      </c>
      <c r="AV1078" t="s">
        <v>3250</v>
      </c>
      <c r="AW1078" t="s">
        <v>3250</v>
      </c>
      <c r="AX1078" t="s">
        <v>3250</v>
      </c>
      <c r="AY1078" t="s">
        <v>3250</v>
      </c>
      <c r="AZ1078" t="s">
        <v>3250</v>
      </c>
      <c r="BA1078" t="s">
        <v>3250</v>
      </c>
      <c r="BB1078" t="s">
        <v>3250</v>
      </c>
      <c r="BC1078" t="s">
        <v>3250</v>
      </c>
      <c r="BE1078" t="s">
        <v>3250</v>
      </c>
      <c r="BF1078" t="s">
        <v>3250</v>
      </c>
      <c r="BG1078" t="s">
        <v>3250</v>
      </c>
      <c r="BH1078" t="s">
        <v>3250</v>
      </c>
      <c r="BI1078" t="s">
        <v>3250</v>
      </c>
      <c r="BK1078" t="s">
        <v>3250</v>
      </c>
      <c r="BL1078" t="s">
        <v>3250</v>
      </c>
      <c r="BM1078" t="s">
        <v>3250</v>
      </c>
      <c r="BN1078" t="s">
        <v>3250</v>
      </c>
      <c r="BP1078">
        <v>1</v>
      </c>
      <c r="BQ1078">
        <v>11</v>
      </c>
      <c r="BR1078" t="s">
        <v>1574</v>
      </c>
      <c r="BS1078" t="s">
        <v>3252</v>
      </c>
      <c r="BV1078">
        <v>0</v>
      </c>
      <c r="BW1078">
        <v>0</v>
      </c>
      <c r="BX1078">
        <v>0</v>
      </c>
      <c r="BY1078">
        <v>0</v>
      </c>
      <c r="BZ1078">
        <v>0</v>
      </c>
      <c r="CA1078">
        <v>0</v>
      </c>
      <c r="CB1078">
        <v>0</v>
      </c>
      <c r="CC1078">
        <v>0</v>
      </c>
      <c r="CD1078">
        <v>0</v>
      </c>
      <c r="CE1078" t="s">
        <v>3108</v>
      </c>
      <c r="CF1078" t="s">
        <v>3108</v>
      </c>
      <c r="CG1078" t="s">
        <v>3108</v>
      </c>
      <c r="CH1078" t="s">
        <v>3108</v>
      </c>
    </row>
    <row r="1079" spans="1:86" x14ac:dyDescent="0.2">
      <c r="A1079" t="s">
        <v>4888</v>
      </c>
      <c r="B1079" t="s">
        <v>4888</v>
      </c>
      <c r="C1079">
        <v>41556</v>
      </c>
      <c r="D1079">
        <v>825</v>
      </c>
      <c r="E1079" t="s">
        <v>3448</v>
      </c>
      <c r="F1079" t="s">
        <v>3249</v>
      </c>
      <c r="G1079" t="s">
        <v>3249</v>
      </c>
      <c r="H1079" t="s">
        <v>3250</v>
      </c>
      <c r="I1079" t="s">
        <v>3250</v>
      </c>
      <c r="J1079" t="s">
        <v>3250</v>
      </c>
      <c r="K1079" t="s">
        <v>3250</v>
      </c>
      <c r="L1079">
        <v>1200</v>
      </c>
      <c r="M1079" t="s">
        <v>2368</v>
      </c>
      <c r="N1079">
        <v>1204</v>
      </c>
      <c r="O1079" t="s">
        <v>1574</v>
      </c>
      <c r="P1079" t="s">
        <v>3108</v>
      </c>
      <c r="Q1079" t="s">
        <v>3249</v>
      </c>
      <c r="R1079" t="s">
        <v>3249</v>
      </c>
      <c r="S1079" t="s">
        <v>472</v>
      </c>
      <c r="T1079" t="s">
        <v>3251</v>
      </c>
      <c r="U1079">
        <v>140</v>
      </c>
      <c r="V1079" t="s">
        <v>1327</v>
      </c>
      <c r="W1079">
        <v>140</v>
      </c>
      <c r="X1079" t="s">
        <v>1327</v>
      </c>
      <c r="Y1079" t="s">
        <v>3250</v>
      </c>
      <c r="Z1079" t="s">
        <v>3250</v>
      </c>
      <c r="AA1079" t="s">
        <v>3108</v>
      </c>
      <c r="AB1079" t="s">
        <v>3108</v>
      </c>
      <c r="AC1079" t="s">
        <v>3250</v>
      </c>
      <c r="AD1079" t="s">
        <v>3250</v>
      </c>
      <c r="AE1079" t="s">
        <v>3250</v>
      </c>
      <c r="AF1079" t="s">
        <v>3250</v>
      </c>
      <c r="AG1079" t="s">
        <v>3250</v>
      </c>
      <c r="AH1079" t="s">
        <v>3250</v>
      </c>
      <c r="AI1079" t="s">
        <v>3250</v>
      </c>
      <c r="AJ1079" t="s">
        <v>3250</v>
      </c>
      <c r="AL1079">
        <v>141</v>
      </c>
      <c r="AM1079" t="s">
        <v>1327</v>
      </c>
      <c r="AN1079">
        <v>141</v>
      </c>
      <c r="AO1079" t="s">
        <v>1327</v>
      </c>
      <c r="AS1079" t="s">
        <v>3250</v>
      </c>
      <c r="AT1079" t="s">
        <v>3250</v>
      </c>
      <c r="AU1079" t="s">
        <v>3250</v>
      </c>
      <c r="AV1079" t="s">
        <v>3250</v>
      </c>
      <c r="AW1079" t="s">
        <v>3250</v>
      </c>
      <c r="AX1079" t="s">
        <v>3250</v>
      </c>
      <c r="AY1079" t="s">
        <v>3250</v>
      </c>
      <c r="AZ1079" t="s">
        <v>3250</v>
      </c>
      <c r="BA1079" t="s">
        <v>3250</v>
      </c>
      <c r="BB1079" t="s">
        <v>3250</v>
      </c>
      <c r="BC1079" t="s">
        <v>3250</v>
      </c>
      <c r="BE1079" t="s">
        <v>3250</v>
      </c>
      <c r="BF1079" t="s">
        <v>3250</v>
      </c>
      <c r="BG1079" t="s">
        <v>3250</v>
      </c>
      <c r="BH1079" t="s">
        <v>3250</v>
      </c>
      <c r="BI1079" t="s">
        <v>3250</v>
      </c>
      <c r="BK1079" t="s">
        <v>3250</v>
      </c>
      <c r="BL1079" t="s">
        <v>3250</v>
      </c>
      <c r="BM1079" t="s">
        <v>3250</v>
      </c>
      <c r="BN1079" t="s">
        <v>3250</v>
      </c>
      <c r="BP1079">
        <v>1</v>
      </c>
      <c r="BQ1079">
        <v>11</v>
      </c>
      <c r="BR1079" t="s">
        <v>1574</v>
      </c>
      <c r="BS1079" t="s">
        <v>3252</v>
      </c>
      <c r="BV1079">
        <v>0</v>
      </c>
      <c r="BW1079">
        <v>0</v>
      </c>
      <c r="BX1079">
        <v>0</v>
      </c>
      <c r="BY1079">
        <v>0</v>
      </c>
      <c r="BZ1079">
        <v>0</v>
      </c>
      <c r="CA1079">
        <v>0</v>
      </c>
      <c r="CB1079">
        <v>0</v>
      </c>
      <c r="CC1079">
        <v>0</v>
      </c>
      <c r="CD1079">
        <v>0</v>
      </c>
      <c r="CE1079" t="s">
        <v>3108</v>
      </c>
      <c r="CF1079" t="s">
        <v>3108</v>
      </c>
      <c r="CG1079" t="s">
        <v>3108</v>
      </c>
      <c r="CH1079" t="s">
        <v>3108</v>
      </c>
    </row>
    <row r="1080" spans="1:86" x14ac:dyDescent="0.2">
      <c r="A1080" t="s">
        <v>4889</v>
      </c>
      <c r="B1080" t="s">
        <v>4889</v>
      </c>
      <c r="C1080">
        <v>41557</v>
      </c>
      <c r="D1080">
        <v>826</v>
      </c>
      <c r="E1080" t="s">
        <v>3422</v>
      </c>
      <c r="F1080" t="s">
        <v>3249</v>
      </c>
      <c r="G1080" t="s">
        <v>3249</v>
      </c>
      <c r="H1080" t="s">
        <v>3250</v>
      </c>
      <c r="I1080" t="s">
        <v>3250</v>
      </c>
      <c r="J1080" t="s">
        <v>3250</v>
      </c>
      <c r="K1080" t="s">
        <v>3250</v>
      </c>
      <c r="L1080">
        <v>1200</v>
      </c>
      <c r="M1080" t="s">
        <v>2368</v>
      </c>
      <c r="N1080">
        <v>1204</v>
      </c>
      <c r="O1080" t="s">
        <v>1574</v>
      </c>
      <c r="P1080" t="s">
        <v>3108</v>
      </c>
      <c r="Q1080" t="s">
        <v>3249</v>
      </c>
      <c r="R1080" t="s">
        <v>3249</v>
      </c>
      <c r="S1080" t="s">
        <v>472</v>
      </c>
      <c r="T1080" t="s">
        <v>3251</v>
      </c>
      <c r="U1080">
        <v>140</v>
      </c>
      <c r="V1080" t="s">
        <v>1327</v>
      </c>
      <c r="W1080">
        <v>140</v>
      </c>
      <c r="X1080" t="s">
        <v>1327</v>
      </c>
      <c r="Y1080" t="s">
        <v>3250</v>
      </c>
      <c r="Z1080" t="s">
        <v>3250</v>
      </c>
      <c r="AA1080" t="s">
        <v>3108</v>
      </c>
      <c r="AB1080" t="s">
        <v>3108</v>
      </c>
      <c r="AC1080" t="s">
        <v>3250</v>
      </c>
      <c r="AD1080" t="s">
        <v>3250</v>
      </c>
      <c r="AE1080" t="s">
        <v>3250</v>
      </c>
      <c r="AF1080" t="s">
        <v>3250</v>
      </c>
      <c r="AG1080" t="s">
        <v>3250</v>
      </c>
      <c r="AH1080" t="s">
        <v>3250</v>
      </c>
      <c r="AI1080" t="s">
        <v>3250</v>
      </c>
      <c r="AJ1080" t="s">
        <v>3250</v>
      </c>
      <c r="AL1080">
        <v>141</v>
      </c>
      <c r="AM1080" t="s">
        <v>1327</v>
      </c>
      <c r="AN1080">
        <v>141</v>
      </c>
      <c r="AO1080" t="s">
        <v>1327</v>
      </c>
      <c r="AS1080" t="s">
        <v>3250</v>
      </c>
      <c r="AT1080" t="s">
        <v>3250</v>
      </c>
      <c r="AU1080" t="s">
        <v>3250</v>
      </c>
      <c r="AV1080" t="s">
        <v>3250</v>
      </c>
      <c r="AW1080" t="s">
        <v>3250</v>
      </c>
      <c r="AX1080" t="s">
        <v>3250</v>
      </c>
      <c r="AY1080" t="s">
        <v>3250</v>
      </c>
      <c r="AZ1080" t="s">
        <v>3250</v>
      </c>
      <c r="BA1080" t="s">
        <v>3250</v>
      </c>
      <c r="BB1080" t="s">
        <v>3250</v>
      </c>
      <c r="BC1080" t="s">
        <v>3250</v>
      </c>
      <c r="BE1080" t="s">
        <v>3250</v>
      </c>
      <c r="BF1080" t="s">
        <v>3250</v>
      </c>
      <c r="BG1080" t="s">
        <v>3250</v>
      </c>
      <c r="BH1080" t="s">
        <v>3250</v>
      </c>
      <c r="BI1080" t="s">
        <v>3250</v>
      </c>
      <c r="BK1080" t="s">
        <v>3250</v>
      </c>
      <c r="BL1080" t="s">
        <v>3250</v>
      </c>
      <c r="BM1080" t="s">
        <v>3250</v>
      </c>
      <c r="BN1080" t="s">
        <v>3250</v>
      </c>
      <c r="BP1080">
        <v>1</v>
      </c>
      <c r="BQ1080">
        <v>11</v>
      </c>
      <c r="BR1080" t="s">
        <v>1574</v>
      </c>
      <c r="BS1080" t="s">
        <v>3252</v>
      </c>
      <c r="BV1080">
        <v>0</v>
      </c>
      <c r="BW1080">
        <v>0</v>
      </c>
      <c r="BX1080">
        <v>0</v>
      </c>
      <c r="BY1080">
        <v>0</v>
      </c>
      <c r="BZ1080">
        <v>0</v>
      </c>
      <c r="CA1080">
        <v>0</v>
      </c>
      <c r="CB1080">
        <v>0</v>
      </c>
      <c r="CC1080">
        <v>0</v>
      </c>
      <c r="CD1080">
        <v>0</v>
      </c>
      <c r="CE1080" t="s">
        <v>3108</v>
      </c>
      <c r="CF1080" t="s">
        <v>3108</v>
      </c>
      <c r="CG1080" t="s">
        <v>3108</v>
      </c>
      <c r="CH1080" t="s">
        <v>3108</v>
      </c>
    </row>
    <row r="1081" spans="1:86" x14ac:dyDescent="0.2">
      <c r="A1081" t="s">
        <v>4890</v>
      </c>
      <c r="B1081" t="s">
        <v>4890</v>
      </c>
      <c r="C1081">
        <v>41558</v>
      </c>
      <c r="D1081">
        <v>827</v>
      </c>
      <c r="E1081" t="s">
        <v>3424</v>
      </c>
      <c r="F1081" t="s">
        <v>3249</v>
      </c>
      <c r="G1081" t="s">
        <v>3249</v>
      </c>
      <c r="H1081" t="s">
        <v>3250</v>
      </c>
      <c r="I1081" t="s">
        <v>3250</v>
      </c>
      <c r="J1081" t="s">
        <v>3250</v>
      </c>
      <c r="K1081" t="s">
        <v>3250</v>
      </c>
      <c r="L1081">
        <v>1200</v>
      </c>
      <c r="M1081" t="s">
        <v>2368</v>
      </c>
      <c r="N1081">
        <v>1204</v>
      </c>
      <c r="O1081" t="s">
        <v>1574</v>
      </c>
      <c r="P1081" t="s">
        <v>3108</v>
      </c>
      <c r="Q1081" t="s">
        <v>3249</v>
      </c>
      <c r="R1081" t="s">
        <v>3249</v>
      </c>
      <c r="S1081" t="s">
        <v>472</v>
      </c>
      <c r="T1081" t="s">
        <v>3251</v>
      </c>
      <c r="U1081">
        <v>140</v>
      </c>
      <c r="V1081" t="s">
        <v>1327</v>
      </c>
      <c r="W1081">
        <v>140</v>
      </c>
      <c r="X1081" t="s">
        <v>1327</v>
      </c>
      <c r="Y1081" t="s">
        <v>3250</v>
      </c>
      <c r="Z1081" t="s">
        <v>3250</v>
      </c>
      <c r="AA1081" t="s">
        <v>3108</v>
      </c>
      <c r="AB1081" t="s">
        <v>3108</v>
      </c>
      <c r="AC1081" t="s">
        <v>3250</v>
      </c>
      <c r="AD1081" t="s">
        <v>3250</v>
      </c>
      <c r="AE1081" t="s">
        <v>3250</v>
      </c>
      <c r="AF1081" t="s">
        <v>3250</v>
      </c>
      <c r="AG1081" t="s">
        <v>3250</v>
      </c>
      <c r="AH1081" t="s">
        <v>3250</v>
      </c>
      <c r="AI1081" t="s">
        <v>3250</v>
      </c>
      <c r="AJ1081" t="s">
        <v>3250</v>
      </c>
      <c r="AL1081">
        <v>141</v>
      </c>
      <c r="AM1081" t="s">
        <v>1327</v>
      </c>
      <c r="AN1081">
        <v>141</v>
      </c>
      <c r="AO1081" t="s">
        <v>1327</v>
      </c>
      <c r="AS1081" t="s">
        <v>3250</v>
      </c>
      <c r="AT1081" t="s">
        <v>3250</v>
      </c>
      <c r="AU1081" t="s">
        <v>3250</v>
      </c>
      <c r="AV1081" t="s">
        <v>3250</v>
      </c>
      <c r="AW1081" t="s">
        <v>3250</v>
      </c>
      <c r="AX1081" t="s">
        <v>3250</v>
      </c>
      <c r="AY1081" t="s">
        <v>3250</v>
      </c>
      <c r="AZ1081" t="s">
        <v>3250</v>
      </c>
      <c r="BA1081" t="s">
        <v>3250</v>
      </c>
      <c r="BB1081" t="s">
        <v>3250</v>
      </c>
      <c r="BC1081" t="s">
        <v>3250</v>
      </c>
      <c r="BE1081" t="s">
        <v>3250</v>
      </c>
      <c r="BF1081" t="s">
        <v>3250</v>
      </c>
      <c r="BG1081" t="s">
        <v>3250</v>
      </c>
      <c r="BH1081" t="s">
        <v>3250</v>
      </c>
      <c r="BI1081" t="s">
        <v>3250</v>
      </c>
      <c r="BK1081" t="s">
        <v>3250</v>
      </c>
      <c r="BL1081" t="s">
        <v>3250</v>
      </c>
      <c r="BM1081" t="s">
        <v>3250</v>
      </c>
      <c r="BN1081" t="s">
        <v>3250</v>
      </c>
      <c r="BP1081">
        <v>1</v>
      </c>
      <c r="BQ1081">
        <v>11</v>
      </c>
      <c r="BR1081" t="s">
        <v>1574</v>
      </c>
      <c r="BS1081" t="s">
        <v>3252</v>
      </c>
      <c r="BV1081">
        <v>0</v>
      </c>
      <c r="BW1081">
        <v>0</v>
      </c>
      <c r="BX1081">
        <v>0</v>
      </c>
      <c r="BY1081">
        <v>0</v>
      </c>
      <c r="BZ1081">
        <v>0</v>
      </c>
      <c r="CA1081">
        <v>0</v>
      </c>
      <c r="CB1081">
        <v>0</v>
      </c>
      <c r="CC1081">
        <v>0</v>
      </c>
      <c r="CD1081">
        <v>0</v>
      </c>
      <c r="CE1081" t="s">
        <v>3108</v>
      </c>
      <c r="CF1081" t="s">
        <v>3108</v>
      </c>
      <c r="CG1081" t="s">
        <v>3108</v>
      </c>
      <c r="CH1081" t="s">
        <v>3108</v>
      </c>
    </row>
    <row r="1082" spans="1:86" x14ac:dyDescent="0.2">
      <c r="A1082" t="s">
        <v>4891</v>
      </c>
      <c r="B1082" t="s">
        <v>4891</v>
      </c>
      <c r="C1082">
        <v>41559</v>
      </c>
      <c r="D1082">
        <v>828</v>
      </c>
      <c r="E1082" t="s">
        <v>3426</v>
      </c>
      <c r="F1082" t="s">
        <v>3249</v>
      </c>
      <c r="G1082" t="s">
        <v>3249</v>
      </c>
      <c r="H1082" t="s">
        <v>3250</v>
      </c>
      <c r="I1082" t="s">
        <v>3250</v>
      </c>
      <c r="J1082" t="s">
        <v>3250</v>
      </c>
      <c r="K1082" t="s">
        <v>3250</v>
      </c>
      <c r="L1082">
        <v>1200</v>
      </c>
      <c r="M1082" t="s">
        <v>2368</v>
      </c>
      <c r="N1082">
        <v>1204</v>
      </c>
      <c r="O1082" t="s">
        <v>1574</v>
      </c>
      <c r="P1082" t="s">
        <v>3108</v>
      </c>
      <c r="Q1082" t="s">
        <v>3249</v>
      </c>
      <c r="R1082" t="s">
        <v>3249</v>
      </c>
      <c r="S1082" t="s">
        <v>472</v>
      </c>
      <c r="T1082" t="s">
        <v>3251</v>
      </c>
      <c r="U1082">
        <v>140</v>
      </c>
      <c r="V1082" t="s">
        <v>1327</v>
      </c>
      <c r="W1082">
        <v>140</v>
      </c>
      <c r="X1082" t="s">
        <v>1327</v>
      </c>
      <c r="Y1082" t="s">
        <v>3250</v>
      </c>
      <c r="Z1082" t="s">
        <v>3250</v>
      </c>
      <c r="AA1082" t="s">
        <v>3108</v>
      </c>
      <c r="AB1082" t="s">
        <v>3108</v>
      </c>
      <c r="AC1082" t="s">
        <v>3250</v>
      </c>
      <c r="AD1082" t="s">
        <v>3250</v>
      </c>
      <c r="AE1082" t="s">
        <v>3250</v>
      </c>
      <c r="AF1082" t="s">
        <v>3250</v>
      </c>
      <c r="AG1082" t="s">
        <v>3250</v>
      </c>
      <c r="AH1082" t="s">
        <v>3250</v>
      </c>
      <c r="AI1082" t="s">
        <v>3250</v>
      </c>
      <c r="AJ1082" t="s">
        <v>3250</v>
      </c>
      <c r="AL1082">
        <v>147</v>
      </c>
      <c r="AM1082" t="s">
        <v>6</v>
      </c>
      <c r="AN1082">
        <v>147</v>
      </c>
      <c r="AO1082" t="s">
        <v>6</v>
      </c>
      <c r="AS1082" t="s">
        <v>3250</v>
      </c>
      <c r="AT1082" t="s">
        <v>3250</v>
      </c>
      <c r="AU1082" t="s">
        <v>3250</v>
      </c>
      <c r="AV1082" t="s">
        <v>3250</v>
      </c>
      <c r="AW1082" t="s">
        <v>3250</v>
      </c>
      <c r="AX1082" t="s">
        <v>3250</v>
      </c>
      <c r="AY1082" t="s">
        <v>3250</v>
      </c>
      <c r="AZ1082" t="s">
        <v>3250</v>
      </c>
      <c r="BA1082" t="s">
        <v>3250</v>
      </c>
      <c r="BB1082" t="s">
        <v>3250</v>
      </c>
      <c r="BC1082" t="s">
        <v>3250</v>
      </c>
      <c r="BE1082" t="s">
        <v>3250</v>
      </c>
      <c r="BF1082" t="s">
        <v>3250</v>
      </c>
      <c r="BG1082" t="s">
        <v>3250</v>
      </c>
      <c r="BH1082" t="s">
        <v>3250</v>
      </c>
      <c r="BI1082" t="s">
        <v>3250</v>
      </c>
      <c r="BK1082" t="s">
        <v>3250</v>
      </c>
      <c r="BL1082" t="s">
        <v>3250</v>
      </c>
      <c r="BM1082" t="s">
        <v>3250</v>
      </c>
      <c r="BN1082" t="s">
        <v>3250</v>
      </c>
      <c r="BP1082">
        <v>1</v>
      </c>
      <c r="BQ1082">
        <v>11</v>
      </c>
      <c r="BR1082" t="s">
        <v>1574</v>
      </c>
      <c r="BS1082" t="s">
        <v>3252</v>
      </c>
      <c r="BV1082">
        <v>0</v>
      </c>
      <c r="BW1082">
        <v>0</v>
      </c>
      <c r="BX1082">
        <v>0</v>
      </c>
      <c r="BY1082">
        <v>0</v>
      </c>
      <c r="BZ1082">
        <v>0</v>
      </c>
      <c r="CA1082">
        <v>0</v>
      </c>
      <c r="CB1082">
        <v>0</v>
      </c>
      <c r="CC1082">
        <v>0</v>
      </c>
      <c r="CD1082">
        <v>0</v>
      </c>
      <c r="CE1082" t="s">
        <v>3108</v>
      </c>
      <c r="CF1082" t="s">
        <v>3108</v>
      </c>
      <c r="CG1082" t="s">
        <v>3108</v>
      </c>
      <c r="CH1082" t="s">
        <v>3108</v>
      </c>
    </row>
    <row r="1083" spans="1:86" x14ac:dyDescent="0.2">
      <c r="A1083" t="s">
        <v>4892</v>
      </c>
      <c r="B1083" t="s">
        <v>4892</v>
      </c>
      <c r="C1083">
        <v>41560</v>
      </c>
      <c r="D1083">
        <v>829</v>
      </c>
      <c r="E1083" t="s">
        <v>3428</v>
      </c>
      <c r="F1083" t="s">
        <v>3249</v>
      </c>
      <c r="G1083" t="s">
        <v>3249</v>
      </c>
      <c r="H1083" t="s">
        <v>3250</v>
      </c>
      <c r="I1083" t="s">
        <v>3250</v>
      </c>
      <c r="J1083" t="s">
        <v>3250</v>
      </c>
      <c r="K1083" t="s">
        <v>3250</v>
      </c>
      <c r="L1083">
        <v>1200</v>
      </c>
      <c r="M1083" t="s">
        <v>2368</v>
      </c>
      <c r="N1083">
        <v>1204</v>
      </c>
      <c r="O1083" t="s">
        <v>1574</v>
      </c>
      <c r="P1083" t="s">
        <v>3108</v>
      </c>
      <c r="Q1083" t="s">
        <v>3249</v>
      </c>
      <c r="R1083" t="s">
        <v>3249</v>
      </c>
      <c r="S1083" t="s">
        <v>472</v>
      </c>
      <c r="T1083" t="s">
        <v>3251</v>
      </c>
      <c r="U1083">
        <v>140</v>
      </c>
      <c r="V1083" t="s">
        <v>1327</v>
      </c>
      <c r="W1083">
        <v>140</v>
      </c>
      <c r="X1083" t="s">
        <v>1327</v>
      </c>
      <c r="Y1083" t="s">
        <v>3250</v>
      </c>
      <c r="Z1083" t="s">
        <v>3250</v>
      </c>
      <c r="AA1083" t="s">
        <v>3108</v>
      </c>
      <c r="AB1083" t="s">
        <v>3108</v>
      </c>
      <c r="AC1083" t="s">
        <v>3250</v>
      </c>
      <c r="AD1083" t="s">
        <v>3250</v>
      </c>
      <c r="AE1083" t="s">
        <v>3250</v>
      </c>
      <c r="AF1083" t="s">
        <v>3250</v>
      </c>
      <c r="AG1083" t="s">
        <v>3250</v>
      </c>
      <c r="AH1083" t="s">
        <v>3250</v>
      </c>
      <c r="AI1083" t="s">
        <v>3250</v>
      </c>
      <c r="AJ1083" t="s">
        <v>3250</v>
      </c>
      <c r="AL1083">
        <v>141</v>
      </c>
      <c r="AM1083" t="s">
        <v>1327</v>
      </c>
      <c r="AN1083">
        <v>141</v>
      </c>
      <c r="AO1083" t="s">
        <v>1327</v>
      </c>
      <c r="AS1083" t="s">
        <v>3250</v>
      </c>
      <c r="AT1083" t="s">
        <v>3250</v>
      </c>
      <c r="AU1083" t="s">
        <v>3250</v>
      </c>
      <c r="AV1083" t="s">
        <v>3250</v>
      </c>
      <c r="AW1083" t="s">
        <v>3250</v>
      </c>
      <c r="AX1083" t="s">
        <v>3250</v>
      </c>
      <c r="AY1083" t="s">
        <v>3250</v>
      </c>
      <c r="AZ1083" t="s">
        <v>3250</v>
      </c>
      <c r="BA1083" t="s">
        <v>3250</v>
      </c>
      <c r="BB1083" t="s">
        <v>3250</v>
      </c>
      <c r="BC1083" t="s">
        <v>3250</v>
      </c>
      <c r="BE1083" t="s">
        <v>3250</v>
      </c>
      <c r="BF1083" t="s">
        <v>3250</v>
      </c>
      <c r="BG1083" t="s">
        <v>3250</v>
      </c>
      <c r="BH1083" t="s">
        <v>3250</v>
      </c>
      <c r="BI1083" t="s">
        <v>3250</v>
      </c>
      <c r="BK1083" t="s">
        <v>3250</v>
      </c>
      <c r="BL1083" t="s">
        <v>3250</v>
      </c>
      <c r="BM1083" t="s">
        <v>3250</v>
      </c>
      <c r="BN1083" t="s">
        <v>3250</v>
      </c>
      <c r="BP1083">
        <v>1</v>
      </c>
      <c r="BQ1083">
        <v>11</v>
      </c>
      <c r="BR1083" t="s">
        <v>1574</v>
      </c>
      <c r="BS1083" t="s">
        <v>3252</v>
      </c>
      <c r="BV1083">
        <v>0</v>
      </c>
      <c r="BW1083">
        <v>0</v>
      </c>
      <c r="BX1083">
        <v>0</v>
      </c>
      <c r="BY1083">
        <v>0</v>
      </c>
      <c r="BZ1083">
        <v>0</v>
      </c>
      <c r="CA1083">
        <v>0</v>
      </c>
      <c r="CB1083">
        <v>0</v>
      </c>
      <c r="CC1083">
        <v>0</v>
      </c>
      <c r="CD1083">
        <v>0</v>
      </c>
      <c r="CE1083" t="s">
        <v>3108</v>
      </c>
      <c r="CF1083" t="s">
        <v>3108</v>
      </c>
      <c r="CG1083" t="s">
        <v>3108</v>
      </c>
      <c r="CH1083" t="s">
        <v>3108</v>
      </c>
    </row>
    <row r="1084" spans="1:86" x14ac:dyDescent="0.2">
      <c r="A1084" t="s">
        <v>4893</v>
      </c>
      <c r="B1084" t="s">
        <v>4893</v>
      </c>
      <c r="C1084">
        <v>41561</v>
      </c>
      <c r="D1084">
        <v>830</v>
      </c>
      <c r="E1084" t="s">
        <v>3256</v>
      </c>
      <c r="F1084" t="s">
        <v>3249</v>
      </c>
      <c r="G1084" t="s">
        <v>3249</v>
      </c>
      <c r="H1084" t="s">
        <v>3250</v>
      </c>
      <c r="I1084" t="s">
        <v>3250</v>
      </c>
      <c r="J1084" t="s">
        <v>3250</v>
      </c>
      <c r="K1084" t="s">
        <v>3250</v>
      </c>
      <c r="L1084">
        <v>1200</v>
      </c>
      <c r="M1084" t="s">
        <v>2368</v>
      </c>
      <c r="N1084">
        <v>1204</v>
      </c>
      <c r="O1084" t="s">
        <v>1574</v>
      </c>
      <c r="P1084" t="s">
        <v>3108</v>
      </c>
      <c r="Q1084" t="s">
        <v>3249</v>
      </c>
      <c r="R1084" t="s">
        <v>3249</v>
      </c>
      <c r="S1084" t="s">
        <v>472</v>
      </c>
      <c r="T1084" t="s">
        <v>3251</v>
      </c>
      <c r="U1084">
        <v>140</v>
      </c>
      <c r="V1084" t="s">
        <v>1327</v>
      </c>
      <c r="W1084">
        <v>140</v>
      </c>
      <c r="X1084" t="s">
        <v>1327</v>
      </c>
      <c r="Y1084" t="s">
        <v>3250</v>
      </c>
      <c r="Z1084" t="s">
        <v>3250</v>
      </c>
      <c r="AA1084" t="s">
        <v>3108</v>
      </c>
      <c r="AB1084" t="s">
        <v>3108</v>
      </c>
      <c r="AC1084" t="s">
        <v>3250</v>
      </c>
      <c r="AD1084" t="s">
        <v>3250</v>
      </c>
      <c r="AE1084" t="s">
        <v>3250</v>
      </c>
      <c r="AF1084" t="s">
        <v>3250</v>
      </c>
      <c r="AG1084" t="s">
        <v>3250</v>
      </c>
      <c r="AH1084" t="s">
        <v>3250</v>
      </c>
      <c r="AI1084" t="s">
        <v>3250</v>
      </c>
      <c r="AJ1084" t="s">
        <v>3250</v>
      </c>
      <c r="AL1084">
        <v>141</v>
      </c>
      <c r="AM1084" t="s">
        <v>1327</v>
      </c>
      <c r="AN1084">
        <v>141</v>
      </c>
      <c r="AO1084" t="s">
        <v>1327</v>
      </c>
      <c r="AS1084" t="s">
        <v>3250</v>
      </c>
      <c r="AT1084" t="s">
        <v>3250</v>
      </c>
      <c r="AU1084" t="s">
        <v>3250</v>
      </c>
      <c r="AV1084" t="s">
        <v>3250</v>
      </c>
      <c r="AW1084" t="s">
        <v>3250</v>
      </c>
      <c r="AX1084" t="s">
        <v>3250</v>
      </c>
      <c r="AY1084" t="s">
        <v>3250</v>
      </c>
      <c r="AZ1084" t="s">
        <v>3250</v>
      </c>
      <c r="BA1084" t="s">
        <v>3250</v>
      </c>
      <c r="BB1084" t="s">
        <v>3250</v>
      </c>
      <c r="BC1084" t="s">
        <v>3250</v>
      </c>
      <c r="BE1084" t="s">
        <v>3250</v>
      </c>
      <c r="BF1084" t="s">
        <v>3250</v>
      </c>
      <c r="BG1084" t="s">
        <v>3250</v>
      </c>
      <c r="BH1084" t="s">
        <v>3250</v>
      </c>
      <c r="BI1084" t="s">
        <v>3250</v>
      </c>
      <c r="BK1084" t="s">
        <v>3250</v>
      </c>
      <c r="BL1084" t="s">
        <v>3250</v>
      </c>
      <c r="BM1084" t="s">
        <v>3250</v>
      </c>
      <c r="BN1084" t="s">
        <v>3250</v>
      </c>
      <c r="BP1084">
        <v>1</v>
      </c>
      <c r="BQ1084">
        <v>11</v>
      </c>
      <c r="BR1084" t="s">
        <v>1574</v>
      </c>
      <c r="BS1084" t="s">
        <v>3252</v>
      </c>
      <c r="BV1084">
        <v>0</v>
      </c>
      <c r="BW1084">
        <v>0</v>
      </c>
      <c r="BX1084">
        <v>0</v>
      </c>
      <c r="BY1084">
        <v>0</v>
      </c>
      <c r="BZ1084">
        <v>0</v>
      </c>
      <c r="CA1084">
        <v>0</v>
      </c>
      <c r="CB1084">
        <v>0</v>
      </c>
      <c r="CC1084">
        <v>0</v>
      </c>
      <c r="CD1084">
        <v>0</v>
      </c>
      <c r="CE1084" t="s">
        <v>3108</v>
      </c>
      <c r="CF1084" t="s">
        <v>3108</v>
      </c>
      <c r="CG1084" t="s">
        <v>3108</v>
      </c>
      <c r="CH1084" t="s">
        <v>3108</v>
      </c>
    </row>
    <row r="1085" spans="1:86" x14ac:dyDescent="0.2">
      <c r="A1085" t="s">
        <v>4894</v>
      </c>
      <c r="B1085" t="s">
        <v>4894</v>
      </c>
      <c r="C1085">
        <v>41562</v>
      </c>
      <c r="D1085">
        <v>831</v>
      </c>
      <c r="E1085" t="s">
        <v>3430</v>
      </c>
      <c r="F1085" t="s">
        <v>3249</v>
      </c>
      <c r="G1085" t="s">
        <v>3249</v>
      </c>
      <c r="H1085" t="s">
        <v>3250</v>
      </c>
      <c r="I1085" t="s">
        <v>3250</v>
      </c>
      <c r="J1085" t="s">
        <v>3250</v>
      </c>
      <c r="K1085" t="s">
        <v>3250</v>
      </c>
      <c r="L1085">
        <v>1200</v>
      </c>
      <c r="M1085" t="s">
        <v>2368</v>
      </c>
      <c r="N1085">
        <v>1204</v>
      </c>
      <c r="O1085" t="s">
        <v>1574</v>
      </c>
      <c r="P1085" t="s">
        <v>3108</v>
      </c>
      <c r="Q1085" t="s">
        <v>3249</v>
      </c>
      <c r="R1085" t="s">
        <v>3249</v>
      </c>
      <c r="S1085" t="s">
        <v>472</v>
      </c>
      <c r="T1085" t="s">
        <v>3251</v>
      </c>
      <c r="U1085">
        <v>140</v>
      </c>
      <c r="V1085" t="s">
        <v>1327</v>
      </c>
      <c r="W1085">
        <v>140</v>
      </c>
      <c r="X1085" t="s">
        <v>1327</v>
      </c>
      <c r="Y1085" t="s">
        <v>3250</v>
      </c>
      <c r="Z1085" t="s">
        <v>3250</v>
      </c>
      <c r="AA1085" t="s">
        <v>3108</v>
      </c>
      <c r="AB1085" t="s">
        <v>3108</v>
      </c>
      <c r="AC1085" t="s">
        <v>3250</v>
      </c>
      <c r="AD1085" t="s">
        <v>3250</v>
      </c>
      <c r="AE1085" t="s">
        <v>3250</v>
      </c>
      <c r="AF1085" t="s">
        <v>3250</v>
      </c>
      <c r="AG1085" t="s">
        <v>3250</v>
      </c>
      <c r="AH1085" t="s">
        <v>3250</v>
      </c>
      <c r="AI1085" t="s">
        <v>3250</v>
      </c>
      <c r="AJ1085" t="s">
        <v>3250</v>
      </c>
      <c r="AL1085">
        <v>141</v>
      </c>
      <c r="AM1085" t="s">
        <v>1327</v>
      </c>
      <c r="AN1085">
        <v>141</v>
      </c>
      <c r="AO1085" t="s">
        <v>1327</v>
      </c>
      <c r="AS1085" t="s">
        <v>3250</v>
      </c>
      <c r="AT1085" t="s">
        <v>3250</v>
      </c>
      <c r="AU1085" t="s">
        <v>3250</v>
      </c>
      <c r="AV1085" t="s">
        <v>3250</v>
      </c>
      <c r="AW1085" t="s">
        <v>3250</v>
      </c>
      <c r="AX1085" t="s">
        <v>3250</v>
      </c>
      <c r="AY1085" t="s">
        <v>3250</v>
      </c>
      <c r="AZ1085" t="s">
        <v>3250</v>
      </c>
      <c r="BA1085" t="s">
        <v>3250</v>
      </c>
      <c r="BB1085" t="s">
        <v>3250</v>
      </c>
      <c r="BC1085" t="s">
        <v>3250</v>
      </c>
      <c r="BE1085" t="s">
        <v>3250</v>
      </c>
      <c r="BF1085" t="s">
        <v>3250</v>
      </c>
      <c r="BG1085" t="s">
        <v>3250</v>
      </c>
      <c r="BH1085" t="s">
        <v>3250</v>
      </c>
      <c r="BI1085" t="s">
        <v>3250</v>
      </c>
      <c r="BK1085" t="s">
        <v>3250</v>
      </c>
      <c r="BL1085" t="s">
        <v>3250</v>
      </c>
      <c r="BM1085" t="s">
        <v>3250</v>
      </c>
      <c r="BN1085" t="s">
        <v>3250</v>
      </c>
      <c r="BP1085">
        <v>1</v>
      </c>
      <c r="BQ1085">
        <v>11</v>
      </c>
      <c r="BR1085" t="s">
        <v>1574</v>
      </c>
      <c r="BS1085" t="s">
        <v>3252</v>
      </c>
      <c r="BV1085">
        <v>0</v>
      </c>
      <c r="BW1085">
        <v>0</v>
      </c>
      <c r="BX1085">
        <v>0</v>
      </c>
      <c r="BY1085">
        <v>0</v>
      </c>
      <c r="BZ1085">
        <v>0</v>
      </c>
      <c r="CA1085">
        <v>0</v>
      </c>
      <c r="CB1085">
        <v>0</v>
      </c>
      <c r="CC1085">
        <v>0</v>
      </c>
      <c r="CD1085">
        <v>0</v>
      </c>
      <c r="CE1085" t="s">
        <v>3108</v>
      </c>
      <c r="CF1085" t="s">
        <v>3108</v>
      </c>
      <c r="CG1085" t="s">
        <v>3108</v>
      </c>
      <c r="CH1085" t="s">
        <v>3108</v>
      </c>
    </row>
    <row r="1086" spans="1:86" x14ac:dyDescent="0.2">
      <c r="A1086" t="s">
        <v>4895</v>
      </c>
      <c r="B1086" t="s">
        <v>4895</v>
      </c>
      <c r="C1086">
        <v>41563</v>
      </c>
      <c r="D1086">
        <v>832</v>
      </c>
      <c r="E1086" t="s">
        <v>4896</v>
      </c>
      <c r="F1086" t="s">
        <v>3249</v>
      </c>
      <c r="G1086" t="s">
        <v>3249</v>
      </c>
      <c r="H1086" t="s">
        <v>3250</v>
      </c>
      <c r="I1086" t="s">
        <v>3250</v>
      </c>
      <c r="J1086" t="s">
        <v>3250</v>
      </c>
      <c r="K1086" t="s">
        <v>3250</v>
      </c>
      <c r="L1086">
        <v>1200</v>
      </c>
      <c r="M1086" t="s">
        <v>2368</v>
      </c>
      <c r="N1086">
        <v>1204</v>
      </c>
      <c r="O1086" t="s">
        <v>1574</v>
      </c>
      <c r="P1086" t="s">
        <v>3108</v>
      </c>
      <c r="Q1086" t="s">
        <v>3249</v>
      </c>
      <c r="R1086" t="s">
        <v>3249</v>
      </c>
      <c r="S1086" t="s">
        <v>472</v>
      </c>
      <c r="T1086" t="s">
        <v>3251</v>
      </c>
      <c r="U1086">
        <v>140</v>
      </c>
      <c r="V1086" t="s">
        <v>1327</v>
      </c>
      <c r="W1086">
        <v>140</v>
      </c>
      <c r="X1086" t="s">
        <v>1327</v>
      </c>
      <c r="Y1086" t="s">
        <v>3250</v>
      </c>
      <c r="Z1086" t="s">
        <v>3250</v>
      </c>
      <c r="AA1086" t="s">
        <v>3108</v>
      </c>
      <c r="AB1086" t="s">
        <v>3108</v>
      </c>
      <c r="AC1086" t="s">
        <v>3250</v>
      </c>
      <c r="AD1086" t="s">
        <v>3250</v>
      </c>
      <c r="AE1086" t="s">
        <v>3250</v>
      </c>
      <c r="AF1086" t="s">
        <v>3250</v>
      </c>
      <c r="AG1086" t="s">
        <v>3250</v>
      </c>
      <c r="AH1086" t="s">
        <v>3250</v>
      </c>
      <c r="AI1086" t="s">
        <v>3250</v>
      </c>
      <c r="AJ1086" t="s">
        <v>3250</v>
      </c>
      <c r="AL1086">
        <v>141</v>
      </c>
      <c r="AM1086" t="s">
        <v>1327</v>
      </c>
      <c r="AN1086">
        <v>141</v>
      </c>
      <c r="AO1086" t="s">
        <v>1327</v>
      </c>
      <c r="AS1086" t="s">
        <v>3250</v>
      </c>
      <c r="AT1086" t="s">
        <v>3250</v>
      </c>
      <c r="AU1086" t="s">
        <v>3250</v>
      </c>
      <c r="AV1086" t="s">
        <v>3250</v>
      </c>
      <c r="AW1086" t="s">
        <v>3250</v>
      </c>
      <c r="AX1086" t="s">
        <v>3250</v>
      </c>
      <c r="AY1086" t="s">
        <v>3250</v>
      </c>
      <c r="AZ1086" t="s">
        <v>3250</v>
      </c>
      <c r="BA1086" t="s">
        <v>3250</v>
      </c>
      <c r="BB1086" t="s">
        <v>3250</v>
      </c>
      <c r="BC1086" t="s">
        <v>3250</v>
      </c>
      <c r="BE1086" t="s">
        <v>3250</v>
      </c>
      <c r="BF1086" t="s">
        <v>3250</v>
      </c>
      <c r="BG1086" t="s">
        <v>3250</v>
      </c>
      <c r="BH1086" t="s">
        <v>3250</v>
      </c>
      <c r="BI1086" t="s">
        <v>3250</v>
      </c>
      <c r="BK1086" t="s">
        <v>3250</v>
      </c>
      <c r="BL1086" t="s">
        <v>3250</v>
      </c>
      <c r="BM1086" t="s">
        <v>3250</v>
      </c>
      <c r="BN1086" t="s">
        <v>3250</v>
      </c>
      <c r="BP1086">
        <v>1</v>
      </c>
      <c r="BQ1086">
        <v>11</v>
      </c>
      <c r="BR1086" t="s">
        <v>1574</v>
      </c>
      <c r="BS1086" t="s">
        <v>3252</v>
      </c>
      <c r="BV1086">
        <v>-9262330</v>
      </c>
      <c r="BW1086">
        <v>-5846241</v>
      </c>
      <c r="BX1086">
        <v>-3173186</v>
      </c>
      <c r="BY1086">
        <v>-16814377</v>
      </c>
      <c r="BZ1086">
        <v>-16814377</v>
      </c>
      <c r="CA1086">
        <v>-17470140</v>
      </c>
      <c r="CB1086">
        <v>-18168945</v>
      </c>
      <c r="CC1086">
        <v>-18895703</v>
      </c>
      <c r="CD1086">
        <v>-11875846</v>
      </c>
      <c r="CE1086" t="s">
        <v>3108</v>
      </c>
      <c r="CF1086" t="s">
        <v>3108</v>
      </c>
      <c r="CG1086" t="s">
        <v>3108</v>
      </c>
      <c r="CH1086" t="s">
        <v>3108</v>
      </c>
    </row>
    <row r="1087" spans="1:86" x14ac:dyDescent="0.2">
      <c r="A1087" t="s">
        <v>4897</v>
      </c>
      <c r="B1087" t="s">
        <v>4897</v>
      </c>
      <c r="C1087">
        <v>41564</v>
      </c>
      <c r="D1087">
        <v>833</v>
      </c>
      <c r="E1087" t="s">
        <v>3432</v>
      </c>
      <c r="F1087" t="s">
        <v>3249</v>
      </c>
      <c r="G1087" t="s">
        <v>3249</v>
      </c>
      <c r="H1087" t="s">
        <v>3250</v>
      </c>
      <c r="I1087" t="s">
        <v>3250</v>
      </c>
      <c r="J1087" t="s">
        <v>3250</v>
      </c>
      <c r="K1087" t="s">
        <v>3250</v>
      </c>
      <c r="L1087">
        <v>1200</v>
      </c>
      <c r="M1087" t="s">
        <v>2368</v>
      </c>
      <c r="N1087">
        <v>1204</v>
      </c>
      <c r="O1087" t="s">
        <v>1574</v>
      </c>
      <c r="P1087" t="s">
        <v>3108</v>
      </c>
      <c r="Q1087" t="s">
        <v>3249</v>
      </c>
      <c r="R1087" t="s">
        <v>3249</v>
      </c>
      <c r="S1087" t="s">
        <v>472</v>
      </c>
      <c r="T1087" t="s">
        <v>3251</v>
      </c>
      <c r="U1087">
        <v>140</v>
      </c>
      <c r="V1087" t="s">
        <v>1327</v>
      </c>
      <c r="W1087">
        <v>140</v>
      </c>
      <c r="X1087" t="s">
        <v>1327</v>
      </c>
      <c r="Y1087" t="s">
        <v>3250</v>
      </c>
      <c r="Z1087" t="s">
        <v>3250</v>
      </c>
      <c r="AA1087" t="s">
        <v>3108</v>
      </c>
      <c r="AB1087" t="s">
        <v>3108</v>
      </c>
      <c r="AC1087" t="s">
        <v>3250</v>
      </c>
      <c r="AD1087" t="s">
        <v>3250</v>
      </c>
      <c r="AE1087" t="s">
        <v>3250</v>
      </c>
      <c r="AF1087" t="s">
        <v>3250</v>
      </c>
      <c r="AG1087" t="s">
        <v>3250</v>
      </c>
      <c r="AH1087" t="s">
        <v>3250</v>
      </c>
      <c r="AI1087" t="s">
        <v>3250</v>
      </c>
      <c r="AJ1087" t="s">
        <v>3250</v>
      </c>
      <c r="AL1087">
        <v>141</v>
      </c>
      <c r="AM1087" t="s">
        <v>1327</v>
      </c>
      <c r="AN1087">
        <v>141</v>
      </c>
      <c r="AO1087" t="s">
        <v>1327</v>
      </c>
      <c r="AS1087" t="s">
        <v>3250</v>
      </c>
      <c r="AT1087" t="s">
        <v>3250</v>
      </c>
      <c r="AU1087" t="s">
        <v>3250</v>
      </c>
      <c r="AV1087" t="s">
        <v>3250</v>
      </c>
      <c r="AW1087" t="s">
        <v>3250</v>
      </c>
      <c r="AX1087" t="s">
        <v>3250</v>
      </c>
      <c r="AY1087" t="s">
        <v>3250</v>
      </c>
      <c r="AZ1087" t="s">
        <v>3250</v>
      </c>
      <c r="BA1087" t="s">
        <v>3250</v>
      </c>
      <c r="BB1087" t="s">
        <v>3250</v>
      </c>
      <c r="BC1087" t="s">
        <v>3250</v>
      </c>
      <c r="BE1087" t="s">
        <v>3250</v>
      </c>
      <c r="BF1087" t="s">
        <v>3250</v>
      </c>
      <c r="BG1087" t="s">
        <v>3250</v>
      </c>
      <c r="BH1087" t="s">
        <v>3250</v>
      </c>
      <c r="BI1087" t="s">
        <v>3250</v>
      </c>
      <c r="BK1087" t="s">
        <v>3250</v>
      </c>
      <c r="BL1087" t="s">
        <v>3250</v>
      </c>
      <c r="BM1087" t="s">
        <v>3250</v>
      </c>
      <c r="BN1087" t="s">
        <v>3250</v>
      </c>
      <c r="BP1087">
        <v>1</v>
      </c>
      <c r="BQ1087">
        <v>11</v>
      </c>
      <c r="BR1087" t="s">
        <v>1574</v>
      </c>
      <c r="BS1087" t="s">
        <v>3252</v>
      </c>
      <c r="BV1087">
        <v>0</v>
      </c>
      <c r="BW1087">
        <v>0</v>
      </c>
      <c r="BX1087">
        <v>0</v>
      </c>
      <c r="BY1087">
        <v>0</v>
      </c>
      <c r="BZ1087">
        <v>0</v>
      </c>
      <c r="CA1087">
        <v>0</v>
      </c>
      <c r="CB1087">
        <v>0</v>
      </c>
      <c r="CC1087">
        <v>0</v>
      </c>
      <c r="CD1087">
        <v>0</v>
      </c>
      <c r="CE1087" t="s">
        <v>3108</v>
      </c>
      <c r="CF1087" t="s">
        <v>3108</v>
      </c>
      <c r="CG1087" t="s">
        <v>3108</v>
      </c>
      <c r="CH1087" t="s">
        <v>3108</v>
      </c>
    </row>
    <row r="1088" spans="1:86" x14ac:dyDescent="0.2">
      <c r="A1088" t="s">
        <v>4898</v>
      </c>
      <c r="B1088" t="s">
        <v>4898</v>
      </c>
      <c r="C1088">
        <v>41565</v>
      </c>
      <c r="D1088">
        <v>834</v>
      </c>
      <c r="E1088" t="s">
        <v>3258</v>
      </c>
      <c r="F1088" t="s">
        <v>3249</v>
      </c>
      <c r="G1088" t="s">
        <v>3249</v>
      </c>
      <c r="H1088" t="s">
        <v>3250</v>
      </c>
      <c r="I1088" t="s">
        <v>3250</v>
      </c>
      <c r="J1088" t="s">
        <v>3250</v>
      </c>
      <c r="K1088" t="s">
        <v>3250</v>
      </c>
      <c r="L1088">
        <v>1200</v>
      </c>
      <c r="M1088" t="s">
        <v>2368</v>
      </c>
      <c r="N1088">
        <v>1204</v>
      </c>
      <c r="O1088" t="s">
        <v>1574</v>
      </c>
      <c r="P1088" t="s">
        <v>3108</v>
      </c>
      <c r="Q1088" t="s">
        <v>3249</v>
      </c>
      <c r="R1088" t="s">
        <v>3249</v>
      </c>
      <c r="S1088" t="s">
        <v>472</v>
      </c>
      <c r="T1088" t="s">
        <v>3251</v>
      </c>
      <c r="U1088">
        <v>140</v>
      </c>
      <c r="V1088" t="s">
        <v>1327</v>
      </c>
      <c r="W1088">
        <v>140</v>
      </c>
      <c r="X1088" t="s">
        <v>1327</v>
      </c>
      <c r="Y1088" t="s">
        <v>3250</v>
      </c>
      <c r="Z1088" t="s">
        <v>3250</v>
      </c>
      <c r="AA1088" t="s">
        <v>3108</v>
      </c>
      <c r="AB1088" t="s">
        <v>3108</v>
      </c>
      <c r="AC1088" t="s">
        <v>3250</v>
      </c>
      <c r="AD1088" t="s">
        <v>3250</v>
      </c>
      <c r="AE1088" t="s">
        <v>3250</v>
      </c>
      <c r="AF1088" t="s">
        <v>3250</v>
      </c>
      <c r="AG1088" t="s">
        <v>3250</v>
      </c>
      <c r="AH1088" t="s">
        <v>3250</v>
      </c>
      <c r="AI1088" t="s">
        <v>3250</v>
      </c>
      <c r="AJ1088" t="s">
        <v>3250</v>
      </c>
      <c r="AL1088">
        <v>147</v>
      </c>
      <c r="AM1088" t="s">
        <v>6</v>
      </c>
      <c r="AN1088">
        <v>147</v>
      </c>
      <c r="AO1088" t="s">
        <v>6</v>
      </c>
      <c r="AS1088" t="s">
        <v>3250</v>
      </c>
      <c r="AT1088" t="s">
        <v>3250</v>
      </c>
      <c r="AU1088" t="s">
        <v>3250</v>
      </c>
      <c r="AV1088" t="s">
        <v>3250</v>
      </c>
      <c r="AW1088" t="s">
        <v>3250</v>
      </c>
      <c r="AX1088" t="s">
        <v>3250</v>
      </c>
      <c r="AY1088" t="s">
        <v>3250</v>
      </c>
      <c r="AZ1088" t="s">
        <v>3250</v>
      </c>
      <c r="BA1088" t="s">
        <v>3250</v>
      </c>
      <c r="BB1088" t="s">
        <v>3250</v>
      </c>
      <c r="BC1088" t="s">
        <v>3250</v>
      </c>
      <c r="BE1088" t="s">
        <v>3250</v>
      </c>
      <c r="BF1088" t="s">
        <v>3250</v>
      </c>
      <c r="BG1088" t="s">
        <v>3250</v>
      </c>
      <c r="BH1088" t="s">
        <v>3250</v>
      </c>
      <c r="BI1088" t="s">
        <v>3250</v>
      </c>
      <c r="BK1088" t="s">
        <v>3250</v>
      </c>
      <c r="BL1088" t="s">
        <v>3250</v>
      </c>
      <c r="BM1088" t="s">
        <v>3250</v>
      </c>
      <c r="BN1088" t="s">
        <v>3250</v>
      </c>
      <c r="BP1088">
        <v>1</v>
      </c>
      <c r="BQ1088">
        <v>11</v>
      </c>
      <c r="BR1088" t="s">
        <v>1574</v>
      </c>
      <c r="BS1088" t="s">
        <v>3252</v>
      </c>
      <c r="BV1088">
        <v>0</v>
      </c>
      <c r="BW1088">
        <v>0</v>
      </c>
      <c r="BX1088">
        <v>0</v>
      </c>
      <c r="BY1088">
        <v>0</v>
      </c>
      <c r="BZ1088">
        <v>0</v>
      </c>
      <c r="CA1088">
        <v>0</v>
      </c>
      <c r="CB1088">
        <v>0</v>
      </c>
      <c r="CC1088">
        <v>0</v>
      </c>
      <c r="CD1088">
        <v>0</v>
      </c>
      <c r="CE1088" t="s">
        <v>3108</v>
      </c>
      <c r="CF1088" t="s">
        <v>3108</v>
      </c>
      <c r="CG1088" t="s">
        <v>3108</v>
      </c>
      <c r="CH1088" t="s">
        <v>3108</v>
      </c>
    </row>
    <row r="1089" spans="1:86" x14ac:dyDescent="0.2">
      <c r="A1089" t="s">
        <v>4899</v>
      </c>
      <c r="B1089" t="s">
        <v>4899</v>
      </c>
      <c r="C1089">
        <v>41566</v>
      </c>
      <c r="D1089">
        <v>835</v>
      </c>
      <c r="E1089" t="s">
        <v>3406</v>
      </c>
      <c r="F1089" t="s">
        <v>3249</v>
      </c>
      <c r="G1089" t="s">
        <v>3249</v>
      </c>
      <c r="H1089" t="s">
        <v>3250</v>
      </c>
      <c r="I1089" t="s">
        <v>3250</v>
      </c>
      <c r="J1089" t="s">
        <v>3250</v>
      </c>
      <c r="K1089" t="s">
        <v>3250</v>
      </c>
      <c r="L1089">
        <v>1200</v>
      </c>
      <c r="M1089" t="s">
        <v>2368</v>
      </c>
      <c r="N1089">
        <v>1204</v>
      </c>
      <c r="O1089" t="s">
        <v>1574</v>
      </c>
      <c r="P1089" t="s">
        <v>3108</v>
      </c>
      <c r="Q1089" t="s">
        <v>3249</v>
      </c>
      <c r="R1089" t="s">
        <v>3249</v>
      </c>
      <c r="S1089" t="s">
        <v>472</v>
      </c>
      <c r="T1089" t="s">
        <v>3251</v>
      </c>
      <c r="U1089">
        <v>140</v>
      </c>
      <c r="V1089" t="s">
        <v>1327</v>
      </c>
      <c r="W1089">
        <v>140</v>
      </c>
      <c r="X1089" t="s">
        <v>1327</v>
      </c>
      <c r="Y1089" t="s">
        <v>3250</v>
      </c>
      <c r="Z1089" t="s">
        <v>3250</v>
      </c>
      <c r="AA1089" t="s">
        <v>3108</v>
      </c>
      <c r="AB1089" t="s">
        <v>3108</v>
      </c>
      <c r="AC1089" t="s">
        <v>3250</v>
      </c>
      <c r="AD1089" t="s">
        <v>3250</v>
      </c>
      <c r="AE1089" t="s">
        <v>3250</v>
      </c>
      <c r="AF1089" t="s">
        <v>3250</v>
      </c>
      <c r="AG1089" t="s">
        <v>3250</v>
      </c>
      <c r="AH1089" t="s">
        <v>3250</v>
      </c>
      <c r="AI1089" t="s">
        <v>3250</v>
      </c>
      <c r="AJ1089" t="s">
        <v>3250</v>
      </c>
      <c r="AL1089">
        <v>141</v>
      </c>
      <c r="AM1089" t="s">
        <v>1327</v>
      </c>
      <c r="AN1089">
        <v>141</v>
      </c>
      <c r="AO1089" t="s">
        <v>1327</v>
      </c>
      <c r="AS1089" t="s">
        <v>3250</v>
      </c>
      <c r="AT1089" t="s">
        <v>3250</v>
      </c>
      <c r="AU1089" t="s">
        <v>3250</v>
      </c>
      <c r="AV1089" t="s">
        <v>3250</v>
      </c>
      <c r="AW1089" t="s">
        <v>3250</v>
      </c>
      <c r="AX1089" t="s">
        <v>3250</v>
      </c>
      <c r="AY1089" t="s">
        <v>3250</v>
      </c>
      <c r="AZ1089" t="s">
        <v>3250</v>
      </c>
      <c r="BA1089" t="s">
        <v>3250</v>
      </c>
      <c r="BB1089" t="s">
        <v>3250</v>
      </c>
      <c r="BC1089" t="s">
        <v>3250</v>
      </c>
      <c r="BE1089" t="s">
        <v>3250</v>
      </c>
      <c r="BF1089" t="s">
        <v>3250</v>
      </c>
      <c r="BG1089" t="s">
        <v>3250</v>
      </c>
      <c r="BH1089" t="s">
        <v>3250</v>
      </c>
      <c r="BI1089" t="s">
        <v>3250</v>
      </c>
      <c r="BK1089" t="s">
        <v>3250</v>
      </c>
      <c r="BL1089" t="s">
        <v>3250</v>
      </c>
      <c r="BM1089" t="s">
        <v>3250</v>
      </c>
      <c r="BN1089" t="s">
        <v>3250</v>
      </c>
      <c r="BP1089">
        <v>1</v>
      </c>
      <c r="BQ1089">
        <v>11</v>
      </c>
      <c r="BR1089" t="s">
        <v>1574</v>
      </c>
      <c r="BS1089" t="s">
        <v>3252</v>
      </c>
      <c r="BV1089">
        <v>0</v>
      </c>
      <c r="BW1089">
        <v>0</v>
      </c>
      <c r="BX1089">
        <v>0</v>
      </c>
      <c r="BY1089">
        <v>0</v>
      </c>
      <c r="BZ1089">
        <v>0</v>
      </c>
      <c r="CA1089">
        <v>0</v>
      </c>
      <c r="CB1089">
        <v>0</v>
      </c>
      <c r="CC1089">
        <v>0</v>
      </c>
      <c r="CD1089">
        <v>0</v>
      </c>
      <c r="CE1089" t="s">
        <v>3108</v>
      </c>
      <c r="CF1089" t="s">
        <v>3108</v>
      </c>
      <c r="CG1089" t="s">
        <v>3108</v>
      </c>
      <c r="CH1089" t="s">
        <v>3108</v>
      </c>
    </row>
    <row r="1090" spans="1:86" x14ac:dyDescent="0.2">
      <c r="A1090" t="s">
        <v>4900</v>
      </c>
      <c r="B1090" t="s">
        <v>4900</v>
      </c>
      <c r="C1090">
        <v>41567</v>
      </c>
      <c r="D1090">
        <v>836</v>
      </c>
      <c r="E1090" t="s">
        <v>3260</v>
      </c>
      <c r="F1090" t="s">
        <v>3249</v>
      </c>
      <c r="G1090" t="s">
        <v>3249</v>
      </c>
      <c r="H1090" t="s">
        <v>3250</v>
      </c>
      <c r="I1090" t="s">
        <v>3250</v>
      </c>
      <c r="J1090" t="s">
        <v>3250</v>
      </c>
      <c r="K1090" t="s">
        <v>3250</v>
      </c>
      <c r="L1090">
        <v>1200</v>
      </c>
      <c r="M1090" t="s">
        <v>2368</v>
      </c>
      <c r="N1090">
        <v>1204</v>
      </c>
      <c r="O1090" t="s">
        <v>1574</v>
      </c>
      <c r="P1090" t="s">
        <v>3108</v>
      </c>
      <c r="Q1090" t="s">
        <v>3249</v>
      </c>
      <c r="R1090" t="s">
        <v>3249</v>
      </c>
      <c r="S1090" t="s">
        <v>472</v>
      </c>
      <c r="T1090" t="s">
        <v>3251</v>
      </c>
      <c r="U1090">
        <v>140</v>
      </c>
      <c r="V1090" t="s">
        <v>1327</v>
      </c>
      <c r="W1090">
        <v>140</v>
      </c>
      <c r="X1090" t="s">
        <v>1327</v>
      </c>
      <c r="Y1090" t="s">
        <v>3250</v>
      </c>
      <c r="Z1090" t="s">
        <v>3250</v>
      </c>
      <c r="AA1090" t="s">
        <v>3108</v>
      </c>
      <c r="AB1090" t="s">
        <v>3108</v>
      </c>
      <c r="AC1090" t="s">
        <v>3250</v>
      </c>
      <c r="AD1090" t="s">
        <v>3250</v>
      </c>
      <c r="AE1090" t="s">
        <v>3250</v>
      </c>
      <c r="AF1090" t="s">
        <v>3250</v>
      </c>
      <c r="AG1090" t="s">
        <v>3250</v>
      </c>
      <c r="AH1090" t="s">
        <v>3250</v>
      </c>
      <c r="AI1090" t="s">
        <v>3250</v>
      </c>
      <c r="AJ1090" t="s">
        <v>3250</v>
      </c>
      <c r="AL1090">
        <v>141</v>
      </c>
      <c r="AM1090" t="s">
        <v>1327</v>
      </c>
      <c r="AN1090">
        <v>141</v>
      </c>
      <c r="AO1090" t="s">
        <v>1327</v>
      </c>
      <c r="AS1090" t="s">
        <v>3250</v>
      </c>
      <c r="AT1090" t="s">
        <v>3250</v>
      </c>
      <c r="AU1090" t="s">
        <v>3250</v>
      </c>
      <c r="AV1090" t="s">
        <v>3250</v>
      </c>
      <c r="AW1090" t="s">
        <v>3250</v>
      </c>
      <c r="AX1090" t="s">
        <v>3250</v>
      </c>
      <c r="AY1090" t="s">
        <v>3250</v>
      </c>
      <c r="AZ1090" t="s">
        <v>3250</v>
      </c>
      <c r="BA1090" t="s">
        <v>3250</v>
      </c>
      <c r="BB1090" t="s">
        <v>3250</v>
      </c>
      <c r="BC1090" t="s">
        <v>3250</v>
      </c>
      <c r="BE1090" t="s">
        <v>3250</v>
      </c>
      <c r="BF1090" t="s">
        <v>3250</v>
      </c>
      <c r="BG1090" t="s">
        <v>3250</v>
      </c>
      <c r="BH1090" t="s">
        <v>3250</v>
      </c>
      <c r="BI1090" t="s">
        <v>3250</v>
      </c>
      <c r="BK1090" t="s">
        <v>3250</v>
      </c>
      <c r="BL1090" t="s">
        <v>3250</v>
      </c>
      <c r="BM1090" t="s">
        <v>3250</v>
      </c>
      <c r="BN1090" t="s">
        <v>3250</v>
      </c>
      <c r="BP1090">
        <v>1</v>
      </c>
      <c r="BQ1090">
        <v>11</v>
      </c>
      <c r="BR1090" t="s">
        <v>1574</v>
      </c>
      <c r="BS1090" t="s">
        <v>3252</v>
      </c>
      <c r="BV1090">
        <v>647216</v>
      </c>
      <c r="BW1090">
        <v>649826</v>
      </c>
      <c r="BX1090">
        <v>650662</v>
      </c>
      <c r="BY1090">
        <v>0</v>
      </c>
      <c r="BZ1090">
        <v>0</v>
      </c>
      <c r="CA1090">
        <v>0</v>
      </c>
      <c r="CB1090">
        <v>0</v>
      </c>
      <c r="CC1090">
        <v>0</v>
      </c>
      <c r="CD1090">
        <v>647216</v>
      </c>
      <c r="CE1090" t="s">
        <v>3108</v>
      </c>
      <c r="CF1090" t="s">
        <v>3108</v>
      </c>
      <c r="CG1090" t="s">
        <v>3108</v>
      </c>
      <c r="CH1090" t="s">
        <v>3108</v>
      </c>
    </row>
    <row r="1091" spans="1:86" x14ac:dyDescent="0.2">
      <c r="A1091" t="s">
        <v>4901</v>
      </c>
      <c r="B1091" t="s">
        <v>4901</v>
      </c>
      <c r="C1091">
        <v>41568</v>
      </c>
      <c r="D1091">
        <v>837</v>
      </c>
      <c r="E1091" t="s">
        <v>3408</v>
      </c>
      <c r="F1091" t="s">
        <v>3249</v>
      </c>
      <c r="G1091" t="s">
        <v>3249</v>
      </c>
      <c r="H1091" t="s">
        <v>3250</v>
      </c>
      <c r="I1091" t="s">
        <v>3250</v>
      </c>
      <c r="J1091" t="s">
        <v>3250</v>
      </c>
      <c r="K1091" t="s">
        <v>3250</v>
      </c>
      <c r="L1091">
        <v>1200</v>
      </c>
      <c r="M1091" t="s">
        <v>2368</v>
      </c>
      <c r="N1091">
        <v>1204</v>
      </c>
      <c r="O1091" t="s">
        <v>1574</v>
      </c>
      <c r="P1091" t="s">
        <v>3108</v>
      </c>
      <c r="Q1091" t="s">
        <v>3249</v>
      </c>
      <c r="R1091" t="s">
        <v>3249</v>
      </c>
      <c r="S1091" t="s">
        <v>472</v>
      </c>
      <c r="T1091" t="s">
        <v>3251</v>
      </c>
      <c r="U1091">
        <v>140</v>
      </c>
      <c r="V1091" t="s">
        <v>1327</v>
      </c>
      <c r="W1091">
        <v>140</v>
      </c>
      <c r="X1091" t="s">
        <v>1327</v>
      </c>
      <c r="Y1091" t="s">
        <v>3250</v>
      </c>
      <c r="Z1091" t="s">
        <v>3250</v>
      </c>
      <c r="AA1091" t="s">
        <v>3108</v>
      </c>
      <c r="AB1091" t="s">
        <v>3108</v>
      </c>
      <c r="AC1091" t="s">
        <v>3250</v>
      </c>
      <c r="AD1091" t="s">
        <v>3250</v>
      </c>
      <c r="AE1091" t="s">
        <v>3250</v>
      </c>
      <c r="AF1091" t="s">
        <v>3250</v>
      </c>
      <c r="AG1091" t="s">
        <v>3250</v>
      </c>
      <c r="AH1091" t="s">
        <v>3250</v>
      </c>
      <c r="AI1091" t="s">
        <v>3250</v>
      </c>
      <c r="AJ1091" t="s">
        <v>3250</v>
      </c>
      <c r="AL1091">
        <v>141</v>
      </c>
      <c r="AM1091" t="s">
        <v>1327</v>
      </c>
      <c r="AN1091">
        <v>141</v>
      </c>
      <c r="AO1091" t="s">
        <v>1327</v>
      </c>
      <c r="AS1091" t="s">
        <v>3250</v>
      </c>
      <c r="AT1091" t="s">
        <v>3250</v>
      </c>
      <c r="AU1091" t="s">
        <v>3250</v>
      </c>
      <c r="AV1091" t="s">
        <v>3250</v>
      </c>
      <c r="AW1091" t="s">
        <v>3250</v>
      </c>
      <c r="AX1091" t="s">
        <v>3250</v>
      </c>
      <c r="AY1091" t="s">
        <v>3250</v>
      </c>
      <c r="AZ1091" t="s">
        <v>3250</v>
      </c>
      <c r="BA1091" t="s">
        <v>3250</v>
      </c>
      <c r="BB1091" t="s">
        <v>3250</v>
      </c>
      <c r="BC1091" t="s">
        <v>3250</v>
      </c>
      <c r="BE1091" t="s">
        <v>3250</v>
      </c>
      <c r="BF1091" t="s">
        <v>3250</v>
      </c>
      <c r="BG1091" t="s">
        <v>3250</v>
      </c>
      <c r="BH1091" t="s">
        <v>3250</v>
      </c>
      <c r="BI1091" t="s">
        <v>3250</v>
      </c>
      <c r="BK1091" t="s">
        <v>3250</v>
      </c>
      <c r="BL1091" t="s">
        <v>3250</v>
      </c>
      <c r="BM1091" t="s">
        <v>3250</v>
      </c>
      <c r="BN1091" t="s">
        <v>3250</v>
      </c>
      <c r="BP1091">
        <v>1</v>
      </c>
      <c r="BQ1091">
        <v>11</v>
      </c>
      <c r="BR1091" t="s">
        <v>1574</v>
      </c>
      <c r="BS1091" t="s">
        <v>3252</v>
      </c>
      <c r="BV1091">
        <v>0</v>
      </c>
      <c r="BW1091">
        <v>0</v>
      </c>
      <c r="BX1091">
        <v>0</v>
      </c>
      <c r="BY1091">
        <v>0</v>
      </c>
      <c r="BZ1091">
        <v>0</v>
      </c>
      <c r="CA1091">
        <v>0</v>
      </c>
      <c r="CB1091">
        <v>0</v>
      </c>
      <c r="CC1091">
        <v>0</v>
      </c>
      <c r="CD1091">
        <v>0</v>
      </c>
      <c r="CE1091" t="s">
        <v>3108</v>
      </c>
      <c r="CF1091" t="s">
        <v>3108</v>
      </c>
      <c r="CG1091" t="s">
        <v>3108</v>
      </c>
      <c r="CH1091" t="s">
        <v>3108</v>
      </c>
    </row>
    <row r="1092" spans="1:86" x14ac:dyDescent="0.2">
      <c r="A1092" t="s">
        <v>4902</v>
      </c>
      <c r="B1092" t="s">
        <v>4902</v>
      </c>
      <c r="C1092">
        <v>41569</v>
      </c>
      <c r="D1092">
        <v>838</v>
      </c>
      <c r="E1092" t="s">
        <v>3262</v>
      </c>
      <c r="F1092" t="s">
        <v>3249</v>
      </c>
      <c r="G1092" t="s">
        <v>3249</v>
      </c>
      <c r="H1092" t="s">
        <v>3250</v>
      </c>
      <c r="I1092" t="s">
        <v>3250</v>
      </c>
      <c r="J1092" t="s">
        <v>3250</v>
      </c>
      <c r="K1092" t="s">
        <v>3250</v>
      </c>
      <c r="L1092">
        <v>1200</v>
      </c>
      <c r="M1092" t="s">
        <v>2368</v>
      </c>
      <c r="N1092">
        <v>1204</v>
      </c>
      <c r="O1092" t="s">
        <v>1574</v>
      </c>
      <c r="P1092" t="s">
        <v>3108</v>
      </c>
      <c r="Q1092" t="s">
        <v>3249</v>
      </c>
      <c r="R1092" t="s">
        <v>3249</v>
      </c>
      <c r="S1092" t="s">
        <v>472</v>
      </c>
      <c r="T1092" t="s">
        <v>3251</v>
      </c>
      <c r="U1092">
        <v>140</v>
      </c>
      <c r="V1092" t="s">
        <v>1327</v>
      </c>
      <c r="W1092">
        <v>140</v>
      </c>
      <c r="X1092" t="s">
        <v>1327</v>
      </c>
      <c r="Y1092" t="s">
        <v>3250</v>
      </c>
      <c r="Z1092" t="s">
        <v>3250</v>
      </c>
      <c r="AA1092" t="s">
        <v>3108</v>
      </c>
      <c r="AB1092" t="s">
        <v>3108</v>
      </c>
      <c r="AC1092" t="s">
        <v>3250</v>
      </c>
      <c r="AD1092" t="s">
        <v>3250</v>
      </c>
      <c r="AE1092" t="s">
        <v>3250</v>
      </c>
      <c r="AF1092" t="s">
        <v>3250</v>
      </c>
      <c r="AG1092" t="s">
        <v>3250</v>
      </c>
      <c r="AH1092" t="s">
        <v>3250</v>
      </c>
      <c r="AI1092" t="s">
        <v>3250</v>
      </c>
      <c r="AJ1092" t="s">
        <v>3250</v>
      </c>
      <c r="AL1092">
        <v>141</v>
      </c>
      <c r="AM1092" t="s">
        <v>1327</v>
      </c>
      <c r="AN1092">
        <v>141</v>
      </c>
      <c r="AO1092" t="s">
        <v>1327</v>
      </c>
      <c r="AS1092" t="s">
        <v>3250</v>
      </c>
      <c r="AT1092" t="s">
        <v>3250</v>
      </c>
      <c r="AU1092" t="s">
        <v>3250</v>
      </c>
      <c r="AV1092" t="s">
        <v>3250</v>
      </c>
      <c r="AW1092" t="s">
        <v>3250</v>
      </c>
      <c r="AX1092" t="s">
        <v>3250</v>
      </c>
      <c r="AY1092" t="s">
        <v>3250</v>
      </c>
      <c r="AZ1092" t="s">
        <v>3250</v>
      </c>
      <c r="BA1092" t="s">
        <v>3250</v>
      </c>
      <c r="BB1092" t="s">
        <v>3250</v>
      </c>
      <c r="BC1092" t="s">
        <v>3250</v>
      </c>
      <c r="BE1092" t="s">
        <v>3250</v>
      </c>
      <c r="BF1092" t="s">
        <v>3250</v>
      </c>
      <c r="BG1092" t="s">
        <v>3250</v>
      </c>
      <c r="BH1092" t="s">
        <v>3250</v>
      </c>
      <c r="BI1092" t="s">
        <v>3250</v>
      </c>
      <c r="BK1092" t="s">
        <v>3250</v>
      </c>
      <c r="BL1092" t="s">
        <v>3250</v>
      </c>
      <c r="BM1092" t="s">
        <v>3250</v>
      </c>
      <c r="BN1092" t="s">
        <v>3250</v>
      </c>
      <c r="BP1092">
        <v>1</v>
      </c>
      <c r="BQ1092">
        <v>11</v>
      </c>
      <c r="BR1092" t="s">
        <v>1574</v>
      </c>
      <c r="BS1092" t="s">
        <v>3252</v>
      </c>
      <c r="BV1092">
        <v>0</v>
      </c>
      <c r="BW1092">
        <v>0</v>
      </c>
      <c r="BX1092">
        <v>0</v>
      </c>
      <c r="BY1092">
        <v>0</v>
      </c>
      <c r="BZ1092">
        <v>0</v>
      </c>
      <c r="CA1092">
        <v>0</v>
      </c>
      <c r="CB1092">
        <v>0</v>
      </c>
      <c r="CC1092">
        <v>0</v>
      </c>
      <c r="CD1092">
        <v>0</v>
      </c>
      <c r="CE1092" t="s">
        <v>3108</v>
      </c>
      <c r="CF1092" t="s">
        <v>3108</v>
      </c>
      <c r="CG1092" t="s">
        <v>3108</v>
      </c>
      <c r="CH1092" t="s">
        <v>3108</v>
      </c>
    </row>
    <row r="1093" spans="1:86" x14ac:dyDescent="0.2">
      <c r="A1093" t="s">
        <v>4903</v>
      </c>
      <c r="B1093" t="s">
        <v>4903</v>
      </c>
      <c r="C1093">
        <v>41570</v>
      </c>
      <c r="D1093">
        <v>839</v>
      </c>
      <c r="E1093" t="s">
        <v>3410</v>
      </c>
      <c r="F1093" t="s">
        <v>3249</v>
      </c>
      <c r="G1093" t="s">
        <v>3249</v>
      </c>
      <c r="H1093" t="s">
        <v>3250</v>
      </c>
      <c r="I1093" t="s">
        <v>3250</v>
      </c>
      <c r="J1093" t="s">
        <v>3250</v>
      </c>
      <c r="K1093" t="s">
        <v>3250</v>
      </c>
      <c r="L1093">
        <v>1200</v>
      </c>
      <c r="M1093" t="s">
        <v>2368</v>
      </c>
      <c r="N1093">
        <v>1204</v>
      </c>
      <c r="O1093" t="s">
        <v>1574</v>
      </c>
      <c r="P1093" t="s">
        <v>3108</v>
      </c>
      <c r="Q1093" t="s">
        <v>3249</v>
      </c>
      <c r="R1093" t="s">
        <v>3249</v>
      </c>
      <c r="S1093" t="s">
        <v>472</v>
      </c>
      <c r="T1093" t="s">
        <v>3251</v>
      </c>
      <c r="U1093">
        <v>140</v>
      </c>
      <c r="V1093" t="s">
        <v>1327</v>
      </c>
      <c r="W1093">
        <v>140</v>
      </c>
      <c r="X1093" t="s">
        <v>1327</v>
      </c>
      <c r="Y1093" t="s">
        <v>3250</v>
      </c>
      <c r="Z1093" t="s">
        <v>3250</v>
      </c>
      <c r="AA1093" t="s">
        <v>3108</v>
      </c>
      <c r="AB1093" t="s">
        <v>3108</v>
      </c>
      <c r="AC1093" t="s">
        <v>3250</v>
      </c>
      <c r="AD1093" t="s">
        <v>3250</v>
      </c>
      <c r="AE1093" t="s">
        <v>3250</v>
      </c>
      <c r="AF1093" t="s">
        <v>3250</v>
      </c>
      <c r="AG1093" t="s">
        <v>3250</v>
      </c>
      <c r="AH1093" t="s">
        <v>3250</v>
      </c>
      <c r="AI1093" t="s">
        <v>3250</v>
      </c>
      <c r="AJ1093" t="s">
        <v>3250</v>
      </c>
      <c r="AL1093">
        <v>147</v>
      </c>
      <c r="AM1093" t="s">
        <v>6</v>
      </c>
      <c r="AN1093">
        <v>147</v>
      </c>
      <c r="AO1093" t="s">
        <v>6</v>
      </c>
      <c r="AS1093" t="s">
        <v>3250</v>
      </c>
      <c r="AT1093" t="s">
        <v>3250</v>
      </c>
      <c r="AU1093" t="s">
        <v>3250</v>
      </c>
      <c r="AV1093" t="s">
        <v>3250</v>
      </c>
      <c r="AW1093" t="s">
        <v>3250</v>
      </c>
      <c r="AX1093" t="s">
        <v>3250</v>
      </c>
      <c r="AY1093" t="s">
        <v>3250</v>
      </c>
      <c r="AZ1093" t="s">
        <v>3250</v>
      </c>
      <c r="BA1093" t="s">
        <v>3250</v>
      </c>
      <c r="BB1093" t="s">
        <v>3250</v>
      </c>
      <c r="BC1093" t="s">
        <v>3250</v>
      </c>
      <c r="BE1093" t="s">
        <v>3250</v>
      </c>
      <c r="BF1093" t="s">
        <v>3250</v>
      </c>
      <c r="BG1093" t="s">
        <v>3250</v>
      </c>
      <c r="BH1093" t="s">
        <v>3250</v>
      </c>
      <c r="BI1093" t="s">
        <v>3250</v>
      </c>
      <c r="BK1093" t="s">
        <v>3250</v>
      </c>
      <c r="BL1093" t="s">
        <v>3250</v>
      </c>
      <c r="BM1093" t="s">
        <v>3250</v>
      </c>
      <c r="BN1093" t="s">
        <v>3250</v>
      </c>
      <c r="BP1093">
        <v>1</v>
      </c>
      <c r="BQ1093">
        <v>11</v>
      </c>
      <c r="BR1093" t="s">
        <v>1574</v>
      </c>
      <c r="BS1093" t="s">
        <v>3252</v>
      </c>
      <c r="BV1093">
        <v>0</v>
      </c>
      <c r="BW1093">
        <v>0</v>
      </c>
      <c r="BX1093">
        <v>0</v>
      </c>
      <c r="BY1093">
        <v>0</v>
      </c>
      <c r="BZ1093">
        <v>0</v>
      </c>
      <c r="CA1093">
        <v>0</v>
      </c>
      <c r="CB1093">
        <v>0</v>
      </c>
      <c r="CC1093">
        <v>0</v>
      </c>
      <c r="CD1093">
        <v>0</v>
      </c>
      <c r="CE1093" t="s">
        <v>3108</v>
      </c>
      <c r="CF1093" t="s">
        <v>3108</v>
      </c>
      <c r="CG1093" t="s">
        <v>3108</v>
      </c>
      <c r="CH1093" t="s">
        <v>3108</v>
      </c>
    </row>
    <row r="1094" spans="1:86" x14ac:dyDescent="0.2">
      <c r="A1094" t="s">
        <v>4904</v>
      </c>
      <c r="B1094" t="s">
        <v>4904</v>
      </c>
      <c r="C1094">
        <v>41571</v>
      </c>
      <c r="D1094">
        <v>840</v>
      </c>
      <c r="E1094" t="s">
        <v>3412</v>
      </c>
      <c r="F1094" t="s">
        <v>3249</v>
      </c>
      <c r="G1094" t="s">
        <v>3249</v>
      </c>
      <c r="H1094" t="s">
        <v>3250</v>
      </c>
      <c r="I1094" t="s">
        <v>3250</v>
      </c>
      <c r="J1094" t="s">
        <v>3250</v>
      </c>
      <c r="K1094" t="s">
        <v>3250</v>
      </c>
      <c r="L1094">
        <v>1200</v>
      </c>
      <c r="M1094" t="s">
        <v>2368</v>
      </c>
      <c r="N1094">
        <v>1204</v>
      </c>
      <c r="O1094" t="s">
        <v>1574</v>
      </c>
      <c r="P1094" t="s">
        <v>3108</v>
      </c>
      <c r="Q1094" t="s">
        <v>3249</v>
      </c>
      <c r="R1094" t="s">
        <v>3249</v>
      </c>
      <c r="S1094" t="s">
        <v>472</v>
      </c>
      <c r="T1094" t="s">
        <v>3251</v>
      </c>
      <c r="U1094">
        <v>140</v>
      </c>
      <c r="V1094" t="s">
        <v>1327</v>
      </c>
      <c r="W1094">
        <v>140</v>
      </c>
      <c r="X1094" t="s">
        <v>1327</v>
      </c>
      <c r="Y1094" t="s">
        <v>3250</v>
      </c>
      <c r="Z1094" t="s">
        <v>3250</v>
      </c>
      <c r="AA1094" t="s">
        <v>3108</v>
      </c>
      <c r="AB1094" t="s">
        <v>3108</v>
      </c>
      <c r="AC1094" t="s">
        <v>3250</v>
      </c>
      <c r="AD1094" t="s">
        <v>3250</v>
      </c>
      <c r="AE1094" t="s">
        <v>3250</v>
      </c>
      <c r="AF1094" t="s">
        <v>3250</v>
      </c>
      <c r="AG1094" t="s">
        <v>3250</v>
      </c>
      <c r="AH1094" t="s">
        <v>3250</v>
      </c>
      <c r="AI1094" t="s">
        <v>3250</v>
      </c>
      <c r="AJ1094" t="s">
        <v>3250</v>
      </c>
      <c r="AL1094">
        <v>141</v>
      </c>
      <c r="AM1094" t="s">
        <v>1327</v>
      </c>
      <c r="AN1094">
        <v>141</v>
      </c>
      <c r="AO1094" t="s">
        <v>1327</v>
      </c>
      <c r="AS1094" t="s">
        <v>3250</v>
      </c>
      <c r="AT1094" t="s">
        <v>3250</v>
      </c>
      <c r="AU1094" t="s">
        <v>3250</v>
      </c>
      <c r="AV1094" t="s">
        <v>3250</v>
      </c>
      <c r="AW1094" t="s">
        <v>3250</v>
      </c>
      <c r="AX1094" t="s">
        <v>3250</v>
      </c>
      <c r="AY1094" t="s">
        <v>3250</v>
      </c>
      <c r="AZ1094" t="s">
        <v>3250</v>
      </c>
      <c r="BA1094" t="s">
        <v>3250</v>
      </c>
      <c r="BB1094" t="s">
        <v>3250</v>
      </c>
      <c r="BC1094" t="s">
        <v>3250</v>
      </c>
      <c r="BE1094" t="s">
        <v>3250</v>
      </c>
      <c r="BF1094" t="s">
        <v>3250</v>
      </c>
      <c r="BG1094" t="s">
        <v>3250</v>
      </c>
      <c r="BH1094" t="s">
        <v>3250</v>
      </c>
      <c r="BI1094" t="s">
        <v>3250</v>
      </c>
      <c r="BK1094" t="s">
        <v>3250</v>
      </c>
      <c r="BL1094" t="s">
        <v>3250</v>
      </c>
      <c r="BM1094" t="s">
        <v>3250</v>
      </c>
      <c r="BN1094" t="s">
        <v>3250</v>
      </c>
      <c r="BP1094">
        <v>1</v>
      </c>
      <c r="BQ1094">
        <v>11</v>
      </c>
      <c r="BR1094" t="s">
        <v>1574</v>
      </c>
      <c r="BS1094" t="s">
        <v>3252</v>
      </c>
      <c r="BV1094">
        <v>0</v>
      </c>
      <c r="BW1094">
        <v>0</v>
      </c>
      <c r="BX1094">
        <v>0</v>
      </c>
      <c r="BY1094">
        <v>0</v>
      </c>
      <c r="BZ1094">
        <v>0</v>
      </c>
      <c r="CA1094">
        <v>0</v>
      </c>
      <c r="CB1094">
        <v>0</v>
      </c>
      <c r="CC1094">
        <v>0</v>
      </c>
      <c r="CD1094">
        <v>0</v>
      </c>
      <c r="CE1094" t="s">
        <v>3108</v>
      </c>
      <c r="CF1094" t="s">
        <v>3108</v>
      </c>
      <c r="CG1094" t="s">
        <v>3108</v>
      </c>
      <c r="CH1094" t="s">
        <v>3108</v>
      </c>
    </row>
    <row r="1095" spans="1:86" x14ac:dyDescent="0.2">
      <c r="A1095" t="s">
        <v>4905</v>
      </c>
      <c r="B1095" t="s">
        <v>4905</v>
      </c>
      <c r="C1095">
        <v>41572</v>
      </c>
      <c r="D1095">
        <v>841</v>
      </c>
      <c r="E1095" t="s">
        <v>4906</v>
      </c>
      <c r="F1095" t="s">
        <v>3249</v>
      </c>
      <c r="G1095" t="s">
        <v>3249</v>
      </c>
      <c r="H1095" t="s">
        <v>3250</v>
      </c>
      <c r="I1095" t="s">
        <v>3250</v>
      </c>
      <c r="J1095" t="s">
        <v>3250</v>
      </c>
      <c r="K1095" t="s">
        <v>3250</v>
      </c>
      <c r="L1095">
        <v>1200</v>
      </c>
      <c r="M1095" t="s">
        <v>2368</v>
      </c>
      <c r="N1095">
        <v>1204</v>
      </c>
      <c r="O1095" t="s">
        <v>1574</v>
      </c>
      <c r="P1095" t="s">
        <v>3108</v>
      </c>
      <c r="Q1095" t="s">
        <v>3249</v>
      </c>
      <c r="R1095" t="s">
        <v>3249</v>
      </c>
      <c r="S1095" t="s">
        <v>472</v>
      </c>
      <c r="T1095" t="s">
        <v>3251</v>
      </c>
      <c r="U1095">
        <v>140</v>
      </c>
      <c r="V1095" t="s">
        <v>1327</v>
      </c>
      <c r="W1095">
        <v>140</v>
      </c>
      <c r="X1095" t="s">
        <v>1327</v>
      </c>
      <c r="Y1095" t="s">
        <v>3250</v>
      </c>
      <c r="Z1095" t="s">
        <v>3250</v>
      </c>
      <c r="AA1095" t="s">
        <v>3108</v>
      </c>
      <c r="AB1095" t="s">
        <v>3108</v>
      </c>
      <c r="AC1095" t="s">
        <v>3250</v>
      </c>
      <c r="AD1095" t="s">
        <v>3250</v>
      </c>
      <c r="AE1095" t="s">
        <v>3250</v>
      </c>
      <c r="AF1095" t="s">
        <v>3250</v>
      </c>
      <c r="AG1095" t="s">
        <v>3250</v>
      </c>
      <c r="AH1095" t="s">
        <v>3250</v>
      </c>
      <c r="AI1095" t="s">
        <v>3250</v>
      </c>
      <c r="AJ1095" t="s">
        <v>3250</v>
      </c>
      <c r="AL1095">
        <v>141</v>
      </c>
      <c r="AM1095" t="s">
        <v>1327</v>
      </c>
      <c r="AN1095">
        <v>141</v>
      </c>
      <c r="AO1095" t="s">
        <v>1327</v>
      </c>
      <c r="AS1095" t="s">
        <v>3250</v>
      </c>
      <c r="AT1095" t="s">
        <v>3250</v>
      </c>
      <c r="AU1095" t="s">
        <v>3250</v>
      </c>
      <c r="AV1095" t="s">
        <v>3250</v>
      </c>
      <c r="AW1095" t="s">
        <v>3250</v>
      </c>
      <c r="AX1095" t="s">
        <v>3250</v>
      </c>
      <c r="AY1095" t="s">
        <v>3250</v>
      </c>
      <c r="AZ1095" t="s">
        <v>3250</v>
      </c>
      <c r="BA1095" t="s">
        <v>3250</v>
      </c>
      <c r="BB1095" t="s">
        <v>3250</v>
      </c>
      <c r="BC1095" t="s">
        <v>3250</v>
      </c>
      <c r="BE1095" t="s">
        <v>3250</v>
      </c>
      <c r="BF1095" t="s">
        <v>3250</v>
      </c>
      <c r="BG1095" t="s">
        <v>3250</v>
      </c>
      <c r="BH1095" t="s">
        <v>3250</v>
      </c>
      <c r="BI1095" t="s">
        <v>3250</v>
      </c>
      <c r="BK1095" t="s">
        <v>3250</v>
      </c>
      <c r="BL1095" t="s">
        <v>3250</v>
      </c>
      <c r="BM1095" t="s">
        <v>3250</v>
      </c>
      <c r="BN1095" t="s">
        <v>3250</v>
      </c>
      <c r="BP1095">
        <v>1</v>
      </c>
      <c r="BQ1095">
        <v>11</v>
      </c>
      <c r="BR1095" t="s">
        <v>1574</v>
      </c>
      <c r="BS1095" t="s">
        <v>3252</v>
      </c>
      <c r="BV1095">
        <v>0</v>
      </c>
      <c r="BW1095">
        <v>0</v>
      </c>
      <c r="BX1095">
        <v>0</v>
      </c>
      <c r="BY1095">
        <v>0</v>
      </c>
      <c r="BZ1095">
        <v>0</v>
      </c>
      <c r="CA1095">
        <v>0</v>
      </c>
      <c r="CB1095">
        <v>0</v>
      </c>
      <c r="CC1095">
        <v>0</v>
      </c>
      <c r="CD1095">
        <v>0</v>
      </c>
      <c r="CE1095" t="s">
        <v>3108</v>
      </c>
      <c r="CF1095" t="s">
        <v>3108</v>
      </c>
      <c r="CG1095" t="s">
        <v>3108</v>
      </c>
      <c r="CH1095" t="s">
        <v>3108</v>
      </c>
    </row>
    <row r="1096" spans="1:86" x14ac:dyDescent="0.2">
      <c r="A1096" t="s">
        <v>4907</v>
      </c>
      <c r="B1096" t="s">
        <v>4907</v>
      </c>
      <c r="C1096">
        <v>41573</v>
      </c>
      <c r="D1096">
        <v>842</v>
      </c>
      <c r="E1096" t="s">
        <v>3414</v>
      </c>
      <c r="F1096" t="s">
        <v>3249</v>
      </c>
      <c r="G1096" t="s">
        <v>3249</v>
      </c>
      <c r="H1096" t="s">
        <v>3250</v>
      </c>
      <c r="I1096" t="s">
        <v>3250</v>
      </c>
      <c r="J1096" t="s">
        <v>3250</v>
      </c>
      <c r="K1096" t="s">
        <v>3250</v>
      </c>
      <c r="L1096">
        <v>1200</v>
      </c>
      <c r="M1096" t="s">
        <v>2368</v>
      </c>
      <c r="N1096">
        <v>1204</v>
      </c>
      <c r="O1096" t="s">
        <v>1574</v>
      </c>
      <c r="P1096" t="s">
        <v>3108</v>
      </c>
      <c r="Q1096" t="s">
        <v>3249</v>
      </c>
      <c r="R1096" t="s">
        <v>3249</v>
      </c>
      <c r="S1096" t="s">
        <v>472</v>
      </c>
      <c r="T1096" t="s">
        <v>3251</v>
      </c>
      <c r="U1096">
        <v>140</v>
      </c>
      <c r="V1096" t="s">
        <v>1327</v>
      </c>
      <c r="W1096">
        <v>140</v>
      </c>
      <c r="X1096" t="s">
        <v>1327</v>
      </c>
      <c r="Y1096" t="s">
        <v>3250</v>
      </c>
      <c r="Z1096" t="s">
        <v>3250</v>
      </c>
      <c r="AA1096" t="s">
        <v>3108</v>
      </c>
      <c r="AB1096" t="s">
        <v>3108</v>
      </c>
      <c r="AC1096" t="s">
        <v>3250</v>
      </c>
      <c r="AD1096" t="s">
        <v>3250</v>
      </c>
      <c r="AE1096" t="s">
        <v>3250</v>
      </c>
      <c r="AF1096" t="s">
        <v>3250</v>
      </c>
      <c r="AG1096" t="s">
        <v>3250</v>
      </c>
      <c r="AH1096" t="s">
        <v>3250</v>
      </c>
      <c r="AI1096" t="s">
        <v>3250</v>
      </c>
      <c r="AJ1096" t="s">
        <v>3250</v>
      </c>
      <c r="AL1096">
        <v>141</v>
      </c>
      <c r="AM1096" t="s">
        <v>1327</v>
      </c>
      <c r="AN1096">
        <v>141</v>
      </c>
      <c r="AO1096" t="s">
        <v>1327</v>
      </c>
      <c r="AS1096" t="s">
        <v>3250</v>
      </c>
      <c r="AT1096" t="s">
        <v>3250</v>
      </c>
      <c r="AU1096" t="s">
        <v>3250</v>
      </c>
      <c r="AV1096" t="s">
        <v>3250</v>
      </c>
      <c r="AW1096" t="s">
        <v>3250</v>
      </c>
      <c r="AX1096" t="s">
        <v>3250</v>
      </c>
      <c r="AY1096" t="s">
        <v>3250</v>
      </c>
      <c r="AZ1096" t="s">
        <v>3250</v>
      </c>
      <c r="BA1096" t="s">
        <v>3250</v>
      </c>
      <c r="BB1096" t="s">
        <v>3250</v>
      </c>
      <c r="BC1096" t="s">
        <v>3250</v>
      </c>
      <c r="BE1096" t="s">
        <v>3250</v>
      </c>
      <c r="BF1096" t="s">
        <v>3250</v>
      </c>
      <c r="BG1096" t="s">
        <v>3250</v>
      </c>
      <c r="BH1096" t="s">
        <v>3250</v>
      </c>
      <c r="BI1096" t="s">
        <v>3250</v>
      </c>
      <c r="BK1096" t="s">
        <v>3250</v>
      </c>
      <c r="BL1096" t="s">
        <v>3250</v>
      </c>
      <c r="BM1096" t="s">
        <v>3250</v>
      </c>
      <c r="BN1096" t="s">
        <v>3250</v>
      </c>
      <c r="BP1096">
        <v>1</v>
      </c>
      <c r="BQ1096">
        <v>11</v>
      </c>
      <c r="BR1096" t="s">
        <v>1574</v>
      </c>
      <c r="BS1096" t="s">
        <v>3252</v>
      </c>
      <c r="BV1096">
        <v>0</v>
      </c>
      <c r="BW1096">
        <v>0</v>
      </c>
      <c r="BX1096">
        <v>0</v>
      </c>
      <c r="BY1096">
        <v>0</v>
      </c>
      <c r="BZ1096">
        <v>0</v>
      </c>
      <c r="CA1096">
        <v>0</v>
      </c>
      <c r="CB1096">
        <v>0</v>
      </c>
      <c r="CC1096">
        <v>0</v>
      </c>
      <c r="CD1096">
        <v>0</v>
      </c>
      <c r="CE1096" t="s">
        <v>3108</v>
      </c>
      <c r="CF1096" t="s">
        <v>3108</v>
      </c>
      <c r="CG1096" t="s">
        <v>3108</v>
      </c>
      <c r="CH1096" t="s">
        <v>3108</v>
      </c>
    </row>
    <row r="1097" spans="1:86" x14ac:dyDescent="0.2">
      <c r="A1097" t="s">
        <v>4908</v>
      </c>
      <c r="B1097" t="s">
        <v>4908</v>
      </c>
      <c r="C1097">
        <v>41574</v>
      </c>
      <c r="D1097">
        <v>843</v>
      </c>
      <c r="E1097" t="s">
        <v>3268</v>
      </c>
      <c r="F1097" t="s">
        <v>3249</v>
      </c>
      <c r="G1097" t="s">
        <v>3249</v>
      </c>
      <c r="H1097" t="s">
        <v>3250</v>
      </c>
      <c r="I1097" t="s">
        <v>3250</v>
      </c>
      <c r="J1097" t="s">
        <v>3250</v>
      </c>
      <c r="K1097" t="s">
        <v>3250</v>
      </c>
      <c r="L1097">
        <v>1200</v>
      </c>
      <c r="M1097" t="s">
        <v>2368</v>
      </c>
      <c r="N1097">
        <v>1204</v>
      </c>
      <c r="O1097" t="s">
        <v>1574</v>
      </c>
      <c r="P1097" t="s">
        <v>3108</v>
      </c>
      <c r="Q1097" t="s">
        <v>3249</v>
      </c>
      <c r="R1097" t="s">
        <v>3249</v>
      </c>
      <c r="S1097" t="s">
        <v>472</v>
      </c>
      <c r="T1097" t="s">
        <v>3251</v>
      </c>
      <c r="U1097">
        <v>140</v>
      </c>
      <c r="V1097" t="s">
        <v>1327</v>
      </c>
      <c r="W1097">
        <v>140</v>
      </c>
      <c r="X1097" t="s">
        <v>1327</v>
      </c>
      <c r="Y1097" t="s">
        <v>3250</v>
      </c>
      <c r="Z1097" t="s">
        <v>3250</v>
      </c>
      <c r="AA1097" t="s">
        <v>3108</v>
      </c>
      <c r="AB1097" t="s">
        <v>3108</v>
      </c>
      <c r="AC1097" t="s">
        <v>3250</v>
      </c>
      <c r="AD1097" t="s">
        <v>3250</v>
      </c>
      <c r="AE1097" t="s">
        <v>3250</v>
      </c>
      <c r="AF1097" t="s">
        <v>3250</v>
      </c>
      <c r="AG1097" t="s">
        <v>3250</v>
      </c>
      <c r="AH1097" t="s">
        <v>3250</v>
      </c>
      <c r="AI1097" t="s">
        <v>3250</v>
      </c>
      <c r="AJ1097" t="s">
        <v>3250</v>
      </c>
      <c r="AL1097">
        <v>141</v>
      </c>
      <c r="AM1097" t="s">
        <v>1327</v>
      </c>
      <c r="AN1097">
        <v>141</v>
      </c>
      <c r="AO1097" t="s">
        <v>1327</v>
      </c>
      <c r="AS1097" t="s">
        <v>3250</v>
      </c>
      <c r="AT1097" t="s">
        <v>3250</v>
      </c>
      <c r="AU1097" t="s">
        <v>3250</v>
      </c>
      <c r="AV1097" t="s">
        <v>3250</v>
      </c>
      <c r="AW1097" t="s">
        <v>3250</v>
      </c>
      <c r="AX1097" t="s">
        <v>3250</v>
      </c>
      <c r="AY1097" t="s">
        <v>3250</v>
      </c>
      <c r="AZ1097" t="s">
        <v>3250</v>
      </c>
      <c r="BA1097" t="s">
        <v>3250</v>
      </c>
      <c r="BB1097" t="s">
        <v>3250</v>
      </c>
      <c r="BC1097" t="s">
        <v>3250</v>
      </c>
      <c r="BE1097" t="s">
        <v>3250</v>
      </c>
      <c r="BF1097" t="s">
        <v>3250</v>
      </c>
      <c r="BG1097" t="s">
        <v>3250</v>
      </c>
      <c r="BH1097" t="s">
        <v>3250</v>
      </c>
      <c r="BI1097" t="s">
        <v>3250</v>
      </c>
      <c r="BK1097" t="s">
        <v>3250</v>
      </c>
      <c r="BL1097" t="s">
        <v>3250</v>
      </c>
      <c r="BM1097" t="s">
        <v>3250</v>
      </c>
      <c r="BN1097" t="s">
        <v>3250</v>
      </c>
      <c r="BP1097">
        <v>1</v>
      </c>
      <c r="BQ1097">
        <v>11</v>
      </c>
      <c r="BR1097" t="s">
        <v>1574</v>
      </c>
      <c r="BS1097" t="s">
        <v>3252</v>
      </c>
      <c r="BV1097">
        <v>-2556243</v>
      </c>
      <c r="BW1097">
        <v>-1143810</v>
      </c>
      <c r="BX1097">
        <v>-564591</v>
      </c>
      <c r="BY1097">
        <v>0</v>
      </c>
      <c r="BZ1097">
        <v>0</v>
      </c>
      <c r="CA1097">
        <v>0</v>
      </c>
      <c r="CB1097">
        <v>0</v>
      </c>
      <c r="CC1097">
        <v>0</v>
      </c>
      <c r="CD1097">
        <v>-5132778</v>
      </c>
      <c r="CE1097" t="s">
        <v>3108</v>
      </c>
      <c r="CF1097" t="s">
        <v>3108</v>
      </c>
      <c r="CG1097" t="s">
        <v>3108</v>
      </c>
      <c r="CH1097" t="s">
        <v>3108</v>
      </c>
    </row>
    <row r="1098" spans="1:86" x14ac:dyDescent="0.2">
      <c r="A1098" t="s">
        <v>4909</v>
      </c>
      <c r="B1098" t="s">
        <v>4909</v>
      </c>
      <c r="C1098">
        <v>41575</v>
      </c>
      <c r="D1098">
        <v>844</v>
      </c>
      <c r="E1098" t="s">
        <v>3416</v>
      </c>
      <c r="F1098" t="s">
        <v>3249</v>
      </c>
      <c r="G1098" t="s">
        <v>3249</v>
      </c>
      <c r="H1098" t="s">
        <v>3250</v>
      </c>
      <c r="I1098" t="s">
        <v>3250</v>
      </c>
      <c r="J1098" t="s">
        <v>3250</v>
      </c>
      <c r="K1098" t="s">
        <v>3250</v>
      </c>
      <c r="L1098">
        <v>1200</v>
      </c>
      <c r="M1098" t="s">
        <v>2368</v>
      </c>
      <c r="N1098">
        <v>1204</v>
      </c>
      <c r="O1098" t="s">
        <v>1574</v>
      </c>
      <c r="P1098" t="s">
        <v>3108</v>
      </c>
      <c r="Q1098" t="s">
        <v>3249</v>
      </c>
      <c r="R1098" t="s">
        <v>3249</v>
      </c>
      <c r="S1098" t="s">
        <v>472</v>
      </c>
      <c r="T1098" t="s">
        <v>3251</v>
      </c>
      <c r="U1098">
        <v>140</v>
      </c>
      <c r="V1098" t="s">
        <v>1327</v>
      </c>
      <c r="W1098">
        <v>140</v>
      </c>
      <c r="X1098" t="s">
        <v>1327</v>
      </c>
      <c r="Y1098" t="s">
        <v>3250</v>
      </c>
      <c r="Z1098" t="s">
        <v>3250</v>
      </c>
      <c r="AA1098" t="s">
        <v>3108</v>
      </c>
      <c r="AB1098" t="s">
        <v>3108</v>
      </c>
      <c r="AC1098" t="s">
        <v>3250</v>
      </c>
      <c r="AD1098" t="s">
        <v>3250</v>
      </c>
      <c r="AE1098" t="s">
        <v>3250</v>
      </c>
      <c r="AF1098" t="s">
        <v>3250</v>
      </c>
      <c r="AG1098" t="s">
        <v>3250</v>
      </c>
      <c r="AH1098" t="s">
        <v>3250</v>
      </c>
      <c r="AI1098" t="s">
        <v>3250</v>
      </c>
      <c r="AJ1098" t="s">
        <v>3250</v>
      </c>
      <c r="AL1098">
        <v>141</v>
      </c>
      <c r="AM1098" t="s">
        <v>1327</v>
      </c>
      <c r="AN1098">
        <v>141</v>
      </c>
      <c r="AO1098" t="s">
        <v>1327</v>
      </c>
      <c r="AS1098" t="s">
        <v>3250</v>
      </c>
      <c r="AT1098" t="s">
        <v>3250</v>
      </c>
      <c r="AU1098" t="s">
        <v>3250</v>
      </c>
      <c r="AV1098" t="s">
        <v>3250</v>
      </c>
      <c r="AW1098" t="s">
        <v>3250</v>
      </c>
      <c r="AX1098" t="s">
        <v>3250</v>
      </c>
      <c r="AY1098" t="s">
        <v>3250</v>
      </c>
      <c r="AZ1098" t="s">
        <v>3250</v>
      </c>
      <c r="BA1098" t="s">
        <v>3250</v>
      </c>
      <c r="BB1098" t="s">
        <v>3250</v>
      </c>
      <c r="BC1098" t="s">
        <v>3250</v>
      </c>
      <c r="BE1098" t="s">
        <v>3250</v>
      </c>
      <c r="BF1098" t="s">
        <v>3250</v>
      </c>
      <c r="BG1098" t="s">
        <v>3250</v>
      </c>
      <c r="BH1098" t="s">
        <v>3250</v>
      </c>
      <c r="BI1098" t="s">
        <v>3250</v>
      </c>
      <c r="BK1098" t="s">
        <v>3250</v>
      </c>
      <c r="BL1098" t="s">
        <v>3250</v>
      </c>
      <c r="BM1098" t="s">
        <v>3250</v>
      </c>
      <c r="BN1098" t="s">
        <v>3250</v>
      </c>
      <c r="BP1098">
        <v>1</v>
      </c>
      <c r="BQ1098">
        <v>11</v>
      </c>
      <c r="BR1098" t="s">
        <v>1574</v>
      </c>
      <c r="BS1098" t="s">
        <v>3252</v>
      </c>
      <c r="BV1098">
        <v>0</v>
      </c>
      <c r="BW1098">
        <v>0</v>
      </c>
      <c r="BX1098">
        <v>0</v>
      </c>
      <c r="BY1098">
        <v>0</v>
      </c>
      <c r="BZ1098">
        <v>0</v>
      </c>
      <c r="CA1098">
        <v>0</v>
      </c>
      <c r="CB1098">
        <v>0</v>
      </c>
      <c r="CC1098">
        <v>0</v>
      </c>
      <c r="CD1098">
        <v>0</v>
      </c>
      <c r="CE1098" t="s">
        <v>3108</v>
      </c>
      <c r="CF1098" t="s">
        <v>3108</v>
      </c>
      <c r="CG1098" t="s">
        <v>3108</v>
      </c>
      <c r="CH1098" t="s">
        <v>3108</v>
      </c>
    </row>
    <row r="1099" spans="1:86" x14ac:dyDescent="0.2">
      <c r="A1099" t="s">
        <v>4910</v>
      </c>
      <c r="B1099" t="s">
        <v>4910</v>
      </c>
      <c r="C1099">
        <v>41576</v>
      </c>
      <c r="D1099">
        <v>845</v>
      </c>
      <c r="E1099" t="s">
        <v>3270</v>
      </c>
      <c r="F1099" t="s">
        <v>3249</v>
      </c>
      <c r="G1099" t="s">
        <v>3249</v>
      </c>
      <c r="H1099" t="s">
        <v>3250</v>
      </c>
      <c r="I1099" t="s">
        <v>3250</v>
      </c>
      <c r="J1099" t="s">
        <v>3250</v>
      </c>
      <c r="K1099" t="s">
        <v>3250</v>
      </c>
      <c r="L1099">
        <v>1200</v>
      </c>
      <c r="M1099" t="s">
        <v>2368</v>
      </c>
      <c r="N1099">
        <v>1204</v>
      </c>
      <c r="O1099" t="s">
        <v>1574</v>
      </c>
      <c r="P1099" t="s">
        <v>3108</v>
      </c>
      <c r="Q1099" t="s">
        <v>3249</v>
      </c>
      <c r="R1099" t="s">
        <v>3249</v>
      </c>
      <c r="S1099" t="s">
        <v>472</v>
      </c>
      <c r="T1099" t="s">
        <v>3251</v>
      </c>
      <c r="U1099">
        <v>140</v>
      </c>
      <c r="V1099" t="s">
        <v>1327</v>
      </c>
      <c r="W1099">
        <v>140</v>
      </c>
      <c r="X1099" t="s">
        <v>1327</v>
      </c>
      <c r="Y1099" t="s">
        <v>3250</v>
      </c>
      <c r="Z1099" t="s">
        <v>3250</v>
      </c>
      <c r="AA1099" t="s">
        <v>3108</v>
      </c>
      <c r="AB1099" t="s">
        <v>3108</v>
      </c>
      <c r="AC1099" t="s">
        <v>3250</v>
      </c>
      <c r="AD1099" t="s">
        <v>3250</v>
      </c>
      <c r="AE1099" t="s">
        <v>3250</v>
      </c>
      <c r="AF1099" t="s">
        <v>3250</v>
      </c>
      <c r="AG1099" t="s">
        <v>3250</v>
      </c>
      <c r="AH1099" t="s">
        <v>3250</v>
      </c>
      <c r="AI1099" t="s">
        <v>3250</v>
      </c>
      <c r="AJ1099" t="s">
        <v>3250</v>
      </c>
      <c r="AL1099">
        <v>147</v>
      </c>
      <c r="AM1099" t="s">
        <v>6</v>
      </c>
      <c r="AN1099">
        <v>147</v>
      </c>
      <c r="AO1099" t="s">
        <v>6</v>
      </c>
      <c r="AS1099" t="s">
        <v>3250</v>
      </c>
      <c r="AT1099" t="s">
        <v>3250</v>
      </c>
      <c r="AU1099" t="s">
        <v>3250</v>
      </c>
      <c r="AV1099" t="s">
        <v>3250</v>
      </c>
      <c r="AW1099" t="s">
        <v>3250</v>
      </c>
      <c r="AX1099" t="s">
        <v>3250</v>
      </c>
      <c r="AY1099" t="s">
        <v>3250</v>
      </c>
      <c r="AZ1099" t="s">
        <v>3250</v>
      </c>
      <c r="BA1099" t="s">
        <v>3250</v>
      </c>
      <c r="BB1099" t="s">
        <v>3250</v>
      </c>
      <c r="BC1099" t="s">
        <v>3250</v>
      </c>
      <c r="BE1099" t="s">
        <v>3250</v>
      </c>
      <c r="BF1099" t="s">
        <v>3250</v>
      </c>
      <c r="BG1099" t="s">
        <v>3250</v>
      </c>
      <c r="BH1099" t="s">
        <v>3250</v>
      </c>
      <c r="BI1099" t="s">
        <v>3250</v>
      </c>
      <c r="BK1099" t="s">
        <v>3250</v>
      </c>
      <c r="BL1099" t="s">
        <v>3250</v>
      </c>
      <c r="BM1099" t="s">
        <v>3250</v>
      </c>
      <c r="BN1099" t="s">
        <v>3250</v>
      </c>
      <c r="BP1099">
        <v>1</v>
      </c>
      <c r="BQ1099">
        <v>11</v>
      </c>
      <c r="BR1099" t="s">
        <v>1574</v>
      </c>
      <c r="BS1099" t="s">
        <v>3252</v>
      </c>
      <c r="BV1099">
        <v>0</v>
      </c>
      <c r="BW1099">
        <v>0</v>
      </c>
      <c r="BX1099">
        <v>0</v>
      </c>
      <c r="BY1099">
        <v>0</v>
      </c>
      <c r="BZ1099">
        <v>0</v>
      </c>
      <c r="CA1099">
        <v>0</v>
      </c>
      <c r="CB1099">
        <v>0</v>
      </c>
      <c r="CC1099">
        <v>0</v>
      </c>
      <c r="CD1099">
        <v>0</v>
      </c>
      <c r="CE1099" t="s">
        <v>3108</v>
      </c>
      <c r="CF1099" t="s">
        <v>3108</v>
      </c>
      <c r="CG1099" t="s">
        <v>3108</v>
      </c>
      <c r="CH1099" t="s">
        <v>3108</v>
      </c>
    </row>
    <row r="1100" spans="1:86" x14ac:dyDescent="0.2">
      <c r="A1100" t="s">
        <v>4911</v>
      </c>
      <c r="B1100" t="s">
        <v>4911</v>
      </c>
      <c r="C1100">
        <v>41577</v>
      </c>
      <c r="D1100">
        <v>846</v>
      </c>
      <c r="E1100" t="s">
        <v>3392</v>
      </c>
      <c r="F1100" t="s">
        <v>3249</v>
      </c>
      <c r="G1100" t="s">
        <v>3249</v>
      </c>
      <c r="H1100" t="s">
        <v>3250</v>
      </c>
      <c r="I1100" t="s">
        <v>3250</v>
      </c>
      <c r="J1100" t="s">
        <v>3250</v>
      </c>
      <c r="K1100" t="s">
        <v>3250</v>
      </c>
      <c r="L1100">
        <v>1200</v>
      </c>
      <c r="M1100" t="s">
        <v>2368</v>
      </c>
      <c r="N1100">
        <v>1204</v>
      </c>
      <c r="O1100" t="s">
        <v>1574</v>
      </c>
      <c r="P1100" t="s">
        <v>3108</v>
      </c>
      <c r="Q1100" t="s">
        <v>3249</v>
      </c>
      <c r="R1100" t="s">
        <v>3249</v>
      </c>
      <c r="S1100" t="s">
        <v>472</v>
      </c>
      <c r="T1100" t="s">
        <v>3251</v>
      </c>
      <c r="U1100">
        <v>140</v>
      </c>
      <c r="V1100" t="s">
        <v>1327</v>
      </c>
      <c r="W1100">
        <v>140</v>
      </c>
      <c r="X1100" t="s">
        <v>1327</v>
      </c>
      <c r="Y1100" t="s">
        <v>3250</v>
      </c>
      <c r="Z1100" t="s">
        <v>3250</v>
      </c>
      <c r="AA1100" t="s">
        <v>3108</v>
      </c>
      <c r="AB1100" t="s">
        <v>3108</v>
      </c>
      <c r="AC1100" t="s">
        <v>3250</v>
      </c>
      <c r="AD1100" t="s">
        <v>3250</v>
      </c>
      <c r="AE1100" t="s">
        <v>3250</v>
      </c>
      <c r="AF1100" t="s">
        <v>3250</v>
      </c>
      <c r="AG1100" t="s">
        <v>3250</v>
      </c>
      <c r="AH1100" t="s">
        <v>3250</v>
      </c>
      <c r="AI1100" t="s">
        <v>3250</v>
      </c>
      <c r="AJ1100" t="s">
        <v>3250</v>
      </c>
      <c r="AL1100">
        <v>141</v>
      </c>
      <c r="AM1100" t="s">
        <v>1327</v>
      </c>
      <c r="AN1100">
        <v>141</v>
      </c>
      <c r="AO1100" t="s">
        <v>1327</v>
      </c>
      <c r="AS1100" t="s">
        <v>3250</v>
      </c>
      <c r="AT1100" t="s">
        <v>3250</v>
      </c>
      <c r="AU1100" t="s">
        <v>3250</v>
      </c>
      <c r="AV1100" t="s">
        <v>3250</v>
      </c>
      <c r="AW1100" t="s">
        <v>3250</v>
      </c>
      <c r="AX1100" t="s">
        <v>3250</v>
      </c>
      <c r="AY1100" t="s">
        <v>3250</v>
      </c>
      <c r="AZ1100" t="s">
        <v>3250</v>
      </c>
      <c r="BA1100" t="s">
        <v>3250</v>
      </c>
      <c r="BB1100" t="s">
        <v>3250</v>
      </c>
      <c r="BC1100" t="s">
        <v>3250</v>
      </c>
      <c r="BE1100" t="s">
        <v>3250</v>
      </c>
      <c r="BF1100" t="s">
        <v>3250</v>
      </c>
      <c r="BG1100" t="s">
        <v>3250</v>
      </c>
      <c r="BH1100" t="s">
        <v>3250</v>
      </c>
      <c r="BI1100" t="s">
        <v>3250</v>
      </c>
      <c r="BK1100" t="s">
        <v>3250</v>
      </c>
      <c r="BL1100" t="s">
        <v>3250</v>
      </c>
      <c r="BM1100" t="s">
        <v>3250</v>
      </c>
      <c r="BN1100" t="s">
        <v>3250</v>
      </c>
      <c r="BP1100">
        <v>1</v>
      </c>
      <c r="BQ1100">
        <v>11</v>
      </c>
      <c r="BR1100" t="s">
        <v>1574</v>
      </c>
      <c r="BS1100" t="s">
        <v>3252</v>
      </c>
      <c r="BV1100">
        <v>0</v>
      </c>
      <c r="BW1100">
        <v>0</v>
      </c>
      <c r="BX1100">
        <v>0</v>
      </c>
      <c r="BY1100">
        <v>0</v>
      </c>
      <c r="BZ1100">
        <v>0</v>
      </c>
      <c r="CA1100">
        <v>0</v>
      </c>
      <c r="CB1100">
        <v>0</v>
      </c>
      <c r="CC1100">
        <v>0</v>
      </c>
      <c r="CD1100">
        <v>0</v>
      </c>
      <c r="CE1100" t="s">
        <v>3108</v>
      </c>
      <c r="CF1100" t="s">
        <v>3108</v>
      </c>
      <c r="CG1100" t="s">
        <v>3108</v>
      </c>
      <c r="CH1100" t="s">
        <v>3108</v>
      </c>
    </row>
    <row r="1101" spans="1:86" x14ac:dyDescent="0.2">
      <c r="A1101" t="s">
        <v>4912</v>
      </c>
      <c r="B1101" t="s">
        <v>4912</v>
      </c>
      <c r="C1101">
        <v>41578</v>
      </c>
      <c r="D1101">
        <v>847</v>
      </c>
      <c r="E1101" t="s">
        <v>3272</v>
      </c>
      <c r="F1101" t="s">
        <v>3249</v>
      </c>
      <c r="G1101" t="s">
        <v>3249</v>
      </c>
      <c r="H1101" t="s">
        <v>3250</v>
      </c>
      <c r="I1101" t="s">
        <v>3250</v>
      </c>
      <c r="J1101" t="s">
        <v>3250</v>
      </c>
      <c r="K1101" t="s">
        <v>3250</v>
      </c>
      <c r="L1101">
        <v>1200</v>
      </c>
      <c r="M1101" t="s">
        <v>2368</v>
      </c>
      <c r="N1101">
        <v>1204</v>
      </c>
      <c r="O1101" t="s">
        <v>1574</v>
      </c>
      <c r="P1101" t="s">
        <v>3108</v>
      </c>
      <c r="Q1101" t="s">
        <v>3249</v>
      </c>
      <c r="R1101" t="s">
        <v>3249</v>
      </c>
      <c r="S1101" t="s">
        <v>472</v>
      </c>
      <c r="T1101" t="s">
        <v>3251</v>
      </c>
      <c r="U1101">
        <v>140</v>
      </c>
      <c r="V1101" t="s">
        <v>1327</v>
      </c>
      <c r="W1101">
        <v>140</v>
      </c>
      <c r="X1101" t="s">
        <v>1327</v>
      </c>
      <c r="Y1101" t="s">
        <v>3250</v>
      </c>
      <c r="Z1101" t="s">
        <v>3250</v>
      </c>
      <c r="AA1101" t="s">
        <v>3108</v>
      </c>
      <c r="AB1101" t="s">
        <v>3108</v>
      </c>
      <c r="AC1101" t="s">
        <v>3250</v>
      </c>
      <c r="AD1101" t="s">
        <v>3250</v>
      </c>
      <c r="AE1101" t="s">
        <v>3250</v>
      </c>
      <c r="AF1101" t="s">
        <v>3250</v>
      </c>
      <c r="AG1101" t="s">
        <v>3250</v>
      </c>
      <c r="AH1101" t="s">
        <v>3250</v>
      </c>
      <c r="AI1101" t="s">
        <v>3250</v>
      </c>
      <c r="AJ1101" t="s">
        <v>3250</v>
      </c>
      <c r="AL1101">
        <v>141</v>
      </c>
      <c r="AM1101" t="s">
        <v>1327</v>
      </c>
      <c r="AN1101">
        <v>141</v>
      </c>
      <c r="AO1101" t="s">
        <v>1327</v>
      </c>
      <c r="AS1101" t="s">
        <v>3250</v>
      </c>
      <c r="AT1101" t="s">
        <v>3250</v>
      </c>
      <c r="AU1101" t="s">
        <v>3250</v>
      </c>
      <c r="AV1101" t="s">
        <v>3250</v>
      </c>
      <c r="AW1101" t="s">
        <v>3250</v>
      </c>
      <c r="AX1101" t="s">
        <v>3250</v>
      </c>
      <c r="AY1101" t="s">
        <v>3250</v>
      </c>
      <c r="AZ1101" t="s">
        <v>3250</v>
      </c>
      <c r="BA1101" t="s">
        <v>3250</v>
      </c>
      <c r="BB1101" t="s">
        <v>3250</v>
      </c>
      <c r="BC1101" t="s">
        <v>3250</v>
      </c>
      <c r="BE1101" t="s">
        <v>3250</v>
      </c>
      <c r="BF1101" t="s">
        <v>3250</v>
      </c>
      <c r="BG1101" t="s">
        <v>3250</v>
      </c>
      <c r="BH1101" t="s">
        <v>3250</v>
      </c>
      <c r="BI1101" t="s">
        <v>3250</v>
      </c>
      <c r="BK1101" t="s">
        <v>3250</v>
      </c>
      <c r="BL1101" t="s">
        <v>3250</v>
      </c>
      <c r="BM1101" t="s">
        <v>3250</v>
      </c>
      <c r="BN1101" t="s">
        <v>3250</v>
      </c>
      <c r="BP1101">
        <v>1</v>
      </c>
      <c r="BQ1101">
        <v>11</v>
      </c>
      <c r="BR1101" t="s">
        <v>1574</v>
      </c>
      <c r="BS1101" t="s">
        <v>3252</v>
      </c>
      <c r="BV1101">
        <v>18944</v>
      </c>
      <c r="BW1101">
        <v>18944</v>
      </c>
      <c r="BX1101">
        <v>18944</v>
      </c>
      <c r="BY1101">
        <v>0</v>
      </c>
      <c r="BZ1101">
        <v>0</v>
      </c>
      <c r="CA1101">
        <v>0</v>
      </c>
      <c r="CB1101">
        <v>0</v>
      </c>
      <c r="CC1101">
        <v>0</v>
      </c>
      <c r="CD1101">
        <v>18944</v>
      </c>
      <c r="CE1101" t="s">
        <v>3108</v>
      </c>
      <c r="CF1101" t="s">
        <v>3108</v>
      </c>
      <c r="CG1101" t="s">
        <v>3108</v>
      </c>
      <c r="CH1101" t="s">
        <v>3108</v>
      </c>
    </row>
    <row r="1102" spans="1:86" x14ac:dyDescent="0.2">
      <c r="A1102" t="s">
        <v>4913</v>
      </c>
      <c r="B1102" t="s">
        <v>4913</v>
      </c>
      <c r="C1102">
        <v>41579</v>
      </c>
      <c r="D1102">
        <v>848</v>
      </c>
      <c r="E1102" t="s">
        <v>3394</v>
      </c>
      <c r="F1102" t="s">
        <v>3249</v>
      </c>
      <c r="G1102" t="s">
        <v>3249</v>
      </c>
      <c r="H1102" t="s">
        <v>3250</v>
      </c>
      <c r="I1102" t="s">
        <v>3250</v>
      </c>
      <c r="J1102" t="s">
        <v>3250</v>
      </c>
      <c r="K1102" t="s">
        <v>3250</v>
      </c>
      <c r="L1102">
        <v>1200</v>
      </c>
      <c r="M1102" t="s">
        <v>2368</v>
      </c>
      <c r="N1102">
        <v>1204</v>
      </c>
      <c r="O1102" t="s">
        <v>1574</v>
      </c>
      <c r="P1102" t="s">
        <v>3108</v>
      </c>
      <c r="Q1102" t="s">
        <v>3249</v>
      </c>
      <c r="R1102" t="s">
        <v>3249</v>
      </c>
      <c r="S1102" t="s">
        <v>472</v>
      </c>
      <c r="T1102" t="s">
        <v>3251</v>
      </c>
      <c r="U1102">
        <v>140</v>
      </c>
      <c r="V1102" t="s">
        <v>1327</v>
      </c>
      <c r="W1102">
        <v>140</v>
      </c>
      <c r="X1102" t="s">
        <v>1327</v>
      </c>
      <c r="Y1102" t="s">
        <v>3250</v>
      </c>
      <c r="Z1102" t="s">
        <v>3250</v>
      </c>
      <c r="AA1102" t="s">
        <v>3108</v>
      </c>
      <c r="AB1102" t="s">
        <v>3108</v>
      </c>
      <c r="AC1102" t="s">
        <v>3250</v>
      </c>
      <c r="AD1102" t="s">
        <v>3250</v>
      </c>
      <c r="AE1102" t="s">
        <v>3250</v>
      </c>
      <c r="AF1102" t="s">
        <v>3250</v>
      </c>
      <c r="AG1102" t="s">
        <v>3250</v>
      </c>
      <c r="AH1102" t="s">
        <v>3250</v>
      </c>
      <c r="AI1102" t="s">
        <v>3250</v>
      </c>
      <c r="AJ1102" t="s">
        <v>3250</v>
      </c>
      <c r="AL1102">
        <v>141</v>
      </c>
      <c r="AM1102" t="s">
        <v>1327</v>
      </c>
      <c r="AN1102">
        <v>141</v>
      </c>
      <c r="AO1102" t="s">
        <v>1327</v>
      </c>
      <c r="AS1102" t="s">
        <v>3250</v>
      </c>
      <c r="AT1102" t="s">
        <v>3250</v>
      </c>
      <c r="AU1102" t="s">
        <v>3250</v>
      </c>
      <c r="AV1102" t="s">
        <v>3250</v>
      </c>
      <c r="AW1102" t="s">
        <v>3250</v>
      </c>
      <c r="AX1102" t="s">
        <v>3250</v>
      </c>
      <c r="AY1102" t="s">
        <v>3250</v>
      </c>
      <c r="AZ1102" t="s">
        <v>3250</v>
      </c>
      <c r="BA1102" t="s">
        <v>3250</v>
      </c>
      <c r="BB1102" t="s">
        <v>3250</v>
      </c>
      <c r="BC1102" t="s">
        <v>3250</v>
      </c>
      <c r="BE1102" t="s">
        <v>3250</v>
      </c>
      <c r="BF1102" t="s">
        <v>3250</v>
      </c>
      <c r="BG1102" t="s">
        <v>3250</v>
      </c>
      <c r="BH1102" t="s">
        <v>3250</v>
      </c>
      <c r="BI1102" t="s">
        <v>3250</v>
      </c>
      <c r="BK1102" t="s">
        <v>3250</v>
      </c>
      <c r="BL1102" t="s">
        <v>3250</v>
      </c>
      <c r="BM1102" t="s">
        <v>3250</v>
      </c>
      <c r="BN1102" t="s">
        <v>3250</v>
      </c>
      <c r="BP1102">
        <v>1</v>
      </c>
      <c r="BQ1102">
        <v>11</v>
      </c>
      <c r="BR1102" t="s">
        <v>1574</v>
      </c>
      <c r="BS1102" t="s">
        <v>3252</v>
      </c>
      <c r="BV1102">
        <v>0</v>
      </c>
      <c r="BW1102">
        <v>0</v>
      </c>
      <c r="BX1102">
        <v>0</v>
      </c>
      <c r="BY1102">
        <v>0</v>
      </c>
      <c r="BZ1102">
        <v>0</v>
      </c>
      <c r="CA1102">
        <v>0</v>
      </c>
      <c r="CB1102">
        <v>0</v>
      </c>
      <c r="CC1102">
        <v>0</v>
      </c>
      <c r="CD1102">
        <v>0</v>
      </c>
      <c r="CE1102" t="s">
        <v>3108</v>
      </c>
      <c r="CF1102" t="s">
        <v>3108</v>
      </c>
      <c r="CG1102" t="s">
        <v>3108</v>
      </c>
      <c r="CH1102" t="s">
        <v>3108</v>
      </c>
    </row>
    <row r="1103" spans="1:86" x14ac:dyDescent="0.2">
      <c r="A1103" t="s">
        <v>4914</v>
      </c>
      <c r="B1103" t="s">
        <v>4914</v>
      </c>
      <c r="C1103">
        <v>41580</v>
      </c>
      <c r="D1103">
        <v>849</v>
      </c>
      <c r="E1103" t="s">
        <v>4915</v>
      </c>
      <c r="F1103" t="s">
        <v>3249</v>
      </c>
      <c r="G1103" t="s">
        <v>3249</v>
      </c>
      <c r="H1103" t="s">
        <v>3250</v>
      </c>
      <c r="I1103" t="s">
        <v>3250</v>
      </c>
      <c r="J1103" t="s">
        <v>3250</v>
      </c>
      <c r="K1103" t="s">
        <v>3250</v>
      </c>
      <c r="L1103">
        <v>1200</v>
      </c>
      <c r="M1103" t="s">
        <v>2368</v>
      </c>
      <c r="N1103">
        <v>1204</v>
      </c>
      <c r="O1103" t="s">
        <v>1574</v>
      </c>
      <c r="P1103" t="s">
        <v>3108</v>
      </c>
      <c r="Q1103" t="s">
        <v>3249</v>
      </c>
      <c r="R1103" t="s">
        <v>3249</v>
      </c>
      <c r="S1103" t="s">
        <v>472</v>
      </c>
      <c r="T1103" t="s">
        <v>3251</v>
      </c>
      <c r="U1103">
        <v>140</v>
      </c>
      <c r="V1103" t="s">
        <v>1327</v>
      </c>
      <c r="W1103">
        <v>140</v>
      </c>
      <c r="X1103" t="s">
        <v>1327</v>
      </c>
      <c r="Y1103" t="s">
        <v>3250</v>
      </c>
      <c r="Z1103" t="s">
        <v>3250</v>
      </c>
      <c r="AA1103" t="s">
        <v>3108</v>
      </c>
      <c r="AB1103" t="s">
        <v>3108</v>
      </c>
      <c r="AC1103" t="s">
        <v>3250</v>
      </c>
      <c r="AD1103" t="s">
        <v>3250</v>
      </c>
      <c r="AE1103" t="s">
        <v>3250</v>
      </c>
      <c r="AF1103" t="s">
        <v>3250</v>
      </c>
      <c r="AG1103" t="s">
        <v>3250</v>
      </c>
      <c r="AH1103" t="s">
        <v>3250</v>
      </c>
      <c r="AI1103" t="s">
        <v>3250</v>
      </c>
      <c r="AJ1103" t="s">
        <v>3250</v>
      </c>
      <c r="AL1103">
        <v>141</v>
      </c>
      <c r="AM1103" t="s">
        <v>1327</v>
      </c>
      <c r="AN1103">
        <v>141</v>
      </c>
      <c r="AO1103" t="s">
        <v>1327</v>
      </c>
      <c r="AS1103" t="s">
        <v>3250</v>
      </c>
      <c r="AT1103" t="s">
        <v>3250</v>
      </c>
      <c r="AU1103" t="s">
        <v>3250</v>
      </c>
      <c r="AV1103" t="s">
        <v>3250</v>
      </c>
      <c r="AW1103" t="s">
        <v>3250</v>
      </c>
      <c r="AX1103" t="s">
        <v>3250</v>
      </c>
      <c r="AY1103" t="s">
        <v>3250</v>
      </c>
      <c r="AZ1103" t="s">
        <v>3250</v>
      </c>
      <c r="BA1103" t="s">
        <v>3250</v>
      </c>
      <c r="BB1103" t="s">
        <v>3250</v>
      </c>
      <c r="BC1103" t="s">
        <v>3250</v>
      </c>
      <c r="BE1103" t="s">
        <v>3250</v>
      </c>
      <c r="BF1103" t="s">
        <v>3250</v>
      </c>
      <c r="BG1103" t="s">
        <v>3250</v>
      </c>
      <c r="BH1103" t="s">
        <v>3250</v>
      </c>
      <c r="BI1103" t="s">
        <v>3250</v>
      </c>
      <c r="BK1103" t="s">
        <v>3250</v>
      </c>
      <c r="BL1103" t="s">
        <v>3250</v>
      </c>
      <c r="BM1103" t="s">
        <v>3250</v>
      </c>
      <c r="BN1103" t="s">
        <v>3250</v>
      </c>
      <c r="BP1103">
        <v>1</v>
      </c>
      <c r="BQ1103">
        <v>11</v>
      </c>
      <c r="BR1103" t="s">
        <v>1574</v>
      </c>
      <c r="BS1103" t="s">
        <v>3252</v>
      </c>
      <c r="BV1103">
        <v>4316920</v>
      </c>
      <c r="BW1103">
        <v>1985405</v>
      </c>
      <c r="BX1103">
        <v>1266194</v>
      </c>
      <c r="BY1103">
        <v>0</v>
      </c>
      <c r="BZ1103">
        <v>0</v>
      </c>
      <c r="CA1103">
        <v>0</v>
      </c>
      <c r="CB1103">
        <v>0</v>
      </c>
      <c r="CC1103">
        <v>0</v>
      </c>
      <c r="CD1103">
        <v>6350899</v>
      </c>
      <c r="CE1103" t="s">
        <v>3108</v>
      </c>
      <c r="CF1103" t="s">
        <v>3108</v>
      </c>
      <c r="CG1103" t="s">
        <v>3108</v>
      </c>
      <c r="CH1103" t="s">
        <v>3108</v>
      </c>
    </row>
    <row r="1104" spans="1:86" x14ac:dyDescent="0.2">
      <c r="A1104" t="s">
        <v>4916</v>
      </c>
      <c r="B1104" t="s">
        <v>4916</v>
      </c>
      <c r="C1104">
        <v>41581</v>
      </c>
      <c r="D1104">
        <v>850</v>
      </c>
      <c r="E1104" t="s">
        <v>3396</v>
      </c>
      <c r="F1104" t="s">
        <v>3249</v>
      </c>
      <c r="G1104" t="s">
        <v>3249</v>
      </c>
      <c r="H1104" t="s">
        <v>3250</v>
      </c>
      <c r="I1104" t="s">
        <v>3250</v>
      </c>
      <c r="J1104" t="s">
        <v>3250</v>
      </c>
      <c r="K1104" t="s">
        <v>3250</v>
      </c>
      <c r="L1104">
        <v>1200</v>
      </c>
      <c r="M1104" t="s">
        <v>2368</v>
      </c>
      <c r="N1104">
        <v>1204</v>
      </c>
      <c r="O1104" t="s">
        <v>1574</v>
      </c>
      <c r="P1104" t="s">
        <v>3108</v>
      </c>
      <c r="Q1104" t="s">
        <v>3249</v>
      </c>
      <c r="R1104" t="s">
        <v>3249</v>
      </c>
      <c r="S1104" t="s">
        <v>472</v>
      </c>
      <c r="T1104" t="s">
        <v>3251</v>
      </c>
      <c r="U1104">
        <v>140</v>
      </c>
      <c r="V1104" t="s">
        <v>1327</v>
      </c>
      <c r="W1104">
        <v>140</v>
      </c>
      <c r="X1104" t="s">
        <v>1327</v>
      </c>
      <c r="Y1104" t="s">
        <v>3250</v>
      </c>
      <c r="Z1104" t="s">
        <v>3250</v>
      </c>
      <c r="AA1104" t="s">
        <v>3108</v>
      </c>
      <c r="AB1104" t="s">
        <v>3108</v>
      </c>
      <c r="AC1104" t="s">
        <v>3250</v>
      </c>
      <c r="AD1104" t="s">
        <v>3250</v>
      </c>
      <c r="AE1104" t="s">
        <v>3250</v>
      </c>
      <c r="AF1104" t="s">
        <v>3250</v>
      </c>
      <c r="AG1104" t="s">
        <v>3250</v>
      </c>
      <c r="AH1104" t="s">
        <v>3250</v>
      </c>
      <c r="AI1104" t="s">
        <v>3250</v>
      </c>
      <c r="AJ1104" t="s">
        <v>3250</v>
      </c>
      <c r="AL1104">
        <v>147</v>
      </c>
      <c r="AM1104" t="s">
        <v>6</v>
      </c>
      <c r="AN1104">
        <v>147</v>
      </c>
      <c r="AO1104" t="s">
        <v>6</v>
      </c>
      <c r="AS1104" t="s">
        <v>3250</v>
      </c>
      <c r="AT1104" t="s">
        <v>3250</v>
      </c>
      <c r="AU1104" t="s">
        <v>3250</v>
      </c>
      <c r="AV1104" t="s">
        <v>3250</v>
      </c>
      <c r="AW1104" t="s">
        <v>3250</v>
      </c>
      <c r="AX1104" t="s">
        <v>3250</v>
      </c>
      <c r="AY1104" t="s">
        <v>3250</v>
      </c>
      <c r="AZ1104" t="s">
        <v>3250</v>
      </c>
      <c r="BA1104" t="s">
        <v>3250</v>
      </c>
      <c r="BB1104" t="s">
        <v>3250</v>
      </c>
      <c r="BC1104" t="s">
        <v>3250</v>
      </c>
      <c r="BE1104" t="s">
        <v>3250</v>
      </c>
      <c r="BF1104" t="s">
        <v>3250</v>
      </c>
      <c r="BG1104" t="s">
        <v>3250</v>
      </c>
      <c r="BH1104" t="s">
        <v>3250</v>
      </c>
      <c r="BI1104" t="s">
        <v>3250</v>
      </c>
      <c r="BK1104" t="s">
        <v>3250</v>
      </c>
      <c r="BL1104" t="s">
        <v>3250</v>
      </c>
      <c r="BM1104" t="s">
        <v>3250</v>
      </c>
      <c r="BN1104" t="s">
        <v>3250</v>
      </c>
      <c r="BP1104">
        <v>1</v>
      </c>
      <c r="BQ1104">
        <v>11</v>
      </c>
      <c r="BR1104" t="s">
        <v>1574</v>
      </c>
      <c r="BS1104" t="s">
        <v>3252</v>
      </c>
      <c r="BV1104">
        <v>0</v>
      </c>
      <c r="BW1104">
        <v>0</v>
      </c>
      <c r="BX1104">
        <v>0</v>
      </c>
      <c r="BY1104">
        <v>0</v>
      </c>
      <c r="BZ1104">
        <v>0</v>
      </c>
      <c r="CA1104">
        <v>0</v>
      </c>
      <c r="CB1104">
        <v>0</v>
      </c>
      <c r="CC1104">
        <v>0</v>
      </c>
      <c r="CD1104">
        <v>0</v>
      </c>
      <c r="CE1104" t="s">
        <v>3108</v>
      </c>
      <c r="CF1104" t="s">
        <v>3108</v>
      </c>
      <c r="CG1104" t="s">
        <v>3108</v>
      </c>
      <c r="CH1104" t="s">
        <v>3108</v>
      </c>
    </row>
    <row r="1105" spans="1:86" x14ac:dyDescent="0.2">
      <c r="A1105" t="s">
        <v>4917</v>
      </c>
      <c r="B1105" t="s">
        <v>4917</v>
      </c>
      <c r="C1105">
        <v>41582</v>
      </c>
      <c r="D1105">
        <v>851</v>
      </c>
      <c r="E1105" t="s">
        <v>3274</v>
      </c>
      <c r="F1105" t="s">
        <v>3249</v>
      </c>
      <c r="G1105" t="s">
        <v>3249</v>
      </c>
      <c r="H1105" t="s">
        <v>3250</v>
      </c>
      <c r="I1105" t="s">
        <v>3250</v>
      </c>
      <c r="J1105" t="s">
        <v>3250</v>
      </c>
      <c r="K1105" t="s">
        <v>3250</v>
      </c>
      <c r="L1105">
        <v>1200</v>
      </c>
      <c r="M1105" t="s">
        <v>2368</v>
      </c>
      <c r="N1105">
        <v>1204</v>
      </c>
      <c r="O1105" t="s">
        <v>1574</v>
      </c>
      <c r="P1105" t="s">
        <v>3108</v>
      </c>
      <c r="Q1105" t="s">
        <v>3249</v>
      </c>
      <c r="R1105" t="s">
        <v>3249</v>
      </c>
      <c r="S1105" t="s">
        <v>472</v>
      </c>
      <c r="T1105" t="s">
        <v>3251</v>
      </c>
      <c r="U1105">
        <v>140</v>
      </c>
      <c r="V1105" t="s">
        <v>1327</v>
      </c>
      <c r="W1105">
        <v>140</v>
      </c>
      <c r="X1105" t="s">
        <v>1327</v>
      </c>
      <c r="Y1105" t="s">
        <v>3250</v>
      </c>
      <c r="Z1105" t="s">
        <v>3250</v>
      </c>
      <c r="AA1105" t="s">
        <v>3108</v>
      </c>
      <c r="AB1105" t="s">
        <v>3108</v>
      </c>
      <c r="AC1105" t="s">
        <v>3250</v>
      </c>
      <c r="AD1105" t="s">
        <v>3250</v>
      </c>
      <c r="AE1105" t="s">
        <v>3250</v>
      </c>
      <c r="AF1105" t="s">
        <v>3250</v>
      </c>
      <c r="AG1105" t="s">
        <v>3250</v>
      </c>
      <c r="AH1105" t="s">
        <v>3250</v>
      </c>
      <c r="AI1105" t="s">
        <v>3250</v>
      </c>
      <c r="AJ1105" t="s">
        <v>3250</v>
      </c>
      <c r="AL1105">
        <v>141</v>
      </c>
      <c r="AM1105" t="s">
        <v>1327</v>
      </c>
      <c r="AN1105">
        <v>141</v>
      </c>
      <c r="AO1105" t="s">
        <v>1327</v>
      </c>
      <c r="AS1105" t="s">
        <v>3250</v>
      </c>
      <c r="AT1105" t="s">
        <v>3250</v>
      </c>
      <c r="AU1105" t="s">
        <v>3250</v>
      </c>
      <c r="AV1105" t="s">
        <v>3250</v>
      </c>
      <c r="AW1105" t="s">
        <v>3250</v>
      </c>
      <c r="AX1105" t="s">
        <v>3250</v>
      </c>
      <c r="AY1105" t="s">
        <v>3250</v>
      </c>
      <c r="AZ1105" t="s">
        <v>3250</v>
      </c>
      <c r="BA1105" t="s">
        <v>3250</v>
      </c>
      <c r="BB1105" t="s">
        <v>3250</v>
      </c>
      <c r="BC1105" t="s">
        <v>3250</v>
      </c>
      <c r="BE1105" t="s">
        <v>3250</v>
      </c>
      <c r="BF1105" t="s">
        <v>3250</v>
      </c>
      <c r="BG1105" t="s">
        <v>3250</v>
      </c>
      <c r="BH1105" t="s">
        <v>3250</v>
      </c>
      <c r="BI1105" t="s">
        <v>3250</v>
      </c>
      <c r="BK1105" t="s">
        <v>3250</v>
      </c>
      <c r="BL1105" t="s">
        <v>3250</v>
      </c>
      <c r="BM1105" t="s">
        <v>3250</v>
      </c>
      <c r="BN1105" t="s">
        <v>3250</v>
      </c>
      <c r="BP1105">
        <v>1</v>
      </c>
      <c r="BQ1105">
        <v>11</v>
      </c>
      <c r="BR1105" t="s">
        <v>1574</v>
      </c>
      <c r="BS1105" t="s">
        <v>3252</v>
      </c>
      <c r="BV1105">
        <v>0</v>
      </c>
      <c r="BW1105">
        <v>0</v>
      </c>
      <c r="BX1105">
        <v>0</v>
      </c>
      <c r="BY1105">
        <v>0</v>
      </c>
      <c r="BZ1105">
        <v>0</v>
      </c>
      <c r="CA1105">
        <v>0</v>
      </c>
      <c r="CB1105">
        <v>0</v>
      </c>
      <c r="CC1105">
        <v>0</v>
      </c>
      <c r="CD1105">
        <v>0</v>
      </c>
      <c r="CE1105" t="s">
        <v>3108</v>
      </c>
      <c r="CF1105" t="s">
        <v>3108</v>
      </c>
      <c r="CG1105" t="s">
        <v>3108</v>
      </c>
      <c r="CH1105" t="s">
        <v>3108</v>
      </c>
    </row>
    <row r="1106" spans="1:86" x14ac:dyDescent="0.2">
      <c r="A1106" t="s">
        <v>4918</v>
      </c>
      <c r="B1106" t="s">
        <v>4918</v>
      </c>
      <c r="C1106">
        <v>41583</v>
      </c>
      <c r="D1106">
        <v>852</v>
      </c>
      <c r="E1106" t="s">
        <v>3398</v>
      </c>
      <c r="F1106" t="s">
        <v>3249</v>
      </c>
      <c r="G1106" t="s">
        <v>3249</v>
      </c>
      <c r="H1106" t="s">
        <v>3250</v>
      </c>
      <c r="I1106" t="s">
        <v>3250</v>
      </c>
      <c r="J1106" t="s">
        <v>3250</v>
      </c>
      <c r="K1106" t="s">
        <v>3250</v>
      </c>
      <c r="L1106">
        <v>1200</v>
      </c>
      <c r="M1106" t="s">
        <v>2368</v>
      </c>
      <c r="N1106">
        <v>1204</v>
      </c>
      <c r="O1106" t="s">
        <v>1574</v>
      </c>
      <c r="P1106" t="s">
        <v>3108</v>
      </c>
      <c r="Q1106" t="s">
        <v>3249</v>
      </c>
      <c r="R1106" t="s">
        <v>3249</v>
      </c>
      <c r="S1106" t="s">
        <v>472</v>
      </c>
      <c r="T1106" t="s">
        <v>3251</v>
      </c>
      <c r="U1106">
        <v>140</v>
      </c>
      <c r="V1106" t="s">
        <v>1327</v>
      </c>
      <c r="W1106">
        <v>140</v>
      </c>
      <c r="X1106" t="s">
        <v>1327</v>
      </c>
      <c r="Y1106" t="s">
        <v>3250</v>
      </c>
      <c r="Z1106" t="s">
        <v>3250</v>
      </c>
      <c r="AA1106" t="s">
        <v>3108</v>
      </c>
      <c r="AB1106" t="s">
        <v>3108</v>
      </c>
      <c r="AC1106" t="s">
        <v>3250</v>
      </c>
      <c r="AD1106" t="s">
        <v>3250</v>
      </c>
      <c r="AE1106" t="s">
        <v>3250</v>
      </c>
      <c r="AF1106" t="s">
        <v>3250</v>
      </c>
      <c r="AG1106" t="s">
        <v>3250</v>
      </c>
      <c r="AH1106" t="s">
        <v>3250</v>
      </c>
      <c r="AI1106" t="s">
        <v>3250</v>
      </c>
      <c r="AJ1106" t="s">
        <v>3250</v>
      </c>
      <c r="AL1106">
        <v>141</v>
      </c>
      <c r="AM1106" t="s">
        <v>1327</v>
      </c>
      <c r="AN1106">
        <v>141</v>
      </c>
      <c r="AO1106" t="s">
        <v>1327</v>
      </c>
      <c r="AS1106" t="s">
        <v>3250</v>
      </c>
      <c r="AT1106" t="s">
        <v>3250</v>
      </c>
      <c r="AU1106" t="s">
        <v>3250</v>
      </c>
      <c r="AV1106" t="s">
        <v>3250</v>
      </c>
      <c r="AW1106" t="s">
        <v>3250</v>
      </c>
      <c r="AX1106" t="s">
        <v>3250</v>
      </c>
      <c r="AY1106" t="s">
        <v>3250</v>
      </c>
      <c r="AZ1106" t="s">
        <v>3250</v>
      </c>
      <c r="BA1106" t="s">
        <v>3250</v>
      </c>
      <c r="BB1106" t="s">
        <v>3250</v>
      </c>
      <c r="BC1106" t="s">
        <v>3250</v>
      </c>
      <c r="BE1106" t="s">
        <v>3250</v>
      </c>
      <c r="BF1106" t="s">
        <v>3250</v>
      </c>
      <c r="BG1106" t="s">
        <v>3250</v>
      </c>
      <c r="BH1106" t="s">
        <v>3250</v>
      </c>
      <c r="BI1106" t="s">
        <v>3250</v>
      </c>
      <c r="BK1106" t="s">
        <v>3250</v>
      </c>
      <c r="BL1106" t="s">
        <v>3250</v>
      </c>
      <c r="BM1106" t="s">
        <v>3250</v>
      </c>
      <c r="BN1106" t="s">
        <v>3250</v>
      </c>
      <c r="BP1106">
        <v>1</v>
      </c>
      <c r="BQ1106">
        <v>11</v>
      </c>
      <c r="BR1106" t="s">
        <v>1574</v>
      </c>
      <c r="BS1106" t="s">
        <v>3252</v>
      </c>
      <c r="BV1106">
        <v>0</v>
      </c>
      <c r="BW1106">
        <v>0</v>
      </c>
      <c r="BX1106">
        <v>0</v>
      </c>
      <c r="BY1106">
        <v>0</v>
      </c>
      <c r="BZ1106">
        <v>0</v>
      </c>
      <c r="CA1106">
        <v>0</v>
      </c>
      <c r="CB1106">
        <v>0</v>
      </c>
      <c r="CC1106">
        <v>0</v>
      </c>
      <c r="CD1106">
        <v>0</v>
      </c>
      <c r="CE1106" t="s">
        <v>3108</v>
      </c>
      <c r="CF1106" t="s">
        <v>3108</v>
      </c>
      <c r="CG1106" t="s">
        <v>3108</v>
      </c>
      <c r="CH1106" t="s">
        <v>3108</v>
      </c>
    </row>
    <row r="1107" spans="1:86" x14ac:dyDescent="0.2">
      <c r="A1107" t="s">
        <v>4919</v>
      </c>
      <c r="B1107" t="s">
        <v>4919</v>
      </c>
      <c r="C1107">
        <v>41584</v>
      </c>
      <c r="D1107">
        <v>853</v>
      </c>
      <c r="E1107" t="s">
        <v>3380</v>
      </c>
      <c r="F1107" t="s">
        <v>3249</v>
      </c>
      <c r="G1107" t="s">
        <v>3249</v>
      </c>
      <c r="H1107" t="s">
        <v>3250</v>
      </c>
      <c r="I1107" t="s">
        <v>3250</v>
      </c>
      <c r="J1107" t="s">
        <v>3250</v>
      </c>
      <c r="K1107" t="s">
        <v>3250</v>
      </c>
      <c r="L1107">
        <v>1200</v>
      </c>
      <c r="M1107" t="s">
        <v>2368</v>
      </c>
      <c r="N1107">
        <v>1204</v>
      </c>
      <c r="O1107" t="s">
        <v>1574</v>
      </c>
      <c r="P1107" t="s">
        <v>3108</v>
      </c>
      <c r="Q1107" t="s">
        <v>3249</v>
      </c>
      <c r="R1107" t="s">
        <v>3249</v>
      </c>
      <c r="S1107" t="s">
        <v>472</v>
      </c>
      <c r="T1107" t="s">
        <v>3251</v>
      </c>
      <c r="U1107">
        <v>140</v>
      </c>
      <c r="V1107" t="s">
        <v>1327</v>
      </c>
      <c r="W1107">
        <v>140</v>
      </c>
      <c r="X1107" t="s">
        <v>1327</v>
      </c>
      <c r="Y1107" t="s">
        <v>3250</v>
      </c>
      <c r="Z1107" t="s">
        <v>3250</v>
      </c>
      <c r="AA1107" t="s">
        <v>3108</v>
      </c>
      <c r="AB1107" t="s">
        <v>3108</v>
      </c>
      <c r="AC1107" t="s">
        <v>3250</v>
      </c>
      <c r="AD1107" t="s">
        <v>3250</v>
      </c>
      <c r="AE1107" t="s">
        <v>3250</v>
      </c>
      <c r="AF1107" t="s">
        <v>3250</v>
      </c>
      <c r="AG1107" t="s">
        <v>3250</v>
      </c>
      <c r="AH1107" t="s">
        <v>3250</v>
      </c>
      <c r="AI1107" t="s">
        <v>3250</v>
      </c>
      <c r="AJ1107" t="s">
        <v>3250</v>
      </c>
      <c r="AL1107">
        <v>141</v>
      </c>
      <c r="AM1107" t="s">
        <v>1327</v>
      </c>
      <c r="AN1107">
        <v>141</v>
      </c>
      <c r="AO1107" t="s">
        <v>1327</v>
      </c>
      <c r="AS1107" t="s">
        <v>3250</v>
      </c>
      <c r="AT1107" t="s">
        <v>3250</v>
      </c>
      <c r="AU1107" t="s">
        <v>3250</v>
      </c>
      <c r="AV1107" t="s">
        <v>3250</v>
      </c>
      <c r="AW1107" t="s">
        <v>3250</v>
      </c>
      <c r="AX1107" t="s">
        <v>3250</v>
      </c>
      <c r="AY1107" t="s">
        <v>3250</v>
      </c>
      <c r="AZ1107" t="s">
        <v>3250</v>
      </c>
      <c r="BA1107" t="s">
        <v>3250</v>
      </c>
      <c r="BB1107" t="s">
        <v>3250</v>
      </c>
      <c r="BC1107" t="s">
        <v>3250</v>
      </c>
      <c r="BE1107" t="s">
        <v>3250</v>
      </c>
      <c r="BF1107" t="s">
        <v>3250</v>
      </c>
      <c r="BG1107" t="s">
        <v>3250</v>
      </c>
      <c r="BH1107" t="s">
        <v>3250</v>
      </c>
      <c r="BI1107" t="s">
        <v>3250</v>
      </c>
      <c r="BK1107" t="s">
        <v>3250</v>
      </c>
      <c r="BL1107" t="s">
        <v>3250</v>
      </c>
      <c r="BM1107" t="s">
        <v>3250</v>
      </c>
      <c r="BN1107" t="s">
        <v>3250</v>
      </c>
      <c r="BP1107">
        <v>1</v>
      </c>
      <c r="BQ1107">
        <v>11</v>
      </c>
      <c r="BR1107" t="s">
        <v>1574</v>
      </c>
      <c r="BS1107" t="s">
        <v>3252</v>
      </c>
      <c r="BV1107">
        <v>0</v>
      </c>
      <c r="BW1107">
        <v>0</v>
      </c>
      <c r="BX1107">
        <v>0</v>
      </c>
      <c r="BY1107">
        <v>0</v>
      </c>
      <c r="BZ1107">
        <v>0</v>
      </c>
      <c r="CA1107">
        <v>0</v>
      </c>
      <c r="CB1107">
        <v>0</v>
      </c>
      <c r="CC1107">
        <v>0</v>
      </c>
      <c r="CD1107">
        <v>0</v>
      </c>
      <c r="CE1107" t="s">
        <v>3108</v>
      </c>
      <c r="CF1107" t="s">
        <v>3108</v>
      </c>
      <c r="CG1107" t="s">
        <v>3108</v>
      </c>
      <c r="CH1107" t="s">
        <v>3108</v>
      </c>
    </row>
    <row r="1108" spans="1:86" x14ac:dyDescent="0.2">
      <c r="A1108" t="s">
        <v>4920</v>
      </c>
      <c r="B1108" t="s">
        <v>4920</v>
      </c>
      <c r="C1108">
        <v>41585</v>
      </c>
      <c r="D1108">
        <v>854</v>
      </c>
      <c r="E1108" t="s">
        <v>4921</v>
      </c>
      <c r="F1108" t="s">
        <v>3249</v>
      </c>
      <c r="G1108" t="s">
        <v>3249</v>
      </c>
      <c r="H1108" t="s">
        <v>3250</v>
      </c>
      <c r="I1108" t="s">
        <v>3250</v>
      </c>
      <c r="J1108" t="s">
        <v>3250</v>
      </c>
      <c r="K1108" t="s">
        <v>3250</v>
      </c>
      <c r="L1108">
        <v>1200</v>
      </c>
      <c r="M1108" t="s">
        <v>2368</v>
      </c>
      <c r="N1108">
        <v>1204</v>
      </c>
      <c r="O1108" t="s">
        <v>1574</v>
      </c>
      <c r="P1108" t="s">
        <v>3108</v>
      </c>
      <c r="Q1108" t="s">
        <v>3249</v>
      </c>
      <c r="R1108" t="s">
        <v>3249</v>
      </c>
      <c r="S1108" t="s">
        <v>472</v>
      </c>
      <c r="T1108" t="s">
        <v>3251</v>
      </c>
      <c r="U1108">
        <v>140</v>
      </c>
      <c r="V1108" t="s">
        <v>1327</v>
      </c>
      <c r="W1108">
        <v>140</v>
      </c>
      <c r="X1108" t="s">
        <v>1327</v>
      </c>
      <c r="Y1108" t="s">
        <v>3250</v>
      </c>
      <c r="Z1108" t="s">
        <v>3250</v>
      </c>
      <c r="AA1108" t="s">
        <v>3108</v>
      </c>
      <c r="AB1108" t="s">
        <v>3108</v>
      </c>
      <c r="AC1108" t="s">
        <v>3250</v>
      </c>
      <c r="AD1108" t="s">
        <v>3250</v>
      </c>
      <c r="AE1108" t="s">
        <v>3250</v>
      </c>
      <c r="AF1108" t="s">
        <v>3250</v>
      </c>
      <c r="AG1108" t="s">
        <v>3250</v>
      </c>
      <c r="AH1108" t="s">
        <v>3250</v>
      </c>
      <c r="AI1108" t="s">
        <v>3250</v>
      </c>
      <c r="AJ1108" t="s">
        <v>3250</v>
      </c>
      <c r="AL1108">
        <v>141</v>
      </c>
      <c r="AM1108" t="s">
        <v>1327</v>
      </c>
      <c r="AN1108">
        <v>141</v>
      </c>
      <c r="AO1108" t="s">
        <v>1327</v>
      </c>
      <c r="AS1108" t="s">
        <v>3250</v>
      </c>
      <c r="AT1108" t="s">
        <v>3250</v>
      </c>
      <c r="AU1108" t="s">
        <v>3250</v>
      </c>
      <c r="AV1108" t="s">
        <v>3250</v>
      </c>
      <c r="AW1108" t="s">
        <v>3250</v>
      </c>
      <c r="AX1108" t="s">
        <v>3250</v>
      </c>
      <c r="AY1108" t="s">
        <v>3250</v>
      </c>
      <c r="AZ1108" t="s">
        <v>3250</v>
      </c>
      <c r="BA1108" t="s">
        <v>3250</v>
      </c>
      <c r="BB1108" t="s">
        <v>3250</v>
      </c>
      <c r="BC1108" t="s">
        <v>3250</v>
      </c>
      <c r="BE1108" t="s">
        <v>3250</v>
      </c>
      <c r="BF1108" t="s">
        <v>3250</v>
      </c>
      <c r="BG1108" t="s">
        <v>3250</v>
      </c>
      <c r="BH1108" t="s">
        <v>3250</v>
      </c>
      <c r="BI1108" t="s">
        <v>3250</v>
      </c>
      <c r="BK1108" t="s">
        <v>3250</v>
      </c>
      <c r="BL1108" t="s">
        <v>3250</v>
      </c>
      <c r="BM1108" t="s">
        <v>3250</v>
      </c>
      <c r="BN1108" t="s">
        <v>3250</v>
      </c>
      <c r="BP1108">
        <v>1</v>
      </c>
      <c r="BQ1108">
        <v>11</v>
      </c>
      <c r="BR1108" t="s">
        <v>1574</v>
      </c>
      <c r="BS1108" t="s">
        <v>3252</v>
      </c>
      <c r="BV1108">
        <v>0</v>
      </c>
      <c r="BW1108">
        <v>0</v>
      </c>
      <c r="BX1108">
        <v>0</v>
      </c>
      <c r="BY1108">
        <v>0</v>
      </c>
      <c r="BZ1108">
        <v>0</v>
      </c>
      <c r="CA1108">
        <v>0</v>
      </c>
      <c r="CB1108">
        <v>0</v>
      </c>
      <c r="CC1108">
        <v>0</v>
      </c>
      <c r="CD1108">
        <v>0</v>
      </c>
      <c r="CE1108" t="s">
        <v>3108</v>
      </c>
      <c r="CF1108" t="s">
        <v>3108</v>
      </c>
      <c r="CG1108" t="s">
        <v>3108</v>
      </c>
      <c r="CH1108" t="s">
        <v>3108</v>
      </c>
    </row>
    <row r="1109" spans="1:86" x14ac:dyDescent="0.2">
      <c r="A1109" t="s">
        <v>4922</v>
      </c>
      <c r="B1109" t="s">
        <v>4922</v>
      </c>
      <c r="C1109">
        <v>41586</v>
      </c>
      <c r="D1109">
        <v>855</v>
      </c>
      <c r="E1109" t="s">
        <v>4923</v>
      </c>
      <c r="F1109" t="s">
        <v>3249</v>
      </c>
      <c r="G1109" t="s">
        <v>3249</v>
      </c>
      <c r="H1109" t="s">
        <v>3250</v>
      </c>
      <c r="I1109" t="s">
        <v>3250</v>
      </c>
      <c r="J1109" t="s">
        <v>3250</v>
      </c>
      <c r="K1109" t="s">
        <v>3250</v>
      </c>
      <c r="L1109">
        <v>1200</v>
      </c>
      <c r="M1109" t="s">
        <v>2368</v>
      </c>
      <c r="N1109">
        <v>1204</v>
      </c>
      <c r="O1109" t="s">
        <v>1574</v>
      </c>
      <c r="P1109" t="s">
        <v>3108</v>
      </c>
      <c r="Q1109" t="s">
        <v>3249</v>
      </c>
      <c r="R1109" t="s">
        <v>3249</v>
      </c>
      <c r="S1109" t="s">
        <v>472</v>
      </c>
      <c r="T1109" t="s">
        <v>3251</v>
      </c>
      <c r="U1109">
        <v>140</v>
      </c>
      <c r="V1109" t="s">
        <v>1327</v>
      </c>
      <c r="W1109">
        <v>140</v>
      </c>
      <c r="X1109" t="s">
        <v>1327</v>
      </c>
      <c r="Y1109" t="s">
        <v>3250</v>
      </c>
      <c r="Z1109" t="s">
        <v>3250</v>
      </c>
      <c r="AA1109" t="s">
        <v>3108</v>
      </c>
      <c r="AB1109" t="s">
        <v>3108</v>
      </c>
      <c r="AC1109" t="s">
        <v>3250</v>
      </c>
      <c r="AD1109" t="s">
        <v>3250</v>
      </c>
      <c r="AE1109" t="s">
        <v>3250</v>
      </c>
      <c r="AF1109" t="s">
        <v>3250</v>
      </c>
      <c r="AG1109" t="s">
        <v>3250</v>
      </c>
      <c r="AH1109" t="s">
        <v>3250</v>
      </c>
      <c r="AI1109" t="s">
        <v>3250</v>
      </c>
      <c r="AJ1109" t="s">
        <v>3250</v>
      </c>
      <c r="AL1109">
        <v>141</v>
      </c>
      <c r="AM1109" t="s">
        <v>1327</v>
      </c>
      <c r="AN1109">
        <v>141</v>
      </c>
      <c r="AO1109" t="s">
        <v>1327</v>
      </c>
      <c r="AS1109" t="s">
        <v>3250</v>
      </c>
      <c r="AT1109" t="s">
        <v>3250</v>
      </c>
      <c r="AU1109" t="s">
        <v>3250</v>
      </c>
      <c r="AV1109" t="s">
        <v>3250</v>
      </c>
      <c r="AW1109" t="s">
        <v>3250</v>
      </c>
      <c r="AX1109" t="s">
        <v>3250</v>
      </c>
      <c r="AY1109" t="s">
        <v>3250</v>
      </c>
      <c r="AZ1109" t="s">
        <v>3250</v>
      </c>
      <c r="BA1109" t="s">
        <v>3250</v>
      </c>
      <c r="BB1109" t="s">
        <v>3250</v>
      </c>
      <c r="BC1109" t="s">
        <v>3250</v>
      </c>
      <c r="BE1109" t="s">
        <v>3250</v>
      </c>
      <c r="BF1109" t="s">
        <v>3250</v>
      </c>
      <c r="BG1109" t="s">
        <v>3250</v>
      </c>
      <c r="BH1109" t="s">
        <v>3250</v>
      </c>
      <c r="BI1109" t="s">
        <v>3250</v>
      </c>
      <c r="BK1109" t="s">
        <v>3250</v>
      </c>
      <c r="BL1109" t="s">
        <v>3250</v>
      </c>
      <c r="BM1109" t="s">
        <v>3250</v>
      </c>
      <c r="BN1109" t="s">
        <v>3250</v>
      </c>
      <c r="BP1109">
        <v>1</v>
      </c>
      <c r="BQ1109">
        <v>11</v>
      </c>
      <c r="BR1109" t="s">
        <v>1574</v>
      </c>
      <c r="BS1109" t="s">
        <v>3252</v>
      </c>
      <c r="BV1109">
        <v>-12516098</v>
      </c>
      <c r="BW1109">
        <v>-7788548</v>
      </c>
      <c r="BX1109">
        <v>-3518757</v>
      </c>
      <c r="BY1109">
        <v>0</v>
      </c>
      <c r="BZ1109">
        <v>0</v>
      </c>
      <c r="CA1109">
        <v>0</v>
      </c>
      <c r="CB1109">
        <v>0</v>
      </c>
      <c r="CC1109">
        <v>0</v>
      </c>
      <c r="CD1109">
        <v>-17754865</v>
      </c>
      <c r="CE1109" t="s">
        <v>3108</v>
      </c>
      <c r="CF1109" t="s">
        <v>3108</v>
      </c>
      <c r="CG1109" t="s">
        <v>3108</v>
      </c>
      <c r="CH1109" t="s">
        <v>3108</v>
      </c>
    </row>
    <row r="1110" spans="1:86" x14ac:dyDescent="0.2">
      <c r="A1110" t="s">
        <v>4924</v>
      </c>
      <c r="B1110" t="s">
        <v>4924</v>
      </c>
      <c r="C1110">
        <v>41587</v>
      </c>
      <c r="D1110">
        <v>856</v>
      </c>
      <c r="E1110" t="s">
        <v>3400</v>
      </c>
      <c r="F1110" t="s">
        <v>3249</v>
      </c>
      <c r="G1110" t="s">
        <v>3249</v>
      </c>
      <c r="H1110" t="s">
        <v>3250</v>
      </c>
      <c r="I1110" t="s">
        <v>3250</v>
      </c>
      <c r="J1110" t="s">
        <v>3250</v>
      </c>
      <c r="K1110" t="s">
        <v>3250</v>
      </c>
      <c r="L1110">
        <v>1200</v>
      </c>
      <c r="M1110" t="s">
        <v>2368</v>
      </c>
      <c r="N1110">
        <v>1204</v>
      </c>
      <c r="O1110" t="s">
        <v>1574</v>
      </c>
      <c r="P1110" t="s">
        <v>3108</v>
      </c>
      <c r="Q1110" t="s">
        <v>3249</v>
      </c>
      <c r="R1110" t="s">
        <v>3249</v>
      </c>
      <c r="S1110" t="s">
        <v>472</v>
      </c>
      <c r="T1110" t="s">
        <v>3251</v>
      </c>
      <c r="U1110">
        <v>140</v>
      </c>
      <c r="V1110" t="s">
        <v>1327</v>
      </c>
      <c r="W1110">
        <v>140</v>
      </c>
      <c r="X1110" t="s">
        <v>1327</v>
      </c>
      <c r="Y1110" t="s">
        <v>3250</v>
      </c>
      <c r="Z1110" t="s">
        <v>3250</v>
      </c>
      <c r="AA1110" t="s">
        <v>3108</v>
      </c>
      <c r="AB1110" t="s">
        <v>3108</v>
      </c>
      <c r="AC1110" t="s">
        <v>3250</v>
      </c>
      <c r="AD1110" t="s">
        <v>3250</v>
      </c>
      <c r="AE1110" t="s">
        <v>3250</v>
      </c>
      <c r="AF1110" t="s">
        <v>3250</v>
      </c>
      <c r="AG1110" t="s">
        <v>3250</v>
      </c>
      <c r="AH1110" t="s">
        <v>3250</v>
      </c>
      <c r="AI1110" t="s">
        <v>3250</v>
      </c>
      <c r="AJ1110" t="s">
        <v>3250</v>
      </c>
      <c r="AL1110">
        <v>141</v>
      </c>
      <c r="AM1110" t="s">
        <v>1327</v>
      </c>
      <c r="AN1110">
        <v>141</v>
      </c>
      <c r="AO1110" t="s">
        <v>1327</v>
      </c>
      <c r="AS1110" t="s">
        <v>3250</v>
      </c>
      <c r="AT1110" t="s">
        <v>3250</v>
      </c>
      <c r="AU1110" t="s">
        <v>3250</v>
      </c>
      <c r="AV1110" t="s">
        <v>3250</v>
      </c>
      <c r="AW1110" t="s">
        <v>3250</v>
      </c>
      <c r="AX1110" t="s">
        <v>3250</v>
      </c>
      <c r="AY1110" t="s">
        <v>3250</v>
      </c>
      <c r="AZ1110" t="s">
        <v>3250</v>
      </c>
      <c r="BA1110" t="s">
        <v>3250</v>
      </c>
      <c r="BB1110" t="s">
        <v>3250</v>
      </c>
      <c r="BC1110" t="s">
        <v>3250</v>
      </c>
      <c r="BE1110" t="s">
        <v>3250</v>
      </c>
      <c r="BF1110" t="s">
        <v>3250</v>
      </c>
      <c r="BG1110" t="s">
        <v>3250</v>
      </c>
      <c r="BH1110" t="s">
        <v>3250</v>
      </c>
      <c r="BI1110" t="s">
        <v>3250</v>
      </c>
      <c r="BK1110" t="s">
        <v>3250</v>
      </c>
      <c r="BL1110" t="s">
        <v>3250</v>
      </c>
      <c r="BM1110" t="s">
        <v>3250</v>
      </c>
      <c r="BN1110" t="s">
        <v>3250</v>
      </c>
      <c r="BP1110">
        <v>1</v>
      </c>
      <c r="BQ1110">
        <v>11</v>
      </c>
      <c r="BR1110" t="s">
        <v>1574</v>
      </c>
      <c r="BS1110" t="s">
        <v>3252</v>
      </c>
      <c r="BV1110">
        <v>0</v>
      </c>
      <c r="BW1110">
        <v>0</v>
      </c>
      <c r="BX1110">
        <v>0</v>
      </c>
      <c r="BY1110">
        <v>0</v>
      </c>
      <c r="BZ1110">
        <v>0</v>
      </c>
      <c r="CA1110">
        <v>0</v>
      </c>
      <c r="CB1110">
        <v>0</v>
      </c>
      <c r="CC1110">
        <v>0</v>
      </c>
      <c r="CD1110">
        <v>0</v>
      </c>
      <c r="CE1110" t="s">
        <v>3108</v>
      </c>
      <c r="CF1110" t="s">
        <v>3108</v>
      </c>
      <c r="CG1110" t="s">
        <v>3108</v>
      </c>
      <c r="CH1110" t="s">
        <v>3108</v>
      </c>
    </row>
    <row r="1111" spans="1:86" x14ac:dyDescent="0.2">
      <c r="A1111" t="s">
        <v>4925</v>
      </c>
      <c r="B1111" t="s">
        <v>4925</v>
      </c>
      <c r="C1111">
        <v>41588</v>
      </c>
      <c r="D1111">
        <v>857</v>
      </c>
      <c r="E1111" t="s">
        <v>3382</v>
      </c>
      <c r="F1111" t="s">
        <v>3249</v>
      </c>
      <c r="G1111" t="s">
        <v>3249</v>
      </c>
      <c r="H1111" t="s">
        <v>3250</v>
      </c>
      <c r="I1111" t="s">
        <v>3250</v>
      </c>
      <c r="J1111" t="s">
        <v>3250</v>
      </c>
      <c r="K1111" t="s">
        <v>3250</v>
      </c>
      <c r="L1111">
        <v>1200</v>
      </c>
      <c r="M1111" t="s">
        <v>2368</v>
      </c>
      <c r="N1111">
        <v>1204</v>
      </c>
      <c r="O1111" t="s">
        <v>1574</v>
      </c>
      <c r="P1111" t="s">
        <v>3108</v>
      </c>
      <c r="Q1111" t="s">
        <v>3249</v>
      </c>
      <c r="R1111" t="s">
        <v>3249</v>
      </c>
      <c r="S1111" t="s">
        <v>472</v>
      </c>
      <c r="T1111" t="s">
        <v>3251</v>
      </c>
      <c r="U1111">
        <v>140</v>
      </c>
      <c r="V1111" t="s">
        <v>1327</v>
      </c>
      <c r="W1111">
        <v>140</v>
      </c>
      <c r="X1111" t="s">
        <v>1327</v>
      </c>
      <c r="Y1111" t="s">
        <v>3250</v>
      </c>
      <c r="Z1111" t="s">
        <v>3250</v>
      </c>
      <c r="AA1111" t="s">
        <v>3108</v>
      </c>
      <c r="AB1111" t="s">
        <v>3108</v>
      </c>
      <c r="AC1111" t="s">
        <v>3250</v>
      </c>
      <c r="AD1111" t="s">
        <v>3250</v>
      </c>
      <c r="AE1111" t="s">
        <v>3250</v>
      </c>
      <c r="AF1111" t="s">
        <v>3250</v>
      </c>
      <c r="AG1111" t="s">
        <v>3250</v>
      </c>
      <c r="AH1111" t="s">
        <v>3250</v>
      </c>
      <c r="AI1111" t="s">
        <v>3250</v>
      </c>
      <c r="AJ1111" t="s">
        <v>3250</v>
      </c>
      <c r="AL1111">
        <v>147</v>
      </c>
      <c r="AM1111" t="s">
        <v>6</v>
      </c>
      <c r="AN1111">
        <v>147</v>
      </c>
      <c r="AO1111" t="s">
        <v>6</v>
      </c>
      <c r="AS1111" t="s">
        <v>3250</v>
      </c>
      <c r="AT1111" t="s">
        <v>3250</v>
      </c>
      <c r="AU1111" t="s">
        <v>3250</v>
      </c>
      <c r="AV1111" t="s">
        <v>3250</v>
      </c>
      <c r="AW1111" t="s">
        <v>3250</v>
      </c>
      <c r="AX1111" t="s">
        <v>3250</v>
      </c>
      <c r="AY1111" t="s">
        <v>3250</v>
      </c>
      <c r="AZ1111" t="s">
        <v>3250</v>
      </c>
      <c r="BA1111" t="s">
        <v>3250</v>
      </c>
      <c r="BB1111" t="s">
        <v>3250</v>
      </c>
      <c r="BC1111" t="s">
        <v>3250</v>
      </c>
      <c r="BE1111" t="s">
        <v>3250</v>
      </c>
      <c r="BF1111" t="s">
        <v>3250</v>
      </c>
      <c r="BG1111" t="s">
        <v>3250</v>
      </c>
      <c r="BH1111" t="s">
        <v>3250</v>
      </c>
      <c r="BI1111" t="s">
        <v>3250</v>
      </c>
      <c r="BK1111" t="s">
        <v>3250</v>
      </c>
      <c r="BL1111" t="s">
        <v>3250</v>
      </c>
      <c r="BM1111" t="s">
        <v>3250</v>
      </c>
      <c r="BN1111" t="s">
        <v>3250</v>
      </c>
      <c r="BP1111">
        <v>1</v>
      </c>
      <c r="BQ1111">
        <v>11</v>
      </c>
      <c r="BR1111" t="s">
        <v>1574</v>
      </c>
      <c r="BS1111" t="s">
        <v>3252</v>
      </c>
      <c r="BV1111">
        <v>0</v>
      </c>
      <c r="BW1111">
        <v>0</v>
      </c>
      <c r="BX1111">
        <v>0</v>
      </c>
      <c r="BY1111">
        <v>0</v>
      </c>
      <c r="BZ1111">
        <v>0</v>
      </c>
      <c r="CA1111">
        <v>0</v>
      </c>
      <c r="CB1111">
        <v>0</v>
      </c>
      <c r="CC1111">
        <v>0</v>
      </c>
      <c r="CD1111">
        <v>0</v>
      </c>
      <c r="CE1111" t="s">
        <v>3108</v>
      </c>
      <c r="CF1111" t="s">
        <v>3108</v>
      </c>
      <c r="CG1111" t="s">
        <v>3108</v>
      </c>
      <c r="CH1111" t="s">
        <v>3108</v>
      </c>
    </row>
    <row r="1112" spans="1:86" x14ac:dyDescent="0.2">
      <c r="A1112" t="s">
        <v>4926</v>
      </c>
      <c r="B1112" t="s">
        <v>4926</v>
      </c>
      <c r="C1112">
        <v>41589</v>
      </c>
      <c r="D1112">
        <v>858</v>
      </c>
      <c r="E1112" t="s">
        <v>3376</v>
      </c>
      <c r="F1112" t="s">
        <v>3249</v>
      </c>
      <c r="G1112" t="s">
        <v>3249</v>
      </c>
      <c r="H1112" t="s">
        <v>3250</v>
      </c>
      <c r="I1112" t="s">
        <v>3250</v>
      </c>
      <c r="J1112" t="s">
        <v>3250</v>
      </c>
      <c r="K1112" t="s">
        <v>3250</v>
      </c>
      <c r="L1112">
        <v>1200</v>
      </c>
      <c r="M1112" t="s">
        <v>2368</v>
      </c>
      <c r="N1112">
        <v>1204</v>
      </c>
      <c r="O1112" t="s">
        <v>1574</v>
      </c>
      <c r="P1112" t="s">
        <v>3108</v>
      </c>
      <c r="Q1112" t="s">
        <v>3249</v>
      </c>
      <c r="R1112" t="s">
        <v>3249</v>
      </c>
      <c r="S1112" t="s">
        <v>472</v>
      </c>
      <c r="T1112" t="s">
        <v>3251</v>
      </c>
      <c r="U1112">
        <v>140</v>
      </c>
      <c r="V1112" t="s">
        <v>1327</v>
      </c>
      <c r="W1112">
        <v>140</v>
      </c>
      <c r="X1112" t="s">
        <v>1327</v>
      </c>
      <c r="Y1112" t="s">
        <v>3250</v>
      </c>
      <c r="Z1112" t="s">
        <v>3250</v>
      </c>
      <c r="AA1112" t="s">
        <v>3108</v>
      </c>
      <c r="AB1112" t="s">
        <v>3108</v>
      </c>
      <c r="AC1112" t="s">
        <v>3250</v>
      </c>
      <c r="AD1112" t="s">
        <v>3250</v>
      </c>
      <c r="AE1112" t="s">
        <v>3250</v>
      </c>
      <c r="AF1112" t="s">
        <v>3250</v>
      </c>
      <c r="AG1112" t="s">
        <v>3250</v>
      </c>
      <c r="AH1112" t="s">
        <v>3250</v>
      </c>
      <c r="AI1112" t="s">
        <v>3250</v>
      </c>
      <c r="AJ1112" t="s">
        <v>3250</v>
      </c>
      <c r="AL1112">
        <v>146</v>
      </c>
      <c r="AM1112" t="s">
        <v>5</v>
      </c>
      <c r="AN1112">
        <v>146</v>
      </c>
      <c r="AO1112" t="s">
        <v>5</v>
      </c>
      <c r="AS1112" t="s">
        <v>3250</v>
      </c>
      <c r="AT1112" t="s">
        <v>3250</v>
      </c>
      <c r="AU1112" t="s">
        <v>3250</v>
      </c>
      <c r="AV1112" t="s">
        <v>3250</v>
      </c>
      <c r="AW1112" t="s">
        <v>3250</v>
      </c>
      <c r="AX1112" t="s">
        <v>3250</v>
      </c>
      <c r="AY1112" t="s">
        <v>3250</v>
      </c>
      <c r="AZ1112" t="s">
        <v>3250</v>
      </c>
      <c r="BA1112" t="s">
        <v>3250</v>
      </c>
      <c r="BB1112" t="s">
        <v>3250</v>
      </c>
      <c r="BC1112" t="s">
        <v>3250</v>
      </c>
      <c r="BE1112" t="s">
        <v>3250</v>
      </c>
      <c r="BF1112" t="s">
        <v>3250</v>
      </c>
      <c r="BG1112" t="s">
        <v>3250</v>
      </c>
      <c r="BH1112" t="s">
        <v>3250</v>
      </c>
      <c r="BI1112" t="s">
        <v>3250</v>
      </c>
      <c r="BK1112" t="s">
        <v>3250</v>
      </c>
      <c r="BL1112" t="s">
        <v>3250</v>
      </c>
      <c r="BM1112" t="s">
        <v>3250</v>
      </c>
      <c r="BN1112" t="s">
        <v>3250</v>
      </c>
      <c r="BP1112">
        <v>1</v>
      </c>
      <c r="BQ1112">
        <v>11</v>
      </c>
      <c r="BR1112" t="s">
        <v>1574</v>
      </c>
      <c r="BS1112" t="s">
        <v>3252</v>
      </c>
      <c r="BV1112">
        <v>0</v>
      </c>
      <c r="BW1112">
        <v>0</v>
      </c>
      <c r="BX1112">
        <v>0</v>
      </c>
      <c r="BY1112">
        <v>0</v>
      </c>
      <c r="BZ1112">
        <v>0</v>
      </c>
      <c r="CA1112">
        <v>0</v>
      </c>
      <c r="CB1112">
        <v>0</v>
      </c>
      <c r="CC1112">
        <v>0</v>
      </c>
      <c r="CD1112">
        <v>0</v>
      </c>
      <c r="CE1112" t="s">
        <v>3108</v>
      </c>
      <c r="CF1112" t="s">
        <v>3108</v>
      </c>
      <c r="CG1112" t="s">
        <v>3108</v>
      </c>
      <c r="CH1112" t="s">
        <v>3108</v>
      </c>
    </row>
    <row r="1113" spans="1:86" x14ac:dyDescent="0.2">
      <c r="A1113" t="s">
        <v>4927</v>
      </c>
      <c r="B1113" t="s">
        <v>4927</v>
      </c>
      <c r="C1113">
        <v>41590</v>
      </c>
      <c r="D1113">
        <v>859</v>
      </c>
      <c r="E1113" t="s">
        <v>3384</v>
      </c>
      <c r="F1113" t="s">
        <v>3249</v>
      </c>
      <c r="G1113" t="s">
        <v>3249</v>
      </c>
      <c r="H1113" t="s">
        <v>3250</v>
      </c>
      <c r="I1113" t="s">
        <v>3250</v>
      </c>
      <c r="J1113" t="s">
        <v>3250</v>
      </c>
      <c r="K1113" t="s">
        <v>3250</v>
      </c>
      <c r="L1113">
        <v>1200</v>
      </c>
      <c r="M1113" t="s">
        <v>2368</v>
      </c>
      <c r="N1113">
        <v>1204</v>
      </c>
      <c r="O1113" t="s">
        <v>1574</v>
      </c>
      <c r="P1113" t="s">
        <v>3108</v>
      </c>
      <c r="Q1113" t="s">
        <v>3249</v>
      </c>
      <c r="R1113" t="s">
        <v>3249</v>
      </c>
      <c r="S1113" t="s">
        <v>472</v>
      </c>
      <c r="T1113" t="s">
        <v>3251</v>
      </c>
      <c r="U1113">
        <v>140</v>
      </c>
      <c r="V1113" t="s">
        <v>1327</v>
      </c>
      <c r="W1113">
        <v>140</v>
      </c>
      <c r="X1113" t="s">
        <v>1327</v>
      </c>
      <c r="Y1113" t="s">
        <v>3250</v>
      </c>
      <c r="Z1113" t="s">
        <v>3250</v>
      </c>
      <c r="AA1113" t="s">
        <v>3108</v>
      </c>
      <c r="AB1113" t="s">
        <v>3108</v>
      </c>
      <c r="AC1113" t="s">
        <v>3250</v>
      </c>
      <c r="AD1113" t="s">
        <v>3250</v>
      </c>
      <c r="AE1113" t="s">
        <v>3250</v>
      </c>
      <c r="AF1113" t="s">
        <v>3250</v>
      </c>
      <c r="AG1113" t="s">
        <v>3250</v>
      </c>
      <c r="AH1113" t="s">
        <v>3250</v>
      </c>
      <c r="AI1113" t="s">
        <v>3250</v>
      </c>
      <c r="AJ1113" t="s">
        <v>3250</v>
      </c>
      <c r="AL1113">
        <v>141</v>
      </c>
      <c r="AM1113" t="s">
        <v>1327</v>
      </c>
      <c r="AN1113">
        <v>141</v>
      </c>
      <c r="AO1113" t="s">
        <v>1327</v>
      </c>
      <c r="AS1113" t="s">
        <v>3250</v>
      </c>
      <c r="AT1113" t="s">
        <v>3250</v>
      </c>
      <c r="AU1113" t="s">
        <v>3250</v>
      </c>
      <c r="AV1113" t="s">
        <v>3250</v>
      </c>
      <c r="AW1113" t="s">
        <v>3250</v>
      </c>
      <c r="AX1113" t="s">
        <v>3250</v>
      </c>
      <c r="AY1113" t="s">
        <v>3250</v>
      </c>
      <c r="AZ1113" t="s">
        <v>3250</v>
      </c>
      <c r="BA1113" t="s">
        <v>3250</v>
      </c>
      <c r="BB1113" t="s">
        <v>3250</v>
      </c>
      <c r="BC1113" t="s">
        <v>3250</v>
      </c>
      <c r="BE1113" t="s">
        <v>3250</v>
      </c>
      <c r="BF1113" t="s">
        <v>3250</v>
      </c>
      <c r="BG1113" t="s">
        <v>3250</v>
      </c>
      <c r="BH1113" t="s">
        <v>3250</v>
      </c>
      <c r="BI1113" t="s">
        <v>3250</v>
      </c>
      <c r="BK1113" t="s">
        <v>3250</v>
      </c>
      <c r="BL1113" t="s">
        <v>3250</v>
      </c>
      <c r="BM1113" t="s">
        <v>3250</v>
      </c>
      <c r="BN1113" t="s">
        <v>3250</v>
      </c>
      <c r="BP1113">
        <v>1</v>
      </c>
      <c r="BQ1113">
        <v>11</v>
      </c>
      <c r="BR1113" t="s">
        <v>1574</v>
      </c>
      <c r="BS1113" t="s">
        <v>3252</v>
      </c>
      <c r="BV1113">
        <v>491404</v>
      </c>
      <c r="BW1113">
        <v>491404</v>
      </c>
      <c r="BX1113">
        <v>491404</v>
      </c>
      <c r="BY1113">
        <v>0</v>
      </c>
      <c r="BZ1113">
        <v>0</v>
      </c>
      <c r="CA1113">
        <v>0</v>
      </c>
      <c r="CB1113">
        <v>0</v>
      </c>
      <c r="CC1113">
        <v>0</v>
      </c>
      <c r="CD1113">
        <v>491404</v>
      </c>
      <c r="CE1113" t="s">
        <v>3108</v>
      </c>
      <c r="CF1113" t="s">
        <v>3108</v>
      </c>
      <c r="CG1113" t="s">
        <v>3108</v>
      </c>
      <c r="CH1113" t="s">
        <v>3108</v>
      </c>
    </row>
    <row r="1114" spans="1:86" x14ac:dyDescent="0.2">
      <c r="A1114" t="s">
        <v>4928</v>
      </c>
      <c r="B1114" t="s">
        <v>4928</v>
      </c>
      <c r="C1114">
        <v>41591</v>
      </c>
      <c r="D1114">
        <v>860</v>
      </c>
      <c r="E1114" t="s">
        <v>3378</v>
      </c>
      <c r="F1114" t="s">
        <v>3249</v>
      </c>
      <c r="G1114" t="s">
        <v>3249</v>
      </c>
      <c r="H1114" t="s">
        <v>3250</v>
      </c>
      <c r="I1114" t="s">
        <v>3250</v>
      </c>
      <c r="J1114" t="s">
        <v>3250</v>
      </c>
      <c r="K1114" t="s">
        <v>3250</v>
      </c>
      <c r="L1114">
        <v>1200</v>
      </c>
      <c r="M1114" t="s">
        <v>2368</v>
      </c>
      <c r="N1114">
        <v>1204</v>
      </c>
      <c r="O1114" t="s">
        <v>1574</v>
      </c>
      <c r="P1114" t="s">
        <v>3108</v>
      </c>
      <c r="Q1114" t="s">
        <v>3249</v>
      </c>
      <c r="R1114" t="s">
        <v>3249</v>
      </c>
      <c r="S1114" t="s">
        <v>472</v>
      </c>
      <c r="T1114" t="s">
        <v>3251</v>
      </c>
      <c r="U1114">
        <v>140</v>
      </c>
      <c r="V1114" t="s">
        <v>1327</v>
      </c>
      <c r="W1114">
        <v>140</v>
      </c>
      <c r="X1114" t="s">
        <v>1327</v>
      </c>
      <c r="Y1114" t="s">
        <v>3250</v>
      </c>
      <c r="Z1114" t="s">
        <v>3250</v>
      </c>
      <c r="AA1114" t="s">
        <v>3108</v>
      </c>
      <c r="AB1114" t="s">
        <v>3108</v>
      </c>
      <c r="AC1114" t="s">
        <v>3250</v>
      </c>
      <c r="AD1114" t="s">
        <v>3250</v>
      </c>
      <c r="AE1114" t="s">
        <v>3250</v>
      </c>
      <c r="AF1114" t="s">
        <v>3250</v>
      </c>
      <c r="AG1114" t="s">
        <v>3250</v>
      </c>
      <c r="AH1114" t="s">
        <v>3250</v>
      </c>
      <c r="AI1114" t="s">
        <v>3250</v>
      </c>
      <c r="AJ1114" t="s">
        <v>3250</v>
      </c>
      <c r="AL1114">
        <v>146</v>
      </c>
      <c r="AM1114" t="s">
        <v>5</v>
      </c>
      <c r="AN1114">
        <v>146</v>
      </c>
      <c r="AO1114" t="s">
        <v>5</v>
      </c>
      <c r="AS1114" t="s">
        <v>3250</v>
      </c>
      <c r="AT1114" t="s">
        <v>3250</v>
      </c>
      <c r="AU1114" t="s">
        <v>3250</v>
      </c>
      <c r="AV1114" t="s">
        <v>3250</v>
      </c>
      <c r="AW1114" t="s">
        <v>3250</v>
      </c>
      <c r="AX1114" t="s">
        <v>3250</v>
      </c>
      <c r="AY1114" t="s">
        <v>3250</v>
      </c>
      <c r="AZ1114" t="s">
        <v>3250</v>
      </c>
      <c r="BA1114" t="s">
        <v>3250</v>
      </c>
      <c r="BB1114" t="s">
        <v>3250</v>
      </c>
      <c r="BC1114" t="s">
        <v>3250</v>
      </c>
      <c r="BE1114" t="s">
        <v>3250</v>
      </c>
      <c r="BF1114" t="s">
        <v>3250</v>
      </c>
      <c r="BG1114" t="s">
        <v>3250</v>
      </c>
      <c r="BH1114" t="s">
        <v>3250</v>
      </c>
      <c r="BI1114" t="s">
        <v>3250</v>
      </c>
      <c r="BK1114" t="s">
        <v>3250</v>
      </c>
      <c r="BL1114" t="s">
        <v>3250</v>
      </c>
      <c r="BM1114" t="s">
        <v>3250</v>
      </c>
      <c r="BN1114" t="s">
        <v>3250</v>
      </c>
      <c r="BP1114">
        <v>1</v>
      </c>
      <c r="BQ1114">
        <v>11</v>
      </c>
      <c r="BR1114" t="s">
        <v>1574</v>
      </c>
      <c r="BS1114" t="s">
        <v>3252</v>
      </c>
      <c r="BV1114">
        <v>0</v>
      </c>
      <c r="BW1114">
        <v>0</v>
      </c>
      <c r="BX1114">
        <v>0</v>
      </c>
      <c r="BY1114">
        <v>0</v>
      </c>
      <c r="BZ1114">
        <v>0</v>
      </c>
      <c r="CA1114">
        <v>0</v>
      </c>
      <c r="CB1114">
        <v>0</v>
      </c>
      <c r="CC1114">
        <v>0</v>
      </c>
      <c r="CD1114">
        <v>0</v>
      </c>
      <c r="CE1114" t="s">
        <v>3108</v>
      </c>
      <c r="CF1114" t="s">
        <v>3108</v>
      </c>
      <c r="CG1114" t="s">
        <v>3108</v>
      </c>
      <c r="CH1114" t="s">
        <v>3108</v>
      </c>
    </row>
    <row r="1115" spans="1:86" x14ac:dyDescent="0.2">
      <c r="A1115" t="s">
        <v>4929</v>
      </c>
      <c r="B1115" t="s">
        <v>4929</v>
      </c>
      <c r="C1115">
        <v>41592</v>
      </c>
      <c r="D1115">
        <v>861</v>
      </c>
      <c r="E1115" t="s">
        <v>4930</v>
      </c>
      <c r="F1115" t="s">
        <v>3249</v>
      </c>
      <c r="G1115" t="s">
        <v>3249</v>
      </c>
      <c r="H1115" t="s">
        <v>3250</v>
      </c>
      <c r="I1115" t="s">
        <v>3250</v>
      </c>
      <c r="J1115" t="s">
        <v>3250</v>
      </c>
      <c r="K1115" t="s">
        <v>3250</v>
      </c>
      <c r="L1115">
        <v>1200</v>
      </c>
      <c r="M1115" t="s">
        <v>2368</v>
      </c>
      <c r="N1115">
        <v>1204</v>
      </c>
      <c r="O1115" t="s">
        <v>1574</v>
      </c>
      <c r="P1115" t="s">
        <v>3108</v>
      </c>
      <c r="Q1115" t="s">
        <v>3249</v>
      </c>
      <c r="R1115" t="s">
        <v>3249</v>
      </c>
      <c r="S1115" t="s">
        <v>472</v>
      </c>
      <c r="T1115" t="s">
        <v>3251</v>
      </c>
      <c r="U1115">
        <v>140</v>
      </c>
      <c r="V1115" t="s">
        <v>1327</v>
      </c>
      <c r="W1115">
        <v>140</v>
      </c>
      <c r="X1115" t="s">
        <v>1327</v>
      </c>
      <c r="Y1115" t="s">
        <v>3250</v>
      </c>
      <c r="Z1115" t="s">
        <v>3250</v>
      </c>
      <c r="AA1115" t="s">
        <v>3108</v>
      </c>
      <c r="AB1115" t="s">
        <v>3108</v>
      </c>
      <c r="AC1115" t="s">
        <v>3250</v>
      </c>
      <c r="AD1115" t="s">
        <v>3250</v>
      </c>
      <c r="AE1115" t="s">
        <v>3250</v>
      </c>
      <c r="AF1115" t="s">
        <v>3250</v>
      </c>
      <c r="AG1115" t="s">
        <v>3250</v>
      </c>
      <c r="AH1115" t="s">
        <v>3250</v>
      </c>
      <c r="AI1115" t="s">
        <v>3250</v>
      </c>
      <c r="AJ1115" t="s">
        <v>3250</v>
      </c>
      <c r="AL1115">
        <v>141</v>
      </c>
      <c r="AM1115" t="s">
        <v>1327</v>
      </c>
      <c r="AN1115">
        <v>141</v>
      </c>
      <c r="AO1115" t="s">
        <v>1327</v>
      </c>
      <c r="AS1115" t="s">
        <v>3250</v>
      </c>
      <c r="AT1115" t="s">
        <v>3250</v>
      </c>
      <c r="AU1115" t="s">
        <v>3250</v>
      </c>
      <c r="AV1115" t="s">
        <v>3250</v>
      </c>
      <c r="AW1115" t="s">
        <v>3250</v>
      </c>
      <c r="AX1115" t="s">
        <v>3250</v>
      </c>
      <c r="AY1115" t="s">
        <v>3250</v>
      </c>
      <c r="AZ1115" t="s">
        <v>3250</v>
      </c>
      <c r="BA1115" t="s">
        <v>3250</v>
      </c>
      <c r="BB1115" t="s">
        <v>3250</v>
      </c>
      <c r="BC1115" t="s">
        <v>3250</v>
      </c>
      <c r="BE1115" t="s">
        <v>3250</v>
      </c>
      <c r="BF1115" t="s">
        <v>3250</v>
      </c>
      <c r="BG1115" t="s">
        <v>3250</v>
      </c>
      <c r="BH1115" t="s">
        <v>3250</v>
      </c>
      <c r="BI1115" t="s">
        <v>3250</v>
      </c>
      <c r="BK1115" t="s">
        <v>3250</v>
      </c>
      <c r="BL1115" t="s">
        <v>3250</v>
      </c>
      <c r="BM1115" t="s">
        <v>3250</v>
      </c>
      <c r="BN1115" t="s">
        <v>3250</v>
      </c>
      <c r="BP1115">
        <v>1</v>
      </c>
      <c r="BQ1115">
        <v>11</v>
      </c>
      <c r="BR1115" t="s">
        <v>1574</v>
      </c>
      <c r="BS1115" t="s">
        <v>3252</v>
      </c>
      <c r="BV1115">
        <v>16781997</v>
      </c>
      <c r="BW1115">
        <v>13876142</v>
      </c>
      <c r="BX1115">
        <v>8194785</v>
      </c>
      <c r="BY1115">
        <v>0</v>
      </c>
      <c r="BZ1115">
        <v>0</v>
      </c>
      <c r="CA1115">
        <v>0</v>
      </c>
      <c r="CB1115">
        <v>0</v>
      </c>
      <c r="CC1115">
        <v>0</v>
      </c>
      <c r="CD1115">
        <v>20050673</v>
      </c>
      <c r="CE1115" t="s">
        <v>3108</v>
      </c>
      <c r="CF1115" t="s">
        <v>3108</v>
      </c>
      <c r="CG1115" t="s">
        <v>3108</v>
      </c>
      <c r="CH1115" t="s">
        <v>3108</v>
      </c>
    </row>
    <row r="1116" spans="1:86" x14ac:dyDescent="0.2">
      <c r="A1116" t="s">
        <v>4931</v>
      </c>
      <c r="B1116" t="s">
        <v>4931</v>
      </c>
      <c r="C1116">
        <v>41593</v>
      </c>
      <c r="D1116">
        <v>862</v>
      </c>
      <c r="E1116" t="s">
        <v>3482</v>
      </c>
      <c r="F1116" t="s">
        <v>3249</v>
      </c>
      <c r="G1116" t="s">
        <v>3249</v>
      </c>
      <c r="H1116" t="s">
        <v>3250</v>
      </c>
      <c r="I1116" t="s">
        <v>3250</v>
      </c>
      <c r="J1116" t="s">
        <v>3250</v>
      </c>
      <c r="K1116" t="s">
        <v>3250</v>
      </c>
      <c r="L1116">
        <v>1200</v>
      </c>
      <c r="M1116" t="s">
        <v>2368</v>
      </c>
      <c r="N1116">
        <v>1204</v>
      </c>
      <c r="O1116" t="s">
        <v>1574</v>
      </c>
      <c r="P1116" t="s">
        <v>3108</v>
      </c>
      <c r="Q1116" t="s">
        <v>3249</v>
      </c>
      <c r="R1116" t="s">
        <v>3249</v>
      </c>
      <c r="S1116" t="s">
        <v>472</v>
      </c>
      <c r="T1116" t="s">
        <v>3251</v>
      </c>
      <c r="U1116">
        <v>140</v>
      </c>
      <c r="V1116" t="s">
        <v>1327</v>
      </c>
      <c r="W1116">
        <v>140</v>
      </c>
      <c r="X1116" t="s">
        <v>1327</v>
      </c>
      <c r="Y1116" t="s">
        <v>3250</v>
      </c>
      <c r="Z1116" t="s">
        <v>3250</v>
      </c>
      <c r="AA1116" t="s">
        <v>3108</v>
      </c>
      <c r="AB1116" t="s">
        <v>3108</v>
      </c>
      <c r="AC1116" t="s">
        <v>3250</v>
      </c>
      <c r="AD1116" t="s">
        <v>3250</v>
      </c>
      <c r="AE1116" t="s">
        <v>3250</v>
      </c>
      <c r="AF1116" t="s">
        <v>3250</v>
      </c>
      <c r="AG1116" t="s">
        <v>3250</v>
      </c>
      <c r="AH1116" t="s">
        <v>3250</v>
      </c>
      <c r="AI1116" t="s">
        <v>3250</v>
      </c>
      <c r="AJ1116" t="s">
        <v>3250</v>
      </c>
      <c r="AL1116">
        <v>146</v>
      </c>
      <c r="AM1116" t="s">
        <v>5</v>
      </c>
      <c r="AN1116">
        <v>146</v>
      </c>
      <c r="AO1116" t="s">
        <v>5</v>
      </c>
      <c r="AS1116" t="s">
        <v>3250</v>
      </c>
      <c r="AT1116" t="s">
        <v>3250</v>
      </c>
      <c r="AU1116" t="s">
        <v>3250</v>
      </c>
      <c r="AV1116" t="s">
        <v>3250</v>
      </c>
      <c r="AW1116" t="s">
        <v>3250</v>
      </c>
      <c r="AX1116" t="s">
        <v>3250</v>
      </c>
      <c r="AY1116" t="s">
        <v>3250</v>
      </c>
      <c r="AZ1116" t="s">
        <v>3250</v>
      </c>
      <c r="BA1116" t="s">
        <v>3250</v>
      </c>
      <c r="BB1116" t="s">
        <v>3250</v>
      </c>
      <c r="BC1116" t="s">
        <v>3250</v>
      </c>
      <c r="BE1116" t="s">
        <v>3250</v>
      </c>
      <c r="BF1116" t="s">
        <v>3250</v>
      </c>
      <c r="BG1116" t="s">
        <v>3250</v>
      </c>
      <c r="BH1116" t="s">
        <v>3250</v>
      </c>
      <c r="BI1116" t="s">
        <v>3250</v>
      </c>
      <c r="BK1116" t="s">
        <v>3250</v>
      </c>
      <c r="BL1116" t="s">
        <v>3250</v>
      </c>
      <c r="BM1116" t="s">
        <v>3250</v>
      </c>
      <c r="BN1116" t="s">
        <v>3250</v>
      </c>
      <c r="BP1116">
        <v>1</v>
      </c>
      <c r="BQ1116">
        <v>11</v>
      </c>
      <c r="BR1116" t="s">
        <v>1574</v>
      </c>
      <c r="BS1116" t="s">
        <v>3252</v>
      </c>
      <c r="BV1116">
        <v>0</v>
      </c>
      <c r="BW1116">
        <v>0</v>
      </c>
      <c r="BX1116">
        <v>0</v>
      </c>
      <c r="BY1116">
        <v>0</v>
      </c>
      <c r="BZ1116">
        <v>0</v>
      </c>
      <c r="CA1116">
        <v>0</v>
      </c>
      <c r="CB1116">
        <v>0</v>
      </c>
      <c r="CC1116">
        <v>0</v>
      </c>
      <c r="CD1116">
        <v>0</v>
      </c>
      <c r="CE1116" t="s">
        <v>3108</v>
      </c>
      <c r="CF1116" t="s">
        <v>3108</v>
      </c>
      <c r="CG1116" t="s">
        <v>3108</v>
      </c>
      <c r="CH1116" t="s">
        <v>3108</v>
      </c>
    </row>
    <row r="1117" spans="1:86" x14ac:dyDescent="0.2">
      <c r="A1117" t="s">
        <v>4932</v>
      </c>
      <c r="B1117" t="s">
        <v>4932</v>
      </c>
      <c r="C1117">
        <v>41594</v>
      </c>
      <c r="D1117">
        <v>863</v>
      </c>
      <c r="E1117" t="s">
        <v>3386</v>
      </c>
      <c r="F1117" t="s">
        <v>3249</v>
      </c>
      <c r="G1117" t="s">
        <v>3249</v>
      </c>
      <c r="H1117" t="s">
        <v>3250</v>
      </c>
      <c r="I1117" t="s">
        <v>3250</v>
      </c>
      <c r="J1117" t="s">
        <v>3250</v>
      </c>
      <c r="K1117" t="s">
        <v>3250</v>
      </c>
      <c r="L1117">
        <v>1200</v>
      </c>
      <c r="M1117" t="s">
        <v>2368</v>
      </c>
      <c r="N1117">
        <v>1204</v>
      </c>
      <c r="O1117" t="s">
        <v>1574</v>
      </c>
      <c r="P1117" t="s">
        <v>3108</v>
      </c>
      <c r="Q1117" t="s">
        <v>3249</v>
      </c>
      <c r="R1117" t="s">
        <v>3249</v>
      </c>
      <c r="S1117" t="s">
        <v>472</v>
      </c>
      <c r="T1117" t="s">
        <v>3251</v>
      </c>
      <c r="U1117">
        <v>140</v>
      </c>
      <c r="V1117" t="s">
        <v>1327</v>
      </c>
      <c r="W1117">
        <v>140</v>
      </c>
      <c r="X1117" t="s">
        <v>1327</v>
      </c>
      <c r="Y1117" t="s">
        <v>3250</v>
      </c>
      <c r="Z1117" t="s">
        <v>3250</v>
      </c>
      <c r="AA1117" t="s">
        <v>3108</v>
      </c>
      <c r="AB1117" t="s">
        <v>3108</v>
      </c>
      <c r="AC1117" t="s">
        <v>3250</v>
      </c>
      <c r="AD1117" t="s">
        <v>3250</v>
      </c>
      <c r="AE1117" t="s">
        <v>3250</v>
      </c>
      <c r="AF1117" t="s">
        <v>3250</v>
      </c>
      <c r="AG1117" t="s">
        <v>3250</v>
      </c>
      <c r="AH1117" t="s">
        <v>3250</v>
      </c>
      <c r="AI1117" t="s">
        <v>3250</v>
      </c>
      <c r="AJ1117" t="s">
        <v>3250</v>
      </c>
      <c r="AL1117">
        <v>141</v>
      </c>
      <c r="AM1117" t="s">
        <v>1327</v>
      </c>
      <c r="AN1117">
        <v>141</v>
      </c>
      <c r="AO1117" t="s">
        <v>1327</v>
      </c>
      <c r="AS1117" t="s">
        <v>3250</v>
      </c>
      <c r="AT1117" t="s">
        <v>3250</v>
      </c>
      <c r="AU1117" t="s">
        <v>3250</v>
      </c>
      <c r="AV1117" t="s">
        <v>3250</v>
      </c>
      <c r="AW1117" t="s">
        <v>3250</v>
      </c>
      <c r="AX1117" t="s">
        <v>3250</v>
      </c>
      <c r="AY1117" t="s">
        <v>3250</v>
      </c>
      <c r="AZ1117" t="s">
        <v>3250</v>
      </c>
      <c r="BA1117" t="s">
        <v>3250</v>
      </c>
      <c r="BB1117" t="s">
        <v>3250</v>
      </c>
      <c r="BC1117" t="s">
        <v>3250</v>
      </c>
      <c r="BE1117" t="s">
        <v>3250</v>
      </c>
      <c r="BF1117" t="s">
        <v>3250</v>
      </c>
      <c r="BG1117" t="s">
        <v>3250</v>
      </c>
      <c r="BH1117" t="s">
        <v>3250</v>
      </c>
      <c r="BI1117" t="s">
        <v>3250</v>
      </c>
      <c r="BK1117" t="s">
        <v>3250</v>
      </c>
      <c r="BL1117" t="s">
        <v>3250</v>
      </c>
      <c r="BM1117" t="s">
        <v>3250</v>
      </c>
      <c r="BN1117" t="s">
        <v>3250</v>
      </c>
      <c r="BP1117">
        <v>1</v>
      </c>
      <c r="BQ1117">
        <v>11</v>
      </c>
      <c r="BR1117" t="s">
        <v>1574</v>
      </c>
      <c r="BS1117" t="s">
        <v>3252</v>
      </c>
      <c r="BV1117">
        <v>0</v>
      </c>
      <c r="BW1117">
        <v>0</v>
      </c>
      <c r="BX1117">
        <v>0</v>
      </c>
      <c r="BY1117">
        <v>0</v>
      </c>
      <c r="BZ1117">
        <v>0</v>
      </c>
      <c r="CA1117">
        <v>0</v>
      </c>
      <c r="CB1117">
        <v>0</v>
      </c>
      <c r="CC1117">
        <v>0</v>
      </c>
      <c r="CD1117">
        <v>0</v>
      </c>
      <c r="CE1117" t="s">
        <v>3108</v>
      </c>
      <c r="CF1117" t="s">
        <v>3108</v>
      </c>
      <c r="CG1117" t="s">
        <v>3108</v>
      </c>
      <c r="CH1117" t="s">
        <v>3108</v>
      </c>
    </row>
    <row r="1118" spans="1:86" x14ac:dyDescent="0.2">
      <c r="A1118" t="s">
        <v>4933</v>
      </c>
      <c r="B1118" t="s">
        <v>4933</v>
      </c>
      <c r="C1118">
        <v>41595</v>
      </c>
      <c r="D1118">
        <v>864</v>
      </c>
      <c r="E1118" t="s">
        <v>3484</v>
      </c>
      <c r="F1118" t="s">
        <v>3249</v>
      </c>
      <c r="G1118" t="s">
        <v>3249</v>
      </c>
      <c r="H1118" t="s">
        <v>3250</v>
      </c>
      <c r="I1118" t="s">
        <v>3250</v>
      </c>
      <c r="J1118" t="s">
        <v>3250</v>
      </c>
      <c r="K1118" t="s">
        <v>3250</v>
      </c>
      <c r="L1118">
        <v>1200</v>
      </c>
      <c r="M1118" t="s">
        <v>2368</v>
      </c>
      <c r="N1118">
        <v>1204</v>
      </c>
      <c r="O1118" t="s">
        <v>1574</v>
      </c>
      <c r="P1118" t="s">
        <v>3108</v>
      </c>
      <c r="Q1118" t="s">
        <v>3249</v>
      </c>
      <c r="R1118" t="s">
        <v>3249</v>
      </c>
      <c r="S1118" t="s">
        <v>472</v>
      </c>
      <c r="T1118" t="s">
        <v>3251</v>
      </c>
      <c r="U1118">
        <v>140</v>
      </c>
      <c r="V1118" t="s">
        <v>1327</v>
      </c>
      <c r="W1118">
        <v>140</v>
      </c>
      <c r="X1118" t="s">
        <v>1327</v>
      </c>
      <c r="Y1118" t="s">
        <v>3250</v>
      </c>
      <c r="Z1118" t="s">
        <v>3250</v>
      </c>
      <c r="AA1118" t="s">
        <v>3108</v>
      </c>
      <c r="AB1118" t="s">
        <v>3108</v>
      </c>
      <c r="AC1118" t="s">
        <v>3250</v>
      </c>
      <c r="AD1118" t="s">
        <v>3250</v>
      </c>
      <c r="AE1118" t="s">
        <v>3250</v>
      </c>
      <c r="AF1118" t="s">
        <v>3250</v>
      </c>
      <c r="AG1118" t="s">
        <v>3250</v>
      </c>
      <c r="AH1118" t="s">
        <v>3250</v>
      </c>
      <c r="AI1118" t="s">
        <v>3250</v>
      </c>
      <c r="AJ1118" t="s">
        <v>3250</v>
      </c>
      <c r="AL1118">
        <v>146</v>
      </c>
      <c r="AM1118" t="s">
        <v>5</v>
      </c>
      <c r="AN1118">
        <v>146</v>
      </c>
      <c r="AO1118" t="s">
        <v>5</v>
      </c>
      <c r="AS1118" t="s">
        <v>3250</v>
      </c>
      <c r="AT1118" t="s">
        <v>3250</v>
      </c>
      <c r="AU1118" t="s">
        <v>3250</v>
      </c>
      <c r="AV1118" t="s">
        <v>3250</v>
      </c>
      <c r="AW1118" t="s">
        <v>3250</v>
      </c>
      <c r="AX1118" t="s">
        <v>3250</v>
      </c>
      <c r="AY1118" t="s">
        <v>3250</v>
      </c>
      <c r="AZ1118" t="s">
        <v>3250</v>
      </c>
      <c r="BA1118" t="s">
        <v>3250</v>
      </c>
      <c r="BB1118" t="s">
        <v>3250</v>
      </c>
      <c r="BC1118" t="s">
        <v>3250</v>
      </c>
      <c r="BE1118" t="s">
        <v>3250</v>
      </c>
      <c r="BF1118" t="s">
        <v>3250</v>
      </c>
      <c r="BG1118" t="s">
        <v>3250</v>
      </c>
      <c r="BH1118" t="s">
        <v>3250</v>
      </c>
      <c r="BI1118" t="s">
        <v>3250</v>
      </c>
      <c r="BK1118" t="s">
        <v>3250</v>
      </c>
      <c r="BL1118" t="s">
        <v>3250</v>
      </c>
      <c r="BM1118" t="s">
        <v>3250</v>
      </c>
      <c r="BN1118" t="s">
        <v>3250</v>
      </c>
      <c r="BP1118">
        <v>1</v>
      </c>
      <c r="BQ1118">
        <v>11</v>
      </c>
      <c r="BR1118" t="s">
        <v>1574</v>
      </c>
      <c r="BS1118" t="s">
        <v>3252</v>
      </c>
      <c r="BV1118">
        <v>0</v>
      </c>
      <c r="BW1118">
        <v>0</v>
      </c>
      <c r="BX1118">
        <v>0</v>
      </c>
      <c r="BY1118">
        <v>0</v>
      </c>
      <c r="BZ1118">
        <v>0</v>
      </c>
      <c r="CA1118">
        <v>0</v>
      </c>
      <c r="CB1118">
        <v>0</v>
      </c>
      <c r="CC1118">
        <v>0</v>
      </c>
      <c r="CD1118">
        <v>0</v>
      </c>
      <c r="CE1118" t="s">
        <v>3108</v>
      </c>
      <c r="CF1118" t="s">
        <v>3108</v>
      </c>
      <c r="CG1118" t="s">
        <v>3108</v>
      </c>
      <c r="CH1118" t="s">
        <v>3108</v>
      </c>
    </row>
    <row r="1119" spans="1:86" x14ac:dyDescent="0.2">
      <c r="A1119" t="s">
        <v>4934</v>
      </c>
      <c r="B1119" t="s">
        <v>4934</v>
      </c>
      <c r="C1119">
        <v>41596</v>
      </c>
      <c r="D1119">
        <v>865</v>
      </c>
      <c r="E1119" t="s">
        <v>3486</v>
      </c>
      <c r="F1119" t="s">
        <v>3249</v>
      </c>
      <c r="G1119" t="s">
        <v>3249</v>
      </c>
      <c r="H1119" t="s">
        <v>3250</v>
      </c>
      <c r="I1119" t="s">
        <v>3250</v>
      </c>
      <c r="J1119" t="s">
        <v>3250</v>
      </c>
      <c r="K1119" t="s">
        <v>3250</v>
      </c>
      <c r="L1119">
        <v>1200</v>
      </c>
      <c r="M1119" t="s">
        <v>2368</v>
      </c>
      <c r="N1119">
        <v>1204</v>
      </c>
      <c r="O1119" t="s">
        <v>1574</v>
      </c>
      <c r="P1119" t="s">
        <v>3108</v>
      </c>
      <c r="Q1119" t="s">
        <v>3249</v>
      </c>
      <c r="R1119" t="s">
        <v>3249</v>
      </c>
      <c r="S1119" t="s">
        <v>472</v>
      </c>
      <c r="T1119" t="s">
        <v>3251</v>
      </c>
      <c r="U1119">
        <v>140</v>
      </c>
      <c r="V1119" t="s">
        <v>1327</v>
      </c>
      <c r="W1119">
        <v>140</v>
      </c>
      <c r="X1119" t="s">
        <v>1327</v>
      </c>
      <c r="Y1119" t="s">
        <v>3250</v>
      </c>
      <c r="Z1119" t="s">
        <v>3250</v>
      </c>
      <c r="AA1119" t="s">
        <v>3108</v>
      </c>
      <c r="AB1119" t="s">
        <v>3108</v>
      </c>
      <c r="AC1119" t="s">
        <v>3250</v>
      </c>
      <c r="AD1119" t="s">
        <v>3250</v>
      </c>
      <c r="AE1119" t="s">
        <v>3250</v>
      </c>
      <c r="AF1119" t="s">
        <v>3250</v>
      </c>
      <c r="AG1119" t="s">
        <v>3250</v>
      </c>
      <c r="AH1119" t="s">
        <v>3250</v>
      </c>
      <c r="AI1119" t="s">
        <v>3250</v>
      </c>
      <c r="AJ1119" t="s">
        <v>3250</v>
      </c>
      <c r="AL1119">
        <v>141</v>
      </c>
      <c r="AM1119" t="s">
        <v>1327</v>
      </c>
      <c r="AN1119">
        <v>141</v>
      </c>
      <c r="AO1119" t="s">
        <v>1327</v>
      </c>
      <c r="AS1119" t="s">
        <v>3250</v>
      </c>
      <c r="AT1119" t="s">
        <v>3250</v>
      </c>
      <c r="AU1119" t="s">
        <v>3250</v>
      </c>
      <c r="AV1119" t="s">
        <v>3250</v>
      </c>
      <c r="AW1119" t="s">
        <v>3250</v>
      </c>
      <c r="AX1119" t="s">
        <v>3250</v>
      </c>
      <c r="AY1119" t="s">
        <v>3250</v>
      </c>
      <c r="AZ1119" t="s">
        <v>3250</v>
      </c>
      <c r="BA1119" t="s">
        <v>3250</v>
      </c>
      <c r="BB1119" t="s">
        <v>3250</v>
      </c>
      <c r="BC1119" t="s">
        <v>3250</v>
      </c>
      <c r="BE1119" t="s">
        <v>3250</v>
      </c>
      <c r="BF1119" t="s">
        <v>3250</v>
      </c>
      <c r="BG1119" t="s">
        <v>3250</v>
      </c>
      <c r="BH1119" t="s">
        <v>3250</v>
      </c>
      <c r="BI1119" t="s">
        <v>3250</v>
      </c>
      <c r="BK1119" t="s">
        <v>3250</v>
      </c>
      <c r="BL1119" t="s">
        <v>3250</v>
      </c>
      <c r="BM1119" t="s">
        <v>3250</v>
      </c>
      <c r="BN1119" t="s">
        <v>3250</v>
      </c>
      <c r="BP1119">
        <v>1</v>
      </c>
      <c r="BQ1119">
        <v>11</v>
      </c>
      <c r="BR1119" t="s">
        <v>1574</v>
      </c>
      <c r="BS1119" t="s">
        <v>3252</v>
      </c>
      <c r="BV1119">
        <v>0</v>
      </c>
      <c r="BW1119">
        <v>0</v>
      </c>
      <c r="BX1119">
        <v>0</v>
      </c>
      <c r="BY1119">
        <v>0</v>
      </c>
      <c r="BZ1119">
        <v>0</v>
      </c>
      <c r="CA1119">
        <v>0</v>
      </c>
      <c r="CB1119">
        <v>0</v>
      </c>
      <c r="CC1119">
        <v>0</v>
      </c>
      <c r="CD1119">
        <v>0</v>
      </c>
      <c r="CE1119" t="s">
        <v>3108</v>
      </c>
      <c r="CF1119" t="s">
        <v>3108</v>
      </c>
      <c r="CG1119" t="s">
        <v>3108</v>
      </c>
      <c r="CH1119" t="s">
        <v>3108</v>
      </c>
    </row>
    <row r="1120" spans="1:86" x14ac:dyDescent="0.2">
      <c r="A1120" t="s">
        <v>4935</v>
      </c>
      <c r="B1120" t="s">
        <v>4935</v>
      </c>
      <c r="C1120">
        <v>41597</v>
      </c>
      <c r="D1120">
        <v>866</v>
      </c>
      <c r="E1120" t="s">
        <v>4936</v>
      </c>
      <c r="F1120" t="s">
        <v>3249</v>
      </c>
      <c r="G1120" t="s">
        <v>3249</v>
      </c>
      <c r="H1120" t="s">
        <v>3250</v>
      </c>
      <c r="I1120" t="s">
        <v>3250</v>
      </c>
      <c r="J1120" t="s">
        <v>3250</v>
      </c>
      <c r="K1120" t="s">
        <v>3250</v>
      </c>
      <c r="L1120">
        <v>1200</v>
      </c>
      <c r="M1120" t="s">
        <v>2368</v>
      </c>
      <c r="N1120">
        <v>1204</v>
      </c>
      <c r="O1120" t="s">
        <v>1574</v>
      </c>
      <c r="P1120" t="s">
        <v>3108</v>
      </c>
      <c r="Q1120" t="s">
        <v>3249</v>
      </c>
      <c r="R1120" t="s">
        <v>3249</v>
      </c>
      <c r="S1120" t="s">
        <v>472</v>
      </c>
      <c r="T1120" t="s">
        <v>3251</v>
      </c>
      <c r="U1120">
        <v>140</v>
      </c>
      <c r="V1120" t="s">
        <v>1327</v>
      </c>
      <c r="W1120">
        <v>140</v>
      </c>
      <c r="X1120" t="s">
        <v>1327</v>
      </c>
      <c r="Y1120" t="s">
        <v>3250</v>
      </c>
      <c r="Z1120" t="s">
        <v>3250</v>
      </c>
      <c r="AA1120" t="s">
        <v>3108</v>
      </c>
      <c r="AB1120" t="s">
        <v>3108</v>
      </c>
      <c r="AC1120" t="s">
        <v>3250</v>
      </c>
      <c r="AD1120" t="s">
        <v>3250</v>
      </c>
      <c r="AE1120" t="s">
        <v>3250</v>
      </c>
      <c r="AF1120" t="s">
        <v>3250</v>
      </c>
      <c r="AG1120" t="s">
        <v>3250</v>
      </c>
      <c r="AH1120" t="s">
        <v>3250</v>
      </c>
      <c r="AI1120" t="s">
        <v>3250</v>
      </c>
      <c r="AJ1120" t="s">
        <v>3250</v>
      </c>
      <c r="AL1120">
        <v>146</v>
      </c>
      <c r="AM1120" t="s">
        <v>5</v>
      </c>
      <c r="AN1120">
        <v>146</v>
      </c>
      <c r="AO1120" t="s">
        <v>5</v>
      </c>
      <c r="AS1120" t="s">
        <v>3250</v>
      </c>
      <c r="AT1120" t="s">
        <v>3250</v>
      </c>
      <c r="AU1120" t="s">
        <v>3250</v>
      </c>
      <c r="AV1120" t="s">
        <v>3250</v>
      </c>
      <c r="AW1120" t="s">
        <v>3250</v>
      </c>
      <c r="AX1120" t="s">
        <v>3250</v>
      </c>
      <c r="AY1120" t="s">
        <v>3250</v>
      </c>
      <c r="AZ1120" t="s">
        <v>3250</v>
      </c>
      <c r="BA1120" t="s">
        <v>3250</v>
      </c>
      <c r="BB1120" t="s">
        <v>3250</v>
      </c>
      <c r="BC1120" t="s">
        <v>3250</v>
      </c>
      <c r="BE1120" t="s">
        <v>3250</v>
      </c>
      <c r="BF1120" t="s">
        <v>3250</v>
      </c>
      <c r="BG1120" t="s">
        <v>3250</v>
      </c>
      <c r="BH1120" t="s">
        <v>3250</v>
      </c>
      <c r="BI1120" t="s">
        <v>3250</v>
      </c>
      <c r="BK1120" t="s">
        <v>3250</v>
      </c>
      <c r="BL1120" t="s">
        <v>3250</v>
      </c>
      <c r="BM1120" t="s">
        <v>3250</v>
      </c>
      <c r="BN1120" t="s">
        <v>3250</v>
      </c>
      <c r="BP1120">
        <v>1</v>
      </c>
      <c r="BQ1120">
        <v>11</v>
      </c>
      <c r="BR1120" t="s">
        <v>1574</v>
      </c>
      <c r="BS1120" t="s">
        <v>3252</v>
      </c>
      <c r="BV1120">
        <v>0</v>
      </c>
      <c r="BW1120">
        <v>0</v>
      </c>
      <c r="BX1120">
        <v>0</v>
      </c>
      <c r="BY1120">
        <v>0</v>
      </c>
      <c r="BZ1120">
        <v>0</v>
      </c>
      <c r="CA1120">
        <v>0</v>
      </c>
      <c r="CB1120">
        <v>0</v>
      </c>
      <c r="CC1120">
        <v>0</v>
      </c>
      <c r="CD1120">
        <v>0</v>
      </c>
      <c r="CE1120" t="s">
        <v>3108</v>
      </c>
      <c r="CF1120" t="s">
        <v>3108</v>
      </c>
      <c r="CG1120" t="s">
        <v>3108</v>
      </c>
      <c r="CH1120" t="s">
        <v>3108</v>
      </c>
    </row>
    <row r="1121" spans="1:86" x14ac:dyDescent="0.2">
      <c r="A1121" t="s">
        <v>4937</v>
      </c>
      <c r="B1121" t="s">
        <v>4937</v>
      </c>
      <c r="C1121">
        <v>41598</v>
      </c>
      <c r="D1121">
        <v>867</v>
      </c>
      <c r="E1121" t="s">
        <v>3488</v>
      </c>
      <c r="F1121" t="s">
        <v>3249</v>
      </c>
      <c r="G1121" t="s">
        <v>3249</v>
      </c>
      <c r="H1121" t="s">
        <v>3250</v>
      </c>
      <c r="I1121" t="s">
        <v>3250</v>
      </c>
      <c r="J1121" t="s">
        <v>3250</v>
      </c>
      <c r="K1121" t="s">
        <v>3250</v>
      </c>
      <c r="L1121">
        <v>1200</v>
      </c>
      <c r="M1121" t="s">
        <v>2368</v>
      </c>
      <c r="N1121">
        <v>1204</v>
      </c>
      <c r="O1121" t="s">
        <v>1574</v>
      </c>
      <c r="P1121" t="s">
        <v>3108</v>
      </c>
      <c r="Q1121" t="s">
        <v>3249</v>
      </c>
      <c r="R1121" t="s">
        <v>3249</v>
      </c>
      <c r="S1121" t="s">
        <v>472</v>
      </c>
      <c r="T1121" t="s">
        <v>3251</v>
      </c>
      <c r="U1121">
        <v>140</v>
      </c>
      <c r="V1121" t="s">
        <v>1327</v>
      </c>
      <c r="W1121">
        <v>140</v>
      </c>
      <c r="X1121" t="s">
        <v>1327</v>
      </c>
      <c r="Y1121" t="s">
        <v>3250</v>
      </c>
      <c r="Z1121" t="s">
        <v>3250</v>
      </c>
      <c r="AA1121" t="s">
        <v>3108</v>
      </c>
      <c r="AB1121" t="s">
        <v>3108</v>
      </c>
      <c r="AC1121" t="s">
        <v>3250</v>
      </c>
      <c r="AD1121" t="s">
        <v>3250</v>
      </c>
      <c r="AE1121" t="s">
        <v>3250</v>
      </c>
      <c r="AF1121" t="s">
        <v>3250</v>
      </c>
      <c r="AG1121" t="s">
        <v>3250</v>
      </c>
      <c r="AH1121" t="s">
        <v>3250</v>
      </c>
      <c r="AI1121" t="s">
        <v>3250</v>
      </c>
      <c r="AJ1121" t="s">
        <v>3250</v>
      </c>
      <c r="AL1121">
        <v>141</v>
      </c>
      <c r="AM1121" t="s">
        <v>1327</v>
      </c>
      <c r="AN1121">
        <v>141</v>
      </c>
      <c r="AO1121" t="s">
        <v>1327</v>
      </c>
      <c r="AS1121" t="s">
        <v>3250</v>
      </c>
      <c r="AT1121" t="s">
        <v>3250</v>
      </c>
      <c r="AU1121" t="s">
        <v>3250</v>
      </c>
      <c r="AV1121" t="s">
        <v>3250</v>
      </c>
      <c r="AW1121" t="s">
        <v>3250</v>
      </c>
      <c r="AX1121" t="s">
        <v>3250</v>
      </c>
      <c r="AY1121" t="s">
        <v>3250</v>
      </c>
      <c r="AZ1121" t="s">
        <v>3250</v>
      </c>
      <c r="BA1121" t="s">
        <v>3250</v>
      </c>
      <c r="BB1121" t="s">
        <v>3250</v>
      </c>
      <c r="BC1121" t="s">
        <v>3250</v>
      </c>
      <c r="BE1121" t="s">
        <v>3250</v>
      </c>
      <c r="BF1121" t="s">
        <v>3250</v>
      </c>
      <c r="BG1121" t="s">
        <v>3250</v>
      </c>
      <c r="BH1121" t="s">
        <v>3250</v>
      </c>
      <c r="BI1121" t="s">
        <v>3250</v>
      </c>
      <c r="BK1121" t="s">
        <v>3250</v>
      </c>
      <c r="BL1121" t="s">
        <v>3250</v>
      </c>
      <c r="BM1121" t="s">
        <v>3250</v>
      </c>
      <c r="BN1121" t="s">
        <v>3250</v>
      </c>
      <c r="BP1121">
        <v>1</v>
      </c>
      <c r="BQ1121">
        <v>11</v>
      </c>
      <c r="BR1121" t="s">
        <v>1574</v>
      </c>
      <c r="BS1121" t="s">
        <v>3252</v>
      </c>
      <c r="BV1121">
        <v>-453242</v>
      </c>
      <c r="BW1121">
        <v>-445847</v>
      </c>
      <c r="BX1121">
        <v>-367857</v>
      </c>
      <c r="BY1121">
        <v>0</v>
      </c>
      <c r="BZ1121">
        <v>0</v>
      </c>
      <c r="CA1121">
        <v>0</v>
      </c>
      <c r="CB1121">
        <v>0</v>
      </c>
      <c r="CC1121">
        <v>0</v>
      </c>
      <c r="CD1121">
        <v>-453242</v>
      </c>
      <c r="CE1121" t="s">
        <v>3108</v>
      </c>
      <c r="CF1121" t="s">
        <v>3108</v>
      </c>
      <c r="CG1121" t="s">
        <v>3108</v>
      </c>
      <c r="CH1121" t="s">
        <v>3108</v>
      </c>
    </row>
    <row r="1122" spans="1:86" x14ac:dyDescent="0.2">
      <c r="A1122" t="s">
        <v>4938</v>
      </c>
      <c r="B1122" t="s">
        <v>4938</v>
      </c>
      <c r="C1122">
        <v>41599</v>
      </c>
      <c r="D1122">
        <v>868</v>
      </c>
      <c r="E1122" t="s">
        <v>4939</v>
      </c>
      <c r="F1122" t="s">
        <v>3249</v>
      </c>
      <c r="G1122" t="s">
        <v>3249</v>
      </c>
      <c r="H1122" t="s">
        <v>3250</v>
      </c>
      <c r="I1122" t="s">
        <v>3250</v>
      </c>
      <c r="J1122" t="s">
        <v>3250</v>
      </c>
      <c r="K1122" t="s">
        <v>3250</v>
      </c>
      <c r="L1122">
        <v>1200</v>
      </c>
      <c r="M1122" t="s">
        <v>2368</v>
      </c>
      <c r="N1122">
        <v>1204</v>
      </c>
      <c r="O1122" t="s">
        <v>1574</v>
      </c>
      <c r="P1122" t="s">
        <v>3108</v>
      </c>
      <c r="Q1122" t="s">
        <v>3249</v>
      </c>
      <c r="R1122" t="s">
        <v>3249</v>
      </c>
      <c r="S1122" t="s">
        <v>472</v>
      </c>
      <c r="T1122" t="s">
        <v>3251</v>
      </c>
      <c r="U1122">
        <v>140</v>
      </c>
      <c r="V1122" t="s">
        <v>1327</v>
      </c>
      <c r="W1122">
        <v>140</v>
      </c>
      <c r="X1122" t="s">
        <v>1327</v>
      </c>
      <c r="Y1122" t="s">
        <v>3250</v>
      </c>
      <c r="Z1122" t="s">
        <v>3250</v>
      </c>
      <c r="AA1122" t="s">
        <v>3108</v>
      </c>
      <c r="AB1122" t="s">
        <v>3108</v>
      </c>
      <c r="AC1122" t="s">
        <v>3250</v>
      </c>
      <c r="AD1122" t="s">
        <v>3250</v>
      </c>
      <c r="AE1122" t="s">
        <v>3250</v>
      </c>
      <c r="AF1122" t="s">
        <v>3250</v>
      </c>
      <c r="AG1122" t="s">
        <v>3250</v>
      </c>
      <c r="AH1122" t="s">
        <v>3250</v>
      </c>
      <c r="AI1122" t="s">
        <v>3250</v>
      </c>
      <c r="AJ1122" t="s">
        <v>3250</v>
      </c>
      <c r="AL1122">
        <v>146</v>
      </c>
      <c r="AM1122" t="s">
        <v>5</v>
      </c>
      <c r="AN1122">
        <v>146</v>
      </c>
      <c r="AO1122" t="s">
        <v>5</v>
      </c>
      <c r="AS1122" t="s">
        <v>3250</v>
      </c>
      <c r="AT1122" t="s">
        <v>3250</v>
      </c>
      <c r="AU1122" t="s">
        <v>3250</v>
      </c>
      <c r="AV1122" t="s">
        <v>3250</v>
      </c>
      <c r="AW1122" t="s">
        <v>3250</v>
      </c>
      <c r="AX1122" t="s">
        <v>3250</v>
      </c>
      <c r="AY1122" t="s">
        <v>3250</v>
      </c>
      <c r="AZ1122" t="s">
        <v>3250</v>
      </c>
      <c r="BA1122" t="s">
        <v>3250</v>
      </c>
      <c r="BB1122" t="s">
        <v>3250</v>
      </c>
      <c r="BC1122" t="s">
        <v>3250</v>
      </c>
      <c r="BE1122" t="s">
        <v>3250</v>
      </c>
      <c r="BF1122" t="s">
        <v>3250</v>
      </c>
      <c r="BG1122" t="s">
        <v>3250</v>
      </c>
      <c r="BH1122" t="s">
        <v>3250</v>
      </c>
      <c r="BI1122" t="s">
        <v>3250</v>
      </c>
      <c r="BK1122" t="s">
        <v>3250</v>
      </c>
      <c r="BL1122" t="s">
        <v>3250</v>
      </c>
      <c r="BM1122" t="s">
        <v>3250</v>
      </c>
      <c r="BN1122" t="s">
        <v>3250</v>
      </c>
      <c r="BP1122">
        <v>1</v>
      </c>
      <c r="BQ1122">
        <v>11</v>
      </c>
      <c r="BR1122" t="s">
        <v>1574</v>
      </c>
      <c r="BS1122" t="s">
        <v>3252</v>
      </c>
      <c r="BV1122">
        <v>0</v>
      </c>
      <c r="BW1122">
        <v>0</v>
      </c>
      <c r="BX1122">
        <v>0</v>
      </c>
      <c r="BY1122">
        <v>0</v>
      </c>
      <c r="BZ1122">
        <v>0</v>
      </c>
      <c r="CA1122">
        <v>0</v>
      </c>
      <c r="CB1122">
        <v>0</v>
      </c>
      <c r="CC1122">
        <v>0</v>
      </c>
      <c r="CD1122">
        <v>0</v>
      </c>
      <c r="CE1122" t="s">
        <v>3108</v>
      </c>
      <c r="CF1122" t="s">
        <v>3108</v>
      </c>
      <c r="CG1122" t="s">
        <v>3108</v>
      </c>
      <c r="CH1122" t="s">
        <v>3108</v>
      </c>
    </row>
    <row r="1123" spans="1:86" x14ac:dyDescent="0.2">
      <c r="A1123" t="s">
        <v>4940</v>
      </c>
      <c r="B1123" t="s">
        <v>4940</v>
      </c>
      <c r="C1123">
        <v>41600</v>
      </c>
      <c r="D1123">
        <v>869</v>
      </c>
      <c r="E1123" t="s">
        <v>3490</v>
      </c>
      <c r="F1123" t="s">
        <v>3249</v>
      </c>
      <c r="G1123" t="s">
        <v>3249</v>
      </c>
      <c r="H1123" t="s">
        <v>3250</v>
      </c>
      <c r="I1123" t="s">
        <v>3250</v>
      </c>
      <c r="J1123" t="s">
        <v>3250</v>
      </c>
      <c r="K1123" t="s">
        <v>3250</v>
      </c>
      <c r="L1123">
        <v>1200</v>
      </c>
      <c r="M1123" t="s">
        <v>2368</v>
      </c>
      <c r="N1123">
        <v>1204</v>
      </c>
      <c r="O1123" t="s">
        <v>1574</v>
      </c>
      <c r="P1123" t="s">
        <v>3108</v>
      </c>
      <c r="Q1123" t="s">
        <v>3249</v>
      </c>
      <c r="R1123" t="s">
        <v>3249</v>
      </c>
      <c r="S1123" t="s">
        <v>472</v>
      </c>
      <c r="T1123" t="s">
        <v>3251</v>
      </c>
      <c r="U1123">
        <v>140</v>
      </c>
      <c r="V1123" t="s">
        <v>1327</v>
      </c>
      <c r="W1123">
        <v>140</v>
      </c>
      <c r="X1123" t="s">
        <v>1327</v>
      </c>
      <c r="Y1123" t="s">
        <v>3250</v>
      </c>
      <c r="Z1123" t="s">
        <v>3250</v>
      </c>
      <c r="AA1123" t="s">
        <v>3108</v>
      </c>
      <c r="AB1123" t="s">
        <v>3108</v>
      </c>
      <c r="AC1123" t="s">
        <v>3250</v>
      </c>
      <c r="AD1123" t="s">
        <v>3250</v>
      </c>
      <c r="AE1123" t="s">
        <v>3250</v>
      </c>
      <c r="AF1123" t="s">
        <v>3250</v>
      </c>
      <c r="AG1123" t="s">
        <v>3250</v>
      </c>
      <c r="AH1123" t="s">
        <v>3250</v>
      </c>
      <c r="AI1123" t="s">
        <v>3250</v>
      </c>
      <c r="AJ1123" t="s">
        <v>3250</v>
      </c>
      <c r="AL1123">
        <v>147</v>
      </c>
      <c r="AM1123" t="s">
        <v>6</v>
      </c>
      <c r="AN1123">
        <v>147</v>
      </c>
      <c r="AO1123" t="s">
        <v>6</v>
      </c>
      <c r="AS1123" t="s">
        <v>3250</v>
      </c>
      <c r="AT1123" t="s">
        <v>3250</v>
      </c>
      <c r="AU1123" t="s">
        <v>3250</v>
      </c>
      <c r="AV1123" t="s">
        <v>3250</v>
      </c>
      <c r="AW1123" t="s">
        <v>3250</v>
      </c>
      <c r="AX1123" t="s">
        <v>3250</v>
      </c>
      <c r="AY1123" t="s">
        <v>3250</v>
      </c>
      <c r="AZ1123" t="s">
        <v>3250</v>
      </c>
      <c r="BA1123" t="s">
        <v>3250</v>
      </c>
      <c r="BB1123" t="s">
        <v>3250</v>
      </c>
      <c r="BC1123" t="s">
        <v>3250</v>
      </c>
      <c r="BE1123" t="s">
        <v>3250</v>
      </c>
      <c r="BF1123" t="s">
        <v>3250</v>
      </c>
      <c r="BG1123" t="s">
        <v>3250</v>
      </c>
      <c r="BH1123" t="s">
        <v>3250</v>
      </c>
      <c r="BI1123" t="s">
        <v>3250</v>
      </c>
      <c r="BK1123" t="s">
        <v>3250</v>
      </c>
      <c r="BL1123" t="s">
        <v>3250</v>
      </c>
      <c r="BM1123" t="s">
        <v>3250</v>
      </c>
      <c r="BN1123" t="s">
        <v>3250</v>
      </c>
      <c r="BP1123">
        <v>1</v>
      </c>
      <c r="BQ1123">
        <v>11</v>
      </c>
      <c r="BR1123" t="s">
        <v>1574</v>
      </c>
      <c r="BS1123" t="s">
        <v>3252</v>
      </c>
      <c r="BV1123">
        <v>0</v>
      </c>
      <c r="BW1123">
        <v>0</v>
      </c>
      <c r="BX1123">
        <v>0</v>
      </c>
      <c r="BY1123">
        <v>0</v>
      </c>
      <c r="BZ1123">
        <v>0</v>
      </c>
      <c r="CA1123">
        <v>0</v>
      </c>
      <c r="CB1123">
        <v>0</v>
      </c>
      <c r="CC1123">
        <v>0</v>
      </c>
      <c r="CD1123">
        <v>0</v>
      </c>
      <c r="CE1123" t="s">
        <v>3108</v>
      </c>
      <c r="CF1123" t="s">
        <v>3108</v>
      </c>
      <c r="CG1123" t="s">
        <v>3108</v>
      </c>
      <c r="CH1123" t="s">
        <v>3108</v>
      </c>
    </row>
    <row r="1124" spans="1:86" x14ac:dyDescent="0.2">
      <c r="A1124" t="s">
        <v>4941</v>
      </c>
      <c r="B1124" t="s">
        <v>4941</v>
      </c>
      <c r="C1124">
        <v>41601</v>
      </c>
      <c r="D1124">
        <v>870</v>
      </c>
      <c r="E1124" t="s">
        <v>3760</v>
      </c>
      <c r="F1124" t="s">
        <v>3249</v>
      </c>
      <c r="G1124" t="s">
        <v>3249</v>
      </c>
      <c r="H1124" t="s">
        <v>3250</v>
      </c>
      <c r="I1124" t="s">
        <v>3250</v>
      </c>
      <c r="J1124" t="s">
        <v>3250</v>
      </c>
      <c r="K1124" t="s">
        <v>3250</v>
      </c>
      <c r="L1124">
        <v>1200</v>
      </c>
      <c r="M1124" t="s">
        <v>2368</v>
      </c>
      <c r="N1124">
        <v>1204</v>
      </c>
      <c r="O1124" t="s">
        <v>1574</v>
      </c>
      <c r="P1124" t="s">
        <v>3108</v>
      </c>
      <c r="Q1124" t="s">
        <v>3249</v>
      </c>
      <c r="R1124" t="s">
        <v>3249</v>
      </c>
      <c r="S1124" t="s">
        <v>472</v>
      </c>
      <c r="T1124" t="s">
        <v>3251</v>
      </c>
      <c r="U1124">
        <v>140</v>
      </c>
      <c r="V1124" t="s">
        <v>1327</v>
      </c>
      <c r="W1124">
        <v>140</v>
      </c>
      <c r="X1124" t="s">
        <v>1327</v>
      </c>
      <c r="Y1124" t="s">
        <v>3250</v>
      </c>
      <c r="Z1124" t="s">
        <v>3250</v>
      </c>
      <c r="AA1124" t="s">
        <v>3108</v>
      </c>
      <c r="AB1124" t="s">
        <v>3108</v>
      </c>
      <c r="AC1124" t="s">
        <v>3250</v>
      </c>
      <c r="AD1124" t="s">
        <v>3250</v>
      </c>
      <c r="AE1124" t="s">
        <v>3250</v>
      </c>
      <c r="AF1124" t="s">
        <v>3250</v>
      </c>
      <c r="AG1124" t="s">
        <v>3250</v>
      </c>
      <c r="AH1124" t="s">
        <v>3250</v>
      </c>
      <c r="AI1124" t="s">
        <v>3250</v>
      </c>
      <c r="AJ1124" t="s">
        <v>3250</v>
      </c>
      <c r="AL1124">
        <v>146</v>
      </c>
      <c r="AM1124" t="s">
        <v>5</v>
      </c>
      <c r="AN1124">
        <v>146</v>
      </c>
      <c r="AO1124" t="s">
        <v>5</v>
      </c>
      <c r="AS1124" t="s">
        <v>3250</v>
      </c>
      <c r="AT1124" t="s">
        <v>3250</v>
      </c>
      <c r="AU1124" t="s">
        <v>3250</v>
      </c>
      <c r="AV1124" t="s">
        <v>3250</v>
      </c>
      <c r="AW1124" t="s">
        <v>3250</v>
      </c>
      <c r="AX1124" t="s">
        <v>3250</v>
      </c>
      <c r="AY1124" t="s">
        <v>3250</v>
      </c>
      <c r="AZ1124" t="s">
        <v>3250</v>
      </c>
      <c r="BA1124" t="s">
        <v>3250</v>
      </c>
      <c r="BB1124" t="s">
        <v>3250</v>
      </c>
      <c r="BC1124" t="s">
        <v>3250</v>
      </c>
      <c r="BE1124" t="s">
        <v>3250</v>
      </c>
      <c r="BF1124" t="s">
        <v>3250</v>
      </c>
      <c r="BG1124" t="s">
        <v>3250</v>
      </c>
      <c r="BH1124" t="s">
        <v>3250</v>
      </c>
      <c r="BI1124" t="s">
        <v>3250</v>
      </c>
      <c r="BK1124" t="s">
        <v>3250</v>
      </c>
      <c r="BL1124" t="s">
        <v>3250</v>
      </c>
      <c r="BM1124" t="s">
        <v>3250</v>
      </c>
      <c r="BN1124" t="s">
        <v>3250</v>
      </c>
      <c r="BP1124">
        <v>1</v>
      </c>
      <c r="BQ1124">
        <v>11</v>
      </c>
      <c r="BR1124" t="s">
        <v>1574</v>
      </c>
      <c r="BS1124" t="s">
        <v>3252</v>
      </c>
      <c r="BV1124">
        <v>0</v>
      </c>
      <c r="BW1124">
        <v>0</v>
      </c>
      <c r="BX1124">
        <v>0</v>
      </c>
      <c r="BY1124">
        <v>0</v>
      </c>
      <c r="BZ1124">
        <v>0</v>
      </c>
      <c r="CA1124">
        <v>0</v>
      </c>
      <c r="CB1124">
        <v>0</v>
      </c>
      <c r="CC1124">
        <v>0</v>
      </c>
      <c r="CD1124">
        <v>0</v>
      </c>
      <c r="CE1124" t="s">
        <v>3108</v>
      </c>
      <c r="CF1124" t="s">
        <v>3108</v>
      </c>
      <c r="CG1124" t="s">
        <v>3108</v>
      </c>
      <c r="CH1124" t="s">
        <v>3108</v>
      </c>
    </row>
    <row r="1125" spans="1:86" x14ac:dyDescent="0.2">
      <c r="A1125" t="s">
        <v>4942</v>
      </c>
      <c r="B1125" t="s">
        <v>4942</v>
      </c>
      <c r="C1125">
        <v>41602</v>
      </c>
      <c r="D1125">
        <v>871</v>
      </c>
      <c r="E1125" t="s">
        <v>3492</v>
      </c>
      <c r="F1125" t="s">
        <v>3249</v>
      </c>
      <c r="G1125" t="s">
        <v>3249</v>
      </c>
      <c r="H1125" t="s">
        <v>3250</v>
      </c>
      <c r="I1125" t="s">
        <v>3250</v>
      </c>
      <c r="J1125" t="s">
        <v>3250</v>
      </c>
      <c r="K1125" t="s">
        <v>3250</v>
      </c>
      <c r="L1125">
        <v>1200</v>
      </c>
      <c r="M1125" t="s">
        <v>2368</v>
      </c>
      <c r="N1125">
        <v>1204</v>
      </c>
      <c r="O1125" t="s">
        <v>1574</v>
      </c>
      <c r="P1125" t="s">
        <v>3108</v>
      </c>
      <c r="Q1125" t="s">
        <v>3249</v>
      </c>
      <c r="R1125" t="s">
        <v>3249</v>
      </c>
      <c r="S1125" t="s">
        <v>472</v>
      </c>
      <c r="T1125" t="s">
        <v>3251</v>
      </c>
      <c r="U1125">
        <v>140</v>
      </c>
      <c r="V1125" t="s">
        <v>1327</v>
      </c>
      <c r="W1125">
        <v>140</v>
      </c>
      <c r="X1125" t="s">
        <v>1327</v>
      </c>
      <c r="Y1125" t="s">
        <v>3250</v>
      </c>
      <c r="Z1125" t="s">
        <v>3250</v>
      </c>
      <c r="AA1125" t="s">
        <v>3108</v>
      </c>
      <c r="AB1125" t="s">
        <v>3108</v>
      </c>
      <c r="AC1125" t="s">
        <v>3250</v>
      </c>
      <c r="AD1125" t="s">
        <v>3250</v>
      </c>
      <c r="AE1125" t="s">
        <v>3250</v>
      </c>
      <c r="AF1125" t="s">
        <v>3250</v>
      </c>
      <c r="AG1125" t="s">
        <v>3250</v>
      </c>
      <c r="AH1125" t="s">
        <v>3250</v>
      </c>
      <c r="AI1125" t="s">
        <v>3250</v>
      </c>
      <c r="AJ1125" t="s">
        <v>3250</v>
      </c>
      <c r="AL1125">
        <v>141</v>
      </c>
      <c r="AM1125" t="s">
        <v>1327</v>
      </c>
      <c r="AN1125">
        <v>141</v>
      </c>
      <c r="AO1125" t="s">
        <v>1327</v>
      </c>
      <c r="AS1125" t="s">
        <v>3250</v>
      </c>
      <c r="AT1125" t="s">
        <v>3250</v>
      </c>
      <c r="AU1125" t="s">
        <v>3250</v>
      </c>
      <c r="AV1125" t="s">
        <v>3250</v>
      </c>
      <c r="AW1125" t="s">
        <v>3250</v>
      </c>
      <c r="AX1125" t="s">
        <v>3250</v>
      </c>
      <c r="AY1125" t="s">
        <v>3250</v>
      </c>
      <c r="AZ1125" t="s">
        <v>3250</v>
      </c>
      <c r="BA1125" t="s">
        <v>3250</v>
      </c>
      <c r="BB1125" t="s">
        <v>3250</v>
      </c>
      <c r="BC1125" t="s">
        <v>3250</v>
      </c>
      <c r="BE1125" t="s">
        <v>3250</v>
      </c>
      <c r="BF1125" t="s">
        <v>3250</v>
      </c>
      <c r="BG1125" t="s">
        <v>3250</v>
      </c>
      <c r="BH1125" t="s">
        <v>3250</v>
      </c>
      <c r="BI1125" t="s">
        <v>3250</v>
      </c>
      <c r="BK1125" t="s">
        <v>3250</v>
      </c>
      <c r="BL1125" t="s">
        <v>3250</v>
      </c>
      <c r="BM1125" t="s">
        <v>3250</v>
      </c>
      <c r="BN1125" t="s">
        <v>3250</v>
      </c>
      <c r="BP1125">
        <v>1</v>
      </c>
      <c r="BQ1125">
        <v>11</v>
      </c>
      <c r="BR1125" t="s">
        <v>1574</v>
      </c>
      <c r="BS1125" t="s">
        <v>3252</v>
      </c>
      <c r="BV1125">
        <v>134482</v>
      </c>
      <c r="BW1125">
        <v>134482</v>
      </c>
      <c r="BX1125">
        <v>134482</v>
      </c>
      <c r="BY1125">
        <v>0</v>
      </c>
      <c r="BZ1125">
        <v>0</v>
      </c>
      <c r="CA1125">
        <v>0</v>
      </c>
      <c r="CB1125">
        <v>0</v>
      </c>
      <c r="CC1125">
        <v>0</v>
      </c>
      <c r="CD1125">
        <v>134482</v>
      </c>
      <c r="CE1125" t="s">
        <v>3108</v>
      </c>
      <c r="CF1125" t="s">
        <v>3108</v>
      </c>
      <c r="CG1125" t="s">
        <v>3108</v>
      </c>
      <c r="CH1125" t="s">
        <v>3108</v>
      </c>
    </row>
    <row r="1126" spans="1:86" x14ac:dyDescent="0.2">
      <c r="A1126" t="s">
        <v>4943</v>
      </c>
      <c r="B1126" t="s">
        <v>4943</v>
      </c>
      <c r="C1126">
        <v>41603</v>
      </c>
      <c r="D1126">
        <v>872</v>
      </c>
      <c r="E1126" t="s">
        <v>3762</v>
      </c>
      <c r="F1126" t="s">
        <v>3249</v>
      </c>
      <c r="G1126" t="s">
        <v>3249</v>
      </c>
      <c r="H1126" t="s">
        <v>3250</v>
      </c>
      <c r="I1126" t="s">
        <v>3250</v>
      </c>
      <c r="J1126" t="s">
        <v>3250</v>
      </c>
      <c r="K1126" t="s">
        <v>3250</v>
      </c>
      <c r="L1126">
        <v>1200</v>
      </c>
      <c r="M1126" t="s">
        <v>2368</v>
      </c>
      <c r="N1126">
        <v>1204</v>
      </c>
      <c r="O1126" t="s">
        <v>1574</v>
      </c>
      <c r="P1126" t="s">
        <v>3108</v>
      </c>
      <c r="Q1126" t="s">
        <v>3249</v>
      </c>
      <c r="R1126" t="s">
        <v>3249</v>
      </c>
      <c r="S1126" t="s">
        <v>472</v>
      </c>
      <c r="T1126" t="s">
        <v>3251</v>
      </c>
      <c r="U1126">
        <v>140</v>
      </c>
      <c r="V1126" t="s">
        <v>1327</v>
      </c>
      <c r="W1126">
        <v>140</v>
      </c>
      <c r="X1126" t="s">
        <v>1327</v>
      </c>
      <c r="Y1126" t="s">
        <v>3250</v>
      </c>
      <c r="Z1126" t="s">
        <v>3250</v>
      </c>
      <c r="AA1126" t="s">
        <v>3108</v>
      </c>
      <c r="AB1126" t="s">
        <v>3108</v>
      </c>
      <c r="AC1126" t="s">
        <v>3250</v>
      </c>
      <c r="AD1126" t="s">
        <v>3250</v>
      </c>
      <c r="AE1126" t="s">
        <v>3250</v>
      </c>
      <c r="AF1126" t="s">
        <v>3250</v>
      </c>
      <c r="AG1126" t="s">
        <v>3250</v>
      </c>
      <c r="AH1126" t="s">
        <v>3250</v>
      </c>
      <c r="AI1126" t="s">
        <v>3250</v>
      </c>
      <c r="AJ1126" t="s">
        <v>3250</v>
      </c>
      <c r="AL1126">
        <v>146</v>
      </c>
      <c r="AM1126" t="s">
        <v>5</v>
      </c>
      <c r="AN1126">
        <v>146</v>
      </c>
      <c r="AO1126" t="s">
        <v>5</v>
      </c>
      <c r="AS1126" t="s">
        <v>3250</v>
      </c>
      <c r="AT1126" t="s">
        <v>3250</v>
      </c>
      <c r="AU1126" t="s">
        <v>3250</v>
      </c>
      <c r="AV1126" t="s">
        <v>3250</v>
      </c>
      <c r="AW1126" t="s">
        <v>3250</v>
      </c>
      <c r="AX1126" t="s">
        <v>3250</v>
      </c>
      <c r="AY1126" t="s">
        <v>3250</v>
      </c>
      <c r="AZ1126" t="s">
        <v>3250</v>
      </c>
      <c r="BA1126" t="s">
        <v>3250</v>
      </c>
      <c r="BB1126" t="s">
        <v>3250</v>
      </c>
      <c r="BC1126" t="s">
        <v>3250</v>
      </c>
      <c r="BE1126" t="s">
        <v>3250</v>
      </c>
      <c r="BF1126" t="s">
        <v>3250</v>
      </c>
      <c r="BG1126" t="s">
        <v>3250</v>
      </c>
      <c r="BH1126" t="s">
        <v>3250</v>
      </c>
      <c r="BI1126" t="s">
        <v>3250</v>
      </c>
      <c r="BK1126" t="s">
        <v>3250</v>
      </c>
      <c r="BL1126" t="s">
        <v>3250</v>
      </c>
      <c r="BM1126" t="s">
        <v>3250</v>
      </c>
      <c r="BN1126" t="s">
        <v>3250</v>
      </c>
      <c r="BP1126">
        <v>1</v>
      </c>
      <c r="BQ1126">
        <v>11</v>
      </c>
      <c r="BR1126" t="s">
        <v>1574</v>
      </c>
      <c r="BS1126" t="s">
        <v>3252</v>
      </c>
      <c r="BV1126">
        <v>0</v>
      </c>
      <c r="BW1126">
        <v>0</v>
      </c>
      <c r="BX1126">
        <v>0</v>
      </c>
      <c r="BY1126">
        <v>0</v>
      </c>
      <c r="BZ1126">
        <v>0</v>
      </c>
      <c r="CA1126">
        <v>0</v>
      </c>
      <c r="CB1126">
        <v>0</v>
      </c>
      <c r="CC1126">
        <v>0</v>
      </c>
      <c r="CD1126">
        <v>0</v>
      </c>
      <c r="CE1126" t="s">
        <v>3108</v>
      </c>
      <c r="CF1126" t="s">
        <v>3108</v>
      </c>
      <c r="CG1126" t="s">
        <v>3108</v>
      </c>
      <c r="CH1126" t="s">
        <v>3108</v>
      </c>
    </row>
    <row r="1127" spans="1:86" x14ac:dyDescent="0.2">
      <c r="A1127" t="s">
        <v>4944</v>
      </c>
      <c r="B1127" t="s">
        <v>4944</v>
      </c>
      <c r="C1127">
        <v>41604</v>
      </c>
      <c r="D1127">
        <v>873</v>
      </c>
      <c r="E1127" t="s">
        <v>4945</v>
      </c>
      <c r="F1127" t="s">
        <v>3249</v>
      </c>
      <c r="G1127" t="s">
        <v>3249</v>
      </c>
      <c r="H1127" t="s">
        <v>3250</v>
      </c>
      <c r="I1127" t="s">
        <v>3250</v>
      </c>
      <c r="J1127" t="s">
        <v>3250</v>
      </c>
      <c r="K1127" t="s">
        <v>3250</v>
      </c>
      <c r="L1127">
        <v>1200</v>
      </c>
      <c r="M1127" t="s">
        <v>2368</v>
      </c>
      <c r="N1127">
        <v>1204</v>
      </c>
      <c r="O1127" t="s">
        <v>1574</v>
      </c>
      <c r="P1127" t="s">
        <v>3108</v>
      </c>
      <c r="Q1127" t="s">
        <v>3249</v>
      </c>
      <c r="R1127" t="s">
        <v>3249</v>
      </c>
      <c r="S1127" t="s">
        <v>472</v>
      </c>
      <c r="T1127" t="s">
        <v>3251</v>
      </c>
      <c r="U1127">
        <v>140</v>
      </c>
      <c r="V1127" t="s">
        <v>1327</v>
      </c>
      <c r="W1127">
        <v>140</v>
      </c>
      <c r="X1127" t="s">
        <v>1327</v>
      </c>
      <c r="Y1127" t="s">
        <v>3250</v>
      </c>
      <c r="Z1127" t="s">
        <v>3250</v>
      </c>
      <c r="AA1127" t="s">
        <v>3108</v>
      </c>
      <c r="AB1127" t="s">
        <v>3108</v>
      </c>
      <c r="AC1127" t="s">
        <v>3250</v>
      </c>
      <c r="AD1127" t="s">
        <v>3250</v>
      </c>
      <c r="AE1127" t="s">
        <v>3250</v>
      </c>
      <c r="AF1127" t="s">
        <v>3250</v>
      </c>
      <c r="AG1127" t="s">
        <v>3250</v>
      </c>
      <c r="AH1127" t="s">
        <v>3250</v>
      </c>
      <c r="AI1127" t="s">
        <v>3250</v>
      </c>
      <c r="AJ1127" t="s">
        <v>3250</v>
      </c>
      <c r="AL1127">
        <v>141</v>
      </c>
      <c r="AM1127" t="s">
        <v>1327</v>
      </c>
      <c r="AN1127">
        <v>141</v>
      </c>
      <c r="AO1127" t="s">
        <v>1327</v>
      </c>
      <c r="AS1127" t="s">
        <v>3250</v>
      </c>
      <c r="AT1127" t="s">
        <v>3250</v>
      </c>
      <c r="AU1127" t="s">
        <v>3250</v>
      </c>
      <c r="AV1127" t="s">
        <v>3250</v>
      </c>
      <c r="AW1127" t="s">
        <v>3250</v>
      </c>
      <c r="AX1127" t="s">
        <v>3250</v>
      </c>
      <c r="AY1127" t="s">
        <v>3250</v>
      </c>
      <c r="AZ1127" t="s">
        <v>3250</v>
      </c>
      <c r="BA1127" t="s">
        <v>3250</v>
      </c>
      <c r="BB1127" t="s">
        <v>3250</v>
      </c>
      <c r="BC1127" t="s">
        <v>3250</v>
      </c>
      <c r="BE1127" t="s">
        <v>3250</v>
      </c>
      <c r="BF1127" t="s">
        <v>3250</v>
      </c>
      <c r="BG1127" t="s">
        <v>3250</v>
      </c>
      <c r="BH1127" t="s">
        <v>3250</v>
      </c>
      <c r="BI1127" t="s">
        <v>3250</v>
      </c>
      <c r="BK1127" t="s">
        <v>3250</v>
      </c>
      <c r="BL1127" t="s">
        <v>3250</v>
      </c>
      <c r="BM1127" t="s">
        <v>3250</v>
      </c>
      <c r="BN1127" t="s">
        <v>3250</v>
      </c>
      <c r="BP1127">
        <v>1</v>
      </c>
      <c r="BQ1127">
        <v>11</v>
      </c>
      <c r="BR1127" t="s">
        <v>1574</v>
      </c>
      <c r="BS1127" t="s">
        <v>3252</v>
      </c>
      <c r="BV1127">
        <v>709224</v>
      </c>
      <c r="BW1127">
        <v>709224</v>
      </c>
      <c r="BX1127">
        <v>606817</v>
      </c>
      <c r="BY1127">
        <v>0</v>
      </c>
      <c r="BZ1127">
        <v>0</v>
      </c>
      <c r="CA1127">
        <v>0</v>
      </c>
      <c r="CB1127">
        <v>0</v>
      </c>
      <c r="CC1127">
        <v>0</v>
      </c>
      <c r="CD1127">
        <v>709224</v>
      </c>
      <c r="CE1127" t="s">
        <v>3108</v>
      </c>
      <c r="CF1127" t="s">
        <v>3108</v>
      </c>
      <c r="CG1127" t="s">
        <v>3108</v>
      </c>
      <c r="CH1127" t="s">
        <v>3108</v>
      </c>
    </row>
    <row r="1128" spans="1:86" x14ac:dyDescent="0.2">
      <c r="A1128" t="s">
        <v>4946</v>
      </c>
      <c r="B1128" t="s">
        <v>4946</v>
      </c>
      <c r="C1128">
        <v>41605</v>
      </c>
      <c r="D1128">
        <v>874</v>
      </c>
      <c r="E1128" t="s">
        <v>3744</v>
      </c>
      <c r="F1128" t="s">
        <v>3249</v>
      </c>
      <c r="G1128" t="s">
        <v>3249</v>
      </c>
      <c r="H1128" t="s">
        <v>3250</v>
      </c>
      <c r="I1128" t="s">
        <v>3250</v>
      </c>
      <c r="J1128" t="s">
        <v>3250</v>
      </c>
      <c r="K1128" t="s">
        <v>3250</v>
      </c>
      <c r="L1128">
        <v>1200</v>
      </c>
      <c r="M1128" t="s">
        <v>2368</v>
      </c>
      <c r="N1128">
        <v>1204</v>
      </c>
      <c r="O1128" t="s">
        <v>1574</v>
      </c>
      <c r="P1128" t="s">
        <v>3108</v>
      </c>
      <c r="Q1128" t="s">
        <v>3249</v>
      </c>
      <c r="R1128" t="s">
        <v>3249</v>
      </c>
      <c r="S1128" t="s">
        <v>472</v>
      </c>
      <c r="T1128" t="s">
        <v>3251</v>
      </c>
      <c r="U1128">
        <v>140</v>
      </c>
      <c r="V1128" t="s">
        <v>1327</v>
      </c>
      <c r="W1128">
        <v>140</v>
      </c>
      <c r="X1128" t="s">
        <v>1327</v>
      </c>
      <c r="Y1128" t="s">
        <v>3250</v>
      </c>
      <c r="Z1128" t="s">
        <v>3250</v>
      </c>
      <c r="AA1128" t="s">
        <v>3108</v>
      </c>
      <c r="AB1128" t="s">
        <v>3108</v>
      </c>
      <c r="AC1128" t="s">
        <v>3250</v>
      </c>
      <c r="AD1128" t="s">
        <v>3250</v>
      </c>
      <c r="AE1128" t="s">
        <v>3250</v>
      </c>
      <c r="AF1128" t="s">
        <v>3250</v>
      </c>
      <c r="AG1128" t="s">
        <v>3250</v>
      </c>
      <c r="AH1128" t="s">
        <v>3250</v>
      </c>
      <c r="AI1128" t="s">
        <v>3250</v>
      </c>
      <c r="AJ1128" t="s">
        <v>3250</v>
      </c>
      <c r="AL1128">
        <v>146</v>
      </c>
      <c r="AM1128" t="s">
        <v>5</v>
      </c>
      <c r="AN1128">
        <v>146</v>
      </c>
      <c r="AO1128" t="s">
        <v>5</v>
      </c>
      <c r="AS1128" t="s">
        <v>3250</v>
      </c>
      <c r="AT1128" t="s">
        <v>3250</v>
      </c>
      <c r="AU1128" t="s">
        <v>3250</v>
      </c>
      <c r="AV1128" t="s">
        <v>3250</v>
      </c>
      <c r="AW1128" t="s">
        <v>3250</v>
      </c>
      <c r="AX1128" t="s">
        <v>3250</v>
      </c>
      <c r="AY1128" t="s">
        <v>3250</v>
      </c>
      <c r="AZ1128" t="s">
        <v>3250</v>
      </c>
      <c r="BA1128" t="s">
        <v>3250</v>
      </c>
      <c r="BB1128" t="s">
        <v>3250</v>
      </c>
      <c r="BC1128" t="s">
        <v>3250</v>
      </c>
      <c r="BE1128" t="s">
        <v>3250</v>
      </c>
      <c r="BF1128" t="s">
        <v>3250</v>
      </c>
      <c r="BG1128" t="s">
        <v>3250</v>
      </c>
      <c r="BH1128" t="s">
        <v>3250</v>
      </c>
      <c r="BI1128" t="s">
        <v>3250</v>
      </c>
      <c r="BK1128" t="s">
        <v>3250</v>
      </c>
      <c r="BL1128" t="s">
        <v>3250</v>
      </c>
      <c r="BM1128" t="s">
        <v>3250</v>
      </c>
      <c r="BN1128" t="s">
        <v>3250</v>
      </c>
      <c r="BP1128">
        <v>1</v>
      </c>
      <c r="BQ1128">
        <v>11</v>
      </c>
      <c r="BR1128" t="s">
        <v>1574</v>
      </c>
      <c r="BS1128" t="s">
        <v>3252</v>
      </c>
      <c r="BV1128">
        <v>0</v>
      </c>
      <c r="BW1128">
        <v>0</v>
      </c>
      <c r="BX1128">
        <v>0</v>
      </c>
      <c r="BY1128">
        <v>0</v>
      </c>
      <c r="BZ1128">
        <v>0</v>
      </c>
      <c r="CA1128">
        <v>0</v>
      </c>
      <c r="CB1128">
        <v>0</v>
      </c>
      <c r="CC1128">
        <v>0</v>
      </c>
      <c r="CD1128">
        <v>0</v>
      </c>
      <c r="CE1128" t="s">
        <v>3108</v>
      </c>
      <c r="CF1128" t="s">
        <v>3108</v>
      </c>
      <c r="CG1128" t="s">
        <v>3108</v>
      </c>
      <c r="CH1128" t="s">
        <v>3108</v>
      </c>
    </row>
    <row r="1129" spans="1:86" x14ac:dyDescent="0.2">
      <c r="A1129" t="s">
        <v>4947</v>
      </c>
      <c r="B1129" t="s">
        <v>4947</v>
      </c>
      <c r="C1129">
        <v>41606</v>
      </c>
      <c r="D1129">
        <v>875</v>
      </c>
      <c r="E1129" t="s">
        <v>3494</v>
      </c>
      <c r="F1129" t="s">
        <v>3249</v>
      </c>
      <c r="G1129" t="s">
        <v>3249</v>
      </c>
      <c r="H1129" t="s">
        <v>3250</v>
      </c>
      <c r="I1129" t="s">
        <v>3250</v>
      </c>
      <c r="J1129" t="s">
        <v>3250</v>
      </c>
      <c r="K1129" t="s">
        <v>3250</v>
      </c>
      <c r="L1129">
        <v>1200</v>
      </c>
      <c r="M1129" t="s">
        <v>2368</v>
      </c>
      <c r="N1129">
        <v>1204</v>
      </c>
      <c r="O1129" t="s">
        <v>1574</v>
      </c>
      <c r="P1129" t="s">
        <v>3108</v>
      </c>
      <c r="Q1129" t="s">
        <v>3249</v>
      </c>
      <c r="R1129" t="s">
        <v>3249</v>
      </c>
      <c r="S1129" t="s">
        <v>472</v>
      </c>
      <c r="T1129" t="s">
        <v>3251</v>
      </c>
      <c r="U1129">
        <v>140</v>
      </c>
      <c r="V1129" t="s">
        <v>1327</v>
      </c>
      <c r="W1129">
        <v>140</v>
      </c>
      <c r="X1129" t="s">
        <v>1327</v>
      </c>
      <c r="Y1129" t="s">
        <v>3250</v>
      </c>
      <c r="Z1129" t="s">
        <v>3250</v>
      </c>
      <c r="AA1129" t="s">
        <v>3108</v>
      </c>
      <c r="AB1129" t="s">
        <v>3108</v>
      </c>
      <c r="AC1129" t="s">
        <v>3250</v>
      </c>
      <c r="AD1129" t="s">
        <v>3250</v>
      </c>
      <c r="AE1129" t="s">
        <v>3250</v>
      </c>
      <c r="AF1129" t="s">
        <v>3250</v>
      </c>
      <c r="AG1129" t="s">
        <v>3250</v>
      </c>
      <c r="AH1129" t="s">
        <v>3250</v>
      </c>
      <c r="AI1129" t="s">
        <v>3250</v>
      </c>
      <c r="AJ1129" t="s">
        <v>3250</v>
      </c>
      <c r="AL1129">
        <v>141</v>
      </c>
      <c r="AM1129" t="s">
        <v>1327</v>
      </c>
      <c r="AN1129">
        <v>141</v>
      </c>
      <c r="AO1129" t="s">
        <v>1327</v>
      </c>
      <c r="AS1129" t="s">
        <v>3250</v>
      </c>
      <c r="AT1129" t="s">
        <v>3250</v>
      </c>
      <c r="AU1129" t="s">
        <v>3250</v>
      </c>
      <c r="AV1129" t="s">
        <v>3250</v>
      </c>
      <c r="AW1129" t="s">
        <v>3250</v>
      </c>
      <c r="AX1129" t="s">
        <v>3250</v>
      </c>
      <c r="AY1129" t="s">
        <v>3250</v>
      </c>
      <c r="AZ1129" t="s">
        <v>3250</v>
      </c>
      <c r="BA1129" t="s">
        <v>3250</v>
      </c>
      <c r="BB1129" t="s">
        <v>3250</v>
      </c>
      <c r="BC1129" t="s">
        <v>3250</v>
      </c>
      <c r="BE1129" t="s">
        <v>3250</v>
      </c>
      <c r="BF1129" t="s">
        <v>3250</v>
      </c>
      <c r="BG1129" t="s">
        <v>3250</v>
      </c>
      <c r="BH1129" t="s">
        <v>3250</v>
      </c>
      <c r="BI1129" t="s">
        <v>3250</v>
      </c>
      <c r="BK1129" t="s">
        <v>3250</v>
      </c>
      <c r="BL1129" t="s">
        <v>3250</v>
      </c>
      <c r="BM1129" t="s">
        <v>3250</v>
      </c>
      <c r="BN1129" t="s">
        <v>3250</v>
      </c>
      <c r="BP1129">
        <v>1</v>
      </c>
      <c r="BQ1129">
        <v>11</v>
      </c>
      <c r="BR1129" t="s">
        <v>1574</v>
      </c>
      <c r="BS1129" t="s">
        <v>3252</v>
      </c>
      <c r="BV1129">
        <v>0</v>
      </c>
      <c r="BW1129">
        <v>0</v>
      </c>
      <c r="BX1129">
        <v>0</v>
      </c>
      <c r="BY1129">
        <v>0</v>
      </c>
      <c r="BZ1129">
        <v>0</v>
      </c>
      <c r="CA1129">
        <v>0</v>
      </c>
      <c r="CB1129">
        <v>0</v>
      </c>
      <c r="CC1129">
        <v>0</v>
      </c>
      <c r="CD1129">
        <v>0</v>
      </c>
      <c r="CE1129" t="s">
        <v>3108</v>
      </c>
      <c r="CF1129" t="s">
        <v>3108</v>
      </c>
      <c r="CG1129" t="s">
        <v>3108</v>
      </c>
      <c r="CH1129" t="s">
        <v>3108</v>
      </c>
    </row>
    <row r="1130" spans="1:86" x14ac:dyDescent="0.2">
      <c r="A1130" t="s">
        <v>4948</v>
      </c>
      <c r="B1130" t="s">
        <v>4948</v>
      </c>
      <c r="C1130">
        <v>41607</v>
      </c>
      <c r="D1130">
        <v>876</v>
      </c>
      <c r="E1130" t="s">
        <v>3746</v>
      </c>
      <c r="F1130" t="s">
        <v>3249</v>
      </c>
      <c r="G1130" t="s">
        <v>3249</v>
      </c>
      <c r="H1130" t="s">
        <v>3250</v>
      </c>
      <c r="I1130" t="s">
        <v>3250</v>
      </c>
      <c r="J1130" t="s">
        <v>3250</v>
      </c>
      <c r="K1130" t="s">
        <v>3250</v>
      </c>
      <c r="L1130">
        <v>1200</v>
      </c>
      <c r="M1130" t="s">
        <v>2368</v>
      </c>
      <c r="N1130">
        <v>1204</v>
      </c>
      <c r="O1130" t="s">
        <v>1574</v>
      </c>
      <c r="P1130" t="s">
        <v>3108</v>
      </c>
      <c r="Q1130" t="s">
        <v>3249</v>
      </c>
      <c r="R1130" t="s">
        <v>3249</v>
      </c>
      <c r="S1130" t="s">
        <v>472</v>
      </c>
      <c r="T1130" t="s">
        <v>3251</v>
      </c>
      <c r="U1130">
        <v>140</v>
      </c>
      <c r="V1130" t="s">
        <v>1327</v>
      </c>
      <c r="W1130">
        <v>140</v>
      </c>
      <c r="X1130" t="s">
        <v>1327</v>
      </c>
      <c r="Y1130" t="s">
        <v>3250</v>
      </c>
      <c r="Z1130" t="s">
        <v>3250</v>
      </c>
      <c r="AA1130" t="s">
        <v>3108</v>
      </c>
      <c r="AB1130" t="s">
        <v>3108</v>
      </c>
      <c r="AC1130" t="s">
        <v>3250</v>
      </c>
      <c r="AD1130" t="s">
        <v>3250</v>
      </c>
      <c r="AE1130" t="s">
        <v>3250</v>
      </c>
      <c r="AF1130" t="s">
        <v>3250</v>
      </c>
      <c r="AG1130" t="s">
        <v>3250</v>
      </c>
      <c r="AH1130" t="s">
        <v>3250</v>
      </c>
      <c r="AI1130" t="s">
        <v>3250</v>
      </c>
      <c r="AJ1130" t="s">
        <v>3250</v>
      </c>
      <c r="AL1130">
        <v>146</v>
      </c>
      <c r="AM1130" t="s">
        <v>5</v>
      </c>
      <c r="AN1130">
        <v>146</v>
      </c>
      <c r="AO1130" t="s">
        <v>5</v>
      </c>
      <c r="AS1130" t="s">
        <v>3250</v>
      </c>
      <c r="AT1130" t="s">
        <v>3250</v>
      </c>
      <c r="AU1130" t="s">
        <v>3250</v>
      </c>
      <c r="AV1130" t="s">
        <v>3250</v>
      </c>
      <c r="AW1130" t="s">
        <v>3250</v>
      </c>
      <c r="AX1130" t="s">
        <v>3250</v>
      </c>
      <c r="AY1130" t="s">
        <v>3250</v>
      </c>
      <c r="AZ1130" t="s">
        <v>3250</v>
      </c>
      <c r="BA1130" t="s">
        <v>3250</v>
      </c>
      <c r="BB1130" t="s">
        <v>3250</v>
      </c>
      <c r="BC1130" t="s">
        <v>3250</v>
      </c>
      <c r="BE1130" t="s">
        <v>3250</v>
      </c>
      <c r="BF1130" t="s">
        <v>3250</v>
      </c>
      <c r="BG1130" t="s">
        <v>3250</v>
      </c>
      <c r="BH1130" t="s">
        <v>3250</v>
      </c>
      <c r="BI1130" t="s">
        <v>3250</v>
      </c>
      <c r="BK1130" t="s">
        <v>3250</v>
      </c>
      <c r="BL1130" t="s">
        <v>3250</v>
      </c>
      <c r="BM1130" t="s">
        <v>3250</v>
      </c>
      <c r="BN1130" t="s">
        <v>3250</v>
      </c>
      <c r="BP1130">
        <v>1</v>
      </c>
      <c r="BQ1130">
        <v>11</v>
      </c>
      <c r="BR1130" t="s">
        <v>1574</v>
      </c>
      <c r="BS1130" t="s">
        <v>3252</v>
      </c>
      <c r="BV1130">
        <v>0</v>
      </c>
      <c r="BW1130">
        <v>0</v>
      </c>
      <c r="BX1130">
        <v>0</v>
      </c>
      <c r="BY1130">
        <v>0</v>
      </c>
      <c r="BZ1130">
        <v>0</v>
      </c>
      <c r="CA1130">
        <v>0</v>
      </c>
      <c r="CB1130">
        <v>0</v>
      </c>
      <c r="CC1130">
        <v>0</v>
      </c>
      <c r="CD1130">
        <v>0</v>
      </c>
      <c r="CE1130" t="s">
        <v>3108</v>
      </c>
      <c r="CF1130" t="s">
        <v>3108</v>
      </c>
      <c r="CG1130" t="s">
        <v>3108</v>
      </c>
      <c r="CH1130" t="s">
        <v>3108</v>
      </c>
    </row>
    <row r="1131" spans="1:86" x14ac:dyDescent="0.2">
      <c r="A1131" t="s">
        <v>4949</v>
      </c>
      <c r="B1131" t="s">
        <v>4949</v>
      </c>
      <c r="C1131">
        <v>41608</v>
      </c>
      <c r="D1131">
        <v>877</v>
      </c>
      <c r="E1131" t="s">
        <v>4950</v>
      </c>
      <c r="F1131" t="s">
        <v>3249</v>
      </c>
      <c r="G1131" t="s">
        <v>3249</v>
      </c>
      <c r="H1131" t="s">
        <v>3250</v>
      </c>
      <c r="I1131" t="s">
        <v>3250</v>
      </c>
      <c r="J1131" t="s">
        <v>3250</v>
      </c>
      <c r="K1131" t="s">
        <v>3250</v>
      </c>
      <c r="L1131">
        <v>1200</v>
      </c>
      <c r="M1131" t="s">
        <v>2368</v>
      </c>
      <c r="N1131">
        <v>1204</v>
      </c>
      <c r="O1131" t="s">
        <v>1574</v>
      </c>
      <c r="P1131" t="s">
        <v>3108</v>
      </c>
      <c r="Q1131" t="s">
        <v>3249</v>
      </c>
      <c r="R1131" t="s">
        <v>3249</v>
      </c>
      <c r="S1131" t="s">
        <v>472</v>
      </c>
      <c r="T1131" t="s">
        <v>3251</v>
      </c>
      <c r="U1131">
        <v>140</v>
      </c>
      <c r="V1131" t="s">
        <v>1327</v>
      </c>
      <c r="W1131">
        <v>140</v>
      </c>
      <c r="X1131" t="s">
        <v>1327</v>
      </c>
      <c r="Y1131" t="s">
        <v>3250</v>
      </c>
      <c r="Z1131" t="s">
        <v>3250</v>
      </c>
      <c r="AA1131" t="s">
        <v>3108</v>
      </c>
      <c r="AB1131" t="s">
        <v>3108</v>
      </c>
      <c r="AC1131" t="s">
        <v>3250</v>
      </c>
      <c r="AD1131" t="s">
        <v>3250</v>
      </c>
      <c r="AE1131" t="s">
        <v>3250</v>
      </c>
      <c r="AF1131" t="s">
        <v>3250</v>
      </c>
      <c r="AG1131" t="s">
        <v>3250</v>
      </c>
      <c r="AH1131" t="s">
        <v>3250</v>
      </c>
      <c r="AI1131" t="s">
        <v>3250</v>
      </c>
      <c r="AJ1131" t="s">
        <v>3250</v>
      </c>
      <c r="AL1131">
        <v>141</v>
      </c>
      <c r="AM1131" t="s">
        <v>1327</v>
      </c>
      <c r="AN1131">
        <v>141</v>
      </c>
      <c r="AO1131" t="s">
        <v>1327</v>
      </c>
      <c r="AS1131" t="s">
        <v>3250</v>
      </c>
      <c r="AT1131" t="s">
        <v>3250</v>
      </c>
      <c r="AU1131" t="s">
        <v>3250</v>
      </c>
      <c r="AV1131" t="s">
        <v>3250</v>
      </c>
      <c r="AW1131" t="s">
        <v>3250</v>
      </c>
      <c r="AX1131" t="s">
        <v>3250</v>
      </c>
      <c r="AY1131" t="s">
        <v>3250</v>
      </c>
      <c r="AZ1131" t="s">
        <v>3250</v>
      </c>
      <c r="BA1131" t="s">
        <v>3250</v>
      </c>
      <c r="BB1131" t="s">
        <v>3250</v>
      </c>
      <c r="BC1131" t="s">
        <v>3250</v>
      </c>
      <c r="BE1131" t="s">
        <v>3250</v>
      </c>
      <c r="BF1131" t="s">
        <v>3250</v>
      </c>
      <c r="BG1131" t="s">
        <v>3250</v>
      </c>
      <c r="BH1131" t="s">
        <v>3250</v>
      </c>
      <c r="BI1131" t="s">
        <v>3250</v>
      </c>
      <c r="BK1131" t="s">
        <v>3250</v>
      </c>
      <c r="BL1131" t="s">
        <v>3250</v>
      </c>
      <c r="BM1131" t="s">
        <v>3250</v>
      </c>
      <c r="BN1131" t="s">
        <v>3250</v>
      </c>
      <c r="BP1131">
        <v>1</v>
      </c>
      <c r="BQ1131">
        <v>11</v>
      </c>
      <c r="BR1131" t="s">
        <v>1574</v>
      </c>
      <c r="BS1131" t="s">
        <v>3252</v>
      </c>
      <c r="BV1131">
        <v>0</v>
      </c>
      <c r="BW1131">
        <v>0</v>
      </c>
      <c r="BX1131">
        <v>0</v>
      </c>
      <c r="BY1131">
        <v>0</v>
      </c>
      <c r="BZ1131">
        <v>0</v>
      </c>
      <c r="CA1131">
        <v>0</v>
      </c>
      <c r="CB1131">
        <v>0</v>
      </c>
      <c r="CC1131">
        <v>0</v>
      </c>
      <c r="CD1131">
        <v>0</v>
      </c>
      <c r="CE1131" t="s">
        <v>3108</v>
      </c>
      <c r="CF1131" t="s">
        <v>3108</v>
      </c>
      <c r="CG1131" t="s">
        <v>3108</v>
      </c>
      <c r="CH1131" t="s">
        <v>3108</v>
      </c>
    </row>
    <row r="1132" spans="1:86" x14ac:dyDescent="0.2">
      <c r="A1132" t="s">
        <v>4951</v>
      </c>
      <c r="B1132" t="s">
        <v>4951</v>
      </c>
      <c r="C1132">
        <v>41609</v>
      </c>
      <c r="D1132">
        <v>878</v>
      </c>
      <c r="E1132" t="s">
        <v>3698</v>
      </c>
      <c r="F1132" t="s">
        <v>3249</v>
      </c>
      <c r="G1132" t="s">
        <v>3249</v>
      </c>
      <c r="H1132" t="s">
        <v>3250</v>
      </c>
      <c r="I1132" t="s">
        <v>3250</v>
      </c>
      <c r="J1132" t="s">
        <v>3250</v>
      </c>
      <c r="K1132" t="s">
        <v>3250</v>
      </c>
      <c r="L1132">
        <v>1200</v>
      </c>
      <c r="M1132" t="s">
        <v>2368</v>
      </c>
      <c r="N1132">
        <v>1204</v>
      </c>
      <c r="O1132" t="s">
        <v>1574</v>
      </c>
      <c r="P1132" t="s">
        <v>3108</v>
      </c>
      <c r="Q1132" t="s">
        <v>3249</v>
      </c>
      <c r="R1132" t="s">
        <v>3249</v>
      </c>
      <c r="S1132" t="s">
        <v>472</v>
      </c>
      <c r="T1132" t="s">
        <v>3251</v>
      </c>
      <c r="U1132">
        <v>140</v>
      </c>
      <c r="V1132" t="s">
        <v>1327</v>
      </c>
      <c r="W1132">
        <v>140</v>
      </c>
      <c r="X1132" t="s">
        <v>1327</v>
      </c>
      <c r="Y1132" t="s">
        <v>3250</v>
      </c>
      <c r="Z1132" t="s">
        <v>3250</v>
      </c>
      <c r="AA1132" t="s">
        <v>3108</v>
      </c>
      <c r="AB1132" t="s">
        <v>3108</v>
      </c>
      <c r="AC1132" t="s">
        <v>3250</v>
      </c>
      <c r="AD1132" t="s">
        <v>3250</v>
      </c>
      <c r="AE1132" t="s">
        <v>3250</v>
      </c>
      <c r="AF1132" t="s">
        <v>3250</v>
      </c>
      <c r="AG1132" t="s">
        <v>3250</v>
      </c>
      <c r="AH1132" t="s">
        <v>3250</v>
      </c>
      <c r="AI1132" t="s">
        <v>3250</v>
      </c>
      <c r="AJ1132" t="s">
        <v>3250</v>
      </c>
      <c r="AL1132">
        <v>146</v>
      </c>
      <c r="AM1132" t="s">
        <v>5</v>
      </c>
      <c r="AN1132">
        <v>146</v>
      </c>
      <c r="AO1132" t="s">
        <v>5</v>
      </c>
      <c r="AS1132" t="s">
        <v>3250</v>
      </c>
      <c r="AT1132" t="s">
        <v>3250</v>
      </c>
      <c r="AU1132" t="s">
        <v>3250</v>
      </c>
      <c r="AV1132" t="s">
        <v>3250</v>
      </c>
      <c r="AW1132" t="s">
        <v>3250</v>
      </c>
      <c r="AX1132" t="s">
        <v>3250</v>
      </c>
      <c r="AY1132" t="s">
        <v>3250</v>
      </c>
      <c r="AZ1132" t="s">
        <v>3250</v>
      </c>
      <c r="BA1132" t="s">
        <v>3250</v>
      </c>
      <c r="BB1132" t="s">
        <v>3250</v>
      </c>
      <c r="BC1132" t="s">
        <v>3250</v>
      </c>
      <c r="BE1132" t="s">
        <v>3250</v>
      </c>
      <c r="BF1132" t="s">
        <v>3250</v>
      </c>
      <c r="BG1132" t="s">
        <v>3250</v>
      </c>
      <c r="BH1132" t="s">
        <v>3250</v>
      </c>
      <c r="BI1132" t="s">
        <v>3250</v>
      </c>
      <c r="BK1132" t="s">
        <v>3250</v>
      </c>
      <c r="BL1132" t="s">
        <v>3250</v>
      </c>
      <c r="BM1132" t="s">
        <v>3250</v>
      </c>
      <c r="BN1132" t="s">
        <v>3250</v>
      </c>
      <c r="BP1132">
        <v>1</v>
      </c>
      <c r="BQ1132">
        <v>11</v>
      </c>
      <c r="BR1132" t="s">
        <v>1574</v>
      </c>
      <c r="BS1132" t="s">
        <v>3252</v>
      </c>
      <c r="BV1132">
        <v>0</v>
      </c>
      <c r="BW1132">
        <v>0</v>
      </c>
      <c r="BX1132">
        <v>0</v>
      </c>
      <c r="BY1132">
        <v>0</v>
      </c>
      <c r="BZ1132">
        <v>0</v>
      </c>
      <c r="CA1132">
        <v>0</v>
      </c>
      <c r="CB1132">
        <v>0</v>
      </c>
      <c r="CC1132">
        <v>0</v>
      </c>
      <c r="CD1132">
        <v>0</v>
      </c>
      <c r="CE1132" t="s">
        <v>3108</v>
      </c>
      <c r="CF1132" t="s">
        <v>3108</v>
      </c>
      <c r="CG1132" t="s">
        <v>3108</v>
      </c>
      <c r="CH1132" t="s">
        <v>3108</v>
      </c>
    </row>
    <row r="1133" spans="1:86" x14ac:dyDescent="0.2">
      <c r="A1133" t="s">
        <v>4952</v>
      </c>
      <c r="B1133" t="s">
        <v>4952</v>
      </c>
      <c r="C1133">
        <v>41610</v>
      </c>
      <c r="D1133">
        <v>879</v>
      </c>
      <c r="E1133" t="s">
        <v>4953</v>
      </c>
      <c r="F1133" t="s">
        <v>3249</v>
      </c>
      <c r="G1133" t="s">
        <v>3249</v>
      </c>
      <c r="H1133" t="s">
        <v>3250</v>
      </c>
      <c r="I1133" t="s">
        <v>3250</v>
      </c>
      <c r="J1133" t="s">
        <v>3250</v>
      </c>
      <c r="K1133" t="s">
        <v>3250</v>
      </c>
      <c r="L1133">
        <v>1200</v>
      </c>
      <c r="M1133" t="s">
        <v>2368</v>
      </c>
      <c r="N1133">
        <v>1204</v>
      </c>
      <c r="O1133" t="s">
        <v>1574</v>
      </c>
      <c r="P1133" t="s">
        <v>3108</v>
      </c>
      <c r="Q1133" t="s">
        <v>3249</v>
      </c>
      <c r="R1133" t="s">
        <v>3249</v>
      </c>
      <c r="S1133" t="s">
        <v>472</v>
      </c>
      <c r="T1133" t="s">
        <v>3251</v>
      </c>
      <c r="U1133">
        <v>140</v>
      </c>
      <c r="V1133" t="s">
        <v>1327</v>
      </c>
      <c r="W1133">
        <v>140</v>
      </c>
      <c r="X1133" t="s">
        <v>1327</v>
      </c>
      <c r="Y1133" t="s">
        <v>3250</v>
      </c>
      <c r="Z1133" t="s">
        <v>3250</v>
      </c>
      <c r="AA1133" t="s">
        <v>3108</v>
      </c>
      <c r="AB1133" t="s">
        <v>3108</v>
      </c>
      <c r="AC1133" t="s">
        <v>3250</v>
      </c>
      <c r="AD1133" t="s">
        <v>3250</v>
      </c>
      <c r="AE1133" t="s">
        <v>3250</v>
      </c>
      <c r="AF1133" t="s">
        <v>3250</v>
      </c>
      <c r="AG1133" t="s">
        <v>3250</v>
      </c>
      <c r="AH1133" t="s">
        <v>3250</v>
      </c>
      <c r="AI1133" t="s">
        <v>3250</v>
      </c>
      <c r="AJ1133" t="s">
        <v>3250</v>
      </c>
      <c r="AL1133">
        <v>141</v>
      </c>
      <c r="AM1133" t="s">
        <v>1327</v>
      </c>
      <c r="AN1133">
        <v>141</v>
      </c>
      <c r="AO1133" t="s">
        <v>1327</v>
      </c>
      <c r="AS1133" t="s">
        <v>3250</v>
      </c>
      <c r="AT1133" t="s">
        <v>3250</v>
      </c>
      <c r="AU1133" t="s">
        <v>3250</v>
      </c>
      <c r="AV1133" t="s">
        <v>3250</v>
      </c>
      <c r="AW1133" t="s">
        <v>3250</v>
      </c>
      <c r="AX1133" t="s">
        <v>3250</v>
      </c>
      <c r="AY1133" t="s">
        <v>3250</v>
      </c>
      <c r="AZ1133" t="s">
        <v>3250</v>
      </c>
      <c r="BA1133" t="s">
        <v>3250</v>
      </c>
      <c r="BB1133" t="s">
        <v>3250</v>
      </c>
      <c r="BC1133" t="s">
        <v>3250</v>
      </c>
      <c r="BE1133" t="s">
        <v>3250</v>
      </c>
      <c r="BF1133" t="s">
        <v>3250</v>
      </c>
      <c r="BG1133" t="s">
        <v>3250</v>
      </c>
      <c r="BH1133" t="s">
        <v>3250</v>
      </c>
      <c r="BI1133" t="s">
        <v>3250</v>
      </c>
      <c r="BK1133" t="s">
        <v>3250</v>
      </c>
      <c r="BL1133" t="s">
        <v>3250</v>
      </c>
      <c r="BM1133" t="s">
        <v>3250</v>
      </c>
      <c r="BN1133" t="s">
        <v>3250</v>
      </c>
      <c r="BP1133">
        <v>1</v>
      </c>
      <c r="BQ1133">
        <v>11</v>
      </c>
      <c r="BR1133" t="s">
        <v>1574</v>
      </c>
      <c r="BS1133" t="s">
        <v>3252</v>
      </c>
      <c r="BV1133">
        <v>-75612</v>
      </c>
      <c r="BW1133">
        <v>-73643</v>
      </c>
      <c r="BX1133">
        <v>-38552</v>
      </c>
      <c r="BY1133">
        <v>0</v>
      </c>
      <c r="BZ1133">
        <v>0</v>
      </c>
      <c r="CA1133">
        <v>0</v>
      </c>
      <c r="CB1133">
        <v>0</v>
      </c>
      <c r="CC1133">
        <v>0</v>
      </c>
      <c r="CD1133">
        <v>-75612</v>
      </c>
      <c r="CE1133" t="s">
        <v>3108</v>
      </c>
      <c r="CF1133" t="s">
        <v>3108</v>
      </c>
      <c r="CG1133" t="s">
        <v>3108</v>
      </c>
      <c r="CH1133" t="s">
        <v>3108</v>
      </c>
    </row>
    <row r="1134" spans="1:86" x14ac:dyDescent="0.2">
      <c r="A1134" t="s">
        <v>4954</v>
      </c>
      <c r="B1134" t="s">
        <v>4954</v>
      </c>
      <c r="C1134">
        <v>41611</v>
      </c>
      <c r="D1134">
        <v>880</v>
      </c>
      <c r="E1134" t="s">
        <v>3700</v>
      </c>
      <c r="F1134" t="s">
        <v>3249</v>
      </c>
      <c r="G1134" t="s">
        <v>3249</v>
      </c>
      <c r="H1134" t="s">
        <v>3250</v>
      </c>
      <c r="I1134" t="s">
        <v>3250</v>
      </c>
      <c r="J1134" t="s">
        <v>3250</v>
      </c>
      <c r="K1134" t="s">
        <v>3250</v>
      </c>
      <c r="L1134">
        <v>1200</v>
      </c>
      <c r="M1134" t="s">
        <v>2368</v>
      </c>
      <c r="N1134">
        <v>1204</v>
      </c>
      <c r="O1134" t="s">
        <v>1574</v>
      </c>
      <c r="P1134" t="s">
        <v>3108</v>
      </c>
      <c r="Q1134" t="s">
        <v>3249</v>
      </c>
      <c r="R1134" t="s">
        <v>3249</v>
      </c>
      <c r="S1134" t="s">
        <v>472</v>
      </c>
      <c r="T1134" t="s">
        <v>3251</v>
      </c>
      <c r="U1134">
        <v>140</v>
      </c>
      <c r="V1134" t="s">
        <v>1327</v>
      </c>
      <c r="W1134">
        <v>140</v>
      </c>
      <c r="X1134" t="s">
        <v>1327</v>
      </c>
      <c r="Y1134" t="s">
        <v>3250</v>
      </c>
      <c r="Z1134" t="s">
        <v>3250</v>
      </c>
      <c r="AA1134" t="s">
        <v>3108</v>
      </c>
      <c r="AB1134" t="s">
        <v>3108</v>
      </c>
      <c r="AC1134" t="s">
        <v>3250</v>
      </c>
      <c r="AD1134" t="s">
        <v>3250</v>
      </c>
      <c r="AE1134" t="s">
        <v>3250</v>
      </c>
      <c r="AF1134" t="s">
        <v>3250</v>
      </c>
      <c r="AG1134" t="s">
        <v>3250</v>
      </c>
      <c r="AH1134" t="s">
        <v>3250</v>
      </c>
      <c r="AI1134" t="s">
        <v>3250</v>
      </c>
      <c r="AJ1134" t="s">
        <v>3250</v>
      </c>
      <c r="AL1134">
        <v>146</v>
      </c>
      <c r="AM1134" t="s">
        <v>5</v>
      </c>
      <c r="AN1134">
        <v>146</v>
      </c>
      <c r="AO1134" t="s">
        <v>5</v>
      </c>
      <c r="AS1134" t="s">
        <v>3250</v>
      </c>
      <c r="AT1134" t="s">
        <v>3250</v>
      </c>
      <c r="AU1134" t="s">
        <v>3250</v>
      </c>
      <c r="AV1134" t="s">
        <v>3250</v>
      </c>
      <c r="AW1134" t="s">
        <v>3250</v>
      </c>
      <c r="AX1134" t="s">
        <v>3250</v>
      </c>
      <c r="AY1134" t="s">
        <v>3250</v>
      </c>
      <c r="AZ1134" t="s">
        <v>3250</v>
      </c>
      <c r="BA1134" t="s">
        <v>3250</v>
      </c>
      <c r="BB1134" t="s">
        <v>3250</v>
      </c>
      <c r="BC1134" t="s">
        <v>3250</v>
      </c>
      <c r="BE1134" t="s">
        <v>3250</v>
      </c>
      <c r="BF1134" t="s">
        <v>3250</v>
      </c>
      <c r="BG1134" t="s">
        <v>3250</v>
      </c>
      <c r="BH1134" t="s">
        <v>3250</v>
      </c>
      <c r="BI1134" t="s">
        <v>3250</v>
      </c>
      <c r="BK1134" t="s">
        <v>3250</v>
      </c>
      <c r="BL1134" t="s">
        <v>3250</v>
      </c>
      <c r="BM1134" t="s">
        <v>3250</v>
      </c>
      <c r="BN1134" t="s">
        <v>3250</v>
      </c>
      <c r="BP1134">
        <v>1</v>
      </c>
      <c r="BQ1134">
        <v>11</v>
      </c>
      <c r="BR1134" t="s">
        <v>1574</v>
      </c>
      <c r="BS1134" t="s">
        <v>3252</v>
      </c>
      <c r="BV1134">
        <v>0</v>
      </c>
      <c r="BW1134">
        <v>0</v>
      </c>
      <c r="BX1134">
        <v>0</v>
      </c>
      <c r="BY1134">
        <v>0</v>
      </c>
      <c r="BZ1134">
        <v>0</v>
      </c>
      <c r="CA1134">
        <v>0</v>
      </c>
      <c r="CB1134">
        <v>0</v>
      </c>
      <c r="CC1134">
        <v>0</v>
      </c>
      <c r="CD1134">
        <v>0</v>
      </c>
      <c r="CE1134" t="s">
        <v>3108</v>
      </c>
      <c r="CF1134" t="s">
        <v>3108</v>
      </c>
      <c r="CG1134" t="s">
        <v>3108</v>
      </c>
      <c r="CH1134" t="s">
        <v>3108</v>
      </c>
    </row>
    <row r="1135" spans="1:86" x14ac:dyDescent="0.2">
      <c r="A1135" t="s">
        <v>4955</v>
      </c>
      <c r="B1135" t="s">
        <v>4955</v>
      </c>
      <c r="C1135">
        <v>41612</v>
      </c>
      <c r="D1135">
        <v>881</v>
      </c>
      <c r="E1135" t="s">
        <v>4956</v>
      </c>
      <c r="F1135" t="s">
        <v>3249</v>
      </c>
      <c r="G1135" t="s">
        <v>3249</v>
      </c>
      <c r="H1135" t="s">
        <v>3250</v>
      </c>
      <c r="I1135" t="s">
        <v>3250</v>
      </c>
      <c r="J1135" t="s">
        <v>3250</v>
      </c>
      <c r="K1135" t="s">
        <v>3250</v>
      </c>
      <c r="L1135">
        <v>1200</v>
      </c>
      <c r="M1135" t="s">
        <v>2368</v>
      </c>
      <c r="N1135">
        <v>1204</v>
      </c>
      <c r="O1135" t="s">
        <v>1574</v>
      </c>
      <c r="P1135" t="s">
        <v>3108</v>
      </c>
      <c r="Q1135" t="s">
        <v>3249</v>
      </c>
      <c r="R1135" t="s">
        <v>3249</v>
      </c>
      <c r="S1135" t="s">
        <v>472</v>
      </c>
      <c r="T1135" t="s">
        <v>3251</v>
      </c>
      <c r="U1135">
        <v>140</v>
      </c>
      <c r="V1135" t="s">
        <v>1327</v>
      </c>
      <c r="W1135">
        <v>140</v>
      </c>
      <c r="X1135" t="s">
        <v>1327</v>
      </c>
      <c r="Y1135" t="s">
        <v>3250</v>
      </c>
      <c r="Z1135" t="s">
        <v>3250</v>
      </c>
      <c r="AA1135" t="s">
        <v>3108</v>
      </c>
      <c r="AB1135" t="s">
        <v>3108</v>
      </c>
      <c r="AC1135" t="s">
        <v>3250</v>
      </c>
      <c r="AD1135" t="s">
        <v>3250</v>
      </c>
      <c r="AE1135" t="s">
        <v>3250</v>
      </c>
      <c r="AF1135" t="s">
        <v>3250</v>
      </c>
      <c r="AG1135" t="s">
        <v>3250</v>
      </c>
      <c r="AH1135" t="s">
        <v>3250</v>
      </c>
      <c r="AI1135" t="s">
        <v>3250</v>
      </c>
      <c r="AJ1135" t="s">
        <v>3250</v>
      </c>
      <c r="AL1135">
        <v>147</v>
      </c>
      <c r="AM1135" t="s">
        <v>6</v>
      </c>
      <c r="AN1135">
        <v>147</v>
      </c>
      <c r="AO1135" t="s">
        <v>6</v>
      </c>
      <c r="AS1135" t="s">
        <v>3250</v>
      </c>
      <c r="AT1135" t="s">
        <v>3250</v>
      </c>
      <c r="AU1135" t="s">
        <v>3250</v>
      </c>
      <c r="AV1135" t="s">
        <v>3250</v>
      </c>
      <c r="AW1135" t="s">
        <v>3250</v>
      </c>
      <c r="AX1135" t="s">
        <v>3250</v>
      </c>
      <c r="AY1135" t="s">
        <v>3250</v>
      </c>
      <c r="AZ1135" t="s">
        <v>3250</v>
      </c>
      <c r="BA1135" t="s">
        <v>3250</v>
      </c>
      <c r="BB1135" t="s">
        <v>3250</v>
      </c>
      <c r="BC1135" t="s">
        <v>3250</v>
      </c>
      <c r="BE1135" t="s">
        <v>3250</v>
      </c>
      <c r="BF1135" t="s">
        <v>3250</v>
      </c>
      <c r="BG1135" t="s">
        <v>3250</v>
      </c>
      <c r="BH1135" t="s">
        <v>3250</v>
      </c>
      <c r="BI1135" t="s">
        <v>3250</v>
      </c>
      <c r="BK1135" t="s">
        <v>3250</v>
      </c>
      <c r="BL1135" t="s">
        <v>3250</v>
      </c>
      <c r="BM1135" t="s">
        <v>3250</v>
      </c>
      <c r="BN1135" t="s">
        <v>3250</v>
      </c>
      <c r="BP1135">
        <v>1</v>
      </c>
      <c r="BQ1135">
        <v>11</v>
      </c>
      <c r="BR1135" t="s">
        <v>1574</v>
      </c>
      <c r="BS1135" t="s">
        <v>3252</v>
      </c>
      <c r="BV1135">
        <v>0</v>
      </c>
      <c r="BW1135">
        <v>0</v>
      </c>
      <c r="BX1135">
        <v>0</v>
      </c>
      <c r="BY1135">
        <v>0</v>
      </c>
      <c r="BZ1135">
        <v>0</v>
      </c>
      <c r="CA1135">
        <v>0</v>
      </c>
      <c r="CB1135">
        <v>0</v>
      </c>
      <c r="CC1135">
        <v>0</v>
      </c>
      <c r="CD1135">
        <v>0</v>
      </c>
      <c r="CE1135" t="s">
        <v>3108</v>
      </c>
      <c r="CF1135" t="s">
        <v>3108</v>
      </c>
      <c r="CG1135" t="s">
        <v>3108</v>
      </c>
      <c r="CH1135" t="s">
        <v>3108</v>
      </c>
    </row>
    <row r="1136" spans="1:86" x14ac:dyDescent="0.2">
      <c r="A1136" t="s">
        <v>4957</v>
      </c>
      <c r="B1136" t="s">
        <v>4957</v>
      </c>
      <c r="C1136">
        <v>41613</v>
      </c>
      <c r="D1136">
        <v>882</v>
      </c>
      <c r="E1136" t="s">
        <v>3686</v>
      </c>
      <c r="F1136" t="s">
        <v>3249</v>
      </c>
      <c r="G1136" t="s">
        <v>3249</v>
      </c>
      <c r="H1136" t="s">
        <v>3250</v>
      </c>
      <c r="I1136" t="s">
        <v>3250</v>
      </c>
      <c r="J1136" t="s">
        <v>3250</v>
      </c>
      <c r="K1136" t="s">
        <v>3250</v>
      </c>
      <c r="L1136">
        <v>1200</v>
      </c>
      <c r="M1136" t="s">
        <v>2368</v>
      </c>
      <c r="N1136">
        <v>1204</v>
      </c>
      <c r="O1136" t="s">
        <v>1574</v>
      </c>
      <c r="P1136" t="s">
        <v>3108</v>
      </c>
      <c r="Q1136" t="s">
        <v>3249</v>
      </c>
      <c r="R1136" t="s">
        <v>3249</v>
      </c>
      <c r="S1136" t="s">
        <v>472</v>
      </c>
      <c r="T1136" t="s">
        <v>3251</v>
      </c>
      <c r="U1136">
        <v>140</v>
      </c>
      <c r="V1136" t="s">
        <v>1327</v>
      </c>
      <c r="W1136">
        <v>140</v>
      </c>
      <c r="X1136" t="s">
        <v>1327</v>
      </c>
      <c r="Y1136" t="s">
        <v>3250</v>
      </c>
      <c r="Z1136" t="s">
        <v>3250</v>
      </c>
      <c r="AA1136" t="s">
        <v>3108</v>
      </c>
      <c r="AB1136" t="s">
        <v>3108</v>
      </c>
      <c r="AC1136" t="s">
        <v>3250</v>
      </c>
      <c r="AD1136" t="s">
        <v>3250</v>
      </c>
      <c r="AE1136" t="s">
        <v>3250</v>
      </c>
      <c r="AF1136" t="s">
        <v>3250</v>
      </c>
      <c r="AG1136" t="s">
        <v>3250</v>
      </c>
      <c r="AH1136" t="s">
        <v>3250</v>
      </c>
      <c r="AI1136" t="s">
        <v>3250</v>
      </c>
      <c r="AJ1136" t="s">
        <v>3250</v>
      </c>
      <c r="AL1136">
        <v>146</v>
      </c>
      <c r="AM1136" t="s">
        <v>5</v>
      </c>
      <c r="AN1136">
        <v>146</v>
      </c>
      <c r="AO1136" t="s">
        <v>5</v>
      </c>
      <c r="AS1136" t="s">
        <v>3250</v>
      </c>
      <c r="AT1136" t="s">
        <v>3250</v>
      </c>
      <c r="AU1136" t="s">
        <v>3250</v>
      </c>
      <c r="AV1136" t="s">
        <v>3250</v>
      </c>
      <c r="AW1136" t="s">
        <v>3250</v>
      </c>
      <c r="AX1136" t="s">
        <v>3250</v>
      </c>
      <c r="AY1136" t="s">
        <v>3250</v>
      </c>
      <c r="AZ1136" t="s">
        <v>3250</v>
      </c>
      <c r="BA1136" t="s">
        <v>3250</v>
      </c>
      <c r="BB1136" t="s">
        <v>3250</v>
      </c>
      <c r="BC1136" t="s">
        <v>3250</v>
      </c>
      <c r="BE1136" t="s">
        <v>3250</v>
      </c>
      <c r="BF1136" t="s">
        <v>3250</v>
      </c>
      <c r="BG1136" t="s">
        <v>3250</v>
      </c>
      <c r="BH1136" t="s">
        <v>3250</v>
      </c>
      <c r="BI1136" t="s">
        <v>3250</v>
      </c>
      <c r="BK1136" t="s">
        <v>3250</v>
      </c>
      <c r="BL1136" t="s">
        <v>3250</v>
      </c>
      <c r="BM1136" t="s">
        <v>3250</v>
      </c>
      <c r="BN1136" t="s">
        <v>3250</v>
      </c>
      <c r="BP1136">
        <v>1</v>
      </c>
      <c r="BQ1136">
        <v>11</v>
      </c>
      <c r="BR1136" t="s">
        <v>1574</v>
      </c>
      <c r="BS1136" t="s">
        <v>3252</v>
      </c>
      <c r="BV1136">
        <v>0</v>
      </c>
      <c r="BW1136">
        <v>0</v>
      </c>
      <c r="BX1136">
        <v>0</v>
      </c>
      <c r="BY1136">
        <v>0</v>
      </c>
      <c r="BZ1136">
        <v>0</v>
      </c>
      <c r="CA1136">
        <v>0</v>
      </c>
      <c r="CB1136">
        <v>0</v>
      </c>
      <c r="CC1136">
        <v>0</v>
      </c>
      <c r="CD1136">
        <v>0</v>
      </c>
      <c r="CE1136" t="s">
        <v>3108</v>
      </c>
      <c r="CF1136" t="s">
        <v>3108</v>
      </c>
      <c r="CG1136" t="s">
        <v>3108</v>
      </c>
      <c r="CH1136" t="s">
        <v>3108</v>
      </c>
    </row>
    <row r="1137" spans="1:86" x14ac:dyDescent="0.2">
      <c r="A1137" t="s">
        <v>4958</v>
      </c>
      <c r="B1137" t="s">
        <v>4958</v>
      </c>
      <c r="C1137">
        <v>41614</v>
      </c>
      <c r="D1137">
        <v>883</v>
      </c>
      <c r="E1137" t="s">
        <v>4959</v>
      </c>
      <c r="F1137" t="s">
        <v>3249</v>
      </c>
      <c r="G1137" t="s">
        <v>3249</v>
      </c>
      <c r="H1137" t="s">
        <v>3250</v>
      </c>
      <c r="I1137" t="s">
        <v>3250</v>
      </c>
      <c r="J1137" t="s">
        <v>3250</v>
      </c>
      <c r="K1137" t="s">
        <v>3250</v>
      </c>
      <c r="L1137">
        <v>1200</v>
      </c>
      <c r="M1137" t="s">
        <v>2368</v>
      </c>
      <c r="N1137">
        <v>1204</v>
      </c>
      <c r="O1137" t="s">
        <v>1574</v>
      </c>
      <c r="P1137" t="s">
        <v>3108</v>
      </c>
      <c r="Q1137" t="s">
        <v>3249</v>
      </c>
      <c r="R1137" t="s">
        <v>3249</v>
      </c>
      <c r="S1137" t="s">
        <v>472</v>
      </c>
      <c r="T1137" t="s">
        <v>3251</v>
      </c>
      <c r="U1137">
        <v>140</v>
      </c>
      <c r="V1137" t="s">
        <v>1327</v>
      </c>
      <c r="W1137">
        <v>140</v>
      </c>
      <c r="X1137" t="s">
        <v>1327</v>
      </c>
      <c r="Y1137" t="s">
        <v>3250</v>
      </c>
      <c r="Z1137" t="s">
        <v>3250</v>
      </c>
      <c r="AA1137" t="s">
        <v>3108</v>
      </c>
      <c r="AB1137" t="s">
        <v>3108</v>
      </c>
      <c r="AC1137" t="s">
        <v>3250</v>
      </c>
      <c r="AD1137" t="s">
        <v>3250</v>
      </c>
      <c r="AE1137" t="s">
        <v>3250</v>
      </c>
      <c r="AF1137" t="s">
        <v>3250</v>
      </c>
      <c r="AG1137" t="s">
        <v>3250</v>
      </c>
      <c r="AH1137" t="s">
        <v>3250</v>
      </c>
      <c r="AI1137" t="s">
        <v>3250</v>
      </c>
      <c r="AJ1137" t="s">
        <v>3250</v>
      </c>
      <c r="AL1137">
        <v>141</v>
      </c>
      <c r="AM1137" t="s">
        <v>1327</v>
      </c>
      <c r="AN1137">
        <v>141</v>
      </c>
      <c r="AO1137" t="s">
        <v>1327</v>
      </c>
      <c r="AS1137" t="s">
        <v>3250</v>
      </c>
      <c r="AT1137" t="s">
        <v>3250</v>
      </c>
      <c r="AU1137" t="s">
        <v>3250</v>
      </c>
      <c r="AV1137" t="s">
        <v>3250</v>
      </c>
      <c r="AW1137" t="s">
        <v>3250</v>
      </c>
      <c r="AX1137" t="s">
        <v>3250</v>
      </c>
      <c r="AY1137" t="s">
        <v>3250</v>
      </c>
      <c r="AZ1137" t="s">
        <v>3250</v>
      </c>
      <c r="BA1137" t="s">
        <v>3250</v>
      </c>
      <c r="BB1137" t="s">
        <v>3250</v>
      </c>
      <c r="BC1137" t="s">
        <v>3250</v>
      </c>
      <c r="BE1137" t="s">
        <v>3250</v>
      </c>
      <c r="BF1137" t="s">
        <v>3250</v>
      </c>
      <c r="BG1137" t="s">
        <v>3250</v>
      </c>
      <c r="BH1137" t="s">
        <v>3250</v>
      </c>
      <c r="BI1137" t="s">
        <v>3250</v>
      </c>
      <c r="BK1137" t="s">
        <v>3250</v>
      </c>
      <c r="BL1137" t="s">
        <v>3250</v>
      </c>
      <c r="BM1137" t="s">
        <v>3250</v>
      </c>
      <c r="BN1137" t="s">
        <v>3250</v>
      </c>
      <c r="BP1137">
        <v>1</v>
      </c>
      <c r="BQ1137">
        <v>11</v>
      </c>
      <c r="BR1137" t="s">
        <v>1574</v>
      </c>
      <c r="BS1137" t="s">
        <v>3252</v>
      </c>
      <c r="BV1137">
        <v>156</v>
      </c>
      <c r="BW1137">
        <v>156</v>
      </c>
      <c r="BX1137">
        <v>156</v>
      </c>
      <c r="BY1137">
        <v>0</v>
      </c>
      <c r="BZ1137">
        <v>0</v>
      </c>
      <c r="CA1137">
        <v>0</v>
      </c>
      <c r="CB1137">
        <v>0</v>
      </c>
      <c r="CC1137">
        <v>0</v>
      </c>
      <c r="CD1137">
        <v>156</v>
      </c>
      <c r="CE1137" t="s">
        <v>3108</v>
      </c>
      <c r="CF1137" t="s">
        <v>3108</v>
      </c>
      <c r="CG1137" t="s">
        <v>3108</v>
      </c>
      <c r="CH1137" t="s">
        <v>3108</v>
      </c>
    </row>
    <row r="1138" spans="1:86" x14ac:dyDescent="0.2">
      <c r="A1138" t="s">
        <v>4960</v>
      </c>
      <c r="B1138" t="s">
        <v>4960</v>
      </c>
      <c r="C1138">
        <v>41615</v>
      </c>
      <c r="D1138">
        <v>884</v>
      </c>
      <c r="E1138" t="s">
        <v>3688</v>
      </c>
      <c r="F1138" t="s">
        <v>3249</v>
      </c>
      <c r="G1138" t="s">
        <v>3249</v>
      </c>
      <c r="H1138" t="s">
        <v>3250</v>
      </c>
      <c r="I1138" t="s">
        <v>3250</v>
      </c>
      <c r="J1138" t="s">
        <v>3250</v>
      </c>
      <c r="K1138" t="s">
        <v>3250</v>
      </c>
      <c r="L1138">
        <v>1200</v>
      </c>
      <c r="M1138" t="s">
        <v>2368</v>
      </c>
      <c r="N1138">
        <v>1204</v>
      </c>
      <c r="O1138" t="s">
        <v>1574</v>
      </c>
      <c r="P1138" t="s">
        <v>3108</v>
      </c>
      <c r="Q1138" t="s">
        <v>3249</v>
      </c>
      <c r="R1138" t="s">
        <v>3249</v>
      </c>
      <c r="S1138" t="s">
        <v>472</v>
      </c>
      <c r="T1138" t="s">
        <v>3251</v>
      </c>
      <c r="U1138">
        <v>140</v>
      </c>
      <c r="V1138" t="s">
        <v>1327</v>
      </c>
      <c r="W1138">
        <v>140</v>
      </c>
      <c r="X1138" t="s">
        <v>1327</v>
      </c>
      <c r="Y1138" t="s">
        <v>3250</v>
      </c>
      <c r="Z1138" t="s">
        <v>3250</v>
      </c>
      <c r="AA1138" t="s">
        <v>3108</v>
      </c>
      <c r="AB1138" t="s">
        <v>3108</v>
      </c>
      <c r="AC1138" t="s">
        <v>3250</v>
      </c>
      <c r="AD1138" t="s">
        <v>3250</v>
      </c>
      <c r="AE1138" t="s">
        <v>3250</v>
      </c>
      <c r="AF1138" t="s">
        <v>3250</v>
      </c>
      <c r="AG1138" t="s">
        <v>3250</v>
      </c>
      <c r="AH1138" t="s">
        <v>3250</v>
      </c>
      <c r="AI1138" t="s">
        <v>3250</v>
      </c>
      <c r="AJ1138" t="s">
        <v>3250</v>
      </c>
      <c r="AL1138">
        <v>146</v>
      </c>
      <c r="AM1138" t="s">
        <v>5</v>
      </c>
      <c r="AN1138">
        <v>146</v>
      </c>
      <c r="AO1138" t="s">
        <v>5</v>
      </c>
      <c r="AS1138" t="s">
        <v>3250</v>
      </c>
      <c r="AT1138" t="s">
        <v>3250</v>
      </c>
      <c r="AU1138" t="s">
        <v>3250</v>
      </c>
      <c r="AV1138" t="s">
        <v>3250</v>
      </c>
      <c r="AW1138" t="s">
        <v>3250</v>
      </c>
      <c r="AX1138" t="s">
        <v>3250</v>
      </c>
      <c r="AY1138" t="s">
        <v>3250</v>
      </c>
      <c r="AZ1138" t="s">
        <v>3250</v>
      </c>
      <c r="BA1138" t="s">
        <v>3250</v>
      </c>
      <c r="BB1138" t="s">
        <v>3250</v>
      </c>
      <c r="BC1138" t="s">
        <v>3250</v>
      </c>
      <c r="BE1138" t="s">
        <v>3250</v>
      </c>
      <c r="BF1138" t="s">
        <v>3250</v>
      </c>
      <c r="BG1138" t="s">
        <v>3250</v>
      </c>
      <c r="BH1138" t="s">
        <v>3250</v>
      </c>
      <c r="BI1138" t="s">
        <v>3250</v>
      </c>
      <c r="BK1138" t="s">
        <v>3250</v>
      </c>
      <c r="BL1138" t="s">
        <v>3250</v>
      </c>
      <c r="BM1138" t="s">
        <v>3250</v>
      </c>
      <c r="BN1138" t="s">
        <v>3250</v>
      </c>
      <c r="BP1138">
        <v>1</v>
      </c>
      <c r="BQ1138">
        <v>11</v>
      </c>
      <c r="BR1138" t="s">
        <v>1574</v>
      </c>
      <c r="BS1138" t="s">
        <v>3252</v>
      </c>
      <c r="BV1138">
        <v>0</v>
      </c>
      <c r="BW1138">
        <v>0</v>
      </c>
      <c r="BX1138">
        <v>0</v>
      </c>
      <c r="BY1138">
        <v>0</v>
      </c>
      <c r="BZ1138">
        <v>0</v>
      </c>
      <c r="CA1138">
        <v>0</v>
      </c>
      <c r="CB1138">
        <v>0</v>
      </c>
      <c r="CC1138">
        <v>0</v>
      </c>
      <c r="CD1138">
        <v>0</v>
      </c>
      <c r="CE1138" t="s">
        <v>3108</v>
      </c>
      <c r="CF1138" t="s">
        <v>3108</v>
      </c>
      <c r="CG1138" t="s">
        <v>3108</v>
      </c>
      <c r="CH1138" t="s">
        <v>3108</v>
      </c>
    </row>
    <row r="1139" spans="1:86" x14ac:dyDescent="0.2">
      <c r="A1139" t="s">
        <v>4961</v>
      </c>
      <c r="B1139" t="s">
        <v>4961</v>
      </c>
      <c r="C1139">
        <v>41616</v>
      </c>
      <c r="D1139">
        <v>885</v>
      </c>
      <c r="E1139" t="s">
        <v>4962</v>
      </c>
      <c r="F1139" t="s">
        <v>3249</v>
      </c>
      <c r="G1139" t="s">
        <v>3249</v>
      </c>
      <c r="H1139" t="s">
        <v>3250</v>
      </c>
      <c r="I1139" t="s">
        <v>3250</v>
      </c>
      <c r="J1139" t="s">
        <v>3250</v>
      </c>
      <c r="K1139" t="s">
        <v>3250</v>
      </c>
      <c r="L1139">
        <v>1200</v>
      </c>
      <c r="M1139" t="s">
        <v>2368</v>
      </c>
      <c r="N1139">
        <v>1204</v>
      </c>
      <c r="O1139" t="s">
        <v>1574</v>
      </c>
      <c r="P1139" t="s">
        <v>3108</v>
      </c>
      <c r="Q1139" t="s">
        <v>3249</v>
      </c>
      <c r="R1139" t="s">
        <v>3249</v>
      </c>
      <c r="S1139" t="s">
        <v>472</v>
      </c>
      <c r="T1139" t="s">
        <v>3251</v>
      </c>
      <c r="U1139">
        <v>140</v>
      </c>
      <c r="V1139" t="s">
        <v>1327</v>
      </c>
      <c r="W1139">
        <v>140</v>
      </c>
      <c r="X1139" t="s">
        <v>1327</v>
      </c>
      <c r="Y1139" t="s">
        <v>3250</v>
      </c>
      <c r="Z1139" t="s">
        <v>3250</v>
      </c>
      <c r="AA1139" t="s">
        <v>3108</v>
      </c>
      <c r="AB1139" t="s">
        <v>3108</v>
      </c>
      <c r="AC1139" t="s">
        <v>3250</v>
      </c>
      <c r="AD1139" t="s">
        <v>3250</v>
      </c>
      <c r="AE1139" t="s">
        <v>3250</v>
      </c>
      <c r="AF1139" t="s">
        <v>3250</v>
      </c>
      <c r="AG1139" t="s">
        <v>3250</v>
      </c>
      <c r="AH1139" t="s">
        <v>3250</v>
      </c>
      <c r="AI1139" t="s">
        <v>3250</v>
      </c>
      <c r="AJ1139" t="s">
        <v>3250</v>
      </c>
      <c r="AL1139">
        <v>141</v>
      </c>
      <c r="AM1139" t="s">
        <v>1327</v>
      </c>
      <c r="AN1139">
        <v>141</v>
      </c>
      <c r="AO1139" t="s">
        <v>1327</v>
      </c>
      <c r="AS1139" t="s">
        <v>3250</v>
      </c>
      <c r="AT1139" t="s">
        <v>3250</v>
      </c>
      <c r="AU1139" t="s">
        <v>3250</v>
      </c>
      <c r="AV1139" t="s">
        <v>3250</v>
      </c>
      <c r="AW1139" t="s">
        <v>3250</v>
      </c>
      <c r="AX1139" t="s">
        <v>3250</v>
      </c>
      <c r="AY1139" t="s">
        <v>3250</v>
      </c>
      <c r="AZ1139" t="s">
        <v>3250</v>
      </c>
      <c r="BA1139" t="s">
        <v>3250</v>
      </c>
      <c r="BB1139" t="s">
        <v>3250</v>
      </c>
      <c r="BC1139" t="s">
        <v>3250</v>
      </c>
      <c r="BE1139" t="s">
        <v>3250</v>
      </c>
      <c r="BF1139" t="s">
        <v>3250</v>
      </c>
      <c r="BG1139" t="s">
        <v>3250</v>
      </c>
      <c r="BH1139" t="s">
        <v>3250</v>
      </c>
      <c r="BI1139" t="s">
        <v>3250</v>
      </c>
      <c r="BK1139" t="s">
        <v>3250</v>
      </c>
      <c r="BL1139" t="s">
        <v>3250</v>
      </c>
      <c r="BM1139" t="s">
        <v>3250</v>
      </c>
      <c r="BN1139" t="s">
        <v>3250</v>
      </c>
      <c r="BP1139">
        <v>1</v>
      </c>
      <c r="BQ1139">
        <v>11</v>
      </c>
      <c r="BR1139" t="s">
        <v>1574</v>
      </c>
      <c r="BS1139" t="s">
        <v>3252</v>
      </c>
      <c r="BV1139">
        <v>80546</v>
      </c>
      <c r="BW1139">
        <v>80546</v>
      </c>
      <c r="BX1139">
        <v>41835</v>
      </c>
      <c r="BY1139">
        <v>0</v>
      </c>
      <c r="BZ1139">
        <v>0</v>
      </c>
      <c r="CA1139">
        <v>0</v>
      </c>
      <c r="CB1139">
        <v>0</v>
      </c>
      <c r="CC1139">
        <v>0</v>
      </c>
      <c r="CD1139">
        <v>80546</v>
      </c>
      <c r="CE1139" t="s">
        <v>3108</v>
      </c>
      <c r="CF1139" t="s">
        <v>3108</v>
      </c>
      <c r="CG1139" t="s">
        <v>3108</v>
      </c>
      <c r="CH1139" t="s">
        <v>3108</v>
      </c>
    </row>
    <row r="1140" spans="1:86" x14ac:dyDescent="0.2">
      <c r="A1140" t="s">
        <v>4963</v>
      </c>
      <c r="B1140" t="s">
        <v>4963</v>
      </c>
      <c r="C1140">
        <v>41617</v>
      </c>
      <c r="D1140">
        <v>886</v>
      </c>
      <c r="E1140" t="s">
        <v>3678</v>
      </c>
      <c r="F1140" t="s">
        <v>3249</v>
      </c>
      <c r="G1140" t="s">
        <v>3249</v>
      </c>
      <c r="H1140" t="s">
        <v>3250</v>
      </c>
      <c r="I1140" t="s">
        <v>3250</v>
      </c>
      <c r="J1140" t="s">
        <v>3250</v>
      </c>
      <c r="K1140" t="s">
        <v>3250</v>
      </c>
      <c r="L1140">
        <v>1200</v>
      </c>
      <c r="M1140" t="s">
        <v>2368</v>
      </c>
      <c r="N1140">
        <v>1204</v>
      </c>
      <c r="O1140" t="s">
        <v>1574</v>
      </c>
      <c r="P1140" t="s">
        <v>3108</v>
      </c>
      <c r="Q1140" t="s">
        <v>3249</v>
      </c>
      <c r="R1140" t="s">
        <v>3249</v>
      </c>
      <c r="S1140" t="s">
        <v>472</v>
      </c>
      <c r="T1140" t="s">
        <v>3251</v>
      </c>
      <c r="U1140">
        <v>140</v>
      </c>
      <c r="V1140" t="s">
        <v>1327</v>
      </c>
      <c r="W1140">
        <v>140</v>
      </c>
      <c r="X1140" t="s">
        <v>1327</v>
      </c>
      <c r="Y1140" t="s">
        <v>3250</v>
      </c>
      <c r="Z1140" t="s">
        <v>3250</v>
      </c>
      <c r="AA1140" t="s">
        <v>3108</v>
      </c>
      <c r="AB1140" t="s">
        <v>3108</v>
      </c>
      <c r="AC1140" t="s">
        <v>3250</v>
      </c>
      <c r="AD1140" t="s">
        <v>3250</v>
      </c>
      <c r="AE1140" t="s">
        <v>3250</v>
      </c>
      <c r="AF1140" t="s">
        <v>3250</v>
      </c>
      <c r="AG1140" t="s">
        <v>3250</v>
      </c>
      <c r="AH1140" t="s">
        <v>3250</v>
      </c>
      <c r="AI1140" t="s">
        <v>3250</v>
      </c>
      <c r="AJ1140" t="s">
        <v>3250</v>
      </c>
      <c r="AL1140">
        <v>141</v>
      </c>
      <c r="AM1140" t="s">
        <v>1327</v>
      </c>
      <c r="AN1140">
        <v>141</v>
      </c>
      <c r="AO1140" t="s">
        <v>1327</v>
      </c>
      <c r="AS1140" t="s">
        <v>3250</v>
      </c>
      <c r="AT1140" t="s">
        <v>3250</v>
      </c>
      <c r="AU1140" t="s">
        <v>3250</v>
      </c>
      <c r="AV1140" t="s">
        <v>3250</v>
      </c>
      <c r="AW1140" t="s">
        <v>3250</v>
      </c>
      <c r="AX1140" t="s">
        <v>3250</v>
      </c>
      <c r="AY1140" t="s">
        <v>3250</v>
      </c>
      <c r="AZ1140" t="s">
        <v>3250</v>
      </c>
      <c r="BA1140" t="s">
        <v>3250</v>
      </c>
      <c r="BB1140" t="s">
        <v>3250</v>
      </c>
      <c r="BC1140" t="s">
        <v>3250</v>
      </c>
      <c r="BE1140" t="s">
        <v>3250</v>
      </c>
      <c r="BF1140" t="s">
        <v>3250</v>
      </c>
      <c r="BG1140" t="s">
        <v>3250</v>
      </c>
      <c r="BH1140" t="s">
        <v>3250</v>
      </c>
      <c r="BI1140" t="s">
        <v>3250</v>
      </c>
      <c r="BK1140" t="s">
        <v>3250</v>
      </c>
      <c r="BL1140" t="s">
        <v>3250</v>
      </c>
      <c r="BM1140" t="s">
        <v>3250</v>
      </c>
      <c r="BN1140" t="s">
        <v>3250</v>
      </c>
      <c r="BP1140">
        <v>1</v>
      </c>
      <c r="BQ1140">
        <v>11</v>
      </c>
      <c r="BR1140" t="s">
        <v>1574</v>
      </c>
      <c r="BS1140" t="s">
        <v>3252</v>
      </c>
      <c r="BV1140">
        <v>0</v>
      </c>
      <c r="BW1140">
        <v>0</v>
      </c>
      <c r="BX1140">
        <v>0</v>
      </c>
      <c r="BY1140">
        <v>0</v>
      </c>
      <c r="BZ1140">
        <v>0</v>
      </c>
      <c r="CA1140">
        <v>0</v>
      </c>
      <c r="CB1140">
        <v>0</v>
      </c>
      <c r="CC1140">
        <v>0</v>
      </c>
      <c r="CD1140">
        <v>0</v>
      </c>
      <c r="CE1140" t="s">
        <v>3108</v>
      </c>
      <c r="CF1140" t="s">
        <v>3108</v>
      </c>
      <c r="CG1140" t="s">
        <v>3108</v>
      </c>
      <c r="CH1140" t="s">
        <v>3108</v>
      </c>
    </row>
    <row r="1141" spans="1:86" x14ac:dyDescent="0.2">
      <c r="A1141" t="s">
        <v>4964</v>
      </c>
      <c r="B1141" t="s">
        <v>4964</v>
      </c>
      <c r="C1141">
        <v>41618</v>
      </c>
      <c r="D1141">
        <v>887</v>
      </c>
      <c r="E1141" t="s">
        <v>4965</v>
      </c>
      <c r="F1141" t="s">
        <v>3249</v>
      </c>
      <c r="G1141" t="s">
        <v>3249</v>
      </c>
      <c r="H1141" t="s">
        <v>3250</v>
      </c>
      <c r="I1141" t="s">
        <v>3250</v>
      </c>
      <c r="J1141" t="s">
        <v>3250</v>
      </c>
      <c r="K1141" t="s">
        <v>3250</v>
      </c>
      <c r="L1141">
        <v>1200</v>
      </c>
      <c r="M1141" t="s">
        <v>2368</v>
      </c>
      <c r="N1141">
        <v>1204</v>
      </c>
      <c r="O1141" t="s">
        <v>1574</v>
      </c>
      <c r="P1141" t="s">
        <v>3108</v>
      </c>
      <c r="Q1141" t="s">
        <v>3249</v>
      </c>
      <c r="R1141" t="s">
        <v>3249</v>
      </c>
      <c r="S1141" t="s">
        <v>472</v>
      </c>
      <c r="T1141" t="s">
        <v>3251</v>
      </c>
      <c r="U1141">
        <v>140</v>
      </c>
      <c r="V1141" t="s">
        <v>1327</v>
      </c>
      <c r="W1141">
        <v>140</v>
      </c>
      <c r="X1141" t="s">
        <v>1327</v>
      </c>
      <c r="Y1141" t="s">
        <v>3250</v>
      </c>
      <c r="Z1141" t="s">
        <v>3250</v>
      </c>
      <c r="AA1141" t="s">
        <v>3108</v>
      </c>
      <c r="AB1141" t="s">
        <v>3108</v>
      </c>
      <c r="AC1141" t="s">
        <v>3250</v>
      </c>
      <c r="AD1141" t="s">
        <v>3250</v>
      </c>
      <c r="AE1141" t="s">
        <v>3250</v>
      </c>
      <c r="AF1141" t="s">
        <v>3250</v>
      </c>
      <c r="AG1141" t="s">
        <v>3250</v>
      </c>
      <c r="AH1141" t="s">
        <v>3250</v>
      </c>
      <c r="AI1141" t="s">
        <v>3250</v>
      </c>
      <c r="AJ1141" t="s">
        <v>3250</v>
      </c>
      <c r="AL1141">
        <v>141</v>
      </c>
      <c r="AM1141" t="s">
        <v>1327</v>
      </c>
      <c r="AN1141">
        <v>141</v>
      </c>
      <c r="AO1141" t="s">
        <v>1327</v>
      </c>
      <c r="AS1141" t="s">
        <v>3250</v>
      </c>
      <c r="AT1141" t="s">
        <v>3250</v>
      </c>
      <c r="AU1141" t="s">
        <v>3250</v>
      </c>
      <c r="AV1141" t="s">
        <v>3250</v>
      </c>
      <c r="AW1141" t="s">
        <v>3250</v>
      </c>
      <c r="AX1141" t="s">
        <v>3250</v>
      </c>
      <c r="AY1141" t="s">
        <v>3250</v>
      </c>
      <c r="AZ1141" t="s">
        <v>3250</v>
      </c>
      <c r="BA1141" t="s">
        <v>3250</v>
      </c>
      <c r="BB1141" t="s">
        <v>3250</v>
      </c>
      <c r="BC1141" t="s">
        <v>3250</v>
      </c>
      <c r="BE1141" t="s">
        <v>3250</v>
      </c>
      <c r="BF1141" t="s">
        <v>3250</v>
      </c>
      <c r="BG1141" t="s">
        <v>3250</v>
      </c>
      <c r="BH1141" t="s">
        <v>3250</v>
      </c>
      <c r="BI1141" t="s">
        <v>3250</v>
      </c>
      <c r="BK1141" t="s">
        <v>3250</v>
      </c>
      <c r="BL1141" t="s">
        <v>3250</v>
      </c>
      <c r="BM1141" t="s">
        <v>3250</v>
      </c>
      <c r="BN1141" t="s">
        <v>3250</v>
      </c>
      <c r="BP1141">
        <v>1</v>
      </c>
      <c r="BQ1141">
        <v>11</v>
      </c>
      <c r="BR1141" t="s">
        <v>1574</v>
      </c>
      <c r="BS1141" t="s">
        <v>3252</v>
      </c>
      <c r="BV1141">
        <v>0</v>
      </c>
      <c r="BW1141">
        <v>0</v>
      </c>
      <c r="BX1141">
        <v>0</v>
      </c>
      <c r="BY1141">
        <v>0</v>
      </c>
      <c r="BZ1141">
        <v>0</v>
      </c>
      <c r="CA1141">
        <v>0</v>
      </c>
      <c r="CB1141">
        <v>0</v>
      </c>
      <c r="CC1141">
        <v>0</v>
      </c>
      <c r="CD1141">
        <v>0</v>
      </c>
      <c r="CE1141" t="s">
        <v>3108</v>
      </c>
      <c r="CF1141" t="s">
        <v>3108</v>
      </c>
      <c r="CG1141" t="s">
        <v>3108</v>
      </c>
      <c r="CH1141" t="s">
        <v>3108</v>
      </c>
    </row>
    <row r="1142" spans="1:86" x14ac:dyDescent="0.2">
      <c r="A1142" t="s">
        <v>4966</v>
      </c>
      <c r="B1142" t="s">
        <v>4966</v>
      </c>
      <c r="C1142">
        <v>41619</v>
      </c>
      <c r="D1142">
        <v>888</v>
      </c>
      <c r="E1142" t="s">
        <v>4967</v>
      </c>
      <c r="F1142" t="s">
        <v>3249</v>
      </c>
      <c r="G1142" t="s">
        <v>3249</v>
      </c>
      <c r="H1142" t="s">
        <v>3250</v>
      </c>
      <c r="I1142" t="s">
        <v>3250</v>
      </c>
      <c r="J1142" t="s">
        <v>3250</v>
      </c>
      <c r="K1142" t="s">
        <v>3250</v>
      </c>
      <c r="L1142">
        <v>1200</v>
      </c>
      <c r="M1142" t="s">
        <v>2368</v>
      </c>
      <c r="N1142">
        <v>1204</v>
      </c>
      <c r="O1142" t="s">
        <v>1574</v>
      </c>
      <c r="P1142" t="s">
        <v>3108</v>
      </c>
      <c r="Q1142" t="s">
        <v>3249</v>
      </c>
      <c r="R1142" t="s">
        <v>3249</v>
      </c>
      <c r="S1142" t="s">
        <v>472</v>
      </c>
      <c r="T1142" t="s">
        <v>3251</v>
      </c>
      <c r="U1142">
        <v>140</v>
      </c>
      <c r="V1142" t="s">
        <v>1327</v>
      </c>
      <c r="W1142">
        <v>140</v>
      </c>
      <c r="X1142" t="s">
        <v>1327</v>
      </c>
      <c r="Y1142" t="s">
        <v>3250</v>
      </c>
      <c r="Z1142" t="s">
        <v>3250</v>
      </c>
      <c r="AA1142" t="s">
        <v>3108</v>
      </c>
      <c r="AB1142" t="s">
        <v>3108</v>
      </c>
      <c r="AC1142" t="s">
        <v>3250</v>
      </c>
      <c r="AD1142" t="s">
        <v>3250</v>
      </c>
      <c r="AE1142" t="s">
        <v>3250</v>
      </c>
      <c r="AF1142" t="s">
        <v>3250</v>
      </c>
      <c r="AG1142" t="s">
        <v>3250</v>
      </c>
      <c r="AH1142" t="s">
        <v>3250</v>
      </c>
      <c r="AI1142" t="s">
        <v>3250</v>
      </c>
      <c r="AJ1142" t="s">
        <v>3250</v>
      </c>
      <c r="AL1142">
        <v>141</v>
      </c>
      <c r="AM1142" t="s">
        <v>1327</v>
      </c>
      <c r="AN1142">
        <v>141</v>
      </c>
      <c r="AO1142" t="s">
        <v>1327</v>
      </c>
      <c r="AS1142" t="s">
        <v>3250</v>
      </c>
      <c r="AT1142" t="s">
        <v>3250</v>
      </c>
      <c r="AU1142" t="s">
        <v>3250</v>
      </c>
      <c r="AV1142" t="s">
        <v>3250</v>
      </c>
      <c r="AW1142" t="s">
        <v>3250</v>
      </c>
      <c r="AX1142" t="s">
        <v>3250</v>
      </c>
      <c r="AY1142" t="s">
        <v>3250</v>
      </c>
      <c r="AZ1142" t="s">
        <v>3250</v>
      </c>
      <c r="BA1142" t="s">
        <v>3250</v>
      </c>
      <c r="BB1142" t="s">
        <v>3250</v>
      </c>
      <c r="BC1142" t="s">
        <v>3250</v>
      </c>
      <c r="BE1142" t="s">
        <v>3250</v>
      </c>
      <c r="BF1142" t="s">
        <v>3250</v>
      </c>
      <c r="BG1142" t="s">
        <v>3250</v>
      </c>
      <c r="BH1142" t="s">
        <v>3250</v>
      </c>
      <c r="BI1142" t="s">
        <v>3250</v>
      </c>
      <c r="BK1142" t="s">
        <v>3250</v>
      </c>
      <c r="BL1142" t="s">
        <v>3250</v>
      </c>
      <c r="BM1142" t="s">
        <v>3250</v>
      </c>
      <c r="BN1142" t="s">
        <v>3250</v>
      </c>
      <c r="BP1142">
        <v>1</v>
      </c>
      <c r="BQ1142">
        <v>11</v>
      </c>
      <c r="BR1142" t="s">
        <v>1574</v>
      </c>
      <c r="BS1142" t="s">
        <v>3252</v>
      </c>
      <c r="BV1142">
        <v>-7433076</v>
      </c>
      <c r="BW1142">
        <v>-4707861</v>
      </c>
      <c r="BX1142">
        <v>-2017538</v>
      </c>
      <c r="BY1142">
        <v>0</v>
      </c>
      <c r="BZ1142">
        <v>0</v>
      </c>
      <c r="CA1142">
        <v>0</v>
      </c>
      <c r="CB1142">
        <v>0</v>
      </c>
      <c r="CC1142">
        <v>0</v>
      </c>
      <c r="CD1142">
        <v>-10087117</v>
      </c>
      <c r="CE1142" t="s">
        <v>3108</v>
      </c>
      <c r="CF1142" t="s">
        <v>3108</v>
      </c>
      <c r="CG1142" t="s">
        <v>3108</v>
      </c>
      <c r="CH1142" t="s">
        <v>3108</v>
      </c>
    </row>
    <row r="1143" spans="1:86" x14ac:dyDescent="0.2">
      <c r="A1143" t="s">
        <v>4968</v>
      </c>
      <c r="B1143" t="s">
        <v>4968</v>
      </c>
      <c r="C1143">
        <v>41620</v>
      </c>
      <c r="D1143">
        <v>889</v>
      </c>
      <c r="E1143" t="s">
        <v>3764</v>
      </c>
      <c r="F1143" t="s">
        <v>3249</v>
      </c>
      <c r="G1143" t="s">
        <v>3249</v>
      </c>
      <c r="H1143" t="s">
        <v>3250</v>
      </c>
      <c r="I1143" t="s">
        <v>3250</v>
      </c>
      <c r="J1143" t="s">
        <v>3250</v>
      </c>
      <c r="K1143" t="s">
        <v>3250</v>
      </c>
      <c r="L1143">
        <v>1200</v>
      </c>
      <c r="M1143" t="s">
        <v>2368</v>
      </c>
      <c r="N1143">
        <v>1204</v>
      </c>
      <c r="O1143" t="s">
        <v>1574</v>
      </c>
      <c r="P1143" t="s">
        <v>3108</v>
      </c>
      <c r="Q1143" t="s">
        <v>3249</v>
      </c>
      <c r="R1143" t="s">
        <v>3249</v>
      </c>
      <c r="S1143" t="s">
        <v>472</v>
      </c>
      <c r="T1143" t="s">
        <v>3251</v>
      </c>
      <c r="U1143">
        <v>140</v>
      </c>
      <c r="V1143" t="s">
        <v>1327</v>
      </c>
      <c r="W1143">
        <v>140</v>
      </c>
      <c r="X1143" t="s">
        <v>1327</v>
      </c>
      <c r="Y1143" t="s">
        <v>3250</v>
      </c>
      <c r="Z1143" t="s">
        <v>3250</v>
      </c>
      <c r="AA1143" t="s">
        <v>3108</v>
      </c>
      <c r="AB1143" t="s">
        <v>3108</v>
      </c>
      <c r="AC1143" t="s">
        <v>3250</v>
      </c>
      <c r="AD1143" t="s">
        <v>3250</v>
      </c>
      <c r="AE1143" t="s">
        <v>3250</v>
      </c>
      <c r="AF1143" t="s">
        <v>3250</v>
      </c>
      <c r="AG1143" t="s">
        <v>3250</v>
      </c>
      <c r="AH1143" t="s">
        <v>3250</v>
      </c>
      <c r="AI1143" t="s">
        <v>3250</v>
      </c>
      <c r="AJ1143" t="s">
        <v>3250</v>
      </c>
      <c r="AL1143">
        <v>141</v>
      </c>
      <c r="AM1143" t="s">
        <v>1327</v>
      </c>
      <c r="AN1143">
        <v>141</v>
      </c>
      <c r="AO1143" t="s">
        <v>1327</v>
      </c>
      <c r="AS1143" t="s">
        <v>3250</v>
      </c>
      <c r="AT1143" t="s">
        <v>3250</v>
      </c>
      <c r="AU1143" t="s">
        <v>3250</v>
      </c>
      <c r="AV1143" t="s">
        <v>3250</v>
      </c>
      <c r="AW1143" t="s">
        <v>3250</v>
      </c>
      <c r="AX1143" t="s">
        <v>3250</v>
      </c>
      <c r="AY1143" t="s">
        <v>3250</v>
      </c>
      <c r="AZ1143" t="s">
        <v>3250</v>
      </c>
      <c r="BA1143" t="s">
        <v>3250</v>
      </c>
      <c r="BB1143" t="s">
        <v>3250</v>
      </c>
      <c r="BC1143" t="s">
        <v>3250</v>
      </c>
      <c r="BE1143" t="s">
        <v>3250</v>
      </c>
      <c r="BF1143" t="s">
        <v>3250</v>
      </c>
      <c r="BG1143" t="s">
        <v>3250</v>
      </c>
      <c r="BH1143" t="s">
        <v>3250</v>
      </c>
      <c r="BI1143" t="s">
        <v>3250</v>
      </c>
      <c r="BK1143" t="s">
        <v>3250</v>
      </c>
      <c r="BL1143" t="s">
        <v>3250</v>
      </c>
      <c r="BM1143" t="s">
        <v>3250</v>
      </c>
      <c r="BN1143" t="s">
        <v>3250</v>
      </c>
      <c r="BP1143">
        <v>1</v>
      </c>
      <c r="BQ1143">
        <v>11</v>
      </c>
      <c r="BR1143" t="s">
        <v>1574</v>
      </c>
      <c r="BS1143" t="s">
        <v>3252</v>
      </c>
      <c r="BV1143">
        <v>0</v>
      </c>
      <c r="BW1143">
        <v>0</v>
      </c>
      <c r="BX1143">
        <v>0</v>
      </c>
      <c r="BY1143">
        <v>0</v>
      </c>
      <c r="BZ1143">
        <v>0</v>
      </c>
      <c r="CA1143">
        <v>0</v>
      </c>
      <c r="CB1143">
        <v>0</v>
      </c>
      <c r="CC1143">
        <v>0</v>
      </c>
      <c r="CD1143">
        <v>0</v>
      </c>
      <c r="CE1143" t="s">
        <v>3108</v>
      </c>
      <c r="CF1143" t="s">
        <v>3108</v>
      </c>
      <c r="CG1143" t="s">
        <v>3108</v>
      </c>
      <c r="CH1143" t="s">
        <v>3108</v>
      </c>
    </row>
    <row r="1144" spans="1:86" x14ac:dyDescent="0.2">
      <c r="A1144" t="s">
        <v>4969</v>
      </c>
      <c r="B1144" t="s">
        <v>4969</v>
      </c>
      <c r="C1144">
        <v>41621</v>
      </c>
      <c r="D1144">
        <v>890</v>
      </c>
      <c r="E1144" t="s">
        <v>3680</v>
      </c>
      <c r="F1144" t="s">
        <v>3249</v>
      </c>
      <c r="G1144" t="s">
        <v>3249</v>
      </c>
      <c r="H1144" t="s">
        <v>3250</v>
      </c>
      <c r="I1144" t="s">
        <v>3250</v>
      </c>
      <c r="J1144" t="s">
        <v>3250</v>
      </c>
      <c r="K1144" t="s">
        <v>3250</v>
      </c>
      <c r="L1144">
        <v>1200</v>
      </c>
      <c r="M1144" t="s">
        <v>2368</v>
      </c>
      <c r="N1144">
        <v>1204</v>
      </c>
      <c r="O1144" t="s">
        <v>1574</v>
      </c>
      <c r="P1144" t="s">
        <v>3108</v>
      </c>
      <c r="Q1144" t="s">
        <v>3249</v>
      </c>
      <c r="R1144" t="s">
        <v>3249</v>
      </c>
      <c r="S1144" t="s">
        <v>472</v>
      </c>
      <c r="T1144" t="s">
        <v>3251</v>
      </c>
      <c r="U1144">
        <v>140</v>
      </c>
      <c r="V1144" t="s">
        <v>1327</v>
      </c>
      <c r="W1144">
        <v>140</v>
      </c>
      <c r="X1144" t="s">
        <v>1327</v>
      </c>
      <c r="Y1144" t="s">
        <v>3250</v>
      </c>
      <c r="Z1144" t="s">
        <v>3250</v>
      </c>
      <c r="AA1144" t="s">
        <v>3108</v>
      </c>
      <c r="AB1144" t="s">
        <v>3108</v>
      </c>
      <c r="AC1144" t="s">
        <v>3250</v>
      </c>
      <c r="AD1144" t="s">
        <v>3250</v>
      </c>
      <c r="AE1144" t="s">
        <v>3250</v>
      </c>
      <c r="AF1144" t="s">
        <v>3250</v>
      </c>
      <c r="AG1144" t="s">
        <v>3250</v>
      </c>
      <c r="AH1144" t="s">
        <v>3250</v>
      </c>
      <c r="AI1144" t="s">
        <v>3250</v>
      </c>
      <c r="AJ1144" t="s">
        <v>3250</v>
      </c>
      <c r="AL1144">
        <v>147</v>
      </c>
      <c r="AM1144" t="s">
        <v>6</v>
      </c>
      <c r="AN1144">
        <v>147</v>
      </c>
      <c r="AO1144" t="s">
        <v>6</v>
      </c>
      <c r="AS1144" t="s">
        <v>3250</v>
      </c>
      <c r="AT1144" t="s">
        <v>3250</v>
      </c>
      <c r="AU1144" t="s">
        <v>3250</v>
      </c>
      <c r="AV1144" t="s">
        <v>3250</v>
      </c>
      <c r="AW1144" t="s">
        <v>3250</v>
      </c>
      <c r="AX1144" t="s">
        <v>3250</v>
      </c>
      <c r="AY1144" t="s">
        <v>3250</v>
      </c>
      <c r="AZ1144" t="s">
        <v>3250</v>
      </c>
      <c r="BA1144" t="s">
        <v>3250</v>
      </c>
      <c r="BB1144" t="s">
        <v>3250</v>
      </c>
      <c r="BC1144" t="s">
        <v>3250</v>
      </c>
      <c r="BE1144" t="s">
        <v>3250</v>
      </c>
      <c r="BF1144" t="s">
        <v>3250</v>
      </c>
      <c r="BG1144" t="s">
        <v>3250</v>
      </c>
      <c r="BH1144" t="s">
        <v>3250</v>
      </c>
      <c r="BI1144" t="s">
        <v>3250</v>
      </c>
      <c r="BK1144" t="s">
        <v>3250</v>
      </c>
      <c r="BL1144" t="s">
        <v>3250</v>
      </c>
      <c r="BM1144" t="s">
        <v>3250</v>
      </c>
      <c r="BN1144" t="s">
        <v>3250</v>
      </c>
      <c r="BP1144">
        <v>1</v>
      </c>
      <c r="BQ1144">
        <v>11</v>
      </c>
      <c r="BR1144" t="s">
        <v>1574</v>
      </c>
      <c r="BS1144" t="s">
        <v>3252</v>
      </c>
      <c r="BV1144">
        <v>-4615167</v>
      </c>
      <c r="BW1144">
        <v>-4549765</v>
      </c>
      <c r="BX1144">
        <v>-4544454</v>
      </c>
      <c r="BY1144">
        <v>0</v>
      </c>
      <c r="BZ1144">
        <v>0</v>
      </c>
      <c r="CA1144">
        <v>0</v>
      </c>
      <c r="CB1144">
        <v>0</v>
      </c>
      <c r="CC1144">
        <v>0</v>
      </c>
      <c r="CD1144">
        <v>-4615167</v>
      </c>
      <c r="CE1144" t="s">
        <v>3108</v>
      </c>
      <c r="CF1144" t="s">
        <v>3108</v>
      </c>
      <c r="CG1144" t="s">
        <v>3108</v>
      </c>
      <c r="CH1144" t="s">
        <v>3108</v>
      </c>
    </row>
    <row r="1145" spans="1:86" x14ac:dyDescent="0.2">
      <c r="A1145" t="s">
        <v>4970</v>
      </c>
      <c r="B1145" t="s">
        <v>4970</v>
      </c>
      <c r="C1145">
        <v>41622</v>
      </c>
      <c r="D1145">
        <v>891</v>
      </c>
      <c r="E1145" t="s">
        <v>4971</v>
      </c>
      <c r="F1145" t="s">
        <v>3249</v>
      </c>
      <c r="G1145" t="s">
        <v>3249</v>
      </c>
      <c r="H1145" t="s">
        <v>3250</v>
      </c>
      <c r="I1145" t="s">
        <v>3250</v>
      </c>
      <c r="J1145" t="s">
        <v>3250</v>
      </c>
      <c r="K1145" t="s">
        <v>3250</v>
      </c>
      <c r="L1145">
        <v>1200</v>
      </c>
      <c r="M1145" t="s">
        <v>2368</v>
      </c>
      <c r="N1145">
        <v>1204</v>
      </c>
      <c r="O1145" t="s">
        <v>1574</v>
      </c>
      <c r="P1145" t="s">
        <v>3108</v>
      </c>
      <c r="Q1145" t="s">
        <v>3249</v>
      </c>
      <c r="R1145" t="s">
        <v>3249</v>
      </c>
      <c r="S1145" t="s">
        <v>472</v>
      </c>
      <c r="T1145" t="s">
        <v>3251</v>
      </c>
      <c r="U1145">
        <v>140</v>
      </c>
      <c r="V1145" t="s">
        <v>1327</v>
      </c>
      <c r="W1145">
        <v>140</v>
      </c>
      <c r="X1145" t="s">
        <v>1327</v>
      </c>
      <c r="Y1145" t="s">
        <v>3250</v>
      </c>
      <c r="Z1145" t="s">
        <v>3250</v>
      </c>
      <c r="AA1145" t="s">
        <v>3108</v>
      </c>
      <c r="AB1145" t="s">
        <v>3108</v>
      </c>
      <c r="AC1145" t="s">
        <v>3250</v>
      </c>
      <c r="AD1145" t="s">
        <v>3250</v>
      </c>
      <c r="AE1145" t="s">
        <v>3250</v>
      </c>
      <c r="AF1145" t="s">
        <v>3250</v>
      </c>
      <c r="AG1145" t="s">
        <v>3250</v>
      </c>
      <c r="AH1145" t="s">
        <v>3250</v>
      </c>
      <c r="AI1145" t="s">
        <v>3250</v>
      </c>
      <c r="AJ1145" t="s">
        <v>3250</v>
      </c>
      <c r="AL1145">
        <v>141</v>
      </c>
      <c r="AM1145" t="s">
        <v>1327</v>
      </c>
      <c r="AN1145">
        <v>141</v>
      </c>
      <c r="AO1145" t="s">
        <v>1327</v>
      </c>
      <c r="AS1145" t="s">
        <v>3250</v>
      </c>
      <c r="AT1145" t="s">
        <v>3250</v>
      </c>
      <c r="AU1145" t="s">
        <v>3250</v>
      </c>
      <c r="AV1145" t="s">
        <v>3250</v>
      </c>
      <c r="AW1145" t="s">
        <v>3250</v>
      </c>
      <c r="AX1145" t="s">
        <v>3250</v>
      </c>
      <c r="AY1145" t="s">
        <v>3250</v>
      </c>
      <c r="AZ1145" t="s">
        <v>3250</v>
      </c>
      <c r="BA1145" t="s">
        <v>3250</v>
      </c>
      <c r="BB1145" t="s">
        <v>3250</v>
      </c>
      <c r="BC1145" t="s">
        <v>3250</v>
      </c>
      <c r="BE1145" t="s">
        <v>3250</v>
      </c>
      <c r="BF1145" t="s">
        <v>3250</v>
      </c>
      <c r="BG1145" t="s">
        <v>3250</v>
      </c>
      <c r="BH1145" t="s">
        <v>3250</v>
      </c>
      <c r="BI1145" t="s">
        <v>3250</v>
      </c>
      <c r="BK1145" t="s">
        <v>3250</v>
      </c>
      <c r="BL1145" t="s">
        <v>3250</v>
      </c>
      <c r="BM1145" t="s">
        <v>3250</v>
      </c>
      <c r="BN1145" t="s">
        <v>3250</v>
      </c>
      <c r="BP1145">
        <v>1</v>
      </c>
      <c r="BQ1145">
        <v>11</v>
      </c>
      <c r="BR1145" t="s">
        <v>1574</v>
      </c>
      <c r="BS1145" t="s">
        <v>3252</v>
      </c>
      <c r="BV1145">
        <v>0</v>
      </c>
      <c r="BW1145">
        <v>0</v>
      </c>
      <c r="BX1145">
        <v>0</v>
      </c>
      <c r="BY1145">
        <v>0</v>
      </c>
      <c r="BZ1145">
        <v>0</v>
      </c>
      <c r="CA1145">
        <v>0</v>
      </c>
      <c r="CB1145">
        <v>0</v>
      </c>
      <c r="CC1145">
        <v>0</v>
      </c>
      <c r="CD1145">
        <v>0</v>
      </c>
      <c r="CE1145" t="s">
        <v>3108</v>
      </c>
      <c r="CF1145" t="s">
        <v>3108</v>
      </c>
      <c r="CG1145" t="s">
        <v>3108</v>
      </c>
      <c r="CH1145" t="s">
        <v>3108</v>
      </c>
    </row>
    <row r="1146" spans="1:86" x14ac:dyDescent="0.2">
      <c r="A1146" t="s">
        <v>4972</v>
      </c>
      <c r="B1146" t="s">
        <v>4972</v>
      </c>
      <c r="C1146">
        <v>41623</v>
      </c>
      <c r="D1146">
        <v>892</v>
      </c>
      <c r="E1146" t="s">
        <v>3682</v>
      </c>
      <c r="F1146" t="s">
        <v>3249</v>
      </c>
      <c r="G1146" t="s">
        <v>3249</v>
      </c>
      <c r="H1146" t="s">
        <v>3250</v>
      </c>
      <c r="I1146" t="s">
        <v>3250</v>
      </c>
      <c r="J1146" t="s">
        <v>3250</v>
      </c>
      <c r="K1146" t="s">
        <v>3250</v>
      </c>
      <c r="L1146">
        <v>1200</v>
      </c>
      <c r="M1146" t="s">
        <v>2368</v>
      </c>
      <c r="N1146">
        <v>1204</v>
      </c>
      <c r="O1146" t="s">
        <v>1574</v>
      </c>
      <c r="P1146" t="s">
        <v>3108</v>
      </c>
      <c r="Q1146" t="s">
        <v>3249</v>
      </c>
      <c r="R1146" t="s">
        <v>3249</v>
      </c>
      <c r="S1146" t="s">
        <v>472</v>
      </c>
      <c r="T1146" t="s">
        <v>3251</v>
      </c>
      <c r="U1146">
        <v>140</v>
      </c>
      <c r="V1146" t="s">
        <v>1327</v>
      </c>
      <c r="W1146">
        <v>140</v>
      </c>
      <c r="X1146" t="s">
        <v>1327</v>
      </c>
      <c r="Y1146" t="s">
        <v>3250</v>
      </c>
      <c r="Z1146" t="s">
        <v>3250</v>
      </c>
      <c r="AA1146" t="s">
        <v>3108</v>
      </c>
      <c r="AB1146" t="s">
        <v>3108</v>
      </c>
      <c r="AC1146" t="s">
        <v>3250</v>
      </c>
      <c r="AD1146" t="s">
        <v>3250</v>
      </c>
      <c r="AE1146" t="s">
        <v>3250</v>
      </c>
      <c r="AF1146" t="s">
        <v>3250</v>
      </c>
      <c r="AG1146" t="s">
        <v>3250</v>
      </c>
      <c r="AH1146" t="s">
        <v>3250</v>
      </c>
      <c r="AI1146" t="s">
        <v>3250</v>
      </c>
      <c r="AJ1146" t="s">
        <v>3250</v>
      </c>
      <c r="AL1146">
        <v>141</v>
      </c>
      <c r="AM1146" t="s">
        <v>1327</v>
      </c>
      <c r="AN1146">
        <v>141</v>
      </c>
      <c r="AO1146" t="s">
        <v>1327</v>
      </c>
      <c r="AS1146" t="s">
        <v>3250</v>
      </c>
      <c r="AT1146" t="s">
        <v>3250</v>
      </c>
      <c r="AU1146" t="s">
        <v>3250</v>
      </c>
      <c r="AV1146" t="s">
        <v>3250</v>
      </c>
      <c r="AW1146" t="s">
        <v>3250</v>
      </c>
      <c r="AX1146" t="s">
        <v>3250</v>
      </c>
      <c r="AY1146" t="s">
        <v>3250</v>
      </c>
      <c r="AZ1146" t="s">
        <v>3250</v>
      </c>
      <c r="BA1146" t="s">
        <v>3250</v>
      </c>
      <c r="BB1146" t="s">
        <v>3250</v>
      </c>
      <c r="BC1146" t="s">
        <v>3250</v>
      </c>
      <c r="BE1146" t="s">
        <v>3250</v>
      </c>
      <c r="BF1146" t="s">
        <v>3250</v>
      </c>
      <c r="BG1146" t="s">
        <v>3250</v>
      </c>
      <c r="BH1146" t="s">
        <v>3250</v>
      </c>
      <c r="BI1146" t="s">
        <v>3250</v>
      </c>
      <c r="BK1146" t="s">
        <v>3250</v>
      </c>
      <c r="BL1146" t="s">
        <v>3250</v>
      </c>
      <c r="BM1146" t="s">
        <v>3250</v>
      </c>
      <c r="BN1146" t="s">
        <v>3250</v>
      </c>
      <c r="BP1146">
        <v>1</v>
      </c>
      <c r="BQ1146">
        <v>11</v>
      </c>
      <c r="BR1146" t="s">
        <v>1574</v>
      </c>
      <c r="BS1146" t="s">
        <v>3252</v>
      </c>
      <c r="BV1146">
        <v>612958</v>
      </c>
      <c r="BW1146">
        <v>612958</v>
      </c>
      <c r="BX1146">
        <v>612958</v>
      </c>
      <c r="BY1146">
        <v>0</v>
      </c>
      <c r="BZ1146">
        <v>0</v>
      </c>
      <c r="CA1146">
        <v>0</v>
      </c>
      <c r="CB1146">
        <v>0</v>
      </c>
      <c r="CC1146">
        <v>0</v>
      </c>
      <c r="CD1146">
        <v>612958</v>
      </c>
      <c r="CE1146" t="s">
        <v>3108</v>
      </c>
      <c r="CF1146" t="s">
        <v>3108</v>
      </c>
      <c r="CG1146" t="s">
        <v>3108</v>
      </c>
      <c r="CH1146" t="s">
        <v>3108</v>
      </c>
    </row>
    <row r="1147" spans="1:86" x14ac:dyDescent="0.2">
      <c r="A1147" t="s">
        <v>4973</v>
      </c>
      <c r="B1147" t="s">
        <v>4973</v>
      </c>
      <c r="C1147">
        <v>41624</v>
      </c>
      <c r="D1147">
        <v>893</v>
      </c>
      <c r="E1147" t="s">
        <v>3766</v>
      </c>
      <c r="F1147" t="s">
        <v>3249</v>
      </c>
      <c r="G1147" t="s">
        <v>3249</v>
      </c>
      <c r="H1147" t="s">
        <v>3250</v>
      </c>
      <c r="I1147" t="s">
        <v>3250</v>
      </c>
      <c r="J1147" t="s">
        <v>3250</v>
      </c>
      <c r="K1147" t="s">
        <v>3250</v>
      </c>
      <c r="L1147">
        <v>1200</v>
      </c>
      <c r="M1147" t="s">
        <v>2368</v>
      </c>
      <c r="N1147">
        <v>1204</v>
      </c>
      <c r="O1147" t="s">
        <v>1574</v>
      </c>
      <c r="P1147" t="s">
        <v>3108</v>
      </c>
      <c r="Q1147" t="s">
        <v>3249</v>
      </c>
      <c r="R1147" t="s">
        <v>3249</v>
      </c>
      <c r="S1147" t="s">
        <v>472</v>
      </c>
      <c r="T1147" t="s">
        <v>3251</v>
      </c>
      <c r="U1147">
        <v>140</v>
      </c>
      <c r="V1147" t="s">
        <v>1327</v>
      </c>
      <c r="W1147">
        <v>140</v>
      </c>
      <c r="X1147" t="s">
        <v>1327</v>
      </c>
      <c r="Y1147" t="s">
        <v>3250</v>
      </c>
      <c r="Z1147" t="s">
        <v>3250</v>
      </c>
      <c r="AA1147" t="s">
        <v>3108</v>
      </c>
      <c r="AB1147" t="s">
        <v>3108</v>
      </c>
      <c r="AC1147" t="s">
        <v>3250</v>
      </c>
      <c r="AD1147" t="s">
        <v>3250</v>
      </c>
      <c r="AE1147" t="s">
        <v>3250</v>
      </c>
      <c r="AF1147" t="s">
        <v>3250</v>
      </c>
      <c r="AG1147" t="s">
        <v>3250</v>
      </c>
      <c r="AH1147" t="s">
        <v>3250</v>
      </c>
      <c r="AI1147" t="s">
        <v>3250</v>
      </c>
      <c r="AJ1147" t="s">
        <v>3250</v>
      </c>
      <c r="AL1147">
        <v>147</v>
      </c>
      <c r="AM1147" t="s">
        <v>6</v>
      </c>
      <c r="AN1147">
        <v>147</v>
      </c>
      <c r="AO1147" t="s">
        <v>6</v>
      </c>
      <c r="AS1147" t="s">
        <v>3250</v>
      </c>
      <c r="AT1147" t="s">
        <v>3250</v>
      </c>
      <c r="AU1147" t="s">
        <v>3250</v>
      </c>
      <c r="AV1147" t="s">
        <v>3250</v>
      </c>
      <c r="AW1147" t="s">
        <v>3250</v>
      </c>
      <c r="AX1147" t="s">
        <v>3250</v>
      </c>
      <c r="AY1147" t="s">
        <v>3250</v>
      </c>
      <c r="AZ1147" t="s">
        <v>3250</v>
      </c>
      <c r="BA1147" t="s">
        <v>3250</v>
      </c>
      <c r="BB1147" t="s">
        <v>3250</v>
      </c>
      <c r="BC1147" t="s">
        <v>3250</v>
      </c>
      <c r="BE1147" t="s">
        <v>3250</v>
      </c>
      <c r="BF1147" t="s">
        <v>3250</v>
      </c>
      <c r="BG1147" t="s">
        <v>3250</v>
      </c>
      <c r="BH1147" t="s">
        <v>3250</v>
      </c>
      <c r="BI1147" t="s">
        <v>3250</v>
      </c>
      <c r="BK1147" t="s">
        <v>3250</v>
      </c>
      <c r="BL1147" t="s">
        <v>3250</v>
      </c>
      <c r="BM1147" t="s">
        <v>3250</v>
      </c>
      <c r="BN1147" t="s">
        <v>3250</v>
      </c>
      <c r="BP1147">
        <v>1</v>
      </c>
      <c r="BQ1147">
        <v>11</v>
      </c>
      <c r="BR1147" t="s">
        <v>1574</v>
      </c>
      <c r="BS1147" t="s">
        <v>3252</v>
      </c>
      <c r="BV1147">
        <v>0</v>
      </c>
      <c r="BW1147">
        <v>0</v>
      </c>
      <c r="BX1147">
        <v>0</v>
      </c>
      <c r="BY1147">
        <v>0</v>
      </c>
      <c r="BZ1147">
        <v>0</v>
      </c>
      <c r="CA1147">
        <v>0</v>
      </c>
      <c r="CB1147">
        <v>0</v>
      </c>
      <c r="CC1147">
        <v>0</v>
      </c>
      <c r="CD1147">
        <v>0</v>
      </c>
      <c r="CE1147" t="s">
        <v>3108</v>
      </c>
      <c r="CF1147" t="s">
        <v>3108</v>
      </c>
      <c r="CG1147" t="s">
        <v>3108</v>
      </c>
      <c r="CH1147" t="s">
        <v>3108</v>
      </c>
    </row>
    <row r="1148" spans="1:86" x14ac:dyDescent="0.2">
      <c r="A1148" t="s">
        <v>4974</v>
      </c>
      <c r="B1148" t="s">
        <v>4974</v>
      </c>
      <c r="C1148">
        <v>41625</v>
      </c>
      <c r="D1148">
        <v>894</v>
      </c>
      <c r="E1148" t="s">
        <v>4975</v>
      </c>
      <c r="F1148" t="s">
        <v>3249</v>
      </c>
      <c r="G1148" t="s">
        <v>3249</v>
      </c>
      <c r="H1148" t="s">
        <v>3250</v>
      </c>
      <c r="I1148" t="s">
        <v>3250</v>
      </c>
      <c r="J1148" t="s">
        <v>3250</v>
      </c>
      <c r="K1148" t="s">
        <v>3250</v>
      </c>
      <c r="L1148">
        <v>1200</v>
      </c>
      <c r="M1148" t="s">
        <v>2368</v>
      </c>
      <c r="N1148">
        <v>1204</v>
      </c>
      <c r="O1148" t="s">
        <v>1574</v>
      </c>
      <c r="P1148" t="s">
        <v>3108</v>
      </c>
      <c r="Q1148" t="s">
        <v>3249</v>
      </c>
      <c r="R1148" t="s">
        <v>3249</v>
      </c>
      <c r="S1148" t="s">
        <v>472</v>
      </c>
      <c r="T1148" t="s">
        <v>3251</v>
      </c>
      <c r="U1148">
        <v>140</v>
      </c>
      <c r="V1148" t="s">
        <v>1327</v>
      </c>
      <c r="W1148">
        <v>140</v>
      </c>
      <c r="X1148" t="s">
        <v>1327</v>
      </c>
      <c r="Y1148" t="s">
        <v>3250</v>
      </c>
      <c r="Z1148" t="s">
        <v>3250</v>
      </c>
      <c r="AA1148" t="s">
        <v>3108</v>
      </c>
      <c r="AB1148" t="s">
        <v>3108</v>
      </c>
      <c r="AC1148" t="s">
        <v>3250</v>
      </c>
      <c r="AD1148" t="s">
        <v>3250</v>
      </c>
      <c r="AE1148" t="s">
        <v>3250</v>
      </c>
      <c r="AF1148" t="s">
        <v>3250</v>
      </c>
      <c r="AG1148" t="s">
        <v>3250</v>
      </c>
      <c r="AH1148" t="s">
        <v>3250</v>
      </c>
      <c r="AI1148" t="s">
        <v>3250</v>
      </c>
      <c r="AJ1148" t="s">
        <v>3250</v>
      </c>
      <c r="AL1148">
        <v>141</v>
      </c>
      <c r="AM1148" t="s">
        <v>1327</v>
      </c>
      <c r="AN1148">
        <v>141</v>
      </c>
      <c r="AO1148" t="s">
        <v>1327</v>
      </c>
      <c r="AS1148" t="s">
        <v>3250</v>
      </c>
      <c r="AT1148" t="s">
        <v>3250</v>
      </c>
      <c r="AU1148" t="s">
        <v>3250</v>
      </c>
      <c r="AV1148" t="s">
        <v>3250</v>
      </c>
      <c r="AW1148" t="s">
        <v>3250</v>
      </c>
      <c r="AX1148" t="s">
        <v>3250</v>
      </c>
      <c r="AY1148" t="s">
        <v>3250</v>
      </c>
      <c r="AZ1148" t="s">
        <v>3250</v>
      </c>
      <c r="BA1148" t="s">
        <v>3250</v>
      </c>
      <c r="BB1148" t="s">
        <v>3250</v>
      </c>
      <c r="BC1148" t="s">
        <v>3250</v>
      </c>
      <c r="BE1148" t="s">
        <v>3250</v>
      </c>
      <c r="BF1148" t="s">
        <v>3250</v>
      </c>
      <c r="BG1148" t="s">
        <v>3250</v>
      </c>
      <c r="BH1148" t="s">
        <v>3250</v>
      </c>
      <c r="BI1148" t="s">
        <v>3250</v>
      </c>
      <c r="BK1148" t="s">
        <v>3250</v>
      </c>
      <c r="BL1148" t="s">
        <v>3250</v>
      </c>
      <c r="BM1148" t="s">
        <v>3250</v>
      </c>
      <c r="BN1148" t="s">
        <v>3250</v>
      </c>
      <c r="BP1148">
        <v>1</v>
      </c>
      <c r="BQ1148">
        <v>11</v>
      </c>
      <c r="BR1148" t="s">
        <v>1574</v>
      </c>
      <c r="BS1148" t="s">
        <v>3252</v>
      </c>
      <c r="BV1148">
        <v>10130863</v>
      </c>
      <c r="BW1148">
        <v>7020247</v>
      </c>
      <c r="BX1148">
        <v>4317718</v>
      </c>
      <c r="BY1148">
        <v>0</v>
      </c>
      <c r="BZ1148">
        <v>0</v>
      </c>
      <c r="CA1148">
        <v>0</v>
      </c>
      <c r="CB1148">
        <v>0</v>
      </c>
      <c r="CC1148">
        <v>0</v>
      </c>
      <c r="CD1148">
        <v>12872828</v>
      </c>
      <c r="CE1148" t="s">
        <v>3108</v>
      </c>
      <c r="CF1148" t="s">
        <v>3108</v>
      </c>
      <c r="CG1148" t="s">
        <v>3108</v>
      </c>
      <c r="CH1148" t="s">
        <v>3108</v>
      </c>
    </row>
    <row r="1149" spans="1:86" x14ac:dyDescent="0.2">
      <c r="A1149" t="s">
        <v>4976</v>
      </c>
      <c r="B1149" t="s">
        <v>4976</v>
      </c>
      <c r="C1149">
        <v>41626</v>
      </c>
      <c r="D1149">
        <v>895</v>
      </c>
      <c r="E1149" t="s">
        <v>3768</v>
      </c>
      <c r="F1149" t="s">
        <v>3249</v>
      </c>
      <c r="G1149" t="s">
        <v>3249</v>
      </c>
      <c r="H1149" t="s">
        <v>3250</v>
      </c>
      <c r="I1149" t="s">
        <v>3250</v>
      </c>
      <c r="J1149" t="s">
        <v>3250</v>
      </c>
      <c r="K1149" t="s">
        <v>3250</v>
      </c>
      <c r="L1149">
        <v>1200</v>
      </c>
      <c r="M1149" t="s">
        <v>2368</v>
      </c>
      <c r="N1149">
        <v>1204</v>
      </c>
      <c r="O1149" t="s">
        <v>1574</v>
      </c>
      <c r="P1149" t="s">
        <v>3108</v>
      </c>
      <c r="Q1149" t="s">
        <v>3249</v>
      </c>
      <c r="R1149" t="s">
        <v>3249</v>
      </c>
      <c r="S1149" t="s">
        <v>472</v>
      </c>
      <c r="T1149" t="s">
        <v>3251</v>
      </c>
      <c r="U1149">
        <v>140</v>
      </c>
      <c r="V1149" t="s">
        <v>1327</v>
      </c>
      <c r="W1149">
        <v>140</v>
      </c>
      <c r="X1149" t="s">
        <v>1327</v>
      </c>
      <c r="Y1149" t="s">
        <v>3250</v>
      </c>
      <c r="Z1149" t="s">
        <v>3250</v>
      </c>
      <c r="AA1149" t="s">
        <v>3108</v>
      </c>
      <c r="AB1149" t="s">
        <v>3108</v>
      </c>
      <c r="AC1149" t="s">
        <v>3250</v>
      </c>
      <c r="AD1149" t="s">
        <v>3250</v>
      </c>
      <c r="AE1149" t="s">
        <v>3250</v>
      </c>
      <c r="AF1149" t="s">
        <v>3250</v>
      </c>
      <c r="AG1149" t="s">
        <v>3250</v>
      </c>
      <c r="AH1149" t="s">
        <v>3250</v>
      </c>
      <c r="AI1149" t="s">
        <v>3250</v>
      </c>
      <c r="AJ1149" t="s">
        <v>3250</v>
      </c>
      <c r="AL1149">
        <v>141</v>
      </c>
      <c r="AM1149" t="s">
        <v>1327</v>
      </c>
      <c r="AN1149">
        <v>141</v>
      </c>
      <c r="AO1149" t="s">
        <v>1327</v>
      </c>
      <c r="AS1149" t="s">
        <v>3250</v>
      </c>
      <c r="AT1149" t="s">
        <v>3250</v>
      </c>
      <c r="AU1149" t="s">
        <v>3250</v>
      </c>
      <c r="AV1149" t="s">
        <v>3250</v>
      </c>
      <c r="AW1149" t="s">
        <v>3250</v>
      </c>
      <c r="AX1149" t="s">
        <v>3250</v>
      </c>
      <c r="AY1149" t="s">
        <v>3250</v>
      </c>
      <c r="AZ1149" t="s">
        <v>3250</v>
      </c>
      <c r="BA1149" t="s">
        <v>3250</v>
      </c>
      <c r="BB1149" t="s">
        <v>3250</v>
      </c>
      <c r="BC1149" t="s">
        <v>3250</v>
      </c>
      <c r="BE1149" t="s">
        <v>3250</v>
      </c>
      <c r="BF1149" t="s">
        <v>3250</v>
      </c>
      <c r="BG1149" t="s">
        <v>3250</v>
      </c>
      <c r="BH1149" t="s">
        <v>3250</v>
      </c>
      <c r="BI1149" t="s">
        <v>3250</v>
      </c>
      <c r="BK1149" t="s">
        <v>3250</v>
      </c>
      <c r="BL1149" t="s">
        <v>3250</v>
      </c>
      <c r="BM1149" t="s">
        <v>3250</v>
      </c>
      <c r="BN1149" t="s">
        <v>3250</v>
      </c>
      <c r="BP1149">
        <v>1</v>
      </c>
      <c r="BQ1149">
        <v>11</v>
      </c>
      <c r="BR1149" t="s">
        <v>1574</v>
      </c>
      <c r="BS1149" t="s">
        <v>3252</v>
      </c>
      <c r="BV1149">
        <v>19994</v>
      </c>
      <c r="BW1149">
        <v>19994</v>
      </c>
      <c r="BX1149">
        <v>19994</v>
      </c>
      <c r="BY1149">
        <v>0</v>
      </c>
      <c r="BZ1149">
        <v>0</v>
      </c>
      <c r="CA1149">
        <v>0</v>
      </c>
      <c r="CB1149">
        <v>0</v>
      </c>
      <c r="CC1149">
        <v>0</v>
      </c>
      <c r="CD1149">
        <v>19994</v>
      </c>
      <c r="CE1149" t="s">
        <v>3108</v>
      </c>
      <c r="CF1149" t="s">
        <v>3108</v>
      </c>
      <c r="CG1149" t="s">
        <v>3108</v>
      </c>
      <c r="CH1149" t="s">
        <v>3108</v>
      </c>
    </row>
    <row r="1150" spans="1:86" x14ac:dyDescent="0.2">
      <c r="A1150" t="s">
        <v>4977</v>
      </c>
      <c r="B1150" t="s">
        <v>4977</v>
      </c>
      <c r="C1150">
        <v>41627</v>
      </c>
      <c r="D1150">
        <v>896</v>
      </c>
      <c r="E1150" t="s">
        <v>3684</v>
      </c>
      <c r="F1150" t="s">
        <v>3249</v>
      </c>
      <c r="G1150" t="s">
        <v>3249</v>
      </c>
      <c r="H1150" t="s">
        <v>3250</v>
      </c>
      <c r="I1150" t="s">
        <v>3250</v>
      </c>
      <c r="J1150" t="s">
        <v>3250</v>
      </c>
      <c r="K1150" t="s">
        <v>3250</v>
      </c>
      <c r="L1150">
        <v>1200</v>
      </c>
      <c r="M1150" t="s">
        <v>2368</v>
      </c>
      <c r="N1150">
        <v>1204</v>
      </c>
      <c r="O1150" t="s">
        <v>1574</v>
      </c>
      <c r="P1150" t="s">
        <v>3108</v>
      </c>
      <c r="Q1150" t="s">
        <v>3249</v>
      </c>
      <c r="R1150" t="s">
        <v>3249</v>
      </c>
      <c r="S1150" t="s">
        <v>472</v>
      </c>
      <c r="T1150" t="s">
        <v>3251</v>
      </c>
      <c r="U1150">
        <v>140</v>
      </c>
      <c r="V1150" t="s">
        <v>1327</v>
      </c>
      <c r="W1150">
        <v>140</v>
      </c>
      <c r="X1150" t="s">
        <v>1327</v>
      </c>
      <c r="Y1150" t="s">
        <v>3250</v>
      </c>
      <c r="Z1150" t="s">
        <v>3250</v>
      </c>
      <c r="AA1150" t="s">
        <v>3108</v>
      </c>
      <c r="AB1150" t="s">
        <v>3108</v>
      </c>
      <c r="AC1150" t="s">
        <v>3250</v>
      </c>
      <c r="AD1150" t="s">
        <v>3250</v>
      </c>
      <c r="AE1150" t="s">
        <v>3250</v>
      </c>
      <c r="AF1150" t="s">
        <v>3250</v>
      </c>
      <c r="AG1150" t="s">
        <v>3250</v>
      </c>
      <c r="AH1150" t="s">
        <v>3250</v>
      </c>
      <c r="AI1150" t="s">
        <v>3250</v>
      </c>
      <c r="AJ1150" t="s">
        <v>3250</v>
      </c>
      <c r="AL1150">
        <v>141</v>
      </c>
      <c r="AM1150" t="s">
        <v>1327</v>
      </c>
      <c r="AN1150">
        <v>141</v>
      </c>
      <c r="AO1150" t="s">
        <v>1327</v>
      </c>
      <c r="AS1150" t="s">
        <v>3250</v>
      </c>
      <c r="AT1150" t="s">
        <v>3250</v>
      </c>
      <c r="AU1150" t="s">
        <v>3250</v>
      </c>
      <c r="AV1150" t="s">
        <v>3250</v>
      </c>
      <c r="AW1150" t="s">
        <v>3250</v>
      </c>
      <c r="AX1150" t="s">
        <v>3250</v>
      </c>
      <c r="AY1150" t="s">
        <v>3250</v>
      </c>
      <c r="AZ1150" t="s">
        <v>3250</v>
      </c>
      <c r="BA1150" t="s">
        <v>3250</v>
      </c>
      <c r="BB1150" t="s">
        <v>3250</v>
      </c>
      <c r="BC1150" t="s">
        <v>3250</v>
      </c>
      <c r="BE1150" t="s">
        <v>3250</v>
      </c>
      <c r="BF1150" t="s">
        <v>3250</v>
      </c>
      <c r="BG1150" t="s">
        <v>3250</v>
      </c>
      <c r="BH1150" t="s">
        <v>3250</v>
      </c>
      <c r="BI1150" t="s">
        <v>3250</v>
      </c>
      <c r="BK1150" t="s">
        <v>3250</v>
      </c>
      <c r="BL1150" t="s">
        <v>3250</v>
      </c>
      <c r="BM1150" t="s">
        <v>3250</v>
      </c>
      <c r="BN1150" t="s">
        <v>3250</v>
      </c>
      <c r="BP1150">
        <v>1</v>
      </c>
      <c r="BQ1150">
        <v>11</v>
      </c>
      <c r="BR1150" t="s">
        <v>1574</v>
      </c>
      <c r="BS1150" t="s">
        <v>3252</v>
      </c>
      <c r="BV1150">
        <v>0</v>
      </c>
      <c r="BW1150">
        <v>0</v>
      </c>
      <c r="BX1150">
        <v>0</v>
      </c>
      <c r="BY1150">
        <v>0</v>
      </c>
      <c r="BZ1150">
        <v>0</v>
      </c>
      <c r="CA1150">
        <v>0</v>
      </c>
      <c r="CB1150">
        <v>0</v>
      </c>
      <c r="CC1150">
        <v>0</v>
      </c>
      <c r="CD1150">
        <v>0</v>
      </c>
      <c r="CE1150" t="s">
        <v>3108</v>
      </c>
      <c r="CF1150" t="s">
        <v>3108</v>
      </c>
      <c r="CG1150" t="s">
        <v>3108</v>
      </c>
      <c r="CH1150" t="s">
        <v>3108</v>
      </c>
    </row>
    <row r="1151" spans="1:86" x14ac:dyDescent="0.2">
      <c r="A1151" t="s">
        <v>4978</v>
      </c>
      <c r="B1151" t="s">
        <v>4978</v>
      </c>
      <c r="C1151">
        <v>41628</v>
      </c>
      <c r="D1151">
        <v>897</v>
      </c>
      <c r="E1151" t="s">
        <v>4979</v>
      </c>
      <c r="F1151" t="s">
        <v>3249</v>
      </c>
      <c r="G1151" t="s">
        <v>3249</v>
      </c>
      <c r="H1151" t="s">
        <v>3250</v>
      </c>
      <c r="I1151" t="s">
        <v>3250</v>
      </c>
      <c r="J1151" t="s">
        <v>3250</v>
      </c>
      <c r="K1151" t="s">
        <v>3250</v>
      </c>
      <c r="L1151">
        <v>1200</v>
      </c>
      <c r="M1151" t="s">
        <v>2368</v>
      </c>
      <c r="N1151">
        <v>1204</v>
      </c>
      <c r="O1151" t="s">
        <v>1574</v>
      </c>
      <c r="P1151" t="s">
        <v>3108</v>
      </c>
      <c r="Q1151" t="s">
        <v>3249</v>
      </c>
      <c r="R1151" t="s">
        <v>3249</v>
      </c>
      <c r="S1151" t="s">
        <v>472</v>
      </c>
      <c r="T1151" t="s">
        <v>3251</v>
      </c>
      <c r="U1151">
        <v>140</v>
      </c>
      <c r="V1151" t="s">
        <v>1327</v>
      </c>
      <c r="W1151">
        <v>140</v>
      </c>
      <c r="X1151" t="s">
        <v>1327</v>
      </c>
      <c r="Y1151" t="s">
        <v>3250</v>
      </c>
      <c r="Z1151" t="s">
        <v>3250</v>
      </c>
      <c r="AA1151" t="s">
        <v>3108</v>
      </c>
      <c r="AB1151" t="s">
        <v>3108</v>
      </c>
      <c r="AC1151" t="s">
        <v>3250</v>
      </c>
      <c r="AD1151" t="s">
        <v>3250</v>
      </c>
      <c r="AE1151" t="s">
        <v>3250</v>
      </c>
      <c r="AF1151" t="s">
        <v>3250</v>
      </c>
      <c r="AG1151" t="s">
        <v>3250</v>
      </c>
      <c r="AH1151" t="s">
        <v>3250</v>
      </c>
      <c r="AI1151" t="s">
        <v>3250</v>
      </c>
      <c r="AJ1151" t="s">
        <v>3250</v>
      </c>
      <c r="AL1151">
        <v>141</v>
      </c>
      <c r="AM1151" t="s">
        <v>1327</v>
      </c>
      <c r="AN1151">
        <v>141</v>
      </c>
      <c r="AO1151" t="s">
        <v>1327</v>
      </c>
      <c r="AS1151" t="s">
        <v>3250</v>
      </c>
      <c r="AT1151" t="s">
        <v>3250</v>
      </c>
      <c r="AU1151" t="s">
        <v>3250</v>
      </c>
      <c r="AV1151" t="s">
        <v>3250</v>
      </c>
      <c r="AW1151" t="s">
        <v>3250</v>
      </c>
      <c r="AX1151" t="s">
        <v>3250</v>
      </c>
      <c r="AY1151" t="s">
        <v>3250</v>
      </c>
      <c r="AZ1151" t="s">
        <v>3250</v>
      </c>
      <c r="BA1151" t="s">
        <v>3250</v>
      </c>
      <c r="BB1151" t="s">
        <v>3250</v>
      </c>
      <c r="BC1151" t="s">
        <v>3250</v>
      </c>
      <c r="BE1151" t="s">
        <v>3250</v>
      </c>
      <c r="BF1151" t="s">
        <v>3250</v>
      </c>
      <c r="BG1151" t="s">
        <v>3250</v>
      </c>
      <c r="BH1151" t="s">
        <v>3250</v>
      </c>
      <c r="BI1151" t="s">
        <v>3250</v>
      </c>
      <c r="BK1151" t="s">
        <v>3250</v>
      </c>
      <c r="BL1151" t="s">
        <v>3250</v>
      </c>
      <c r="BM1151" t="s">
        <v>3250</v>
      </c>
      <c r="BN1151" t="s">
        <v>3250</v>
      </c>
      <c r="BP1151">
        <v>1</v>
      </c>
      <c r="BQ1151">
        <v>11</v>
      </c>
      <c r="BR1151" t="s">
        <v>1574</v>
      </c>
      <c r="BS1151" t="s">
        <v>3252</v>
      </c>
      <c r="BV1151">
        <v>49693</v>
      </c>
      <c r="BW1151">
        <v>49693</v>
      </c>
      <c r="BX1151">
        <v>68716</v>
      </c>
      <c r="BY1151">
        <v>0</v>
      </c>
      <c r="BZ1151">
        <v>0</v>
      </c>
      <c r="CA1151">
        <v>0</v>
      </c>
      <c r="CB1151">
        <v>0</v>
      </c>
      <c r="CC1151">
        <v>0</v>
      </c>
      <c r="CD1151">
        <v>49693</v>
      </c>
      <c r="CE1151" t="s">
        <v>3108</v>
      </c>
      <c r="CF1151" t="s">
        <v>3108</v>
      </c>
      <c r="CG1151" t="s">
        <v>3108</v>
      </c>
      <c r="CH1151" t="s">
        <v>3108</v>
      </c>
    </row>
    <row r="1152" spans="1:86" x14ac:dyDescent="0.2">
      <c r="A1152" t="s">
        <v>4980</v>
      </c>
      <c r="B1152" t="s">
        <v>4980</v>
      </c>
      <c r="C1152">
        <v>41629</v>
      </c>
      <c r="D1152">
        <v>898</v>
      </c>
      <c r="E1152" t="s">
        <v>3662</v>
      </c>
      <c r="F1152" t="s">
        <v>3249</v>
      </c>
      <c r="G1152" t="s">
        <v>3249</v>
      </c>
      <c r="H1152" t="s">
        <v>3250</v>
      </c>
      <c r="I1152" t="s">
        <v>3250</v>
      </c>
      <c r="J1152" t="s">
        <v>3250</v>
      </c>
      <c r="K1152" t="s">
        <v>3250</v>
      </c>
      <c r="L1152">
        <v>1200</v>
      </c>
      <c r="M1152" t="s">
        <v>2368</v>
      </c>
      <c r="N1152">
        <v>1204</v>
      </c>
      <c r="O1152" t="s">
        <v>1574</v>
      </c>
      <c r="P1152" t="s">
        <v>3108</v>
      </c>
      <c r="Q1152" t="s">
        <v>3249</v>
      </c>
      <c r="R1152" t="s">
        <v>3249</v>
      </c>
      <c r="S1152" t="s">
        <v>472</v>
      </c>
      <c r="T1152" t="s">
        <v>3251</v>
      </c>
      <c r="U1152">
        <v>140</v>
      </c>
      <c r="V1152" t="s">
        <v>1327</v>
      </c>
      <c r="W1152">
        <v>140</v>
      </c>
      <c r="X1152" t="s">
        <v>1327</v>
      </c>
      <c r="Y1152" t="s">
        <v>3250</v>
      </c>
      <c r="Z1152" t="s">
        <v>3250</v>
      </c>
      <c r="AA1152" t="s">
        <v>3108</v>
      </c>
      <c r="AB1152" t="s">
        <v>3108</v>
      </c>
      <c r="AC1152" t="s">
        <v>3250</v>
      </c>
      <c r="AD1152" t="s">
        <v>3250</v>
      </c>
      <c r="AE1152" t="s">
        <v>3250</v>
      </c>
      <c r="AF1152" t="s">
        <v>3250</v>
      </c>
      <c r="AG1152" t="s">
        <v>3250</v>
      </c>
      <c r="AH1152" t="s">
        <v>3250</v>
      </c>
      <c r="AI1152" t="s">
        <v>3250</v>
      </c>
      <c r="AJ1152" t="s">
        <v>3250</v>
      </c>
      <c r="AL1152">
        <v>141</v>
      </c>
      <c r="AM1152" t="s">
        <v>1327</v>
      </c>
      <c r="AN1152">
        <v>141</v>
      </c>
      <c r="AO1152" t="s">
        <v>1327</v>
      </c>
      <c r="AS1152" t="s">
        <v>3250</v>
      </c>
      <c r="AT1152" t="s">
        <v>3250</v>
      </c>
      <c r="AU1152" t="s">
        <v>3250</v>
      </c>
      <c r="AV1152" t="s">
        <v>3250</v>
      </c>
      <c r="AW1152" t="s">
        <v>3250</v>
      </c>
      <c r="AX1152" t="s">
        <v>3250</v>
      </c>
      <c r="AY1152" t="s">
        <v>3250</v>
      </c>
      <c r="AZ1152" t="s">
        <v>3250</v>
      </c>
      <c r="BA1152" t="s">
        <v>3250</v>
      </c>
      <c r="BB1152" t="s">
        <v>3250</v>
      </c>
      <c r="BC1152" t="s">
        <v>3250</v>
      </c>
      <c r="BE1152" t="s">
        <v>3250</v>
      </c>
      <c r="BF1152" t="s">
        <v>3250</v>
      </c>
      <c r="BG1152" t="s">
        <v>3250</v>
      </c>
      <c r="BH1152" t="s">
        <v>3250</v>
      </c>
      <c r="BI1152" t="s">
        <v>3250</v>
      </c>
      <c r="BK1152" t="s">
        <v>3250</v>
      </c>
      <c r="BL1152" t="s">
        <v>3250</v>
      </c>
      <c r="BM1152" t="s">
        <v>3250</v>
      </c>
      <c r="BN1152" t="s">
        <v>3250</v>
      </c>
      <c r="BP1152">
        <v>1</v>
      </c>
      <c r="BQ1152">
        <v>11</v>
      </c>
      <c r="BR1152" t="s">
        <v>1574</v>
      </c>
      <c r="BS1152" t="s">
        <v>3252</v>
      </c>
      <c r="BV1152">
        <v>0</v>
      </c>
      <c r="BW1152">
        <v>0</v>
      </c>
      <c r="BX1152">
        <v>0</v>
      </c>
      <c r="BY1152">
        <v>0</v>
      </c>
      <c r="BZ1152">
        <v>0</v>
      </c>
      <c r="CA1152">
        <v>0</v>
      </c>
      <c r="CB1152">
        <v>0</v>
      </c>
      <c r="CC1152">
        <v>0</v>
      </c>
      <c r="CD1152">
        <v>0</v>
      </c>
      <c r="CE1152" t="s">
        <v>3108</v>
      </c>
      <c r="CF1152" t="s">
        <v>3108</v>
      </c>
      <c r="CG1152" t="s">
        <v>3108</v>
      </c>
      <c r="CH1152" t="s">
        <v>3108</v>
      </c>
    </row>
    <row r="1153" spans="1:86" x14ac:dyDescent="0.2">
      <c r="A1153" t="s">
        <v>4981</v>
      </c>
      <c r="B1153" t="s">
        <v>4981</v>
      </c>
      <c r="C1153">
        <v>41630</v>
      </c>
      <c r="D1153">
        <v>899</v>
      </c>
      <c r="E1153" t="s">
        <v>3770</v>
      </c>
      <c r="F1153" t="s">
        <v>3249</v>
      </c>
      <c r="G1153" t="s">
        <v>3249</v>
      </c>
      <c r="H1153" t="s">
        <v>3250</v>
      </c>
      <c r="I1153" t="s">
        <v>3250</v>
      </c>
      <c r="J1153" t="s">
        <v>3250</v>
      </c>
      <c r="K1153" t="s">
        <v>3250</v>
      </c>
      <c r="L1153">
        <v>1200</v>
      </c>
      <c r="M1153" t="s">
        <v>2368</v>
      </c>
      <c r="N1153">
        <v>1204</v>
      </c>
      <c r="O1153" t="s">
        <v>1574</v>
      </c>
      <c r="P1153" t="s">
        <v>3108</v>
      </c>
      <c r="Q1153" t="s">
        <v>3249</v>
      </c>
      <c r="R1153" t="s">
        <v>3249</v>
      </c>
      <c r="S1153" t="s">
        <v>472</v>
      </c>
      <c r="T1153" t="s">
        <v>3251</v>
      </c>
      <c r="U1153">
        <v>140</v>
      </c>
      <c r="V1153" t="s">
        <v>1327</v>
      </c>
      <c r="W1153">
        <v>140</v>
      </c>
      <c r="X1153" t="s">
        <v>1327</v>
      </c>
      <c r="Y1153" t="s">
        <v>3250</v>
      </c>
      <c r="Z1153" t="s">
        <v>3250</v>
      </c>
      <c r="AA1153" t="s">
        <v>3108</v>
      </c>
      <c r="AB1153" t="s">
        <v>3108</v>
      </c>
      <c r="AC1153" t="s">
        <v>3250</v>
      </c>
      <c r="AD1153" t="s">
        <v>3250</v>
      </c>
      <c r="AE1153" t="s">
        <v>3250</v>
      </c>
      <c r="AF1153" t="s">
        <v>3250</v>
      </c>
      <c r="AG1153" t="s">
        <v>3250</v>
      </c>
      <c r="AH1153" t="s">
        <v>3250</v>
      </c>
      <c r="AI1153" t="s">
        <v>3250</v>
      </c>
      <c r="AJ1153" t="s">
        <v>3250</v>
      </c>
      <c r="AL1153">
        <v>141</v>
      </c>
      <c r="AM1153" t="s">
        <v>1327</v>
      </c>
      <c r="AN1153">
        <v>141</v>
      </c>
      <c r="AO1153" t="s">
        <v>1327</v>
      </c>
      <c r="AS1153" t="s">
        <v>3250</v>
      </c>
      <c r="AT1153" t="s">
        <v>3250</v>
      </c>
      <c r="AU1153" t="s">
        <v>3250</v>
      </c>
      <c r="AV1153" t="s">
        <v>3250</v>
      </c>
      <c r="AW1153" t="s">
        <v>3250</v>
      </c>
      <c r="AX1153" t="s">
        <v>3250</v>
      </c>
      <c r="AY1153" t="s">
        <v>3250</v>
      </c>
      <c r="AZ1153" t="s">
        <v>3250</v>
      </c>
      <c r="BA1153" t="s">
        <v>3250</v>
      </c>
      <c r="BB1153" t="s">
        <v>3250</v>
      </c>
      <c r="BC1153" t="s">
        <v>3250</v>
      </c>
      <c r="BE1153" t="s">
        <v>3250</v>
      </c>
      <c r="BF1153" t="s">
        <v>3250</v>
      </c>
      <c r="BG1153" t="s">
        <v>3250</v>
      </c>
      <c r="BH1153" t="s">
        <v>3250</v>
      </c>
      <c r="BI1153" t="s">
        <v>3250</v>
      </c>
      <c r="BK1153" t="s">
        <v>3250</v>
      </c>
      <c r="BL1153" t="s">
        <v>3250</v>
      </c>
      <c r="BM1153" t="s">
        <v>3250</v>
      </c>
      <c r="BN1153" t="s">
        <v>3250</v>
      </c>
      <c r="BP1153">
        <v>1</v>
      </c>
      <c r="BQ1153">
        <v>11</v>
      </c>
      <c r="BR1153" t="s">
        <v>1574</v>
      </c>
      <c r="BS1153" t="s">
        <v>3252</v>
      </c>
      <c r="BV1153">
        <v>0</v>
      </c>
      <c r="BW1153">
        <v>0</v>
      </c>
      <c r="BX1153">
        <v>0</v>
      </c>
      <c r="BY1153">
        <v>0</v>
      </c>
      <c r="BZ1153">
        <v>0</v>
      </c>
      <c r="CA1153">
        <v>0</v>
      </c>
      <c r="CB1153">
        <v>0</v>
      </c>
      <c r="CC1153">
        <v>0</v>
      </c>
      <c r="CD1153">
        <v>0</v>
      </c>
      <c r="CE1153" t="s">
        <v>3108</v>
      </c>
      <c r="CF1153" t="s">
        <v>3108</v>
      </c>
      <c r="CG1153" t="s">
        <v>3108</v>
      </c>
      <c r="CH1153" t="s">
        <v>3108</v>
      </c>
    </row>
    <row r="1154" spans="1:86" x14ac:dyDescent="0.2">
      <c r="A1154" t="s">
        <v>4982</v>
      </c>
      <c r="B1154" t="s">
        <v>4982</v>
      </c>
      <c r="C1154">
        <v>41631</v>
      </c>
      <c r="D1154">
        <v>900</v>
      </c>
      <c r="E1154" t="s">
        <v>3664</v>
      </c>
      <c r="F1154" t="s">
        <v>3249</v>
      </c>
      <c r="G1154" t="s">
        <v>3249</v>
      </c>
      <c r="H1154" t="s">
        <v>3250</v>
      </c>
      <c r="I1154" t="s">
        <v>3250</v>
      </c>
      <c r="J1154" t="s">
        <v>3250</v>
      </c>
      <c r="K1154" t="s">
        <v>3250</v>
      </c>
      <c r="L1154">
        <v>1200</v>
      </c>
      <c r="M1154" t="s">
        <v>2368</v>
      </c>
      <c r="N1154">
        <v>1204</v>
      </c>
      <c r="O1154" t="s">
        <v>1574</v>
      </c>
      <c r="P1154" t="s">
        <v>3108</v>
      </c>
      <c r="Q1154" t="s">
        <v>3249</v>
      </c>
      <c r="R1154" t="s">
        <v>3249</v>
      </c>
      <c r="S1154" t="s">
        <v>472</v>
      </c>
      <c r="T1154" t="s">
        <v>3251</v>
      </c>
      <c r="U1154">
        <v>140</v>
      </c>
      <c r="V1154" t="s">
        <v>1327</v>
      </c>
      <c r="W1154">
        <v>140</v>
      </c>
      <c r="X1154" t="s">
        <v>1327</v>
      </c>
      <c r="Y1154" t="s">
        <v>3250</v>
      </c>
      <c r="Z1154" t="s">
        <v>3250</v>
      </c>
      <c r="AA1154" t="s">
        <v>3108</v>
      </c>
      <c r="AB1154" t="s">
        <v>3108</v>
      </c>
      <c r="AC1154" t="s">
        <v>3250</v>
      </c>
      <c r="AD1154" t="s">
        <v>3250</v>
      </c>
      <c r="AE1154" t="s">
        <v>3250</v>
      </c>
      <c r="AF1154" t="s">
        <v>3250</v>
      </c>
      <c r="AG1154" t="s">
        <v>3250</v>
      </c>
      <c r="AH1154" t="s">
        <v>3250</v>
      </c>
      <c r="AI1154" t="s">
        <v>3250</v>
      </c>
      <c r="AJ1154" t="s">
        <v>3250</v>
      </c>
      <c r="AL1154">
        <v>141</v>
      </c>
      <c r="AM1154" t="s">
        <v>1327</v>
      </c>
      <c r="AN1154">
        <v>141</v>
      </c>
      <c r="AO1154" t="s">
        <v>1327</v>
      </c>
      <c r="AS1154" t="s">
        <v>3250</v>
      </c>
      <c r="AT1154" t="s">
        <v>3250</v>
      </c>
      <c r="AU1154" t="s">
        <v>3250</v>
      </c>
      <c r="AV1154" t="s">
        <v>3250</v>
      </c>
      <c r="AW1154" t="s">
        <v>3250</v>
      </c>
      <c r="AX1154" t="s">
        <v>3250</v>
      </c>
      <c r="AY1154" t="s">
        <v>3250</v>
      </c>
      <c r="AZ1154" t="s">
        <v>3250</v>
      </c>
      <c r="BA1154" t="s">
        <v>3250</v>
      </c>
      <c r="BB1154" t="s">
        <v>3250</v>
      </c>
      <c r="BC1154" t="s">
        <v>3250</v>
      </c>
      <c r="BE1154" t="s">
        <v>3250</v>
      </c>
      <c r="BF1154" t="s">
        <v>3250</v>
      </c>
      <c r="BG1154" t="s">
        <v>3250</v>
      </c>
      <c r="BH1154" t="s">
        <v>3250</v>
      </c>
      <c r="BI1154" t="s">
        <v>3250</v>
      </c>
      <c r="BK1154" t="s">
        <v>3250</v>
      </c>
      <c r="BL1154" t="s">
        <v>3250</v>
      </c>
      <c r="BM1154" t="s">
        <v>3250</v>
      </c>
      <c r="BN1154" t="s">
        <v>3250</v>
      </c>
      <c r="BP1154">
        <v>1</v>
      </c>
      <c r="BQ1154">
        <v>11</v>
      </c>
      <c r="BR1154" t="s">
        <v>1574</v>
      </c>
      <c r="BS1154" t="s">
        <v>3252</v>
      </c>
      <c r="BV1154">
        <v>-587</v>
      </c>
      <c r="BW1154">
        <v>0</v>
      </c>
      <c r="BX1154">
        <v>0</v>
      </c>
      <c r="BY1154">
        <v>0</v>
      </c>
      <c r="BZ1154">
        <v>0</v>
      </c>
      <c r="CA1154">
        <v>0</v>
      </c>
      <c r="CB1154">
        <v>0</v>
      </c>
      <c r="CC1154">
        <v>0</v>
      </c>
      <c r="CD1154">
        <v>-587</v>
      </c>
      <c r="CE1154" t="s">
        <v>3108</v>
      </c>
      <c r="CF1154" t="s">
        <v>3108</v>
      </c>
      <c r="CG1154" t="s">
        <v>3108</v>
      </c>
      <c r="CH1154" t="s">
        <v>3108</v>
      </c>
    </row>
    <row r="1155" spans="1:86" x14ac:dyDescent="0.2">
      <c r="A1155" t="s">
        <v>4983</v>
      </c>
      <c r="B1155" t="s">
        <v>4983</v>
      </c>
      <c r="C1155">
        <v>41632</v>
      </c>
      <c r="D1155">
        <v>901</v>
      </c>
      <c r="E1155" t="s">
        <v>3748</v>
      </c>
      <c r="F1155" t="s">
        <v>3249</v>
      </c>
      <c r="G1155" t="s">
        <v>3249</v>
      </c>
      <c r="H1155" t="s">
        <v>3250</v>
      </c>
      <c r="I1155" t="s">
        <v>3250</v>
      </c>
      <c r="J1155" t="s">
        <v>3250</v>
      </c>
      <c r="K1155" t="s">
        <v>3250</v>
      </c>
      <c r="L1155">
        <v>1200</v>
      </c>
      <c r="M1155" t="s">
        <v>2368</v>
      </c>
      <c r="N1155">
        <v>1204</v>
      </c>
      <c r="O1155" t="s">
        <v>1574</v>
      </c>
      <c r="P1155" t="s">
        <v>3108</v>
      </c>
      <c r="Q1155" t="s">
        <v>3249</v>
      </c>
      <c r="R1155" t="s">
        <v>3249</v>
      </c>
      <c r="S1155" t="s">
        <v>472</v>
      </c>
      <c r="T1155" t="s">
        <v>3251</v>
      </c>
      <c r="U1155">
        <v>140</v>
      </c>
      <c r="V1155" t="s">
        <v>1327</v>
      </c>
      <c r="W1155">
        <v>140</v>
      </c>
      <c r="X1155" t="s">
        <v>1327</v>
      </c>
      <c r="Y1155" t="s">
        <v>3250</v>
      </c>
      <c r="Z1155" t="s">
        <v>3250</v>
      </c>
      <c r="AA1155" t="s">
        <v>3108</v>
      </c>
      <c r="AB1155" t="s">
        <v>3108</v>
      </c>
      <c r="AC1155" t="s">
        <v>3250</v>
      </c>
      <c r="AD1155" t="s">
        <v>3250</v>
      </c>
      <c r="AE1155" t="s">
        <v>3250</v>
      </c>
      <c r="AF1155" t="s">
        <v>3250</v>
      </c>
      <c r="AG1155" t="s">
        <v>3250</v>
      </c>
      <c r="AH1155" t="s">
        <v>3250</v>
      </c>
      <c r="AI1155" t="s">
        <v>3250</v>
      </c>
      <c r="AJ1155" t="s">
        <v>3250</v>
      </c>
      <c r="AL1155">
        <v>141</v>
      </c>
      <c r="AM1155" t="s">
        <v>1327</v>
      </c>
      <c r="AN1155">
        <v>141</v>
      </c>
      <c r="AO1155" t="s">
        <v>1327</v>
      </c>
      <c r="AS1155" t="s">
        <v>3250</v>
      </c>
      <c r="AT1155" t="s">
        <v>3250</v>
      </c>
      <c r="AU1155" t="s">
        <v>3250</v>
      </c>
      <c r="AV1155" t="s">
        <v>3250</v>
      </c>
      <c r="AW1155" t="s">
        <v>3250</v>
      </c>
      <c r="AX1155" t="s">
        <v>3250</v>
      </c>
      <c r="AY1155" t="s">
        <v>3250</v>
      </c>
      <c r="AZ1155" t="s">
        <v>3250</v>
      </c>
      <c r="BA1155" t="s">
        <v>3250</v>
      </c>
      <c r="BB1155" t="s">
        <v>3250</v>
      </c>
      <c r="BC1155" t="s">
        <v>3250</v>
      </c>
      <c r="BE1155" t="s">
        <v>3250</v>
      </c>
      <c r="BF1155" t="s">
        <v>3250</v>
      </c>
      <c r="BG1155" t="s">
        <v>3250</v>
      </c>
      <c r="BH1155" t="s">
        <v>3250</v>
      </c>
      <c r="BI1155" t="s">
        <v>3250</v>
      </c>
      <c r="BK1155" t="s">
        <v>3250</v>
      </c>
      <c r="BL1155" t="s">
        <v>3250</v>
      </c>
      <c r="BM1155" t="s">
        <v>3250</v>
      </c>
      <c r="BN1155" t="s">
        <v>3250</v>
      </c>
      <c r="BP1155">
        <v>1</v>
      </c>
      <c r="BQ1155">
        <v>11</v>
      </c>
      <c r="BR1155" t="s">
        <v>1574</v>
      </c>
      <c r="BS1155" t="s">
        <v>3252</v>
      </c>
      <c r="BV1155">
        <v>0</v>
      </c>
      <c r="BW1155">
        <v>0</v>
      </c>
      <c r="BX1155">
        <v>0</v>
      </c>
      <c r="BY1155">
        <v>0</v>
      </c>
      <c r="BZ1155">
        <v>0</v>
      </c>
      <c r="CA1155">
        <v>0</v>
      </c>
      <c r="CB1155">
        <v>0</v>
      </c>
      <c r="CC1155">
        <v>0</v>
      </c>
      <c r="CD1155">
        <v>0</v>
      </c>
      <c r="CE1155" t="s">
        <v>3108</v>
      </c>
      <c r="CF1155" t="s">
        <v>3108</v>
      </c>
      <c r="CG1155" t="s">
        <v>3108</v>
      </c>
      <c r="CH1155" t="s">
        <v>3108</v>
      </c>
    </row>
    <row r="1156" spans="1:86" x14ac:dyDescent="0.2">
      <c r="A1156" t="s">
        <v>4984</v>
      </c>
      <c r="B1156" t="s">
        <v>4984</v>
      </c>
      <c r="C1156">
        <v>41633</v>
      </c>
      <c r="D1156">
        <v>902</v>
      </c>
      <c r="E1156" t="s">
        <v>3666</v>
      </c>
      <c r="F1156" t="s">
        <v>3249</v>
      </c>
      <c r="G1156" t="s">
        <v>3249</v>
      </c>
      <c r="H1156" t="s">
        <v>3250</v>
      </c>
      <c r="I1156" t="s">
        <v>3250</v>
      </c>
      <c r="J1156" t="s">
        <v>3250</v>
      </c>
      <c r="K1156" t="s">
        <v>3250</v>
      </c>
      <c r="L1156">
        <v>1200</v>
      </c>
      <c r="M1156" t="s">
        <v>2368</v>
      </c>
      <c r="N1156">
        <v>1204</v>
      </c>
      <c r="O1156" t="s">
        <v>1574</v>
      </c>
      <c r="P1156" t="s">
        <v>3108</v>
      </c>
      <c r="Q1156" t="s">
        <v>3249</v>
      </c>
      <c r="R1156" t="s">
        <v>3249</v>
      </c>
      <c r="S1156" t="s">
        <v>472</v>
      </c>
      <c r="T1156" t="s">
        <v>3251</v>
      </c>
      <c r="U1156">
        <v>140</v>
      </c>
      <c r="V1156" t="s">
        <v>1327</v>
      </c>
      <c r="W1156">
        <v>140</v>
      </c>
      <c r="X1156" t="s">
        <v>1327</v>
      </c>
      <c r="Y1156" t="s">
        <v>3250</v>
      </c>
      <c r="Z1156" t="s">
        <v>3250</v>
      </c>
      <c r="AA1156" t="s">
        <v>3108</v>
      </c>
      <c r="AB1156" t="s">
        <v>3108</v>
      </c>
      <c r="AC1156" t="s">
        <v>3250</v>
      </c>
      <c r="AD1156" t="s">
        <v>3250</v>
      </c>
      <c r="AE1156" t="s">
        <v>3250</v>
      </c>
      <c r="AF1156" t="s">
        <v>3250</v>
      </c>
      <c r="AG1156" t="s">
        <v>3250</v>
      </c>
      <c r="AH1156" t="s">
        <v>3250</v>
      </c>
      <c r="AI1156" t="s">
        <v>3250</v>
      </c>
      <c r="AJ1156" t="s">
        <v>3250</v>
      </c>
      <c r="AL1156">
        <v>147</v>
      </c>
      <c r="AM1156" t="s">
        <v>6</v>
      </c>
      <c r="AN1156">
        <v>147</v>
      </c>
      <c r="AO1156" t="s">
        <v>6</v>
      </c>
      <c r="AS1156" t="s">
        <v>3250</v>
      </c>
      <c r="AT1156" t="s">
        <v>3250</v>
      </c>
      <c r="AU1156" t="s">
        <v>3250</v>
      </c>
      <c r="AV1156" t="s">
        <v>3250</v>
      </c>
      <c r="AW1156" t="s">
        <v>3250</v>
      </c>
      <c r="AX1156" t="s">
        <v>3250</v>
      </c>
      <c r="AY1156" t="s">
        <v>3250</v>
      </c>
      <c r="AZ1156" t="s">
        <v>3250</v>
      </c>
      <c r="BA1156" t="s">
        <v>3250</v>
      </c>
      <c r="BB1156" t="s">
        <v>3250</v>
      </c>
      <c r="BC1156" t="s">
        <v>3250</v>
      </c>
      <c r="BE1156" t="s">
        <v>3250</v>
      </c>
      <c r="BF1156" t="s">
        <v>3250</v>
      </c>
      <c r="BG1156" t="s">
        <v>3250</v>
      </c>
      <c r="BH1156" t="s">
        <v>3250</v>
      </c>
      <c r="BI1156" t="s">
        <v>3250</v>
      </c>
      <c r="BK1156" t="s">
        <v>3250</v>
      </c>
      <c r="BL1156" t="s">
        <v>3250</v>
      </c>
      <c r="BM1156" t="s">
        <v>3250</v>
      </c>
      <c r="BN1156" t="s">
        <v>3250</v>
      </c>
      <c r="BP1156">
        <v>1</v>
      </c>
      <c r="BQ1156">
        <v>11</v>
      </c>
      <c r="BR1156" t="s">
        <v>1574</v>
      </c>
      <c r="BS1156" t="s">
        <v>3252</v>
      </c>
      <c r="BV1156">
        <v>0</v>
      </c>
      <c r="BW1156">
        <v>0</v>
      </c>
      <c r="BX1156">
        <v>0</v>
      </c>
      <c r="BY1156">
        <v>0</v>
      </c>
      <c r="BZ1156">
        <v>0</v>
      </c>
      <c r="CA1156">
        <v>0</v>
      </c>
      <c r="CB1156">
        <v>0</v>
      </c>
      <c r="CC1156">
        <v>0</v>
      </c>
      <c r="CD1156">
        <v>0</v>
      </c>
      <c r="CE1156" t="s">
        <v>3108</v>
      </c>
      <c r="CF1156" t="s">
        <v>3108</v>
      </c>
      <c r="CG1156" t="s">
        <v>3108</v>
      </c>
      <c r="CH1156" t="s">
        <v>3108</v>
      </c>
    </row>
    <row r="1157" spans="1:86" x14ac:dyDescent="0.2">
      <c r="A1157" t="s">
        <v>4985</v>
      </c>
      <c r="B1157" t="s">
        <v>4985</v>
      </c>
      <c r="C1157">
        <v>41634</v>
      </c>
      <c r="D1157">
        <v>903</v>
      </c>
      <c r="E1157" t="s">
        <v>3750</v>
      </c>
      <c r="F1157" t="s">
        <v>3249</v>
      </c>
      <c r="G1157" t="s">
        <v>3249</v>
      </c>
      <c r="H1157" t="s">
        <v>3250</v>
      </c>
      <c r="I1157" t="s">
        <v>3250</v>
      </c>
      <c r="J1157" t="s">
        <v>3250</v>
      </c>
      <c r="K1157" t="s">
        <v>3250</v>
      </c>
      <c r="L1157">
        <v>1200</v>
      </c>
      <c r="M1157" t="s">
        <v>2368</v>
      </c>
      <c r="N1157">
        <v>1204</v>
      </c>
      <c r="O1157" t="s">
        <v>1574</v>
      </c>
      <c r="P1157" t="s">
        <v>3108</v>
      </c>
      <c r="Q1157" t="s">
        <v>3249</v>
      </c>
      <c r="R1157" t="s">
        <v>3249</v>
      </c>
      <c r="S1157" t="s">
        <v>472</v>
      </c>
      <c r="T1157" t="s">
        <v>3251</v>
      </c>
      <c r="U1157">
        <v>140</v>
      </c>
      <c r="V1157" t="s">
        <v>1327</v>
      </c>
      <c r="W1157">
        <v>140</v>
      </c>
      <c r="X1157" t="s">
        <v>1327</v>
      </c>
      <c r="Y1157" t="s">
        <v>3250</v>
      </c>
      <c r="Z1157" t="s">
        <v>3250</v>
      </c>
      <c r="AA1157" t="s">
        <v>3108</v>
      </c>
      <c r="AB1157" t="s">
        <v>3108</v>
      </c>
      <c r="AC1157" t="s">
        <v>3250</v>
      </c>
      <c r="AD1157" t="s">
        <v>3250</v>
      </c>
      <c r="AE1157" t="s">
        <v>3250</v>
      </c>
      <c r="AF1157" t="s">
        <v>3250</v>
      </c>
      <c r="AG1157" t="s">
        <v>3250</v>
      </c>
      <c r="AH1157" t="s">
        <v>3250</v>
      </c>
      <c r="AI1157" t="s">
        <v>3250</v>
      </c>
      <c r="AJ1157" t="s">
        <v>3250</v>
      </c>
      <c r="AL1157">
        <v>141</v>
      </c>
      <c r="AM1157" t="s">
        <v>1327</v>
      </c>
      <c r="AN1157">
        <v>141</v>
      </c>
      <c r="AO1157" t="s">
        <v>1327</v>
      </c>
      <c r="AS1157" t="s">
        <v>3250</v>
      </c>
      <c r="AT1157" t="s">
        <v>3250</v>
      </c>
      <c r="AU1157" t="s">
        <v>3250</v>
      </c>
      <c r="AV1157" t="s">
        <v>3250</v>
      </c>
      <c r="AW1157" t="s">
        <v>3250</v>
      </c>
      <c r="AX1157" t="s">
        <v>3250</v>
      </c>
      <c r="AY1157" t="s">
        <v>3250</v>
      </c>
      <c r="AZ1157" t="s">
        <v>3250</v>
      </c>
      <c r="BA1157" t="s">
        <v>3250</v>
      </c>
      <c r="BB1157" t="s">
        <v>3250</v>
      </c>
      <c r="BC1157" t="s">
        <v>3250</v>
      </c>
      <c r="BE1157" t="s">
        <v>3250</v>
      </c>
      <c r="BF1157" t="s">
        <v>3250</v>
      </c>
      <c r="BG1157" t="s">
        <v>3250</v>
      </c>
      <c r="BH1157" t="s">
        <v>3250</v>
      </c>
      <c r="BI1157" t="s">
        <v>3250</v>
      </c>
      <c r="BK1157" t="s">
        <v>3250</v>
      </c>
      <c r="BL1157" t="s">
        <v>3250</v>
      </c>
      <c r="BM1157" t="s">
        <v>3250</v>
      </c>
      <c r="BN1157" t="s">
        <v>3250</v>
      </c>
      <c r="BP1157">
        <v>1</v>
      </c>
      <c r="BQ1157">
        <v>11</v>
      </c>
      <c r="BR1157" t="s">
        <v>1574</v>
      </c>
      <c r="BS1157" t="s">
        <v>3252</v>
      </c>
      <c r="BV1157">
        <v>0</v>
      </c>
      <c r="BW1157">
        <v>0</v>
      </c>
      <c r="BX1157">
        <v>0</v>
      </c>
      <c r="BY1157">
        <v>0</v>
      </c>
      <c r="BZ1157">
        <v>0</v>
      </c>
      <c r="CA1157">
        <v>0</v>
      </c>
      <c r="CB1157">
        <v>0</v>
      </c>
      <c r="CC1157">
        <v>0</v>
      </c>
      <c r="CD1157">
        <v>0</v>
      </c>
      <c r="CE1157" t="s">
        <v>3108</v>
      </c>
      <c r="CF1157" t="s">
        <v>3108</v>
      </c>
      <c r="CG1157" t="s">
        <v>3108</v>
      </c>
      <c r="CH1157" t="s">
        <v>3108</v>
      </c>
    </row>
    <row r="1158" spans="1:86" x14ac:dyDescent="0.2">
      <c r="A1158" t="s">
        <v>4986</v>
      </c>
      <c r="B1158" t="s">
        <v>4986</v>
      </c>
      <c r="C1158">
        <v>41635</v>
      </c>
      <c r="D1158">
        <v>904</v>
      </c>
      <c r="E1158" t="s">
        <v>3668</v>
      </c>
      <c r="F1158" t="s">
        <v>3249</v>
      </c>
      <c r="G1158" t="s">
        <v>3249</v>
      </c>
      <c r="H1158" t="s">
        <v>3250</v>
      </c>
      <c r="I1158" t="s">
        <v>3250</v>
      </c>
      <c r="J1158" t="s">
        <v>3250</v>
      </c>
      <c r="K1158" t="s">
        <v>3250</v>
      </c>
      <c r="L1158">
        <v>1200</v>
      </c>
      <c r="M1158" t="s">
        <v>2368</v>
      </c>
      <c r="N1158">
        <v>1204</v>
      </c>
      <c r="O1158" t="s">
        <v>1574</v>
      </c>
      <c r="P1158" t="s">
        <v>3108</v>
      </c>
      <c r="Q1158" t="s">
        <v>3249</v>
      </c>
      <c r="R1158" t="s">
        <v>3249</v>
      </c>
      <c r="S1158" t="s">
        <v>472</v>
      </c>
      <c r="T1158" t="s">
        <v>3251</v>
      </c>
      <c r="U1158">
        <v>140</v>
      </c>
      <c r="V1158" t="s">
        <v>1327</v>
      </c>
      <c r="W1158">
        <v>140</v>
      </c>
      <c r="X1158" t="s">
        <v>1327</v>
      </c>
      <c r="Y1158" t="s">
        <v>3250</v>
      </c>
      <c r="Z1158" t="s">
        <v>3250</v>
      </c>
      <c r="AA1158" t="s">
        <v>3108</v>
      </c>
      <c r="AB1158" t="s">
        <v>3108</v>
      </c>
      <c r="AC1158" t="s">
        <v>3250</v>
      </c>
      <c r="AD1158" t="s">
        <v>3250</v>
      </c>
      <c r="AE1158" t="s">
        <v>3250</v>
      </c>
      <c r="AF1158" t="s">
        <v>3250</v>
      </c>
      <c r="AG1158" t="s">
        <v>3250</v>
      </c>
      <c r="AH1158" t="s">
        <v>3250</v>
      </c>
      <c r="AI1158" t="s">
        <v>3250</v>
      </c>
      <c r="AJ1158" t="s">
        <v>3250</v>
      </c>
      <c r="AL1158">
        <v>141</v>
      </c>
      <c r="AM1158" t="s">
        <v>1327</v>
      </c>
      <c r="AN1158">
        <v>141</v>
      </c>
      <c r="AO1158" t="s">
        <v>1327</v>
      </c>
      <c r="AS1158" t="s">
        <v>3250</v>
      </c>
      <c r="AT1158" t="s">
        <v>3250</v>
      </c>
      <c r="AU1158" t="s">
        <v>3250</v>
      </c>
      <c r="AV1158" t="s">
        <v>3250</v>
      </c>
      <c r="AW1158" t="s">
        <v>3250</v>
      </c>
      <c r="AX1158" t="s">
        <v>3250</v>
      </c>
      <c r="AY1158" t="s">
        <v>3250</v>
      </c>
      <c r="AZ1158" t="s">
        <v>3250</v>
      </c>
      <c r="BA1158" t="s">
        <v>3250</v>
      </c>
      <c r="BB1158" t="s">
        <v>3250</v>
      </c>
      <c r="BC1158" t="s">
        <v>3250</v>
      </c>
      <c r="BE1158" t="s">
        <v>3250</v>
      </c>
      <c r="BF1158" t="s">
        <v>3250</v>
      </c>
      <c r="BG1158" t="s">
        <v>3250</v>
      </c>
      <c r="BH1158" t="s">
        <v>3250</v>
      </c>
      <c r="BI1158" t="s">
        <v>3250</v>
      </c>
      <c r="BK1158" t="s">
        <v>3250</v>
      </c>
      <c r="BL1158" t="s">
        <v>3250</v>
      </c>
      <c r="BM1158" t="s">
        <v>3250</v>
      </c>
      <c r="BN1158" t="s">
        <v>3250</v>
      </c>
      <c r="BP1158">
        <v>1</v>
      </c>
      <c r="BQ1158">
        <v>11</v>
      </c>
      <c r="BR1158" t="s">
        <v>1574</v>
      </c>
      <c r="BS1158" t="s">
        <v>3252</v>
      </c>
      <c r="BV1158">
        <v>0</v>
      </c>
      <c r="BW1158">
        <v>0</v>
      </c>
      <c r="BX1158">
        <v>0</v>
      </c>
      <c r="BY1158">
        <v>0</v>
      </c>
      <c r="BZ1158">
        <v>0</v>
      </c>
      <c r="CA1158">
        <v>0</v>
      </c>
      <c r="CB1158">
        <v>0</v>
      </c>
      <c r="CC1158">
        <v>0</v>
      </c>
      <c r="CD1158">
        <v>0</v>
      </c>
      <c r="CE1158" t="s">
        <v>3108</v>
      </c>
      <c r="CF1158" t="s">
        <v>3108</v>
      </c>
      <c r="CG1158" t="s">
        <v>3108</v>
      </c>
      <c r="CH1158" t="s">
        <v>3108</v>
      </c>
    </row>
    <row r="1159" spans="1:86" x14ac:dyDescent="0.2">
      <c r="A1159" t="s">
        <v>4987</v>
      </c>
      <c r="B1159" t="s">
        <v>4987</v>
      </c>
      <c r="C1159">
        <v>41636</v>
      </c>
      <c r="D1159">
        <v>905</v>
      </c>
      <c r="E1159" t="s">
        <v>3752</v>
      </c>
      <c r="F1159" t="s">
        <v>3249</v>
      </c>
      <c r="G1159" t="s">
        <v>3249</v>
      </c>
      <c r="H1159" t="s">
        <v>3250</v>
      </c>
      <c r="I1159" t="s">
        <v>3250</v>
      </c>
      <c r="J1159" t="s">
        <v>3250</v>
      </c>
      <c r="K1159" t="s">
        <v>3250</v>
      </c>
      <c r="L1159">
        <v>1200</v>
      </c>
      <c r="M1159" t="s">
        <v>2368</v>
      </c>
      <c r="N1159">
        <v>1204</v>
      </c>
      <c r="O1159" t="s">
        <v>1574</v>
      </c>
      <c r="P1159" t="s">
        <v>3108</v>
      </c>
      <c r="Q1159" t="s">
        <v>3249</v>
      </c>
      <c r="R1159" t="s">
        <v>3249</v>
      </c>
      <c r="S1159" t="s">
        <v>472</v>
      </c>
      <c r="T1159" t="s">
        <v>3251</v>
      </c>
      <c r="U1159">
        <v>140</v>
      </c>
      <c r="V1159" t="s">
        <v>1327</v>
      </c>
      <c r="W1159">
        <v>140</v>
      </c>
      <c r="X1159" t="s">
        <v>1327</v>
      </c>
      <c r="Y1159" t="s">
        <v>3250</v>
      </c>
      <c r="Z1159" t="s">
        <v>3250</v>
      </c>
      <c r="AA1159" t="s">
        <v>3108</v>
      </c>
      <c r="AB1159" t="s">
        <v>3108</v>
      </c>
      <c r="AC1159" t="s">
        <v>3250</v>
      </c>
      <c r="AD1159" t="s">
        <v>3250</v>
      </c>
      <c r="AE1159" t="s">
        <v>3250</v>
      </c>
      <c r="AF1159" t="s">
        <v>3250</v>
      </c>
      <c r="AG1159" t="s">
        <v>3250</v>
      </c>
      <c r="AH1159" t="s">
        <v>3250</v>
      </c>
      <c r="AI1159" t="s">
        <v>3250</v>
      </c>
      <c r="AJ1159" t="s">
        <v>3250</v>
      </c>
      <c r="AL1159">
        <v>147</v>
      </c>
      <c r="AM1159" t="s">
        <v>6</v>
      </c>
      <c r="AN1159">
        <v>147</v>
      </c>
      <c r="AO1159" t="s">
        <v>6</v>
      </c>
      <c r="AS1159" t="s">
        <v>3250</v>
      </c>
      <c r="AT1159" t="s">
        <v>3250</v>
      </c>
      <c r="AU1159" t="s">
        <v>3250</v>
      </c>
      <c r="AV1159" t="s">
        <v>3250</v>
      </c>
      <c r="AW1159" t="s">
        <v>3250</v>
      </c>
      <c r="AX1159" t="s">
        <v>3250</v>
      </c>
      <c r="AY1159" t="s">
        <v>3250</v>
      </c>
      <c r="AZ1159" t="s">
        <v>3250</v>
      </c>
      <c r="BA1159" t="s">
        <v>3250</v>
      </c>
      <c r="BB1159" t="s">
        <v>3250</v>
      </c>
      <c r="BC1159" t="s">
        <v>3250</v>
      </c>
      <c r="BE1159" t="s">
        <v>3250</v>
      </c>
      <c r="BF1159" t="s">
        <v>3250</v>
      </c>
      <c r="BG1159" t="s">
        <v>3250</v>
      </c>
      <c r="BH1159" t="s">
        <v>3250</v>
      </c>
      <c r="BI1159" t="s">
        <v>3250</v>
      </c>
      <c r="BK1159" t="s">
        <v>3250</v>
      </c>
      <c r="BL1159" t="s">
        <v>3250</v>
      </c>
      <c r="BM1159" t="s">
        <v>3250</v>
      </c>
      <c r="BN1159" t="s">
        <v>3250</v>
      </c>
      <c r="BP1159">
        <v>1</v>
      </c>
      <c r="BQ1159">
        <v>11</v>
      </c>
      <c r="BR1159" t="s">
        <v>1574</v>
      </c>
      <c r="BS1159" t="s">
        <v>3252</v>
      </c>
      <c r="BV1159">
        <v>0</v>
      </c>
      <c r="BW1159">
        <v>0</v>
      </c>
      <c r="BX1159">
        <v>0</v>
      </c>
      <c r="BY1159">
        <v>0</v>
      </c>
      <c r="BZ1159">
        <v>0</v>
      </c>
      <c r="CA1159">
        <v>0</v>
      </c>
      <c r="CB1159">
        <v>0</v>
      </c>
      <c r="CC1159">
        <v>0</v>
      </c>
      <c r="CD1159">
        <v>0</v>
      </c>
      <c r="CE1159" t="s">
        <v>3108</v>
      </c>
      <c r="CF1159" t="s">
        <v>3108</v>
      </c>
      <c r="CG1159" t="s">
        <v>3108</v>
      </c>
      <c r="CH1159" t="s">
        <v>3108</v>
      </c>
    </row>
    <row r="1160" spans="1:86" x14ac:dyDescent="0.2">
      <c r="A1160" t="s">
        <v>4988</v>
      </c>
      <c r="B1160" t="s">
        <v>4988</v>
      </c>
      <c r="C1160">
        <v>41637</v>
      </c>
      <c r="D1160">
        <v>906</v>
      </c>
      <c r="E1160" t="s">
        <v>3670</v>
      </c>
      <c r="F1160" t="s">
        <v>3249</v>
      </c>
      <c r="G1160" t="s">
        <v>3249</v>
      </c>
      <c r="H1160" t="s">
        <v>3250</v>
      </c>
      <c r="I1160" t="s">
        <v>3250</v>
      </c>
      <c r="J1160" t="s">
        <v>3250</v>
      </c>
      <c r="K1160" t="s">
        <v>3250</v>
      </c>
      <c r="L1160">
        <v>1200</v>
      </c>
      <c r="M1160" t="s">
        <v>2368</v>
      </c>
      <c r="N1160">
        <v>1204</v>
      </c>
      <c r="O1160" t="s">
        <v>1574</v>
      </c>
      <c r="P1160" t="s">
        <v>3108</v>
      </c>
      <c r="Q1160" t="s">
        <v>3249</v>
      </c>
      <c r="R1160" t="s">
        <v>3249</v>
      </c>
      <c r="S1160" t="s">
        <v>472</v>
      </c>
      <c r="T1160" t="s">
        <v>3251</v>
      </c>
      <c r="U1160">
        <v>140</v>
      </c>
      <c r="V1160" t="s">
        <v>1327</v>
      </c>
      <c r="W1160">
        <v>140</v>
      </c>
      <c r="X1160" t="s">
        <v>1327</v>
      </c>
      <c r="Y1160" t="s">
        <v>3250</v>
      </c>
      <c r="Z1160" t="s">
        <v>3250</v>
      </c>
      <c r="AA1160" t="s">
        <v>3108</v>
      </c>
      <c r="AB1160" t="s">
        <v>3108</v>
      </c>
      <c r="AC1160" t="s">
        <v>3250</v>
      </c>
      <c r="AD1160" t="s">
        <v>3250</v>
      </c>
      <c r="AE1160" t="s">
        <v>3250</v>
      </c>
      <c r="AF1160" t="s">
        <v>3250</v>
      </c>
      <c r="AG1160" t="s">
        <v>3250</v>
      </c>
      <c r="AH1160" t="s">
        <v>3250</v>
      </c>
      <c r="AI1160" t="s">
        <v>3250</v>
      </c>
      <c r="AJ1160" t="s">
        <v>3250</v>
      </c>
      <c r="AL1160">
        <v>141</v>
      </c>
      <c r="AM1160" t="s">
        <v>1327</v>
      </c>
      <c r="AN1160">
        <v>141</v>
      </c>
      <c r="AO1160" t="s">
        <v>1327</v>
      </c>
      <c r="AS1160" t="s">
        <v>3250</v>
      </c>
      <c r="AT1160" t="s">
        <v>3250</v>
      </c>
      <c r="AU1160" t="s">
        <v>3250</v>
      </c>
      <c r="AV1160" t="s">
        <v>3250</v>
      </c>
      <c r="AW1160" t="s">
        <v>3250</v>
      </c>
      <c r="AX1160" t="s">
        <v>3250</v>
      </c>
      <c r="AY1160" t="s">
        <v>3250</v>
      </c>
      <c r="AZ1160" t="s">
        <v>3250</v>
      </c>
      <c r="BA1160" t="s">
        <v>3250</v>
      </c>
      <c r="BB1160" t="s">
        <v>3250</v>
      </c>
      <c r="BC1160" t="s">
        <v>3250</v>
      </c>
      <c r="BE1160" t="s">
        <v>3250</v>
      </c>
      <c r="BF1160" t="s">
        <v>3250</v>
      </c>
      <c r="BG1160" t="s">
        <v>3250</v>
      </c>
      <c r="BH1160" t="s">
        <v>3250</v>
      </c>
      <c r="BI1160" t="s">
        <v>3250</v>
      </c>
      <c r="BK1160" t="s">
        <v>3250</v>
      </c>
      <c r="BL1160" t="s">
        <v>3250</v>
      </c>
      <c r="BM1160" t="s">
        <v>3250</v>
      </c>
      <c r="BN1160" t="s">
        <v>3250</v>
      </c>
      <c r="BP1160">
        <v>1</v>
      </c>
      <c r="BQ1160">
        <v>11</v>
      </c>
      <c r="BR1160" t="s">
        <v>1574</v>
      </c>
      <c r="BS1160" t="s">
        <v>3252</v>
      </c>
      <c r="BV1160">
        <v>1474387</v>
      </c>
      <c r="BW1160">
        <v>0</v>
      </c>
      <c r="BX1160">
        <v>0</v>
      </c>
      <c r="BY1160">
        <v>0</v>
      </c>
      <c r="BZ1160">
        <v>0</v>
      </c>
      <c r="CA1160">
        <v>0</v>
      </c>
      <c r="CB1160">
        <v>0</v>
      </c>
      <c r="CC1160">
        <v>0</v>
      </c>
      <c r="CD1160">
        <v>2807245</v>
      </c>
      <c r="CE1160" t="s">
        <v>3108</v>
      </c>
      <c r="CF1160" t="s">
        <v>3108</v>
      </c>
      <c r="CG1160" t="s">
        <v>3108</v>
      </c>
      <c r="CH1160" t="s">
        <v>3108</v>
      </c>
    </row>
    <row r="1161" spans="1:86" x14ac:dyDescent="0.2">
      <c r="A1161" t="s">
        <v>4989</v>
      </c>
      <c r="B1161" t="s">
        <v>4989</v>
      </c>
      <c r="C1161">
        <v>41638</v>
      </c>
      <c r="D1161">
        <v>907</v>
      </c>
      <c r="E1161" t="s">
        <v>3754</v>
      </c>
      <c r="F1161" t="s">
        <v>3249</v>
      </c>
      <c r="G1161" t="s">
        <v>3249</v>
      </c>
      <c r="H1161" t="s">
        <v>3250</v>
      </c>
      <c r="I1161" t="s">
        <v>3250</v>
      </c>
      <c r="J1161" t="s">
        <v>3250</v>
      </c>
      <c r="K1161" t="s">
        <v>3250</v>
      </c>
      <c r="L1161">
        <v>1200</v>
      </c>
      <c r="M1161" t="s">
        <v>2368</v>
      </c>
      <c r="N1161">
        <v>1204</v>
      </c>
      <c r="O1161" t="s">
        <v>1574</v>
      </c>
      <c r="P1161" t="s">
        <v>3108</v>
      </c>
      <c r="Q1161" t="s">
        <v>3249</v>
      </c>
      <c r="R1161" t="s">
        <v>3249</v>
      </c>
      <c r="S1161" t="s">
        <v>472</v>
      </c>
      <c r="T1161" t="s">
        <v>3251</v>
      </c>
      <c r="U1161">
        <v>140</v>
      </c>
      <c r="V1161" t="s">
        <v>1327</v>
      </c>
      <c r="W1161">
        <v>140</v>
      </c>
      <c r="X1161" t="s">
        <v>1327</v>
      </c>
      <c r="Y1161" t="s">
        <v>3250</v>
      </c>
      <c r="Z1161" t="s">
        <v>3250</v>
      </c>
      <c r="AA1161" t="s">
        <v>3108</v>
      </c>
      <c r="AB1161" t="s">
        <v>3108</v>
      </c>
      <c r="AC1161" t="s">
        <v>3250</v>
      </c>
      <c r="AD1161" t="s">
        <v>3250</v>
      </c>
      <c r="AE1161" t="s">
        <v>3250</v>
      </c>
      <c r="AF1161" t="s">
        <v>3250</v>
      </c>
      <c r="AG1161" t="s">
        <v>3250</v>
      </c>
      <c r="AH1161" t="s">
        <v>3250</v>
      </c>
      <c r="AI1161" t="s">
        <v>3250</v>
      </c>
      <c r="AJ1161" t="s">
        <v>3250</v>
      </c>
      <c r="AL1161">
        <v>141</v>
      </c>
      <c r="AM1161" t="s">
        <v>1327</v>
      </c>
      <c r="AN1161">
        <v>141</v>
      </c>
      <c r="AO1161" t="s">
        <v>1327</v>
      </c>
      <c r="AS1161" t="s">
        <v>3250</v>
      </c>
      <c r="AT1161" t="s">
        <v>3250</v>
      </c>
      <c r="AU1161" t="s">
        <v>3250</v>
      </c>
      <c r="AV1161" t="s">
        <v>3250</v>
      </c>
      <c r="AW1161" t="s">
        <v>3250</v>
      </c>
      <c r="AX1161" t="s">
        <v>3250</v>
      </c>
      <c r="AY1161" t="s">
        <v>3250</v>
      </c>
      <c r="AZ1161" t="s">
        <v>3250</v>
      </c>
      <c r="BA1161" t="s">
        <v>3250</v>
      </c>
      <c r="BB1161" t="s">
        <v>3250</v>
      </c>
      <c r="BC1161" t="s">
        <v>3250</v>
      </c>
      <c r="BE1161" t="s">
        <v>3250</v>
      </c>
      <c r="BF1161" t="s">
        <v>3250</v>
      </c>
      <c r="BG1161" t="s">
        <v>3250</v>
      </c>
      <c r="BH1161" t="s">
        <v>3250</v>
      </c>
      <c r="BI1161" t="s">
        <v>3250</v>
      </c>
      <c r="BK1161" t="s">
        <v>3250</v>
      </c>
      <c r="BL1161" t="s">
        <v>3250</v>
      </c>
      <c r="BM1161" t="s">
        <v>3250</v>
      </c>
      <c r="BN1161" t="s">
        <v>3250</v>
      </c>
      <c r="BP1161">
        <v>1</v>
      </c>
      <c r="BQ1161">
        <v>11</v>
      </c>
      <c r="BR1161" t="s">
        <v>1574</v>
      </c>
      <c r="BS1161" t="s">
        <v>3252</v>
      </c>
      <c r="BV1161">
        <v>0</v>
      </c>
      <c r="BW1161">
        <v>0</v>
      </c>
      <c r="BX1161">
        <v>0</v>
      </c>
      <c r="BY1161">
        <v>0</v>
      </c>
      <c r="BZ1161">
        <v>0</v>
      </c>
      <c r="CA1161">
        <v>0</v>
      </c>
      <c r="CB1161">
        <v>0</v>
      </c>
      <c r="CC1161">
        <v>0</v>
      </c>
      <c r="CD1161">
        <v>0</v>
      </c>
      <c r="CE1161" t="s">
        <v>3108</v>
      </c>
      <c r="CF1161" t="s">
        <v>3108</v>
      </c>
      <c r="CG1161" t="s">
        <v>3108</v>
      </c>
      <c r="CH1161" t="s">
        <v>3108</v>
      </c>
    </row>
    <row r="1162" spans="1:86" x14ac:dyDescent="0.2">
      <c r="A1162" t="s">
        <v>4990</v>
      </c>
      <c r="B1162" t="s">
        <v>4990</v>
      </c>
      <c r="C1162">
        <v>41639</v>
      </c>
      <c r="D1162">
        <v>908</v>
      </c>
      <c r="E1162" t="s">
        <v>3672</v>
      </c>
      <c r="F1162" t="s">
        <v>3249</v>
      </c>
      <c r="G1162" t="s">
        <v>3249</v>
      </c>
      <c r="H1162" t="s">
        <v>3250</v>
      </c>
      <c r="I1162" t="s">
        <v>3250</v>
      </c>
      <c r="J1162" t="s">
        <v>3250</v>
      </c>
      <c r="K1162" t="s">
        <v>3250</v>
      </c>
      <c r="L1162">
        <v>1200</v>
      </c>
      <c r="M1162" t="s">
        <v>2368</v>
      </c>
      <c r="N1162">
        <v>1204</v>
      </c>
      <c r="O1162" t="s">
        <v>1574</v>
      </c>
      <c r="P1162" t="s">
        <v>3108</v>
      </c>
      <c r="Q1162" t="s">
        <v>3249</v>
      </c>
      <c r="R1162" t="s">
        <v>3249</v>
      </c>
      <c r="S1162" t="s">
        <v>472</v>
      </c>
      <c r="T1162" t="s">
        <v>3251</v>
      </c>
      <c r="U1162">
        <v>140</v>
      </c>
      <c r="V1162" t="s">
        <v>1327</v>
      </c>
      <c r="W1162">
        <v>140</v>
      </c>
      <c r="X1162" t="s">
        <v>1327</v>
      </c>
      <c r="Y1162" t="s">
        <v>3250</v>
      </c>
      <c r="Z1162" t="s">
        <v>3250</v>
      </c>
      <c r="AA1162" t="s">
        <v>3108</v>
      </c>
      <c r="AB1162" t="s">
        <v>3108</v>
      </c>
      <c r="AC1162" t="s">
        <v>3250</v>
      </c>
      <c r="AD1162" t="s">
        <v>3250</v>
      </c>
      <c r="AE1162" t="s">
        <v>3250</v>
      </c>
      <c r="AF1162" t="s">
        <v>3250</v>
      </c>
      <c r="AG1162" t="s">
        <v>3250</v>
      </c>
      <c r="AH1162" t="s">
        <v>3250</v>
      </c>
      <c r="AI1162" t="s">
        <v>3250</v>
      </c>
      <c r="AJ1162" t="s">
        <v>3250</v>
      </c>
      <c r="AL1162">
        <v>141</v>
      </c>
      <c r="AM1162" t="s">
        <v>1327</v>
      </c>
      <c r="AN1162">
        <v>141</v>
      </c>
      <c r="AO1162" t="s">
        <v>1327</v>
      </c>
      <c r="AS1162" t="s">
        <v>3250</v>
      </c>
      <c r="AT1162" t="s">
        <v>3250</v>
      </c>
      <c r="AU1162" t="s">
        <v>3250</v>
      </c>
      <c r="AV1162" t="s">
        <v>3250</v>
      </c>
      <c r="AW1162" t="s">
        <v>3250</v>
      </c>
      <c r="AX1162" t="s">
        <v>3250</v>
      </c>
      <c r="AY1162" t="s">
        <v>3250</v>
      </c>
      <c r="AZ1162" t="s">
        <v>3250</v>
      </c>
      <c r="BA1162" t="s">
        <v>3250</v>
      </c>
      <c r="BB1162" t="s">
        <v>3250</v>
      </c>
      <c r="BC1162" t="s">
        <v>3250</v>
      </c>
      <c r="BE1162" t="s">
        <v>3250</v>
      </c>
      <c r="BF1162" t="s">
        <v>3250</v>
      </c>
      <c r="BG1162" t="s">
        <v>3250</v>
      </c>
      <c r="BH1162" t="s">
        <v>3250</v>
      </c>
      <c r="BI1162" t="s">
        <v>3250</v>
      </c>
      <c r="BK1162" t="s">
        <v>3250</v>
      </c>
      <c r="BL1162" t="s">
        <v>3250</v>
      </c>
      <c r="BM1162" t="s">
        <v>3250</v>
      </c>
      <c r="BN1162" t="s">
        <v>3250</v>
      </c>
      <c r="BP1162">
        <v>1</v>
      </c>
      <c r="BQ1162">
        <v>11</v>
      </c>
      <c r="BR1162" t="s">
        <v>1574</v>
      </c>
      <c r="BS1162" t="s">
        <v>3252</v>
      </c>
      <c r="BV1162">
        <v>0</v>
      </c>
      <c r="BW1162">
        <v>0</v>
      </c>
      <c r="BX1162">
        <v>0</v>
      </c>
      <c r="BY1162">
        <v>0</v>
      </c>
      <c r="BZ1162">
        <v>0</v>
      </c>
      <c r="CA1162">
        <v>0</v>
      </c>
      <c r="CB1162">
        <v>0</v>
      </c>
      <c r="CC1162">
        <v>0</v>
      </c>
      <c r="CD1162">
        <v>0</v>
      </c>
      <c r="CE1162" t="s">
        <v>3108</v>
      </c>
      <c r="CF1162" t="s">
        <v>3108</v>
      </c>
      <c r="CG1162" t="s">
        <v>3108</v>
      </c>
      <c r="CH1162" t="s">
        <v>3108</v>
      </c>
    </row>
    <row r="1163" spans="1:86" x14ac:dyDescent="0.2">
      <c r="A1163" t="s">
        <v>4991</v>
      </c>
      <c r="B1163" t="s">
        <v>4991</v>
      </c>
      <c r="C1163">
        <v>41640</v>
      </c>
      <c r="D1163">
        <v>909</v>
      </c>
      <c r="E1163" t="s">
        <v>3756</v>
      </c>
      <c r="F1163" t="s">
        <v>3249</v>
      </c>
      <c r="G1163" t="s">
        <v>3249</v>
      </c>
      <c r="H1163" t="s">
        <v>3250</v>
      </c>
      <c r="I1163" t="s">
        <v>3250</v>
      </c>
      <c r="J1163" t="s">
        <v>3250</v>
      </c>
      <c r="K1163" t="s">
        <v>3250</v>
      </c>
      <c r="L1163">
        <v>1200</v>
      </c>
      <c r="M1163" t="s">
        <v>2368</v>
      </c>
      <c r="N1163">
        <v>1204</v>
      </c>
      <c r="O1163" t="s">
        <v>1574</v>
      </c>
      <c r="P1163" t="s">
        <v>3108</v>
      </c>
      <c r="Q1163" t="s">
        <v>3249</v>
      </c>
      <c r="R1163" t="s">
        <v>3249</v>
      </c>
      <c r="S1163" t="s">
        <v>472</v>
      </c>
      <c r="T1163" t="s">
        <v>3251</v>
      </c>
      <c r="U1163">
        <v>140</v>
      </c>
      <c r="V1163" t="s">
        <v>1327</v>
      </c>
      <c r="W1163">
        <v>140</v>
      </c>
      <c r="X1163" t="s">
        <v>1327</v>
      </c>
      <c r="Y1163" t="s">
        <v>3250</v>
      </c>
      <c r="Z1163" t="s">
        <v>3250</v>
      </c>
      <c r="AA1163" t="s">
        <v>3108</v>
      </c>
      <c r="AB1163" t="s">
        <v>3108</v>
      </c>
      <c r="AC1163" t="s">
        <v>3250</v>
      </c>
      <c r="AD1163" t="s">
        <v>3250</v>
      </c>
      <c r="AE1163" t="s">
        <v>3250</v>
      </c>
      <c r="AF1163" t="s">
        <v>3250</v>
      </c>
      <c r="AG1163" t="s">
        <v>3250</v>
      </c>
      <c r="AH1163" t="s">
        <v>3250</v>
      </c>
      <c r="AI1163" t="s">
        <v>3250</v>
      </c>
      <c r="AJ1163" t="s">
        <v>3250</v>
      </c>
      <c r="AL1163">
        <v>141</v>
      </c>
      <c r="AM1163" t="s">
        <v>1327</v>
      </c>
      <c r="AN1163">
        <v>141</v>
      </c>
      <c r="AO1163" t="s">
        <v>1327</v>
      </c>
      <c r="AS1163" t="s">
        <v>3250</v>
      </c>
      <c r="AT1163" t="s">
        <v>3250</v>
      </c>
      <c r="AU1163" t="s">
        <v>3250</v>
      </c>
      <c r="AV1163" t="s">
        <v>3250</v>
      </c>
      <c r="AW1163" t="s">
        <v>3250</v>
      </c>
      <c r="AX1163" t="s">
        <v>3250</v>
      </c>
      <c r="AY1163" t="s">
        <v>3250</v>
      </c>
      <c r="AZ1163" t="s">
        <v>3250</v>
      </c>
      <c r="BA1163" t="s">
        <v>3250</v>
      </c>
      <c r="BB1163" t="s">
        <v>3250</v>
      </c>
      <c r="BC1163" t="s">
        <v>3250</v>
      </c>
      <c r="BE1163" t="s">
        <v>3250</v>
      </c>
      <c r="BF1163" t="s">
        <v>3250</v>
      </c>
      <c r="BG1163" t="s">
        <v>3250</v>
      </c>
      <c r="BH1163" t="s">
        <v>3250</v>
      </c>
      <c r="BI1163" t="s">
        <v>3250</v>
      </c>
      <c r="BK1163" t="s">
        <v>3250</v>
      </c>
      <c r="BL1163" t="s">
        <v>3250</v>
      </c>
      <c r="BM1163" t="s">
        <v>3250</v>
      </c>
      <c r="BN1163" t="s">
        <v>3250</v>
      </c>
      <c r="BP1163">
        <v>1</v>
      </c>
      <c r="BQ1163">
        <v>11</v>
      </c>
      <c r="BR1163" t="s">
        <v>1574</v>
      </c>
      <c r="BS1163" t="s">
        <v>3252</v>
      </c>
      <c r="BV1163">
        <v>0</v>
      </c>
      <c r="BW1163">
        <v>0</v>
      </c>
      <c r="BX1163">
        <v>0</v>
      </c>
      <c r="BY1163">
        <v>0</v>
      </c>
      <c r="BZ1163">
        <v>0</v>
      </c>
      <c r="CA1163">
        <v>0</v>
      </c>
      <c r="CB1163">
        <v>0</v>
      </c>
      <c r="CC1163">
        <v>0</v>
      </c>
      <c r="CD1163">
        <v>0</v>
      </c>
      <c r="CE1163" t="s">
        <v>3108</v>
      </c>
      <c r="CF1163" t="s">
        <v>3108</v>
      </c>
      <c r="CG1163" t="s">
        <v>3108</v>
      </c>
      <c r="CH1163" t="s">
        <v>3108</v>
      </c>
    </row>
    <row r="1164" spans="1:86" x14ac:dyDescent="0.2">
      <c r="A1164" t="s">
        <v>4992</v>
      </c>
      <c r="B1164" t="s">
        <v>4992</v>
      </c>
      <c r="C1164">
        <v>41641</v>
      </c>
      <c r="D1164">
        <v>910</v>
      </c>
      <c r="E1164" t="s">
        <v>3520</v>
      </c>
      <c r="F1164" t="s">
        <v>3249</v>
      </c>
      <c r="G1164" t="s">
        <v>3249</v>
      </c>
      <c r="H1164" t="s">
        <v>3250</v>
      </c>
      <c r="I1164" t="s">
        <v>3250</v>
      </c>
      <c r="J1164" t="s">
        <v>3250</v>
      </c>
      <c r="K1164" t="s">
        <v>3250</v>
      </c>
      <c r="L1164">
        <v>1200</v>
      </c>
      <c r="M1164" t="s">
        <v>2368</v>
      </c>
      <c r="N1164">
        <v>1204</v>
      </c>
      <c r="O1164" t="s">
        <v>1574</v>
      </c>
      <c r="P1164" t="s">
        <v>3108</v>
      </c>
      <c r="Q1164" t="s">
        <v>3249</v>
      </c>
      <c r="R1164" t="s">
        <v>3249</v>
      </c>
      <c r="S1164" t="s">
        <v>472</v>
      </c>
      <c r="T1164" t="s">
        <v>3251</v>
      </c>
      <c r="U1164">
        <v>140</v>
      </c>
      <c r="V1164" t="s">
        <v>1327</v>
      </c>
      <c r="W1164">
        <v>140</v>
      </c>
      <c r="X1164" t="s">
        <v>1327</v>
      </c>
      <c r="Y1164" t="s">
        <v>3250</v>
      </c>
      <c r="Z1164" t="s">
        <v>3250</v>
      </c>
      <c r="AA1164" t="s">
        <v>3108</v>
      </c>
      <c r="AB1164" t="s">
        <v>3108</v>
      </c>
      <c r="AC1164" t="s">
        <v>3250</v>
      </c>
      <c r="AD1164" t="s">
        <v>3250</v>
      </c>
      <c r="AE1164" t="s">
        <v>3250</v>
      </c>
      <c r="AF1164" t="s">
        <v>3250</v>
      </c>
      <c r="AG1164" t="s">
        <v>3250</v>
      </c>
      <c r="AH1164" t="s">
        <v>3250</v>
      </c>
      <c r="AI1164" t="s">
        <v>3250</v>
      </c>
      <c r="AJ1164" t="s">
        <v>3250</v>
      </c>
      <c r="AL1164">
        <v>146</v>
      </c>
      <c r="AM1164" t="s">
        <v>5</v>
      </c>
      <c r="AN1164">
        <v>146</v>
      </c>
      <c r="AO1164" t="s">
        <v>5</v>
      </c>
      <c r="AS1164" t="s">
        <v>3250</v>
      </c>
      <c r="AT1164" t="s">
        <v>3250</v>
      </c>
      <c r="AU1164" t="s">
        <v>3250</v>
      </c>
      <c r="AV1164" t="s">
        <v>3250</v>
      </c>
      <c r="AW1164" t="s">
        <v>3250</v>
      </c>
      <c r="AX1164" t="s">
        <v>3250</v>
      </c>
      <c r="AY1164" t="s">
        <v>3250</v>
      </c>
      <c r="AZ1164" t="s">
        <v>3250</v>
      </c>
      <c r="BA1164" t="s">
        <v>3250</v>
      </c>
      <c r="BB1164" t="s">
        <v>3250</v>
      </c>
      <c r="BC1164" t="s">
        <v>3250</v>
      </c>
      <c r="BE1164" t="s">
        <v>3250</v>
      </c>
      <c r="BF1164" t="s">
        <v>3250</v>
      </c>
      <c r="BG1164" t="s">
        <v>3250</v>
      </c>
      <c r="BH1164" t="s">
        <v>3250</v>
      </c>
      <c r="BI1164" t="s">
        <v>3250</v>
      </c>
      <c r="BK1164" t="s">
        <v>3250</v>
      </c>
      <c r="BL1164" t="s">
        <v>3250</v>
      </c>
      <c r="BM1164" t="s">
        <v>3250</v>
      </c>
      <c r="BN1164" t="s">
        <v>3250</v>
      </c>
      <c r="BP1164">
        <v>1</v>
      </c>
      <c r="BQ1164">
        <v>11</v>
      </c>
      <c r="BR1164" t="s">
        <v>1574</v>
      </c>
      <c r="BS1164" t="s">
        <v>3252</v>
      </c>
      <c r="BV1164">
        <v>0</v>
      </c>
      <c r="BW1164">
        <v>0</v>
      </c>
      <c r="BX1164">
        <v>0</v>
      </c>
      <c r="BY1164">
        <v>0</v>
      </c>
      <c r="BZ1164">
        <v>0</v>
      </c>
      <c r="CA1164">
        <v>0</v>
      </c>
      <c r="CB1164">
        <v>0</v>
      </c>
      <c r="CC1164">
        <v>0</v>
      </c>
      <c r="CD1164">
        <v>0</v>
      </c>
      <c r="CE1164" t="s">
        <v>3108</v>
      </c>
      <c r="CF1164" t="s">
        <v>3108</v>
      </c>
      <c r="CG1164" t="s">
        <v>3108</v>
      </c>
      <c r="CH1164" t="s">
        <v>3108</v>
      </c>
    </row>
    <row r="1165" spans="1:86" x14ac:dyDescent="0.2">
      <c r="A1165" t="s">
        <v>4993</v>
      </c>
      <c r="B1165" t="s">
        <v>4993</v>
      </c>
      <c r="C1165">
        <v>41642</v>
      </c>
      <c r="D1165">
        <v>911</v>
      </c>
      <c r="E1165" t="s">
        <v>3758</v>
      </c>
      <c r="F1165" t="s">
        <v>3249</v>
      </c>
      <c r="G1165" t="s">
        <v>3249</v>
      </c>
      <c r="H1165" t="s">
        <v>3250</v>
      </c>
      <c r="I1165" t="s">
        <v>3250</v>
      </c>
      <c r="J1165" t="s">
        <v>3250</v>
      </c>
      <c r="K1165" t="s">
        <v>3250</v>
      </c>
      <c r="L1165">
        <v>1200</v>
      </c>
      <c r="M1165" t="s">
        <v>2368</v>
      </c>
      <c r="N1165">
        <v>1204</v>
      </c>
      <c r="O1165" t="s">
        <v>1574</v>
      </c>
      <c r="P1165" t="s">
        <v>3108</v>
      </c>
      <c r="Q1165" t="s">
        <v>3249</v>
      </c>
      <c r="R1165" t="s">
        <v>3249</v>
      </c>
      <c r="S1165" t="s">
        <v>472</v>
      </c>
      <c r="T1165" t="s">
        <v>3251</v>
      </c>
      <c r="U1165">
        <v>140</v>
      </c>
      <c r="V1165" t="s">
        <v>1327</v>
      </c>
      <c r="W1165">
        <v>140</v>
      </c>
      <c r="X1165" t="s">
        <v>1327</v>
      </c>
      <c r="Y1165" t="s">
        <v>3250</v>
      </c>
      <c r="Z1165" t="s">
        <v>3250</v>
      </c>
      <c r="AA1165" t="s">
        <v>3108</v>
      </c>
      <c r="AB1165" t="s">
        <v>3108</v>
      </c>
      <c r="AC1165" t="s">
        <v>3250</v>
      </c>
      <c r="AD1165" t="s">
        <v>3250</v>
      </c>
      <c r="AE1165" t="s">
        <v>3250</v>
      </c>
      <c r="AF1165" t="s">
        <v>3250</v>
      </c>
      <c r="AG1165" t="s">
        <v>3250</v>
      </c>
      <c r="AH1165" t="s">
        <v>3250</v>
      </c>
      <c r="AI1165" t="s">
        <v>3250</v>
      </c>
      <c r="AJ1165" t="s">
        <v>3250</v>
      </c>
      <c r="AL1165">
        <v>141</v>
      </c>
      <c r="AM1165" t="s">
        <v>1327</v>
      </c>
      <c r="AN1165">
        <v>141</v>
      </c>
      <c r="AO1165" t="s">
        <v>1327</v>
      </c>
      <c r="AS1165" t="s">
        <v>3250</v>
      </c>
      <c r="AT1165" t="s">
        <v>3250</v>
      </c>
      <c r="AU1165" t="s">
        <v>3250</v>
      </c>
      <c r="AV1165" t="s">
        <v>3250</v>
      </c>
      <c r="AW1165" t="s">
        <v>3250</v>
      </c>
      <c r="AX1165" t="s">
        <v>3250</v>
      </c>
      <c r="AY1165" t="s">
        <v>3250</v>
      </c>
      <c r="AZ1165" t="s">
        <v>3250</v>
      </c>
      <c r="BA1165" t="s">
        <v>3250</v>
      </c>
      <c r="BB1165" t="s">
        <v>3250</v>
      </c>
      <c r="BC1165" t="s">
        <v>3250</v>
      </c>
      <c r="BE1165" t="s">
        <v>3250</v>
      </c>
      <c r="BF1165" t="s">
        <v>3250</v>
      </c>
      <c r="BG1165" t="s">
        <v>3250</v>
      </c>
      <c r="BH1165" t="s">
        <v>3250</v>
      </c>
      <c r="BI1165" t="s">
        <v>3250</v>
      </c>
      <c r="BK1165" t="s">
        <v>3250</v>
      </c>
      <c r="BL1165" t="s">
        <v>3250</v>
      </c>
      <c r="BM1165" t="s">
        <v>3250</v>
      </c>
      <c r="BN1165" t="s">
        <v>3250</v>
      </c>
      <c r="BP1165">
        <v>1</v>
      </c>
      <c r="BQ1165">
        <v>11</v>
      </c>
      <c r="BR1165" t="s">
        <v>1574</v>
      </c>
      <c r="BS1165" t="s">
        <v>3252</v>
      </c>
      <c r="BV1165">
        <v>0</v>
      </c>
      <c r="BW1165">
        <v>0</v>
      </c>
      <c r="BX1165">
        <v>0</v>
      </c>
      <c r="BY1165">
        <v>0</v>
      </c>
      <c r="BZ1165">
        <v>0</v>
      </c>
      <c r="CA1165">
        <v>0</v>
      </c>
      <c r="CB1165">
        <v>0</v>
      </c>
      <c r="CC1165">
        <v>0</v>
      </c>
      <c r="CD1165">
        <v>0</v>
      </c>
      <c r="CE1165" t="s">
        <v>3108</v>
      </c>
      <c r="CF1165" t="s">
        <v>3108</v>
      </c>
      <c r="CG1165" t="s">
        <v>3108</v>
      </c>
      <c r="CH1165" t="s">
        <v>3108</v>
      </c>
    </row>
    <row r="1166" spans="1:86" x14ac:dyDescent="0.2">
      <c r="A1166" t="s">
        <v>4994</v>
      </c>
      <c r="B1166" t="s">
        <v>4994</v>
      </c>
      <c r="C1166">
        <v>41643</v>
      </c>
      <c r="D1166">
        <v>912</v>
      </c>
      <c r="E1166" t="s">
        <v>3522</v>
      </c>
      <c r="F1166" t="s">
        <v>3249</v>
      </c>
      <c r="G1166" t="s">
        <v>3249</v>
      </c>
      <c r="H1166" t="s">
        <v>3250</v>
      </c>
      <c r="I1166" t="s">
        <v>3250</v>
      </c>
      <c r="J1166" t="s">
        <v>3250</v>
      </c>
      <c r="K1166" t="s">
        <v>3250</v>
      </c>
      <c r="L1166">
        <v>1200</v>
      </c>
      <c r="M1166" t="s">
        <v>2368</v>
      </c>
      <c r="N1166">
        <v>1204</v>
      </c>
      <c r="O1166" t="s">
        <v>1574</v>
      </c>
      <c r="P1166" t="s">
        <v>3108</v>
      </c>
      <c r="Q1166" t="s">
        <v>3249</v>
      </c>
      <c r="R1166" t="s">
        <v>3249</v>
      </c>
      <c r="S1166" t="s">
        <v>472</v>
      </c>
      <c r="T1166" t="s">
        <v>3251</v>
      </c>
      <c r="U1166">
        <v>140</v>
      </c>
      <c r="V1166" t="s">
        <v>1327</v>
      </c>
      <c r="W1166">
        <v>140</v>
      </c>
      <c r="X1166" t="s">
        <v>1327</v>
      </c>
      <c r="Y1166" t="s">
        <v>3250</v>
      </c>
      <c r="Z1166" t="s">
        <v>3250</v>
      </c>
      <c r="AA1166" t="s">
        <v>3108</v>
      </c>
      <c r="AB1166" t="s">
        <v>3108</v>
      </c>
      <c r="AC1166" t="s">
        <v>3250</v>
      </c>
      <c r="AD1166" t="s">
        <v>3250</v>
      </c>
      <c r="AE1166" t="s">
        <v>3250</v>
      </c>
      <c r="AF1166" t="s">
        <v>3250</v>
      </c>
      <c r="AG1166" t="s">
        <v>3250</v>
      </c>
      <c r="AH1166" t="s">
        <v>3250</v>
      </c>
      <c r="AI1166" t="s">
        <v>3250</v>
      </c>
      <c r="AJ1166" t="s">
        <v>3250</v>
      </c>
      <c r="AL1166">
        <v>146</v>
      </c>
      <c r="AM1166" t="s">
        <v>5</v>
      </c>
      <c r="AN1166">
        <v>146</v>
      </c>
      <c r="AO1166" t="s">
        <v>5</v>
      </c>
      <c r="AS1166" t="s">
        <v>3250</v>
      </c>
      <c r="AT1166" t="s">
        <v>3250</v>
      </c>
      <c r="AU1166" t="s">
        <v>3250</v>
      </c>
      <c r="AV1166" t="s">
        <v>3250</v>
      </c>
      <c r="AW1166" t="s">
        <v>3250</v>
      </c>
      <c r="AX1166" t="s">
        <v>3250</v>
      </c>
      <c r="AY1166" t="s">
        <v>3250</v>
      </c>
      <c r="AZ1166" t="s">
        <v>3250</v>
      </c>
      <c r="BA1166" t="s">
        <v>3250</v>
      </c>
      <c r="BB1166" t="s">
        <v>3250</v>
      </c>
      <c r="BC1166" t="s">
        <v>3250</v>
      </c>
      <c r="BE1166" t="s">
        <v>3250</v>
      </c>
      <c r="BF1166" t="s">
        <v>3250</v>
      </c>
      <c r="BG1166" t="s">
        <v>3250</v>
      </c>
      <c r="BH1166" t="s">
        <v>3250</v>
      </c>
      <c r="BI1166" t="s">
        <v>3250</v>
      </c>
      <c r="BK1166" t="s">
        <v>3250</v>
      </c>
      <c r="BL1166" t="s">
        <v>3250</v>
      </c>
      <c r="BM1166" t="s">
        <v>3250</v>
      </c>
      <c r="BN1166" t="s">
        <v>3250</v>
      </c>
      <c r="BP1166">
        <v>1</v>
      </c>
      <c r="BQ1166">
        <v>11</v>
      </c>
      <c r="BR1166" t="s">
        <v>1574</v>
      </c>
      <c r="BS1166" t="s">
        <v>3252</v>
      </c>
      <c r="BV1166">
        <v>0</v>
      </c>
      <c r="BW1166">
        <v>0</v>
      </c>
      <c r="BX1166">
        <v>0</v>
      </c>
      <c r="BY1166">
        <v>0</v>
      </c>
      <c r="BZ1166">
        <v>0</v>
      </c>
      <c r="CA1166">
        <v>0</v>
      </c>
      <c r="CB1166">
        <v>0</v>
      </c>
      <c r="CC1166">
        <v>0</v>
      </c>
      <c r="CD1166">
        <v>0</v>
      </c>
      <c r="CE1166" t="s">
        <v>3108</v>
      </c>
      <c r="CF1166" t="s">
        <v>3108</v>
      </c>
      <c r="CG1166" t="s">
        <v>3108</v>
      </c>
      <c r="CH1166" t="s">
        <v>3108</v>
      </c>
    </row>
    <row r="1167" spans="1:86" x14ac:dyDescent="0.2">
      <c r="A1167" t="s">
        <v>4995</v>
      </c>
      <c r="B1167" t="s">
        <v>4995</v>
      </c>
      <c r="C1167">
        <v>41644</v>
      </c>
      <c r="D1167">
        <v>913</v>
      </c>
      <c r="E1167" t="s">
        <v>3702</v>
      </c>
      <c r="F1167" t="s">
        <v>3249</v>
      </c>
      <c r="G1167" t="s">
        <v>3249</v>
      </c>
      <c r="H1167" t="s">
        <v>3250</v>
      </c>
      <c r="I1167" t="s">
        <v>3250</v>
      </c>
      <c r="J1167" t="s">
        <v>3250</v>
      </c>
      <c r="K1167" t="s">
        <v>3250</v>
      </c>
      <c r="L1167">
        <v>1200</v>
      </c>
      <c r="M1167" t="s">
        <v>2368</v>
      </c>
      <c r="N1167">
        <v>1204</v>
      </c>
      <c r="O1167" t="s">
        <v>1574</v>
      </c>
      <c r="P1167" t="s">
        <v>3108</v>
      </c>
      <c r="Q1167" t="s">
        <v>3249</v>
      </c>
      <c r="R1167" t="s">
        <v>3249</v>
      </c>
      <c r="S1167" t="s">
        <v>472</v>
      </c>
      <c r="T1167" t="s">
        <v>3251</v>
      </c>
      <c r="U1167">
        <v>140</v>
      </c>
      <c r="V1167" t="s">
        <v>1327</v>
      </c>
      <c r="W1167">
        <v>140</v>
      </c>
      <c r="X1167" t="s">
        <v>1327</v>
      </c>
      <c r="Y1167" t="s">
        <v>3250</v>
      </c>
      <c r="Z1167" t="s">
        <v>3250</v>
      </c>
      <c r="AA1167" t="s">
        <v>3108</v>
      </c>
      <c r="AB1167" t="s">
        <v>3108</v>
      </c>
      <c r="AC1167" t="s">
        <v>3250</v>
      </c>
      <c r="AD1167" t="s">
        <v>3250</v>
      </c>
      <c r="AE1167" t="s">
        <v>3250</v>
      </c>
      <c r="AF1167" t="s">
        <v>3250</v>
      </c>
      <c r="AG1167" t="s">
        <v>3250</v>
      </c>
      <c r="AH1167" t="s">
        <v>3250</v>
      </c>
      <c r="AI1167" t="s">
        <v>3250</v>
      </c>
      <c r="AJ1167" t="s">
        <v>3250</v>
      </c>
      <c r="AL1167">
        <v>141</v>
      </c>
      <c r="AM1167" t="s">
        <v>1327</v>
      </c>
      <c r="AN1167">
        <v>141</v>
      </c>
      <c r="AO1167" t="s">
        <v>1327</v>
      </c>
      <c r="AS1167" t="s">
        <v>3250</v>
      </c>
      <c r="AT1167" t="s">
        <v>3250</v>
      </c>
      <c r="AU1167" t="s">
        <v>3250</v>
      </c>
      <c r="AV1167" t="s">
        <v>3250</v>
      </c>
      <c r="AW1167" t="s">
        <v>3250</v>
      </c>
      <c r="AX1167" t="s">
        <v>3250</v>
      </c>
      <c r="AY1167" t="s">
        <v>3250</v>
      </c>
      <c r="AZ1167" t="s">
        <v>3250</v>
      </c>
      <c r="BA1167" t="s">
        <v>3250</v>
      </c>
      <c r="BB1167" t="s">
        <v>3250</v>
      </c>
      <c r="BC1167" t="s">
        <v>3250</v>
      </c>
      <c r="BE1167" t="s">
        <v>3250</v>
      </c>
      <c r="BF1167" t="s">
        <v>3250</v>
      </c>
      <c r="BG1167" t="s">
        <v>3250</v>
      </c>
      <c r="BH1167" t="s">
        <v>3250</v>
      </c>
      <c r="BI1167" t="s">
        <v>3250</v>
      </c>
      <c r="BK1167" t="s">
        <v>3250</v>
      </c>
      <c r="BL1167" t="s">
        <v>3250</v>
      </c>
      <c r="BM1167" t="s">
        <v>3250</v>
      </c>
      <c r="BN1167" t="s">
        <v>3250</v>
      </c>
      <c r="BP1167">
        <v>1</v>
      </c>
      <c r="BQ1167">
        <v>11</v>
      </c>
      <c r="BR1167" t="s">
        <v>1574</v>
      </c>
      <c r="BS1167" t="s">
        <v>3252</v>
      </c>
      <c r="BV1167">
        <v>0</v>
      </c>
      <c r="BW1167">
        <v>0</v>
      </c>
      <c r="BX1167">
        <v>0</v>
      </c>
      <c r="BY1167">
        <v>0</v>
      </c>
      <c r="BZ1167">
        <v>0</v>
      </c>
      <c r="CA1167">
        <v>0</v>
      </c>
      <c r="CB1167">
        <v>0</v>
      </c>
      <c r="CC1167">
        <v>0</v>
      </c>
      <c r="CD1167">
        <v>0</v>
      </c>
      <c r="CE1167" t="s">
        <v>3108</v>
      </c>
      <c r="CF1167" t="s">
        <v>3108</v>
      </c>
      <c r="CG1167" t="s">
        <v>3108</v>
      </c>
      <c r="CH1167" t="s">
        <v>3108</v>
      </c>
    </row>
    <row r="1168" spans="1:86" x14ac:dyDescent="0.2">
      <c r="A1168" t="s">
        <v>4996</v>
      </c>
      <c r="B1168" t="s">
        <v>4996</v>
      </c>
      <c r="C1168">
        <v>41645</v>
      </c>
      <c r="D1168">
        <v>914</v>
      </c>
      <c r="E1168" t="s">
        <v>3512</v>
      </c>
      <c r="F1168" t="s">
        <v>3249</v>
      </c>
      <c r="G1168" t="s">
        <v>3249</v>
      </c>
      <c r="H1168" t="s">
        <v>3250</v>
      </c>
      <c r="I1168" t="s">
        <v>3250</v>
      </c>
      <c r="J1168" t="s">
        <v>3250</v>
      </c>
      <c r="K1168" t="s">
        <v>3250</v>
      </c>
      <c r="L1168">
        <v>1200</v>
      </c>
      <c r="M1168" t="s">
        <v>2368</v>
      </c>
      <c r="N1168">
        <v>1204</v>
      </c>
      <c r="O1168" t="s">
        <v>1574</v>
      </c>
      <c r="P1168" t="s">
        <v>3108</v>
      </c>
      <c r="Q1168" t="s">
        <v>3249</v>
      </c>
      <c r="R1168" t="s">
        <v>3249</v>
      </c>
      <c r="S1168" t="s">
        <v>472</v>
      </c>
      <c r="T1168" t="s">
        <v>3251</v>
      </c>
      <c r="U1168">
        <v>140</v>
      </c>
      <c r="V1168" t="s">
        <v>1327</v>
      </c>
      <c r="W1168">
        <v>140</v>
      </c>
      <c r="X1168" t="s">
        <v>1327</v>
      </c>
      <c r="Y1168" t="s">
        <v>3250</v>
      </c>
      <c r="Z1168" t="s">
        <v>3250</v>
      </c>
      <c r="AA1168" t="s">
        <v>3108</v>
      </c>
      <c r="AB1168" t="s">
        <v>3108</v>
      </c>
      <c r="AC1168" t="s">
        <v>3250</v>
      </c>
      <c r="AD1168" t="s">
        <v>3250</v>
      </c>
      <c r="AE1168" t="s">
        <v>3250</v>
      </c>
      <c r="AF1168" t="s">
        <v>3250</v>
      </c>
      <c r="AG1168" t="s">
        <v>3250</v>
      </c>
      <c r="AH1168" t="s">
        <v>3250</v>
      </c>
      <c r="AI1168" t="s">
        <v>3250</v>
      </c>
      <c r="AJ1168" t="s">
        <v>3250</v>
      </c>
      <c r="AL1168">
        <v>141</v>
      </c>
      <c r="AM1168" t="s">
        <v>1327</v>
      </c>
      <c r="AN1168">
        <v>141</v>
      </c>
      <c r="AO1168" t="s">
        <v>1327</v>
      </c>
      <c r="AS1168" t="s">
        <v>3250</v>
      </c>
      <c r="AT1168" t="s">
        <v>3250</v>
      </c>
      <c r="AU1168" t="s">
        <v>3250</v>
      </c>
      <c r="AV1168" t="s">
        <v>3250</v>
      </c>
      <c r="AW1168" t="s">
        <v>3250</v>
      </c>
      <c r="AX1168" t="s">
        <v>3250</v>
      </c>
      <c r="AY1168" t="s">
        <v>3250</v>
      </c>
      <c r="AZ1168" t="s">
        <v>3250</v>
      </c>
      <c r="BA1168" t="s">
        <v>3250</v>
      </c>
      <c r="BB1168" t="s">
        <v>3250</v>
      </c>
      <c r="BC1168" t="s">
        <v>3250</v>
      </c>
      <c r="BE1168" t="s">
        <v>3250</v>
      </c>
      <c r="BF1168" t="s">
        <v>3250</v>
      </c>
      <c r="BG1168" t="s">
        <v>3250</v>
      </c>
      <c r="BH1168" t="s">
        <v>3250</v>
      </c>
      <c r="BI1168" t="s">
        <v>3250</v>
      </c>
      <c r="BK1168" t="s">
        <v>3250</v>
      </c>
      <c r="BL1168" t="s">
        <v>3250</v>
      </c>
      <c r="BM1168" t="s">
        <v>3250</v>
      </c>
      <c r="BN1168" t="s">
        <v>3250</v>
      </c>
      <c r="BP1168">
        <v>1</v>
      </c>
      <c r="BQ1168">
        <v>11</v>
      </c>
      <c r="BR1168" t="s">
        <v>1574</v>
      </c>
      <c r="BS1168" t="s">
        <v>3252</v>
      </c>
      <c r="BV1168">
        <v>0</v>
      </c>
      <c r="BW1168">
        <v>0</v>
      </c>
      <c r="BX1168">
        <v>0</v>
      </c>
      <c r="BY1168">
        <v>0</v>
      </c>
      <c r="BZ1168">
        <v>0</v>
      </c>
      <c r="CA1168">
        <v>0</v>
      </c>
      <c r="CB1168">
        <v>0</v>
      </c>
      <c r="CC1168">
        <v>0</v>
      </c>
      <c r="CD1168">
        <v>0</v>
      </c>
      <c r="CE1168" t="s">
        <v>3108</v>
      </c>
      <c r="CF1168" t="s">
        <v>3108</v>
      </c>
      <c r="CG1168" t="s">
        <v>3108</v>
      </c>
      <c r="CH1168" t="s">
        <v>3108</v>
      </c>
    </row>
    <row r="1169" spans="1:86" x14ac:dyDescent="0.2">
      <c r="A1169" t="s">
        <v>4997</v>
      </c>
      <c r="B1169" t="s">
        <v>4997</v>
      </c>
      <c r="C1169">
        <v>41646</v>
      </c>
      <c r="D1169">
        <v>915</v>
      </c>
      <c r="E1169" t="s">
        <v>3704</v>
      </c>
      <c r="F1169" t="s">
        <v>3249</v>
      </c>
      <c r="G1169" t="s">
        <v>3249</v>
      </c>
      <c r="H1169" t="s">
        <v>3250</v>
      </c>
      <c r="I1169" t="s">
        <v>3250</v>
      </c>
      <c r="J1169" t="s">
        <v>3250</v>
      </c>
      <c r="K1169" t="s">
        <v>3250</v>
      </c>
      <c r="L1169">
        <v>1200</v>
      </c>
      <c r="M1169" t="s">
        <v>2368</v>
      </c>
      <c r="N1169">
        <v>1204</v>
      </c>
      <c r="O1169" t="s">
        <v>1574</v>
      </c>
      <c r="P1169" t="s">
        <v>3108</v>
      </c>
      <c r="Q1169" t="s">
        <v>3249</v>
      </c>
      <c r="R1169" t="s">
        <v>3249</v>
      </c>
      <c r="S1169" t="s">
        <v>472</v>
      </c>
      <c r="T1169" t="s">
        <v>3251</v>
      </c>
      <c r="U1169">
        <v>140</v>
      </c>
      <c r="V1169" t="s">
        <v>1327</v>
      </c>
      <c r="W1169">
        <v>140</v>
      </c>
      <c r="X1169" t="s">
        <v>1327</v>
      </c>
      <c r="Y1169" t="s">
        <v>3250</v>
      </c>
      <c r="Z1169" t="s">
        <v>3250</v>
      </c>
      <c r="AA1169" t="s">
        <v>3108</v>
      </c>
      <c r="AB1169" t="s">
        <v>3108</v>
      </c>
      <c r="AC1169" t="s">
        <v>3250</v>
      </c>
      <c r="AD1169" t="s">
        <v>3250</v>
      </c>
      <c r="AE1169" t="s">
        <v>3250</v>
      </c>
      <c r="AF1169" t="s">
        <v>3250</v>
      </c>
      <c r="AG1169" t="s">
        <v>3250</v>
      </c>
      <c r="AH1169" t="s">
        <v>3250</v>
      </c>
      <c r="AI1169" t="s">
        <v>3250</v>
      </c>
      <c r="AJ1169" t="s">
        <v>3250</v>
      </c>
      <c r="AL1169">
        <v>141</v>
      </c>
      <c r="AM1169" t="s">
        <v>1327</v>
      </c>
      <c r="AN1169">
        <v>141</v>
      </c>
      <c r="AO1169" t="s">
        <v>1327</v>
      </c>
      <c r="AS1169" t="s">
        <v>3250</v>
      </c>
      <c r="AT1169" t="s">
        <v>3250</v>
      </c>
      <c r="AU1169" t="s">
        <v>3250</v>
      </c>
      <c r="AV1169" t="s">
        <v>3250</v>
      </c>
      <c r="AW1169" t="s">
        <v>3250</v>
      </c>
      <c r="AX1169" t="s">
        <v>3250</v>
      </c>
      <c r="AY1169" t="s">
        <v>3250</v>
      </c>
      <c r="AZ1169" t="s">
        <v>3250</v>
      </c>
      <c r="BA1169" t="s">
        <v>3250</v>
      </c>
      <c r="BB1169" t="s">
        <v>3250</v>
      </c>
      <c r="BC1169" t="s">
        <v>3250</v>
      </c>
      <c r="BE1169" t="s">
        <v>3250</v>
      </c>
      <c r="BF1169" t="s">
        <v>3250</v>
      </c>
      <c r="BG1169" t="s">
        <v>3250</v>
      </c>
      <c r="BH1169" t="s">
        <v>3250</v>
      </c>
      <c r="BI1169" t="s">
        <v>3250</v>
      </c>
      <c r="BK1169" t="s">
        <v>3250</v>
      </c>
      <c r="BL1169" t="s">
        <v>3250</v>
      </c>
      <c r="BM1169" t="s">
        <v>3250</v>
      </c>
      <c r="BN1169" t="s">
        <v>3250</v>
      </c>
      <c r="BP1169">
        <v>1</v>
      </c>
      <c r="BQ1169">
        <v>11</v>
      </c>
      <c r="BR1169" t="s">
        <v>1574</v>
      </c>
      <c r="BS1169" t="s">
        <v>3252</v>
      </c>
      <c r="BV1169">
        <v>0</v>
      </c>
      <c r="BW1169">
        <v>0</v>
      </c>
      <c r="BX1169">
        <v>0</v>
      </c>
      <c r="BY1169">
        <v>0</v>
      </c>
      <c r="BZ1169">
        <v>0</v>
      </c>
      <c r="CA1169">
        <v>0</v>
      </c>
      <c r="CB1169">
        <v>0</v>
      </c>
      <c r="CC1169">
        <v>0</v>
      </c>
      <c r="CD1169">
        <v>0</v>
      </c>
      <c r="CE1169" t="s">
        <v>3108</v>
      </c>
      <c r="CF1169" t="s">
        <v>3108</v>
      </c>
      <c r="CG1169" t="s">
        <v>3108</v>
      </c>
      <c r="CH1169" t="s">
        <v>3108</v>
      </c>
    </row>
    <row r="1170" spans="1:86" x14ac:dyDescent="0.2">
      <c r="A1170" t="s">
        <v>4998</v>
      </c>
      <c r="B1170" t="s">
        <v>4998</v>
      </c>
      <c r="C1170">
        <v>41647</v>
      </c>
      <c r="D1170">
        <v>916</v>
      </c>
      <c r="E1170" t="s">
        <v>4999</v>
      </c>
      <c r="F1170" t="s">
        <v>3249</v>
      </c>
      <c r="G1170" t="s">
        <v>3249</v>
      </c>
      <c r="H1170" t="s">
        <v>3250</v>
      </c>
      <c r="I1170" t="s">
        <v>3250</v>
      </c>
      <c r="J1170" t="s">
        <v>3250</v>
      </c>
      <c r="K1170" t="s">
        <v>3250</v>
      </c>
      <c r="L1170">
        <v>1200</v>
      </c>
      <c r="M1170" t="s">
        <v>2368</v>
      </c>
      <c r="N1170">
        <v>1204</v>
      </c>
      <c r="O1170" t="s">
        <v>1574</v>
      </c>
      <c r="P1170" t="s">
        <v>3108</v>
      </c>
      <c r="Q1170" t="s">
        <v>3249</v>
      </c>
      <c r="R1170" t="s">
        <v>3249</v>
      </c>
      <c r="S1170" t="s">
        <v>472</v>
      </c>
      <c r="T1170" t="s">
        <v>3251</v>
      </c>
      <c r="U1170">
        <v>140</v>
      </c>
      <c r="V1170" t="s">
        <v>1327</v>
      </c>
      <c r="W1170">
        <v>140</v>
      </c>
      <c r="X1170" t="s">
        <v>1327</v>
      </c>
      <c r="Y1170" t="s">
        <v>3250</v>
      </c>
      <c r="Z1170" t="s">
        <v>3250</v>
      </c>
      <c r="AA1170" t="s">
        <v>3108</v>
      </c>
      <c r="AB1170" t="s">
        <v>3108</v>
      </c>
      <c r="AC1170" t="s">
        <v>3250</v>
      </c>
      <c r="AD1170" t="s">
        <v>3250</v>
      </c>
      <c r="AE1170" t="s">
        <v>3250</v>
      </c>
      <c r="AF1170" t="s">
        <v>3250</v>
      </c>
      <c r="AG1170" t="s">
        <v>3250</v>
      </c>
      <c r="AH1170" t="s">
        <v>3250</v>
      </c>
      <c r="AI1170" t="s">
        <v>3250</v>
      </c>
      <c r="AJ1170" t="s">
        <v>3250</v>
      </c>
      <c r="AL1170">
        <v>141</v>
      </c>
      <c r="AM1170" t="s">
        <v>1327</v>
      </c>
      <c r="AN1170">
        <v>141</v>
      </c>
      <c r="AO1170" t="s">
        <v>1327</v>
      </c>
      <c r="AS1170" t="s">
        <v>3250</v>
      </c>
      <c r="AT1170" t="s">
        <v>3250</v>
      </c>
      <c r="AU1170" t="s">
        <v>3250</v>
      </c>
      <c r="AV1170" t="s">
        <v>3250</v>
      </c>
      <c r="AW1170" t="s">
        <v>3250</v>
      </c>
      <c r="AX1170" t="s">
        <v>3250</v>
      </c>
      <c r="AY1170" t="s">
        <v>3250</v>
      </c>
      <c r="AZ1170" t="s">
        <v>3250</v>
      </c>
      <c r="BA1170" t="s">
        <v>3250</v>
      </c>
      <c r="BB1170" t="s">
        <v>3250</v>
      </c>
      <c r="BC1170" t="s">
        <v>3250</v>
      </c>
      <c r="BE1170" t="s">
        <v>3250</v>
      </c>
      <c r="BF1170" t="s">
        <v>3250</v>
      </c>
      <c r="BG1170" t="s">
        <v>3250</v>
      </c>
      <c r="BH1170" t="s">
        <v>3250</v>
      </c>
      <c r="BI1170" t="s">
        <v>3250</v>
      </c>
      <c r="BK1170" t="s">
        <v>3250</v>
      </c>
      <c r="BL1170" t="s">
        <v>3250</v>
      </c>
      <c r="BM1170" t="s">
        <v>3250</v>
      </c>
      <c r="BN1170" t="s">
        <v>3250</v>
      </c>
      <c r="BP1170">
        <v>1</v>
      </c>
      <c r="BQ1170">
        <v>11</v>
      </c>
      <c r="BR1170" t="s">
        <v>1574</v>
      </c>
      <c r="BS1170" t="s">
        <v>3252</v>
      </c>
      <c r="BV1170">
        <v>-1195941</v>
      </c>
      <c r="BW1170">
        <v>-875439</v>
      </c>
      <c r="BX1170">
        <v>-402713</v>
      </c>
      <c r="BY1170">
        <v>0</v>
      </c>
      <c r="BZ1170">
        <v>0</v>
      </c>
      <c r="CA1170">
        <v>0</v>
      </c>
      <c r="CB1170">
        <v>0</v>
      </c>
      <c r="CC1170">
        <v>0</v>
      </c>
      <c r="CD1170">
        <v>-1575679</v>
      </c>
      <c r="CE1170" t="s">
        <v>3108</v>
      </c>
      <c r="CF1170" t="s">
        <v>3108</v>
      </c>
      <c r="CG1170" t="s">
        <v>3108</v>
      </c>
      <c r="CH1170" t="s">
        <v>3108</v>
      </c>
    </row>
    <row r="1171" spans="1:86" x14ac:dyDescent="0.2">
      <c r="A1171" t="s">
        <v>5000</v>
      </c>
      <c r="B1171" t="s">
        <v>5000</v>
      </c>
      <c r="C1171">
        <v>41648</v>
      </c>
      <c r="D1171">
        <v>917</v>
      </c>
      <c r="E1171" t="s">
        <v>3706</v>
      </c>
      <c r="F1171" t="s">
        <v>3249</v>
      </c>
      <c r="G1171" t="s">
        <v>3249</v>
      </c>
      <c r="H1171" t="s">
        <v>3250</v>
      </c>
      <c r="I1171" t="s">
        <v>3250</v>
      </c>
      <c r="J1171" t="s">
        <v>3250</v>
      </c>
      <c r="K1171" t="s">
        <v>3250</v>
      </c>
      <c r="L1171">
        <v>1200</v>
      </c>
      <c r="M1171" t="s">
        <v>2368</v>
      </c>
      <c r="N1171">
        <v>1204</v>
      </c>
      <c r="O1171" t="s">
        <v>1574</v>
      </c>
      <c r="P1171" t="s">
        <v>3108</v>
      </c>
      <c r="Q1171" t="s">
        <v>3249</v>
      </c>
      <c r="R1171" t="s">
        <v>3249</v>
      </c>
      <c r="S1171" t="s">
        <v>472</v>
      </c>
      <c r="T1171" t="s">
        <v>3251</v>
      </c>
      <c r="U1171">
        <v>140</v>
      </c>
      <c r="V1171" t="s">
        <v>1327</v>
      </c>
      <c r="W1171">
        <v>140</v>
      </c>
      <c r="X1171" t="s">
        <v>1327</v>
      </c>
      <c r="Y1171" t="s">
        <v>3250</v>
      </c>
      <c r="Z1171" t="s">
        <v>3250</v>
      </c>
      <c r="AA1171" t="s">
        <v>3108</v>
      </c>
      <c r="AB1171" t="s">
        <v>3108</v>
      </c>
      <c r="AC1171" t="s">
        <v>3250</v>
      </c>
      <c r="AD1171" t="s">
        <v>3250</v>
      </c>
      <c r="AE1171" t="s">
        <v>3250</v>
      </c>
      <c r="AF1171" t="s">
        <v>3250</v>
      </c>
      <c r="AG1171" t="s">
        <v>3250</v>
      </c>
      <c r="AH1171" t="s">
        <v>3250</v>
      </c>
      <c r="AI1171" t="s">
        <v>3250</v>
      </c>
      <c r="AJ1171" t="s">
        <v>3250</v>
      </c>
      <c r="AL1171">
        <v>147</v>
      </c>
      <c r="AM1171" t="s">
        <v>6</v>
      </c>
      <c r="AN1171">
        <v>147</v>
      </c>
      <c r="AO1171" t="s">
        <v>6</v>
      </c>
      <c r="AS1171" t="s">
        <v>3250</v>
      </c>
      <c r="AT1171" t="s">
        <v>3250</v>
      </c>
      <c r="AU1171" t="s">
        <v>3250</v>
      </c>
      <c r="AV1171" t="s">
        <v>3250</v>
      </c>
      <c r="AW1171" t="s">
        <v>3250</v>
      </c>
      <c r="AX1171" t="s">
        <v>3250</v>
      </c>
      <c r="AY1171" t="s">
        <v>3250</v>
      </c>
      <c r="AZ1171" t="s">
        <v>3250</v>
      </c>
      <c r="BA1171" t="s">
        <v>3250</v>
      </c>
      <c r="BB1171" t="s">
        <v>3250</v>
      </c>
      <c r="BC1171" t="s">
        <v>3250</v>
      </c>
      <c r="BE1171" t="s">
        <v>3250</v>
      </c>
      <c r="BF1171" t="s">
        <v>3250</v>
      </c>
      <c r="BG1171" t="s">
        <v>3250</v>
      </c>
      <c r="BH1171" t="s">
        <v>3250</v>
      </c>
      <c r="BI1171" t="s">
        <v>3250</v>
      </c>
      <c r="BK1171" t="s">
        <v>3250</v>
      </c>
      <c r="BL1171" t="s">
        <v>3250</v>
      </c>
      <c r="BM1171" t="s">
        <v>3250</v>
      </c>
      <c r="BN1171" t="s">
        <v>3250</v>
      </c>
      <c r="BP1171">
        <v>1</v>
      </c>
      <c r="BQ1171">
        <v>11</v>
      </c>
      <c r="BR1171" t="s">
        <v>1574</v>
      </c>
      <c r="BS1171" t="s">
        <v>3252</v>
      </c>
      <c r="BV1171">
        <v>0</v>
      </c>
      <c r="BW1171">
        <v>0</v>
      </c>
      <c r="BX1171">
        <v>0</v>
      </c>
      <c r="BY1171">
        <v>0</v>
      </c>
      <c r="BZ1171">
        <v>0</v>
      </c>
      <c r="CA1171">
        <v>0</v>
      </c>
      <c r="CB1171">
        <v>0</v>
      </c>
      <c r="CC1171">
        <v>0</v>
      </c>
      <c r="CD1171">
        <v>0</v>
      </c>
      <c r="CE1171" t="s">
        <v>3108</v>
      </c>
      <c r="CF1171" t="s">
        <v>3108</v>
      </c>
      <c r="CG1171" t="s">
        <v>3108</v>
      </c>
      <c r="CH1171" t="s">
        <v>3108</v>
      </c>
    </row>
    <row r="1172" spans="1:86" x14ac:dyDescent="0.2">
      <c r="A1172" t="s">
        <v>5001</v>
      </c>
      <c r="B1172" t="s">
        <v>5001</v>
      </c>
      <c r="C1172">
        <v>41649</v>
      </c>
      <c r="D1172">
        <v>918</v>
      </c>
      <c r="E1172" t="s">
        <v>3514</v>
      </c>
      <c r="F1172" t="s">
        <v>3249</v>
      </c>
      <c r="G1172" t="s">
        <v>3249</v>
      </c>
      <c r="H1172" t="s">
        <v>3250</v>
      </c>
      <c r="I1172" t="s">
        <v>3250</v>
      </c>
      <c r="J1172" t="s">
        <v>3250</v>
      </c>
      <c r="K1172" t="s">
        <v>3250</v>
      </c>
      <c r="L1172">
        <v>1200</v>
      </c>
      <c r="M1172" t="s">
        <v>2368</v>
      </c>
      <c r="N1172">
        <v>1204</v>
      </c>
      <c r="O1172" t="s">
        <v>1574</v>
      </c>
      <c r="P1172" t="s">
        <v>3108</v>
      </c>
      <c r="Q1172" t="s">
        <v>3249</v>
      </c>
      <c r="R1172" t="s">
        <v>3249</v>
      </c>
      <c r="S1172" t="s">
        <v>472</v>
      </c>
      <c r="T1172" t="s">
        <v>3251</v>
      </c>
      <c r="U1172">
        <v>140</v>
      </c>
      <c r="V1172" t="s">
        <v>1327</v>
      </c>
      <c r="W1172">
        <v>140</v>
      </c>
      <c r="X1172" t="s">
        <v>1327</v>
      </c>
      <c r="Y1172" t="s">
        <v>3250</v>
      </c>
      <c r="Z1172" t="s">
        <v>3250</v>
      </c>
      <c r="AA1172" t="s">
        <v>3108</v>
      </c>
      <c r="AB1172" t="s">
        <v>3108</v>
      </c>
      <c r="AC1172" t="s">
        <v>3250</v>
      </c>
      <c r="AD1172" t="s">
        <v>3250</v>
      </c>
      <c r="AE1172" t="s">
        <v>3250</v>
      </c>
      <c r="AF1172" t="s">
        <v>3250</v>
      </c>
      <c r="AG1172" t="s">
        <v>3250</v>
      </c>
      <c r="AH1172" t="s">
        <v>3250</v>
      </c>
      <c r="AI1172" t="s">
        <v>3250</v>
      </c>
      <c r="AJ1172" t="s">
        <v>3250</v>
      </c>
      <c r="AL1172">
        <v>147</v>
      </c>
      <c r="AM1172" t="s">
        <v>6</v>
      </c>
      <c r="AN1172">
        <v>147</v>
      </c>
      <c r="AO1172" t="s">
        <v>6</v>
      </c>
      <c r="AS1172" t="s">
        <v>3250</v>
      </c>
      <c r="AT1172" t="s">
        <v>3250</v>
      </c>
      <c r="AU1172" t="s">
        <v>3250</v>
      </c>
      <c r="AV1172" t="s">
        <v>3250</v>
      </c>
      <c r="AW1172" t="s">
        <v>3250</v>
      </c>
      <c r="AX1172" t="s">
        <v>3250</v>
      </c>
      <c r="AY1172" t="s">
        <v>3250</v>
      </c>
      <c r="AZ1172" t="s">
        <v>3250</v>
      </c>
      <c r="BA1172" t="s">
        <v>3250</v>
      </c>
      <c r="BB1172" t="s">
        <v>3250</v>
      </c>
      <c r="BC1172" t="s">
        <v>3250</v>
      </c>
      <c r="BE1172" t="s">
        <v>3250</v>
      </c>
      <c r="BF1172" t="s">
        <v>3250</v>
      </c>
      <c r="BG1172" t="s">
        <v>3250</v>
      </c>
      <c r="BH1172" t="s">
        <v>3250</v>
      </c>
      <c r="BI1172" t="s">
        <v>3250</v>
      </c>
      <c r="BK1172" t="s">
        <v>3250</v>
      </c>
      <c r="BL1172" t="s">
        <v>3250</v>
      </c>
      <c r="BM1172" t="s">
        <v>3250</v>
      </c>
      <c r="BN1172" t="s">
        <v>3250</v>
      </c>
      <c r="BP1172">
        <v>1</v>
      </c>
      <c r="BQ1172">
        <v>11</v>
      </c>
      <c r="BR1172" t="s">
        <v>1574</v>
      </c>
      <c r="BS1172" t="s">
        <v>3252</v>
      </c>
      <c r="BV1172">
        <v>0</v>
      </c>
      <c r="BW1172">
        <v>0</v>
      </c>
      <c r="BX1172">
        <v>0</v>
      </c>
      <c r="BY1172">
        <v>0</v>
      </c>
      <c r="BZ1172">
        <v>0</v>
      </c>
      <c r="CA1172">
        <v>0</v>
      </c>
      <c r="CB1172">
        <v>0</v>
      </c>
      <c r="CC1172">
        <v>0</v>
      </c>
      <c r="CD1172">
        <v>0</v>
      </c>
      <c r="CE1172" t="s">
        <v>3108</v>
      </c>
      <c r="CF1172" t="s">
        <v>3108</v>
      </c>
      <c r="CG1172" t="s">
        <v>3108</v>
      </c>
      <c r="CH1172" t="s">
        <v>3108</v>
      </c>
    </row>
    <row r="1173" spans="1:86" x14ac:dyDescent="0.2">
      <c r="A1173" t="s">
        <v>5002</v>
      </c>
      <c r="B1173" t="s">
        <v>5002</v>
      </c>
      <c r="C1173">
        <v>41650</v>
      </c>
      <c r="D1173">
        <v>919</v>
      </c>
      <c r="E1173" t="s">
        <v>3708</v>
      </c>
      <c r="F1173" t="s">
        <v>3249</v>
      </c>
      <c r="G1173" t="s">
        <v>3249</v>
      </c>
      <c r="H1173" t="s">
        <v>3250</v>
      </c>
      <c r="I1173" t="s">
        <v>3250</v>
      </c>
      <c r="J1173" t="s">
        <v>3250</v>
      </c>
      <c r="K1173" t="s">
        <v>3250</v>
      </c>
      <c r="L1173">
        <v>1200</v>
      </c>
      <c r="M1173" t="s">
        <v>2368</v>
      </c>
      <c r="N1173">
        <v>1204</v>
      </c>
      <c r="O1173" t="s">
        <v>1574</v>
      </c>
      <c r="P1173" t="s">
        <v>3108</v>
      </c>
      <c r="Q1173" t="s">
        <v>3249</v>
      </c>
      <c r="R1173" t="s">
        <v>3249</v>
      </c>
      <c r="S1173" t="s">
        <v>472</v>
      </c>
      <c r="T1173" t="s">
        <v>3251</v>
      </c>
      <c r="U1173">
        <v>140</v>
      </c>
      <c r="V1173" t="s">
        <v>1327</v>
      </c>
      <c r="W1173">
        <v>140</v>
      </c>
      <c r="X1173" t="s">
        <v>1327</v>
      </c>
      <c r="Y1173" t="s">
        <v>3250</v>
      </c>
      <c r="Z1173" t="s">
        <v>3250</v>
      </c>
      <c r="AA1173" t="s">
        <v>3108</v>
      </c>
      <c r="AB1173" t="s">
        <v>3108</v>
      </c>
      <c r="AC1173" t="s">
        <v>3250</v>
      </c>
      <c r="AD1173" t="s">
        <v>3250</v>
      </c>
      <c r="AE1173" t="s">
        <v>3250</v>
      </c>
      <c r="AF1173" t="s">
        <v>3250</v>
      </c>
      <c r="AG1173" t="s">
        <v>3250</v>
      </c>
      <c r="AH1173" t="s">
        <v>3250</v>
      </c>
      <c r="AI1173" t="s">
        <v>3250</v>
      </c>
      <c r="AJ1173" t="s">
        <v>3250</v>
      </c>
      <c r="AL1173">
        <v>141</v>
      </c>
      <c r="AM1173" t="s">
        <v>1327</v>
      </c>
      <c r="AN1173">
        <v>141</v>
      </c>
      <c r="AO1173" t="s">
        <v>1327</v>
      </c>
      <c r="AS1173" t="s">
        <v>3250</v>
      </c>
      <c r="AT1173" t="s">
        <v>3250</v>
      </c>
      <c r="AU1173" t="s">
        <v>3250</v>
      </c>
      <c r="AV1173" t="s">
        <v>3250</v>
      </c>
      <c r="AW1173" t="s">
        <v>3250</v>
      </c>
      <c r="AX1173" t="s">
        <v>3250</v>
      </c>
      <c r="AY1173" t="s">
        <v>3250</v>
      </c>
      <c r="AZ1173" t="s">
        <v>3250</v>
      </c>
      <c r="BA1173" t="s">
        <v>3250</v>
      </c>
      <c r="BB1173" t="s">
        <v>3250</v>
      </c>
      <c r="BC1173" t="s">
        <v>3250</v>
      </c>
      <c r="BE1173" t="s">
        <v>3250</v>
      </c>
      <c r="BF1173" t="s">
        <v>3250</v>
      </c>
      <c r="BG1173" t="s">
        <v>3250</v>
      </c>
      <c r="BH1173" t="s">
        <v>3250</v>
      </c>
      <c r="BI1173" t="s">
        <v>3250</v>
      </c>
      <c r="BK1173" t="s">
        <v>3250</v>
      </c>
      <c r="BL1173" t="s">
        <v>3250</v>
      </c>
      <c r="BM1173" t="s">
        <v>3250</v>
      </c>
      <c r="BN1173" t="s">
        <v>3250</v>
      </c>
      <c r="BP1173">
        <v>1</v>
      </c>
      <c r="BQ1173">
        <v>11</v>
      </c>
      <c r="BR1173" t="s">
        <v>1574</v>
      </c>
      <c r="BS1173" t="s">
        <v>3252</v>
      </c>
      <c r="BV1173">
        <v>43262</v>
      </c>
      <c r="BW1173">
        <v>43262</v>
      </c>
      <c r="BX1173">
        <v>43262</v>
      </c>
      <c r="BY1173">
        <v>0</v>
      </c>
      <c r="BZ1173">
        <v>0</v>
      </c>
      <c r="CA1173">
        <v>0</v>
      </c>
      <c r="CB1173">
        <v>0</v>
      </c>
      <c r="CC1173">
        <v>0</v>
      </c>
      <c r="CD1173">
        <v>43262</v>
      </c>
      <c r="CE1173" t="s">
        <v>3108</v>
      </c>
      <c r="CF1173" t="s">
        <v>3108</v>
      </c>
      <c r="CG1173" t="s">
        <v>3108</v>
      </c>
      <c r="CH1173" t="s">
        <v>3108</v>
      </c>
    </row>
    <row r="1174" spans="1:86" x14ac:dyDescent="0.2">
      <c r="A1174" t="s">
        <v>5003</v>
      </c>
      <c r="B1174" t="s">
        <v>5003</v>
      </c>
      <c r="C1174">
        <v>41651</v>
      </c>
      <c r="D1174">
        <v>920</v>
      </c>
      <c r="E1174" t="s">
        <v>3516</v>
      </c>
      <c r="F1174" t="s">
        <v>3249</v>
      </c>
      <c r="G1174" t="s">
        <v>3249</v>
      </c>
      <c r="H1174" t="s">
        <v>3250</v>
      </c>
      <c r="I1174" t="s">
        <v>3250</v>
      </c>
      <c r="J1174" t="s">
        <v>3250</v>
      </c>
      <c r="K1174" t="s">
        <v>3250</v>
      </c>
      <c r="L1174">
        <v>1200</v>
      </c>
      <c r="M1174" t="s">
        <v>2368</v>
      </c>
      <c r="N1174">
        <v>1204</v>
      </c>
      <c r="O1174" t="s">
        <v>1574</v>
      </c>
      <c r="P1174" t="s">
        <v>3108</v>
      </c>
      <c r="Q1174" t="s">
        <v>3249</v>
      </c>
      <c r="R1174" t="s">
        <v>3249</v>
      </c>
      <c r="S1174" t="s">
        <v>472</v>
      </c>
      <c r="T1174" t="s">
        <v>3251</v>
      </c>
      <c r="U1174">
        <v>140</v>
      </c>
      <c r="V1174" t="s">
        <v>1327</v>
      </c>
      <c r="W1174">
        <v>140</v>
      </c>
      <c r="X1174" t="s">
        <v>1327</v>
      </c>
      <c r="Y1174" t="s">
        <v>3250</v>
      </c>
      <c r="Z1174" t="s">
        <v>3250</v>
      </c>
      <c r="AA1174" t="s">
        <v>3108</v>
      </c>
      <c r="AB1174" t="s">
        <v>3108</v>
      </c>
      <c r="AC1174" t="s">
        <v>3250</v>
      </c>
      <c r="AD1174" t="s">
        <v>3250</v>
      </c>
      <c r="AE1174" t="s">
        <v>3250</v>
      </c>
      <c r="AF1174" t="s">
        <v>3250</v>
      </c>
      <c r="AG1174" t="s">
        <v>3250</v>
      </c>
      <c r="AH1174" t="s">
        <v>3250</v>
      </c>
      <c r="AI1174" t="s">
        <v>3250</v>
      </c>
      <c r="AJ1174" t="s">
        <v>3250</v>
      </c>
      <c r="AL1174">
        <v>141</v>
      </c>
      <c r="AM1174" t="s">
        <v>1327</v>
      </c>
      <c r="AN1174">
        <v>141</v>
      </c>
      <c r="AO1174" t="s">
        <v>1327</v>
      </c>
      <c r="AS1174" t="s">
        <v>3250</v>
      </c>
      <c r="AT1174" t="s">
        <v>3250</v>
      </c>
      <c r="AU1174" t="s">
        <v>3250</v>
      </c>
      <c r="AV1174" t="s">
        <v>3250</v>
      </c>
      <c r="AW1174" t="s">
        <v>3250</v>
      </c>
      <c r="AX1174" t="s">
        <v>3250</v>
      </c>
      <c r="AY1174" t="s">
        <v>3250</v>
      </c>
      <c r="AZ1174" t="s">
        <v>3250</v>
      </c>
      <c r="BA1174" t="s">
        <v>3250</v>
      </c>
      <c r="BB1174" t="s">
        <v>3250</v>
      </c>
      <c r="BC1174" t="s">
        <v>3250</v>
      </c>
      <c r="BE1174" t="s">
        <v>3250</v>
      </c>
      <c r="BF1174" t="s">
        <v>3250</v>
      </c>
      <c r="BG1174" t="s">
        <v>3250</v>
      </c>
      <c r="BH1174" t="s">
        <v>3250</v>
      </c>
      <c r="BI1174" t="s">
        <v>3250</v>
      </c>
      <c r="BK1174" t="s">
        <v>3250</v>
      </c>
      <c r="BL1174" t="s">
        <v>3250</v>
      </c>
      <c r="BM1174" t="s">
        <v>3250</v>
      </c>
      <c r="BN1174" t="s">
        <v>3250</v>
      </c>
      <c r="BP1174">
        <v>1</v>
      </c>
      <c r="BQ1174">
        <v>11</v>
      </c>
      <c r="BR1174" t="s">
        <v>1574</v>
      </c>
      <c r="BS1174" t="s">
        <v>3252</v>
      </c>
      <c r="BV1174">
        <v>15903</v>
      </c>
      <c r="BW1174">
        <v>15903</v>
      </c>
      <c r="BX1174">
        <v>15903</v>
      </c>
      <c r="BY1174">
        <v>0</v>
      </c>
      <c r="BZ1174">
        <v>0</v>
      </c>
      <c r="CA1174">
        <v>0</v>
      </c>
      <c r="CB1174">
        <v>0</v>
      </c>
      <c r="CC1174">
        <v>0</v>
      </c>
      <c r="CD1174">
        <v>15903</v>
      </c>
      <c r="CE1174" t="s">
        <v>3108</v>
      </c>
      <c r="CF1174" t="s">
        <v>3108</v>
      </c>
      <c r="CG1174" t="s">
        <v>3108</v>
      </c>
      <c r="CH1174" t="s">
        <v>3108</v>
      </c>
    </row>
    <row r="1175" spans="1:86" x14ac:dyDescent="0.2">
      <c r="A1175" t="s">
        <v>5004</v>
      </c>
      <c r="B1175" t="s">
        <v>5004</v>
      </c>
      <c r="C1175">
        <v>41652</v>
      </c>
      <c r="D1175">
        <v>921</v>
      </c>
      <c r="E1175" t="s">
        <v>5005</v>
      </c>
      <c r="F1175" t="s">
        <v>3249</v>
      </c>
      <c r="G1175" t="s">
        <v>3249</v>
      </c>
      <c r="H1175" t="s">
        <v>3250</v>
      </c>
      <c r="I1175" t="s">
        <v>3250</v>
      </c>
      <c r="J1175" t="s">
        <v>3250</v>
      </c>
      <c r="K1175" t="s">
        <v>3250</v>
      </c>
      <c r="L1175">
        <v>1200</v>
      </c>
      <c r="M1175" t="s">
        <v>2368</v>
      </c>
      <c r="N1175">
        <v>1204</v>
      </c>
      <c r="O1175" t="s">
        <v>1574</v>
      </c>
      <c r="P1175" t="s">
        <v>3108</v>
      </c>
      <c r="Q1175" t="s">
        <v>3249</v>
      </c>
      <c r="R1175" t="s">
        <v>3249</v>
      </c>
      <c r="S1175" t="s">
        <v>472</v>
      </c>
      <c r="T1175" t="s">
        <v>3251</v>
      </c>
      <c r="U1175">
        <v>140</v>
      </c>
      <c r="V1175" t="s">
        <v>1327</v>
      </c>
      <c r="W1175">
        <v>140</v>
      </c>
      <c r="X1175" t="s">
        <v>1327</v>
      </c>
      <c r="Y1175" t="s">
        <v>3250</v>
      </c>
      <c r="Z1175" t="s">
        <v>3250</v>
      </c>
      <c r="AA1175" t="s">
        <v>3108</v>
      </c>
      <c r="AB1175" t="s">
        <v>3108</v>
      </c>
      <c r="AC1175" t="s">
        <v>3250</v>
      </c>
      <c r="AD1175" t="s">
        <v>3250</v>
      </c>
      <c r="AE1175" t="s">
        <v>3250</v>
      </c>
      <c r="AF1175" t="s">
        <v>3250</v>
      </c>
      <c r="AG1175" t="s">
        <v>3250</v>
      </c>
      <c r="AH1175" t="s">
        <v>3250</v>
      </c>
      <c r="AI1175" t="s">
        <v>3250</v>
      </c>
      <c r="AJ1175" t="s">
        <v>3250</v>
      </c>
      <c r="AL1175">
        <v>141</v>
      </c>
      <c r="AM1175" t="s">
        <v>1327</v>
      </c>
      <c r="AN1175">
        <v>141</v>
      </c>
      <c r="AO1175" t="s">
        <v>1327</v>
      </c>
      <c r="AS1175" t="s">
        <v>3250</v>
      </c>
      <c r="AT1175" t="s">
        <v>3250</v>
      </c>
      <c r="AU1175" t="s">
        <v>3250</v>
      </c>
      <c r="AV1175" t="s">
        <v>3250</v>
      </c>
      <c r="AW1175" t="s">
        <v>3250</v>
      </c>
      <c r="AX1175" t="s">
        <v>3250</v>
      </c>
      <c r="AY1175" t="s">
        <v>3250</v>
      </c>
      <c r="AZ1175" t="s">
        <v>3250</v>
      </c>
      <c r="BA1175" t="s">
        <v>3250</v>
      </c>
      <c r="BB1175" t="s">
        <v>3250</v>
      </c>
      <c r="BC1175" t="s">
        <v>3250</v>
      </c>
      <c r="BE1175" t="s">
        <v>3250</v>
      </c>
      <c r="BF1175" t="s">
        <v>3250</v>
      </c>
      <c r="BG1175" t="s">
        <v>3250</v>
      </c>
      <c r="BH1175" t="s">
        <v>3250</v>
      </c>
      <c r="BI1175" t="s">
        <v>3250</v>
      </c>
      <c r="BK1175" t="s">
        <v>3250</v>
      </c>
      <c r="BL1175" t="s">
        <v>3250</v>
      </c>
      <c r="BM1175" t="s">
        <v>3250</v>
      </c>
      <c r="BN1175" t="s">
        <v>3250</v>
      </c>
      <c r="BP1175">
        <v>1</v>
      </c>
      <c r="BQ1175">
        <v>11</v>
      </c>
      <c r="BR1175" t="s">
        <v>1574</v>
      </c>
      <c r="BS1175" t="s">
        <v>3252</v>
      </c>
      <c r="BV1175">
        <v>155809</v>
      </c>
      <c r="BW1175">
        <v>155809</v>
      </c>
      <c r="BX1175">
        <v>137712</v>
      </c>
      <c r="BY1175">
        <v>0</v>
      </c>
      <c r="BZ1175">
        <v>0</v>
      </c>
      <c r="CA1175">
        <v>0</v>
      </c>
      <c r="CB1175">
        <v>0</v>
      </c>
      <c r="CC1175">
        <v>0</v>
      </c>
      <c r="CD1175">
        <v>155809</v>
      </c>
      <c r="CE1175" t="s">
        <v>3108</v>
      </c>
      <c r="CF1175" t="s">
        <v>3108</v>
      </c>
      <c r="CG1175" t="s">
        <v>3108</v>
      </c>
      <c r="CH1175" t="s">
        <v>3108</v>
      </c>
    </row>
    <row r="1176" spans="1:86" x14ac:dyDescent="0.2">
      <c r="A1176" t="s">
        <v>5006</v>
      </c>
      <c r="B1176" t="s">
        <v>5006</v>
      </c>
      <c r="C1176">
        <v>41653</v>
      </c>
      <c r="D1176">
        <v>922</v>
      </c>
      <c r="E1176" t="s">
        <v>3710</v>
      </c>
      <c r="F1176" t="s">
        <v>3249</v>
      </c>
      <c r="G1176" t="s">
        <v>3249</v>
      </c>
      <c r="H1176" t="s">
        <v>3250</v>
      </c>
      <c r="I1176" t="s">
        <v>3250</v>
      </c>
      <c r="J1176" t="s">
        <v>3250</v>
      </c>
      <c r="K1176" t="s">
        <v>3250</v>
      </c>
      <c r="L1176">
        <v>1200</v>
      </c>
      <c r="M1176" t="s">
        <v>2368</v>
      </c>
      <c r="N1176">
        <v>1204</v>
      </c>
      <c r="O1176" t="s">
        <v>1574</v>
      </c>
      <c r="P1176" t="s">
        <v>3108</v>
      </c>
      <c r="Q1176" t="s">
        <v>3249</v>
      </c>
      <c r="R1176" t="s">
        <v>3249</v>
      </c>
      <c r="S1176" t="s">
        <v>472</v>
      </c>
      <c r="T1176" t="s">
        <v>3251</v>
      </c>
      <c r="U1176">
        <v>140</v>
      </c>
      <c r="V1176" t="s">
        <v>1327</v>
      </c>
      <c r="W1176">
        <v>140</v>
      </c>
      <c r="X1176" t="s">
        <v>1327</v>
      </c>
      <c r="Y1176" t="s">
        <v>3250</v>
      </c>
      <c r="Z1176" t="s">
        <v>3250</v>
      </c>
      <c r="AA1176" t="s">
        <v>3108</v>
      </c>
      <c r="AB1176" t="s">
        <v>3108</v>
      </c>
      <c r="AC1176" t="s">
        <v>3250</v>
      </c>
      <c r="AD1176" t="s">
        <v>3250</v>
      </c>
      <c r="AE1176" t="s">
        <v>3250</v>
      </c>
      <c r="AF1176" t="s">
        <v>3250</v>
      </c>
      <c r="AG1176" t="s">
        <v>3250</v>
      </c>
      <c r="AH1176" t="s">
        <v>3250</v>
      </c>
      <c r="AI1176" t="s">
        <v>3250</v>
      </c>
      <c r="AJ1176" t="s">
        <v>3250</v>
      </c>
      <c r="AL1176">
        <v>141</v>
      </c>
      <c r="AM1176" t="s">
        <v>1327</v>
      </c>
      <c r="AN1176">
        <v>141</v>
      </c>
      <c r="AO1176" t="s">
        <v>1327</v>
      </c>
      <c r="AS1176" t="s">
        <v>3250</v>
      </c>
      <c r="AT1176" t="s">
        <v>3250</v>
      </c>
      <c r="AU1176" t="s">
        <v>3250</v>
      </c>
      <c r="AV1176" t="s">
        <v>3250</v>
      </c>
      <c r="AW1176" t="s">
        <v>3250</v>
      </c>
      <c r="AX1176" t="s">
        <v>3250</v>
      </c>
      <c r="AY1176" t="s">
        <v>3250</v>
      </c>
      <c r="AZ1176" t="s">
        <v>3250</v>
      </c>
      <c r="BA1176" t="s">
        <v>3250</v>
      </c>
      <c r="BB1176" t="s">
        <v>3250</v>
      </c>
      <c r="BC1176" t="s">
        <v>3250</v>
      </c>
      <c r="BE1176" t="s">
        <v>3250</v>
      </c>
      <c r="BF1176" t="s">
        <v>3250</v>
      </c>
      <c r="BG1176" t="s">
        <v>3250</v>
      </c>
      <c r="BH1176" t="s">
        <v>3250</v>
      </c>
      <c r="BI1176" t="s">
        <v>3250</v>
      </c>
      <c r="BK1176" t="s">
        <v>3250</v>
      </c>
      <c r="BL1176" t="s">
        <v>3250</v>
      </c>
      <c r="BM1176" t="s">
        <v>3250</v>
      </c>
      <c r="BN1176" t="s">
        <v>3250</v>
      </c>
      <c r="BP1176">
        <v>1</v>
      </c>
      <c r="BQ1176">
        <v>11</v>
      </c>
      <c r="BR1176" t="s">
        <v>1574</v>
      </c>
      <c r="BS1176" t="s">
        <v>3252</v>
      </c>
      <c r="BV1176">
        <v>0</v>
      </c>
      <c r="BW1176">
        <v>0</v>
      </c>
      <c r="BX1176">
        <v>0</v>
      </c>
      <c r="BY1176">
        <v>0</v>
      </c>
      <c r="BZ1176">
        <v>0</v>
      </c>
      <c r="CA1176">
        <v>0</v>
      </c>
      <c r="CB1176">
        <v>0</v>
      </c>
      <c r="CC1176">
        <v>0</v>
      </c>
      <c r="CD1176">
        <v>0</v>
      </c>
      <c r="CE1176" t="s">
        <v>3108</v>
      </c>
      <c r="CF1176" t="s">
        <v>3108</v>
      </c>
      <c r="CG1176" t="s">
        <v>3108</v>
      </c>
      <c r="CH1176" t="s">
        <v>3108</v>
      </c>
    </row>
    <row r="1177" spans="1:86" x14ac:dyDescent="0.2">
      <c r="A1177" t="s">
        <v>5007</v>
      </c>
      <c r="B1177" t="s">
        <v>5007</v>
      </c>
      <c r="C1177">
        <v>41654</v>
      </c>
      <c r="D1177">
        <v>923</v>
      </c>
      <c r="E1177" t="s">
        <v>5008</v>
      </c>
      <c r="F1177" t="s">
        <v>3249</v>
      </c>
      <c r="G1177" t="s">
        <v>3249</v>
      </c>
      <c r="H1177" t="s">
        <v>3250</v>
      </c>
      <c r="I1177" t="s">
        <v>3250</v>
      </c>
      <c r="J1177" t="s">
        <v>3250</v>
      </c>
      <c r="K1177" t="s">
        <v>3250</v>
      </c>
      <c r="L1177">
        <v>1200</v>
      </c>
      <c r="M1177" t="s">
        <v>2368</v>
      </c>
      <c r="N1177">
        <v>1204</v>
      </c>
      <c r="O1177" t="s">
        <v>1574</v>
      </c>
      <c r="P1177" t="s">
        <v>3108</v>
      </c>
      <c r="Q1177" t="s">
        <v>3249</v>
      </c>
      <c r="R1177" t="s">
        <v>3249</v>
      </c>
      <c r="S1177" t="s">
        <v>472</v>
      </c>
      <c r="T1177" t="s">
        <v>3251</v>
      </c>
      <c r="U1177">
        <v>140</v>
      </c>
      <c r="V1177" t="s">
        <v>1327</v>
      </c>
      <c r="W1177">
        <v>140</v>
      </c>
      <c r="X1177" t="s">
        <v>1327</v>
      </c>
      <c r="Y1177" t="s">
        <v>3250</v>
      </c>
      <c r="Z1177" t="s">
        <v>3250</v>
      </c>
      <c r="AA1177" t="s">
        <v>3108</v>
      </c>
      <c r="AB1177" t="s">
        <v>3108</v>
      </c>
      <c r="AC1177" t="s">
        <v>3250</v>
      </c>
      <c r="AD1177" t="s">
        <v>3250</v>
      </c>
      <c r="AE1177" t="s">
        <v>3250</v>
      </c>
      <c r="AF1177" t="s">
        <v>3250</v>
      </c>
      <c r="AG1177" t="s">
        <v>3250</v>
      </c>
      <c r="AH1177" t="s">
        <v>3250</v>
      </c>
      <c r="AI1177" t="s">
        <v>3250</v>
      </c>
      <c r="AJ1177" t="s">
        <v>3250</v>
      </c>
      <c r="AL1177">
        <v>141</v>
      </c>
      <c r="AM1177" t="s">
        <v>1327</v>
      </c>
      <c r="AN1177">
        <v>141</v>
      </c>
      <c r="AO1177" t="s">
        <v>1327</v>
      </c>
      <c r="AS1177" t="s">
        <v>3250</v>
      </c>
      <c r="AT1177" t="s">
        <v>3250</v>
      </c>
      <c r="AU1177" t="s">
        <v>3250</v>
      </c>
      <c r="AV1177" t="s">
        <v>3250</v>
      </c>
      <c r="AW1177" t="s">
        <v>3250</v>
      </c>
      <c r="AX1177" t="s">
        <v>3250</v>
      </c>
      <c r="AY1177" t="s">
        <v>3250</v>
      </c>
      <c r="AZ1177" t="s">
        <v>3250</v>
      </c>
      <c r="BA1177" t="s">
        <v>3250</v>
      </c>
      <c r="BB1177" t="s">
        <v>3250</v>
      </c>
      <c r="BC1177" t="s">
        <v>3250</v>
      </c>
      <c r="BE1177" t="s">
        <v>3250</v>
      </c>
      <c r="BF1177" t="s">
        <v>3250</v>
      </c>
      <c r="BG1177" t="s">
        <v>3250</v>
      </c>
      <c r="BH1177" t="s">
        <v>3250</v>
      </c>
      <c r="BI1177" t="s">
        <v>3250</v>
      </c>
      <c r="BK1177" t="s">
        <v>3250</v>
      </c>
      <c r="BL1177" t="s">
        <v>3250</v>
      </c>
      <c r="BM1177" t="s">
        <v>3250</v>
      </c>
      <c r="BN1177" t="s">
        <v>3250</v>
      </c>
      <c r="BP1177">
        <v>1</v>
      </c>
      <c r="BQ1177">
        <v>11</v>
      </c>
      <c r="BR1177" t="s">
        <v>1574</v>
      </c>
      <c r="BS1177" t="s">
        <v>3252</v>
      </c>
      <c r="BV1177">
        <v>1084762</v>
      </c>
      <c r="BW1177">
        <v>504360</v>
      </c>
      <c r="BX1177">
        <v>247677</v>
      </c>
      <c r="BY1177">
        <v>0</v>
      </c>
      <c r="BZ1177">
        <v>19781622</v>
      </c>
      <c r="CA1177">
        <v>20553105</v>
      </c>
      <c r="CB1177">
        <v>21042555</v>
      </c>
      <c r="CC1177">
        <v>22379144</v>
      </c>
      <c r="CD1177">
        <v>1582722</v>
      </c>
      <c r="CE1177" t="s">
        <v>3108</v>
      </c>
      <c r="CF1177" t="s">
        <v>3108</v>
      </c>
      <c r="CG1177" t="s">
        <v>3108</v>
      </c>
      <c r="CH1177" t="s">
        <v>3108</v>
      </c>
    </row>
    <row r="1178" spans="1:86" x14ac:dyDescent="0.2">
      <c r="A1178" t="s">
        <v>5009</v>
      </c>
      <c r="B1178" t="s">
        <v>5009</v>
      </c>
      <c r="C1178">
        <v>41655</v>
      </c>
      <c r="D1178">
        <v>924</v>
      </c>
      <c r="E1178" t="s">
        <v>3518</v>
      </c>
      <c r="F1178" t="s">
        <v>3249</v>
      </c>
      <c r="G1178" t="s">
        <v>3249</v>
      </c>
      <c r="H1178" t="s">
        <v>3250</v>
      </c>
      <c r="I1178" t="s">
        <v>3250</v>
      </c>
      <c r="J1178" t="s">
        <v>3250</v>
      </c>
      <c r="K1178" t="s">
        <v>3250</v>
      </c>
      <c r="L1178">
        <v>1200</v>
      </c>
      <c r="M1178" t="s">
        <v>2368</v>
      </c>
      <c r="N1178">
        <v>1204</v>
      </c>
      <c r="O1178" t="s">
        <v>1574</v>
      </c>
      <c r="P1178" t="s">
        <v>3108</v>
      </c>
      <c r="Q1178" t="s">
        <v>3249</v>
      </c>
      <c r="R1178" t="s">
        <v>3249</v>
      </c>
      <c r="S1178" t="s">
        <v>472</v>
      </c>
      <c r="T1178" t="s">
        <v>3251</v>
      </c>
      <c r="U1178">
        <v>140</v>
      </c>
      <c r="V1178" t="s">
        <v>1327</v>
      </c>
      <c r="W1178">
        <v>140</v>
      </c>
      <c r="X1178" t="s">
        <v>1327</v>
      </c>
      <c r="Y1178" t="s">
        <v>3250</v>
      </c>
      <c r="Z1178" t="s">
        <v>3250</v>
      </c>
      <c r="AA1178" t="s">
        <v>3108</v>
      </c>
      <c r="AB1178" t="s">
        <v>3108</v>
      </c>
      <c r="AC1178" t="s">
        <v>3250</v>
      </c>
      <c r="AD1178" t="s">
        <v>3250</v>
      </c>
      <c r="AE1178" t="s">
        <v>3250</v>
      </c>
      <c r="AF1178" t="s">
        <v>3250</v>
      </c>
      <c r="AG1178" t="s">
        <v>3250</v>
      </c>
      <c r="AH1178" t="s">
        <v>3250</v>
      </c>
      <c r="AI1178" t="s">
        <v>3250</v>
      </c>
      <c r="AJ1178" t="s">
        <v>3250</v>
      </c>
      <c r="AL1178">
        <v>141</v>
      </c>
      <c r="AM1178" t="s">
        <v>1327</v>
      </c>
      <c r="AN1178">
        <v>141</v>
      </c>
      <c r="AO1178" t="s">
        <v>1327</v>
      </c>
      <c r="AS1178" t="s">
        <v>3250</v>
      </c>
      <c r="AT1178" t="s">
        <v>3250</v>
      </c>
      <c r="AU1178" t="s">
        <v>3250</v>
      </c>
      <c r="AV1178" t="s">
        <v>3250</v>
      </c>
      <c r="AW1178" t="s">
        <v>3250</v>
      </c>
      <c r="AX1178" t="s">
        <v>3250</v>
      </c>
      <c r="AY1178" t="s">
        <v>3250</v>
      </c>
      <c r="AZ1178" t="s">
        <v>3250</v>
      </c>
      <c r="BA1178" t="s">
        <v>3250</v>
      </c>
      <c r="BB1178" t="s">
        <v>3250</v>
      </c>
      <c r="BC1178" t="s">
        <v>3250</v>
      </c>
      <c r="BE1178" t="s">
        <v>3250</v>
      </c>
      <c r="BF1178" t="s">
        <v>3250</v>
      </c>
      <c r="BG1178" t="s">
        <v>3250</v>
      </c>
      <c r="BH1178" t="s">
        <v>3250</v>
      </c>
      <c r="BI1178" t="s">
        <v>3250</v>
      </c>
      <c r="BK1178" t="s">
        <v>3250</v>
      </c>
      <c r="BL1178" t="s">
        <v>3250</v>
      </c>
      <c r="BM1178" t="s">
        <v>3250</v>
      </c>
      <c r="BN1178" t="s">
        <v>3250</v>
      </c>
      <c r="BP1178">
        <v>1</v>
      </c>
      <c r="BQ1178">
        <v>11</v>
      </c>
      <c r="BR1178" t="s">
        <v>1574</v>
      </c>
      <c r="BS1178" t="s">
        <v>3252</v>
      </c>
      <c r="BV1178">
        <v>0</v>
      </c>
      <c r="BW1178">
        <v>0</v>
      </c>
      <c r="BX1178">
        <v>0</v>
      </c>
      <c r="BY1178">
        <v>0</v>
      </c>
      <c r="BZ1178">
        <v>0</v>
      </c>
      <c r="CA1178">
        <v>0</v>
      </c>
      <c r="CB1178">
        <v>0</v>
      </c>
      <c r="CC1178">
        <v>0</v>
      </c>
      <c r="CD1178">
        <v>0</v>
      </c>
      <c r="CE1178" t="s">
        <v>3108</v>
      </c>
      <c r="CF1178" t="s">
        <v>3108</v>
      </c>
      <c r="CG1178" t="s">
        <v>3108</v>
      </c>
      <c r="CH1178" t="s">
        <v>3108</v>
      </c>
    </row>
    <row r="1179" spans="1:86" x14ac:dyDescent="0.2">
      <c r="A1179" t="s">
        <v>5010</v>
      </c>
      <c r="B1179" t="s">
        <v>5010</v>
      </c>
      <c r="C1179">
        <v>41656</v>
      </c>
      <c r="D1179">
        <v>925</v>
      </c>
      <c r="E1179" t="s">
        <v>3690</v>
      </c>
      <c r="F1179" t="s">
        <v>3249</v>
      </c>
      <c r="G1179" t="s">
        <v>3249</v>
      </c>
      <c r="H1179" t="s">
        <v>3250</v>
      </c>
      <c r="I1179" t="s">
        <v>3250</v>
      </c>
      <c r="J1179" t="s">
        <v>3250</v>
      </c>
      <c r="K1179" t="s">
        <v>3250</v>
      </c>
      <c r="L1179">
        <v>1200</v>
      </c>
      <c r="M1179" t="s">
        <v>2368</v>
      </c>
      <c r="N1179">
        <v>1204</v>
      </c>
      <c r="O1179" t="s">
        <v>1574</v>
      </c>
      <c r="P1179" t="s">
        <v>3108</v>
      </c>
      <c r="Q1179" t="s">
        <v>3249</v>
      </c>
      <c r="R1179" t="s">
        <v>3249</v>
      </c>
      <c r="S1179" t="s">
        <v>472</v>
      </c>
      <c r="T1179" t="s">
        <v>3251</v>
      </c>
      <c r="U1179">
        <v>140</v>
      </c>
      <c r="V1179" t="s">
        <v>1327</v>
      </c>
      <c r="W1179">
        <v>140</v>
      </c>
      <c r="X1179" t="s">
        <v>1327</v>
      </c>
      <c r="Y1179" t="s">
        <v>3250</v>
      </c>
      <c r="Z1179" t="s">
        <v>3250</v>
      </c>
      <c r="AA1179" t="s">
        <v>3108</v>
      </c>
      <c r="AB1179" t="s">
        <v>3108</v>
      </c>
      <c r="AC1179" t="s">
        <v>3250</v>
      </c>
      <c r="AD1179" t="s">
        <v>3250</v>
      </c>
      <c r="AE1179" t="s">
        <v>3250</v>
      </c>
      <c r="AF1179" t="s">
        <v>3250</v>
      </c>
      <c r="AG1179" t="s">
        <v>3250</v>
      </c>
      <c r="AH1179" t="s">
        <v>3250</v>
      </c>
      <c r="AI1179" t="s">
        <v>3250</v>
      </c>
      <c r="AJ1179" t="s">
        <v>3250</v>
      </c>
      <c r="AL1179">
        <v>141</v>
      </c>
      <c r="AM1179" t="s">
        <v>1327</v>
      </c>
      <c r="AN1179">
        <v>141</v>
      </c>
      <c r="AO1179" t="s">
        <v>1327</v>
      </c>
      <c r="AS1179" t="s">
        <v>3250</v>
      </c>
      <c r="AT1179" t="s">
        <v>3250</v>
      </c>
      <c r="AU1179" t="s">
        <v>3250</v>
      </c>
      <c r="AV1179" t="s">
        <v>3250</v>
      </c>
      <c r="AW1179" t="s">
        <v>3250</v>
      </c>
      <c r="AX1179" t="s">
        <v>3250</v>
      </c>
      <c r="AY1179" t="s">
        <v>3250</v>
      </c>
      <c r="AZ1179" t="s">
        <v>3250</v>
      </c>
      <c r="BA1179" t="s">
        <v>3250</v>
      </c>
      <c r="BB1179" t="s">
        <v>3250</v>
      </c>
      <c r="BC1179" t="s">
        <v>3250</v>
      </c>
      <c r="BE1179" t="s">
        <v>3250</v>
      </c>
      <c r="BF1179" t="s">
        <v>3250</v>
      </c>
      <c r="BG1179" t="s">
        <v>3250</v>
      </c>
      <c r="BH1179" t="s">
        <v>3250</v>
      </c>
      <c r="BI1179" t="s">
        <v>3250</v>
      </c>
      <c r="BK1179" t="s">
        <v>3250</v>
      </c>
      <c r="BL1179" t="s">
        <v>3250</v>
      </c>
      <c r="BM1179" t="s">
        <v>3250</v>
      </c>
      <c r="BN1179" t="s">
        <v>3250</v>
      </c>
      <c r="BP1179">
        <v>1</v>
      </c>
      <c r="BQ1179">
        <v>11</v>
      </c>
      <c r="BR1179" t="s">
        <v>1574</v>
      </c>
      <c r="BS1179" t="s">
        <v>3252</v>
      </c>
      <c r="BV1179">
        <v>0</v>
      </c>
      <c r="BW1179">
        <v>0</v>
      </c>
      <c r="BX1179">
        <v>0</v>
      </c>
      <c r="BY1179">
        <v>0</v>
      </c>
      <c r="BZ1179">
        <v>0</v>
      </c>
      <c r="CA1179">
        <v>0</v>
      </c>
      <c r="CB1179">
        <v>0</v>
      </c>
      <c r="CC1179">
        <v>0</v>
      </c>
      <c r="CD1179">
        <v>0</v>
      </c>
      <c r="CE1179" t="s">
        <v>3108</v>
      </c>
      <c r="CF1179" t="s">
        <v>3108</v>
      </c>
      <c r="CG1179" t="s">
        <v>3108</v>
      </c>
      <c r="CH1179" t="s">
        <v>3108</v>
      </c>
    </row>
    <row r="1180" spans="1:86" x14ac:dyDescent="0.2">
      <c r="A1180" t="s">
        <v>5011</v>
      </c>
      <c r="B1180" t="s">
        <v>5011</v>
      </c>
      <c r="C1180">
        <v>41657</v>
      </c>
      <c r="D1180">
        <v>926</v>
      </c>
      <c r="E1180" t="s">
        <v>3500</v>
      </c>
      <c r="F1180" t="s">
        <v>3249</v>
      </c>
      <c r="G1180" t="s">
        <v>3249</v>
      </c>
      <c r="H1180" t="s">
        <v>3250</v>
      </c>
      <c r="I1180" t="s">
        <v>3250</v>
      </c>
      <c r="J1180" t="s">
        <v>3250</v>
      </c>
      <c r="K1180" t="s">
        <v>3250</v>
      </c>
      <c r="L1180">
        <v>1200</v>
      </c>
      <c r="M1180" t="s">
        <v>2368</v>
      </c>
      <c r="N1180">
        <v>1204</v>
      </c>
      <c r="O1180" t="s">
        <v>1574</v>
      </c>
      <c r="P1180" t="s">
        <v>3108</v>
      </c>
      <c r="Q1180" t="s">
        <v>3249</v>
      </c>
      <c r="R1180" t="s">
        <v>3249</v>
      </c>
      <c r="S1180" t="s">
        <v>472</v>
      </c>
      <c r="T1180" t="s">
        <v>3251</v>
      </c>
      <c r="U1180">
        <v>140</v>
      </c>
      <c r="V1180" t="s">
        <v>1327</v>
      </c>
      <c r="W1180">
        <v>140</v>
      </c>
      <c r="X1180" t="s">
        <v>1327</v>
      </c>
      <c r="Y1180" t="s">
        <v>3250</v>
      </c>
      <c r="Z1180" t="s">
        <v>3250</v>
      </c>
      <c r="AA1180" t="s">
        <v>3108</v>
      </c>
      <c r="AB1180" t="s">
        <v>3108</v>
      </c>
      <c r="AC1180" t="s">
        <v>3250</v>
      </c>
      <c r="AD1180" t="s">
        <v>3250</v>
      </c>
      <c r="AE1180" t="s">
        <v>3250</v>
      </c>
      <c r="AF1180" t="s">
        <v>3250</v>
      </c>
      <c r="AG1180" t="s">
        <v>3250</v>
      </c>
      <c r="AH1180" t="s">
        <v>3250</v>
      </c>
      <c r="AI1180" t="s">
        <v>3250</v>
      </c>
      <c r="AJ1180" t="s">
        <v>3250</v>
      </c>
      <c r="AL1180">
        <v>141</v>
      </c>
      <c r="AM1180" t="s">
        <v>1327</v>
      </c>
      <c r="AN1180">
        <v>141</v>
      </c>
      <c r="AO1180" t="s">
        <v>1327</v>
      </c>
      <c r="AS1180" t="s">
        <v>3250</v>
      </c>
      <c r="AT1180" t="s">
        <v>3250</v>
      </c>
      <c r="AU1180" t="s">
        <v>3250</v>
      </c>
      <c r="AV1180" t="s">
        <v>3250</v>
      </c>
      <c r="AW1180" t="s">
        <v>3250</v>
      </c>
      <c r="AX1180" t="s">
        <v>3250</v>
      </c>
      <c r="AY1180" t="s">
        <v>3250</v>
      </c>
      <c r="AZ1180" t="s">
        <v>3250</v>
      </c>
      <c r="BA1180" t="s">
        <v>3250</v>
      </c>
      <c r="BB1180" t="s">
        <v>3250</v>
      </c>
      <c r="BC1180" t="s">
        <v>3250</v>
      </c>
      <c r="BE1180" t="s">
        <v>3250</v>
      </c>
      <c r="BF1180" t="s">
        <v>3250</v>
      </c>
      <c r="BG1180" t="s">
        <v>3250</v>
      </c>
      <c r="BH1180" t="s">
        <v>3250</v>
      </c>
      <c r="BI1180" t="s">
        <v>3250</v>
      </c>
      <c r="BK1180" t="s">
        <v>3250</v>
      </c>
      <c r="BL1180" t="s">
        <v>3250</v>
      </c>
      <c r="BM1180" t="s">
        <v>3250</v>
      </c>
      <c r="BN1180" t="s">
        <v>3250</v>
      </c>
      <c r="BP1180">
        <v>1</v>
      </c>
      <c r="BQ1180">
        <v>11</v>
      </c>
      <c r="BR1180" t="s">
        <v>1574</v>
      </c>
      <c r="BS1180" t="s">
        <v>3252</v>
      </c>
      <c r="BV1180">
        <v>0</v>
      </c>
      <c r="BW1180">
        <v>0</v>
      </c>
      <c r="BX1180">
        <v>0</v>
      </c>
      <c r="BY1180">
        <v>0</v>
      </c>
      <c r="BZ1180">
        <v>0</v>
      </c>
      <c r="CA1180">
        <v>0</v>
      </c>
      <c r="CB1180">
        <v>0</v>
      </c>
      <c r="CC1180">
        <v>0</v>
      </c>
      <c r="CD1180">
        <v>0</v>
      </c>
      <c r="CE1180" t="s">
        <v>3108</v>
      </c>
      <c r="CF1180" t="s">
        <v>3108</v>
      </c>
      <c r="CG1180" t="s">
        <v>3108</v>
      </c>
      <c r="CH1180" t="s">
        <v>3108</v>
      </c>
    </row>
    <row r="1181" spans="1:86" x14ac:dyDescent="0.2">
      <c r="A1181" t="s">
        <v>5012</v>
      </c>
      <c r="B1181" t="s">
        <v>5012</v>
      </c>
      <c r="C1181">
        <v>41658</v>
      </c>
      <c r="D1181">
        <v>927</v>
      </c>
      <c r="E1181" t="s">
        <v>5013</v>
      </c>
      <c r="F1181" t="s">
        <v>3249</v>
      </c>
      <c r="G1181" t="s">
        <v>3249</v>
      </c>
      <c r="H1181" t="s">
        <v>3250</v>
      </c>
      <c r="I1181" t="s">
        <v>3250</v>
      </c>
      <c r="J1181" t="s">
        <v>3250</v>
      </c>
      <c r="K1181" t="s">
        <v>3250</v>
      </c>
      <c r="L1181">
        <v>1200</v>
      </c>
      <c r="M1181" t="s">
        <v>2368</v>
      </c>
      <c r="N1181">
        <v>1204</v>
      </c>
      <c r="O1181" t="s">
        <v>1574</v>
      </c>
      <c r="P1181" t="s">
        <v>3108</v>
      </c>
      <c r="Q1181" t="s">
        <v>3249</v>
      </c>
      <c r="R1181" t="s">
        <v>3249</v>
      </c>
      <c r="S1181" t="s">
        <v>472</v>
      </c>
      <c r="T1181" t="s">
        <v>3251</v>
      </c>
      <c r="U1181">
        <v>140</v>
      </c>
      <c r="V1181" t="s">
        <v>1327</v>
      </c>
      <c r="W1181">
        <v>140</v>
      </c>
      <c r="X1181" t="s">
        <v>1327</v>
      </c>
      <c r="Y1181" t="s">
        <v>3250</v>
      </c>
      <c r="Z1181" t="s">
        <v>3250</v>
      </c>
      <c r="AA1181" t="s">
        <v>3108</v>
      </c>
      <c r="AB1181" t="s">
        <v>3108</v>
      </c>
      <c r="AC1181" t="s">
        <v>3250</v>
      </c>
      <c r="AD1181" t="s">
        <v>3250</v>
      </c>
      <c r="AE1181" t="s">
        <v>3250</v>
      </c>
      <c r="AF1181" t="s">
        <v>3250</v>
      </c>
      <c r="AG1181" t="s">
        <v>3250</v>
      </c>
      <c r="AH1181" t="s">
        <v>3250</v>
      </c>
      <c r="AI1181" t="s">
        <v>3250</v>
      </c>
      <c r="AJ1181" t="s">
        <v>3250</v>
      </c>
      <c r="AL1181">
        <v>141</v>
      </c>
      <c r="AM1181" t="s">
        <v>1327</v>
      </c>
      <c r="AN1181">
        <v>141</v>
      </c>
      <c r="AO1181" t="s">
        <v>1327</v>
      </c>
      <c r="AS1181" t="s">
        <v>3250</v>
      </c>
      <c r="AT1181" t="s">
        <v>3250</v>
      </c>
      <c r="AU1181" t="s">
        <v>3250</v>
      </c>
      <c r="AV1181" t="s">
        <v>3250</v>
      </c>
      <c r="AW1181" t="s">
        <v>3250</v>
      </c>
      <c r="AX1181" t="s">
        <v>3250</v>
      </c>
      <c r="AY1181" t="s">
        <v>3250</v>
      </c>
      <c r="AZ1181" t="s">
        <v>3250</v>
      </c>
      <c r="BA1181" t="s">
        <v>3250</v>
      </c>
      <c r="BB1181" t="s">
        <v>3250</v>
      </c>
      <c r="BC1181" t="s">
        <v>3250</v>
      </c>
      <c r="BE1181" t="s">
        <v>3250</v>
      </c>
      <c r="BF1181" t="s">
        <v>3250</v>
      </c>
      <c r="BG1181" t="s">
        <v>3250</v>
      </c>
      <c r="BH1181" t="s">
        <v>3250</v>
      </c>
      <c r="BI1181" t="s">
        <v>3250</v>
      </c>
      <c r="BK1181" t="s">
        <v>3250</v>
      </c>
      <c r="BL1181" t="s">
        <v>3250</v>
      </c>
      <c r="BM1181" t="s">
        <v>3250</v>
      </c>
      <c r="BN1181" t="s">
        <v>3250</v>
      </c>
      <c r="BP1181">
        <v>1</v>
      </c>
      <c r="BQ1181">
        <v>11</v>
      </c>
      <c r="BR1181" t="s">
        <v>1574</v>
      </c>
      <c r="BS1181" t="s">
        <v>3252</v>
      </c>
      <c r="BV1181">
        <v>-122970</v>
      </c>
      <c r="BW1181">
        <v>-51776</v>
      </c>
      <c r="BX1181">
        <v>-35830</v>
      </c>
      <c r="BY1181">
        <v>0</v>
      </c>
      <c r="BZ1181">
        <v>0</v>
      </c>
      <c r="CA1181">
        <v>0</v>
      </c>
      <c r="CB1181">
        <v>0</v>
      </c>
      <c r="CC1181">
        <v>0</v>
      </c>
      <c r="CD1181">
        <v>-122973</v>
      </c>
      <c r="CE1181" t="s">
        <v>3108</v>
      </c>
      <c r="CF1181" t="s">
        <v>3108</v>
      </c>
      <c r="CG1181" t="s">
        <v>3108</v>
      </c>
      <c r="CH1181" t="s">
        <v>3108</v>
      </c>
    </row>
    <row r="1182" spans="1:86" x14ac:dyDescent="0.2">
      <c r="A1182" t="s">
        <v>5014</v>
      </c>
      <c r="B1182" t="s">
        <v>5014</v>
      </c>
      <c r="C1182">
        <v>41659</v>
      </c>
      <c r="D1182">
        <v>928</v>
      </c>
      <c r="E1182" t="s">
        <v>5015</v>
      </c>
      <c r="F1182" t="s">
        <v>3249</v>
      </c>
      <c r="G1182" t="s">
        <v>3249</v>
      </c>
      <c r="H1182" t="s">
        <v>3250</v>
      </c>
      <c r="I1182" t="s">
        <v>3250</v>
      </c>
      <c r="J1182" t="s">
        <v>3250</v>
      </c>
      <c r="K1182" t="s">
        <v>3250</v>
      </c>
      <c r="L1182">
        <v>1200</v>
      </c>
      <c r="M1182" t="s">
        <v>2368</v>
      </c>
      <c r="N1182">
        <v>1204</v>
      </c>
      <c r="O1182" t="s">
        <v>1574</v>
      </c>
      <c r="P1182" t="s">
        <v>3108</v>
      </c>
      <c r="Q1182" t="s">
        <v>3249</v>
      </c>
      <c r="R1182" t="s">
        <v>3249</v>
      </c>
      <c r="S1182" t="s">
        <v>472</v>
      </c>
      <c r="T1182" t="s">
        <v>3251</v>
      </c>
      <c r="U1182">
        <v>140</v>
      </c>
      <c r="V1182" t="s">
        <v>1327</v>
      </c>
      <c r="W1182">
        <v>140</v>
      </c>
      <c r="X1182" t="s">
        <v>1327</v>
      </c>
      <c r="Y1182" t="s">
        <v>3250</v>
      </c>
      <c r="Z1182" t="s">
        <v>3250</v>
      </c>
      <c r="AA1182" t="s">
        <v>3108</v>
      </c>
      <c r="AB1182" t="s">
        <v>3108</v>
      </c>
      <c r="AC1182" t="s">
        <v>3250</v>
      </c>
      <c r="AD1182" t="s">
        <v>3250</v>
      </c>
      <c r="AE1182" t="s">
        <v>3250</v>
      </c>
      <c r="AF1182" t="s">
        <v>3250</v>
      </c>
      <c r="AG1182" t="s">
        <v>3250</v>
      </c>
      <c r="AH1182" t="s">
        <v>3250</v>
      </c>
      <c r="AI1182" t="s">
        <v>3250</v>
      </c>
      <c r="AJ1182" t="s">
        <v>3250</v>
      </c>
      <c r="AL1182">
        <v>141</v>
      </c>
      <c r="AM1182" t="s">
        <v>1327</v>
      </c>
      <c r="AN1182">
        <v>141</v>
      </c>
      <c r="AO1182" t="s">
        <v>1327</v>
      </c>
      <c r="AS1182" t="s">
        <v>3250</v>
      </c>
      <c r="AT1182" t="s">
        <v>3250</v>
      </c>
      <c r="AU1182" t="s">
        <v>3250</v>
      </c>
      <c r="AV1182" t="s">
        <v>3250</v>
      </c>
      <c r="AW1182" t="s">
        <v>3250</v>
      </c>
      <c r="AX1182" t="s">
        <v>3250</v>
      </c>
      <c r="AY1182" t="s">
        <v>3250</v>
      </c>
      <c r="AZ1182" t="s">
        <v>3250</v>
      </c>
      <c r="BA1182" t="s">
        <v>3250</v>
      </c>
      <c r="BB1182" t="s">
        <v>3250</v>
      </c>
      <c r="BC1182" t="s">
        <v>3250</v>
      </c>
      <c r="BE1182" t="s">
        <v>3250</v>
      </c>
      <c r="BF1182" t="s">
        <v>3250</v>
      </c>
      <c r="BG1182" t="s">
        <v>3250</v>
      </c>
      <c r="BH1182" t="s">
        <v>3250</v>
      </c>
      <c r="BI1182" t="s">
        <v>3250</v>
      </c>
      <c r="BK1182" t="s">
        <v>3250</v>
      </c>
      <c r="BL1182" t="s">
        <v>3250</v>
      </c>
      <c r="BM1182" t="s">
        <v>3250</v>
      </c>
      <c r="BN1182" t="s">
        <v>3250</v>
      </c>
      <c r="BP1182">
        <v>1</v>
      </c>
      <c r="BQ1182">
        <v>11</v>
      </c>
      <c r="BR1182" t="s">
        <v>1574</v>
      </c>
      <c r="BS1182" t="s">
        <v>3252</v>
      </c>
      <c r="BV1182">
        <v>-4017230</v>
      </c>
      <c r="BW1182">
        <v>-602278</v>
      </c>
      <c r="BX1182">
        <v>-272403</v>
      </c>
      <c r="BY1182">
        <v>0</v>
      </c>
      <c r="BZ1182">
        <v>0</v>
      </c>
      <c r="CA1182">
        <v>0</v>
      </c>
      <c r="CB1182">
        <v>0</v>
      </c>
      <c r="CC1182">
        <v>0</v>
      </c>
      <c r="CD1182">
        <v>-7368017</v>
      </c>
      <c r="CE1182" t="s">
        <v>3108</v>
      </c>
      <c r="CF1182" t="s">
        <v>3108</v>
      </c>
      <c r="CG1182" t="s">
        <v>3108</v>
      </c>
      <c r="CH1182" t="s">
        <v>3108</v>
      </c>
    </row>
    <row r="1183" spans="1:86" x14ac:dyDescent="0.2">
      <c r="A1183" t="s">
        <v>5016</v>
      </c>
      <c r="B1183" t="s">
        <v>5016</v>
      </c>
      <c r="C1183">
        <v>41660</v>
      </c>
      <c r="D1183">
        <v>929</v>
      </c>
      <c r="E1183" t="s">
        <v>3692</v>
      </c>
      <c r="F1183" t="s">
        <v>3249</v>
      </c>
      <c r="G1183" t="s">
        <v>3249</v>
      </c>
      <c r="H1183" t="s">
        <v>3250</v>
      </c>
      <c r="I1183" t="s">
        <v>3250</v>
      </c>
      <c r="J1183" t="s">
        <v>3250</v>
      </c>
      <c r="K1183" t="s">
        <v>3250</v>
      </c>
      <c r="L1183">
        <v>1200</v>
      </c>
      <c r="M1183" t="s">
        <v>2368</v>
      </c>
      <c r="N1183">
        <v>1204</v>
      </c>
      <c r="O1183" t="s">
        <v>1574</v>
      </c>
      <c r="P1183" t="s">
        <v>3108</v>
      </c>
      <c r="Q1183" t="s">
        <v>3249</v>
      </c>
      <c r="R1183" t="s">
        <v>3249</v>
      </c>
      <c r="S1183" t="s">
        <v>472</v>
      </c>
      <c r="T1183" t="s">
        <v>3251</v>
      </c>
      <c r="U1183">
        <v>140</v>
      </c>
      <c r="V1183" t="s">
        <v>1327</v>
      </c>
      <c r="W1183">
        <v>140</v>
      </c>
      <c r="X1183" t="s">
        <v>1327</v>
      </c>
      <c r="Y1183" t="s">
        <v>3250</v>
      </c>
      <c r="Z1183" t="s">
        <v>3250</v>
      </c>
      <c r="AA1183" t="s">
        <v>3108</v>
      </c>
      <c r="AB1183" t="s">
        <v>3108</v>
      </c>
      <c r="AC1183" t="s">
        <v>3250</v>
      </c>
      <c r="AD1183" t="s">
        <v>3250</v>
      </c>
      <c r="AE1183" t="s">
        <v>3250</v>
      </c>
      <c r="AF1183" t="s">
        <v>3250</v>
      </c>
      <c r="AG1183" t="s">
        <v>3250</v>
      </c>
      <c r="AH1183" t="s">
        <v>3250</v>
      </c>
      <c r="AI1183" t="s">
        <v>3250</v>
      </c>
      <c r="AJ1183" t="s">
        <v>3250</v>
      </c>
      <c r="AL1183">
        <v>147</v>
      </c>
      <c r="AM1183" t="s">
        <v>6</v>
      </c>
      <c r="AN1183">
        <v>147</v>
      </c>
      <c r="AO1183" t="s">
        <v>6</v>
      </c>
      <c r="AS1183" t="s">
        <v>3250</v>
      </c>
      <c r="AT1183" t="s">
        <v>3250</v>
      </c>
      <c r="AU1183" t="s">
        <v>3250</v>
      </c>
      <c r="AV1183" t="s">
        <v>3250</v>
      </c>
      <c r="AW1183" t="s">
        <v>3250</v>
      </c>
      <c r="AX1183" t="s">
        <v>3250</v>
      </c>
      <c r="AY1183" t="s">
        <v>3250</v>
      </c>
      <c r="AZ1183" t="s">
        <v>3250</v>
      </c>
      <c r="BA1183" t="s">
        <v>3250</v>
      </c>
      <c r="BB1183" t="s">
        <v>3250</v>
      </c>
      <c r="BC1183" t="s">
        <v>3250</v>
      </c>
      <c r="BE1183" t="s">
        <v>3250</v>
      </c>
      <c r="BF1183" t="s">
        <v>3250</v>
      </c>
      <c r="BG1183" t="s">
        <v>3250</v>
      </c>
      <c r="BH1183" t="s">
        <v>3250</v>
      </c>
      <c r="BI1183" t="s">
        <v>3250</v>
      </c>
      <c r="BK1183" t="s">
        <v>3250</v>
      </c>
      <c r="BL1183" t="s">
        <v>3250</v>
      </c>
      <c r="BM1183" t="s">
        <v>3250</v>
      </c>
      <c r="BN1183" t="s">
        <v>3250</v>
      </c>
      <c r="BP1183">
        <v>1</v>
      </c>
      <c r="BQ1183">
        <v>11</v>
      </c>
      <c r="BR1183" t="s">
        <v>1574</v>
      </c>
      <c r="BS1183" t="s">
        <v>3252</v>
      </c>
      <c r="BV1183">
        <v>0</v>
      </c>
      <c r="BW1183">
        <v>0</v>
      </c>
      <c r="BX1183">
        <v>0</v>
      </c>
      <c r="BY1183">
        <v>0</v>
      </c>
      <c r="BZ1183">
        <v>0</v>
      </c>
      <c r="CA1183">
        <v>0</v>
      </c>
      <c r="CB1183">
        <v>0</v>
      </c>
      <c r="CC1183">
        <v>0</v>
      </c>
      <c r="CD1183">
        <v>0</v>
      </c>
      <c r="CE1183" t="s">
        <v>3108</v>
      </c>
      <c r="CF1183" t="s">
        <v>3108</v>
      </c>
      <c r="CG1183" t="s">
        <v>3108</v>
      </c>
      <c r="CH1183" t="s">
        <v>3108</v>
      </c>
    </row>
    <row r="1184" spans="1:86" x14ac:dyDescent="0.2">
      <c r="A1184" t="s">
        <v>5017</v>
      </c>
      <c r="B1184" t="s">
        <v>5017</v>
      </c>
      <c r="C1184">
        <v>41661</v>
      </c>
      <c r="D1184">
        <v>930</v>
      </c>
      <c r="E1184" t="s">
        <v>3502</v>
      </c>
      <c r="F1184" t="s">
        <v>3249</v>
      </c>
      <c r="G1184" t="s">
        <v>3249</v>
      </c>
      <c r="H1184" t="s">
        <v>3250</v>
      </c>
      <c r="I1184" t="s">
        <v>3250</v>
      </c>
      <c r="J1184" t="s">
        <v>3250</v>
      </c>
      <c r="K1184" t="s">
        <v>3250</v>
      </c>
      <c r="L1184">
        <v>1200</v>
      </c>
      <c r="M1184" t="s">
        <v>2368</v>
      </c>
      <c r="N1184">
        <v>1204</v>
      </c>
      <c r="O1184" t="s">
        <v>1574</v>
      </c>
      <c r="P1184" t="s">
        <v>3108</v>
      </c>
      <c r="Q1184" t="s">
        <v>3249</v>
      </c>
      <c r="R1184" t="s">
        <v>3249</v>
      </c>
      <c r="S1184" t="s">
        <v>472</v>
      </c>
      <c r="T1184" t="s">
        <v>3251</v>
      </c>
      <c r="U1184">
        <v>140</v>
      </c>
      <c r="V1184" t="s">
        <v>1327</v>
      </c>
      <c r="W1184">
        <v>140</v>
      </c>
      <c r="X1184" t="s">
        <v>1327</v>
      </c>
      <c r="Y1184" t="s">
        <v>3250</v>
      </c>
      <c r="Z1184" t="s">
        <v>3250</v>
      </c>
      <c r="AA1184" t="s">
        <v>3108</v>
      </c>
      <c r="AB1184" t="s">
        <v>3108</v>
      </c>
      <c r="AC1184" t="s">
        <v>3250</v>
      </c>
      <c r="AD1184" t="s">
        <v>3250</v>
      </c>
      <c r="AE1184" t="s">
        <v>3250</v>
      </c>
      <c r="AF1184" t="s">
        <v>3250</v>
      </c>
      <c r="AG1184" t="s">
        <v>3250</v>
      </c>
      <c r="AH1184" t="s">
        <v>3250</v>
      </c>
      <c r="AI1184" t="s">
        <v>3250</v>
      </c>
      <c r="AJ1184" t="s">
        <v>3250</v>
      </c>
      <c r="AL1184">
        <v>147</v>
      </c>
      <c r="AM1184" t="s">
        <v>6</v>
      </c>
      <c r="AN1184">
        <v>147</v>
      </c>
      <c r="AO1184" t="s">
        <v>6</v>
      </c>
      <c r="AS1184" t="s">
        <v>3250</v>
      </c>
      <c r="AT1184" t="s">
        <v>3250</v>
      </c>
      <c r="AU1184" t="s">
        <v>3250</v>
      </c>
      <c r="AV1184" t="s">
        <v>3250</v>
      </c>
      <c r="AW1184" t="s">
        <v>3250</v>
      </c>
      <c r="AX1184" t="s">
        <v>3250</v>
      </c>
      <c r="AY1184" t="s">
        <v>3250</v>
      </c>
      <c r="AZ1184" t="s">
        <v>3250</v>
      </c>
      <c r="BA1184" t="s">
        <v>3250</v>
      </c>
      <c r="BB1184" t="s">
        <v>3250</v>
      </c>
      <c r="BC1184" t="s">
        <v>3250</v>
      </c>
      <c r="BE1184" t="s">
        <v>3250</v>
      </c>
      <c r="BF1184" t="s">
        <v>3250</v>
      </c>
      <c r="BG1184" t="s">
        <v>3250</v>
      </c>
      <c r="BH1184" t="s">
        <v>3250</v>
      </c>
      <c r="BI1184" t="s">
        <v>3250</v>
      </c>
      <c r="BK1184" t="s">
        <v>3250</v>
      </c>
      <c r="BL1184" t="s">
        <v>3250</v>
      </c>
      <c r="BM1184" t="s">
        <v>3250</v>
      </c>
      <c r="BN1184" t="s">
        <v>3250</v>
      </c>
      <c r="BP1184">
        <v>1</v>
      </c>
      <c r="BQ1184">
        <v>11</v>
      </c>
      <c r="BR1184" t="s">
        <v>1574</v>
      </c>
      <c r="BS1184" t="s">
        <v>3252</v>
      </c>
      <c r="BV1184">
        <v>0</v>
      </c>
      <c r="BW1184">
        <v>0</v>
      </c>
      <c r="BX1184">
        <v>0</v>
      </c>
      <c r="BY1184">
        <v>0</v>
      </c>
      <c r="BZ1184">
        <v>0</v>
      </c>
      <c r="CA1184">
        <v>0</v>
      </c>
      <c r="CB1184">
        <v>0</v>
      </c>
      <c r="CC1184">
        <v>0</v>
      </c>
      <c r="CD1184">
        <v>0</v>
      </c>
      <c r="CE1184" t="s">
        <v>3108</v>
      </c>
      <c r="CF1184" t="s">
        <v>3108</v>
      </c>
      <c r="CG1184" t="s">
        <v>3108</v>
      </c>
      <c r="CH1184" t="s">
        <v>3108</v>
      </c>
    </row>
    <row r="1185" spans="1:86" x14ac:dyDescent="0.2">
      <c r="A1185" t="s">
        <v>5018</v>
      </c>
      <c r="B1185" t="s">
        <v>5018</v>
      </c>
      <c r="C1185">
        <v>41662</v>
      </c>
      <c r="D1185">
        <v>931</v>
      </c>
      <c r="E1185" t="s">
        <v>3694</v>
      </c>
      <c r="F1185" t="s">
        <v>3249</v>
      </c>
      <c r="G1185" t="s">
        <v>3249</v>
      </c>
      <c r="H1185" t="s">
        <v>3250</v>
      </c>
      <c r="I1185" t="s">
        <v>3250</v>
      </c>
      <c r="J1185" t="s">
        <v>3250</v>
      </c>
      <c r="K1185" t="s">
        <v>3250</v>
      </c>
      <c r="L1185">
        <v>1200</v>
      </c>
      <c r="M1185" t="s">
        <v>2368</v>
      </c>
      <c r="N1185">
        <v>1204</v>
      </c>
      <c r="O1185" t="s">
        <v>1574</v>
      </c>
      <c r="P1185" t="s">
        <v>3108</v>
      </c>
      <c r="Q1185" t="s">
        <v>3249</v>
      </c>
      <c r="R1185" t="s">
        <v>3249</v>
      </c>
      <c r="S1185" t="s">
        <v>472</v>
      </c>
      <c r="T1185" t="s">
        <v>3251</v>
      </c>
      <c r="U1185">
        <v>140</v>
      </c>
      <c r="V1185" t="s">
        <v>1327</v>
      </c>
      <c r="W1185">
        <v>140</v>
      </c>
      <c r="X1185" t="s">
        <v>1327</v>
      </c>
      <c r="Y1185" t="s">
        <v>3250</v>
      </c>
      <c r="Z1185" t="s">
        <v>3250</v>
      </c>
      <c r="AA1185" t="s">
        <v>3108</v>
      </c>
      <c r="AB1185" t="s">
        <v>3108</v>
      </c>
      <c r="AC1185" t="s">
        <v>3250</v>
      </c>
      <c r="AD1185" t="s">
        <v>3250</v>
      </c>
      <c r="AE1185" t="s">
        <v>3250</v>
      </c>
      <c r="AF1185" t="s">
        <v>3250</v>
      </c>
      <c r="AG1185" t="s">
        <v>3250</v>
      </c>
      <c r="AH1185" t="s">
        <v>3250</v>
      </c>
      <c r="AI1185" t="s">
        <v>3250</v>
      </c>
      <c r="AJ1185" t="s">
        <v>3250</v>
      </c>
      <c r="AL1185">
        <v>141</v>
      </c>
      <c r="AM1185" t="s">
        <v>1327</v>
      </c>
      <c r="AN1185">
        <v>141</v>
      </c>
      <c r="AO1185" t="s">
        <v>1327</v>
      </c>
      <c r="AS1185" t="s">
        <v>3250</v>
      </c>
      <c r="AT1185" t="s">
        <v>3250</v>
      </c>
      <c r="AU1185" t="s">
        <v>3250</v>
      </c>
      <c r="AV1185" t="s">
        <v>3250</v>
      </c>
      <c r="AW1185" t="s">
        <v>3250</v>
      </c>
      <c r="AX1185" t="s">
        <v>3250</v>
      </c>
      <c r="AY1185" t="s">
        <v>3250</v>
      </c>
      <c r="AZ1185" t="s">
        <v>3250</v>
      </c>
      <c r="BA1185" t="s">
        <v>3250</v>
      </c>
      <c r="BB1185" t="s">
        <v>3250</v>
      </c>
      <c r="BC1185" t="s">
        <v>3250</v>
      </c>
      <c r="BE1185" t="s">
        <v>3250</v>
      </c>
      <c r="BF1185" t="s">
        <v>3250</v>
      </c>
      <c r="BG1185" t="s">
        <v>3250</v>
      </c>
      <c r="BH1185" t="s">
        <v>3250</v>
      </c>
      <c r="BI1185" t="s">
        <v>3250</v>
      </c>
      <c r="BK1185" t="s">
        <v>3250</v>
      </c>
      <c r="BL1185" t="s">
        <v>3250</v>
      </c>
      <c r="BM1185" t="s">
        <v>3250</v>
      </c>
      <c r="BN1185" t="s">
        <v>3250</v>
      </c>
      <c r="BP1185">
        <v>1</v>
      </c>
      <c r="BQ1185">
        <v>11</v>
      </c>
      <c r="BR1185" t="s">
        <v>1574</v>
      </c>
      <c r="BS1185" t="s">
        <v>3252</v>
      </c>
      <c r="BV1185">
        <v>10705</v>
      </c>
      <c r="BW1185">
        <v>10705</v>
      </c>
      <c r="BX1185">
        <v>10705</v>
      </c>
      <c r="BY1185">
        <v>0</v>
      </c>
      <c r="BZ1185">
        <v>0</v>
      </c>
      <c r="CA1185">
        <v>0</v>
      </c>
      <c r="CB1185">
        <v>0</v>
      </c>
      <c r="CC1185">
        <v>0</v>
      </c>
      <c r="CD1185">
        <v>10705</v>
      </c>
      <c r="CE1185" t="s">
        <v>3108</v>
      </c>
      <c r="CF1185" t="s">
        <v>3108</v>
      </c>
      <c r="CG1185" t="s">
        <v>3108</v>
      </c>
      <c r="CH1185" t="s">
        <v>3108</v>
      </c>
    </row>
    <row r="1186" spans="1:86" x14ac:dyDescent="0.2">
      <c r="A1186" t="s">
        <v>5019</v>
      </c>
      <c r="B1186" t="s">
        <v>5019</v>
      </c>
      <c r="C1186">
        <v>41663</v>
      </c>
      <c r="D1186">
        <v>932</v>
      </c>
      <c r="E1186" t="s">
        <v>3504</v>
      </c>
      <c r="F1186" t="s">
        <v>3249</v>
      </c>
      <c r="G1186" t="s">
        <v>3249</v>
      </c>
      <c r="H1186" t="s">
        <v>3250</v>
      </c>
      <c r="I1186" t="s">
        <v>3250</v>
      </c>
      <c r="J1186" t="s">
        <v>3250</v>
      </c>
      <c r="K1186" t="s">
        <v>3250</v>
      </c>
      <c r="L1186">
        <v>1200</v>
      </c>
      <c r="M1186" t="s">
        <v>2368</v>
      </c>
      <c r="N1186">
        <v>1204</v>
      </c>
      <c r="O1186" t="s">
        <v>1574</v>
      </c>
      <c r="P1186" t="s">
        <v>3108</v>
      </c>
      <c r="Q1186" t="s">
        <v>3249</v>
      </c>
      <c r="R1186" t="s">
        <v>3249</v>
      </c>
      <c r="S1186" t="s">
        <v>472</v>
      </c>
      <c r="T1186" t="s">
        <v>3251</v>
      </c>
      <c r="U1186">
        <v>140</v>
      </c>
      <c r="V1186" t="s">
        <v>1327</v>
      </c>
      <c r="W1186">
        <v>140</v>
      </c>
      <c r="X1186" t="s">
        <v>1327</v>
      </c>
      <c r="Y1186" t="s">
        <v>3250</v>
      </c>
      <c r="Z1186" t="s">
        <v>3250</v>
      </c>
      <c r="AA1186" t="s">
        <v>3108</v>
      </c>
      <c r="AB1186" t="s">
        <v>3108</v>
      </c>
      <c r="AC1186" t="s">
        <v>3250</v>
      </c>
      <c r="AD1186" t="s">
        <v>3250</v>
      </c>
      <c r="AE1186" t="s">
        <v>3250</v>
      </c>
      <c r="AF1186" t="s">
        <v>3250</v>
      </c>
      <c r="AG1186" t="s">
        <v>3250</v>
      </c>
      <c r="AH1186" t="s">
        <v>3250</v>
      </c>
      <c r="AI1186" t="s">
        <v>3250</v>
      </c>
      <c r="AJ1186" t="s">
        <v>3250</v>
      </c>
      <c r="AL1186">
        <v>141</v>
      </c>
      <c r="AM1186" t="s">
        <v>1327</v>
      </c>
      <c r="AN1186">
        <v>141</v>
      </c>
      <c r="AO1186" t="s">
        <v>1327</v>
      </c>
      <c r="AS1186" t="s">
        <v>3250</v>
      </c>
      <c r="AT1186" t="s">
        <v>3250</v>
      </c>
      <c r="AU1186" t="s">
        <v>3250</v>
      </c>
      <c r="AV1186" t="s">
        <v>3250</v>
      </c>
      <c r="AW1186" t="s">
        <v>3250</v>
      </c>
      <c r="AX1186" t="s">
        <v>3250</v>
      </c>
      <c r="AY1186" t="s">
        <v>3250</v>
      </c>
      <c r="AZ1186" t="s">
        <v>3250</v>
      </c>
      <c r="BA1186" t="s">
        <v>3250</v>
      </c>
      <c r="BB1186" t="s">
        <v>3250</v>
      </c>
      <c r="BC1186" t="s">
        <v>3250</v>
      </c>
      <c r="BE1186" t="s">
        <v>3250</v>
      </c>
      <c r="BF1186" t="s">
        <v>3250</v>
      </c>
      <c r="BG1186" t="s">
        <v>3250</v>
      </c>
      <c r="BH1186" t="s">
        <v>3250</v>
      </c>
      <c r="BI1186" t="s">
        <v>3250</v>
      </c>
      <c r="BK1186" t="s">
        <v>3250</v>
      </c>
      <c r="BL1186" t="s">
        <v>3250</v>
      </c>
      <c r="BM1186" t="s">
        <v>3250</v>
      </c>
      <c r="BN1186" t="s">
        <v>3250</v>
      </c>
      <c r="BP1186">
        <v>1</v>
      </c>
      <c r="BQ1186">
        <v>11</v>
      </c>
      <c r="BR1186" t="s">
        <v>1574</v>
      </c>
      <c r="BS1186" t="s">
        <v>3252</v>
      </c>
      <c r="BV1186">
        <v>983918</v>
      </c>
      <c r="BW1186">
        <v>983918</v>
      </c>
      <c r="BX1186">
        <v>983918</v>
      </c>
      <c r="BY1186">
        <v>0</v>
      </c>
      <c r="BZ1186">
        <v>0</v>
      </c>
      <c r="CA1186">
        <v>0</v>
      </c>
      <c r="CB1186">
        <v>0</v>
      </c>
      <c r="CC1186">
        <v>0</v>
      </c>
      <c r="CD1186">
        <v>983918</v>
      </c>
      <c r="CE1186" t="s">
        <v>3108</v>
      </c>
      <c r="CF1186" t="s">
        <v>3108</v>
      </c>
      <c r="CG1186" t="s">
        <v>3108</v>
      </c>
      <c r="CH1186" t="s">
        <v>3108</v>
      </c>
    </row>
    <row r="1187" spans="1:86" x14ac:dyDescent="0.2">
      <c r="A1187" t="s">
        <v>5020</v>
      </c>
      <c r="B1187" t="s">
        <v>5020</v>
      </c>
      <c r="C1187">
        <v>41664</v>
      </c>
      <c r="D1187">
        <v>933</v>
      </c>
      <c r="E1187" t="s">
        <v>5021</v>
      </c>
      <c r="F1187" t="s">
        <v>3249</v>
      </c>
      <c r="G1187" t="s">
        <v>3249</v>
      </c>
      <c r="H1187" t="s">
        <v>3250</v>
      </c>
      <c r="I1187" t="s">
        <v>3250</v>
      </c>
      <c r="J1187" t="s">
        <v>3250</v>
      </c>
      <c r="K1187" t="s">
        <v>3250</v>
      </c>
      <c r="L1187">
        <v>1200</v>
      </c>
      <c r="M1187" t="s">
        <v>2368</v>
      </c>
      <c r="N1187">
        <v>1204</v>
      </c>
      <c r="O1187" t="s">
        <v>1574</v>
      </c>
      <c r="P1187" t="s">
        <v>3108</v>
      </c>
      <c r="Q1187" t="s">
        <v>3249</v>
      </c>
      <c r="R1187" t="s">
        <v>3249</v>
      </c>
      <c r="S1187" t="s">
        <v>472</v>
      </c>
      <c r="T1187" t="s">
        <v>3251</v>
      </c>
      <c r="U1187">
        <v>140</v>
      </c>
      <c r="V1187" t="s">
        <v>1327</v>
      </c>
      <c r="W1187">
        <v>140</v>
      </c>
      <c r="X1187" t="s">
        <v>1327</v>
      </c>
      <c r="Y1187" t="s">
        <v>3250</v>
      </c>
      <c r="Z1187" t="s">
        <v>3250</v>
      </c>
      <c r="AA1187" t="s">
        <v>3108</v>
      </c>
      <c r="AB1187" t="s">
        <v>3108</v>
      </c>
      <c r="AC1187" t="s">
        <v>3250</v>
      </c>
      <c r="AD1187" t="s">
        <v>3250</v>
      </c>
      <c r="AE1187" t="s">
        <v>3250</v>
      </c>
      <c r="AF1187" t="s">
        <v>3250</v>
      </c>
      <c r="AG1187" t="s">
        <v>3250</v>
      </c>
      <c r="AH1187" t="s">
        <v>3250</v>
      </c>
      <c r="AI1187" t="s">
        <v>3250</v>
      </c>
      <c r="AJ1187" t="s">
        <v>3250</v>
      </c>
      <c r="AL1187">
        <v>141</v>
      </c>
      <c r="AM1187" t="s">
        <v>1327</v>
      </c>
      <c r="AN1187">
        <v>141</v>
      </c>
      <c r="AO1187" t="s">
        <v>1327</v>
      </c>
      <c r="AS1187" t="s">
        <v>3250</v>
      </c>
      <c r="AT1187" t="s">
        <v>3250</v>
      </c>
      <c r="AU1187" t="s">
        <v>3250</v>
      </c>
      <c r="AV1187" t="s">
        <v>3250</v>
      </c>
      <c r="AW1187" t="s">
        <v>3250</v>
      </c>
      <c r="AX1187" t="s">
        <v>3250</v>
      </c>
      <c r="AY1187" t="s">
        <v>3250</v>
      </c>
      <c r="AZ1187" t="s">
        <v>3250</v>
      </c>
      <c r="BA1187" t="s">
        <v>3250</v>
      </c>
      <c r="BB1187" t="s">
        <v>3250</v>
      </c>
      <c r="BC1187" t="s">
        <v>3250</v>
      </c>
      <c r="BE1187" t="s">
        <v>3250</v>
      </c>
      <c r="BF1187" t="s">
        <v>3250</v>
      </c>
      <c r="BG1187" t="s">
        <v>3250</v>
      </c>
      <c r="BH1187" t="s">
        <v>3250</v>
      </c>
      <c r="BI1187" t="s">
        <v>3250</v>
      </c>
      <c r="BK1187" t="s">
        <v>3250</v>
      </c>
      <c r="BL1187" t="s">
        <v>3250</v>
      </c>
      <c r="BM1187" t="s">
        <v>3250</v>
      </c>
      <c r="BN1187" t="s">
        <v>3250</v>
      </c>
      <c r="BP1187">
        <v>1</v>
      </c>
      <c r="BQ1187">
        <v>11</v>
      </c>
      <c r="BR1187" t="s">
        <v>1574</v>
      </c>
      <c r="BS1187" t="s">
        <v>3252</v>
      </c>
      <c r="BV1187">
        <v>105628</v>
      </c>
      <c r="BW1187">
        <v>105628</v>
      </c>
      <c r="BX1187">
        <v>81337</v>
      </c>
      <c r="BY1187">
        <v>0</v>
      </c>
      <c r="BZ1187">
        <v>0</v>
      </c>
      <c r="CA1187">
        <v>0</v>
      </c>
      <c r="CB1187">
        <v>0</v>
      </c>
      <c r="CC1187">
        <v>0</v>
      </c>
      <c r="CD1187">
        <v>105628</v>
      </c>
      <c r="CE1187" t="s">
        <v>3108</v>
      </c>
      <c r="CF1187" t="s">
        <v>3108</v>
      </c>
      <c r="CG1187" t="s">
        <v>3108</v>
      </c>
      <c r="CH1187" t="s">
        <v>3108</v>
      </c>
    </row>
    <row r="1188" spans="1:86" x14ac:dyDescent="0.2">
      <c r="A1188" t="s">
        <v>5022</v>
      </c>
      <c r="B1188" t="s">
        <v>5022</v>
      </c>
      <c r="C1188">
        <v>41665</v>
      </c>
      <c r="D1188">
        <v>934</v>
      </c>
      <c r="E1188" t="s">
        <v>5023</v>
      </c>
      <c r="F1188" t="s">
        <v>3249</v>
      </c>
      <c r="G1188" t="s">
        <v>3249</v>
      </c>
      <c r="H1188" t="s">
        <v>3250</v>
      </c>
      <c r="I1188" t="s">
        <v>3250</v>
      </c>
      <c r="J1188" t="s">
        <v>3250</v>
      </c>
      <c r="K1188" t="s">
        <v>3250</v>
      </c>
      <c r="L1188">
        <v>1200</v>
      </c>
      <c r="M1188" t="s">
        <v>2368</v>
      </c>
      <c r="N1188">
        <v>1204</v>
      </c>
      <c r="O1188" t="s">
        <v>1574</v>
      </c>
      <c r="P1188" t="s">
        <v>3108</v>
      </c>
      <c r="Q1188" t="s">
        <v>3249</v>
      </c>
      <c r="R1188" t="s">
        <v>3249</v>
      </c>
      <c r="S1188" t="s">
        <v>472</v>
      </c>
      <c r="T1188" t="s">
        <v>3251</v>
      </c>
      <c r="U1188">
        <v>140</v>
      </c>
      <c r="V1188" t="s">
        <v>1327</v>
      </c>
      <c r="W1188">
        <v>140</v>
      </c>
      <c r="X1188" t="s">
        <v>1327</v>
      </c>
      <c r="Y1188" t="s">
        <v>3250</v>
      </c>
      <c r="Z1188" t="s">
        <v>3250</v>
      </c>
      <c r="AA1188" t="s">
        <v>3108</v>
      </c>
      <c r="AB1188" t="s">
        <v>3108</v>
      </c>
      <c r="AC1188" t="s">
        <v>3250</v>
      </c>
      <c r="AD1188" t="s">
        <v>3250</v>
      </c>
      <c r="AE1188" t="s">
        <v>3250</v>
      </c>
      <c r="AF1188" t="s">
        <v>3250</v>
      </c>
      <c r="AG1188" t="s">
        <v>3250</v>
      </c>
      <c r="AH1188" t="s">
        <v>3250</v>
      </c>
      <c r="AI1188" t="s">
        <v>3250</v>
      </c>
      <c r="AJ1188" t="s">
        <v>3250</v>
      </c>
      <c r="AL1188">
        <v>141</v>
      </c>
      <c r="AM1188" t="s">
        <v>1327</v>
      </c>
      <c r="AN1188">
        <v>141</v>
      </c>
      <c r="AO1188" t="s">
        <v>1327</v>
      </c>
      <c r="AS1188" t="s">
        <v>3250</v>
      </c>
      <c r="AT1188" t="s">
        <v>3250</v>
      </c>
      <c r="AU1188" t="s">
        <v>3250</v>
      </c>
      <c r="AV1188" t="s">
        <v>3250</v>
      </c>
      <c r="AW1188" t="s">
        <v>3250</v>
      </c>
      <c r="AX1188" t="s">
        <v>3250</v>
      </c>
      <c r="AY1188" t="s">
        <v>3250</v>
      </c>
      <c r="AZ1188" t="s">
        <v>3250</v>
      </c>
      <c r="BA1188" t="s">
        <v>3250</v>
      </c>
      <c r="BB1188" t="s">
        <v>3250</v>
      </c>
      <c r="BC1188" t="s">
        <v>3250</v>
      </c>
      <c r="BE1188" t="s">
        <v>3250</v>
      </c>
      <c r="BF1188" t="s">
        <v>3250</v>
      </c>
      <c r="BG1188" t="s">
        <v>3250</v>
      </c>
      <c r="BH1188" t="s">
        <v>3250</v>
      </c>
      <c r="BI1188" t="s">
        <v>3250</v>
      </c>
      <c r="BK1188" t="s">
        <v>3250</v>
      </c>
      <c r="BL1188" t="s">
        <v>3250</v>
      </c>
      <c r="BM1188" t="s">
        <v>3250</v>
      </c>
      <c r="BN1188" t="s">
        <v>3250</v>
      </c>
      <c r="BP1188">
        <v>1</v>
      </c>
      <c r="BQ1188">
        <v>11</v>
      </c>
      <c r="BR1188" t="s">
        <v>1574</v>
      </c>
      <c r="BS1188" t="s">
        <v>3252</v>
      </c>
      <c r="BV1188">
        <v>5186944</v>
      </c>
      <c r="BW1188">
        <v>1633871</v>
      </c>
      <c r="BX1188">
        <v>731034</v>
      </c>
      <c r="BY1188">
        <v>0</v>
      </c>
      <c r="BZ1188">
        <v>0</v>
      </c>
      <c r="CA1188">
        <v>0</v>
      </c>
      <c r="CB1188">
        <v>0</v>
      </c>
      <c r="CC1188">
        <v>0</v>
      </c>
      <c r="CD1188">
        <v>8328854</v>
      </c>
      <c r="CE1188" t="s">
        <v>3108</v>
      </c>
      <c r="CF1188" t="s">
        <v>3108</v>
      </c>
      <c r="CG1188" t="s">
        <v>3108</v>
      </c>
      <c r="CH1188" t="s">
        <v>3108</v>
      </c>
    </row>
    <row r="1189" spans="1:86" x14ac:dyDescent="0.2">
      <c r="A1189" t="s">
        <v>5024</v>
      </c>
      <c r="B1189" t="s">
        <v>5024</v>
      </c>
      <c r="C1189">
        <v>41666</v>
      </c>
      <c r="D1189">
        <v>935</v>
      </c>
      <c r="E1189" t="s">
        <v>3696</v>
      </c>
      <c r="F1189" t="s">
        <v>3249</v>
      </c>
      <c r="G1189" t="s">
        <v>3249</v>
      </c>
      <c r="H1189" t="s">
        <v>3250</v>
      </c>
      <c r="I1189" t="s">
        <v>3250</v>
      </c>
      <c r="J1189" t="s">
        <v>3250</v>
      </c>
      <c r="K1189" t="s">
        <v>3250</v>
      </c>
      <c r="L1189">
        <v>1200</v>
      </c>
      <c r="M1189" t="s">
        <v>2368</v>
      </c>
      <c r="N1189">
        <v>1204</v>
      </c>
      <c r="O1189" t="s">
        <v>1574</v>
      </c>
      <c r="P1189" t="s">
        <v>3108</v>
      </c>
      <c r="Q1189" t="s">
        <v>3249</v>
      </c>
      <c r="R1189" t="s">
        <v>3249</v>
      </c>
      <c r="S1189" t="s">
        <v>472</v>
      </c>
      <c r="T1189" t="s">
        <v>3251</v>
      </c>
      <c r="U1189">
        <v>140</v>
      </c>
      <c r="V1189" t="s">
        <v>1327</v>
      </c>
      <c r="W1189">
        <v>140</v>
      </c>
      <c r="X1189" t="s">
        <v>1327</v>
      </c>
      <c r="Y1189" t="s">
        <v>3250</v>
      </c>
      <c r="Z1189" t="s">
        <v>3250</v>
      </c>
      <c r="AA1189" t="s">
        <v>3108</v>
      </c>
      <c r="AB1189" t="s">
        <v>3108</v>
      </c>
      <c r="AC1189" t="s">
        <v>3250</v>
      </c>
      <c r="AD1189" t="s">
        <v>3250</v>
      </c>
      <c r="AE1189" t="s">
        <v>3250</v>
      </c>
      <c r="AF1189" t="s">
        <v>3250</v>
      </c>
      <c r="AG1189" t="s">
        <v>3250</v>
      </c>
      <c r="AH1189" t="s">
        <v>3250</v>
      </c>
      <c r="AI1189" t="s">
        <v>3250</v>
      </c>
      <c r="AJ1189" t="s">
        <v>3250</v>
      </c>
      <c r="AL1189">
        <v>141</v>
      </c>
      <c r="AM1189" t="s">
        <v>1327</v>
      </c>
      <c r="AN1189">
        <v>141</v>
      </c>
      <c r="AO1189" t="s">
        <v>1327</v>
      </c>
      <c r="AS1189" t="s">
        <v>3250</v>
      </c>
      <c r="AT1189" t="s">
        <v>3250</v>
      </c>
      <c r="AU1189" t="s">
        <v>3250</v>
      </c>
      <c r="AV1189" t="s">
        <v>3250</v>
      </c>
      <c r="AW1189" t="s">
        <v>3250</v>
      </c>
      <c r="AX1189" t="s">
        <v>3250</v>
      </c>
      <c r="AY1189" t="s">
        <v>3250</v>
      </c>
      <c r="AZ1189" t="s">
        <v>3250</v>
      </c>
      <c r="BA1189" t="s">
        <v>3250</v>
      </c>
      <c r="BB1189" t="s">
        <v>3250</v>
      </c>
      <c r="BC1189" t="s">
        <v>3250</v>
      </c>
      <c r="BE1189" t="s">
        <v>3250</v>
      </c>
      <c r="BF1189" t="s">
        <v>3250</v>
      </c>
      <c r="BG1189" t="s">
        <v>3250</v>
      </c>
      <c r="BH1189" t="s">
        <v>3250</v>
      </c>
      <c r="BI1189" t="s">
        <v>3250</v>
      </c>
      <c r="BK1189" t="s">
        <v>3250</v>
      </c>
      <c r="BL1189" t="s">
        <v>3250</v>
      </c>
      <c r="BM1189" t="s">
        <v>3250</v>
      </c>
      <c r="BN1189" t="s">
        <v>3250</v>
      </c>
      <c r="BP1189">
        <v>1</v>
      </c>
      <c r="BQ1189">
        <v>11</v>
      </c>
      <c r="BR1189" t="s">
        <v>1574</v>
      </c>
      <c r="BS1189" t="s">
        <v>3252</v>
      </c>
      <c r="BV1189">
        <v>0</v>
      </c>
      <c r="BW1189">
        <v>0</v>
      </c>
      <c r="BX1189">
        <v>0</v>
      </c>
      <c r="BY1189">
        <v>0</v>
      </c>
      <c r="BZ1189">
        <v>0</v>
      </c>
      <c r="CA1189">
        <v>0</v>
      </c>
      <c r="CB1189">
        <v>0</v>
      </c>
      <c r="CC1189">
        <v>0</v>
      </c>
      <c r="CD1189">
        <v>0</v>
      </c>
      <c r="CE1189" t="s">
        <v>3108</v>
      </c>
      <c r="CF1189" t="s">
        <v>3108</v>
      </c>
      <c r="CG1189" t="s">
        <v>3108</v>
      </c>
      <c r="CH1189" t="s">
        <v>3108</v>
      </c>
    </row>
    <row r="1190" spans="1:86" x14ac:dyDescent="0.2">
      <c r="A1190" t="s">
        <v>5025</v>
      </c>
      <c r="B1190" t="s">
        <v>5025</v>
      </c>
      <c r="C1190">
        <v>41667</v>
      </c>
      <c r="D1190">
        <v>936</v>
      </c>
      <c r="E1190" t="s">
        <v>3506</v>
      </c>
      <c r="F1190" t="s">
        <v>3249</v>
      </c>
      <c r="G1190" t="s">
        <v>3249</v>
      </c>
      <c r="H1190" t="s">
        <v>3250</v>
      </c>
      <c r="I1190" t="s">
        <v>3250</v>
      </c>
      <c r="J1190" t="s">
        <v>3250</v>
      </c>
      <c r="K1190" t="s">
        <v>3250</v>
      </c>
      <c r="L1190">
        <v>1200</v>
      </c>
      <c r="M1190" t="s">
        <v>2368</v>
      </c>
      <c r="N1190">
        <v>1204</v>
      </c>
      <c r="O1190" t="s">
        <v>1574</v>
      </c>
      <c r="P1190" t="s">
        <v>3108</v>
      </c>
      <c r="Q1190" t="s">
        <v>3249</v>
      </c>
      <c r="R1190" t="s">
        <v>3249</v>
      </c>
      <c r="S1190" t="s">
        <v>472</v>
      </c>
      <c r="T1190" t="s">
        <v>3251</v>
      </c>
      <c r="U1190">
        <v>140</v>
      </c>
      <c r="V1190" t="s">
        <v>1327</v>
      </c>
      <c r="W1190">
        <v>140</v>
      </c>
      <c r="X1190" t="s">
        <v>1327</v>
      </c>
      <c r="Y1190" t="s">
        <v>3250</v>
      </c>
      <c r="Z1190" t="s">
        <v>3250</v>
      </c>
      <c r="AA1190" t="s">
        <v>3108</v>
      </c>
      <c r="AB1190" t="s">
        <v>3108</v>
      </c>
      <c r="AC1190" t="s">
        <v>3250</v>
      </c>
      <c r="AD1190" t="s">
        <v>3250</v>
      </c>
      <c r="AE1190" t="s">
        <v>3250</v>
      </c>
      <c r="AF1190" t="s">
        <v>3250</v>
      </c>
      <c r="AG1190" t="s">
        <v>3250</v>
      </c>
      <c r="AH1190" t="s">
        <v>3250</v>
      </c>
      <c r="AI1190" t="s">
        <v>3250</v>
      </c>
      <c r="AJ1190" t="s">
        <v>3250</v>
      </c>
      <c r="AL1190">
        <v>141</v>
      </c>
      <c r="AM1190" t="s">
        <v>1327</v>
      </c>
      <c r="AN1190">
        <v>141</v>
      </c>
      <c r="AO1190" t="s">
        <v>1327</v>
      </c>
      <c r="AS1190" t="s">
        <v>3250</v>
      </c>
      <c r="AT1190" t="s">
        <v>3250</v>
      </c>
      <c r="AU1190" t="s">
        <v>3250</v>
      </c>
      <c r="AV1190" t="s">
        <v>3250</v>
      </c>
      <c r="AW1190" t="s">
        <v>3250</v>
      </c>
      <c r="AX1190" t="s">
        <v>3250</v>
      </c>
      <c r="AY1190" t="s">
        <v>3250</v>
      </c>
      <c r="AZ1190" t="s">
        <v>3250</v>
      </c>
      <c r="BA1190" t="s">
        <v>3250</v>
      </c>
      <c r="BB1190" t="s">
        <v>3250</v>
      </c>
      <c r="BC1190" t="s">
        <v>3250</v>
      </c>
      <c r="BE1190" t="s">
        <v>3250</v>
      </c>
      <c r="BF1190" t="s">
        <v>3250</v>
      </c>
      <c r="BG1190" t="s">
        <v>3250</v>
      </c>
      <c r="BH1190" t="s">
        <v>3250</v>
      </c>
      <c r="BI1190" t="s">
        <v>3250</v>
      </c>
      <c r="BK1190" t="s">
        <v>3250</v>
      </c>
      <c r="BL1190" t="s">
        <v>3250</v>
      </c>
      <c r="BM1190" t="s">
        <v>3250</v>
      </c>
      <c r="BN1190" t="s">
        <v>3250</v>
      </c>
      <c r="BP1190">
        <v>1</v>
      </c>
      <c r="BQ1190">
        <v>11</v>
      </c>
      <c r="BR1190" t="s">
        <v>1574</v>
      </c>
      <c r="BS1190" t="s">
        <v>3252</v>
      </c>
      <c r="BV1190">
        <v>0</v>
      </c>
      <c r="BW1190">
        <v>0</v>
      </c>
      <c r="BX1190">
        <v>0</v>
      </c>
      <c r="BY1190">
        <v>0</v>
      </c>
      <c r="BZ1190">
        <v>0</v>
      </c>
      <c r="CA1190">
        <v>0</v>
      </c>
      <c r="CB1190">
        <v>0</v>
      </c>
      <c r="CC1190">
        <v>0</v>
      </c>
      <c r="CD1190">
        <v>0</v>
      </c>
      <c r="CE1190" t="s">
        <v>3108</v>
      </c>
      <c r="CF1190" t="s">
        <v>3108</v>
      </c>
      <c r="CG1190" t="s">
        <v>3108</v>
      </c>
      <c r="CH1190" t="s">
        <v>3108</v>
      </c>
    </row>
    <row r="1191" spans="1:86" x14ac:dyDescent="0.2">
      <c r="A1191" t="s">
        <v>5026</v>
      </c>
      <c r="B1191" t="s">
        <v>5026</v>
      </c>
      <c r="C1191">
        <v>41668</v>
      </c>
      <c r="D1191">
        <v>937</v>
      </c>
      <c r="E1191" t="s">
        <v>3524</v>
      </c>
      <c r="F1191" t="s">
        <v>3249</v>
      </c>
      <c r="G1191" t="s">
        <v>3249</v>
      </c>
      <c r="H1191" t="s">
        <v>3250</v>
      </c>
      <c r="I1191" t="s">
        <v>3250</v>
      </c>
      <c r="J1191" t="s">
        <v>3250</v>
      </c>
      <c r="K1191" t="s">
        <v>3250</v>
      </c>
      <c r="L1191">
        <v>1200</v>
      </c>
      <c r="M1191" t="s">
        <v>2368</v>
      </c>
      <c r="N1191">
        <v>1204</v>
      </c>
      <c r="O1191" t="s">
        <v>1574</v>
      </c>
      <c r="P1191" t="s">
        <v>3108</v>
      </c>
      <c r="Q1191" t="s">
        <v>3249</v>
      </c>
      <c r="R1191" t="s">
        <v>3249</v>
      </c>
      <c r="S1191" t="s">
        <v>472</v>
      </c>
      <c r="T1191" t="s">
        <v>3251</v>
      </c>
      <c r="U1191">
        <v>140</v>
      </c>
      <c r="V1191" t="s">
        <v>1327</v>
      </c>
      <c r="W1191">
        <v>140</v>
      </c>
      <c r="X1191" t="s">
        <v>1327</v>
      </c>
      <c r="Y1191" t="s">
        <v>3250</v>
      </c>
      <c r="Z1191" t="s">
        <v>3250</v>
      </c>
      <c r="AA1191" t="s">
        <v>3108</v>
      </c>
      <c r="AB1191" t="s">
        <v>3108</v>
      </c>
      <c r="AC1191" t="s">
        <v>3250</v>
      </c>
      <c r="AD1191" t="s">
        <v>3250</v>
      </c>
      <c r="AE1191" t="s">
        <v>3250</v>
      </c>
      <c r="AF1191" t="s">
        <v>3250</v>
      </c>
      <c r="AG1191" t="s">
        <v>3250</v>
      </c>
      <c r="AH1191" t="s">
        <v>3250</v>
      </c>
      <c r="AI1191" t="s">
        <v>3250</v>
      </c>
      <c r="AJ1191" t="s">
        <v>3250</v>
      </c>
      <c r="AL1191">
        <v>141</v>
      </c>
      <c r="AM1191" t="s">
        <v>1327</v>
      </c>
      <c r="AN1191">
        <v>141</v>
      </c>
      <c r="AO1191" t="s">
        <v>1327</v>
      </c>
      <c r="AS1191" t="s">
        <v>3250</v>
      </c>
      <c r="AT1191" t="s">
        <v>3250</v>
      </c>
      <c r="AU1191" t="s">
        <v>3250</v>
      </c>
      <c r="AV1191" t="s">
        <v>3250</v>
      </c>
      <c r="AW1191" t="s">
        <v>3250</v>
      </c>
      <c r="AX1191" t="s">
        <v>3250</v>
      </c>
      <c r="AY1191" t="s">
        <v>3250</v>
      </c>
      <c r="AZ1191" t="s">
        <v>3250</v>
      </c>
      <c r="BA1191" t="s">
        <v>3250</v>
      </c>
      <c r="BB1191" t="s">
        <v>3250</v>
      </c>
      <c r="BC1191" t="s">
        <v>3250</v>
      </c>
      <c r="BE1191" t="s">
        <v>3250</v>
      </c>
      <c r="BF1191" t="s">
        <v>3250</v>
      </c>
      <c r="BG1191" t="s">
        <v>3250</v>
      </c>
      <c r="BH1191" t="s">
        <v>3250</v>
      </c>
      <c r="BI1191" t="s">
        <v>3250</v>
      </c>
      <c r="BK1191" t="s">
        <v>3250</v>
      </c>
      <c r="BL1191" t="s">
        <v>3250</v>
      </c>
      <c r="BM1191" t="s">
        <v>3250</v>
      </c>
      <c r="BN1191" t="s">
        <v>3250</v>
      </c>
      <c r="BP1191">
        <v>1</v>
      </c>
      <c r="BQ1191">
        <v>11</v>
      </c>
      <c r="BR1191" t="s">
        <v>1574</v>
      </c>
      <c r="BS1191" t="s">
        <v>3252</v>
      </c>
      <c r="BV1191">
        <v>0</v>
      </c>
      <c r="BW1191">
        <v>0</v>
      </c>
      <c r="BX1191">
        <v>0</v>
      </c>
      <c r="BY1191">
        <v>0</v>
      </c>
      <c r="BZ1191">
        <v>0</v>
      </c>
      <c r="CA1191">
        <v>0</v>
      </c>
      <c r="CB1191">
        <v>0</v>
      </c>
      <c r="CC1191">
        <v>0</v>
      </c>
      <c r="CD1191">
        <v>0</v>
      </c>
      <c r="CE1191" t="s">
        <v>3108</v>
      </c>
      <c r="CF1191" t="s">
        <v>3108</v>
      </c>
      <c r="CG1191" t="s">
        <v>3108</v>
      </c>
      <c r="CH1191" t="s">
        <v>3108</v>
      </c>
    </row>
    <row r="1192" spans="1:86" x14ac:dyDescent="0.2">
      <c r="A1192" t="s">
        <v>5027</v>
      </c>
      <c r="B1192" t="s">
        <v>5027</v>
      </c>
      <c r="C1192">
        <v>41669</v>
      </c>
      <c r="D1192">
        <v>938</v>
      </c>
      <c r="E1192" t="s">
        <v>3288</v>
      </c>
      <c r="F1192" t="s">
        <v>3249</v>
      </c>
      <c r="G1192" t="s">
        <v>3249</v>
      </c>
      <c r="H1192" t="s">
        <v>3250</v>
      </c>
      <c r="I1192" t="s">
        <v>3250</v>
      </c>
      <c r="J1192" t="s">
        <v>3250</v>
      </c>
      <c r="K1192" t="s">
        <v>3250</v>
      </c>
      <c r="L1192">
        <v>1200</v>
      </c>
      <c r="M1192" t="s">
        <v>2368</v>
      </c>
      <c r="N1192">
        <v>1204</v>
      </c>
      <c r="O1192" t="s">
        <v>1574</v>
      </c>
      <c r="P1192" t="s">
        <v>3108</v>
      </c>
      <c r="Q1192" t="s">
        <v>3249</v>
      </c>
      <c r="R1192" t="s">
        <v>3249</v>
      </c>
      <c r="S1192" t="s">
        <v>472</v>
      </c>
      <c r="T1192" t="s">
        <v>3251</v>
      </c>
      <c r="U1192">
        <v>140</v>
      </c>
      <c r="V1192" t="s">
        <v>1327</v>
      </c>
      <c r="W1192">
        <v>140</v>
      </c>
      <c r="X1192" t="s">
        <v>1327</v>
      </c>
      <c r="Y1192" t="s">
        <v>3250</v>
      </c>
      <c r="Z1192" t="s">
        <v>3250</v>
      </c>
      <c r="AA1192" t="s">
        <v>3108</v>
      </c>
      <c r="AB1192" t="s">
        <v>3108</v>
      </c>
      <c r="AC1192" t="s">
        <v>3250</v>
      </c>
      <c r="AD1192" t="s">
        <v>3250</v>
      </c>
      <c r="AE1192" t="s">
        <v>3250</v>
      </c>
      <c r="AF1192" t="s">
        <v>3250</v>
      </c>
      <c r="AG1192" t="s">
        <v>3250</v>
      </c>
      <c r="AH1192" t="s">
        <v>3250</v>
      </c>
      <c r="AI1192" t="s">
        <v>3250</v>
      </c>
      <c r="AJ1192" t="s">
        <v>3250</v>
      </c>
      <c r="AL1192">
        <v>146</v>
      </c>
      <c r="AM1192" t="s">
        <v>5</v>
      </c>
      <c r="AN1192">
        <v>146</v>
      </c>
      <c r="AO1192" t="s">
        <v>5</v>
      </c>
      <c r="AS1192" t="s">
        <v>3250</v>
      </c>
      <c r="AT1192" t="s">
        <v>3250</v>
      </c>
      <c r="AU1192" t="s">
        <v>3250</v>
      </c>
      <c r="AV1192" t="s">
        <v>3250</v>
      </c>
      <c r="AW1192" t="s">
        <v>3250</v>
      </c>
      <c r="AX1192" t="s">
        <v>3250</v>
      </c>
      <c r="AY1192" t="s">
        <v>3250</v>
      </c>
      <c r="AZ1192" t="s">
        <v>3250</v>
      </c>
      <c r="BA1192" t="s">
        <v>3250</v>
      </c>
      <c r="BB1192" t="s">
        <v>3250</v>
      </c>
      <c r="BC1192" t="s">
        <v>3250</v>
      </c>
      <c r="BE1192" t="s">
        <v>3250</v>
      </c>
      <c r="BF1192" t="s">
        <v>3250</v>
      </c>
      <c r="BG1192" t="s">
        <v>3250</v>
      </c>
      <c r="BH1192" t="s">
        <v>3250</v>
      </c>
      <c r="BI1192" t="s">
        <v>3250</v>
      </c>
      <c r="BK1192" t="s">
        <v>3250</v>
      </c>
      <c r="BL1192" t="s">
        <v>3250</v>
      </c>
      <c r="BM1192" t="s">
        <v>3250</v>
      </c>
      <c r="BN1192" t="s">
        <v>3250</v>
      </c>
      <c r="BP1192">
        <v>1</v>
      </c>
      <c r="BQ1192">
        <v>11</v>
      </c>
      <c r="BR1192" t="s">
        <v>1574</v>
      </c>
      <c r="BS1192" t="s">
        <v>3252</v>
      </c>
      <c r="BV1192">
        <v>0</v>
      </c>
      <c r="BW1192">
        <v>0</v>
      </c>
      <c r="BX1192">
        <v>0</v>
      </c>
      <c r="BY1192">
        <v>0</v>
      </c>
      <c r="BZ1192">
        <v>0</v>
      </c>
      <c r="CA1192">
        <v>0</v>
      </c>
      <c r="CB1192">
        <v>0</v>
      </c>
      <c r="CC1192">
        <v>0</v>
      </c>
      <c r="CD1192">
        <v>0</v>
      </c>
      <c r="CE1192" t="s">
        <v>3108</v>
      </c>
      <c r="CF1192" t="s">
        <v>3108</v>
      </c>
      <c r="CG1192" t="s">
        <v>3108</v>
      </c>
      <c r="CH1192" t="s">
        <v>3108</v>
      </c>
    </row>
    <row r="1193" spans="1:86" x14ac:dyDescent="0.2">
      <c r="A1193" t="s">
        <v>5028</v>
      </c>
      <c r="B1193" t="s">
        <v>5028</v>
      </c>
      <c r="C1193">
        <v>41670</v>
      </c>
      <c r="D1193">
        <v>939</v>
      </c>
      <c r="E1193" t="s">
        <v>5029</v>
      </c>
      <c r="F1193" t="s">
        <v>3249</v>
      </c>
      <c r="G1193" t="s">
        <v>3249</v>
      </c>
      <c r="H1193" t="s">
        <v>3250</v>
      </c>
      <c r="I1193" t="s">
        <v>3250</v>
      </c>
      <c r="J1193" t="s">
        <v>3250</v>
      </c>
      <c r="K1193" t="s">
        <v>3250</v>
      </c>
      <c r="L1193">
        <v>1200</v>
      </c>
      <c r="M1193" t="s">
        <v>2368</v>
      </c>
      <c r="N1193">
        <v>1204</v>
      </c>
      <c r="O1193" t="s">
        <v>1574</v>
      </c>
      <c r="P1193" t="s">
        <v>3108</v>
      </c>
      <c r="Q1193" t="s">
        <v>3249</v>
      </c>
      <c r="R1193" t="s">
        <v>3249</v>
      </c>
      <c r="S1193" t="s">
        <v>472</v>
      </c>
      <c r="T1193" t="s">
        <v>3251</v>
      </c>
      <c r="U1193">
        <v>140</v>
      </c>
      <c r="V1193" t="s">
        <v>1327</v>
      </c>
      <c r="W1193">
        <v>140</v>
      </c>
      <c r="X1193" t="s">
        <v>1327</v>
      </c>
      <c r="Y1193" t="s">
        <v>3250</v>
      </c>
      <c r="Z1193" t="s">
        <v>3250</v>
      </c>
      <c r="AA1193" t="s">
        <v>3108</v>
      </c>
      <c r="AB1193" t="s">
        <v>3108</v>
      </c>
      <c r="AC1193" t="s">
        <v>3250</v>
      </c>
      <c r="AD1193" t="s">
        <v>3250</v>
      </c>
      <c r="AE1193" t="s">
        <v>3250</v>
      </c>
      <c r="AF1193" t="s">
        <v>3250</v>
      </c>
      <c r="AG1193" t="s">
        <v>3250</v>
      </c>
      <c r="AH1193" t="s">
        <v>3250</v>
      </c>
      <c r="AI1193" t="s">
        <v>3250</v>
      </c>
      <c r="AJ1193" t="s">
        <v>3250</v>
      </c>
      <c r="AL1193">
        <v>141</v>
      </c>
      <c r="AM1193" t="s">
        <v>1327</v>
      </c>
      <c r="AN1193">
        <v>141</v>
      </c>
      <c r="AO1193" t="s">
        <v>1327</v>
      </c>
      <c r="AS1193" t="s">
        <v>3250</v>
      </c>
      <c r="AT1193" t="s">
        <v>3250</v>
      </c>
      <c r="AU1193" t="s">
        <v>3250</v>
      </c>
      <c r="AV1193" t="s">
        <v>3250</v>
      </c>
      <c r="AW1193" t="s">
        <v>3250</v>
      </c>
      <c r="AX1193" t="s">
        <v>3250</v>
      </c>
      <c r="AY1193" t="s">
        <v>3250</v>
      </c>
      <c r="AZ1193" t="s">
        <v>3250</v>
      </c>
      <c r="BA1193" t="s">
        <v>3250</v>
      </c>
      <c r="BB1193" t="s">
        <v>3250</v>
      </c>
      <c r="BC1193" t="s">
        <v>3250</v>
      </c>
      <c r="BE1193" t="s">
        <v>3250</v>
      </c>
      <c r="BF1193" t="s">
        <v>3250</v>
      </c>
      <c r="BG1193" t="s">
        <v>3250</v>
      </c>
      <c r="BH1193" t="s">
        <v>3250</v>
      </c>
      <c r="BI1193" t="s">
        <v>3250</v>
      </c>
      <c r="BK1193" t="s">
        <v>3250</v>
      </c>
      <c r="BL1193" t="s">
        <v>3250</v>
      </c>
      <c r="BM1193" t="s">
        <v>3250</v>
      </c>
      <c r="BN1193" t="s">
        <v>3250</v>
      </c>
      <c r="BP1193">
        <v>1</v>
      </c>
      <c r="BQ1193">
        <v>11</v>
      </c>
      <c r="BR1193" t="s">
        <v>1574</v>
      </c>
      <c r="BS1193" t="s">
        <v>3252</v>
      </c>
      <c r="BV1193">
        <v>-434466</v>
      </c>
      <c r="BW1193">
        <v>-372891</v>
      </c>
      <c r="BX1193">
        <v>-711</v>
      </c>
      <c r="BY1193">
        <v>0</v>
      </c>
      <c r="BZ1193">
        <v>0</v>
      </c>
      <c r="CA1193">
        <v>0</v>
      </c>
      <c r="CB1193">
        <v>0</v>
      </c>
      <c r="CC1193">
        <v>0</v>
      </c>
      <c r="CD1193">
        <v>-434466</v>
      </c>
      <c r="CE1193" t="s">
        <v>3108</v>
      </c>
      <c r="CF1193" t="s">
        <v>3108</v>
      </c>
      <c r="CG1193" t="s">
        <v>3108</v>
      </c>
      <c r="CH1193" t="s">
        <v>3108</v>
      </c>
    </row>
    <row r="1194" spans="1:86" x14ac:dyDescent="0.2">
      <c r="A1194" t="s">
        <v>5030</v>
      </c>
      <c r="B1194" t="s">
        <v>5030</v>
      </c>
      <c r="C1194">
        <v>41671</v>
      </c>
      <c r="D1194">
        <v>940</v>
      </c>
      <c r="E1194" t="s">
        <v>3290</v>
      </c>
      <c r="F1194" t="s">
        <v>3249</v>
      </c>
      <c r="G1194" t="s">
        <v>3249</v>
      </c>
      <c r="H1194" t="s">
        <v>3250</v>
      </c>
      <c r="I1194" t="s">
        <v>3250</v>
      </c>
      <c r="J1194" t="s">
        <v>3250</v>
      </c>
      <c r="K1194" t="s">
        <v>3250</v>
      </c>
      <c r="L1194">
        <v>1200</v>
      </c>
      <c r="M1194" t="s">
        <v>2368</v>
      </c>
      <c r="N1194">
        <v>1204</v>
      </c>
      <c r="O1194" t="s">
        <v>1574</v>
      </c>
      <c r="P1194" t="s">
        <v>3108</v>
      </c>
      <c r="Q1194" t="s">
        <v>3249</v>
      </c>
      <c r="R1194" t="s">
        <v>3249</v>
      </c>
      <c r="S1194" t="s">
        <v>472</v>
      </c>
      <c r="T1194" t="s">
        <v>3251</v>
      </c>
      <c r="U1194">
        <v>140</v>
      </c>
      <c r="V1194" t="s">
        <v>1327</v>
      </c>
      <c r="W1194">
        <v>140</v>
      </c>
      <c r="X1194" t="s">
        <v>1327</v>
      </c>
      <c r="Y1194" t="s">
        <v>3250</v>
      </c>
      <c r="Z1194" t="s">
        <v>3250</v>
      </c>
      <c r="AA1194" t="s">
        <v>3108</v>
      </c>
      <c r="AB1194" t="s">
        <v>3108</v>
      </c>
      <c r="AC1194" t="s">
        <v>3250</v>
      </c>
      <c r="AD1194" t="s">
        <v>3250</v>
      </c>
      <c r="AE1194" t="s">
        <v>3250</v>
      </c>
      <c r="AF1194" t="s">
        <v>3250</v>
      </c>
      <c r="AG1194" t="s">
        <v>3250</v>
      </c>
      <c r="AH1194" t="s">
        <v>3250</v>
      </c>
      <c r="AI1194" t="s">
        <v>3250</v>
      </c>
      <c r="AJ1194" t="s">
        <v>3250</v>
      </c>
      <c r="AL1194">
        <v>146</v>
      </c>
      <c r="AM1194" t="s">
        <v>5</v>
      </c>
      <c r="AN1194">
        <v>146</v>
      </c>
      <c r="AO1194" t="s">
        <v>5</v>
      </c>
      <c r="AS1194" t="s">
        <v>3250</v>
      </c>
      <c r="AT1194" t="s">
        <v>3250</v>
      </c>
      <c r="AU1194" t="s">
        <v>3250</v>
      </c>
      <c r="AV1194" t="s">
        <v>3250</v>
      </c>
      <c r="AW1194" t="s">
        <v>3250</v>
      </c>
      <c r="AX1194" t="s">
        <v>3250</v>
      </c>
      <c r="AY1194" t="s">
        <v>3250</v>
      </c>
      <c r="AZ1194" t="s">
        <v>3250</v>
      </c>
      <c r="BA1194" t="s">
        <v>3250</v>
      </c>
      <c r="BB1194" t="s">
        <v>3250</v>
      </c>
      <c r="BC1194" t="s">
        <v>3250</v>
      </c>
      <c r="BE1194" t="s">
        <v>3250</v>
      </c>
      <c r="BF1194" t="s">
        <v>3250</v>
      </c>
      <c r="BG1194" t="s">
        <v>3250</v>
      </c>
      <c r="BH1194" t="s">
        <v>3250</v>
      </c>
      <c r="BI1194" t="s">
        <v>3250</v>
      </c>
      <c r="BK1194" t="s">
        <v>3250</v>
      </c>
      <c r="BL1194" t="s">
        <v>3250</v>
      </c>
      <c r="BM1194" t="s">
        <v>3250</v>
      </c>
      <c r="BN1194" t="s">
        <v>3250</v>
      </c>
      <c r="BP1194">
        <v>1</v>
      </c>
      <c r="BQ1194">
        <v>11</v>
      </c>
      <c r="BR1194" t="s">
        <v>1574</v>
      </c>
      <c r="BS1194" t="s">
        <v>3252</v>
      </c>
      <c r="BV1194">
        <v>0</v>
      </c>
      <c r="BW1194">
        <v>0</v>
      </c>
      <c r="BX1194">
        <v>0</v>
      </c>
      <c r="BY1194">
        <v>0</v>
      </c>
      <c r="BZ1194">
        <v>0</v>
      </c>
      <c r="CA1194">
        <v>0</v>
      </c>
      <c r="CB1194">
        <v>0</v>
      </c>
      <c r="CC1194">
        <v>0</v>
      </c>
      <c r="CD1194">
        <v>0</v>
      </c>
      <c r="CE1194" t="s">
        <v>3108</v>
      </c>
      <c r="CF1194" t="s">
        <v>3108</v>
      </c>
      <c r="CG1194" t="s">
        <v>3108</v>
      </c>
      <c r="CH1194" t="s">
        <v>3108</v>
      </c>
    </row>
    <row r="1195" spans="1:86" x14ac:dyDescent="0.2">
      <c r="A1195" t="s">
        <v>5031</v>
      </c>
      <c r="B1195" t="s">
        <v>5031</v>
      </c>
      <c r="C1195">
        <v>41672</v>
      </c>
      <c r="D1195">
        <v>941</v>
      </c>
      <c r="E1195" t="s">
        <v>3526</v>
      </c>
      <c r="F1195" t="s">
        <v>3249</v>
      </c>
      <c r="G1195" t="s">
        <v>3249</v>
      </c>
      <c r="H1195" t="s">
        <v>3250</v>
      </c>
      <c r="I1195" t="s">
        <v>3250</v>
      </c>
      <c r="J1195" t="s">
        <v>3250</v>
      </c>
      <c r="K1195" t="s">
        <v>3250</v>
      </c>
      <c r="L1195">
        <v>1200</v>
      </c>
      <c r="M1195" t="s">
        <v>2368</v>
      </c>
      <c r="N1195">
        <v>1204</v>
      </c>
      <c r="O1195" t="s">
        <v>1574</v>
      </c>
      <c r="P1195" t="s">
        <v>3108</v>
      </c>
      <c r="Q1195" t="s">
        <v>3249</v>
      </c>
      <c r="R1195" t="s">
        <v>3249</v>
      </c>
      <c r="S1195" t="s">
        <v>472</v>
      </c>
      <c r="T1195" t="s">
        <v>3251</v>
      </c>
      <c r="U1195">
        <v>140</v>
      </c>
      <c r="V1195" t="s">
        <v>1327</v>
      </c>
      <c r="W1195">
        <v>140</v>
      </c>
      <c r="X1195" t="s">
        <v>1327</v>
      </c>
      <c r="Y1195" t="s">
        <v>3250</v>
      </c>
      <c r="Z1195" t="s">
        <v>3250</v>
      </c>
      <c r="AA1195" t="s">
        <v>3108</v>
      </c>
      <c r="AB1195" t="s">
        <v>3108</v>
      </c>
      <c r="AC1195" t="s">
        <v>3250</v>
      </c>
      <c r="AD1195" t="s">
        <v>3250</v>
      </c>
      <c r="AE1195" t="s">
        <v>3250</v>
      </c>
      <c r="AF1195" t="s">
        <v>3250</v>
      </c>
      <c r="AG1195" t="s">
        <v>3250</v>
      </c>
      <c r="AH1195" t="s">
        <v>3250</v>
      </c>
      <c r="AI1195" t="s">
        <v>3250</v>
      </c>
      <c r="AJ1195" t="s">
        <v>3250</v>
      </c>
      <c r="AL1195">
        <v>147</v>
      </c>
      <c r="AM1195" t="s">
        <v>6</v>
      </c>
      <c r="AN1195">
        <v>147</v>
      </c>
      <c r="AO1195" t="s">
        <v>6</v>
      </c>
      <c r="AS1195" t="s">
        <v>3250</v>
      </c>
      <c r="AT1195" t="s">
        <v>3250</v>
      </c>
      <c r="AU1195" t="s">
        <v>3250</v>
      </c>
      <c r="AV1195" t="s">
        <v>3250</v>
      </c>
      <c r="AW1195" t="s">
        <v>3250</v>
      </c>
      <c r="AX1195" t="s">
        <v>3250</v>
      </c>
      <c r="AY1195" t="s">
        <v>3250</v>
      </c>
      <c r="AZ1195" t="s">
        <v>3250</v>
      </c>
      <c r="BA1195" t="s">
        <v>3250</v>
      </c>
      <c r="BB1195" t="s">
        <v>3250</v>
      </c>
      <c r="BC1195" t="s">
        <v>3250</v>
      </c>
      <c r="BE1195" t="s">
        <v>3250</v>
      </c>
      <c r="BF1195" t="s">
        <v>3250</v>
      </c>
      <c r="BG1195" t="s">
        <v>3250</v>
      </c>
      <c r="BH1195" t="s">
        <v>3250</v>
      </c>
      <c r="BI1195" t="s">
        <v>3250</v>
      </c>
      <c r="BK1195" t="s">
        <v>3250</v>
      </c>
      <c r="BL1195" t="s">
        <v>3250</v>
      </c>
      <c r="BM1195" t="s">
        <v>3250</v>
      </c>
      <c r="BN1195" t="s">
        <v>3250</v>
      </c>
      <c r="BP1195">
        <v>1</v>
      </c>
      <c r="BQ1195">
        <v>11</v>
      </c>
      <c r="BR1195" t="s">
        <v>1574</v>
      </c>
      <c r="BS1195" t="s">
        <v>3252</v>
      </c>
      <c r="BV1195">
        <v>0</v>
      </c>
      <c r="BW1195">
        <v>0</v>
      </c>
      <c r="BX1195">
        <v>0</v>
      </c>
      <c r="BY1195">
        <v>0</v>
      </c>
      <c r="BZ1195">
        <v>0</v>
      </c>
      <c r="CA1195">
        <v>0</v>
      </c>
      <c r="CB1195">
        <v>0</v>
      </c>
      <c r="CC1195">
        <v>0</v>
      </c>
      <c r="CD1195">
        <v>0</v>
      </c>
      <c r="CE1195" t="s">
        <v>3108</v>
      </c>
      <c r="CF1195" t="s">
        <v>3108</v>
      </c>
      <c r="CG1195" t="s">
        <v>3108</v>
      </c>
      <c r="CH1195" t="s">
        <v>3108</v>
      </c>
    </row>
    <row r="1196" spans="1:86" x14ac:dyDescent="0.2">
      <c r="A1196" t="s">
        <v>5032</v>
      </c>
      <c r="B1196" t="s">
        <v>5032</v>
      </c>
      <c r="C1196">
        <v>41673</v>
      </c>
      <c r="D1196">
        <v>942</v>
      </c>
      <c r="E1196" t="s">
        <v>3528</v>
      </c>
      <c r="F1196" t="s">
        <v>3249</v>
      </c>
      <c r="G1196" t="s">
        <v>3249</v>
      </c>
      <c r="H1196" t="s">
        <v>3250</v>
      </c>
      <c r="I1196" t="s">
        <v>3250</v>
      </c>
      <c r="J1196" t="s">
        <v>3250</v>
      </c>
      <c r="K1196" t="s">
        <v>3250</v>
      </c>
      <c r="L1196">
        <v>1200</v>
      </c>
      <c r="M1196" t="s">
        <v>2368</v>
      </c>
      <c r="N1196">
        <v>1204</v>
      </c>
      <c r="O1196" t="s">
        <v>1574</v>
      </c>
      <c r="P1196" t="s">
        <v>3108</v>
      </c>
      <c r="Q1196" t="s">
        <v>3249</v>
      </c>
      <c r="R1196" t="s">
        <v>3249</v>
      </c>
      <c r="S1196" t="s">
        <v>472</v>
      </c>
      <c r="T1196" t="s">
        <v>3251</v>
      </c>
      <c r="U1196">
        <v>140</v>
      </c>
      <c r="V1196" t="s">
        <v>1327</v>
      </c>
      <c r="W1196">
        <v>140</v>
      </c>
      <c r="X1196" t="s">
        <v>1327</v>
      </c>
      <c r="Y1196" t="s">
        <v>3250</v>
      </c>
      <c r="Z1196" t="s">
        <v>3250</v>
      </c>
      <c r="AA1196" t="s">
        <v>3108</v>
      </c>
      <c r="AB1196" t="s">
        <v>3108</v>
      </c>
      <c r="AC1196" t="s">
        <v>3250</v>
      </c>
      <c r="AD1196" t="s">
        <v>3250</v>
      </c>
      <c r="AE1196" t="s">
        <v>3250</v>
      </c>
      <c r="AF1196" t="s">
        <v>3250</v>
      </c>
      <c r="AG1196" t="s">
        <v>3250</v>
      </c>
      <c r="AH1196" t="s">
        <v>3250</v>
      </c>
      <c r="AI1196" t="s">
        <v>3250</v>
      </c>
      <c r="AJ1196" t="s">
        <v>3250</v>
      </c>
      <c r="AL1196">
        <v>141</v>
      </c>
      <c r="AM1196" t="s">
        <v>1327</v>
      </c>
      <c r="AN1196">
        <v>141</v>
      </c>
      <c r="AO1196" t="s">
        <v>1327</v>
      </c>
      <c r="AS1196" t="s">
        <v>3250</v>
      </c>
      <c r="AT1196" t="s">
        <v>3250</v>
      </c>
      <c r="AU1196" t="s">
        <v>3250</v>
      </c>
      <c r="AV1196" t="s">
        <v>3250</v>
      </c>
      <c r="AW1196" t="s">
        <v>3250</v>
      </c>
      <c r="AX1196" t="s">
        <v>3250</v>
      </c>
      <c r="AY1196" t="s">
        <v>3250</v>
      </c>
      <c r="AZ1196" t="s">
        <v>3250</v>
      </c>
      <c r="BA1196" t="s">
        <v>3250</v>
      </c>
      <c r="BB1196" t="s">
        <v>3250</v>
      </c>
      <c r="BC1196" t="s">
        <v>3250</v>
      </c>
      <c r="BE1196" t="s">
        <v>3250</v>
      </c>
      <c r="BF1196" t="s">
        <v>3250</v>
      </c>
      <c r="BG1196" t="s">
        <v>3250</v>
      </c>
      <c r="BH1196" t="s">
        <v>3250</v>
      </c>
      <c r="BI1196" t="s">
        <v>3250</v>
      </c>
      <c r="BK1196" t="s">
        <v>3250</v>
      </c>
      <c r="BL1196" t="s">
        <v>3250</v>
      </c>
      <c r="BM1196" t="s">
        <v>3250</v>
      </c>
      <c r="BN1196" t="s">
        <v>3250</v>
      </c>
      <c r="BP1196">
        <v>1</v>
      </c>
      <c r="BQ1196">
        <v>11</v>
      </c>
      <c r="BR1196" t="s">
        <v>1574</v>
      </c>
      <c r="BS1196" t="s">
        <v>3252</v>
      </c>
      <c r="BV1196">
        <v>1501051</v>
      </c>
      <c r="BW1196">
        <v>1530114</v>
      </c>
      <c r="BX1196">
        <v>1528632</v>
      </c>
      <c r="BY1196">
        <v>0</v>
      </c>
      <c r="BZ1196">
        <v>0</v>
      </c>
      <c r="CA1196">
        <v>0</v>
      </c>
      <c r="CB1196">
        <v>0</v>
      </c>
      <c r="CC1196">
        <v>0</v>
      </c>
      <c r="CD1196">
        <v>1501051</v>
      </c>
      <c r="CE1196" t="s">
        <v>3108</v>
      </c>
      <c r="CF1196" t="s">
        <v>3108</v>
      </c>
      <c r="CG1196" t="s">
        <v>3108</v>
      </c>
      <c r="CH1196" t="s">
        <v>3108</v>
      </c>
    </row>
    <row r="1197" spans="1:86" x14ac:dyDescent="0.2">
      <c r="A1197" t="s">
        <v>5033</v>
      </c>
      <c r="B1197" t="s">
        <v>5033</v>
      </c>
      <c r="C1197">
        <v>41674</v>
      </c>
      <c r="D1197">
        <v>943</v>
      </c>
      <c r="E1197" t="s">
        <v>3276</v>
      </c>
      <c r="F1197" t="s">
        <v>3249</v>
      </c>
      <c r="G1197" t="s">
        <v>3249</v>
      </c>
      <c r="H1197" t="s">
        <v>3250</v>
      </c>
      <c r="I1197" t="s">
        <v>3250</v>
      </c>
      <c r="J1197" t="s">
        <v>3250</v>
      </c>
      <c r="K1197" t="s">
        <v>3250</v>
      </c>
      <c r="L1197">
        <v>1200</v>
      </c>
      <c r="M1197" t="s">
        <v>2368</v>
      </c>
      <c r="N1197">
        <v>1204</v>
      </c>
      <c r="O1197" t="s">
        <v>1574</v>
      </c>
      <c r="P1197" t="s">
        <v>3108</v>
      </c>
      <c r="Q1197" t="s">
        <v>3249</v>
      </c>
      <c r="R1197" t="s">
        <v>3249</v>
      </c>
      <c r="S1197" t="s">
        <v>472</v>
      </c>
      <c r="T1197" t="s">
        <v>3251</v>
      </c>
      <c r="U1197">
        <v>140</v>
      </c>
      <c r="V1197" t="s">
        <v>1327</v>
      </c>
      <c r="W1197">
        <v>140</v>
      </c>
      <c r="X1197" t="s">
        <v>1327</v>
      </c>
      <c r="Y1197" t="s">
        <v>3250</v>
      </c>
      <c r="Z1197" t="s">
        <v>3250</v>
      </c>
      <c r="AA1197" t="s">
        <v>3108</v>
      </c>
      <c r="AB1197" t="s">
        <v>3108</v>
      </c>
      <c r="AC1197" t="s">
        <v>3250</v>
      </c>
      <c r="AD1197" t="s">
        <v>3250</v>
      </c>
      <c r="AE1197" t="s">
        <v>3250</v>
      </c>
      <c r="AF1197" t="s">
        <v>3250</v>
      </c>
      <c r="AG1197" t="s">
        <v>3250</v>
      </c>
      <c r="AH1197" t="s">
        <v>3250</v>
      </c>
      <c r="AI1197" t="s">
        <v>3250</v>
      </c>
      <c r="AJ1197" t="s">
        <v>3250</v>
      </c>
      <c r="AL1197">
        <v>146</v>
      </c>
      <c r="AM1197" t="s">
        <v>5</v>
      </c>
      <c r="AN1197">
        <v>146</v>
      </c>
      <c r="AO1197" t="s">
        <v>5</v>
      </c>
      <c r="AS1197" t="s">
        <v>3250</v>
      </c>
      <c r="AT1197" t="s">
        <v>3250</v>
      </c>
      <c r="AU1197" t="s">
        <v>3250</v>
      </c>
      <c r="AV1197" t="s">
        <v>3250</v>
      </c>
      <c r="AW1197" t="s">
        <v>3250</v>
      </c>
      <c r="AX1197" t="s">
        <v>3250</v>
      </c>
      <c r="AY1197" t="s">
        <v>3250</v>
      </c>
      <c r="AZ1197" t="s">
        <v>3250</v>
      </c>
      <c r="BA1197" t="s">
        <v>3250</v>
      </c>
      <c r="BB1197" t="s">
        <v>3250</v>
      </c>
      <c r="BC1197" t="s">
        <v>3250</v>
      </c>
      <c r="BE1197" t="s">
        <v>3250</v>
      </c>
      <c r="BF1197" t="s">
        <v>3250</v>
      </c>
      <c r="BG1197" t="s">
        <v>3250</v>
      </c>
      <c r="BH1197" t="s">
        <v>3250</v>
      </c>
      <c r="BI1197" t="s">
        <v>3250</v>
      </c>
      <c r="BK1197" t="s">
        <v>3250</v>
      </c>
      <c r="BL1197" t="s">
        <v>3250</v>
      </c>
      <c r="BM1197" t="s">
        <v>3250</v>
      </c>
      <c r="BN1197" t="s">
        <v>3250</v>
      </c>
      <c r="BP1197">
        <v>1</v>
      </c>
      <c r="BQ1197">
        <v>11</v>
      </c>
      <c r="BR1197" t="s">
        <v>1574</v>
      </c>
      <c r="BS1197" t="s">
        <v>3252</v>
      </c>
      <c r="BV1197">
        <v>0</v>
      </c>
      <c r="BW1197">
        <v>0</v>
      </c>
      <c r="BX1197">
        <v>0</v>
      </c>
      <c r="BY1197">
        <v>0</v>
      </c>
      <c r="BZ1197">
        <v>0</v>
      </c>
      <c r="CA1197">
        <v>0</v>
      </c>
      <c r="CB1197">
        <v>0</v>
      </c>
      <c r="CC1197">
        <v>0</v>
      </c>
      <c r="CD1197">
        <v>0</v>
      </c>
      <c r="CE1197" t="s">
        <v>3108</v>
      </c>
      <c r="CF1197" t="s">
        <v>3108</v>
      </c>
      <c r="CG1197" t="s">
        <v>3108</v>
      </c>
      <c r="CH1197" t="s">
        <v>3108</v>
      </c>
    </row>
    <row r="1198" spans="1:86" x14ac:dyDescent="0.2">
      <c r="A1198" t="s">
        <v>5034</v>
      </c>
      <c r="B1198" t="s">
        <v>5034</v>
      </c>
      <c r="C1198">
        <v>41675</v>
      </c>
      <c r="D1198">
        <v>944</v>
      </c>
      <c r="E1198" t="s">
        <v>5035</v>
      </c>
      <c r="F1198" t="s">
        <v>3249</v>
      </c>
      <c r="G1198" t="s">
        <v>3249</v>
      </c>
      <c r="H1198" t="s">
        <v>3250</v>
      </c>
      <c r="I1198" t="s">
        <v>3250</v>
      </c>
      <c r="J1198" t="s">
        <v>3250</v>
      </c>
      <c r="K1198" t="s">
        <v>3250</v>
      </c>
      <c r="L1198">
        <v>1200</v>
      </c>
      <c r="M1198" t="s">
        <v>2368</v>
      </c>
      <c r="N1198">
        <v>1204</v>
      </c>
      <c r="O1198" t="s">
        <v>1574</v>
      </c>
      <c r="P1198" t="s">
        <v>3108</v>
      </c>
      <c r="Q1198" t="s">
        <v>3249</v>
      </c>
      <c r="R1198" t="s">
        <v>3249</v>
      </c>
      <c r="S1198" t="s">
        <v>472</v>
      </c>
      <c r="T1198" t="s">
        <v>3251</v>
      </c>
      <c r="U1198">
        <v>140</v>
      </c>
      <c r="V1198" t="s">
        <v>1327</v>
      </c>
      <c r="W1198">
        <v>140</v>
      </c>
      <c r="X1198" t="s">
        <v>1327</v>
      </c>
      <c r="Y1198" t="s">
        <v>3250</v>
      </c>
      <c r="Z1198" t="s">
        <v>3250</v>
      </c>
      <c r="AA1198" t="s">
        <v>3108</v>
      </c>
      <c r="AB1198" t="s">
        <v>3108</v>
      </c>
      <c r="AC1198" t="s">
        <v>3250</v>
      </c>
      <c r="AD1198" t="s">
        <v>3250</v>
      </c>
      <c r="AE1198" t="s">
        <v>3250</v>
      </c>
      <c r="AF1198" t="s">
        <v>3250</v>
      </c>
      <c r="AG1198" t="s">
        <v>3250</v>
      </c>
      <c r="AH1198" t="s">
        <v>3250</v>
      </c>
      <c r="AI1198" t="s">
        <v>3250</v>
      </c>
      <c r="AJ1198" t="s">
        <v>3250</v>
      </c>
      <c r="AL1198">
        <v>141</v>
      </c>
      <c r="AM1198" t="s">
        <v>1327</v>
      </c>
      <c r="AN1198">
        <v>141</v>
      </c>
      <c r="AO1198" t="s">
        <v>1327</v>
      </c>
      <c r="AS1198" t="s">
        <v>3250</v>
      </c>
      <c r="AT1198" t="s">
        <v>3250</v>
      </c>
      <c r="AU1198" t="s">
        <v>3250</v>
      </c>
      <c r="AV1198" t="s">
        <v>3250</v>
      </c>
      <c r="AW1198" t="s">
        <v>3250</v>
      </c>
      <c r="AX1198" t="s">
        <v>3250</v>
      </c>
      <c r="AY1198" t="s">
        <v>3250</v>
      </c>
      <c r="AZ1198" t="s">
        <v>3250</v>
      </c>
      <c r="BA1198" t="s">
        <v>3250</v>
      </c>
      <c r="BB1198" t="s">
        <v>3250</v>
      </c>
      <c r="BC1198" t="s">
        <v>3250</v>
      </c>
      <c r="BE1198" t="s">
        <v>3250</v>
      </c>
      <c r="BF1198" t="s">
        <v>3250</v>
      </c>
      <c r="BG1198" t="s">
        <v>3250</v>
      </c>
      <c r="BH1198" t="s">
        <v>3250</v>
      </c>
      <c r="BI1198" t="s">
        <v>3250</v>
      </c>
      <c r="BK1198" t="s">
        <v>3250</v>
      </c>
      <c r="BL1198" t="s">
        <v>3250</v>
      </c>
      <c r="BM1198" t="s">
        <v>3250</v>
      </c>
      <c r="BN1198" t="s">
        <v>3250</v>
      </c>
      <c r="BP1198">
        <v>1</v>
      </c>
      <c r="BQ1198">
        <v>11</v>
      </c>
      <c r="BR1198" t="s">
        <v>1574</v>
      </c>
      <c r="BS1198" t="s">
        <v>3252</v>
      </c>
      <c r="BV1198">
        <v>6455496</v>
      </c>
      <c r="BW1198">
        <v>6455496</v>
      </c>
      <c r="BX1198">
        <v>5318751</v>
      </c>
      <c r="BY1198">
        <v>0</v>
      </c>
      <c r="BZ1198">
        <v>0</v>
      </c>
      <c r="CA1198">
        <v>0</v>
      </c>
      <c r="CB1198">
        <v>0</v>
      </c>
      <c r="CC1198">
        <v>0</v>
      </c>
      <c r="CD1198">
        <v>6455496</v>
      </c>
      <c r="CE1198" t="s">
        <v>3108</v>
      </c>
      <c r="CF1198" t="s">
        <v>3108</v>
      </c>
      <c r="CG1198" t="s">
        <v>3108</v>
      </c>
      <c r="CH1198" t="s">
        <v>3108</v>
      </c>
    </row>
    <row r="1199" spans="1:86" x14ac:dyDescent="0.2">
      <c r="A1199" t="s">
        <v>5036</v>
      </c>
      <c r="B1199" t="s">
        <v>5036</v>
      </c>
      <c r="C1199">
        <v>41676</v>
      </c>
      <c r="D1199">
        <v>945</v>
      </c>
      <c r="E1199" t="s">
        <v>3278</v>
      </c>
      <c r="F1199" t="s">
        <v>3249</v>
      </c>
      <c r="G1199" t="s">
        <v>3249</v>
      </c>
      <c r="H1199" t="s">
        <v>3250</v>
      </c>
      <c r="I1199" t="s">
        <v>3250</v>
      </c>
      <c r="J1199" t="s">
        <v>3250</v>
      </c>
      <c r="K1199" t="s">
        <v>3250</v>
      </c>
      <c r="L1199">
        <v>1200</v>
      </c>
      <c r="M1199" t="s">
        <v>2368</v>
      </c>
      <c r="N1199">
        <v>1204</v>
      </c>
      <c r="O1199" t="s">
        <v>1574</v>
      </c>
      <c r="P1199" t="s">
        <v>3108</v>
      </c>
      <c r="Q1199" t="s">
        <v>3249</v>
      </c>
      <c r="R1199" t="s">
        <v>3249</v>
      </c>
      <c r="S1199" t="s">
        <v>472</v>
      </c>
      <c r="T1199" t="s">
        <v>3251</v>
      </c>
      <c r="U1199">
        <v>140</v>
      </c>
      <c r="V1199" t="s">
        <v>1327</v>
      </c>
      <c r="W1199">
        <v>140</v>
      </c>
      <c r="X1199" t="s">
        <v>1327</v>
      </c>
      <c r="Y1199" t="s">
        <v>3250</v>
      </c>
      <c r="Z1199" t="s">
        <v>3250</v>
      </c>
      <c r="AA1199" t="s">
        <v>3108</v>
      </c>
      <c r="AB1199" t="s">
        <v>3108</v>
      </c>
      <c r="AC1199" t="s">
        <v>3250</v>
      </c>
      <c r="AD1199" t="s">
        <v>3250</v>
      </c>
      <c r="AE1199" t="s">
        <v>3250</v>
      </c>
      <c r="AF1199" t="s">
        <v>3250</v>
      </c>
      <c r="AG1199" t="s">
        <v>3250</v>
      </c>
      <c r="AH1199" t="s">
        <v>3250</v>
      </c>
      <c r="AI1199" t="s">
        <v>3250</v>
      </c>
      <c r="AJ1199" t="s">
        <v>3250</v>
      </c>
      <c r="AL1199">
        <v>146</v>
      </c>
      <c r="AM1199" t="s">
        <v>5</v>
      </c>
      <c r="AN1199">
        <v>146</v>
      </c>
      <c r="AO1199" t="s">
        <v>5</v>
      </c>
      <c r="AS1199" t="s">
        <v>3250</v>
      </c>
      <c r="AT1199" t="s">
        <v>3250</v>
      </c>
      <c r="AU1199" t="s">
        <v>3250</v>
      </c>
      <c r="AV1199" t="s">
        <v>3250</v>
      </c>
      <c r="AW1199" t="s">
        <v>3250</v>
      </c>
      <c r="AX1199" t="s">
        <v>3250</v>
      </c>
      <c r="AY1199" t="s">
        <v>3250</v>
      </c>
      <c r="AZ1199" t="s">
        <v>3250</v>
      </c>
      <c r="BA1199" t="s">
        <v>3250</v>
      </c>
      <c r="BB1199" t="s">
        <v>3250</v>
      </c>
      <c r="BC1199" t="s">
        <v>3250</v>
      </c>
      <c r="BE1199" t="s">
        <v>3250</v>
      </c>
      <c r="BF1199" t="s">
        <v>3250</v>
      </c>
      <c r="BG1199" t="s">
        <v>3250</v>
      </c>
      <c r="BH1199" t="s">
        <v>3250</v>
      </c>
      <c r="BI1199" t="s">
        <v>3250</v>
      </c>
      <c r="BK1199" t="s">
        <v>3250</v>
      </c>
      <c r="BL1199" t="s">
        <v>3250</v>
      </c>
      <c r="BM1199" t="s">
        <v>3250</v>
      </c>
      <c r="BN1199" t="s">
        <v>3250</v>
      </c>
      <c r="BP1199">
        <v>1</v>
      </c>
      <c r="BQ1199">
        <v>11</v>
      </c>
      <c r="BR1199" t="s">
        <v>1574</v>
      </c>
      <c r="BS1199" t="s">
        <v>3252</v>
      </c>
      <c r="BV1199">
        <v>0</v>
      </c>
      <c r="BW1199">
        <v>0</v>
      </c>
      <c r="BX1199">
        <v>0</v>
      </c>
      <c r="BY1199">
        <v>0</v>
      </c>
      <c r="BZ1199">
        <v>0</v>
      </c>
      <c r="CA1199">
        <v>0</v>
      </c>
      <c r="CB1199">
        <v>0</v>
      </c>
      <c r="CC1199">
        <v>0</v>
      </c>
      <c r="CD1199">
        <v>0</v>
      </c>
      <c r="CE1199" t="s">
        <v>3108</v>
      </c>
      <c r="CF1199" t="s">
        <v>3108</v>
      </c>
      <c r="CG1199" t="s">
        <v>3108</v>
      </c>
      <c r="CH1199" t="s">
        <v>3108</v>
      </c>
    </row>
    <row r="1200" spans="1:86" x14ac:dyDescent="0.2">
      <c r="A1200" t="s">
        <v>5037</v>
      </c>
      <c r="B1200" t="s">
        <v>5037</v>
      </c>
      <c r="C1200">
        <v>41677</v>
      </c>
      <c r="D1200">
        <v>946</v>
      </c>
      <c r="E1200" t="s">
        <v>3530</v>
      </c>
      <c r="F1200" t="s">
        <v>3249</v>
      </c>
      <c r="G1200" t="s">
        <v>3249</v>
      </c>
      <c r="H1200" t="s">
        <v>3250</v>
      </c>
      <c r="I1200" t="s">
        <v>3250</v>
      </c>
      <c r="J1200" t="s">
        <v>3250</v>
      </c>
      <c r="K1200" t="s">
        <v>3250</v>
      </c>
      <c r="L1200">
        <v>1200</v>
      </c>
      <c r="M1200" t="s">
        <v>2368</v>
      </c>
      <c r="N1200">
        <v>1204</v>
      </c>
      <c r="O1200" t="s">
        <v>1574</v>
      </c>
      <c r="P1200" t="s">
        <v>3108</v>
      </c>
      <c r="Q1200" t="s">
        <v>3249</v>
      </c>
      <c r="R1200" t="s">
        <v>3249</v>
      </c>
      <c r="S1200" t="s">
        <v>472</v>
      </c>
      <c r="T1200" t="s">
        <v>3251</v>
      </c>
      <c r="U1200">
        <v>140</v>
      </c>
      <c r="V1200" t="s">
        <v>1327</v>
      </c>
      <c r="W1200">
        <v>140</v>
      </c>
      <c r="X1200" t="s">
        <v>1327</v>
      </c>
      <c r="Y1200" t="s">
        <v>3250</v>
      </c>
      <c r="Z1200" t="s">
        <v>3250</v>
      </c>
      <c r="AA1200" t="s">
        <v>3108</v>
      </c>
      <c r="AB1200" t="s">
        <v>3108</v>
      </c>
      <c r="AC1200" t="s">
        <v>3250</v>
      </c>
      <c r="AD1200" t="s">
        <v>3250</v>
      </c>
      <c r="AE1200" t="s">
        <v>3250</v>
      </c>
      <c r="AF1200" t="s">
        <v>3250</v>
      </c>
      <c r="AG1200" t="s">
        <v>3250</v>
      </c>
      <c r="AH1200" t="s">
        <v>3250</v>
      </c>
      <c r="AI1200" t="s">
        <v>3250</v>
      </c>
      <c r="AJ1200" t="s">
        <v>3250</v>
      </c>
      <c r="AL1200">
        <v>141</v>
      </c>
      <c r="AM1200" t="s">
        <v>1327</v>
      </c>
      <c r="AN1200">
        <v>141</v>
      </c>
      <c r="AO1200" t="s">
        <v>1327</v>
      </c>
      <c r="AS1200" t="s">
        <v>3250</v>
      </c>
      <c r="AT1200" t="s">
        <v>3250</v>
      </c>
      <c r="AU1200" t="s">
        <v>3250</v>
      </c>
      <c r="AV1200" t="s">
        <v>3250</v>
      </c>
      <c r="AW1200" t="s">
        <v>3250</v>
      </c>
      <c r="AX1200" t="s">
        <v>3250</v>
      </c>
      <c r="AY1200" t="s">
        <v>3250</v>
      </c>
      <c r="AZ1200" t="s">
        <v>3250</v>
      </c>
      <c r="BA1200" t="s">
        <v>3250</v>
      </c>
      <c r="BB1200" t="s">
        <v>3250</v>
      </c>
      <c r="BC1200" t="s">
        <v>3250</v>
      </c>
      <c r="BE1200" t="s">
        <v>3250</v>
      </c>
      <c r="BF1200" t="s">
        <v>3250</v>
      </c>
      <c r="BG1200" t="s">
        <v>3250</v>
      </c>
      <c r="BH1200" t="s">
        <v>3250</v>
      </c>
      <c r="BI1200" t="s">
        <v>3250</v>
      </c>
      <c r="BK1200" t="s">
        <v>3250</v>
      </c>
      <c r="BL1200" t="s">
        <v>3250</v>
      </c>
      <c r="BM1200" t="s">
        <v>3250</v>
      </c>
      <c r="BN1200" t="s">
        <v>3250</v>
      </c>
      <c r="BP1200">
        <v>1</v>
      </c>
      <c r="BQ1200">
        <v>11</v>
      </c>
      <c r="BR1200" t="s">
        <v>1574</v>
      </c>
      <c r="BS1200" t="s">
        <v>3252</v>
      </c>
      <c r="BV1200">
        <v>0</v>
      </c>
      <c r="BW1200">
        <v>0</v>
      </c>
      <c r="BX1200">
        <v>0</v>
      </c>
      <c r="BY1200">
        <v>0</v>
      </c>
      <c r="BZ1200">
        <v>0</v>
      </c>
      <c r="CA1200">
        <v>0</v>
      </c>
      <c r="CB1200">
        <v>0</v>
      </c>
      <c r="CC1200">
        <v>0</v>
      </c>
      <c r="CD1200">
        <v>0</v>
      </c>
      <c r="CE1200" t="s">
        <v>3108</v>
      </c>
      <c r="CF1200" t="s">
        <v>3108</v>
      </c>
      <c r="CG1200" t="s">
        <v>3108</v>
      </c>
      <c r="CH1200" t="s">
        <v>3108</v>
      </c>
    </row>
    <row r="1201" spans="1:86" x14ac:dyDescent="0.2">
      <c r="A1201" t="s">
        <v>5038</v>
      </c>
      <c r="B1201" t="s">
        <v>5038</v>
      </c>
      <c r="C1201">
        <v>41678</v>
      </c>
      <c r="D1201">
        <v>947</v>
      </c>
      <c r="E1201" t="s">
        <v>3466</v>
      </c>
      <c r="F1201" t="s">
        <v>3249</v>
      </c>
      <c r="G1201" t="s">
        <v>3249</v>
      </c>
      <c r="H1201" t="s">
        <v>3250</v>
      </c>
      <c r="I1201" t="s">
        <v>3250</v>
      </c>
      <c r="J1201" t="s">
        <v>3250</v>
      </c>
      <c r="K1201" t="s">
        <v>3250</v>
      </c>
      <c r="L1201">
        <v>1200</v>
      </c>
      <c r="M1201" t="s">
        <v>2368</v>
      </c>
      <c r="N1201">
        <v>1204</v>
      </c>
      <c r="O1201" t="s">
        <v>1574</v>
      </c>
      <c r="P1201" t="s">
        <v>3108</v>
      </c>
      <c r="Q1201" t="s">
        <v>3249</v>
      </c>
      <c r="R1201" t="s">
        <v>3249</v>
      </c>
      <c r="S1201" t="s">
        <v>472</v>
      </c>
      <c r="T1201" t="s">
        <v>3251</v>
      </c>
      <c r="U1201">
        <v>140</v>
      </c>
      <c r="V1201" t="s">
        <v>1327</v>
      </c>
      <c r="W1201">
        <v>140</v>
      </c>
      <c r="X1201" t="s">
        <v>1327</v>
      </c>
      <c r="Y1201" t="s">
        <v>3250</v>
      </c>
      <c r="Z1201" t="s">
        <v>3250</v>
      </c>
      <c r="AA1201" t="s">
        <v>3108</v>
      </c>
      <c r="AB1201" t="s">
        <v>3108</v>
      </c>
      <c r="AC1201" t="s">
        <v>3250</v>
      </c>
      <c r="AD1201" t="s">
        <v>3250</v>
      </c>
      <c r="AE1201" t="s">
        <v>3250</v>
      </c>
      <c r="AF1201" t="s">
        <v>3250</v>
      </c>
      <c r="AG1201" t="s">
        <v>3250</v>
      </c>
      <c r="AH1201" t="s">
        <v>3250</v>
      </c>
      <c r="AI1201" t="s">
        <v>3250</v>
      </c>
      <c r="AJ1201" t="s">
        <v>3250</v>
      </c>
      <c r="AL1201">
        <v>146</v>
      </c>
      <c r="AM1201" t="s">
        <v>5</v>
      </c>
      <c r="AN1201">
        <v>146</v>
      </c>
      <c r="AO1201" t="s">
        <v>5</v>
      </c>
      <c r="AS1201" t="s">
        <v>3250</v>
      </c>
      <c r="AT1201" t="s">
        <v>3250</v>
      </c>
      <c r="AU1201" t="s">
        <v>3250</v>
      </c>
      <c r="AV1201" t="s">
        <v>3250</v>
      </c>
      <c r="AW1201" t="s">
        <v>3250</v>
      </c>
      <c r="AX1201" t="s">
        <v>3250</v>
      </c>
      <c r="AY1201" t="s">
        <v>3250</v>
      </c>
      <c r="AZ1201" t="s">
        <v>3250</v>
      </c>
      <c r="BA1201" t="s">
        <v>3250</v>
      </c>
      <c r="BB1201" t="s">
        <v>3250</v>
      </c>
      <c r="BC1201" t="s">
        <v>3250</v>
      </c>
      <c r="BE1201" t="s">
        <v>3250</v>
      </c>
      <c r="BF1201" t="s">
        <v>3250</v>
      </c>
      <c r="BG1201" t="s">
        <v>3250</v>
      </c>
      <c r="BH1201" t="s">
        <v>3250</v>
      </c>
      <c r="BI1201" t="s">
        <v>3250</v>
      </c>
      <c r="BK1201" t="s">
        <v>3250</v>
      </c>
      <c r="BL1201" t="s">
        <v>3250</v>
      </c>
      <c r="BM1201" t="s">
        <v>3250</v>
      </c>
      <c r="BN1201" t="s">
        <v>3250</v>
      </c>
      <c r="BP1201">
        <v>1</v>
      </c>
      <c r="BQ1201">
        <v>11</v>
      </c>
      <c r="BR1201" t="s">
        <v>1574</v>
      </c>
      <c r="BS1201" t="s">
        <v>3252</v>
      </c>
      <c r="BV1201">
        <v>0</v>
      </c>
      <c r="BW1201">
        <v>0</v>
      </c>
      <c r="BX1201">
        <v>0</v>
      </c>
      <c r="BY1201">
        <v>0</v>
      </c>
      <c r="BZ1201">
        <v>0</v>
      </c>
      <c r="CA1201">
        <v>0</v>
      </c>
      <c r="CB1201">
        <v>0</v>
      </c>
      <c r="CC1201">
        <v>0</v>
      </c>
      <c r="CD1201">
        <v>0</v>
      </c>
      <c r="CE1201" t="s">
        <v>3108</v>
      </c>
      <c r="CF1201" t="s">
        <v>3108</v>
      </c>
      <c r="CG1201" t="s">
        <v>3108</v>
      </c>
      <c r="CH1201" t="s">
        <v>3108</v>
      </c>
    </row>
    <row r="1202" spans="1:86" x14ac:dyDescent="0.2">
      <c r="A1202" t="s">
        <v>5039</v>
      </c>
      <c r="B1202" t="s">
        <v>5039</v>
      </c>
      <c r="C1202">
        <v>41679</v>
      </c>
      <c r="D1202">
        <v>948</v>
      </c>
      <c r="E1202" t="s">
        <v>3248</v>
      </c>
      <c r="F1202" t="s">
        <v>3249</v>
      </c>
      <c r="G1202" t="s">
        <v>3249</v>
      </c>
      <c r="H1202" t="s">
        <v>3250</v>
      </c>
      <c r="I1202" t="s">
        <v>3250</v>
      </c>
      <c r="J1202" t="s">
        <v>3250</v>
      </c>
      <c r="K1202" t="s">
        <v>3250</v>
      </c>
      <c r="L1202">
        <v>1200</v>
      </c>
      <c r="M1202" t="s">
        <v>2368</v>
      </c>
      <c r="N1202">
        <v>1204</v>
      </c>
      <c r="O1202" t="s">
        <v>1574</v>
      </c>
      <c r="P1202" t="s">
        <v>3108</v>
      </c>
      <c r="Q1202" t="s">
        <v>3249</v>
      </c>
      <c r="R1202" t="s">
        <v>3249</v>
      </c>
      <c r="S1202" t="s">
        <v>472</v>
      </c>
      <c r="T1202" t="s">
        <v>3251</v>
      </c>
      <c r="U1202">
        <v>140</v>
      </c>
      <c r="V1202" t="s">
        <v>1327</v>
      </c>
      <c r="W1202">
        <v>140</v>
      </c>
      <c r="X1202" t="s">
        <v>1327</v>
      </c>
      <c r="Y1202" t="s">
        <v>3250</v>
      </c>
      <c r="Z1202" t="s">
        <v>3250</v>
      </c>
      <c r="AA1202" t="s">
        <v>3108</v>
      </c>
      <c r="AB1202" t="s">
        <v>3108</v>
      </c>
      <c r="AC1202" t="s">
        <v>3250</v>
      </c>
      <c r="AD1202" t="s">
        <v>3250</v>
      </c>
      <c r="AE1202" t="s">
        <v>3250</v>
      </c>
      <c r="AF1202" t="s">
        <v>3250</v>
      </c>
      <c r="AG1202" t="s">
        <v>3250</v>
      </c>
      <c r="AH1202" t="s">
        <v>3250</v>
      </c>
      <c r="AI1202" t="s">
        <v>3250</v>
      </c>
      <c r="AJ1202" t="s">
        <v>3250</v>
      </c>
      <c r="AL1202">
        <v>145</v>
      </c>
      <c r="AM1202" t="s">
        <v>4</v>
      </c>
      <c r="AN1202">
        <v>145</v>
      </c>
      <c r="AO1202" t="s">
        <v>4</v>
      </c>
      <c r="AS1202" t="s">
        <v>3250</v>
      </c>
      <c r="AT1202" t="s">
        <v>3250</v>
      </c>
      <c r="AU1202" t="s">
        <v>3250</v>
      </c>
      <c r="AV1202" t="s">
        <v>3250</v>
      </c>
      <c r="AW1202" t="s">
        <v>3250</v>
      </c>
      <c r="AX1202" t="s">
        <v>3250</v>
      </c>
      <c r="AY1202" t="s">
        <v>3250</v>
      </c>
      <c r="AZ1202" t="s">
        <v>3250</v>
      </c>
      <c r="BA1202" t="s">
        <v>3250</v>
      </c>
      <c r="BB1202" t="s">
        <v>3250</v>
      </c>
      <c r="BC1202" t="s">
        <v>3250</v>
      </c>
      <c r="BE1202" t="s">
        <v>3250</v>
      </c>
      <c r="BF1202" t="s">
        <v>3250</v>
      </c>
      <c r="BG1202" t="s">
        <v>3250</v>
      </c>
      <c r="BH1202" t="s">
        <v>3250</v>
      </c>
      <c r="BI1202" t="s">
        <v>3250</v>
      </c>
      <c r="BK1202" t="s">
        <v>3250</v>
      </c>
      <c r="BL1202" t="s">
        <v>3250</v>
      </c>
      <c r="BM1202" t="s">
        <v>3250</v>
      </c>
      <c r="BN1202" t="s">
        <v>3250</v>
      </c>
      <c r="BP1202">
        <v>1</v>
      </c>
      <c r="BQ1202">
        <v>11</v>
      </c>
      <c r="BR1202" t="s">
        <v>1574</v>
      </c>
      <c r="BS1202" t="s">
        <v>3252</v>
      </c>
      <c r="BV1202">
        <v>0</v>
      </c>
      <c r="BW1202">
        <v>0</v>
      </c>
      <c r="BX1202">
        <v>0</v>
      </c>
      <c r="BY1202">
        <v>0</v>
      </c>
      <c r="BZ1202">
        <v>0</v>
      </c>
      <c r="CA1202">
        <v>0</v>
      </c>
      <c r="CB1202">
        <v>0</v>
      </c>
      <c r="CC1202">
        <v>0</v>
      </c>
      <c r="CD1202">
        <v>0</v>
      </c>
      <c r="CE1202" t="s">
        <v>3108</v>
      </c>
      <c r="CF1202" t="s">
        <v>3108</v>
      </c>
      <c r="CG1202" t="s">
        <v>3108</v>
      </c>
      <c r="CH1202" t="s">
        <v>3108</v>
      </c>
    </row>
    <row r="1203" spans="1:86" x14ac:dyDescent="0.2">
      <c r="A1203" t="s">
        <v>5040</v>
      </c>
      <c r="B1203" t="s">
        <v>5040</v>
      </c>
      <c r="C1203">
        <v>41680</v>
      </c>
      <c r="D1203">
        <v>949</v>
      </c>
      <c r="E1203" t="s">
        <v>3468</v>
      </c>
      <c r="F1203" t="s">
        <v>3249</v>
      </c>
      <c r="G1203" t="s">
        <v>3249</v>
      </c>
      <c r="H1203" t="s">
        <v>3250</v>
      </c>
      <c r="I1203" t="s">
        <v>3250</v>
      </c>
      <c r="J1203" t="s">
        <v>3250</v>
      </c>
      <c r="K1203" t="s">
        <v>3250</v>
      </c>
      <c r="L1203">
        <v>1200</v>
      </c>
      <c r="M1203" t="s">
        <v>2368</v>
      </c>
      <c r="N1203">
        <v>1204</v>
      </c>
      <c r="O1203" t="s">
        <v>1574</v>
      </c>
      <c r="P1203" t="s">
        <v>3108</v>
      </c>
      <c r="Q1203" t="s">
        <v>3249</v>
      </c>
      <c r="R1203" t="s">
        <v>3249</v>
      </c>
      <c r="S1203" t="s">
        <v>472</v>
      </c>
      <c r="T1203" t="s">
        <v>3251</v>
      </c>
      <c r="U1203">
        <v>140</v>
      </c>
      <c r="V1203" t="s">
        <v>1327</v>
      </c>
      <c r="W1203">
        <v>140</v>
      </c>
      <c r="X1203" t="s">
        <v>1327</v>
      </c>
      <c r="Y1203" t="s">
        <v>3250</v>
      </c>
      <c r="Z1203" t="s">
        <v>3250</v>
      </c>
      <c r="AA1203" t="s">
        <v>3108</v>
      </c>
      <c r="AB1203" t="s">
        <v>3108</v>
      </c>
      <c r="AC1203" t="s">
        <v>3250</v>
      </c>
      <c r="AD1203" t="s">
        <v>3250</v>
      </c>
      <c r="AE1203" t="s">
        <v>3250</v>
      </c>
      <c r="AF1203" t="s">
        <v>3250</v>
      </c>
      <c r="AG1203" t="s">
        <v>3250</v>
      </c>
      <c r="AH1203" t="s">
        <v>3250</v>
      </c>
      <c r="AI1203" t="s">
        <v>3250</v>
      </c>
      <c r="AJ1203" t="s">
        <v>3250</v>
      </c>
      <c r="AL1203">
        <v>146</v>
      </c>
      <c r="AM1203" t="s">
        <v>5</v>
      </c>
      <c r="AN1203">
        <v>146</v>
      </c>
      <c r="AO1203" t="s">
        <v>5</v>
      </c>
      <c r="AS1203" t="s">
        <v>3250</v>
      </c>
      <c r="AT1203" t="s">
        <v>3250</v>
      </c>
      <c r="AU1203" t="s">
        <v>3250</v>
      </c>
      <c r="AV1203" t="s">
        <v>3250</v>
      </c>
      <c r="AW1203" t="s">
        <v>3250</v>
      </c>
      <c r="AX1203" t="s">
        <v>3250</v>
      </c>
      <c r="AY1203" t="s">
        <v>3250</v>
      </c>
      <c r="AZ1203" t="s">
        <v>3250</v>
      </c>
      <c r="BA1203" t="s">
        <v>3250</v>
      </c>
      <c r="BB1203" t="s">
        <v>3250</v>
      </c>
      <c r="BC1203" t="s">
        <v>3250</v>
      </c>
      <c r="BE1203" t="s">
        <v>3250</v>
      </c>
      <c r="BF1203" t="s">
        <v>3250</v>
      </c>
      <c r="BG1203" t="s">
        <v>3250</v>
      </c>
      <c r="BH1203" t="s">
        <v>3250</v>
      </c>
      <c r="BI1203" t="s">
        <v>3250</v>
      </c>
      <c r="BK1203" t="s">
        <v>3250</v>
      </c>
      <c r="BL1203" t="s">
        <v>3250</v>
      </c>
      <c r="BM1203" t="s">
        <v>3250</v>
      </c>
      <c r="BN1203" t="s">
        <v>3250</v>
      </c>
      <c r="BP1203">
        <v>1</v>
      </c>
      <c r="BQ1203">
        <v>11</v>
      </c>
      <c r="BR1203" t="s">
        <v>1574</v>
      </c>
      <c r="BS1203" t="s">
        <v>3252</v>
      </c>
      <c r="BV1203">
        <v>0</v>
      </c>
      <c r="BW1203">
        <v>0</v>
      </c>
      <c r="BX1203">
        <v>0</v>
      </c>
      <c r="BY1203">
        <v>0</v>
      </c>
      <c r="BZ1203">
        <v>0</v>
      </c>
      <c r="CA1203">
        <v>0</v>
      </c>
      <c r="CB1203">
        <v>0</v>
      </c>
      <c r="CC1203">
        <v>0</v>
      </c>
      <c r="CD1203">
        <v>0</v>
      </c>
      <c r="CE1203" t="s">
        <v>3108</v>
      </c>
      <c r="CF1203" t="s">
        <v>3108</v>
      </c>
      <c r="CG1203" t="s">
        <v>3108</v>
      </c>
      <c r="CH1203" t="s">
        <v>3108</v>
      </c>
    </row>
    <row r="1204" spans="1:86" x14ac:dyDescent="0.2">
      <c r="A1204" t="s">
        <v>5041</v>
      </c>
      <c r="B1204" t="s">
        <v>5041</v>
      </c>
      <c r="C1204">
        <v>41681</v>
      </c>
      <c r="D1204">
        <v>950</v>
      </c>
      <c r="E1204" t="s">
        <v>3450</v>
      </c>
      <c r="F1204" t="s">
        <v>3249</v>
      </c>
      <c r="G1204" t="s">
        <v>3249</v>
      </c>
      <c r="H1204" t="s">
        <v>3250</v>
      </c>
      <c r="I1204" t="s">
        <v>3250</v>
      </c>
      <c r="J1204" t="s">
        <v>3250</v>
      </c>
      <c r="K1204" t="s">
        <v>3250</v>
      </c>
      <c r="L1204">
        <v>1200</v>
      </c>
      <c r="M1204" t="s">
        <v>2368</v>
      </c>
      <c r="N1204">
        <v>1204</v>
      </c>
      <c r="O1204" t="s">
        <v>1574</v>
      </c>
      <c r="P1204" t="s">
        <v>3108</v>
      </c>
      <c r="Q1204" t="s">
        <v>3249</v>
      </c>
      <c r="R1204" t="s">
        <v>3249</v>
      </c>
      <c r="S1204" t="s">
        <v>472</v>
      </c>
      <c r="T1204" t="s">
        <v>3251</v>
      </c>
      <c r="U1204">
        <v>140</v>
      </c>
      <c r="V1204" t="s">
        <v>1327</v>
      </c>
      <c r="W1204">
        <v>140</v>
      </c>
      <c r="X1204" t="s">
        <v>1327</v>
      </c>
      <c r="Y1204" t="s">
        <v>3250</v>
      </c>
      <c r="Z1204" t="s">
        <v>3250</v>
      </c>
      <c r="AA1204" t="s">
        <v>3108</v>
      </c>
      <c r="AB1204" t="s">
        <v>3108</v>
      </c>
      <c r="AC1204" t="s">
        <v>3250</v>
      </c>
      <c r="AD1204" t="s">
        <v>3250</v>
      </c>
      <c r="AE1204" t="s">
        <v>3250</v>
      </c>
      <c r="AF1204" t="s">
        <v>3250</v>
      </c>
      <c r="AG1204" t="s">
        <v>3250</v>
      </c>
      <c r="AH1204" t="s">
        <v>3250</v>
      </c>
      <c r="AI1204" t="s">
        <v>3250</v>
      </c>
      <c r="AJ1204" t="s">
        <v>3250</v>
      </c>
      <c r="AL1204">
        <v>146</v>
      </c>
      <c r="AM1204" t="s">
        <v>5</v>
      </c>
      <c r="AN1204">
        <v>146</v>
      </c>
      <c r="AO1204" t="s">
        <v>5</v>
      </c>
      <c r="AS1204" t="s">
        <v>3250</v>
      </c>
      <c r="AT1204" t="s">
        <v>3250</v>
      </c>
      <c r="AU1204" t="s">
        <v>3250</v>
      </c>
      <c r="AV1204" t="s">
        <v>3250</v>
      </c>
      <c r="AW1204" t="s">
        <v>3250</v>
      </c>
      <c r="AX1204" t="s">
        <v>3250</v>
      </c>
      <c r="AY1204" t="s">
        <v>3250</v>
      </c>
      <c r="AZ1204" t="s">
        <v>3250</v>
      </c>
      <c r="BA1204" t="s">
        <v>3250</v>
      </c>
      <c r="BB1204" t="s">
        <v>3250</v>
      </c>
      <c r="BC1204" t="s">
        <v>3250</v>
      </c>
      <c r="BE1204" t="s">
        <v>3250</v>
      </c>
      <c r="BF1204" t="s">
        <v>3250</v>
      </c>
      <c r="BG1204" t="s">
        <v>3250</v>
      </c>
      <c r="BH1204" t="s">
        <v>3250</v>
      </c>
      <c r="BI1204" t="s">
        <v>3250</v>
      </c>
      <c r="BK1204" t="s">
        <v>3250</v>
      </c>
      <c r="BL1204" t="s">
        <v>3250</v>
      </c>
      <c r="BM1204" t="s">
        <v>3250</v>
      </c>
      <c r="BN1204" t="s">
        <v>3250</v>
      </c>
      <c r="BP1204">
        <v>1</v>
      </c>
      <c r="BQ1204">
        <v>11</v>
      </c>
      <c r="BR1204" t="s">
        <v>1574</v>
      </c>
      <c r="BS1204" t="s">
        <v>3252</v>
      </c>
      <c r="BV1204">
        <v>0</v>
      </c>
      <c r="BW1204">
        <v>0</v>
      </c>
      <c r="BX1204">
        <v>0</v>
      </c>
      <c r="BY1204">
        <v>0</v>
      </c>
      <c r="BZ1204">
        <v>0</v>
      </c>
      <c r="CA1204">
        <v>0</v>
      </c>
      <c r="CB1204">
        <v>0</v>
      </c>
      <c r="CC1204">
        <v>0</v>
      </c>
      <c r="CD1204">
        <v>0</v>
      </c>
      <c r="CE1204" t="s">
        <v>3108</v>
      </c>
      <c r="CF1204" t="s">
        <v>3108</v>
      </c>
      <c r="CG1204" t="s">
        <v>3108</v>
      </c>
      <c r="CH1204" t="s">
        <v>3108</v>
      </c>
    </row>
    <row r="1205" spans="1:86" x14ac:dyDescent="0.2">
      <c r="A1205" t="s">
        <v>5042</v>
      </c>
      <c r="B1205" t="s">
        <v>5042</v>
      </c>
      <c r="C1205">
        <v>41682</v>
      </c>
      <c r="D1205">
        <v>951</v>
      </c>
      <c r="E1205" t="s">
        <v>3254</v>
      </c>
      <c r="F1205" t="s">
        <v>3249</v>
      </c>
      <c r="G1205" t="s">
        <v>3249</v>
      </c>
      <c r="H1205" t="s">
        <v>3250</v>
      </c>
      <c r="I1205" t="s">
        <v>3250</v>
      </c>
      <c r="J1205" t="s">
        <v>3250</v>
      </c>
      <c r="K1205" t="s">
        <v>3250</v>
      </c>
      <c r="L1205">
        <v>1200</v>
      </c>
      <c r="M1205" t="s">
        <v>2368</v>
      </c>
      <c r="N1205">
        <v>1204</v>
      </c>
      <c r="O1205" t="s">
        <v>1574</v>
      </c>
      <c r="P1205" t="s">
        <v>3108</v>
      </c>
      <c r="Q1205" t="s">
        <v>3249</v>
      </c>
      <c r="R1205" t="s">
        <v>3249</v>
      </c>
      <c r="S1205" t="s">
        <v>472</v>
      </c>
      <c r="T1205" t="s">
        <v>3251</v>
      </c>
      <c r="U1205">
        <v>140</v>
      </c>
      <c r="V1205" t="s">
        <v>1327</v>
      </c>
      <c r="W1205">
        <v>140</v>
      </c>
      <c r="X1205" t="s">
        <v>1327</v>
      </c>
      <c r="Y1205" t="s">
        <v>3250</v>
      </c>
      <c r="Z1205" t="s">
        <v>3250</v>
      </c>
      <c r="AA1205" t="s">
        <v>3108</v>
      </c>
      <c r="AB1205" t="s">
        <v>3108</v>
      </c>
      <c r="AC1205" t="s">
        <v>3250</v>
      </c>
      <c r="AD1205" t="s">
        <v>3250</v>
      </c>
      <c r="AE1205" t="s">
        <v>3250</v>
      </c>
      <c r="AF1205" t="s">
        <v>3250</v>
      </c>
      <c r="AG1205" t="s">
        <v>3250</v>
      </c>
      <c r="AH1205" t="s">
        <v>3250</v>
      </c>
      <c r="AI1205" t="s">
        <v>3250</v>
      </c>
      <c r="AJ1205" t="s">
        <v>3250</v>
      </c>
      <c r="AL1205">
        <v>146</v>
      </c>
      <c r="AM1205" t="s">
        <v>5</v>
      </c>
      <c r="AN1205">
        <v>146</v>
      </c>
      <c r="AO1205" t="s">
        <v>5</v>
      </c>
      <c r="AS1205" t="s">
        <v>3250</v>
      </c>
      <c r="AT1205" t="s">
        <v>3250</v>
      </c>
      <c r="AU1205" t="s">
        <v>3250</v>
      </c>
      <c r="AV1205" t="s">
        <v>3250</v>
      </c>
      <c r="AW1205" t="s">
        <v>3250</v>
      </c>
      <c r="AX1205" t="s">
        <v>3250</v>
      </c>
      <c r="AY1205" t="s">
        <v>3250</v>
      </c>
      <c r="AZ1205" t="s">
        <v>3250</v>
      </c>
      <c r="BA1205" t="s">
        <v>3250</v>
      </c>
      <c r="BB1205" t="s">
        <v>3250</v>
      </c>
      <c r="BC1205" t="s">
        <v>3250</v>
      </c>
      <c r="BE1205" t="s">
        <v>3250</v>
      </c>
      <c r="BF1205" t="s">
        <v>3250</v>
      </c>
      <c r="BG1205" t="s">
        <v>3250</v>
      </c>
      <c r="BH1205" t="s">
        <v>3250</v>
      </c>
      <c r="BI1205" t="s">
        <v>3250</v>
      </c>
      <c r="BK1205" t="s">
        <v>3250</v>
      </c>
      <c r="BL1205" t="s">
        <v>3250</v>
      </c>
      <c r="BM1205" t="s">
        <v>3250</v>
      </c>
      <c r="BN1205" t="s">
        <v>3250</v>
      </c>
      <c r="BP1205">
        <v>1</v>
      </c>
      <c r="BQ1205">
        <v>11</v>
      </c>
      <c r="BR1205" t="s">
        <v>1574</v>
      </c>
      <c r="BS1205" t="s">
        <v>3252</v>
      </c>
      <c r="BV1205">
        <v>0</v>
      </c>
      <c r="BW1205">
        <v>0</v>
      </c>
      <c r="BX1205">
        <v>0</v>
      </c>
      <c r="BY1205">
        <v>0</v>
      </c>
      <c r="BZ1205">
        <v>0</v>
      </c>
      <c r="CA1205">
        <v>0</v>
      </c>
      <c r="CB1205">
        <v>0</v>
      </c>
      <c r="CC1205">
        <v>0</v>
      </c>
      <c r="CD1205">
        <v>0</v>
      </c>
      <c r="CE1205" t="s">
        <v>3108</v>
      </c>
      <c r="CF1205" t="s">
        <v>3108</v>
      </c>
      <c r="CG1205" t="s">
        <v>3108</v>
      </c>
      <c r="CH1205" t="s">
        <v>3108</v>
      </c>
    </row>
    <row r="1206" spans="1:86" x14ac:dyDescent="0.2">
      <c r="A1206" t="s">
        <v>5043</v>
      </c>
      <c r="B1206" t="s">
        <v>5043</v>
      </c>
      <c r="C1206">
        <v>41683</v>
      </c>
      <c r="D1206">
        <v>952</v>
      </c>
      <c r="E1206" t="s">
        <v>3264</v>
      </c>
      <c r="F1206" t="s">
        <v>3249</v>
      </c>
      <c r="G1206" t="s">
        <v>3249</v>
      </c>
      <c r="H1206" t="s">
        <v>3250</v>
      </c>
      <c r="I1206" t="s">
        <v>3250</v>
      </c>
      <c r="J1206" t="s">
        <v>3250</v>
      </c>
      <c r="K1206" t="s">
        <v>3250</v>
      </c>
      <c r="L1206">
        <v>1200</v>
      </c>
      <c r="M1206" t="s">
        <v>2368</v>
      </c>
      <c r="N1206">
        <v>1204</v>
      </c>
      <c r="O1206" t="s">
        <v>1574</v>
      </c>
      <c r="P1206" t="s">
        <v>3108</v>
      </c>
      <c r="Q1206" t="s">
        <v>3249</v>
      </c>
      <c r="R1206" t="s">
        <v>3249</v>
      </c>
      <c r="S1206" t="s">
        <v>472</v>
      </c>
      <c r="T1206" t="s">
        <v>3251</v>
      </c>
      <c r="U1206">
        <v>140</v>
      </c>
      <c r="V1206" t="s">
        <v>1327</v>
      </c>
      <c r="W1206">
        <v>140</v>
      </c>
      <c r="X1206" t="s">
        <v>1327</v>
      </c>
      <c r="Y1206" t="s">
        <v>3250</v>
      </c>
      <c r="Z1206" t="s">
        <v>3250</v>
      </c>
      <c r="AA1206" t="s">
        <v>3108</v>
      </c>
      <c r="AB1206" t="s">
        <v>3108</v>
      </c>
      <c r="AC1206" t="s">
        <v>3250</v>
      </c>
      <c r="AD1206" t="s">
        <v>3250</v>
      </c>
      <c r="AE1206" t="s">
        <v>3250</v>
      </c>
      <c r="AF1206" t="s">
        <v>3250</v>
      </c>
      <c r="AG1206" t="s">
        <v>3250</v>
      </c>
      <c r="AH1206" t="s">
        <v>3250</v>
      </c>
      <c r="AI1206" t="s">
        <v>3250</v>
      </c>
      <c r="AJ1206" t="s">
        <v>3250</v>
      </c>
      <c r="AL1206">
        <v>146</v>
      </c>
      <c r="AM1206" t="s">
        <v>5</v>
      </c>
      <c r="AN1206">
        <v>146</v>
      </c>
      <c r="AO1206" t="s">
        <v>5</v>
      </c>
      <c r="AS1206" t="s">
        <v>3250</v>
      </c>
      <c r="AT1206" t="s">
        <v>3250</v>
      </c>
      <c r="AU1206" t="s">
        <v>3250</v>
      </c>
      <c r="AV1206" t="s">
        <v>3250</v>
      </c>
      <c r="AW1206" t="s">
        <v>3250</v>
      </c>
      <c r="AX1206" t="s">
        <v>3250</v>
      </c>
      <c r="AY1206" t="s">
        <v>3250</v>
      </c>
      <c r="AZ1206" t="s">
        <v>3250</v>
      </c>
      <c r="BA1206" t="s">
        <v>3250</v>
      </c>
      <c r="BB1206" t="s">
        <v>3250</v>
      </c>
      <c r="BC1206" t="s">
        <v>3250</v>
      </c>
      <c r="BE1206" t="s">
        <v>3250</v>
      </c>
      <c r="BF1206" t="s">
        <v>3250</v>
      </c>
      <c r="BG1206" t="s">
        <v>3250</v>
      </c>
      <c r="BH1206" t="s">
        <v>3250</v>
      </c>
      <c r="BI1206" t="s">
        <v>3250</v>
      </c>
      <c r="BK1206" t="s">
        <v>3250</v>
      </c>
      <c r="BL1206" t="s">
        <v>3250</v>
      </c>
      <c r="BM1206" t="s">
        <v>3250</v>
      </c>
      <c r="BN1206" t="s">
        <v>3250</v>
      </c>
      <c r="BP1206">
        <v>1</v>
      </c>
      <c r="BQ1206">
        <v>11</v>
      </c>
      <c r="BR1206" t="s">
        <v>1574</v>
      </c>
      <c r="BS1206" t="s">
        <v>3252</v>
      </c>
      <c r="BV1206">
        <v>0</v>
      </c>
      <c r="BW1206">
        <v>0</v>
      </c>
      <c r="BX1206">
        <v>0</v>
      </c>
      <c r="BY1206">
        <v>0</v>
      </c>
      <c r="BZ1206">
        <v>0</v>
      </c>
      <c r="CA1206">
        <v>0</v>
      </c>
      <c r="CB1206">
        <v>0</v>
      </c>
      <c r="CC1206">
        <v>0</v>
      </c>
      <c r="CD1206">
        <v>0</v>
      </c>
      <c r="CE1206" t="s">
        <v>3108</v>
      </c>
      <c r="CF1206" t="s">
        <v>3108</v>
      </c>
      <c r="CG1206" t="s">
        <v>3108</v>
      </c>
      <c r="CH1206" t="s">
        <v>3108</v>
      </c>
    </row>
    <row r="1207" spans="1:86" x14ac:dyDescent="0.2">
      <c r="A1207" t="s">
        <v>5044</v>
      </c>
      <c r="B1207" t="s">
        <v>5044</v>
      </c>
      <c r="C1207">
        <v>41684</v>
      </c>
      <c r="D1207">
        <v>953</v>
      </c>
      <c r="E1207" t="s">
        <v>3452</v>
      </c>
      <c r="F1207" t="s">
        <v>3249</v>
      </c>
      <c r="G1207" t="s">
        <v>3249</v>
      </c>
      <c r="H1207" t="s">
        <v>3250</v>
      </c>
      <c r="I1207" t="s">
        <v>3250</v>
      </c>
      <c r="J1207" t="s">
        <v>3250</v>
      </c>
      <c r="K1207" t="s">
        <v>3250</v>
      </c>
      <c r="L1207">
        <v>1200</v>
      </c>
      <c r="M1207" t="s">
        <v>2368</v>
      </c>
      <c r="N1207">
        <v>1204</v>
      </c>
      <c r="O1207" t="s">
        <v>1574</v>
      </c>
      <c r="P1207" t="s">
        <v>3108</v>
      </c>
      <c r="Q1207" t="s">
        <v>3249</v>
      </c>
      <c r="R1207" t="s">
        <v>3249</v>
      </c>
      <c r="S1207" t="s">
        <v>472</v>
      </c>
      <c r="T1207" t="s">
        <v>3251</v>
      </c>
      <c r="U1207">
        <v>140</v>
      </c>
      <c r="V1207" t="s">
        <v>1327</v>
      </c>
      <c r="W1207">
        <v>140</v>
      </c>
      <c r="X1207" t="s">
        <v>1327</v>
      </c>
      <c r="Y1207" t="s">
        <v>3250</v>
      </c>
      <c r="Z1207" t="s">
        <v>3250</v>
      </c>
      <c r="AA1207" t="s">
        <v>3108</v>
      </c>
      <c r="AB1207" t="s">
        <v>3108</v>
      </c>
      <c r="AC1207" t="s">
        <v>3250</v>
      </c>
      <c r="AD1207" t="s">
        <v>3250</v>
      </c>
      <c r="AE1207" t="s">
        <v>3250</v>
      </c>
      <c r="AF1207" t="s">
        <v>3250</v>
      </c>
      <c r="AG1207" t="s">
        <v>3250</v>
      </c>
      <c r="AH1207" t="s">
        <v>3250</v>
      </c>
      <c r="AI1207" t="s">
        <v>3250</v>
      </c>
      <c r="AJ1207" t="s">
        <v>3250</v>
      </c>
      <c r="AL1207">
        <v>146</v>
      </c>
      <c r="AM1207" t="s">
        <v>5</v>
      </c>
      <c r="AN1207">
        <v>146</v>
      </c>
      <c r="AO1207" t="s">
        <v>5</v>
      </c>
      <c r="AS1207" t="s">
        <v>3250</v>
      </c>
      <c r="AT1207" t="s">
        <v>3250</v>
      </c>
      <c r="AU1207" t="s">
        <v>3250</v>
      </c>
      <c r="AV1207" t="s">
        <v>3250</v>
      </c>
      <c r="AW1207" t="s">
        <v>3250</v>
      </c>
      <c r="AX1207" t="s">
        <v>3250</v>
      </c>
      <c r="AY1207" t="s">
        <v>3250</v>
      </c>
      <c r="AZ1207" t="s">
        <v>3250</v>
      </c>
      <c r="BA1207" t="s">
        <v>3250</v>
      </c>
      <c r="BB1207" t="s">
        <v>3250</v>
      </c>
      <c r="BC1207" t="s">
        <v>3250</v>
      </c>
      <c r="BE1207" t="s">
        <v>3250</v>
      </c>
      <c r="BF1207" t="s">
        <v>3250</v>
      </c>
      <c r="BG1207" t="s">
        <v>3250</v>
      </c>
      <c r="BH1207" t="s">
        <v>3250</v>
      </c>
      <c r="BI1207" t="s">
        <v>3250</v>
      </c>
      <c r="BK1207" t="s">
        <v>3250</v>
      </c>
      <c r="BL1207" t="s">
        <v>3250</v>
      </c>
      <c r="BM1207" t="s">
        <v>3250</v>
      </c>
      <c r="BN1207" t="s">
        <v>3250</v>
      </c>
      <c r="BP1207">
        <v>1</v>
      </c>
      <c r="BQ1207">
        <v>11</v>
      </c>
      <c r="BR1207" t="s">
        <v>1574</v>
      </c>
      <c r="BS1207" t="s">
        <v>3252</v>
      </c>
      <c r="BV1207">
        <v>0</v>
      </c>
      <c r="BW1207">
        <v>0</v>
      </c>
      <c r="BX1207">
        <v>0</v>
      </c>
      <c r="BY1207">
        <v>0</v>
      </c>
      <c r="BZ1207">
        <v>0</v>
      </c>
      <c r="CA1207">
        <v>0</v>
      </c>
      <c r="CB1207">
        <v>0</v>
      </c>
      <c r="CC1207">
        <v>0</v>
      </c>
      <c r="CD1207">
        <v>0</v>
      </c>
      <c r="CE1207" t="s">
        <v>3108</v>
      </c>
      <c r="CF1207" t="s">
        <v>3108</v>
      </c>
      <c r="CG1207" t="s">
        <v>3108</v>
      </c>
      <c r="CH1207" t="s">
        <v>3108</v>
      </c>
    </row>
    <row r="1208" spans="1:86" x14ac:dyDescent="0.2">
      <c r="A1208" t="s">
        <v>5045</v>
      </c>
      <c r="B1208" t="s">
        <v>5045</v>
      </c>
      <c r="C1208">
        <v>41685</v>
      </c>
      <c r="D1208">
        <v>954</v>
      </c>
      <c r="E1208" t="s">
        <v>3266</v>
      </c>
      <c r="F1208" t="s">
        <v>3249</v>
      </c>
      <c r="G1208" t="s">
        <v>3249</v>
      </c>
      <c r="H1208" t="s">
        <v>3250</v>
      </c>
      <c r="I1208" t="s">
        <v>3250</v>
      </c>
      <c r="J1208" t="s">
        <v>3250</v>
      </c>
      <c r="K1208" t="s">
        <v>3250</v>
      </c>
      <c r="L1208">
        <v>1200</v>
      </c>
      <c r="M1208" t="s">
        <v>2368</v>
      </c>
      <c r="N1208">
        <v>1204</v>
      </c>
      <c r="O1208" t="s">
        <v>1574</v>
      </c>
      <c r="P1208" t="s">
        <v>3108</v>
      </c>
      <c r="Q1208" t="s">
        <v>3249</v>
      </c>
      <c r="R1208" t="s">
        <v>3249</v>
      </c>
      <c r="S1208" t="s">
        <v>472</v>
      </c>
      <c r="T1208" t="s">
        <v>3251</v>
      </c>
      <c r="U1208">
        <v>140</v>
      </c>
      <c r="V1208" t="s">
        <v>1327</v>
      </c>
      <c r="W1208">
        <v>140</v>
      </c>
      <c r="X1208" t="s">
        <v>1327</v>
      </c>
      <c r="Y1208" t="s">
        <v>3250</v>
      </c>
      <c r="Z1208" t="s">
        <v>3250</v>
      </c>
      <c r="AA1208" t="s">
        <v>3108</v>
      </c>
      <c r="AB1208" t="s">
        <v>3108</v>
      </c>
      <c r="AC1208" t="s">
        <v>3250</v>
      </c>
      <c r="AD1208" t="s">
        <v>3250</v>
      </c>
      <c r="AE1208" t="s">
        <v>3250</v>
      </c>
      <c r="AF1208" t="s">
        <v>3250</v>
      </c>
      <c r="AG1208" t="s">
        <v>3250</v>
      </c>
      <c r="AH1208" t="s">
        <v>3250</v>
      </c>
      <c r="AI1208" t="s">
        <v>3250</v>
      </c>
      <c r="AJ1208" t="s">
        <v>3250</v>
      </c>
      <c r="AL1208">
        <v>146</v>
      </c>
      <c r="AM1208" t="s">
        <v>5</v>
      </c>
      <c r="AN1208">
        <v>146</v>
      </c>
      <c r="AO1208" t="s">
        <v>5</v>
      </c>
      <c r="AS1208" t="s">
        <v>3250</v>
      </c>
      <c r="AT1208" t="s">
        <v>3250</v>
      </c>
      <c r="AU1208" t="s">
        <v>3250</v>
      </c>
      <c r="AV1208" t="s">
        <v>3250</v>
      </c>
      <c r="AW1208" t="s">
        <v>3250</v>
      </c>
      <c r="AX1208" t="s">
        <v>3250</v>
      </c>
      <c r="AY1208" t="s">
        <v>3250</v>
      </c>
      <c r="AZ1208" t="s">
        <v>3250</v>
      </c>
      <c r="BA1208" t="s">
        <v>3250</v>
      </c>
      <c r="BB1208" t="s">
        <v>3250</v>
      </c>
      <c r="BC1208" t="s">
        <v>3250</v>
      </c>
      <c r="BE1208" t="s">
        <v>3250</v>
      </c>
      <c r="BF1208" t="s">
        <v>3250</v>
      </c>
      <c r="BG1208" t="s">
        <v>3250</v>
      </c>
      <c r="BH1208" t="s">
        <v>3250</v>
      </c>
      <c r="BI1208" t="s">
        <v>3250</v>
      </c>
      <c r="BK1208" t="s">
        <v>3250</v>
      </c>
      <c r="BL1208" t="s">
        <v>3250</v>
      </c>
      <c r="BM1208" t="s">
        <v>3250</v>
      </c>
      <c r="BN1208" t="s">
        <v>3250</v>
      </c>
      <c r="BP1208">
        <v>1</v>
      </c>
      <c r="BQ1208">
        <v>11</v>
      </c>
      <c r="BR1208" t="s">
        <v>1574</v>
      </c>
      <c r="BS1208" t="s">
        <v>3252</v>
      </c>
      <c r="BV1208">
        <v>0</v>
      </c>
      <c r="BW1208">
        <v>0</v>
      </c>
      <c r="BX1208">
        <v>0</v>
      </c>
      <c r="BY1208">
        <v>0</v>
      </c>
      <c r="BZ1208">
        <v>0</v>
      </c>
      <c r="CA1208">
        <v>0</v>
      </c>
      <c r="CB1208">
        <v>0</v>
      </c>
      <c r="CC1208">
        <v>0</v>
      </c>
      <c r="CD1208">
        <v>0</v>
      </c>
      <c r="CE1208" t="s">
        <v>3108</v>
      </c>
      <c r="CF1208" t="s">
        <v>3108</v>
      </c>
      <c r="CG1208" t="s">
        <v>3108</v>
      </c>
      <c r="CH1208" t="s">
        <v>3108</v>
      </c>
    </row>
    <row r="1209" spans="1:86" x14ac:dyDescent="0.2">
      <c r="A1209" t="s">
        <v>5046</v>
      </c>
      <c r="B1209" t="s">
        <v>5046</v>
      </c>
      <c r="C1209">
        <v>41686</v>
      </c>
      <c r="D1209">
        <v>955</v>
      </c>
      <c r="E1209" t="s">
        <v>3434</v>
      </c>
      <c r="F1209" t="s">
        <v>3249</v>
      </c>
      <c r="G1209" t="s">
        <v>3249</v>
      </c>
      <c r="H1209" t="s">
        <v>3250</v>
      </c>
      <c r="I1209" t="s">
        <v>3250</v>
      </c>
      <c r="J1209" t="s">
        <v>3250</v>
      </c>
      <c r="K1209" t="s">
        <v>3250</v>
      </c>
      <c r="L1209">
        <v>1200</v>
      </c>
      <c r="M1209" t="s">
        <v>2368</v>
      </c>
      <c r="N1209">
        <v>1204</v>
      </c>
      <c r="O1209" t="s">
        <v>1574</v>
      </c>
      <c r="P1209" t="s">
        <v>3108</v>
      </c>
      <c r="Q1209" t="s">
        <v>3249</v>
      </c>
      <c r="R1209" t="s">
        <v>3249</v>
      </c>
      <c r="S1209" t="s">
        <v>472</v>
      </c>
      <c r="T1209" t="s">
        <v>3251</v>
      </c>
      <c r="U1209">
        <v>140</v>
      </c>
      <c r="V1209" t="s">
        <v>1327</v>
      </c>
      <c r="W1209">
        <v>140</v>
      </c>
      <c r="X1209" t="s">
        <v>1327</v>
      </c>
      <c r="Y1209" t="s">
        <v>3250</v>
      </c>
      <c r="Z1209" t="s">
        <v>3250</v>
      </c>
      <c r="AA1209" t="s">
        <v>3108</v>
      </c>
      <c r="AB1209" t="s">
        <v>3108</v>
      </c>
      <c r="AC1209" t="s">
        <v>3250</v>
      </c>
      <c r="AD1209" t="s">
        <v>3250</v>
      </c>
      <c r="AE1209" t="s">
        <v>3250</v>
      </c>
      <c r="AF1209" t="s">
        <v>3250</v>
      </c>
      <c r="AG1209" t="s">
        <v>3250</v>
      </c>
      <c r="AH1209" t="s">
        <v>3250</v>
      </c>
      <c r="AI1209" t="s">
        <v>3250</v>
      </c>
      <c r="AJ1209" t="s">
        <v>3250</v>
      </c>
      <c r="AL1209">
        <v>146</v>
      </c>
      <c r="AM1209" t="s">
        <v>5</v>
      </c>
      <c r="AN1209">
        <v>146</v>
      </c>
      <c r="AO1209" t="s">
        <v>5</v>
      </c>
      <c r="AS1209" t="s">
        <v>3250</v>
      </c>
      <c r="AT1209" t="s">
        <v>3250</v>
      </c>
      <c r="AU1209" t="s">
        <v>3250</v>
      </c>
      <c r="AV1209" t="s">
        <v>3250</v>
      </c>
      <c r="AW1209" t="s">
        <v>3250</v>
      </c>
      <c r="AX1209" t="s">
        <v>3250</v>
      </c>
      <c r="AY1209" t="s">
        <v>3250</v>
      </c>
      <c r="AZ1209" t="s">
        <v>3250</v>
      </c>
      <c r="BA1209" t="s">
        <v>3250</v>
      </c>
      <c r="BB1209" t="s">
        <v>3250</v>
      </c>
      <c r="BC1209" t="s">
        <v>3250</v>
      </c>
      <c r="BE1209" t="s">
        <v>3250</v>
      </c>
      <c r="BF1209" t="s">
        <v>3250</v>
      </c>
      <c r="BG1209" t="s">
        <v>3250</v>
      </c>
      <c r="BH1209" t="s">
        <v>3250</v>
      </c>
      <c r="BI1209" t="s">
        <v>3250</v>
      </c>
      <c r="BK1209" t="s">
        <v>3250</v>
      </c>
      <c r="BL1209" t="s">
        <v>3250</v>
      </c>
      <c r="BM1209" t="s">
        <v>3250</v>
      </c>
      <c r="BN1209" t="s">
        <v>3250</v>
      </c>
      <c r="BP1209">
        <v>1</v>
      </c>
      <c r="BQ1209">
        <v>11</v>
      </c>
      <c r="BR1209" t="s">
        <v>1574</v>
      </c>
      <c r="BS1209" t="s">
        <v>3252</v>
      </c>
      <c r="BV1209">
        <v>0</v>
      </c>
      <c r="BW1209">
        <v>0</v>
      </c>
      <c r="BX1209">
        <v>0</v>
      </c>
      <c r="BY1209">
        <v>0</v>
      </c>
      <c r="BZ1209">
        <v>0</v>
      </c>
      <c r="CA1209">
        <v>0</v>
      </c>
      <c r="CB1209">
        <v>0</v>
      </c>
      <c r="CC1209">
        <v>0</v>
      </c>
      <c r="CD1209">
        <v>0</v>
      </c>
      <c r="CE1209" t="s">
        <v>3108</v>
      </c>
      <c r="CF1209" t="s">
        <v>3108</v>
      </c>
      <c r="CG1209" t="s">
        <v>3108</v>
      </c>
      <c r="CH1209" t="s">
        <v>3108</v>
      </c>
    </row>
    <row r="1210" spans="1:86" x14ac:dyDescent="0.2">
      <c r="A1210" t="s">
        <v>5047</v>
      </c>
      <c r="B1210" t="s">
        <v>5047</v>
      </c>
      <c r="C1210">
        <v>41687</v>
      </c>
      <c r="D1210">
        <v>956</v>
      </c>
      <c r="E1210" t="s">
        <v>3436</v>
      </c>
      <c r="F1210" t="s">
        <v>3249</v>
      </c>
      <c r="G1210" t="s">
        <v>3249</v>
      </c>
      <c r="H1210" t="s">
        <v>3250</v>
      </c>
      <c r="I1210" t="s">
        <v>3250</v>
      </c>
      <c r="J1210" t="s">
        <v>3250</v>
      </c>
      <c r="K1210" t="s">
        <v>3250</v>
      </c>
      <c r="L1210">
        <v>1200</v>
      </c>
      <c r="M1210" t="s">
        <v>2368</v>
      </c>
      <c r="N1210">
        <v>1204</v>
      </c>
      <c r="O1210" t="s">
        <v>1574</v>
      </c>
      <c r="P1210" t="s">
        <v>3108</v>
      </c>
      <c r="Q1210" t="s">
        <v>3249</v>
      </c>
      <c r="R1210" t="s">
        <v>3249</v>
      </c>
      <c r="S1210" t="s">
        <v>472</v>
      </c>
      <c r="T1210" t="s">
        <v>3251</v>
      </c>
      <c r="U1210">
        <v>140</v>
      </c>
      <c r="V1210" t="s">
        <v>1327</v>
      </c>
      <c r="W1210">
        <v>140</v>
      </c>
      <c r="X1210" t="s">
        <v>1327</v>
      </c>
      <c r="Y1210" t="s">
        <v>3250</v>
      </c>
      <c r="Z1210" t="s">
        <v>3250</v>
      </c>
      <c r="AA1210" t="s">
        <v>3108</v>
      </c>
      <c r="AB1210" t="s">
        <v>3108</v>
      </c>
      <c r="AC1210" t="s">
        <v>3250</v>
      </c>
      <c r="AD1210" t="s">
        <v>3250</v>
      </c>
      <c r="AE1210" t="s">
        <v>3250</v>
      </c>
      <c r="AF1210" t="s">
        <v>3250</v>
      </c>
      <c r="AG1210" t="s">
        <v>3250</v>
      </c>
      <c r="AH1210" t="s">
        <v>3250</v>
      </c>
      <c r="AI1210" t="s">
        <v>3250</v>
      </c>
      <c r="AJ1210" t="s">
        <v>3250</v>
      </c>
      <c r="AL1210">
        <v>146</v>
      </c>
      <c r="AM1210" t="s">
        <v>5</v>
      </c>
      <c r="AN1210">
        <v>146</v>
      </c>
      <c r="AO1210" t="s">
        <v>5</v>
      </c>
      <c r="AS1210" t="s">
        <v>3250</v>
      </c>
      <c r="AT1210" t="s">
        <v>3250</v>
      </c>
      <c r="AU1210" t="s">
        <v>3250</v>
      </c>
      <c r="AV1210" t="s">
        <v>3250</v>
      </c>
      <c r="AW1210" t="s">
        <v>3250</v>
      </c>
      <c r="AX1210" t="s">
        <v>3250</v>
      </c>
      <c r="AY1210" t="s">
        <v>3250</v>
      </c>
      <c r="AZ1210" t="s">
        <v>3250</v>
      </c>
      <c r="BA1210" t="s">
        <v>3250</v>
      </c>
      <c r="BB1210" t="s">
        <v>3250</v>
      </c>
      <c r="BC1210" t="s">
        <v>3250</v>
      </c>
      <c r="BE1210" t="s">
        <v>3250</v>
      </c>
      <c r="BF1210" t="s">
        <v>3250</v>
      </c>
      <c r="BG1210" t="s">
        <v>3250</v>
      </c>
      <c r="BH1210" t="s">
        <v>3250</v>
      </c>
      <c r="BI1210" t="s">
        <v>3250</v>
      </c>
      <c r="BK1210" t="s">
        <v>3250</v>
      </c>
      <c r="BL1210" t="s">
        <v>3250</v>
      </c>
      <c r="BM1210" t="s">
        <v>3250</v>
      </c>
      <c r="BN1210" t="s">
        <v>3250</v>
      </c>
      <c r="BP1210">
        <v>1</v>
      </c>
      <c r="BQ1210">
        <v>11</v>
      </c>
      <c r="BR1210" t="s">
        <v>1574</v>
      </c>
      <c r="BS1210" t="s">
        <v>3252</v>
      </c>
      <c r="BV1210">
        <v>0</v>
      </c>
      <c r="BW1210">
        <v>0</v>
      </c>
      <c r="BX1210">
        <v>0</v>
      </c>
      <c r="BY1210">
        <v>0</v>
      </c>
      <c r="BZ1210">
        <v>0</v>
      </c>
      <c r="CA1210">
        <v>0</v>
      </c>
      <c r="CB1210">
        <v>0</v>
      </c>
      <c r="CC1210">
        <v>0</v>
      </c>
      <c r="CD1210">
        <v>0</v>
      </c>
      <c r="CE1210" t="s">
        <v>3108</v>
      </c>
      <c r="CF1210" t="s">
        <v>3108</v>
      </c>
      <c r="CG1210" t="s">
        <v>3108</v>
      </c>
      <c r="CH1210" t="s">
        <v>3108</v>
      </c>
    </row>
    <row r="1211" spans="1:86" x14ac:dyDescent="0.2">
      <c r="A1211" t="s">
        <v>5048</v>
      </c>
      <c r="B1211" t="s">
        <v>5048</v>
      </c>
      <c r="C1211">
        <v>41688</v>
      </c>
      <c r="D1211">
        <v>957</v>
      </c>
      <c r="E1211" t="s">
        <v>3292</v>
      </c>
      <c r="F1211" t="s">
        <v>3249</v>
      </c>
      <c r="G1211" t="s">
        <v>3249</v>
      </c>
      <c r="H1211" t="s">
        <v>3250</v>
      </c>
      <c r="I1211" t="s">
        <v>3250</v>
      </c>
      <c r="J1211" t="s">
        <v>3250</v>
      </c>
      <c r="K1211" t="s">
        <v>3250</v>
      </c>
      <c r="L1211">
        <v>1200</v>
      </c>
      <c r="M1211" t="s">
        <v>2368</v>
      </c>
      <c r="N1211">
        <v>1204</v>
      </c>
      <c r="O1211" t="s">
        <v>1574</v>
      </c>
      <c r="P1211" t="s">
        <v>3108</v>
      </c>
      <c r="Q1211" t="s">
        <v>3249</v>
      </c>
      <c r="R1211" t="s">
        <v>3249</v>
      </c>
      <c r="S1211" t="s">
        <v>472</v>
      </c>
      <c r="T1211" t="s">
        <v>3251</v>
      </c>
      <c r="U1211">
        <v>140</v>
      </c>
      <c r="V1211" t="s">
        <v>1327</v>
      </c>
      <c r="W1211">
        <v>140</v>
      </c>
      <c r="X1211" t="s">
        <v>1327</v>
      </c>
      <c r="Y1211" t="s">
        <v>3250</v>
      </c>
      <c r="Z1211" t="s">
        <v>3250</v>
      </c>
      <c r="AA1211" t="s">
        <v>3108</v>
      </c>
      <c r="AB1211" t="s">
        <v>3108</v>
      </c>
      <c r="AC1211" t="s">
        <v>3250</v>
      </c>
      <c r="AD1211" t="s">
        <v>3250</v>
      </c>
      <c r="AE1211" t="s">
        <v>3250</v>
      </c>
      <c r="AF1211" t="s">
        <v>3250</v>
      </c>
      <c r="AG1211" t="s">
        <v>3250</v>
      </c>
      <c r="AH1211" t="s">
        <v>3250</v>
      </c>
      <c r="AI1211" t="s">
        <v>3250</v>
      </c>
      <c r="AJ1211" t="s">
        <v>3250</v>
      </c>
      <c r="AL1211">
        <v>141</v>
      </c>
      <c r="AM1211" t="s">
        <v>1327</v>
      </c>
      <c r="AN1211">
        <v>141</v>
      </c>
      <c r="AO1211" t="s">
        <v>1327</v>
      </c>
      <c r="AS1211" t="s">
        <v>3250</v>
      </c>
      <c r="AT1211" t="s">
        <v>3250</v>
      </c>
      <c r="AU1211" t="s">
        <v>3250</v>
      </c>
      <c r="AV1211" t="s">
        <v>3250</v>
      </c>
      <c r="AW1211" t="s">
        <v>3250</v>
      </c>
      <c r="AX1211" t="s">
        <v>3250</v>
      </c>
      <c r="AY1211" t="s">
        <v>3250</v>
      </c>
      <c r="AZ1211" t="s">
        <v>3250</v>
      </c>
      <c r="BA1211" t="s">
        <v>3250</v>
      </c>
      <c r="BB1211" t="s">
        <v>3250</v>
      </c>
      <c r="BC1211" t="s">
        <v>3250</v>
      </c>
      <c r="BE1211" t="s">
        <v>3250</v>
      </c>
      <c r="BF1211" t="s">
        <v>3250</v>
      </c>
      <c r="BG1211" t="s">
        <v>3250</v>
      </c>
      <c r="BH1211" t="s">
        <v>3250</v>
      </c>
      <c r="BI1211" t="s">
        <v>3250</v>
      </c>
      <c r="BK1211" t="s">
        <v>3250</v>
      </c>
      <c r="BL1211" t="s">
        <v>3250</v>
      </c>
      <c r="BM1211" t="s">
        <v>3250</v>
      </c>
      <c r="BN1211" t="s">
        <v>3250</v>
      </c>
      <c r="BP1211">
        <v>1</v>
      </c>
      <c r="BQ1211">
        <v>11</v>
      </c>
      <c r="BR1211" t="s">
        <v>1574</v>
      </c>
      <c r="BS1211" t="s">
        <v>3252</v>
      </c>
      <c r="BV1211">
        <v>0</v>
      </c>
      <c r="BW1211">
        <v>0</v>
      </c>
      <c r="BX1211">
        <v>0</v>
      </c>
      <c r="BY1211">
        <v>0</v>
      </c>
      <c r="BZ1211">
        <v>0</v>
      </c>
      <c r="CA1211">
        <v>0</v>
      </c>
      <c r="CB1211">
        <v>0</v>
      </c>
      <c r="CC1211">
        <v>0</v>
      </c>
      <c r="CD1211">
        <v>0</v>
      </c>
      <c r="CE1211" t="s">
        <v>3108</v>
      </c>
      <c r="CF1211" t="s">
        <v>3108</v>
      </c>
      <c r="CG1211" t="s">
        <v>3108</v>
      </c>
      <c r="CH1211" t="s">
        <v>3108</v>
      </c>
    </row>
    <row r="1212" spans="1:86" x14ac:dyDescent="0.2">
      <c r="A1212" t="s">
        <v>5049</v>
      </c>
      <c r="B1212" t="s">
        <v>5049</v>
      </c>
      <c r="C1212">
        <v>41689</v>
      </c>
      <c r="D1212">
        <v>958</v>
      </c>
      <c r="E1212" t="s">
        <v>3418</v>
      </c>
      <c r="F1212" t="s">
        <v>3249</v>
      </c>
      <c r="G1212" t="s">
        <v>3249</v>
      </c>
      <c r="H1212" t="s">
        <v>3250</v>
      </c>
      <c r="I1212" t="s">
        <v>3250</v>
      </c>
      <c r="J1212" t="s">
        <v>3250</v>
      </c>
      <c r="K1212" t="s">
        <v>3250</v>
      </c>
      <c r="L1212">
        <v>1200</v>
      </c>
      <c r="M1212" t="s">
        <v>2368</v>
      </c>
      <c r="N1212">
        <v>1204</v>
      </c>
      <c r="O1212" t="s">
        <v>1574</v>
      </c>
      <c r="P1212" t="s">
        <v>3108</v>
      </c>
      <c r="Q1212" t="s">
        <v>3249</v>
      </c>
      <c r="R1212" t="s">
        <v>3249</v>
      </c>
      <c r="S1212" t="s">
        <v>472</v>
      </c>
      <c r="T1212" t="s">
        <v>3251</v>
      </c>
      <c r="U1212">
        <v>140</v>
      </c>
      <c r="V1212" t="s">
        <v>1327</v>
      </c>
      <c r="W1212">
        <v>140</v>
      </c>
      <c r="X1212" t="s">
        <v>1327</v>
      </c>
      <c r="Y1212" t="s">
        <v>3250</v>
      </c>
      <c r="Z1212" t="s">
        <v>3250</v>
      </c>
      <c r="AA1212" t="s">
        <v>3108</v>
      </c>
      <c r="AB1212" t="s">
        <v>3108</v>
      </c>
      <c r="AC1212" t="s">
        <v>3250</v>
      </c>
      <c r="AD1212" t="s">
        <v>3250</v>
      </c>
      <c r="AE1212" t="s">
        <v>3250</v>
      </c>
      <c r="AF1212" t="s">
        <v>3250</v>
      </c>
      <c r="AG1212" t="s">
        <v>3250</v>
      </c>
      <c r="AH1212" t="s">
        <v>3250</v>
      </c>
      <c r="AI1212" t="s">
        <v>3250</v>
      </c>
      <c r="AJ1212" t="s">
        <v>3250</v>
      </c>
      <c r="AL1212">
        <v>146</v>
      </c>
      <c r="AM1212" t="s">
        <v>5</v>
      </c>
      <c r="AN1212">
        <v>146</v>
      </c>
      <c r="AO1212" t="s">
        <v>5</v>
      </c>
      <c r="AS1212" t="s">
        <v>3250</v>
      </c>
      <c r="AT1212" t="s">
        <v>3250</v>
      </c>
      <c r="AU1212" t="s">
        <v>3250</v>
      </c>
      <c r="AV1212" t="s">
        <v>3250</v>
      </c>
      <c r="AW1212" t="s">
        <v>3250</v>
      </c>
      <c r="AX1212" t="s">
        <v>3250</v>
      </c>
      <c r="AY1212" t="s">
        <v>3250</v>
      </c>
      <c r="AZ1212" t="s">
        <v>3250</v>
      </c>
      <c r="BA1212" t="s">
        <v>3250</v>
      </c>
      <c r="BB1212" t="s">
        <v>3250</v>
      </c>
      <c r="BC1212" t="s">
        <v>3250</v>
      </c>
      <c r="BE1212" t="s">
        <v>3250</v>
      </c>
      <c r="BF1212" t="s">
        <v>3250</v>
      </c>
      <c r="BG1212" t="s">
        <v>3250</v>
      </c>
      <c r="BH1212" t="s">
        <v>3250</v>
      </c>
      <c r="BI1212" t="s">
        <v>3250</v>
      </c>
      <c r="BK1212" t="s">
        <v>3250</v>
      </c>
      <c r="BL1212" t="s">
        <v>3250</v>
      </c>
      <c r="BM1212" t="s">
        <v>3250</v>
      </c>
      <c r="BN1212" t="s">
        <v>3250</v>
      </c>
      <c r="BP1212">
        <v>1</v>
      </c>
      <c r="BQ1212">
        <v>11</v>
      </c>
      <c r="BR1212" t="s">
        <v>1574</v>
      </c>
      <c r="BS1212" t="s">
        <v>3252</v>
      </c>
      <c r="BV1212">
        <v>0</v>
      </c>
      <c r="BW1212">
        <v>0</v>
      </c>
      <c r="BX1212">
        <v>0</v>
      </c>
      <c r="BY1212">
        <v>0</v>
      </c>
      <c r="BZ1212">
        <v>0</v>
      </c>
      <c r="CA1212">
        <v>0</v>
      </c>
      <c r="CB1212">
        <v>0</v>
      </c>
      <c r="CC1212">
        <v>0</v>
      </c>
      <c r="CD1212">
        <v>0</v>
      </c>
      <c r="CE1212" t="s">
        <v>3108</v>
      </c>
      <c r="CF1212" t="s">
        <v>3108</v>
      </c>
      <c r="CG1212" t="s">
        <v>3108</v>
      </c>
      <c r="CH1212" t="s">
        <v>3108</v>
      </c>
    </row>
    <row r="1213" spans="1:86" x14ac:dyDescent="0.2">
      <c r="A1213" t="s">
        <v>5050</v>
      </c>
      <c r="B1213" t="s">
        <v>5050</v>
      </c>
      <c r="C1213">
        <v>41690</v>
      </c>
      <c r="D1213">
        <v>959</v>
      </c>
      <c r="E1213" t="s">
        <v>3294</v>
      </c>
      <c r="F1213" t="s">
        <v>3249</v>
      </c>
      <c r="G1213" t="s">
        <v>3249</v>
      </c>
      <c r="H1213" t="s">
        <v>3250</v>
      </c>
      <c r="I1213" t="s">
        <v>3250</v>
      </c>
      <c r="J1213" t="s">
        <v>3250</v>
      </c>
      <c r="K1213" t="s">
        <v>3250</v>
      </c>
      <c r="L1213">
        <v>1200</v>
      </c>
      <c r="M1213" t="s">
        <v>2368</v>
      </c>
      <c r="N1213">
        <v>1204</v>
      </c>
      <c r="O1213" t="s">
        <v>1574</v>
      </c>
      <c r="P1213" t="s">
        <v>3108</v>
      </c>
      <c r="Q1213" t="s">
        <v>3249</v>
      </c>
      <c r="R1213" t="s">
        <v>3249</v>
      </c>
      <c r="S1213" t="s">
        <v>472</v>
      </c>
      <c r="T1213" t="s">
        <v>3251</v>
      </c>
      <c r="U1213">
        <v>140</v>
      </c>
      <c r="V1213" t="s">
        <v>1327</v>
      </c>
      <c r="W1213">
        <v>140</v>
      </c>
      <c r="X1213" t="s">
        <v>1327</v>
      </c>
      <c r="Y1213" t="s">
        <v>3250</v>
      </c>
      <c r="Z1213" t="s">
        <v>3250</v>
      </c>
      <c r="AA1213" t="s">
        <v>3108</v>
      </c>
      <c r="AB1213" t="s">
        <v>3108</v>
      </c>
      <c r="AC1213" t="s">
        <v>3250</v>
      </c>
      <c r="AD1213" t="s">
        <v>3250</v>
      </c>
      <c r="AE1213" t="s">
        <v>3250</v>
      </c>
      <c r="AF1213" t="s">
        <v>3250</v>
      </c>
      <c r="AG1213" t="s">
        <v>3250</v>
      </c>
      <c r="AH1213" t="s">
        <v>3250</v>
      </c>
      <c r="AI1213" t="s">
        <v>3250</v>
      </c>
      <c r="AJ1213" t="s">
        <v>3250</v>
      </c>
      <c r="AL1213">
        <v>141</v>
      </c>
      <c r="AM1213" t="s">
        <v>1327</v>
      </c>
      <c r="AN1213">
        <v>141</v>
      </c>
      <c r="AO1213" t="s">
        <v>1327</v>
      </c>
      <c r="AS1213" t="s">
        <v>3250</v>
      </c>
      <c r="AT1213" t="s">
        <v>3250</v>
      </c>
      <c r="AU1213" t="s">
        <v>3250</v>
      </c>
      <c r="AV1213" t="s">
        <v>3250</v>
      </c>
      <c r="AW1213" t="s">
        <v>3250</v>
      </c>
      <c r="AX1213" t="s">
        <v>3250</v>
      </c>
      <c r="AY1213" t="s">
        <v>3250</v>
      </c>
      <c r="AZ1213" t="s">
        <v>3250</v>
      </c>
      <c r="BA1213" t="s">
        <v>3250</v>
      </c>
      <c r="BB1213" t="s">
        <v>3250</v>
      </c>
      <c r="BC1213" t="s">
        <v>3250</v>
      </c>
      <c r="BE1213" t="s">
        <v>3250</v>
      </c>
      <c r="BF1213" t="s">
        <v>3250</v>
      </c>
      <c r="BG1213" t="s">
        <v>3250</v>
      </c>
      <c r="BH1213" t="s">
        <v>3250</v>
      </c>
      <c r="BI1213" t="s">
        <v>3250</v>
      </c>
      <c r="BK1213" t="s">
        <v>3250</v>
      </c>
      <c r="BL1213" t="s">
        <v>3250</v>
      </c>
      <c r="BM1213" t="s">
        <v>3250</v>
      </c>
      <c r="BN1213" t="s">
        <v>3250</v>
      </c>
      <c r="BP1213">
        <v>1</v>
      </c>
      <c r="BQ1213">
        <v>11</v>
      </c>
      <c r="BR1213" t="s">
        <v>1574</v>
      </c>
      <c r="BS1213" t="s">
        <v>3252</v>
      </c>
      <c r="BV1213">
        <v>380</v>
      </c>
      <c r="BW1213">
        <v>380</v>
      </c>
      <c r="BX1213">
        <v>380</v>
      </c>
      <c r="BY1213">
        <v>0</v>
      </c>
      <c r="BZ1213">
        <v>0</v>
      </c>
      <c r="CA1213">
        <v>0</v>
      </c>
      <c r="CB1213">
        <v>0</v>
      </c>
      <c r="CC1213">
        <v>0</v>
      </c>
      <c r="CD1213">
        <v>380</v>
      </c>
      <c r="CE1213" t="s">
        <v>3108</v>
      </c>
      <c r="CF1213" t="s">
        <v>3108</v>
      </c>
      <c r="CG1213" t="s">
        <v>3108</v>
      </c>
      <c r="CH1213" t="s">
        <v>3108</v>
      </c>
    </row>
    <row r="1214" spans="1:86" x14ac:dyDescent="0.2">
      <c r="A1214" t="s">
        <v>5051</v>
      </c>
      <c r="B1214" t="s">
        <v>5051</v>
      </c>
      <c r="C1214">
        <v>41691</v>
      </c>
      <c r="D1214">
        <v>960</v>
      </c>
      <c r="E1214" t="s">
        <v>3420</v>
      </c>
      <c r="F1214" t="s">
        <v>3249</v>
      </c>
      <c r="G1214" t="s">
        <v>3249</v>
      </c>
      <c r="H1214" t="s">
        <v>3250</v>
      </c>
      <c r="I1214" t="s">
        <v>3250</v>
      </c>
      <c r="J1214" t="s">
        <v>3250</v>
      </c>
      <c r="K1214" t="s">
        <v>3250</v>
      </c>
      <c r="L1214">
        <v>1200</v>
      </c>
      <c r="M1214" t="s">
        <v>2368</v>
      </c>
      <c r="N1214">
        <v>1204</v>
      </c>
      <c r="O1214" t="s">
        <v>1574</v>
      </c>
      <c r="P1214" t="s">
        <v>3108</v>
      </c>
      <c r="Q1214" t="s">
        <v>3249</v>
      </c>
      <c r="R1214" t="s">
        <v>3249</v>
      </c>
      <c r="S1214" t="s">
        <v>472</v>
      </c>
      <c r="T1214" t="s">
        <v>3251</v>
      </c>
      <c r="U1214">
        <v>140</v>
      </c>
      <c r="V1214" t="s">
        <v>1327</v>
      </c>
      <c r="W1214">
        <v>140</v>
      </c>
      <c r="X1214" t="s">
        <v>1327</v>
      </c>
      <c r="Y1214" t="s">
        <v>3250</v>
      </c>
      <c r="Z1214" t="s">
        <v>3250</v>
      </c>
      <c r="AA1214" t="s">
        <v>3108</v>
      </c>
      <c r="AB1214" t="s">
        <v>3108</v>
      </c>
      <c r="AC1214" t="s">
        <v>3250</v>
      </c>
      <c r="AD1214" t="s">
        <v>3250</v>
      </c>
      <c r="AE1214" t="s">
        <v>3250</v>
      </c>
      <c r="AF1214" t="s">
        <v>3250</v>
      </c>
      <c r="AG1214" t="s">
        <v>3250</v>
      </c>
      <c r="AH1214" t="s">
        <v>3250</v>
      </c>
      <c r="AI1214" t="s">
        <v>3250</v>
      </c>
      <c r="AJ1214" t="s">
        <v>3250</v>
      </c>
      <c r="AL1214">
        <v>146</v>
      </c>
      <c r="AM1214" t="s">
        <v>5</v>
      </c>
      <c r="AN1214">
        <v>146</v>
      </c>
      <c r="AO1214" t="s">
        <v>5</v>
      </c>
      <c r="AS1214" t="s">
        <v>3250</v>
      </c>
      <c r="AT1214" t="s">
        <v>3250</v>
      </c>
      <c r="AU1214" t="s">
        <v>3250</v>
      </c>
      <c r="AV1214" t="s">
        <v>3250</v>
      </c>
      <c r="AW1214" t="s">
        <v>3250</v>
      </c>
      <c r="AX1214" t="s">
        <v>3250</v>
      </c>
      <c r="AY1214" t="s">
        <v>3250</v>
      </c>
      <c r="AZ1214" t="s">
        <v>3250</v>
      </c>
      <c r="BA1214" t="s">
        <v>3250</v>
      </c>
      <c r="BB1214" t="s">
        <v>3250</v>
      </c>
      <c r="BC1214" t="s">
        <v>3250</v>
      </c>
      <c r="BE1214" t="s">
        <v>3250</v>
      </c>
      <c r="BF1214" t="s">
        <v>3250</v>
      </c>
      <c r="BG1214" t="s">
        <v>3250</v>
      </c>
      <c r="BH1214" t="s">
        <v>3250</v>
      </c>
      <c r="BI1214" t="s">
        <v>3250</v>
      </c>
      <c r="BK1214" t="s">
        <v>3250</v>
      </c>
      <c r="BL1214" t="s">
        <v>3250</v>
      </c>
      <c r="BM1214" t="s">
        <v>3250</v>
      </c>
      <c r="BN1214" t="s">
        <v>3250</v>
      </c>
      <c r="BP1214">
        <v>1</v>
      </c>
      <c r="BQ1214">
        <v>11</v>
      </c>
      <c r="BR1214" t="s">
        <v>1574</v>
      </c>
      <c r="BS1214" t="s">
        <v>3252</v>
      </c>
      <c r="BV1214">
        <v>0</v>
      </c>
      <c r="BW1214">
        <v>0</v>
      </c>
      <c r="BX1214">
        <v>0</v>
      </c>
      <c r="BY1214">
        <v>0</v>
      </c>
      <c r="BZ1214">
        <v>0</v>
      </c>
      <c r="CA1214">
        <v>0</v>
      </c>
      <c r="CB1214">
        <v>0</v>
      </c>
      <c r="CC1214">
        <v>0</v>
      </c>
      <c r="CD1214">
        <v>0</v>
      </c>
      <c r="CE1214" t="s">
        <v>3108</v>
      </c>
      <c r="CF1214" t="s">
        <v>3108</v>
      </c>
      <c r="CG1214" t="s">
        <v>3108</v>
      </c>
      <c r="CH1214" t="s">
        <v>3108</v>
      </c>
    </row>
    <row r="1215" spans="1:86" x14ac:dyDescent="0.2">
      <c r="A1215" t="s">
        <v>5052</v>
      </c>
      <c r="B1215" t="s">
        <v>5052</v>
      </c>
      <c r="C1215">
        <v>41692</v>
      </c>
      <c r="D1215">
        <v>961</v>
      </c>
      <c r="E1215" t="s">
        <v>3296</v>
      </c>
      <c r="F1215" t="s">
        <v>3249</v>
      </c>
      <c r="G1215" t="s">
        <v>3249</v>
      </c>
      <c r="H1215" t="s">
        <v>3250</v>
      </c>
      <c r="I1215" t="s">
        <v>3250</v>
      </c>
      <c r="J1215" t="s">
        <v>3250</v>
      </c>
      <c r="K1215" t="s">
        <v>3250</v>
      </c>
      <c r="L1215">
        <v>1200</v>
      </c>
      <c r="M1215" t="s">
        <v>2368</v>
      </c>
      <c r="N1215">
        <v>1204</v>
      </c>
      <c r="O1215" t="s">
        <v>1574</v>
      </c>
      <c r="P1215" t="s">
        <v>3108</v>
      </c>
      <c r="Q1215" t="s">
        <v>3249</v>
      </c>
      <c r="R1215" t="s">
        <v>3249</v>
      </c>
      <c r="S1215" t="s">
        <v>472</v>
      </c>
      <c r="T1215" t="s">
        <v>3251</v>
      </c>
      <c r="U1215">
        <v>140</v>
      </c>
      <c r="V1215" t="s">
        <v>1327</v>
      </c>
      <c r="W1215">
        <v>140</v>
      </c>
      <c r="X1215" t="s">
        <v>1327</v>
      </c>
      <c r="Y1215" t="s">
        <v>3250</v>
      </c>
      <c r="Z1215" t="s">
        <v>3250</v>
      </c>
      <c r="AA1215" t="s">
        <v>3108</v>
      </c>
      <c r="AB1215" t="s">
        <v>3108</v>
      </c>
      <c r="AC1215" t="s">
        <v>3250</v>
      </c>
      <c r="AD1215" t="s">
        <v>3250</v>
      </c>
      <c r="AE1215" t="s">
        <v>3250</v>
      </c>
      <c r="AF1215" t="s">
        <v>3250</v>
      </c>
      <c r="AG1215" t="s">
        <v>3250</v>
      </c>
      <c r="AH1215" t="s">
        <v>3250</v>
      </c>
      <c r="AI1215" t="s">
        <v>3250</v>
      </c>
      <c r="AJ1215" t="s">
        <v>3250</v>
      </c>
      <c r="AL1215">
        <v>147</v>
      </c>
      <c r="AM1215" t="s">
        <v>6</v>
      </c>
      <c r="AN1215">
        <v>147</v>
      </c>
      <c r="AO1215" t="s">
        <v>6</v>
      </c>
      <c r="AS1215" t="s">
        <v>3250</v>
      </c>
      <c r="AT1215" t="s">
        <v>3250</v>
      </c>
      <c r="AU1215" t="s">
        <v>3250</v>
      </c>
      <c r="AV1215" t="s">
        <v>3250</v>
      </c>
      <c r="AW1215" t="s">
        <v>3250</v>
      </c>
      <c r="AX1215" t="s">
        <v>3250</v>
      </c>
      <c r="AY1215" t="s">
        <v>3250</v>
      </c>
      <c r="AZ1215" t="s">
        <v>3250</v>
      </c>
      <c r="BA1215" t="s">
        <v>3250</v>
      </c>
      <c r="BB1215" t="s">
        <v>3250</v>
      </c>
      <c r="BC1215" t="s">
        <v>3250</v>
      </c>
      <c r="BE1215" t="s">
        <v>3250</v>
      </c>
      <c r="BF1215" t="s">
        <v>3250</v>
      </c>
      <c r="BG1215" t="s">
        <v>3250</v>
      </c>
      <c r="BH1215" t="s">
        <v>3250</v>
      </c>
      <c r="BI1215" t="s">
        <v>3250</v>
      </c>
      <c r="BK1215" t="s">
        <v>3250</v>
      </c>
      <c r="BL1215" t="s">
        <v>3250</v>
      </c>
      <c r="BM1215" t="s">
        <v>3250</v>
      </c>
      <c r="BN1215" t="s">
        <v>3250</v>
      </c>
      <c r="BP1215">
        <v>1</v>
      </c>
      <c r="BQ1215">
        <v>11</v>
      </c>
      <c r="BR1215" t="s">
        <v>1574</v>
      </c>
      <c r="BS1215" t="s">
        <v>3252</v>
      </c>
      <c r="BV1215">
        <v>0</v>
      </c>
      <c r="BW1215">
        <v>0</v>
      </c>
      <c r="BX1215">
        <v>0</v>
      </c>
      <c r="BY1215">
        <v>0</v>
      </c>
      <c r="BZ1215">
        <v>0</v>
      </c>
      <c r="CA1215">
        <v>0</v>
      </c>
      <c r="CB1215">
        <v>0</v>
      </c>
      <c r="CC1215">
        <v>0</v>
      </c>
      <c r="CD1215">
        <v>0</v>
      </c>
      <c r="CE1215" t="s">
        <v>3108</v>
      </c>
      <c r="CF1215" t="s">
        <v>3108</v>
      </c>
      <c r="CG1215" t="s">
        <v>3108</v>
      </c>
      <c r="CH1215" t="s">
        <v>3108</v>
      </c>
    </row>
    <row r="1216" spans="1:86" x14ac:dyDescent="0.2">
      <c r="A1216" t="s">
        <v>5053</v>
      </c>
      <c r="B1216" t="s">
        <v>5053</v>
      </c>
      <c r="C1216">
        <v>41693</v>
      </c>
      <c r="D1216">
        <v>962</v>
      </c>
      <c r="E1216" t="s">
        <v>3402</v>
      </c>
      <c r="F1216" t="s">
        <v>3249</v>
      </c>
      <c r="G1216" t="s">
        <v>3249</v>
      </c>
      <c r="H1216" t="s">
        <v>3250</v>
      </c>
      <c r="I1216" t="s">
        <v>3250</v>
      </c>
      <c r="J1216" t="s">
        <v>3250</v>
      </c>
      <c r="K1216" t="s">
        <v>3250</v>
      </c>
      <c r="L1216">
        <v>1200</v>
      </c>
      <c r="M1216" t="s">
        <v>2368</v>
      </c>
      <c r="N1216">
        <v>1204</v>
      </c>
      <c r="O1216" t="s">
        <v>1574</v>
      </c>
      <c r="P1216" t="s">
        <v>3108</v>
      </c>
      <c r="Q1216" t="s">
        <v>3249</v>
      </c>
      <c r="R1216" t="s">
        <v>3249</v>
      </c>
      <c r="S1216" t="s">
        <v>472</v>
      </c>
      <c r="T1216" t="s">
        <v>3251</v>
      </c>
      <c r="U1216">
        <v>140</v>
      </c>
      <c r="V1216" t="s">
        <v>1327</v>
      </c>
      <c r="W1216">
        <v>140</v>
      </c>
      <c r="X1216" t="s">
        <v>1327</v>
      </c>
      <c r="Y1216" t="s">
        <v>3250</v>
      </c>
      <c r="Z1216" t="s">
        <v>3250</v>
      </c>
      <c r="AA1216" t="s">
        <v>3108</v>
      </c>
      <c r="AB1216" t="s">
        <v>3108</v>
      </c>
      <c r="AC1216" t="s">
        <v>3250</v>
      </c>
      <c r="AD1216" t="s">
        <v>3250</v>
      </c>
      <c r="AE1216" t="s">
        <v>3250</v>
      </c>
      <c r="AF1216" t="s">
        <v>3250</v>
      </c>
      <c r="AG1216" t="s">
        <v>3250</v>
      </c>
      <c r="AH1216" t="s">
        <v>3250</v>
      </c>
      <c r="AI1216" t="s">
        <v>3250</v>
      </c>
      <c r="AJ1216" t="s">
        <v>3250</v>
      </c>
      <c r="AL1216">
        <v>146</v>
      </c>
      <c r="AM1216" t="s">
        <v>5</v>
      </c>
      <c r="AN1216">
        <v>146</v>
      </c>
      <c r="AO1216" t="s">
        <v>5</v>
      </c>
      <c r="AS1216" t="s">
        <v>3250</v>
      </c>
      <c r="AT1216" t="s">
        <v>3250</v>
      </c>
      <c r="AU1216" t="s">
        <v>3250</v>
      </c>
      <c r="AV1216" t="s">
        <v>3250</v>
      </c>
      <c r="AW1216" t="s">
        <v>3250</v>
      </c>
      <c r="AX1216" t="s">
        <v>3250</v>
      </c>
      <c r="AY1216" t="s">
        <v>3250</v>
      </c>
      <c r="AZ1216" t="s">
        <v>3250</v>
      </c>
      <c r="BA1216" t="s">
        <v>3250</v>
      </c>
      <c r="BB1216" t="s">
        <v>3250</v>
      </c>
      <c r="BC1216" t="s">
        <v>3250</v>
      </c>
      <c r="BE1216" t="s">
        <v>3250</v>
      </c>
      <c r="BF1216" t="s">
        <v>3250</v>
      </c>
      <c r="BG1216" t="s">
        <v>3250</v>
      </c>
      <c r="BH1216" t="s">
        <v>3250</v>
      </c>
      <c r="BI1216" t="s">
        <v>3250</v>
      </c>
      <c r="BK1216" t="s">
        <v>3250</v>
      </c>
      <c r="BL1216" t="s">
        <v>3250</v>
      </c>
      <c r="BM1216" t="s">
        <v>3250</v>
      </c>
      <c r="BN1216" t="s">
        <v>3250</v>
      </c>
      <c r="BP1216">
        <v>1</v>
      </c>
      <c r="BQ1216">
        <v>11</v>
      </c>
      <c r="BR1216" t="s">
        <v>1574</v>
      </c>
      <c r="BS1216" t="s">
        <v>3252</v>
      </c>
      <c r="BV1216">
        <v>0</v>
      </c>
      <c r="BW1216">
        <v>0</v>
      </c>
      <c r="BX1216">
        <v>0</v>
      </c>
      <c r="BY1216">
        <v>0</v>
      </c>
      <c r="BZ1216">
        <v>0</v>
      </c>
      <c r="CA1216">
        <v>0</v>
      </c>
      <c r="CB1216">
        <v>0</v>
      </c>
      <c r="CC1216">
        <v>0</v>
      </c>
      <c r="CD1216">
        <v>0</v>
      </c>
      <c r="CE1216" t="s">
        <v>3108</v>
      </c>
      <c r="CF1216" t="s">
        <v>3108</v>
      </c>
      <c r="CG1216" t="s">
        <v>3108</v>
      </c>
      <c r="CH1216" t="s">
        <v>3108</v>
      </c>
    </row>
    <row r="1217" spans="1:86" x14ac:dyDescent="0.2">
      <c r="A1217" t="s">
        <v>5054</v>
      </c>
      <c r="B1217" t="s">
        <v>5054</v>
      </c>
      <c r="C1217">
        <v>41694</v>
      </c>
      <c r="D1217">
        <v>963</v>
      </c>
      <c r="E1217" t="s">
        <v>3298</v>
      </c>
      <c r="F1217" t="s">
        <v>3249</v>
      </c>
      <c r="G1217" t="s">
        <v>3249</v>
      </c>
      <c r="H1217" t="s">
        <v>3250</v>
      </c>
      <c r="I1217" t="s">
        <v>3250</v>
      </c>
      <c r="J1217" t="s">
        <v>3250</v>
      </c>
      <c r="K1217" t="s">
        <v>3250</v>
      </c>
      <c r="L1217">
        <v>1200</v>
      </c>
      <c r="M1217" t="s">
        <v>2368</v>
      </c>
      <c r="N1217">
        <v>1204</v>
      </c>
      <c r="O1217" t="s">
        <v>1574</v>
      </c>
      <c r="P1217" t="s">
        <v>3108</v>
      </c>
      <c r="Q1217" t="s">
        <v>3249</v>
      </c>
      <c r="R1217" t="s">
        <v>3249</v>
      </c>
      <c r="S1217" t="s">
        <v>472</v>
      </c>
      <c r="T1217" t="s">
        <v>3251</v>
      </c>
      <c r="U1217">
        <v>140</v>
      </c>
      <c r="V1217" t="s">
        <v>1327</v>
      </c>
      <c r="W1217">
        <v>140</v>
      </c>
      <c r="X1217" t="s">
        <v>1327</v>
      </c>
      <c r="Y1217" t="s">
        <v>3250</v>
      </c>
      <c r="Z1217" t="s">
        <v>3250</v>
      </c>
      <c r="AA1217" t="s">
        <v>3108</v>
      </c>
      <c r="AB1217" t="s">
        <v>3108</v>
      </c>
      <c r="AC1217" t="s">
        <v>3250</v>
      </c>
      <c r="AD1217" t="s">
        <v>3250</v>
      </c>
      <c r="AE1217" t="s">
        <v>3250</v>
      </c>
      <c r="AF1217" t="s">
        <v>3250</v>
      </c>
      <c r="AG1217" t="s">
        <v>3250</v>
      </c>
      <c r="AH1217" t="s">
        <v>3250</v>
      </c>
      <c r="AI1217" t="s">
        <v>3250</v>
      </c>
      <c r="AJ1217" t="s">
        <v>3250</v>
      </c>
      <c r="AL1217">
        <v>141</v>
      </c>
      <c r="AM1217" t="s">
        <v>1327</v>
      </c>
      <c r="AN1217">
        <v>141</v>
      </c>
      <c r="AO1217" t="s">
        <v>1327</v>
      </c>
      <c r="AS1217" t="s">
        <v>3250</v>
      </c>
      <c r="AT1217" t="s">
        <v>3250</v>
      </c>
      <c r="AU1217" t="s">
        <v>3250</v>
      </c>
      <c r="AV1217" t="s">
        <v>3250</v>
      </c>
      <c r="AW1217" t="s">
        <v>3250</v>
      </c>
      <c r="AX1217" t="s">
        <v>3250</v>
      </c>
      <c r="AY1217" t="s">
        <v>3250</v>
      </c>
      <c r="AZ1217" t="s">
        <v>3250</v>
      </c>
      <c r="BA1217" t="s">
        <v>3250</v>
      </c>
      <c r="BB1217" t="s">
        <v>3250</v>
      </c>
      <c r="BC1217" t="s">
        <v>3250</v>
      </c>
      <c r="BE1217" t="s">
        <v>3250</v>
      </c>
      <c r="BF1217" t="s">
        <v>3250</v>
      </c>
      <c r="BG1217" t="s">
        <v>3250</v>
      </c>
      <c r="BH1217" t="s">
        <v>3250</v>
      </c>
      <c r="BI1217" t="s">
        <v>3250</v>
      </c>
      <c r="BK1217" t="s">
        <v>3250</v>
      </c>
      <c r="BL1217" t="s">
        <v>3250</v>
      </c>
      <c r="BM1217" t="s">
        <v>3250</v>
      </c>
      <c r="BN1217" t="s">
        <v>3250</v>
      </c>
      <c r="BP1217">
        <v>1</v>
      </c>
      <c r="BQ1217">
        <v>11</v>
      </c>
      <c r="BR1217" t="s">
        <v>1574</v>
      </c>
      <c r="BS1217" t="s">
        <v>3252</v>
      </c>
      <c r="BV1217">
        <v>22814</v>
      </c>
      <c r="BW1217">
        <v>22814</v>
      </c>
      <c r="BX1217">
        <v>22814</v>
      </c>
      <c r="BY1217">
        <v>0</v>
      </c>
      <c r="BZ1217">
        <v>0</v>
      </c>
      <c r="CA1217">
        <v>0</v>
      </c>
      <c r="CB1217">
        <v>0</v>
      </c>
      <c r="CC1217">
        <v>0</v>
      </c>
      <c r="CD1217">
        <v>22814</v>
      </c>
      <c r="CE1217" t="s">
        <v>3108</v>
      </c>
      <c r="CF1217" t="s">
        <v>3108</v>
      </c>
      <c r="CG1217" t="s">
        <v>3108</v>
      </c>
      <c r="CH1217" t="s">
        <v>3108</v>
      </c>
    </row>
    <row r="1218" spans="1:86" x14ac:dyDescent="0.2">
      <c r="A1218" t="s">
        <v>5055</v>
      </c>
      <c r="B1218" t="s">
        <v>5055</v>
      </c>
      <c r="C1218">
        <v>41695</v>
      </c>
      <c r="D1218">
        <v>964</v>
      </c>
      <c r="E1218" t="s">
        <v>3404</v>
      </c>
      <c r="F1218" t="s">
        <v>3249</v>
      </c>
      <c r="G1218" t="s">
        <v>3249</v>
      </c>
      <c r="H1218" t="s">
        <v>3250</v>
      </c>
      <c r="I1218" t="s">
        <v>3250</v>
      </c>
      <c r="J1218" t="s">
        <v>3250</v>
      </c>
      <c r="K1218" t="s">
        <v>3250</v>
      </c>
      <c r="L1218">
        <v>1200</v>
      </c>
      <c r="M1218" t="s">
        <v>2368</v>
      </c>
      <c r="N1218">
        <v>1204</v>
      </c>
      <c r="O1218" t="s">
        <v>1574</v>
      </c>
      <c r="P1218" t="s">
        <v>3108</v>
      </c>
      <c r="Q1218" t="s">
        <v>3249</v>
      </c>
      <c r="R1218" t="s">
        <v>3249</v>
      </c>
      <c r="S1218" t="s">
        <v>472</v>
      </c>
      <c r="T1218" t="s">
        <v>3251</v>
      </c>
      <c r="U1218">
        <v>140</v>
      </c>
      <c r="V1218" t="s">
        <v>1327</v>
      </c>
      <c r="W1218">
        <v>140</v>
      </c>
      <c r="X1218" t="s">
        <v>1327</v>
      </c>
      <c r="Y1218" t="s">
        <v>3250</v>
      </c>
      <c r="Z1218" t="s">
        <v>3250</v>
      </c>
      <c r="AA1218" t="s">
        <v>3108</v>
      </c>
      <c r="AB1218" t="s">
        <v>3108</v>
      </c>
      <c r="AC1218" t="s">
        <v>3250</v>
      </c>
      <c r="AD1218" t="s">
        <v>3250</v>
      </c>
      <c r="AE1218" t="s">
        <v>3250</v>
      </c>
      <c r="AF1218" t="s">
        <v>3250</v>
      </c>
      <c r="AG1218" t="s">
        <v>3250</v>
      </c>
      <c r="AH1218" t="s">
        <v>3250</v>
      </c>
      <c r="AI1218" t="s">
        <v>3250</v>
      </c>
      <c r="AJ1218" t="s">
        <v>3250</v>
      </c>
      <c r="AL1218">
        <v>146</v>
      </c>
      <c r="AM1218" t="s">
        <v>5</v>
      </c>
      <c r="AN1218">
        <v>146</v>
      </c>
      <c r="AO1218" t="s">
        <v>5</v>
      </c>
      <c r="AS1218" t="s">
        <v>3250</v>
      </c>
      <c r="AT1218" t="s">
        <v>3250</v>
      </c>
      <c r="AU1218" t="s">
        <v>3250</v>
      </c>
      <c r="AV1218" t="s">
        <v>3250</v>
      </c>
      <c r="AW1218" t="s">
        <v>3250</v>
      </c>
      <c r="AX1218" t="s">
        <v>3250</v>
      </c>
      <c r="AY1218" t="s">
        <v>3250</v>
      </c>
      <c r="AZ1218" t="s">
        <v>3250</v>
      </c>
      <c r="BA1218" t="s">
        <v>3250</v>
      </c>
      <c r="BB1218" t="s">
        <v>3250</v>
      </c>
      <c r="BC1218" t="s">
        <v>3250</v>
      </c>
      <c r="BE1218" t="s">
        <v>3250</v>
      </c>
      <c r="BF1218" t="s">
        <v>3250</v>
      </c>
      <c r="BG1218" t="s">
        <v>3250</v>
      </c>
      <c r="BH1218" t="s">
        <v>3250</v>
      </c>
      <c r="BI1218" t="s">
        <v>3250</v>
      </c>
      <c r="BK1218" t="s">
        <v>3250</v>
      </c>
      <c r="BL1218" t="s">
        <v>3250</v>
      </c>
      <c r="BM1218" t="s">
        <v>3250</v>
      </c>
      <c r="BN1218" t="s">
        <v>3250</v>
      </c>
      <c r="BP1218">
        <v>1</v>
      </c>
      <c r="BQ1218">
        <v>11</v>
      </c>
      <c r="BR1218" t="s">
        <v>1574</v>
      </c>
      <c r="BS1218" t="s">
        <v>3252</v>
      </c>
      <c r="BV1218">
        <v>0</v>
      </c>
      <c r="BW1218">
        <v>0</v>
      </c>
      <c r="BX1218">
        <v>0</v>
      </c>
      <c r="BY1218">
        <v>0</v>
      </c>
      <c r="BZ1218">
        <v>0</v>
      </c>
      <c r="CA1218">
        <v>0</v>
      </c>
      <c r="CB1218">
        <v>0</v>
      </c>
      <c r="CC1218">
        <v>0</v>
      </c>
      <c r="CD1218">
        <v>0</v>
      </c>
      <c r="CE1218" t="s">
        <v>3108</v>
      </c>
      <c r="CF1218" t="s">
        <v>3108</v>
      </c>
      <c r="CG1218" t="s">
        <v>3108</v>
      </c>
      <c r="CH1218" t="s">
        <v>3108</v>
      </c>
    </row>
    <row r="1219" spans="1:86" x14ac:dyDescent="0.2">
      <c r="A1219" t="s">
        <v>5056</v>
      </c>
      <c r="B1219" t="s">
        <v>5056</v>
      </c>
      <c r="C1219">
        <v>41696</v>
      </c>
      <c r="D1219">
        <v>965</v>
      </c>
      <c r="E1219" t="s">
        <v>3300</v>
      </c>
      <c r="F1219" t="s">
        <v>3249</v>
      </c>
      <c r="G1219" t="s">
        <v>3249</v>
      </c>
      <c r="H1219" t="s">
        <v>3250</v>
      </c>
      <c r="I1219" t="s">
        <v>3250</v>
      </c>
      <c r="J1219" t="s">
        <v>3250</v>
      </c>
      <c r="K1219" t="s">
        <v>3250</v>
      </c>
      <c r="L1219">
        <v>1200</v>
      </c>
      <c r="M1219" t="s">
        <v>2368</v>
      </c>
      <c r="N1219">
        <v>1204</v>
      </c>
      <c r="O1219" t="s">
        <v>1574</v>
      </c>
      <c r="P1219" t="s">
        <v>3108</v>
      </c>
      <c r="Q1219" t="s">
        <v>3249</v>
      </c>
      <c r="R1219" t="s">
        <v>3249</v>
      </c>
      <c r="S1219" t="s">
        <v>472</v>
      </c>
      <c r="T1219" t="s">
        <v>3251</v>
      </c>
      <c r="U1219">
        <v>140</v>
      </c>
      <c r="V1219" t="s">
        <v>1327</v>
      </c>
      <c r="W1219">
        <v>140</v>
      </c>
      <c r="X1219" t="s">
        <v>1327</v>
      </c>
      <c r="Y1219" t="s">
        <v>3250</v>
      </c>
      <c r="Z1219" t="s">
        <v>3250</v>
      </c>
      <c r="AA1219" t="s">
        <v>3108</v>
      </c>
      <c r="AB1219" t="s">
        <v>3108</v>
      </c>
      <c r="AC1219" t="s">
        <v>3250</v>
      </c>
      <c r="AD1219" t="s">
        <v>3250</v>
      </c>
      <c r="AE1219" t="s">
        <v>3250</v>
      </c>
      <c r="AF1219" t="s">
        <v>3250</v>
      </c>
      <c r="AG1219" t="s">
        <v>3250</v>
      </c>
      <c r="AH1219" t="s">
        <v>3250</v>
      </c>
      <c r="AI1219" t="s">
        <v>3250</v>
      </c>
      <c r="AJ1219" t="s">
        <v>3250</v>
      </c>
      <c r="AL1219">
        <v>141</v>
      </c>
      <c r="AM1219" t="s">
        <v>1327</v>
      </c>
      <c r="AN1219">
        <v>141</v>
      </c>
      <c r="AO1219" t="s">
        <v>1327</v>
      </c>
      <c r="AS1219" t="s">
        <v>3250</v>
      </c>
      <c r="AT1219" t="s">
        <v>3250</v>
      </c>
      <c r="AU1219" t="s">
        <v>3250</v>
      </c>
      <c r="AV1219" t="s">
        <v>3250</v>
      </c>
      <c r="AW1219" t="s">
        <v>3250</v>
      </c>
      <c r="AX1219" t="s">
        <v>3250</v>
      </c>
      <c r="AY1219" t="s">
        <v>3250</v>
      </c>
      <c r="AZ1219" t="s">
        <v>3250</v>
      </c>
      <c r="BA1219" t="s">
        <v>3250</v>
      </c>
      <c r="BB1219" t="s">
        <v>3250</v>
      </c>
      <c r="BC1219" t="s">
        <v>3250</v>
      </c>
      <c r="BE1219" t="s">
        <v>3250</v>
      </c>
      <c r="BF1219" t="s">
        <v>3250</v>
      </c>
      <c r="BG1219" t="s">
        <v>3250</v>
      </c>
      <c r="BH1219" t="s">
        <v>3250</v>
      </c>
      <c r="BI1219" t="s">
        <v>3250</v>
      </c>
      <c r="BK1219" t="s">
        <v>3250</v>
      </c>
      <c r="BL1219" t="s">
        <v>3250</v>
      </c>
      <c r="BM1219" t="s">
        <v>3250</v>
      </c>
      <c r="BN1219" t="s">
        <v>3250</v>
      </c>
      <c r="BP1219">
        <v>1</v>
      </c>
      <c r="BQ1219">
        <v>11</v>
      </c>
      <c r="BR1219" t="s">
        <v>1574</v>
      </c>
      <c r="BS1219" t="s">
        <v>3252</v>
      </c>
      <c r="BV1219">
        <v>69496</v>
      </c>
      <c r="BW1219">
        <v>69496</v>
      </c>
      <c r="BX1219">
        <v>69496</v>
      </c>
      <c r="BY1219">
        <v>0</v>
      </c>
      <c r="BZ1219">
        <v>0</v>
      </c>
      <c r="CA1219">
        <v>0</v>
      </c>
      <c r="CB1219">
        <v>0</v>
      </c>
      <c r="CC1219">
        <v>0</v>
      </c>
      <c r="CD1219">
        <v>69496</v>
      </c>
      <c r="CE1219" t="s">
        <v>3108</v>
      </c>
      <c r="CF1219" t="s">
        <v>3108</v>
      </c>
      <c r="CG1219" t="s">
        <v>3108</v>
      </c>
      <c r="CH1219" t="s">
        <v>3108</v>
      </c>
    </row>
    <row r="1220" spans="1:86" x14ac:dyDescent="0.2">
      <c r="A1220" t="s">
        <v>5057</v>
      </c>
      <c r="B1220" t="s">
        <v>5057</v>
      </c>
      <c r="C1220">
        <v>41697</v>
      </c>
      <c r="D1220">
        <v>966</v>
      </c>
      <c r="E1220" t="s">
        <v>3388</v>
      </c>
      <c r="F1220" t="s">
        <v>3249</v>
      </c>
      <c r="G1220" t="s">
        <v>3249</v>
      </c>
      <c r="H1220" t="s">
        <v>3250</v>
      </c>
      <c r="I1220" t="s">
        <v>3250</v>
      </c>
      <c r="J1220" t="s">
        <v>3250</v>
      </c>
      <c r="K1220" t="s">
        <v>3250</v>
      </c>
      <c r="L1220">
        <v>1200</v>
      </c>
      <c r="M1220" t="s">
        <v>2368</v>
      </c>
      <c r="N1220">
        <v>1204</v>
      </c>
      <c r="O1220" t="s">
        <v>1574</v>
      </c>
      <c r="P1220" t="s">
        <v>3108</v>
      </c>
      <c r="Q1220" t="s">
        <v>3249</v>
      </c>
      <c r="R1220" t="s">
        <v>3249</v>
      </c>
      <c r="S1220" t="s">
        <v>472</v>
      </c>
      <c r="T1220" t="s">
        <v>3251</v>
      </c>
      <c r="U1220">
        <v>140</v>
      </c>
      <c r="V1220" t="s">
        <v>1327</v>
      </c>
      <c r="W1220">
        <v>140</v>
      </c>
      <c r="X1220" t="s">
        <v>1327</v>
      </c>
      <c r="Y1220" t="s">
        <v>3250</v>
      </c>
      <c r="Z1220" t="s">
        <v>3250</v>
      </c>
      <c r="AA1220" t="s">
        <v>3108</v>
      </c>
      <c r="AB1220" t="s">
        <v>3108</v>
      </c>
      <c r="AC1220" t="s">
        <v>3250</v>
      </c>
      <c r="AD1220" t="s">
        <v>3250</v>
      </c>
      <c r="AE1220" t="s">
        <v>3250</v>
      </c>
      <c r="AF1220" t="s">
        <v>3250</v>
      </c>
      <c r="AG1220" t="s">
        <v>3250</v>
      </c>
      <c r="AH1220" t="s">
        <v>3250</v>
      </c>
      <c r="AI1220" t="s">
        <v>3250</v>
      </c>
      <c r="AJ1220" t="s">
        <v>3250</v>
      </c>
      <c r="AL1220">
        <v>146</v>
      </c>
      <c r="AM1220" t="s">
        <v>5</v>
      </c>
      <c r="AN1220">
        <v>146</v>
      </c>
      <c r="AO1220" t="s">
        <v>5</v>
      </c>
      <c r="AS1220" t="s">
        <v>3250</v>
      </c>
      <c r="AT1220" t="s">
        <v>3250</v>
      </c>
      <c r="AU1220" t="s">
        <v>3250</v>
      </c>
      <c r="AV1220" t="s">
        <v>3250</v>
      </c>
      <c r="AW1220" t="s">
        <v>3250</v>
      </c>
      <c r="AX1220" t="s">
        <v>3250</v>
      </c>
      <c r="AY1220" t="s">
        <v>3250</v>
      </c>
      <c r="AZ1220" t="s">
        <v>3250</v>
      </c>
      <c r="BA1220" t="s">
        <v>3250</v>
      </c>
      <c r="BB1220" t="s">
        <v>3250</v>
      </c>
      <c r="BC1220" t="s">
        <v>3250</v>
      </c>
      <c r="BE1220" t="s">
        <v>3250</v>
      </c>
      <c r="BF1220" t="s">
        <v>3250</v>
      </c>
      <c r="BG1220" t="s">
        <v>3250</v>
      </c>
      <c r="BH1220" t="s">
        <v>3250</v>
      </c>
      <c r="BI1220" t="s">
        <v>3250</v>
      </c>
      <c r="BK1220" t="s">
        <v>3250</v>
      </c>
      <c r="BL1220" t="s">
        <v>3250</v>
      </c>
      <c r="BM1220" t="s">
        <v>3250</v>
      </c>
      <c r="BN1220" t="s">
        <v>3250</v>
      </c>
      <c r="BP1220">
        <v>1</v>
      </c>
      <c r="BQ1220">
        <v>11</v>
      </c>
      <c r="BR1220" t="s">
        <v>1574</v>
      </c>
      <c r="BS1220" t="s">
        <v>3252</v>
      </c>
      <c r="BV1220">
        <v>0</v>
      </c>
      <c r="BW1220">
        <v>0</v>
      </c>
      <c r="BX1220">
        <v>0</v>
      </c>
      <c r="BY1220">
        <v>0</v>
      </c>
      <c r="BZ1220">
        <v>0</v>
      </c>
      <c r="CA1220">
        <v>0</v>
      </c>
      <c r="CB1220">
        <v>0</v>
      </c>
      <c r="CC1220">
        <v>0</v>
      </c>
      <c r="CD1220">
        <v>0</v>
      </c>
      <c r="CE1220" t="s">
        <v>3108</v>
      </c>
      <c r="CF1220" t="s">
        <v>3108</v>
      </c>
      <c r="CG1220" t="s">
        <v>3108</v>
      </c>
      <c r="CH1220" t="s">
        <v>3108</v>
      </c>
    </row>
    <row r="1221" spans="1:86" x14ac:dyDescent="0.2">
      <c r="A1221" t="s">
        <v>5058</v>
      </c>
      <c r="B1221" t="s">
        <v>5058</v>
      </c>
      <c r="C1221">
        <v>41698</v>
      </c>
      <c r="D1221">
        <v>967</v>
      </c>
      <c r="E1221" t="s">
        <v>3302</v>
      </c>
      <c r="F1221" t="s">
        <v>3249</v>
      </c>
      <c r="G1221" t="s">
        <v>3249</v>
      </c>
      <c r="H1221" t="s">
        <v>3250</v>
      </c>
      <c r="I1221" t="s">
        <v>3250</v>
      </c>
      <c r="J1221" t="s">
        <v>3250</v>
      </c>
      <c r="K1221" t="s">
        <v>3250</v>
      </c>
      <c r="L1221">
        <v>1200</v>
      </c>
      <c r="M1221" t="s">
        <v>2368</v>
      </c>
      <c r="N1221">
        <v>1204</v>
      </c>
      <c r="O1221" t="s">
        <v>1574</v>
      </c>
      <c r="P1221" t="s">
        <v>3108</v>
      </c>
      <c r="Q1221" t="s">
        <v>3249</v>
      </c>
      <c r="R1221" t="s">
        <v>3249</v>
      </c>
      <c r="S1221" t="s">
        <v>472</v>
      </c>
      <c r="T1221" t="s">
        <v>3251</v>
      </c>
      <c r="U1221">
        <v>140</v>
      </c>
      <c r="V1221" t="s">
        <v>1327</v>
      </c>
      <c r="W1221">
        <v>140</v>
      </c>
      <c r="X1221" t="s">
        <v>1327</v>
      </c>
      <c r="Y1221" t="s">
        <v>3250</v>
      </c>
      <c r="Z1221" t="s">
        <v>3250</v>
      </c>
      <c r="AA1221" t="s">
        <v>3108</v>
      </c>
      <c r="AB1221" t="s">
        <v>3108</v>
      </c>
      <c r="AC1221" t="s">
        <v>3250</v>
      </c>
      <c r="AD1221" t="s">
        <v>3250</v>
      </c>
      <c r="AE1221" t="s">
        <v>3250</v>
      </c>
      <c r="AF1221" t="s">
        <v>3250</v>
      </c>
      <c r="AG1221" t="s">
        <v>3250</v>
      </c>
      <c r="AH1221" t="s">
        <v>3250</v>
      </c>
      <c r="AI1221" t="s">
        <v>3250</v>
      </c>
      <c r="AJ1221" t="s">
        <v>3250</v>
      </c>
      <c r="AL1221">
        <v>141</v>
      </c>
      <c r="AM1221" t="s">
        <v>1327</v>
      </c>
      <c r="AN1221">
        <v>141</v>
      </c>
      <c r="AO1221" t="s">
        <v>1327</v>
      </c>
      <c r="AS1221" t="s">
        <v>3250</v>
      </c>
      <c r="AT1221" t="s">
        <v>3250</v>
      </c>
      <c r="AU1221" t="s">
        <v>3250</v>
      </c>
      <c r="AV1221" t="s">
        <v>3250</v>
      </c>
      <c r="AW1221" t="s">
        <v>3250</v>
      </c>
      <c r="AX1221" t="s">
        <v>3250</v>
      </c>
      <c r="AY1221" t="s">
        <v>3250</v>
      </c>
      <c r="AZ1221" t="s">
        <v>3250</v>
      </c>
      <c r="BA1221" t="s">
        <v>3250</v>
      </c>
      <c r="BB1221" t="s">
        <v>3250</v>
      </c>
      <c r="BC1221" t="s">
        <v>3250</v>
      </c>
      <c r="BE1221" t="s">
        <v>3250</v>
      </c>
      <c r="BF1221" t="s">
        <v>3250</v>
      </c>
      <c r="BG1221" t="s">
        <v>3250</v>
      </c>
      <c r="BH1221" t="s">
        <v>3250</v>
      </c>
      <c r="BI1221" t="s">
        <v>3250</v>
      </c>
      <c r="BK1221" t="s">
        <v>3250</v>
      </c>
      <c r="BL1221" t="s">
        <v>3250</v>
      </c>
      <c r="BM1221" t="s">
        <v>3250</v>
      </c>
      <c r="BN1221" t="s">
        <v>3250</v>
      </c>
      <c r="BP1221">
        <v>1</v>
      </c>
      <c r="BQ1221">
        <v>11</v>
      </c>
      <c r="BR1221" t="s">
        <v>1574</v>
      </c>
      <c r="BS1221" t="s">
        <v>3252</v>
      </c>
      <c r="BV1221">
        <v>0</v>
      </c>
      <c r="BW1221">
        <v>0</v>
      </c>
      <c r="BX1221">
        <v>0</v>
      </c>
      <c r="BY1221">
        <v>0</v>
      </c>
      <c r="BZ1221">
        <v>0</v>
      </c>
      <c r="CA1221">
        <v>0</v>
      </c>
      <c r="CB1221">
        <v>0</v>
      </c>
      <c r="CC1221">
        <v>0</v>
      </c>
      <c r="CD1221">
        <v>0</v>
      </c>
      <c r="CE1221" t="s">
        <v>3108</v>
      </c>
      <c r="CF1221" t="s">
        <v>3108</v>
      </c>
      <c r="CG1221" t="s">
        <v>3108</v>
      </c>
      <c r="CH1221" t="s">
        <v>3108</v>
      </c>
    </row>
    <row r="1222" spans="1:86" x14ac:dyDescent="0.2">
      <c r="A1222" t="s">
        <v>5059</v>
      </c>
      <c r="B1222" t="s">
        <v>5059</v>
      </c>
      <c r="C1222">
        <v>41699</v>
      </c>
      <c r="D1222">
        <v>968</v>
      </c>
      <c r="E1222" t="s">
        <v>3280</v>
      </c>
      <c r="F1222" t="s">
        <v>3249</v>
      </c>
      <c r="G1222" t="s">
        <v>3249</v>
      </c>
      <c r="H1222" t="s">
        <v>3250</v>
      </c>
      <c r="I1222" t="s">
        <v>3250</v>
      </c>
      <c r="J1222" t="s">
        <v>3250</v>
      </c>
      <c r="K1222" t="s">
        <v>3250</v>
      </c>
      <c r="L1222">
        <v>1200</v>
      </c>
      <c r="M1222" t="s">
        <v>2368</v>
      </c>
      <c r="N1222">
        <v>1204</v>
      </c>
      <c r="O1222" t="s">
        <v>1574</v>
      </c>
      <c r="P1222" t="s">
        <v>3108</v>
      </c>
      <c r="Q1222" t="s">
        <v>3249</v>
      </c>
      <c r="R1222" t="s">
        <v>3249</v>
      </c>
      <c r="S1222" t="s">
        <v>472</v>
      </c>
      <c r="T1222" t="s">
        <v>3251</v>
      </c>
      <c r="U1222">
        <v>140</v>
      </c>
      <c r="V1222" t="s">
        <v>1327</v>
      </c>
      <c r="W1222">
        <v>140</v>
      </c>
      <c r="X1222" t="s">
        <v>1327</v>
      </c>
      <c r="Y1222" t="s">
        <v>3250</v>
      </c>
      <c r="Z1222" t="s">
        <v>3250</v>
      </c>
      <c r="AA1222" t="s">
        <v>3108</v>
      </c>
      <c r="AB1222" t="s">
        <v>3108</v>
      </c>
      <c r="AC1222" t="s">
        <v>3250</v>
      </c>
      <c r="AD1222" t="s">
        <v>3250</v>
      </c>
      <c r="AE1222" t="s">
        <v>3250</v>
      </c>
      <c r="AF1222" t="s">
        <v>3250</v>
      </c>
      <c r="AG1222" t="s">
        <v>3250</v>
      </c>
      <c r="AH1222" t="s">
        <v>3250</v>
      </c>
      <c r="AI1222" t="s">
        <v>3250</v>
      </c>
      <c r="AJ1222" t="s">
        <v>3250</v>
      </c>
      <c r="AL1222">
        <v>141</v>
      </c>
      <c r="AM1222" t="s">
        <v>1327</v>
      </c>
      <c r="AN1222">
        <v>141</v>
      </c>
      <c r="AO1222" t="s">
        <v>1327</v>
      </c>
      <c r="AS1222" t="s">
        <v>3250</v>
      </c>
      <c r="AT1222" t="s">
        <v>3250</v>
      </c>
      <c r="AU1222" t="s">
        <v>3250</v>
      </c>
      <c r="AV1222" t="s">
        <v>3250</v>
      </c>
      <c r="AW1222" t="s">
        <v>3250</v>
      </c>
      <c r="AX1222" t="s">
        <v>3250</v>
      </c>
      <c r="AY1222" t="s">
        <v>3250</v>
      </c>
      <c r="AZ1222" t="s">
        <v>3250</v>
      </c>
      <c r="BA1222" t="s">
        <v>3250</v>
      </c>
      <c r="BB1222" t="s">
        <v>3250</v>
      </c>
      <c r="BC1222" t="s">
        <v>3250</v>
      </c>
      <c r="BE1222" t="s">
        <v>3250</v>
      </c>
      <c r="BF1222" t="s">
        <v>3250</v>
      </c>
      <c r="BG1222" t="s">
        <v>3250</v>
      </c>
      <c r="BH1222" t="s">
        <v>3250</v>
      </c>
      <c r="BI1222" t="s">
        <v>3250</v>
      </c>
      <c r="BK1222" t="s">
        <v>3250</v>
      </c>
      <c r="BL1222" t="s">
        <v>3250</v>
      </c>
      <c r="BM1222" t="s">
        <v>3250</v>
      </c>
      <c r="BN1222" t="s">
        <v>3250</v>
      </c>
      <c r="BP1222">
        <v>1</v>
      </c>
      <c r="BQ1222">
        <v>11</v>
      </c>
      <c r="BR1222" t="s">
        <v>1574</v>
      </c>
      <c r="BS1222" t="s">
        <v>3252</v>
      </c>
      <c r="BV1222">
        <v>0</v>
      </c>
      <c r="BW1222">
        <v>0</v>
      </c>
      <c r="BX1222">
        <v>0</v>
      </c>
      <c r="BY1222">
        <v>0</v>
      </c>
      <c r="BZ1222">
        <v>0</v>
      </c>
      <c r="CA1222">
        <v>0</v>
      </c>
      <c r="CB1222">
        <v>0</v>
      </c>
      <c r="CC1222">
        <v>0</v>
      </c>
      <c r="CD1222">
        <v>0</v>
      </c>
      <c r="CE1222" t="s">
        <v>3108</v>
      </c>
      <c r="CF1222" t="s">
        <v>3108</v>
      </c>
      <c r="CG1222" t="s">
        <v>3108</v>
      </c>
      <c r="CH1222" t="s">
        <v>3108</v>
      </c>
    </row>
    <row r="1223" spans="1:86" x14ac:dyDescent="0.2">
      <c r="A1223" t="s">
        <v>5060</v>
      </c>
      <c r="B1223" t="s">
        <v>5060</v>
      </c>
      <c r="C1223">
        <v>41700</v>
      </c>
      <c r="D1223">
        <v>969</v>
      </c>
      <c r="E1223" t="s">
        <v>3390</v>
      </c>
      <c r="F1223" t="s">
        <v>3249</v>
      </c>
      <c r="G1223" t="s">
        <v>3249</v>
      </c>
      <c r="H1223" t="s">
        <v>3250</v>
      </c>
      <c r="I1223" t="s">
        <v>3250</v>
      </c>
      <c r="J1223" t="s">
        <v>3250</v>
      </c>
      <c r="K1223" t="s">
        <v>3250</v>
      </c>
      <c r="L1223">
        <v>1200</v>
      </c>
      <c r="M1223" t="s">
        <v>2368</v>
      </c>
      <c r="N1223">
        <v>1204</v>
      </c>
      <c r="O1223" t="s">
        <v>1574</v>
      </c>
      <c r="P1223" t="s">
        <v>3108</v>
      </c>
      <c r="Q1223" t="s">
        <v>3249</v>
      </c>
      <c r="R1223" t="s">
        <v>3249</v>
      </c>
      <c r="S1223" t="s">
        <v>472</v>
      </c>
      <c r="T1223" t="s">
        <v>3251</v>
      </c>
      <c r="U1223">
        <v>140</v>
      </c>
      <c r="V1223" t="s">
        <v>1327</v>
      </c>
      <c r="W1223">
        <v>140</v>
      </c>
      <c r="X1223" t="s">
        <v>1327</v>
      </c>
      <c r="Y1223" t="s">
        <v>3250</v>
      </c>
      <c r="Z1223" t="s">
        <v>3250</v>
      </c>
      <c r="AA1223" t="s">
        <v>3108</v>
      </c>
      <c r="AB1223" t="s">
        <v>3108</v>
      </c>
      <c r="AC1223" t="s">
        <v>3250</v>
      </c>
      <c r="AD1223" t="s">
        <v>3250</v>
      </c>
      <c r="AE1223" t="s">
        <v>3250</v>
      </c>
      <c r="AF1223" t="s">
        <v>3250</v>
      </c>
      <c r="AG1223" t="s">
        <v>3250</v>
      </c>
      <c r="AH1223" t="s">
        <v>3250</v>
      </c>
      <c r="AI1223" t="s">
        <v>3250</v>
      </c>
      <c r="AJ1223" t="s">
        <v>3250</v>
      </c>
      <c r="AL1223">
        <v>146</v>
      </c>
      <c r="AM1223" t="s">
        <v>5</v>
      </c>
      <c r="AN1223">
        <v>146</v>
      </c>
      <c r="AO1223" t="s">
        <v>5</v>
      </c>
      <c r="AS1223" t="s">
        <v>3250</v>
      </c>
      <c r="AT1223" t="s">
        <v>3250</v>
      </c>
      <c r="AU1223" t="s">
        <v>3250</v>
      </c>
      <c r="AV1223" t="s">
        <v>3250</v>
      </c>
      <c r="AW1223" t="s">
        <v>3250</v>
      </c>
      <c r="AX1223" t="s">
        <v>3250</v>
      </c>
      <c r="AY1223" t="s">
        <v>3250</v>
      </c>
      <c r="AZ1223" t="s">
        <v>3250</v>
      </c>
      <c r="BA1223" t="s">
        <v>3250</v>
      </c>
      <c r="BB1223" t="s">
        <v>3250</v>
      </c>
      <c r="BC1223" t="s">
        <v>3250</v>
      </c>
      <c r="BE1223" t="s">
        <v>3250</v>
      </c>
      <c r="BF1223" t="s">
        <v>3250</v>
      </c>
      <c r="BG1223" t="s">
        <v>3250</v>
      </c>
      <c r="BH1223" t="s">
        <v>3250</v>
      </c>
      <c r="BI1223" t="s">
        <v>3250</v>
      </c>
      <c r="BK1223" t="s">
        <v>3250</v>
      </c>
      <c r="BL1223" t="s">
        <v>3250</v>
      </c>
      <c r="BM1223" t="s">
        <v>3250</v>
      </c>
      <c r="BN1223" t="s">
        <v>3250</v>
      </c>
      <c r="BP1223">
        <v>1</v>
      </c>
      <c r="BQ1223">
        <v>11</v>
      </c>
      <c r="BR1223" t="s">
        <v>1574</v>
      </c>
      <c r="BS1223" t="s">
        <v>3252</v>
      </c>
      <c r="BV1223">
        <v>0</v>
      </c>
      <c r="BW1223">
        <v>0</v>
      </c>
      <c r="BX1223">
        <v>0</v>
      </c>
      <c r="BY1223">
        <v>0</v>
      </c>
      <c r="BZ1223">
        <v>0</v>
      </c>
      <c r="CA1223">
        <v>0</v>
      </c>
      <c r="CB1223">
        <v>0</v>
      </c>
      <c r="CC1223">
        <v>0</v>
      </c>
      <c r="CD1223">
        <v>0</v>
      </c>
      <c r="CE1223" t="s">
        <v>3108</v>
      </c>
      <c r="CF1223" t="s">
        <v>3108</v>
      </c>
      <c r="CG1223" t="s">
        <v>3108</v>
      </c>
      <c r="CH1223" t="s">
        <v>3108</v>
      </c>
    </row>
    <row r="1224" spans="1:86" x14ac:dyDescent="0.2">
      <c r="A1224" t="s">
        <v>5061</v>
      </c>
      <c r="B1224" t="s">
        <v>5061</v>
      </c>
      <c r="C1224">
        <v>41701</v>
      </c>
      <c r="D1224">
        <v>970</v>
      </c>
      <c r="E1224" t="s">
        <v>3674</v>
      </c>
      <c r="F1224" t="s">
        <v>3249</v>
      </c>
      <c r="G1224" t="s">
        <v>3249</v>
      </c>
      <c r="H1224" t="s">
        <v>3250</v>
      </c>
      <c r="I1224" t="s">
        <v>3250</v>
      </c>
      <c r="J1224" t="s">
        <v>3250</v>
      </c>
      <c r="K1224" t="s">
        <v>3250</v>
      </c>
      <c r="L1224">
        <v>1200</v>
      </c>
      <c r="M1224" t="s">
        <v>2368</v>
      </c>
      <c r="N1224">
        <v>1204</v>
      </c>
      <c r="O1224" t="s">
        <v>1574</v>
      </c>
      <c r="P1224" t="s">
        <v>3108</v>
      </c>
      <c r="Q1224" t="s">
        <v>3249</v>
      </c>
      <c r="R1224" t="s">
        <v>3249</v>
      </c>
      <c r="S1224" t="s">
        <v>472</v>
      </c>
      <c r="T1224" t="s">
        <v>3251</v>
      </c>
      <c r="U1224">
        <v>140</v>
      </c>
      <c r="V1224" t="s">
        <v>1327</v>
      </c>
      <c r="W1224">
        <v>140</v>
      </c>
      <c r="X1224" t="s">
        <v>1327</v>
      </c>
      <c r="Y1224" t="s">
        <v>3250</v>
      </c>
      <c r="Z1224" t="s">
        <v>3250</v>
      </c>
      <c r="AA1224" t="s">
        <v>3108</v>
      </c>
      <c r="AB1224" t="s">
        <v>3108</v>
      </c>
      <c r="AC1224" t="s">
        <v>3250</v>
      </c>
      <c r="AD1224" t="s">
        <v>3250</v>
      </c>
      <c r="AE1224" t="s">
        <v>3250</v>
      </c>
      <c r="AF1224" t="s">
        <v>3250</v>
      </c>
      <c r="AG1224" t="s">
        <v>3250</v>
      </c>
      <c r="AH1224" t="s">
        <v>3250</v>
      </c>
      <c r="AI1224" t="s">
        <v>3250</v>
      </c>
      <c r="AJ1224" t="s">
        <v>3250</v>
      </c>
      <c r="AL1224">
        <v>146</v>
      </c>
      <c r="AM1224" t="s">
        <v>5</v>
      </c>
      <c r="AN1224">
        <v>146</v>
      </c>
      <c r="AO1224" t="s">
        <v>5</v>
      </c>
      <c r="AS1224" t="s">
        <v>3250</v>
      </c>
      <c r="AT1224" t="s">
        <v>3250</v>
      </c>
      <c r="AU1224" t="s">
        <v>3250</v>
      </c>
      <c r="AV1224" t="s">
        <v>3250</v>
      </c>
      <c r="AW1224" t="s">
        <v>3250</v>
      </c>
      <c r="AX1224" t="s">
        <v>3250</v>
      </c>
      <c r="AY1224" t="s">
        <v>3250</v>
      </c>
      <c r="AZ1224" t="s">
        <v>3250</v>
      </c>
      <c r="BA1224" t="s">
        <v>3250</v>
      </c>
      <c r="BB1224" t="s">
        <v>3250</v>
      </c>
      <c r="BC1224" t="s">
        <v>3250</v>
      </c>
      <c r="BE1224" t="s">
        <v>3250</v>
      </c>
      <c r="BF1224" t="s">
        <v>3250</v>
      </c>
      <c r="BG1224" t="s">
        <v>3250</v>
      </c>
      <c r="BH1224" t="s">
        <v>3250</v>
      </c>
      <c r="BI1224" t="s">
        <v>3250</v>
      </c>
      <c r="BK1224" t="s">
        <v>3250</v>
      </c>
      <c r="BL1224" t="s">
        <v>3250</v>
      </c>
      <c r="BM1224" t="s">
        <v>3250</v>
      </c>
      <c r="BN1224" t="s">
        <v>3250</v>
      </c>
      <c r="BP1224">
        <v>1</v>
      </c>
      <c r="BQ1224">
        <v>11</v>
      </c>
      <c r="BR1224" t="s">
        <v>1574</v>
      </c>
      <c r="BS1224" t="s">
        <v>3252</v>
      </c>
      <c r="BV1224">
        <v>-6543608</v>
      </c>
      <c r="BW1224">
        <v>-6051427</v>
      </c>
      <c r="BX1224">
        <v>-4470499</v>
      </c>
      <c r="BY1224">
        <v>0</v>
      </c>
      <c r="BZ1224">
        <v>0</v>
      </c>
      <c r="CA1224">
        <v>0</v>
      </c>
      <c r="CB1224">
        <v>0</v>
      </c>
      <c r="CC1224">
        <v>0</v>
      </c>
      <c r="CD1224">
        <v>-6543608</v>
      </c>
      <c r="CE1224" t="s">
        <v>3108</v>
      </c>
      <c r="CF1224" t="s">
        <v>3108</v>
      </c>
      <c r="CG1224" t="s">
        <v>3108</v>
      </c>
      <c r="CH1224" t="s">
        <v>3108</v>
      </c>
    </row>
    <row r="1225" spans="1:86" x14ac:dyDescent="0.2">
      <c r="A1225" t="s">
        <v>5062</v>
      </c>
      <c r="B1225" t="s">
        <v>5062</v>
      </c>
      <c r="C1225">
        <v>41702</v>
      </c>
      <c r="D1225">
        <v>971</v>
      </c>
      <c r="E1225" t="s">
        <v>5063</v>
      </c>
      <c r="F1225" t="s">
        <v>3249</v>
      </c>
      <c r="G1225" t="s">
        <v>3249</v>
      </c>
      <c r="H1225" t="s">
        <v>3250</v>
      </c>
      <c r="I1225" t="s">
        <v>3250</v>
      </c>
      <c r="J1225" t="s">
        <v>3250</v>
      </c>
      <c r="K1225" t="s">
        <v>3250</v>
      </c>
      <c r="L1225">
        <v>1200</v>
      </c>
      <c r="M1225" t="s">
        <v>2368</v>
      </c>
      <c r="N1225">
        <v>1204</v>
      </c>
      <c r="O1225" t="s">
        <v>1574</v>
      </c>
      <c r="P1225" t="s">
        <v>3108</v>
      </c>
      <c r="Q1225" t="s">
        <v>3249</v>
      </c>
      <c r="R1225" t="s">
        <v>3249</v>
      </c>
      <c r="S1225" t="s">
        <v>472</v>
      </c>
      <c r="T1225" t="s">
        <v>3251</v>
      </c>
      <c r="U1225">
        <v>140</v>
      </c>
      <c r="V1225" t="s">
        <v>1327</v>
      </c>
      <c r="W1225">
        <v>140</v>
      </c>
      <c r="X1225" t="s">
        <v>1327</v>
      </c>
      <c r="Y1225" t="s">
        <v>3250</v>
      </c>
      <c r="Z1225" t="s">
        <v>3250</v>
      </c>
      <c r="AA1225" t="s">
        <v>3108</v>
      </c>
      <c r="AB1225" t="s">
        <v>3108</v>
      </c>
      <c r="AC1225" t="s">
        <v>3250</v>
      </c>
      <c r="AD1225" t="s">
        <v>3250</v>
      </c>
      <c r="AE1225" t="s">
        <v>3250</v>
      </c>
      <c r="AF1225" t="s">
        <v>3250</v>
      </c>
      <c r="AG1225" t="s">
        <v>3250</v>
      </c>
      <c r="AH1225" t="s">
        <v>3250</v>
      </c>
      <c r="AI1225" t="s">
        <v>3250</v>
      </c>
      <c r="AJ1225" t="s">
        <v>3250</v>
      </c>
      <c r="AL1225">
        <v>141</v>
      </c>
      <c r="AM1225" t="s">
        <v>1327</v>
      </c>
      <c r="AN1225">
        <v>141</v>
      </c>
      <c r="AO1225" t="s">
        <v>1327</v>
      </c>
      <c r="AS1225" t="s">
        <v>3250</v>
      </c>
      <c r="AT1225" t="s">
        <v>3250</v>
      </c>
      <c r="AU1225" t="s">
        <v>3250</v>
      </c>
      <c r="AV1225" t="s">
        <v>3250</v>
      </c>
      <c r="AW1225" t="s">
        <v>3250</v>
      </c>
      <c r="AX1225" t="s">
        <v>3250</v>
      </c>
      <c r="AY1225" t="s">
        <v>3250</v>
      </c>
      <c r="AZ1225" t="s">
        <v>3250</v>
      </c>
      <c r="BA1225" t="s">
        <v>3250</v>
      </c>
      <c r="BB1225" t="s">
        <v>3250</v>
      </c>
      <c r="BC1225" t="s">
        <v>3250</v>
      </c>
      <c r="BE1225" t="s">
        <v>3250</v>
      </c>
      <c r="BF1225" t="s">
        <v>3250</v>
      </c>
      <c r="BG1225" t="s">
        <v>3250</v>
      </c>
      <c r="BH1225" t="s">
        <v>3250</v>
      </c>
      <c r="BI1225" t="s">
        <v>3250</v>
      </c>
      <c r="BK1225" t="s">
        <v>3250</v>
      </c>
      <c r="BL1225" t="s">
        <v>3250</v>
      </c>
      <c r="BM1225" t="s">
        <v>3250</v>
      </c>
      <c r="BN1225" t="s">
        <v>3250</v>
      </c>
      <c r="BP1225">
        <v>1</v>
      </c>
      <c r="BQ1225">
        <v>11</v>
      </c>
      <c r="BR1225" t="s">
        <v>1574</v>
      </c>
      <c r="BS1225" t="s">
        <v>3252</v>
      </c>
      <c r="BV1225">
        <v>0</v>
      </c>
      <c r="BW1225">
        <v>0</v>
      </c>
      <c r="BX1225">
        <v>0</v>
      </c>
      <c r="BY1225">
        <v>0</v>
      </c>
      <c r="BZ1225">
        <v>0</v>
      </c>
      <c r="CA1225">
        <v>0</v>
      </c>
      <c r="CB1225">
        <v>0</v>
      </c>
      <c r="CC1225">
        <v>0</v>
      </c>
      <c r="CD1225">
        <v>0</v>
      </c>
      <c r="CE1225" t="s">
        <v>3108</v>
      </c>
      <c r="CF1225" t="s">
        <v>3108</v>
      </c>
      <c r="CG1225" t="s">
        <v>3108</v>
      </c>
      <c r="CH1225" t="s">
        <v>3108</v>
      </c>
    </row>
    <row r="1226" spans="1:86" x14ac:dyDescent="0.2">
      <c r="A1226" t="s">
        <v>5064</v>
      </c>
      <c r="B1226" t="s">
        <v>5064</v>
      </c>
      <c r="C1226">
        <v>41703</v>
      </c>
      <c r="D1226">
        <v>972</v>
      </c>
      <c r="E1226" t="s">
        <v>3282</v>
      </c>
      <c r="F1226" t="s">
        <v>3249</v>
      </c>
      <c r="G1226" t="s">
        <v>3249</v>
      </c>
      <c r="H1226" t="s">
        <v>3250</v>
      </c>
      <c r="I1226" t="s">
        <v>3250</v>
      </c>
      <c r="J1226" t="s">
        <v>3250</v>
      </c>
      <c r="K1226" t="s">
        <v>3250</v>
      </c>
      <c r="L1226">
        <v>1200</v>
      </c>
      <c r="M1226" t="s">
        <v>2368</v>
      </c>
      <c r="N1226">
        <v>1204</v>
      </c>
      <c r="O1226" t="s">
        <v>1574</v>
      </c>
      <c r="P1226" t="s">
        <v>3108</v>
      </c>
      <c r="Q1226" t="s">
        <v>3249</v>
      </c>
      <c r="R1226" t="s">
        <v>3249</v>
      </c>
      <c r="S1226" t="s">
        <v>472</v>
      </c>
      <c r="T1226" t="s">
        <v>3251</v>
      </c>
      <c r="U1226">
        <v>140</v>
      </c>
      <c r="V1226" t="s">
        <v>1327</v>
      </c>
      <c r="W1226">
        <v>140</v>
      </c>
      <c r="X1226" t="s">
        <v>1327</v>
      </c>
      <c r="Y1226" t="s">
        <v>3250</v>
      </c>
      <c r="Z1226" t="s">
        <v>3250</v>
      </c>
      <c r="AA1226" t="s">
        <v>3108</v>
      </c>
      <c r="AB1226" t="s">
        <v>3108</v>
      </c>
      <c r="AC1226" t="s">
        <v>3250</v>
      </c>
      <c r="AD1226" t="s">
        <v>3250</v>
      </c>
      <c r="AE1226" t="s">
        <v>3250</v>
      </c>
      <c r="AF1226" t="s">
        <v>3250</v>
      </c>
      <c r="AG1226" t="s">
        <v>3250</v>
      </c>
      <c r="AH1226" t="s">
        <v>3250</v>
      </c>
      <c r="AI1226" t="s">
        <v>3250</v>
      </c>
      <c r="AJ1226" t="s">
        <v>3250</v>
      </c>
      <c r="AL1226">
        <v>147</v>
      </c>
      <c r="AM1226" t="s">
        <v>6</v>
      </c>
      <c r="AN1226">
        <v>147</v>
      </c>
      <c r="AO1226" t="s">
        <v>6</v>
      </c>
      <c r="AS1226" t="s">
        <v>3250</v>
      </c>
      <c r="AT1226" t="s">
        <v>3250</v>
      </c>
      <c r="AU1226" t="s">
        <v>3250</v>
      </c>
      <c r="AV1226" t="s">
        <v>3250</v>
      </c>
      <c r="AW1226" t="s">
        <v>3250</v>
      </c>
      <c r="AX1226" t="s">
        <v>3250</v>
      </c>
      <c r="AY1226" t="s">
        <v>3250</v>
      </c>
      <c r="AZ1226" t="s">
        <v>3250</v>
      </c>
      <c r="BA1226" t="s">
        <v>3250</v>
      </c>
      <c r="BB1226" t="s">
        <v>3250</v>
      </c>
      <c r="BC1226" t="s">
        <v>3250</v>
      </c>
      <c r="BE1226" t="s">
        <v>3250</v>
      </c>
      <c r="BF1226" t="s">
        <v>3250</v>
      </c>
      <c r="BG1226" t="s">
        <v>3250</v>
      </c>
      <c r="BH1226" t="s">
        <v>3250</v>
      </c>
      <c r="BI1226" t="s">
        <v>3250</v>
      </c>
      <c r="BK1226" t="s">
        <v>3250</v>
      </c>
      <c r="BL1226" t="s">
        <v>3250</v>
      </c>
      <c r="BM1226" t="s">
        <v>3250</v>
      </c>
      <c r="BN1226" t="s">
        <v>3250</v>
      </c>
      <c r="BP1226">
        <v>1</v>
      </c>
      <c r="BQ1226">
        <v>11</v>
      </c>
      <c r="BR1226" t="s">
        <v>1574</v>
      </c>
      <c r="BS1226" t="s">
        <v>3252</v>
      </c>
      <c r="BV1226">
        <v>0</v>
      </c>
      <c r="BW1226">
        <v>0</v>
      </c>
      <c r="BX1226">
        <v>0</v>
      </c>
      <c r="BY1226">
        <v>0</v>
      </c>
      <c r="BZ1226">
        <v>0</v>
      </c>
      <c r="CA1226">
        <v>0</v>
      </c>
      <c r="CB1226">
        <v>0</v>
      </c>
      <c r="CC1226">
        <v>0</v>
      </c>
      <c r="CD1226">
        <v>0</v>
      </c>
      <c r="CE1226" t="s">
        <v>3108</v>
      </c>
      <c r="CF1226" t="s">
        <v>3108</v>
      </c>
      <c r="CG1226" t="s">
        <v>3108</v>
      </c>
      <c r="CH1226" t="s">
        <v>3108</v>
      </c>
    </row>
    <row r="1227" spans="1:86" x14ac:dyDescent="0.2">
      <c r="A1227" t="s">
        <v>5065</v>
      </c>
      <c r="B1227" t="s">
        <v>5065</v>
      </c>
      <c r="C1227">
        <v>41704</v>
      </c>
      <c r="D1227">
        <v>973</v>
      </c>
      <c r="E1227" t="s">
        <v>3676</v>
      </c>
      <c r="F1227" t="s">
        <v>3249</v>
      </c>
      <c r="G1227" t="s">
        <v>3249</v>
      </c>
      <c r="H1227" t="s">
        <v>3250</v>
      </c>
      <c r="I1227" t="s">
        <v>3250</v>
      </c>
      <c r="J1227" t="s">
        <v>3250</v>
      </c>
      <c r="K1227" t="s">
        <v>3250</v>
      </c>
      <c r="L1227">
        <v>1200</v>
      </c>
      <c r="M1227" t="s">
        <v>2368</v>
      </c>
      <c r="N1227">
        <v>1204</v>
      </c>
      <c r="O1227" t="s">
        <v>1574</v>
      </c>
      <c r="P1227" t="s">
        <v>3108</v>
      </c>
      <c r="Q1227" t="s">
        <v>3249</v>
      </c>
      <c r="R1227" t="s">
        <v>3249</v>
      </c>
      <c r="S1227" t="s">
        <v>472</v>
      </c>
      <c r="T1227" t="s">
        <v>3251</v>
      </c>
      <c r="U1227">
        <v>140</v>
      </c>
      <c r="V1227" t="s">
        <v>1327</v>
      </c>
      <c r="W1227">
        <v>140</v>
      </c>
      <c r="X1227" t="s">
        <v>1327</v>
      </c>
      <c r="Y1227" t="s">
        <v>3250</v>
      </c>
      <c r="Z1227" t="s">
        <v>3250</v>
      </c>
      <c r="AA1227" t="s">
        <v>3108</v>
      </c>
      <c r="AB1227" t="s">
        <v>3108</v>
      </c>
      <c r="AC1227" t="s">
        <v>3250</v>
      </c>
      <c r="AD1227" t="s">
        <v>3250</v>
      </c>
      <c r="AE1227" t="s">
        <v>3250</v>
      </c>
      <c r="AF1227" t="s">
        <v>3250</v>
      </c>
      <c r="AG1227" t="s">
        <v>3250</v>
      </c>
      <c r="AH1227" t="s">
        <v>3250</v>
      </c>
      <c r="AI1227" t="s">
        <v>3250</v>
      </c>
      <c r="AJ1227" t="s">
        <v>3250</v>
      </c>
      <c r="AL1227">
        <v>146</v>
      </c>
      <c r="AM1227" t="s">
        <v>5</v>
      </c>
      <c r="AN1227">
        <v>146</v>
      </c>
      <c r="AO1227" t="s">
        <v>5</v>
      </c>
      <c r="AS1227" t="s">
        <v>3250</v>
      </c>
      <c r="AT1227" t="s">
        <v>3250</v>
      </c>
      <c r="AU1227" t="s">
        <v>3250</v>
      </c>
      <c r="AV1227" t="s">
        <v>3250</v>
      </c>
      <c r="AW1227" t="s">
        <v>3250</v>
      </c>
      <c r="AX1227" t="s">
        <v>3250</v>
      </c>
      <c r="AY1227" t="s">
        <v>3250</v>
      </c>
      <c r="AZ1227" t="s">
        <v>3250</v>
      </c>
      <c r="BA1227" t="s">
        <v>3250</v>
      </c>
      <c r="BB1227" t="s">
        <v>3250</v>
      </c>
      <c r="BC1227" t="s">
        <v>3250</v>
      </c>
      <c r="BE1227" t="s">
        <v>3250</v>
      </c>
      <c r="BF1227" t="s">
        <v>3250</v>
      </c>
      <c r="BG1227" t="s">
        <v>3250</v>
      </c>
      <c r="BH1227" t="s">
        <v>3250</v>
      </c>
      <c r="BI1227" t="s">
        <v>3250</v>
      </c>
      <c r="BK1227" t="s">
        <v>3250</v>
      </c>
      <c r="BL1227" t="s">
        <v>3250</v>
      </c>
      <c r="BM1227" t="s">
        <v>3250</v>
      </c>
      <c r="BN1227" t="s">
        <v>3250</v>
      </c>
      <c r="BP1227">
        <v>1</v>
      </c>
      <c r="BQ1227">
        <v>11</v>
      </c>
      <c r="BR1227" t="s">
        <v>1574</v>
      </c>
      <c r="BS1227" t="s">
        <v>3252</v>
      </c>
      <c r="BV1227">
        <v>0</v>
      </c>
      <c r="BW1227">
        <v>0</v>
      </c>
      <c r="BX1227">
        <v>0</v>
      </c>
      <c r="BY1227">
        <v>0</v>
      </c>
      <c r="BZ1227">
        <v>0</v>
      </c>
      <c r="CA1227">
        <v>0</v>
      </c>
      <c r="CB1227">
        <v>0</v>
      </c>
      <c r="CC1227">
        <v>0</v>
      </c>
      <c r="CD1227">
        <v>0</v>
      </c>
      <c r="CE1227" t="s">
        <v>3108</v>
      </c>
      <c r="CF1227" t="s">
        <v>3108</v>
      </c>
      <c r="CG1227" t="s">
        <v>3108</v>
      </c>
      <c r="CH1227" t="s">
        <v>3108</v>
      </c>
    </row>
    <row r="1228" spans="1:86" x14ac:dyDescent="0.2">
      <c r="A1228" t="s">
        <v>5066</v>
      </c>
      <c r="B1228" t="s">
        <v>5066</v>
      </c>
      <c r="C1228">
        <v>41705</v>
      </c>
      <c r="D1228">
        <v>974</v>
      </c>
      <c r="E1228" t="s">
        <v>3658</v>
      </c>
      <c r="F1228" t="s">
        <v>3249</v>
      </c>
      <c r="G1228" t="s">
        <v>3249</v>
      </c>
      <c r="H1228" t="s">
        <v>3250</v>
      </c>
      <c r="I1228" t="s">
        <v>3250</v>
      </c>
      <c r="J1228" t="s">
        <v>3250</v>
      </c>
      <c r="K1228" t="s">
        <v>3250</v>
      </c>
      <c r="L1228">
        <v>1200</v>
      </c>
      <c r="M1228" t="s">
        <v>2368</v>
      </c>
      <c r="N1228">
        <v>1204</v>
      </c>
      <c r="O1228" t="s">
        <v>1574</v>
      </c>
      <c r="P1228" t="s">
        <v>3108</v>
      </c>
      <c r="Q1228" t="s">
        <v>3249</v>
      </c>
      <c r="R1228" t="s">
        <v>3249</v>
      </c>
      <c r="S1228" t="s">
        <v>472</v>
      </c>
      <c r="T1228" t="s">
        <v>3251</v>
      </c>
      <c r="U1228">
        <v>140</v>
      </c>
      <c r="V1228" t="s">
        <v>1327</v>
      </c>
      <c r="W1228">
        <v>140</v>
      </c>
      <c r="X1228" t="s">
        <v>1327</v>
      </c>
      <c r="Y1228" t="s">
        <v>3250</v>
      </c>
      <c r="Z1228" t="s">
        <v>3250</v>
      </c>
      <c r="AA1228" t="s">
        <v>3108</v>
      </c>
      <c r="AB1228" t="s">
        <v>3108</v>
      </c>
      <c r="AC1228" t="s">
        <v>3250</v>
      </c>
      <c r="AD1228" t="s">
        <v>3250</v>
      </c>
      <c r="AE1228" t="s">
        <v>3250</v>
      </c>
      <c r="AF1228" t="s">
        <v>3250</v>
      </c>
      <c r="AG1228" t="s">
        <v>3250</v>
      </c>
      <c r="AH1228" t="s">
        <v>3250</v>
      </c>
      <c r="AI1228" t="s">
        <v>3250</v>
      </c>
      <c r="AJ1228" t="s">
        <v>3250</v>
      </c>
      <c r="AL1228">
        <v>146</v>
      </c>
      <c r="AM1228" t="s">
        <v>5</v>
      </c>
      <c r="AN1228">
        <v>146</v>
      </c>
      <c r="AO1228" t="s">
        <v>5</v>
      </c>
      <c r="AS1228" t="s">
        <v>3250</v>
      </c>
      <c r="AT1228" t="s">
        <v>3250</v>
      </c>
      <c r="AU1228" t="s">
        <v>3250</v>
      </c>
      <c r="AV1228" t="s">
        <v>3250</v>
      </c>
      <c r="AW1228" t="s">
        <v>3250</v>
      </c>
      <c r="AX1228" t="s">
        <v>3250</v>
      </c>
      <c r="AY1228" t="s">
        <v>3250</v>
      </c>
      <c r="AZ1228" t="s">
        <v>3250</v>
      </c>
      <c r="BA1228" t="s">
        <v>3250</v>
      </c>
      <c r="BB1228" t="s">
        <v>3250</v>
      </c>
      <c r="BC1228" t="s">
        <v>3250</v>
      </c>
      <c r="BE1228" t="s">
        <v>3250</v>
      </c>
      <c r="BF1228" t="s">
        <v>3250</v>
      </c>
      <c r="BG1228" t="s">
        <v>3250</v>
      </c>
      <c r="BH1228" t="s">
        <v>3250</v>
      </c>
      <c r="BI1228" t="s">
        <v>3250</v>
      </c>
      <c r="BK1228" t="s">
        <v>3250</v>
      </c>
      <c r="BL1228" t="s">
        <v>3250</v>
      </c>
      <c r="BM1228" t="s">
        <v>3250</v>
      </c>
      <c r="BN1228" t="s">
        <v>3250</v>
      </c>
      <c r="BP1228">
        <v>1</v>
      </c>
      <c r="BQ1228">
        <v>11</v>
      </c>
      <c r="BR1228" t="s">
        <v>1574</v>
      </c>
      <c r="BS1228" t="s">
        <v>3252</v>
      </c>
      <c r="BV1228">
        <v>0</v>
      </c>
      <c r="BW1228">
        <v>0</v>
      </c>
      <c r="BX1228">
        <v>0</v>
      </c>
      <c r="BY1228">
        <v>0</v>
      </c>
      <c r="BZ1228">
        <v>0</v>
      </c>
      <c r="CA1228">
        <v>0</v>
      </c>
      <c r="CB1228">
        <v>0</v>
      </c>
      <c r="CC1228">
        <v>0</v>
      </c>
      <c r="CD1228">
        <v>0</v>
      </c>
      <c r="CE1228" t="s">
        <v>3108</v>
      </c>
      <c r="CF1228" t="s">
        <v>3108</v>
      </c>
      <c r="CG1228" t="s">
        <v>3108</v>
      </c>
      <c r="CH1228" t="s">
        <v>3108</v>
      </c>
    </row>
    <row r="1229" spans="1:86" x14ac:dyDescent="0.2">
      <c r="A1229" t="s">
        <v>5067</v>
      </c>
      <c r="B1229" t="s">
        <v>5067</v>
      </c>
      <c r="C1229">
        <v>41706</v>
      </c>
      <c r="D1229">
        <v>975</v>
      </c>
      <c r="E1229" t="s">
        <v>3284</v>
      </c>
      <c r="F1229" t="s">
        <v>3249</v>
      </c>
      <c r="G1229" t="s">
        <v>3249</v>
      </c>
      <c r="H1229" t="s">
        <v>3250</v>
      </c>
      <c r="I1229" t="s">
        <v>3250</v>
      </c>
      <c r="J1229" t="s">
        <v>3250</v>
      </c>
      <c r="K1229" t="s">
        <v>3250</v>
      </c>
      <c r="L1229">
        <v>1200</v>
      </c>
      <c r="M1229" t="s">
        <v>2368</v>
      </c>
      <c r="N1229">
        <v>1204</v>
      </c>
      <c r="O1229" t="s">
        <v>1574</v>
      </c>
      <c r="P1229" t="s">
        <v>3108</v>
      </c>
      <c r="Q1229" t="s">
        <v>3249</v>
      </c>
      <c r="R1229" t="s">
        <v>3249</v>
      </c>
      <c r="S1229" t="s">
        <v>472</v>
      </c>
      <c r="T1229" t="s">
        <v>3251</v>
      </c>
      <c r="U1229">
        <v>140</v>
      </c>
      <c r="V1229" t="s">
        <v>1327</v>
      </c>
      <c r="W1229">
        <v>140</v>
      </c>
      <c r="X1229" t="s">
        <v>1327</v>
      </c>
      <c r="Y1229" t="s">
        <v>3250</v>
      </c>
      <c r="Z1229" t="s">
        <v>3250</v>
      </c>
      <c r="AA1229" t="s">
        <v>3108</v>
      </c>
      <c r="AB1229" t="s">
        <v>3108</v>
      </c>
      <c r="AC1229" t="s">
        <v>3250</v>
      </c>
      <c r="AD1229" t="s">
        <v>3250</v>
      </c>
      <c r="AE1229" t="s">
        <v>3250</v>
      </c>
      <c r="AF1229" t="s">
        <v>3250</v>
      </c>
      <c r="AG1229" t="s">
        <v>3250</v>
      </c>
      <c r="AH1229" t="s">
        <v>3250</v>
      </c>
      <c r="AI1229" t="s">
        <v>3250</v>
      </c>
      <c r="AJ1229" t="s">
        <v>3250</v>
      </c>
      <c r="AL1229">
        <v>141</v>
      </c>
      <c r="AM1229" t="s">
        <v>1327</v>
      </c>
      <c r="AN1229">
        <v>141</v>
      </c>
      <c r="AO1229" t="s">
        <v>1327</v>
      </c>
      <c r="AS1229" t="s">
        <v>3250</v>
      </c>
      <c r="AT1229" t="s">
        <v>3250</v>
      </c>
      <c r="AU1229" t="s">
        <v>3250</v>
      </c>
      <c r="AV1229" t="s">
        <v>3250</v>
      </c>
      <c r="AW1229" t="s">
        <v>3250</v>
      </c>
      <c r="AX1229" t="s">
        <v>3250</v>
      </c>
      <c r="AY1229" t="s">
        <v>3250</v>
      </c>
      <c r="AZ1229" t="s">
        <v>3250</v>
      </c>
      <c r="BA1229" t="s">
        <v>3250</v>
      </c>
      <c r="BB1229" t="s">
        <v>3250</v>
      </c>
      <c r="BC1229" t="s">
        <v>3250</v>
      </c>
      <c r="BE1229" t="s">
        <v>3250</v>
      </c>
      <c r="BF1229" t="s">
        <v>3250</v>
      </c>
      <c r="BG1229" t="s">
        <v>3250</v>
      </c>
      <c r="BH1229" t="s">
        <v>3250</v>
      </c>
      <c r="BI1229" t="s">
        <v>3250</v>
      </c>
      <c r="BK1229" t="s">
        <v>3250</v>
      </c>
      <c r="BL1229" t="s">
        <v>3250</v>
      </c>
      <c r="BM1229" t="s">
        <v>3250</v>
      </c>
      <c r="BN1229" t="s">
        <v>3250</v>
      </c>
      <c r="BP1229">
        <v>1</v>
      </c>
      <c r="BQ1229">
        <v>11</v>
      </c>
      <c r="BR1229" t="s">
        <v>1574</v>
      </c>
      <c r="BS1229" t="s">
        <v>3252</v>
      </c>
      <c r="BV1229">
        <v>0</v>
      </c>
      <c r="BW1229">
        <v>0</v>
      </c>
      <c r="BX1229">
        <v>0</v>
      </c>
      <c r="BY1229">
        <v>0</v>
      </c>
      <c r="BZ1229">
        <v>0</v>
      </c>
      <c r="CA1229">
        <v>0</v>
      </c>
      <c r="CB1229">
        <v>0</v>
      </c>
      <c r="CC1229">
        <v>0</v>
      </c>
      <c r="CD1229">
        <v>0</v>
      </c>
      <c r="CE1229" t="s">
        <v>3108</v>
      </c>
      <c r="CF1229" t="s">
        <v>3108</v>
      </c>
      <c r="CG1229" t="s">
        <v>3108</v>
      </c>
      <c r="CH1229" t="s">
        <v>3108</v>
      </c>
    </row>
    <row r="1230" spans="1:86" x14ac:dyDescent="0.2">
      <c r="A1230" t="s">
        <v>5068</v>
      </c>
      <c r="B1230" t="s">
        <v>5068</v>
      </c>
      <c r="C1230">
        <v>41707</v>
      </c>
      <c r="D1230">
        <v>976</v>
      </c>
      <c r="E1230" t="s">
        <v>3660</v>
      </c>
      <c r="F1230" t="s">
        <v>3249</v>
      </c>
      <c r="G1230" t="s">
        <v>3249</v>
      </c>
      <c r="H1230" t="s">
        <v>3250</v>
      </c>
      <c r="I1230" t="s">
        <v>3250</v>
      </c>
      <c r="J1230" t="s">
        <v>3250</v>
      </c>
      <c r="K1230" t="s">
        <v>3250</v>
      </c>
      <c r="L1230">
        <v>1200</v>
      </c>
      <c r="M1230" t="s">
        <v>2368</v>
      </c>
      <c r="N1230">
        <v>1204</v>
      </c>
      <c r="O1230" t="s">
        <v>1574</v>
      </c>
      <c r="P1230" t="s">
        <v>3108</v>
      </c>
      <c r="Q1230" t="s">
        <v>3249</v>
      </c>
      <c r="R1230" t="s">
        <v>3249</v>
      </c>
      <c r="S1230" t="s">
        <v>472</v>
      </c>
      <c r="T1230" t="s">
        <v>3251</v>
      </c>
      <c r="U1230">
        <v>140</v>
      </c>
      <c r="V1230" t="s">
        <v>1327</v>
      </c>
      <c r="W1230">
        <v>140</v>
      </c>
      <c r="X1230" t="s">
        <v>1327</v>
      </c>
      <c r="Y1230" t="s">
        <v>3250</v>
      </c>
      <c r="Z1230" t="s">
        <v>3250</v>
      </c>
      <c r="AA1230" t="s">
        <v>3108</v>
      </c>
      <c r="AB1230" t="s">
        <v>3108</v>
      </c>
      <c r="AC1230" t="s">
        <v>3250</v>
      </c>
      <c r="AD1230" t="s">
        <v>3250</v>
      </c>
      <c r="AE1230" t="s">
        <v>3250</v>
      </c>
      <c r="AF1230" t="s">
        <v>3250</v>
      </c>
      <c r="AG1230" t="s">
        <v>3250</v>
      </c>
      <c r="AH1230" t="s">
        <v>3250</v>
      </c>
      <c r="AI1230" t="s">
        <v>3250</v>
      </c>
      <c r="AJ1230" t="s">
        <v>3250</v>
      </c>
      <c r="AL1230">
        <v>146</v>
      </c>
      <c r="AM1230" t="s">
        <v>5</v>
      </c>
      <c r="AN1230">
        <v>146</v>
      </c>
      <c r="AO1230" t="s">
        <v>5</v>
      </c>
      <c r="AS1230" t="s">
        <v>3250</v>
      </c>
      <c r="AT1230" t="s">
        <v>3250</v>
      </c>
      <c r="AU1230" t="s">
        <v>3250</v>
      </c>
      <c r="AV1230" t="s">
        <v>3250</v>
      </c>
      <c r="AW1230" t="s">
        <v>3250</v>
      </c>
      <c r="AX1230" t="s">
        <v>3250</v>
      </c>
      <c r="AY1230" t="s">
        <v>3250</v>
      </c>
      <c r="AZ1230" t="s">
        <v>3250</v>
      </c>
      <c r="BA1230" t="s">
        <v>3250</v>
      </c>
      <c r="BB1230" t="s">
        <v>3250</v>
      </c>
      <c r="BC1230" t="s">
        <v>3250</v>
      </c>
      <c r="BE1230" t="s">
        <v>3250</v>
      </c>
      <c r="BF1230" t="s">
        <v>3250</v>
      </c>
      <c r="BG1230" t="s">
        <v>3250</v>
      </c>
      <c r="BH1230" t="s">
        <v>3250</v>
      </c>
      <c r="BI1230" t="s">
        <v>3250</v>
      </c>
      <c r="BK1230" t="s">
        <v>3250</v>
      </c>
      <c r="BL1230" t="s">
        <v>3250</v>
      </c>
      <c r="BM1230" t="s">
        <v>3250</v>
      </c>
      <c r="BN1230" t="s">
        <v>3250</v>
      </c>
      <c r="BP1230">
        <v>1</v>
      </c>
      <c r="BQ1230">
        <v>11</v>
      </c>
      <c r="BR1230" t="s">
        <v>1574</v>
      </c>
      <c r="BS1230" t="s">
        <v>3252</v>
      </c>
      <c r="BV1230">
        <v>0</v>
      </c>
      <c r="BW1230">
        <v>0</v>
      </c>
      <c r="BX1230">
        <v>0</v>
      </c>
      <c r="BY1230">
        <v>0</v>
      </c>
      <c r="BZ1230">
        <v>0</v>
      </c>
      <c r="CA1230">
        <v>0</v>
      </c>
      <c r="CB1230">
        <v>0</v>
      </c>
      <c r="CC1230">
        <v>0</v>
      </c>
      <c r="CD1230">
        <v>0</v>
      </c>
      <c r="CE1230" t="s">
        <v>3108</v>
      </c>
      <c r="CF1230" t="s">
        <v>3108</v>
      </c>
      <c r="CG1230" t="s">
        <v>3108</v>
      </c>
      <c r="CH1230" t="s">
        <v>3108</v>
      </c>
    </row>
    <row r="1231" spans="1:86" x14ac:dyDescent="0.2">
      <c r="A1231" t="s">
        <v>5069</v>
      </c>
      <c r="B1231" t="s">
        <v>5069</v>
      </c>
      <c r="C1231">
        <v>41708</v>
      </c>
      <c r="D1231">
        <v>977</v>
      </c>
      <c r="E1231" t="s">
        <v>5070</v>
      </c>
      <c r="F1231" t="s">
        <v>3249</v>
      </c>
      <c r="G1231" t="s">
        <v>3249</v>
      </c>
      <c r="H1231" t="s">
        <v>3250</v>
      </c>
      <c r="I1231" t="s">
        <v>3250</v>
      </c>
      <c r="J1231" t="s">
        <v>3250</v>
      </c>
      <c r="K1231" t="s">
        <v>3250</v>
      </c>
      <c r="L1231">
        <v>1200</v>
      </c>
      <c r="M1231" t="s">
        <v>2368</v>
      </c>
      <c r="N1231">
        <v>1204</v>
      </c>
      <c r="O1231" t="s">
        <v>1574</v>
      </c>
      <c r="P1231" t="s">
        <v>3108</v>
      </c>
      <c r="Q1231" t="s">
        <v>3249</v>
      </c>
      <c r="R1231" t="s">
        <v>3249</v>
      </c>
      <c r="S1231" t="s">
        <v>472</v>
      </c>
      <c r="T1231" t="s">
        <v>3251</v>
      </c>
      <c r="U1231">
        <v>140</v>
      </c>
      <c r="V1231" t="s">
        <v>1327</v>
      </c>
      <c r="W1231">
        <v>140</v>
      </c>
      <c r="X1231" t="s">
        <v>1327</v>
      </c>
      <c r="Y1231" t="s">
        <v>3250</v>
      </c>
      <c r="Z1231" t="s">
        <v>3250</v>
      </c>
      <c r="AA1231" t="s">
        <v>3108</v>
      </c>
      <c r="AB1231" t="s">
        <v>3108</v>
      </c>
      <c r="AC1231" t="s">
        <v>3250</v>
      </c>
      <c r="AD1231" t="s">
        <v>3250</v>
      </c>
      <c r="AE1231" t="s">
        <v>3250</v>
      </c>
      <c r="AF1231" t="s">
        <v>3250</v>
      </c>
      <c r="AG1231" t="s">
        <v>3250</v>
      </c>
      <c r="AH1231" t="s">
        <v>3250</v>
      </c>
      <c r="AI1231" t="s">
        <v>3250</v>
      </c>
      <c r="AJ1231" t="s">
        <v>3250</v>
      </c>
      <c r="AL1231">
        <v>141</v>
      </c>
      <c r="AM1231" t="s">
        <v>1327</v>
      </c>
      <c r="AN1231">
        <v>141</v>
      </c>
      <c r="AO1231" t="s">
        <v>1327</v>
      </c>
      <c r="AS1231" t="s">
        <v>3250</v>
      </c>
      <c r="AT1231" t="s">
        <v>3250</v>
      </c>
      <c r="AU1231" t="s">
        <v>3250</v>
      </c>
      <c r="AV1231" t="s">
        <v>3250</v>
      </c>
      <c r="AW1231" t="s">
        <v>3250</v>
      </c>
      <c r="AX1231" t="s">
        <v>3250</v>
      </c>
      <c r="AY1231" t="s">
        <v>3250</v>
      </c>
      <c r="AZ1231" t="s">
        <v>3250</v>
      </c>
      <c r="BA1231" t="s">
        <v>3250</v>
      </c>
      <c r="BB1231" t="s">
        <v>3250</v>
      </c>
      <c r="BC1231" t="s">
        <v>3250</v>
      </c>
      <c r="BE1231" t="s">
        <v>3250</v>
      </c>
      <c r="BF1231" t="s">
        <v>3250</v>
      </c>
      <c r="BG1231" t="s">
        <v>3250</v>
      </c>
      <c r="BH1231" t="s">
        <v>3250</v>
      </c>
      <c r="BI1231" t="s">
        <v>3250</v>
      </c>
      <c r="BK1231" t="s">
        <v>3250</v>
      </c>
      <c r="BL1231" t="s">
        <v>3250</v>
      </c>
      <c r="BM1231" t="s">
        <v>3250</v>
      </c>
      <c r="BN1231" t="s">
        <v>3250</v>
      </c>
      <c r="BP1231">
        <v>1</v>
      </c>
      <c r="BQ1231">
        <v>11</v>
      </c>
      <c r="BR1231" t="s">
        <v>1574</v>
      </c>
      <c r="BS1231" t="s">
        <v>3252</v>
      </c>
      <c r="BV1231">
        <v>0</v>
      </c>
      <c r="BW1231">
        <v>0</v>
      </c>
      <c r="BX1231">
        <v>0</v>
      </c>
      <c r="BY1231">
        <v>0</v>
      </c>
      <c r="BZ1231">
        <v>0</v>
      </c>
      <c r="CA1231">
        <v>0</v>
      </c>
      <c r="CB1231">
        <v>0</v>
      </c>
      <c r="CC1231">
        <v>0</v>
      </c>
      <c r="CD1231">
        <v>0</v>
      </c>
      <c r="CE1231" t="s">
        <v>3108</v>
      </c>
      <c r="CF1231" t="s">
        <v>3108</v>
      </c>
      <c r="CG1231" t="s">
        <v>3108</v>
      </c>
      <c r="CH1231" t="s">
        <v>3108</v>
      </c>
    </row>
    <row r="1232" spans="1:86" x14ac:dyDescent="0.2">
      <c r="A1232" t="s">
        <v>5071</v>
      </c>
      <c r="B1232" t="s">
        <v>5071</v>
      </c>
      <c r="C1232">
        <v>41709</v>
      </c>
      <c r="D1232">
        <v>978</v>
      </c>
      <c r="E1232" t="s">
        <v>3286</v>
      </c>
      <c r="F1232" t="s">
        <v>3249</v>
      </c>
      <c r="G1232" t="s">
        <v>3249</v>
      </c>
      <c r="H1232" t="s">
        <v>3250</v>
      </c>
      <c r="I1232" t="s">
        <v>3250</v>
      </c>
      <c r="J1232" t="s">
        <v>3250</v>
      </c>
      <c r="K1232" t="s">
        <v>3250</v>
      </c>
      <c r="L1232">
        <v>1200</v>
      </c>
      <c r="M1232" t="s">
        <v>2368</v>
      </c>
      <c r="N1232">
        <v>1204</v>
      </c>
      <c r="O1232" t="s">
        <v>1574</v>
      </c>
      <c r="P1232" t="s">
        <v>3108</v>
      </c>
      <c r="Q1232" t="s">
        <v>3249</v>
      </c>
      <c r="R1232" t="s">
        <v>3249</v>
      </c>
      <c r="S1232" t="s">
        <v>472</v>
      </c>
      <c r="T1232" t="s">
        <v>3251</v>
      </c>
      <c r="U1232">
        <v>140</v>
      </c>
      <c r="V1232" t="s">
        <v>1327</v>
      </c>
      <c r="W1232">
        <v>140</v>
      </c>
      <c r="X1232" t="s">
        <v>1327</v>
      </c>
      <c r="Y1232" t="s">
        <v>3250</v>
      </c>
      <c r="Z1232" t="s">
        <v>3250</v>
      </c>
      <c r="AA1232" t="s">
        <v>3108</v>
      </c>
      <c r="AB1232" t="s">
        <v>3108</v>
      </c>
      <c r="AC1232" t="s">
        <v>3250</v>
      </c>
      <c r="AD1232" t="s">
        <v>3250</v>
      </c>
      <c r="AE1232" t="s">
        <v>3250</v>
      </c>
      <c r="AF1232" t="s">
        <v>3250</v>
      </c>
      <c r="AG1232" t="s">
        <v>3250</v>
      </c>
      <c r="AH1232" t="s">
        <v>3250</v>
      </c>
      <c r="AI1232" t="s">
        <v>3250</v>
      </c>
      <c r="AJ1232" t="s">
        <v>3250</v>
      </c>
      <c r="AL1232">
        <v>141</v>
      </c>
      <c r="AM1232" t="s">
        <v>1327</v>
      </c>
      <c r="AN1232">
        <v>141</v>
      </c>
      <c r="AO1232" t="s">
        <v>1327</v>
      </c>
      <c r="AS1232" t="s">
        <v>3250</v>
      </c>
      <c r="AT1232" t="s">
        <v>3250</v>
      </c>
      <c r="AU1232" t="s">
        <v>3250</v>
      </c>
      <c r="AV1232" t="s">
        <v>3250</v>
      </c>
      <c r="AW1232" t="s">
        <v>3250</v>
      </c>
      <c r="AX1232" t="s">
        <v>3250</v>
      </c>
      <c r="AY1232" t="s">
        <v>3250</v>
      </c>
      <c r="AZ1232" t="s">
        <v>3250</v>
      </c>
      <c r="BA1232" t="s">
        <v>3250</v>
      </c>
      <c r="BB1232" t="s">
        <v>3250</v>
      </c>
      <c r="BC1232" t="s">
        <v>3250</v>
      </c>
      <c r="BE1232" t="s">
        <v>3250</v>
      </c>
      <c r="BF1232" t="s">
        <v>3250</v>
      </c>
      <c r="BG1232" t="s">
        <v>3250</v>
      </c>
      <c r="BH1232" t="s">
        <v>3250</v>
      </c>
      <c r="BI1232" t="s">
        <v>3250</v>
      </c>
      <c r="BK1232" t="s">
        <v>3250</v>
      </c>
      <c r="BL1232" t="s">
        <v>3250</v>
      </c>
      <c r="BM1232" t="s">
        <v>3250</v>
      </c>
      <c r="BN1232" t="s">
        <v>3250</v>
      </c>
      <c r="BP1232">
        <v>1</v>
      </c>
      <c r="BQ1232">
        <v>11</v>
      </c>
      <c r="BR1232" t="s">
        <v>1574</v>
      </c>
      <c r="BS1232" t="s">
        <v>3252</v>
      </c>
      <c r="BV1232">
        <v>0</v>
      </c>
      <c r="BW1232">
        <v>0</v>
      </c>
      <c r="BX1232">
        <v>0</v>
      </c>
      <c r="BY1232">
        <v>0</v>
      </c>
      <c r="BZ1232">
        <v>0</v>
      </c>
      <c r="CA1232">
        <v>0</v>
      </c>
      <c r="CB1232">
        <v>0</v>
      </c>
      <c r="CC1232">
        <v>0</v>
      </c>
      <c r="CD1232">
        <v>0</v>
      </c>
      <c r="CE1232" t="s">
        <v>3108</v>
      </c>
      <c r="CF1232" t="s">
        <v>3108</v>
      </c>
      <c r="CG1232" t="s">
        <v>3108</v>
      </c>
      <c r="CH1232" t="s">
        <v>3108</v>
      </c>
    </row>
    <row r="1233" spans="1:86" x14ac:dyDescent="0.2">
      <c r="A1233" t="s">
        <v>5072</v>
      </c>
      <c r="B1233" t="s">
        <v>5072</v>
      </c>
      <c r="C1233">
        <v>41710</v>
      </c>
      <c r="D1233">
        <v>979</v>
      </c>
      <c r="E1233" t="s">
        <v>3508</v>
      </c>
      <c r="F1233" t="s">
        <v>3249</v>
      </c>
      <c r="G1233" t="s">
        <v>3249</v>
      </c>
      <c r="H1233" t="s">
        <v>3250</v>
      </c>
      <c r="I1233" t="s">
        <v>3250</v>
      </c>
      <c r="J1233" t="s">
        <v>3250</v>
      </c>
      <c r="K1233" t="s">
        <v>3250</v>
      </c>
      <c r="L1233">
        <v>1200</v>
      </c>
      <c r="M1233" t="s">
        <v>2368</v>
      </c>
      <c r="N1233">
        <v>1204</v>
      </c>
      <c r="O1233" t="s">
        <v>1574</v>
      </c>
      <c r="P1233" t="s">
        <v>3108</v>
      </c>
      <c r="Q1233" t="s">
        <v>3249</v>
      </c>
      <c r="R1233" t="s">
        <v>3249</v>
      </c>
      <c r="S1233" t="s">
        <v>472</v>
      </c>
      <c r="T1233" t="s">
        <v>3251</v>
      </c>
      <c r="U1233">
        <v>140</v>
      </c>
      <c r="V1233" t="s">
        <v>1327</v>
      </c>
      <c r="W1233">
        <v>140</v>
      </c>
      <c r="X1233" t="s">
        <v>1327</v>
      </c>
      <c r="Y1233" t="s">
        <v>3250</v>
      </c>
      <c r="Z1233" t="s">
        <v>3250</v>
      </c>
      <c r="AA1233" t="s">
        <v>3108</v>
      </c>
      <c r="AB1233" t="s">
        <v>3108</v>
      </c>
      <c r="AC1233" t="s">
        <v>3250</v>
      </c>
      <c r="AD1233" t="s">
        <v>3250</v>
      </c>
      <c r="AE1233" t="s">
        <v>3250</v>
      </c>
      <c r="AF1233" t="s">
        <v>3250</v>
      </c>
      <c r="AG1233" t="s">
        <v>3250</v>
      </c>
      <c r="AH1233" t="s">
        <v>3250</v>
      </c>
      <c r="AI1233" t="s">
        <v>3250</v>
      </c>
      <c r="AJ1233" t="s">
        <v>3250</v>
      </c>
      <c r="AL1233">
        <v>146</v>
      </c>
      <c r="AM1233" t="s">
        <v>5</v>
      </c>
      <c r="AN1233">
        <v>146</v>
      </c>
      <c r="AO1233" t="s">
        <v>5</v>
      </c>
      <c r="AS1233" t="s">
        <v>3250</v>
      </c>
      <c r="AT1233" t="s">
        <v>3250</v>
      </c>
      <c r="AU1233" t="s">
        <v>3250</v>
      </c>
      <c r="AV1233" t="s">
        <v>3250</v>
      </c>
      <c r="AW1233" t="s">
        <v>3250</v>
      </c>
      <c r="AX1233" t="s">
        <v>3250</v>
      </c>
      <c r="AY1233" t="s">
        <v>3250</v>
      </c>
      <c r="AZ1233" t="s">
        <v>3250</v>
      </c>
      <c r="BA1233" t="s">
        <v>3250</v>
      </c>
      <c r="BB1233" t="s">
        <v>3250</v>
      </c>
      <c r="BC1233" t="s">
        <v>3250</v>
      </c>
      <c r="BE1233" t="s">
        <v>3250</v>
      </c>
      <c r="BF1233" t="s">
        <v>3250</v>
      </c>
      <c r="BG1233" t="s">
        <v>3250</v>
      </c>
      <c r="BH1233" t="s">
        <v>3250</v>
      </c>
      <c r="BI1233" t="s">
        <v>3250</v>
      </c>
      <c r="BK1233" t="s">
        <v>3250</v>
      </c>
      <c r="BL1233" t="s">
        <v>3250</v>
      </c>
      <c r="BM1233" t="s">
        <v>3250</v>
      </c>
      <c r="BN1233" t="s">
        <v>3250</v>
      </c>
      <c r="BP1233">
        <v>1</v>
      </c>
      <c r="BQ1233">
        <v>11</v>
      </c>
      <c r="BR1233" t="s">
        <v>1574</v>
      </c>
      <c r="BS1233" t="s">
        <v>3252</v>
      </c>
      <c r="BV1233">
        <v>0</v>
      </c>
      <c r="BW1233">
        <v>0</v>
      </c>
      <c r="BX1233">
        <v>0</v>
      </c>
      <c r="BY1233">
        <v>0</v>
      </c>
      <c r="BZ1233">
        <v>0</v>
      </c>
      <c r="CA1233">
        <v>0</v>
      </c>
      <c r="CB1233">
        <v>0</v>
      </c>
      <c r="CC1233">
        <v>0</v>
      </c>
      <c r="CD1233">
        <v>0</v>
      </c>
      <c r="CE1233" t="s">
        <v>3108</v>
      </c>
      <c r="CF1233" t="s">
        <v>3108</v>
      </c>
      <c r="CG1233" t="s">
        <v>3108</v>
      </c>
      <c r="CH1233" t="s">
        <v>3108</v>
      </c>
    </row>
    <row r="1234" spans="1:86" x14ac:dyDescent="0.2">
      <c r="A1234" t="s">
        <v>5073</v>
      </c>
      <c r="B1234" t="s">
        <v>5073</v>
      </c>
      <c r="C1234">
        <v>41711</v>
      </c>
      <c r="D1234">
        <v>980</v>
      </c>
      <c r="E1234" t="s">
        <v>3510</v>
      </c>
      <c r="F1234" t="s">
        <v>3249</v>
      </c>
      <c r="G1234" t="s">
        <v>3249</v>
      </c>
      <c r="H1234" t="s">
        <v>3250</v>
      </c>
      <c r="I1234" t="s">
        <v>3250</v>
      </c>
      <c r="J1234" t="s">
        <v>3250</v>
      </c>
      <c r="K1234" t="s">
        <v>3250</v>
      </c>
      <c r="L1234">
        <v>1200</v>
      </c>
      <c r="M1234" t="s">
        <v>2368</v>
      </c>
      <c r="N1234">
        <v>1204</v>
      </c>
      <c r="O1234" t="s">
        <v>1574</v>
      </c>
      <c r="P1234" t="s">
        <v>3108</v>
      </c>
      <c r="Q1234" t="s">
        <v>3249</v>
      </c>
      <c r="R1234" t="s">
        <v>3249</v>
      </c>
      <c r="S1234" t="s">
        <v>472</v>
      </c>
      <c r="T1234" t="s">
        <v>3251</v>
      </c>
      <c r="U1234">
        <v>140</v>
      </c>
      <c r="V1234" t="s">
        <v>1327</v>
      </c>
      <c r="W1234">
        <v>140</v>
      </c>
      <c r="X1234" t="s">
        <v>1327</v>
      </c>
      <c r="Y1234" t="s">
        <v>3250</v>
      </c>
      <c r="Z1234" t="s">
        <v>3250</v>
      </c>
      <c r="AA1234" t="s">
        <v>3108</v>
      </c>
      <c r="AB1234" t="s">
        <v>3108</v>
      </c>
      <c r="AC1234" t="s">
        <v>3250</v>
      </c>
      <c r="AD1234" t="s">
        <v>3250</v>
      </c>
      <c r="AE1234" t="s">
        <v>3250</v>
      </c>
      <c r="AF1234" t="s">
        <v>3250</v>
      </c>
      <c r="AG1234" t="s">
        <v>3250</v>
      </c>
      <c r="AH1234" t="s">
        <v>3250</v>
      </c>
      <c r="AI1234" t="s">
        <v>3250</v>
      </c>
      <c r="AJ1234" t="s">
        <v>3250</v>
      </c>
      <c r="AL1234">
        <v>146</v>
      </c>
      <c r="AM1234" t="s">
        <v>5</v>
      </c>
      <c r="AN1234">
        <v>146</v>
      </c>
      <c r="AO1234" t="s">
        <v>5</v>
      </c>
      <c r="AS1234" t="s">
        <v>3250</v>
      </c>
      <c r="AT1234" t="s">
        <v>3250</v>
      </c>
      <c r="AU1234" t="s">
        <v>3250</v>
      </c>
      <c r="AV1234" t="s">
        <v>3250</v>
      </c>
      <c r="AW1234" t="s">
        <v>3250</v>
      </c>
      <c r="AX1234" t="s">
        <v>3250</v>
      </c>
      <c r="AY1234" t="s">
        <v>3250</v>
      </c>
      <c r="AZ1234" t="s">
        <v>3250</v>
      </c>
      <c r="BA1234" t="s">
        <v>3250</v>
      </c>
      <c r="BB1234" t="s">
        <v>3250</v>
      </c>
      <c r="BC1234" t="s">
        <v>3250</v>
      </c>
      <c r="BE1234" t="s">
        <v>3250</v>
      </c>
      <c r="BF1234" t="s">
        <v>3250</v>
      </c>
      <c r="BG1234" t="s">
        <v>3250</v>
      </c>
      <c r="BH1234" t="s">
        <v>3250</v>
      </c>
      <c r="BI1234" t="s">
        <v>3250</v>
      </c>
      <c r="BK1234" t="s">
        <v>3250</v>
      </c>
      <c r="BL1234" t="s">
        <v>3250</v>
      </c>
      <c r="BM1234" t="s">
        <v>3250</v>
      </c>
      <c r="BN1234" t="s">
        <v>3250</v>
      </c>
      <c r="BP1234">
        <v>1</v>
      </c>
      <c r="BQ1234">
        <v>11</v>
      </c>
      <c r="BR1234" t="s">
        <v>1574</v>
      </c>
      <c r="BS1234" t="s">
        <v>3252</v>
      </c>
      <c r="BV1234">
        <v>0</v>
      </c>
      <c r="BW1234">
        <v>0</v>
      </c>
      <c r="BX1234">
        <v>0</v>
      </c>
      <c r="BY1234">
        <v>0</v>
      </c>
      <c r="BZ1234">
        <v>0</v>
      </c>
      <c r="CA1234">
        <v>0</v>
      </c>
      <c r="CB1234">
        <v>0</v>
      </c>
      <c r="CC1234">
        <v>0</v>
      </c>
      <c r="CD1234">
        <v>0</v>
      </c>
      <c r="CE1234" t="s">
        <v>3108</v>
      </c>
      <c r="CF1234" t="s">
        <v>3108</v>
      </c>
      <c r="CG1234" t="s">
        <v>3108</v>
      </c>
      <c r="CH1234" t="s">
        <v>3108</v>
      </c>
    </row>
    <row r="1235" spans="1:86" x14ac:dyDescent="0.2">
      <c r="A1235" t="s">
        <v>5074</v>
      </c>
      <c r="B1235" t="s">
        <v>5074</v>
      </c>
      <c r="C1235">
        <v>41712</v>
      </c>
      <c r="D1235">
        <v>981</v>
      </c>
      <c r="E1235" t="s">
        <v>3470</v>
      </c>
      <c r="F1235" t="s">
        <v>3249</v>
      </c>
      <c r="G1235" t="s">
        <v>3249</v>
      </c>
      <c r="H1235" t="s">
        <v>3250</v>
      </c>
      <c r="I1235" t="s">
        <v>3250</v>
      </c>
      <c r="J1235" t="s">
        <v>3250</v>
      </c>
      <c r="K1235" t="s">
        <v>3250</v>
      </c>
      <c r="L1235">
        <v>1200</v>
      </c>
      <c r="M1235" t="s">
        <v>2368</v>
      </c>
      <c r="N1235">
        <v>1204</v>
      </c>
      <c r="O1235" t="s">
        <v>1574</v>
      </c>
      <c r="P1235" t="s">
        <v>3108</v>
      </c>
      <c r="Q1235" t="s">
        <v>3249</v>
      </c>
      <c r="R1235" t="s">
        <v>3249</v>
      </c>
      <c r="S1235" t="s">
        <v>472</v>
      </c>
      <c r="T1235" t="s">
        <v>3251</v>
      </c>
      <c r="U1235">
        <v>140</v>
      </c>
      <c r="V1235" t="s">
        <v>1327</v>
      </c>
      <c r="W1235">
        <v>140</v>
      </c>
      <c r="X1235" t="s">
        <v>1327</v>
      </c>
      <c r="Y1235" t="s">
        <v>3250</v>
      </c>
      <c r="Z1235" t="s">
        <v>3250</v>
      </c>
      <c r="AA1235" t="s">
        <v>3108</v>
      </c>
      <c r="AB1235" t="s">
        <v>3108</v>
      </c>
      <c r="AC1235" t="s">
        <v>3250</v>
      </c>
      <c r="AD1235" t="s">
        <v>3250</v>
      </c>
      <c r="AE1235" t="s">
        <v>3250</v>
      </c>
      <c r="AF1235" t="s">
        <v>3250</v>
      </c>
      <c r="AG1235" t="s">
        <v>3250</v>
      </c>
      <c r="AH1235" t="s">
        <v>3250</v>
      </c>
      <c r="AI1235" t="s">
        <v>3250</v>
      </c>
      <c r="AJ1235" t="s">
        <v>3250</v>
      </c>
      <c r="AL1235">
        <v>141</v>
      </c>
      <c r="AM1235" t="s">
        <v>1327</v>
      </c>
      <c r="AN1235">
        <v>141</v>
      </c>
      <c r="AO1235" t="s">
        <v>1327</v>
      </c>
      <c r="AS1235" t="s">
        <v>3250</v>
      </c>
      <c r="AT1235" t="s">
        <v>3250</v>
      </c>
      <c r="AU1235" t="s">
        <v>3250</v>
      </c>
      <c r="AV1235" t="s">
        <v>3250</v>
      </c>
      <c r="AW1235" t="s">
        <v>3250</v>
      </c>
      <c r="AX1235" t="s">
        <v>3250</v>
      </c>
      <c r="AY1235" t="s">
        <v>3250</v>
      </c>
      <c r="AZ1235" t="s">
        <v>3250</v>
      </c>
      <c r="BA1235" t="s">
        <v>3250</v>
      </c>
      <c r="BB1235" t="s">
        <v>3250</v>
      </c>
      <c r="BC1235" t="s">
        <v>3250</v>
      </c>
      <c r="BE1235" t="s">
        <v>3250</v>
      </c>
      <c r="BF1235" t="s">
        <v>3250</v>
      </c>
      <c r="BG1235" t="s">
        <v>3250</v>
      </c>
      <c r="BH1235" t="s">
        <v>3250</v>
      </c>
      <c r="BI1235" t="s">
        <v>3250</v>
      </c>
      <c r="BK1235" t="s">
        <v>3250</v>
      </c>
      <c r="BL1235" t="s">
        <v>3250</v>
      </c>
      <c r="BM1235" t="s">
        <v>3250</v>
      </c>
      <c r="BN1235" t="s">
        <v>3250</v>
      </c>
      <c r="BP1235">
        <v>1</v>
      </c>
      <c r="BQ1235">
        <v>11</v>
      </c>
      <c r="BR1235" t="s">
        <v>1574</v>
      </c>
      <c r="BS1235" t="s">
        <v>3252</v>
      </c>
      <c r="BV1235">
        <v>0</v>
      </c>
      <c r="BW1235">
        <v>0</v>
      </c>
      <c r="BX1235">
        <v>0</v>
      </c>
      <c r="BY1235">
        <v>0</v>
      </c>
      <c r="BZ1235">
        <v>0</v>
      </c>
      <c r="CA1235">
        <v>0</v>
      </c>
      <c r="CB1235">
        <v>0</v>
      </c>
      <c r="CC1235">
        <v>0</v>
      </c>
      <c r="CD1235">
        <v>0</v>
      </c>
      <c r="CE1235" t="s">
        <v>3108</v>
      </c>
      <c r="CF1235" t="s">
        <v>3108</v>
      </c>
      <c r="CG1235" t="s">
        <v>3108</v>
      </c>
      <c r="CH1235" t="s">
        <v>3108</v>
      </c>
    </row>
    <row r="1236" spans="1:86" x14ac:dyDescent="0.2">
      <c r="A1236" t="s">
        <v>5075</v>
      </c>
      <c r="B1236" t="s">
        <v>5075</v>
      </c>
      <c r="C1236">
        <v>41713</v>
      </c>
      <c r="D1236">
        <v>982</v>
      </c>
      <c r="E1236" t="s">
        <v>3496</v>
      </c>
      <c r="F1236" t="s">
        <v>3249</v>
      </c>
      <c r="G1236" t="s">
        <v>3249</v>
      </c>
      <c r="H1236" t="s">
        <v>3250</v>
      </c>
      <c r="I1236" t="s">
        <v>3250</v>
      </c>
      <c r="J1236" t="s">
        <v>3250</v>
      </c>
      <c r="K1236" t="s">
        <v>3250</v>
      </c>
      <c r="L1236">
        <v>1200</v>
      </c>
      <c r="M1236" t="s">
        <v>2368</v>
      </c>
      <c r="N1236">
        <v>1204</v>
      </c>
      <c r="O1236" t="s">
        <v>1574</v>
      </c>
      <c r="P1236" t="s">
        <v>3108</v>
      </c>
      <c r="Q1236" t="s">
        <v>3249</v>
      </c>
      <c r="R1236" t="s">
        <v>3249</v>
      </c>
      <c r="S1236" t="s">
        <v>472</v>
      </c>
      <c r="T1236" t="s">
        <v>3251</v>
      </c>
      <c r="U1236">
        <v>140</v>
      </c>
      <c r="V1236" t="s">
        <v>1327</v>
      </c>
      <c r="W1236">
        <v>140</v>
      </c>
      <c r="X1236" t="s">
        <v>1327</v>
      </c>
      <c r="Y1236" t="s">
        <v>3250</v>
      </c>
      <c r="Z1236" t="s">
        <v>3250</v>
      </c>
      <c r="AA1236" t="s">
        <v>3108</v>
      </c>
      <c r="AB1236" t="s">
        <v>3108</v>
      </c>
      <c r="AC1236" t="s">
        <v>3250</v>
      </c>
      <c r="AD1236" t="s">
        <v>3250</v>
      </c>
      <c r="AE1236" t="s">
        <v>3250</v>
      </c>
      <c r="AF1236" t="s">
        <v>3250</v>
      </c>
      <c r="AG1236" t="s">
        <v>3250</v>
      </c>
      <c r="AH1236" t="s">
        <v>3250</v>
      </c>
      <c r="AI1236" t="s">
        <v>3250</v>
      </c>
      <c r="AJ1236" t="s">
        <v>3250</v>
      </c>
      <c r="AL1236">
        <v>146</v>
      </c>
      <c r="AM1236" t="s">
        <v>5</v>
      </c>
      <c r="AN1236">
        <v>146</v>
      </c>
      <c r="AO1236" t="s">
        <v>5</v>
      </c>
      <c r="AS1236" t="s">
        <v>3250</v>
      </c>
      <c r="AT1236" t="s">
        <v>3250</v>
      </c>
      <c r="AU1236" t="s">
        <v>3250</v>
      </c>
      <c r="AV1236" t="s">
        <v>3250</v>
      </c>
      <c r="AW1236" t="s">
        <v>3250</v>
      </c>
      <c r="AX1236" t="s">
        <v>3250</v>
      </c>
      <c r="AY1236" t="s">
        <v>3250</v>
      </c>
      <c r="AZ1236" t="s">
        <v>3250</v>
      </c>
      <c r="BA1236" t="s">
        <v>3250</v>
      </c>
      <c r="BB1236" t="s">
        <v>3250</v>
      </c>
      <c r="BC1236" t="s">
        <v>3250</v>
      </c>
      <c r="BE1236" t="s">
        <v>3250</v>
      </c>
      <c r="BF1236" t="s">
        <v>3250</v>
      </c>
      <c r="BG1236" t="s">
        <v>3250</v>
      </c>
      <c r="BH1236" t="s">
        <v>3250</v>
      </c>
      <c r="BI1236" t="s">
        <v>3250</v>
      </c>
      <c r="BK1236" t="s">
        <v>3250</v>
      </c>
      <c r="BL1236" t="s">
        <v>3250</v>
      </c>
      <c r="BM1236" t="s">
        <v>3250</v>
      </c>
      <c r="BN1236" t="s">
        <v>3250</v>
      </c>
      <c r="BP1236">
        <v>1</v>
      </c>
      <c r="BQ1236">
        <v>11</v>
      </c>
      <c r="BR1236" t="s">
        <v>1574</v>
      </c>
      <c r="BS1236" t="s">
        <v>3252</v>
      </c>
      <c r="BV1236">
        <v>0</v>
      </c>
      <c r="BW1236">
        <v>0</v>
      </c>
      <c r="BX1236">
        <v>0</v>
      </c>
      <c r="BY1236">
        <v>0</v>
      </c>
      <c r="BZ1236">
        <v>0</v>
      </c>
      <c r="CA1236">
        <v>0</v>
      </c>
      <c r="CB1236">
        <v>0</v>
      </c>
      <c r="CC1236">
        <v>0</v>
      </c>
      <c r="CD1236">
        <v>0</v>
      </c>
      <c r="CE1236" t="s">
        <v>3108</v>
      </c>
      <c r="CF1236" t="s">
        <v>3108</v>
      </c>
      <c r="CG1236" t="s">
        <v>3108</v>
      </c>
      <c r="CH1236" t="s">
        <v>3108</v>
      </c>
    </row>
    <row r="1237" spans="1:86" x14ac:dyDescent="0.2">
      <c r="A1237" t="s">
        <v>5076</v>
      </c>
      <c r="B1237" t="s">
        <v>5076</v>
      </c>
      <c r="C1237">
        <v>41714</v>
      </c>
      <c r="D1237">
        <v>983</v>
      </c>
      <c r="E1237" t="s">
        <v>3472</v>
      </c>
      <c r="F1237" t="s">
        <v>3249</v>
      </c>
      <c r="G1237" t="s">
        <v>3249</v>
      </c>
      <c r="H1237" t="s">
        <v>3250</v>
      </c>
      <c r="I1237" t="s">
        <v>3250</v>
      </c>
      <c r="J1237" t="s">
        <v>3250</v>
      </c>
      <c r="K1237" t="s">
        <v>3250</v>
      </c>
      <c r="L1237">
        <v>1200</v>
      </c>
      <c r="M1237" t="s">
        <v>2368</v>
      </c>
      <c r="N1237">
        <v>1204</v>
      </c>
      <c r="O1237" t="s">
        <v>1574</v>
      </c>
      <c r="P1237" t="s">
        <v>3108</v>
      </c>
      <c r="Q1237" t="s">
        <v>3249</v>
      </c>
      <c r="R1237" t="s">
        <v>3249</v>
      </c>
      <c r="S1237" t="s">
        <v>472</v>
      </c>
      <c r="T1237" t="s">
        <v>3251</v>
      </c>
      <c r="U1237">
        <v>140</v>
      </c>
      <c r="V1237" t="s">
        <v>1327</v>
      </c>
      <c r="W1237">
        <v>140</v>
      </c>
      <c r="X1237" t="s">
        <v>1327</v>
      </c>
      <c r="Y1237" t="s">
        <v>3250</v>
      </c>
      <c r="Z1237" t="s">
        <v>3250</v>
      </c>
      <c r="AA1237" t="s">
        <v>3108</v>
      </c>
      <c r="AB1237" t="s">
        <v>3108</v>
      </c>
      <c r="AC1237" t="s">
        <v>3250</v>
      </c>
      <c r="AD1237" t="s">
        <v>3250</v>
      </c>
      <c r="AE1237" t="s">
        <v>3250</v>
      </c>
      <c r="AF1237" t="s">
        <v>3250</v>
      </c>
      <c r="AG1237" t="s">
        <v>3250</v>
      </c>
      <c r="AH1237" t="s">
        <v>3250</v>
      </c>
      <c r="AI1237" t="s">
        <v>3250</v>
      </c>
      <c r="AJ1237" t="s">
        <v>3250</v>
      </c>
      <c r="AL1237">
        <v>141</v>
      </c>
      <c r="AM1237" t="s">
        <v>1327</v>
      </c>
      <c r="AN1237">
        <v>141</v>
      </c>
      <c r="AO1237" t="s">
        <v>1327</v>
      </c>
      <c r="AS1237" t="s">
        <v>3250</v>
      </c>
      <c r="AT1237" t="s">
        <v>3250</v>
      </c>
      <c r="AU1237" t="s">
        <v>3250</v>
      </c>
      <c r="AV1237" t="s">
        <v>3250</v>
      </c>
      <c r="AW1237" t="s">
        <v>3250</v>
      </c>
      <c r="AX1237" t="s">
        <v>3250</v>
      </c>
      <c r="AY1237" t="s">
        <v>3250</v>
      </c>
      <c r="AZ1237" t="s">
        <v>3250</v>
      </c>
      <c r="BA1237" t="s">
        <v>3250</v>
      </c>
      <c r="BB1237" t="s">
        <v>3250</v>
      </c>
      <c r="BC1237" t="s">
        <v>3250</v>
      </c>
      <c r="BE1237" t="s">
        <v>3250</v>
      </c>
      <c r="BF1237" t="s">
        <v>3250</v>
      </c>
      <c r="BG1237" t="s">
        <v>3250</v>
      </c>
      <c r="BH1237" t="s">
        <v>3250</v>
      </c>
      <c r="BI1237" t="s">
        <v>3250</v>
      </c>
      <c r="BK1237" t="s">
        <v>3250</v>
      </c>
      <c r="BL1237" t="s">
        <v>3250</v>
      </c>
      <c r="BM1237" t="s">
        <v>3250</v>
      </c>
      <c r="BN1237" t="s">
        <v>3250</v>
      </c>
      <c r="BP1237">
        <v>1</v>
      </c>
      <c r="BQ1237">
        <v>11</v>
      </c>
      <c r="BR1237" t="s">
        <v>1574</v>
      </c>
      <c r="BS1237" t="s">
        <v>3252</v>
      </c>
      <c r="BV1237">
        <v>0</v>
      </c>
      <c r="BW1237">
        <v>0</v>
      </c>
      <c r="BX1237">
        <v>0</v>
      </c>
      <c r="BY1237">
        <v>0</v>
      </c>
      <c r="BZ1237">
        <v>0</v>
      </c>
      <c r="CA1237">
        <v>0</v>
      </c>
      <c r="CB1237">
        <v>0</v>
      </c>
      <c r="CC1237">
        <v>0</v>
      </c>
      <c r="CD1237">
        <v>0</v>
      </c>
      <c r="CE1237" t="s">
        <v>3108</v>
      </c>
      <c r="CF1237" t="s">
        <v>3108</v>
      </c>
      <c r="CG1237" t="s">
        <v>3108</v>
      </c>
      <c r="CH1237" t="s">
        <v>3108</v>
      </c>
    </row>
    <row r="1238" spans="1:86" x14ac:dyDescent="0.2">
      <c r="A1238" t="s">
        <v>5077</v>
      </c>
      <c r="B1238" t="s">
        <v>5077</v>
      </c>
      <c r="C1238">
        <v>41715</v>
      </c>
      <c r="D1238">
        <v>984</v>
      </c>
      <c r="E1238" t="s">
        <v>3474</v>
      </c>
      <c r="F1238" t="s">
        <v>3249</v>
      </c>
      <c r="G1238" t="s">
        <v>3249</v>
      </c>
      <c r="H1238" t="s">
        <v>3250</v>
      </c>
      <c r="I1238" t="s">
        <v>3250</v>
      </c>
      <c r="J1238" t="s">
        <v>3250</v>
      </c>
      <c r="K1238" t="s">
        <v>3250</v>
      </c>
      <c r="L1238">
        <v>1200</v>
      </c>
      <c r="M1238" t="s">
        <v>2368</v>
      </c>
      <c r="N1238">
        <v>1204</v>
      </c>
      <c r="O1238" t="s">
        <v>1574</v>
      </c>
      <c r="P1238" t="s">
        <v>3108</v>
      </c>
      <c r="Q1238" t="s">
        <v>3249</v>
      </c>
      <c r="R1238" t="s">
        <v>3249</v>
      </c>
      <c r="S1238" t="s">
        <v>472</v>
      </c>
      <c r="T1238" t="s">
        <v>3251</v>
      </c>
      <c r="U1238">
        <v>140</v>
      </c>
      <c r="V1238" t="s">
        <v>1327</v>
      </c>
      <c r="W1238">
        <v>140</v>
      </c>
      <c r="X1238" t="s">
        <v>1327</v>
      </c>
      <c r="Y1238" t="s">
        <v>3250</v>
      </c>
      <c r="Z1238" t="s">
        <v>3250</v>
      </c>
      <c r="AA1238" t="s">
        <v>3108</v>
      </c>
      <c r="AB1238" t="s">
        <v>3108</v>
      </c>
      <c r="AC1238" t="s">
        <v>3250</v>
      </c>
      <c r="AD1238" t="s">
        <v>3250</v>
      </c>
      <c r="AE1238" t="s">
        <v>3250</v>
      </c>
      <c r="AF1238" t="s">
        <v>3250</v>
      </c>
      <c r="AG1238" t="s">
        <v>3250</v>
      </c>
      <c r="AH1238" t="s">
        <v>3250</v>
      </c>
      <c r="AI1238" t="s">
        <v>3250</v>
      </c>
      <c r="AJ1238" t="s">
        <v>3250</v>
      </c>
      <c r="AL1238">
        <v>147</v>
      </c>
      <c r="AM1238" t="s">
        <v>6</v>
      </c>
      <c r="AN1238">
        <v>147</v>
      </c>
      <c r="AO1238" t="s">
        <v>6</v>
      </c>
      <c r="AS1238" t="s">
        <v>3250</v>
      </c>
      <c r="AT1238" t="s">
        <v>3250</v>
      </c>
      <c r="AU1238" t="s">
        <v>3250</v>
      </c>
      <c r="AV1238" t="s">
        <v>3250</v>
      </c>
      <c r="AW1238" t="s">
        <v>3250</v>
      </c>
      <c r="AX1238" t="s">
        <v>3250</v>
      </c>
      <c r="AY1238" t="s">
        <v>3250</v>
      </c>
      <c r="AZ1238" t="s">
        <v>3250</v>
      </c>
      <c r="BA1238" t="s">
        <v>3250</v>
      </c>
      <c r="BB1238" t="s">
        <v>3250</v>
      </c>
      <c r="BC1238" t="s">
        <v>3250</v>
      </c>
      <c r="BE1238" t="s">
        <v>3250</v>
      </c>
      <c r="BF1238" t="s">
        <v>3250</v>
      </c>
      <c r="BG1238" t="s">
        <v>3250</v>
      </c>
      <c r="BH1238" t="s">
        <v>3250</v>
      </c>
      <c r="BI1238" t="s">
        <v>3250</v>
      </c>
      <c r="BK1238" t="s">
        <v>3250</v>
      </c>
      <c r="BL1238" t="s">
        <v>3250</v>
      </c>
      <c r="BM1238" t="s">
        <v>3250</v>
      </c>
      <c r="BN1238" t="s">
        <v>3250</v>
      </c>
      <c r="BP1238">
        <v>1</v>
      </c>
      <c r="BQ1238">
        <v>11</v>
      </c>
      <c r="BR1238" t="s">
        <v>1574</v>
      </c>
      <c r="BS1238" t="s">
        <v>3252</v>
      </c>
      <c r="BV1238">
        <v>0</v>
      </c>
      <c r="BW1238">
        <v>0</v>
      </c>
      <c r="BX1238">
        <v>0</v>
      </c>
      <c r="BY1238">
        <v>0</v>
      </c>
      <c r="BZ1238">
        <v>0</v>
      </c>
      <c r="CA1238">
        <v>0</v>
      </c>
      <c r="CB1238">
        <v>0</v>
      </c>
      <c r="CC1238">
        <v>0</v>
      </c>
      <c r="CD1238">
        <v>0</v>
      </c>
      <c r="CE1238" t="s">
        <v>3108</v>
      </c>
      <c r="CF1238" t="s">
        <v>3108</v>
      </c>
      <c r="CG1238" t="s">
        <v>3108</v>
      </c>
      <c r="CH1238" t="s">
        <v>3108</v>
      </c>
    </row>
    <row r="1239" spans="1:86" x14ac:dyDescent="0.2">
      <c r="A1239" t="s">
        <v>5078</v>
      </c>
      <c r="B1239" t="s">
        <v>5078</v>
      </c>
      <c r="C1239">
        <v>41716</v>
      </c>
      <c r="D1239">
        <v>985</v>
      </c>
      <c r="E1239" t="s">
        <v>3498</v>
      </c>
      <c r="F1239" t="s">
        <v>3249</v>
      </c>
      <c r="G1239" t="s">
        <v>3249</v>
      </c>
      <c r="H1239" t="s">
        <v>3250</v>
      </c>
      <c r="I1239" t="s">
        <v>3250</v>
      </c>
      <c r="J1239" t="s">
        <v>3250</v>
      </c>
      <c r="K1239" t="s">
        <v>3250</v>
      </c>
      <c r="L1239">
        <v>1200</v>
      </c>
      <c r="M1239" t="s">
        <v>2368</v>
      </c>
      <c r="N1239">
        <v>1204</v>
      </c>
      <c r="O1239" t="s">
        <v>1574</v>
      </c>
      <c r="P1239" t="s">
        <v>3108</v>
      </c>
      <c r="Q1239" t="s">
        <v>3249</v>
      </c>
      <c r="R1239" t="s">
        <v>3249</v>
      </c>
      <c r="S1239" t="s">
        <v>472</v>
      </c>
      <c r="T1239" t="s">
        <v>3251</v>
      </c>
      <c r="U1239">
        <v>140</v>
      </c>
      <c r="V1239" t="s">
        <v>1327</v>
      </c>
      <c r="W1239">
        <v>140</v>
      </c>
      <c r="X1239" t="s">
        <v>1327</v>
      </c>
      <c r="Y1239" t="s">
        <v>3250</v>
      </c>
      <c r="Z1239" t="s">
        <v>3250</v>
      </c>
      <c r="AA1239" t="s">
        <v>3108</v>
      </c>
      <c r="AB1239" t="s">
        <v>3108</v>
      </c>
      <c r="AC1239" t="s">
        <v>3250</v>
      </c>
      <c r="AD1239" t="s">
        <v>3250</v>
      </c>
      <c r="AE1239" t="s">
        <v>3250</v>
      </c>
      <c r="AF1239" t="s">
        <v>3250</v>
      </c>
      <c r="AG1239" t="s">
        <v>3250</v>
      </c>
      <c r="AH1239" t="s">
        <v>3250</v>
      </c>
      <c r="AI1239" t="s">
        <v>3250</v>
      </c>
      <c r="AJ1239" t="s">
        <v>3250</v>
      </c>
      <c r="AL1239">
        <v>146</v>
      </c>
      <c r="AM1239" t="s">
        <v>5</v>
      </c>
      <c r="AN1239">
        <v>146</v>
      </c>
      <c r="AO1239" t="s">
        <v>5</v>
      </c>
      <c r="AS1239" t="s">
        <v>3250</v>
      </c>
      <c r="AT1239" t="s">
        <v>3250</v>
      </c>
      <c r="AU1239" t="s">
        <v>3250</v>
      </c>
      <c r="AV1239" t="s">
        <v>3250</v>
      </c>
      <c r="AW1239" t="s">
        <v>3250</v>
      </c>
      <c r="AX1239" t="s">
        <v>3250</v>
      </c>
      <c r="AY1239" t="s">
        <v>3250</v>
      </c>
      <c r="AZ1239" t="s">
        <v>3250</v>
      </c>
      <c r="BA1239" t="s">
        <v>3250</v>
      </c>
      <c r="BB1239" t="s">
        <v>3250</v>
      </c>
      <c r="BC1239" t="s">
        <v>3250</v>
      </c>
      <c r="BE1239" t="s">
        <v>3250</v>
      </c>
      <c r="BF1239" t="s">
        <v>3250</v>
      </c>
      <c r="BG1239" t="s">
        <v>3250</v>
      </c>
      <c r="BH1239" t="s">
        <v>3250</v>
      </c>
      <c r="BI1239" t="s">
        <v>3250</v>
      </c>
      <c r="BK1239" t="s">
        <v>3250</v>
      </c>
      <c r="BL1239" t="s">
        <v>3250</v>
      </c>
      <c r="BM1239" t="s">
        <v>3250</v>
      </c>
      <c r="BN1239" t="s">
        <v>3250</v>
      </c>
      <c r="BP1239">
        <v>1</v>
      </c>
      <c r="BQ1239">
        <v>11</v>
      </c>
      <c r="BR1239" t="s">
        <v>1574</v>
      </c>
      <c r="BS1239" t="s">
        <v>3252</v>
      </c>
      <c r="BV1239">
        <v>0</v>
      </c>
      <c r="BW1239">
        <v>0</v>
      </c>
      <c r="BX1239">
        <v>0</v>
      </c>
      <c r="BY1239">
        <v>0</v>
      </c>
      <c r="BZ1239">
        <v>0</v>
      </c>
      <c r="CA1239">
        <v>0</v>
      </c>
      <c r="CB1239">
        <v>0</v>
      </c>
      <c r="CC1239">
        <v>0</v>
      </c>
      <c r="CD1239">
        <v>0</v>
      </c>
      <c r="CE1239" t="s">
        <v>3108</v>
      </c>
      <c r="CF1239" t="s">
        <v>3108</v>
      </c>
      <c r="CG1239" t="s">
        <v>3108</v>
      </c>
      <c r="CH1239" t="s">
        <v>3108</v>
      </c>
    </row>
    <row r="1240" spans="1:86" x14ac:dyDescent="0.2">
      <c r="A1240" t="s">
        <v>5079</v>
      </c>
      <c r="B1240" t="s">
        <v>5079</v>
      </c>
      <c r="C1240">
        <v>41717</v>
      </c>
      <c r="D1240">
        <v>986</v>
      </c>
      <c r="E1240" t="s">
        <v>3476</v>
      </c>
      <c r="F1240" t="s">
        <v>3249</v>
      </c>
      <c r="G1240" t="s">
        <v>3249</v>
      </c>
      <c r="H1240" t="s">
        <v>3250</v>
      </c>
      <c r="I1240" t="s">
        <v>3250</v>
      </c>
      <c r="J1240" t="s">
        <v>3250</v>
      </c>
      <c r="K1240" t="s">
        <v>3250</v>
      </c>
      <c r="L1240">
        <v>1200</v>
      </c>
      <c r="M1240" t="s">
        <v>2368</v>
      </c>
      <c r="N1240">
        <v>1204</v>
      </c>
      <c r="O1240" t="s">
        <v>1574</v>
      </c>
      <c r="P1240" t="s">
        <v>3108</v>
      </c>
      <c r="Q1240" t="s">
        <v>3249</v>
      </c>
      <c r="R1240" t="s">
        <v>3249</v>
      </c>
      <c r="S1240" t="s">
        <v>472</v>
      </c>
      <c r="T1240" t="s">
        <v>3251</v>
      </c>
      <c r="U1240">
        <v>140</v>
      </c>
      <c r="V1240" t="s">
        <v>1327</v>
      </c>
      <c r="W1240">
        <v>140</v>
      </c>
      <c r="X1240" t="s">
        <v>1327</v>
      </c>
      <c r="Y1240" t="s">
        <v>3250</v>
      </c>
      <c r="Z1240" t="s">
        <v>3250</v>
      </c>
      <c r="AA1240" t="s">
        <v>3108</v>
      </c>
      <c r="AB1240" t="s">
        <v>3108</v>
      </c>
      <c r="AC1240" t="s">
        <v>3250</v>
      </c>
      <c r="AD1240" t="s">
        <v>3250</v>
      </c>
      <c r="AE1240" t="s">
        <v>3250</v>
      </c>
      <c r="AF1240" t="s">
        <v>3250</v>
      </c>
      <c r="AG1240" t="s">
        <v>3250</v>
      </c>
      <c r="AH1240" t="s">
        <v>3250</v>
      </c>
      <c r="AI1240" t="s">
        <v>3250</v>
      </c>
      <c r="AJ1240" t="s">
        <v>3250</v>
      </c>
      <c r="AL1240">
        <v>141</v>
      </c>
      <c r="AM1240" t="s">
        <v>1327</v>
      </c>
      <c r="AN1240">
        <v>141</v>
      </c>
      <c r="AO1240" t="s">
        <v>1327</v>
      </c>
      <c r="AS1240" t="s">
        <v>3250</v>
      </c>
      <c r="AT1240" t="s">
        <v>3250</v>
      </c>
      <c r="AU1240" t="s">
        <v>3250</v>
      </c>
      <c r="AV1240" t="s">
        <v>3250</v>
      </c>
      <c r="AW1240" t="s">
        <v>3250</v>
      </c>
      <c r="AX1240" t="s">
        <v>3250</v>
      </c>
      <c r="AY1240" t="s">
        <v>3250</v>
      </c>
      <c r="AZ1240" t="s">
        <v>3250</v>
      </c>
      <c r="BA1240" t="s">
        <v>3250</v>
      </c>
      <c r="BB1240" t="s">
        <v>3250</v>
      </c>
      <c r="BC1240" t="s">
        <v>3250</v>
      </c>
      <c r="BE1240" t="s">
        <v>3250</v>
      </c>
      <c r="BF1240" t="s">
        <v>3250</v>
      </c>
      <c r="BG1240" t="s">
        <v>3250</v>
      </c>
      <c r="BH1240" t="s">
        <v>3250</v>
      </c>
      <c r="BI1240" t="s">
        <v>3250</v>
      </c>
      <c r="BK1240" t="s">
        <v>3250</v>
      </c>
      <c r="BL1240" t="s">
        <v>3250</v>
      </c>
      <c r="BM1240" t="s">
        <v>3250</v>
      </c>
      <c r="BN1240" t="s">
        <v>3250</v>
      </c>
      <c r="BP1240">
        <v>1</v>
      </c>
      <c r="BQ1240">
        <v>11</v>
      </c>
      <c r="BR1240" t="s">
        <v>1574</v>
      </c>
      <c r="BS1240" t="s">
        <v>3252</v>
      </c>
      <c r="BV1240">
        <v>0</v>
      </c>
      <c r="BW1240">
        <v>0</v>
      </c>
      <c r="BX1240">
        <v>0</v>
      </c>
      <c r="BY1240">
        <v>0</v>
      </c>
      <c r="BZ1240">
        <v>0</v>
      </c>
      <c r="CA1240">
        <v>0</v>
      </c>
      <c r="CB1240">
        <v>0</v>
      </c>
      <c r="CC1240">
        <v>0</v>
      </c>
      <c r="CD1240">
        <v>0</v>
      </c>
      <c r="CE1240" t="s">
        <v>3108</v>
      </c>
      <c r="CF1240" t="s">
        <v>3108</v>
      </c>
      <c r="CG1240" t="s">
        <v>3108</v>
      </c>
      <c r="CH1240" t="s">
        <v>3108</v>
      </c>
    </row>
    <row r="1241" spans="1:86" x14ac:dyDescent="0.2">
      <c r="A1241" t="s">
        <v>5080</v>
      </c>
      <c r="B1241" t="s">
        <v>5080</v>
      </c>
      <c r="C1241">
        <v>41718</v>
      </c>
      <c r="D1241">
        <v>987</v>
      </c>
      <c r="E1241" t="s">
        <v>3478</v>
      </c>
      <c r="F1241" t="s">
        <v>3249</v>
      </c>
      <c r="G1241" t="s">
        <v>3249</v>
      </c>
      <c r="H1241" t="s">
        <v>3250</v>
      </c>
      <c r="I1241" t="s">
        <v>3250</v>
      </c>
      <c r="J1241" t="s">
        <v>3250</v>
      </c>
      <c r="K1241" t="s">
        <v>3250</v>
      </c>
      <c r="L1241">
        <v>1200</v>
      </c>
      <c r="M1241" t="s">
        <v>2368</v>
      </c>
      <c r="N1241">
        <v>1204</v>
      </c>
      <c r="O1241" t="s">
        <v>1574</v>
      </c>
      <c r="P1241" t="s">
        <v>3108</v>
      </c>
      <c r="Q1241" t="s">
        <v>3249</v>
      </c>
      <c r="R1241" t="s">
        <v>3249</v>
      </c>
      <c r="S1241" t="s">
        <v>472</v>
      </c>
      <c r="T1241" t="s">
        <v>3251</v>
      </c>
      <c r="U1241">
        <v>140</v>
      </c>
      <c r="V1241" t="s">
        <v>1327</v>
      </c>
      <c r="W1241">
        <v>140</v>
      </c>
      <c r="X1241" t="s">
        <v>1327</v>
      </c>
      <c r="Y1241" t="s">
        <v>3250</v>
      </c>
      <c r="Z1241" t="s">
        <v>3250</v>
      </c>
      <c r="AA1241" t="s">
        <v>3108</v>
      </c>
      <c r="AB1241" t="s">
        <v>3108</v>
      </c>
      <c r="AC1241" t="s">
        <v>3250</v>
      </c>
      <c r="AD1241" t="s">
        <v>3250</v>
      </c>
      <c r="AE1241" t="s">
        <v>3250</v>
      </c>
      <c r="AF1241" t="s">
        <v>3250</v>
      </c>
      <c r="AG1241" t="s">
        <v>3250</v>
      </c>
      <c r="AH1241" t="s">
        <v>3250</v>
      </c>
      <c r="AI1241" t="s">
        <v>3250</v>
      </c>
      <c r="AJ1241" t="s">
        <v>3250</v>
      </c>
      <c r="AL1241">
        <v>141</v>
      </c>
      <c r="AM1241" t="s">
        <v>1327</v>
      </c>
      <c r="AN1241">
        <v>141</v>
      </c>
      <c r="AO1241" t="s">
        <v>1327</v>
      </c>
      <c r="AS1241" t="s">
        <v>3250</v>
      </c>
      <c r="AT1241" t="s">
        <v>3250</v>
      </c>
      <c r="AU1241" t="s">
        <v>3250</v>
      </c>
      <c r="AV1241" t="s">
        <v>3250</v>
      </c>
      <c r="AW1241" t="s">
        <v>3250</v>
      </c>
      <c r="AX1241" t="s">
        <v>3250</v>
      </c>
      <c r="AY1241" t="s">
        <v>3250</v>
      </c>
      <c r="AZ1241" t="s">
        <v>3250</v>
      </c>
      <c r="BA1241" t="s">
        <v>3250</v>
      </c>
      <c r="BB1241" t="s">
        <v>3250</v>
      </c>
      <c r="BC1241" t="s">
        <v>3250</v>
      </c>
      <c r="BE1241" t="s">
        <v>3250</v>
      </c>
      <c r="BF1241" t="s">
        <v>3250</v>
      </c>
      <c r="BG1241" t="s">
        <v>3250</v>
      </c>
      <c r="BH1241" t="s">
        <v>3250</v>
      </c>
      <c r="BI1241" t="s">
        <v>3250</v>
      </c>
      <c r="BK1241" t="s">
        <v>3250</v>
      </c>
      <c r="BL1241" t="s">
        <v>3250</v>
      </c>
      <c r="BM1241" t="s">
        <v>3250</v>
      </c>
      <c r="BN1241" t="s">
        <v>3250</v>
      </c>
      <c r="BP1241">
        <v>1</v>
      </c>
      <c r="BQ1241">
        <v>11</v>
      </c>
      <c r="BR1241" t="s">
        <v>1574</v>
      </c>
      <c r="BS1241" t="s">
        <v>3252</v>
      </c>
      <c r="BV1241">
        <v>0</v>
      </c>
      <c r="BW1241">
        <v>0</v>
      </c>
      <c r="BX1241">
        <v>0</v>
      </c>
      <c r="BY1241">
        <v>0</v>
      </c>
      <c r="BZ1241">
        <v>0</v>
      </c>
      <c r="CA1241">
        <v>0</v>
      </c>
      <c r="CB1241">
        <v>0</v>
      </c>
      <c r="CC1241">
        <v>0</v>
      </c>
      <c r="CD1241">
        <v>0</v>
      </c>
      <c r="CE1241" t="s">
        <v>3108</v>
      </c>
      <c r="CF1241" t="s">
        <v>3108</v>
      </c>
      <c r="CG1241" t="s">
        <v>3108</v>
      </c>
      <c r="CH1241" t="s">
        <v>3108</v>
      </c>
    </row>
    <row r="1242" spans="1:86" x14ac:dyDescent="0.2">
      <c r="A1242" t="s">
        <v>5081</v>
      </c>
      <c r="B1242" t="s">
        <v>5081</v>
      </c>
      <c r="C1242">
        <v>41719</v>
      </c>
      <c r="D1242">
        <v>988</v>
      </c>
      <c r="E1242" t="s">
        <v>3480</v>
      </c>
      <c r="F1242" t="s">
        <v>3249</v>
      </c>
      <c r="G1242" t="s">
        <v>3249</v>
      </c>
      <c r="H1242" t="s">
        <v>3250</v>
      </c>
      <c r="I1242" t="s">
        <v>3250</v>
      </c>
      <c r="J1242" t="s">
        <v>3250</v>
      </c>
      <c r="K1242" t="s">
        <v>3250</v>
      </c>
      <c r="L1242">
        <v>1200</v>
      </c>
      <c r="M1242" t="s">
        <v>2368</v>
      </c>
      <c r="N1242">
        <v>1204</v>
      </c>
      <c r="O1242" t="s">
        <v>1574</v>
      </c>
      <c r="P1242" t="s">
        <v>3108</v>
      </c>
      <c r="Q1242" t="s">
        <v>3249</v>
      </c>
      <c r="R1242" t="s">
        <v>3249</v>
      </c>
      <c r="S1242" t="s">
        <v>472</v>
      </c>
      <c r="T1242" t="s">
        <v>3251</v>
      </c>
      <c r="U1242">
        <v>140</v>
      </c>
      <c r="V1242" t="s">
        <v>1327</v>
      </c>
      <c r="W1242">
        <v>140</v>
      </c>
      <c r="X1242" t="s">
        <v>1327</v>
      </c>
      <c r="Y1242" t="s">
        <v>3250</v>
      </c>
      <c r="Z1242" t="s">
        <v>3250</v>
      </c>
      <c r="AA1242" t="s">
        <v>3108</v>
      </c>
      <c r="AB1242" t="s">
        <v>3108</v>
      </c>
      <c r="AC1242" t="s">
        <v>3250</v>
      </c>
      <c r="AD1242" t="s">
        <v>3250</v>
      </c>
      <c r="AE1242" t="s">
        <v>3250</v>
      </c>
      <c r="AF1242" t="s">
        <v>3250</v>
      </c>
      <c r="AG1242" t="s">
        <v>3250</v>
      </c>
      <c r="AH1242" t="s">
        <v>3250</v>
      </c>
      <c r="AI1242" t="s">
        <v>3250</v>
      </c>
      <c r="AJ1242" t="s">
        <v>3250</v>
      </c>
      <c r="AL1242">
        <v>141</v>
      </c>
      <c r="AM1242" t="s">
        <v>1327</v>
      </c>
      <c r="AN1242">
        <v>141</v>
      </c>
      <c r="AO1242" t="s">
        <v>1327</v>
      </c>
      <c r="AS1242" t="s">
        <v>3250</v>
      </c>
      <c r="AT1242" t="s">
        <v>3250</v>
      </c>
      <c r="AU1242" t="s">
        <v>3250</v>
      </c>
      <c r="AV1242" t="s">
        <v>3250</v>
      </c>
      <c r="AW1242" t="s">
        <v>3250</v>
      </c>
      <c r="AX1242" t="s">
        <v>3250</v>
      </c>
      <c r="AY1242" t="s">
        <v>3250</v>
      </c>
      <c r="AZ1242" t="s">
        <v>3250</v>
      </c>
      <c r="BA1242" t="s">
        <v>3250</v>
      </c>
      <c r="BB1242" t="s">
        <v>3250</v>
      </c>
      <c r="BC1242" t="s">
        <v>3250</v>
      </c>
      <c r="BE1242" t="s">
        <v>3250</v>
      </c>
      <c r="BF1242" t="s">
        <v>3250</v>
      </c>
      <c r="BG1242" t="s">
        <v>3250</v>
      </c>
      <c r="BH1242" t="s">
        <v>3250</v>
      </c>
      <c r="BI1242" t="s">
        <v>3250</v>
      </c>
      <c r="BK1242" t="s">
        <v>3250</v>
      </c>
      <c r="BL1242" t="s">
        <v>3250</v>
      </c>
      <c r="BM1242" t="s">
        <v>3250</v>
      </c>
      <c r="BN1242" t="s">
        <v>3250</v>
      </c>
      <c r="BP1242">
        <v>1</v>
      </c>
      <c r="BQ1242">
        <v>11</v>
      </c>
      <c r="BR1242" t="s">
        <v>1574</v>
      </c>
      <c r="BS1242" t="s">
        <v>3252</v>
      </c>
      <c r="BV1242">
        <v>0</v>
      </c>
      <c r="BW1242">
        <v>0</v>
      </c>
      <c r="BX1242">
        <v>0</v>
      </c>
      <c r="BY1242">
        <v>0</v>
      </c>
      <c r="BZ1242">
        <v>0</v>
      </c>
      <c r="CA1242">
        <v>0</v>
      </c>
      <c r="CB1242">
        <v>0</v>
      </c>
      <c r="CC1242">
        <v>0</v>
      </c>
      <c r="CD1242">
        <v>0</v>
      </c>
      <c r="CE1242" t="s">
        <v>3108</v>
      </c>
      <c r="CF1242" t="s">
        <v>3108</v>
      </c>
      <c r="CG1242" t="s">
        <v>3108</v>
      </c>
      <c r="CH1242" t="s">
        <v>3108</v>
      </c>
    </row>
    <row r="1243" spans="1:86" x14ac:dyDescent="0.2">
      <c r="A1243" t="s">
        <v>5082</v>
      </c>
      <c r="B1243" t="s">
        <v>5082</v>
      </c>
      <c r="C1243">
        <v>41720</v>
      </c>
      <c r="D1243">
        <v>989</v>
      </c>
      <c r="E1243" t="s">
        <v>3460</v>
      </c>
      <c r="F1243" t="s">
        <v>3249</v>
      </c>
      <c r="G1243" t="s">
        <v>3249</v>
      </c>
      <c r="H1243" t="s">
        <v>3250</v>
      </c>
      <c r="I1243" t="s">
        <v>3250</v>
      </c>
      <c r="J1243" t="s">
        <v>3250</v>
      </c>
      <c r="K1243" t="s">
        <v>3250</v>
      </c>
      <c r="L1243">
        <v>1200</v>
      </c>
      <c r="M1243" t="s">
        <v>2368</v>
      </c>
      <c r="N1243">
        <v>1204</v>
      </c>
      <c r="O1243" t="s">
        <v>1574</v>
      </c>
      <c r="P1243" t="s">
        <v>3108</v>
      </c>
      <c r="Q1243" t="s">
        <v>3249</v>
      </c>
      <c r="R1243" t="s">
        <v>3249</v>
      </c>
      <c r="S1243" t="s">
        <v>472</v>
      </c>
      <c r="T1243" t="s">
        <v>3251</v>
      </c>
      <c r="U1243">
        <v>140</v>
      </c>
      <c r="V1243" t="s">
        <v>1327</v>
      </c>
      <c r="W1243">
        <v>140</v>
      </c>
      <c r="X1243" t="s">
        <v>1327</v>
      </c>
      <c r="Y1243" t="s">
        <v>3250</v>
      </c>
      <c r="Z1243" t="s">
        <v>3250</v>
      </c>
      <c r="AA1243" t="s">
        <v>3108</v>
      </c>
      <c r="AB1243" t="s">
        <v>3108</v>
      </c>
      <c r="AC1243" t="s">
        <v>3250</v>
      </c>
      <c r="AD1243" t="s">
        <v>3250</v>
      </c>
      <c r="AE1243" t="s">
        <v>3250</v>
      </c>
      <c r="AF1243" t="s">
        <v>3250</v>
      </c>
      <c r="AG1243" t="s">
        <v>3250</v>
      </c>
      <c r="AH1243" t="s">
        <v>3250</v>
      </c>
      <c r="AI1243" t="s">
        <v>3250</v>
      </c>
      <c r="AJ1243" t="s">
        <v>3250</v>
      </c>
      <c r="AL1243">
        <v>141</v>
      </c>
      <c r="AM1243" t="s">
        <v>1327</v>
      </c>
      <c r="AN1243">
        <v>141</v>
      </c>
      <c r="AO1243" t="s">
        <v>1327</v>
      </c>
      <c r="AS1243" t="s">
        <v>3250</v>
      </c>
      <c r="AT1243" t="s">
        <v>3250</v>
      </c>
      <c r="AU1243" t="s">
        <v>3250</v>
      </c>
      <c r="AV1243" t="s">
        <v>3250</v>
      </c>
      <c r="AW1243" t="s">
        <v>3250</v>
      </c>
      <c r="AX1243" t="s">
        <v>3250</v>
      </c>
      <c r="AY1243" t="s">
        <v>3250</v>
      </c>
      <c r="AZ1243" t="s">
        <v>3250</v>
      </c>
      <c r="BA1243" t="s">
        <v>3250</v>
      </c>
      <c r="BB1243" t="s">
        <v>3250</v>
      </c>
      <c r="BC1243" t="s">
        <v>3250</v>
      </c>
      <c r="BE1243" t="s">
        <v>3250</v>
      </c>
      <c r="BF1243" t="s">
        <v>3250</v>
      </c>
      <c r="BG1243" t="s">
        <v>3250</v>
      </c>
      <c r="BH1243" t="s">
        <v>3250</v>
      </c>
      <c r="BI1243" t="s">
        <v>3250</v>
      </c>
      <c r="BK1243" t="s">
        <v>3250</v>
      </c>
      <c r="BL1243" t="s">
        <v>3250</v>
      </c>
      <c r="BM1243" t="s">
        <v>3250</v>
      </c>
      <c r="BN1243" t="s">
        <v>3250</v>
      </c>
      <c r="BP1243">
        <v>1</v>
      </c>
      <c r="BQ1243">
        <v>11</v>
      </c>
      <c r="BR1243" t="s">
        <v>1574</v>
      </c>
      <c r="BS1243" t="s">
        <v>3252</v>
      </c>
      <c r="BV1243">
        <v>0</v>
      </c>
      <c r="BW1243">
        <v>0</v>
      </c>
      <c r="BX1243">
        <v>0</v>
      </c>
      <c r="BY1243">
        <v>0</v>
      </c>
      <c r="BZ1243">
        <v>0</v>
      </c>
      <c r="CA1243">
        <v>0</v>
      </c>
      <c r="CB1243">
        <v>0</v>
      </c>
      <c r="CC1243">
        <v>0</v>
      </c>
      <c r="CD1243">
        <v>0</v>
      </c>
      <c r="CE1243" t="s">
        <v>3108</v>
      </c>
      <c r="CF1243" t="s">
        <v>3108</v>
      </c>
      <c r="CG1243" t="s">
        <v>3108</v>
      </c>
      <c r="CH1243" t="s">
        <v>3108</v>
      </c>
    </row>
    <row r="1244" spans="1:86" x14ac:dyDescent="0.2">
      <c r="A1244" t="s">
        <v>5083</v>
      </c>
      <c r="B1244" t="s">
        <v>5083</v>
      </c>
      <c r="C1244">
        <v>41721</v>
      </c>
      <c r="D1244">
        <v>990</v>
      </c>
      <c r="E1244" t="s">
        <v>3462</v>
      </c>
      <c r="F1244" t="s">
        <v>3249</v>
      </c>
      <c r="G1244" t="s">
        <v>3249</v>
      </c>
      <c r="H1244" t="s">
        <v>3250</v>
      </c>
      <c r="I1244" t="s">
        <v>3250</v>
      </c>
      <c r="J1244" t="s">
        <v>3250</v>
      </c>
      <c r="K1244" t="s">
        <v>3250</v>
      </c>
      <c r="L1244">
        <v>1200</v>
      </c>
      <c r="M1244" t="s">
        <v>2368</v>
      </c>
      <c r="N1244">
        <v>1204</v>
      </c>
      <c r="O1244" t="s">
        <v>1574</v>
      </c>
      <c r="P1244" t="s">
        <v>3108</v>
      </c>
      <c r="Q1244" t="s">
        <v>3249</v>
      </c>
      <c r="R1244" t="s">
        <v>3249</v>
      </c>
      <c r="S1244" t="s">
        <v>472</v>
      </c>
      <c r="T1244" t="s">
        <v>3251</v>
      </c>
      <c r="U1244">
        <v>140</v>
      </c>
      <c r="V1244" t="s">
        <v>1327</v>
      </c>
      <c r="W1244">
        <v>140</v>
      </c>
      <c r="X1244" t="s">
        <v>1327</v>
      </c>
      <c r="Y1244" t="s">
        <v>3250</v>
      </c>
      <c r="Z1244" t="s">
        <v>3250</v>
      </c>
      <c r="AA1244" t="s">
        <v>3108</v>
      </c>
      <c r="AB1244" t="s">
        <v>3108</v>
      </c>
      <c r="AC1244" t="s">
        <v>3250</v>
      </c>
      <c r="AD1244" t="s">
        <v>3250</v>
      </c>
      <c r="AE1244" t="s">
        <v>3250</v>
      </c>
      <c r="AF1244" t="s">
        <v>3250</v>
      </c>
      <c r="AG1244" t="s">
        <v>3250</v>
      </c>
      <c r="AH1244" t="s">
        <v>3250</v>
      </c>
      <c r="AI1244" t="s">
        <v>3250</v>
      </c>
      <c r="AJ1244" t="s">
        <v>3250</v>
      </c>
      <c r="AL1244">
        <v>141</v>
      </c>
      <c r="AM1244" t="s">
        <v>1327</v>
      </c>
      <c r="AN1244">
        <v>141</v>
      </c>
      <c r="AO1244" t="s">
        <v>1327</v>
      </c>
      <c r="AS1244" t="s">
        <v>3250</v>
      </c>
      <c r="AT1244" t="s">
        <v>3250</v>
      </c>
      <c r="AU1244" t="s">
        <v>3250</v>
      </c>
      <c r="AV1244" t="s">
        <v>3250</v>
      </c>
      <c r="AW1244" t="s">
        <v>3250</v>
      </c>
      <c r="AX1244" t="s">
        <v>3250</v>
      </c>
      <c r="AY1244" t="s">
        <v>3250</v>
      </c>
      <c r="AZ1244" t="s">
        <v>3250</v>
      </c>
      <c r="BA1244" t="s">
        <v>3250</v>
      </c>
      <c r="BB1244" t="s">
        <v>3250</v>
      </c>
      <c r="BC1244" t="s">
        <v>3250</v>
      </c>
      <c r="BE1244" t="s">
        <v>3250</v>
      </c>
      <c r="BF1244" t="s">
        <v>3250</v>
      </c>
      <c r="BG1244" t="s">
        <v>3250</v>
      </c>
      <c r="BH1244" t="s">
        <v>3250</v>
      </c>
      <c r="BI1244" t="s">
        <v>3250</v>
      </c>
      <c r="BK1244" t="s">
        <v>3250</v>
      </c>
      <c r="BL1244" t="s">
        <v>3250</v>
      </c>
      <c r="BM1244" t="s">
        <v>3250</v>
      </c>
      <c r="BN1244" t="s">
        <v>3250</v>
      </c>
      <c r="BP1244">
        <v>1</v>
      </c>
      <c r="BQ1244">
        <v>11</v>
      </c>
      <c r="BR1244" t="s">
        <v>1574</v>
      </c>
      <c r="BS1244" t="s">
        <v>3252</v>
      </c>
      <c r="BV1244">
        <v>0</v>
      </c>
      <c r="BW1244">
        <v>0</v>
      </c>
      <c r="BX1244">
        <v>0</v>
      </c>
      <c r="BY1244">
        <v>0</v>
      </c>
      <c r="BZ1244">
        <v>0</v>
      </c>
      <c r="CA1244">
        <v>0</v>
      </c>
      <c r="CB1244">
        <v>0</v>
      </c>
      <c r="CC1244">
        <v>0</v>
      </c>
      <c r="CD1244">
        <v>0</v>
      </c>
      <c r="CE1244" t="s">
        <v>3108</v>
      </c>
      <c r="CF1244" t="s">
        <v>3108</v>
      </c>
      <c r="CG1244" t="s">
        <v>3108</v>
      </c>
      <c r="CH1244" t="s">
        <v>3108</v>
      </c>
    </row>
    <row r="1245" spans="1:86" x14ac:dyDescent="0.2">
      <c r="A1245" t="s">
        <v>5084</v>
      </c>
      <c r="B1245" t="s">
        <v>5084</v>
      </c>
      <c r="C1245">
        <v>41722</v>
      </c>
      <c r="D1245">
        <v>991</v>
      </c>
      <c r="E1245" t="s">
        <v>3464</v>
      </c>
      <c r="F1245" t="s">
        <v>3249</v>
      </c>
      <c r="G1245" t="s">
        <v>3249</v>
      </c>
      <c r="H1245" t="s">
        <v>3250</v>
      </c>
      <c r="I1245" t="s">
        <v>3250</v>
      </c>
      <c r="J1245" t="s">
        <v>3250</v>
      </c>
      <c r="K1245" t="s">
        <v>3250</v>
      </c>
      <c r="L1245">
        <v>1200</v>
      </c>
      <c r="M1245" t="s">
        <v>2368</v>
      </c>
      <c r="N1245">
        <v>1204</v>
      </c>
      <c r="O1245" t="s">
        <v>1574</v>
      </c>
      <c r="P1245" t="s">
        <v>3108</v>
      </c>
      <c r="Q1245" t="s">
        <v>3249</v>
      </c>
      <c r="R1245" t="s">
        <v>3249</v>
      </c>
      <c r="S1245" t="s">
        <v>472</v>
      </c>
      <c r="T1245" t="s">
        <v>3251</v>
      </c>
      <c r="U1245">
        <v>140</v>
      </c>
      <c r="V1245" t="s">
        <v>1327</v>
      </c>
      <c r="W1245">
        <v>140</v>
      </c>
      <c r="X1245" t="s">
        <v>1327</v>
      </c>
      <c r="Y1245" t="s">
        <v>3250</v>
      </c>
      <c r="Z1245" t="s">
        <v>3250</v>
      </c>
      <c r="AA1245" t="s">
        <v>3108</v>
      </c>
      <c r="AB1245" t="s">
        <v>3108</v>
      </c>
      <c r="AC1245" t="s">
        <v>3250</v>
      </c>
      <c r="AD1245" t="s">
        <v>3250</v>
      </c>
      <c r="AE1245" t="s">
        <v>3250</v>
      </c>
      <c r="AF1245" t="s">
        <v>3250</v>
      </c>
      <c r="AG1245" t="s">
        <v>3250</v>
      </c>
      <c r="AH1245" t="s">
        <v>3250</v>
      </c>
      <c r="AI1245" t="s">
        <v>3250</v>
      </c>
      <c r="AJ1245" t="s">
        <v>3250</v>
      </c>
      <c r="AL1245">
        <v>147</v>
      </c>
      <c r="AM1245" t="s">
        <v>6</v>
      </c>
      <c r="AN1245">
        <v>147</v>
      </c>
      <c r="AO1245" t="s">
        <v>6</v>
      </c>
      <c r="AS1245" t="s">
        <v>3250</v>
      </c>
      <c r="AT1245" t="s">
        <v>3250</v>
      </c>
      <c r="AU1245" t="s">
        <v>3250</v>
      </c>
      <c r="AV1245" t="s">
        <v>3250</v>
      </c>
      <c r="AW1245" t="s">
        <v>3250</v>
      </c>
      <c r="AX1245" t="s">
        <v>3250</v>
      </c>
      <c r="AY1245" t="s">
        <v>3250</v>
      </c>
      <c r="AZ1245" t="s">
        <v>3250</v>
      </c>
      <c r="BA1245" t="s">
        <v>3250</v>
      </c>
      <c r="BB1245" t="s">
        <v>3250</v>
      </c>
      <c r="BC1245" t="s">
        <v>3250</v>
      </c>
      <c r="BE1245" t="s">
        <v>3250</v>
      </c>
      <c r="BF1245" t="s">
        <v>3250</v>
      </c>
      <c r="BG1245" t="s">
        <v>3250</v>
      </c>
      <c r="BH1245" t="s">
        <v>3250</v>
      </c>
      <c r="BI1245" t="s">
        <v>3250</v>
      </c>
      <c r="BK1245" t="s">
        <v>3250</v>
      </c>
      <c r="BL1245" t="s">
        <v>3250</v>
      </c>
      <c r="BM1245" t="s">
        <v>3250</v>
      </c>
      <c r="BN1245" t="s">
        <v>3250</v>
      </c>
      <c r="BP1245">
        <v>1</v>
      </c>
      <c r="BQ1245">
        <v>11</v>
      </c>
      <c r="BR1245" t="s">
        <v>1574</v>
      </c>
      <c r="BS1245" t="s">
        <v>3252</v>
      </c>
      <c r="BV1245">
        <v>0</v>
      </c>
      <c r="BW1245">
        <v>0</v>
      </c>
      <c r="BX1245">
        <v>0</v>
      </c>
      <c r="BY1245">
        <v>0</v>
      </c>
      <c r="BZ1245">
        <v>0</v>
      </c>
      <c r="CA1245">
        <v>0</v>
      </c>
      <c r="CB1245">
        <v>0</v>
      </c>
      <c r="CC1245">
        <v>0</v>
      </c>
      <c r="CD1245">
        <v>0</v>
      </c>
      <c r="CE1245" t="s">
        <v>3108</v>
      </c>
      <c r="CF1245" t="s">
        <v>3108</v>
      </c>
      <c r="CG1245" t="s">
        <v>3108</v>
      </c>
      <c r="CH1245" t="s">
        <v>3108</v>
      </c>
    </row>
    <row r="1246" spans="1:86" x14ac:dyDescent="0.2">
      <c r="A1246" t="s">
        <v>5085</v>
      </c>
      <c r="B1246" t="s">
        <v>5085</v>
      </c>
      <c r="C1246">
        <v>41723</v>
      </c>
      <c r="D1246">
        <v>992</v>
      </c>
      <c r="E1246" t="s">
        <v>3454</v>
      </c>
      <c r="F1246" t="s">
        <v>3249</v>
      </c>
      <c r="G1246" t="s">
        <v>3249</v>
      </c>
      <c r="H1246" t="s">
        <v>3250</v>
      </c>
      <c r="I1246" t="s">
        <v>3250</v>
      </c>
      <c r="J1246" t="s">
        <v>3250</v>
      </c>
      <c r="K1246" t="s">
        <v>3250</v>
      </c>
      <c r="L1246">
        <v>1200</v>
      </c>
      <c r="M1246" t="s">
        <v>2368</v>
      </c>
      <c r="N1246">
        <v>1204</v>
      </c>
      <c r="O1246" t="s">
        <v>1574</v>
      </c>
      <c r="P1246" t="s">
        <v>3108</v>
      </c>
      <c r="Q1246" t="s">
        <v>3249</v>
      </c>
      <c r="R1246" t="s">
        <v>3249</v>
      </c>
      <c r="S1246" t="s">
        <v>472</v>
      </c>
      <c r="T1246" t="s">
        <v>3251</v>
      </c>
      <c r="U1246">
        <v>140</v>
      </c>
      <c r="V1246" t="s">
        <v>1327</v>
      </c>
      <c r="W1246">
        <v>140</v>
      </c>
      <c r="X1246" t="s">
        <v>1327</v>
      </c>
      <c r="Y1246" t="s">
        <v>3250</v>
      </c>
      <c r="Z1246" t="s">
        <v>3250</v>
      </c>
      <c r="AA1246" t="s">
        <v>3108</v>
      </c>
      <c r="AB1246" t="s">
        <v>3108</v>
      </c>
      <c r="AC1246" t="s">
        <v>3250</v>
      </c>
      <c r="AD1246" t="s">
        <v>3250</v>
      </c>
      <c r="AE1246" t="s">
        <v>3250</v>
      </c>
      <c r="AF1246" t="s">
        <v>3250</v>
      </c>
      <c r="AG1246" t="s">
        <v>3250</v>
      </c>
      <c r="AH1246" t="s">
        <v>3250</v>
      </c>
      <c r="AI1246" t="s">
        <v>3250</v>
      </c>
      <c r="AJ1246" t="s">
        <v>3250</v>
      </c>
      <c r="AL1246">
        <v>141</v>
      </c>
      <c r="AM1246" t="s">
        <v>1327</v>
      </c>
      <c r="AN1246">
        <v>141</v>
      </c>
      <c r="AO1246" t="s">
        <v>1327</v>
      </c>
      <c r="AS1246" t="s">
        <v>3250</v>
      </c>
      <c r="AT1246" t="s">
        <v>3250</v>
      </c>
      <c r="AU1246" t="s">
        <v>3250</v>
      </c>
      <c r="AV1246" t="s">
        <v>3250</v>
      </c>
      <c r="AW1246" t="s">
        <v>3250</v>
      </c>
      <c r="AX1246" t="s">
        <v>3250</v>
      </c>
      <c r="AY1246" t="s">
        <v>3250</v>
      </c>
      <c r="AZ1246" t="s">
        <v>3250</v>
      </c>
      <c r="BA1246" t="s">
        <v>3250</v>
      </c>
      <c r="BB1246" t="s">
        <v>3250</v>
      </c>
      <c r="BC1246" t="s">
        <v>3250</v>
      </c>
      <c r="BE1246" t="s">
        <v>3250</v>
      </c>
      <c r="BF1246" t="s">
        <v>3250</v>
      </c>
      <c r="BG1246" t="s">
        <v>3250</v>
      </c>
      <c r="BH1246" t="s">
        <v>3250</v>
      </c>
      <c r="BI1246" t="s">
        <v>3250</v>
      </c>
      <c r="BK1246" t="s">
        <v>3250</v>
      </c>
      <c r="BL1246" t="s">
        <v>3250</v>
      </c>
      <c r="BM1246" t="s">
        <v>3250</v>
      </c>
      <c r="BN1246" t="s">
        <v>3250</v>
      </c>
      <c r="BP1246">
        <v>1</v>
      </c>
      <c r="BQ1246">
        <v>11</v>
      </c>
      <c r="BR1246" t="s">
        <v>1574</v>
      </c>
      <c r="BS1246" t="s">
        <v>3252</v>
      </c>
      <c r="BV1246">
        <v>0</v>
      </c>
      <c r="BW1246">
        <v>0</v>
      </c>
      <c r="BX1246">
        <v>0</v>
      </c>
      <c r="BY1246">
        <v>0</v>
      </c>
      <c r="BZ1246">
        <v>0</v>
      </c>
      <c r="CA1246">
        <v>0</v>
      </c>
      <c r="CB1246">
        <v>0</v>
      </c>
      <c r="CC1246">
        <v>0</v>
      </c>
      <c r="CD1246">
        <v>0</v>
      </c>
      <c r="CE1246" t="s">
        <v>3108</v>
      </c>
      <c r="CF1246" t="s">
        <v>3108</v>
      </c>
      <c r="CG1246" t="s">
        <v>3108</v>
      </c>
      <c r="CH1246" t="s">
        <v>3108</v>
      </c>
    </row>
    <row r="1247" spans="1:86" x14ac:dyDescent="0.2">
      <c r="A1247" t="s">
        <v>5086</v>
      </c>
      <c r="B1247" t="s">
        <v>5086</v>
      </c>
      <c r="C1247">
        <v>41724</v>
      </c>
      <c r="D1247">
        <v>993</v>
      </c>
      <c r="E1247" t="s">
        <v>3456</v>
      </c>
      <c r="F1247" t="s">
        <v>3249</v>
      </c>
      <c r="G1247" t="s">
        <v>3249</v>
      </c>
      <c r="H1247" t="s">
        <v>3250</v>
      </c>
      <c r="I1247" t="s">
        <v>3250</v>
      </c>
      <c r="J1247" t="s">
        <v>3250</v>
      </c>
      <c r="K1247" t="s">
        <v>3250</v>
      </c>
      <c r="L1247">
        <v>1200</v>
      </c>
      <c r="M1247" t="s">
        <v>2368</v>
      </c>
      <c r="N1247">
        <v>1204</v>
      </c>
      <c r="O1247" t="s">
        <v>1574</v>
      </c>
      <c r="P1247" t="s">
        <v>3108</v>
      </c>
      <c r="Q1247" t="s">
        <v>3249</v>
      </c>
      <c r="R1247" t="s">
        <v>3249</v>
      </c>
      <c r="S1247" t="s">
        <v>472</v>
      </c>
      <c r="T1247" t="s">
        <v>3251</v>
      </c>
      <c r="U1247">
        <v>140</v>
      </c>
      <c r="V1247" t="s">
        <v>1327</v>
      </c>
      <c r="W1247">
        <v>140</v>
      </c>
      <c r="X1247" t="s">
        <v>1327</v>
      </c>
      <c r="Y1247" t="s">
        <v>3250</v>
      </c>
      <c r="Z1247" t="s">
        <v>3250</v>
      </c>
      <c r="AA1247" t="s">
        <v>3108</v>
      </c>
      <c r="AB1247" t="s">
        <v>3108</v>
      </c>
      <c r="AC1247" t="s">
        <v>3250</v>
      </c>
      <c r="AD1247" t="s">
        <v>3250</v>
      </c>
      <c r="AE1247" t="s">
        <v>3250</v>
      </c>
      <c r="AF1247" t="s">
        <v>3250</v>
      </c>
      <c r="AG1247" t="s">
        <v>3250</v>
      </c>
      <c r="AH1247" t="s">
        <v>3250</v>
      </c>
      <c r="AI1247" t="s">
        <v>3250</v>
      </c>
      <c r="AJ1247" t="s">
        <v>3250</v>
      </c>
      <c r="AL1247">
        <v>141</v>
      </c>
      <c r="AM1247" t="s">
        <v>1327</v>
      </c>
      <c r="AN1247">
        <v>141</v>
      </c>
      <c r="AO1247" t="s">
        <v>1327</v>
      </c>
      <c r="AS1247" t="s">
        <v>3250</v>
      </c>
      <c r="AT1247" t="s">
        <v>3250</v>
      </c>
      <c r="AU1247" t="s">
        <v>3250</v>
      </c>
      <c r="AV1247" t="s">
        <v>3250</v>
      </c>
      <c r="AW1247" t="s">
        <v>3250</v>
      </c>
      <c r="AX1247" t="s">
        <v>3250</v>
      </c>
      <c r="AY1247" t="s">
        <v>3250</v>
      </c>
      <c r="AZ1247" t="s">
        <v>3250</v>
      </c>
      <c r="BA1247" t="s">
        <v>3250</v>
      </c>
      <c r="BB1247" t="s">
        <v>3250</v>
      </c>
      <c r="BC1247" t="s">
        <v>3250</v>
      </c>
      <c r="BE1247" t="s">
        <v>3250</v>
      </c>
      <c r="BF1247" t="s">
        <v>3250</v>
      </c>
      <c r="BG1247" t="s">
        <v>3250</v>
      </c>
      <c r="BH1247" t="s">
        <v>3250</v>
      </c>
      <c r="BI1247" t="s">
        <v>3250</v>
      </c>
      <c r="BK1247" t="s">
        <v>3250</v>
      </c>
      <c r="BL1247" t="s">
        <v>3250</v>
      </c>
      <c r="BM1247" t="s">
        <v>3250</v>
      </c>
      <c r="BN1247" t="s">
        <v>3250</v>
      </c>
      <c r="BP1247">
        <v>1</v>
      </c>
      <c r="BQ1247">
        <v>11</v>
      </c>
      <c r="BR1247" t="s">
        <v>1574</v>
      </c>
      <c r="BS1247" t="s">
        <v>3252</v>
      </c>
      <c r="BV1247">
        <v>0</v>
      </c>
      <c r="BW1247">
        <v>0</v>
      </c>
      <c r="BX1247">
        <v>0</v>
      </c>
      <c r="BY1247">
        <v>0</v>
      </c>
      <c r="BZ1247">
        <v>0</v>
      </c>
      <c r="CA1247">
        <v>0</v>
      </c>
      <c r="CB1247">
        <v>0</v>
      </c>
      <c r="CC1247">
        <v>0</v>
      </c>
      <c r="CD1247">
        <v>0</v>
      </c>
      <c r="CE1247" t="s">
        <v>3108</v>
      </c>
      <c r="CF1247" t="s">
        <v>3108</v>
      </c>
      <c r="CG1247" t="s">
        <v>3108</v>
      </c>
      <c r="CH1247" t="s">
        <v>3108</v>
      </c>
    </row>
    <row r="1248" spans="1:86" x14ac:dyDescent="0.2">
      <c r="A1248" t="s">
        <v>5087</v>
      </c>
      <c r="B1248" t="s">
        <v>5087</v>
      </c>
      <c r="C1248">
        <v>41725</v>
      </c>
      <c r="D1248">
        <v>994</v>
      </c>
      <c r="E1248" t="s">
        <v>3458</v>
      </c>
      <c r="F1248" t="s">
        <v>3249</v>
      </c>
      <c r="G1248" t="s">
        <v>3249</v>
      </c>
      <c r="H1248" t="s">
        <v>3250</v>
      </c>
      <c r="I1248" t="s">
        <v>3250</v>
      </c>
      <c r="J1248" t="s">
        <v>3250</v>
      </c>
      <c r="K1248" t="s">
        <v>3250</v>
      </c>
      <c r="L1248">
        <v>1200</v>
      </c>
      <c r="M1248" t="s">
        <v>2368</v>
      </c>
      <c r="N1248">
        <v>1204</v>
      </c>
      <c r="O1248" t="s">
        <v>1574</v>
      </c>
      <c r="P1248" t="s">
        <v>3108</v>
      </c>
      <c r="Q1248" t="s">
        <v>3249</v>
      </c>
      <c r="R1248" t="s">
        <v>3249</v>
      </c>
      <c r="S1248" t="s">
        <v>472</v>
      </c>
      <c r="T1248" t="s">
        <v>3251</v>
      </c>
      <c r="U1248">
        <v>140</v>
      </c>
      <c r="V1248" t="s">
        <v>1327</v>
      </c>
      <c r="W1248">
        <v>140</v>
      </c>
      <c r="X1248" t="s">
        <v>1327</v>
      </c>
      <c r="Y1248" t="s">
        <v>3250</v>
      </c>
      <c r="Z1248" t="s">
        <v>3250</v>
      </c>
      <c r="AA1248" t="s">
        <v>3108</v>
      </c>
      <c r="AB1248" t="s">
        <v>3108</v>
      </c>
      <c r="AC1248" t="s">
        <v>3250</v>
      </c>
      <c r="AD1248" t="s">
        <v>3250</v>
      </c>
      <c r="AE1248" t="s">
        <v>3250</v>
      </c>
      <c r="AF1248" t="s">
        <v>3250</v>
      </c>
      <c r="AG1248" t="s">
        <v>3250</v>
      </c>
      <c r="AH1248" t="s">
        <v>3250</v>
      </c>
      <c r="AI1248" t="s">
        <v>3250</v>
      </c>
      <c r="AJ1248" t="s">
        <v>3250</v>
      </c>
      <c r="AL1248">
        <v>141</v>
      </c>
      <c r="AM1248" t="s">
        <v>1327</v>
      </c>
      <c r="AN1248">
        <v>141</v>
      </c>
      <c r="AO1248" t="s">
        <v>1327</v>
      </c>
      <c r="AS1248" t="s">
        <v>3250</v>
      </c>
      <c r="AT1248" t="s">
        <v>3250</v>
      </c>
      <c r="AU1248" t="s">
        <v>3250</v>
      </c>
      <c r="AV1248" t="s">
        <v>3250</v>
      </c>
      <c r="AW1248" t="s">
        <v>3250</v>
      </c>
      <c r="AX1248" t="s">
        <v>3250</v>
      </c>
      <c r="AY1248" t="s">
        <v>3250</v>
      </c>
      <c r="AZ1248" t="s">
        <v>3250</v>
      </c>
      <c r="BA1248" t="s">
        <v>3250</v>
      </c>
      <c r="BB1248" t="s">
        <v>3250</v>
      </c>
      <c r="BC1248" t="s">
        <v>3250</v>
      </c>
      <c r="BE1248" t="s">
        <v>3250</v>
      </c>
      <c r="BF1248" t="s">
        <v>3250</v>
      </c>
      <c r="BG1248" t="s">
        <v>3250</v>
      </c>
      <c r="BH1248" t="s">
        <v>3250</v>
      </c>
      <c r="BI1248" t="s">
        <v>3250</v>
      </c>
      <c r="BK1248" t="s">
        <v>3250</v>
      </c>
      <c r="BL1248" t="s">
        <v>3250</v>
      </c>
      <c r="BM1248" t="s">
        <v>3250</v>
      </c>
      <c r="BN1248" t="s">
        <v>3250</v>
      </c>
      <c r="BP1248">
        <v>1</v>
      </c>
      <c r="BQ1248">
        <v>11</v>
      </c>
      <c r="BR1248" t="s">
        <v>1574</v>
      </c>
      <c r="BS1248" t="s">
        <v>3252</v>
      </c>
      <c r="BV1248">
        <v>0</v>
      </c>
      <c r="BW1248">
        <v>0</v>
      </c>
      <c r="BX1248">
        <v>0</v>
      </c>
      <c r="BY1248">
        <v>0</v>
      </c>
      <c r="BZ1248">
        <v>0</v>
      </c>
      <c r="CA1248">
        <v>0</v>
      </c>
      <c r="CB1248">
        <v>0</v>
      </c>
      <c r="CC1248">
        <v>0</v>
      </c>
      <c r="CD1248">
        <v>0</v>
      </c>
      <c r="CE1248" t="s">
        <v>3108</v>
      </c>
      <c r="CF1248" t="s">
        <v>3108</v>
      </c>
      <c r="CG1248" t="s">
        <v>3108</v>
      </c>
      <c r="CH1248" t="s">
        <v>3108</v>
      </c>
    </row>
    <row r="1249" spans="1:86" x14ac:dyDescent="0.2">
      <c r="A1249" t="s">
        <v>5088</v>
      </c>
      <c r="B1249" t="s">
        <v>5088</v>
      </c>
      <c r="C1249">
        <v>41726</v>
      </c>
      <c r="D1249">
        <v>995</v>
      </c>
      <c r="E1249" t="s">
        <v>5089</v>
      </c>
      <c r="F1249" t="s">
        <v>3249</v>
      </c>
      <c r="G1249" t="s">
        <v>3249</v>
      </c>
      <c r="H1249" t="s">
        <v>3250</v>
      </c>
      <c r="I1249" t="s">
        <v>3250</v>
      </c>
      <c r="J1249" t="s">
        <v>3250</v>
      </c>
      <c r="K1249" t="s">
        <v>3250</v>
      </c>
      <c r="L1249">
        <v>4400</v>
      </c>
      <c r="M1249" t="s">
        <v>988</v>
      </c>
      <c r="N1249">
        <v>4403</v>
      </c>
      <c r="O1249" t="s">
        <v>2439</v>
      </c>
      <c r="P1249" t="s">
        <v>3108</v>
      </c>
      <c r="Q1249" t="s">
        <v>3249</v>
      </c>
      <c r="R1249" t="s">
        <v>3249</v>
      </c>
      <c r="S1249" t="s">
        <v>472</v>
      </c>
      <c r="T1249" t="s">
        <v>3251</v>
      </c>
      <c r="U1249">
        <v>140</v>
      </c>
      <c r="V1249" t="s">
        <v>1327</v>
      </c>
      <c r="W1249">
        <v>140</v>
      </c>
      <c r="X1249" t="s">
        <v>1327</v>
      </c>
      <c r="Y1249" t="s">
        <v>3250</v>
      </c>
      <c r="Z1249" t="s">
        <v>3250</v>
      </c>
      <c r="AA1249" t="s">
        <v>3108</v>
      </c>
      <c r="AB1249" t="s">
        <v>3108</v>
      </c>
      <c r="AC1249" t="s">
        <v>3250</v>
      </c>
      <c r="AD1249" t="s">
        <v>3250</v>
      </c>
      <c r="AE1249" t="s">
        <v>3250</v>
      </c>
      <c r="AF1249" t="s">
        <v>3250</v>
      </c>
      <c r="AG1249" t="s">
        <v>3250</v>
      </c>
      <c r="AH1249" t="s">
        <v>3250</v>
      </c>
      <c r="AI1249" t="s">
        <v>3250</v>
      </c>
      <c r="AJ1249" t="s">
        <v>3250</v>
      </c>
      <c r="AL1249">
        <v>141</v>
      </c>
      <c r="AM1249" t="s">
        <v>1327</v>
      </c>
      <c r="AN1249">
        <v>141</v>
      </c>
      <c r="AO1249" t="s">
        <v>1327</v>
      </c>
      <c r="AS1249" t="s">
        <v>3250</v>
      </c>
      <c r="AT1249" t="s">
        <v>3250</v>
      </c>
      <c r="AU1249" t="s">
        <v>3250</v>
      </c>
      <c r="AV1249" t="s">
        <v>3250</v>
      </c>
      <c r="AW1249" t="s">
        <v>3250</v>
      </c>
      <c r="AX1249" t="s">
        <v>3250</v>
      </c>
      <c r="AY1249" t="s">
        <v>3250</v>
      </c>
      <c r="AZ1249" t="s">
        <v>3250</v>
      </c>
      <c r="BA1249" t="s">
        <v>3250</v>
      </c>
      <c r="BB1249" t="s">
        <v>3250</v>
      </c>
      <c r="BC1249" t="s">
        <v>3250</v>
      </c>
      <c r="BE1249" t="s">
        <v>3250</v>
      </c>
      <c r="BF1249" t="s">
        <v>3250</v>
      </c>
      <c r="BG1249" t="s">
        <v>3250</v>
      </c>
      <c r="BH1249" t="s">
        <v>3250</v>
      </c>
      <c r="BI1249" t="s">
        <v>3250</v>
      </c>
      <c r="BK1249" t="s">
        <v>3250</v>
      </c>
      <c r="BL1249" t="s">
        <v>3250</v>
      </c>
      <c r="BM1249" t="s">
        <v>3250</v>
      </c>
      <c r="BN1249" t="s">
        <v>3250</v>
      </c>
      <c r="BP1249">
        <v>12</v>
      </c>
      <c r="BQ1249">
        <v>121</v>
      </c>
      <c r="BR1249" t="s">
        <v>2439</v>
      </c>
      <c r="BS1249" t="s">
        <v>941</v>
      </c>
      <c r="BV1249">
        <v>0</v>
      </c>
      <c r="BW1249">
        <v>0</v>
      </c>
      <c r="BX1249">
        <v>0</v>
      </c>
      <c r="BY1249">
        <v>0</v>
      </c>
      <c r="BZ1249">
        <v>0</v>
      </c>
      <c r="CA1249">
        <v>0</v>
      </c>
      <c r="CB1249">
        <v>0</v>
      </c>
      <c r="CC1249">
        <v>0</v>
      </c>
      <c r="CD1249">
        <v>0</v>
      </c>
      <c r="CE1249" t="s">
        <v>3108</v>
      </c>
      <c r="CF1249" t="s">
        <v>3108</v>
      </c>
      <c r="CG1249" t="s">
        <v>3108</v>
      </c>
      <c r="CH1249" t="s">
        <v>3108</v>
      </c>
    </row>
    <row r="1250" spans="1:86" x14ac:dyDescent="0.2">
      <c r="A1250" t="s">
        <v>5090</v>
      </c>
      <c r="B1250" t="s">
        <v>5090</v>
      </c>
      <c r="C1250">
        <v>41727</v>
      </c>
      <c r="D1250">
        <v>996</v>
      </c>
      <c r="E1250" t="s">
        <v>5091</v>
      </c>
      <c r="F1250" t="s">
        <v>3249</v>
      </c>
      <c r="G1250" t="s">
        <v>3249</v>
      </c>
      <c r="H1250" t="s">
        <v>3250</v>
      </c>
      <c r="I1250" t="s">
        <v>3250</v>
      </c>
      <c r="J1250" t="s">
        <v>3250</v>
      </c>
      <c r="K1250" t="s">
        <v>3250</v>
      </c>
      <c r="L1250">
        <v>4400</v>
      </c>
      <c r="M1250" t="s">
        <v>988</v>
      </c>
      <c r="N1250">
        <v>4403</v>
      </c>
      <c r="O1250" t="s">
        <v>2439</v>
      </c>
      <c r="P1250" t="s">
        <v>3108</v>
      </c>
      <c r="Q1250" t="s">
        <v>3249</v>
      </c>
      <c r="R1250" t="s">
        <v>3249</v>
      </c>
      <c r="S1250" t="s">
        <v>472</v>
      </c>
      <c r="T1250" t="s">
        <v>3251</v>
      </c>
      <c r="U1250">
        <v>140</v>
      </c>
      <c r="V1250" t="s">
        <v>1327</v>
      </c>
      <c r="W1250">
        <v>140</v>
      </c>
      <c r="X1250" t="s">
        <v>1327</v>
      </c>
      <c r="Y1250" t="s">
        <v>3250</v>
      </c>
      <c r="Z1250" t="s">
        <v>3250</v>
      </c>
      <c r="AA1250" t="s">
        <v>3108</v>
      </c>
      <c r="AB1250" t="s">
        <v>3108</v>
      </c>
      <c r="AC1250" t="s">
        <v>3250</v>
      </c>
      <c r="AD1250" t="s">
        <v>3250</v>
      </c>
      <c r="AE1250" t="s">
        <v>3250</v>
      </c>
      <c r="AF1250" t="s">
        <v>3250</v>
      </c>
      <c r="AG1250" t="s">
        <v>3250</v>
      </c>
      <c r="AH1250" t="s">
        <v>3250</v>
      </c>
      <c r="AI1250" t="s">
        <v>3250</v>
      </c>
      <c r="AJ1250" t="s">
        <v>3250</v>
      </c>
      <c r="AL1250">
        <v>141</v>
      </c>
      <c r="AM1250" t="s">
        <v>1327</v>
      </c>
      <c r="AN1250">
        <v>141</v>
      </c>
      <c r="AO1250" t="s">
        <v>1327</v>
      </c>
      <c r="AS1250" t="s">
        <v>3250</v>
      </c>
      <c r="AT1250" t="s">
        <v>3250</v>
      </c>
      <c r="AU1250" t="s">
        <v>3250</v>
      </c>
      <c r="AV1250" t="s">
        <v>3250</v>
      </c>
      <c r="AW1250" t="s">
        <v>3250</v>
      </c>
      <c r="AX1250" t="s">
        <v>3250</v>
      </c>
      <c r="AY1250" t="s">
        <v>3250</v>
      </c>
      <c r="AZ1250" t="s">
        <v>3250</v>
      </c>
      <c r="BA1250" t="s">
        <v>3250</v>
      </c>
      <c r="BB1250" t="s">
        <v>3250</v>
      </c>
      <c r="BC1250" t="s">
        <v>3250</v>
      </c>
      <c r="BE1250" t="s">
        <v>3250</v>
      </c>
      <c r="BF1250" t="s">
        <v>3250</v>
      </c>
      <c r="BG1250" t="s">
        <v>3250</v>
      </c>
      <c r="BH1250" t="s">
        <v>3250</v>
      </c>
      <c r="BI1250" t="s">
        <v>3250</v>
      </c>
      <c r="BK1250" t="s">
        <v>3250</v>
      </c>
      <c r="BL1250" t="s">
        <v>3250</v>
      </c>
      <c r="BM1250" t="s">
        <v>3250</v>
      </c>
      <c r="BN1250" t="s">
        <v>3250</v>
      </c>
      <c r="BP1250">
        <v>12</v>
      </c>
      <c r="BQ1250">
        <v>121</v>
      </c>
      <c r="BR1250" t="s">
        <v>2439</v>
      </c>
      <c r="BS1250" t="s">
        <v>941</v>
      </c>
      <c r="BV1250">
        <v>-1313455</v>
      </c>
      <c r="BW1250">
        <v>-880824</v>
      </c>
      <c r="BX1250">
        <v>-396396</v>
      </c>
      <c r="BY1250">
        <v>-574284</v>
      </c>
      <c r="BZ1250">
        <v>-574284</v>
      </c>
      <c r="CA1250">
        <v>-507182</v>
      </c>
      <c r="CB1250">
        <v>-527469</v>
      </c>
      <c r="CC1250">
        <v>-548568</v>
      </c>
      <c r="CD1250">
        <v>-1800305</v>
      </c>
      <c r="CE1250" t="s">
        <v>3108</v>
      </c>
      <c r="CF1250" t="s">
        <v>3108</v>
      </c>
      <c r="CG1250" t="s">
        <v>3108</v>
      </c>
      <c r="CH1250" t="s">
        <v>3108</v>
      </c>
    </row>
    <row r="1251" spans="1:86" x14ac:dyDescent="0.2">
      <c r="A1251" t="s">
        <v>5092</v>
      </c>
      <c r="B1251" t="s">
        <v>5092</v>
      </c>
      <c r="C1251">
        <v>41728</v>
      </c>
      <c r="D1251">
        <v>997</v>
      </c>
      <c r="E1251" t="s">
        <v>5093</v>
      </c>
      <c r="F1251" t="s">
        <v>3249</v>
      </c>
      <c r="G1251" t="s">
        <v>3249</v>
      </c>
      <c r="H1251" t="s">
        <v>3250</v>
      </c>
      <c r="I1251" t="s">
        <v>3250</v>
      </c>
      <c r="J1251" t="s">
        <v>3250</v>
      </c>
      <c r="K1251" t="s">
        <v>3250</v>
      </c>
      <c r="L1251">
        <v>4400</v>
      </c>
      <c r="M1251" t="s">
        <v>988</v>
      </c>
      <c r="N1251">
        <v>4403</v>
      </c>
      <c r="O1251" t="s">
        <v>2439</v>
      </c>
      <c r="P1251" t="s">
        <v>3108</v>
      </c>
      <c r="Q1251" t="s">
        <v>3249</v>
      </c>
      <c r="R1251" t="s">
        <v>3249</v>
      </c>
      <c r="S1251" t="s">
        <v>472</v>
      </c>
      <c r="T1251" t="s">
        <v>3251</v>
      </c>
      <c r="U1251">
        <v>140</v>
      </c>
      <c r="V1251" t="s">
        <v>1327</v>
      </c>
      <c r="W1251">
        <v>140</v>
      </c>
      <c r="X1251" t="s">
        <v>1327</v>
      </c>
      <c r="Y1251" t="s">
        <v>3250</v>
      </c>
      <c r="Z1251" t="s">
        <v>3250</v>
      </c>
      <c r="AA1251" t="s">
        <v>3108</v>
      </c>
      <c r="AB1251" t="s">
        <v>3108</v>
      </c>
      <c r="AC1251" t="s">
        <v>3250</v>
      </c>
      <c r="AD1251" t="s">
        <v>3250</v>
      </c>
      <c r="AE1251" t="s">
        <v>3250</v>
      </c>
      <c r="AF1251" t="s">
        <v>3250</v>
      </c>
      <c r="AG1251" t="s">
        <v>3250</v>
      </c>
      <c r="AH1251" t="s">
        <v>3250</v>
      </c>
      <c r="AI1251" t="s">
        <v>3250</v>
      </c>
      <c r="AJ1251" t="s">
        <v>3250</v>
      </c>
      <c r="AL1251">
        <v>147</v>
      </c>
      <c r="AM1251" t="s">
        <v>6</v>
      </c>
      <c r="AN1251">
        <v>147</v>
      </c>
      <c r="AO1251" t="s">
        <v>6</v>
      </c>
      <c r="AS1251" t="s">
        <v>3250</v>
      </c>
      <c r="AT1251" t="s">
        <v>3250</v>
      </c>
      <c r="AU1251" t="s">
        <v>3250</v>
      </c>
      <c r="AV1251" t="s">
        <v>3250</v>
      </c>
      <c r="AW1251" t="s">
        <v>3250</v>
      </c>
      <c r="AX1251" t="s">
        <v>3250</v>
      </c>
      <c r="AY1251" t="s">
        <v>3250</v>
      </c>
      <c r="AZ1251" t="s">
        <v>3250</v>
      </c>
      <c r="BA1251" t="s">
        <v>3250</v>
      </c>
      <c r="BB1251" t="s">
        <v>3250</v>
      </c>
      <c r="BC1251" t="s">
        <v>3250</v>
      </c>
      <c r="BE1251" t="s">
        <v>3250</v>
      </c>
      <c r="BF1251" t="s">
        <v>3250</v>
      </c>
      <c r="BG1251" t="s">
        <v>3250</v>
      </c>
      <c r="BH1251" t="s">
        <v>3250</v>
      </c>
      <c r="BI1251" t="s">
        <v>3250</v>
      </c>
      <c r="BK1251" t="s">
        <v>3250</v>
      </c>
      <c r="BL1251" t="s">
        <v>3250</v>
      </c>
      <c r="BM1251" t="s">
        <v>3250</v>
      </c>
      <c r="BN1251" t="s">
        <v>3250</v>
      </c>
      <c r="BP1251">
        <v>12</v>
      </c>
      <c r="BQ1251">
        <v>121</v>
      </c>
      <c r="BR1251" t="s">
        <v>2439</v>
      </c>
      <c r="BS1251" t="s">
        <v>941</v>
      </c>
      <c r="BV1251">
        <v>0</v>
      </c>
      <c r="BW1251">
        <v>0</v>
      </c>
      <c r="BX1251">
        <v>0</v>
      </c>
      <c r="BY1251">
        <v>0</v>
      </c>
      <c r="BZ1251">
        <v>0</v>
      </c>
      <c r="CA1251">
        <v>0</v>
      </c>
      <c r="CB1251">
        <v>0</v>
      </c>
      <c r="CC1251">
        <v>0</v>
      </c>
      <c r="CD1251">
        <v>0</v>
      </c>
      <c r="CE1251" t="s">
        <v>3108</v>
      </c>
      <c r="CF1251" t="s">
        <v>3108</v>
      </c>
      <c r="CG1251" t="s">
        <v>3108</v>
      </c>
      <c r="CH1251" t="s">
        <v>3108</v>
      </c>
    </row>
    <row r="1252" spans="1:86" x14ac:dyDescent="0.2">
      <c r="A1252" t="s">
        <v>5094</v>
      </c>
      <c r="B1252" t="s">
        <v>5094</v>
      </c>
      <c r="C1252">
        <v>41729</v>
      </c>
      <c r="D1252">
        <v>998</v>
      </c>
      <c r="E1252" t="s">
        <v>5095</v>
      </c>
      <c r="F1252" t="s">
        <v>3249</v>
      </c>
      <c r="G1252" t="s">
        <v>3249</v>
      </c>
      <c r="H1252" t="s">
        <v>3250</v>
      </c>
      <c r="I1252" t="s">
        <v>3250</v>
      </c>
      <c r="J1252" t="s">
        <v>3250</v>
      </c>
      <c r="K1252" t="s">
        <v>3250</v>
      </c>
      <c r="L1252">
        <v>4400</v>
      </c>
      <c r="M1252" t="s">
        <v>988</v>
      </c>
      <c r="N1252">
        <v>4403</v>
      </c>
      <c r="O1252" t="s">
        <v>2439</v>
      </c>
      <c r="P1252" t="s">
        <v>3108</v>
      </c>
      <c r="Q1252" t="s">
        <v>3249</v>
      </c>
      <c r="R1252" t="s">
        <v>3249</v>
      </c>
      <c r="S1252" t="s">
        <v>472</v>
      </c>
      <c r="T1252" t="s">
        <v>3251</v>
      </c>
      <c r="U1252">
        <v>140</v>
      </c>
      <c r="V1252" t="s">
        <v>1327</v>
      </c>
      <c r="W1252">
        <v>140</v>
      </c>
      <c r="X1252" t="s">
        <v>1327</v>
      </c>
      <c r="Y1252" t="s">
        <v>3250</v>
      </c>
      <c r="Z1252" t="s">
        <v>3250</v>
      </c>
      <c r="AA1252" t="s">
        <v>3108</v>
      </c>
      <c r="AB1252" t="s">
        <v>3108</v>
      </c>
      <c r="AC1252" t="s">
        <v>3250</v>
      </c>
      <c r="AD1252" t="s">
        <v>3250</v>
      </c>
      <c r="AE1252" t="s">
        <v>3250</v>
      </c>
      <c r="AF1252" t="s">
        <v>3250</v>
      </c>
      <c r="AG1252" t="s">
        <v>3250</v>
      </c>
      <c r="AH1252" t="s">
        <v>3250</v>
      </c>
      <c r="AI1252" t="s">
        <v>3250</v>
      </c>
      <c r="AJ1252" t="s">
        <v>3250</v>
      </c>
      <c r="AL1252">
        <v>141</v>
      </c>
      <c r="AM1252" t="s">
        <v>1327</v>
      </c>
      <c r="AN1252">
        <v>141</v>
      </c>
      <c r="AO1252" t="s">
        <v>1327</v>
      </c>
      <c r="AS1252" t="s">
        <v>3250</v>
      </c>
      <c r="AT1252" t="s">
        <v>3250</v>
      </c>
      <c r="AU1252" t="s">
        <v>3250</v>
      </c>
      <c r="AV1252" t="s">
        <v>3250</v>
      </c>
      <c r="AW1252" t="s">
        <v>3250</v>
      </c>
      <c r="AX1252" t="s">
        <v>3250</v>
      </c>
      <c r="AY1252" t="s">
        <v>3250</v>
      </c>
      <c r="AZ1252" t="s">
        <v>3250</v>
      </c>
      <c r="BA1252" t="s">
        <v>3250</v>
      </c>
      <c r="BB1252" t="s">
        <v>3250</v>
      </c>
      <c r="BC1252" t="s">
        <v>3250</v>
      </c>
      <c r="BE1252" t="s">
        <v>3250</v>
      </c>
      <c r="BF1252" t="s">
        <v>3250</v>
      </c>
      <c r="BG1252" t="s">
        <v>3250</v>
      </c>
      <c r="BH1252" t="s">
        <v>3250</v>
      </c>
      <c r="BI1252" t="s">
        <v>3250</v>
      </c>
      <c r="BK1252" t="s">
        <v>3250</v>
      </c>
      <c r="BL1252" t="s">
        <v>3250</v>
      </c>
      <c r="BM1252" t="s">
        <v>3250</v>
      </c>
      <c r="BN1252" t="s">
        <v>3250</v>
      </c>
      <c r="BP1252">
        <v>12</v>
      </c>
      <c r="BQ1252">
        <v>121</v>
      </c>
      <c r="BR1252" t="s">
        <v>2439</v>
      </c>
      <c r="BS1252" t="s">
        <v>941</v>
      </c>
      <c r="BV1252">
        <v>151399</v>
      </c>
      <c r="BW1252">
        <v>132432</v>
      </c>
      <c r="BX1252">
        <v>81925</v>
      </c>
      <c r="BY1252">
        <v>0</v>
      </c>
      <c r="BZ1252">
        <v>0</v>
      </c>
      <c r="CA1252">
        <v>0</v>
      </c>
      <c r="CB1252">
        <v>0</v>
      </c>
      <c r="CC1252">
        <v>0</v>
      </c>
      <c r="CD1252">
        <v>151399</v>
      </c>
      <c r="CE1252" t="s">
        <v>3108</v>
      </c>
      <c r="CF1252" t="s">
        <v>3108</v>
      </c>
      <c r="CG1252" t="s">
        <v>3108</v>
      </c>
      <c r="CH1252" t="s">
        <v>3108</v>
      </c>
    </row>
    <row r="1253" spans="1:86" x14ac:dyDescent="0.2">
      <c r="A1253" t="s">
        <v>5096</v>
      </c>
      <c r="B1253" t="s">
        <v>5096</v>
      </c>
      <c r="C1253">
        <v>41731</v>
      </c>
      <c r="D1253">
        <v>1000</v>
      </c>
      <c r="E1253" t="s">
        <v>5097</v>
      </c>
      <c r="F1253" t="s">
        <v>3249</v>
      </c>
      <c r="G1253" t="s">
        <v>3249</v>
      </c>
      <c r="H1253" t="s">
        <v>3250</v>
      </c>
      <c r="I1253" t="s">
        <v>3250</v>
      </c>
      <c r="J1253" t="s">
        <v>3250</v>
      </c>
      <c r="K1253" t="s">
        <v>3250</v>
      </c>
      <c r="L1253">
        <v>4400</v>
      </c>
      <c r="M1253" t="s">
        <v>988</v>
      </c>
      <c r="N1253">
        <v>4403</v>
      </c>
      <c r="O1253" t="s">
        <v>2439</v>
      </c>
      <c r="P1253" t="s">
        <v>3108</v>
      </c>
      <c r="Q1253" t="s">
        <v>3249</v>
      </c>
      <c r="R1253" t="s">
        <v>3249</v>
      </c>
      <c r="S1253" t="s">
        <v>472</v>
      </c>
      <c r="T1253" t="s">
        <v>3251</v>
      </c>
      <c r="U1253">
        <v>140</v>
      </c>
      <c r="V1253" t="s">
        <v>1327</v>
      </c>
      <c r="W1253">
        <v>140</v>
      </c>
      <c r="X1253" t="s">
        <v>1327</v>
      </c>
      <c r="Y1253" t="s">
        <v>3250</v>
      </c>
      <c r="Z1253" t="s">
        <v>3250</v>
      </c>
      <c r="AA1253" t="s">
        <v>3108</v>
      </c>
      <c r="AB1253" t="s">
        <v>3108</v>
      </c>
      <c r="AC1253" t="s">
        <v>3250</v>
      </c>
      <c r="AD1253" t="s">
        <v>3250</v>
      </c>
      <c r="AE1253" t="s">
        <v>3250</v>
      </c>
      <c r="AF1253" t="s">
        <v>3250</v>
      </c>
      <c r="AG1253" t="s">
        <v>3250</v>
      </c>
      <c r="AH1253" t="s">
        <v>3250</v>
      </c>
      <c r="AI1253" t="s">
        <v>3250</v>
      </c>
      <c r="AJ1253" t="s">
        <v>3250</v>
      </c>
      <c r="AL1253">
        <v>146</v>
      </c>
      <c r="AM1253" t="s">
        <v>5</v>
      </c>
      <c r="AN1253">
        <v>146</v>
      </c>
      <c r="AO1253" t="s">
        <v>5</v>
      </c>
      <c r="AS1253" t="s">
        <v>3250</v>
      </c>
      <c r="AT1253" t="s">
        <v>3250</v>
      </c>
      <c r="AU1253" t="s">
        <v>3250</v>
      </c>
      <c r="AV1253" t="s">
        <v>3250</v>
      </c>
      <c r="AW1253" t="s">
        <v>3250</v>
      </c>
      <c r="AX1253" t="s">
        <v>3250</v>
      </c>
      <c r="AY1253" t="s">
        <v>3250</v>
      </c>
      <c r="AZ1253" t="s">
        <v>3250</v>
      </c>
      <c r="BA1253" t="s">
        <v>3250</v>
      </c>
      <c r="BB1253" t="s">
        <v>3250</v>
      </c>
      <c r="BC1253" t="s">
        <v>3250</v>
      </c>
      <c r="BE1253" t="s">
        <v>3250</v>
      </c>
      <c r="BF1253" t="s">
        <v>3250</v>
      </c>
      <c r="BG1253" t="s">
        <v>3250</v>
      </c>
      <c r="BH1253" t="s">
        <v>3250</v>
      </c>
      <c r="BI1253" t="s">
        <v>3250</v>
      </c>
      <c r="BK1253" t="s">
        <v>3250</v>
      </c>
      <c r="BL1253" t="s">
        <v>3250</v>
      </c>
      <c r="BM1253" t="s">
        <v>3250</v>
      </c>
      <c r="BN1253" t="s">
        <v>3250</v>
      </c>
      <c r="BP1253">
        <v>12</v>
      </c>
      <c r="BQ1253">
        <v>121</v>
      </c>
      <c r="BR1253" t="s">
        <v>2439</v>
      </c>
      <c r="BS1253" t="s">
        <v>941</v>
      </c>
      <c r="BV1253">
        <v>-145884</v>
      </c>
      <c r="BW1253">
        <v>-113011</v>
      </c>
      <c r="BX1253">
        <v>-159719</v>
      </c>
      <c r="BY1253">
        <v>0</v>
      </c>
      <c r="BZ1253">
        <v>0</v>
      </c>
      <c r="CA1253">
        <v>0</v>
      </c>
      <c r="CB1253">
        <v>0</v>
      </c>
      <c r="CC1253">
        <v>0</v>
      </c>
      <c r="CD1253">
        <v>-145884</v>
      </c>
      <c r="CE1253" t="s">
        <v>3108</v>
      </c>
      <c r="CF1253" t="s">
        <v>3108</v>
      </c>
      <c r="CG1253" t="s">
        <v>3108</v>
      </c>
      <c r="CH1253" t="s">
        <v>3108</v>
      </c>
    </row>
    <row r="1254" spans="1:86" x14ac:dyDescent="0.2">
      <c r="A1254" t="s">
        <v>5098</v>
      </c>
      <c r="B1254" t="s">
        <v>5098</v>
      </c>
      <c r="C1254">
        <v>41732</v>
      </c>
      <c r="D1254">
        <v>1001</v>
      </c>
      <c r="E1254" t="s">
        <v>5099</v>
      </c>
      <c r="F1254" t="s">
        <v>3249</v>
      </c>
      <c r="G1254" t="s">
        <v>3249</v>
      </c>
      <c r="H1254" t="s">
        <v>3250</v>
      </c>
      <c r="I1254" t="s">
        <v>3250</v>
      </c>
      <c r="J1254" t="s">
        <v>3250</v>
      </c>
      <c r="K1254" t="s">
        <v>3250</v>
      </c>
      <c r="L1254">
        <v>4400</v>
      </c>
      <c r="M1254" t="s">
        <v>988</v>
      </c>
      <c r="N1254">
        <v>4403</v>
      </c>
      <c r="O1254" t="s">
        <v>2439</v>
      </c>
      <c r="P1254" t="s">
        <v>3108</v>
      </c>
      <c r="Q1254" t="s">
        <v>3249</v>
      </c>
      <c r="R1254" t="s">
        <v>3249</v>
      </c>
      <c r="S1254" t="s">
        <v>472</v>
      </c>
      <c r="T1254" t="s">
        <v>3251</v>
      </c>
      <c r="U1254">
        <v>140</v>
      </c>
      <c r="V1254" t="s">
        <v>1327</v>
      </c>
      <c r="W1254">
        <v>140</v>
      </c>
      <c r="X1254" t="s">
        <v>1327</v>
      </c>
      <c r="Y1254" t="s">
        <v>3250</v>
      </c>
      <c r="Z1254" t="s">
        <v>3250</v>
      </c>
      <c r="AA1254" t="s">
        <v>3108</v>
      </c>
      <c r="AB1254" t="s">
        <v>3108</v>
      </c>
      <c r="AC1254" t="s">
        <v>3250</v>
      </c>
      <c r="AD1254" t="s">
        <v>3250</v>
      </c>
      <c r="AE1254" t="s">
        <v>3250</v>
      </c>
      <c r="AF1254" t="s">
        <v>3250</v>
      </c>
      <c r="AG1254" t="s">
        <v>3250</v>
      </c>
      <c r="AH1254" t="s">
        <v>3250</v>
      </c>
      <c r="AI1254" t="s">
        <v>3250</v>
      </c>
      <c r="AJ1254" t="s">
        <v>3250</v>
      </c>
      <c r="AL1254">
        <v>146</v>
      </c>
      <c r="AM1254" t="s">
        <v>5</v>
      </c>
      <c r="AN1254">
        <v>146</v>
      </c>
      <c r="AO1254" t="s">
        <v>5</v>
      </c>
      <c r="AS1254" t="s">
        <v>3250</v>
      </c>
      <c r="AT1254" t="s">
        <v>3250</v>
      </c>
      <c r="AU1254" t="s">
        <v>3250</v>
      </c>
      <c r="AV1254" t="s">
        <v>3250</v>
      </c>
      <c r="AW1254" t="s">
        <v>3250</v>
      </c>
      <c r="AX1254" t="s">
        <v>3250</v>
      </c>
      <c r="AY1254" t="s">
        <v>3250</v>
      </c>
      <c r="AZ1254" t="s">
        <v>3250</v>
      </c>
      <c r="BA1254" t="s">
        <v>3250</v>
      </c>
      <c r="BB1254" t="s">
        <v>3250</v>
      </c>
      <c r="BC1254" t="s">
        <v>3250</v>
      </c>
      <c r="BE1254" t="s">
        <v>3250</v>
      </c>
      <c r="BF1254" t="s">
        <v>3250</v>
      </c>
      <c r="BG1254" t="s">
        <v>3250</v>
      </c>
      <c r="BH1254" t="s">
        <v>3250</v>
      </c>
      <c r="BI1254" t="s">
        <v>3250</v>
      </c>
      <c r="BK1254" t="s">
        <v>3250</v>
      </c>
      <c r="BL1254" t="s">
        <v>3250</v>
      </c>
      <c r="BM1254" t="s">
        <v>3250</v>
      </c>
      <c r="BN1254" t="s">
        <v>3250</v>
      </c>
      <c r="BP1254">
        <v>12</v>
      </c>
      <c r="BQ1254">
        <v>121</v>
      </c>
      <c r="BR1254" t="s">
        <v>2439</v>
      </c>
      <c r="BS1254" t="s">
        <v>941</v>
      </c>
      <c r="BV1254">
        <v>0</v>
      </c>
      <c r="BW1254">
        <v>0</v>
      </c>
      <c r="BX1254">
        <v>0</v>
      </c>
      <c r="BY1254">
        <v>0</v>
      </c>
      <c r="BZ1254">
        <v>0</v>
      </c>
      <c r="CA1254">
        <v>0</v>
      </c>
      <c r="CB1254">
        <v>0</v>
      </c>
      <c r="CC1254">
        <v>0</v>
      </c>
      <c r="CD1254">
        <v>0</v>
      </c>
      <c r="CE1254" t="s">
        <v>3108</v>
      </c>
      <c r="CF1254" t="s">
        <v>3108</v>
      </c>
      <c r="CG1254" t="s">
        <v>3108</v>
      </c>
      <c r="CH1254" t="s">
        <v>3108</v>
      </c>
    </row>
    <row r="1255" spans="1:86" x14ac:dyDescent="0.2">
      <c r="A1255" t="s">
        <v>5100</v>
      </c>
      <c r="B1255" t="s">
        <v>5100</v>
      </c>
      <c r="C1255">
        <v>41733</v>
      </c>
      <c r="D1255">
        <v>1002</v>
      </c>
      <c r="E1255" t="s">
        <v>5101</v>
      </c>
      <c r="F1255" t="s">
        <v>3249</v>
      </c>
      <c r="G1255" t="s">
        <v>3249</v>
      </c>
      <c r="H1255" t="s">
        <v>3250</v>
      </c>
      <c r="I1255" t="s">
        <v>3250</v>
      </c>
      <c r="J1255" t="s">
        <v>3250</v>
      </c>
      <c r="K1255" t="s">
        <v>3250</v>
      </c>
      <c r="L1255">
        <v>4400</v>
      </c>
      <c r="M1255" t="s">
        <v>988</v>
      </c>
      <c r="N1255">
        <v>4403</v>
      </c>
      <c r="O1255" t="s">
        <v>2439</v>
      </c>
      <c r="P1255" t="s">
        <v>3108</v>
      </c>
      <c r="Q1255" t="s">
        <v>3249</v>
      </c>
      <c r="R1255" t="s">
        <v>3249</v>
      </c>
      <c r="S1255" t="s">
        <v>472</v>
      </c>
      <c r="T1255" t="s">
        <v>3251</v>
      </c>
      <c r="U1255">
        <v>140</v>
      </c>
      <c r="V1255" t="s">
        <v>1327</v>
      </c>
      <c r="W1255">
        <v>140</v>
      </c>
      <c r="X1255" t="s">
        <v>1327</v>
      </c>
      <c r="Y1255" t="s">
        <v>3250</v>
      </c>
      <c r="Z1255" t="s">
        <v>3250</v>
      </c>
      <c r="AA1255" t="s">
        <v>3108</v>
      </c>
      <c r="AB1255" t="s">
        <v>3108</v>
      </c>
      <c r="AC1255" t="s">
        <v>3250</v>
      </c>
      <c r="AD1255" t="s">
        <v>3250</v>
      </c>
      <c r="AE1255" t="s">
        <v>3250</v>
      </c>
      <c r="AF1255" t="s">
        <v>3250</v>
      </c>
      <c r="AG1255" t="s">
        <v>3250</v>
      </c>
      <c r="AH1255" t="s">
        <v>3250</v>
      </c>
      <c r="AI1255" t="s">
        <v>3250</v>
      </c>
      <c r="AJ1255" t="s">
        <v>3250</v>
      </c>
      <c r="AL1255">
        <v>141</v>
      </c>
      <c r="AM1255" t="s">
        <v>1327</v>
      </c>
      <c r="AN1255">
        <v>141</v>
      </c>
      <c r="AO1255" t="s">
        <v>1327</v>
      </c>
      <c r="AS1255" t="s">
        <v>3250</v>
      </c>
      <c r="AT1255" t="s">
        <v>3250</v>
      </c>
      <c r="AU1255" t="s">
        <v>3250</v>
      </c>
      <c r="AV1255" t="s">
        <v>3250</v>
      </c>
      <c r="AW1255" t="s">
        <v>3250</v>
      </c>
      <c r="AX1255" t="s">
        <v>3250</v>
      </c>
      <c r="AY1255" t="s">
        <v>3250</v>
      </c>
      <c r="AZ1255" t="s">
        <v>3250</v>
      </c>
      <c r="BA1255" t="s">
        <v>3250</v>
      </c>
      <c r="BB1255" t="s">
        <v>3250</v>
      </c>
      <c r="BC1255" t="s">
        <v>3250</v>
      </c>
      <c r="BE1255" t="s">
        <v>3250</v>
      </c>
      <c r="BF1255" t="s">
        <v>3250</v>
      </c>
      <c r="BG1255" t="s">
        <v>3250</v>
      </c>
      <c r="BH1255" t="s">
        <v>3250</v>
      </c>
      <c r="BI1255" t="s">
        <v>3250</v>
      </c>
      <c r="BK1255" t="s">
        <v>3250</v>
      </c>
      <c r="BL1255" t="s">
        <v>3250</v>
      </c>
      <c r="BM1255" t="s">
        <v>3250</v>
      </c>
      <c r="BN1255" t="s">
        <v>3250</v>
      </c>
      <c r="BP1255">
        <v>12</v>
      </c>
      <c r="BQ1255">
        <v>121</v>
      </c>
      <c r="BR1255" t="s">
        <v>2439</v>
      </c>
      <c r="BS1255" t="s">
        <v>941</v>
      </c>
      <c r="BV1255">
        <v>0</v>
      </c>
      <c r="BW1255">
        <v>0</v>
      </c>
      <c r="BX1255">
        <v>0</v>
      </c>
      <c r="BY1255">
        <v>0</v>
      </c>
      <c r="BZ1255">
        <v>0</v>
      </c>
      <c r="CA1255">
        <v>0</v>
      </c>
      <c r="CB1255">
        <v>0</v>
      </c>
      <c r="CC1255">
        <v>0</v>
      </c>
      <c r="CD1255">
        <v>0</v>
      </c>
      <c r="CE1255" t="s">
        <v>3108</v>
      </c>
      <c r="CF1255" t="s">
        <v>3108</v>
      </c>
      <c r="CG1255" t="s">
        <v>3108</v>
      </c>
      <c r="CH1255" t="s">
        <v>3108</v>
      </c>
    </row>
    <row r="1256" spans="1:86" x14ac:dyDescent="0.2">
      <c r="A1256" t="s">
        <v>5102</v>
      </c>
      <c r="B1256" t="s">
        <v>5102</v>
      </c>
      <c r="C1256">
        <v>41734</v>
      </c>
      <c r="D1256">
        <v>1003</v>
      </c>
      <c r="E1256" t="s">
        <v>5103</v>
      </c>
      <c r="F1256" t="s">
        <v>3249</v>
      </c>
      <c r="G1256" t="s">
        <v>3249</v>
      </c>
      <c r="H1256" t="s">
        <v>3250</v>
      </c>
      <c r="I1256" t="s">
        <v>3250</v>
      </c>
      <c r="J1256" t="s">
        <v>3250</v>
      </c>
      <c r="K1256" t="s">
        <v>3250</v>
      </c>
      <c r="L1256">
        <v>4400</v>
      </c>
      <c r="M1256" t="s">
        <v>988</v>
      </c>
      <c r="N1256">
        <v>4403</v>
      </c>
      <c r="O1256" t="s">
        <v>2439</v>
      </c>
      <c r="P1256" t="s">
        <v>3108</v>
      </c>
      <c r="Q1256" t="s">
        <v>3249</v>
      </c>
      <c r="R1256" t="s">
        <v>3249</v>
      </c>
      <c r="S1256" t="s">
        <v>472</v>
      </c>
      <c r="T1256" t="s">
        <v>3789</v>
      </c>
      <c r="U1256">
        <v>350</v>
      </c>
      <c r="V1256" t="s">
        <v>5104</v>
      </c>
      <c r="W1256">
        <v>350</v>
      </c>
      <c r="X1256" t="s">
        <v>1320</v>
      </c>
      <c r="Y1256" t="s">
        <v>3250</v>
      </c>
      <c r="Z1256" t="s">
        <v>3250</v>
      </c>
      <c r="AA1256" t="s">
        <v>3108</v>
      </c>
      <c r="AB1256" t="s">
        <v>3108</v>
      </c>
      <c r="AC1256" t="s">
        <v>3250</v>
      </c>
      <c r="AD1256" t="s">
        <v>3250</v>
      </c>
      <c r="AE1256" t="s">
        <v>3250</v>
      </c>
      <c r="AF1256" t="s">
        <v>3250</v>
      </c>
      <c r="AG1256" t="s">
        <v>3250</v>
      </c>
      <c r="AH1256" t="s">
        <v>3250</v>
      </c>
      <c r="AI1256" t="s">
        <v>3250</v>
      </c>
      <c r="AJ1256" t="s">
        <v>3250</v>
      </c>
      <c r="AL1256" t="s">
        <v>3250</v>
      </c>
      <c r="AM1256" t="s">
        <v>3250</v>
      </c>
      <c r="AN1256" t="s">
        <v>3250</v>
      </c>
      <c r="AO1256" t="s">
        <v>3250</v>
      </c>
      <c r="AS1256" t="s">
        <v>3250</v>
      </c>
      <c r="AT1256" t="s">
        <v>3250</v>
      </c>
      <c r="AU1256" t="s">
        <v>3250</v>
      </c>
      <c r="AV1256" t="s">
        <v>3250</v>
      </c>
      <c r="AW1256" t="s">
        <v>3250</v>
      </c>
      <c r="AX1256" t="s">
        <v>3250</v>
      </c>
      <c r="AY1256" t="s">
        <v>3250</v>
      </c>
      <c r="AZ1256" t="s">
        <v>3250</v>
      </c>
      <c r="BA1256" t="s">
        <v>3250</v>
      </c>
      <c r="BB1256" t="s">
        <v>3250</v>
      </c>
      <c r="BC1256" t="s">
        <v>3250</v>
      </c>
      <c r="BE1256" t="s">
        <v>3250</v>
      </c>
      <c r="BF1256" t="s">
        <v>3250</v>
      </c>
      <c r="BG1256" t="s">
        <v>3250</v>
      </c>
      <c r="BH1256" t="s">
        <v>3250</v>
      </c>
      <c r="BI1256" t="s">
        <v>3250</v>
      </c>
      <c r="BK1256" t="s">
        <v>3250</v>
      </c>
      <c r="BL1256" t="s">
        <v>3250</v>
      </c>
      <c r="BM1256" t="s">
        <v>3250</v>
      </c>
      <c r="BN1256" t="s">
        <v>3250</v>
      </c>
      <c r="BP1256">
        <v>12</v>
      </c>
      <c r="BQ1256">
        <v>121</v>
      </c>
      <c r="BR1256" t="s">
        <v>2439</v>
      </c>
      <c r="BS1256" t="s">
        <v>941</v>
      </c>
      <c r="BV1256">
        <v>0</v>
      </c>
      <c r="BW1256">
        <v>0</v>
      </c>
      <c r="BX1256">
        <v>0</v>
      </c>
      <c r="BY1256">
        <v>0</v>
      </c>
      <c r="BZ1256">
        <v>0</v>
      </c>
      <c r="CA1256">
        <v>0</v>
      </c>
      <c r="CB1256">
        <v>0</v>
      </c>
      <c r="CC1256">
        <v>0</v>
      </c>
      <c r="CD1256">
        <v>0</v>
      </c>
      <c r="CE1256" t="s">
        <v>3100</v>
      </c>
      <c r="CF1256" t="s">
        <v>3108</v>
      </c>
      <c r="CG1256" t="s">
        <v>3108</v>
      </c>
      <c r="CH1256" t="s">
        <v>3108</v>
      </c>
    </row>
    <row r="1257" spans="1:86" x14ac:dyDescent="0.2">
      <c r="A1257" t="s">
        <v>5105</v>
      </c>
      <c r="B1257" t="s">
        <v>5105</v>
      </c>
      <c r="C1257">
        <v>41735</v>
      </c>
      <c r="D1257">
        <v>1004</v>
      </c>
      <c r="E1257" t="s">
        <v>5106</v>
      </c>
      <c r="F1257" t="s">
        <v>3249</v>
      </c>
      <c r="G1257" t="s">
        <v>3249</v>
      </c>
      <c r="H1257" t="s">
        <v>3250</v>
      </c>
      <c r="I1257" t="s">
        <v>3250</v>
      </c>
      <c r="J1257" t="s">
        <v>3250</v>
      </c>
      <c r="K1257" t="s">
        <v>3250</v>
      </c>
      <c r="L1257">
        <v>1200</v>
      </c>
      <c r="M1257" t="s">
        <v>2368</v>
      </c>
      <c r="N1257">
        <v>1204</v>
      </c>
      <c r="O1257" t="s">
        <v>1574</v>
      </c>
      <c r="P1257" t="s">
        <v>3108</v>
      </c>
      <c r="Q1257" t="s">
        <v>3249</v>
      </c>
      <c r="R1257" t="s">
        <v>3249</v>
      </c>
      <c r="S1257" t="s">
        <v>472</v>
      </c>
      <c r="T1257" t="s">
        <v>3251</v>
      </c>
      <c r="U1257">
        <v>120</v>
      </c>
      <c r="V1257" t="s">
        <v>599</v>
      </c>
      <c r="W1257">
        <v>120</v>
      </c>
      <c r="X1257" t="s">
        <v>599</v>
      </c>
      <c r="Y1257" t="s">
        <v>3250</v>
      </c>
      <c r="Z1257" t="s">
        <v>3250</v>
      </c>
      <c r="AA1257" t="s">
        <v>3108</v>
      </c>
      <c r="AB1257" t="s">
        <v>3108</v>
      </c>
      <c r="AC1257" t="s">
        <v>3250</v>
      </c>
      <c r="AD1257" t="s">
        <v>3250</v>
      </c>
      <c r="AE1257" t="s">
        <v>3250</v>
      </c>
      <c r="AF1257" t="s">
        <v>3250</v>
      </c>
      <c r="AG1257" t="s">
        <v>3250</v>
      </c>
      <c r="AH1257" t="s">
        <v>3250</v>
      </c>
      <c r="AI1257" t="s">
        <v>3250</v>
      </c>
      <c r="AJ1257" t="s">
        <v>3250</v>
      </c>
      <c r="AL1257" t="s">
        <v>3250</v>
      </c>
      <c r="AM1257" t="s">
        <v>3250</v>
      </c>
      <c r="AN1257" t="s">
        <v>3250</v>
      </c>
      <c r="AO1257" t="s">
        <v>3250</v>
      </c>
      <c r="AS1257" t="s">
        <v>3250</v>
      </c>
      <c r="AT1257" t="s">
        <v>3250</v>
      </c>
      <c r="AU1257" t="s">
        <v>3250</v>
      </c>
      <c r="AV1257" t="s">
        <v>3250</v>
      </c>
      <c r="AW1257" t="s">
        <v>3250</v>
      </c>
      <c r="AX1257" t="s">
        <v>3250</v>
      </c>
      <c r="AY1257" t="s">
        <v>3250</v>
      </c>
      <c r="AZ1257" t="s">
        <v>3250</v>
      </c>
      <c r="BA1257" t="s">
        <v>3250</v>
      </c>
      <c r="BB1257" t="s">
        <v>3250</v>
      </c>
      <c r="BC1257" t="s">
        <v>3250</v>
      </c>
      <c r="BE1257" t="s">
        <v>3250</v>
      </c>
      <c r="BF1257" t="s">
        <v>3250</v>
      </c>
      <c r="BG1257" t="s">
        <v>3250</v>
      </c>
      <c r="BH1257" t="s">
        <v>3250</v>
      </c>
      <c r="BI1257" t="s">
        <v>3250</v>
      </c>
      <c r="BK1257" t="s">
        <v>3250</v>
      </c>
      <c r="BL1257" t="s">
        <v>3250</v>
      </c>
      <c r="BM1257" t="s">
        <v>3250</v>
      </c>
      <c r="BN1257" t="s">
        <v>3250</v>
      </c>
      <c r="BP1257">
        <v>1</v>
      </c>
      <c r="BQ1257">
        <v>11</v>
      </c>
      <c r="BR1257" t="s">
        <v>1574</v>
      </c>
      <c r="BS1257" t="s">
        <v>3252</v>
      </c>
      <c r="BV1257">
        <v>0</v>
      </c>
      <c r="BW1257">
        <v>0</v>
      </c>
      <c r="BX1257">
        <v>-1050</v>
      </c>
      <c r="BY1257">
        <v>0</v>
      </c>
      <c r="BZ1257">
        <v>0</v>
      </c>
      <c r="CA1257">
        <v>0</v>
      </c>
      <c r="CB1257">
        <v>0</v>
      </c>
      <c r="CC1257">
        <v>0</v>
      </c>
      <c r="CD1257">
        <v>-2978</v>
      </c>
      <c r="CE1257" t="s">
        <v>3108</v>
      </c>
      <c r="CF1257" t="s">
        <v>3108</v>
      </c>
      <c r="CG1257" t="s">
        <v>3108</v>
      </c>
      <c r="CH1257" t="s">
        <v>3108</v>
      </c>
    </row>
    <row r="1258" spans="1:86" x14ac:dyDescent="0.2">
      <c r="A1258" t="s">
        <v>5107</v>
      </c>
      <c r="B1258" t="s">
        <v>5107</v>
      </c>
      <c r="C1258">
        <v>41736</v>
      </c>
      <c r="D1258">
        <v>1005</v>
      </c>
      <c r="E1258" t="s">
        <v>5108</v>
      </c>
      <c r="F1258" t="s">
        <v>3249</v>
      </c>
      <c r="G1258" t="s">
        <v>3249</v>
      </c>
      <c r="H1258" t="s">
        <v>3250</v>
      </c>
      <c r="I1258" t="s">
        <v>3250</v>
      </c>
      <c r="J1258" t="s">
        <v>3250</v>
      </c>
      <c r="K1258" t="s">
        <v>3250</v>
      </c>
      <c r="L1258">
        <v>1200</v>
      </c>
      <c r="M1258" t="s">
        <v>2368</v>
      </c>
      <c r="N1258">
        <v>1204</v>
      </c>
      <c r="O1258" t="s">
        <v>1574</v>
      </c>
      <c r="P1258" t="s">
        <v>3108</v>
      </c>
      <c r="Q1258" t="s">
        <v>3249</v>
      </c>
      <c r="R1258" t="s">
        <v>3249</v>
      </c>
      <c r="S1258" t="s">
        <v>472</v>
      </c>
      <c r="T1258" t="s">
        <v>3251</v>
      </c>
      <c r="U1258">
        <v>120</v>
      </c>
      <c r="V1258" t="s">
        <v>599</v>
      </c>
      <c r="W1258">
        <v>120</v>
      </c>
      <c r="X1258" t="s">
        <v>599</v>
      </c>
      <c r="Y1258" t="s">
        <v>3250</v>
      </c>
      <c r="Z1258" t="s">
        <v>3250</v>
      </c>
      <c r="AA1258" t="s">
        <v>3108</v>
      </c>
      <c r="AB1258" t="s">
        <v>3108</v>
      </c>
      <c r="AC1258" t="s">
        <v>3250</v>
      </c>
      <c r="AD1258" t="s">
        <v>3250</v>
      </c>
      <c r="AE1258" t="s">
        <v>3250</v>
      </c>
      <c r="AF1258" t="s">
        <v>3250</v>
      </c>
      <c r="AG1258" t="s">
        <v>3250</v>
      </c>
      <c r="AH1258" t="s">
        <v>3250</v>
      </c>
      <c r="AI1258" t="s">
        <v>3250</v>
      </c>
      <c r="AJ1258" t="s">
        <v>3250</v>
      </c>
      <c r="AL1258" t="s">
        <v>3250</v>
      </c>
      <c r="AM1258" t="s">
        <v>3250</v>
      </c>
      <c r="AN1258" t="s">
        <v>3250</v>
      </c>
      <c r="AO1258" t="s">
        <v>3250</v>
      </c>
      <c r="AS1258" t="s">
        <v>3250</v>
      </c>
      <c r="AT1258" t="s">
        <v>3250</v>
      </c>
      <c r="AU1258" t="s">
        <v>3250</v>
      </c>
      <c r="AV1258" t="s">
        <v>3250</v>
      </c>
      <c r="AW1258" t="s">
        <v>3250</v>
      </c>
      <c r="AX1258" t="s">
        <v>3250</v>
      </c>
      <c r="AY1258" t="s">
        <v>3250</v>
      </c>
      <c r="AZ1258" t="s">
        <v>3250</v>
      </c>
      <c r="BA1258" t="s">
        <v>3250</v>
      </c>
      <c r="BB1258" t="s">
        <v>3250</v>
      </c>
      <c r="BC1258" t="s">
        <v>3250</v>
      </c>
      <c r="BE1258" t="s">
        <v>3250</v>
      </c>
      <c r="BF1258" t="s">
        <v>3250</v>
      </c>
      <c r="BG1258" t="s">
        <v>3250</v>
      </c>
      <c r="BH1258" t="s">
        <v>3250</v>
      </c>
      <c r="BI1258" t="s">
        <v>3250</v>
      </c>
      <c r="BK1258" t="s">
        <v>3250</v>
      </c>
      <c r="BL1258" t="s">
        <v>3250</v>
      </c>
      <c r="BM1258" t="s">
        <v>3250</v>
      </c>
      <c r="BN1258" t="s">
        <v>3250</v>
      </c>
      <c r="BP1258">
        <v>1</v>
      </c>
      <c r="BQ1258">
        <v>11</v>
      </c>
      <c r="BR1258" t="s">
        <v>1574</v>
      </c>
      <c r="BS1258" t="s">
        <v>3252</v>
      </c>
      <c r="BV1258">
        <v>1222</v>
      </c>
      <c r="BW1258">
        <v>1100</v>
      </c>
      <c r="BX1258">
        <v>802</v>
      </c>
      <c r="BY1258">
        <v>0</v>
      </c>
      <c r="BZ1258">
        <v>0</v>
      </c>
      <c r="CA1258">
        <v>0</v>
      </c>
      <c r="CB1258">
        <v>0</v>
      </c>
      <c r="CC1258">
        <v>0</v>
      </c>
      <c r="CD1258">
        <v>-70820</v>
      </c>
      <c r="CE1258" t="s">
        <v>3108</v>
      </c>
      <c r="CF1258" t="s">
        <v>3108</v>
      </c>
      <c r="CG1258" t="s">
        <v>3108</v>
      </c>
      <c r="CH1258" t="s">
        <v>3108</v>
      </c>
    </row>
    <row r="1259" spans="1:86" x14ac:dyDescent="0.2">
      <c r="A1259" t="s">
        <v>5109</v>
      </c>
      <c r="B1259" t="s">
        <v>5109</v>
      </c>
      <c r="C1259">
        <v>41737</v>
      </c>
      <c r="D1259">
        <v>1006</v>
      </c>
      <c r="E1259" t="s">
        <v>5110</v>
      </c>
      <c r="F1259" t="s">
        <v>3249</v>
      </c>
      <c r="G1259" t="s">
        <v>3249</v>
      </c>
      <c r="H1259" t="s">
        <v>3250</v>
      </c>
      <c r="I1259" t="s">
        <v>3250</v>
      </c>
      <c r="J1259" t="s">
        <v>3250</v>
      </c>
      <c r="K1259" t="s">
        <v>3250</v>
      </c>
      <c r="L1259">
        <v>1200</v>
      </c>
      <c r="M1259" t="s">
        <v>2368</v>
      </c>
      <c r="N1259">
        <v>1204</v>
      </c>
      <c r="O1259" t="s">
        <v>1574</v>
      </c>
      <c r="P1259" t="s">
        <v>3108</v>
      </c>
      <c r="Q1259" t="s">
        <v>3249</v>
      </c>
      <c r="R1259" t="s">
        <v>3249</v>
      </c>
      <c r="S1259" t="s">
        <v>472</v>
      </c>
      <c r="T1259" t="s">
        <v>3789</v>
      </c>
      <c r="U1259">
        <v>360</v>
      </c>
      <c r="V1259" t="s">
        <v>3790</v>
      </c>
      <c r="W1259">
        <v>360</v>
      </c>
      <c r="X1259" t="s">
        <v>601</v>
      </c>
      <c r="Y1259" t="s">
        <v>3250</v>
      </c>
      <c r="Z1259" t="s">
        <v>3250</v>
      </c>
      <c r="AA1259" t="s">
        <v>3108</v>
      </c>
      <c r="AB1259" t="s">
        <v>3108</v>
      </c>
      <c r="AC1259" t="s">
        <v>3250</v>
      </c>
      <c r="AD1259" t="s">
        <v>3250</v>
      </c>
      <c r="AE1259" t="s">
        <v>3250</v>
      </c>
      <c r="AF1259" t="s">
        <v>3250</v>
      </c>
      <c r="AG1259" t="s">
        <v>3250</v>
      </c>
      <c r="AH1259" t="s">
        <v>3250</v>
      </c>
      <c r="AI1259" t="s">
        <v>3250</v>
      </c>
      <c r="AJ1259" t="s">
        <v>3250</v>
      </c>
      <c r="AL1259">
        <v>361</v>
      </c>
      <c r="AM1259" t="s">
        <v>2523</v>
      </c>
      <c r="AN1259">
        <v>361</v>
      </c>
      <c r="AO1259" t="s">
        <v>2523</v>
      </c>
      <c r="AS1259" t="s">
        <v>3250</v>
      </c>
      <c r="AT1259" t="s">
        <v>3250</v>
      </c>
      <c r="AU1259" t="s">
        <v>3250</v>
      </c>
      <c r="AV1259" t="s">
        <v>3250</v>
      </c>
      <c r="AW1259" t="s">
        <v>3250</v>
      </c>
      <c r="AX1259" t="s">
        <v>3250</v>
      </c>
      <c r="AY1259" t="s">
        <v>3250</v>
      </c>
      <c r="AZ1259" t="s">
        <v>3250</v>
      </c>
      <c r="BA1259" t="s">
        <v>3250</v>
      </c>
      <c r="BB1259" t="s">
        <v>3250</v>
      </c>
      <c r="BC1259" t="s">
        <v>3250</v>
      </c>
      <c r="BE1259" t="s">
        <v>3250</v>
      </c>
      <c r="BF1259" t="s">
        <v>3250</v>
      </c>
      <c r="BG1259" t="s">
        <v>3250</v>
      </c>
      <c r="BH1259" t="s">
        <v>3250</v>
      </c>
      <c r="BI1259" t="s">
        <v>3250</v>
      </c>
      <c r="BK1259" t="s">
        <v>3250</v>
      </c>
      <c r="BL1259" t="s">
        <v>3250</v>
      </c>
      <c r="BM1259" t="s">
        <v>3250</v>
      </c>
      <c r="BN1259" t="s">
        <v>3250</v>
      </c>
      <c r="BP1259">
        <v>1</v>
      </c>
      <c r="BQ1259">
        <v>11</v>
      </c>
      <c r="BR1259" t="s">
        <v>1574</v>
      </c>
      <c r="BS1259" t="s">
        <v>3252</v>
      </c>
      <c r="BV1259">
        <v>-100272</v>
      </c>
      <c r="BW1259">
        <v>-106971</v>
      </c>
      <c r="BX1259">
        <v>-108625</v>
      </c>
      <c r="BY1259">
        <v>0</v>
      </c>
      <c r="BZ1259">
        <v>0</v>
      </c>
      <c r="CA1259">
        <v>0</v>
      </c>
      <c r="CB1259">
        <v>0</v>
      </c>
      <c r="CC1259">
        <v>0</v>
      </c>
      <c r="CD1259">
        <v>-97971</v>
      </c>
      <c r="CE1259" t="s">
        <v>3108</v>
      </c>
      <c r="CF1259" t="s">
        <v>3108</v>
      </c>
      <c r="CG1259" t="s">
        <v>3108</v>
      </c>
      <c r="CH1259" t="s">
        <v>3108</v>
      </c>
    </row>
    <row r="1260" spans="1:86" x14ac:dyDescent="0.2">
      <c r="A1260" t="s">
        <v>5111</v>
      </c>
      <c r="B1260" t="s">
        <v>5111</v>
      </c>
      <c r="C1260">
        <v>41738</v>
      </c>
      <c r="D1260">
        <v>1007</v>
      </c>
      <c r="E1260" t="s">
        <v>5112</v>
      </c>
      <c r="F1260" t="s">
        <v>3249</v>
      </c>
      <c r="G1260" t="s">
        <v>3249</v>
      </c>
      <c r="H1260" t="s">
        <v>3250</v>
      </c>
      <c r="I1260" t="s">
        <v>3250</v>
      </c>
      <c r="J1260" t="s">
        <v>3250</v>
      </c>
      <c r="K1260" t="s">
        <v>3250</v>
      </c>
      <c r="L1260">
        <v>1200</v>
      </c>
      <c r="M1260" t="s">
        <v>2368</v>
      </c>
      <c r="N1260">
        <v>1204</v>
      </c>
      <c r="O1260" t="s">
        <v>1574</v>
      </c>
      <c r="P1260" t="s">
        <v>3108</v>
      </c>
      <c r="Q1260" t="s">
        <v>3249</v>
      </c>
      <c r="R1260" t="s">
        <v>3249</v>
      </c>
      <c r="S1260" t="s">
        <v>472</v>
      </c>
      <c r="T1260" t="s">
        <v>3251</v>
      </c>
      <c r="U1260">
        <v>170</v>
      </c>
      <c r="V1260" t="s">
        <v>1326</v>
      </c>
      <c r="W1260" t="s">
        <v>2981</v>
      </c>
      <c r="X1260" t="s">
        <v>5113</v>
      </c>
      <c r="Y1260" t="s">
        <v>3250</v>
      </c>
      <c r="Z1260" t="s">
        <v>3250</v>
      </c>
      <c r="AA1260" t="s">
        <v>3108</v>
      </c>
      <c r="AB1260" t="s">
        <v>3108</v>
      </c>
      <c r="AC1260" t="s">
        <v>3250</v>
      </c>
      <c r="AD1260" t="s">
        <v>3250</v>
      </c>
      <c r="AE1260" t="s">
        <v>3250</v>
      </c>
      <c r="AF1260" t="s">
        <v>3250</v>
      </c>
      <c r="AG1260" t="s">
        <v>3250</v>
      </c>
      <c r="AH1260" t="s">
        <v>3250</v>
      </c>
      <c r="AI1260" t="s">
        <v>3250</v>
      </c>
      <c r="AJ1260" t="s">
        <v>3250</v>
      </c>
      <c r="AL1260" t="s">
        <v>3250</v>
      </c>
      <c r="AM1260" t="s">
        <v>3250</v>
      </c>
      <c r="AN1260" t="s">
        <v>3250</v>
      </c>
      <c r="AO1260" t="s">
        <v>3250</v>
      </c>
      <c r="AS1260" t="s">
        <v>3250</v>
      </c>
      <c r="AT1260" t="s">
        <v>3250</v>
      </c>
      <c r="AU1260" t="s">
        <v>3250</v>
      </c>
      <c r="AV1260" t="s">
        <v>3250</v>
      </c>
      <c r="AW1260" t="s">
        <v>3250</v>
      </c>
      <c r="AX1260" t="s">
        <v>3250</v>
      </c>
      <c r="AY1260" t="s">
        <v>3250</v>
      </c>
      <c r="AZ1260" t="s">
        <v>3250</v>
      </c>
      <c r="BA1260" t="s">
        <v>3250</v>
      </c>
      <c r="BB1260" t="s">
        <v>3250</v>
      </c>
      <c r="BC1260" t="s">
        <v>3250</v>
      </c>
      <c r="BE1260" t="s">
        <v>3250</v>
      </c>
      <c r="BF1260" t="s">
        <v>3250</v>
      </c>
      <c r="BG1260" t="s">
        <v>3250</v>
      </c>
      <c r="BH1260" t="s">
        <v>3250</v>
      </c>
      <c r="BI1260" t="s">
        <v>3250</v>
      </c>
      <c r="BK1260" t="s">
        <v>3250</v>
      </c>
      <c r="BL1260" t="s">
        <v>3250</v>
      </c>
      <c r="BM1260" t="s">
        <v>3250</v>
      </c>
      <c r="BN1260" t="s">
        <v>3250</v>
      </c>
      <c r="BP1260">
        <v>1</v>
      </c>
      <c r="BQ1260">
        <v>11</v>
      </c>
      <c r="BR1260" t="s">
        <v>1574</v>
      </c>
      <c r="BS1260" t="s">
        <v>3252</v>
      </c>
      <c r="BV1260">
        <v>0</v>
      </c>
      <c r="BW1260">
        <v>0</v>
      </c>
      <c r="BX1260">
        <v>1500</v>
      </c>
      <c r="BY1260">
        <v>0</v>
      </c>
      <c r="BZ1260">
        <v>0</v>
      </c>
      <c r="CA1260">
        <v>0</v>
      </c>
      <c r="CB1260">
        <v>0</v>
      </c>
      <c r="CC1260">
        <v>0</v>
      </c>
      <c r="CD1260">
        <v>0</v>
      </c>
      <c r="CE1260" t="s">
        <v>3108</v>
      </c>
      <c r="CF1260" t="s">
        <v>3108</v>
      </c>
      <c r="CG1260" t="s">
        <v>3108</v>
      </c>
      <c r="CH1260" t="s">
        <v>3108</v>
      </c>
    </row>
    <row r="1261" spans="1:86" x14ac:dyDescent="0.2">
      <c r="A1261" t="s">
        <v>5114</v>
      </c>
      <c r="B1261" t="s">
        <v>5114</v>
      </c>
      <c r="C1261">
        <v>41739</v>
      </c>
      <c r="D1261">
        <v>1008</v>
      </c>
      <c r="E1261" t="s">
        <v>5115</v>
      </c>
      <c r="F1261" t="s">
        <v>3249</v>
      </c>
      <c r="G1261" t="s">
        <v>3249</v>
      </c>
      <c r="H1261" t="s">
        <v>3250</v>
      </c>
      <c r="I1261" t="s">
        <v>3250</v>
      </c>
      <c r="J1261" t="s">
        <v>3250</v>
      </c>
      <c r="K1261" t="s">
        <v>3250</v>
      </c>
      <c r="L1261">
        <v>1200</v>
      </c>
      <c r="M1261" t="s">
        <v>2368</v>
      </c>
      <c r="N1261">
        <v>1204</v>
      </c>
      <c r="O1261" t="s">
        <v>1574</v>
      </c>
      <c r="P1261" t="s">
        <v>3108</v>
      </c>
      <c r="Q1261" t="s">
        <v>3249</v>
      </c>
      <c r="R1261" t="s">
        <v>3249</v>
      </c>
      <c r="S1261" t="s">
        <v>472</v>
      </c>
      <c r="T1261" t="s">
        <v>3251</v>
      </c>
      <c r="U1261">
        <v>120</v>
      </c>
      <c r="V1261" t="s">
        <v>599</v>
      </c>
      <c r="W1261">
        <v>120</v>
      </c>
      <c r="X1261" t="s">
        <v>599</v>
      </c>
      <c r="Y1261" t="s">
        <v>3250</v>
      </c>
      <c r="Z1261" t="s">
        <v>3250</v>
      </c>
      <c r="AA1261" t="s">
        <v>3108</v>
      </c>
      <c r="AB1261" t="s">
        <v>3108</v>
      </c>
      <c r="AC1261" t="s">
        <v>3250</v>
      </c>
      <c r="AD1261" t="s">
        <v>3250</v>
      </c>
      <c r="AE1261" t="s">
        <v>3250</v>
      </c>
      <c r="AF1261" t="s">
        <v>3250</v>
      </c>
      <c r="AG1261" t="s">
        <v>3250</v>
      </c>
      <c r="AH1261" t="s">
        <v>3250</v>
      </c>
      <c r="AI1261" t="s">
        <v>3250</v>
      </c>
      <c r="AJ1261" t="s">
        <v>3250</v>
      </c>
      <c r="AL1261" t="s">
        <v>3250</v>
      </c>
      <c r="AM1261" t="s">
        <v>3250</v>
      </c>
      <c r="AN1261" t="s">
        <v>3250</v>
      </c>
      <c r="AO1261" t="s">
        <v>3250</v>
      </c>
      <c r="AR1261" t="s">
        <v>472</v>
      </c>
      <c r="AS1261" t="s">
        <v>3250</v>
      </c>
      <c r="AT1261" t="s">
        <v>3250</v>
      </c>
      <c r="AU1261" t="s">
        <v>3250</v>
      </c>
      <c r="AV1261" t="s">
        <v>3250</v>
      </c>
      <c r="AW1261" t="s">
        <v>3250</v>
      </c>
      <c r="AX1261" t="s">
        <v>3250</v>
      </c>
      <c r="AY1261" t="s">
        <v>3250</v>
      </c>
      <c r="AZ1261" t="s">
        <v>3250</v>
      </c>
      <c r="BA1261" t="s">
        <v>3250</v>
      </c>
      <c r="BB1261" t="s">
        <v>3250</v>
      </c>
      <c r="BC1261" t="s">
        <v>3250</v>
      </c>
      <c r="BE1261" t="s">
        <v>3250</v>
      </c>
      <c r="BF1261" t="s">
        <v>3250</v>
      </c>
      <c r="BG1261" t="s">
        <v>3250</v>
      </c>
      <c r="BH1261" t="s">
        <v>3250</v>
      </c>
      <c r="BI1261" t="s">
        <v>3250</v>
      </c>
      <c r="BK1261" t="s">
        <v>3250</v>
      </c>
      <c r="BL1261" t="s">
        <v>3250</v>
      </c>
      <c r="BM1261" t="s">
        <v>3250</v>
      </c>
      <c r="BN1261" t="s">
        <v>3250</v>
      </c>
      <c r="BP1261">
        <v>1</v>
      </c>
      <c r="BQ1261">
        <v>11</v>
      </c>
      <c r="BR1261" t="s">
        <v>1574</v>
      </c>
      <c r="BS1261" t="s">
        <v>3252</v>
      </c>
      <c r="BV1261">
        <v>0</v>
      </c>
      <c r="BW1261">
        <v>6804197</v>
      </c>
      <c r="BX1261">
        <v>1596843</v>
      </c>
      <c r="BY1261">
        <v>0</v>
      </c>
      <c r="BZ1261">
        <v>0</v>
      </c>
      <c r="CA1261">
        <v>0</v>
      </c>
      <c r="CB1261">
        <v>0</v>
      </c>
      <c r="CC1261">
        <v>0</v>
      </c>
      <c r="CD1261">
        <v>0</v>
      </c>
      <c r="CE1261" t="s">
        <v>3108</v>
      </c>
      <c r="CF1261" t="s">
        <v>3108</v>
      </c>
      <c r="CG1261" t="s">
        <v>3108</v>
      </c>
      <c r="CH1261" t="s">
        <v>3108</v>
      </c>
    </row>
    <row r="1262" spans="1:86" x14ac:dyDescent="0.2">
      <c r="A1262" t="s">
        <v>5116</v>
      </c>
      <c r="B1262" t="s">
        <v>5116</v>
      </c>
      <c r="C1262">
        <v>41740</v>
      </c>
      <c r="D1262">
        <v>1009</v>
      </c>
      <c r="E1262" t="s">
        <v>5117</v>
      </c>
      <c r="F1262" t="s">
        <v>3249</v>
      </c>
      <c r="G1262" t="s">
        <v>3249</v>
      </c>
      <c r="H1262" t="s">
        <v>3250</v>
      </c>
      <c r="I1262" t="s">
        <v>3250</v>
      </c>
      <c r="J1262" t="s">
        <v>3250</v>
      </c>
      <c r="K1262" t="s">
        <v>3250</v>
      </c>
      <c r="L1262">
        <v>1200</v>
      </c>
      <c r="M1262" t="s">
        <v>2368</v>
      </c>
      <c r="N1262">
        <v>1204</v>
      </c>
      <c r="O1262" t="s">
        <v>1574</v>
      </c>
      <c r="P1262" t="s">
        <v>3108</v>
      </c>
      <c r="Q1262" t="s">
        <v>3249</v>
      </c>
      <c r="R1262" t="s">
        <v>3249</v>
      </c>
      <c r="S1262" t="s">
        <v>472</v>
      </c>
      <c r="T1262" t="s">
        <v>3251</v>
      </c>
      <c r="U1262">
        <v>170</v>
      </c>
      <c r="V1262" t="s">
        <v>1326</v>
      </c>
      <c r="W1262" t="s">
        <v>2983</v>
      </c>
      <c r="X1262" t="s">
        <v>5118</v>
      </c>
      <c r="Y1262" t="s">
        <v>3250</v>
      </c>
      <c r="Z1262" t="s">
        <v>3250</v>
      </c>
      <c r="AA1262" t="s">
        <v>3108</v>
      </c>
      <c r="AB1262" t="s">
        <v>3108</v>
      </c>
      <c r="AC1262" t="s">
        <v>3250</v>
      </c>
      <c r="AD1262" t="s">
        <v>3250</v>
      </c>
      <c r="AE1262" t="s">
        <v>3250</v>
      </c>
      <c r="AF1262" t="s">
        <v>3250</v>
      </c>
      <c r="AG1262" t="s">
        <v>3250</v>
      </c>
      <c r="AH1262" t="s">
        <v>3250</v>
      </c>
      <c r="AI1262" t="s">
        <v>3250</v>
      </c>
      <c r="AJ1262" t="s">
        <v>3250</v>
      </c>
      <c r="AL1262" t="s">
        <v>3250</v>
      </c>
      <c r="AM1262" t="s">
        <v>3250</v>
      </c>
      <c r="AN1262" t="s">
        <v>3250</v>
      </c>
      <c r="AO1262" t="s">
        <v>3250</v>
      </c>
      <c r="AS1262" t="s">
        <v>3250</v>
      </c>
      <c r="AT1262" t="s">
        <v>3250</v>
      </c>
      <c r="AU1262" t="s">
        <v>3250</v>
      </c>
      <c r="AV1262" t="s">
        <v>3250</v>
      </c>
      <c r="AW1262" t="s">
        <v>3250</v>
      </c>
      <c r="AX1262" t="s">
        <v>3250</v>
      </c>
      <c r="AY1262" t="s">
        <v>3250</v>
      </c>
      <c r="AZ1262" t="s">
        <v>3250</v>
      </c>
      <c r="BA1262" t="s">
        <v>3250</v>
      </c>
      <c r="BB1262" t="s">
        <v>3250</v>
      </c>
      <c r="BC1262" t="s">
        <v>3250</v>
      </c>
      <c r="BE1262" t="s">
        <v>3250</v>
      </c>
      <c r="BF1262" t="s">
        <v>3250</v>
      </c>
      <c r="BG1262" t="s">
        <v>3250</v>
      </c>
      <c r="BH1262" t="s">
        <v>3250</v>
      </c>
      <c r="BI1262" t="s">
        <v>3250</v>
      </c>
      <c r="BK1262" t="s">
        <v>3250</v>
      </c>
      <c r="BL1262" t="s">
        <v>3250</v>
      </c>
      <c r="BM1262" t="s">
        <v>3250</v>
      </c>
      <c r="BN1262" t="s">
        <v>3250</v>
      </c>
      <c r="BP1262">
        <v>1</v>
      </c>
      <c r="BQ1262">
        <v>11</v>
      </c>
      <c r="BR1262" t="s">
        <v>1574</v>
      </c>
      <c r="BS1262" t="s">
        <v>3252</v>
      </c>
      <c r="BV1262">
        <v>221071</v>
      </c>
      <c r="BW1262">
        <v>0</v>
      </c>
      <c r="BX1262">
        <v>0</v>
      </c>
      <c r="BY1262">
        <v>0</v>
      </c>
      <c r="BZ1262">
        <v>0</v>
      </c>
      <c r="CA1262">
        <v>0</v>
      </c>
      <c r="CB1262">
        <v>0</v>
      </c>
      <c r="CC1262">
        <v>0</v>
      </c>
      <c r="CD1262">
        <v>221071</v>
      </c>
      <c r="CE1262" t="s">
        <v>3108</v>
      </c>
      <c r="CF1262" t="s">
        <v>3108</v>
      </c>
      <c r="CG1262" t="s">
        <v>3108</v>
      </c>
      <c r="CH1262" t="s">
        <v>3108</v>
      </c>
    </row>
    <row r="1263" spans="1:86" x14ac:dyDescent="0.2">
      <c r="A1263" t="s">
        <v>5119</v>
      </c>
      <c r="B1263" t="s">
        <v>5119</v>
      </c>
      <c r="C1263">
        <v>41741</v>
      </c>
      <c r="D1263">
        <v>1010</v>
      </c>
      <c r="E1263" t="s">
        <v>5120</v>
      </c>
      <c r="F1263" t="s">
        <v>3249</v>
      </c>
      <c r="G1263" t="s">
        <v>3249</v>
      </c>
      <c r="H1263" t="s">
        <v>3250</v>
      </c>
      <c r="I1263" t="s">
        <v>3250</v>
      </c>
      <c r="J1263" t="s">
        <v>3250</v>
      </c>
      <c r="K1263" t="s">
        <v>3250</v>
      </c>
      <c r="L1263">
        <v>1200</v>
      </c>
      <c r="M1263" t="s">
        <v>2368</v>
      </c>
      <c r="N1263">
        <v>1204</v>
      </c>
      <c r="O1263" t="s">
        <v>1574</v>
      </c>
      <c r="P1263" t="s">
        <v>3108</v>
      </c>
      <c r="Q1263" t="s">
        <v>3249</v>
      </c>
      <c r="R1263" t="s">
        <v>3249</v>
      </c>
      <c r="S1263" t="s">
        <v>472</v>
      </c>
      <c r="T1263" t="s">
        <v>3251</v>
      </c>
      <c r="U1263">
        <v>170</v>
      </c>
      <c r="V1263" t="s">
        <v>1326</v>
      </c>
      <c r="W1263" t="s">
        <v>2984</v>
      </c>
      <c r="X1263" t="s">
        <v>5121</v>
      </c>
      <c r="Y1263" t="s">
        <v>3250</v>
      </c>
      <c r="Z1263" t="s">
        <v>3250</v>
      </c>
      <c r="AA1263" t="s">
        <v>3108</v>
      </c>
      <c r="AB1263" t="s">
        <v>3108</v>
      </c>
      <c r="AC1263" t="s">
        <v>3250</v>
      </c>
      <c r="AD1263" t="s">
        <v>3250</v>
      </c>
      <c r="AE1263" t="s">
        <v>3250</v>
      </c>
      <c r="AF1263" t="s">
        <v>3250</v>
      </c>
      <c r="AG1263" t="s">
        <v>3250</v>
      </c>
      <c r="AH1263" t="s">
        <v>3250</v>
      </c>
      <c r="AI1263" t="s">
        <v>3250</v>
      </c>
      <c r="AJ1263" t="s">
        <v>3250</v>
      </c>
      <c r="AL1263" t="s">
        <v>3250</v>
      </c>
      <c r="AM1263" t="s">
        <v>3250</v>
      </c>
      <c r="AN1263" t="s">
        <v>3250</v>
      </c>
      <c r="AO1263" t="s">
        <v>3250</v>
      </c>
      <c r="AS1263" t="s">
        <v>3250</v>
      </c>
      <c r="AT1263" t="s">
        <v>3250</v>
      </c>
      <c r="AU1263" t="s">
        <v>3250</v>
      </c>
      <c r="AV1263" t="s">
        <v>3250</v>
      </c>
      <c r="AW1263" t="s">
        <v>3250</v>
      </c>
      <c r="AX1263" t="s">
        <v>3250</v>
      </c>
      <c r="AY1263" t="s">
        <v>3250</v>
      </c>
      <c r="AZ1263" t="s">
        <v>3250</v>
      </c>
      <c r="BA1263" t="s">
        <v>3250</v>
      </c>
      <c r="BB1263" t="s">
        <v>3250</v>
      </c>
      <c r="BC1263" t="s">
        <v>3250</v>
      </c>
      <c r="BE1263" t="s">
        <v>3250</v>
      </c>
      <c r="BF1263" t="s">
        <v>3250</v>
      </c>
      <c r="BG1263" t="s">
        <v>3250</v>
      </c>
      <c r="BH1263" t="s">
        <v>3250</v>
      </c>
      <c r="BI1263" t="s">
        <v>3250</v>
      </c>
      <c r="BK1263" t="s">
        <v>3250</v>
      </c>
      <c r="BL1263" t="s">
        <v>3250</v>
      </c>
      <c r="BM1263" t="s">
        <v>3250</v>
      </c>
      <c r="BN1263" t="s">
        <v>3250</v>
      </c>
      <c r="BP1263">
        <v>1</v>
      </c>
      <c r="BQ1263">
        <v>11</v>
      </c>
      <c r="BR1263" t="s">
        <v>1574</v>
      </c>
      <c r="BS1263" t="s">
        <v>3252</v>
      </c>
      <c r="BV1263">
        <v>0</v>
      </c>
      <c r="BW1263">
        <v>0</v>
      </c>
      <c r="BX1263">
        <v>0</v>
      </c>
      <c r="BY1263">
        <v>0</v>
      </c>
      <c r="BZ1263">
        <v>0</v>
      </c>
      <c r="CA1263">
        <v>0</v>
      </c>
      <c r="CB1263">
        <v>0</v>
      </c>
      <c r="CC1263">
        <v>0</v>
      </c>
      <c r="CD1263">
        <v>0</v>
      </c>
      <c r="CE1263" t="s">
        <v>3108</v>
      </c>
      <c r="CF1263" t="s">
        <v>3108</v>
      </c>
      <c r="CG1263" t="s">
        <v>3108</v>
      </c>
      <c r="CH1263" t="s">
        <v>3108</v>
      </c>
    </row>
    <row r="1264" spans="1:86" x14ac:dyDescent="0.2">
      <c r="A1264" t="s">
        <v>5122</v>
      </c>
      <c r="B1264" t="s">
        <v>5122</v>
      </c>
      <c r="C1264">
        <v>41742</v>
      </c>
      <c r="D1264">
        <v>1483</v>
      </c>
      <c r="E1264" t="s">
        <v>5123</v>
      </c>
      <c r="F1264" t="s">
        <v>3249</v>
      </c>
      <c r="G1264" t="s">
        <v>3249</v>
      </c>
      <c r="H1264" t="s">
        <v>3250</v>
      </c>
      <c r="I1264" t="s">
        <v>3250</v>
      </c>
      <c r="J1264" t="s">
        <v>3250</v>
      </c>
      <c r="K1264" t="s">
        <v>3250</v>
      </c>
      <c r="L1264">
        <v>1200</v>
      </c>
      <c r="M1264" t="s">
        <v>2368</v>
      </c>
      <c r="N1264">
        <v>1204</v>
      </c>
      <c r="O1264" t="s">
        <v>1574</v>
      </c>
      <c r="P1264" t="s">
        <v>3108</v>
      </c>
      <c r="Q1264" t="s">
        <v>3249</v>
      </c>
      <c r="R1264" t="s">
        <v>3249</v>
      </c>
      <c r="S1264" t="s">
        <v>472</v>
      </c>
      <c r="T1264" t="s">
        <v>3251</v>
      </c>
      <c r="U1264">
        <v>130</v>
      </c>
      <c r="V1264" t="s">
        <v>4716</v>
      </c>
      <c r="W1264">
        <v>130</v>
      </c>
      <c r="X1264" t="s">
        <v>4716</v>
      </c>
      <c r="Y1264" t="s">
        <v>3250</v>
      </c>
      <c r="Z1264" t="s">
        <v>3250</v>
      </c>
      <c r="AA1264" t="s">
        <v>3108</v>
      </c>
      <c r="AB1264" t="s">
        <v>3108</v>
      </c>
      <c r="AC1264" t="s">
        <v>3250</v>
      </c>
      <c r="AD1264" t="s">
        <v>3250</v>
      </c>
      <c r="AE1264" t="s">
        <v>3250</v>
      </c>
      <c r="AF1264" t="s">
        <v>3250</v>
      </c>
      <c r="AG1264" t="s">
        <v>3250</v>
      </c>
      <c r="AH1264" t="s">
        <v>3250</v>
      </c>
      <c r="AI1264" t="s">
        <v>3250</v>
      </c>
      <c r="AJ1264" t="s">
        <v>3250</v>
      </c>
      <c r="AL1264" t="s">
        <v>3250</v>
      </c>
      <c r="AM1264" t="s">
        <v>3250</v>
      </c>
      <c r="AN1264" t="s">
        <v>3250</v>
      </c>
      <c r="AO1264" t="s">
        <v>3250</v>
      </c>
      <c r="AS1264" t="s">
        <v>3250</v>
      </c>
      <c r="AT1264" t="s">
        <v>3250</v>
      </c>
      <c r="AU1264" t="s">
        <v>3250</v>
      </c>
      <c r="AV1264" t="s">
        <v>3250</v>
      </c>
      <c r="AW1264" t="s">
        <v>3250</v>
      </c>
      <c r="AX1264" t="s">
        <v>3250</v>
      </c>
      <c r="AY1264" t="s">
        <v>3250</v>
      </c>
      <c r="AZ1264" t="s">
        <v>3250</v>
      </c>
      <c r="BA1264" t="s">
        <v>3250</v>
      </c>
      <c r="BB1264" t="s">
        <v>3250</v>
      </c>
      <c r="BC1264" t="s">
        <v>3250</v>
      </c>
      <c r="BE1264" t="s">
        <v>3250</v>
      </c>
      <c r="BF1264" t="s">
        <v>3250</v>
      </c>
      <c r="BG1264" t="s">
        <v>3250</v>
      </c>
      <c r="BH1264" t="s">
        <v>3250</v>
      </c>
      <c r="BI1264" t="s">
        <v>3250</v>
      </c>
      <c r="BK1264" t="s">
        <v>3250</v>
      </c>
      <c r="BL1264" t="s">
        <v>3250</v>
      </c>
      <c r="BM1264" t="s">
        <v>3250</v>
      </c>
      <c r="BN1264" t="s">
        <v>3250</v>
      </c>
      <c r="BP1264">
        <v>1</v>
      </c>
      <c r="BQ1264">
        <v>11</v>
      </c>
      <c r="BR1264" t="s">
        <v>1574</v>
      </c>
      <c r="BS1264" t="s">
        <v>3252</v>
      </c>
      <c r="BV1264">
        <v>0</v>
      </c>
      <c r="BW1264">
        <v>57134917</v>
      </c>
      <c r="BX1264">
        <v>0</v>
      </c>
      <c r="BY1264">
        <v>0</v>
      </c>
      <c r="BZ1264">
        <v>0</v>
      </c>
      <c r="CA1264">
        <v>0</v>
      </c>
      <c r="CB1264">
        <v>0</v>
      </c>
      <c r="CC1264">
        <v>0</v>
      </c>
      <c r="CD1264">
        <v>0</v>
      </c>
      <c r="CE1264" t="s">
        <v>3108</v>
      </c>
      <c r="CF1264" t="s">
        <v>3108</v>
      </c>
      <c r="CG1264" t="s">
        <v>3108</v>
      </c>
      <c r="CH1264" t="s">
        <v>3108</v>
      </c>
    </row>
    <row r="1265" spans="1:86" x14ac:dyDescent="0.2">
      <c r="A1265" t="s">
        <v>5124</v>
      </c>
      <c r="B1265" t="s">
        <v>5124</v>
      </c>
      <c r="C1265">
        <v>41743</v>
      </c>
      <c r="D1265">
        <v>1012</v>
      </c>
      <c r="E1265" t="s">
        <v>5125</v>
      </c>
      <c r="F1265" t="s">
        <v>3249</v>
      </c>
      <c r="G1265" t="s">
        <v>3249</v>
      </c>
      <c r="H1265" t="s">
        <v>3250</v>
      </c>
      <c r="I1265" t="s">
        <v>3250</v>
      </c>
      <c r="J1265" t="s">
        <v>3250</v>
      </c>
      <c r="K1265" t="s">
        <v>3250</v>
      </c>
      <c r="L1265">
        <v>1200</v>
      </c>
      <c r="M1265" t="s">
        <v>2368</v>
      </c>
      <c r="N1265">
        <v>1204</v>
      </c>
      <c r="O1265" t="s">
        <v>1574</v>
      </c>
      <c r="P1265" t="s">
        <v>3108</v>
      </c>
      <c r="Q1265" t="s">
        <v>3249</v>
      </c>
      <c r="R1265" t="s">
        <v>3249</v>
      </c>
      <c r="S1265" t="s">
        <v>472</v>
      </c>
      <c r="T1265" t="s">
        <v>3789</v>
      </c>
      <c r="U1265">
        <v>360</v>
      </c>
      <c r="V1265" t="s">
        <v>3790</v>
      </c>
      <c r="W1265">
        <v>360</v>
      </c>
      <c r="X1265" t="s">
        <v>601</v>
      </c>
      <c r="Y1265" t="s">
        <v>3250</v>
      </c>
      <c r="Z1265" t="s">
        <v>3250</v>
      </c>
      <c r="AA1265" t="s">
        <v>3108</v>
      </c>
      <c r="AB1265" t="s">
        <v>3108</v>
      </c>
      <c r="AC1265" t="s">
        <v>3250</v>
      </c>
      <c r="AD1265" t="s">
        <v>3250</v>
      </c>
      <c r="AE1265" t="s">
        <v>3250</v>
      </c>
      <c r="AF1265" t="s">
        <v>3250</v>
      </c>
      <c r="AG1265" t="s">
        <v>3250</v>
      </c>
      <c r="AH1265" t="s">
        <v>3250</v>
      </c>
      <c r="AI1265" t="s">
        <v>3250</v>
      </c>
      <c r="AJ1265" t="s">
        <v>3250</v>
      </c>
      <c r="AL1265">
        <v>364</v>
      </c>
      <c r="AM1265" t="s">
        <v>1321</v>
      </c>
      <c r="AN1265">
        <v>364</v>
      </c>
      <c r="AO1265" t="s">
        <v>1321</v>
      </c>
      <c r="AS1265" t="s">
        <v>3250</v>
      </c>
      <c r="AT1265" t="s">
        <v>3250</v>
      </c>
      <c r="AU1265" t="s">
        <v>3250</v>
      </c>
      <c r="AV1265" t="s">
        <v>3250</v>
      </c>
      <c r="AW1265" t="s">
        <v>3250</v>
      </c>
      <c r="AX1265" t="s">
        <v>3250</v>
      </c>
      <c r="AY1265" t="s">
        <v>3250</v>
      </c>
      <c r="AZ1265" t="s">
        <v>3250</v>
      </c>
      <c r="BA1265" t="s">
        <v>3250</v>
      </c>
      <c r="BB1265" t="s">
        <v>3250</v>
      </c>
      <c r="BC1265" t="s">
        <v>3250</v>
      </c>
      <c r="BE1265" t="s">
        <v>3250</v>
      </c>
      <c r="BF1265" t="s">
        <v>3250</v>
      </c>
      <c r="BG1265" t="s">
        <v>3250</v>
      </c>
      <c r="BH1265" t="s">
        <v>3250</v>
      </c>
      <c r="BI1265" t="s">
        <v>3250</v>
      </c>
      <c r="BK1265" t="s">
        <v>3250</v>
      </c>
      <c r="BL1265" t="s">
        <v>3250</v>
      </c>
      <c r="BM1265" t="s">
        <v>3250</v>
      </c>
      <c r="BN1265" t="s">
        <v>3250</v>
      </c>
      <c r="BP1265">
        <v>1</v>
      </c>
      <c r="BQ1265">
        <v>11</v>
      </c>
      <c r="BR1265" t="s">
        <v>1574</v>
      </c>
      <c r="BS1265" t="s">
        <v>3252</v>
      </c>
      <c r="BV1265">
        <v>0</v>
      </c>
      <c r="BW1265">
        <v>0</v>
      </c>
      <c r="BX1265">
        <v>0</v>
      </c>
      <c r="BY1265">
        <v>0</v>
      </c>
      <c r="BZ1265">
        <v>0</v>
      </c>
      <c r="CA1265">
        <v>0</v>
      </c>
      <c r="CB1265">
        <v>0</v>
      </c>
      <c r="CC1265">
        <v>0</v>
      </c>
      <c r="CD1265">
        <v>0</v>
      </c>
      <c r="CE1265" t="s">
        <v>3108</v>
      </c>
      <c r="CF1265" t="s">
        <v>3108</v>
      </c>
      <c r="CG1265" t="s">
        <v>3108</v>
      </c>
      <c r="CH1265" t="s">
        <v>3108</v>
      </c>
    </row>
    <row r="1266" spans="1:86" x14ac:dyDescent="0.2">
      <c r="A1266" t="s">
        <v>5126</v>
      </c>
      <c r="B1266" t="s">
        <v>5126</v>
      </c>
      <c r="C1266">
        <v>41744</v>
      </c>
      <c r="D1266">
        <v>1013</v>
      </c>
      <c r="E1266" t="s">
        <v>5127</v>
      </c>
      <c r="F1266">
        <v>3000</v>
      </c>
      <c r="G1266" t="s">
        <v>342</v>
      </c>
      <c r="H1266">
        <v>3000</v>
      </c>
      <c r="I1266" t="s">
        <v>342</v>
      </c>
      <c r="J1266">
        <v>2904</v>
      </c>
      <c r="K1266" t="s">
        <v>1690</v>
      </c>
      <c r="L1266">
        <v>1200</v>
      </c>
      <c r="M1266" t="s">
        <v>2368</v>
      </c>
      <c r="N1266">
        <v>1204</v>
      </c>
      <c r="O1266" t="s">
        <v>1574</v>
      </c>
      <c r="P1266" t="s">
        <v>3108</v>
      </c>
      <c r="Q1266" t="s">
        <v>3249</v>
      </c>
      <c r="R1266" t="s">
        <v>3249</v>
      </c>
      <c r="S1266" t="s">
        <v>472</v>
      </c>
      <c r="T1266" t="s">
        <v>2754</v>
      </c>
      <c r="U1266" t="s">
        <v>3250</v>
      </c>
      <c r="V1266" t="s">
        <v>3250</v>
      </c>
      <c r="W1266" t="s">
        <v>3250</v>
      </c>
      <c r="X1266" t="s">
        <v>3250</v>
      </c>
      <c r="Y1266" t="s">
        <v>3250</v>
      </c>
      <c r="Z1266" t="s">
        <v>3250</v>
      </c>
      <c r="AA1266" t="s">
        <v>3108</v>
      </c>
      <c r="AB1266" t="s">
        <v>3108</v>
      </c>
      <c r="AC1266" t="s">
        <v>3250</v>
      </c>
      <c r="AD1266" t="s">
        <v>3250</v>
      </c>
      <c r="AE1266" t="s">
        <v>3250</v>
      </c>
      <c r="AF1266" t="s">
        <v>3250</v>
      </c>
      <c r="AG1266" t="s">
        <v>3250</v>
      </c>
      <c r="AH1266" t="s">
        <v>3250</v>
      </c>
      <c r="AI1266" t="s">
        <v>3250</v>
      </c>
      <c r="AJ1266" t="s">
        <v>3250</v>
      </c>
      <c r="AL1266" t="s">
        <v>3250</v>
      </c>
      <c r="AM1266" t="s">
        <v>3250</v>
      </c>
      <c r="AN1266" t="s">
        <v>3250</v>
      </c>
      <c r="AO1266" t="s">
        <v>3250</v>
      </c>
      <c r="AS1266" t="s">
        <v>3250</v>
      </c>
      <c r="AT1266" t="s">
        <v>3250</v>
      </c>
      <c r="AU1266" t="s">
        <v>3250</v>
      </c>
      <c r="AV1266" t="s">
        <v>3250</v>
      </c>
      <c r="AW1266" t="s">
        <v>3250</v>
      </c>
      <c r="AX1266" t="s">
        <v>3250</v>
      </c>
      <c r="AY1266" t="s">
        <v>3250</v>
      </c>
      <c r="AZ1266" t="s">
        <v>3250</v>
      </c>
      <c r="BA1266" t="s">
        <v>3250</v>
      </c>
      <c r="BB1266" t="s">
        <v>3250</v>
      </c>
      <c r="BC1266" t="s">
        <v>3250</v>
      </c>
      <c r="BE1266" t="s">
        <v>3250</v>
      </c>
      <c r="BF1266" t="s">
        <v>3250</v>
      </c>
      <c r="BG1266" t="s">
        <v>3250</v>
      </c>
      <c r="BH1266" t="s">
        <v>3250</v>
      </c>
      <c r="BI1266" t="s">
        <v>3250</v>
      </c>
      <c r="BK1266" t="s">
        <v>3250</v>
      </c>
      <c r="BL1266" t="s">
        <v>3250</v>
      </c>
      <c r="BM1266" t="s">
        <v>3250</v>
      </c>
      <c r="BN1266" t="s">
        <v>3250</v>
      </c>
      <c r="BP1266">
        <v>1</v>
      </c>
      <c r="BQ1266">
        <v>11</v>
      </c>
      <c r="BR1266" t="s">
        <v>1574</v>
      </c>
      <c r="BS1266" t="s">
        <v>3252</v>
      </c>
      <c r="BV1266">
        <v>-147392</v>
      </c>
      <c r="BW1266">
        <v>0</v>
      </c>
      <c r="BX1266">
        <v>-6591</v>
      </c>
      <c r="BY1266">
        <v>0</v>
      </c>
      <c r="BZ1266">
        <v>0</v>
      </c>
      <c r="CA1266">
        <v>0</v>
      </c>
      <c r="CB1266">
        <v>0</v>
      </c>
      <c r="CC1266">
        <v>0</v>
      </c>
      <c r="CD1266">
        <v>0</v>
      </c>
      <c r="CE1266" t="s">
        <v>3108</v>
      </c>
      <c r="CF1266" t="s">
        <v>3108</v>
      </c>
      <c r="CG1266" t="s">
        <v>3108</v>
      </c>
      <c r="CH1266" t="s">
        <v>3108</v>
      </c>
    </row>
    <row r="1267" spans="1:86" x14ac:dyDescent="0.2">
      <c r="A1267" t="s">
        <v>5128</v>
      </c>
      <c r="B1267" t="s">
        <v>5128</v>
      </c>
      <c r="C1267">
        <v>41745</v>
      </c>
      <c r="D1267">
        <v>1014</v>
      </c>
      <c r="E1267" t="s">
        <v>5112</v>
      </c>
      <c r="F1267" t="s">
        <v>3249</v>
      </c>
      <c r="G1267" t="s">
        <v>3249</v>
      </c>
      <c r="H1267" t="s">
        <v>3250</v>
      </c>
      <c r="I1267" t="s">
        <v>3250</v>
      </c>
      <c r="J1267" t="s">
        <v>3250</v>
      </c>
      <c r="K1267" t="s">
        <v>3250</v>
      </c>
      <c r="L1267">
        <v>1200</v>
      </c>
      <c r="M1267" t="s">
        <v>2368</v>
      </c>
      <c r="N1267">
        <v>1204</v>
      </c>
      <c r="O1267" t="s">
        <v>1574</v>
      </c>
      <c r="P1267" t="s">
        <v>3108</v>
      </c>
      <c r="Q1267" t="s">
        <v>3249</v>
      </c>
      <c r="R1267" t="s">
        <v>3249</v>
      </c>
      <c r="S1267" t="s">
        <v>472</v>
      </c>
      <c r="T1267" t="s">
        <v>3251</v>
      </c>
      <c r="U1267">
        <v>170</v>
      </c>
      <c r="V1267" t="s">
        <v>1326</v>
      </c>
      <c r="W1267" t="s">
        <v>2981</v>
      </c>
      <c r="X1267" t="s">
        <v>5113</v>
      </c>
      <c r="Y1267" t="s">
        <v>3250</v>
      </c>
      <c r="Z1267" t="s">
        <v>3250</v>
      </c>
      <c r="AA1267" t="s">
        <v>3108</v>
      </c>
      <c r="AB1267" t="s">
        <v>3108</v>
      </c>
      <c r="AC1267" t="s">
        <v>3250</v>
      </c>
      <c r="AD1267" t="s">
        <v>3250</v>
      </c>
      <c r="AE1267" t="s">
        <v>3250</v>
      </c>
      <c r="AF1267" t="s">
        <v>3250</v>
      </c>
      <c r="AG1267" t="s">
        <v>3250</v>
      </c>
      <c r="AH1267" t="s">
        <v>3250</v>
      </c>
      <c r="AI1267" t="s">
        <v>3250</v>
      </c>
      <c r="AJ1267" t="s">
        <v>3250</v>
      </c>
      <c r="AL1267" t="s">
        <v>3250</v>
      </c>
      <c r="AM1267" t="s">
        <v>3250</v>
      </c>
      <c r="AN1267" t="s">
        <v>3250</v>
      </c>
      <c r="AO1267" t="s">
        <v>3250</v>
      </c>
      <c r="AS1267" t="s">
        <v>3250</v>
      </c>
      <c r="AT1267" t="s">
        <v>3250</v>
      </c>
      <c r="AU1267" t="s">
        <v>3250</v>
      </c>
      <c r="AV1267" t="s">
        <v>3250</v>
      </c>
      <c r="AW1267" t="s">
        <v>3250</v>
      </c>
      <c r="AX1267" t="s">
        <v>3250</v>
      </c>
      <c r="AY1267" t="s">
        <v>3250</v>
      </c>
      <c r="AZ1267" t="s">
        <v>3250</v>
      </c>
      <c r="BA1267" t="s">
        <v>3250</v>
      </c>
      <c r="BB1267" t="s">
        <v>3250</v>
      </c>
      <c r="BC1267" t="s">
        <v>3250</v>
      </c>
      <c r="BE1267" t="s">
        <v>3250</v>
      </c>
      <c r="BF1267" t="s">
        <v>3250</v>
      </c>
      <c r="BG1267" t="s">
        <v>3250</v>
      </c>
      <c r="BH1267" t="s">
        <v>3250</v>
      </c>
      <c r="BI1267" t="s">
        <v>3250</v>
      </c>
      <c r="BK1267" t="s">
        <v>3250</v>
      </c>
      <c r="BL1267" t="s">
        <v>3250</v>
      </c>
      <c r="BM1267" t="s">
        <v>3250</v>
      </c>
      <c r="BN1267" t="s">
        <v>3250</v>
      </c>
      <c r="BP1267">
        <v>1</v>
      </c>
      <c r="BQ1267">
        <v>11</v>
      </c>
      <c r="BR1267" t="s">
        <v>1574</v>
      </c>
      <c r="BS1267" t="s">
        <v>3252</v>
      </c>
      <c r="BV1267">
        <v>0</v>
      </c>
      <c r="BW1267">
        <v>0</v>
      </c>
      <c r="BX1267">
        <v>6591</v>
      </c>
      <c r="BY1267">
        <v>0</v>
      </c>
      <c r="BZ1267">
        <v>0</v>
      </c>
      <c r="CA1267">
        <v>0</v>
      </c>
      <c r="CB1267">
        <v>0</v>
      </c>
      <c r="CC1267">
        <v>0</v>
      </c>
      <c r="CD1267">
        <v>440300</v>
      </c>
      <c r="CE1267" t="s">
        <v>3108</v>
      </c>
      <c r="CF1267" t="s">
        <v>3108</v>
      </c>
      <c r="CG1267" t="s">
        <v>3108</v>
      </c>
      <c r="CH1267" t="s">
        <v>3108</v>
      </c>
    </row>
    <row r="1268" spans="1:86" x14ac:dyDescent="0.2">
      <c r="A1268" t="s">
        <v>5129</v>
      </c>
      <c r="B1268" t="s">
        <v>5129</v>
      </c>
      <c r="C1268">
        <v>41746</v>
      </c>
      <c r="D1268">
        <v>1390</v>
      </c>
      <c r="E1268" t="s">
        <v>4838</v>
      </c>
      <c r="F1268" t="s">
        <v>3249</v>
      </c>
      <c r="G1268" t="s">
        <v>3249</v>
      </c>
      <c r="H1268" t="s">
        <v>3250</v>
      </c>
      <c r="I1268" t="s">
        <v>3250</v>
      </c>
      <c r="J1268" t="s">
        <v>3250</v>
      </c>
      <c r="K1268" t="s">
        <v>3250</v>
      </c>
      <c r="L1268">
        <v>3100</v>
      </c>
      <c r="M1268" t="s">
        <v>127</v>
      </c>
      <c r="N1268">
        <v>3107</v>
      </c>
      <c r="O1268" t="s">
        <v>2418</v>
      </c>
      <c r="P1268" t="s">
        <v>3108</v>
      </c>
      <c r="Q1268">
        <v>2080</v>
      </c>
      <c r="R1268" t="s">
        <v>423</v>
      </c>
      <c r="S1268" t="s">
        <v>427</v>
      </c>
      <c r="T1268" t="s">
        <v>3251</v>
      </c>
      <c r="U1268">
        <v>240</v>
      </c>
      <c r="V1268" t="s">
        <v>4251</v>
      </c>
      <c r="W1268">
        <v>240</v>
      </c>
      <c r="X1268" t="s">
        <v>1323</v>
      </c>
      <c r="Y1268" t="s">
        <v>3250</v>
      </c>
      <c r="Z1268" t="s">
        <v>3250</v>
      </c>
      <c r="AA1268" t="s">
        <v>3108</v>
      </c>
      <c r="AB1268" t="s">
        <v>3108</v>
      </c>
      <c r="AC1268" t="s">
        <v>3250</v>
      </c>
      <c r="AD1268" t="s">
        <v>3250</v>
      </c>
      <c r="AE1268" t="s">
        <v>3250</v>
      </c>
      <c r="AF1268" t="s">
        <v>3250</v>
      </c>
      <c r="AG1268">
        <v>770</v>
      </c>
      <c r="AH1268" t="s">
        <v>2282</v>
      </c>
      <c r="AI1268">
        <v>770</v>
      </c>
      <c r="AJ1268" t="s">
        <v>2282</v>
      </c>
      <c r="AL1268">
        <v>243</v>
      </c>
      <c r="AM1268" t="s">
        <v>700</v>
      </c>
      <c r="AN1268">
        <v>243</v>
      </c>
      <c r="AO1268" t="s">
        <v>700</v>
      </c>
      <c r="AS1268">
        <v>1030</v>
      </c>
      <c r="AT1268">
        <v>1030</v>
      </c>
      <c r="AU1268" t="s">
        <v>2303</v>
      </c>
      <c r="AV1268" t="s">
        <v>2303</v>
      </c>
      <c r="AW1268" t="s">
        <v>3250</v>
      </c>
      <c r="AX1268" t="s">
        <v>3250</v>
      </c>
      <c r="AY1268" t="s">
        <v>3250</v>
      </c>
      <c r="AZ1268" t="s">
        <v>3250</v>
      </c>
      <c r="BA1268" t="s">
        <v>3250</v>
      </c>
      <c r="BB1268" t="s">
        <v>3250</v>
      </c>
      <c r="BC1268" t="s">
        <v>3250</v>
      </c>
      <c r="BE1268" t="s">
        <v>3250</v>
      </c>
      <c r="BF1268" t="s">
        <v>3250</v>
      </c>
      <c r="BG1268" t="s">
        <v>3250</v>
      </c>
      <c r="BH1268" t="s">
        <v>3250</v>
      </c>
      <c r="BI1268" t="s">
        <v>3250</v>
      </c>
      <c r="BK1268" t="s">
        <v>3250</v>
      </c>
      <c r="BL1268" t="s">
        <v>3250</v>
      </c>
      <c r="BM1268" t="s">
        <v>3250</v>
      </c>
      <c r="BN1268" t="s">
        <v>3250</v>
      </c>
      <c r="BP1268">
        <v>8</v>
      </c>
      <c r="BQ1268">
        <v>81</v>
      </c>
      <c r="BR1268" t="s">
        <v>2418</v>
      </c>
      <c r="BS1268" t="s">
        <v>4013</v>
      </c>
      <c r="BV1268">
        <v>0</v>
      </c>
      <c r="BW1268">
        <v>0</v>
      </c>
      <c r="BX1268">
        <v>0</v>
      </c>
      <c r="BY1268">
        <v>0</v>
      </c>
      <c r="BZ1268">
        <v>0</v>
      </c>
      <c r="CA1268">
        <v>0</v>
      </c>
      <c r="CB1268">
        <v>0</v>
      </c>
      <c r="CC1268">
        <v>0</v>
      </c>
      <c r="CD1268">
        <v>0</v>
      </c>
      <c r="CE1268" t="s">
        <v>3108</v>
      </c>
      <c r="CF1268" t="s">
        <v>3108</v>
      </c>
      <c r="CG1268" t="s">
        <v>3108</v>
      </c>
      <c r="CH1268" t="s">
        <v>3108</v>
      </c>
    </row>
    <row r="1269" spans="1:86" x14ac:dyDescent="0.2">
      <c r="A1269" t="s">
        <v>5130</v>
      </c>
      <c r="B1269" t="s">
        <v>5130</v>
      </c>
      <c r="C1269">
        <v>41747</v>
      </c>
      <c r="D1269">
        <v>1391</v>
      </c>
      <c r="E1269" t="s">
        <v>4840</v>
      </c>
      <c r="F1269" t="s">
        <v>3249</v>
      </c>
      <c r="G1269" t="s">
        <v>3249</v>
      </c>
      <c r="H1269" t="s">
        <v>3250</v>
      </c>
      <c r="I1269" t="s">
        <v>3250</v>
      </c>
      <c r="J1269" t="s">
        <v>3250</v>
      </c>
      <c r="K1269" t="s">
        <v>3250</v>
      </c>
      <c r="L1269">
        <v>3100</v>
      </c>
      <c r="M1269" t="s">
        <v>127</v>
      </c>
      <c r="N1269">
        <v>3107</v>
      </c>
      <c r="O1269" t="s">
        <v>2418</v>
      </c>
      <c r="P1269" t="s">
        <v>3108</v>
      </c>
      <c r="Q1269">
        <v>2080</v>
      </c>
      <c r="R1269" t="s">
        <v>423</v>
      </c>
      <c r="S1269" t="s">
        <v>427</v>
      </c>
      <c r="T1269" t="s">
        <v>3251</v>
      </c>
      <c r="U1269">
        <v>240</v>
      </c>
      <c r="V1269" t="s">
        <v>4251</v>
      </c>
      <c r="W1269">
        <v>240</v>
      </c>
      <c r="X1269" t="s">
        <v>1323</v>
      </c>
      <c r="Y1269" t="s">
        <v>3250</v>
      </c>
      <c r="Z1269" t="s">
        <v>3250</v>
      </c>
      <c r="AA1269" t="s">
        <v>3108</v>
      </c>
      <c r="AB1269" t="s">
        <v>3108</v>
      </c>
      <c r="AC1269" t="s">
        <v>3250</v>
      </c>
      <c r="AD1269" t="s">
        <v>3250</v>
      </c>
      <c r="AE1269" t="s">
        <v>3250</v>
      </c>
      <c r="AF1269" t="s">
        <v>3250</v>
      </c>
      <c r="AG1269">
        <v>770</v>
      </c>
      <c r="AH1269" t="s">
        <v>2282</v>
      </c>
      <c r="AI1269">
        <v>770</v>
      </c>
      <c r="AJ1269" t="s">
        <v>2282</v>
      </c>
      <c r="AL1269">
        <v>241</v>
      </c>
      <c r="AM1269" t="s">
        <v>1455</v>
      </c>
      <c r="AN1269">
        <v>241</v>
      </c>
      <c r="AO1269" t="s">
        <v>1455</v>
      </c>
      <c r="AS1269">
        <v>1030</v>
      </c>
      <c r="AT1269">
        <v>1030</v>
      </c>
      <c r="AU1269" t="s">
        <v>2303</v>
      </c>
      <c r="AV1269" t="s">
        <v>2303</v>
      </c>
      <c r="AW1269" t="s">
        <v>3250</v>
      </c>
      <c r="AX1269" t="s">
        <v>3250</v>
      </c>
      <c r="AY1269" t="s">
        <v>3250</v>
      </c>
      <c r="AZ1269" t="s">
        <v>3250</v>
      </c>
      <c r="BA1269" t="s">
        <v>3250</v>
      </c>
      <c r="BB1269" t="s">
        <v>3250</v>
      </c>
      <c r="BC1269" t="s">
        <v>3250</v>
      </c>
      <c r="BE1269" t="s">
        <v>3250</v>
      </c>
      <c r="BF1269" t="s">
        <v>3250</v>
      </c>
      <c r="BG1269" t="s">
        <v>3250</v>
      </c>
      <c r="BH1269" t="s">
        <v>3250</v>
      </c>
      <c r="BI1269" t="s">
        <v>3250</v>
      </c>
      <c r="BK1269" t="s">
        <v>3250</v>
      </c>
      <c r="BL1269" t="s">
        <v>3250</v>
      </c>
      <c r="BM1269" t="s">
        <v>3250</v>
      </c>
      <c r="BN1269" t="s">
        <v>3250</v>
      </c>
      <c r="BP1269">
        <v>8</v>
      </c>
      <c r="BQ1269">
        <v>81</v>
      </c>
      <c r="BR1269" t="s">
        <v>2418</v>
      </c>
      <c r="BS1269" t="s">
        <v>4013</v>
      </c>
      <c r="BV1269">
        <v>0</v>
      </c>
      <c r="BW1269">
        <v>0</v>
      </c>
      <c r="BX1269">
        <v>0</v>
      </c>
      <c r="BY1269">
        <v>0</v>
      </c>
      <c r="BZ1269">
        <v>0</v>
      </c>
      <c r="CA1269">
        <v>0</v>
      </c>
      <c r="CB1269">
        <v>0</v>
      </c>
      <c r="CC1269">
        <v>0</v>
      </c>
      <c r="CD1269">
        <v>0</v>
      </c>
      <c r="CE1269" t="s">
        <v>3108</v>
      </c>
      <c r="CF1269" t="s">
        <v>3108</v>
      </c>
      <c r="CG1269" t="s">
        <v>3108</v>
      </c>
      <c r="CH1269" t="s">
        <v>3108</v>
      </c>
    </row>
    <row r="1270" spans="1:86" x14ac:dyDescent="0.2">
      <c r="A1270" t="s">
        <v>5131</v>
      </c>
      <c r="B1270" t="s">
        <v>5131</v>
      </c>
      <c r="C1270">
        <v>41748</v>
      </c>
      <c r="D1270">
        <v>1392</v>
      </c>
      <c r="E1270" t="s">
        <v>4842</v>
      </c>
      <c r="F1270" t="s">
        <v>3249</v>
      </c>
      <c r="G1270" t="s">
        <v>3249</v>
      </c>
      <c r="H1270" t="s">
        <v>3250</v>
      </c>
      <c r="I1270" t="s">
        <v>3250</v>
      </c>
      <c r="J1270" t="s">
        <v>3250</v>
      </c>
      <c r="K1270" t="s">
        <v>3250</v>
      </c>
      <c r="L1270">
        <v>3100</v>
      </c>
      <c r="M1270" t="s">
        <v>127</v>
      </c>
      <c r="N1270">
        <v>3107</v>
      </c>
      <c r="O1270" t="s">
        <v>2418</v>
      </c>
      <c r="P1270" t="s">
        <v>2805</v>
      </c>
      <c r="Q1270">
        <v>2010</v>
      </c>
      <c r="R1270" t="s">
        <v>1355</v>
      </c>
      <c r="S1270" t="s">
        <v>427</v>
      </c>
      <c r="T1270" t="s">
        <v>3251</v>
      </c>
      <c r="U1270">
        <v>240</v>
      </c>
      <c r="V1270" t="s">
        <v>4251</v>
      </c>
      <c r="W1270">
        <v>240</v>
      </c>
      <c r="X1270" t="s">
        <v>1323</v>
      </c>
      <c r="Y1270" t="s">
        <v>3250</v>
      </c>
      <c r="Z1270" t="s">
        <v>3250</v>
      </c>
      <c r="AA1270" t="s">
        <v>3108</v>
      </c>
      <c r="AB1270" t="s">
        <v>3108</v>
      </c>
      <c r="AC1270" t="s">
        <v>3250</v>
      </c>
      <c r="AD1270" t="s">
        <v>3250</v>
      </c>
      <c r="AE1270" t="s">
        <v>3250</v>
      </c>
      <c r="AF1270" t="s">
        <v>3250</v>
      </c>
      <c r="AG1270">
        <v>770</v>
      </c>
      <c r="AH1270" t="s">
        <v>2282</v>
      </c>
      <c r="AI1270">
        <v>770</v>
      </c>
      <c r="AJ1270" t="s">
        <v>2282</v>
      </c>
      <c r="AL1270">
        <v>241</v>
      </c>
      <c r="AM1270" t="s">
        <v>1455</v>
      </c>
      <c r="AN1270">
        <v>241</v>
      </c>
      <c r="AO1270" t="s">
        <v>1455</v>
      </c>
      <c r="AS1270">
        <v>1030</v>
      </c>
      <c r="AT1270">
        <v>1030</v>
      </c>
      <c r="AU1270" t="s">
        <v>2303</v>
      </c>
      <c r="AV1270" t="s">
        <v>2303</v>
      </c>
      <c r="AW1270" t="s">
        <v>3250</v>
      </c>
      <c r="AX1270" t="s">
        <v>3250</v>
      </c>
      <c r="AY1270" t="s">
        <v>3250</v>
      </c>
      <c r="AZ1270" t="s">
        <v>3250</v>
      </c>
      <c r="BA1270" t="s">
        <v>3250</v>
      </c>
      <c r="BB1270" t="s">
        <v>3250</v>
      </c>
      <c r="BC1270" t="s">
        <v>3250</v>
      </c>
      <c r="BE1270" t="s">
        <v>3250</v>
      </c>
      <c r="BF1270" t="s">
        <v>3250</v>
      </c>
      <c r="BG1270" t="s">
        <v>3250</v>
      </c>
      <c r="BH1270" t="s">
        <v>3250</v>
      </c>
      <c r="BI1270" t="s">
        <v>3250</v>
      </c>
      <c r="BK1270" t="s">
        <v>3250</v>
      </c>
      <c r="BL1270" t="s">
        <v>3250</v>
      </c>
      <c r="BM1270" t="s">
        <v>3250</v>
      </c>
      <c r="BN1270" t="s">
        <v>3250</v>
      </c>
      <c r="BP1270">
        <v>8</v>
      </c>
      <c r="BQ1270">
        <v>81</v>
      </c>
      <c r="BR1270" t="s">
        <v>2418</v>
      </c>
      <c r="BS1270" t="s">
        <v>4013</v>
      </c>
      <c r="BV1270">
        <v>0</v>
      </c>
      <c r="BW1270">
        <v>0</v>
      </c>
      <c r="BX1270">
        <v>0</v>
      </c>
      <c r="BY1270">
        <v>0</v>
      </c>
      <c r="BZ1270">
        <v>0</v>
      </c>
      <c r="CA1270">
        <v>0</v>
      </c>
      <c r="CB1270">
        <v>0</v>
      </c>
      <c r="CC1270">
        <v>0</v>
      </c>
      <c r="CD1270">
        <v>0</v>
      </c>
      <c r="CE1270" t="s">
        <v>3108</v>
      </c>
      <c r="CF1270" t="s">
        <v>3108</v>
      </c>
      <c r="CG1270" t="s">
        <v>3108</v>
      </c>
      <c r="CH1270" t="s">
        <v>3108</v>
      </c>
    </row>
    <row r="1271" spans="1:86" x14ac:dyDescent="0.2">
      <c r="A1271" t="s">
        <v>5132</v>
      </c>
      <c r="B1271" t="s">
        <v>5132</v>
      </c>
      <c r="C1271">
        <v>41749</v>
      </c>
      <c r="D1271">
        <v>1393</v>
      </c>
      <c r="E1271" t="s">
        <v>4838</v>
      </c>
      <c r="F1271" t="s">
        <v>3249</v>
      </c>
      <c r="G1271" t="s">
        <v>3249</v>
      </c>
      <c r="H1271" t="s">
        <v>3250</v>
      </c>
      <c r="I1271" t="s">
        <v>3250</v>
      </c>
      <c r="J1271" t="s">
        <v>3250</v>
      </c>
      <c r="K1271" t="s">
        <v>3250</v>
      </c>
      <c r="L1271">
        <v>3100</v>
      </c>
      <c r="M1271" t="s">
        <v>127</v>
      </c>
      <c r="N1271">
        <v>3107</v>
      </c>
      <c r="O1271" t="s">
        <v>2418</v>
      </c>
      <c r="P1271" t="s">
        <v>3108</v>
      </c>
      <c r="Q1271">
        <v>2080</v>
      </c>
      <c r="R1271" t="s">
        <v>423</v>
      </c>
      <c r="S1271" t="s">
        <v>427</v>
      </c>
      <c r="T1271" t="s">
        <v>3251</v>
      </c>
      <c r="U1271">
        <v>240</v>
      </c>
      <c r="V1271" t="s">
        <v>4251</v>
      </c>
      <c r="W1271">
        <v>240</v>
      </c>
      <c r="X1271" t="s">
        <v>1323</v>
      </c>
      <c r="Y1271" t="s">
        <v>3250</v>
      </c>
      <c r="Z1271" t="s">
        <v>3250</v>
      </c>
      <c r="AA1271" t="s">
        <v>3108</v>
      </c>
      <c r="AB1271" t="s">
        <v>3108</v>
      </c>
      <c r="AC1271" t="s">
        <v>3250</v>
      </c>
      <c r="AD1271" t="s">
        <v>3250</v>
      </c>
      <c r="AE1271" t="s">
        <v>3250</v>
      </c>
      <c r="AF1271" t="s">
        <v>3250</v>
      </c>
      <c r="AG1271">
        <v>770</v>
      </c>
      <c r="AH1271" t="s">
        <v>2282</v>
      </c>
      <c r="AI1271">
        <v>770</v>
      </c>
      <c r="AJ1271" t="s">
        <v>2282</v>
      </c>
      <c r="AL1271">
        <v>243</v>
      </c>
      <c r="AM1271" t="s">
        <v>700</v>
      </c>
      <c r="AN1271">
        <v>243</v>
      </c>
      <c r="AO1271" t="s">
        <v>700</v>
      </c>
      <c r="AS1271">
        <v>810</v>
      </c>
      <c r="AT1271">
        <v>810</v>
      </c>
      <c r="AU1271" t="s">
        <v>2286</v>
      </c>
      <c r="AV1271" t="s">
        <v>2286</v>
      </c>
      <c r="AW1271" t="s">
        <v>3250</v>
      </c>
      <c r="AX1271" t="s">
        <v>3250</v>
      </c>
      <c r="AY1271" t="s">
        <v>3250</v>
      </c>
      <c r="AZ1271" t="s">
        <v>3250</v>
      </c>
      <c r="BA1271" t="s">
        <v>3250</v>
      </c>
      <c r="BB1271" t="s">
        <v>3250</v>
      </c>
      <c r="BC1271" t="s">
        <v>3250</v>
      </c>
      <c r="BE1271" t="s">
        <v>3250</v>
      </c>
      <c r="BF1271" t="s">
        <v>3250</v>
      </c>
      <c r="BG1271" t="s">
        <v>3250</v>
      </c>
      <c r="BH1271" t="s">
        <v>3250</v>
      </c>
      <c r="BI1271" t="s">
        <v>3250</v>
      </c>
      <c r="BK1271" t="s">
        <v>3250</v>
      </c>
      <c r="BL1271" t="s">
        <v>3250</v>
      </c>
      <c r="BM1271" t="s">
        <v>3250</v>
      </c>
      <c r="BN1271" t="s">
        <v>3250</v>
      </c>
      <c r="BP1271">
        <v>8</v>
      </c>
      <c r="BQ1271">
        <v>81</v>
      </c>
      <c r="BR1271" t="s">
        <v>2418</v>
      </c>
      <c r="BS1271" t="s">
        <v>4013</v>
      </c>
      <c r="BV1271">
        <v>-24474519</v>
      </c>
      <c r="BW1271">
        <v>-20573479</v>
      </c>
      <c r="BX1271">
        <v>-17304063</v>
      </c>
      <c r="BY1271">
        <v>0</v>
      </c>
      <c r="BZ1271">
        <v>0</v>
      </c>
      <c r="CA1271">
        <v>0</v>
      </c>
      <c r="CB1271">
        <v>0</v>
      </c>
      <c r="CC1271">
        <v>0</v>
      </c>
      <c r="CD1271">
        <v>-27752048</v>
      </c>
      <c r="CE1271" t="s">
        <v>3108</v>
      </c>
      <c r="CF1271" t="s">
        <v>3108</v>
      </c>
      <c r="CG1271" t="s">
        <v>3108</v>
      </c>
      <c r="CH1271" t="s">
        <v>3108</v>
      </c>
    </row>
    <row r="1272" spans="1:86" x14ac:dyDescent="0.2">
      <c r="A1272" t="s">
        <v>5133</v>
      </c>
      <c r="B1272" t="s">
        <v>5133</v>
      </c>
      <c r="C1272">
        <v>41750</v>
      </c>
      <c r="D1272">
        <v>1394</v>
      </c>
      <c r="E1272" t="s">
        <v>4840</v>
      </c>
      <c r="F1272" t="s">
        <v>3249</v>
      </c>
      <c r="G1272" t="s">
        <v>3249</v>
      </c>
      <c r="H1272" t="s">
        <v>3250</v>
      </c>
      <c r="I1272" t="s">
        <v>3250</v>
      </c>
      <c r="J1272" t="s">
        <v>3250</v>
      </c>
      <c r="K1272" t="s">
        <v>3250</v>
      </c>
      <c r="L1272">
        <v>3100</v>
      </c>
      <c r="M1272" t="s">
        <v>127</v>
      </c>
      <c r="N1272">
        <v>3107</v>
      </c>
      <c r="O1272" t="s">
        <v>2418</v>
      </c>
      <c r="P1272" t="s">
        <v>3108</v>
      </c>
      <c r="Q1272">
        <v>2080</v>
      </c>
      <c r="R1272" t="s">
        <v>423</v>
      </c>
      <c r="S1272" t="s">
        <v>427</v>
      </c>
      <c r="T1272" t="s">
        <v>3251</v>
      </c>
      <c r="U1272">
        <v>240</v>
      </c>
      <c r="V1272" t="s">
        <v>4251</v>
      </c>
      <c r="W1272">
        <v>240</v>
      </c>
      <c r="X1272" t="s">
        <v>1323</v>
      </c>
      <c r="Y1272" t="s">
        <v>3250</v>
      </c>
      <c r="Z1272" t="s">
        <v>3250</v>
      </c>
      <c r="AA1272" t="s">
        <v>3108</v>
      </c>
      <c r="AB1272" t="s">
        <v>3108</v>
      </c>
      <c r="AC1272" t="s">
        <v>3250</v>
      </c>
      <c r="AD1272" t="s">
        <v>3250</v>
      </c>
      <c r="AE1272" t="s">
        <v>3250</v>
      </c>
      <c r="AF1272" t="s">
        <v>3250</v>
      </c>
      <c r="AG1272">
        <v>770</v>
      </c>
      <c r="AH1272" t="s">
        <v>2282</v>
      </c>
      <c r="AI1272">
        <v>770</v>
      </c>
      <c r="AJ1272" t="s">
        <v>2282</v>
      </c>
      <c r="AL1272">
        <v>241</v>
      </c>
      <c r="AM1272" t="s">
        <v>1455</v>
      </c>
      <c r="AN1272">
        <v>241</v>
      </c>
      <c r="AO1272" t="s">
        <v>1455</v>
      </c>
      <c r="AS1272">
        <v>810</v>
      </c>
      <c r="AT1272">
        <v>810</v>
      </c>
      <c r="AU1272" t="s">
        <v>2286</v>
      </c>
      <c r="AV1272" t="s">
        <v>2286</v>
      </c>
      <c r="AW1272" t="s">
        <v>3250</v>
      </c>
      <c r="AX1272" t="s">
        <v>3250</v>
      </c>
      <c r="AY1272" t="s">
        <v>3250</v>
      </c>
      <c r="AZ1272" t="s">
        <v>3250</v>
      </c>
      <c r="BA1272" t="s">
        <v>3250</v>
      </c>
      <c r="BB1272" t="s">
        <v>3250</v>
      </c>
      <c r="BC1272" t="s">
        <v>3250</v>
      </c>
      <c r="BE1272" t="s">
        <v>3250</v>
      </c>
      <c r="BF1272" t="s">
        <v>3250</v>
      </c>
      <c r="BG1272" t="s">
        <v>3250</v>
      </c>
      <c r="BH1272" t="s">
        <v>3250</v>
      </c>
      <c r="BI1272" t="s">
        <v>3250</v>
      </c>
      <c r="BK1272" t="s">
        <v>3250</v>
      </c>
      <c r="BL1272" t="s">
        <v>3250</v>
      </c>
      <c r="BM1272" t="s">
        <v>3250</v>
      </c>
      <c r="BN1272" t="s">
        <v>3250</v>
      </c>
      <c r="BP1272">
        <v>8</v>
      </c>
      <c r="BQ1272">
        <v>81</v>
      </c>
      <c r="BR1272" t="s">
        <v>2418</v>
      </c>
      <c r="BS1272" t="s">
        <v>4013</v>
      </c>
      <c r="BV1272">
        <v>0</v>
      </c>
      <c r="BW1272">
        <v>0</v>
      </c>
      <c r="BX1272">
        <v>0</v>
      </c>
      <c r="BY1272">
        <v>0</v>
      </c>
      <c r="BZ1272">
        <v>0</v>
      </c>
      <c r="CA1272">
        <v>0</v>
      </c>
      <c r="CB1272">
        <v>0</v>
      </c>
      <c r="CC1272">
        <v>0</v>
      </c>
      <c r="CD1272">
        <v>0</v>
      </c>
      <c r="CE1272" t="s">
        <v>3108</v>
      </c>
      <c r="CF1272" t="s">
        <v>3108</v>
      </c>
      <c r="CG1272" t="s">
        <v>3108</v>
      </c>
      <c r="CH1272" t="s">
        <v>3108</v>
      </c>
    </row>
    <row r="1273" spans="1:86" x14ac:dyDescent="0.2">
      <c r="A1273" t="s">
        <v>5134</v>
      </c>
      <c r="B1273" t="s">
        <v>5134</v>
      </c>
      <c r="C1273">
        <v>41751</v>
      </c>
      <c r="D1273">
        <v>1395</v>
      </c>
      <c r="E1273" t="s">
        <v>4250</v>
      </c>
      <c r="F1273" t="s">
        <v>3249</v>
      </c>
      <c r="G1273" t="s">
        <v>3249</v>
      </c>
      <c r="H1273" t="s">
        <v>3250</v>
      </c>
      <c r="I1273" t="s">
        <v>3250</v>
      </c>
      <c r="J1273" t="s">
        <v>3250</v>
      </c>
      <c r="K1273" t="s">
        <v>3250</v>
      </c>
      <c r="L1273">
        <v>3100</v>
      </c>
      <c r="M1273" t="s">
        <v>127</v>
      </c>
      <c r="N1273">
        <v>3107</v>
      </c>
      <c r="O1273" t="s">
        <v>2418</v>
      </c>
      <c r="P1273" t="s">
        <v>2805</v>
      </c>
      <c r="Q1273">
        <v>2010</v>
      </c>
      <c r="R1273" t="s">
        <v>1355</v>
      </c>
      <c r="S1273" t="s">
        <v>427</v>
      </c>
      <c r="T1273" t="s">
        <v>3251</v>
      </c>
      <c r="U1273">
        <v>240</v>
      </c>
      <c r="V1273" t="s">
        <v>4251</v>
      </c>
      <c r="W1273">
        <v>240</v>
      </c>
      <c r="X1273" t="s">
        <v>1323</v>
      </c>
      <c r="Y1273" t="s">
        <v>3250</v>
      </c>
      <c r="Z1273" t="s">
        <v>3250</v>
      </c>
      <c r="AA1273" t="s">
        <v>3108</v>
      </c>
      <c r="AB1273" t="s">
        <v>3108</v>
      </c>
      <c r="AC1273" t="s">
        <v>3250</v>
      </c>
      <c r="AD1273" t="s">
        <v>3250</v>
      </c>
      <c r="AE1273" t="s">
        <v>3250</v>
      </c>
      <c r="AF1273" t="s">
        <v>3250</v>
      </c>
      <c r="AG1273" t="s">
        <v>3250</v>
      </c>
      <c r="AH1273" t="s">
        <v>3250</v>
      </c>
      <c r="AI1273" t="s">
        <v>3250</v>
      </c>
      <c r="AJ1273" t="s">
        <v>3250</v>
      </c>
      <c r="AK1273">
        <v>770</v>
      </c>
      <c r="AL1273">
        <v>241</v>
      </c>
      <c r="AM1273" t="s">
        <v>1455</v>
      </c>
      <c r="AN1273">
        <v>241</v>
      </c>
      <c r="AO1273" t="s">
        <v>1455</v>
      </c>
      <c r="AS1273">
        <v>810</v>
      </c>
      <c r="AT1273">
        <v>810</v>
      </c>
      <c r="AU1273" t="s">
        <v>2286</v>
      </c>
      <c r="AV1273" t="s">
        <v>2286</v>
      </c>
      <c r="AW1273" t="s">
        <v>3250</v>
      </c>
      <c r="AX1273" t="s">
        <v>3250</v>
      </c>
      <c r="AY1273" t="s">
        <v>3250</v>
      </c>
      <c r="AZ1273" t="s">
        <v>3250</v>
      </c>
      <c r="BA1273" t="s">
        <v>3250</v>
      </c>
      <c r="BB1273" t="s">
        <v>3250</v>
      </c>
      <c r="BC1273" t="s">
        <v>3250</v>
      </c>
      <c r="BE1273" t="s">
        <v>3250</v>
      </c>
      <c r="BF1273" t="s">
        <v>3250</v>
      </c>
      <c r="BG1273" t="s">
        <v>3250</v>
      </c>
      <c r="BH1273" t="s">
        <v>3250</v>
      </c>
      <c r="BI1273" t="s">
        <v>3250</v>
      </c>
      <c r="BK1273" t="s">
        <v>3250</v>
      </c>
      <c r="BL1273" t="s">
        <v>3250</v>
      </c>
      <c r="BM1273" t="s">
        <v>3250</v>
      </c>
      <c r="BN1273" t="s">
        <v>3250</v>
      </c>
      <c r="BP1273">
        <v>8</v>
      </c>
      <c r="BQ1273">
        <v>81</v>
      </c>
      <c r="BR1273" t="s">
        <v>2418</v>
      </c>
      <c r="BS1273" t="s">
        <v>4013</v>
      </c>
      <c r="BV1273">
        <v>0</v>
      </c>
      <c r="BW1273">
        <v>0</v>
      </c>
      <c r="BX1273">
        <v>5801919</v>
      </c>
      <c r="BY1273">
        <v>0</v>
      </c>
      <c r="BZ1273">
        <v>0</v>
      </c>
      <c r="CA1273">
        <v>0</v>
      </c>
      <c r="CB1273">
        <v>0</v>
      </c>
      <c r="CC1273">
        <v>0</v>
      </c>
      <c r="CD1273">
        <v>0</v>
      </c>
      <c r="CE1273" t="s">
        <v>3108</v>
      </c>
      <c r="CF1273" t="s">
        <v>3108</v>
      </c>
      <c r="CG1273" t="s">
        <v>3108</v>
      </c>
      <c r="CH1273" t="s">
        <v>3108</v>
      </c>
    </row>
    <row r="1274" spans="1:86" x14ac:dyDescent="0.2">
      <c r="A1274" t="s">
        <v>5135</v>
      </c>
      <c r="B1274" t="s">
        <v>5135</v>
      </c>
      <c r="C1274">
        <v>41752</v>
      </c>
      <c r="D1274">
        <v>1396</v>
      </c>
      <c r="E1274" t="s">
        <v>4838</v>
      </c>
      <c r="F1274" t="s">
        <v>3249</v>
      </c>
      <c r="G1274" t="s">
        <v>3249</v>
      </c>
      <c r="H1274" t="s">
        <v>3250</v>
      </c>
      <c r="I1274" t="s">
        <v>3250</v>
      </c>
      <c r="J1274" t="s">
        <v>3250</v>
      </c>
      <c r="K1274" t="s">
        <v>3250</v>
      </c>
      <c r="L1274">
        <v>3100</v>
      </c>
      <c r="M1274" t="s">
        <v>127</v>
      </c>
      <c r="N1274">
        <v>3107</v>
      </c>
      <c r="O1274" t="s">
        <v>2418</v>
      </c>
      <c r="P1274" t="s">
        <v>3108</v>
      </c>
      <c r="Q1274">
        <v>2080</v>
      </c>
      <c r="R1274" t="s">
        <v>423</v>
      </c>
      <c r="S1274" t="s">
        <v>427</v>
      </c>
      <c r="T1274" t="s">
        <v>3251</v>
      </c>
      <c r="U1274">
        <v>240</v>
      </c>
      <c r="V1274" t="s">
        <v>4251</v>
      </c>
      <c r="W1274">
        <v>240</v>
      </c>
      <c r="X1274" t="s">
        <v>1323</v>
      </c>
      <c r="Y1274" t="s">
        <v>3250</v>
      </c>
      <c r="Z1274" t="s">
        <v>3250</v>
      </c>
      <c r="AA1274" t="s">
        <v>3108</v>
      </c>
      <c r="AB1274" t="s">
        <v>3108</v>
      </c>
      <c r="AC1274" t="s">
        <v>3250</v>
      </c>
      <c r="AD1274" t="s">
        <v>3250</v>
      </c>
      <c r="AE1274" t="s">
        <v>3250</v>
      </c>
      <c r="AF1274" t="s">
        <v>3250</v>
      </c>
      <c r="AG1274">
        <v>770</v>
      </c>
      <c r="AH1274" t="s">
        <v>2282</v>
      </c>
      <c r="AI1274">
        <v>770</v>
      </c>
      <c r="AJ1274" t="s">
        <v>2282</v>
      </c>
      <c r="AL1274">
        <v>243</v>
      </c>
      <c r="AM1274" t="s">
        <v>700</v>
      </c>
      <c r="AN1274">
        <v>243</v>
      </c>
      <c r="AO1274" t="s">
        <v>700</v>
      </c>
      <c r="AS1274">
        <v>790</v>
      </c>
      <c r="AT1274">
        <v>790</v>
      </c>
      <c r="AU1274" t="s">
        <v>2284</v>
      </c>
      <c r="AV1274" t="s">
        <v>2284</v>
      </c>
      <c r="AW1274" t="s">
        <v>3250</v>
      </c>
      <c r="AX1274" t="s">
        <v>3250</v>
      </c>
      <c r="AY1274" t="s">
        <v>3250</v>
      </c>
      <c r="AZ1274" t="s">
        <v>3250</v>
      </c>
      <c r="BA1274" t="s">
        <v>3250</v>
      </c>
      <c r="BB1274" t="s">
        <v>3250</v>
      </c>
      <c r="BC1274" t="s">
        <v>3250</v>
      </c>
      <c r="BE1274" t="s">
        <v>3250</v>
      </c>
      <c r="BF1274" t="s">
        <v>3250</v>
      </c>
      <c r="BG1274" t="s">
        <v>3250</v>
      </c>
      <c r="BH1274" t="s">
        <v>3250</v>
      </c>
      <c r="BI1274" t="s">
        <v>3250</v>
      </c>
      <c r="BK1274" t="s">
        <v>3250</v>
      </c>
      <c r="BL1274" t="s">
        <v>3250</v>
      </c>
      <c r="BM1274" t="s">
        <v>3250</v>
      </c>
      <c r="BN1274" t="s">
        <v>3250</v>
      </c>
      <c r="BP1274">
        <v>8</v>
      </c>
      <c r="BQ1274">
        <v>81</v>
      </c>
      <c r="BR1274" t="s">
        <v>2418</v>
      </c>
      <c r="BS1274" t="s">
        <v>4013</v>
      </c>
      <c r="BV1274">
        <v>0</v>
      </c>
      <c r="BW1274">
        <v>0</v>
      </c>
      <c r="BX1274">
        <v>0</v>
      </c>
      <c r="BY1274">
        <v>0</v>
      </c>
      <c r="BZ1274">
        <v>0</v>
      </c>
      <c r="CA1274">
        <v>-3935316</v>
      </c>
      <c r="CB1274">
        <v>-4166360</v>
      </c>
      <c r="CC1274">
        <v>-4582996</v>
      </c>
      <c r="CD1274">
        <v>0</v>
      </c>
      <c r="CE1274" t="s">
        <v>3108</v>
      </c>
      <c r="CF1274" t="s">
        <v>3108</v>
      </c>
      <c r="CG1274" t="s">
        <v>3108</v>
      </c>
      <c r="CH1274" t="s">
        <v>3108</v>
      </c>
    </row>
    <row r="1275" spans="1:86" x14ac:dyDescent="0.2">
      <c r="A1275" t="s">
        <v>5136</v>
      </c>
      <c r="B1275" t="s">
        <v>5136</v>
      </c>
      <c r="C1275">
        <v>41753</v>
      </c>
      <c r="D1275">
        <v>1397</v>
      </c>
      <c r="E1275" t="s">
        <v>4840</v>
      </c>
      <c r="F1275" t="s">
        <v>3249</v>
      </c>
      <c r="G1275" t="s">
        <v>3249</v>
      </c>
      <c r="H1275" t="s">
        <v>3250</v>
      </c>
      <c r="I1275" t="s">
        <v>3250</v>
      </c>
      <c r="J1275" t="s">
        <v>3250</v>
      </c>
      <c r="K1275" t="s">
        <v>3250</v>
      </c>
      <c r="L1275">
        <v>3100</v>
      </c>
      <c r="M1275" t="s">
        <v>127</v>
      </c>
      <c r="N1275">
        <v>3107</v>
      </c>
      <c r="O1275" t="s">
        <v>2418</v>
      </c>
      <c r="P1275" t="s">
        <v>3108</v>
      </c>
      <c r="Q1275">
        <v>2080</v>
      </c>
      <c r="R1275" t="s">
        <v>423</v>
      </c>
      <c r="S1275" t="s">
        <v>427</v>
      </c>
      <c r="T1275" t="s">
        <v>3251</v>
      </c>
      <c r="U1275">
        <v>240</v>
      </c>
      <c r="V1275" t="s">
        <v>4251</v>
      </c>
      <c r="W1275">
        <v>240</v>
      </c>
      <c r="X1275" t="s">
        <v>1323</v>
      </c>
      <c r="Y1275" t="s">
        <v>3250</v>
      </c>
      <c r="Z1275" t="s">
        <v>3250</v>
      </c>
      <c r="AA1275" t="s">
        <v>3108</v>
      </c>
      <c r="AB1275" t="s">
        <v>3108</v>
      </c>
      <c r="AC1275" t="s">
        <v>3250</v>
      </c>
      <c r="AD1275" t="s">
        <v>3250</v>
      </c>
      <c r="AE1275" t="s">
        <v>3250</v>
      </c>
      <c r="AF1275" t="s">
        <v>3250</v>
      </c>
      <c r="AG1275">
        <v>770</v>
      </c>
      <c r="AH1275" t="s">
        <v>2282</v>
      </c>
      <c r="AI1275">
        <v>770</v>
      </c>
      <c r="AJ1275" t="s">
        <v>2282</v>
      </c>
      <c r="AL1275">
        <v>241</v>
      </c>
      <c r="AM1275" t="s">
        <v>1455</v>
      </c>
      <c r="AN1275">
        <v>241</v>
      </c>
      <c r="AO1275" t="s">
        <v>1455</v>
      </c>
      <c r="AS1275">
        <v>790</v>
      </c>
      <c r="AT1275">
        <v>790</v>
      </c>
      <c r="AU1275" t="s">
        <v>2284</v>
      </c>
      <c r="AV1275" t="s">
        <v>2284</v>
      </c>
      <c r="AW1275" t="s">
        <v>3250</v>
      </c>
      <c r="AX1275" t="s">
        <v>3250</v>
      </c>
      <c r="AY1275" t="s">
        <v>3250</v>
      </c>
      <c r="AZ1275" t="s">
        <v>3250</v>
      </c>
      <c r="BA1275" t="s">
        <v>3250</v>
      </c>
      <c r="BB1275" t="s">
        <v>3250</v>
      </c>
      <c r="BC1275" t="s">
        <v>3250</v>
      </c>
      <c r="BE1275" t="s">
        <v>3250</v>
      </c>
      <c r="BF1275" t="s">
        <v>3250</v>
      </c>
      <c r="BG1275" t="s">
        <v>3250</v>
      </c>
      <c r="BH1275" t="s">
        <v>3250</v>
      </c>
      <c r="BI1275" t="s">
        <v>3250</v>
      </c>
      <c r="BK1275" t="s">
        <v>3250</v>
      </c>
      <c r="BL1275" t="s">
        <v>3250</v>
      </c>
      <c r="BM1275" t="s">
        <v>3250</v>
      </c>
      <c r="BN1275" t="s">
        <v>3250</v>
      </c>
      <c r="BP1275">
        <v>8</v>
      </c>
      <c r="BQ1275">
        <v>81</v>
      </c>
      <c r="BR1275" t="s">
        <v>2418</v>
      </c>
      <c r="BS1275" t="s">
        <v>4013</v>
      </c>
      <c r="BV1275">
        <v>0</v>
      </c>
      <c r="BW1275">
        <v>0</v>
      </c>
      <c r="BX1275">
        <v>0</v>
      </c>
      <c r="BY1275">
        <v>0</v>
      </c>
      <c r="BZ1275">
        <v>0</v>
      </c>
      <c r="CA1275">
        <v>0</v>
      </c>
      <c r="CB1275">
        <v>0</v>
      </c>
      <c r="CC1275">
        <v>0</v>
      </c>
      <c r="CD1275">
        <v>0</v>
      </c>
      <c r="CE1275" t="s">
        <v>3108</v>
      </c>
      <c r="CF1275" t="s">
        <v>3108</v>
      </c>
      <c r="CG1275" t="s">
        <v>3108</v>
      </c>
      <c r="CH1275" t="s">
        <v>3108</v>
      </c>
    </row>
    <row r="1276" spans="1:86" x14ac:dyDescent="0.2">
      <c r="A1276" t="s">
        <v>5137</v>
      </c>
      <c r="B1276" t="s">
        <v>5137</v>
      </c>
      <c r="C1276">
        <v>41754</v>
      </c>
      <c r="D1276">
        <v>1398</v>
      </c>
      <c r="E1276" t="s">
        <v>4842</v>
      </c>
      <c r="F1276" t="s">
        <v>3249</v>
      </c>
      <c r="G1276" t="s">
        <v>3249</v>
      </c>
      <c r="H1276" t="s">
        <v>3250</v>
      </c>
      <c r="I1276" t="s">
        <v>3250</v>
      </c>
      <c r="J1276" t="s">
        <v>3250</v>
      </c>
      <c r="K1276" t="s">
        <v>3250</v>
      </c>
      <c r="L1276">
        <v>3100</v>
      </c>
      <c r="M1276" t="s">
        <v>127</v>
      </c>
      <c r="N1276">
        <v>3107</v>
      </c>
      <c r="O1276" t="s">
        <v>2418</v>
      </c>
      <c r="P1276" t="s">
        <v>2805</v>
      </c>
      <c r="Q1276">
        <v>2010</v>
      </c>
      <c r="R1276" t="s">
        <v>1355</v>
      </c>
      <c r="S1276" t="s">
        <v>427</v>
      </c>
      <c r="T1276" t="s">
        <v>3251</v>
      </c>
      <c r="U1276">
        <v>240</v>
      </c>
      <c r="V1276" t="s">
        <v>4251</v>
      </c>
      <c r="W1276">
        <v>240</v>
      </c>
      <c r="X1276" t="s">
        <v>1323</v>
      </c>
      <c r="Y1276" t="s">
        <v>3250</v>
      </c>
      <c r="Z1276" t="s">
        <v>3250</v>
      </c>
      <c r="AA1276" t="s">
        <v>3108</v>
      </c>
      <c r="AB1276" t="s">
        <v>3108</v>
      </c>
      <c r="AC1276" t="s">
        <v>3250</v>
      </c>
      <c r="AD1276" t="s">
        <v>3250</v>
      </c>
      <c r="AE1276" t="s">
        <v>3250</v>
      </c>
      <c r="AF1276" t="s">
        <v>3250</v>
      </c>
      <c r="AG1276">
        <v>770</v>
      </c>
      <c r="AH1276" t="s">
        <v>2282</v>
      </c>
      <c r="AI1276">
        <v>770</v>
      </c>
      <c r="AJ1276" t="s">
        <v>2282</v>
      </c>
      <c r="AL1276">
        <v>241</v>
      </c>
      <c r="AM1276" t="s">
        <v>1455</v>
      </c>
      <c r="AN1276">
        <v>241</v>
      </c>
      <c r="AO1276" t="s">
        <v>1455</v>
      </c>
      <c r="AS1276">
        <v>790</v>
      </c>
      <c r="AT1276">
        <v>790</v>
      </c>
      <c r="AU1276" t="s">
        <v>2284</v>
      </c>
      <c r="AV1276" t="s">
        <v>2284</v>
      </c>
      <c r="AW1276" t="s">
        <v>3250</v>
      </c>
      <c r="AX1276" t="s">
        <v>3250</v>
      </c>
      <c r="AY1276" t="s">
        <v>3250</v>
      </c>
      <c r="AZ1276" t="s">
        <v>3250</v>
      </c>
      <c r="BA1276" t="s">
        <v>3250</v>
      </c>
      <c r="BB1276" t="s">
        <v>3250</v>
      </c>
      <c r="BC1276" t="s">
        <v>3250</v>
      </c>
      <c r="BE1276" t="s">
        <v>3250</v>
      </c>
      <c r="BF1276" t="s">
        <v>3250</v>
      </c>
      <c r="BG1276" t="s">
        <v>3250</v>
      </c>
      <c r="BH1276" t="s">
        <v>3250</v>
      </c>
      <c r="BI1276" t="s">
        <v>3250</v>
      </c>
      <c r="BK1276" t="s">
        <v>3250</v>
      </c>
      <c r="BL1276" t="s">
        <v>3250</v>
      </c>
      <c r="BM1276" t="s">
        <v>3250</v>
      </c>
      <c r="BN1276" t="s">
        <v>3250</v>
      </c>
      <c r="BP1276">
        <v>8</v>
      </c>
      <c r="BQ1276">
        <v>81</v>
      </c>
      <c r="BR1276" t="s">
        <v>2418</v>
      </c>
      <c r="BS1276" t="s">
        <v>4013</v>
      </c>
      <c r="BV1276">
        <v>0</v>
      </c>
      <c r="BW1276">
        <v>0</v>
      </c>
      <c r="BX1276">
        <v>0</v>
      </c>
      <c r="BY1276">
        <v>0</v>
      </c>
      <c r="BZ1276">
        <v>0</v>
      </c>
      <c r="CA1276">
        <v>0</v>
      </c>
      <c r="CB1276">
        <v>0</v>
      </c>
      <c r="CC1276">
        <v>0</v>
      </c>
      <c r="CD1276">
        <v>0</v>
      </c>
      <c r="CE1276" t="s">
        <v>3108</v>
      </c>
      <c r="CF1276" t="s">
        <v>3108</v>
      </c>
      <c r="CG1276" t="s">
        <v>3108</v>
      </c>
      <c r="CH1276" t="s">
        <v>3108</v>
      </c>
    </row>
    <row r="1277" spans="1:86" x14ac:dyDescent="0.2">
      <c r="A1277" t="s">
        <v>5138</v>
      </c>
      <c r="B1277" t="s">
        <v>5138</v>
      </c>
      <c r="C1277">
        <v>41755</v>
      </c>
      <c r="D1277">
        <v>1399</v>
      </c>
      <c r="E1277" t="s">
        <v>4865</v>
      </c>
      <c r="F1277" t="s">
        <v>3249</v>
      </c>
      <c r="G1277" t="s">
        <v>3249</v>
      </c>
      <c r="H1277" t="s">
        <v>3250</v>
      </c>
      <c r="I1277" t="s">
        <v>3250</v>
      </c>
      <c r="J1277" t="s">
        <v>3250</v>
      </c>
      <c r="K1277" t="s">
        <v>3250</v>
      </c>
      <c r="L1277">
        <v>1200</v>
      </c>
      <c r="M1277" t="s">
        <v>2368</v>
      </c>
      <c r="N1277">
        <v>1202</v>
      </c>
      <c r="O1277" t="s">
        <v>2371</v>
      </c>
      <c r="P1277" t="s">
        <v>3108</v>
      </c>
      <c r="Q1277">
        <v>2080</v>
      </c>
      <c r="R1277" t="s">
        <v>423</v>
      </c>
      <c r="S1277" t="s">
        <v>427</v>
      </c>
      <c r="T1277" t="s">
        <v>3251</v>
      </c>
      <c r="U1277">
        <v>240</v>
      </c>
      <c r="V1277" t="s">
        <v>4251</v>
      </c>
      <c r="W1277">
        <v>240</v>
      </c>
      <c r="X1277" t="s">
        <v>1323</v>
      </c>
      <c r="Y1277" t="s">
        <v>3250</v>
      </c>
      <c r="Z1277" t="s">
        <v>3250</v>
      </c>
      <c r="AA1277" t="s">
        <v>3108</v>
      </c>
      <c r="AB1277" t="s">
        <v>3108</v>
      </c>
      <c r="AC1277" t="s">
        <v>3250</v>
      </c>
      <c r="AD1277" t="s">
        <v>3250</v>
      </c>
      <c r="AE1277" t="s">
        <v>3250</v>
      </c>
      <c r="AF1277" t="s">
        <v>3250</v>
      </c>
      <c r="AG1277">
        <v>1490</v>
      </c>
      <c r="AH1277" t="s">
        <v>2333</v>
      </c>
      <c r="AI1277">
        <v>1490</v>
      </c>
      <c r="AJ1277" t="s">
        <v>2333</v>
      </c>
      <c r="AL1277">
        <v>243</v>
      </c>
      <c r="AM1277" t="s">
        <v>700</v>
      </c>
      <c r="AN1277">
        <v>243</v>
      </c>
      <c r="AO1277" t="s">
        <v>700</v>
      </c>
      <c r="AS1277">
        <v>1490</v>
      </c>
      <c r="AT1277">
        <v>1490</v>
      </c>
      <c r="AU1277" t="s">
        <v>2333</v>
      </c>
      <c r="AV1277" t="s">
        <v>2333</v>
      </c>
      <c r="AW1277" t="s">
        <v>3250</v>
      </c>
      <c r="AX1277" t="s">
        <v>3250</v>
      </c>
      <c r="AY1277" t="s">
        <v>3250</v>
      </c>
      <c r="AZ1277" t="s">
        <v>3250</v>
      </c>
      <c r="BA1277" t="s">
        <v>3250</v>
      </c>
      <c r="BB1277" t="s">
        <v>3250</v>
      </c>
      <c r="BC1277" t="s">
        <v>3250</v>
      </c>
      <c r="BE1277" t="s">
        <v>3250</v>
      </c>
      <c r="BF1277" t="s">
        <v>3250</v>
      </c>
      <c r="BG1277" t="s">
        <v>3250</v>
      </c>
      <c r="BH1277" t="s">
        <v>3250</v>
      </c>
      <c r="BI1277" t="s">
        <v>3250</v>
      </c>
      <c r="BK1277" t="s">
        <v>3250</v>
      </c>
      <c r="BL1277" t="s">
        <v>3250</v>
      </c>
      <c r="BM1277" t="s">
        <v>3250</v>
      </c>
      <c r="BN1277" t="s">
        <v>3250</v>
      </c>
      <c r="BP1277">
        <v>1</v>
      </c>
      <c r="BQ1277">
        <v>13</v>
      </c>
      <c r="BR1277" t="s">
        <v>2371</v>
      </c>
      <c r="BS1277" t="s">
        <v>3252</v>
      </c>
      <c r="BV1277">
        <v>0</v>
      </c>
      <c r="BW1277">
        <v>0</v>
      </c>
      <c r="BX1277">
        <v>0</v>
      </c>
      <c r="BY1277">
        <v>0</v>
      </c>
      <c r="BZ1277">
        <v>0</v>
      </c>
      <c r="CA1277">
        <v>-1224284</v>
      </c>
      <c r="CB1277">
        <v>-1296162</v>
      </c>
      <c r="CC1277">
        <v>-1425778</v>
      </c>
      <c r="CD1277">
        <v>0</v>
      </c>
      <c r="CE1277" t="s">
        <v>3108</v>
      </c>
      <c r="CF1277" t="s">
        <v>3108</v>
      </c>
      <c r="CG1277" t="s">
        <v>3108</v>
      </c>
      <c r="CH1277" t="s">
        <v>3108</v>
      </c>
    </row>
    <row r="1278" spans="1:86" x14ac:dyDescent="0.2">
      <c r="A1278" t="s">
        <v>5139</v>
      </c>
      <c r="B1278" t="s">
        <v>5139</v>
      </c>
      <c r="C1278">
        <v>41756</v>
      </c>
      <c r="D1278">
        <v>1400</v>
      </c>
      <c r="E1278" t="s">
        <v>4869</v>
      </c>
      <c r="F1278" t="s">
        <v>3249</v>
      </c>
      <c r="G1278" t="s">
        <v>3249</v>
      </c>
      <c r="H1278" t="s">
        <v>3250</v>
      </c>
      <c r="I1278" t="s">
        <v>3250</v>
      </c>
      <c r="J1278" t="s">
        <v>3250</v>
      </c>
      <c r="K1278" t="s">
        <v>3250</v>
      </c>
      <c r="L1278">
        <v>1200</v>
      </c>
      <c r="M1278" t="s">
        <v>2368</v>
      </c>
      <c r="N1278">
        <v>1202</v>
      </c>
      <c r="O1278" t="s">
        <v>2371</v>
      </c>
      <c r="P1278" t="s">
        <v>2805</v>
      </c>
      <c r="Q1278">
        <v>2080</v>
      </c>
      <c r="R1278" t="s">
        <v>423</v>
      </c>
      <c r="S1278" t="s">
        <v>427</v>
      </c>
      <c r="T1278" t="s">
        <v>3251</v>
      </c>
      <c r="U1278">
        <v>240</v>
      </c>
      <c r="V1278" t="s">
        <v>4251</v>
      </c>
      <c r="W1278">
        <v>240</v>
      </c>
      <c r="X1278" t="s">
        <v>1323</v>
      </c>
      <c r="Y1278" t="s">
        <v>3250</v>
      </c>
      <c r="Z1278" t="s">
        <v>3250</v>
      </c>
      <c r="AA1278" t="s">
        <v>3108</v>
      </c>
      <c r="AB1278" t="s">
        <v>3108</v>
      </c>
      <c r="AC1278" t="s">
        <v>3250</v>
      </c>
      <c r="AD1278" t="s">
        <v>3250</v>
      </c>
      <c r="AE1278" t="s">
        <v>3250</v>
      </c>
      <c r="AF1278" t="s">
        <v>3250</v>
      </c>
      <c r="AG1278">
        <v>1490</v>
      </c>
      <c r="AH1278" t="s">
        <v>2333</v>
      </c>
      <c r="AI1278">
        <v>1490</v>
      </c>
      <c r="AJ1278" t="s">
        <v>2333</v>
      </c>
      <c r="AL1278">
        <v>241</v>
      </c>
      <c r="AM1278" t="s">
        <v>1455</v>
      </c>
      <c r="AN1278">
        <v>241</v>
      </c>
      <c r="AO1278" t="s">
        <v>1455</v>
      </c>
      <c r="AS1278">
        <v>1490</v>
      </c>
      <c r="AT1278">
        <v>1490</v>
      </c>
      <c r="AU1278" t="s">
        <v>2333</v>
      </c>
      <c r="AV1278" t="s">
        <v>2333</v>
      </c>
      <c r="AW1278" t="s">
        <v>3250</v>
      </c>
      <c r="AX1278" t="s">
        <v>3250</v>
      </c>
      <c r="AY1278" t="s">
        <v>3250</v>
      </c>
      <c r="AZ1278" t="s">
        <v>3250</v>
      </c>
      <c r="BA1278" t="s">
        <v>3250</v>
      </c>
      <c r="BB1278" t="s">
        <v>3250</v>
      </c>
      <c r="BC1278" t="s">
        <v>3250</v>
      </c>
      <c r="BE1278" t="s">
        <v>3250</v>
      </c>
      <c r="BF1278" t="s">
        <v>3250</v>
      </c>
      <c r="BG1278" t="s">
        <v>3250</v>
      </c>
      <c r="BH1278" t="s">
        <v>3250</v>
      </c>
      <c r="BI1278" t="s">
        <v>3250</v>
      </c>
      <c r="BK1278" t="s">
        <v>3250</v>
      </c>
      <c r="BL1278" t="s">
        <v>3250</v>
      </c>
      <c r="BM1278" t="s">
        <v>3250</v>
      </c>
      <c r="BN1278" t="s">
        <v>3250</v>
      </c>
      <c r="BP1278">
        <v>1</v>
      </c>
      <c r="BQ1278">
        <v>13</v>
      </c>
      <c r="BR1278" t="s">
        <v>2371</v>
      </c>
      <c r="BS1278" t="s">
        <v>3252</v>
      </c>
      <c r="BV1278">
        <v>0</v>
      </c>
      <c r="BW1278">
        <v>0</v>
      </c>
      <c r="BX1278">
        <v>0</v>
      </c>
      <c r="BY1278">
        <v>0</v>
      </c>
      <c r="BZ1278">
        <v>0</v>
      </c>
      <c r="CA1278">
        <v>0</v>
      </c>
      <c r="CB1278">
        <v>0</v>
      </c>
      <c r="CC1278">
        <v>0</v>
      </c>
      <c r="CD1278">
        <v>0</v>
      </c>
      <c r="CE1278" t="s">
        <v>3108</v>
      </c>
      <c r="CF1278" t="s">
        <v>3108</v>
      </c>
      <c r="CG1278" t="s">
        <v>3108</v>
      </c>
      <c r="CH1278" t="s">
        <v>3108</v>
      </c>
    </row>
    <row r="1279" spans="1:86" x14ac:dyDescent="0.2">
      <c r="A1279" t="s">
        <v>5140</v>
      </c>
      <c r="B1279" t="s">
        <v>5140</v>
      </c>
      <c r="C1279">
        <v>41757</v>
      </c>
      <c r="D1279">
        <v>1401</v>
      </c>
      <c r="E1279" t="s">
        <v>5141</v>
      </c>
      <c r="F1279" t="s">
        <v>3249</v>
      </c>
      <c r="G1279" t="s">
        <v>3249</v>
      </c>
      <c r="H1279" t="s">
        <v>3250</v>
      </c>
      <c r="I1279" t="s">
        <v>3250</v>
      </c>
      <c r="J1279" t="s">
        <v>3250</v>
      </c>
      <c r="K1279" t="s">
        <v>3250</v>
      </c>
      <c r="L1279">
        <v>1200</v>
      </c>
      <c r="M1279" t="s">
        <v>2368</v>
      </c>
      <c r="N1279">
        <v>1202</v>
      </c>
      <c r="O1279" t="s">
        <v>2371</v>
      </c>
      <c r="P1279" t="s">
        <v>3108</v>
      </c>
      <c r="Q1279">
        <v>2080</v>
      </c>
      <c r="R1279" t="s">
        <v>423</v>
      </c>
      <c r="S1279" t="s">
        <v>427</v>
      </c>
      <c r="T1279" t="s">
        <v>3251</v>
      </c>
      <c r="U1279">
        <v>240</v>
      </c>
      <c r="V1279" t="s">
        <v>4251</v>
      </c>
      <c r="W1279">
        <v>240</v>
      </c>
      <c r="X1279" t="s">
        <v>1323</v>
      </c>
      <c r="Y1279" t="s">
        <v>3250</v>
      </c>
      <c r="Z1279" t="s">
        <v>3250</v>
      </c>
      <c r="AA1279" t="s">
        <v>3108</v>
      </c>
      <c r="AB1279" t="s">
        <v>3108</v>
      </c>
      <c r="AC1279" t="s">
        <v>3250</v>
      </c>
      <c r="AD1279" t="s">
        <v>3250</v>
      </c>
      <c r="AE1279" t="s">
        <v>3250</v>
      </c>
      <c r="AF1279" t="s">
        <v>3250</v>
      </c>
      <c r="AG1279">
        <v>1550</v>
      </c>
      <c r="AH1279" t="s">
        <v>2470</v>
      </c>
      <c r="AI1279">
        <v>1550</v>
      </c>
      <c r="AJ1279" t="s">
        <v>2470</v>
      </c>
      <c r="AL1279">
        <v>241</v>
      </c>
      <c r="AM1279" t="s">
        <v>1455</v>
      </c>
      <c r="AN1279">
        <v>241</v>
      </c>
      <c r="AO1279" t="s">
        <v>1455</v>
      </c>
      <c r="AS1279">
        <v>1550</v>
      </c>
      <c r="AT1279">
        <v>1550</v>
      </c>
      <c r="AU1279" t="s">
        <v>2470</v>
      </c>
      <c r="AV1279" t="s">
        <v>2470</v>
      </c>
      <c r="AW1279" t="s">
        <v>3250</v>
      </c>
      <c r="AX1279" t="s">
        <v>3250</v>
      </c>
      <c r="AY1279" t="s">
        <v>3250</v>
      </c>
      <c r="AZ1279" t="s">
        <v>3250</v>
      </c>
      <c r="BA1279" t="s">
        <v>3250</v>
      </c>
      <c r="BB1279" t="s">
        <v>3250</v>
      </c>
      <c r="BC1279" t="s">
        <v>3250</v>
      </c>
      <c r="BE1279" t="s">
        <v>3250</v>
      </c>
      <c r="BF1279" t="s">
        <v>3250</v>
      </c>
      <c r="BG1279" t="s">
        <v>3250</v>
      </c>
      <c r="BH1279" t="s">
        <v>3250</v>
      </c>
      <c r="BI1279" t="s">
        <v>3250</v>
      </c>
      <c r="BK1279" t="s">
        <v>3250</v>
      </c>
      <c r="BL1279" t="s">
        <v>3250</v>
      </c>
      <c r="BM1279" t="s">
        <v>3250</v>
      </c>
      <c r="BN1279" t="s">
        <v>3250</v>
      </c>
      <c r="BP1279">
        <v>1</v>
      </c>
      <c r="BQ1279">
        <v>13</v>
      </c>
      <c r="BR1279" t="s">
        <v>2371</v>
      </c>
      <c r="BS1279" t="s">
        <v>3252</v>
      </c>
      <c r="BV1279">
        <v>0</v>
      </c>
      <c r="BW1279">
        <v>0</v>
      </c>
      <c r="BX1279">
        <v>0</v>
      </c>
      <c r="BY1279">
        <v>0</v>
      </c>
      <c r="BZ1279">
        <v>0</v>
      </c>
      <c r="CA1279">
        <v>0</v>
      </c>
      <c r="CB1279">
        <v>0</v>
      </c>
      <c r="CC1279">
        <v>0</v>
      </c>
      <c r="CD1279">
        <v>0</v>
      </c>
      <c r="CE1279" t="s">
        <v>3108</v>
      </c>
      <c r="CF1279" t="s">
        <v>3108</v>
      </c>
      <c r="CG1279" t="s">
        <v>3108</v>
      </c>
      <c r="CH1279" t="s">
        <v>3108</v>
      </c>
    </row>
    <row r="1280" spans="1:86" x14ac:dyDescent="0.2">
      <c r="A1280" t="s">
        <v>5142</v>
      </c>
      <c r="B1280" t="s">
        <v>5142</v>
      </c>
      <c r="C1280">
        <v>41758</v>
      </c>
      <c r="D1280">
        <v>1402</v>
      </c>
      <c r="E1280" t="s">
        <v>5143</v>
      </c>
      <c r="F1280" t="s">
        <v>3249</v>
      </c>
      <c r="G1280" t="s">
        <v>3249</v>
      </c>
      <c r="H1280" t="s">
        <v>3250</v>
      </c>
      <c r="I1280" t="s">
        <v>3250</v>
      </c>
      <c r="J1280" t="s">
        <v>3250</v>
      </c>
      <c r="K1280" t="s">
        <v>3250</v>
      </c>
      <c r="L1280">
        <v>1200</v>
      </c>
      <c r="M1280" t="s">
        <v>2368</v>
      </c>
      <c r="N1280">
        <v>1202</v>
      </c>
      <c r="O1280" t="s">
        <v>2371</v>
      </c>
      <c r="P1280" t="s">
        <v>2805</v>
      </c>
      <c r="Q1280">
        <v>2080</v>
      </c>
      <c r="R1280" t="s">
        <v>423</v>
      </c>
      <c r="S1280" t="s">
        <v>427</v>
      </c>
      <c r="T1280" t="s">
        <v>3251</v>
      </c>
      <c r="U1280">
        <v>240</v>
      </c>
      <c r="V1280" t="s">
        <v>4251</v>
      </c>
      <c r="W1280">
        <v>240</v>
      </c>
      <c r="X1280" t="s">
        <v>1323</v>
      </c>
      <c r="Y1280" t="s">
        <v>3250</v>
      </c>
      <c r="Z1280" t="s">
        <v>3250</v>
      </c>
      <c r="AA1280" t="s">
        <v>3108</v>
      </c>
      <c r="AB1280" t="s">
        <v>3108</v>
      </c>
      <c r="AC1280" t="s">
        <v>3250</v>
      </c>
      <c r="AD1280" t="s">
        <v>3250</v>
      </c>
      <c r="AE1280" t="s">
        <v>3250</v>
      </c>
      <c r="AF1280" t="s">
        <v>3250</v>
      </c>
      <c r="AG1280">
        <v>1550</v>
      </c>
      <c r="AH1280" t="s">
        <v>2470</v>
      </c>
      <c r="AI1280">
        <v>1550</v>
      </c>
      <c r="AJ1280" t="s">
        <v>2470</v>
      </c>
      <c r="AL1280">
        <v>241</v>
      </c>
      <c r="AM1280" t="s">
        <v>1455</v>
      </c>
      <c r="AN1280">
        <v>241</v>
      </c>
      <c r="AO1280" t="s">
        <v>1455</v>
      </c>
      <c r="AS1280">
        <v>1550</v>
      </c>
      <c r="AT1280">
        <v>1550</v>
      </c>
      <c r="AU1280" t="s">
        <v>2470</v>
      </c>
      <c r="AV1280" t="s">
        <v>2470</v>
      </c>
      <c r="AW1280" t="s">
        <v>3250</v>
      </c>
      <c r="AX1280" t="s">
        <v>3250</v>
      </c>
      <c r="AY1280" t="s">
        <v>3250</v>
      </c>
      <c r="AZ1280" t="s">
        <v>3250</v>
      </c>
      <c r="BA1280" t="s">
        <v>3250</v>
      </c>
      <c r="BB1280" t="s">
        <v>3250</v>
      </c>
      <c r="BC1280" t="s">
        <v>3250</v>
      </c>
      <c r="BE1280" t="s">
        <v>3250</v>
      </c>
      <c r="BF1280" t="s">
        <v>3250</v>
      </c>
      <c r="BG1280" t="s">
        <v>3250</v>
      </c>
      <c r="BH1280" t="s">
        <v>3250</v>
      </c>
      <c r="BI1280" t="s">
        <v>3250</v>
      </c>
      <c r="BK1280" t="s">
        <v>3250</v>
      </c>
      <c r="BL1280" t="s">
        <v>3250</v>
      </c>
      <c r="BM1280" t="s">
        <v>3250</v>
      </c>
      <c r="BN1280" t="s">
        <v>3250</v>
      </c>
      <c r="BP1280">
        <v>1</v>
      </c>
      <c r="BQ1280">
        <v>13</v>
      </c>
      <c r="BR1280" t="s">
        <v>2371</v>
      </c>
      <c r="BS1280" t="s">
        <v>3252</v>
      </c>
      <c r="BV1280">
        <v>10405000</v>
      </c>
      <c r="BW1280">
        <v>9711600</v>
      </c>
      <c r="BX1280">
        <v>4523600</v>
      </c>
      <c r="BY1280">
        <v>0</v>
      </c>
      <c r="BZ1280">
        <v>0</v>
      </c>
      <c r="CA1280">
        <v>0</v>
      </c>
      <c r="CB1280">
        <v>0</v>
      </c>
      <c r="CC1280">
        <v>0</v>
      </c>
      <c r="CD1280">
        <v>10405000</v>
      </c>
      <c r="CE1280" t="s">
        <v>3108</v>
      </c>
      <c r="CF1280" t="s">
        <v>3108</v>
      </c>
      <c r="CG1280" t="s">
        <v>3108</v>
      </c>
      <c r="CH1280" t="s">
        <v>3108</v>
      </c>
    </row>
    <row r="1281" spans="1:86" x14ac:dyDescent="0.2">
      <c r="A1281" t="s">
        <v>5144</v>
      </c>
      <c r="B1281" t="s">
        <v>5144</v>
      </c>
      <c r="C1281">
        <v>41759</v>
      </c>
      <c r="D1281">
        <v>1403</v>
      </c>
      <c r="E1281" t="s">
        <v>4832</v>
      </c>
      <c r="F1281" t="s">
        <v>3249</v>
      </c>
      <c r="G1281" t="s">
        <v>3249</v>
      </c>
      <c r="H1281" t="s">
        <v>3250</v>
      </c>
      <c r="I1281" t="s">
        <v>3250</v>
      </c>
      <c r="J1281" t="s">
        <v>3250</v>
      </c>
      <c r="K1281" t="s">
        <v>3250</v>
      </c>
      <c r="L1281">
        <v>1200</v>
      </c>
      <c r="M1281" t="s">
        <v>2368</v>
      </c>
      <c r="N1281">
        <v>1202</v>
      </c>
      <c r="O1281" t="s">
        <v>2371</v>
      </c>
      <c r="P1281" t="s">
        <v>3108</v>
      </c>
      <c r="Q1281">
        <v>2080</v>
      </c>
      <c r="R1281" t="s">
        <v>423</v>
      </c>
      <c r="S1281" t="s">
        <v>427</v>
      </c>
      <c r="T1281" t="s">
        <v>3251</v>
      </c>
      <c r="U1281">
        <v>240</v>
      </c>
      <c r="V1281" t="s">
        <v>4251</v>
      </c>
      <c r="W1281">
        <v>240</v>
      </c>
      <c r="X1281" t="s">
        <v>1323</v>
      </c>
      <c r="Y1281" t="s">
        <v>3250</v>
      </c>
      <c r="Z1281" t="s">
        <v>3250</v>
      </c>
      <c r="AA1281" t="s">
        <v>3108</v>
      </c>
      <c r="AB1281" t="s">
        <v>3108</v>
      </c>
      <c r="AC1281" t="s">
        <v>3250</v>
      </c>
      <c r="AD1281" t="s">
        <v>3250</v>
      </c>
      <c r="AE1281" t="s">
        <v>3250</v>
      </c>
      <c r="AF1281" t="s">
        <v>3250</v>
      </c>
      <c r="AG1281">
        <v>1180</v>
      </c>
      <c r="AH1281" t="s">
        <v>1738</v>
      </c>
      <c r="AI1281">
        <v>1180</v>
      </c>
      <c r="AJ1281" t="s">
        <v>1738</v>
      </c>
      <c r="AL1281">
        <v>243</v>
      </c>
      <c r="AM1281" t="s">
        <v>700</v>
      </c>
      <c r="AN1281">
        <v>243</v>
      </c>
      <c r="AO1281" t="s">
        <v>700</v>
      </c>
      <c r="AS1281">
        <v>1490</v>
      </c>
      <c r="AT1281">
        <v>1490</v>
      </c>
      <c r="AU1281" t="s">
        <v>2333</v>
      </c>
      <c r="AV1281" t="s">
        <v>2333</v>
      </c>
      <c r="AW1281" t="s">
        <v>3250</v>
      </c>
      <c r="AX1281" t="s">
        <v>3250</v>
      </c>
      <c r="AY1281" t="s">
        <v>3250</v>
      </c>
      <c r="AZ1281" t="s">
        <v>3250</v>
      </c>
      <c r="BA1281" t="s">
        <v>3250</v>
      </c>
      <c r="BB1281" t="s">
        <v>3250</v>
      </c>
      <c r="BC1281" t="s">
        <v>3250</v>
      </c>
      <c r="BE1281" t="s">
        <v>3250</v>
      </c>
      <c r="BF1281" t="s">
        <v>3250</v>
      </c>
      <c r="BG1281" t="s">
        <v>3250</v>
      </c>
      <c r="BH1281" t="s">
        <v>3250</v>
      </c>
      <c r="BI1281" t="s">
        <v>3250</v>
      </c>
      <c r="BK1281" t="s">
        <v>3250</v>
      </c>
      <c r="BL1281" t="s">
        <v>3250</v>
      </c>
      <c r="BM1281" t="s">
        <v>3250</v>
      </c>
      <c r="BN1281" t="s">
        <v>3250</v>
      </c>
      <c r="BP1281">
        <v>1</v>
      </c>
      <c r="BQ1281">
        <v>13</v>
      </c>
      <c r="BR1281" t="s">
        <v>2371</v>
      </c>
      <c r="BS1281" t="s">
        <v>3252</v>
      </c>
      <c r="BV1281">
        <v>-733751</v>
      </c>
      <c r="BW1281">
        <v>-4587188</v>
      </c>
      <c r="BX1281">
        <v>-4090227</v>
      </c>
      <c r="BY1281">
        <v>0</v>
      </c>
      <c r="BZ1281">
        <v>0</v>
      </c>
      <c r="CA1281">
        <v>0</v>
      </c>
      <c r="CB1281">
        <v>0</v>
      </c>
      <c r="CC1281">
        <v>0</v>
      </c>
      <c r="CD1281">
        <v>-832416</v>
      </c>
      <c r="CE1281" t="s">
        <v>3108</v>
      </c>
      <c r="CF1281" t="s">
        <v>3108</v>
      </c>
      <c r="CG1281" t="s">
        <v>3108</v>
      </c>
      <c r="CH1281" t="s">
        <v>3108</v>
      </c>
    </row>
    <row r="1282" spans="1:86" x14ac:dyDescent="0.2">
      <c r="A1282" t="s">
        <v>5145</v>
      </c>
      <c r="B1282" t="s">
        <v>5145</v>
      </c>
      <c r="C1282">
        <v>41760</v>
      </c>
      <c r="D1282">
        <v>1404</v>
      </c>
      <c r="E1282" t="s">
        <v>4834</v>
      </c>
      <c r="F1282" t="s">
        <v>3249</v>
      </c>
      <c r="G1282" t="s">
        <v>3249</v>
      </c>
      <c r="H1282" t="s">
        <v>3250</v>
      </c>
      <c r="I1282" t="s">
        <v>3250</v>
      </c>
      <c r="J1282" t="s">
        <v>3250</v>
      </c>
      <c r="K1282" t="s">
        <v>3250</v>
      </c>
      <c r="L1282">
        <v>1200</v>
      </c>
      <c r="M1282" t="s">
        <v>2368</v>
      </c>
      <c r="N1282">
        <v>1202</v>
      </c>
      <c r="O1282" t="s">
        <v>2371</v>
      </c>
      <c r="P1282" t="s">
        <v>3108</v>
      </c>
      <c r="Q1282">
        <v>2080</v>
      </c>
      <c r="R1282" t="s">
        <v>423</v>
      </c>
      <c r="S1282" t="s">
        <v>427</v>
      </c>
      <c r="T1282" t="s">
        <v>3251</v>
      </c>
      <c r="U1282">
        <v>240</v>
      </c>
      <c r="V1282" t="s">
        <v>4251</v>
      </c>
      <c r="W1282">
        <v>240</v>
      </c>
      <c r="X1282" t="s">
        <v>1323</v>
      </c>
      <c r="Y1282" t="s">
        <v>3250</v>
      </c>
      <c r="Z1282" t="s">
        <v>3250</v>
      </c>
      <c r="AA1282" t="s">
        <v>3108</v>
      </c>
      <c r="AB1282" t="s">
        <v>3108</v>
      </c>
      <c r="AC1282" t="s">
        <v>3250</v>
      </c>
      <c r="AD1282" t="s">
        <v>3250</v>
      </c>
      <c r="AE1282" t="s">
        <v>3250</v>
      </c>
      <c r="AF1282" t="s">
        <v>3250</v>
      </c>
      <c r="AG1282">
        <v>1180</v>
      </c>
      <c r="AH1282" t="s">
        <v>1738</v>
      </c>
      <c r="AI1282">
        <v>1180</v>
      </c>
      <c r="AJ1282" t="s">
        <v>1738</v>
      </c>
      <c r="AL1282">
        <v>241</v>
      </c>
      <c r="AM1282" t="s">
        <v>1455</v>
      </c>
      <c r="AN1282">
        <v>241</v>
      </c>
      <c r="AO1282" t="s">
        <v>1455</v>
      </c>
      <c r="AS1282">
        <v>1490</v>
      </c>
      <c r="AT1282">
        <v>1490</v>
      </c>
      <c r="AU1282" t="s">
        <v>2333</v>
      </c>
      <c r="AV1282" t="s">
        <v>2333</v>
      </c>
      <c r="AW1282" t="s">
        <v>3250</v>
      </c>
      <c r="AX1282" t="s">
        <v>3250</v>
      </c>
      <c r="AY1282" t="s">
        <v>3250</v>
      </c>
      <c r="AZ1282" t="s">
        <v>3250</v>
      </c>
      <c r="BA1282" t="s">
        <v>3250</v>
      </c>
      <c r="BB1282" t="s">
        <v>3250</v>
      </c>
      <c r="BC1282" t="s">
        <v>3250</v>
      </c>
      <c r="BE1282" t="s">
        <v>3250</v>
      </c>
      <c r="BF1282" t="s">
        <v>3250</v>
      </c>
      <c r="BG1282" t="s">
        <v>3250</v>
      </c>
      <c r="BH1282" t="s">
        <v>3250</v>
      </c>
      <c r="BI1282" t="s">
        <v>3250</v>
      </c>
      <c r="BK1282" t="s">
        <v>3250</v>
      </c>
      <c r="BL1282" t="s">
        <v>3250</v>
      </c>
      <c r="BM1282" t="s">
        <v>3250</v>
      </c>
      <c r="BN1282" t="s">
        <v>3250</v>
      </c>
      <c r="BP1282">
        <v>1</v>
      </c>
      <c r="BQ1282">
        <v>13</v>
      </c>
      <c r="BR1282" t="s">
        <v>2371</v>
      </c>
      <c r="BS1282" t="s">
        <v>3252</v>
      </c>
      <c r="BV1282">
        <v>0</v>
      </c>
      <c r="BW1282">
        <v>0</v>
      </c>
      <c r="BX1282">
        <v>0</v>
      </c>
      <c r="BY1282">
        <v>0</v>
      </c>
      <c r="BZ1282">
        <v>0</v>
      </c>
      <c r="CA1282">
        <v>0</v>
      </c>
      <c r="CB1282">
        <v>0</v>
      </c>
      <c r="CC1282">
        <v>0</v>
      </c>
      <c r="CD1282">
        <v>0</v>
      </c>
      <c r="CE1282" t="s">
        <v>3108</v>
      </c>
      <c r="CF1282" t="s">
        <v>3108</v>
      </c>
      <c r="CG1282" t="s">
        <v>3108</v>
      </c>
      <c r="CH1282" t="s">
        <v>3108</v>
      </c>
    </row>
    <row r="1283" spans="1:86" x14ac:dyDescent="0.2">
      <c r="A1283" t="s">
        <v>5146</v>
      </c>
      <c r="B1283" t="s">
        <v>5146</v>
      </c>
      <c r="C1283">
        <v>41761</v>
      </c>
      <c r="D1283">
        <v>1405</v>
      </c>
      <c r="E1283" t="s">
        <v>4836</v>
      </c>
      <c r="F1283" t="s">
        <v>3249</v>
      </c>
      <c r="G1283" t="s">
        <v>3249</v>
      </c>
      <c r="H1283" t="s">
        <v>3250</v>
      </c>
      <c r="I1283" t="s">
        <v>3250</v>
      </c>
      <c r="J1283" t="s">
        <v>3250</v>
      </c>
      <c r="K1283" t="s">
        <v>3250</v>
      </c>
      <c r="L1283">
        <v>1200</v>
      </c>
      <c r="M1283" t="s">
        <v>2368</v>
      </c>
      <c r="N1283">
        <v>1202</v>
      </c>
      <c r="O1283" t="s">
        <v>2371</v>
      </c>
      <c r="P1283" t="s">
        <v>2805</v>
      </c>
      <c r="Q1283">
        <v>2080</v>
      </c>
      <c r="R1283" t="s">
        <v>423</v>
      </c>
      <c r="S1283" t="s">
        <v>427</v>
      </c>
      <c r="T1283" t="s">
        <v>3251</v>
      </c>
      <c r="U1283">
        <v>240</v>
      </c>
      <c r="V1283" t="s">
        <v>4251</v>
      </c>
      <c r="W1283">
        <v>240</v>
      </c>
      <c r="X1283" t="s">
        <v>1323</v>
      </c>
      <c r="Y1283" t="s">
        <v>3250</v>
      </c>
      <c r="Z1283" t="s">
        <v>3250</v>
      </c>
      <c r="AA1283" t="s">
        <v>3108</v>
      </c>
      <c r="AB1283" t="s">
        <v>3108</v>
      </c>
      <c r="AC1283" t="s">
        <v>3250</v>
      </c>
      <c r="AD1283" t="s">
        <v>3250</v>
      </c>
      <c r="AE1283" t="s">
        <v>3250</v>
      </c>
      <c r="AF1283" t="s">
        <v>3250</v>
      </c>
      <c r="AG1283">
        <v>1180</v>
      </c>
      <c r="AH1283" t="s">
        <v>1738</v>
      </c>
      <c r="AI1283">
        <v>1180</v>
      </c>
      <c r="AJ1283" t="s">
        <v>1738</v>
      </c>
      <c r="AL1283">
        <v>241</v>
      </c>
      <c r="AM1283" t="s">
        <v>1455</v>
      </c>
      <c r="AN1283">
        <v>241</v>
      </c>
      <c r="AO1283" t="s">
        <v>1455</v>
      </c>
      <c r="AS1283">
        <v>1490</v>
      </c>
      <c r="AT1283">
        <v>1490</v>
      </c>
      <c r="AU1283" t="s">
        <v>2333</v>
      </c>
      <c r="AV1283" t="s">
        <v>2333</v>
      </c>
      <c r="AW1283" t="s">
        <v>3250</v>
      </c>
      <c r="AX1283" t="s">
        <v>3250</v>
      </c>
      <c r="AY1283" t="s">
        <v>3250</v>
      </c>
      <c r="AZ1283" t="s">
        <v>3250</v>
      </c>
      <c r="BA1283" t="s">
        <v>3250</v>
      </c>
      <c r="BB1283" t="s">
        <v>3250</v>
      </c>
      <c r="BC1283" t="s">
        <v>3250</v>
      </c>
      <c r="BE1283" t="s">
        <v>3250</v>
      </c>
      <c r="BF1283" t="s">
        <v>3250</v>
      </c>
      <c r="BG1283" t="s">
        <v>3250</v>
      </c>
      <c r="BH1283" t="s">
        <v>3250</v>
      </c>
      <c r="BI1283" t="s">
        <v>3250</v>
      </c>
      <c r="BK1283" t="s">
        <v>3250</v>
      </c>
      <c r="BL1283" t="s">
        <v>3250</v>
      </c>
      <c r="BM1283" t="s">
        <v>3250</v>
      </c>
      <c r="BN1283" t="s">
        <v>3250</v>
      </c>
      <c r="BP1283">
        <v>1</v>
      </c>
      <c r="BQ1283">
        <v>13</v>
      </c>
      <c r="BR1283" t="s">
        <v>2371</v>
      </c>
      <c r="BS1283" t="s">
        <v>3252</v>
      </c>
      <c r="BV1283">
        <v>4771066</v>
      </c>
      <c r="BW1283">
        <v>4516400</v>
      </c>
      <c r="BX1283">
        <v>6507900</v>
      </c>
      <c r="BY1283">
        <v>0</v>
      </c>
      <c r="BZ1283">
        <v>0</v>
      </c>
      <c r="CA1283">
        <v>0</v>
      </c>
      <c r="CB1283">
        <v>0</v>
      </c>
      <c r="CC1283">
        <v>0</v>
      </c>
      <c r="CD1283">
        <v>4771066</v>
      </c>
      <c r="CE1283" t="s">
        <v>3108</v>
      </c>
      <c r="CF1283" t="s">
        <v>3108</v>
      </c>
      <c r="CG1283" t="s">
        <v>3108</v>
      </c>
      <c r="CH1283" t="s">
        <v>3108</v>
      </c>
    </row>
    <row r="1284" spans="1:86" x14ac:dyDescent="0.2">
      <c r="A1284" t="s">
        <v>5147</v>
      </c>
      <c r="B1284" t="s">
        <v>5147</v>
      </c>
      <c r="C1284">
        <v>41762</v>
      </c>
      <c r="D1284">
        <v>1406</v>
      </c>
      <c r="E1284" t="s">
        <v>4828</v>
      </c>
      <c r="F1284" t="s">
        <v>3249</v>
      </c>
      <c r="G1284" t="s">
        <v>3249</v>
      </c>
      <c r="H1284" t="s">
        <v>3250</v>
      </c>
      <c r="I1284" t="s">
        <v>3250</v>
      </c>
      <c r="J1284" t="s">
        <v>3250</v>
      </c>
      <c r="K1284" t="s">
        <v>3250</v>
      </c>
      <c r="L1284">
        <v>1200</v>
      </c>
      <c r="M1284" t="s">
        <v>2368</v>
      </c>
      <c r="N1284">
        <v>1202</v>
      </c>
      <c r="O1284" t="s">
        <v>2371</v>
      </c>
      <c r="P1284" t="s">
        <v>3108</v>
      </c>
      <c r="Q1284">
        <v>2080</v>
      </c>
      <c r="R1284" t="s">
        <v>423</v>
      </c>
      <c r="S1284" t="s">
        <v>427</v>
      </c>
      <c r="T1284" t="s">
        <v>3251</v>
      </c>
      <c r="U1284">
        <v>270</v>
      </c>
      <c r="V1284" t="s">
        <v>4826</v>
      </c>
      <c r="W1284">
        <v>270</v>
      </c>
      <c r="X1284" t="s">
        <v>814</v>
      </c>
      <c r="Y1284" t="s">
        <v>3250</v>
      </c>
      <c r="Z1284" t="s">
        <v>3250</v>
      </c>
      <c r="AA1284" t="s">
        <v>3108</v>
      </c>
      <c r="AB1284" t="s">
        <v>3108</v>
      </c>
      <c r="AC1284" t="s">
        <v>3250</v>
      </c>
      <c r="AD1284" t="s">
        <v>3250</v>
      </c>
      <c r="AE1284" t="s">
        <v>3250</v>
      </c>
      <c r="AF1284" t="s">
        <v>3250</v>
      </c>
      <c r="AG1284">
        <v>1370</v>
      </c>
      <c r="AH1284" t="s">
        <v>2325</v>
      </c>
      <c r="AI1284">
        <v>1370</v>
      </c>
      <c r="AJ1284" t="s">
        <v>2325</v>
      </c>
      <c r="AL1284" t="s">
        <v>3250</v>
      </c>
      <c r="AM1284" t="s">
        <v>3250</v>
      </c>
      <c r="AN1284" t="s">
        <v>3250</v>
      </c>
      <c r="AO1284" t="s">
        <v>3250</v>
      </c>
      <c r="AS1284">
        <v>1430</v>
      </c>
      <c r="AT1284">
        <v>1430</v>
      </c>
      <c r="AU1284" t="s">
        <v>2329</v>
      </c>
      <c r="AV1284" t="s">
        <v>2329</v>
      </c>
      <c r="AW1284" t="s">
        <v>3250</v>
      </c>
      <c r="AX1284" t="s">
        <v>3250</v>
      </c>
      <c r="AY1284" t="s">
        <v>3250</v>
      </c>
      <c r="AZ1284" t="s">
        <v>3250</v>
      </c>
      <c r="BA1284" t="s">
        <v>3250</v>
      </c>
      <c r="BB1284" t="s">
        <v>3250</v>
      </c>
      <c r="BC1284" t="s">
        <v>3250</v>
      </c>
      <c r="BE1284" t="s">
        <v>3250</v>
      </c>
      <c r="BF1284" t="s">
        <v>3250</v>
      </c>
      <c r="BG1284" t="s">
        <v>3250</v>
      </c>
      <c r="BH1284" t="s">
        <v>3250</v>
      </c>
      <c r="BI1284" t="s">
        <v>3250</v>
      </c>
      <c r="BK1284" t="s">
        <v>3250</v>
      </c>
      <c r="BL1284" t="s">
        <v>3250</v>
      </c>
      <c r="BM1284" t="s">
        <v>3250</v>
      </c>
      <c r="BN1284" t="s">
        <v>3250</v>
      </c>
      <c r="BP1284">
        <v>1</v>
      </c>
      <c r="BQ1284">
        <v>13</v>
      </c>
      <c r="BR1284" t="s">
        <v>2371</v>
      </c>
      <c r="BS1284" t="s">
        <v>3252</v>
      </c>
      <c r="BV1284">
        <v>-895019</v>
      </c>
      <c r="BW1284">
        <v>-673301</v>
      </c>
      <c r="BX1284">
        <v>-476011</v>
      </c>
      <c r="BY1284">
        <v>0</v>
      </c>
      <c r="BZ1284">
        <v>0</v>
      </c>
      <c r="CA1284">
        <v>0</v>
      </c>
      <c r="CB1284">
        <v>0</v>
      </c>
      <c r="CC1284">
        <v>0</v>
      </c>
      <c r="CD1284">
        <v>-1097197</v>
      </c>
      <c r="CE1284" t="s">
        <v>3108</v>
      </c>
      <c r="CF1284" t="s">
        <v>3108</v>
      </c>
      <c r="CG1284" t="s">
        <v>3108</v>
      </c>
      <c r="CH1284" t="s">
        <v>3108</v>
      </c>
    </row>
    <row r="1285" spans="1:86" x14ac:dyDescent="0.2">
      <c r="A1285" t="s">
        <v>5148</v>
      </c>
      <c r="B1285" t="s">
        <v>5148</v>
      </c>
      <c r="C1285">
        <v>41763</v>
      </c>
      <c r="D1285">
        <v>1407</v>
      </c>
      <c r="E1285" t="s">
        <v>4830</v>
      </c>
      <c r="F1285" t="s">
        <v>3249</v>
      </c>
      <c r="G1285" t="s">
        <v>3249</v>
      </c>
      <c r="H1285" t="s">
        <v>3250</v>
      </c>
      <c r="I1285" t="s">
        <v>3250</v>
      </c>
      <c r="J1285" t="s">
        <v>3250</v>
      </c>
      <c r="K1285" t="s">
        <v>3250</v>
      </c>
      <c r="L1285">
        <v>1200</v>
      </c>
      <c r="M1285" t="s">
        <v>2368</v>
      </c>
      <c r="N1285">
        <v>1202</v>
      </c>
      <c r="O1285" t="s">
        <v>2371</v>
      </c>
      <c r="P1285" t="s">
        <v>2805</v>
      </c>
      <c r="Q1285">
        <v>2080</v>
      </c>
      <c r="R1285" t="s">
        <v>423</v>
      </c>
      <c r="S1285" t="s">
        <v>427</v>
      </c>
      <c r="T1285" t="s">
        <v>3251</v>
      </c>
      <c r="U1285">
        <v>270</v>
      </c>
      <c r="V1285" t="s">
        <v>4826</v>
      </c>
      <c r="W1285">
        <v>270</v>
      </c>
      <c r="X1285" t="s">
        <v>814</v>
      </c>
      <c r="Y1285" t="s">
        <v>3250</v>
      </c>
      <c r="Z1285" t="s">
        <v>3250</v>
      </c>
      <c r="AA1285" t="s">
        <v>3108</v>
      </c>
      <c r="AB1285" t="s">
        <v>3108</v>
      </c>
      <c r="AC1285" t="s">
        <v>3250</v>
      </c>
      <c r="AD1285" t="s">
        <v>3250</v>
      </c>
      <c r="AE1285" t="s">
        <v>3250</v>
      </c>
      <c r="AF1285" t="s">
        <v>3250</v>
      </c>
      <c r="AG1285">
        <v>1370</v>
      </c>
      <c r="AH1285" t="s">
        <v>2325</v>
      </c>
      <c r="AI1285">
        <v>1370</v>
      </c>
      <c r="AJ1285" t="s">
        <v>2325</v>
      </c>
      <c r="AL1285" t="s">
        <v>3250</v>
      </c>
      <c r="AM1285" t="s">
        <v>3250</v>
      </c>
      <c r="AN1285" t="s">
        <v>3250</v>
      </c>
      <c r="AO1285" t="s">
        <v>3250</v>
      </c>
      <c r="AS1285">
        <v>1430</v>
      </c>
      <c r="AT1285">
        <v>1430</v>
      </c>
      <c r="AU1285" t="s">
        <v>2329</v>
      </c>
      <c r="AV1285" t="s">
        <v>2329</v>
      </c>
      <c r="AW1285" t="s">
        <v>3250</v>
      </c>
      <c r="AX1285" t="s">
        <v>3250</v>
      </c>
      <c r="AY1285" t="s">
        <v>3250</v>
      </c>
      <c r="AZ1285" t="s">
        <v>3250</v>
      </c>
      <c r="BA1285" t="s">
        <v>3250</v>
      </c>
      <c r="BB1285" t="s">
        <v>3250</v>
      </c>
      <c r="BC1285" t="s">
        <v>3250</v>
      </c>
      <c r="BE1285" t="s">
        <v>3250</v>
      </c>
      <c r="BF1285" t="s">
        <v>3250</v>
      </c>
      <c r="BG1285" t="s">
        <v>3250</v>
      </c>
      <c r="BH1285" t="s">
        <v>3250</v>
      </c>
      <c r="BI1285" t="s">
        <v>3250</v>
      </c>
      <c r="BK1285" t="s">
        <v>3250</v>
      </c>
      <c r="BL1285" t="s">
        <v>3250</v>
      </c>
      <c r="BM1285" t="s">
        <v>3250</v>
      </c>
      <c r="BN1285" t="s">
        <v>3250</v>
      </c>
      <c r="BP1285">
        <v>1</v>
      </c>
      <c r="BQ1285">
        <v>13</v>
      </c>
      <c r="BR1285" t="s">
        <v>2371</v>
      </c>
      <c r="BS1285" t="s">
        <v>3252</v>
      </c>
      <c r="BV1285">
        <v>1383449</v>
      </c>
      <c r="BW1285">
        <v>1082624</v>
      </c>
      <c r="BX1285">
        <v>1082624</v>
      </c>
      <c r="BY1285">
        <v>0</v>
      </c>
      <c r="BZ1285">
        <v>0</v>
      </c>
      <c r="CA1285">
        <v>0</v>
      </c>
      <c r="CB1285">
        <v>0</v>
      </c>
      <c r="CC1285">
        <v>0</v>
      </c>
      <c r="CD1285">
        <v>1383449</v>
      </c>
      <c r="CE1285" t="s">
        <v>3108</v>
      </c>
      <c r="CF1285" t="s">
        <v>3108</v>
      </c>
      <c r="CG1285" t="s">
        <v>3108</v>
      </c>
      <c r="CH1285" t="s">
        <v>3108</v>
      </c>
    </row>
    <row r="1286" spans="1:86" x14ac:dyDescent="0.2">
      <c r="A1286" t="s">
        <v>5149</v>
      </c>
      <c r="B1286" t="s">
        <v>5149</v>
      </c>
      <c r="C1286">
        <v>41764</v>
      </c>
      <c r="D1286">
        <v>1408</v>
      </c>
      <c r="E1286" t="s">
        <v>4842</v>
      </c>
      <c r="F1286" t="s">
        <v>3249</v>
      </c>
      <c r="G1286" t="s">
        <v>3249</v>
      </c>
      <c r="H1286" t="s">
        <v>3250</v>
      </c>
      <c r="I1286" t="s">
        <v>3250</v>
      </c>
      <c r="J1286" t="s">
        <v>3250</v>
      </c>
      <c r="K1286" t="s">
        <v>3250</v>
      </c>
      <c r="L1286">
        <v>3100</v>
      </c>
      <c r="M1286" t="s">
        <v>127</v>
      </c>
      <c r="N1286">
        <v>3107</v>
      </c>
      <c r="O1286" t="s">
        <v>2418</v>
      </c>
      <c r="P1286" t="s">
        <v>2805</v>
      </c>
      <c r="Q1286">
        <v>2010</v>
      </c>
      <c r="R1286" t="s">
        <v>1355</v>
      </c>
      <c r="S1286" t="s">
        <v>427</v>
      </c>
      <c r="T1286" t="s">
        <v>3251</v>
      </c>
      <c r="U1286">
        <v>240</v>
      </c>
      <c r="V1286" t="s">
        <v>4251</v>
      </c>
      <c r="W1286">
        <v>240</v>
      </c>
      <c r="X1286" t="s">
        <v>1323</v>
      </c>
      <c r="Y1286" t="s">
        <v>3250</v>
      </c>
      <c r="Z1286" t="s">
        <v>3250</v>
      </c>
      <c r="AA1286" t="s">
        <v>3108</v>
      </c>
      <c r="AB1286" t="s">
        <v>3108</v>
      </c>
      <c r="AC1286" t="s">
        <v>3250</v>
      </c>
      <c r="AD1286" t="s">
        <v>3250</v>
      </c>
      <c r="AE1286" t="s">
        <v>3250</v>
      </c>
      <c r="AF1286" t="s">
        <v>3250</v>
      </c>
      <c r="AG1286">
        <v>770</v>
      </c>
      <c r="AH1286" t="s">
        <v>2282</v>
      </c>
      <c r="AI1286">
        <v>770</v>
      </c>
      <c r="AJ1286" t="s">
        <v>2282</v>
      </c>
      <c r="AL1286">
        <v>241</v>
      </c>
      <c r="AM1286" t="s">
        <v>1455</v>
      </c>
      <c r="AN1286">
        <v>241</v>
      </c>
      <c r="AO1286" t="s">
        <v>1455</v>
      </c>
      <c r="AS1286">
        <v>810</v>
      </c>
      <c r="AT1286">
        <v>810</v>
      </c>
      <c r="AU1286" t="s">
        <v>2286</v>
      </c>
      <c r="AV1286" t="s">
        <v>2286</v>
      </c>
      <c r="AW1286" t="s">
        <v>3250</v>
      </c>
      <c r="AX1286" t="s">
        <v>3250</v>
      </c>
      <c r="AY1286" t="s">
        <v>3250</v>
      </c>
      <c r="AZ1286" t="s">
        <v>3250</v>
      </c>
      <c r="BA1286" t="s">
        <v>3250</v>
      </c>
      <c r="BB1286" t="s">
        <v>3250</v>
      </c>
      <c r="BC1286" t="s">
        <v>3250</v>
      </c>
      <c r="BE1286" t="s">
        <v>3250</v>
      </c>
      <c r="BF1286" t="s">
        <v>3250</v>
      </c>
      <c r="BG1286" t="s">
        <v>3250</v>
      </c>
      <c r="BH1286" t="s">
        <v>3250</v>
      </c>
      <c r="BI1286" t="s">
        <v>3250</v>
      </c>
      <c r="BK1286" t="s">
        <v>3250</v>
      </c>
      <c r="BL1286" t="s">
        <v>3250</v>
      </c>
      <c r="BM1286" t="s">
        <v>3250</v>
      </c>
      <c r="BN1286" t="s">
        <v>3250</v>
      </c>
      <c r="BP1286">
        <v>8</v>
      </c>
      <c r="BQ1286">
        <v>81</v>
      </c>
      <c r="BR1286" t="s">
        <v>2418</v>
      </c>
      <c r="BS1286" t="s">
        <v>4013</v>
      </c>
      <c r="BV1286">
        <v>96606302</v>
      </c>
      <c r="BW1286">
        <v>90719296</v>
      </c>
      <c r="BX1286">
        <v>69537780</v>
      </c>
      <c r="BY1286">
        <v>0</v>
      </c>
      <c r="BZ1286">
        <v>0</v>
      </c>
      <c r="CA1286">
        <v>0</v>
      </c>
      <c r="CB1286">
        <v>0</v>
      </c>
      <c r="CC1286">
        <v>0</v>
      </c>
      <c r="CD1286">
        <v>96606302</v>
      </c>
      <c r="CE1286" t="s">
        <v>3108</v>
      </c>
      <c r="CF1286" t="s">
        <v>3108</v>
      </c>
      <c r="CG1286" t="s">
        <v>3108</v>
      </c>
      <c r="CH1286" t="s">
        <v>3108</v>
      </c>
    </row>
    <row r="1287" spans="1:86" x14ac:dyDescent="0.2">
      <c r="A1287" t="s">
        <v>5150</v>
      </c>
      <c r="B1287" t="s">
        <v>5150</v>
      </c>
      <c r="C1287">
        <v>41765</v>
      </c>
      <c r="D1287">
        <v>1409</v>
      </c>
      <c r="E1287" t="s">
        <v>5151</v>
      </c>
      <c r="F1287" t="s">
        <v>3249</v>
      </c>
      <c r="G1287" t="s">
        <v>3249</v>
      </c>
      <c r="H1287" t="s">
        <v>3250</v>
      </c>
      <c r="I1287" t="s">
        <v>3250</v>
      </c>
      <c r="J1287" t="s">
        <v>3250</v>
      </c>
      <c r="K1287" t="s">
        <v>3250</v>
      </c>
      <c r="L1287">
        <v>3200</v>
      </c>
      <c r="M1287" t="s">
        <v>128</v>
      </c>
      <c r="N1287">
        <v>3205</v>
      </c>
      <c r="O1287" t="s">
        <v>629</v>
      </c>
      <c r="P1287" t="s">
        <v>3108</v>
      </c>
      <c r="Q1287">
        <v>2080</v>
      </c>
      <c r="R1287" t="s">
        <v>423</v>
      </c>
      <c r="S1287" t="s">
        <v>427</v>
      </c>
      <c r="T1287" t="s">
        <v>3251</v>
      </c>
      <c r="U1287">
        <v>240</v>
      </c>
      <c r="V1287" t="s">
        <v>4251</v>
      </c>
      <c r="W1287">
        <v>240</v>
      </c>
      <c r="X1287" t="s">
        <v>1323</v>
      </c>
      <c r="Y1287" t="s">
        <v>3250</v>
      </c>
      <c r="Z1287" t="s">
        <v>3250</v>
      </c>
      <c r="AA1287" t="s">
        <v>3108</v>
      </c>
      <c r="AB1287" t="s">
        <v>3108</v>
      </c>
      <c r="AC1287" t="s">
        <v>3250</v>
      </c>
      <c r="AD1287" t="s">
        <v>3250</v>
      </c>
      <c r="AE1287" t="s">
        <v>3250</v>
      </c>
      <c r="AF1287" t="s">
        <v>3250</v>
      </c>
      <c r="AG1287">
        <v>110</v>
      </c>
      <c r="AH1287" t="s">
        <v>2230</v>
      </c>
      <c r="AI1287">
        <v>110</v>
      </c>
      <c r="AJ1287" t="s">
        <v>2230</v>
      </c>
      <c r="AL1287">
        <v>243</v>
      </c>
      <c r="AM1287" t="s">
        <v>700</v>
      </c>
      <c r="AN1287">
        <v>243</v>
      </c>
      <c r="AO1287" t="s">
        <v>700</v>
      </c>
      <c r="AS1287">
        <v>120</v>
      </c>
      <c r="AT1287">
        <v>120</v>
      </c>
      <c r="AU1287" t="s">
        <v>629</v>
      </c>
      <c r="AV1287" t="s">
        <v>629</v>
      </c>
      <c r="AW1287" t="s">
        <v>3250</v>
      </c>
      <c r="AX1287" t="s">
        <v>3250</v>
      </c>
      <c r="AY1287" t="s">
        <v>3250</v>
      </c>
      <c r="AZ1287" t="s">
        <v>3250</v>
      </c>
      <c r="BA1287" t="s">
        <v>3250</v>
      </c>
      <c r="BB1287" t="s">
        <v>3250</v>
      </c>
      <c r="BC1287" t="s">
        <v>3250</v>
      </c>
      <c r="BE1287" t="s">
        <v>3250</v>
      </c>
      <c r="BF1287" t="s">
        <v>3250</v>
      </c>
      <c r="BG1287" t="s">
        <v>3250</v>
      </c>
      <c r="BH1287" t="s">
        <v>3250</v>
      </c>
      <c r="BI1287" t="s">
        <v>3250</v>
      </c>
      <c r="BK1287" t="s">
        <v>3250</v>
      </c>
      <c r="BL1287" t="s">
        <v>3250</v>
      </c>
      <c r="BM1287" t="s">
        <v>3250</v>
      </c>
      <c r="BN1287" t="s">
        <v>3250</v>
      </c>
      <c r="BP1287">
        <v>7</v>
      </c>
      <c r="BQ1287">
        <v>71</v>
      </c>
      <c r="BR1287" t="s">
        <v>629</v>
      </c>
      <c r="BS1287" t="s">
        <v>4212</v>
      </c>
      <c r="BV1287">
        <v>-21249425</v>
      </c>
      <c r="BW1287">
        <v>-17674602</v>
      </c>
      <c r="BX1287">
        <v>-14373396</v>
      </c>
      <c r="BY1287">
        <v>0</v>
      </c>
      <c r="BZ1287">
        <v>0</v>
      </c>
      <c r="CA1287">
        <v>0</v>
      </c>
      <c r="CB1287">
        <v>0</v>
      </c>
      <c r="CC1287">
        <v>0</v>
      </c>
      <c r="CD1287">
        <v>-24295613</v>
      </c>
      <c r="CE1287" t="s">
        <v>3108</v>
      </c>
      <c r="CF1287" t="s">
        <v>3108</v>
      </c>
      <c r="CG1287" t="s">
        <v>3108</v>
      </c>
      <c r="CH1287" t="s">
        <v>3108</v>
      </c>
    </row>
    <row r="1288" spans="1:86" x14ac:dyDescent="0.2">
      <c r="A1288" t="s">
        <v>5152</v>
      </c>
      <c r="B1288" t="s">
        <v>5152</v>
      </c>
      <c r="C1288">
        <v>41766</v>
      </c>
      <c r="D1288">
        <v>1410</v>
      </c>
      <c r="E1288" t="s">
        <v>5153</v>
      </c>
      <c r="F1288" t="s">
        <v>3249</v>
      </c>
      <c r="G1288" t="s">
        <v>3249</v>
      </c>
      <c r="H1288" t="s">
        <v>3250</v>
      </c>
      <c r="I1288" t="s">
        <v>3250</v>
      </c>
      <c r="J1288" t="s">
        <v>3250</v>
      </c>
      <c r="K1288" t="s">
        <v>3250</v>
      </c>
      <c r="L1288">
        <v>3200</v>
      </c>
      <c r="M1288" t="s">
        <v>128</v>
      </c>
      <c r="N1288">
        <v>3205</v>
      </c>
      <c r="O1288" t="s">
        <v>629</v>
      </c>
      <c r="P1288" t="s">
        <v>3108</v>
      </c>
      <c r="Q1288">
        <v>2080</v>
      </c>
      <c r="R1288" t="s">
        <v>423</v>
      </c>
      <c r="S1288" t="s">
        <v>427</v>
      </c>
      <c r="T1288" t="s">
        <v>3251</v>
      </c>
      <c r="U1288">
        <v>240</v>
      </c>
      <c r="V1288" t="s">
        <v>4251</v>
      </c>
      <c r="W1288">
        <v>240</v>
      </c>
      <c r="X1288" t="s">
        <v>1323</v>
      </c>
      <c r="Y1288" t="s">
        <v>3250</v>
      </c>
      <c r="Z1288" t="s">
        <v>3250</v>
      </c>
      <c r="AA1288" t="s">
        <v>3108</v>
      </c>
      <c r="AB1288" t="s">
        <v>3108</v>
      </c>
      <c r="AC1288" t="s">
        <v>3250</v>
      </c>
      <c r="AD1288" t="s">
        <v>3250</v>
      </c>
      <c r="AE1288" t="s">
        <v>3250</v>
      </c>
      <c r="AF1288" t="s">
        <v>3250</v>
      </c>
      <c r="AG1288">
        <v>110</v>
      </c>
      <c r="AH1288" t="s">
        <v>2230</v>
      </c>
      <c r="AI1288">
        <v>110</v>
      </c>
      <c r="AJ1288" t="s">
        <v>2230</v>
      </c>
      <c r="AL1288">
        <v>241</v>
      </c>
      <c r="AM1288" t="s">
        <v>1455</v>
      </c>
      <c r="AN1288">
        <v>241</v>
      </c>
      <c r="AO1288" t="s">
        <v>1455</v>
      </c>
      <c r="AS1288">
        <v>120</v>
      </c>
      <c r="AT1288">
        <v>120</v>
      </c>
      <c r="AU1288" t="s">
        <v>629</v>
      </c>
      <c r="AV1288" t="s">
        <v>629</v>
      </c>
      <c r="AW1288" t="s">
        <v>3250</v>
      </c>
      <c r="AX1288" t="s">
        <v>3250</v>
      </c>
      <c r="AY1288" t="s">
        <v>3250</v>
      </c>
      <c r="AZ1288" t="s">
        <v>3250</v>
      </c>
      <c r="BA1288" t="s">
        <v>3250</v>
      </c>
      <c r="BB1288" t="s">
        <v>3250</v>
      </c>
      <c r="BC1288" t="s">
        <v>3250</v>
      </c>
      <c r="BE1288" t="s">
        <v>3250</v>
      </c>
      <c r="BF1288" t="s">
        <v>3250</v>
      </c>
      <c r="BG1288" t="s">
        <v>3250</v>
      </c>
      <c r="BH1288" t="s">
        <v>3250</v>
      </c>
      <c r="BI1288" t="s">
        <v>3250</v>
      </c>
      <c r="BK1288" t="s">
        <v>3250</v>
      </c>
      <c r="BL1288" t="s">
        <v>3250</v>
      </c>
      <c r="BM1288" t="s">
        <v>3250</v>
      </c>
      <c r="BN1288" t="s">
        <v>3250</v>
      </c>
      <c r="BP1288">
        <v>7</v>
      </c>
      <c r="BQ1288">
        <v>71</v>
      </c>
      <c r="BR1288" t="s">
        <v>629</v>
      </c>
      <c r="BS1288" t="s">
        <v>4212</v>
      </c>
      <c r="BV1288">
        <v>0</v>
      </c>
      <c r="BW1288">
        <v>0</v>
      </c>
      <c r="BX1288">
        <v>0</v>
      </c>
      <c r="BY1288">
        <v>0</v>
      </c>
      <c r="BZ1288">
        <v>0</v>
      </c>
      <c r="CA1288">
        <v>0</v>
      </c>
      <c r="CB1288">
        <v>0</v>
      </c>
      <c r="CC1288">
        <v>0</v>
      </c>
      <c r="CD1288">
        <v>0</v>
      </c>
      <c r="CE1288" t="s">
        <v>3108</v>
      </c>
      <c r="CF1288" t="s">
        <v>3108</v>
      </c>
      <c r="CG1288" t="s">
        <v>3108</v>
      </c>
      <c r="CH1288" t="s">
        <v>3108</v>
      </c>
    </row>
    <row r="1289" spans="1:86" x14ac:dyDescent="0.2">
      <c r="A1289" t="s">
        <v>5154</v>
      </c>
      <c r="B1289" t="s">
        <v>5154</v>
      </c>
      <c r="C1289">
        <v>41767</v>
      </c>
      <c r="D1289">
        <v>1411</v>
      </c>
      <c r="E1289" t="s">
        <v>4688</v>
      </c>
      <c r="F1289" t="s">
        <v>3249</v>
      </c>
      <c r="G1289" t="s">
        <v>3249</v>
      </c>
      <c r="H1289" t="s">
        <v>3250</v>
      </c>
      <c r="I1289" t="s">
        <v>3250</v>
      </c>
      <c r="J1289" t="s">
        <v>3250</v>
      </c>
      <c r="K1289" t="s">
        <v>3250</v>
      </c>
      <c r="L1289">
        <v>3200</v>
      </c>
      <c r="M1289" t="s">
        <v>128</v>
      </c>
      <c r="N1289">
        <v>3205</v>
      </c>
      <c r="O1289" t="s">
        <v>629</v>
      </c>
      <c r="P1289" t="s">
        <v>2805</v>
      </c>
      <c r="Q1289">
        <v>2080</v>
      </c>
      <c r="R1289" t="s">
        <v>423</v>
      </c>
      <c r="S1289" t="s">
        <v>427</v>
      </c>
      <c r="T1289" t="s">
        <v>3251</v>
      </c>
      <c r="U1289">
        <v>240</v>
      </c>
      <c r="V1289" t="s">
        <v>4251</v>
      </c>
      <c r="W1289">
        <v>240</v>
      </c>
      <c r="X1289" t="s">
        <v>1323</v>
      </c>
      <c r="Y1289" t="s">
        <v>3250</v>
      </c>
      <c r="Z1289" t="s">
        <v>3250</v>
      </c>
      <c r="AA1289" t="s">
        <v>3108</v>
      </c>
      <c r="AB1289" t="s">
        <v>3108</v>
      </c>
      <c r="AC1289" t="s">
        <v>3250</v>
      </c>
      <c r="AD1289" t="s">
        <v>3250</v>
      </c>
      <c r="AE1289" t="s">
        <v>3250</v>
      </c>
      <c r="AF1289" t="s">
        <v>3250</v>
      </c>
      <c r="AG1289">
        <v>110</v>
      </c>
      <c r="AH1289" t="s">
        <v>2230</v>
      </c>
      <c r="AI1289">
        <v>110</v>
      </c>
      <c r="AJ1289" t="s">
        <v>2230</v>
      </c>
      <c r="AL1289">
        <v>241</v>
      </c>
      <c r="AM1289" t="s">
        <v>1455</v>
      </c>
      <c r="AN1289">
        <v>241</v>
      </c>
      <c r="AO1289" t="s">
        <v>1455</v>
      </c>
      <c r="AS1289">
        <v>120</v>
      </c>
      <c r="AT1289">
        <v>120</v>
      </c>
      <c r="AU1289" t="s">
        <v>629</v>
      </c>
      <c r="AV1289" t="s">
        <v>629</v>
      </c>
      <c r="AW1289" t="s">
        <v>3250</v>
      </c>
      <c r="AX1289" t="s">
        <v>3250</v>
      </c>
      <c r="AY1289" t="s">
        <v>3250</v>
      </c>
      <c r="AZ1289" t="s">
        <v>3250</v>
      </c>
      <c r="BA1289" t="s">
        <v>3250</v>
      </c>
      <c r="BB1289" t="s">
        <v>3250</v>
      </c>
      <c r="BC1289" t="s">
        <v>3250</v>
      </c>
      <c r="BE1289" t="s">
        <v>3250</v>
      </c>
      <c r="BF1289" t="s">
        <v>3250</v>
      </c>
      <c r="BG1289" t="s">
        <v>3250</v>
      </c>
      <c r="BH1289" t="s">
        <v>3250</v>
      </c>
      <c r="BI1289" t="s">
        <v>3250</v>
      </c>
      <c r="BK1289" t="s">
        <v>3250</v>
      </c>
      <c r="BL1289" t="s">
        <v>3250</v>
      </c>
      <c r="BM1289" t="s">
        <v>3250</v>
      </c>
      <c r="BN1289" t="s">
        <v>3250</v>
      </c>
      <c r="BP1289">
        <v>7</v>
      </c>
      <c r="BQ1289">
        <v>71</v>
      </c>
      <c r="BR1289" t="s">
        <v>629</v>
      </c>
      <c r="BS1289" t="s">
        <v>4212</v>
      </c>
      <c r="BV1289">
        <v>68985977</v>
      </c>
      <c r="BW1289">
        <v>62146800</v>
      </c>
      <c r="BX1289">
        <v>54238266</v>
      </c>
      <c r="BY1289">
        <v>0</v>
      </c>
      <c r="BZ1289">
        <v>0</v>
      </c>
      <c r="CA1289">
        <v>0</v>
      </c>
      <c r="CB1289">
        <v>0</v>
      </c>
      <c r="CC1289">
        <v>0</v>
      </c>
      <c r="CD1289">
        <v>68985977</v>
      </c>
      <c r="CE1289" t="s">
        <v>3108</v>
      </c>
      <c r="CF1289" t="s">
        <v>3108</v>
      </c>
      <c r="CG1289" t="s">
        <v>3108</v>
      </c>
      <c r="CH1289" t="s">
        <v>3108</v>
      </c>
    </row>
    <row r="1290" spans="1:86" x14ac:dyDescent="0.2">
      <c r="A1290" t="s">
        <v>5155</v>
      </c>
      <c r="B1290" t="s">
        <v>5155</v>
      </c>
      <c r="C1290">
        <v>41768</v>
      </c>
      <c r="D1290">
        <v>1412</v>
      </c>
      <c r="E1290" t="s">
        <v>4832</v>
      </c>
      <c r="F1290" t="s">
        <v>3249</v>
      </c>
      <c r="G1290" t="s">
        <v>3249</v>
      </c>
      <c r="H1290" t="s">
        <v>3250</v>
      </c>
      <c r="I1290" t="s">
        <v>3250</v>
      </c>
      <c r="J1290" t="s">
        <v>3250</v>
      </c>
      <c r="K1290" t="s">
        <v>3250</v>
      </c>
      <c r="L1290">
        <v>1200</v>
      </c>
      <c r="M1290" t="s">
        <v>2368</v>
      </c>
      <c r="N1290">
        <v>1202</v>
      </c>
      <c r="O1290" t="s">
        <v>2371</v>
      </c>
      <c r="P1290" t="s">
        <v>3108</v>
      </c>
      <c r="Q1290">
        <v>2080</v>
      </c>
      <c r="R1290" t="s">
        <v>423</v>
      </c>
      <c r="S1290" t="s">
        <v>427</v>
      </c>
      <c r="T1290" t="s">
        <v>3251</v>
      </c>
      <c r="U1290">
        <v>240</v>
      </c>
      <c r="V1290" t="s">
        <v>4251</v>
      </c>
      <c r="W1290">
        <v>240</v>
      </c>
      <c r="X1290" t="s">
        <v>1323</v>
      </c>
      <c r="Y1290" t="s">
        <v>3250</v>
      </c>
      <c r="Z1290" t="s">
        <v>3250</v>
      </c>
      <c r="AA1290" t="s">
        <v>3108</v>
      </c>
      <c r="AB1290" t="s">
        <v>3108</v>
      </c>
      <c r="AC1290" t="s">
        <v>3250</v>
      </c>
      <c r="AD1290" t="s">
        <v>3250</v>
      </c>
      <c r="AE1290" t="s">
        <v>3250</v>
      </c>
      <c r="AF1290" t="s">
        <v>3250</v>
      </c>
      <c r="AG1290">
        <v>1180</v>
      </c>
      <c r="AH1290" t="s">
        <v>1738</v>
      </c>
      <c r="AI1290">
        <v>1180</v>
      </c>
      <c r="AJ1290" t="s">
        <v>1738</v>
      </c>
      <c r="AL1290">
        <v>243</v>
      </c>
      <c r="AM1290" t="s">
        <v>700</v>
      </c>
      <c r="AN1290">
        <v>243</v>
      </c>
      <c r="AO1290" t="s">
        <v>700</v>
      </c>
      <c r="AS1290">
        <v>1200</v>
      </c>
      <c r="AT1290">
        <v>1200</v>
      </c>
      <c r="AU1290" t="s">
        <v>2310</v>
      </c>
      <c r="AV1290" t="s">
        <v>2310</v>
      </c>
      <c r="AW1290" t="s">
        <v>3250</v>
      </c>
      <c r="AX1290" t="s">
        <v>3250</v>
      </c>
      <c r="AY1290" t="s">
        <v>3250</v>
      </c>
      <c r="AZ1290" t="s">
        <v>3250</v>
      </c>
      <c r="BA1290" t="s">
        <v>3250</v>
      </c>
      <c r="BB1290" t="s">
        <v>3250</v>
      </c>
      <c r="BC1290" t="s">
        <v>3250</v>
      </c>
      <c r="BE1290" t="s">
        <v>3250</v>
      </c>
      <c r="BF1290" t="s">
        <v>3250</v>
      </c>
      <c r="BG1290" t="s">
        <v>3250</v>
      </c>
      <c r="BH1290" t="s">
        <v>3250</v>
      </c>
      <c r="BI1290" t="s">
        <v>3250</v>
      </c>
      <c r="BK1290" t="s">
        <v>3250</v>
      </c>
      <c r="BL1290" t="s">
        <v>3250</v>
      </c>
      <c r="BM1290" t="s">
        <v>3250</v>
      </c>
      <c r="BN1290" t="s">
        <v>3250</v>
      </c>
      <c r="BP1290">
        <v>1</v>
      </c>
      <c r="BQ1290">
        <v>13</v>
      </c>
      <c r="BR1290" t="s">
        <v>2371</v>
      </c>
      <c r="BS1290" t="s">
        <v>3252</v>
      </c>
      <c r="BV1290">
        <v>-3780254</v>
      </c>
      <c r="BW1290">
        <v>-4307981</v>
      </c>
      <c r="BX1290">
        <v>-3852650</v>
      </c>
      <c r="BY1290">
        <v>0</v>
      </c>
      <c r="BZ1290">
        <v>0</v>
      </c>
      <c r="CA1290">
        <v>-567030</v>
      </c>
      <c r="CB1290">
        <v>-600321</v>
      </c>
      <c r="CC1290">
        <v>-660353</v>
      </c>
      <c r="CD1290">
        <v>-4074751</v>
      </c>
      <c r="CE1290" t="s">
        <v>3108</v>
      </c>
      <c r="CF1290" t="s">
        <v>3108</v>
      </c>
      <c r="CG1290" t="s">
        <v>3108</v>
      </c>
      <c r="CH1290" t="s">
        <v>3108</v>
      </c>
    </row>
    <row r="1291" spans="1:86" x14ac:dyDescent="0.2">
      <c r="A1291" t="s">
        <v>5156</v>
      </c>
      <c r="B1291" t="s">
        <v>5156</v>
      </c>
      <c r="C1291">
        <v>41769</v>
      </c>
      <c r="D1291">
        <v>1413</v>
      </c>
      <c r="E1291" t="s">
        <v>4834</v>
      </c>
      <c r="F1291" t="s">
        <v>3249</v>
      </c>
      <c r="G1291" t="s">
        <v>3249</v>
      </c>
      <c r="H1291" t="s">
        <v>3250</v>
      </c>
      <c r="I1291" t="s">
        <v>3250</v>
      </c>
      <c r="J1291" t="s">
        <v>3250</v>
      </c>
      <c r="K1291" t="s">
        <v>3250</v>
      </c>
      <c r="L1291">
        <v>1200</v>
      </c>
      <c r="M1291" t="s">
        <v>2368</v>
      </c>
      <c r="N1291">
        <v>1202</v>
      </c>
      <c r="O1291" t="s">
        <v>2371</v>
      </c>
      <c r="P1291" t="s">
        <v>3108</v>
      </c>
      <c r="Q1291">
        <v>2080</v>
      </c>
      <c r="R1291" t="s">
        <v>423</v>
      </c>
      <c r="S1291" t="s">
        <v>427</v>
      </c>
      <c r="T1291" t="s">
        <v>3251</v>
      </c>
      <c r="U1291">
        <v>240</v>
      </c>
      <c r="V1291" t="s">
        <v>4251</v>
      </c>
      <c r="W1291">
        <v>240</v>
      </c>
      <c r="X1291" t="s">
        <v>1323</v>
      </c>
      <c r="Y1291" t="s">
        <v>3250</v>
      </c>
      <c r="Z1291" t="s">
        <v>3250</v>
      </c>
      <c r="AA1291" t="s">
        <v>3108</v>
      </c>
      <c r="AB1291" t="s">
        <v>3108</v>
      </c>
      <c r="AC1291" t="s">
        <v>3250</v>
      </c>
      <c r="AD1291" t="s">
        <v>3250</v>
      </c>
      <c r="AE1291" t="s">
        <v>3250</v>
      </c>
      <c r="AF1291" t="s">
        <v>3250</v>
      </c>
      <c r="AG1291">
        <v>1180</v>
      </c>
      <c r="AH1291" t="s">
        <v>1738</v>
      </c>
      <c r="AI1291">
        <v>1180</v>
      </c>
      <c r="AJ1291" t="s">
        <v>1738</v>
      </c>
      <c r="AL1291">
        <v>241</v>
      </c>
      <c r="AM1291" t="s">
        <v>1455</v>
      </c>
      <c r="AN1291">
        <v>241</v>
      </c>
      <c r="AO1291" t="s">
        <v>1455</v>
      </c>
      <c r="AS1291">
        <v>1200</v>
      </c>
      <c r="AT1291">
        <v>1200</v>
      </c>
      <c r="AU1291" t="s">
        <v>2310</v>
      </c>
      <c r="AV1291" t="s">
        <v>2310</v>
      </c>
      <c r="AW1291" t="s">
        <v>3250</v>
      </c>
      <c r="AX1291" t="s">
        <v>3250</v>
      </c>
      <c r="AY1291" t="s">
        <v>3250</v>
      </c>
      <c r="AZ1291" t="s">
        <v>3250</v>
      </c>
      <c r="BA1291" t="s">
        <v>3250</v>
      </c>
      <c r="BB1291" t="s">
        <v>3250</v>
      </c>
      <c r="BC1291" t="s">
        <v>3250</v>
      </c>
      <c r="BE1291" t="s">
        <v>3250</v>
      </c>
      <c r="BF1291" t="s">
        <v>3250</v>
      </c>
      <c r="BG1291" t="s">
        <v>3250</v>
      </c>
      <c r="BH1291" t="s">
        <v>3250</v>
      </c>
      <c r="BI1291" t="s">
        <v>3250</v>
      </c>
      <c r="BK1291" t="s">
        <v>3250</v>
      </c>
      <c r="BL1291" t="s">
        <v>3250</v>
      </c>
      <c r="BM1291" t="s">
        <v>3250</v>
      </c>
      <c r="BN1291" t="s">
        <v>3250</v>
      </c>
      <c r="BP1291">
        <v>1</v>
      </c>
      <c r="BQ1291">
        <v>13</v>
      </c>
      <c r="BR1291" t="s">
        <v>2371</v>
      </c>
      <c r="BS1291" t="s">
        <v>3252</v>
      </c>
      <c r="BV1291">
        <v>0</v>
      </c>
      <c r="BW1291">
        <v>0</v>
      </c>
      <c r="BX1291">
        <v>0</v>
      </c>
      <c r="BY1291">
        <v>0</v>
      </c>
      <c r="BZ1291">
        <v>0</v>
      </c>
      <c r="CA1291">
        <v>0</v>
      </c>
      <c r="CB1291">
        <v>0</v>
      </c>
      <c r="CC1291">
        <v>0</v>
      </c>
      <c r="CD1291">
        <v>0</v>
      </c>
      <c r="CE1291" t="s">
        <v>3108</v>
      </c>
      <c r="CF1291" t="s">
        <v>3108</v>
      </c>
      <c r="CG1291" t="s">
        <v>3108</v>
      </c>
      <c r="CH1291" t="s">
        <v>3108</v>
      </c>
    </row>
    <row r="1292" spans="1:86" x14ac:dyDescent="0.2">
      <c r="A1292" t="s">
        <v>5157</v>
      </c>
      <c r="B1292" t="s">
        <v>5157</v>
      </c>
      <c r="C1292">
        <v>41770</v>
      </c>
      <c r="D1292">
        <v>1414</v>
      </c>
      <c r="E1292" t="s">
        <v>4836</v>
      </c>
      <c r="F1292" t="s">
        <v>3249</v>
      </c>
      <c r="G1292" t="s">
        <v>3249</v>
      </c>
      <c r="H1292" t="s">
        <v>3250</v>
      </c>
      <c r="I1292" t="s">
        <v>3250</v>
      </c>
      <c r="J1292" t="s">
        <v>3250</v>
      </c>
      <c r="K1292" t="s">
        <v>3250</v>
      </c>
      <c r="L1292">
        <v>1200</v>
      </c>
      <c r="M1292" t="s">
        <v>2368</v>
      </c>
      <c r="N1292">
        <v>1202</v>
      </c>
      <c r="O1292" t="s">
        <v>2371</v>
      </c>
      <c r="P1292" t="s">
        <v>2805</v>
      </c>
      <c r="Q1292">
        <v>2010</v>
      </c>
      <c r="R1292" t="s">
        <v>1355</v>
      </c>
      <c r="S1292" t="s">
        <v>427</v>
      </c>
      <c r="T1292" t="s">
        <v>3251</v>
      </c>
      <c r="U1292">
        <v>240</v>
      </c>
      <c r="V1292" t="s">
        <v>4251</v>
      </c>
      <c r="W1292">
        <v>240</v>
      </c>
      <c r="X1292" t="s">
        <v>1323</v>
      </c>
      <c r="Y1292" t="s">
        <v>3250</v>
      </c>
      <c r="Z1292" t="s">
        <v>3250</v>
      </c>
      <c r="AA1292" t="s">
        <v>3108</v>
      </c>
      <c r="AB1292" t="s">
        <v>3108</v>
      </c>
      <c r="AC1292" t="s">
        <v>3250</v>
      </c>
      <c r="AD1292" t="s">
        <v>3250</v>
      </c>
      <c r="AE1292" t="s">
        <v>3250</v>
      </c>
      <c r="AF1292" t="s">
        <v>3250</v>
      </c>
      <c r="AG1292">
        <v>1180</v>
      </c>
      <c r="AH1292" t="s">
        <v>1738</v>
      </c>
      <c r="AI1292">
        <v>1180</v>
      </c>
      <c r="AJ1292" t="s">
        <v>1738</v>
      </c>
      <c r="AL1292">
        <v>241</v>
      </c>
      <c r="AM1292" t="s">
        <v>1455</v>
      </c>
      <c r="AN1292">
        <v>241</v>
      </c>
      <c r="AO1292" t="s">
        <v>1455</v>
      </c>
      <c r="AS1292">
        <v>1200</v>
      </c>
      <c r="AT1292">
        <v>1200</v>
      </c>
      <c r="AU1292" t="s">
        <v>2310</v>
      </c>
      <c r="AV1292" t="s">
        <v>2310</v>
      </c>
      <c r="AW1292" t="s">
        <v>3250</v>
      </c>
      <c r="AX1292" t="s">
        <v>3250</v>
      </c>
      <c r="AY1292" t="s">
        <v>3250</v>
      </c>
      <c r="AZ1292" t="s">
        <v>3250</v>
      </c>
      <c r="BA1292" t="s">
        <v>3250</v>
      </c>
      <c r="BB1292" t="s">
        <v>3250</v>
      </c>
      <c r="BC1292" t="s">
        <v>3250</v>
      </c>
      <c r="BE1292" t="s">
        <v>3250</v>
      </c>
      <c r="BF1292" t="s">
        <v>3250</v>
      </c>
      <c r="BG1292" t="s">
        <v>3250</v>
      </c>
      <c r="BH1292" t="s">
        <v>3250</v>
      </c>
      <c r="BI1292" t="s">
        <v>3250</v>
      </c>
      <c r="BK1292" t="s">
        <v>3250</v>
      </c>
      <c r="BL1292" t="s">
        <v>3250</v>
      </c>
      <c r="BM1292" t="s">
        <v>3250</v>
      </c>
      <c r="BN1292" t="s">
        <v>3250</v>
      </c>
      <c r="BP1292">
        <v>1</v>
      </c>
      <c r="BQ1292">
        <v>13</v>
      </c>
      <c r="BR1292" t="s">
        <v>2371</v>
      </c>
      <c r="BS1292" t="s">
        <v>3252</v>
      </c>
      <c r="BV1292">
        <v>12709809</v>
      </c>
      <c r="BW1292">
        <v>12980672</v>
      </c>
      <c r="BX1292">
        <v>13527172</v>
      </c>
      <c r="BY1292">
        <v>0</v>
      </c>
      <c r="BZ1292">
        <v>0</v>
      </c>
      <c r="CA1292">
        <v>0</v>
      </c>
      <c r="CB1292">
        <v>0</v>
      </c>
      <c r="CC1292">
        <v>0</v>
      </c>
      <c r="CD1292">
        <v>12709809</v>
      </c>
      <c r="CE1292" t="s">
        <v>3108</v>
      </c>
      <c r="CF1292" t="s">
        <v>3108</v>
      </c>
      <c r="CG1292" t="s">
        <v>3108</v>
      </c>
      <c r="CH1292" t="s">
        <v>3108</v>
      </c>
    </row>
    <row r="1293" spans="1:86" x14ac:dyDescent="0.2">
      <c r="A1293" t="s">
        <v>5158</v>
      </c>
      <c r="B1293" t="s">
        <v>5158</v>
      </c>
      <c r="C1293">
        <v>41771</v>
      </c>
      <c r="D1293">
        <v>1415</v>
      </c>
      <c r="E1293" t="s">
        <v>4079</v>
      </c>
      <c r="F1293">
        <v>2000</v>
      </c>
      <c r="G1293" t="s">
        <v>408</v>
      </c>
      <c r="H1293" t="s">
        <v>4064</v>
      </c>
      <c r="I1293" t="s">
        <v>1340</v>
      </c>
      <c r="J1293">
        <v>2001</v>
      </c>
      <c r="K1293" t="s">
        <v>1135</v>
      </c>
      <c r="L1293">
        <v>1100</v>
      </c>
      <c r="M1293" t="s">
        <v>119</v>
      </c>
      <c r="N1293">
        <v>1110</v>
      </c>
      <c r="O1293" t="s">
        <v>284</v>
      </c>
      <c r="P1293" t="s">
        <v>3108</v>
      </c>
      <c r="Q1293" t="s">
        <v>3249</v>
      </c>
      <c r="R1293" t="s">
        <v>3249</v>
      </c>
      <c r="S1293" t="s">
        <v>810</v>
      </c>
      <c r="T1293" t="s">
        <v>2754</v>
      </c>
      <c r="U1293" t="s">
        <v>3250</v>
      </c>
      <c r="V1293" t="s">
        <v>3250</v>
      </c>
      <c r="W1293" t="s">
        <v>3250</v>
      </c>
      <c r="X1293" t="s">
        <v>3250</v>
      </c>
      <c r="Y1293" t="s">
        <v>3250</v>
      </c>
      <c r="Z1293" t="s">
        <v>3250</v>
      </c>
      <c r="AA1293" t="s">
        <v>3108</v>
      </c>
      <c r="AB1293" t="s">
        <v>3108</v>
      </c>
      <c r="AC1293" t="s">
        <v>3250</v>
      </c>
      <c r="AD1293" t="s">
        <v>3250</v>
      </c>
      <c r="AE1293" t="s">
        <v>3250</v>
      </c>
      <c r="AF1293" t="s">
        <v>3250</v>
      </c>
      <c r="AG1293" t="s">
        <v>3250</v>
      </c>
      <c r="AH1293" t="s">
        <v>3250</v>
      </c>
      <c r="AI1293" t="s">
        <v>3250</v>
      </c>
      <c r="AJ1293" t="s">
        <v>3250</v>
      </c>
      <c r="AL1293" t="s">
        <v>3250</v>
      </c>
      <c r="AM1293" t="s">
        <v>3250</v>
      </c>
      <c r="AN1293" t="s">
        <v>3250</v>
      </c>
      <c r="AO1293" t="s">
        <v>3250</v>
      </c>
      <c r="AS1293" t="s">
        <v>3250</v>
      </c>
      <c r="AT1293" t="s">
        <v>3250</v>
      </c>
      <c r="AU1293" t="s">
        <v>3250</v>
      </c>
      <c r="AV1293" t="s">
        <v>3250</v>
      </c>
      <c r="AW1293" t="s">
        <v>3250</v>
      </c>
      <c r="AX1293" t="s">
        <v>3250</v>
      </c>
      <c r="AY1293" t="s">
        <v>3250</v>
      </c>
      <c r="AZ1293" t="s">
        <v>3250</v>
      </c>
      <c r="BA1293" t="s">
        <v>3250</v>
      </c>
      <c r="BB1293" t="s">
        <v>3250</v>
      </c>
      <c r="BC1293" t="s">
        <v>3250</v>
      </c>
      <c r="BE1293" t="s">
        <v>3250</v>
      </c>
      <c r="BF1293" t="s">
        <v>3250</v>
      </c>
      <c r="BG1293" t="s">
        <v>3250</v>
      </c>
      <c r="BH1293" t="s">
        <v>3250</v>
      </c>
      <c r="BI1293" t="s">
        <v>3250</v>
      </c>
      <c r="BK1293" t="s">
        <v>3250</v>
      </c>
      <c r="BL1293" t="s">
        <v>3250</v>
      </c>
      <c r="BM1293" t="s">
        <v>3250</v>
      </c>
      <c r="BN1293" t="s">
        <v>3250</v>
      </c>
      <c r="BO1293" t="s">
        <v>2916</v>
      </c>
      <c r="BP1293">
        <v>3</v>
      </c>
      <c r="BQ1293">
        <v>32</v>
      </c>
      <c r="BR1293" t="s">
        <v>284</v>
      </c>
      <c r="BS1293" t="s">
        <v>4381</v>
      </c>
      <c r="BV1293">
        <v>0</v>
      </c>
      <c r="BW1293">
        <v>0</v>
      </c>
      <c r="BX1293">
        <v>0</v>
      </c>
      <c r="BY1293">
        <v>0</v>
      </c>
      <c r="BZ1293">
        <v>0</v>
      </c>
      <c r="CA1293">
        <v>0</v>
      </c>
      <c r="CB1293">
        <v>0</v>
      </c>
      <c r="CC1293">
        <v>0</v>
      </c>
      <c r="CD1293">
        <v>0</v>
      </c>
      <c r="CE1293" t="s">
        <v>3108</v>
      </c>
      <c r="CF1293" t="s">
        <v>3108</v>
      </c>
      <c r="CG1293" t="s">
        <v>3108</v>
      </c>
      <c r="CH1293" t="s">
        <v>3108</v>
      </c>
    </row>
    <row r="1294" spans="1:86" x14ac:dyDescent="0.2">
      <c r="A1294" t="s">
        <v>5159</v>
      </c>
      <c r="B1294" t="s">
        <v>5159</v>
      </c>
      <c r="C1294">
        <v>41772</v>
      </c>
      <c r="D1294">
        <v>1416</v>
      </c>
      <c r="E1294" t="s">
        <v>4084</v>
      </c>
      <c r="F1294">
        <v>2000</v>
      </c>
      <c r="G1294" t="s">
        <v>408</v>
      </c>
      <c r="H1294" t="s">
        <v>4085</v>
      </c>
      <c r="I1294" t="s">
        <v>1453</v>
      </c>
      <c r="J1294">
        <v>2010</v>
      </c>
      <c r="K1294" t="s">
        <v>1453</v>
      </c>
      <c r="L1294">
        <v>1100</v>
      </c>
      <c r="M1294" t="s">
        <v>119</v>
      </c>
      <c r="N1294">
        <v>1120</v>
      </c>
      <c r="O1294" t="s">
        <v>2367</v>
      </c>
      <c r="P1294" t="s">
        <v>3108</v>
      </c>
      <c r="Q1294" t="s">
        <v>3249</v>
      </c>
      <c r="R1294" t="s">
        <v>3249</v>
      </c>
      <c r="S1294" t="s">
        <v>810</v>
      </c>
      <c r="T1294" t="s">
        <v>2754</v>
      </c>
      <c r="U1294" t="s">
        <v>3250</v>
      </c>
      <c r="V1294" t="s">
        <v>3250</v>
      </c>
      <c r="W1294" t="s">
        <v>3250</v>
      </c>
      <c r="X1294" t="s">
        <v>3250</v>
      </c>
      <c r="Y1294" t="s">
        <v>3250</v>
      </c>
      <c r="Z1294" t="s">
        <v>3250</v>
      </c>
      <c r="AA1294" t="s">
        <v>3108</v>
      </c>
      <c r="AB1294" t="s">
        <v>3108</v>
      </c>
      <c r="AC1294" t="s">
        <v>3250</v>
      </c>
      <c r="AD1294" t="s">
        <v>3250</v>
      </c>
      <c r="AE1294" t="s">
        <v>3250</v>
      </c>
      <c r="AF1294" t="s">
        <v>3250</v>
      </c>
      <c r="AG1294" t="s">
        <v>3250</v>
      </c>
      <c r="AH1294" t="s">
        <v>3250</v>
      </c>
      <c r="AI1294" t="s">
        <v>3250</v>
      </c>
      <c r="AJ1294" t="s">
        <v>3250</v>
      </c>
      <c r="AL1294" t="s">
        <v>3250</v>
      </c>
      <c r="AM1294" t="s">
        <v>3250</v>
      </c>
      <c r="AN1294" t="s">
        <v>3250</v>
      </c>
      <c r="AO1294" t="s">
        <v>3250</v>
      </c>
      <c r="AS1294" t="s">
        <v>3250</v>
      </c>
      <c r="AT1294" t="s">
        <v>3250</v>
      </c>
      <c r="AU1294" t="s">
        <v>3250</v>
      </c>
      <c r="AV1294" t="s">
        <v>3250</v>
      </c>
      <c r="AW1294" t="s">
        <v>3250</v>
      </c>
      <c r="AX1294" t="s">
        <v>3250</v>
      </c>
      <c r="AY1294" t="s">
        <v>3250</v>
      </c>
      <c r="AZ1294" t="s">
        <v>3250</v>
      </c>
      <c r="BA1294" t="s">
        <v>3250</v>
      </c>
      <c r="BB1294" t="s">
        <v>3250</v>
      </c>
      <c r="BC1294" t="s">
        <v>3250</v>
      </c>
      <c r="BE1294" t="s">
        <v>3250</v>
      </c>
      <c r="BF1294" t="s">
        <v>3250</v>
      </c>
      <c r="BG1294" t="s">
        <v>3250</v>
      </c>
      <c r="BH1294" t="s">
        <v>3250</v>
      </c>
      <c r="BI1294" t="s">
        <v>3250</v>
      </c>
      <c r="BK1294" t="s">
        <v>3250</v>
      </c>
      <c r="BL1294" t="s">
        <v>3250</v>
      </c>
      <c r="BM1294" t="s">
        <v>3250</v>
      </c>
      <c r="BN1294" t="s">
        <v>3250</v>
      </c>
      <c r="BO1294" t="s">
        <v>2916</v>
      </c>
      <c r="BP1294">
        <v>3</v>
      </c>
      <c r="BQ1294">
        <v>31</v>
      </c>
      <c r="BR1294" t="s">
        <v>2367</v>
      </c>
      <c r="BS1294" t="s">
        <v>4381</v>
      </c>
      <c r="BV1294">
        <v>74435</v>
      </c>
      <c r="BW1294">
        <v>149250</v>
      </c>
      <c r="BX1294">
        <v>272284</v>
      </c>
      <c r="BY1294">
        <v>188375</v>
      </c>
      <c r="BZ1294">
        <v>188375</v>
      </c>
      <c r="CA1294">
        <v>201562</v>
      </c>
      <c r="CB1294">
        <v>215671</v>
      </c>
      <c r="CC1294">
        <v>230768</v>
      </c>
      <c r="CD1294">
        <v>0</v>
      </c>
      <c r="CE1294" t="s">
        <v>3108</v>
      </c>
      <c r="CF1294" t="s">
        <v>3108</v>
      </c>
      <c r="CG1294" t="s">
        <v>3108</v>
      </c>
      <c r="CH1294" t="s">
        <v>3108</v>
      </c>
    </row>
    <row r="1295" spans="1:86" x14ac:dyDescent="0.2">
      <c r="A1295" t="s">
        <v>5160</v>
      </c>
      <c r="B1295" t="s">
        <v>5160</v>
      </c>
      <c r="C1295">
        <v>41773</v>
      </c>
      <c r="D1295">
        <v>1417</v>
      </c>
      <c r="E1295" t="s">
        <v>5161</v>
      </c>
      <c r="F1295">
        <v>1500</v>
      </c>
      <c r="G1295" t="s">
        <v>2342</v>
      </c>
      <c r="H1295">
        <v>1500</v>
      </c>
      <c r="I1295" t="s">
        <v>2342</v>
      </c>
      <c r="J1295" t="s">
        <v>3250</v>
      </c>
      <c r="K1295" t="s">
        <v>3250</v>
      </c>
      <c r="L1295">
        <v>1200</v>
      </c>
      <c r="M1295" t="s">
        <v>2368</v>
      </c>
      <c r="N1295">
        <v>1201</v>
      </c>
      <c r="O1295" t="s">
        <v>2370</v>
      </c>
      <c r="P1295" t="s">
        <v>3108</v>
      </c>
      <c r="Q1295" t="s">
        <v>3249</v>
      </c>
      <c r="R1295" t="s">
        <v>3249</v>
      </c>
      <c r="S1295" t="s">
        <v>472</v>
      </c>
      <c r="T1295" t="s">
        <v>2759</v>
      </c>
      <c r="U1295" t="s">
        <v>3250</v>
      </c>
      <c r="V1295" t="s">
        <v>3250</v>
      </c>
      <c r="W1295" t="s">
        <v>3250</v>
      </c>
      <c r="X1295" t="s">
        <v>3250</v>
      </c>
      <c r="Y1295" t="s">
        <v>3250</v>
      </c>
      <c r="Z1295" t="s">
        <v>3250</v>
      </c>
      <c r="AA1295" t="s">
        <v>3108</v>
      </c>
      <c r="AB1295" t="s">
        <v>3108</v>
      </c>
      <c r="AC1295" t="s">
        <v>3250</v>
      </c>
      <c r="AD1295" t="s">
        <v>3250</v>
      </c>
      <c r="AE1295" t="s">
        <v>3250</v>
      </c>
      <c r="AF1295" t="s">
        <v>3250</v>
      </c>
      <c r="AG1295" t="s">
        <v>3250</v>
      </c>
      <c r="AH1295" t="s">
        <v>3250</v>
      </c>
      <c r="AI1295" t="s">
        <v>3250</v>
      </c>
      <c r="AJ1295" t="s">
        <v>3250</v>
      </c>
      <c r="AL1295" t="s">
        <v>3250</v>
      </c>
      <c r="AM1295" t="s">
        <v>3250</v>
      </c>
      <c r="AN1295" t="s">
        <v>3250</v>
      </c>
      <c r="AO1295" t="s">
        <v>3250</v>
      </c>
      <c r="AS1295" t="s">
        <v>3250</v>
      </c>
      <c r="AT1295" t="s">
        <v>3250</v>
      </c>
      <c r="AU1295" t="s">
        <v>3250</v>
      </c>
      <c r="AV1295" t="s">
        <v>3250</v>
      </c>
      <c r="AW1295" t="s">
        <v>3250</v>
      </c>
      <c r="AX1295" t="s">
        <v>3250</v>
      </c>
      <c r="AY1295" t="s">
        <v>3250</v>
      </c>
      <c r="AZ1295" t="s">
        <v>3250</v>
      </c>
      <c r="BA1295" t="s">
        <v>3250</v>
      </c>
      <c r="BB1295" t="s">
        <v>3250</v>
      </c>
      <c r="BC1295" t="s">
        <v>3250</v>
      </c>
      <c r="BE1295" t="s">
        <v>3250</v>
      </c>
      <c r="BF1295" t="s">
        <v>3250</v>
      </c>
      <c r="BG1295" t="s">
        <v>3250</v>
      </c>
      <c r="BH1295" t="s">
        <v>3250</v>
      </c>
      <c r="BI1295" t="s">
        <v>3250</v>
      </c>
      <c r="BK1295" t="s">
        <v>3250</v>
      </c>
      <c r="BL1295" t="s">
        <v>3250</v>
      </c>
      <c r="BM1295" t="s">
        <v>3250</v>
      </c>
      <c r="BN1295" t="s">
        <v>3250</v>
      </c>
      <c r="BP1295">
        <v>1</v>
      </c>
      <c r="BQ1295">
        <v>14</v>
      </c>
      <c r="BR1295" t="s">
        <v>2370</v>
      </c>
      <c r="BS1295" t="s">
        <v>3252</v>
      </c>
      <c r="BV1295">
        <v>0</v>
      </c>
      <c r="BW1295">
        <v>0</v>
      </c>
      <c r="BX1295">
        <v>0</v>
      </c>
      <c r="BY1295">
        <v>0</v>
      </c>
      <c r="BZ1295">
        <v>0</v>
      </c>
      <c r="CA1295">
        <v>0</v>
      </c>
      <c r="CB1295">
        <v>0</v>
      </c>
      <c r="CC1295">
        <v>0</v>
      </c>
      <c r="CD1295">
        <v>0</v>
      </c>
      <c r="CE1295" t="s">
        <v>3108</v>
      </c>
      <c r="CF1295" t="s">
        <v>3108</v>
      </c>
      <c r="CG1295" t="s">
        <v>3108</v>
      </c>
      <c r="CH1295" t="s">
        <v>3108</v>
      </c>
    </row>
    <row r="1296" spans="1:86" x14ac:dyDescent="0.2">
      <c r="A1296" t="s">
        <v>5162</v>
      </c>
      <c r="B1296" t="s">
        <v>5162</v>
      </c>
      <c r="C1296">
        <v>41774</v>
      </c>
      <c r="D1296">
        <v>1418</v>
      </c>
      <c r="E1296" t="s">
        <v>4341</v>
      </c>
      <c r="F1296">
        <v>2700</v>
      </c>
      <c r="G1296" t="s">
        <v>411</v>
      </c>
      <c r="H1296" t="s">
        <v>3837</v>
      </c>
      <c r="I1296" t="s">
        <v>2532</v>
      </c>
      <c r="J1296">
        <v>2702</v>
      </c>
      <c r="K1296" t="s">
        <v>2532</v>
      </c>
      <c r="L1296">
        <v>2100</v>
      </c>
      <c r="M1296" t="s">
        <v>123</v>
      </c>
      <c r="N1296">
        <v>2106</v>
      </c>
      <c r="O1296" t="s">
        <v>2399</v>
      </c>
      <c r="P1296" t="s">
        <v>3108</v>
      </c>
      <c r="Q1296" t="s">
        <v>3249</v>
      </c>
      <c r="R1296" t="s">
        <v>3249</v>
      </c>
      <c r="S1296" t="s">
        <v>810</v>
      </c>
      <c r="T1296" t="s">
        <v>2754</v>
      </c>
      <c r="U1296" t="s">
        <v>3250</v>
      </c>
      <c r="V1296" t="s">
        <v>3250</v>
      </c>
      <c r="W1296" t="s">
        <v>3250</v>
      </c>
      <c r="X1296" t="s">
        <v>3250</v>
      </c>
      <c r="Y1296" t="s">
        <v>3250</v>
      </c>
      <c r="Z1296" t="s">
        <v>3250</v>
      </c>
      <c r="AA1296" t="s">
        <v>3108</v>
      </c>
      <c r="AB1296" t="s">
        <v>3108</v>
      </c>
      <c r="AC1296" t="s">
        <v>3250</v>
      </c>
      <c r="AD1296" t="s">
        <v>3250</v>
      </c>
      <c r="AE1296" t="s">
        <v>3250</v>
      </c>
      <c r="AF1296" t="s">
        <v>3250</v>
      </c>
      <c r="AG1296" t="s">
        <v>3250</v>
      </c>
      <c r="AH1296" t="s">
        <v>3250</v>
      </c>
      <c r="AI1296" t="s">
        <v>3250</v>
      </c>
      <c r="AJ1296" t="s">
        <v>3250</v>
      </c>
      <c r="AL1296" t="s">
        <v>3250</v>
      </c>
      <c r="AM1296" t="s">
        <v>3250</v>
      </c>
      <c r="AN1296" t="s">
        <v>3250</v>
      </c>
      <c r="AO1296" t="s">
        <v>3250</v>
      </c>
      <c r="AS1296" t="s">
        <v>3250</v>
      </c>
      <c r="AT1296" t="s">
        <v>3250</v>
      </c>
      <c r="AU1296" t="s">
        <v>3250</v>
      </c>
      <c r="AV1296" t="s">
        <v>3250</v>
      </c>
      <c r="AW1296" t="s">
        <v>3250</v>
      </c>
      <c r="AX1296" t="s">
        <v>3250</v>
      </c>
      <c r="AY1296" t="s">
        <v>3250</v>
      </c>
      <c r="AZ1296" t="s">
        <v>3250</v>
      </c>
      <c r="BA1296" t="s">
        <v>3250</v>
      </c>
      <c r="BB1296" t="s">
        <v>3250</v>
      </c>
      <c r="BC1296" t="s">
        <v>3250</v>
      </c>
      <c r="BE1296" t="s">
        <v>3250</v>
      </c>
      <c r="BF1296" t="s">
        <v>3250</v>
      </c>
      <c r="BG1296" t="s">
        <v>3250</v>
      </c>
      <c r="BH1296" t="s">
        <v>3250</v>
      </c>
      <c r="BI1296" t="s">
        <v>3250</v>
      </c>
      <c r="BK1296" t="s">
        <v>3250</v>
      </c>
      <c r="BL1296" t="s">
        <v>3250</v>
      </c>
      <c r="BM1296" t="s">
        <v>3250</v>
      </c>
      <c r="BN1296" t="s">
        <v>3250</v>
      </c>
      <c r="BP1296">
        <v>5</v>
      </c>
      <c r="BQ1296">
        <v>53</v>
      </c>
      <c r="BR1296" t="s">
        <v>2399</v>
      </c>
      <c r="BS1296" t="s">
        <v>4136</v>
      </c>
      <c r="BV1296">
        <v>0</v>
      </c>
      <c r="BW1296">
        <v>0</v>
      </c>
      <c r="BX1296">
        <v>7443</v>
      </c>
      <c r="BY1296">
        <v>0</v>
      </c>
      <c r="BZ1296">
        <v>0</v>
      </c>
      <c r="CA1296">
        <v>0</v>
      </c>
      <c r="CB1296">
        <v>0</v>
      </c>
      <c r="CC1296">
        <v>0</v>
      </c>
      <c r="CD1296">
        <v>0</v>
      </c>
      <c r="CE1296" t="s">
        <v>3108</v>
      </c>
      <c r="CF1296" t="s">
        <v>3108</v>
      </c>
      <c r="CG1296" t="s">
        <v>3108</v>
      </c>
      <c r="CH1296" t="s">
        <v>3108</v>
      </c>
    </row>
    <row r="1297" spans="1:86" x14ac:dyDescent="0.2">
      <c r="A1297" t="s">
        <v>5163</v>
      </c>
      <c r="B1297" t="s">
        <v>5163</v>
      </c>
      <c r="C1297">
        <v>41775</v>
      </c>
      <c r="D1297">
        <v>1419</v>
      </c>
      <c r="E1297" t="s">
        <v>5164</v>
      </c>
      <c r="F1297">
        <v>2900</v>
      </c>
      <c r="G1297" t="s">
        <v>822</v>
      </c>
      <c r="H1297" t="s">
        <v>3108</v>
      </c>
      <c r="I1297" t="s">
        <v>3108</v>
      </c>
      <c r="J1297">
        <v>2903</v>
      </c>
      <c r="K1297" t="s">
        <v>598</v>
      </c>
      <c r="L1297">
        <v>1200</v>
      </c>
      <c r="M1297" t="s">
        <v>2368</v>
      </c>
      <c r="N1297">
        <v>1204</v>
      </c>
      <c r="O1297" t="s">
        <v>1574</v>
      </c>
      <c r="P1297" t="s">
        <v>3108</v>
      </c>
      <c r="Q1297" t="s">
        <v>3249</v>
      </c>
      <c r="R1297" t="s">
        <v>3249</v>
      </c>
      <c r="S1297" t="s">
        <v>810</v>
      </c>
      <c r="T1297" t="s">
        <v>2754</v>
      </c>
      <c r="U1297" t="s">
        <v>3250</v>
      </c>
      <c r="V1297" t="s">
        <v>3250</v>
      </c>
      <c r="W1297" t="s">
        <v>3250</v>
      </c>
      <c r="X1297" t="s">
        <v>3250</v>
      </c>
      <c r="Y1297" t="s">
        <v>3250</v>
      </c>
      <c r="Z1297" t="s">
        <v>3250</v>
      </c>
      <c r="AA1297" t="s">
        <v>3108</v>
      </c>
      <c r="AB1297" t="s">
        <v>3108</v>
      </c>
      <c r="AC1297" t="s">
        <v>3250</v>
      </c>
      <c r="AD1297" t="s">
        <v>3250</v>
      </c>
      <c r="AE1297" t="s">
        <v>3250</v>
      </c>
      <c r="AF1297" t="s">
        <v>3250</v>
      </c>
      <c r="AG1297" t="s">
        <v>3250</v>
      </c>
      <c r="AH1297" t="s">
        <v>3250</v>
      </c>
      <c r="AI1297" t="s">
        <v>3250</v>
      </c>
      <c r="AJ1297" t="s">
        <v>3250</v>
      </c>
      <c r="AL1297" t="s">
        <v>3250</v>
      </c>
      <c r="AM1297" t="s">
        <v>3250</v>
      </c>
      <c r="AN1297" t="s">
        <v>3250</v>
      </c>
      <c r="AO1297" t="s">
        <v>3250</v>
      </c>
      <c r="AS1297" t="s">
        <v>3250</v>
      </c>
      <c r="AT1297" t="s">
        <v>3250</v>
      </c>
      <c r="AU1297" t="s">
        <v>3250</v>
      </c>
      <c r="AV1297" t="s">
        <v>3250</v>
      </c>
      <c r="AW1297" t="s">
        <v>3250</v>
      </c>
      <c r="AX1297" t="s">
        <v>3250</v>
      </c>
      <c r="AY1297" t="s">
        <v>3250</v>
      </c>
      <c r="AZ1297" t="s">
        <v>3250</v>
      </c>
      <c r="BA1297" t="s">
        <v>3250</v>
      </c>
      <c r="BB1297" t="s">
        <v>3250</v>
      </c>
      <c r="BC1297" t="s">
        <v>3250</v>
      </c>
      <c r="BE1297" t="s">
        <v>3250</v>
      </c>
      <c r="BF1297" t="s">
        <v>3250</v>
      </c>
      <c r="BG1297" t="s">
        <v>3250</v>
      </c>
      <c r="BH1297" t="s">
        <v>3250</v>
      </c>
      <c r="BI1297" t="s">
        <v>3250</v>
      </c>
      <c r="BK1297" t="s">
        <v>3250</v>
      </c>
      <c r="BL1297" t="s">
        <v>3250</v>
      </c>
      <c r="BM1297" t="s">
        <v>3250</v>
      </c>
      <c r="BN1297" t="s">
        <v>3250</v>
      </c>
      <c r="BP1297">
        <v>1</v>
      </c>
      <c r="BQ1297">
        <v>11</v>
      </c>
      <c r="BR1297" t="s">
        <v>1574</v>
      </c>
      <c r="BS1297" t="s">
        <v>3252</v>
      </c>
      <c r="BV1297">
        <v>1173307</v>
      </c>
      <c r="BW1297">
        <v>1233373</v>
      </c>
      <c r="BX1297">
        <v>1264610</v>
      </c>
      <c r="BY1297">
        <v>1400898</v>
      </c>
      <c r="BZ1297">
        <v>1400898</v>
      </c>
      <c r="CA1297">
        <v>1455533</v>
      </c>
      <c r="CB1297">
        <v>1513754</v>
      </c>
      <c r="CC1297">
        <v>1574305</v>
      </c>
      <c r="CD1297">
        <v>1261022</v>
      </c>
      <c r="CE1297" t="s">
        <v>3108</v>
      </c>
      <c r="CF1297" t="s">
        <v>3108</v>
      </c>
      <c r="CG1297" t="s">
        <v>3108</v>
      </c>
      <c r="CH1297" t="s">
        <v>3108</v>
      </c>
    </row>
    <row r="1298" spans="1:86" x14ac:dyDescent="0.2">
      <c r="A1298" t="s">
        <v>5165</v>
      </c>
      <c r="B1298" t="s">
        <v>5165</v>
      </c>
      <c r="C1298">
        <v>41777</v>
      </c>
      <c r="D1298">
        <v>1421</v>
      </c>
      <c r="E1298" t="s">
        <v>4029</v>
      </c>
      <c r="F1298">
        <v>2900</v>
      </c>
      <c r="G1298" t="s">
        <v>822</v>
      </c>
      <c r="H1298" t="s">
        <v>3108</v>
      </c>
      <c r="I1298" t="s">
        <v>3108</v>
      </c>
      <c r="J1298">
        <v>2904</v>
      </c>
      <c r="K1298" t="s">
        <v>1690</v>
      </c>
      <c r="L1298">
        <v>1100</v>
      </c>
      <c r="M1298" t="s">
        <v>119</v>
      </c>
      <c r="N1298">
        <v>1110</v>
      </c>
      <c r="O1298" t="s">
        <v>284</v>
      </c>
      <c r="P1298" t="s">
        <v>3108</v>
      </c>
      <c r="Q1298" t="s">
        <v>3249</v>
      </c>
      <c r="R1298" t="s">
        <v>3249</v>
      </c>
      <c r="S1298" t="s">
        <v>810</v>
      </c>
      <c r="T1298" t="s">
        <v>2754</v>
      </c>
      <c r="U1298" t="s">
        <v>3250</v>
      </c>
      <c r="V1298" t="s">
        <v>3250</v>
      </c>
      <c r="W1298" t="s">
        <v>3250</v>
      </c>
      <c r="X1298" t="s">
        <v>3250</v>
      </c>
      <c r="Y1298" t="s">
        <v>3250</v>
      </c>
      <c r="Z1298" t="s">
        <v>3250</v>
      </c>
      <c r="AA1298" t="s">
        <v>3108</v>
      </c>
      <c r="AB1298" t="s">
        <v>3108</v>
      </c>
      <c r="AC1298" t="s">
        <v>3250</v>
      </c>
      <c r="AD1298" t="s">
        <v>3250</v>
      </c>
      <c r="AE1298" t="s">
        <v>3250</v>
      </c>
      <c r="AF1298" t="s">
        <v>3250</v>
      </c>
      <c r="AG1298" t="s">
        <v>3250</v>
      </c>
      <c r="AH1298" t="s">
        <v>3250</v>
      </c>
      <c r="AI1298" t="s">
        <v>3250</v>
      </c>
      <c r="AJ1298" t="s">
        <v>3250</v>
      </c>
      <c r="AL1298" t="s">
        <v>3250</v>
      </c>
      <c r="AM1298" t="s">
        <v>3250</v>
      </c>
      <c r="AN1298" t="s">
        <v>3250</v>
      </c>
      <c r="AO1298" t="s">
        <v>3250</v>
      </c>
      <c r="AS1298" t="s">
        <v>3250</v>
      </c>
      <c r="AT1298" t="s">
        <v>3250</v>
      </c>
      <c r="AU1298" t="s">
        <v>3250</v>
      </c>
      <c r="AV1298" t="s">
        <v>3250</v>
      </c>
      <c r="AW1298" t="s">
        <v>3250</v>
      </c>
      <c r="AX1298" t="s">
        <v>3250</v>
      </c>
      <c r="AY1298" t="s">
        <v>3250</v>
      </c>
      <c r="AZ1298" t="s">
        <v>3250</v>
      </c>
      <c r="BA1298" t="s">
        <v>3250</v>
      </c>
      <c r="BB1298" t="s">
        <v>3250</v>
      </c>
      <c r="BC1298" t="s">
        <v>3250</v>
      </c>
      <c r="BE1298" t="s">
        <v>3250</v>
      </c>
      <c r="BF1298" t="s">
        <v>3250</v>
      </c>
      <c r="BG1298" t="s">
        <v>3250</v>
      </c>
      <c r="BH1298" t="s">
        <v>3250</v>
      </c>
      <c r="BI1298" t="s">
        <v>3250</v>
      </c>
      <c r="BK1298" t="s">
        <v>3250</v>
      </c>
      <c r="BL1298" t="s">
        <v>3250</v>
      </c>
      <c r="BM1298" t="s">
        <v>3250</v>
      </c>
      <c r="BN1298" t="s">
        <v>3250</v>
      </c>
      <c r="BP1298">
        <v>3</v>
      </c>
      <c r="BQ1298">
        <v>32</v>
      </c>
      <c r="BR1298" t="s">
        <v>284</v>
      </c>
      <c r="BS1298" t="s">
        <v>4381</v>
      </c>
      <c r="BV1298">
        <v>0</v>
      </c>
      <c r="BW1298">
        <v>0</v>
      </c>
      <c r="BX1298">
        <v>38447</v>
      </c>
      <c r="BY1298">
        <v>0</v>
      </c>
      <c r="BZ1298">
        <v>0</v>
      </c>
      <c r="CA1298">
        <v>0</v>
      </c>
      <c r="CB1298">
        <v>0</v>
      </c>
      <c r="CC1298">
        <v>0</v>
      </c>
      <c r="CD1298">
        <v>0</v>
      </c>
      <c r="CE1298" t="s">
        <v>3108</v>
      </c>
      <c r="CF1298" t="s">
        <v>3108</v>
      </c>
      <c r="CG1298" t="s">
        <v>3108</v>
      </c>
      <c r="CH1298" t="s">
        <v>3108</v>
      </c>
    </row>
    <row r="1299" spans="1:86" x14ac:dyDescent="0.2">
      <c r="A1299" t="s">
        <v>5166</v>
      </c>
      <c r="B1299" t="s">
        <v>5166</v>
      </c>
      <c r="C1299">
        <v>41778</v>
      </c>
      <c r="D1299">
        <v>1422</v>
      </c>
      <c r="E1299" t="s">
        <v>4033</v>
      </c>
      <c r="F1299">
        <v>2900</v>
      </c>
      <c r="G1299" t="s">
        <v>822</v>
      </c>
      <c r="H1299" t="s">
        <v>3108</v>
      </c>
      <c r="I1299" t="s">
        <v>3108</v>
      </c>
      <c r="J1299">
        <v>2904</v>
      </c>
      <c r="K1299" t="s">
        <v>1690</v>
      </c>
      <c r="L1299">
        <v>1100</v>
      </c>
      <c r="M1299" t="s">
        <v>119</v>
      </c>
      <c r="N1299">
        <v>1120</v>
      </c>
      <c r="O1299" t="s">
        <v>2367</v>
      </c>
      <c r="P1299" t="s">
        <v>3108</v>
      </c>
      <c r="Q1299" t="s">
        <v>3249</v>
      </c>
      <c r="R1299" t="s">
        <v>3249</v>
      </c>
      <c r="S1299" t="s">
        <v>810</v>
      </c>
      <c r="T1299" t="s">
        <v>2754</v>
      </c>
      <c r="U1299" t="s">
        <v>3250</v>
      </c>
      <c r="V1299" t="s">
        <v>3250</v>
      </c>
      <c r="W1299" t="s">
        <v>3250</v>
      </c>
      <c r="X1299" t="s">
        <v>3250</v>
      </c>
      <c r="Y1299" t="s">
        <v>3250</v>
      </c>
      <c r="Z1299" t="s">
        <v>3250</v>
      </c>
      <c r="AA1299" t="s">
        <v>3108</v>
      </c>
      <c r="AB1299" t="s">
        <v>3108</v>
      </c>
      <c r="AC1299" t="s">
        <v>3250</v>
      </c>
      <c r="AD1299" t="s">
        <v>3250</v>
      </c>
      <c r="AE1299" t="s">
        <v>3250</v>
      </c>
      <c r="AF1299" t="s">
        <v>3250</v>
      </c>
      <c r="AG1299" t="s">
        <v>3250</v>
      </c>
      <c r="AH1299" t="s">
        <v>3250</v>
      </c>
      <c r="AI1299" t="s">
        <v>3250</v>
      </c>
      <c r="AJ1299" t="s">
        <v>3250</v>
      </c>
      <c r="AL1299" t="s">
        <v>3250</v>
      </c>
      <c r="AM1299" t="s">
        <v>3250</v>
      </c>
      <c r="AN1299" t="s">
        <v>3250</v>
      </c>
      <c r="AO1299" t="s">
        <v>3250</v>
      </c>
      <c r="AS1299" t="s">
        <v>3250</v>
      </c>
      <c r="AT1299" t="s">
        <v>3250</v>
      </c>
      <c r="AU1299" t="s">
        <v>3250</v>
      </c>
      <c r="AV1299" t="s">
        <v>3250</v>
      </c>
      <c r="AW1299" t="s">
        <v>3250</v>
      </c>
      <c r="AX1299" t="s">
        <v>3250</v>
      </c>
      <c r="AY1299" t="s">
        <v>3250</v>
      </c>
      <c r="AZ1299" t="s">
        <v>3250</v>
      </c>
      <c r="BA1299" t="s">
        <v>3250</v>
      </c>
      <c r="BB1299" t="s">
        <v>3250</v>
      </c>
      <c r="BC1299" t="s">
        <v>3250</v>
      </c>
      <c r="BE1299" t="s">
        <v>3250</v>
      </c>
      <c r="BF1299" t="s">
        <v>3250</v>
      </c>
      <c r="BG1299" t="s">
        <v>3250</v>
      </c>
      <c r="BH1299" t="s">
        <v>3250</v>
      </c>
      <c r="BI1299" t="s">
        <v>3250</v>
      </c>
      <c r="BK1299" t="s">
        <v>3250</v>
      </c>
      <c r="BL1299" t="s">
        <v>3250</v>
      </c>
      <c r="BM1299" t="s">
        <v>3250</v>
      </c>
      <c r="BN1299" t="s">
        <v>3250</v>
      </c>
      <c r="BP1299">
        <v>3</v>
      </c>
      <c r="BQ1299">
        <v>31</v>
      </c>
      <c r="BR1299" t="s">
        <v>2367</v>
      </c>
      <c r="BS1299" t="s">
        <v>4381</v>
      </c>
      <c r="BV1299">
        <v>0</v>
      </c>
      <c r="BW1299">
        <v>0</v>
      </c>
      <c r="BX1299">
        <v>0</v>
      </c>
      <c r="BY1299">
        <v>0</v>
      </c>
      <c r="BZ1299">
        <v>0</v>
      </c>
      <c r="CA1299">
        <v>0</v>
      </c>
      <c r="CB1299">
        <v>0</v>
      </c>
      <c r="CC1299">
        <v>0</v>
      </c>
      <c r="CD1299">
        <v>0</v>
      </c>
      <c r="CE1299" t="s">
        <v>3108</v>
      </c>
      <c r="CF1299" t="s">
        <v>3108</v>
      </c>
      <c r="CG1299" t="s">
        <v>3108</v>
      </c>
      <c r="CH1299" t="s">
        <v>3108</v>
      </c>
    </row>
    <row r="1300" spans="1:86" x14ac:dyDescent="0.2">
      <c r="A1300" t="s">
        <v>5167</v>
      </c>
      <c r="B1300" t="s">
        <v>5167</v>
      </c>
      <c r="C1300">
        <v>41779</v>
      </c>
      <c r="D1300">
        <v>1423</v>
      </c>
      <c r="E1300" t="s">
        <v>4029</v>
      </c>
      <c r="F1300">
        <v>2900</v>
      </c>
      <c r="G1300" t="s">
        <v>822</v>
      </c>
      <c r="H1300" t="s">
        <v>3108</v>
      </c>
      <c r="I1300" t="s">
        <v>3108</v>
      </c>
      <c r="J1300">
        <v>2904</v>
      </c>
      <c r="K1300" t="s">
        <v>1690</v>
      </c>
      <c r="L1300">
        <v>1100</v>
      </c>
      <c r="M1300" t="s">
        <v>119</v>
      </c>
      <c r="N1300">
        <v>1120</v>
      </c>
      <c r="O1300" t="s">
        <v>2367</v>
      </c>
      <c r="P1300" t="s">
        <v>3108</v>
      </c>
      <c r="Q1300" t="s">
        <v>3249</v>
      </c>
      <c r="R1300" t="s">
        <v>3249</v>
      </c>
      <c r="S1300" t="s">
        <v>810</v>
      </c>
      <c r="T1300" t="s">
        <v>2754</v>
      </c>
      <c r="U1300" t="s">
        <v>3250</v>
      </c>
      <c r="V1300" t="s">
        <v>3250</v>
      </c>
      <c r="W1300" t="s">
        <v>3250</v>
      </c>
      <c r="X1300" t="s">
        <v>3250</v>
      </c>
      <c r="Y1300" t="s">
        <v>3250</v>
      </c>
      <c r="Z1300" t="s">
        <v>3250</v>
      </c>
      <c r="AA1300" t="s">
        <v>3108</v>
      </c>
      <c r="AB1300" t="s">
        <v>3108</v>
      </c>
      <c r="AC1300" t="s">
        <v>3250</v>
      </c>
      <c r="AD1300" t="s">
        <v>3250</v>
      </c>
      <c r="AE1300" t="s">
        <v>3250</v>
      </c>
      <c r="AF1300" t="s">
        <v>3250</v>
      </c>
      <c r="AG1300" t="s">
        <v>3250</v>
      </c>
      <c r="AH1300" t="s">
        <v>3250</v>
      </c>
      <c r="AI1300" t="s">
        <v>3250</v>
      </c>
      <c r="AJ1300" t="s">
        <v>3250</v>
      </c>
      <c r="AL1300" t="s">
        <v>3250</v>
      </c>
      <c r="AM1300" t="s">
        <v>3250</v>
      </c>
      <c r="AN1300" t="s">
        <v>3250</v>
      </c>
      <c r="AO1300" t="s">
        <v>3250</v>
      </c>
      <c r="AS1300" t="s">
        <v>3250</v>
      </c>
      <c r="AT1300" t="s">
        <v>3250</v>
      </c>
      <c r="AU1300" t="s">
        <v>3250</v>
      </c>
      <c r="AV1300" t="s">
        <v>3250</v>
      </c>
      <c r="AW1300" t="s">
        <v>3250</v>
      </c>
      <c r="AX1300" t="s">
        <v>3250</v>
      </c>
      <c r="AY1300" t="s">
        <v>3250</v>
      </c>
      <c r="AZ1300" t="s">
        <v>3250</v>
      </c>
      <c r="BA1300" t="s">
        <v>3250</v>
      </c>
      <c r="BB1300" t="s">
        <v>3250</v>
      </c>
      <c r="BC1300" t="s">
        <v>3250</v>
      </c>
      <c r="BE1300" t="s">
        <v>3250</v>
      </c>
      <c r="BF1300" t="s">
        <v>3250</v>
      </c>
      <c r="BG1300" t="s">
        <v>3250</v>
      </c>
      <c r="BH1300" t="s">
        <v>3250</v>
      </c>
      <c r="BI1300" t="s">
        <v>3250</v>
      </c>
      <c r="BK1300" t="s">
        <v>3250</v>
      </c>
      <c r="BL1300" t="s">
        <v>3250</v>
      </c>
      <c r="BM1300" t="s">
        <v>3250</v>
      </c>
      <c r="BN1300" t="s">
        <v>3250</v>
      </c>
      <c r="BP1300">
        <v>3</v>
      </c>
      <c r="BQ1300">
        <v>31</v>
      </c>
      <c r="BR1300" t="s">
        <v>2367</v>
      </c>
      <c r="BS1300" t="s">
        <v>4381</v>
      </c>
      <c r="BV1300">
        <v>0</v>
      </c>
      <c r="BW1300">
        <v>48000</v>
      </c>
      <c r="BX1300">
        <v>0</v>
      </c>
      <c r="BY1300">
        <v>0</v>
      </c>
      <c r="BZ1300">
        <v>0</v>
      </c>
      <c r="CA1300">
        <v>0</v>
      </c>
      <c r="CB1300">
        <v>0</v>
      </c>
      <c r="CC1300">
        <v>0</v>
      </c>
      <c r="CD1300">
        <v>0</v>
      </c>
      <c r="CE1300" t="s">
        <v>3108</v>
      </c>
      <c r="CF1300" t="s">
        <v>3108</v>
      </c>
      <c r="CG1300" t="s">
        <v>3108</v>
      </c>
      <c r="CH1300" t="s">
        <v>3108</v>
      </c>
    </row>
    <row r="1301" spans="1:86" x14ac:dyDescent="0.2">
      <c r="A1301" t="s">
        <v>5168</v>
      </c>
      <c r="B1301" t="s">
        <v>5168</v>
      </c>
      <c r="C1301">
        <v>41780</v>
      </c>
      <c r="D1301">
        <v>1424</v>
      </c>
      <c r="E1301" t="s">
        <v>4031</v>
      </c>
      <c r="F1301">
        <v>2900</v>
      </c>
      <c r="G1301" t="s">
        <v>822</v>
      </c>
      <c r="H1301" t="s">
        <v>3108</v>
      </c>
      <c r="I1301" t="s">
        <v>3108</v>
      </c>
      <c r="J1301">
        <v>2904</v>
      </c>
      <c r="K1301" t="s">
        <v>1690</v>
      </c>
      <c r="L1301">
        <v>1100</v>
      </c>
      <c r="M1301" t="s">
        <v>119</v>
      </c>
      <c r="N1301">
        <v>1120</v>
      </c>
      <c r="O1301" t="s">
        <v>2367</v>
      </c>
      <c r="P1301" t="s">
        <v>3108</v>
      </c>
      <c r="Q1301" t="s">
        <v>3249</v>
      </c>
      <c r="R1301" t="s">
        <v>3249</v>
      </c>
      <c r="S1301" t="s">
        <v>810</v>
      </c>
      <c r="T1301" t="s">
        <v>2754</v>
      </c>
      <c r="U1301" t="s">
        <v>3250</v>
      </c>
      <c r="V1301" t="s">
        <v>3250</v>
      </c>
      <c r="W1301" t="s">
        <v>3250</v>
      </c>
      <c r="X1301" t="s">
        <v>3250</v>
      </c>
      <c r="Y1301" t="s">
        <v>3250</v>
      </c>
      <c r="Z1301" t="s">
        <v>3250</v>
      </c>
      <c r="AA1301" t="s">
        <v>3108</v>
      </c>
      <c r="AB1301" t="s">
        <v>3108</v>
      </c>
      <c r="AC1301" t="s">
        <v>3250</v>
      </c>
      <c r="AD1301" t="s">
        <v>3250</v>
      </c>
      <c r="AE1301" t="s">
        <v>3250</v>
      </c>
      <c r="AF1301" t="s">
        <v>3250</v>
      </c>
      <c r="AG1301" t="s">
        <v>3250</v>
      </c>
      <c r="AH1301" t="s">
        <v>3250</v>
      </c>
      <c r="AI1301" t="s">
        <v>3250</v>
      </c>
      <c r="AJ1301" t="s">
        <v>3250</v>
      </c>
      <c r="AL1301" t="s">
        <v>3250</v>
      </c>
      <c r="AM1301" t="s">
        <v>3250</v>
      </c>
      <c r="AN1301" t="s">
        <v>3250</v>
      </c>
      <c r="AO1301" t="s">
        <v>3250</v>
      </c>
      <c r="AS1301" t="s">
        <v>3250</v>
      </c>
      <c r="AT1301" t="s">
        <v>3250</v>
      </c>
      <c r="AU1301" t="s">
        <v>3250</v>
      </c>
      <c r="AV1301" t="s">
        <v>3250</v>
      </c>
      <c r="AW1301" t="s">
        <v>3250</v>
      </c>
      <c r="AX1301" t="s">
        <v>3250</v>
      </c>
      <c r="AY1301" t="s">
        <v>3250</v>
      </c>
      <c r="AZ1301" t="s">
        <v>3250</v>
      </c>
      <c r="BA1301" t="s">
        <v>3250</v>
      </c>
      <c r="BB1301" t="s">
        <v>3250</v>
      </c>
      <c r="BC1301" t="s">
        <v>3250</v>
      </c>
      <c r="BE1301" t="s">
        <v>3250</v>
      </c>
      <c r="BF1301" t="s">
        <v>3250</v>
      </c>
      <c r="BG1301" t="s">
        <v>3250</v>
      </c>
      <c r="BH1301" t="s">
        <v>3250</v>
      </c>
      <c r="BI1301" t="s">
        <v>3250</v>
      </c>
      <c r="BK1301" t="s">
        <v>3250</v>
      </c>
      <c r="BL1301" t="s">
        <v>3250</v>
      </c>
      <c r="BM1301" t="s">
        <v>3250</v>
      </c>
      <c r="BN1301" t="s">
        <v>3250</v>
      </c>
      <c r="BP1301">
        <v>3</v>
      </c>
      <c r="BQ1301">
        <v>31</v>
      </c>
      <c r="BR1301" t="s">
        <v>2367</v>
      </c>
      <c r="BS1301" t="s">
        <v>4381</v>
      </c>
      <c r="BV1301">
        <v>0</v>
      </c>
      <c r="BW1301">
        <v>0</v>
      </c>
      <c r="BX1301">
        <v>-10</v>
      </c>
      <c r="BY1301">
        <v>0</v>
      </c>
      <c r="BZ1301">
        <v>0</v>
      </c>
      <c r="CA1301">
        <v>0</v>
      </c>
      <c r="CB1301">
        <v>0</v>
      </c>
      <c r="CC1301">
        <v>0</v>
      </c>
      <c r="CD1301">
        <v>0</v>
      </c>
      <c r="CE1301" t="s">
        <v>3108</v>
      </c>
      <c r="CF1301" t="s">
        <v>3108</v>
      </c>
      <c r="CG1301" t="s">
        <v>3108</v>
      </c>
      <c r="CH1301" t="s">
        <v>3108</v>
      </c>
    </row>
    <row r="1302" spans="1:86" x14ac:dyDescent="0.2">
      <c r="A1302" t="s">
        <v>5169</v>
      </c>
      <c r="B1302" t="s">
        <v>5169</v>
      </c>
      <c r="C1302">
        <v>41781</v>
      </c>
      <c r="D1302">
        <v>1425</v>
      </c>
      <c r="E1302" t="s">
        <v>4103</v>
      </c>
      <c r="F1302">
        <v>2900</v>
      </c>
      <c r="G1302" t="s">
        <v>822</v>
      </c>
      <c r="H1302" t="s">
        <v>3108</v>
      </c>
      <c r="I1302" t="s">
        <v>3108</v>
      </c>
      <c r="J1302">
        <v>2904</v>
      </c>
      <c r="K1302" t="s">
        <v>1690</v>
      </c>
      <c r="L1302">
        <v>1100</v>
      </c>
      <c r="M1302" t="s">
        <v>119</v>
      </c>
      <c r="N1302">
        <v>1120</v>
      </c>
      <c r="O1302" t="s">
        <v>2367</v>
      </c>
      <c r="P1302" t="s">
        <v>3108</v>
      </c>
      <c r="Q1302" t="s">
        <v>3249</v>
      </c>
      <c r="R1302" t="s">
        <v>3249</v>
      </c>
      <c r="S1302" t="s">
        <v>810</v>
      </c>
      <c r="T1302" t="s">
        <v>2754</v>
      </c>
      <c r="U1302" t="s">
        <v>3250</v>
      </c>
      <c r="V1302" t="s">
        <v>3250</v>
      </c>
      <c r="W1302" t="s">
        <v>3250</v>
      </c>
      <c r="X1302" t="s">
        <v>3250</v>
      </c>
      <c r="Y1302" t="s">
        <v>3250</v>
      </c>
      <c r="Z1302" t="s">
        <v>3250</v>
      </c>
      <c r="AA1302" t="s">
        <v>3108</v>
      </c>
      <c r="AB1302" t="s">
        <v>3108</v>
      </c>
      <c r="AC1302" t="s">
        <v>3250</v>
      </c>
      <c r="AD1302" t="s">
        <v>3250</v>
      </c>
      <c r="AE1302" t="s">
        <v>3250</v>
      </c>
      <c r="AF1302" t="s">
        <v>3250</v>
      </c>
      <c r="AG1302" t="s">
        <v>3250</v>
      </c>
      <c r="AH1302" t="s">
        <v>3250</v>
      </c>
      <c r="AI1302" t="s">
        <v>3250</v>
      </c>
      <c r="AJ1302" t="s">
        <v>3250</v>
      </c>
      <c r="AL1302" t="s">
        <v>3250</v>
      </c>
      <c r="AM1302" t="s">
        <v>3250</v>
      </c>
      <c r="AN1302" t="s">
        <v>3250</v>
      </c>
      <c r="AO1302" t="s">
        <v>3250</v>
      </c>
      <c r="AS1302" t="s">
        <v>3250</v>
      </c>
      <c r="AT1302" t="s">
        <v>3250</v>
      </c>
      <c r="AU1302" t="s">
        <v>3250</v>
      </c>
      <c r="AV1302" t="s">
        <v>3250</v>
      </c>
      <c r="AW1302" t="s">
        <v>3250</v>
      </c>
      <c r="AX1302" t="s">
        <v>3250</v>
      </c>
      <c r="AY1302" t="s">
        <v>3250</v>
      </c>
      <c r="AZ1302" t="s">
        <v>3250</v>
      </c>
      <c r="BA1302" t="s">
        <v>3250</v>
      </c>
      <c r="BB1302" t="s">
        <v>3250</v>
      </c>
      <c r="BC1302" t="s">
        <v>3250</v>
      </c>
      <c r="BE1302" t="s">
        <v>3250</v>
      </c>
      <c r="BF1302" t="s">
        <v>3250</v>
      </c>
      <c r="BG1302" t="s">
        <v>3250</v>
      </c>
      <c r="BH1302" t="s">
        <v>3250</v>
      </c>
      <c r="BI1302" t="s">
        <v>3250</v>
      </c>
      <c r="BK1302" t="s">
        <v>3250</v>
      </c>
      <c r="BL1302" t="s">
        <v>3250</v>
      </c>
      <c r="BM1302" t="s">
        <v>3250</v>
      </c>
      <c r="BN1302" t="s">
        <v>3250</v>
      </c>
      <c r="BP1302">
        <v>3</v>
      </c>
      <c r="BQ1302">
        <v>31</v>
      </c>
      <c r="BR1302" t="s">
        <v>2367</v>
      </c>
      <c r="BS1302" t="s">
        <v>4381</v>
      </c>
      <c r="BV1302">
        <v>0</v>
      </c>
      <c r="BW1302">
        <v>0</v>
      </c>
      <c r="BX1302">
        <v>0</v>
      </c>
      <c r="BY1302">
        <v>0</v>
      </c>
      <c r="BZ1302">
        <v>0</v>
      </c>
      <c r="CA1302">
        <v>0</v>
      </c>
      <c r="CB1302">
        <v>0</v>
      </c>
      <c r="CC1302">
        <v>0</v>
      </c>
      <c r="CD1302">
        <v>0</v>
      </c>
      <c r="CE1302" t="s">
        <v>3108</v>
      </c>
      <c r="CF1302" t="s">
        <v>3108</v>
      </c>
      <c r="CG1302" t="s">
        <v>3108</v>
      </c>
      <c r="CH1302" t="s">
        <v>3108</v>
      </c>
    </row>
    <row r="1303" spans="1:86" x14ac:dyDescent="0.2">
      <c r="A1303" t="s">
        <v>5170</v>
      </c>
      <c r="B1303" t="s">
        <v>5170</v>
      </c>
      <c r="C1303">
        <v>41782</v>
      </c>
      <c r="D1303">
        <v>1426</v>
      </c>
      <c r="E1303" t="s">
        <v>4444</v>
      </c>
      <c r="F1303">
        <v>2900</v>
      </c>
      <c r="G1303" t="s">
        <v>822</v>
      </c>
      <c r="H1303" t="s">
        <v>3108</v>
      </c>
      <c r="I1303" t="s">
        <v>3108</v>
      </c>
      <c r="J1303">
        <v>2904</v>
      </c>
      <c r="K1303" t="s">
        <v>1690</v>
      </c>
      <c r="L1303">
        <v>3100</v>
      </c>
      <c r="M1303" t="s">
        <v>127</v>
      </c>
      <c r="N1303">
        <v>3105</v>
      </c>
      <c r="O1303" t="s">
        <v>2416</v>
      </c>
      <c r="P1303" t="s">
        <v>3108</v>
      </c>
      <c r="Q1303" t="s">
        <v>3249</v>
      </c>
      <c r="R1303" t="s">
        <v>3249</v>
      </c>
      <c r="S1303" t="s">
        <v>810</v>
      </c>
      <c r="T1303" t="s">
        <v>2754</v>
      </c>
      <c r="U1303" t="s">
        <v>3250</v>
      </c>
      <c r="V1303" t="s">
        <v>3250</v>
      </c>
      <c r="W1303" t="s">
        <v>3250</v>
      </c>
      <c r="X1303" t="s">
        <v>3250</v>
      </c>
      <c r="Y1303" t="s">
        <v>3250</v>
      </c>
      <c r="Z1303" t="s">
        <v>3250</v>
      </c>
      <c r="AA1303" t="s">
        <v>3108</v>
      </c>
      <c r="AB1303" t="s">
        <v>3108</v>
      </c>
      <c r="AC1303" t="s">
        <v>3250</v>
      </c>
      <c r="AD1303" t="s">
        <v>3250</v>
      </c>
      <c r="AE1303" t="s">
        <v>3250</v>
      </c>
      <c r="AF1303" t="s">
        <v>3250</v>
      </c>
      <c r="AG1303" t="s">
        <v>3250</v>
      </c>
      <c r="AH1303" t="s">
        <v>3250</v>
      </c>
      <c r="AI1303" t="s">
        <v>3250</v>
      </c>
      <c r="AJ1303" t="s">
        <v>3250</v>
      </c>
      <c r="AL1303" t="s">
        <v>3250</v>
      </c>
      <c r="AM1303" t="s">
        <v>3250</v>
      </c>
      <c r="AN1303" t="s">
        <v>3250</v>
      </c>
      <c r="AO1303" t="s">
        <v>3250</v>
      </c>
      <c r="AS1303" t="s">
        <v>3250</v>
      </c>
      <c r="AT1303" t="s">
        <v>3250</v>
      </c>
      <c r="AU1303" t="s">
        <v>3250</v>
      </c>
      <c r="AV1303" t="s">
        <v>3250</v>
      </c>
      <c r="AW1303" t="s">
        <v>3250</v>
      </c>
      <c r="AX1303" t="s">
        <v>3250</v>
      </c>
      <c r="AY1303" t="s">
        <v>3250</v>
      </c>
      <c r="AZ1303" t="s">
        <v>3250</v>
      </c>
      <c r="BA1303" t="s">
        <v>3250</v>
      </c>
      <c r="BB1303" t="s">
        <v>3250</v>
      </c>
      <c r="BC1303" t="s">
        <v>3250</v>
      </c>
      <c r="BE1303" t="s">
        <v>3250</v>
      </c>
      <c r="BF1303" t="s">
        <v>3250</v>
      </c>
      <c r="BG1303" t="s">
        <v>3250</v>
      </c>
      <c r="BH1303" t="s">
        <v>3250</v>
      </c>
      <c r="BI1303" t="s">
        <v>3250</v>
      </c>
      <c r="BK1303" t="s">
        <v>3250</v>
      </c>
      <c r="BL1303" t="s">
        <v>3250</v>
      </c>
      <c r="BM1303" t="s">
        <v>3250</v>
      </c>
      <c r="BN1303" t="s">
        <v>3250</v>
      </c>
      <c r="BP1303">
        <v>8</v>
      </c>
      <c r="BQ1303">
        <v>83</v>
      </c>
      <c r="BR1303" t="s">
        <v>2416</v>
      </c>
      <c r="BS1303" t="s">
        <v>4013</v>
      </c>
      <c r="BV1303">
        <v>0</v>
      </c>
      <c r="BW1303">
        <v>0</v>
      </c>
      <c r="BX1303">
        <v>0</v>
      </c>
      <c r="BY1303">
        <v>0</v>
      </c>
      <c r="BZ1303">
        <v>0</v>
      </c>
      <c r="CA1303">
        <v>0</v>
      </c>
      <c r="CB1303">
        <v>0</v>
      </c>
      <c r="CC1303">
        <v>0</v>
      </c>
      <c r="CD1303">
        <v>0</v>
      </c>
      <c r="CE1303" t="s">
        <v>3108</v>
      </c>
      <c r="CF1303" t="s">
        <v>3108</v>
      </c>
      <c r="CG1303" t="s">
        <v>3108</v>
      </c>
      <c r="CH1303" t="s">
        <v>3108</v>
      </c>
    </row>
    <row r="1304" spans="1:86" x14ac:dyDescent="0.2">
      <c r="A1304" t="s">
        <v>5171</v>
      </c>
      <c r="B1304" t="s">
        <v>5171</v>
      </c>
      <c r="C1304">
        <v>41783</v>
      </c>
      <c r="D1304">
        <v>1427</v>
      </c>
      <c r="E1304" t="s">
        <v>5172</v>
      </c>
      <c r="F1304">
        <v>1700</v>
      </c>
      <c r="G1304" t="s">
        <v>407</v>
      </c>
      <c r="H1304">
        <v>1700</v>
      </c>
      <c r="I1304" t="s">
        <v>407</v>
      </c>
      <c r="J1304" t="s">
        <v>3250</v>
      </c>
      <c r="K1304" t="s">
        <v>3250</v>
      </c>
      <c r="L1304">
        <v>1200</v>
      </c>
      <c r="M1304" t="s">
        <v>2368</v>
      </c>
      <c r="N1304">
        <v>1204</v>
      </c>
      <c r="O1304" t="s">
        <v>1574</v>
      </c>
      <c r="P1304" t="s">
        <v>3108</v>
      </c>
      <c r="Q1304" t="s">
        <v>3249</v>
      </c>
      <c r="R1304" t="s">
        <v>3249</v>
      </c>
      <c r="S1304" t="s">
        <v>472</v>
      </c>
      <c r="T1304" t="s">
        <v>2759</v>
      </c>
      <c r="U1304" t="s">
        <v>3250</v>
      </c>
      <c r="V1304" t="s">
        <v>3250</v>
      </c>
      <c r="W1304" t="s">
        <v>3250</v>
      </c>
      <c r="X1304" t="s">
        <v>3250</v>
      </c>
      <c r="Y1304" t="s">
        <v>3250</v>
      </c>
      <c r="Z1304" t="s">
        <v>3250</v>
      </c>
      <c r="AA1304" t="s">
        <v>3108</v>
      </c>
      <c r="AB1304" t="s">
        <v>3108</v>
      </c>
      <c r="AC1304" t="s">
        <v>3250</v>
      </c>
      <c r="AD1304" t="s">
        <v>3250</v>
      </c>
      <c r="AE1304" t="s">
        <v>3250</v>
      </c>
      <c r="AF1304" t="s">
        <v>3250</v>
      </c>
      <c r="AG1304" t="s">
        <v>3250</v>
      </c>
      <c r="AH1304" t="s">
        <v>3250</v>
      </c>
      <c r="AI1304" t="s">
        <v>3250</v>
      </c>
      <c r="AJ1304" t="s">
        <v>3250</v>
      </c>
      <c r="AL1304" t="s">
        <v>3250</v>
      </c>
      <c r="AM1304" t="s">
        <v>3250</v>
      </c>
      <c r="AN1304" t="s">
        <v>3250</v>
      </c>
      <c r="AO1304" t="s">
        <v>3250</v>
      </c>
      <c r="AS1304" t="s">
        <v>3250</v>
      </c>
      <c r="AT1304" t="s">
        <v>3250</v>
      </c>
      <c r="AU1304" t="s">
        <v>3250</v>
      </c>
      <c r="AV1304" t="s">
        <v>3250</v>
      </c>
      <c r="AW1304" t="s">
        <v>3250</v>
      </c>
      <c r="AX1304" t="s">
        <v>3250</v>
      </c>
      <c r="AY1304" t="s">
        <v>3250</v>
      </c>
      <c r="AZ1304" t="s">
        <v>3250</v>
      </c>
      <c r="BA1304" t="s">
        <v>3250</v>
      </c>
      <c r="BB1304" t="s">
        <v>3250</v>
      </c>
      <c r="BC1304" t="s">
        <v>3250</v>
      </c>
      <c r="BE1304" t="s">
        <v>3250</v>
      </c>
      <c r="BF1304" t="s">
        <v>3250</v>
      </c>
      <c r="BG1304" t="s">
        <v>3250</v>
      </c>
      <c r="BH1304" t="s">
        <v>3250</v>
      </c>
      <c r="BI1304" t="s">
        <v>3250</v>
      </c>
      <c r="BK1304" t="s">
        <v>3250</v>
      </c>
      <c r="BL1304" t="s">
        <v>3250</v>
      </c>
      <c r="BM1304" t="s">
        <v>3250</v>
      </c>
      <c r="BN1304" t="s">
        <v>3250</v>
      </c>
      <c r="BP1304">
        <v>1</v>
      </c>
      <c r="BQ1304">
        <v>11</v>
      </c>
      <c r="BR1304" t="s">
        <v>1574</v>
      </c>
      <c r="BS1304" t="s">
        <v>3252</v>
      </c>
      <c r="BV1304">
        <v>0</v>
      </c>
      <c r="BW1304">
        <v>0</v>
      </c>
      <c r="BX1304">
        <v>0</v>
      </c>
      <c r="BY1304">
        <v>0</v>
      </c>
      <c r="BZ1304">
        <v>0</v>
      </c>
      <c r="CA1304">
        <v>0</v>
      </c>
      <c r="CB1304">
        <v>0</v>
      </c>
      <c r="CC1304">
        <v>0</v>
      </c>
      <c r="CD1304">
        <v>0</v>
      </c>
      <c r="CE1304" t="s">
        <v>3108</v>
      </c>
      <c r="CF1304" t="s">
        <v>3108</v>
      </c>
      <c r="CG1304" t="s">
        <v>3108</v>
      </c>
      <c r="CH1304" t="s">
        <v>3108</v>
      </c>
    </row>
    <row r="1305" spans="1:86" x14ac:dyDescent="0.2">
      <c r="A1305" t="s">
        <v>5173</v>
      </c>
      <c r="B1305" t="s">
        <v>5173</v>
      </c>
      <c r="C1305">
        <v>41784</v>
      </c>
      <c r="D1305">
        <v>1428</v>
      </c>
      <c r="E1305" t="s">
        <v>5174</v>
      </c>
      <c r="F1305">
        <v>3000</v>
      </c>
      <c r="G1305" t="s">
        <v>342</v>
      </c>
      <c r="H1305">
        <v>3000</v>
      </c>
      <c r="I1305" t="s">
        <v>342</v>
      </c>
      <c r="J1305" t="s">
        <v>3250</v>
      </c>
      <c r="K1305" t="s">
        <v>3250</v>
      </c>
      <c r="L1305">
        <v>1200</v>
      </c>
      <c r="M1305" t="s">
        <v>2368</v>
      </c>
      <c r="N1305">
        <v>1204</v>
      </c>
      <c r="O1305" t="s">
        <v>1574</v>
      </c>
      <c r="P1305" t="s">
        <v>3108</v>
      </c>
      <c r="Q1305" t="s">
        <v>3249</v>
      </c>
      <c r="R1305" t="s">
        <v>3249</v>
      </c>
      <c r="S1305" t="s">
        <v>472</v>
      </c>
      <c r="T1305" t="s">
        <v>2754</v>
      </c>
      <c r="U1305" t="s">
        <v>3250</v>
      </c>
      <c r="V1305" t="s">
        <v>3250</v>
      </c>
      <c r="W1305" t="s">
        <v>3250</v>
      </c>
      <c r="X1305" t="s">
        <v>3250</v>
      </c>
      <c r="Y1305" t="s">
        <v>3250</v>
      </c>
      <c r="Z1305" t="s">
        <v>3250</v>
      </c>
      <c r="AA1305" t="s">
        <v>3108</v>
      </c>
      <c r="AB1305" t="s">
        <v>3108</v>
      </c>
      <c r="AC1305" t="s">
        <v>3250</v>
      </c>
      <c r="AD1305" t="s">
        <v>3250</v>
      </c>
      <c r="AE1305" t="s">
        <v>3250</v>
      </c>
      <c r="AF1305" t="s">
        <v>3250</v>
      </c>
      <c r="AG1305" t="s">
        <v>3250</v>
      </c>
      <c r="AH1305" t="s">
        <v>3250</v>
      </c>
      <c r="AI1305" t="s">
        <v>3250</v>
      </c>
      <c r="AJ1305" t="s">
        <v>3250</v>
      </c>
      <c r="AL1305" t="s">
        <v>3250</v>
      </c>
      <c r="AM1305" t="s">
        <v>3250</v>
      </c>
      <c r="AN1305" t="s">
        <v>3250</v>
      </c>
      <c r="AO1305" t="s">
        <v>3250</v>
      </c>
      <c r="AS1305" t="s">
        <v>3250</v>
      </c>
      <c r="AT1305" t="s">
        <v>3250</v>
      </c>
      <c r="AU1305" t="s">
        <v>3250</v>
      </c>
      <c r="AV1305" t="s">
        <v>3250</v>
      </c>
      <c r="AW1305" t="s">
        <v>3250</v>
      </c>
      <c r="AX1305" t="s">
        <v>3250</v>
      </c>
      <c r="AY1305" t="s">
        <v>3250</v>
      </c>
      <c r="AZ1305" t="s">
        <v>3250</v>
      </c>
      <c r="BA1305" t="s">
        <v>3250</v>
      </c>
      <c r="BB1305" t="s">
        <v>3250</v>
      </c>
      <c r="BC1305" t="s">
        <v>3250</v>
      </c>
      <c r="BE1305" t="s">
        <v>3250</v>
      </c>
      <c r="BF1305" t="s">
        <v>3250</v>
      </c>
      <c r="BG1305" t="s">
        <v>3250</v>
      </c>
      <c r="BH1305" t="s">
        <v>3250</v>
      </c>
      <c r="BI1305" t="s">
        <v>3250</v>
      </c>
      <c r="BK1305" t="s">
        <v>3250</v>
      </c>
      <c r="BL1305" t="s">
        <v>3250</v>
      </c>
      <c r="BM1305" t="s">
        <v>3250</v>
      </c>
      <c r="BN1305" t="s">
        <v>3250</v>
      </c>
      <c r="BP1305">
        <v>1</v>
      </c>
      <c r="BQ1305">
        <v>11</v>
      </c>
      <c r="BR1305" t="s">
        <v>1574</v>
      </c>
      <c r="BS1305" t="s">
        <v>3252</v>
      </c>
      <c r="BV1305">
        <v>260677</v>
      </c>
      <c r="BW1305">
        <v>195350</v>
      </c>
      <c r="BX1305">
        <v>8428701</v>
      </c>
      <c r="BY1305">
        <v>0</v>
      </c>
      <c r="BZ1305">
        <v>0</v>
      </c>
      <c r="CA1305">
        <v>0</v>
      </c>
      <c r="CB1305">
        <v>0</v>
      </c>
      <c r="CC1305">
        <v>0</v>
      </c>
      <c r="CD1305">
        <v>0</v>
      </c>
      <c r="CE1305" t="s">
        <v>3108</v>
      </c>
      <c r="CF1305" t="s">
        <v>3108</v>
      </c>
      <c r="CG1305" t="s">
        <v>3108</v>
      </c>
      <c r="CH1305" t="s">
        <v>3108</v>
      </c>
    </row>
    <row r="1306" spans="1:86" x14ac:dyDescent="0.2">
      <c r="A1306" t="s">
        <v>5175</v>
      </c>
      <c r="B1306" t="s">
        <v>5175</v>
      </c>
      <c r="C1306">
        <v>41785</v>
      </c>
      <c r="D1306">
        <v>1429</v>
      </c>
      <c r="E1306" t="s">
        <v>4250</v>
      </c>
      <c r="F1306" t="s">
        <v>3249</v>
      </c>
      <c r="G1306" t="s">
        <v>3249</v>
      </c>
      <c r="H1306" t="s">
        <v>3250</v>
      </c>
      <c r="I1306" t="s">
        <v>3250</v>
      </c>
      <c r="J1306" t="s">
        <v>3250</v>
      </c>
      <c r="K1306" t="s">
        <v>3250</v>
      </c>
      <c r="L1306">
        <v>3100</v>
      </c>
      <c r="M1306" t="s">
        <v>127</v>
      </c>
      <c r="N1306">
        <v>3107</v>
      </c>
      <c r="O1306" t="s">
        <v>2418</v>
      </c>
      <c r="P1306" t="s">
        <v>2805</v>
      </c>
      <c r="Q1306">
        <v>2080</v>
      </c>
      <c r="R1306" t="s">
        <v>423</v>
      </c>
      <c r="S1306" t="s">
        <v>427</v>
      </c>
      <c r="T1306" t="s">
        <v>3251</v>
      </c>
      <c r="U1306">
        <v>240</v>
      </c>
      <c r="V1306" t="s">
        <v>4251</v>
      </c>
      <c r="W1306">
        <v>240</v>
      </c>
      <c r="X1306" t="s">
        <v>1323</v>
      </c>
      <c r="Y1306" t="s">
        <v>3250</v>
      </c>
      <c r="Z1306" t="s">
        <v>3250</v>
      </c>
      <c r="AA1306" t="s">
        <v>3108</v>
      </c>
      <c r="AB1306" t="s">
        <v>3108</v>
      </c>
      <c r="AC1306" t="s">
        <v>3250</v>
      </c>
      <c r="AD1306" t="s">
        <v>3250</v>
      </c>
      <c r="AE1306" t="s">
        <v>3250</v>
      </c>
      <c r="AF1306" t="s">
        <v>3250</v>
      </c>
      <c r="AG1306" t="s">
        <v>3250</v>
      </c>
      <c r="AH1306" t="s">
        <v>3250</v>
      </c>
      <c r="AI1306" t="s">
        <v>3250</v>
      </c>
      <c r="AJ1306" t="s">
        <v>3250</v>
      </c>
      <c r="AK1306">
        <v>1180</v>
      </c>
      <c r="AL1306">
        <v>241</v>
      </c>
      <c r="AM1306" t="s">
        <v>1455</v>
      </c>
      <c r="AN1306">
        <v>241</v>
      </c>
      <c r="AO1306" t="s">
        <v>1455</v>
      </c>
      <c r="AS1306">
        <v>1230</v>
      </c>
      <c r="AT1306">
        <v>1230</v>
      </c>
      <c r="AU1306" t="s">
        <v>2313</v>
      </c>
      <c r="AV1306" t="s">
        <v>2313</v>
      </c>
      <c r="AW1306" t="s">
        <v>3250</v>
      </c>
      <c r="AX1306" t="s">
        <v>3250</v>
      </c>
      <c r="AY1306" t="s">
        <v>3250</v>
      </c>
      <c r="AZ1306" t="s">
        <v>3250</v>
      </c>
      <c r="BA1306" t="s">
        <v>3250</v>
      </c>
      <c r="BB1306" t="s">
        <v>3250</v>
      </c>
      <c r="BC1306" t="s">
        <v>3250</v>
      </c>
      <c r="BE1306" t="s">
        <v>3250</v>
      </c>
      <c r="BF1306" t="s">
        <v>3250</v>
      </c>
      <c r="BG1306" t="s">
        <v>3250</v>
      </c>
      <c r="BH1306" t="s">
        <v>3250</v>
      </c>
      <c r="BI1306" t="s">
        <v>3250</v>
      </c>
      <c r="BK1306" t="s">
        <v>3250</v>
      </c>
      <c r="BL1306" t="s">
        <v>3250</v>
      </c>
      <c r="BM1306" t="s">
        <v>3250</v>
      </c>
      <c r="BN1306" t="s">
        <v>3250</v>
      </c>
      <c r="BP1306">
        <v>8</v>
      </c>
      <c r="BQ1306">
        <v>81</v>
      </c>
      <c r="BR1306" t="s">
        <v>2418</v>
      </c>
      <c r="BS1306" t="s">
        <v>4013</v>
      </c>
      <c r="BV1306">
        <v>0</v>
      </c>
      <c r="BW1306">
        <v>0</v>
      </c>
      <c r="BX1306">
        <v>0</v>
      </c>
      <c r="BY1306">
        <v>0</v>
      </c>
      <c r="BZ1306">
        <v>0</v>
      </c>
      <c r="CA1306">
        <v>0</v>
      </c>
      <c r="CB1306">
        <v>0</v>
      </c>
      <c r="CC1306">
        <v>0</v>
      </c>
      <c r="CD1306">
        <v>0</v>
      </c>
      <c r="CE1306" t="s">
        <v>3108</v>
      </c>
      <c r="CF1306" t="s">
        <v>3108</v>
      </c>
      <c r="CG1306" t="s">
        <v>3108</v>
      </c>
      <c r="CH1306" t="s">
        <v>3108</v>
      </c>
    </row>
    <row r="1307" spans="1:86" x14ac:dyDescent="0.2">
      <c r="A1307" t="s">
        <v>5176</v>
      </c>
      <c r="B1307" t="s">
        <v>5176</v>
      </c>
      <c r="C1307">
        <v>41786</v>
      </c>
      <c r="D1307">
        <v>1430</v>
      </c>
      <c r="E1307" t="s">
        <v>4053</v>
      </c>
      <c r="F1307">
        <v>2900</v>
      </c>
      <c r="G1307" t="s">
        <v>822</v>
      </c>
      <c r="H1307" t="s">
        <v>3108</v>
      </c>
      <c r="I1307" t="s">
        <v>3108</v>
      </c>
      <c r="J1307">
        <v>2904</v>
      </c>
      <c r="K1307" t="s">
        <v>1690</v>
      </c>
      <c r="L1307">
        <v>1200</v>
      </c>
      <c r="M1307" t="s">
        <v>2368</v>
      </c>
      <c r="N1307">
        <v>1202</v>
      </c>
      <c r="O1307" t="s">
        <v>2371</v>
      </c>
      <c r="P1307" t="s">
        <v>3108</v>
      </c>
      <c r="Q1307" t="s">
        <v>3249</v>
      </c>
      <c r="R1307" t="s">
        <v>3249</v>
      </c>
      <c r="S1307" t="s">
        <v>810</v>
      </c>
      <c r="T1307" t="s">
        <v>2754</v>
      </c>
      <c r="U1307" t="s">
        <v>3250</v>
      </c>
      <c r="V1307" t="s">
        <v>3250</v>
      </c>
      <c r="W1307" t="s">
        <v>3250</v>
      </c>
      <c r="X1307" t="s">
        <v>3250</v>
      </c>
      <c r="Y1307" t="s">
        <v>3250</v>
      </c>
      <c r="Z1307" t="s">
        <v>3250</v>
      </c>
      <c r="AA1307" t="s">
        <v>3108</v>
      </c>
      <c r="AB1307" t="s">
        <v>3108</v>
      </c>
      <c r="AC1307" t="s">
        <v>3250</v>
      </c>
      <c r="AD1307" t="s">
        <v>3250</v>
      </c>
      <c r="AE1307" t="s">
        <v>3250</v>
      </c>
      <c r="AF1307" t="s">
        <v>3250</v>
      </c>
      <c r="AG1307" t="s">
        <v>3250</v>
      </c>
      <c r="AH1307" t="s">
        <v>3250</v>
      </c>
      <c r="AI1307" t="s">
        <v>3250</v>
      </c>
      <c r="AJ1307" t="s">
        <v>3250</v>
      </c>
      <c r="AL1307" t="s">
        <v>3250</v>
      </c>
      <c r="AM1307" t="s">
        <v>3250</v>
      </c>
      <c r="AN1307" t="s">
        <v>3250</v>
      </c>
      <c r="AO1307" t="s">
        <v>3250</v>
      </c>
      <c r="AS1307" t="s">
        <v>3250</v>
      </c>
      <c r="AT1307" t="s">
        <v>3250</v>
      </c>
      <c r="AU1307" t="s">
        <v>3250</v>
      </c>
      <c r="AV1307" t="s">
        <v>3250</v>
      </c>
      <c r="AW1307" t="s">
        <v>3250</v>
      </c>
      <c r="AX1307" t="s">
        <v>3250</v>
      </c>
      <c r="AY1307" t="s">
        <v>3250</v>
      </c>
      <c r="AZ1307" t="s">
        <v>3250</v>
      </c>
      <c r="BA1307" t="s">
        <v>3250</v>
      </c>
      <c r="BB1307" t="s">
        <v>3250</v>
      </c>
      <c r="BC1307" t="s">
        <v>3250</v>
      </c>
      <c r="BE1307" t="s">
        <v>3250</v>
      </c>
      <c r="BF1307" t="s">
        <v>3250</v>
      </c>
      <c r="BG1307" t="s">
        <v>3250</v>
      </c>
      <c r="BH1307" t="s">
        <v>3250</v>
      </c>
      <c r="BI1307" t="s">
        <v>3250</v>
      </c>
      <c r="BK1307" t="s">
        <v>3250</v>
      </c>
      <c r="BL1307" t="s">
        <v>3250</v>
      </c>
      <c r="BM1307" t="s">
        <v>3250</v>
      </c>
      <c r="BN1307" t="s">
        <v>3250</v>
      </c>
      <c r="BP1307">
        <v>1</v>
      </c>
      <c r="BQ1307">
        <v>13</v>
      </c>
      <c r="BR1307" t="s">
        <v>2371</v>
      </c>
      <c r="BS1307" t="s">
        <v>3252</v>
      </c>
      <c r="BV1307">
        <v>0</v>
      </c>
      <c r="BW1307">
        <v>0</v>
      </c>
      <c r="BX1307">
        <v>0</v>
      </c>
      <c r="BY1307">
        <v>0</v>
      </c>
      <c r="BZ1307">
        <v>0</v>
      </c>
      <c r="CA1307">
        <v>0</v>
      </c>
      <c r="CB1307">
        <v>0</v>
      </c>
      <c r="CC1307">
        <v>0</v>
      </c>
      <c r="CD1307">
        <v>0</v>
      </c>
      <c r="CE1307" t="s">
        <v>3108</v>
      </c>
      <c r="CF1307" t="s">
        <v>3108</v>
      </c>
      <c r="CG1307" t="s">
        <v>3108</v>
      </c>
      <c r="CH1307" t="s">
        <v>3108</v>
      </c>
    </row>
    <row r="1308" spans="1:86" x14ac:dyDescent="0.2">
      <c r="A1308" t="s">
        <v>5177</v>
      </c>
      <c r="B1308" t="s">
        <v>5177</v>
      </c>
      <c r="C1308">
        <v>41787</v>
      </c>
      <c r="D1308">
        <v>1431</v>
      </c>
      <c r="E1308" t="s">
        <v>3782</v>
      </c>
      <c r="F1308" t="s">
        <v>3249</v>
      </c>
      <c r="G1308" t="s">
        <v>3249</v>
      </c>
      <c r="H1308" t="s">
        <v>3250</v>
      </c>
      <c r="I1308" t="s">
        <v>3250</v>
      </c>
      <c r="J1308" t="s">
        <v>3250</v>
      </c>
      <c r="K1308" t="s">
        <v>3250</v>
      </c>
      <c r="L1308">
        <v>1200</v>
      </c>
      <c r="M1308" t="s">
        <v>2368</v>
      </c>
      <c r="N1308">
        <v>1204</v>
      </c>
      <c r="O1308" t="s">
        <v>1574</v>
      </c>
      <c r="P1308" t="s">
        <v>3108</v>
      </c>
      <c r="Q1308" t="s">
        <v>3249</v>
      </c>
      <c r="R1308" t="s">
        <v>3249</v>
      </c>
      <c r="S1308" t="s">
        <v>472</v>
      </c>
      <c r="T1308" t="s">
        <v>3251</v>
      </c>
      <c r="U1308">
        <v>140</v>
      </c>
      <c r="V1308" t="s">
        <v>1327</v>
      </c>
      <c r="W1308">
        <v>140</v>
      </c>
      <c r="X1308" t="s">
        <v>1327</v>
      </c>
      <c r="Y1308" t="s">
        <v>3250</v>
      </c>
      <c r="Z1308" t="s">
        <v>3250</v>
      </c>
      <c r="AA1308" t="s">
        <v>3108</v>
      </c>
      <c r="AB1308" t="s">
        <v>3108</v>
      </c>
      <c r="AC1308" t="s">
        <v>3250</v>
      </c>
      <c r="AD1308" t="s">
        <v>3250</v>
      </c>
      <c r="AE1308" t="s">
        <v>3250</v>
      </c>
      <c r="AF1308" t="s">
        <v>3250</v>
      </c>
      <c r="AG1308" t="s">
        <v>3250</v>
      </c>
      <c r="AH1308" t="s">
        <v>3250</v>
      </c>
      <c r="AI1308" t="s">
        <v>3250</v>
      </c>
      <c r="AJ1308" t="s">
        <v>3250</v>
      </c>
      <c r="AL1308">
        <v>147</v>
      </c>
      <c r="AM1308" t="s">
        <v>6</v>
      </c>
      <c r="AN1308">
        <v>147</v>
      </c>
      <c r="AO1308" t="s">
        <v>6</v>
      </c>
      <c r="AS1308" t="s">
        <v>3250</v>
      </c>
      <c r="AT1308" t="s">
        <v>3250</v>
      </c>
      <c r="AU1308" t="s">
        <v>3250</v>
      </c>
      <c r="AV1308" t="s">
        <v>3250</v>
      </c>
      <c r="AW1308" t="s">
        <v>3250</v>
      </c>
      <c r="AX1308" t="s">
        <v>3250</v>
      </c>
      <c r="AY1308" t="s">
        <v>3250</v>
      </c>
      <c r="AZ1308" t="s">
        <v>3250</v>
      </c>
      <c r="BA1308" t="s">
        <v>3250</v>
      </c>
      <c r="BB1308" t="s">
        <v>3250</v>
      </c>
      <c r="BC1308" t="s">
        <v>3250</v>
      </c>
      <c r="BE1308" t="s">
        <v>3250</v>
      </c>
      <c r="BF1308" t="s">
        <v>3250</v>
      </c>
      <c r="BG1308" t="s">
        <v>3250</v>
      </c>
      <c r="BH1308" t="s">
        <v>3250</v>
      </c>
      <c r="BI1308" t="s">
        <v>3250</v>
      </c>
      <c r="BK1308" t="s">
        <v>3250</v>
      </c>
      <c r="BL1308" t="s">
        <v>3250</v>
      </c>
      <c r="BM1308" t="s">
        <v>3250</v>
      </c>
      <c r="BN1308" t="s">
        <v>3250</v>
      </c>
      <c r="BP1308">
        <v>1</v>
      </c>
      <c r="BQ1308">
        <v>11</v>
      </c>
      <c r="BR1308" t="s">
        <v>1574</v>
      </c>
      <c r="BS1308" t="s">
        <v>3252</v>
      </c>
      <c r="BV1308">
        <v>0</v>
      </c>
      <c r="BW1308">
        <v>0</v>
      </c>
      <c r="BX1308">
        <v>0</v>
      </c>
      <c r="BY1308">
        <v>0</v>
      </c>
      <c r="BZ1308">
        <v>0</v>
      </c>
      <c r="CA1308">
        <v>0</v>
      </c>
      <c r="CB1308">
        <v>0</v>
      </c>
      <c r="CC1308">
        <v>0</v>
      </c>
      <c r="CD1308">
        <v>0</v>
      </c>
      <c r="CE1308" t="s">
        <v>3108</v>
      </c>
      <c r="CF1308" t="s">
        <v>3108</v>
      </c>
      <c r="CG1308" t="s">
        <v>3108</v>
      </c>
      <c r="CH1308" t="s">
        <v>3108</v>
      </c>
    </row>
    <row r="1309" spans="1:86" x14ac:dyDescent="0.2">
      <c r="A1309" t="s">
        <v>5178</v>
      </c>
      <c r="B1309" t="s">
        <v>5178</v>
      </c>
      <c r="C1309">
        <v>41788</v>
      </c>
      <c r="D1309">
        <v>1432</v>
      </c>
      <c r="E1309" t="s">
        <v>5179</v>
      </c>
      <c r="F1309" t="s">
        <v>3249</v>
      </c>
      <c r="G1309" t="s">
        <v>3249</v>
      </c>
      <c r="H1309" t="s">
        <v>3250</v>
      </c>
      <c r="I1309" t="s">
        <v>3250</v>
      </c>
      <c r="J1309" t="s">
        <v>3250</v>
      </c>
      <c r="K1309" t="s">
        <v>3250</v>
      </c>
      <c r="L1309">
        <v>1200</v>
      </c>
      <c r="M1309" t="s">
        <v>2368</v>
      </c>
      <c r="N1309">
        <v>1204</v>
      </c>
      <c r="O1309" t="s">
        <v>1574</v>
      </c>
      <c r="P1309" t="s">
        <v>3108</v>
      </c>
      <c r="Q1309" t="s">
        <v>3249</v>
      </c>
      <c r="R1309" t="s">
        <v>3249</v>
      </c>
      <c r="S1309" t="s">
        <v>472</v>
      </c>
      <c r="T1309" t="s">
        <v>3251</v>
      </c>
      <c r="U1309">
        <v>150</v>
      </c>
      <c r="V1309" t="s">
        <v>1328</v>
      </c>
      <c r="W1309">
        <v>150</v>
      </c>
      <c r="X1309" t="s">
        <v>1328</v>
      </c>
      <c r="Y1309" t="s">
        <v>3250</v>
      </c>
      <c r="Z1309" t="s">
        <v>3250</v>
      </c>
      <c r="AA1309" t="s">
        <v>3108</v>
      </c>
      <c r="AB1309" t="s">
        <v>3108</v>
      </c>
      <c r="AC1309" t="s">
        <v>3250</v>
      </c>
      <c r="AD1309" t="s">
        <v>3250</v>
      </c>
      <c r="AE1309" t="s">
        <v>3250</v>
      </c>
      <c r="AF1309" t="s">
        <v>3250</v>
      </c>
      <c r="AG1309" t="s">
        <v>3250</v>
      </c>
      <c r="AH1309" t="s">
        <v>3250</v>
      </c>
      <c r="AI1309" t="s">
        <v>3250</v>
      </c>
      <c r="AJ1309" t="s">
        <v>3250</v>
      </c>
      <c r="AL1309" t="s">
        <v>3250</v>
      </c>
      <c r="AM1309" t="s">
        <v>3250</v>
      </c>
      <c r="AN1309" t="s">
        <v>3250</v>
      </c>
      <c r="AO1309" t="s">
        <v>3250</v>
      </c>
      <c r="AS1309" t="s">
        <v>3250</v>
      </c>
      <c r="AT1309" t="s">
        <v>3250</v>
      </c>
      <c r="AU1309" t="s">
        <v>3250</v>
      </c>
      <c r="AV1309" t="s">
        <v>3250</v>
      </c>
      <c r="AW1309" t="s">
        <v>3250</v>
      </c>
      <c r="AX1309" t="s">
        <v>3250</v>
      </c>
      <c r="AY1309" t="s">
        <v>3250</v>
      </c>
      <c r="AZ1309" t="s">
        <v>3250</v>
      </c>
      <c r="BA1309" t="s">
        <v>3250</v>
      </c>
      <c r="BB1309" t="s">
        <v>3250</v>
      </c>
      <c r="BC1309" t="s">
        <v>3250</v>
      </c>
      <c r="BE1309" t="s">
        <v>3250</v>
      </c>
      <c r="BF1309" t="s">
        <v>3250</v>
      </c>
      <c r="BG1309" t="s">
        <v>3250</v>
      </c>
      <c r="BH1309" t="s">
        <v>3250</v>
      </c>
      <c r="BI1309" t="s">
        <v>3250</v>
      </c>
      <c r="BK1309" t="s">
        <v>3250</v>
      </c>
      <c r="BL1309" t="s">
        <v>3250</v>
      </c>
      <c r="BM1309" t="s">
        <v>3250</v>
      </c>
      <c r="BN1309" t="s">
        <v>3250</v>
      </c>
      <c r="BP1309">
        <v>1</v>
      </c>
      <c r="BQ1309">
        <v>11</v>
      </c>
      <c r="BR1309" t="s">
        <v>1574</v>
      </c>
      <c r="BS1309" t="s">
        <v>3252</v>
      </c>
      <c r="BV1309">
        <v>88400</v>
      </c>
      <c r="BW1309">
        <v>88400</v>
      </c>
      <c r="BX1309">
        <v>88400</v>
      </c>
      <c r="BY1309">
        <v>0</v>
      </c>
      <c r="BZ1309">
        <v>88400</v>
      </c>
      <c r="CA1309">
        <v>0</v>
      </c>
      <c r="CB1309">
        <v>0</v>
      </c>
      <c r="CC1309">
        <v>0</v>
      </c>
      <c r="CD1309">
        <v>88400</v>
      </c>
      <c r="CE1309" t="s">
        <v>3108</v>
      </c>
      <c r="CF1309" t="s">
        <v>3108</v>
      </c>
      <c r="CG1309" t="s">
        <v>3108</v>
      </c>
      <c r="CH1309" t="s">
        <v>3108</v>
      </c>
    </row>
    <row r="1310" spans="1:86" x14ac:dyDescent="0.2">
      <c r="A1310" t="s">
        <v>5180</v>
      </c>
      <c r="B1310" t="s">
        <v>5180</v>
      </c>
      <c r="C1310">
        <v>41789</v>
      </c>
      <c r="D1310">
        <v>1433</v>
      </c>
      <c r="E1310" t="s">
        <v>5181</v>
      </c>
      <c r="F1310" t="s">
        <v>3249</v>
      </c>
      <c r="G1310" t="s">
        <v>3249</v>
      </c>
      <c r="H1310" t="s">
        <v>3250</v>
      </c>
      <c r="I1310" t="s">
        <v>3250</v>
      </c>
      <c r="J1310" t="s">
        <v>3250</v>
      </c>
      <c r="K1310" t="s">
        <v>3250</v>
      </c>
      <c r="L1310">
        <v>1200</v>
      </c>
      <c r="M1310" t="s">
        <v>2368</v>
      </c>
      <c r="N1310">
        <v>1204</v>
      </c>
      <c r="O1310" t="s">
        <v>1574</v>
      </c>
      <c r="P1310" t="s">
        <v>3108</v>
      </c>
      <c r="Q1310" t="s">
        <v>3249</v>
      </c>
      <c r="R1310" t="s">
        <v>3249</v>
      </c>
      <c r="S1310" t="s">
        <v>472</v>
      </c>
      <c r="T1310" t="s">
        <v>3251</v>
      </c>
      <c r="U1310">
        <v>160</v>
      </c>
      <c r="V1310" t="s">
        <v>600</v>
      </c>
      <c r="W1310">
        <v>160</v>
      </c>
      <c r="X1310" t="s">
        <v>600</v>
      </c>
      <c r="Y1310" t="s">
        <v>3250</v>
      </c>
      <c r="Z1310" t="s">
        <v>3250</v>
      </c>
      <c r="AA1310" t="s">
        <v>3108</v>
      </c>
      <c r="AB1310" t="s">
        <v>3108</v>
      </c>
      <c r="AC1310" t="s">
        <v>3250</v>
      </c>
      <c r="AD1310" t="s">
        <v>3250</v>
      </c>
      <c r="AE1310" t="s">
        <v>3250</v>
      </c>
      <c r="AF1310" t="s">
        <v>3250</v>
      </c>
      <c r="AG1310" t="s">
        <v>3250</v>
      </c>
      <c r="AH1310" t="s">
        <v>3250</v>
      </c>
      <c r="AI1310" t="s">
        <v>3250</v>
      </c>
      <c r="AJ1310" t="s">
        <v>3250</v>
      </c>
      <c r="AL1310" t="s">
        <v>3250</v>
      </c>
      <c r="AM1310" t="s">
        <v>3250</v>
      </c>
      <c r="AN1310" t="s">
        <v>3250</v>
      </c>
      <c r="AO1310" t="s">
        <v>3250</v>
      </c>
      <c r="AS1310" t="s">
        <v>3250</v>
      </c>
      <c r="AT1310" t="s">
        <v>3250</v>
      </c>
      <c r="AU1310" t="s">
        <v>3250</v>
      </c>
      <c r="AV1310" t="s">
        <v>3250</v>
      </c>
      <c r="AW1310" t="s">
        <v>3250</v>
      </c>
      <c r="AX1310" t="s">
        <v>3250</v>
      </c>
      <c r="AY1310" t="s">
        <v>3250</v>
      </c>
      <c r="AZ1310" t="s">
        <v>3250</v>
      </c>
      <c r="BA1310" t="s">
        <v>3250</v>
      </c>
      <c r="BB1310" t="s">
        <v>3250</v>
      </c>
      <c r="BC1310" t="s">
        <v>3250</v>
      </c>
      <c r="BE1310" t="s">
        <v>3250</v>
      </c>
      <c r="BF1310" t="s">
        <v>3250</v>
      </c>
      <c r="BG1310" t="s">
        <v>3250</v>
      </c>
      <c r="BH1310" t="s">
        <v>3250</v>
      </c>
      <c r="BI1310" t="s">
        <v>3250</v>
      </c>
      <c r="BK1310" t="s">
        <v>3250</v>
      </c>
      <c r="BL1310" t="s">
        <v>3250</v>
      </c>
      <c r="BM1310" t="s">
        <v>3250</v>
      </c>
      <c r="BN1310" t="s">
        <v>3250</v>
      </c>
      <c r="BP1310">
        <v>1</v>
      </c>
      <c r="BQ1310">
        <v>11</v>
      </c>
      <c r="BR1310" t="s">
        <v>1574</v>
      </c>
      <c r="BS1310" t="s">
        <v>3252</v>
      </c>
      <c r="BV1310">
        <v>0</v>
      </c>
      <c r="BW1310">
        <v>0</v>
      </c>
      <c r="BX1310">
        <v>0</v>
      </c>
      <c r="BY1310">
        <v>0</v>
      </c>
      <c r="BZ1310">
        <v>0</v>
      </c>
      <c r="CA1310">
        <v>0</v>
      </c>
      <c r="CB1310">
        <v>0</v>
      </c>
      <c r="CC1310">
        <v>0</v>
      </c>
      <c r="CD1310">
        <v>0</v>
      </c>
      <c r="CE1310" t="s">
        <v>3108</v>
      </c>
      <c r="CF1310" t="s">
        <v>3108</v>
      </c>
      <c r="CG1310" t="s">
        <v>3108</v>
      </c>
      <c r="CH1310" t="s">
        <v>3108</v>
      </c>
    </row>
    <row r="1311" spans="1:86" x14ac:dyDescent="0.2">
      <c r="A1311" t="s">
        <v>5182</v>
      </c>
      <c r="B1311" t="s">
        <v>5182</v>
      </c>
      <c r="C1311">
        <v>41790</v>
      </c>
      <c r="D1311">
        <v>1434</v>
      </c>
      <c r="E1311" t="s">
        <v>5183</v>
      </c>
      <c r="F1311" t="s">
        <v>3249</v>
      </c>
      <c r="G1311" t="s">
        <v>3249</v>
      </c>
      <c r="H1311" t="s">
        <v>3250</v>
      </c>
      <c r="I1311" t="s">
        <v>3250</v>
      </c>
      <c r="J1311" t="s">
        <v>3250</v>
      </c>
      <c r="K1311" t="s">
        <v>3250</v>
      </c>
      <c r="L1311">
        <v>1200</v>
      </c>
      <c r="M1311" t="s">
        <v>2368</v>
      </c>
      <c r="N1311">
        <v>1204</v>
      </c>
      <c r="O1311" t="s">
        <v>1574</v>
      </c>
      <c r="P1311" t="s">
        <v>3108</v>
      </c>
      <c r="Q1311" t="s">
        <v>3249</v>
      </c>
      <c r="R1311" t="s">
        <v>3249</v>
      </c>
      <c r="S1311" t="s">
        <v>472</v>
      </c>
      <c r="T1311" t="s">
        <v>3251</v>
      </c>
      <c r="U1311">
        <v>130</v>
      </c>
      <c r="V1311" t="s">
        <v>4716</v>
      </c>
      <c r="W1311">
        <v>130</v>
      </c>
      <c r="X1311" t="s">
        <v>4716</v>
      </c>
      <c r="Y1311" t="s">
        <v>3250</v>
      </c>
      <c r="Z1311" t="s">
        <v>3250</v>
      </c>
      <c r="AA1311" t="s">
        <v>3108</v>
      </c>
      <c r="AB1311" t="s">
        <v>3108</v>
      </c>
      <c r="AC1311" t="s">
        <v>3250</v>
      </c>
      <c r="AD1311" t="s">
        <v>3250</v>
      </c>
      <c r="AE1311" t="s">
        <v>3250</v>
      </c>
      <c r="AF1311" t="s">
        <v>3250</v>
      </c>
      <c r="AG1311" t="s">
        <v>3250</v>
      </c>
      <c r="AH1311" t="s">
        <v>3250</v>
      </c>
      <c r="AI1311" t="s">
        <v>3250</v>
      </c>
      <c r="AJ1311" t="s">
        <v>3250</v>
      </c>
      <c r="AL1311" t="s">
        <v>3250</v>
      </c>
      <c r="AM1311" t="s">
        <v>3250</v>
      </c>
      <c r="AN1311" t="s">
        <v>3250</v>
      </c>
      <c r="AO1311" t="s">
        <v>3250</v>
      </c>
      <c r="AS1311" t="s">
        <v>3250</v>
      </c>
      <c r="AT1311" t="s">
        <v>3250</v>
      </c>
      <c r="AU1311" t="s">
        <v>3250</v>
      </c>
      <c r="AV1311" t="s">
        <v>3250</v>
      </c>
      <c r="AW1311" t="s">
        <v>3250</v>
      </c>
      <c r="AX1311" t="s">
        <v>3250</v>
      </c>
      <c r="AY1311" t="s">
        <v>3250</v>
      </c>
      <c r="AZ1311" t="s">
        <v>3250</v>
      </c>
      <c r="BA1311" t="s">
        <v>3250</v>
      </c>
      <c r="BB1311" t="s">
        <v>3250</v>
      </c>
      <c r="BC1311" t="s">
        <v>3250</v>
      </c>
      <c r="BE1311" t="s">
        <v>3250</v>
      </c>
      <c r="BF1311" t="s">
        <v>3250</v>
      </c>
      <c r="BG1311" t="s">
        <v>3250</v>
      </c>
      <c r="BH1311" t="s">
        <v>3250</v>
      </c>
      <c r="BI1311" t="s">
        <v>3250</v>
      </c>
      <c r="BK1311" t="s">
        <v>3250</v>
      </c>
      <c r="BL1311" t="s">
        <v>3250</v>
      </c>
      <c r="BM1311" t="s">
        <v>3250</v>
      </c>
      <c r="BN1311" t="s">
        <v>3250</v>
      </c>
      <c r="BP1311">
        <v>1</v>
      </c>
      <c r="BQ1311">
        <v>11</v>
      </c>
      <c r="BR1311" t="s">
        <v>1574</v>
      </c>
      <c r="BS1311" t="s">
        <v>3252</v>
      </c>
      <c r="BT1311">
        <v>8</v>
      </c>
      <c r="BV1311">
        <v>0</v>
      </c>
      <c r="BW1311">
        <v>0</v>
      </c>
      <c r="BX1311">
        <v>41756672</v>
      </c>
      <c r="BY1311">
        <v>0</v>
      </c>
      <c r="BZ1311">
        <v>0</v>
      </c>
      <c r="CA1311">
        <v>0</v>
      </c>
      <c r="CB1311">
        <v>0</v>
      </c>
      <c r="CC1311">
        <v>0</v>
      </c>
      <c r="CD1311">
        <v>0</v>
      </c>
      <c r="CE1311" t="s">
        <v>3108</v>
      </c>
      <c r="CF1311" t="s">
        <v>3108</v>
      </c>
      <c r="CG1311" t="s">
        <v>3108</v>
      </c>
      <c r="CH1311" t="s">
        <v>3108</v>
      </c>
    </row>
    <row r="1312" spans="1:86" x14ac:dyDescent="0.2">
      <c r="A1312" t="s">
        <v>5184</v>
      </c>
      <c r="B1312" t="s">
        <v>5184</v>
      </c>
      <c r="C1312">
        <v>41791</v>
      </c>
      <c r="D1312">
        <v>1435</v>
      </c>
      <c r="E1312" t="s">
        <v>5185</v>
      </c>
      <c r="F1312" t="s">
        <v>3249</v>
      </c>
      <c r="G1312" t="s">
        <v>3249</v>
      </c>
      <c r="H1312" t="s">
        <v>3250</v>
      </c>
      <c r="I1312" t="s">
        <v>3250</v>
      </c>
      <c r="J1312" t="s">
        <v>3250</v>
      </c>
      <c r="K1312" t="s">
        <v>3250</v>
      </c>
      <c r="L1312">
        <v>1200</v>
      </c>
      <c r="M1312" t="s">
        <v>2368</v>
      </c>
      <c r="N1312">
        <v>1204</v>
      </c>
      <c r="O1312" t="s">
        <v>1574</v>
      </c>
      <c r="P1312" t="s">
        <v>3108</v>
      </c>
      <c r="Q1312" t="s">
        <v>3249</v>
      </c>
      <c r="R1312" t="s">
        <v>3249</v>
      </c>
      <c r="S1312" t="s">
        <v>472</v>
      </c>
      <c r="T1312" t="s">
        <v>3251</v>
      </c>
      <c r="U1312">
        <v>120</v>
      </c>
      <c r="V1312" t="s">
        <v>599</v>
      </c>
      <c r="W1312">
        <v>120</v>
      </c>
      <c r="X1312" t="s">
        <v>599</v>
      </c>
      <c r="Y1312" t="s">
        <v>3250</v>
      </c>
      <c r="Z1312" t="s">
        <v>3250</v>
      </c>
      <c r="AA1312" t="s">
        <v>3108</v>
      </c>
      <c r="AB1312" t="s">
        <v>3108</v>
      </c>
      <c r="AC1312" t="s">
        <v>3250</v>
      </c>
      <c r="AD1312" t="s">
        <v>3250</v>
      </c>
      <c r="AE1312" t="s">
        <v>3250</v>
      </c>
      <c r="AF1312" t="s">
        <v>3250</v>
      </c>
      <c r="AG1312" t="s">
        <v>3250</v>
      </c>
      <c r="AH1312" t="s">
        <v>3250</v>
      </c>
      <c r="AI1312" t="s">
        <v>3250</v>
      </c>
      <c r="AJ1312" t="s">
        <v>3250</v>
      </c>
      <c r="AL1312" t="s">
        <v>3250</v>
      </c>
      <c r="AM1312" t="s">
        <v>3250</v>
      </c>
      <c r="AN1312" t="s">
        <v>3250</v>
      </c>
      <c r="AO1312" t="s">
        <v>3250</v>
      </c>
      <c r="AS1312" t="s">
        <v>3250</v>
      </c>
      <c r="AT1312" t="s">
        <v>3250</v>
      </c>
      <c r="AU1312" t="s">
        <v>3250</v>
      </c>
      <c r="AV1312" t="s">
        <v>3250</v>
      </c>
      <c r="AW1312" t="s">
        <v>3250</v>
      </c>
      <c r="AX1312" t="s">
        <v>3250</v>
      </c>
      <c r="AY1312" t="s">
        <v>3250</v>
      </c>
      <c r="AZ1312" t="s">
        <v>3250</v>
      </c>
      <c r="BA1312" t="s">
        <v>3250</v>
      </c>
      <c r="BB1312" t="s">
        <v>3250</v>
      </c>
      <c r="BC1312" t="s">
        <v>3250</v>
      </c>
      <c r="BE1312" t="s">
        <v>3250</v>
      </c>
      <c r="BF1312" t="s">
        <v>3250</v>
      </c>
      <c r="BG1312" t="s">
        <v>3250</v>
      </c>
      <c r="BH1312" t="s">
        <v>3250</v>
      </c>
      <c r="BI1312" t="s">
        <v>3250</v>
      </c>
      <c r="BK1312" t="s">
        <v>3250</v>
      </c>
      <c r="BL1312" t="s">
        <v>3250</v>
      </c>
      <c r="BM1312" t="s">
        <v>3250</v>
      </c>
      <c r="BN1312" t="s">
        <v>3250</v>
      </c>
      <c r="BP1312">
        <v>1</v>
      </c>
      <c r="BQ1312">
        <v>11</v>
      </c>
      <c r="BR1312" t="s">
        <v>1574</v>
      </c>
      <c r="BS1312" t="s">
        <v>3252</v>
      </c>
      <c r="BV1312">
        <v>3000</v>
      </c>
      <c r="BW1312">
        <v>2037</v>
      </c>
      <c r="BX1312">
        <v>981</v>
      </c>
      <c r="BY1312">
        <v>0</v>
      </c>
      <c r="BZ1312">
        <v>0</v>
      </c>
      <c r="CA1312">
        <v>0</v>
      </c>
      <c r="CB1312">
        <v>0</v>
      </c>
      <c r="CC1312">
        <v>0</v>
      </c>
      <c r="CD1312">
        <v>3000</v>
      </c>
      <c r="CE1312" t="s">
        <v>3108</v>
      </c>
      <c r="CF1312" t="s">
        <v>3108</v>
      </c>
      <c r="CG1312" t="s">
        <v>3108</v>
      </c>
      <c r="CH1312" t="s">
        <v>3108</v>
      </c>
    </row>
    <row r="1313" spans="1:86" x14ac:dyDescent="0.2">
      <c r="A1313" t="s">
        <v>5186</v>
      </c>
      <c r="B1313" t="s">
        <v>5186</v>
      </c>
      <c r="C1313">
        <v>51791</v>
      </c>
      <c r="D1313">
        <v>1436</v>
      </c>
      <c r="E1313" t="s">
        <v>5187</v>
      </c>
      <c r="F1313" t="s">
        <v>3249</v>
      </c>
      <c r="G1313" t="s">
        <v>3249</v>
      </c>
      <c r="H1313" t="s">
        <v>3250</v>
      </c>
      <c r="I1313" t="s">
        <v>3250</v>
      </c>
      <c r="J1313" t="s">
        <v>3250</v>
      </c>
      <c r="K1313" t="s">
        <v>3250</v>
      </c>
      <c r="L1313">
        <v>1200</v>
      </c>
      <c r="M1313" t="s">
        <v>2368</v>
      </c>
      <c r="N1313">
        <v>1204</v>
      </c>
      <c r="O1313" t="s">
        <v>1574</v>
      </c>
      <c r="P1313" t="s">
        <v>3108</v>
      </c>
      <c r="Q1313" t="s">
        <v>3249</v>
      </c>
      <c r="R1313" t="s">
        <v>3249</v>
      </c>
      <c r="S1313" t="s">
        <v>472</v>
      </c>
      <c r="T1313" t="s">
        <v>5188</v>
      </c>
      <c r="U1313">
        <v>460</v>
      </c>
      <c r="V1313" t="s">
        <v>5189</v>
      </c>
      <c r="W1313">
        <v>460</v>
      </c>
      <c r="X1313" t="s">
        <v>363</v>
      </c>
      <c r="Y1313" t="s">
        <v>3250</v>
      </c>
      <c r="Z1313" t="s">
        <v>3250</v>
      </c>
      <c r="AA1313" t="s">
        <v>3108</v>
      </c>
      <c r="AB1313" t="s">
        <v>3108</v>
      </c>
      <c r="AC1313" t="s">
        <v>3250</v>
      </c>
      <c r="AD1313" t="s">
        <v>3250</v>
      </c>
      <c r="AE1313" t="s">
        <v>3250</v>
      </c>
      <c r="AF1313" t="s">
        <v>3250</v>
      </c>
      <c r="AG1313" t="s">
        <v>3250</v>
      </c>
      <c r="AH1313" t="s">
        <v>3250</v>
      </c>
      <c r="AI1313" t="s">
        <v>3250</v>
      </c>
      <c r="AJ1313" t="s">
        <v>3250</v>
      </c>
      <c r="AL1313">
        <v>464</v>
      </c>
      <c r="AM1313" t="s">
        <v>5190</v>
      </c>
      <c r="AN1313">
        <v>464</v>
      </c>
      <c r="AO1313" t="s">
        <v>5190</v>
      </c>
      <c r="AS1313" t="s">
        <v>3250</v>
      </c>
      <c r="AT1313" t="s">
        <v>3250</v>
      </c>
      <c r="AU1313" t="s">
        <v>3250</v>
      </c>
      <c r="AV1313" t="s">
        <v>3250</v>
      </c>
      <c r="AW1313" t="s">
        <v>3250</v>
      </c>
      <c r="AX1313" t="s">
        <v>3250</v>
      </c>
      <c r="AY1313" t="s">
        <v>3250</v>
      </c>
      <c r="AZ1313" t="s">
        <v>3250</v>
      </c>
      <c r="BA1313" t="s">
        <v>3250</v>
      </c>
      <c r="BB1313" t="s">
        <v>3250</v>
      </c>
      <c r="BC1313" t="s">
        <v>3250</v>
      </c>
      <c r="BE1313" t="s">
        <v>3250</v>
      </c>
      <c r="BF1313" t="s">
        <v>3250</v>
      </c>
      <c r="BG1313" t="s">
        <v>3250</v>
      </c>
      <c r="BH1313" t="s">
        <v>3250</v>
      </c>
      <c r="BI1313" t="s">
        <v>3250</v>
      </c>
      <c r="BK1313" t="s">
        <v>3250</v>
      </c>
      <c r="BL1313" t="s">
        <v>3250</v>
      </c>
      <c r="BM1313" t="s">
        <v>3250</v>
      </c>
      <c r="BN1313" t="s">
        <v>3250</v>
      </c>
      <c r="BP1313">
        <v>1</v>
      </c>
      <c r="BQ1313">
        <v>11</v>
      </c>
      <c r="BR1313" t="s">
        <v>1574</v>
      </c>
      <c r="BS1313" t="s">
        <v>3252</v>
      </c>
      <c r="BV1313">
        <v>145557824</v>
      </c>
      <c r="BW1313">
        <v>144864424</v>
      </c>
      <c r="BX1313">
        <v>139308231</v>
      </c>
      <c r="BY1313">
        <v>-237489800</v>
      </c>
      <c r="BZ1313">
        <v>-9512265</v>
      </c>
      <c r="CA1313">
        <v>0</v>
      </c>
      <c r="CB1313">
        <v>0</v>
      </c>
      <c r="CC1313">
        <v>0</v>
      </c>
      <c r="CD1313">
        <v>145557824</v>
      </c>
      <c r="CE1313" t="s">
        <v>3108</v>
      </c>
      <c r="CF1313" t="s">
        <v>3108</v>
      </c>
      <c r="CG1313" t="s">
        <v>3108</v>
      </c>
      <c r="CH1313" t="s">
        <v>3108</v>
      </c>
    </row>
    <row r="1314" spans="1:86" x14ac:dyDescent="0.2">
      <c r="A1314" t="s">
        <v>5191</v>
      </c>
      <c r="B1314" t="s">
        <v>5191</v>
      </c>
      <c r="C1314">
        <v>51792</v>
      </c>
      <c r="D1314">
        <v>1437</v>
      </c>
      <c r="E1314" t="s">
        <v>5192</v>
      </c>
      <c r="F1314" t="s">
        <v>3249</v>
      </c>
      <c r="G1314" t="s">
        <v>3249</v>
      </c>
      <c r="H1314" t="s">
        <v>3250</v>
      </c>
      <c r="I1314" t="s">
        <v>3250</v>
      </c>
      <c r="J1314" t="s">
        <v>3250</v>
      </c>
      <c r="K1314" t="s">
        <v>3250</v>
      </c>
      <c r="L1314">
        <v>1200</v>
      </c>
      <c r="M1314" t="s">
        <v>2368</v>
      </c>
      <c r="N1314">
        <v>1204</v>
      </c>
      <c r="O1314" t="s">
        <v>1574</v>
      </c>
      <c r="P1314" t="s">
        <v>3108</v>
      </c>
      <c r="Q1314" t="s">
        <v>3249</v>
      </c>
      <c r="R1314" t="s">
        <v>3249</v>
      </c>
      <c r="S1314" t="s">
        <v>472</v>
      </c>
      <c r="T1314" t="s">
        <v>3789</v>
      </c>
      <c r="U1314">
        <v>410</v>
      </c>
      <c r="V1314" t="s">
        <v>5193</v>
      </c>
      <c r="W1314">
        <v>410</v>
      </c>
      <c r="X1314" t="s">
        <v>884</v>
      </c>
      <c r="Y1314" t="s">
        <v>3250</v>
      </c>
      <c r="Z1314" t="s">
        <v>3250</v>
      </c>
      <c r="AA1314" t="s">
        <v>3108</v>
      </c>
      <c r="AB1314" t="s">
        <v>3108</v>
      </c>
      <c r="AC1314" t="s">
        <v>3250</v>
      </c>
      <c r="AD1314" t="s">
        <v>3250</v>
      </c>
      <c r="AE1314" t="s">
        <v>3250</v>
      </c>
      <c r="AF1314" t="s">
        <v>3250</v>
      </c>
      <c r="AG1314" t="s">
        <v>3250</v>
      </c>
      <c r="AH1314" t="s">
        <v>3250</v>
      </c>
      <c r="AI1314" t="s">
        <v>3250</v>
      </c>
      <c r="AJ1314" t="s">
        <v>3250</v>
      </c>
      <c r="AL1314">
        <v>411</v>
      </c>
      <c r="AM1314" t="s">
        <v>1172</v>
      </c>
      <c r="AN1314">
        <v>411</v>
      </c>
      <c r="AO1314" t="s">
        <v>1172</v>
      </c>
      <c r="AS1314" t="s">
        <v>3250</v>
      </c>
      <c r="AT1314" t="s">
        <v>3250</v>
      </c>
      <c r="AU1314" t="s">
        <v>3250</v>
      </c>
      <c r="AV1314" t="s">
        <v>3250</v>
      </c>
      <c r="AW1314" t="s">
        <v>3250</v>
      </c>
      <c r="AX1314" t="s">
        <v>3250</v>
      </c>
      <c r="AY1314" t="s">
        <v>3250</v>
      </c>
      <c r="AZ1314" t="s">
        <v>3250</v>
      </c>
      <c r="BA1314" t="s">
        <v>3250</v>
      </c>
      <c r="BB1314" t="s">
        <v>3250</v>
      </c>
      <c r="BC1314" t="s">
        <v>3250</v>
      </c>
      <c r="BE1314" t="s">
        <v>3250</v>
      </c>
      <c r="BF1314" t="s">
        <v>3250</v>
      </c>
      <c r="BG1314" t="s">
        <v>3250</v>
      </c>
      <c r="BH1314" t="s">
        <v>3250</v>
      </c>
      <c r="BI1314" t="s">
        <v>3250</v>
      </c>
      <c r="BK1314" t="s">
        <v>3250</v>
      </c>
      <c r="BL1314" t="s">
        <v>3250</v>
      </c>
      <c r="BM1314" t="s">
        <v>3250</v>
      </c>
      <c r="BN1314" t="s">
        <v>3250</v>
      </c>
      <c r="BP1314">
        <v>1</v>
      </c>
      <c r="BQ1314">
        <v>11</v>
      </c>
      <c r="BR1314" t="s">
        <v>1574</v>
      </c>
      <c r="BS1314" t="s">
        <v>3252</v>
      </c>
      <c r="BV1314">
        <v>2374000</v>
      </c>
      <c r="BW1314">
        <v>2590571</v>
      </c>
      <c r="BX1314">
        <v>2157960</v>
      </c>
      <c r="BY1314">
        <v>0</v>
      </c>
      <c r="BZ1314">
        <v>0</v>
      </c>
      <c r="CA1314">
        <v>0</v>
      </c>
      <c r="CB1314">
        <v>0</v>
      </c>
      <c r="CC1314">
        <v>0</v>
      </c>
      <c r="CD1314">
        <v>2374000</v>
      </c>
      <c r="CE1314" t="s">
        <v>3108</v>
      </c>
      <c r="CF1314" t="s">
        <v>3108</v>
      </c>
      <c r="CG1314" t="s">
        <v>3108</v>
      </c>
      <c r="CH1314" t="s">
        <v>3108</v>
      </c>
    </row>
    <row r="1315" spans="1:86" x14ac:dyDescent="0.2">
      <c r="A1315" t="s">
        <v>5194</v>
      </c>
      <c r="B1315" t="s">
        <v>5194</v>
      </c>
      <c r="C1315">
        <v>51793</v>
      </c>
      <c r="D1315">
        <v>1438</v>
      </c>
      <c r="E1315" t="s">
        <v>5195</v>
      </c>
      <c r="F1315" t="s">
        <v>3249</v>
      </c>
      <c r="G1315" t="s">
        <v>3249</v>
      </c>
      <c r="H1315" t="s">
        <v>3250</v>
      </c>
      <c r="I1315" t="s">
        <v>3250</v>
      </c>
      <c r="J1315" t="s">
        <v>3250</v>
      </c>
      <c r="K1315" t="s">
        <v>3250</v>
      </c>
      <c r="L1315">
        <v>1200</v>
      </c>
      <c r="M1315" t="s">
        <v>2368</v>
      </c>
      <c r="N1315">
        <v>1204</v>
      </c>
      <c r="O1315" t="s">
        <v>1574</v>
      </c>
      <c r="P1315" t="s">
        <v>3108</v>
      </c>
      <c r="Q1315" t="s">
        <v>3249</v>
      </c>
      <c r="R1315" t="s">
        <v>3249</v>
      </c>
      <c r="S1315" t="s">
        <v>472</v>
      </c>
      <c r="T1315" t="s">
        <v>3789</v>
      </c>
      <c r="U1315" t="s">
        <v>3250</v>
      </c>
      <c r="V1315" t="s">
        <v>3250</v>
      </c>
      <c r="W1315" t="s">
        <v>3250</v>
      </c>
      <c r="X1315" t="s">
        <v>3250</v>
      </c>
      <c r="Y1315" t="s">
        <v>3250</v>
      </c>
      <c r="Z1315" t="s">
        <v>3250</v>
      </c>
      <c r="AA1315" t="s">
        <v>3108</v>
      </c>
      <c r="AB1315" t="s">
        <v>3108</v>
      </c>
      <c r="AC1315" t="s">
        <v>3250</v>
      </c>
      <c r="AD1315" t="s">
        <v>3250</v>
      </c>
      <c r="AE1315" t="s">
        <v>3250</v>
      </c>
      <c r="AF1315" t="s">
        <v>3250</v>
      </c>
      <c r="AG1315" t="s">
        <v>3250</v>
      </c>
      <c r="AH1315" t="s">
        <v>3250</v>
      </c>
      <c r="AI1315" t="s">
        <v>3250</v>
      </c>
      <c r="AJ1315" t="s">
        <v>3250</v>
      </c>
      <c r="AL1315" t="s">
        <v>3250</v>
      </c>
      <c r="AM1315" t="s">
        <v>3250</v>
      </c>
      <c r="AN1315" t="s">
        <v>3250</v>
      </c>
      <c r="AO1315" t="s">
        <v>3250</v>
      </c>
      <c r="AS1315" t="s">
        <v>3250</v>
      </c>
      <c r="AT1315" t="s">
        <v>3250</v>
      </c>
      <c r="AU1315" t="s">
        <v>3250</v>
      </c>
      <c r="AV1315" t="s">
        <v>3250</v>
      </c>
      <c r="AW1315" t="s">
        <v>3250</v>
      </c>
      <c r="AX1315" t="s">
        <v>3250</v>
      </c>
      <c r="AY1315" t="s">
        <v>3250</v>
      </c>
      <c r="AZ1315" t="s">
        <v>3250</v>
      </c>
      <c r="BA1315" t="s">
        <v>3250</v>
      </c>
      <c r="BB1315" t="s">
        <v>3250</v>
      </c>
      <c r="BC1315" t="s">
        <v>3250</v>
      </c>
      <c r="BE1315" t="s">
        <v>3250</v>
      </c>
      <c r="BF1315" t="s">
        <v>3250</v>
      </c>
      <c r="BG1315" t="s">
        <v>3250</v>
      </c>
      <c r="BH1315" t="s">
        <v>3250</v>
      </c>
      <c r="BI1315" t="s">
        <v>3250</v>
      </c>
      <c r="BK1315" t="s">
        <v>3250</v>
      </c>
      <c r="BL1315" t="s">
        <v>3250</v>
      </c>
      <c r="BM1315" t="s">
        <v>3250</v>
      </c>
      <c r="BN1315" t="s">
        <v>3250</v>
      </c>
      <c r="BP1315">
        <v>1</v>
      </c>
      <c r="BQ1315">
        <v>11</v>
      </c>
      <c r="BR1315" t="s">
        <v>1574</v>
      </c>
      <c r="BS1315" t="s">
        <v>3252</v>
      </c>
      <c r="BU1315">
        <v>6</v>
      </c>
      <c r="BV1315">
        <v>0</v>
      </c>
      <c r="BW1315">
        <v>0</v>
      </c>
      <c r="BX1315">
        <v>0</v>
      </c>
      <c r="BY1315">
        <v>0</v>
      </c>
      <c r="BZ1315">
        <v>0</v>
      </c>
      <c r="CA1315">
        <v>0</v>
      </c>
      <c r="CB1315">
        <v>0</v>
      </c>
      <c r="CC1315">
        <v>0</v>
      </c>
      <c r="CD1315">
        <v>0</v>
      </c>
      <c r="CE1315" t="s">
        <v>3108</v>
      </c>
      <c r="CF1315" t="s">
        <v>3108</v>
      </c>
      <c r="CG1315" t="s">
        <v>3108</v>
      </c>
      <c r="CH1315" t="s">
        <v>3108</v>
      </c>
    </row>
    <row r="1316" spans="1:86" x14ac:dyDescent="0.2">
      <c r="A1316" t="s">
        <v>5196</v>
      </c>
      <c r="B1316" t="s">
        <v>5196</v>
      </c>
      <c r="C1316">
        <v>51794</v>
      </c>
      <c r="D1316">
        <v>1439</v>
      </c>
      <c r="E1316" t="s">
        <v>5197</v>
      </c>
      <c r="F1316" t="s">
        <v>3249</v>
      </c>
      <c r="G1316" t="s">
        <v>3249</v>
      </c>
      <c r="H1316" t="s">
        <v>3250</v>
      </c>
      <c r="I1316" t="s">
        <v>3250</v>
      </c>
      <c r="J1316" t="s">
        <v>3250</v>
      </c>
      <c r="K1316" t="s">
        <v>3250</v>
      </c>
      <c r="L1316">
        <v>1200</v>
      </c>
      <c r="M1316" t="s">
        <v>2368</v>
      </c>
      <c r="N1316">
        <v>1204</v>
      </c>
      <c r="O1316" t="s">
        <v>1574</v>
      </c>
      <c r="P1316" t="s">
        <v>3108</v>
      </c>
      <c r="Q1316" t="s">
        <v>3249</v>
      </c>
      <c r="R1316" t="s">
        <v>3249</v>
      </c>
      <c r="S1316" t="s">
        <v>472</v>
      </c>
      <c r="T1316" t="s">
        <v>3251</v>
      </c>
      <c r="U1316">
        <v>150</v>
      </c>
      <c r="V1316" t="s">
        <v>1328</v>
      </c>
      <c r="W1316">
        <v>150</v>
      </c>
      <c r="X1316" t="s">
        <v>1328</v>
      </c>
      <c r="Y1316" t="s">
        <v>3250</v>
      </c>
      <c r="Z1316" t="s">
        <v>3250</v>
      </c>
      <c r="AA1316" t="s">
        <v>3108</v>
      </c>
      <c r="AB1316" t="s">
        <v>3108</v>
      </c>
      <c r="AC1316" t="s">
        <v>3250</v>
      </c>
      <c r="AD1316" t="s">
        <v>3250</v>
      </c>
      <c r="AE1316" t="s">
        <v>3250</v>
      </c>
      <c r="AF1316" t="s">
        <v>3250</v>
      </c>
      <c r="AG1316" t="s">
        <v>3250</v>
      </c>
      <c r="AH1316" t="s">
        <v>3250</v>
      </c>
      <c r="AI1316" t="s">
        <v>3250</v>
      </c>
      <c r="AJ1316" t="s">
        <v>3250</v>
      </c>
      <c r="AL1316" t="s">
        <v>3250</v>
      </c>
      <c r="AM1316" t="s">
        <v>3250</v>
      </c>
      <c r="AN1316" t="s">
        <v>3250</v>
      </c>
      <c r="AO1316" t="s">
        <v>3250</v>
      </c>
      <c r="AS1316" t="s">
        <v>3250</v>
      </c>
      <c r="AT1316" t="s">
        <v>3250</v>
      </c>
      <c r="AU1316" t="s">
        <v>3250</v>
      </c>
      <c r="AV1316" t="s">
        <v>3250</v>
      </c>
      <c r="AW1316" t="s">
        <v>3250</v>
      </c>
      <c r="AX1316" t="s">
        <v>3250</v>
      </c>
      <c r="AY1316" t="s">
        <v>3250</v>
      </c>
      <c r="AZ1316" t="s">
        <v>3250</v>
      </c>
      <c r="BA1316" t="s">
        <v>3250</v>
      </c>
      <c r="BB1316" t="s">
        <v>3250</v>
      </c>
      <c r="BC1316" t="s">
        <v>3250</v>
      </c>
      <c r="BE1316" t="s">
        <v>3250</v>
      </c>
      <c r="BF1316" t="s">
        <v>3250</v>
      </c>
      <c r="BG1316" t="s">
        <v>3250</v>
      </c>
      <c r="BH1316" t="s">
        <v>3250</v>
      </c>
      <c r="BI1316" t="s">
        <v>3250</v>
      </c>
      <c r="BK1316" t="s">
        <v>3250</v>
      </c>
      <c r="BL1316" t="s">
        <v>3250</v>
      </c>
      <c r="BM1316" t="s">
        <v>3250</v>
      </c>
      <c r="BN1316" t="s">
        <v>3250</v>
      </c>
      <c r="BP1316">
        <v>1</v>
      </c>
      <c r="BQ1316">
        <v>11</v>
      </c>
      <c r="BR1316" t="s">
        <v>1574</v>
      </c>
      <c r="BS1316" t="s">
        <v>3252</v>
      </c>
      <c r="BV1316">
        <v>0</v>
      </c>
      <c r="BW1316">
        <v>0</v>
      </c>
      <c r="BX1316">
        <v>126730</v>
      </c>
      <c r="BY1316">
        <v>0</v>
      </c>
      <c r="BZ1316">
        <v>0</v>
      </c>
      <c r="CA1316">
        <v>0</v>
      </c>
      <c r="CB1316">
        <v>0</v>
      </c>
      <c r="CC1316">
        <v>0</v>
      </c>
      <c r="CD1316">
        <v>80400</v>
      </c>
      <c r="CE1316" t="s">
        <v>3108</v>
      </c>
      <c r="CF1316" t="s">
        <v>3108</v>
      </c>
      <c r="CG1316" t="s">
        <v>3108</v>
      </c>
      <c r="CH1316" t="s">
        <v>3108</v>
      </c>
    </row>
    <row r="1317" spans="1:86" x14ac:dyDescent="0.2">
      <c r="A1317" t="s">
        <v>5198</v>
      </c>
      <c r="B1317" t="s">
        <v>5198</v>
      </c>
      <c r="C1317">
        <v>51795</v>
      </c>
      <c r="D1317">
        <v>1440</v>
      </c>
      <c r="E1317" t="s">
        <v>5199</v>
      </c>
      <c r="F1317" t="s">
        <v>3249</v>
      </c>
      <c r="G1317" t="s">
        <v>3249</v>
      </c>
      <c r="H1317" t="s">
        <v>3250</v>
      </c>
      <c r="I1317" t="s">
        <v>3250</v>
      </c>
      <c r="J1317" t="s">
        <v>3250</v>
      </c>
      <c r="K1317" t="s">
        <v>3250</v>
      </c>
      <c r="L1317">
        <v>1200</v>
      </c>
      <c r="M1317" t="s">
        <v>2368</v>
      </c>
      <c r="N1317">
        <v>1204</v>
      </c>
      <c r="O1317" t="s">
        <v>1574</v>
      </c>
      <c r="P1317" t="s">
        <v>3108</v>
      </c>
      <c r="Q1317" t="s">
        <v>3249</v>
      </c>
      <c r="R1317" t="s">
        <v>3249</v>
      </c>
      <c r="S1317" t="s">
        <v>472</v>
      </c>
      <c r="T1317" t="s">
        <v>3251</v>
      </c>
      <c r="U1317">
        <v>150</v>
      </c>
      <c r="V1317" t="s">
        <v>1328</v>
      </c>
      <c r="W1317">
        <v>150</v>
      </c>
      <c r="X1317" t="s">
        <v>1328</v>
      </c>
      <c r="Y1317" t="s">
        <v>3250</v>
      </c>
      <c r="Z1317" t="s">
        <v>3250</v>
      </c>
      <c r="AA1317" t="s">
        <v>3108</v>
      </c>
      <c r="AB1317" t="s">
        <v>3108</v>
      </c>
      <c r="AC1317" t="s">
        <v>3250</v>
      </c>
      <c r="AD1317" t="s">
        <v>3250</v>
      </c>
      <c r="AE1317" t="s">
        <v>3250</v>
      </c>
      <c r="AF1317" t="s">
        <v>3250</v>
      </c>
      <c r="AG1317" t="s">
        <v>3250</v>
      </c>
      <c r="AH1317" t="s">
        <v>3250</v>
      </c>
      <c r="AI1317" t="s">
        <v>3250</v>
      </c>
      <c r="AJ1317" t="s">
        <v>3250</v>
      </c>
      <c r="AL1317" t="s">
        <v>3250</v>
      </c>
      <c r="AM1317" t="s">
        <v>3250</v>
      </c>
      <c r="AN1317" t="s">
        <v>3250</v>
      </c>
      <c r="AO1317" t="s">
        <v>3250</v>
      </c>
      <c r="AS1317" t="s">
        <v>3250</v>
      </c>
      <c r="AT1317" t="s">
        <v>3250</v>
      </c>
      <c r="AU1317" t="s">
        <v>3250</v>
      </c>
      <c r="AV1317" t="s">
        <v>3250</v>
      </c>
      <c r="AW1317" t="s">
        <v>3250</v>
      </c>
      <c r="AX1317" t="s">
        <v>3250</v>
      </c>
      <c r="AY1317" t="s">
        <v>3250</v>
      </c>
      <c r="AZ1317" t="s">
        <v>3250</v>
      </c>
      <c r="BA1317" t="s">
        <v>3250</v>
      </c>
      <c r="BB1317" t="s">
        <v>3250</v>
      </c>
      <c r="BC1317" t="s">
        <v>3250</v>
      </c>
      <c r="BE1317" t="s">
        <v>3250</v>
      </c>
      <c r="BF1317" t="s">
        <v>3250</v>
      </c>
      <c r="BG1317" t="s">
        <v>3250</v>
      </c>
      <c r="BH1317" t="s">
        <v>3250</v>
      </c>
      <c r="BI1317" t="s">
        <v>3250</v>
      </c>
      <c r="BK1317" t="s">
        <v>3250</v>
      </c>
      <c r="BL1317" t="s">
        <v>3250</v>
      </c>
      <c r="BM1317" t="s">
        <v>3250</v>
      </c>
      <c r="BN1317" t="s">
        <v>3250</v>
      </c>
      <c r="BP1317">
        <v>1</v>
      </c>
      <c r="BQ1317">
        <v>11</v>
      </c>
      <c r="BR1317" t="s">
        <v>1574</v>
      </c>
      <c r="BS1317" t="s">
        <v>3252</v>
      </c>
      <c r="BV1317">
        <v>6375</v>
      </c>
      <c r="BW1317">
        <v>0</v>
      </c>
      <c r="BX1317">
        <v>56290</v>
      </c>
      <c r="BY1317">
        <v>0</v>
      </c>
      <c r="BZ1317">
        <v>0</v>
      </c>
      <c r="CA1317">
        <v>0</v>
      </c>
      <c r="CB1317">
        <v>0</v>
      </c>
      <c r="CC1317">
        <v>0</v>
      </c>
      <c r="CD1317">
        <v>64172</v>
      </c>
      <c r="CE1317" t="s">
        <v>3108</v>
      </c>
      <c r="CF1317" t="s">
        <v>3108</v>
      </c>
      <c r="CG1317" t="s">
        <v>3108</v>
      </c>
      <c r="CH1317" t="s">
        <v>3108</v>
      </c>
    </row>
    <row r="1318" spans="1:86" x14ac:dyDescent="0.2">
      <c r="A1318" t="s">
        <v>5200</v>
      </c>
      <c r="B1318" t="s">
        <v>5200</v>
      </c>
      <c r="C1318">
        <v>51796</v>
      </c>
      <c r="D1318">
        <v>1441</v>
      </c>
      <c r="E1318" t="s">
        <v>5201</v>
      </c>
      <c r="F1318" t="s">
        <v>3249</v>
      </c>
      <c r="G1318" t="s">
        <v>3249</v>
      </c>
      <c r="H1318" t="s">
        <v>3250</v>
      </c>
      <c r="I1318" t="s">
        <v>3250</v>
      </c>
      <c r="J1318" t="s">
        <v>3250</v>
      </c>
      <c r="K1318" t="s">
        <v>3250</v>
      </c>
      <c r="L1318">
        <v>1200</v>
      </c>
      <c r="M1318" t="s">
        <v>2368</v>
      </c>
      <c r="N1318">
        <v>1204</v>
      </c>
      <c r="O1318" t="s">
        <v>1574</v>
      </c>
      <c r="P1318" t="s">
        <v>3108</v>
      </c>
      <c r="Q1318" t="s">
        <v>3249</v>
      </c>
      <c r="R1318" t="s">
        <v>3249</v>
      </c>
      <c r="S1318" t="s">
        <v>472</v>
      </c>
      <c r="T1318" t="s">
        <v>3789</v>
      </c>
      <c r="U1318">
        <v>360</v>
      </c>
      <c r="V1318" t="s">
        <v>3790</v>
      </c>
      <c r="W1318">
        <v>360</v>
      </c>
      <c r="X1318" t="s">
        <v>601</v>
      </c>
      <c r="Y1318" t="s">
        <v>3250</v>
      </c>
      <c r="Z1318" t="s">
        <v>3250</v>
      </c>
      <c r="AA1318" t="s">
        <v>3108</v>
      </c>
      <c r="AB1318" t="s">
        <v>3108</v>
      </c>
      <c r="AC1318" t="s">
        <v>3250</v>
      </c>
      <c r="AD1318" t="s">
        <v>3250</v>
      </c>
      <c r="AE1318" t="s">
        <v>3250</v>
      </c>
      <c r="AF1318" t="s">
        <v>3250</v>
      </c>
      <c r="AG1318" t="s">
        <v>3250</v>
      </c>
      <c r="AH1318" t="s">
        <v>3250</v>
      </c>
      <c r="AI1318" t="s">
        <v>3250</v>
      </c>
      <c r="AJ1318" t="s">
        <v>3250</v>
      </c>
      <c r="AL1318">
        <v>363</v>
      </c>
      <c r="AM1318" t="s">
        <v>925</v>
      </c>
      <c r="AN1318">
        <v>363</v>
      </c>
      <c r="AO1318" t="s">
        <v>925</v>
      </c>
      <c r="AS1318" t="s">
        <v>3250</v>
      </c>
      <c r="AT1318" t="s">
        <v>3250</v>
      </c>
      <c r="AU1318" t="s">
        <v>3250</v>
      </c>
      <c r="AV1318" t="s">
        <v>3250</v>
      </c>
      <c r="AW1318" t="s">
        <v>3250</v>
      </c>
      <c r="AX1318" t="s">
        <v>3250</v>
      </c>
      <c r="AY1318" t="s">
        <v>3250</v>
      </c>
      <c r="AZ1318" t="s">
        <v>3250</v>
      </c>
      <c r="BA1318" t="s">
        <v>3250</v>
      </c>
      <c r="BB1318" t="s">
        <v>3250</v>
      </c>
      <c r="BC1318" t="s">
        <v>3250</v>
      </c>
      <c r="BE1318" t="s">
        <v>3250</v>
      </c>
      <c r="BF1318" t="s">
        <v>3250</v>
      </c>
      <c r="BG1318" t="s">
        <v>3250</v>
      </c>
      <c r="BH1318" t="s">
        <v>3250</v>
      </c>
      <c r="BI1318" t="s">
        <v>3250</v>
      </c>
      <c r="BK1318" t="s">
        <v>3250</v>
      </c>
      <c r="BL1318" t="s">
        <v>3250</v>
      </c>
      <c r="BM1318" t="s">
        <v>3250</v>
      </c>
      <c r="BN1318" t="s">
        <v>3250</v>
      </c>
      <c r="BP1318">
        <v>1</v>
      </c>
      <c r="BQ1318">
        <v>11</v>
      </c>
      <c r="BR1318" t="s">
        <v>1574</v>
      </c>
      <c r="BS1318" t="s">
        <v>3252</v>
      </c>
      <c r="BV1318">
        <v>0</v>
      </c>
      <c r="BW1318">
        <v>0</v>
      </c>
      <c r="BX1318">
        <v>11225</v>
      </c>
      <c r="BY1318">
        <v>0</v>
      </c>
      <c r="BZ1318">
        <v>0</v>
      </c>
      <c r="CA1318">
        <v>0</v>
      </c>
      <c r="CB1318">
        <v>0</v>
      </c>
      <c r="CC1318">
        <v>0</v>
      </c>
      <c r="CD1318">
        <v>0</v>
      </c>
      <c r="CE1318" t="s">
        <v>3108</v>
      </c>
      <c r="CF1318" t="s">
        <v>3108</v>
      </c>
      <c r="CG1318" t="s">
        <v>3108</v>
      </c>
      <c r="CH1318" t="s">
        <v>3108</v>
      </c>
    </row>
    <row r="1319" spans="1:86" x14ac:dyDescent="0.2">
      <c r="A1319" t="s">
        <v>5202</v>
      </c>
      <c r="B1319" t="s">
        <v>5202</v>
      </c>
      <c r="C1319">
        <v>51797</v>
      </c>
      <c r="D1319">
        <v>1442</v>
      </c>
      <c r="E1319" t="s">
        <v>5203</v>
      </c>
      <c r="F1319" t="s">
        <v>3249</v>
      </c>
      <c r="G1319" t="s">
        <v>3249</v>
      </c>
      <c r="H1319" t="s">
        <v>3250</v>
      </c>
      <c r="I1319" t="s">
        <v>3250</v>
      </c>
      <c r="J1319" t="s">
        <v>3250</v>
      </c>
      <c r="K1319" t="s">
        <v>3250</v>
      </c>
      <c r="L1319">
        <v>1200</v>
      </c>
      <c r="M1319" t="s">
        <v>2368</v>
      </c>
      <c r="N1319">
        <v>1204</v>
      </c>
      <c r="O1319" t="s">
        <v>1574</v>
      </c>
      <c r="P1319" t="s">
        <v>3108</v>
      </c>
      <c r="Q1319" t="s">
        <v>3249</v>
      </c>
      <c r="R1319" t="s">
        <v>3249</v>
      </c>
      <c r="S1319" t="s">
        <v>472</v>
      </c>
      <c r="T1319" t="s">
        <v>3789</v>
      </c>
      <c r="U1319">
        <v>360</v>
      </c>
      <c r="V1319" t="s">
        <v>3790</v>
      </c>
      <c r="W1319">
        <v>360</v>
      </c>
      <c r="X1319" t="s">
        <v>601</v>
      </c>
      <c r="Y1319" t="s">
        <v>3250</v>
      </c>
      <c r="Z1319" t="s">
        <v>3250</v>
      </c>
      <c r="AA1319" t="s">
        <v>3108</v>
      </c>
      <c r="AB1319" t="s">
        <v>3108</v>
      </c>
      <c r="AC1319" t="s">
        <v>3250</v>
      </c>
      <c r="AD1319" t="s">
        <v>3250</v>
      </c>
      <c r="AE1319" t="s">
        <v>3250</v>
      </c>
      <c r="AF1319" t="s">
        <v>3250</v>
      </c>
      <c r="AG1319" t="s">
        <v>3250</v>
      </c>
      <c r="AH1319" t="s">
        <v>3250</v>
      </c>
      <c r="AI1319" t="s">
        <v>3250</v>
      </c>
      <c r="AJ1319" t="s">
        <v>3250</v>
      </c>
      <c r="AL1319">
        <v>363</v>
      </c>
      <c r="AM1319" t="s">
        <v>925</v>
      </c>
      <c r="AN1319">
        <v>363</v>
      </c>
      <c r="AO1319" t="s">
        <v>925</v>
      </c>
      <c r="AS1319" t="s">
        <v>3250</v>
      </c>
      <c r="AT1319" t="s">
        <v>3250</v>
      </c>
      <c r="AU1319" t="s">
        <v>3250</v>
      </c>
      <c r="AV1319" t="s">
        <v>3250</v>
      </c>
      <c r="AW1319" t="s">
        <v>3250</v>
      </c>
      <c r="AX1319" t="s">
        <v>3250</v>
      </c>
      <c r="AY1319" t="s">
        <v>3250</v>
      </c>
      <c r="AZ1319" t="s">
        <v>3250</v>
      </c>
      <c r="BA1319" t="s">
        <v>3250</v>
      </c>
      <c r="BB1319" t="s">
        <v>3250</v>
      </c>
      <c r="BC1319" t="s">
        <v>3250</v>
      </c>
      <c r="BE1319" t="s">
        <v>3250</v>
      </c>
      <c r="BF1319" t="s">
        <v>3250</v>
      </c>
      <c r="BG1319" t="s">
        <v>3250</v>
      </c>
      <c r="BH1319" t="s">
        <v>3250</v>
      </c>
      <c r="BI1319" t="s">
        <v>3250</v>
      </c>
      <c r="BK1319" t="s">
        <v>3250</v>
      </c>
      <c r="BL1319" t="s">
        <v>3250</v>
      </c>
      <c r="BM1319" t="s">
        <v>3250</v>
      </c>
      <c r="BN1319" t="s">
        <v>3250</v>
      </c>
      <c r="BP1319">
        <v>1</v>
      </c>
      <c r="BQ1319">
        <v>11</v>
      </c>
      <c r="BR1319" t="s">
        <v>1574</v>
      </c>
      <c r="BS1319" t="s">
        <v>3252</v>
      </c>
      <c r="BV1319">
        <v>0</v>
      </c>
      <c r="BW1319">
        <v>0</v>
      </c>
      <c r="BX1319">
        <v>0</v>
      </c>
      <c r="BY1319">
        <v>0</v>
      </c>
      <c r="BZ1319">
        <v>0</v>
      </c>
      <c r="CA1319">
        <v>0</v>
      </c>
      <c r="CB1319">
        <v>0</v>
      </c>
      <c r="CC1319">
        <v>0</v>
      </c>
      <c r="CD1319">
        <v>0</v>
      </c>
      <c r="CE1319" t="s">
        <v>3108</v>
      </c>
      <c r="CF1319" t="s">
        <v>3108</v>
      </c>
      <c r="CG1319" t="s">
        <v>3108</v>
      </c>
      <c r="CH1319" t="s">
        <v>3108</v>
      </c>
    </row>
    <row r="1320" spans="1:86" x14ac:dyDescent="0.2">
      <c r="A1320" t="s">
        <v>5204</v>
      </c>
      <c r="B1320" t="s">
        <v>5204</v>
      </c>
      <c r="C1320">
        <v>51798</v>
      </c>
      <c r="D1320">
        <v>1443</v>
      </c>
      <c r="E1320" t="s">
        <v>5205</v>
      </c>
      <c r="F1320" t="s">
        <v>3249</v>
      </c>
      <c r="G1320" t="s">
        <v>3249</v>
      </c>
      <c r="H1320" t="s">
        <v>3250</v>
      </c>
      <c r="I1320" t="s">
        <v>3250</v>
      </c>
      <c r="J1320" t="s">
        <v>3250</v>
      </c>
      <c r="K1320" t="s">
        <v>3250</v>
      </c>
      <c r="L1320">
        <v>1200</v>
      </c>
      <c r="M1320" t="s">
        <v>2368</v>
      </c>
      <c r="N1320">
        <v>1204</v>
      </c>
      <c r="O1320" t="s">
        <v>1574</v>
      </c>
      <c r="P1320" t="s">
        <v>3108</v>
      </c>
      <c r="Q1320" t="s">
        <v>3249</v>
      </c>
      <c r="R1320" t="s">
        <v>3249</v>
      </c>
      <c r="S1320" t="s">
        <v>472</v>
      </c>
      <c r="T1320" t="s">
        <v>3789</v>
      </c>
      <c r="U1320">
        <v>360</v>
      </c>
      <c r="V1320" t="s">
        <v>3790</v>
      </c>
      <c r="W1320">
        <v>360</v>
      </c>
      <c r="X1320" t="s">
        <v>601</v>
      </c>
      <c r="Y1320" t="s">
        <v>3250</v>
      </c>
      <c r="Z1320" t="s">
        <v>3250</v>
      </c>
      <c r="AA1320" t="s">
        <v>3108</v>
      </c>
      <c r="AB1320" t="s">
        <v>3108</v>
      </c>
      <c r="AC1320" t="s">
        <v>3250</v>
      </c>
      <c r="AD1320" t="s">
        <v>3250</v>
      </c>
      <c r="AE1320" t="s">
        <v>3250</v>
      </c>
      <c r="AF1320" t="s">
        <v>3250</v>
      </c>
      <c r="AG1320" t="s">
        <v>3250</v>
      </c>
      <c r="AH1320" t="s">
        <v>3250</v>
      </c>
      <c r="AI1320" t="s">
        <v>3250</v>
      </c>
      <c r="AJ1320" t="s">
        <v>3250</v>
      </c>
      <c r="AL1320">
        <v>363</v>
      </c>
      <c r="AM1320" t="s">
        <v>925</v>
      </c>
      <c r="AN1320">
        <v>363</v>
      </c>
      <c r="AO1320" t="s">
        <v>925</v>
      </c>
      <c r="AS1320" t="s">
        <v>3250</v>
      </c>
      <c r="AT1320" t="s">
        <v>3250</v>
      </c>
      <c r="AU1320" t="s">
        <v>3250</v>
      </c>
      <c r="AV1320" t="s">
        <v>3250</v>
      </c>
      <c r="AW1320" t="s">
        <v>3250</v>
      </c>
      <c r="AX1320" t="s">
        <v>3250</v>
      </c>
      <c r="AY1320" t="s">
        <v>3250</v>
      </c>
      <c r="AZ1320" t="s">
        <v>3250</v>
      </c>
      <c r="BA1320" t="s">
        <v>3250</v>
      </c>
      <c r="BB1320" t="s">
        <v>3250</v>
      </c>
      <c r="BC1320" t="s">
        <v>3250</v>
      </c>
      <c r="BE1320" t="s">
        <v>3250</v>
      </c>
      <c r="BF1320" t="s">
        <v>3250</v>
      </c>
      <c r="BG1320" t="s">
        <v>3250</v>
      </c>
      <c r="BH1320" t="s">
        <v>3250</v>
      </c>
      <c r="BI1320" t="s">
        <v>3250</v>
      </c>
      <c r="BK1320" t="s">
        <v>3250</v>
      </c>
      <c r="BL1320" t="s">
        <v>3250</v>
      </c>
      <c r="BM1320" t="s">
        <v>3250</v>
      </c>
      <c r="BN1320" t="s">
        <v>3250</v>
      </c>
      <c r="BP1320">
        <v>1</v>
      </c>
      <c r="BQ1320">
        <v>11</v>
      </c>
      <c r="BR1320" t="s">
        <v>1574</v>
      </c>
      <c r="BS1320" t="s">
        <v>3252</v>
      </c>
      <c r="BV1320">
        <v>0</v>
      </c>
      <c r="BW1320">
        <v>0</v>
      </c>
      <c r="BX1320">
        <v>46537</v>
      </c>
      <c r="BY1320">
        <v>0</v>
      </c>
      <c r="BZ1320">
        <v>0</v>
      </c>
      <c r="CA1320">
        <v>0</v>
      </c>
      <c r="CB1320">
        <v>0</v>
      </c>
      <c r="CC1320">
        <v>0</v>
      </c>
      <c r="CD1320">
        <v>0</v>
      </c>
      <c r="CE1320" t="s">
        <v>3108</v>
      </c>
      <c r="CF1320" t="s">
        <v>3108</v>
      </c>
      <c r="CG1320" t="s">
        <v>3108</v>
      </c>
      <c r="CH1320" t="s">
        <v>3108</v>
      </c>
    </row>
    <row r="1321" spans="1:86" x14ac:dyDescent="0.2">
      <c r="A1321" t="s">
        <v>5206</v>
      </c>
      <c r="B1321" t="s">
        <v>5206</v>
      </c>
      <c r="C1321">
        <v>51799</v>
      </c>
      <c r="D1321">
        <v>1444</v>
      </c>
      <c r="E1321" t="s">
        <v>5205</v>
      </c>
      <c r="F1321" t="s">
        <v>3249</v>
      </c>
      <c r="G1321" t="s">
        <v>3249</v>
      </c>
      <c r="H1321" t="s">
        <v>3250</v>
      </c>
      <c r="I1321" t="s">
        <v>3250</v>
      </c>
      <c r="J1321" t="s">
        <v>3250</v>
      </c>
      <c r="K1321" t="s">
        <v>3250</v>
      </c>
      <c r="L1321">
        <v>1200</v>
      </c>
      <c r="M1321" t="s">
        <v>2368</v>
      </c>
      <c r="N1321">
        <v>1204</v>
      </c>
      <c r="O1321" t="s">
        <v>1574</v>
      </c>
      <c r="P1321" t="s">
        <v>3108</v>
      </c>
      <c r="Q1321" t="s">
        <v>3249</v>
      </c>
      <c r="R1321" t="s">
        <v>3249</v>
      </c>
      <c r="S1321" t="s">
        <v>472</v>
      </c>
      <c r="T1321" t="s">
        <v>3789</v>
      </c>
      <c r="U1321">
        <v>360</v>
      </c>
      <c r="V1321" t="s">
        <v>3790</v>
      </c>
      <c r="W1321">
        <v>360</v>
      </c>
      <c r="X1321" t="s">
        <v>601</v>
      </c>
      <c r="Y1321" t="s">
        <v>3250</v>
      </c>
      <c r="Z1321" t="s">
        <v>3250</v>
      </c>
      <c r="AA1321" t="s">
        <v>3108</v>
      </c>
      <c r="AB1321" t="s">
        <v>3108</v>
      </c>
      <c r="AC1321" t="s">
        <v>3250</v>
      </c>
      <c r="AD1321" t="s">
        <v>3250</v>
      </c>
      <c r="AE1321" t="s">
        <v>3250</v>
      </c>
      <c r="AF1321" t="s">
        <v>3250</v>
      </c>
      <c r="AG1321" t="s">
        <v>3250</v>
      </c>
      <c r="AH1321" t="s">
        <v>3250</v>
      </c>
      <c r="AI1321" t="s">
        <v>3250</v>
      </c>
      <c r="AJ1321" t="s">
        <v>3250</v>
      </c>
      <c r="AL1321">
        <v>363</v>
      </c>
      <c r="AM1321" t="s">
        <v>925</v>
      </c>
      <c r="AN1321">
        <v>363</v>
      </c>
      <c r="AO1321" t="s">
        <v>925</v>
      </c>
      <c r="AS1321" t="s">
        <v>3250</v>
      </c>
      <c r="AT1321" t="s">
        <v>3250</v>
      </c>
      <c r="AU1321" t="s">
        <v>3250</v>
      </c>
      <c r="AV1321" t="s">
        <v>3250</v>
      </c>
      <c r="AW1321" t="s">
        <v>3250</v>
      </c>
      <c r="AX1321" t="s">
        <v>3250</v>
      </c>
      <c r="AY1321" t="s">
        <v>3250</v>
      </c>
      <c r="AZ1321" t="s">
        <v>3250</v>
      </c>
      <c r="BA1321" t="s">
        <v>3250</v>
      </c>
      <c r="BB1321" t="s">
        <v>3250</v>
      </c>
      <c r="BC1321" t="s">
        <v>3250</v>
      </c>
      <c r="BE1321" t="s">
        <v>3250</v>
      </c>
      <c r="BF1321" t="s">
        <v>3250</v>
      </c>
      <c r="BG1321" t="s">
        <v>3250</v>
      </c>
      <c r="BH1321" t="s">
        <v>3250</v>
      </c>
      <c r="BI1321" t="s">
        <v>3250</v>
      </c>
      <c r="BK1321" t="s">
        <v>3250</v>
      </c>
      <c r="BL1321" t="s">
        <v>3250</v>
      </c>
      <c r="BM1321" t="s">
        <v>3250</v>
      </c>
      <c r="BN1321" t="s">
        <v>3250</v>
      </c>
      <c r="BP1321">
        <v>1</v>
      </c>
      <c r="BQ1321">
        <v>11</v>
      </c>
      <c r="BR1321" t="s">
        <v>1574</v>
      </c>
      <c r="BS1321" t="s">
        <v>3252</v>
      </c>
      <c r="BV1321">
        <v>0</v>
      </c>
      <c r="BW1321">
        <v>0</v>
      </c>
      <c r="BX1321">
        <v>47028</v>
      </c>
      <c r="BY1321">
        <v>0</v>
      </c>
      <c r="BZ1321">
        <v>0</v>
      </c>
      <c r="CA1321">
        <v>0</v>
      </c>
      <c r="CB1321">
        <v>0</v>
      </c>
      <c r="CC1321">
        <v>0</v>
      </c>
      <c r="CD1321">
        <v>0</v>
      </c>
      <c r="CE1321" t="s">
        <v>3108</v>
      </c>
      <c r="CF1321" t="s">
        <v>3108</v>
      </c>
      <c r="CG1321" t="s">
        <v>3108</v>
      </c>
      <c r="CH1321" t="s">
        <v>3108</v>
      </c>
    </row>
    <row r="1322" spans="1:86" x14ac:dyDescent="0.2">
      <c r="A1322" t="s">
        <v>5207</v>
      </c>
      <c r="B1322" t="s">
        <v>5207</v>
      </c>
      <c r="C1322">
        <v>51800</v>
      </c>
      <c r="D1322">
        <v>1445</v>
      </c>
      <c r="E1322" t="s">
        <v>5208</v>
      </c>
      <c r="F1322" t="s">
        <v>3249</v>
      </c>
      <c r="G1322" t="s">
        <v>3249</v>
      </c>
      <c r="H1322" t="s">
        <v>3250</v>
      </c>
      <c r="I1322" t="s">
        <v>3250</v>
      </c>
      <c r="J1322" t="s">
        <v>3250</v>
      </c>
      <c r="K1322" t="s">
        <v>3250</v>
      </c>
      <c r="L1322">
        <v>1200</v>
      </c>
      <c r="M1322" t="s">
        <v>2368</v>
      </c>
      <c r="N1322">
        <v>1204</v>
      </c>
      <c r="O1322" t="s">
        <v>1574</v>
      </c>
      <c r="P1322" t="s">
        <v>3108</v>
      </c>
      <c r="Q1322" t="s">
        <v>3249</v>
      </c>
      <c r="R1322" t="s">
        <v>3249</v>
      </c>
      <c r="S1322" t="s">
        <v>472</v>
      </c>
      <c r="T1322" t="s">
        <v>3789</v>
      </c>
      <c r="U1322">
        <v>360</v>
      </c>
      <c r="V1322" t="s">
        <v>3790</v>
      </c>
      <c r="W1322">
        <v>360</v>
      </c>
      <c r="X1322" t="s">
        <v>601</v>
      </c>
      <c r="Y1322" t="s">
        <v>3250</v>
      </c>
      <c r="Z1322" t="s">
        <v>3250</v>
      </c>
      <c r="AA1322" t="s">
        <v>3108</v>
      </c>
      <c r="AB1322" t="s">
        <v>3108</v>
      </c>
      <c r="AC1322" t="s">
        <v>3250</v>
      </c>
      <c r="AD1322" t="s">
        <v>3250</v>
      </c>
      <c r="AE1322" t="s">
        <v>3250</v>
      </c>
      <c r="AF1322" t="s">
        <v>3250</v>
      </c>
      <c r="AG1322" t="s">
        <v>3250</v>
      </c>
      <c r="AH1322" t="s">
        <v>3250</v>
      </c>
      <c r="AI1322" t="s">
        <v>3250</v>
      </c>
      <c r="AJ1322" t="s">
        <v>3250</v>
      </c>
      <c r="AL1322">
        <v>363</v>
      </c>
      <c r="AM1322" t="s">
        <v>925</v>
      </c>
      <c r="AN1322">
        <v>363</v>
      </c>
      <c r="AO1322" t="s">
        <v>925</v>
      </c>
      <c r="AS1322" t="s">
        <v>3250</v>
      </c>
      <c r="AT1322" t="s">
        <v>3250</v>
      </c>
      <c r="AU1322" t="s">
        <v>3250</v>
      </c>
      <c r="AV1322" t="s">
        <v>3250</v>
      </c>
      <c r="AW1322" t="s">
        <v>3250</v>
      </c>
      <c r="AX1322" t="s">
        <v>3250</v>
      </c>
      <c r="AY1322" t="s">
        <v>3250</v>
      </c>
      <c r="AZ1322" t="s">
        <v>3250</v>
      </c>
      <c r="BA1322" t="s">
        <v>3250</v>
      </c>
      <c r="BB1322" t="s">
        <v>3250</v>
      </c>
      <c r="BC1322" t="s">
        <v>3250</v>
      </c>
      <c r="BE1322" t="s">
        <v>3250</v>
      </c>
      <c r="BF1322" t="s">
        <v>3250</v>
      </c>
      <c r="BG1322" t="s">
        <v>3250</v>
      </c>
      <c r="BH1322" t="s">
        <v>3250</v>
      </c>
      <c r="BI1322" t="s">
        <v>3250</v>
      </c>
      <c r="BK1322" t="s">
        <v>3250</v>
      </c>
      <c r="BL1322" t="s">
        <v>3250</v>
      </c>
      <c r="BM1322" t="s">
        <v>3250</v>
      </c>
      <c r="BN1322" t="s">
        <v>3250</v>
      </c>
      <c r="BP1322">
        <v>1</v>
      </c>
      <c r="BQ1322">
        <v>11</v>
      </c>
      <c r="BR1322" t="s">
        <v>1574</v>
      </c>
      <c r="BS1322" t="s">
        <v>3252</v>
      </c>
      <c r="BV1322">
        <v>0</v>
      </c>
      <c r="BW1322">
        <v>0</v>
      </c>
      <c r="BX1322">
        <v>0</v>
      </c>
      <c r="BY1322">
        <v>0</v>
      </c>
      <c r="BZ1322">
        <v>0</v>
      </c>
      <c r="CA1322">
        <v>0</v>
      </c>
      <c r="CB1322">
        <v>0</v>
      </c>
      <c r="CC1322">
        <v>0</v>
      </c>
      <c r="CD1322">
        <v>0</v>
      </c>
      <c r="CE1322" t="s">
        <v>3108</v>
      </c>
      <c r="CF1322" t="s">
        <v>3108</v>
      </c>
      <c r="CG1322" t="s">
        <v>3108</v>
      </c>
      <c r="CH1322" t="s">
        <v>3108</v>
      </c>
    </row>
    <row r="1323" spans="1:86" x14ac:dyDescent="0.2">
      <c r="A1323" t="s">
        <v>5209</v>
      </c>
      <c r="B1323" t="s">
        <v>5209</v>
      </c>
      <c r="C1323">
        <v>51801</v>
      </c>
      <c r="D1323">
        <v>1446</v>
      </c>
      <c r="E1323" t="s">
        <v>5210</v>
      </c>
      <c r="F1323" t="s">
        <v>3249</v>
      </c>
      <c r="G1323" t="s">
        <v>3249</v>
      </c>
      <c r="H1323" t="s">
        <v>3250</v>
      </c>
      <c r="I1323" t="s">
        <v>3250</v>
      </c>
      <c r="J1323" t="s">
        <v>3250</v>
      </c>
      <c r="K1323" t="s">
        <v>3250</v>
      </c>
      <c r="L1323">
        <v>1200</v>
      </c>
      <c r="M1323" t="s">
        <v>2368</v>
      </c>
      <c r="N1323">
        <v>1204</v>
      </c>
      <c r="O1323" t="s">
        <v>1574</v>
      </c>
      <c r="P1323" t="s">
        <v>3108</v>
      </c>
      <c r="Q1323" t="s">
        <v>3249</v>
      </c>
      <c r="R1323" t="s">
        <v>3249</v>
      </c>
      <c r="S1323" t="s">
        <v>472</v>
      </c>
      <c r="T1323" t="s">
        <v>3789</v>
      </c>
      <c r="U1323">
        <v>360</v>
      </c>
      <c r="V1323" t="s">
        <v>3790</v>
      </c>
      <c r="W1323">
        <v>360</v>
      </c>
      <c r="X1323" t="s">
        <v>601</v>
      </c>
      <c r="Y1323" t="s">
        <v>3250</v>
      </c>
      <c r="Z1323" t="s">
        <v>3250</v>
      </c>
      <c r="AA1323" t="s">
        <v>3108</v>
      </c>
      <c r="AB1323" t="s">
        <v>3108</v>
      </c>
      <c r="AC1323" t="s">
        <v>3250</v>
      </c>
      <c r="AD1323" t="s">
        <v>3250</v>
      </c>
      <c r="AE1323" t="s">
        <v>3250</v>
      </c>
      <c r="AF1323" t="s">
        <v>3250</v>
      </c>
      <c r="AG1323" t="s">
        <v>3250</v>
      </c>
      <c r="AH1323" t="s">
        <v>3250</v>
      </c>
      <c r="AI1323" t="s">
        <v>3250</v>
      </c>
      <c r="AJ1323" t="s">
        <v>3250</v>
      </c>
      <c r="AL1323">
        <v>363</v>
      </c>
      <c r="AM1323" t="s">
        <v>925</v>
      </c>
      <c r="AN1323">
        <v>363</v>
      </c>
      <c r="AO1323" t="s">
        <v>925</v>
      </c>
      <c r="AS1323" t="s">
        <v>3250</v>
      </c>
      <c r="AT1323" t="s">
        <v>3250</v>
      </c>
      <c r="AU1323" t="s">
        <v>3250</v>
      </c>
      <c r="AV1323" t="s">
        <v>3250</v>
      </c>
      <c r="AW1323" t="s">
        <v>3250</v>
      </c>
      <c r="AX1323" t="s">
        <v>3250</v>
      </c>
      <c r="AY1323" t="s">
        <v>3250</v>
      </c>
      <c r="AZ1323" t="s">
        <v>3250</v>
      </c>
      <c r="BA1323" t="s">
        <v>3250</v>
      </c>
      <c r="BB1323" t="s">
        <v>3250</v>
      </c>
      <c r="BC1323" t="s">
        <v>3250</v>
      </c>
      <c r="BE1323" t="s">
        <v>3250</v>
      </c>
      <c r="BF1323" t="s">
        <v>3250</v>
      </c>
      <c r="BG1323" t="s">
        <v>3250</v>
      </c>
      <c r="BH1323" t="s">
        <v>3250</v>
      </c>
      <c r="BI1323" t="s">
        <v>3250</v>
      </c>
      <c r="BK1323" t="s">
        <v>3250</v>
      </c>
      <c r="BL1323" t="s">
        <v>3250</v>
      </c>
      <c r="BM1323" t="s">
        <v>3250</v>
      </c>
      <c r="BN1323" t="s">
        <v>3250</v>
      </c>
      <c r="BP1323">
        <v>1</v>
      </c>
      <c r="BQ1323">
        <v>11</v>
      </c>
      <c r="BR1323" t="s">
        <v>1574</v>
      </c>
      <c r="BS1323" t="s">
        <v>3252</v>
      </c>
      <c r="BV1323">
        <v>0</v>
      </c>
      <c r="BW1323">
        <v>0</v>
      </c>
      <c r="BX1323">
        <v>0</v>
      </c>
      <c r="BY1323">
        <v>-2800000</v>
      </c>
      <c r="BZ1323">
        <v>-2800000</v>
      </c>
      <c r="CA1323">
        <v>-2850000</v>
      </c>
      <c r="CB1323">
        <v>-2850000</v>
      </c>
      <c r="CC1323">
        <v>-2850000</v>
      </c>
      <c r="CD1323">
        <v>424271</v>
      </c>
      <c r="CE1323" t="s">
        <v>3108</v>
      </c>
      <c r="CF1323" t="s">
        <v>3108</v>
      </c>
      <c r="CG1323" t="s">
        <v>3108</v>
      </c>
      <c r="CH1323" t="s">
        <v>3108</v>
      </c>
    </row>
    <row r="1324" spans="1:86" x14ac:dyDescent="0.2">
      <c r="A1324" t="s">
        <v>5211</v>
      </c>
      <c r="B1324" t="s">
        <v>5211</v>
      </c>
      <c r="C1324">
        <v>51802</v>
      </c>
      <c r="D1324">
        <v>1447</v>
      </c>
      <c r="E1324" t="s">
        <v>5212</v>
      </c>
      <c r="F1324" t="s">
        <v>3249</v>
      </c>
      <c r="G1324" t="s">
        <v>3249</v>
      </c>
      <c r="H1324" t="s">
        <v>3250</v>
      </c>
      <c r="I1324" t="s">
        <v>3250</v>
      </c>
      <c r="J1324" t="s">
        <v>3250</v>
      </c>
      <c r="K1324" t="s">
        <v>3250</v>
      </c>
      <c r="L1324">
        <v>4100</v>
      </c>
      <c r="M1324" t="s">
        <v>2365</v>
      </c>
      <c r="N1324">
        <v>4101</v>
      </c>
      <c r="O1324" t="s">
        <v>2432</v>
      </c>
      <c r="P1324" t="s">
        <v>3108</v>
      </c>
      <c r="Q1324">
        <v>2010</v>
      </c>
      <c r="R1324" t="s">
        <v>1355</v>
      </c>
      <c r="S1324" t="s">
        <v>472</v>
      </c>
      <c r="T1324" t="s">
        <v>3789</v>
      </c>
      <c r="U1324">
        <v>360</v>
      </c>
      <c r="V1324" t="s">
        <v>3790</v>
      </c>
      <c r="W1324">
        <v>360</v>
      </c>
      <c r="X1324" t="s">
        <v>601</v>
      </c>
      <c r="Y1324" t="s">
        <v>3250</v>
      </c>
      <c r="Z1324" t="s">
        <v>3250</v>
      </c>
      <c r="AA1324" t="s">
        <v>3108</v>
      </c>
      <c r="AB1324" t="s">
        <v>3108</v>
      </c>
      <c r="AC1324" t="s">
        <v>3250</v>
      </c>
      <c r="AD1324" t="s">
        <v>3250</v>
      </c>
      <c r="AE1324" t="s">
        <v>3250</v>
      </c>
      <c r="AF1324" t="s">
        <v>3250</v>
      </c>
      <c r="AG1324" t="s">
        <v>3250</v>
      </c>
      <c r="AH1324" t="s">
        <v>3250</v>
      </c>
      <c r="AI1324" t="s">
        <v>3250</v>
      </c>
      <c r="AJ1324" t="s">
        <v>3250</v>
      </c>
      <c r="AL1324">
        <v>363</v>
      </c>
      <c r="AM1324" t="s">
        <v>925</v>
      </c>
      <c r="AN1324">
        <v>363</v>
      </c>
      <c r="AO1324" t="s">
        <v>925</v>
      </c>
      <c r="AS1324" t="s">
        <v>3250</v>
      </c>
      <c r="AT1324" t="s">
        <v>3250</v>
      </c>
      <c r="AU1324" t="s">
        <v>3250</v>
      </c>
      <c r="AV1324" t="s">
        <v>3250</v>
      </c>
      <c r="AW1324" t="s">
        <v>3250</v>
      </c>
      <c r="AX1324" t="s">
        <v>3250</v>
      </c>
      <c r="AY1324" t="s">
        <v>3250</v>
      </c>
      <c r="AZ1324" t="s">
        <v>3250</v>
      </c>
      <c r="BA1324" t="s">
        <v>3250</v>
      </c>
      <c r="BB1324" t="s">
        <v>3250</v>
      </c>
      <c r="BC1324" t="s">
        <v>3250</v>
      </c>
      <c r="BE1324" t="s">
        <v>3250</v>
      </c>
      <c r="BF1324" t="s">
        <v>3250</v>
      </c>
      <c r="BG1324" t="s">
        <v>3250</v>
      </c>
      <c r="BH1324" t="s">
        <v>3250</v>
      </c>
      <c r="BI1324" t="s">
        <v>3250</v>
      </c>
      <c r="BK1324" t="s">
        <v>3250</v>
      </c>
      <c r="BL1324" t="s">
        <v>3250</v>
      </c>
      <c r="BM1324" t="s">
        <v>3250</v>
      </c>
      <c r="BN1324" t="s">
        <v>3250</v>
      </c>
      <c r="BP1324">
        <v>6</v>
      </c>
      <c r="BQ1324">
        <v>61</v>
      </c>
      <c r="BR1324" t="s">
        <v>555</v>
      </c>
      <c r="BS1324" t="s">
        <v>4397</v>
      </c>
      <c r="BV1324">
        <v>0</v>
      </c>
      <c r="BW1324">
        <v>0</v>
      </c>
      <c r="BX1324">
        <v>0</v>
      </c>
      <c r="BY1324">
        <v>5000000</v>
      </c>
      <c r="BZ1324">
        <v>0</v>
      </c>
      <c r="CA1324">
        <v>0</v>
      </c>
      <c r="CB1324">
        <v>0</v>
      </c>
      <c r="CC1324">
        <v>0</v>
      </c>
      <c r="CD1324">
        <v>569444</v>
      </c>
      <c r="CE1324" t="s">
        <v>3108</v>
      </c>
      <c r="CF1324" t="s">
        <v>3108</v>
      </c>
      <c r="CG1324" t="s">
        <v>3108</v>
      </c>
      <c r="CH1324" t="s">
        <v>3108</v>
      </c>
    </row>
    <row r="1325" spans="1:86" x14ac:dyDescent="0.2">
      <c r="A1325" t="s">
        <v>5213</v>
      </c>
      <c r="B1325" t="s">
        <v>5213</v>
      </c>
      <c r="C1325">
        <v>51803</v>
      </c>
      <c r="D1325">
        <v>1448</v>
      </c>
      <c r="E1325" t="s">
        <v>5214</v>
      </c>
      <c r="F1325" t="s">
        <v>3249</v>
      </c>
      <c r="G1325" t="s">
        <v>3249</v>
      </c>
      <c r="H1325" t="s">
        <v>3250</v>
      </c>
      <c r="I1325" t="s">
        <v>3250</v>
      </c>
      <c r="J1325" t="s">
        <v>3250</v>
      </c>
      <c r="K1325" t="s">
        <v>3250</v>
      </c>
      <c r="L1325">
        <v>1200</v>
      </c>
      <c r="M1325" t="s">
        <v>2368</v>
      </c>
      <c r="N1325">
        <v>1204</v>
      </c>
      <c r="O1325" t="s">
        <v>1574</v>
      </c>
      <c r="P1325" t="s">
        <v>3108</v>
      </c>
      <c r="Q1325" t="s">
        <v>3249</v>
      </c>
      <c r="R1325" t="s">
        <v>3249</v>
      </c>
      <c r="S1325" t="s">
        <v>472</v>
      </c>
      <c r="T1325" t="s">
        <v>3789</v>
      </c>
      <c r="U1325">
        <v>360</v>
      </c>
      <c r="V1325" t="s">
        <v>3790</v>
      </c>
      <c r="W1325">
        <v>360</v>
      </c>
      <c r="X1325" t="s">
        <v>601</v>
      </c>
      <c r="Y1325" t="s">
        <v>3250</v>
      </c>
      <c r="Z1325" t="s">
        <v>3250</v>
      </c>
      <c r="AA1325" t="s">
        <v>3108</v>
      </c>
      <c r="AB1325" t="s">
        <v>3108</v>
      </c>
      <c r="AC1325" t="s">
        <v>3250</v>
      </c>
      <c r="AD1325" t="s">
        <v>3250</v>
      </c>
      <c r="AE1325" t="s">
        <v>3250</v>
      </c>
      <c r="AF1325" t="s">
        <v>3250</v>
      </c>
      <c r="AG1325" t="s">
        <v>3250</v>
      </c>
      <c r="AH1325" t="s">
        <v>3250</v>
      </c>
      <c r="AI1325" t="s">
        <v>3250</v>
      </c>
      <c r="AJ1325" t="s">
        <v>3250</v>
      </c>
      <c r="AL1325">
        <v>363</v>
      </c>
      <c r="AM1325" t="s">
        <v>925</v>
      </c>
      <c r="AN1325">
        <v>363</v>
      </c>
      <c r="AO1325" t="s">
        <v>925</v>
      </c>
      <c r="AS1325" t="s">
        <v>3250</v>
      </c>
      <c r="AT1325" t="s">
        <v>3250</v>
      </c>
      <c r="AU1325" t="s">
        <v>3250</v>
      </c>
      <c r="AV1325" t="s">
        <v>3250</v>
      </c>
      <c r="AW1325" t="s">
        <v>3250</v>
      </c>
      <c r="AX1325" t="s">
        <v>3250</v>
      </c>
      <c r="AY1325" t="s">
        <v>3250</v>
      </c>
      <c r="AZ1325" t="s">
        <v>3250</v>
      </c>
      <c r="BA1325" t="s">
        <v>3250</v>
      </c>
      <c r="BB1325" t="s">
        <v>3250</v>
      </c>
      <c r="BC1325" t="s">
        <v>3250</v>
      </c>
      <c r="BE1325" t="s">
        <v>3250</v>
      </c>
      <c r="BF1325" t="s">
        <v>3250</v>
      </c>
      <c r="BG1325" t="s">
        <v>3250</v>
      </c>
      <c r="BH1325" t="s">
        <v>3250</v>
      </c>
      <c r="BI1325" t="s">
        <v>3250</v>
      </c>
      <c r="BK1325" t="s">
        <v>3250</v>
      </c>
      <c r="BL1325" t="s">
        <v>3250</v>
      </c>
      <c r="BM1325" t="s">
        <v>3250</v>
      </c>
      <c r="BN1325" t="s">
        <v>3250</v>
      </c>
      <c r="BP1325">
        <v>1</v>
      </c>
      <c r="BQ1325">
        <v>11</v>
      </c>
      <c r="BR1325" t="s">
        <v>1574</v>
      </c>
      <c r="BS1325" t="s">
        <v>3252</v>
      </c>
      <c r="BV1325">
        <v>0</v>
      </c>
      <c r="BW1325">
        <v>0</v>
      </c>
      <c r="BX1325">
        <v>-1</v>
      </c>
      <c r="BY1325">
        <v>-1143000</v>
      </c>
      <c r="BZ1325">
        <v>-1143000</v>
      </c>
      <c r="CA1325">
        <v>-1329000</v>
      </c>
      <c r="CB1325">
        <v>-1329000</v>
      </c>
      <c r="CC1325">
        <v>-1329000</v>
      </c>
      <c r="CD1325">
        <v>0</v>
      </c>
      <c r="CE1325" t="s">
        <v>3108</v>
      </c>
      <c r="CF1325" t="s">
        <v>3108</v>
      </c>
      <c r="CG1325" t="s">
        <v>3108</v>
      </c>
      <c r="CH1325" t="s">
        <v>3108</v>
      </c>
    </row>
    <row r="1326" spans="1:86" x14ac:dyDescent="0.2">
      <c r="A1326" t="s">
        <v>5215</v>
      </c>
      <c r="B1326" t="s">
        <v>5215</v>
      </c>
      <c r="C1326">
        <v>51804</v>
      </c>
      <c r="D1326">
        <v>1449</v>
      </c>
      <c r="E1326" t="s">
        <v>5216</v>
      </c>
      <c r="F1326" t="s">
        <v>3249</v>
      </c>
      <c r="G1326" t="s">
        <v>3249</v>
      </c>
      <c r="H1326" t="s">
        <v>3250</v>
      </c>
      <c r="I1326" t="s">
        <v>3250</v>
      </c>
      <c r="J1326" t="s">
        <v>3250</v>
      </c>
      <c r="K1326" t="s">
        <v>3250</v>
      </c>
      <c r="L1326">
        <v>2100</v>
      </c>
      <c r="M1326" t="s">
        <v>123</v>
      </c>
      <c r="N1326">
        <v>2114</v>
      </c>
      <c r="O1326" t="s">
        <v>1444</v>
      </c>
      <c r="P1326" t="s">
        <v>3108</v>
      </c>
      <c r="Q1326" t="s">
        <v>3249</v>
      </c>
      <c r="R1326" t="s">
        <v>3249</v>
      </c>
      <c r="S1326" t="s">
        <v>472</v>
      </c>
      <c r="T1326" t="s">
        <v>3789</v>
      </c>
      <c r="U1326">
        <v>360</v>
      </c>
      <c r="V1326" t="s">
        <v>3790</v>
      </c>
      <c r="W1326">
        <v>360</v>
      </c>
      <c r="X1326" t="s">
        <v>601</v>
      </c>
      <c r="Y1326" t="s">
        <v>3250</v>
      </c>
      <c r="Z1326" t="s">
        <v>3250</v>
      </c>
      <c r="AA1326" t="s">
        <v>3108</v>
      </c>
      <c r="AB1326" t="s">
        <v>3108</v>
      </c>
      <c r="AC1326" t="s">
        <v>3250</v>
      </c>
      <c r="AD1326" t="s">
        <v>3250</v>
      </c>
      <c r="AE1326" t="s">
        <v>3250</v>
      </c>
      <c r="AF1326" t="s">
        <v>3250</v>
      </c>
      <c r="AG1326" t="s">
        <v>3250</v>
      </c>
      <c r="AH1326" t="s">
        <v>3250</v>
      </c>
      <c r="AI1326" t="s">
        <v>3250</v>
      </c>
      <c r="AJ1326" t="s">
        <v>3250</v>
      </c>
      <c r="AL1326">
        <v>363</v>
      </c>
      <c r="AM1326" t="s">
        <v>925</v>
      </c>
      <c r="AN1326">
        <v>363</v>
      </c>
      <c r="AO1326" t="s">
        <v>925</v>
      </c>
      <c r="AS1326" t="s">
        <v>3250</v>
      </c>
      <c r="AT1326" t="s">
        <v>3250</v>
      </c>
      <c r="AU1326" t="s">
        <v>3250</v>
      </c>
      <c r="AV1326" t="s">
        <v>3250</v>
      </c>
      <c r="AW1326" t="s">
        <v>3250</v>
      </c>
      <c r="AX1326" t="s">
        <v>3250</v>
      </c>
      <c r="AY1326" t="s">
        <v>3250</v>
      </c>
      <c r="AZ1326" t="s">
        <v>3250</v>
      </c>
      <c r="BA1326" t="s">
        <v>3250</v>
      </c>
      <c r="BB1326" t="s">
        <v>3250</v>
      </c>
      <c r="BC1326" t="s">
        <v>3250</v>
      </c>
      <c r="BE1326" t="s">
        <v>3250</v>
      </c>
      <c r="BF1326" t="s">
        <v>3250</v>
      </c>
      <c r="BG1326" t="s">
        <v>3250</v>
      </c>
      <c r="BH1326" t="s">
        <v>3250</v>
      </c>
      <c r="BI1326" t="s">
        <v>3250</v>
      </c>
      <c r="BK1326" t="s">
        <v>3250</v>
      </c>
      <c r="BL1326" t="s">
        <v>3250</v>
      </c>
      <c r="BM1326" t="s">
        <v>3250</v>
      </c>
      <c r="BN1326" t="s">
        <v>3250</v>
      </c>
      <c r="BP1326">
        <v>4</v>
      </c>
      <c r="BQ1326">
        <v>42</v>
      </c>
      <c r="BR1326" t="s">
        <v>1444</v>
      </c>
      <c r="BS1326" t="s">
        <v>4024</v>
      </c>
      <c r="BV1326">
        <v>0</v>
      </c>
      <c r="BW1326">
        <v>0</v>
      </c>
      <c r="BX1326">
        <v>416814</v>
      </c>
      <c r="BY1326">
        <v>-1817000</v>
      </c>
      <c r="BZ1326">
        <v>0</v>
      </c>
      <c r="CA1326">
        <v>-975000</v>
      </c>
      <c r="CB1326">
        <v>-975000</v>
      </c>
      <c r="CC1326">
        <v>-975000</v>
      </c>
      <c r="CD1326">
        <v>0</v>
      </c>
      <c r="CE1326" t="s">
        <v>3108</v>
      </c>
      <c r="CF1326" t="s">
        <v>3108</v>
      </c>
      <c r="CG1326" t="s">
        <v>3108</v>
      </c>
      <c r="CH1326" t="s">
        <v>3108</v>
      </c>
    </row>
    <row r="1327" spans="1:86" x14ac:dyDescent="0.2">
      <c r="A1327" t="s">
        <v>5217</v>
      </c>
      <c r="B1327" t="s">
        <v>5217</v>
      </c>
      <c r="C1327">
        <v>51805</v>
      </c>
      <c r="D1327">
        <v>1450</v>
      </c>
      <c r="E1327" t="s">
        <v>5218</v>
      </c>
      <c r="F1327" t="s">
        <v>3249</v>
      </c>
      <c r="G1327" t="s">
        <v>3249</v>
      </c>
      <c r="H1327" t="s">
        <v>3250</v>
      </c>
      <c r="I1327" t="s">
        <v>3250</v>
      </c>
      <c r="J1327" t="s">
        <v>3250</v>
      </c>
      <c r="K1327" t="s">
        <v>3250</v>
      </c>
      <c r="L1327">
        <v>1200</v>
      </c>
      <c r="M1327" t="s">
        <v>2368</v>
      </c>
      <c r="N1327">
        <v>1204</v>
      </c>
      <c r="O1327" t="s">
        <v>1574</v>
      </c>
      <c r="P1327" t="s">
        <v>3108</v>
      </c>
      <c r="Q1327">
        <v>2010</v>
      </c>
      <c r="R1327" t="s">
        <v>1355</v>
      </c>
      <c r="S1327" t="s">
        <v>472</v>
      </c>
      <c r="T1327" t="s">
        <v>3789</v>
      </c>
      <c r="U1327">
        <v>360</v>
      </c>
      <c r="V1327" t="s">
        <v>3790</v>
      </c>
      <c r="W1327">
        <v>360</v>
      </c>
      <c r="X1327" t="s">
        <v>601</v>
      </c>
      <c r="Y1327" t="s">
        <v>3250</v>
      </c>
      <c r="Z1327" t="s">
        <v>3250</v>
      </c>
      <c r="AA1327" t="s">
        <v>3108</v>
      </c>
      <c r="AB1327" t="s">
        <v>3108</v>
      </c>
      <c r="AC1327" t="s">
        <v>3250</v>
      </c>
      <c r="AD1327" t="s">
        <v>3250</v>
      </c>
      <c r="AE1327" t="s">
        <v>3250</v>
      </c>
      <c r="AF1327" t="s">
        <v>3250</v>
      </c>
      <c r="AG1327" t="s">
        <v>3250</v>
      </c>
      <c r="AH1327" t="s">
        <v>3250</v>
      </c>
      <c r="AI1327" t="s">
        <v>3250</v>
      </c>
      <c r="AJ1327" t="s">
        <v>3250</v>
      </c>
      <c r="AL1327">
        <v>363</v>
      </c>
      <c r="AM1327" t="s">
        <v>925</v>
      </c>
      <c r="AN1327">
        <v>363</v>
      </c>
      <c r="AO1327" t="s">
        <v>925</v>
      </c>
      <c r="AS1327" t="s">
        <v>3250</v>
      </c>
      <c r="AT1327" t="s">
        <v>3250</v>
      </c>
      <c r="AU1327" t="s">
        <v>3250</v>
      </c>
      <c r="AV1327" t="s">
        <v>3250</v>
      </c>
      <c r="AW1327" t="s">
        <v>3250</v>
      </c>
      <c r="AX1327" t="s">
        <v>3250</v>
      </c>
      <c r="AY1327" t="s">
        <v>3250</v>
      </c>
      <c r="AZ1327" t="s">
        <v>3250</v>
      </c>
      <c r="BA1327" t="s">
        <v>3250</v>
      </c>
      <c r="BB1327" t="s">
        <v>3250</v>
      </c>
      <c r="BC1327" t="s">
        <v>3250</v>
      </c>
      <c r="BE1327" t="s">
        <v>3250</v>
      </c>
      <c r="BF1327" t="s">
        <v>3250</v>
      </c>
      <c r="BG1327" t="s">
        <v>3250</v>
      </c>
      <c r="BH1327" t="s">
        <v>3250</v>
      </c>
      <c r="BI1327" t="s">
        <v>3250</v>
      </c>
      <c r="BK1327" t="s">
        <v>3250</v>
      </c>
      <c r="BL1327" t="s">
        <v>3250</v>
      </c>
      <c r="BM1327" t="s">
        <v>3250</v>
      </c>
      <c r="BN1327" t="s">
        <v>3250</v>
      </c>
      <c r="BP1327">
        <v>1</v>
      </c>
      <c r="BQ1327">
        <v>11</v>
      </c>
      <c r="BR1327" t="s">
        <v>1574</v>
      </c>
      <c r="BS1327" t="s">
        <v>3252</v>
      </c>
      <c r="BV1327">
        <v>-1</v>
      </c>
      <c r="BW1327">
        <v>0</v>
      </c>
      <c r="BX1327">
        <v>0</v>
      </c>
      <c r="BY1327">
        <v>-15996000</v>
      </c>
      <c r="BZ1327">
        <v>-25800000</v>
      </c>
      <c r="CA1327">
        <v>-24755000</v>
      </c>
      <c r="CB1327">
        <v>-24755000</v>
      </c>
      <c r="CC1327">
        <v>-24755000</v>
      </c>
      <c r="CD1327">
        <v>8079786</v>
      </c>
      <c r="CE1327" t="s">
        <v>3108</v>
      </c>
      <c r="CF1327" t="s">
        <v>3108</v>
      </c>
      <c r="CG1327" t="s">
        <v>3108</v>
      </c>
      <c r="CH1327" t="s">
        <v>3108</v>
      </c>
    </row>
    <row r="1328" spans="1:86" x14ac:dyDescent="0.2">
      <c r="A1328" t="s">
        <v>5219</v>
      </c>
      <c r="B1328" t="s">
        <v>5219</v>
      </c>
      <c r="C1328">
        <v>51806</v>
      </c>
      <c r="D1328">
        <v>1451</v>
      </c>
      <c r="E1328" t="s">
        <v>5220</v>
      </c>
      <c r="F1328" t="s">
        <v>3249</v>
      </c>
      <c r="G1328" t="s">
        <v>3249</v>
      </c>
      <c r="H1328" t="s">
        <v>3250</v>
      </c>
      <c r="I1328" t="s">
        <v>3250</v>
      </c>
      <c r="J1328" t="s">
        <v>3250</v>
      </c>
      <c r="K1328" t="s">
        <v>3250</v>
      </c>
      <c r="L1328">
        <v>1200</v>
      </c>
      <c r="M1328" t="s">
        <v>2368</v>
      </c>
      <c r="N1328">
        <v>1204</v>
      </c>
      <c r="O1328" t="s">
        <v>1574</v>
      </c>
      <c r="P1328" t="s">
        <v>3108</v>
      </c>
      <c r="Q1328">
        <v>2010</v>
      </c>
      <c r="R1328" t="s">
        <v>1355</v>
      </c>
      <c r="S1328" t="s">
        <v>472</v>
      </c>
      <c r="T1328" t="s">
        <v>3789</v>
      </c>
      <c r="U1328">
        <v>360</v>
      </c>
      <c r="V1328" t="s">
        <v>3790</v>
      </c>
      <c r="W1328">
        <v>360</v>
      </c>
      <c r="X1328" t="s">
        <v>601</v>
      </c>
      <c r="Y1328" t="s">
        <v>3250</v>
      </c>
      <c r="Z1328" t="s">
        <v>3250</v>
      </c>
      <c r="AA1328" t="s">
        <v>3108</v>
      </c>
      <c r="AB1328" t="s">
        <v>3108</v>
      </c>
      <c r="AC1328" t="s">
        <v>3250</v>
      </c>
      <c r="AD1328" t="s">
        <v>3250</v>
      </c>
      <c r="AE1328" t="s">
        <v>3250</v>
      </c>
      <c r="AF1328" t="s">
        <v>3250</v>
      </c>
      <c r="AG1328" t="s">
        <v>3250</v>
      </c>
      <c r="AH1328" t="s">
        <v>3250</v>
      </c>
      <c r="AI1328" t="s">
        <v>3250</v>
      </c>
      <c r="AJ1328" t="s">
        <v>3250</v>
      </c>
      <c r="AL1328">
        <v>363</v>
      </c>
      <c r="AM1328" t="s">
        <v>925</v>
      </c>
      <c r="AN1328">
        <v>363</v>
      </c>
      <c r="AO1328" t="s">
        <v>925</v>
      </c>
      <c r="AS1328" t="s">
        <v>3250</v>
      </c>
      <c r="AT1328" t="s">
        <v>3250</v>
      </c>
      <c r="AU1328" t="s">
        <v>3250</v>
      </c>
      <c r="AV1328" t="s">
        <v>3250</v>
      </c>
      <c r="AW1328" t="s">
        <v>3250</v>
      </c>
      <c r="AX1328" t="s">
        <v>3250</v>
      </c>
      <c r="AY1328" t="s">
        <v>3250</v>
      </c>
      <c r="AZ1328" t="s">
        <v>3250</v>
      </c>
      <c r="BA1328" t="s">
        <v>3250</v>
      </c>
      <c r="BB1328" t="s">
        <v>3250</v>
      </c>
      <c r="BC1328" t="s">
        <v>3250</v>
      </c>
      <c r="BE1328" t="s">
        <v>3250</v>
      </c>
      <c r="BF1328" t="s">
        <v>3250</v>
      </c>
      <c r="BG1328" t="s">
        <v>3250</v>
      </c>
      <c r="BH1328" t="s">
        <v>3250</v>
      </c>
      <c r="BI1328" t="s">
        <v>3250</v>
      </c>
      <c r="BK1328" t="s">
        <v>3250</v>
      </c>
      <c r="BL1328" t="s">
        <v>3250</v>
      </c>
      <c r="BM1328" t="s">
        <v>3250</v>
      </c>
      <c r="BN1328" t="s">
        <v>3250</v>
      </c>
      <c r="BP1328">
        <v>1</v>
      </c>
      <c r="BQ1328">
        <v>11</v>
      </c>
      <c r="BR1328" t="s">
        <v>1574</v>
      </c>
      <c r="BS1328" t="s">
        <v>3252</v>
      </c>
      <c r="BV1328">
        <v>0</v>
      </c>
      <c r="BW1328">
        <v>0</v>
      </c>
      <c r="BX1328">
        <v>0</v>
      </c>
      <c r="BY1328">
        <v>0</v>
      </c>
      <c r="BZ1328">
        <v>0</v>
      </c>
      <c r="CA1328">
        <v>0</v>
      </c>
      <c r="CB1328">
        <v>0</v>
      </c>
      <c r="CC1328">
        <v>0</v>
      </c>
      <c r="CD1328">
        <v>0</v>
      </c>
      <c r="CE1328" t="s">
        <v>3108</v>
      </c>
      <c r="CF1328" t="s">
        <v>3108</v>
      </c>
      <c r="CG1328" t="s">
        <v>3108</v>
      </c>
      <c r="CH1328" t="s">
        <v>3108</v>
      </c>
    </row>
    <row r="1329" spans="1:86" x14ac:dyDescent="0.2">
      <c r="A1329" t="s">
        <v>5221</v>
      </c>
      <c r="B1329" t="s">
        <v>5221</v>
      </c>
      <c r="C1329">
        <v>51807</v>
      </c>
      <c r="D1329">
        <v>1452</v>
      </c>
      <c r="E1329" t="s">
        <v>5205</v>
      </c>
      <c r="F1329" t="s">
        <v>3249</v>
      </c>
      <c r="G1329" t="s">
        <v>3249</v>
      </c>
      <c r="H1329" t="s">
        <v>3250</v>
      </c>
      <c r="I1329" t="s">
        <v>3250</v>
      </c>
      <c r="J1329" t="s">
        <v>3250</v>
      </c>
      <c r="K1329" t="s">
        <v>3250</v>
      </c>
      <c r="L1329">
        <v>1200</v>
      </c>
      <c r="M1329" t="s">
        <v>2368</v>
      </c>
      <c r="N1329">
        <v>1204</v>
      </c>
      <c r="O1329" t="s">
        <v>1574</v>
      </c>
      <c r="P1329" t="s">
        <v>3108</v>
      </c>
      <c r="Q1329" t="s">
        <v>3249</v>
      </c>
      <c r="R1329" t="s">
        <v>3249</v>
      </c>
      <c r="S1329" t="s">
        <v>472</v>
      </c>
      <c r="T1329" t="s">
        <v>3789</v>
      </c>
      <c r="U1329">
        <v>360</v>
      </c>
      <c r="V1329" t="s">
        <v>3790</v>
      </c>
      <c r="W1329">
        <v>360</v>
      </c>
      <c r="X1329" t="s">
        <v>601</v>
      </c>
      <c r="Y1329" t="s">
        <v>3250</v>
      </c>
      <c r="Z1329" t="s">
        <v>3250</v>
      </c>
      <c r="AA1329" t="s">
        <v>3108</v>
      </c>
      <c r="AB1329" t="s">
        <v>3108</v>
      </c>
      <c r="AC1329" t="s">
        <v>3250</v>
      </c>
      <c r="AD1329" t="s">
        <v>3250</v>
      </c>
      <c r="AE1329" t="s">
        <v>3250</v>
      </c>
      <c r="AF1329" t="s">
        <v>3250</v>
      </c>
      <c r="AG1329" t="s">
        <v>3250</v>
      </c>
      <c r="AH1329" t="s">
        <v>3250</v>
      </c>
      <c r="AI1329" t="s">
        <v>3250</v>
      </c>
      <c r="AJ1329" t="s">
        <v>3250</v>
      </c>
      <c r="AL1329">
        <v>363</v>
      </c>
      <c r="AM1329" t="s">
        <v>925</v>
      </c>
      <c r="AN1329">
        <v>363</v>
      </c>
      <c r="AO1329" t="s">
        <v>925</v>
      </c>
      <c r="AS1329" t="s">
        <v>3250</v>
      </c>
      <c r="AT1329" t="s">
        <v>3250</v>
      </c>
      <c r="AU1329" t="s">
        <v>3250</v>
      </c>
      <c r="AV1329" t="s">
        <v>3250</v>
      </c>
      <c r="AW1329" t="s">
        <v>3250</v>
      </c>
      <c r="AX1329" t="s">
        <v>3250</v>
      </c>
      <c r="AY1329" t="s">
        <v>3250</v>
      </c>
      <c r="AZ1329" t="s">
        <v>3250</v>
      </c>
      <c r="BA1329" t="s">
        <v>3250</v>
      </c>
      <c r="BB1329" t="s">
        <v>3250</v>
      </c>
      <c r="BC1329" t="s">
        <v>3250</v>
      </c>
      <c r="BE1329" t="s">
        <v>3250</v>
      </c>
      <c r="BF1329" t="s">
        <v>3250</v>
      </c>
      <c r="BG1329" t="s">
        <v>3250</v>
      </c>
      <c r="BH1329" t="s">
        <v>3250</v>
      </c>
      <c r="BI1329" t="s">
        <v>3250</v>
      </c>
      <c r="BK1329" t="s">
        <v>3250</v>
      </c>
      <c r="BL1329" t="s">
        <v>3250</v>
      </c>
      <c r="BM1329" t="s">
        <v>3250</v>
      </c>
      <c r="BN1329" t="s">
        <v>3250</v>
      </c>
      <c r="BP1329">
        <v>1</v>
      </c>
      <c r="BQ1329">
        <v>11</v>
      </c>
      <c r="BR1329" t="s">
        <v>1574</v>
      </c>
      <c r="BS1329" t="s">
        <v>3252</v>
      </c>
      <c r="BV1329">
        <v>0</v>
      </c>
      <c r="BW1329">
        <v>0</v>
      </c>
      <c r="BX1329">
        <v>0</v>
      </c>
      <c r="BY1329">
        <v>0</v>
      </c>
      <c r="BZ1329">
        <v>0</v>
      </c>
      <c r="CA1329">
        <v>0</v>
      </c>
      <c r="CB1329">
        <v>0</v>
      </c>
      <c r="CC1329">
        <v>0</v>
      </c>
      <c r="CD1329">
        <v>0</v>
      </c>
      <c r="CE1329" t="s">
        <v>3108</v>
      </c>
      <c r="CF1329" t="s">
        <v>3108</v>
      </c>
      <c r="CG1329" t="s">
        <v>3108</v>
      </c>
      <c r="CH1329" t="s">
        <v>3108</v>
      </c>
    </row>
    <row r="1330" spans="1:86" x14ac:dyDescent="0.2">
      <c r="A1330" t="s">
        <v>5222</v>
      </c>
      <c r="B1330" t="s">
        <v>5222</v>
      </c>
      <c r="C1330">
        <v>51808</v>
      </c>
      <c r="D1330">
        <v>1453</v>
      </c>
      <c r="E1330" t="s">
        <v>5223</v>
      </c>
      <c r="F1330" t="s">
        <v>3249</v>
      </c>
      <c r="G1330" t="s">
        <v>3249</v>
      </c>
      <c r="H1330" t="s">
        <v>3250</v>
      </c>
      <c r="I1330" t="s">
        <v>3250</v>
      </c>
      <c r="J1330" t="s">
        <v>3250</v>
      </c>
      <c r="K1330" t="s">
        <v>3250</v>
      </c>
      <c r="L1330">
        <v>1200</v>
      </c>
      <c r="M1330" t="s">
        <v>2368</v>
      </c>
      <c r="N1330">
        <v>1204</v>
      </c>
      <c r="O1330" t="s">
        <v>1574</v>
      </c>
      <c r="P1330" t="s">
        <v>3108</v>
      </c>
      <c r="Q1330" t="s">
        <v>3249</v>
      </c>
      <c r="R1330" t="s">
        <v>3249</v>
      </c>
      <c r="S1330" t="s">
        <v>472</v>
      </c>
      <c r="T1330" t="s">
        <v>3789</v>
      </c>
      <c r="U1330">
        <v>360</v>
      </c>
      <c r="V1330" t="s">
        <v>3790</v>
      </c>
      <c r="W1330">
        <v>360</v>
      </c>
      <c r="X1330" t="s">
        <v>601</v>
      </c>
      <c r="Y1330" t="s">
        <v>3250</v>
      </c>
      <c r="Z1330" t="s">
        <v>3250</v>
      </c>
      <c r="AA1330" t="s">
        <v>3108</v>
      </c>
      <c r="AB1330" t="s">
        <v>3108</v>
      </c>
      <c r="AC1330" t="s">
        <v>3250</v>
      </c>
      <c r="AD1330" t="s">
        <v>3250</v>
      </c>
      <c r="AE1330" t="s">
        <v>3250</v>
      </c>
      <c r="AF1330" t="s">
        <v>3250</v>
      </c>
      <c r="AG1330" t="s">
        <v>3250</v>
      </c>
      <c r="AH1330" t="s">
        <v>3250</v>
      </c>
      <c r="AI1330" t="s">
        <v>3250</v>
      </c>
      <c r="AJ1330" t="s">
        <v>3250</v>
      </c>
      <c r="AL1330">
        <v>363</v>
      </c>
      <c r="AM1330" t="s">
        <v>925</v>
      </c>
      <c r="AN1330">
        <v>363</v>
      </c>
      <c r="AO1330" t="s">
        <v>925</v>
      </c>
      <c r="AS1330" t="s">
        <v>3250</v>
      </c>
      <c r="AT1330" t="s">
        <v>3250</v>
      </c>
      <c r="AU1330" t="s">
        <v>3250</v>
      </c>
      <c r="AV1330" t="s">
        <v>3250</v>
      </c>
      <c r="AW1330" t="s">
        <v>3250</v>
      </c>
      <c r="AX1330" t="s">
        <v>3250</v>
      </c>
      <c r="AY1330" t="s">
        <v>3250</v>
      </c>
      <c r="AZ1330" t="s">
        <v>3250</v>
      </c>
      <c r="BA1330" t="s">
        <v>3250</v>
      </c>
      <c r="BB1330" t="s">
        <v>3250</v>
      </c>
      <c r="BC1330" t="s">
        <v>3250</v>
      </c>
      <c r="BE1330" t="s">
        <v>3250</v>
      </c>
      <c r="BF1330" t="s">
        <v>3250</v>
      </c>
      <c r="BG1330" t="s">
        <v>3250</v>
      </c>
      <c r="BH1330" t="s">
        <v>3250</v>
      </c>
      <c r="BI1330" t="s">
        <v>3250</v>
      </c>
      <c r="BK1330" t="s">
        <v>3250</v>
      </c>
      <c r="BL1330" t="s">
        <v>3250</v>
      </c>
      <c r="BM1330" t="s">
        <v>3250</v>
      </c>
      <c r="BN1330" t="s">
        <v>3250</v>
      </c>
      <c r="BP1330">
        <v>1</v>
      </c>
      <c r="BQ1330">
        <v>11</v>
      </c>
      <c r="BR1330" t="s">
        <v>1574</v>
      </c>
      <c r="BS1330" t="s">
        <v>3252</v>
      </c>
      <c r="BV1330">
        <v>0</v>
      </c>
      <c r="BW1330">
        <v>0</v>
      </c>
      <c r="BX1330">
        <v>0</v>
      </c>
      <c r="BY1330">
        <v>0</v>
      </c>
      <c r="BZ1330">
        <v>0</v>
      </c>
      <c r="CA1330">
        <v>0</v>
      </c>
      <c r="CB1330">
        <v>0</v>
      </c>
      <c r="CC1330">
        <v>0</v>
      </c>
      <c r="CD1330">
        <v>0</v>
      </c>
      <c r="CE1330" t="s">
        <v>3108</v>
      </c>
      <c r="CF1330" t="s">
        <v>3108</v>
      </c>
      <c r="CG1330" t="s">
        <v>3108</v>
      </c>
      <c r="CH1330" t="s">
        <v>3108</v>
      </c>
    </row>
    <row r="1331" spans="1:86" x14ac:dyDescent="0.2">
      <c r="A1331" t="s">
        <v>5224</v>
      </c>
      <c r="B1331" t="s">
        <v>5224</v>
      </c>
      <c r="C1331">
        <v>51809</v>
      </c>
      <c r="D1331">
        <v>1454</v>
      </c>
      <c r="E1331" t="s">
        <v>5225</v>
      </c>
      <c r="F1331" t="s">
        <v>3249</v>
      </c>
      <c r="G1331" t="s">
        <v>3249</v>
      </c>
      <c r="H1331" t="s">
        <v>3250</v>
      </c>
      <c r="I1331" t="s">
        <v>3250</v>
      </c>
      <c r="J1331" t="s">
        <v>3250</v>
      </c>
      <c r="K1331" t="s">
        <v>3250</v>
      </c>
      <c r="L1331">
        <v>1200</v>
      </c>
      <c r="M1331" t="s">
        <v>2368</v>
      </c>
      <c r="N1331">
        <v>1204</v>
      </c>
      <c r="O1331" t="s">
        <v>1574</v>
      </c>
      <c r="P1331" t="s">
        <v>3108</v>
      </c>
      <c r="Q1331" t="s">
        <v>3249</v>
      </c>
      <c r="R1331" t="s">
        <v>3249</v>
      </c>
      <c r="S1331" t="s">
        <v>472</v>
      </c>
      <c r="T1331" t="s">
        <v>3789</v>
      </c>
      <c r="U1331">
        <v>360</v>
      </c>
      <c r="V1331" t="s">
        <v>3790</v>
      </c>
      <c r="W1331">
        <v>360</v>
      </c>
      <c r="X1331" t="s">
        <v>601</v>
      </c>
      <c r="Y1331" t="s">
        <v>3250</v>
      </c>
      <c r="Z1331" t="s">
        <v>3250</v>
      </c>
      <c r="AA1331" t="s">
        <v>3108</v>
      </c>
      <c r="AB1331" t="s">
        <v>3108</v>
      </c>
      <c r="AC1331" t="s">
        <v>3250</v>
      </c>
      <c r="AD1331" t="s">
        <v>3250</v>
      </c>
      <c r="AE1331" t="s">
        <v>3250</v>
      </c>
      <c r="AF1331" t="s">
        <v>3250</v>
      </c>
      <c r="AG1331" t="s">
        <v>3250</v>
      </c>
      <c r="AH1331" t="s">
        <v>3250</v>
      </c>
      <c r="AI1331" t="s">
        <v>3250</v>
      </c>
      <c r="AJ1331" t="s">
        <v>3250</v>
      </c>
      <c r="AL1331">
        <v>363</v>
      </c>
      <c r="AM1331" t="s">
        <v>925</v>
      </c>
      <c r="AN1331">
        <v>363</v>
      </c>
      <c r="AO1331" t="s">
        <v>925</v>
      </c>
      <c r="AS1331" t="s">
        <v>3250</v>
      </c>
      <c r="AT1331" t="s">
        <v>3250</v>
      </c>
      <c r="AU1331" t="s">
        <v>3250</v>
      </c>
      <c r="AV1331" t="s">
        <v>3250</v>
      </c>
      <c r="AW1331" t="s">
        <v>3250</v>
      </c>
      <c r="AX1331" t="s">
        <v>3250</v>
      </c>
      <c r="AY1331" t="s">
        <v>3250</v>
      </c>
      <c r="AZ1331" t="s">
        <v>3250</v>
      </c>
      <c r="BA1331" t="s">
        <v>3250</v>
      </c>
      <c r="BB1331" t="s">
        <v>3250</v>
      </c>
      <c r="BC1331" t="s">
        <v>3250</v>
      </c>
      <c r="BE1331" t="s">
        <v>3250</v>
      </c>
      <c r="BF1331" t="s">
        <v>3250</v>
      </c>
      <c r="BG1331" t="s">
        <v>3250</v>
      </c>
      <c r="BH1331" t="s">
        <v>3250</v>
      </c>
      <c r="BI1331" t="s">
        <v>3250</v>
      </c>
      <c r="BK1331" t="s">
        <v>3250</v>
      </c>
      <c r="BL1331" t="s">
        <v>3250</v>
      </c>
      <c r="BM1331" t="s">
        <v>3250</v>
      </c>
      <c r="BN1331" t="s">
        <v>3250</v>
      </c>
      <c r="BP1331">
        <v>1</v>
      </c>
      <c r="BQ1331">
        <v>11</v>
      </c>
      <c r="BR1331" t="s">
        <v>1574</v>
      </c>
      <c r="BS1331" t="s">
        <v>3252</v>
      </c>
      <c r="BV1331">
        <v>0</v>
      </c>
      <c r="BW1331">
        <v>0</v>
      </c>
      <c r="BX1331">
        <v>0</v>
      </c>
      <c r="BY1331">
        <v>2800000</v>
      </c>
      <c r="BZ1331">
        <v>2800000</v>
      </c>
      <c r="CA1331">
        <v>2850000</v>
      </c>
      <c r="CB1331">
        <v>2850000</v>
      </c>
      <c r="CC1331">
        <v>2850000</v>
      </c>
      <c r="CD1331">
        <v>0</v>
      </c>
      <c r="CE1331" t="s">
        <v>3108</v>
      </c>
      <c r="CF1331" t="s">
        <v>3108</v>
      </c>
      <c r="CG1331" t="s">
        <v>3108</v>
      </c>
      <c r="CH1331" t="s">
        <v>3108</v>
      </c>
    </row>
    <row r="1332" spans="1:86" x14ac:dyDescent="0.2">
      <c r="A1332" t="s">
        <v>5226</v>
      </c>
      <c r="B1332" t="s">
        <v>5226</v>
      </c>
      <c r="C1332">
        <v>51810</v>
      </c>
      <c r="D1332">
        <v>1455</v>
      </c>
      <c r="E1332" t="s">
        <v>5227</v>
      </c>
      <c r="F1332" t="s">
        <v>3249</v>
      </c>
      <c r="G1332" t="s">
        <v>3249</v>
      </c>
      <c r="H1332" t="s">
        <v>3250</v>
      </c>
      <c r="I1332" t="s">
        <v>3250</v>
      </c>
      <c r="J1332" t="s">
        <v>3250</v>
      </c>
      <c r="K1332" t="s">
        <v>3250</v>
      </c>
      <c r="L1332">
        <v>4100</v>
      </c>
      <c r="M1332" t="s">
        <v>2365</v>
      </c>
      <c r="N1332">
        <v>4101</v>
      </c>
      <c r="O1332" t="s">
        <v>2432</v>
      </c>
      <c r="P1332" t="s">
        <v>3108</v>
      </c>
      <c r="Q1332">
        <v>2010</v>
      </c>
      <c r="R1332" t="s">
        <v>1355</v>
      </c>
      <c r="S1332" t="s">
        <v>472</v>
      </c>
      <c r="T1332" t="s">
        <v>3789</v>
      </c>
      <c r="U1332">
        <v>360</v>
      </c>
      <c r="V1332" t="s">
        <v>3790</v>
      </c>
      <c r="W1332">
        <v>360</v>
      </c>
      <c r="X1332" t="s">
        <v>601</v>
      </c>
      <c r="Y1332" t="s">
        <v>3250</v>
      </c>
      <c r="Z1332" t="s">
        <v>3250</v>
      </c>
      <c r="AA1332" t="s">
        <v>3108</v>
      </c>
      <c r="AB1332" t="s">
        <v>3108</v>
      </c>
      <c r="AC1332" t="s">
        <v>3250</v>
      </c>
      <c r="AD1332" t="s">
        <v>3250</v>
      </c>
      <c r="AE1332" t="s">
        <v>3250</v>
      </c>
      <c r="AF1332" t="s">
        <v>3250</v>
      </c>
      <c r="AG1332" t="s">
        <v>3250</v>
      </c>
      <c r="AH1332" t="s">
        <v>3250</v>
      </c>
      <c r="AI1332" t="s">
        <v>3250</v>
      </c>
      <c r="AJ1332" t="s">
        <v>3250</v>
      </c>
      <c r="AL1332">
        <v>363</v>
      </c>
      <c r="AM1332" t="s">
        <v>925</v>
      </c>
      <c r="AN1332">
        <v>363</v>
      </c>
      <c r="AO1332" t="s">
        <v>925</v>
      </c>
      <c r="AS1332" t="s">
        <v>3250</v>
      </c>
      <c r="AT1332" t="s">
        <v>3250</v>
      </c>
      <c r="AU1332" t="s">
        <v>3250</v>
      </c>
      <c r="AV1332" t="s">
        <v>3250</v>
      </c>
      <c r="AW1332" t="s">
        <v>3250</v>
      </c>
      <c r="AX1332" t="s">
        <v>3250</v>
      </c>
      <c r="AY1332" t="s">
        <v>3250</v>
      </c>
      <c r="AZ1332" t="s">
        <v>3250</v>
      </c>
      <c r="BA1332" t="s">
        <v>3250</v>
      </c>
      <c r="BB1332" t="s">
        <v>3250</v>
      </c>
      <c r="BC1332" t="s">
        <v>3250</v>
      </c>
      <c r="BE1332" t="s">
        <v>3250</v>
      </c>
      <c r="BF1332" t="s">
        <v>3250</v>
      </c>
      <c r="BG1332" t="s">
        <v>3250</v>
      </c>
      <c r="BH1332" t="s">
        <v>3250</v>
      </c>
      <c r="BI1332" t="s">
        <v>3250</v>
      </c>
      <c r="BK1332" t="s">
        <v>3250</v>
      </c>
      <c r="BL1332" t="s">
        <v>3250</v>
      </c>
      <c r="BM1332" t="s">
        <v>3250</v>
      </c>
      <c r="BN1332" t="s">
        <v>3250</v>
      </c>
      <c r="BP1332">
        <v>6</v>
      </c>
      <c r="BQ1332">
        <v>61</v>
      </c>
      <c r="BR1332" t="s">
        <v>555</v>
      </c>
      <c r="BS1332" t="s">
        <v>4397</v>
      </c>
      <c r="BV1332">
        <v>0</v>
      </c>
      <c r="BW1332">
        <v>0</v>
      </c>
      <c r="BX1332">
        <v>0</v>
      </c>
      <c r="BY1332">
        <v>0</v>
      </c>
      <c r="BZ1332">
        <v>0</v>
      </c>
      <c r="CA1332">
        <v>0</v>
      </c>
      <c r="CB1332">
        <v>0</v>
      </c>
      <c r="CC1332">
        <v>0</v>
      </c>
      <c r="CD1332">
        <v>0</v>
      </c>
      <c r="CE1332" t="s">
        <v>3108</v>
      </c>
      <c r="CF1332" t="s">
        <v>3108</v>
      </c>
      <c r="CG1332" t="s">
        <v>3108</v>
      </c>
      <c r="CH1332" t="s">
        <v>3108</v>
      </c>
    </row>
    <row r="1333" spans="1:86" x14ac:dyDescent="0.2">
      <c r="A1333" t="s">
        <v>5228</v>
      </c>
      <c r="B1333" t="s">
        <v>5228</v>
      </c>
      <c r="C1333">
        <v>51811</v>
      </c>
      <c r="D1333">
        <v>1456</v>
      </c>
      <c r="E1333" t="s">
        <v>5229</v>
      </c>
      <c r="F1333" t="s">
        <v>3249</v>
      </c>
      <c r="G1333" t="s">
        <v>3249</v>
      </c>
      <c r="H1333" t="s">
        <v>3250</v>
      </c>
      <c r="I1333" t="s">
        <v>3250</v>
      </c>
      <c r="J1333" t="s">
        <v>3250</v>
      </c>
      <c r="K1333" t="s">
        <v>3250</v>
      </c>
      <c r="L1333">
        <v>1200</v>
      </c>
      <c r="M1333" t="s">
        <v>2368</v>
      </c>
      <c r="N1333">
        <v>1204</v>
      </c>
      <c r="O1333" t="s">
        <v>1574</v>
      </c>
      <c r="P1333" t="s">
        <v>3108</v>
      </c>
      <c r="Q1333" t="s">
        <v>3249</v>
      </c>
      <c r="R1333" t="s">
        <v>3249</v>
      </c>
      <c r="S1333" t="s">
        <v>472</v>
      </c>
      <c r="T1333" t="s">
        <v>3789</v>
      </c>
      <c r="U1333">
        <v>360</v>
      </c>
      <c r="V1333" t="s">
        <v>3790</v>
      </c>
      <c r="W1333">
        <v>360</v>
      </c>
      <c r="X1333" t="s">
        <v>601</v>
      </c>
      <c r="Y1333" t="s">
        <v>3250</v>
      </c>
      <c r="Z1333" t="s">
        <v>3250</v>
      </c>
      <c r="AA1333" t="s">
        <v>3108</v>
      </c>
      <c r="AB1333" t="s">
        <v>3108</v>
      </c>
      <c r="AC1333" t="s">
        <v>3250</v>
      </c>
      <c r="AD1333" t="s">
        <v>3250</v>
      </c>
      <c r="AE1333" t="s">
        <v>3250</v>
      </c>
      <c r="AF1333" t="s">
        <v>3250</v>
      </c>
      <c r="AG1333" t="s">
        <v>3250</v>
      </c>
      <c r="AH1333" t="s">
        <v>3250</v>
      </c>
      <c r="AI1333" t="s">
        <v>3250</v>
      </c>
      <c r="AJ1333" t="s">
        <v>3250</v>
      </c>
      <c r="AL1333">
        <v>363</v>
      </c>
      <c r="AM1333" t="s">
        <v>925</v>
      </c>
      <c r="AN1333">
        <v>363</v>
      </c>
      <c r="AO1333" t="s">
        <v>925</v>
      </c>
      <c r="AS1333" t="s">
        <v>3250</v>
      </c>
      <c r="AT1333" t="s">
        <v>3250</v>
      </c>
      <c r="AU1333" t="s">
        <v>3250</v>
      </c>
      <c r="AV1333" t="s">
        <v>3250</v>
      </c>
      <c r="AW1333" t="s">
        <v>3250</v>
      </c>
      <c r="AX1333" t="s">
        <v>3250</v>
      </c>
      <c r="AY1333" t="s">
        <v>3250</v>
      </c>
      <c r="AZ1333" t="s">
        <v>3250</v>
      </c>
      <c r="BA1333" t="s">
        <v>3250</v>
      </c>
      <c r="BB1333" t="s">
        <v>3250</v>
      </c>
      <c r="BC1333" t="s">
        <v>3250</v>
      </c>
      <c r="BE1333" t="s">
        <v>3250</v>
      </c>
      <c r="BF1333" t="s">
        <v>3250</v>
      </c>
      <c r="BG1333" t="s">
        <v>3250</v>
      </c>
      <c r="BH1333" t="s">
        <v>3250</v>
      </c>
      <c r="BI1333" t="s">
        <v>3250</v>
      </c>
      <c r="BK1333" t="s">
        <v>3250</v>
      </c>
      <c r="BL1333" t="s">
        <v>3250</v>
      </c>
      <c r="BM1333" t="s">
        <v>3250</v>
      </c>
      <c r="BN1333" t="s">
        <v>3250</v>
      </c>
      <c r="BP1333">
        <v>1</v>
      </c>
      <c r="BQ1333">
        <v>11</v>
      </c>
      <c r="BR1333" t="s">
        <v>1574</v>
      </c>
      <c r="BS1333" t="s">
        <v>3252</v>
      </c>
      <c r="BV1333">
        <v>0</v>
      </c>
      <c r="BW1333">
        <v>0</v>
      </c>
      <c r="BX1333">
        <v>0</v>
      </c>
      <c r="BY1333">
        <v>1143000</v>
      </c>
      <c r="BZ1333">
        <v>1143000</v>
      </c>
      <c r="CA1333">
        <v>1329000</v>
      </c>
      <c r="CB1333">
        <v>1329000</v>
      </c>
      <c r="CC1333">
        <v>1329000</v>
      </c>
      <c r="CD1333">
        <v>0</v>
      </c>
      <c r="CE1333" t="s">
        <v>3108</v>
      </c>
      <c r="CF1333" t="s">
        <v>3108</v>
      </c>
      <c r="CG1333" t="s">
        <v>3108</v>
      </c>
      <c r="CH1333" t="s">
        <v>3108</v>
      </c>
    </row>
    <row r="1334" spans="1:86" x14ac:dyDescent="0.2">
      <c r="A1334" t="s">
        <v>5230</v>
      </c>
      <c r="B1334" t="s">
        <v>5230</v>
      </c>
      <c r="C1334">
        <v>51812</v>
      </c>
      <c r="E1334" t="s">
        <v>5231</v>
      </c>
      <c r="F1334" t="s">
        <v>3249</v>
      </c>
      <c r="G1334" t="s">
        <v>3249</v>
      </c>
      <c r="H1334" t="s">
        <v>3250</v>
      </c>
      <c r="I1334" t="s">
        <v>3250</v>
      </c>
      <c r="J1334" t="s">
        <v>3250</v>
      </c>
      <c r="K1334" t="s">
        <v>3250</v>
      </c>
      <c r="L1334">
        <v>2100</v>
      </c>
      <c r="M1334" t="s">
        <v>123</v>
      </c>
      <c r="N1334">
        <v>2114</v>
      </c>
      <c r="O1334" t="s">
        <v>1444</v>
      </c>
      <c r="P1334" t="s">
        <v>3108</v>
      </c>
      <c r="Q1334" t="s">
        <v>3249</v>
      </c>
      <c r="R1334" t="s">
        <v>3249</v>
      </c>
      <c r="S1334" t="s">
        <v>472</v>
      </c>
      <c r="T1334" t="s">
        <v>3789</v>
      </c>
      <c r="U1334">
        <v>360</v>
      </c>
      <c r="V1334" t="s">
        <v>3790</v>
      </c>
      <c r="W1334">
        <v>360</v>
      </c>
      <c r="X1334" t="s">
        <v>601</v>
      </c>
      <c r="Y1334" t="s">
        <v>3250</v>
      </c>
      <c r="Z1334" t="s">
        <v>3250</v>
      </c>
      <c r="AA1334" t="s">
        <v>3108</v>
      </c>
      <c r="AB1334" t="s">
        <v>3108</v>
      </c>
      <c r="AC1334" t="s">
        <v>3250</v>
      </c>
      <c r="AD1334" t="s">
        <v>3250</v>
      </c>
      <c r="AE1334" t="s">
        <v>3250</v>
      </c>
      <c r="AF1334" t="s">
        <v>3250</v>
      </c>
      <c r="AG1334" t="s">
        <v>3250</v>
      </c>
      <c r="AH1334" t="s">
        <v>3250</v>
      </c>
      <c r="AI1334" t="s">
        <v>3250</v>
      </c>
      <c r="AJ1334" t="s">
        <v>3250</v>
      </c>
      <c r="AL1334">
        <v>363</v>
      </c>
      <c r="AM1334" t="s">
        <v>925</v>
      </c>
      <c r="AN1334">
        <v>363</v>
      </c>
      <c r="AO1334" t="s">
        <v>925</v>
      </c>
      <c r="AS1334" t="s">
        <v>3250</v>
      </c>
      <c r="AT1334" t="s">
        <v>3250</v>
      </c>
      <c r="AU1334" t="s">
        <v>3250</v>
      </c>
      <c r="AV1334" t="s">
        <v>3250</v>
      </c>
      <c r="AW1334" t="s">
        <v>3250</v>
      </c>
      <c r="AX1334" t="s">
        <v>3250</v>
      </c>
      <c r="AY1334" t="s">
        <v>3250</v>
      </c>
      <c r="AZ1334" t="s">
        <v>3250</v>
      </c>
      <c r="BA1334" t="s">
        <v>3250</v>
      </c>
      <c r="BB1334" t="s">
        <v>3250</v>
      </c>
      <c r="BC1334" t="s">
        <v>3250</v>
      </c>
      <c r="BE1334" t="s">
        <v>3250</v>
      </c>
      <c r="BF1334" t="s">
        <v>3250</v>
      </c>
      <c r="BG1334" t="s">
        <v>3250</v>
      </c>
      <c r="BH1334" t="s">
        <v>3250</v>
      </c>
      <c r="BI1334" t="s">
        <v>3250</v>
      </c>
      <c r="BK1334" t="s">
        <v>3250</v>
      </c>
      <c r="BL1334" t="s">
        <v>3250</v>
      </c>
      <c r="BM1334" t="s">
        <v>3250</v>
      </c>
      <c r="BN1334" t="s">
        <v>3250</v>
      </c>
      <c r="BP1334">
        <v>4</v>
      </c>
      <c r="BQ1334">
        <v>42</v>
      </c>
      <c r="BR1334" t="s">
        <v>1444</v>
      </c>
      <c r="BS1334" t="s">
        <v>4024</v>
      </c>
      <c r="BV1334">
        <v>0</v>
      </c>
      <c r="BW1334">
        <v>0</v>
      </c>
      <c r="BX1334">
        <v>0</v>
      </c>
      <c r="BY1334">
        <v>1817000</v>
      </c>
      <c r="BZ1334">
        <v>1817000</v>
      </c>
      <c r="CA1334">
        <v>935000</v>
      </c>
      <c r="CB1334">
        <v>935000</v>
      </c>
      <c r="CC1334">
        <v>935000</v>
      </c>
      <c r="CD1334">
        <v>0</v>
      </c>
      <c r="CE1334" t="s">
        <v>3108</v>
      </c>
      <c r="CF1334" t="s">
        <v>3108</v>
      </c>
      <c r="CG1334" t="s">
        <v>3108</v>
      </c>
      <c r="CH1334" t="s">
        <v>3108</v>
      </c>
    </row>
    <row r="1335" spans="1:86" x14ac:dyDescent="0.2">
      <c r="A1335" t="s">
        <v>5232</v>
      </c>
      <c r="B1335" t="s">
        <v>5232</v>
      </c>
      <c r="C1335">
        <v>51813</v>
      </c>
      <c r="D1335">
        <v>1458</v>
      </c>
      <c r="E1335" t="s">
        <v>5233</v>
      </c>
      <c r="F1335" t="s">
        <v>3249</v>
      </c>
      <c r="G1335" t="s">
        <v>3249</v>
      </c>
      <c r="H1335" t="s">
        <v>3250</v>
      </c>
      <c r="I1335" t="s">
        <v>3250</v>
      </c>
      <c r="J1335" t="s">
        <v>3250</v>
      </c>
      <c r="K1335" t="s">
        <v>3250</v>
      </c>
      <c r="L1335">
        <v>1200</v>
      </c>
      <c r="M1335" t="s">
        <v>2368</v>
      </c>
      <c r="N1335">
        <v>1204</v>
      </c>
      <c r="O1335" t="s">
        <v>1574</v>
      </c>
      <c r="P1335" t="s">
        <v>3108</v>
      </c>
      <c r="Q1335">
        <v>2010</v>
      </c>
      <c r="R1335" t="s">
        <v>1355</v>
      </c>
      <c r="S1335" t="s">
        <v>472</v>
      </c>
      <c r="T1335" t="s">
        <v>3789</v>
      </c>
      <c r="U1335">
        <v>360</v>
      </c>
      <c r="V1335" t="s">
        <v>3790</v>
      </c>
      <c r="W1335">
        <v>360</v>
      </c>
      <c r="X1335" t="s">
        <v>601</v>
      </c>
      <c r="Y1335" t="s">
        <v>3250</v>
      </c>
      <c r="Z1335" t="s">
        <v>3250</v>
      </c>
      <c r="AA1335" t="s">
        <v>3108</v>
      </c>
      <c r="AB1335" t="s">
        <v>3108</v>
      </c>
      <c r="AC1335" t="s">
        <v>3250</v>
      </c>
      <c r="AD1335" t="s">
        <v>3250</v>
      </c>
      <c r="AE1335" t="s">
        <v>3250</v>
      </c>
      <c r="AF1335" t="s">
        <v>3250</v>
      </c>
      <c r="AG1335" t="s">
        <v>3250</v>
      </c>
      <c r="AH1335" t="s">
        <v>3250</v>
      </c>
      <c r="AI1335" t="s">
        <v>3250</v>
      </c>
      <c r="AJ1335" t="s">
        <v>3250</v>
      </c>
      <c r="AL1335">
        <v>363</v>
      </c>
      <c r="AM1335" t="s">
        <v>925</v>
      </c>
      <c r="AN1335">
        <v>363</v>
      </c>
      <c r="AO1335" t="s">
        <v>925</v>
      </c>
      <c r="AS1335" t="s">
        <v>3250</v>
      </c>
      <c r="AT1335" t="s">
        <v>3250</v>
      </c>
      <c r="AU1335" t="s">
        <v>3250</v>
      </c>
      <c r="AV1335" t="s">
        <v>3250</v>
      </c>
      <c r="AW1335" t="s">
        <v>3250</v>
      </c>
      <c r="AX1335" t="s">
        <v>3250</v>
      </c>
      <c r="AY1335" t="s">
        <v>3250</v>
      </c>
      <c r="AZ1335" t="s">
        <v>3250</v>
      </c>
      <c r="BA1335" t="s">
        <v>3250</v>
      </c>
      <c r="BB1335" t="s">
        <v>3250</v>
      </c>
      <c r="BC1335" t="s">
        <v>3250</v>
      </c>
      <c r="BE1335" t="s">
        <v>3250</v>
      </c>
      <c r="BF1335" t="s">
        <v>3250</v>
      </c>
      <c r="BG1335" t="s">
        <v>3250</v>
      </c>
      <c r="BH1335" t="s">
        <v>3250</v>
      </c>
      <c r="BI1335" t="s">
        <v>3250</v>
      </c>
      <c r="BK1335" t="s">
        <v>3250</v>
      </c>
      <c r="BL1335" t="s">
        <v>3250</v>
      </c>
      <c r="BM1335" t="s">
        <v>3250</v>
      </c>
      <c r="BN1335" t="s">
        <v>3250</v>
      </c>
      <c r="BP1335">
        <v>1</v>
      </c>
      <c r="BQ1335">
        <v>11</v>
      </c>
      <c r="BR1335" t="s">
        <v>1574</v>
      </c>
      <c r="BS1335" t="s">
        <v>3252</v>
      </c>
      <c r="BV1335">
        <v>0</v>
      </c>
      <c r="BW1335">
        <v>0</v>
      </c>
      <c r="BX1335">
        <v>0</v>
      </c>
      <c r="BY1335">
        <v>15996000</v>
      </c>
      <c r="BZ1335">
        <v>25800000</v>
      </c>
      <c r="CA1335">
        <v>24755000</v>
      </c>
      <c r="CB1335">
        <v>24755000</v>
      </c>
      <c r="CC1335">
        <v>24755000</v>
      </c>
      <c r="CD1335">
        <v>0</v>
      </c>
      <c r="CE1335" t="s">
        <v>3108</v>
      </c>
      <c r="CF1335" t="s">
        <v>3108</v>
      </c>
      <c r="CG1335" t="s">
        <v>3108</v>
      </c>
      <c r="CH1335" t="s">
        <v>3108</v>
      </c>
    </row>
    <row r="1336" spans="1:86" x14ac:dyDescent="0.2">
      <c r="A1336" t="s">
        <v>5234</v>
      </c>
      <c r="B1336" t="s">
        <v>5234</v>
      </c>
      <c r="C1336">
        <v>51814</v>
      </c>
      <c r="D1336">
        <v>1459</v>
      </c>
      <c r="E1336" t="s">
        <v>5235</v>
      </c>
      <c r="F1336" t="s">
        <v>3249</v>
      </c>
      <c r="G1336" t="s">
        <v>3249</v>
      </c>
      <c r="H1336" t="s">
        <v>3250</v>
      </c>
      <c r="I1336" t="s">
        <v>3250</v>
      </c>
      <c r="J1336" t="s">
        <v>3250</v>
      </c>
      <c r="K1336" t="s">
        <v>3250</v>
      </c>
      <c r="L1336">
        <v>1200</v>
      </c>
      <c r="M1336" t="s">
        <v>2368</v>
      </c>
      <c r="N1336">
        <v>1204</v>
      </c>
      <c r="O1336" t="s">
        <v>1574</v>
      </c>
      <c r="P1336" t="s">
        <v>3108</v>
      </c>
      <c r="Q1336" t="s">
        <v>3249</v>
      </c>
      <c r="R1336" t="s">
        <v>3249</v>
      </c>
      <c r="S1336" t="s">
        <v>472</v>
      </c>
      <c r="T1336" t="s">
        <v>3251</v>
      </c>
      <c r="U1336">
        <v>150</v>
      </c>
      <c r="V1336" t="s">
        <v>1328</v>
      </c>
      <c r="W1336">
        <v>150</v>
      </c>
      <c r="X1336" t="s">
        <v>1328</v>
      </c>
      <c r="Y1336" t="s">
        <v>3250</v>
      </c>
      <c r="Z1336" t="s">
        <v>3250</v>
      </c>
      <c r="AA1336" t="s">
        <v>3108</v>
      </c>
      <c r="AB1336" t="s">
        <v>3108</v>
      </c>
      <c r="AC1336" t="s">
        <v>3250</v>
      </c>
      <c r="AD1336" t="s">
        <v>3250</v>
      </c>
      <c r="AE1336" t="s">
        <v>3250</v>
      </c>
      <c r="AF1336" t="s">
        <v>3250</v>
      </c>
      <c r="AG1336" t="s">
        <v>3250</v>
      </c>
      <c r="AH1336" t="s">
        <v>3250</v>
      </c>
      <c r="AI1336" t="s">
        <v>3250</v>
      </c>
      <c r="AJ1336" t="s">
        <v>3250</v>
      </c>
      <c r="AL1336" t="s">
        <v>3250</v>
      </c>
      <c r="AM1336" t="s">
        <v>3250</v>
      </c>
      <c r="AN1336" t="s">
        <v>3250</v>
      </c>
      <c r="AO1336" t="s">
        <v>3250</v>
      </c>
      <c r="AS1336" t="s">
        <v>3250</v>
      </c>
      <c r="AT1336" t="s">
        <v>3250</v>
      </c>
      <c r="AU1336" t="s">
        <v>3250</v>
      </c>
      <c r="AV1336" t="s">
        <v>3250</v>
      </c>
      <c r="AW1336" t="s">
        <v>3250</v>
      </c>
      <c r="AX1336" t="s">
        <v>3250</v>
      </c>
      <c r="AY1336" t="s">
        <v>3250</v>
      </c>
      <c r="AZ1336" t="s">
        <v>3250</v>
      </c>
      <c r="BA1336" t="s">
        <v>3250</v>
      </c>
      <c r="BB1336" t="s">
        <v>3250</v>
      </c>
      <c r="BC1336" t="s">
        <v>3250</v>
      </c>
      <c r="BE1336" t="s">
        <v>3250</v>
      </c>
      <c r="BF1336" t="s">
        <v>3250</v>
      </c>
      <c r="BG1336" t="s">
        <v>3250</v>
      </c>
      <c r="BH1336" t="s">
        <v>3250</v>
      </c>
      <c r="BI1336" t="s">
        <v>3250</v>
      </c>
      <c r="BK1336" t="s">
        <v>3250</v>
      </c>
      <c r="BL1336" t="s">
        <v>3250</v>
      </c>
      <c r="BM1336" t="s">
        <v>3250</v>
      </c>
      <c r="BN1336" t="s">
        <v>3250</v>
      </c>
      <c r="BP1336">
        <v>1</v>
      </c>
      <c r="BQ1336">
        <v>11</v>
      </c>
      <c r="BR1336" t="s">
        <v>1574</v>
      </c>
      <c r="BS1336" t="s">
        <v>3252</v>
      </c>
      <c r="BV1336">
        <v>-3566964</v>
      </c>
      <c r="BW1336">
        <v>-3566964</v>
      </c>
      <c r="BX1336">
        <v>-3566964</v>
      </c>
      <c r="BY1336">
        <v>0</v>
      </c>
      <c r="BZ1336">
        <v>0</v>
      </c>
      <c r="CA1336">
        <v>0</v>
      </c>
      <c r="CB1336">
        <v>0</v>
      </c>
      <c r="CC1336">
        <v>0</v>
      </c>
      <c r="CD1336">
        <v>-3566964</v>
      </c>
      <c r="CE1336" t="s">
        <v>3108</v>
      </c>
      <c r="CF1336" t="s">
        <v>3108</v>
      </c>
      <c r="CG1336" t="s">
        <v>3108</v>
      </c>
      <c r="CH1336" t="s">
        <v>3108</v>
      </c>
    </row>
    <row r="1337" spans="1:86" x14ac:dyDescent="0.2">
      <c r="A1337" t="s">
        <v>5236</v>
      </c>
      <c r="B1337" t="s">
        <v>5236</v>
      </c>
      <c r="C1337">
        <v>51815</v>
      </c>
      <c r="D1337">
        <v>1460</v>
      </c>
      <c r="E1337" t="s">
        <v>5237</v>
      </c>
      <c r="F1337" t="s">
        <v>3249</v>
      </c>
      <c r="G1337" t="s">
        <v>3249</v>
      </c>
      <c r="H1337" t="s">
        <v>3250</v>
      </c>
      <c r="I1337" t="s">
        <v>3250</v>
      </c>
      <c r="J1337" t="s">
        <v>3250</v>
      </c>
      <c r="K1337" t="s">
        <v>3250</v>
      </c>
      <c r="L1337">
        <v>1200</v>
      </c>
      <c r="M1337" t="s">
        <v>2368</v>
      </c>
      <c r="N1337">
        <v>1204</v>
      </c>
      <c r="O1337" t="s">
        <v>1574</v>
      </c>
      <c r="P1337" t="s">
        <v>3108</v>
      </c>
      <c r="Q1337" t="s">
        <v>3249</v>
      </c>
      <c r="R1337" t="s">
        <v>3249</v>
      </c>
      <c r="S1337" t="s">
        <v>472</v>
      </c>
      <c r="T1337" t="s">
        <v>3789</v>
      </c>
      <c r="U1337">
        <v>360</v>
      </c>
      <c r="V1337" t="s">
        <v>3790</v>
      </c>
      <c r="W1337">
        <v>360</v>
      </c>
      <c r="X1337" t="s">
        <v>601</v>
      </c>
      <c r="Y1337" t="s">
        <v>3250</v>
      </c>
      <c r="Z1337" t="s">
        <v>3250</v>
      </c>
      <c r="AA1337" t="s">
        <v>3108</v>
      </c>
      <c r="AB1337" t="s">
        <v>3108</v>
      </c>
      <c r="AC1337" t="s">
        <v>3250</v>
      </c>
      <c r="AD1337" t="s">
        <v>3250</v>
      </c>
      <c r="AE1337" t="s">
        <v>3250</v>
      </c>
      <c r="AF1337" t="s">
        <v>3250</v>
      </c>
      <c r="AG1337" t="s">
        <v>3250</v>
      </c>
      <c r="AH1337" t="s">
        <v>3250</v>
      </c>
      <c r="AI1337" t="s">
        <v>3250</v>
      </c>
      <c r="AJ1337" t="s">
        <v>3250</v>
      </c>
      <c r="AL1337">
        <v>364</v>
      </c>
      <c r="AM1337" t="s">
        <v>1321</v>
      </c>
      <c r="AN1337">
        <v>364</v>
      </c>
      <c r="AO1337" t="s">
        <v>1321</v>
      </c>
      <c r="AS1337" t="s">
        <v>3250</v>
      </c>
      <c r="AT1337" t="s">
        <v>3250</v>
      </c>
      <c r="AU1337" t="s">
        <v>3250</v>
      </c>
      <c r="AV1337" t="s">
        <v>3250</v>
      </c>
      <c r="AW1337" t="s">
        <v>3250</v>
      </c>
      <c r="AX1337" t="s">
        <v>3250</v>
      </c>
      <c r="AY1337" t="s">
        <v>3250</v>
      </c>
      <c r="AZ1337" t="s">
        <v>3250</v>
      </c>
      <c r="BA1337" t="s">
        <v>3250</v>
      </c>
      <c r="BB1337" t="s">
        <v>3250</v>
      </c>
      <c r="BC1337" t="s">
        <v>3250</v>
      </c>
      <c r="BE1337" t="s">
        <v>3250</v>
      </c>
      <c r="BF1337" t="s">
        <v>3250</v>
      </c>
      <c r="BG1337" t="s">
        <v>3250</v>
      </c>
      <c r="BH1337" t="s">
        <v>3250</v>
      </c>
      <c r="BI1337" t="s">
        <v>3250</v>
      </c>
      <c r="BK1337" t="s">
        <v>3250</v>
      </c>
      <c r="BL1337" t="s">
        <v>3250</v>
      </c>
      <c r="BM1337" t="s">
        <v>3250</v>
      </c>
      <c r="BN1337" t="s">
        <v>3250</v>
      </c>
      <c r="BP1337">
        <v>1</v>
      </c>
      <c r="BQ1337">
        <v>11</v>
      </c>
      <c r="BR1337" t="s">
        <v>1574</v>
      </c>
      <c r="BS1337" t="s">
        <v>3252</v>
      </c>
      <c r="BV1337">
        <v>0</v>
      </c>
      <c r="BW1337">
        <v>0</v>
      </c>
      <c r="BX1337">
        <v>0</v>
      </c>
      <c r="BY1337">
        <v>0</v>
      </c>
      <c r="BZ1337">
        <v>0</v>
      </c>
      <c r="CA1337">
        <v>0</v>
      </c>
      <c r="CB1337">
        <v>0</v>
      </c>
      <c r="CC1337">
        <v>0</v>
      </c>
      <c r="CD1337">
        <v>0</v>
      </c>
      <c r="CE1337" t="s">
        <v>3108</v>
      </c>
      <c r="CF1337" t="s">
        <v>3108</v>
      </c>
      <c r="CG1337" t="s">
        <v>3108</v>
      </c>
      <c r="CH1337" t="s">
        <v>3108</v>
      </c>
    </row>
    <row r="1338" spans="1:86" x14ac:dyDescent="0.2">
      <c r="A1338" t="s">
        <v>5238</v>
      </c>
      <c r="B1338" t="s">
        <v>5238</v>
      </c>
      <c r="C1338">
        <v>51816</v>
      </c>
      <c r="D1338">
        <v>1461</v>
      </c>
      <c r="E1338" t="s">
        <v>5239</v>
      </c>
      <c r="F1338" t="s">
        <v>3249</v>
      </c>
      <c r="G1338" t="s">
        <v>3249</v>
      </c>
      <c r="H1338" t="s">
        <v>3250</v>
      </c>
      <c r="I1338" t="s">
        <v>3250</v>
      </c>
      <c r="J1338" t="s">
        <v>3250</v>
      </c>
      <c r="K1338" t="s">
        <v>3250</v>
      </c>
      <c r="L1338">
        <v>1200</v>
      </c>
      <c r="M1338" t="s">
        <v>2368</v>
      </c>
      <c r="N1338">
        <v>1204</v>
      </c>
      <c r="O1338" t="s">
        <v>1574</v>
      </c>
      <c r="P1338" t="s">
        <v>3108</v>
      </c>
      <c r="Q1338" t="s">
        <v>3249</v>
      </c>
      <c r="R1338" t="s">
        <v>3249</v>
      </c>
      <c r="S1338" t="s">
        <v>472</v>
      </c>
      <c r="T1338" t="s">
        <v>3789</v>
      </c>
      <c r="U1338">
        <v>410</v>
      </c>
      <c r="V1338" t="s">
        <v>5193</v>
      </c>
      <c r="W1338">
        <v>410</v>
      </c>
      <c r="X1338" t="s">
        <v>884</v>
      </c>
      <c r="Y1338" t="s">
        <v>3250</v>
      </c>
      <c r="Z1338" t="s">
        <v>3250</v>
      </c>
      <c r="AA1338" t="s">
        <v>3108</v>
      </c>
      <c r="AB1338" t="s">
        <v>3108</v>
      </c>
      <c r="AC1338" t="s">
        <v>3250</v>
      </c>
      <c r="AD1338" t="s">
        <v>3250</v>
      </c>
      <c r="AE1338" t="s">
        <v>3250</v>
      </c>
      <c r="AF1338" t="s">
        <v>3250</v>
      </c>
      <c r="AG1338" t="s">
        <v>3250</v>
      </c>
      <c r="AH1338" t="s">
        <v>3250</v>
      </c>
      <c r="AI1338" t="s">
        <v>3250</v>
      </c>
      <c r="AJ1338" t="s">
        <v>3250</v>
      </c>
      <c r="AL1338">
        <v>413</v>
      </c>
      <c r="AM1338" t="s">
        <v>245</v>
      </c>
      <c r="AN1338">
        <v>413</v>
      </c>
      <c r="AO1338" t="s">
        <v>245</v>
      </c>
      <c r="AS1338" t="s">
        <v>3250</v>
      </c>
      <c r="AT1338" t="s">
        <v>3250</v>
      </c>
      <c r="AU1338" t="s">
        <v>3250</v>
      </c>
      <c r="AV1338" t="s">
        <v>3250</v>
      </c>
      <c r="AW1338" t="s">
        <v>3250</v>
      </c>
      <c r="AX1338" t="s">
        <v>3250</v>
      </c>
      <c r="AY1338" t="s">
        <v>3250</v>
      </c>
      <c r="AZ1338" t="s">
        <v>3250</v>
      </c>
      <c r="BA1338" t="s">
        <v>3250</v>
      </c>
      <c r="BB1338" t="s">
        <v>3250</v>
      </c>
      <c r="BC1338" t="s">
        <v>3250</v>
      </c>
      <c r="BE1338" t="s">
        <v>3250</v>
      </c>
      <c r="BF1338" t="s">
        <v>3250</v>
      </c>
      <c r="BG1338" t="s">
        <v>3250</v>
      </c>
      <c r="BH1338" t="s">
        <v>3250</v>
      </c>
      <c r="BI1338" t="s">
        <v>3250</v>
      </c>
      <c r="BK1338" t="s">
        <v>3250</v>
      </c>
      <c r="BL1338" t="s">
        <v>3250</v>
      </c>
      <c r="BM1338" t="s">
        <v>3250</v>
      </c>
      <c r="BN1338" t="s">
        <v>3250</v>
      </c>
      <c r="BP1338">
        <v>1</v>
      </c>
      <c r="BQ1338">
        <v>11</v>
      </c>
      <c r="BR1338" t="s">
        <v>1574</v>
      </c>
      <c r="BS1338" t="s">
        <v>3252</v>
      </c>
      <c r="BV1338">
        <v>0</v>
      </c>
      <c r="BW1338">
        <v>0</v>
      </c>
      <c r="BX1338">
        <v>0</v>
      </c>
      <c r="BY1338">
        <v>0</v>
      </c>
      <c r="BZ1338">
        <v>0</v>
      </c>
      <c r="CA1338">
        <v>0</v>
      </c>
      <c r="CB1338">
        <v>0</v>
      </c>
      <c r="CC1338">
        <v>0</v>
      </c>
      <c r="CD1338">
        <v>0</v>
      </c>
      <c r="CE1338" t="s">
        <v>3108</v>
      </c>
      <c r="CF1338" t="s">
        <v>3108</v>
      </c>
      <c r="CG1338" t="s">
        <v>3108</v>
      </c>
      <c r="CH1338" t="s">
        <v>3108</v>
      </c>
    </row>
    <row r="1339" spans="1:86" x14ac:dyDescent="0.2">
      <c r="A1339" t="s">
        <v>5240</v>
      </c>
      <c r="B1339" t="s">
        <v>5240</v>
      </c>
      <c r="C1339">
        <v>51817</v>
      </c>
      <c r="D1339">
        <v>1462</v>
      </c>
      <c r="E1339" t="s">
        <v>5241</v>
      </c>
      <c r="F1339" t="s">
        <v>3249</v>
      </c>
      <c r="G1339" t="s">
        <v>3249</v>
      </c>
      <c r="H1339" t="s">
        <v>3250</v>
      </c>
      <c r="I1339" t="s">
        <v>3250</v>
      </c>
      <c r="J1339" t="s">
        <v>3250</v>
      </c>
      <c r="K1339" t="s">
        <v>3250</v>
      </c>
      <c r="L1339">
        <v>1200</v>
      </c>
      <c r="M1339" t="s">
        <v>2368</v>
      </c>
      <c r="N1339">
        <v>1204</v>
      </c>
      <c r="O1339" t="s">
        <v>1574</v>
      </c>
      <c r="P1339" t="s">
        <v>3108</v>
      </c>
      <c r="Q1339" t="s">
        <v>3249</v>
      </c>
      <c r="R1339" t="s">
        <v>3249</v>
      </c>
      <c r="S1339" t="s">
        <v>472</v>
      </c>
      <c r="T1339" t="s">
        <v>3789</v>
      </c>
      <c r="U1339">
        <v>350</v>
      </c>
      <c r="V1339" t="s">
        <v>5104</v>
      </c>
      <c r="W1339">
        <v>350</v>
      </c>
      <c r="X1339" t="s">
        <v>1320</v>
      </c>
      <c r="Y1339" t="s">
        <v>3250</v>
      </c>
      <c r="Z1339" t="s">
        <v>3250</v>
      </c>
      <c r="AA1339" t="s">
        <v>3108</v>
      </c>
      <c r="AB1339" t="s">
        <v>3108</v>
      </c>
      <c r="AC1339" t="s">
        <v>3250</v>
      </c>
      <c r="AD1339" t="s">
        <v>3250</v>
      </c>
      <c r="AE1339" t="s">
        <v>3250</v>
      </c>
      <c r="AF1339" t="s">
        <v>3250</v>
      </c>
      <c r="AG1339" t="s">
        <v>3250</v>
      </c>
      <c r="AH1339" t="s">
        <v>3250</v>
      </c>
      <c r="AI1339" t="s">
        <v>3250</v>
      </c>
      <c r="AJ1339" t="s">
        <v>3250</v>
      </c>
      <c r="AL1339" t="s">
        <v>3250</v>
      </c>
      <c r="AM1339" t="s">
        <v>3250</v>
      </c>
      <c r="AN1339" t="s">
        <v>3250</v>
      </c>
      <c r="AO1339" t="s">
        <v>3250</v>
      </c>
      <c r="AS1339" t="s">
        <v>3250</v>
      </c>
      <c r="AT1339" t="s">
        <v>3250</v>
      </c>
      <c r="AU1339" t="s">
        <v>3250</v>
      </c>
      <c r="AV1339" t="s">
        <v>3250</v>
      </c>
      <c r="AW1339" t="s">
        <v>3250</v>
      </c>
      <c r="AX1339" t="s">
        <v>3250</v>
      </c>
      <c r="AY1339" t="s">
        <v>3250</v>
      </c>
      <c r="AZ1339" t="s">
        <v>3250</v>
      </c>
      <c r="BA1339" t="s">
        <v>3250</v>
      </c>
      <c r="BB1339" t="s">
        <v>3250</v>
      </c>
      <c r="BC1339" t="s">
        <v>3250</v>
      </c>
      <c r="BE1339" t="s">
        <v>3250</v>
      </c>
      <c r="BF1339" t="s">
        <v>3250</v>
      </c>
      <c r="BG1339" t="s">
        <v>3250</v>
      </c>
      <c r="BH1339" t="s">
        <v>3250</v>
      </c>
      <c r="BI1339" t="s">
        <v>3250</v>
      </c>
      <c r="BK1339" t="s">
        <v>3250</v>
      </c>
      <c r="BL1339" t="s">
        <v>3250</v>
      </c>
      <c r="BM1339" t="s">
        <v>3250</v>
      </c>
      <c r="BN1339" t="s">
        <v>3250</v>
      </c>
      <c r="BP1339">
        <v>1</v>
      </c>
      <c r="BQ1339">
        <v>11</v>
      </c>
      <c r="BR1339" t="s">
        <v>1574</v>
      </c>
      <c r="BS1339" t="s">
        <v>3252</v>
      </c>
      <c r="BV1339">
        <v>71200</v>
      </c>
      <c r="BW1339">
        <v>71200</v>
      </c>
      <c r="BX1339">
        <v>73728</v>
      </c>
      <c r="BY1339">
        <v>0</v>
      </c>
      <c r="BZ1339">
        <v>0</v>
      </c>
      <c r="CA1339">
        <v>0</v>
      </c>
      <c r="CB1339">
        <v>0</v>
      </c>
      <c r="CC1339">
        <v>0</v>
      </c>
      <c r="CD1339">
        <v>71200</v>
      </c>
      <c r="CE1339" t="s">
        <v>3100</v>
      </c>
      <c r="CF1339" t="s">
        <v>3108</v>
      </c>
      <c r="CG1339" t="s">
        <v>3108</v>
      </c>
      <c r="CH1339" t="s">
        <v>3108</v>
      </c>
    </row>
    <row r="1340" spans="1:86" x14ac:dyDescent="0.2">
      <c r="A1340" t="s">
        <v>5242</v>
      </c>
      <c r="B1340" t="s">
        <v>5242</v>
      </c>
      <c r="C1340">
        <v>51818</v>
      </c>
      <c r="D1340">
        <v>1339</v>
      </c>
      <c r="E1340" t="s">
        <v>5243</v>
      </c>
      <c r="F1340">
        <v>200</v>
      </c>
      <c r="G1340" t="s">
        <v>467</v>
      </c>
      <c r="H1340">
        <v>200</v>
      </c>
      <c r="I1340" t="s">
        <v>3840</v>
      </c>
      <c r="J1340" t="s">
        <v>3250</v>
      </c>
      <c r="K1340" t="s">
        <v>3250</v>
      </c>
      <c r="L1340">
        <v>1200</v>
      </c>
      <c r="M1340" t="s">
        <v>2368</v>
      </c>
      <c r="N1340">
        <v>1204</v>
      </c>
      <c r="O1340" t="s">
        <v>1574</v>
      </c>
      <c r="P1340" t="s">
        <v>3108</v>
      </c>
      <c r="Q1340" t="s">
        <v>3249</v>
      </c>
      <c r="R1340" t="s">
        <v>3249</v>
      </c>
      <c r="S1340" t="s">
        <v>472</v>
      </c>
      <c r="T1340" t="s">
        <v>2759</v>
      </c>
      <c r="U1340" t="s">
        <v>3250</v>
      </c>
      <c r="V1340" t="s">
        <v>3250</v>
      </c>
      <c r="W1340" t="s">
        <v>3250</v>
      </c>
      <c r="X1340" t="s">
        <v>3250</v>
      </c>
      <c r="Y1340" t="s">
        <v>3250</v>
      </c>
      <c r="Z1340" t="s">
        <v>3250</v>
      </c>
      <c r="AA1340" t="s">
        <v>3108</v>
      </c>
      <c r="AB1340" t="s">
        <v>3108</v>
      </c>
      <c r="AC1340" t="s">
        <v>3250</v>
      </c>
      <c r="AD1340" t="s">
        <v>3250</v>
      </c>
      <c r="AE1340" t="s">
        <v>3250</v>
      </c>
      <c r="AF1340" t="s">
        <v>3250</v>
      </c>
      <c r="AG1340" t="s">
        <v>3250</v>
      </c>
      <c r="AH1340" t="s">
        <v>3250</v>
      </c>
      <c r="AI1340" t="s">
        <v>3250</v>
      </c>
      <c r="AJ1340" t="s">
        <v>3250</v>
      </c>
      <c r="AL1340" t="s">
        <v>3250</v>
      </c>
      <c r="AM1340" t="s">
        <v>3250</v>
      </c>
      <c r="AN1340" t="s">
        <v>3250</v>
      </c>
      <c r="AO1340" t="s">
        <v>3250</v>
      </c>
      <c r="AS1340" t="s">
        <v>3250</v>
      </c>
      <c r="AT1340" t="s">
        <v>3250</v>
      </c>
      <c r="AU1340" t="s">
        <v>3250</v>
      </c>
      <c r="AV1340" t="s">
        <v>3250</v>
      </c>
      <c r="AW1340" t="s">
        <v>3250</v>
      </c>
      <c r="AX1340" t="s">
        <v>3250</v>
      </c>
      <c r="AY1340" t="s">
        <v>3250</v>
      </c>
      <c r="AZ1340" t="s">
        <v>3250</v>
      </c>
      <c r="BA1340" t="s">
        <v>3250</v>
      </c>
      <c r="BB1340" t="s">
        <v>3250</v>
      </c>
      <c r="BC1340" t="s">
        <v>3250</v>
      </c>
      <c r="BE1340" t="s">
        <v>3250</v>
      </c>
      <c r="BF1340" t="s">
        <v>3250</v>
      </c>
      <c r="BG1340" t="s">
        <v>3250</v>
      </c>
      <c r="BH1340" t="s">
        <v>3250</v>
      </c>
      <c r="BI1340" t="s">
        <v>3250</v>
      </c>
      <c r="BK1340" t="s">
        <v>3250</v>
      </c>
      <c r="BL1340" t="s">
        <v>3250</v>
      </c>
      <c r="BM1340" t="s">
        <v>3250</v>
      </c>
      <c r="BN1340" t="s">
        <v>3250</v>
      </c>
      <c r="BP1340">
        <v>1</v>
      </c>
      <c r="BQ1340">
        <v>11</v>
      </c>
      <c r="BR1340" t="s">
        <v>1574</v>
      </c>
      <c r="BS1340" t="s">
        <v>3252</v>
      </c>
      <c r="BV1340">
        <v>0</v>
      </c>
      <c r="BW1340">
        <v>0</v>
      </c>
      <c r="BX1340">
        <v>0</v>
      </c>
      <c r="BY1340">
        <v>0</v>
      </c>
      <c r="BZ1340">
        <v>0</v>
      </c>
      <c r="CA1340">
        <v>0</v>
      </c>
      <c r="CB1340">
        <v>0</v>
      </c>
      <c r="CC1340">
        <v>0</v>
      </c>
      <c r="CD1340">
        <v>0</v>
      </c>
      <c r="CE1340" t="s">
        <v>3108</v>
      </c>
      <c r="CF1340" t="s">
        <v>3108</v>
      </c>
      <c r="CG1340" t="s">
        <v>3108</v>
      </c>
      <c r="CH1340" t="s">
        <v>3108</v>
      </c>
    </row>
    <row r="1341" spans="1:86" x14ac:dyDescent="0.2">
      <c r="A1341" t="s">
        <v>5244</v>
      </c>
      <c r="B1341" t="s">
        <v>5244</v>
      </c>
      <c r="C1341">
        <v>51819</v>
      </c>
      <c r="D1341">
        <v>1340</v>
      </c>
      <c r="E1341" t="s">
        <v>5245</v>
      </c>
      <c r="F1341">
        <v>200</v>
      </c>
      <c r="G1341" t="s">
        <v>467</v>
      </c>
      <c r="H1341">
        <v>200</v>
      </c>
      <c r="I1341" t="s">
        <v>3840</v>
      </c>
      <c r="J1341" t="s">
        <v>3250</v>
      </c>
      <c r="K1341" t="s">
        <v>3250</v>
      </c>
      <c r="L1341">
        <v>1200</v>
      </c>
      <c r="M1341" t="s">
        <v>2368</v>
      </c>
      <c r="N1341">
        <v>1204</v>
      </c>
      <c r="O1341" t="s">
        <v>1574</v>
      </c>
      <c r="P1341" t="s">
        <v>3108</v>
      </c>
      <c r="Q1341" t="s">
        <v>3249</v>
      </c>
      <c r="R1341" t="s">
        <v>3249</v>
      </c>
      <c r="S1341" t="s">
        <v>472</v>
      </c>
      <c r="T1341" t="s">
        <v>2759</v>
      </c>
      <c r="U1341" t="s">
        <v>3250</v>
      </c>
      <c r="V1341" t="s">
        <v>3250</v>
      </c>
      <c r="W1341" t="s">
        <v>3250</v>
      </c>
      <c r="X1341" t="s">
        <v>3250</v>
      </c>
      <c r="Y1341" t="s">
        <v>3250</v>
      </c>
      <c r="Z1341" t="s">
        <v>3250</v>
      </c>
      <c r="AA1341" t="s">
        <v>3108</v>
      </c>
      <c r="AB1341" t="s">
        <v>3108</v>
      </c>
      <c r="AC1341" t="s">
        <v>3250</v>
      </c>
      <c r="AD1341" t="s">
        <v>3250</v>
      </c>
      <c r="AE1341" t="s">
        <v>3250</v>
      </c>
      <c r="AF1341" t="s">
        <v>3250</v>
      </c>
      <c r="AG1341" t="s">
        <v>3250</v>
      </c>
      <c r="AH1341" t="s">
        <v>3250</v>
      </c>
      <c r="AI1341" t="s">
        <v>3250</v>
      </c>
      <c r="AJ1341" t="s">
        <v>3250</v>
      </c>
      <c r="AL1341" t="s">
        <v>3250</v>
      </c>
      <c r="AM1341" t="s">
        <v>3250</v>
      </c>
      <c r="AN1341" t="s">
        <v>3250</v>
      </c>
      <c r="AO1341" t="s">
        <v>3250</v>
      </c>
      <c r="AS1341" t="s">
        <v>3250</v>
      </c>
      <c r="AT1341" t="s">
        <v>3250</v>
      </c>
      <c r="AU1341" t="s">
        <v>3250</v>
      </c>
      <c r="AV1341" t="s">
        <v>3250</v>
      </c>
      <c r="AW1341" t="s">
        <v>3250</v>
      </c>
      <c r="AX1341" t="s">
        <v>3250</v>
      </c>
      <c r="AY1341" t="s">
        <v>3250</v>
      </c>
      <c r="AZ1341" t="s">
        <v>3250</v>
      </c>
      <c r="BA1341" t="s">
        <v>3250</v>
      </c>
      <c r="BB1341" t="s">
        <v>3250</v>
      </c>
      <c r="BC1341" t="s">
        <v>3250</v>
      </c>
      <c r="BE1341" t="s">
        <v>3250</v>
      </c>
      <c r="BF1341" t="s">
        <v>3250</v>
      </c>
      <c r="BG1341" t="s">
        <v>3250</v>
      </c>
      <c r="BH1341" t="s">
        <v>3250</v>
      </c>
      <c r="BI1341" t="s">
        <v>3250</v>
      </c>
      <c r="BK1341" t="s">
        <v>3250</v>
      </c>
      <c r="BL1341" t="s">
        <v>3250</v>
      </c>
      <c r="BM1341" t="s">
        <v>3250</v>
      </c>
      <c r="BN1341" t="s">
        <v>3250</v>
      </c>
      <c r="BP1341">
        <v>1</v>
      </c>
      <c r="BQ1341">
        <v>11</v>
      </c>
      <c r="BR1341" t="s">
        <v>1574</v>
      </c>
      <c r="BS1341" t="s">
        <v>3252</v>
      </c>
      <c r="BV1341">
        <v>0</v>
      </c>
      <c r="BW1341">
        <v>0</v>
      </c>
      <c r="BX1341">
        <v>0</v>
      </c>
      <c r="BY1341">
        <v>0</v>
      </c>
      <c r="BZ1341">
        <v>0</v>
      </c>
      <c r="CA1341">
        <v>0</v>
      </c>
      <c r="CB1341">
        <v>0</v>
      </c>
      <c r="CC1341">
        <v>0</v>
      </c>
      <c r="CD1341">
        <v>0</v>
      </c>
      <c r="CE1341" t="s">
        <v>3108</v>
      </c>
      <c r="CF1341" t="s">
        <v>3108</v>
      </c>
      <c r="CG1341" t="s">
        <v>3108</v>
      </c>
      <c r="CH1341" t="s">
        <v>3108</v>
      </c>
    </row>
    <row r="1342" spans="1:86" x14ac:dyDescent="0.2">
      <c r="A1342" t="s">
        <v>5246</v>
      </c>
      <c r="B1342" t="s">
        <v>5246</v>
      </c>
      <c r="C1342">
        <v>51820</v>
      </c>
      <c r="D1342">
        <v>1341</v>
      </c>
      <c r="E1342" t="s">
        <v>5247</v>
      </c>
      <c r="F1342">
        <v>200</v>
      </c>
      <c r="G1342" t="s">
        <v>467</v>
      </c>
      <c r="H1342">
        <v>200</v>
      </c>
      <c r="I1342" t="s">
        <v>3840</v>
      </c>
      <c r="J1342" t="s">
        <v>3250</v>
      </c>
      <c r="K1342" t="s">
        <v>3250</v>
      </c>
      <c r="L1342">
        <v>1200</v>
      </c>
      <c r="M1342" t="s">
        <v>2368</v>
      </c>
      <c r="N1342">
        <v>1204</v>
      </c>
      <c r="O1342" t="s">
        <v>1574</v>
      </c>
      <c r="P1342" t="s">
        <v>3108</v>
      </c>
      <c r="Q1342" t="s">
        <v>3249</v>
      </c>
      <c r="R1342" t="s">
        <v>3249</v>
      </c>
      <c r="S1342" t="s">
        <v>472</v>
      </c>
      <c r="T1342" t="s">
        <v>2759</v>
      </c>
      <c r="U1342" t="s">
        <v>3250</v>
      </c>
      <c r="V1342" t="s">
        <v>3250</v>
      </c>
      <c r="W1342" t="s">
        <v>3250</v>
      </c>
      <c r="X1342" t="s">
        <v>3250</v>
      </c>
      <c r="Y1342" t="s">
        <v>3250</v>
      </c>
      <c r="Z1342" t="s">
        <v>3250</v>
      </c>
      <c r="AA1342" t="s">
        <v>3108</v>
      </c>
      <c r="AB1342" t="s">
        <v>3108</v>
      </c>
      <c r="AC1342" t="s">
        <v>3250</v>
      </c>
      <c r="AD1342" t="s">
        <v>3250</v>
      </c>
      <c r="AE1342" t="s">
        <v>3250</v>
      </c>
      <c r="AF1342" t="s">
        <v>3250</v>
      </c>
      <c r="AG1342" t="s">
        <v>3250</v>
      </c>
      <c r="AH1342" t="s">
        <v>3250</v>
      </c>
      <c r="AI1342" t="s">
        <v>3250</v>
      </c>
      <c r="AJ1342" t="s">
        <v>3250</v>
      </c>
      <c r="AL1342" t="s">
        <v>3250</v>
      </c>
      <c r="AM1342" t="s">
        <v>3250</v>
      </c>
      <c r="AN1342" t="s">
        <v>3250</v>
      </c>
      <c r="AO1342" t="s">
        <v>3250</v>
      </c>
      <c r="AS1342" t="s">
        <v>3250</v>
      </c>
      <c r="AT1342" t="s">
        <v>3250</v>
      </c>
      <c r="AU1342" t="s">
        <v>3250</v>
      </c>
      <c r="AV1342" t="s">
        <v>3250</v>
      </c>
      <c r="AW1342" t="s">
        <v>3250</v>
      </c>
      <c r="AX1342" t="s">
        <v>3250</v>
      </c>
      <c r="AY1342" t="s">
        <v>3250</v>
      </c>
      <c r="AZ1342" t="s">
        <v>3250</v>
      </c>
      <c r="BA1342" t="s">
        <v>3250</v>
      </c>
      <c r="BB1342" t="s">
        <v>3250</v>
      </c>
      <c r="BC1342" t="s">
        <v>3250</v>
      </c>
      <c r="BE1342" t="s">
        <v>3250</v>
      </c>
      <c r="BF1342" t="s">
        <v>3250</v>
      </c>
      <c r="BG1342" t="s">
        <v>3250</v>
      </c>
      <c r="BH1342" t="s">
        <v>3250</v>
      </c>
      <c r="BI1342" t="s">
        <v>3250</v>
      </c>
      <c r="BK1342" t="s">
        <v>3250</v>
      </c>
      <c r="BL1342" t="s">
        <v>3250</v>
      </c>
      <c r="BM1342" t="s">
        <v>3250</v>
      </c>
      <c r="BN1342" t="s">
        <v>3250</v>
      </c>
      <c r="BP1342">
        <v>1</v>
      </c>
      <c r="BQ1342">
        <v>11</v>
      </c>
      <c r="BR1342" t="s">
        <v>1574</v>
      </c>
      <c r="BS1342" t="s">
        <v>3252</v>
      </c>
      <c r="BV1342">
        <v>0</v>
      </c>
      <c r="BW1342">
        <v>0</v>
      </c>
      <c r="BX1342">
        <v>0</v>
      </c>
      <c r="BY1342">
        <v>0</v>
      </c>
      <c r="BZ1342">
        <v>0</v>
      </c>
      <c r="CA1342">
        <v>0</v>
      </c>
      <c r="CB1342">
        <v>0</v>
      </c>
      <c r="CC1342">
        <v>0</v>
      </c>
      <c r="CD1342">
        <v>0</v>
      </c>
      <c r="CE1342" t="s">
        <v>3108</v>
      </c>
      <c r="CF1342" t="s">
        <v>3108</v>
      </c>
      <c r="CG1342" t="s">
        <v>3108</v>
      </c>
      <c r="CH1342" t="s">
        <v>3108</v>
      </c>
    </row>
    <row r="1343" spans="1:86" x14ac:dyDescent="0.2">
      <c r="A1343" t="s">
        <v>5248</v>
      </c>
      <c r="B1343" t="s">
        <v>5248</v>
      </c>
      <c r="C1343">
        <v>51821</v>
      </c>
      <c r="D1343">
        <v>1342</v>
      </c>
      <c r="E1343" t="s">
        <v>5249</v>
      </c>
      <c r="F1343">
        <v>200</v>
      </c>
      <c r="G1343" t="s">
        <v>467</v>
      </c>
      <c r="H1343">
        <v>200</v>
      </c>
      <c r="I1343" t="s">
        <v>3840</v>
      </c>
      <c r="J1343" t="s">
        <v>3250</v>
      </c>
      <c r="K1343" t="s">
        <v>3250</v>
      </c>
      <c r="L1343">
        <v>1200</v>
      </c>
      <c r="M1343" t="s">
        <v>2368</v>
      </c>
      <c r="N1343">
        <v>1204</v>
      </c>
      <c r="O1343" t="s">
        <v>1574</v>
      </c>
      <c r="P1343" t="s">
        <v>3108</v>
      </c>
      <c r="Q1343" t="s">
        <v>3249</v>
      </c>
      <c r="R1343" t="s">
        <v>3249</v>
      </c>
      <c r="S1343" t="s">
        <v>472</v>
      </c>
      <c r="T1343" t="s">
        <v>2759</v>
      </c>
      <c r="U1343" t="s">
        <v>3250</v>
      </c>
      <c r="V1343" t="s">
        <v>3250</v>
      </c>
      <c r="W1343" t="s">
        <v>3250</v>
      </c>
      <c r="X1343" t="s">
        <v>3250</v>
      </c>
      <c r="Y1343" t="s">
        <v>3250</v>
      </c>
      <c r="Z1343" t="s">
        <v>3250</v>
      </c>
      <c r="AA1343" t="s">
        <v>3108</v>
      </c>
      <c r="AB1343" t="s">
        <v>3108</v>
      </c>
      <c r="AC1343" t="s">
        <v>3250</v>
      </c>
      <c r="AD1343" t="s">
        <v>3250</v>
      </c>
      <c r="AE1343" t="s">
        <v>3250</v>
      </c>
      <c r="AF1343" t="s">
        <v>3250</v>
      </c>
      <c r="AG1343" t="s">
        <v>3250</v>
      </c>
      <c r="AH1343" t="s">
        <v>3250</v>
      </c>
      <c r="AI1343" t="s">
        <v>3250</v>
      </c>
      <c r="AJ1343" t="s">
        <v>3250</v>
      </c>
      <c r="AL1343" t="s">
        <v>3250</v>
      </c>
      <c r="AM1343" t="s">
        <v>3250</v>
      </c>
      <c r="AN1343" t="s">
        <v>3250</v>
      </c>
      <c r="AO1343" t="s">
        <v>3250</v>
      </c>
      <c r="AS1343" t="s">
        <v>3250</v>
      </c>
      <c r="AT1343" t="s">
        <v>3250</v>
      </c>
      <c r="AU1343" t="s">
        <v>3250</v>
      </c>
      <c r="AV1343" t="s">
        <v>3250</v>
      </c>
      <c r="AW1343" t="s">
        <v>3250</v>
      </c>
      <c r="AX1343" t="s">
        <v>3250</v>
      </c>
      <c r="AY1343" t="s">
        <v>3250</v>
      </c>
      <c r="AZ1343" t="s">
        <v>3250</v>
      </c>
      <c r="BA1343" t="s">
        <v>3250</v>
      </c>
      <c r="BB1343" t="s">
        <v>3250</v>
      </c>
      <c r="BC1343" t="s">
        <v>3250</v>
      </c>
      <c r="BE1343" t="s">
        <v>3250</v>
      </c>
      <c r="BF1343" t="s">
        <v>3250</v>
      </c>
      <c r="BG1343" t="s">
        <v>3250</v>
      </c>
      <c r="BH1343" t="s">
        <v>3250</v>
      </c>
      <c r="BI1343" t="s">
        <v>3250</v>
      </c>
      <c r="BK1343" t="s">
        <v>3250</v>
      </c>
      <c r="BL1343" t="s">
        <v>3250</v>
      </c>
      <c r="BM1343" t="s">
        <v>3250</v>
      </c>
      <c r="BN1343" t="s">
        <v>3250</v>
      </c>
      <c r="BP1343">
        <v>1</v>
      </c>
      <c r="BQ1343">
        <v>11</v>
      </c>
      <c r="BR1343" t="s">
        <v>1574</v>
      </c>
      <c r="BS1343" t="s">
        <v>3252</v>
      </c>
      <c r="BV1343">
        <v>0</v>
      </c>
      <c r="BW1343">
        <v>0</v>
      </c>
      <c r="BX1343">
        <v>0</v>
      </c>
      <c r="BY1343">
        <v>0</v>
      </c>
      <c r="BZ1343">
        <v>0</v>
      </c>
      <c r="CA1343">
        <v>0</v>
      </c>
      <c r="CB1343">
        <v>0</v>
      </c>
      <c r="CC1343">
        <v>0</v>
      </c>
      <c r="CD1343">
        <v>0</v>
      </c>
      <c r="CE1343" t="s">
        <v>3108</v>
      </c>
      <c r="CF1343" t="s">
        <v>3108</v>
      </c>
      <c r="CG1343" t="s">
        <v>3108</v>
      </c>
      <c r="CH1343" t="s">
        <v>3108</v>
      </c>
    </row>
    <row r="1344" spans="1:86" x14ac:dyDescent="0.2">
      <c r="A1344" t="s">
        <v>5250</v>
      </c>
      <c r="B1344" t="s">
        <v>5250</v>
      </c>
      <c r="C1344">
        <v>51822</v>
      </c>
      <c r="D1344">
        <v>1343</v>
      </c>
      <c r="E1344" t="s">
        <v>5251</v>
      </c>
      <c r="F1344">
        <v>200</v>
      </c>
      <c r="G1344" t="s">
        <v>467</v>
      </c>
      <c r="H1344">
        <v>200</v>
      </c>
      <c r="I1344" t="s">
        <v>3840</v>
      </c>
      <c r="J1344" t="s">
        <v>3250</v>
      </c>
      <c r="K1344" t="s">
        <v>3250</v>
      </c>
      <c r="L1344">
        <v>1200</v>
      </c>
      <c r="M1344" t="s">
        <v>2368</v>
      </c>
      <c r="N1344">
        <v>1204</v>
      </c>
      <c r="O1344" t="s">
        <v>1574</v>
      </c>
      <c r="P1344" t="s">
        <v>3108</v>
      </c>
      <c r="Q1344" t="s">
        <v>3249</v>
      </c>
      <c r="R1344" t="s">
        <v>3249</v>
      </c>
      <c r="S1344" t="s">
        <v>472</v>
      </c>
      <c r="T1344" t="s">
        <v>2759</v>
      </c>
      <c r="U1344" t="s">
        <v>3250</v>
      </c>
      <c r="V1344" t="s">
        <v>3250</v>
      </c>
      <c r="W1344" t="s">
        <v>3250</v>
      </c>
      <c r="X1344" t="s">
        <v>3250</v>
      </c>
      <c r="Y1344" t="s">
        <v>3250</v>
      </c>
      <c r="Z1344" t="s">
        <v>3250</v>
      </c>
      <c r="AA1344" t="s">
        <v>3108</v>
      </c>
      <c r="AB1344" t="s">
        <v>3108</v>
      </c>
      <c r="AC1344" t="s">
        <v>3250</v>
      </c>
      <c r="AD1344" t="s">
        <v>3250</v>
      </c>
      <c r="AE1344" t="s">
        <v>3250</v>
      </c>
      <c r="AF1344" t="s">
        <v>3250</v>
      </c>
      <c r="AG1344" t="s">
        <v>3250</v>
      </c>
      <c r="AH1344" t="s">
        <v>3250</v>
      </c>
      <c r="AI1344" t="s">
        <v>3250</v>
      </c>
      <c r="AJ1344" t="s">
        <v>3250</v>
      </c>
      <c r="AL1344" t="s">
        <v>3250</v>
      </c>
      <c r="AM1344" t="s">
        <v>3250</v>
      </c>
      <c r="AN1344" t="s">
        <v>3250</v>
      </c>
      <c r="AO1344" t="s">
        <v>3250</v>
      </c>
      <c r="AS1344" t="s">
        <v>3250</v>
      </c>
      <c r="AT1344" t="s">
        <v>3250</v>
      </c>
      <c r="AU1344" t="s">
        <v>3250</v>
      </c>
      <c r="AV1344" t="s">
        <v>3250</v>
      </c>
      <c r="AW1344" t="s">
        <v>3250</v>
      </c>
      <c r="AX1344" t="s">
        <v>3250</v>
      </c>
      <c r="AY1344" t="s">
        <v>3250</v>
      </c>
      <c r="AZ1344" t="s">
        <v>3250</v>
      </c>
      <c r="BA1344" t="s">
        <v>3250</v>
      </c>
      <c r="BB1344" t="s">
        <v>3250</v>
      </c>
      <c r="BC1344" t="s">
        <v>3250</v>
      </c>
      <c r="BE1344" t="s">
        <v>3250</v>
      </c>
      <c r="BF1344" t="s">
        <v>3250</v>
      </c>
      <c r="BG1344" t="s">
        <v>3250</v>
      </c>
      <c r="BH1344" t="s">
        <v>3250</v>
      </c>
      <c r="BI1344" t="s">
        <v>3250</v>
      </c>
      <c r="BK1344" t="s">
        <v>3250</v>
      </c>
      <c r="BL1344" t="s">
        <v>3250</v>
      </c>
      <c r="BM1344" t="s">
        <v>3250</v>
      </c>
      <c r="BN1344" t="s">
        <v>3250</v>
      </c>
      <c r="BP1344">
        <v>1</v>
      </c>
      <c r="BQ1344">
        <v>11</v>
      </c>
      <c r="BR1344" t="s">
        <v>1574</v>
      </c>
      <c r="BS1344" t="s">
        <v>3252</v>
      </c>
      <c r="BV1344">
        <v>0</v>
      </c>
      <c r="BW1344">
        <v>0</v>
      </c>
      <c r="BX1344">
        <v>0</v>
      </c>
      <c r="BY1344">
        <v>0</v>
      </c>
      <c r="BZ1344">
        <v>0</v>
      </c>
      <c r="CA1344">
        <v>0</v>
      </c>
      <c r="CB1344">
        <v>0</v>
      </c>
      <c r="CC1344">
        <v>0</v>
      </c>
      <c r="CD1344">
        <v>0</v>
      </c>
      <c r="CE1344" t="s">
        <v>3108</v>
      </c>
      <c r="CF1344" t="s">
        <v>3108</v>
      </c>
      <c r="CG1344" t="s">
        <v>3108</v>
      </c>
      <c r="CH1344" t="s">
        <v>3108</v>
      </c>
    </row>
    <row r="1345" spans="1:86" x14ac:dyDescent="0.2">
      <c r="A1345" t="s">
        <v>5252</v>
      </c>
      <c r="B1345" t="s">
        <v>5252</v>
      </c>
      <c r="C1345">
        <v>51823</v>
      </c>
      <c r="D1345">
        <v>1344</v>
      </c>
      <c r="E1345" t="s">
        <v>5253</v>
      </c>
      <c r="F1345">
        <v>200</v>
      </c>
      <c r="G1345" t="s">
        <v>467</v>
      </c>
      <c r="H1345">
        <v>200</v>
      </c>
      <c r="I1345" t="s">
        <v>3840</v>
      </c>
      <c r="J1345" t="s">
        <v>3250</v>
      </c>
      <c r="K1345" t="s">
        <v>3250</v>
      </c>
      <c r="L1345">
        <v>1200</v>
      </c>
      <c r="M1345" t="s">
        <v>2368</v>
      </c>
      <c r="N1345">
        <v>1204</v>
      </c>
      <c r="O1345" t="s">
        <v>1574</v>
      </c>
      <c r="P1345" t="s">
        <v>3108</v>
      </c>
      <c r="Q1345" t="s">
        <v>3249</v>
      </c>
      <c r="R1345" t="s">
        <v>3249</v>
      </c>
      <c r="S1345" t="s">
        <v>472</v>
      </c>
      <c r="T1345" t="s">
        <v>2759</v>
      </c>
      <c r="U1345" t="s">
        <v>3250</v>
      </c>
      <c r="V1345" t="s">
        <v>3250</v>
      </c>
      <c r="W1345" t="s">
        <v>3250</v>
      </c>
      <c r="X1345" t="s">
        <v>3250</v>
      </c>
      <c r="Y1345" t="s">
        <v>3250</v>
      </c>
      <c r="Z1345" t="s">
        <v>3250</v>
      </c>
      <c r="AA1345" t="s">
        <v>3108</v>
      </c>
      <c r="AB1345" t="s">
        <v>3108</v>
      </c>
      <c r="AC1345" t="s">
        <v>3250</v>
      </c>
      <c r="AD1345" t="s">
        <v>3250</v>
      </c>
      <c r="AE1345" t="s">
        <v>3250</v>
      </c>
      <c r="AF1345" t="s">
        <v>3250</v>
      </c>
      <c r="AG1345" t="s">
        <v>3250</v>
      </c>
      <c r="AH1345" t="s">
        <v>3250</v>
      </c>
      <c r="AI1345" t="s">
        <v>3250</v>
      </c>
      <c r="AJ1345" t="s">
        <v>3250</v>
      </c>
      <c r="AL1345" t="s">
        <v>3250</v>
      </c>
      <c r="AM1345" t="s">
        <v>3250</v>
      </c>
      <c r="AN1345" t="s">
        <v>3250</v>
      </c>
      <c r="AO1345" t="s">
        <v>3250</v>
      </c>
      <c r="AS1345" t="s">
        <v>3250</v>
      </c>
      <c r="AT1345" t="s">
        <v>3250</v>
      </c>
      <c r="AU1345" t="s">
        <v>3250</v>
      </c>
      <c r="AV1345" t="s">
        <v>3250</v>
      </c>
      <c r="AW1345" t="s">
        <v>3250</v>
      </c>
      <c r="AX1345" t="s">
        <v>3250</v>
      </c>
      <c r="AY1345" t="s">
        <v>3250</v>
      </c>
      <c r="AZ1345" t="s">
        <v>3250</v>
      </c>
      <c r="BA1345" t="s">
        <v>3250</v>
      </c>
      <c r="BB1345" t="s">
        <v>3250</v>
      </c>
      <c r="BC1345" t="s">
        <v>3250</v>
      </c>
      <c r="BE1345" t="s">
        <v>3250</v>
      </c>
      <c r="BF1345" t="s">
        <v>3250</v>
      </c>
      <c r="BG1345" t="s">
        <v>3250</v>
      </c>
      <c r="BH1345" t="s">
        <v>3250</v>
      </c>
      <c r="BI1345" t="s">
        <v>3250</v>
      </c>
      <c r="BK1345" t="s">
        <v>3250</v>
      </c>
      <c r="BL1345" t="s">
        <v>3250</v>
      </c>
      <c r="BM1345" t="s">
        <v>3250</v>
      </c>
      <c r="BN1345" t="s">
        <v>3250</v>
      </c>
      <c r="BP1345">
        <v>1</v>
      </c>
      <c r="BQ1345">
        <v>11</v>
      </c>
      <c r="BR1345" t="s">
        <v>1574</v>
      </c>
      <c r="BS1345" t="s">
        <v>3252</v>
      </c>
      <c r="BV1345">
        <v>0</v>
      </c>
      <c r="BW1345">
        <v>0</v>
      </c>
      <c r="BX1345">
        <v>0</v>
      </c>
      <c r="BY1345">
        <v>0</v>
      </c>
      <c r="BZ1345">
        <v>0</v>
      </c>
      <c r="CA1345">
        <v>0</v>
      </c>
      <c r="CB1345">
        <v>0</v>
      </c>
      <c r="CC1345">
        <v>0</v>
      </c>
      <c r="CD1345">
        <v>0</v>
      </c>
      <c r="CE1345" t="s">
        <v>3108</v>
      </c>
      <c r="CF1345" t="s">
        <v>3108</v>
      </c>
      <c r="CG1345" t="s">
        <v>3108</v>
      </c>
      <c r="CH1345" t="s">
        <v>3108</v>
      </c>
    </row>
    <row r="1346" spans="1:86" x14ac:dyDescent="0.2">
      <c r="A1346" t="s">
        <v>5254</v>
      </c>
      <c r="B1346" t="s">
        <v>5254</v>
      </c>
      <c r="C1346">
        <v>51824</v>
      </c>
      <c r="D1346">
        <v>1345</v>
      </c>
      <c r="E1346" t="s">
        <v>5255</v>
      </c>
      <c r="F1346">
        <v>200</v>
      </c>
      <c r="G1346" t="s">
        <v>467</v>
      </c>
      <c r="H1346">
        <v>200</v>
      </c>
      <c r="I1346" t="s">
        <v>3840</v>
      </c>
      <c r="J1346" t="s">
        <v>3250</v>
      </c>
      <c r="K1346" t="s">
        <v>3250</v>
      </c>
      <c r="L1346">
        <v>1200</v>
      </c>
      <c r="M1346" t="s">
        <v>2368</v>
      </c>
      <c r="N1346">
        <v>1204</v>
      </c>
      <c r="O1346" t="s">
        <v>1574</v>
      </c>
      <c r="P1346" t="s">
        <v>3108</v>
      </c>
      <c r="Q1346" t="s">
        <v>3249</v>
      </c>
      <c r="R1346" t="s">
        <v>3249</v>
      </c>
      <c r="S1346" t="s">
        <v>472</v>
      </c>
      <c r="T1346" t="s">
        <v>2759</v>
      </c>
      <c r="U1346" t="s">
        <v>3250</v>
      </c>
      <c r="V1346" t="s">
        <v>3250</v>
      </c>
      <c r="W1346" t="s">
        <v>3250</v>
      </c>
      <c r="X1346" t="s">
        <v>3250</v>
      </c>
      <c r="Y1346" t="s">
        <v>3250</v>
      </c>
      <c r="Z1346" t="s">
        <v>3250</v>
      </c>
      <c r="AA1346" t="s">
        <v>3108</v>
      </c>
      <c r="AB1346" t="s">
        <v>3108</v>
      </c>
      <c r="AC1346" t="s">
        <v>3250</v>
      </c>
      <c r="AD1346" t="s">
        <v>3250</v>
      </c>
      <c r="AE1346" t="s">
        <v>3250</v>
      </c>
      <c r="AF1346" t="s">
        <v>3250</v>
      </c>
      <c r="AG1346" t="s">
        <v>3250</v>
      </c>
      <c r="AH1346" t="s">
        <v>3250</v>
      </c>
      <c r="AI1346" t="s">
        <v>3250</v>
      </c>
      <c r="AJ1346" t="s">
        <v>3250</v>
      </c>
      <c r="AL1346" t="s">
        <v>3250</v>
      </c>
      <c r="AM1346" t="s">
        <v>3250</v>
      </c>
      <c r="AN1346" t="s">
        <v>3250</v>
      </c>
      <c r="AO1346" t="s">
        <v>3250</v>
      </c>
      <c r="AS1346" t="s">
        <v>3250</v>
      </c>
      <c r="AT1346" t="s">
        <v>3250</v>
      </c>
      <c r="AU1346" t="s">
        <v>3250</v>
      </c>
      <c r="AV1346" t="s">
        <v>3250</v>
      </c>
      <c r="AW1346" t="s">
        <v>3250</v>
      </c>
      <c r="AX1346" t="s">
        <v>3250</v>
      </c>
      <c r="AY1346" t="s">
        <v>3250</v>
      </c>
      <c r="AZ1346" t="s">
        <v>3250</v>
      </c>
      <c r="BA1346" t="s">
        <v>3250</v>
      </c>
      <c r="BB1346" t="s">
        <v>3250</v>
      </c>
      <c r="BC1346" t="s">
        <v>3250</v>
      </c>
      <c r="BE1346" t="s">
        <v>3250</v>
      </c>
      <c r="BF1346" t="s">
        <v>3250</v>
      </c>
      <c r="BG1346" t="s">
        <v>3250</v>
      </c>
      <c r="BH1346" t="s">
        <v>3250</v>
      </c>
      <c r="BI1346" t="s">
        <v>3250</v>
      </c>
      <c r="BK1346" t="s">
        <v>3250</v>
      </c>
      <c r="BL1346" t="s">
        <v>3250</v>
      </c>
      <c r="BM1346" t="s">
        <v>3250</v>
      </c>
      <c r="BN1346" t="s">
        <v>3250</v>
      </c>
      <c r="BP1346">
        <v>1</v>
      </c>
      <c r="BQ1346">
        <v>11</v>
      </c>
      <c r="BR1346" t="s">
        <v>1574</v>
      </c>
      <c r="BS1346" t="s">
        <v>3252</v>
      </c>
      <c r="BV1346">
        <v>0</v>
      </c>
      <c r="BW1346">
        <v>0</v>
      </c>
      <c r="BX1346">
        <v>0</v>
      </c>
      <c r="BY1346">
        <v>0</v>
      </c>
      <c r="BZ1346">
        <v>0</v>
      </c>
      <c r="CA1346">
        <v>0</v>
      </c>
      <c r="CB1346">
        <v>0</v>
      </c>
      <c r="CC1346">
        <v>0</v>
      </c>
      <c r="CD1346">
        <v>0</v>
      </c>
      <c r="CE1346" t="s">
        <v>3108</v>
      </c>
      <c r="CF1346" t="s">
        <v>3108</v>
      </c>
      <c r="CG1346" t="s">
        <v>3108</v>
      </c>
      <c r="CH1346" t="s">
        <v>3108</v>
      </c>
    </row>
    <row r="1347" spans="1:86" x14ac:dyDescent="0.2">
      <c r="A1347" t="s">
        <v>5256</v>
      </c>
      <c r="B1347" t="s">
        <v>5256</v>
      </c>
      <c r="C1347">
        <v>51825</v>
      </c>
      <c r="D1347">
        <v>1346</v>
      </c>
      <c r="E1347" t="s">
        <v>5257</v>
      </c>
      <c r="F1347">
        <v>200</v>
      </c>
      <c r="G1347" t="s">
        <v>467</v>
      </c>
      <c r="H1347">
        <v>200</v>
      </c>
      <c r="I1347" t="s">
        <v>3840</v>
      </c>
      <c r="J1347" t="s">
        <v>3250</v>
      </c>
      <c r="K1347" t="s">
        <v>3250</v>
      </c>
      <c r="L1347">
        <v>1200</v>
      </c>
      <c r="M1347" t="s">
        <v>2368</v>
      </c>
      <c r="N1347">
        <v>1204</v>
      </c>
      <c r="O1347" t="s">
        <v>1574</v>
      </c>
      <c r="P1347" t="s">
        <v>3108</v>
      </c>
      <c r="Q1347" t="s">
        <v>3249</v>
      </c>
      <c r="R1347" t="s">
        <v>3249</v>
      </c>
      <c r="S1347" t="s">
        <v>472</v>
      </c>
      <c r="T1347" t="s">
        <v>2759</v>
      </c>
      <c r="U1347" t="s">
        <v>3250</v>
      </c>
      <c r="V1347" t="s">
        <v>3250</v>
      </c>
      <c r="W1347" t="s">
        <v>3250</v>
      </c>
      <c r="X1347" t="s">
        <v>3250</v>
      </c>
      <c r="Y1347" t="s">
        <v>3250</v>
      </c>
      <c r="Z1347" t="s">
        <v>3250</v>
      </c>
      <c r="AA1347" t="s">
        <v>3108</v>
      </c>
      <c r="AB1347" t="s">
        <v>3108</v>
      </c>
      <c r="AC1347" t="s">
        <v>3250</v>
      </c>
      <c r="AD1347" t="s">
        <v>3250</v>
      </c>
      <c r="AE1347" t="s">
        <v>3250</v>
      </c>
      <c r="AF1347" t="s">
        <v>3250</v>
      </c>
      <c r="AG1347" t="s">
        <v>3250</v>
      </c>
      <c r="AH1347" t="s">
        <v>3250</v>
      </c>
      <c r="AI1347" t="s">
        <v>3250</v>
      </c>
      <c r="AJ1347" t="s">
        <v>3250</v>
      </c>
      <c r="AL1347" t="s">
        <v>3250</v>
      </c>
      <c r="AM1347" t="s">
        <v>3250</v>
      </c>
      <c r="AN1347" t="s">
        <v>3250</v>
      </c>
      <c r="AO1347" t="s">
        <v>3250</v>
      </c>
      <c r="AS1347" t="s">
        <v>3250</v>
      </c>
      <c r="AT1347" t="s">
        <v>3250</v>
      </c>
      <c r="AU1347" t="s">
        <v>3250</v>
      </c>
      <c r="AV1347" t="s">
        <v>3250</v>
      </c>
      <c r="AW1347" t="s">
        <v>3250</v>
      </c>
      <c r="AX1347" t="s">
        <v>3250</v>
      </c>
      <c r="AY1347" t="s">
        <v>3250</v>
      </c>
      <c r="AZ1347" t="s">
        <v>3250</v>
      </c>
      <c r="BA1347" t="s">
        <v>3250</v>
      </c>
      <c r="BB1347" t="s">
        <v>3250</v>
      </c>
      <c r="BC1347" t="s">
        <v>3250</v>
      </c>
      <c r="BE1347" t="s">
        <v>3250</v>
      </c>
      <c r="BF1347" t="s">
        <v>3250</v>
      </c>
      <c r="BG1347" t="s">
        <v>3250</v>
      </c>
      <c r="BH1347" t="s">
        <v>3250</v>
      </c>
      <c r="BI1347" t="s">
        <v>3250</v>
      </c>
      <c r="BK1347" t="s">
        <v>3250</v>
      </c>
      <c r="BL1347" t="s">
        <v>3250</v>
      </c>
      <c r="BM1347" t="s">
        <v>3250</v>
      </c>
      <c r="BN1347" t="s">
        <v>3250</v>
      </c>
      <c r="BP1347">
        <v>1</v>
      </c>
      <c r="BQ1347">
        <v>11</v>
      </c>
      <c r="BR1347" t="s">
        <v>1574</v>
      </c>
      <c r="BS1347" t="s">
        <v>3252</v>
      </c>
      <c r="BV1347">
        <v>0</v>
      </c>
      <c r="BW1347">
        <v>0</v>
      </c>
      <c r="BX1347">
        <v>0</v>
      </c>
      <c r="BY1347">
        <v>0</v>
      </c>
      <c r="BZ1347">
        <v>0</v>
      </c>
      <c r="CA1347">
        <v>0</v>
      </c>
      <c r="CB1347">
        <v>0</v>
      </c>
      <c r="CC1347">
        <v>0</v>
      </c>
      <c r="CD1347">
        <v>0</v>
      </c>
      <c r="CE1347" t="s">
        <v>3108</v>
      </c>
      <c r="CF1347" t="s">
        <v>3108</v>
      </c>
      <c r="CG1347" t="s">
        <v>3108</v>
      </c>
      <c r="CH1347" t="s">
        <v>3108</v>
      </c>
    </row>
    <row r="1348" spans="1:86" x14ac:dyDescent="0.2">
      <c r="A1348" t="s">
        <v>5258</v>
      </c>
      <c r="B1348" t="s">
        <v>5258</v>
      </c>
      <c r="C1348">
        <v>51826</v>
      </c>
      <c r="D1348">
        <v>1347</v>
      </c>
      <c r="E1348" t="s">
        <v>5259</v>
      </c>
      <c r="F1348">
        <v>200</v>
      </c>
      <c r="G1348" t="s">
        <v>467</v>
      </c>
      <c r="H1348">
        <v>200</v>
      </c>
      <c r="I1348" t="s">
        <v>3840</v>
      </c>
      <c r="J1348" t="s">
        <v>3250</v>
      </c>
      <c r="K1348" t="s">
        <v>3250</v>
      </c>
      <c r="L1348">
        <v>1200</v>
      </c>
      <c r="M1348" t="s">
        <v>2368</v>
      </c>
      <c r="N1348">
        <v>1204</v>
      </c>
      <c r="O1348" t="s">
        <v>1574</v>
      </c>
      <c r="P1348" t="s">
        <v>3108</v>
      </c>
      <c r="Q1348" t="s">
        <v>3249</v>
      </c>
      <c r="R1348" t="s">
        <v>3249</v>
      </c>
      <c r="S1348" t="s">
        <v>472</v>
      </c>
      <c r="T1348" t="s">
        <v>2759</v>
      </c>
      <c r="U1348" t="s">
        <v>3250</v>
      </c>
      <c r="V1348" t="s">
        <v>3250</v>
      </c>
      <c r="W1348" t="s">
        <v>3250</v>
      </c>
      <c r="X1348" t="s">
        <v>3250</v>
      </c>
      <c r="Y1348" t="s">
        <v>3250</v>
      </c>
      <c r="Z1348" t="s">
        <v>3250</v>
      </c>
      <c r="AA1348" t="s">
        <v>3108</v>
      </c>
      <c r="AB1348" t="s">
        <v>3108</v>
      </c>
      <c r="AC1348" t="s">
        <v>3250</v>
      </c>
      <c r="AD1348" t="s">
        <v>3250</v>
      </c>
      <c r="AE1348" t="s">
        <v>3250</v>
      </c>
      <c r="AF1348" t="s">
        <v>3250</v>
      </c>
      <c r="AG1348" t="s">
        <v>3250</v>
      </c>
      <c r="AH1348" t="s">
        <v>3250</v>
      </c>
      <c r="AI1348" t="s">
        <v>3250</v>
      </c>
      <c r="AJ1348" t="s">
        <v>3250</v>
      </c>
      <c r="AL1348" t="s">
        <v>3250</v>
      </c>
      <c r="AM1348" t="s">
        <v>3250</v>
      </c>
      <c r="AN1348" t="s">
        <v>3250</v>
      </c>
      <c r="AO1348" t="s">
        <v>3250</v>
      </c>
      <c r="AS1348" t="s">
        <v>3250</v>
      </c>
      <c r="AT1348" t="s">
        <v>3250</v>
      </c>
      <c r="AU1348" t="s">
        <v>3250</v>
      </c>
      <c r="AV1348" t="s">
        <v>3250</v>
      </c>
      <c r="AW1348" t="s">
        <v>3250</v>
      </c>
      <c r="AX1348" t="s">
        <v>3250</v>
      </c>
      <c r="AY1348" t="s">
        <v>3250</v>
      </c>
      <c r="AZ1348" t="s">
        <v>3250</v>
      </c>
      <c r="BA1348" t="s">
        <v>3250</v>
      </c>
      <c r="BB1348" t="s">
        <v>3250</v>
      </c>
      <c r="BC1348" t="s">
        <v>3250</v>
      </c>
      <c r="BE1348" t="s">
        <v>3250</v>
      </c>
      <c r="BF1348" t="s">
        <v>3250</v>
      </c>
      <c r="BG1348" t="s">
        <v>3250</v>
      </c>
      <c r="BH1348" t="s">
        <v>3250</v>
      </c>
      <c r="BI1348" t="s">
        <v>3250</v>
      </c>
      <c r="BK1348" t="s">
        <v>3250</v>
      </c>
      <c r="BL1348" t="s">
        <v>3250</v>
      </c>
      <c r="BM1348" t="s">
        <v>3250</v>
      </c>
      <c r="BN1348" t="s">
        <v>3250</v>
      </c>
      <c r="BP1348">
        <v>1</v>
      </c>
      <c r="BQ1348">
        <v>11</v>
      </c>
      <c r="BR1348" t="s">
        <v>1574</v>
      </c>
      <c r="BS1348" t="s">
        <v>3252</v>
      </c>
      <c r="BV1348">
        <v>0</v>
      </c>
      <c r="BW1348">
        <v>0</v>
      </c>
      <c r="BX1348">
        <v>0</v>
      </c>
      <c r="BY1348">
        <v>0</v>
      </c>
      <c r="BZ1348">
        <v>0</v>
      </c>
      <c r="CA1348">
        <v>0</v>
      </c>
      <c r="CB1348">
        <v>0</v>
      </c>
      <c r="CC1348">
        <v>0</v>
      </c>
      <c r="CD1348">
        <v>0</v>
      </c>
      <c r="CE1348" t="s">
        <v>3108</v>
      </c>
      <c r="CF1348" t="s">
        <v>3108</v>
      </c>
      <c r="CG1348" t="s">
        <v>3108</v>
      </c>
      <c r="CH1348" t="s">
        <v>3108</v>
      </c>
    </row>
    <row r="1349" spans="1:86" x14ac:dyDescent="0.2">
      <c r="A1349" t="s">
        <v>5260</v>
      </c>
      <c r="B1349" t="s">
        <v>5260</v>
      </c>
      <c r="C1349">
        <v>51827</v>
      </c>
      <c r="D1349">
        <v>1348</v>
      </c>
      <c r="E1349" t="s">
        <v>5261</v>
      </c>
      <c r="F1349">
        <v>200</v>
      </c>
      <c r="G1349" t="s">
        <v>467</v>
      </c>
      <c r="H1349">
        <v>200</v>
      </c>
      <c r="I1349" t="s">
        <v>3840</v>
      </c>
      <c r="J1349" t="s">
        <v>3250</v>
      </c>
      <c r="K1349" t="s">
        <v>3250</v>
      </c>
      <c r="L1349">
        <v>1200</v>
      </c>
      <c r="M1349" t="s">
        <v>2368</v>
      </c>
      <c r="N1349">
        <v>1204</v>
      </c>
      <c r="O1349" t="s">
        <v>1574</v>
      </c>
      <c r="P1349" t="s">
        <v>3108</v>
      </c>
      <c r="Q1349" t="s">
        <v>3249</v>
      </c>
      <c r="R1349" t="s">
        <v>3249</v>
      </c>
      <c r="S1349" t="s">
        <v>472</v>
      </c>
      <c r="T1349" t="s">
        <v>2759</v>
      </c>
      <c r="U1349" t="s">
        <v>3250</v>
      </c>
      <c r="V1349" t="s">
        <v>3250</v>
      </c>
      <c r="W1349" t="s">
        <v>3250</v>
      </c>
      <c r="X1349" t="s">
        <v>3250</v>
      </c>
      <c r="Y1349" t="s">
        <v>3250</v>
      </c>
      <c r="Z1349" t="s">
        <v>3250</v>
      </c>
      <c r="AA1349" t="s">
        <v>3108</v>
      </c>
      <c r="AB1349" t="s">
        <v>3108</v>
      </c>
      <c r="AC1349" t="s">
        <v>3250</v>
      </c>
      <c r="AD1349" t="s">
        <v>3250</v>
      </c>
      <c r="AE1349" t="s">
        <v>3250</v>
      </c>
      <c r="AF1349" t="s">
        <v>3250</v>
      </c>
      <c r="AG1349" t="s">
        <v>3250</v>
      </c>
      <c r="AH1349" t="s">
        <v>3250</v>
      </c>
      <c r="AI1349" t="s">
        <v>3250</v>
      </c>
      <c r="AJ1349" t="s">
        <v>3250</v>
      </c>
      <c r="AL1349" t="s">
        <v>3250</v>
      </c>
      <c r="AM1349" t="s">
        <v>3250</v>
      </c>
      <c r="AN1349" t="s">
        <v>3250</v>
      </c>
      <c r="AO1349" t="s">
        <v>3250</v>
      </c>
      <c r="AS1349" t="s">
        <v>3250</v>
      </c>
      <c r="AT1349" t="s">
        <v>3250</v>
      </c>
      <c r="AU1349" t="s">
        <v>3250</v>
      </c>
      <c r="AV1349" t="s">
        <v>3250</v>
      </c>
      <c r="AW1349" t="s">
        <v>3250</v>
      </c>
      <c r="AX1349" t="s">
        <v>3250</v>
      </c>
      <c r="AY1349" t="s">
        <v>3250</v>
      </c>
      <c r="AZ1349" t="s">
        <v>3250</v>
      </c>
      <c r="BA1349" t="s">
        <v>3250</v>
      </c>
      <c r="BB1349" t="s">
        <v>3250</v>
      </c>
      <c r="BC1349" t="s">
        <v>3250</v>
      </c>
      <c r="BE1349" t="s">
        <v>3250</v>
      </c>
      <c r="BF1349" t="s">
        <v>3250</v>
      </c>
      <c r="BG1349" t="s">
        <v>3250</v>
      </c>
      <c r="BH1349" t="s">
        <v>3250</v>
      </c>
      <c r="BI1349" t="s">
        <v>3250</v>
      </c>
      <c r="BK1349" t="s">
        <v>3250</v>
      </c>
      <c r="BL1349" t="s">
        <v>3250</v>
      </c>
      <c r="BM1349" t="s">
        <v>3250</v>
      </c>
      <c r="BN1349" t="s">
        <v>3250</v>
      </c>
      <c r="BP1349">
        <v>1</v>
      </c>
      <c r="BQ1349">
        <v>11</v>
      </c>
      <c r="BR1349" t="s">
        <v>1574</v>
      </c>
      <c r="BS1349" t="s">
        <v>3252</v>
      </c>
      <c r="BV1349">
        <v>0</v>
      </c>
      <c r="BW1349">
        <v>0</v>
      </c>
      <c r="BX1349">
        <v>0</v>
      </c>
      <c r="BY1349">
        <v>0</v>
      </c>
      <c r="BZ1349">
        <v>0</v>
      </c>
      <c r="CA1349">
        <v>0</v>
      </c>
      <c r="CB1349">
        <v>0</v>
      </c>
      <c r="CC1349">
        <v>0</v>
      </c>
      <c r="CD1349">
        <v>0</v>
      </c>
      <c r="CE1349" t="s">
        <v>3108</v>
      </c>
      <c r="CF1349" t="s">
        <v>3108</v>
      </c>
      <c r="CG1349" t="s">
        <v>3108</v>
      </c>
      <c r="CH1349" t="s">
        <v>3108</v>
      </c>
    </row>
    <row r="1350" spans="1:86" x14ac:dyDescent="0.2">
      <c r="A1350" t="s">
        <v>5262</v>
      </c>
      <c r="B1350" t="s">
        <v>5262</v>
      </c>
      <c r="C1350">
        <v>51828</v>
      </c>
      <c r="D1350">
        <v>1349</v>
      </c>
      <c r="E1350" t="s">
        <v>5263</v>
      </c>
      <c r="F1350">
        <v>200</v>
      </c>
      <c r="G1350" t="s">
        <v>467</v>
      </c>
      <c r="H1350">
        <v>200</v>
      </c>
      <c r="I1350" t="s">
        <v>3840</v>
      </c>
      <c r="J1350" t="s">
        <v>3250</v>
      </c>
      <c r="K1350" t="s">
        <v>3250</v>
      </c>
      <c r="L1350">
        <v>1200</v>
      </c>
      <c r="M1350" t="s">
        <v>2368</v>
      </c>
      <c r="N1350">
        <v>1204</v>
      </c>
      <c r="O1350" t="s">
        <v>1574</v>
      </c>
      <c r="P1350" t="s">
        <v>3108</v>
      </c>
      <c r="Q1350" t="s">
        <v>3249</v>
      </c>
      <c r="R1350" t="s">
        <v>3249</v>
      </c>
      <c r="S1350" t="s">
        <v>472</v>
      </c>
      <c r="T1350" t="s">
        <v>2759</v>
      </c>
      <c r="U1350" t="s">
        <v>3250</v>
      </c>
      <c r="V1350" t="s">
        <v>3250</v>
      </c>
      <c r="W1350" t="s">
        <v>3250</v>
      </c>
      <c r="X1350" t="s">
        <v>3250</v>
      </c>
      <c r="Y1350" t="s">
        <v>3250</v>
      </c>
      <c r="Z1350" t="s">
        <v>3250</v>
      </c>
      <c r="AA1350" t="s">
        <v>3108</v>
      </c>
      <c r="AB1350" t="s">
        <v>3108</v>
      </c>
      <c r="AC1350" t="s">
        <v>3250</v>
      </c>
      <c r="AD1350" t="s">
        <v>3250</v>
      </c>
      <c r="AE1350" t="s">
        <v>3250</v>
      </c>
      <c r="AF1350" t="s">
        <v>3250</v>
      </c>
      <c r="AG1350" t="s">
        <v>3250</v>
      </c>
      <c r="AH1350" t="s">
        <v>3250</v>
      </c>
      <c r="AI1350" t="s">
        <v>3250</v>
      </c>
      <c r="AJ1350" t="s">
        <v>3250</v>
      </c>
      <c r="AL1350" t="s">
        <v>3250</v>
      </c>
      <c r="AM1350" t="s">
        <v>3250</v>
      </c>
      <c r="AN1350" t="s">
        <v>3250</v>
      </c>
      <c r="AO1350" t="s">
        <v>3250</v>
      </c>
      <c r="AS1350" t="s">
        <v>3250</v>
      </c>
      <c r="AT1350" t="s">
        <v>3250</v>
      </c>
      <c r="AU1350" t="s">
        <v>3250</v>
      </c>
      <c r="AV1350" t="s">
        <v>3250</v>
      </c>
      <c r="AW1350" t="s">
        <v>3250</v>
      </c>
      <c r="AX1350" t="s">
        <v>3250</v>
      </c>
      <c r="AY1350" t="s">
        <v>3250</v>
      </c>
      <c r="AZ1350" t="s">
        <v>3250</v>
      </c>
      <c r="BA1350" t="s">
        <v>3250</v>
      </c>
      <c r="BB1350" t="s">
        <v>3250</v>
      </c>
      <c r="BC1350" t="s">
        <v>3250</v>
      </c>
      <c r="BE1350" t="s">
        <v>3250</v>
      </c>
      <c r="BF1350" t="s">
        <v>3250</v>
      </c>
      <c r="BG1350" t="s">
        <v>3250</v>
      </c>
      <c r="BH1350" t="s">
        <v>3250</v>
      </c>
      <c r="BI1350" t="s">
        <v>3250</v>
      </c>
      <c r="BK1350" t="s">
        <v>3250</v>
      </c>
      <c r="BL1350" t="s">
        <v>3250</v>
      </c>
      <c r="BM1350" t="s">
        <v>3250</v>
      </c>
      <c r="BN1350" t="s">
        <v>3250</v>
      </c>
      <c r="BP1350">
        <v>1</v>
      </c>
      <c r="BQ1350">
        <v>11</v>
      </c>
      <c r="BR1350" t="s">
        <v>1574</v>
      </c>
      <c r="BS1350" t="s">
        <v>3252</v>
      </c>
      <c r="BV1350">
        <v>0</v>
      </c>
      <c r="BW1350">
        <v>0</v>
      </c>
      <c r="BX1350">
        <v>0</v>
      </c>
      <c r="BY1350">
        <v>0</v>
      </c>
      <c r="BZ1350">
        <v>0</v>
      </c>
      <c r="CA1350">
        <v>0</v>
      </c>
      <c r="CB1350">
        <v>0</v>
      </c>
      <c r="CC1350">
        <v>0</v>
      </c>
      <c r="CD1350">
        <v>0</v>
      </c>
      <c r="CE1350" t="s">
        <v>3108</v>
      </c>
      <c r="CF1350" t="s">
        <v>3108</v>
      </c>
      <c r="CG1350" t="s">
        <v>3108</v>
      </c>
      <c r="CH1350" t="s">
        <v>3108</v>
      </c>
    </row>
    <row r="1351" spans="1:86" x14ac:dyDescent="0.2">
      <c r="A1351" t="s">
        <v>5264</v>
      </c>
      <c r="B1351" t="s">
        <v>5264</v>
      </c>
      <c r="C1351">
        <v>51829</v>
      </c>
      <c r="D1351">
        <v>1350</v>
      </c>
      <c r="E1351" t="s">
        <v>5265</v>
      </c>
      <c r="F1351">
        <v>200</v>
      </c>
      <c r="G1351" t="s">
        <v>467</v>
      </c>
      <c r="H1351">
        <v>200</v>
      </c>
      <c r="I1351" t="s">
        <v>3840</v>
      </c>
      <c r="J1351" t="s">
        <v>3250</v>
      </c>
      <c r="K1351" t="s">
        <v>3250</v>
      </c>
      <c r="L1351">
        <v>1200</v>
      </c>
      <c r="M1351" t="s">
        <v>2368</v>
      </c>
      <c r="N1351">
        <v>1204</v>
      </c>
      <c r="O1351" t="s">
        <v>1574</v>
      </c>
      <c r="P1351" t="s">
        <v>3108</v>
      </c>
      <c r="Q1351" t="s">
        <v>3249</v>
      </c>
      <c r="R1351" t="s">
        <v>3249</v>
      </c>
      <c r="S1351" t="s">
        <v>472</v>
      </c>
      <c r="T1351" t="s">
        <v>2759</v>
      </c>
      <c r="U1351" t="s">
        <v>3250</v>
      </c>
      <c r="V1351" t="s">
        <v>3250</v>
      </c>
      <c r="W1351" t="s">
        <v>3250</v>
      </c>
      <c r="X1351" t="s">
        <v>3250</v>
      </c>
      <c r="Y1351" t="s">
        <v>3250</v>
      </c>
      <c r="Z1351" t="s">
        <v>3250</v>
      </c>
      <c r="AA1351" t="s">
        <v>3108</v>
      </c>
      <c r="AB1351" t="s">
        <v>3108</v>
      </c>
      <c r="AC1351" t="s">
        <v>3250</v>
      </c>
      <c r="AD1351" t="s">
        <v>3250</v>
      </c>
      <c r="AE1351" t="s">
        <v>3250</v>
      </c>
      <c r="AF1351" t="s">
        <v>3250</v>
      </c>
      <c r="AG1351" t="s">
        <v>3250</v>
      </c>
      <c r="AH1351" t="s">
        <v>3250</v>
      </c>
      <c r="AI1351" t="s">
        <v>3250</v>
      </c>
      <c r="AJ1351" t="s">
        <v>3250</v>
      </c>
      <c r="AL1351" t="s">
        <v>3250</v>
      </c>
      <c r="AM1351" t="s">
        <v>3250</v>
      </c>
      <c r="AN1351" t="s">
        <v>3250</v>
      </c>
      <c r="AO1351" t="s">
        <v>3250</v>
      </c>
      <c r="AS1351" t="s">
        <v>3250</v>
      </c>
      <c r="AT1351" t="s">
        <v>3250</v>
      </c>
      <c r="AU1351" t="s">
        <v>3250</v>
      </c>
      <c r="AV1351" t="s">
        <v>3250</v>
      </c>
      <c r="AW1351" t="s">
        <v>3250</v>
      </c>
      <c r="AX1351" t="s">
        <v>3250</v>
      </c>
      <c r="AY1351" t="s">
        <v>3250</v>
      </c>
      <c r="AZ1351" t="s">
        <v>3250</v>
      </c>
      <c r="BA1351" t="s">
        <v>3250</v>
      </c>
      <c r="BB1351" t="s">
        <v>3250</v>
      </c>
      <c r="BC1351" t="s">
        <v>3250</v>
      </c>
      <c r="BE1351" t="s">
        <v>3250</v>
      </c>
      <c r="BF1351" t="s">
        <v>3250</v>
      </c>
      <c r="BG1351" t="s">
        <v>3250</v>
      </c>
      <c r="BH1351" t="s">
        <v>3250</v>
      </c>
      <c r="BI1351" t="s">
        <v>3250</v>
      </c>
      <c r="BK1351" t="s">
        <v>3250</v>
      </c>
      <c r="BL1351" t="s">
        <v>3250</v>
      </c>
      <c r="BM1351" t="s">
        <v>3250</v>
      </c>
      <c r="BN1351" t="s">
        <v>3250</v>
      </c>
      <c r="BP1351">
        <v>1</v>
      </c>
      <c r="BQ1351">
        <v>11</v>
      </c>
      <c r="BR1351" t="s">
        <v>1574</v>
      </c>
      <c r="BS1351" t="s">
        <v>3252</v>
      </c>
      <c r="BV1351">
        <v>0</v>
      </c>
      <c r="BW1351">
        <v>0</v>
      </c>
      <c r="BX1351">
        <v>0</v>
      </c>
      <c r="BY1351">
        <v>0</v>
      </c>
      <c r="BZ1351">
        <v>0</v>
      </c>
      <c r="CA1351">
        <v>0</v>
      </c>
      <c r="CB1351">
        <v>0</v>
      </c>
      <c r="CC1351">
        <v>0</v>
      </c>
      <c r="CD1351">
        <v>0</v>
      </c>
      <c r="CE1351" t="s">
        <v>3108</v>
      </c>
      <c r="CF1351" t="s">
        <v>3108</v>
      </c>
      <c r="CG1351" t="s">
        <v>3108</v>
      </c>
      <c r="CH1351" t="s">
        <v>3108</v>
      </c>
    </row>
    <row r="1352" spans="1:86" x14ac:dyDescent="0.2">
      <c r="A1352" t="s">
        <v>5266</v>
      </c>
      <c r="B1352" t="s">
        <v>5266</v>
      </c>
      <c r="C1352">
        <v>51830</v>
      </c>
      <c r="D1352">
        <v>1351</v>
      </c>
      <c r="E1352" t="s">
        <v>5267</v>
      </c>
      <c r="F1352">
        <v>200</v>
      </c>
      <c r="G1352" t="s">
        <v>467</v>
      </c>
      <c r="H1352">
        <v>200</v>
      </c>
      <c r="I1352" t="s">
        <v>3840</v>
      </c>
      <c r="J1352" t="s">
        <v>3250</v>
      </c>
      <c r="K1352" t="s">
        <v>3250</v>
      </c>
      <c r="L1352">
        <v>1200</v>
      </c>
      <c r="M1352" t="s">
        <v>2368</v>
      </c>
      <c r="N1352">
        <v>1204</v>
      </c>
      <c r="O1352" t="s">
        <v>1574</v>
      </c>
      <c r="P1352" t="s">
        <v>3108</v>
      </c>
      <c r="Q1352" t="s">
        <v>3249</v>
      </c>
      <c r="R1352" t="s">
        <v>3249</v>
      </c>
      <c r="S1352" t="s">
        <v>472</v>
      </c>
      <c r="T1352" t="s">
        <v>2759</v>
      </c>
      <c r="U1352" t="s">
        <v>3250</v>
      </c>
      <c r="V1352" t="s">
        <v>3250</v>
      </c>
      <c r="W1352" t="s">
        <v>3250</v>
      </c>
      <c r="X1352" t="s">
        <v>3250</v>
      </c>
      <c r="Y1352" t="s">
        <v>3250</v>
      </c>
      <c r="Z1352" t="s">
        <v>3250</v>
      </c>
      <c r="AA1352" t="s">
        <v>3108</v>
      </c>
      <c r="AB1352" t="s">
        <v>3108</v>
      </c>
      <c r="AC1352" t="s">
        <v>3250</v>
      </c>
      <c r="AD1352" t="s">
        <v>3250</v>
      </c>
      <c r="AE1352" t="s">
        <v>3250</v>
      </c>
      <c r="AF1352" t="s">
        <v>3250</v>
      </c>
      <c r="AG1352" t="s">
        <v>3250</v>
      </c>
      <c r="AH1352" t="s">
        <v>3250</v>
      </c>
      <c r="AI1352" t="s">
        <v>3250</v>
      </c>
      <c r="AJ1352" t="s">
        <v>3250</v>
      </c>
      <c r="AL1352" t="s">
        <v>3250</v>
      </c>
      <c r="AM1352" t="s">
        <v>3250</v>
      </c>
      <c r="AN1352" t="s">
        <v>3250</v>
      </c>
      <c r="AO1352" t="s">
        <v>3250</v>
      </c>
      <c r="AS1352" t="s">
        <v>3250</v>
      </c>
      <c r="AT1352" t="s">
        <v>3250</v>
      </c>
      <c r="AU1352" t="s">
        <v>3250</v>
      </c>
      <c r="AV1352" t="s">
        <v>3250</v>
      </c>
      <c r="AW1352" t="s">
        <v>3250</v>
      </c>
      <c r="AX1352" t="s">
        <v>3250</v>
      </c>
      <c r="AY1352" t="s">
        <v>3250</v>
      </c>
      <c r="AZ1352" t="s">
        <v>3250</v>
      </c>
      <c r="BA1352" t="s">
        <v>3250</v>
      </c>
      <c r="BB1352" t="s">
        <v>3250</v>
      </c>
      <c r="BC1352" t="s">
        <v>3250</v>
      </c>
      <c r="BE1352" t="s">
        <v>3250</v>
      </c>
      <c r="BF1352" t="s">
        <v>3250</v>
      </c>
      <c r="BG1352" t="s">
        <v>3250</v>
      </c>
      <c r="BH1352" t="s">
        <v>3250</v>
      </c>
      <c r="BI1352" t="s">
        <v>3250</v>
      </c>
      <c r="BK1352" t="s">
        <v>3250</v>
      </c>
      <c r="BL1352" t="s">
        <v>3250</v>
      </c>
      <c r="BM1352" t="s">
        <v>3250</v>
      </c>
      <c r="BN1352" t="s">
        <v>3250</v>
      </c>
      <c r="BP1352">
        <v>1</v>
      </c>
      <c r="BQ1352">
        <v>11</v>
      </c>
      <c r="BR1352" t="s">
        <v>1574</v>
      </c>
      <c r="BS1352" t="s">
        <v>3252</v>
      </c>
      <c r="BV1352">
        <v>0</v>
      </c>
      <c r="BW1352">
        <v>0</v>
      </c>
      <c r="BX1352">
        <v>0</v>
      </c>
      <c r="BY1352">
        <v>0</v>
      </c>
      <c r="BZ1352">
        <v>0</v>
      </c>
      <c r="CA1352">
        <v>0</v>
      </c>
      <c r="CB1352">
        <v>0</v>
      </c>
      <c r="CC1352">
        <v>0</v>
      </c>
      <c r="CD1352">
        <v>0</v>
      </c>
      <c r="CE1352" t="s">
        <v>3108</v>
      </c>
      <c r="CF1352" t="s">
        <v>3108</v>
      </c>
      <c r="CG1352" t="s">
        <v>3108</v>
      </c>
      <c r="CH1352" t="s">
        <v>3108</v>
      </c>
    </row>
    <row r="1353" spans="1:86" x14ac:dyDescent="0.2">
      <c r="A1353" t="s">
        <v>5268</v>
      </c>
      <c r="B1353" t="s">
        <v>5268</v>
      </c>
      <c r="C1353">
        <v>51831</v>
      </c>
      <c r="D1353">
        <v>1352</v>
      </c>
      <c r="E1353" t="s">
        <v>5269</v>
      </c>
      <c r="F1353">
        <v>200</v>
      </c>
      <c r="G1353" t="s">
        <v>467</v>
      </c>
      <c r="H1353">
        <v>200</v>
      </c>
      <c r="I1353" t="s">
        <v>3840</v>
      </c>
      <c r="J1353" t="s">
        <v>3250</v>
      </c>
      <c r="K1353" t="s">
        <v>3250</v>
      </c>
      <c r="L1353">
        <v>1200</v>
      </c>
      <c r="M1353" t="s">
        <v>2368</v>
      </c>
      <c r="N1353">
        <v>1204</v>
      </c>
      <c r="O1353" t="s">
        <v>1574</v>
      </c>
      <c r="P1353" t="s">
        <v>3108</v>
      </c>
      <c r="Q1353" t="s">
        <v>3249</v>
      </c>
      <c r="R1353" t="s">
        <v>3249</v>
      </c>
      <c r="S1353" t="s">
        <v>472</v>
      </c>
      <c r="T1353" t="s">
        <v>2759</v>
      </c>
      <c r="U1353" t="s">
        <v>3250</v>
      </c>
      <c r="V1353" t="s">
        <v>3250</v>
      </c>
      <c r="W1353" t="s">
        <v>3250</v>
      </c>
      <c r="X1353" t="s">
        <v>3250</v>
      </c>
      <c r="Y1353" t="s">
        <v>3250</v>
      </c>
      <c r="Z1353" t="s">
        <v>3250</v>
      </c>
      <c r="AA1353" t="s">
        <v>3108</v>
      </c>
      <c r="AB1353" t="s">
        <v>3108</v>
      </c>
      <c r="AC1353" t="s">
        <v>3250</v>
      </c>
      <c r="AD1353" t="s">
        <v>3250</v>
      </c>
      <c r="AE1353" t="s">
        <v>3250</v>
      </c>
      <c r="AF1353" t="s">
        <v>3250</v>
      </c>
      <c r="AG1353" t="s">
        <v>3250</v>
      </c>
      <c r="AH1353" t="s">
        <v>3250</v>
      </c>
      <c r="AI1353" t="s">
        <v>3250</v>
      </c>
      <c r="AJ1353" t="s">
        <v>3250</v>
      </c>
      <c r="AL1353" t="s">
        <v>3250</v>
      </c>
      <c r="AM1353" t="s">
        <v>3250</v>
      </c>
      <c r="AN1353" t="s">
        <v>3250</v>
      </c>
      <c r="AO1353" t="s">
        <v>3250</v>
      </c>
      <c r="AS1353" t="s">
        <v>3250</v>
      </c>
      <c r="AT1353" t="s">
        <v>3250</v>
      </c>
      <c r="AU1353" t="s">
        <v>3250</v>
      </c>
      <c r="AV1353" t="s">
        <v>3250</v>
      </c>
      <c r="AW1353" t="s">
        <v>3250</v>
      </c>
      <c r="AX1353" t="s">
        <v>3250</v>
      </c>
      <c r="AY1353" t="s">
        <v>3250</v>
      </c>
      <c r="AZ1353" t="s">
        <v>3250</v>
      </c>
      <c r="BA1353" t="s">
        <v>3250</v>
      </c>
      <c r="BB1353" t="s">
        <v>3250</v>
      </c>
      <c r="BC1353" t="s">
        <v>3250</v>
      </c>
      <c r="BE1353" t="s">
        <v>3250</v>
      </c>
      <c r="BF1353" t="s">
        <v>3250</v>
      </c>
      <c r="BG1353" t="s">
        <v>3250</v>
      </c>
      <c r="BH1353" t="s">
        <v>3250</v>
      </c>
      <c r="BI1353" t="s">
        <v>3250</v>
      </c>
      <c r="BK1353" t="s">
        <v>3250</v>
      </c>
      <c r="BL1353" t="s">
        <v>3250</v>
      </c>
      <c r="BM1353" t="s">
        <v>3250</v>
      </c>
      <c r="BN1353" t="s">
        <v>3250</v>
      </c>
      <c r="BP1353">
        <v>1</v>
      </c>
      <c r="BQ1353">
        <v>11</v>
      </c>
      <c r="BR1353" t="s">
        <v>1574</v>
      </c>
      <c r="BS1353" t="s">
        <v>3252</v>
      </c>
      <c r="BV1353">
        <v>0</v>
      </c>
      <c r="BW1353">
        <v>0</v>
      </c>
      <c r="BX1353">
        <v>0</v>
      </c>
      <c r="BY1353">
        <v>0</v>
      </c>
      <c r="BZ1353">
        <v>0</v>
      </c>
      <c r="CA1353">
        <v>0</v>
      </c>
      <c r="CB1353">
        <v>0</v>
      </c>
      <c r="CC1353">
        <v>0</v>
      </c>
      <c r="CD1353">
        <v>0</v>
      </c>
      <c r="CE1353" t="s">
        <v>3108</v>
      </c>
      <c r="CF1353" t="s">
        <v>3108</v>
      </c>
      <c r="CG1353" t="s">
        <v>3108</v>
      </c>
      <c r="CH1353" t="s">
        <v>3108</v>
      </c>
    </row>
    <row r="1354" spans="1:86" x14ac:dyDescent="0.2">
      <c r="A1354" t="s">
        <v>5270</v>
      </c>
      <c r="B1354" t="s">
        <v>5270</v>
      </c>
      <c r="C1354">
        <v>51832</v>
      </c>
      <c r="D1354">
        <v>1353</v>
      </c>
      <c r="E1354" t="s">
        <v>5271</v>
      </c>
      <c r="F1354">
        <v>200</v>
      </c>
      <c r="G1354" t="s">
        <v>467</v>
      </c>
      <c r="H1354">
        <v>200</v>
      </c>
      <c r="I1354" t="s">
        <v>3840</v>
      </c>
      <c r="J1354" t="s">
        <v>3250</v>
      </c>
      <c r="K1354" t="s">
        <v>3250</v>
      </c>
      <c r="L1354">
        <v>1200</v>
      </c>
      <c r="M1354" t="s">
        <v>2368</v>
      </c>
      <c r="N1354">
        <v>1204</v>
      </c>
      <c r="O1354" t="s">
        <v>1574</v>
      </c>
      <c r="P1354" t="s">
        <v>3108</v>
      </c>
      <c r="Q1354" t="s">
        <v>3249</v>
      </c>
      <c r="R1354" t="s">
        <v>3249</v>
      </c>
      <c r="S1354" t="s">
        <v>472</v>
      </c>
      <c r="T1354" t="s">
        <v>2759</v>
      </c>
      <c r="U1354" t="s">
        <v>3250</v>
      </c>
      <c r="V1354" t="s">
        <v>3250</v>
      </c>
      <c r="W1354" t="s">
        <v>3250</v>
      </c>
      <c r="X1354" t="s">
        <v>3250</v>
      </c>
      <c r="Y1354" t="s">
        <v>3250</v>
      </c>
      <c r="Z1354" t="s">
        <v>3250</v>
      </c>
      <c r="AA1354" t="s">
        <v>3108</v>
      </c>
      <c r="AB1354" t="s">
        <v>3108</v>
      </c>
      <c r="AC1354" t="s">
        <v>3250</v>
      </c>
      <c r="AD1354" t="s">
        <v>3250</v>
      </c>
      <c r="AE1354" t="s">
        <v>3250</v>
      </c>
      <c r="AF1354" t="s">
        <v>3250</v>
      </c>
      <c r="AG1354" t="s">
        <v>3250</v>
      </c>
      <c r="AH1354" t="s">
        <v>3250</v>
      </c>
      <c r="AI1354" t="s">
        <v>3250</v>
      </c>
      <c r="AJ1354" t="s">
        <v>3250</v>
      </c>
      <c r="AL1354" t="s">
        <v>3250</v>
      </c>
      <c r="AM1354" t="s">
        <v>3250</v>
      </c>
      <c r="AN1354" t="s">
        <v>3250</v>
      </c>
      <c r="AO1354" t="s">
        <v>3250</v>
      </c>
      <c r="AS1354" t="s">
        <v>3250</v>
      </c>
      <c r="AT1354" t="s">
        <v>3250</v>
      </c>
      <c r="AU1354" t="s">
        <v>3250</v>
      </c>
      <c r="AV1354" t="s">
        <v>3250</v>
      </c>
      <c r="AW1354" t="s">
        <v>3250</v>
      </c>
      <c r="AX1354" t="s">
        <v>3250</v>
      </c>
      <c r="AY1354" t="s">
        <v>3250</v>
      </c>
      <c r="AZ1354" t="s">
        <v>3250</v>
      </c>
      <c r="BA1354" t="s">
        <v>3250</v>
      </c>
      <c r="BB1354" t="s">
        <v>3250</v>
      </c>
      <c r="BC1354" t="s">
        <v>3250</v>
      </c>
      <c r="BE1354" t="s">
        <v>3250</v>
      </c>
      <c r="BF1354" t="s">
        <v>3250</v>
      </c>
      <c r="BG1354" t="s">
        <v>3250</v>
      </c>
      <c r="BH1354" t="s">
        <v>3250</v>
      </c>
      <c r="BI1354" t="s">
        <v>3250</v>
      </c>
      <c r="BK1354" t="s">
        <v>3250</v>
      </c>
      <c r="BL1354" t="s">
        <v>3250</v>
      </c>
      <c r="BM1354" t="s">
        <v>3250</v>
      </c>
      <c r="BN1354" t="s">
        <v>3250</v>
      </c>
      <c r="BP1354">
        <v>1</v>
      </c>
      <c r="BQ1354">
        <v>11</v>
      </c>
      <c r="BR1354" t="s">
        <v>1574</v>
      </c>
      <c r="BS1354" t="s">
        <v>3252</v>
      </c>
      <c r="BV1354">
        <v>0</v>
      </c>
      <c r="BW1354">
        <v>0</v>
      </c>
      <c r="BX1354">
        <v>0</v>
      </c>
      <c r="BY1354">
        <v>0</v>
      </c>
      <c r="BZ1354">
        <v>0</v>
      </c>
      <c r="CA1354">
        <v>0</v>
      </c>
      <c r="CB1354">
        <v>0</v>
      </c>
      <c r="CC1354">
        <v>0</v>
      </c>
      <c r="CD1354">
        <v>0</v>
      </c>
      <c r="CE1354" t="s">
        <v>3108</v>
      </c>
      <c r="CF1354" t="s">
        <v>3108</v>
      </c>
      <c r="CG1354" t="s">
        <v>3108</v>
      </c>
      <c r="CH1354" t="s">
        <v>3108</v>
      </c>
    </row>
    <row r="1355" spans="1:86" x14ac:dyDescent="0.2">
      <c r="A1355" t="s">
        <v>5272</v>
      </c>
      <c r="B1355" t="s">
        <v>5272</v>
      </c>
      <c r="C1355">
        <v>51833</v>
      </c>
      <c r="D1355">
        <v>1354</v>
      </c>
      <c r="E1355" t="s">
        <v>5273</v>
      </c>
      <c r="F1355">
        <v>200</v>
      </c>
      <c r="G1355" t="s">
        <v>467</v>
      </c>
      <c r="H1355">
        <v>200</v>
      </c>
      <c r="I1355" t="s">
        <v>3840</v>
      </c>
      <c r="J1355" t="s">
        <v>3250</v>
      </c>
      <c r="K1355" t="s">
        <v>3250</v>
      </c>
      <c r="L1355">
        <v>1200</v>
      </c>
      <c r="M1355" t="s">
        <v>2368</v>
      </c>
      <c r="N1355">
        <v>1204</v>
      </c>
      <c r="O1355" t="s">
        <v>1574</v>
      </c>
      <c r="P1355" t="s">
        <v>3108</v>
      </c>
      <c r="Q1355" t="s">
        <v>3249</v>
      </c>
      <c r="R1355" t="s">
        <v>3249</v>
      </c>
      <c r="S1355" t="s">
        <v>472</v>
      </c>
      <c r="T1355" t="s">
        <v>2759</v>
      </c>
      <c r="U1355" t="s">
        <v>3250</v>
      </c>
      <c r="V1355" t="s">
        <v>3250</v>
      </c>
      <c r="W1355" t="s">
        <v>3250</v>
      </c>
      <c r="X1355" t="s">
        <v>3250</v>
      </c>
      <c r="Y1355" t="s">
        <v>3250</v>
      </c>
      <c r="Z1355" t="s">
        <v>3250</v>
      </c>
      <c r="AA1355" t="s">
        <v>3108</v>
      </c>
      <c r="AB1355" t="s">
        <v>3108</v>
      </c>
      <c r="AC1355" t="s">
        <v>3250</v>
      </c>
      <c r="AD1355" t="s">
        <v>3250</v>
      </c>
      <c r="AE1355" t="s">
        <v>3250</v>
      </c>
      <c r="AF1355" t="s">
        <v>3250</v>
      </c>
      <c r="AG1355" t="s">
        <v>3250</v>
      </c>
      <c r="AH1355" t="s">
        <v>3250</v>
      </c>
      <c r="AI1355" t="s">
        <v>3250</v>
      </c>
      <c r="AJ1355" t="s">
        <v>3250</v>
      </c>
      <c r="AL1355" t="s">
        <v>3250</v>
      </c>
      <c r="AM1355" t="s">
        <v>3250</v>
      </c>
      <c r="AN1355" t="s">
        <v>3250</v>
      </c>
      <c r="AO1355" t="s">
        <v>3250</v>
      </c>
      <c r="AS1355" t="s">
        <v>3250</v>
      </c>
      <c r="AT1355" t="s">
        <v>3250</v>
      </c>
      <c r="AU1355" t="s">
        <v>3250</v>
      </c>
      <c r="AV1355" t="s">
        <v>3250</v>
      </c>
      <c r="AW1355" t="s">
        <v>3250</v>
      </c>
      <c r="AX1355" t="s">
        <v>3250</v>
      </c>
      <c r="AY1355" t="s">
        <v>3250</v>
      </c>
      <c r="AZ1355" t="s">
        <v>3250</v>
      </c>
      <c r="BA1355" t="s">
        <v>3250</v>
      </c>
      <c r="BB1355" t="s">
        <v>3250</v>
      </c>
      <c r="BC1355" t="s">
        <v>3250</v>
      </c>
      <c r="BE1355" t="s">
        <v>3250</v>
      </c>
      <c r="BF1355" t="s">
        <v>3250</v>
      </c>
      <c r="BG1355" t="s">
        <v>3250</v>
      </c>
      <c r="BH1355" t="s">
        <v>3250</v>
      </c>
      <c r="BI1355" t="s">
        <v>3250</v>
      </c>
      <c r="BK1355" t="s">
        <v>3250</v>
      </c>
      <c r="BL1355" t="s">
        <v>3250</v>
      </c>
      <c r="BM1355" t="s">
        <v>3250</v>
      </c>
      <c r="BN1355" t="s">
        <v>3250</v>
      </c>
      <c r="BP1355">
        <v>1</v>
      </c>
      <c r="BQ1355">
        <v>11</v>
      </c>
      <c r="BR1355" t="s">
        <v>1574</v>
      </c>
      <c r="BS1355" t="s">
        <v>3252</v>
      </c>
      <c r="BV1355">
        <v>0</v>
      </c>
      <c r="BW1355">
        <v>0</v>
      </c>
      <c r="BX1355">
        <v>0</v>
      </c>
      <c r="BY1355">
        <v>0</v>
      </c>
      <c r="BZ1355">
        <v>0</v>
      </c>
      <c r="CA1355">
        <v>0</v>
      </c>
      <c r="CB1355">
        <v>0</v>
      </c>
      <c r="CC1355">
        <v>0</v>
      </c>
      <c r="CD1355">
        <v>0</v>
      </c>
      <c r="CE1355" t="s">
        <v>3108</v>
      </c>
      <c r="CF1355" t="s">
        <v>3108</v>
      </c>
      <c r="CG1355" t="s">
        <v>3108</v>
      </c>
      <c r="CH1355" t="s">
        <v>3108</v>
      </c>
    </row>
    <row r="1356" spans="1:86" x14ac:dyDescent="0.2">
      <c r="A1356" t="s">
        <v>5274</v>
      </c>
      <c r="B1356" t="s">
        <v>5274</v>
      </c>
      <c r="C1356">
        <v>51834</v>
      </c>
      <c r="D1356">
        <v>1355</v>
      </c>
      <c r="E1356" t="s">
        <v>5275</v>
      </c>
      <c r="F1356">
        <v>200</v>
      </c>
      <c r="G1356" t="s">
        <v>467</v>
      </c>
      <c r="H1356">
        <v>200</v>
      </c>
      <c r="I1356" t="s">
        <v>3840</v>
      </c>
      <c r="J1356" t="s">
        <v>3250</v>
      </c>
      <c r="K1356" t="s">
        <v>3250</v>
      </c>
      <c r="L1356">
        <v>1200</v>
      </c>
      <c r="M1356" t="s">
        <v>2368</v>
      </c>
      <c r="N1356">
        <v>1204</v>
      </c>
      <c r="O1356" t="s">
        <v>1574</v>
      </c>
      <c r="P1356" t="s">
        <v>3108</v>
      </c>
      <c r="Q1356" t="s">
        <v>3249</v>
      </c>
      <c r="R1356" t="s">
        <v>3249</v>
      </c>
      <c r="S1356" t="s">
        <v>472</v>
      </c>
      <c r="T1356" t="s">
        <v>2759</v>
      </c>
      <c r="U1356" t="s">
        <v>3250</v>
      </c>
      <c r="V1356" t="s">
        <v>3250</v>
      </c>
      <c r="W1356" t="s">
        <v>3250</v>
      </c>
      <c r="X1356" t="s">
        <v>3250</v>
      </c>
      <c r="Y1356" t="s">
        <v>3250</v>
      </c>
      <c r="Z1356" t="s">
        <v>3250</v>
      </c>
      <c r="AA1356" t="s">
        <v>3108</v>
      </c>
      <c r="AB1356" t="s">
        <v>3108</v>
      </c>
      <c r="AC1356" t="s">
        <v>3250</v>
      </c>
      <c r="AD1356" t="s">
        <v>3250</v>
      </c>
      <c r="AE1356" t="s">
        <v>3250</v>
      </c>
      <c r="AF1356" t="s">
        <v>3250</v>
      </c>
      <c r="AG1356" t="s">
        <v>3250</v>
      </c>
      <c r="AH1356" t="s">
        <v>3250</v>
      </c>
      <c r="AI1356" t="s">
        <v>3250</v>
      </c>
      <c r="AJ1356" t="s">
        <v>3250</v>
      </c>
      <c r="AL1356" t="s">
        <v>3250</v>
      </c>
      <c r="AM1356" t="s">
        <v>3250</v>
      </c>
      <c r="AN1356" t="s">
        <v>3250</v>
      </c>
      <c r="AO1356" t="s">
        <v>3250</v>
      </c>
      <c r="AS1356" t="s">
        <v>3250</v>
      </c>
      <c r="AT1356" t="s">
        <v>3250</v>
      </c>
      <c r="AU1356" t="s">
        <v>3250</v>
      </c>
      <c r="AV1356" t="s">
        <v>3250</v>
      </c>
      <c r="AW1356" t="s">
        <v>3250</v>
      </c>
      <c r="AX1356" t="s">
        <v>3250</v>
      </c>
      <c r="AY1356" t="s">
        <v>3250</v>
      </c>
      <c r="AZ1356" t="s">
        <v>3250</v>
      </c>
      <c r="BA1356" t="s">
        <v>3250</v>
      </c>
      <c r="BB1356" t="s">
        <v>3250</v>
      </c>
      <c r="BC1356" t="s">
        <v>3250</v>
      </c>
      <c r="BE1356" t="s">
        <v>3250</v>
      </c>
      <c r="BF1356" t="s">
        <v>3250</v>
      </c>
      <c r="BG1356" t="s">
        <v>3250</v>
      </c>
      <c r="BH1356" t="s">
        <v>3250</v>
      </c>
      <c r="BI1356" t="s">
        <v>3250</v>
      </c>
      <c r="BK1356" t="s">
        <v>3250</v>
      </c>
      <c r="BL1356" t="s">
        <v>3250</v>
      </c>
      <c r="BM1356" t="s">
        <v>3250</v>
      </c>
      <c r="BN1356" t="s">
        <v>3250</v>
      </c>
      <c r="BP1356">
        <v>1</v>
      </c>
      <c r="BQ1356">
        <v>11</v>
      </c>
      <c r="BR1356" t="s">
        <v>1574</v>
      </c>
      <c r="BS1356" t="s">
        <v>3252</v>
      </c>
      <c r="BV1356">
        <v>0</v>
      </c>
      <c r="BW1356">
        <v>0</v>
      </c>
      <c r="BX1356">
        <v>0</v>
      </c>
      <c r="BY1356">
        <v>0</v>
      </c>
      <c r="BZ1356">
        <v>0</v>
      </c>
      <c r="CA1356">
        <v>0</v>
      </c>
      <c r="CB1356">
        <v>0</v>
      </c>
      <c r="CC1356">
        <v>0</v>
      </c>
      <c r="CD1356">
        <v>0</v>
      </c>
      <c r="CE1356" t="s">
        <v>3108</v>
      </c>
      <c r="CF1356" t="s">
        <v>3108</v>
      </c>
      <c r="CG1356" t="s">
        <v>3108</v>
      </c>
      <c r="CH1356" t="s">
        <v>3108</v>
      </c>
    </row>
    <row r="1357" spans="1:86" x14ac:dyDescent="0.2">
      <c r="A1357" t="s">
        <v>5276</v>
      </c>
      <c r="B1357" t="s">
        <v>5276</v>
      </c>
      <c r="C1357">
        <v>51835</v>
      </c>
      <c r="D1357">
        <v>1356</v>
      </c>
      <c r="E1357" t="s">
        <v>5277</v>
      </c>
      <c r="F1357">
        <v>200</v>
      </c>
      <c r="G1357" t="s">
        <v>467</v>
      </c>
      <c r="H1357">
        <v>200</v>
      </c>
      <c r="I1357" t="s">
        <v>3840</v>
      </c>
      <c r="J1357" t="s">
        <v>3250</v>
      </c>
      <c r="K1357" t="s">
        <v>3250</v>
      </c>
      <c r="L1357">
        <v>1200</v>
      </c>
      <c r="M1357" t="s">
        <v>2368</v>
      </c>
      <c r="N1357">
        <v>1204</v>
      </c>
      <c r="O1357" t="s">
        <v>1574</v>
      </c>
      <c r="P1357" t="s">
        <v>3108</v>
      </c>
      <c r="Q1357" t="s">
        <v>3249</v>
      </c>
      <c r="R1357" t="s">
        <v>3249</v>
      </c>
      <c r="S1357" t="s">
        <v>472</v>
      </c>
      <c r="T1357" t="s">
        <v>2759</v>
      </c>
      <c r="U1357" t="s">
        <v>3250</v>
      </c>
      <c r="V1357" t="s">
        <v>3250</v>
      </c>
      <c r="W1357" t="s">
        <v>3250</v>
      </c>
      <c r="X1357" t="s">
        <v>3250</v>
      </c>
      <c r="Y1357" t="s">
        <v>3250</v>
      </c>
      <c r="Z1357" t="s">
        <v>3250</v>
      </c>
      <c r="AA1357" t="s">
        <v>3108</v>
      </c>
      <c r="AB1357" t="s">
        <v>3108</v>
      </c>
      <c r="AC1357" t="s">
        <v>3250</v>
      </c>
      <c r="AD1357" t="s">
        <v>3250</v>
      </c>
      <c r="AE1357" t="s">
        <v>3250</v>
      </c>
      <c r="AF1357" t="s">
        <v>3250</v>
      </c>
      <c r="AG1357" t="s">
        <v>3250</v>
      </c>
      <c r="AH1357" t="s">
        <v>3250</v>
      </c>
      <c r="AI1357" t="s">
        <v>3250</v>
      </c>
      <c r="AJ1357" t="s">
        <v>3250</v>
      </c>
      <c r="AL1357" t="s">
        <v>3250</v>
      </c>
      <c r="AM1357" t="s">
        <v>3250</v>
      </c>
      <c r="AN1357" t="s">
        <v>3250</v>
      </c>
      <c r="AO1357" t="s">
        <v>3250</v>
      </c>
      <c r="AS1357" t="s">
        <v>3250</v>
      </c>
      <c r="AT1357" t="s">
        <v>3250</v>
      </c>
      <c r="AU1357" t="s">
        <v>3250</v>
      </c>
      <c r="AV1357" t="s">
        <v>3250</v>
      </c>
      <c r="AW1357" t="s">
        <v>3250</v>
      </c>
      <c r="AX1357" t="s">
        <v>3250</v>
      </c>
      <c r="AY1357" t="s">
        <v>3250</v>
      </c>
      <c r="AZ1357" t="s">
        <v>3250</v>
      </c>
      <c r="BA1357" t="s">
        <v>3250</v>
      </c>
      <c r="BB1357" t="s">
        <v>3250</v>
      </c>
      <c r="BC1357" t="s">
        <v>3250</v>
      </c>
      <c r="BE1357" t="s">
        <v>3250</v>
      </c>
      <c r="BF1357" t="s">
        <v>3250</v>
      </c>
      <c r="BG1357" t="s">
        <v>3250</v>
      </c>
      <c r="BH1357" t="s">
        <v>3250</v>
      </c>
      <c r="BI1357" t="s">
        <v>3250</v>
      </c>
      <c r="BK1357" t="s">
        <v>3250</v>
      </c>
      <c r="BL1357" t="s">
        <v>3250</v>
      </c>
      <c r="BM1357" t="s">
        <v>3250</v>
      </c>
      <c r="BN1357" t="s">
        <v>3250</v>
      </c>
      <c r="BP1357">
        <v>1</v>
      </c>
      <c r="BQ1357">
        <v>11</v>
      </c>
      <c r="BR1357" t="s">
        <v>1574</v>
      </c>
      <c r="BS1357" t="s">
        <v>3252</v>
      </c>
      <c r="BV1357">
        <v>0</v>
      </c>
      <c r="BW1357">
        <v>0</v>
      </c>
      <c r="BX1357">
        <v>0</v>
      </c>
      <c r="BY1357">
        <v>0</v>
      </c>
      <c r="BZ1357">
        <v>0</v>
      </c>
      <c r="CA1357">
        <v>0</v>
      </c>
      <c r="CB1357">
        <v>0</v>
      </c>
      <c r="CC1357">
        <v>0</v>
      </c>
      <c r="CD1357">
        <v>0</v>
      </c>
      <c r="CE1357" t="s">
        <v>3108</v>
      </c>
      <c r="CF1357" t="s">
        <v>3108</v>
      </c>
      <c r="CG1357" t="s">
        <v>3108</v>
      </c>
      <c r="CH1357" t="s">
        <v>3108</v>
      </c>
    </row>
    <row r="1358" spans="1:86" x14ac:dyDescent="0.2">
      <c r="A1358" t="s">
        <v>5278</v>
      </c>
      <c r="B1358" t="s">
        <v>5278</v>
      </c>
      <c r="C1358">
        <v>51836</v>
      </c>
      <c r="D1358">
        <v>1357</v>
      </c>
      <c r="E1358" t="s">
        <v>5279</v>
      </c>
      <c r="F1358">
        <v>200</v>
      </c>
      <c r="G1358" t="s">
        <v>467</v>
      </c>
      <c r="H1358">
        <v>200</v>
      </c>
      <c r="I1358" t="s">
        <v>3840</v>
      </c>
      <c r="J1358" t="s">
        <v>3250</v>
      </c>
      <c r="K1358" t="s">
        <v>3250</v>
      </c>
      <c r="L1358">
        <v>1200</v>
      </c>
      <c r="M1358" t="s">
        <v>2368</v>
      </c>
      <c r="N1358">
        <v>1204</v>
      </c>
      <c r="O1358" t="s">
        <v>1574</v>
      </c>
      <c r="P1358" t="s">
        <v>3108</v>
      </c>
      <c r="Q1358" t="s">
        <v>3249</v>
      </c>
      <c r="R1358" t="s">
        <v>3249</v>
      </c>
      <c r="S1358" t="s">
        <v>472</v>
      </c>
      <c r="T1358" t="s">
        <v>2759</v>
      </c>
      <c r="U1358" t="s">
        <v>3250</v>
      </c>
      <c r="V1358" t="s">
        <v>3250</v>
      </c>
      <c r="W1358" t="s">
        <v>3250</v>
      </c>
      <c r="X1358" t="s">
        <v>3250</v>
      </c>
      <c r="Y1358" t="s">
        <v>3250</v>
      </c>
      <c r="Z1358" t="s">
        <v>3250</v>
      </c>
      <c r="AA1358" t="s">
        <v>3108</v>
      </c>
      <c r="AB1358" t="s">
        <v>3108</v>
      </c>
      <c r="AC1358" t="s">
        <v>3250</v>
      </c>
      <c r="AD1358" t="s">
        <v>3250</v>
      </c>
      <c r="AE1358" t="s">
        <v>3250</v>
      </c>
      <c r="AF1358" t="s">
        <v>3250</v>
      </c>
      <c r="AG1358" t="s">
        <v>3250</v>
      </c>
      <c r="AH1358" t="s">
        <v>3250</v>
      </c>
      <c r="AI1358" t="s">
        <v>3250</v>
      </c>
      <c r="AJ1358" t="s">
        <v>3250</v>
      </c>
      <c r="AL1358" t="s">
        <v>3250</v>
      </c>
      <c r="AM1358" t="s">
        <v>3250</v>
      </c>
      <c r="AN1358" t="s">
        <v>3250</v>
      </c>
      <c r="AO1358" t="s">
        <v>3250</v>
      </c>
      <c r="AS1358" t="s">
        <v>3250</v>
      </c>
      <c r="AT1358" t="s">
        <v>3250</v>
      </c>
      <c r="AU1358" t="s">
        <v>3250</v>
      </c>
      <c r="AV1358" t="s">
        <v>3250</v>
      </c>
      <c r="AW1358" t="s">
        <v>3250</v>
      </c>
      <c r="AX1358" t="s">
        <v>3250</v>
      </c>
      <c r="AY1358" t="s">
        <v>3250</v>
      </c>
      <c r="AZ1358" t="s">
        <v>3250</v>
      </c>
      <c r="BA1358" t="s">
        <v>3250</v>
      </c>
      <c r="BB1358" t="s">
        <v>3250</v>
      </c>
      <c r="BC1358" t="s">
        <v>3250</v>
      </c>
      <c r="BE1358" t="s">
        <v>3250</v>
      </c>
      <c r="BF1358" t="s">
        <v>3250</v>
      </c>
      <c r="BG1358" t="s">
        <v>3250</v>
      </c>
      <c r="BH1358" t="s">
        <v>3250</v>
      </c>
      <c r="BI1358" t="s">
        <v>3250</v>
      </c>
      <c r="BK1358" t="s">
        <v>3250</v>
      </c>
      <c r="BL1358" t="s">
        <v>3250</v>
      </c>
      <c r="BM1358" t="s">
        <v>3250</v>
      </c>
      <c r="BN1358" t="s">
        <v>3250</v>
      </c>
      <c r="BP1358">
        <v>1</v>
      </c>
      <c r="BQ1358">
        <v>11</v>
      </c>
      <c r="BR1358" t="s">
        <v>1574</v>
      </c>
      <c r="BS1358" t="s">
        <v>3252</v>
      </c>
      <c r="BV1358">
        <v>0</v>
      </c>
      <c r="BW1358">
        <v>0</v>
      </c>
      <c r="BX1358">
        <v>0</v>
      </c>
      <c r="BY1358">
        <v>0</v>
      </c>
      <c r="BZ1358">
        <v>0</v>
      </c>
      <c r="CA1358">
        <v>0</v>
      </c>
      <c r="CB1358">
        <v>0</v>
      </c>
      <c r="CC1358">
        <v>0</v>
      </c>
      <c r="CD1358">
        <v>0</v>
      </c>
      <c r="CE1358" t="s">
        <v>3108</v>
      </c>
      <c r="CF1358" t="s">
        <v>3108</v>
      </c>
      <c r="CG1358" t="s">
        <v>3108</v>
      </c>
      <c r="CH1358" t="s">
        <v>3108</v>
      </c>
    </row>
    <row r="1359" spans="1:86" x14ac:dyDescent="0.2">
      <c r="A1359" t="s">
        <v>5280</v>
      </c>
      <c r="B1359" t="s">
        <v>5280</v>
      </c>
      <c r="C1359">
        <v>51837</v>
      </c>
      <c r="D1359">
        <v>1358</v>
      </c>
      <c r="E1359" t="s">
        <v>5281</v>
      </c>
      <c r="F1359">
        <v>200</v>
      </c>
      <c r="G1359" t="s">
        <v>467</v>
      </c>
      <c r="H1359">
        <v>200</v>
      </c>
      <c r="I1359" t="s">
        <v>3840</v>
      </c>
      <c r="J1359" t="s">
        <v>3250</v>
      </c>
      <c r="K1359" t="s">
        <v>3250</v>
      </c>
      <c r="L1359">
        <v>1200</v>
      </c>
      <c r="M1359" t="s">
        <v>2368</v>
      </c>
      <c r="N1359">
        <v>1204</v>
      </c>
      <c r="O1359" t="s">
        <v>1574</v>
      </c>
      <c r="P1359" t="s">
        <v>3108</v>
      </c>
      <c r="Q1359" t="s">
        <v>3249</v>
      </c>
      <c r="R1359" t="s">
        <v>3249</v>
      </c>
      <c r="S1359" t="s">
        <v>472</v>
      </c>
      <c r="T1359" t="s">
        <v>2759</v>
      </c>
      <c r="U1359" t="s">
        <v>3250</v>
      </c>
      <c r="V1359" t="s">
        <v>3250</v>
      </c>
      <c r="W1359" t="s">
        <v>3250</v>
      </c>
      <c r="X1359" t="s">
        <v>3250</v>
      </c>
      <c r="Y1359" t="s">
        <v>3250</v>
      </c>
      <c r="Z1359" t="s">
        <v>3250</v>
      </c>
      <c r="AA1359" t="s">
        <v>3108</v>
      </c>
      <c r="AB1359" t="s">
        <v>3108</v>
      </c>
      <c r="AC1359" t="s">
        <v>3250</v>
      </c>
      <c r="AD1359" t="s">
        <v>3250</v>
      </c>
      <c r="AE1359" t="s">
        <v>3250</v>
      </c>
      <c r="AF1359" t="s">
        <v>3250</v>
      </c>
      <c r="AG1359" t="s">
        <v>3250</v>
      </c>
      <c r="AH1359" t="s">
        <v>3250</v>
      </c>
      <c r="AI1359" t="s">
        <v>3250</v>
      </c>
      <c r="AJ1359" t="s">
        <v>3250</v>
      </c>
      <c r="AL1359" t="s">
        <v>3250</v>
      </c>
      <c r="AM1359" t="s">
        <v>3250</v>
      </c>
      <c r="AN1359" t="s">
        <v>3250</v>
      </c>
      <c r="AO1359" t="s">
        <v>3250</v>
      </c>
      <c r="AS1359" t="s">
        <v>3250</v>
      </c>
      <c r="AT1359" t="s">
        <v>3250</v>
      </c>
      <c r="AU1359" t="s">
        <v>3250</v>
      </c>
      <c r="AV1359" t="s">
        <v>3250</v>
      </c>
      <c r="AW1359" t="s">
        <v>3250</v>
      </c>
      <c r="AX1359" t="s">
        <v>3250</v>
      </c>
      <c r="AY1359" t="s">
        <v>3250</v>
      </c>
      <c r="AZ1359" t="s">
        <v>3250</v>
      </c>
      <c r="BA1359" t="s">
        <v>3250</v>
      </c>
      <c r="BB1359" t="s">
        <v>3250</v>
      </c>
      <c r="BC1359" t="s">
        <v>3250</v>
      </c>
      <c r="BE1359" t="s">
        <v>3250</v>
      </c>
      <c r="BF1359" t="s">
        <v>3250</v>
      </c>
      <c r="BG1359" t="s">
        <v>3250</v>
      </c>
      <c r="BH1359" t="s">
        <v>3250</v>
      </c>
      <c r="BI1359" t="s">
        <v>3250</v>
      </c>
      <c r="BK1359" t="s">
        <v>3250</v>
      </c>
      <c r="BL1359" t="s">
        <v>3250</v>
      </c>
      <c r="BM1359" t="s">
        <v>3250</v>
      </c>
      <c r="BN1359" t="s">
        <v>3250</v>
      </c>
      <c r="BP1359">
        <v>1</v>
      </c>
      <c r="BQ1359">
        <v>11</v>
      </c>
      <c r="BR1359" t="s">
        <v>1574</v>
      </c>
      <c r="BS1359" t="s">
        <v>3252</v>
      </c>
      <c r="BV1359">
        <v>0</v>
      </c>
      <c r="BW1359">
        <v>0</v>
      </c>
      <c r="BX1359">
        <v>0</v>
      </c>
      <c r="BY1359">
        <v>0</v>
      </c>
      <c r="BZ1359">
        <v>0</v>
      </c>
      <c r="CA1359">
        <v>0</v>
      </c>
      <c r="CB1359">
        <v>0</v>
      </c>
      <c r="CC1359">
        <v>0</v>
      </c>
      <c r="CD1359">
        <v>0</v>
      </c>
      <c r="CE1359" t="s">
        <v>3108</v>
      </c>
      <c r="CF1359" t="s">
        <v>3108</v>
      </c>
      <c r="CG1359" t="s">
        <v>3108</v>
      </c>
      <c r="CH1359" t="s">
        <v>3108</v>
      </c>
    </row>
    <row r="1360" spans="1:86" x14ac:dyDescent="0.2">
      <c r="A1360" t="s">
        <v>5282</v>
      </c>
      <c r="B1360" t="s">
        <v>5282</v>
      </c>
      <c r="C1360">
        <v>51838</v>
      </c>
      <c r="D1360">
        <v>1359</v>
      </c>
      <c r="E1360" t="s">
        <v>5283</v>
      </c>
      <c r="F1360">
        <v>200</v>
      </c>
      <c r="G1360" t="s">
        <v>467</v>
      </c>
      <c r="H1360">
        <v>200</v>
      </c>
      <c r="I1360" t="s">
        <v>3840</v>
      </c>
      <c r="J1360" t="s">
        <v>3250</v>
      </c>
      <c r="K1360" t="s">
        <v>3250</v>
      </c>
      <c r="L1360">
        <v>1200</v>
      </c>
      <c r="M1360" t="s">
        <v>2368</v>
      </c>
      <c r="N1360">
        <v>1204</v>
      </c>
      <c r="O1360" t="s">
        <v>1574</v>
      </c>
      <c r="P1360" t="s">
        <v>3108</v>
      </c>
      <c r="Q1360" t="s">
        <v>3249</v>
      </c>
      <c r="R1360" t="s">
        <v>3249</v>
      </c>
      <c r="S1360" t="s">
        <v>472</v>
      </c>
      <c r="T1360" t="s">
        <v>2759</v>
      </c>
      <c r="U1360" t="s">
        <v>3250</v>
      </c>
      <c r="V1360" t="s">
        <v>3250</v>
      </c>
      <c r="W1360" t="s">
        <v>3250</v>
      </c>
      <c r="X1360" t="s">
        <v>3250</v>
      </c>
      <c r="Y1360" t="s">
        <v>3250</v>
      </c>
      <c r="Z1360" t="s">
        <v>3250</v>
      </c>
      <c r="AA1360" t="s">
        <v>3108</v>
      </c>
      <c r="AB1360" t="s">
        <v>3108</v>
      </c>
      <c r="AC1360" t="s">
        <v>3250</v>
      </c>
      <c r="AD1360" t="s">
        <v>3250</v>
      </c>
      <c r="AE1360" t="s">
        <v>3250</v>
      </c>
      <c r="AF1360" t="s">
        <v>3250</v>
      </c>
      <c r="AG1360" t="s">
        <v>3250</v>
      </c>
      <c r="AH1360" t="s">
        <v>3250</v>
      </c>
      <c r="AI1360" t="s">
        <v>3250</v>
      </c>
      <c r="AJ1360" t="s">
        <v>3250</v>
      </c>
      <c r="AL1360" t="s">
        <v>3250</v>
      </c>
      <c r="AM1360" t="s">
        <v>3250</v>
      </c>
      <c r="AN1360" t="s">
        <v>3250</v>
      </c>
      <c r="AO1360" t="s">
        <v>3250</v>
      </c>
      <c r="AS1360" t="s">
        <v>3250</v>
      </c>
      <c r="AT1360" t="s">
        <v>3250</v>
      </c>
      <c r="AU1360" t="s">
        <v>3250</v>
      </c>
      <c r="AV1360" t="s">
        <v>3250</v>
      </c>
      <c r="AW1360" t="s">
        <v>3250</v>
      </c>
      <c r="AX1360" t="s">
        <v>3250</v>
      </c>
      <c r="AY1360" t="s">
        <v>3250</v>
      </c>
      <c r="AZ1360" t="s">
        <v>3250</v>
      </c>
      <c r="BA1360" t="s">
        <v>3250</v>
      </c>
      <c r="BB1360" t="s">
        <v>3250</v>
      </c>
      <c r="BC1360" t="s">
        <v>3250</v>
      </c>
      <c r="BE1360" t="s">
        <v>3250</v>
      </c>
      <c r="BF1360" t="s">
        <v>3250</v>
      </c>
      <c r="BG1360" t="s">
        <v>3250</v>
      </c>
      <c r="BH1360" t="s">
        <v>3250</v>
      </c>
      <c r="BI1360" t="s">
        <v>3250</v>
      </c>
      <c r="BK1360" t="s">
        <v>3250</v>
      </c>
      <c r="BL1360" t="s">
        <v>3250</v>
      </c>
      <c r="BM1360" t="s">
        <v>3250</v>
      </c>
      <c r="BN1360" t="s">
        <v>3250</v>
      </c>
      <c r="BP1360">
        <v>1</v>
      </c>
      <c r="BQ1360">
        <v>11</v>
      </c>
      <c r="BR1360" t="s">
        <v>1574</v>
      </c>
      <c r="BS1360" t="s">
        <v>3252</v>
      </c>
      <c r="BV1360">
        <v>0</v>
      </c>
      <c r="BW1360">
        <v>0</v>
      </c>
      <c r="BX1360">
        <v>0</v>
      </c>
      <c r="BY1360">
        <v>0</v>
      </c>
      <c r="BZ1360">
        <v>0</v>
      </c>
      <c r="CA1360">
        <v>0</v>
      </c>
      <c r="CB1360">
        <v>0</v>
      </c>
      <c r="CC1360">
        <v>0</v>
      </c>
      <c r="CD1360">
        <v>0</v>
      </c>
      <c r="CE1360" t="s">
        <v>3108</v>
      </c>
      <c r="CF1360" t="s">
        <v>3108</v>
      </c>
      <c r="CG1360" t="s">
        <v>3108</v>
      </c>
      <c r="CH1360" t="s">
        <v>3108</v>
      </c>
    </row>
    <row r="1361" spans="1:86" x14ac:dyDescent="0.2">
      <c r="A1361" t="s">
        <v>5284</v>
      </c>
      <c r="B1361" t="s">
        <v>5284</v>
      </c>
      <c r="C1361">
        <v>51839</v>
      </c>
      <c r="D1361">
        <v>1464</v>
      </c>
      <c r="E1361" t="s">
        <v>5285</v>
      </c>
      <c r="F1361">
        <v>2900</v>
      </c>
      <c r="G1361" t="s">
        <v>822</v>
      </c>
      <c r="H1361" t="s">
        <v>3108</v>
      </c>
      <c r="I1361" t="s">
        <v>3108</v>
      </c>
      <c r="J1361">
        <v>2904</v>
      </c>
      <c r="K1361" t="s">
        <v>1690</v>
      </c>
      <c r="L1361">
        <v>3100</v>
      </c>
      <c r="M1361" t="s">
        <v>127</v>
      </c>
      <c r="N1361">
        <v>3107</v>
      </c>
      <c r="O1361" t="s">
        <v>2418</v>
      </c>
      <c r="P1361" t="s">
        <v>3108</v>
      </c>
      <c r="Q1361" t="s">
        <v>3249</v>
      </c>
      <c r="R1361" t="s">
        <v>3249</v>
      </c>
      <c r="S1361" t="s">
        <v>810</v>
      </c>
      <c r="T1361" t="s">
        <v>2754</v>
      </c>
      <c r="U1361" t="s">
        <v>3250</v>
      </c>
      <c r="V1361" t="s">
        <v>3250</v>
      </c>
      <c r="W1361" t="s">
        <v>3250</v>
      </c>
      <c r="X1361" t="s">
        <v>3250</v>
      </c>
      <c r="Y1361" t="s">
        <v>3250</v>
      </c>
      <c r="Z1361" t="s">
        <v>3250</v>
      </c>
      <c r="AA1361" t="s">
        <v>3108</v>
      </c>
      <c r="AB1361" t="s">
        <v>3108</v>
      </c>
      <c r="AC1361" t="s">
        <v>3250</v>
      </c>
      <c r="AD1361" t="s">
        <v>3250</v>
      </c>
      <c r="AE1361" t="s">
        <v>3250</v>
      </c>
      <c r="AF1361" t="s">
        <v>3250</v>
      </c>
      <c r="AG1361" t="s">
        <v>3250</v>
      </c>
      <c r="AH1361" t="s">
        <v>3250</v>
      </c>
      <c r="AI1361" t="s">
        <v>3250</v>
      </c>
      <c r="AJ1361" t="s">
        <v>3250</v>
      </c>
      <c r="AL1361" t="s">
        <v>3250</v>
      </c>
      <c r="AM1361" t="s">
        <v>3250</v>
      </c>
      <c r="AN1361" t="s">
        <v>3250</v>
      </c>
      <c r="AO1361" t="s">
        <v>3250</v>
      </c>
      <c r="AS1361" t="s">
        <v>3250</v>
      </c>
      <c r="AT1361" t="s">
        <v>3250</v>
      </c>
      <c r="AU1361" t="s">
        <v>3250</v>
      </c>
      <c r="AV1361" t="s">
        <v>3250</v>
      </c>
      <c r="AW1361" t="s">
        <v>3250</v>
      </c>
      <c r="AX1361" t="s">
        <v>3250</v>
      </c>
      <c r="AY1361" t="s">
        <v>3250</v>
      </c>
      <c r="AZ1361" t="s">
        <v>3250</v>
      </c>
      <c r="BA1361" t="s">
        <v>3250</v>
      </c>
      <c r="BB1361" t="s">
        <v>3250</v>
      </c>
      <c r="BC1361" t="s">
        <v>3250</v>
      </c>
      <c r="BE1361" t="s">
        <v>3250</v>
      </c>
      <c r="BF1361" t="s">
        <v>3250</v>
      </c>
      <c r="BG1361" t="s">
        <v>3250</v>
      </c>
      <c r="BH1361" t="s">
        <v>3250</v>
      </c>
      <c r="BI1361" t="s">
        <v>3250</v>
      </c>
      <c r="BK1361" t="s">
        <v>3250</v>
      </c>
      <c r="BL1361" t="s">
        <v>3250</v>
      </c>
      <c r="BM1361" t="s">
        <v>3250</v>
      </c>
      <c r="BN1361" t="s">
        <v>3250</v>
      </c>
      <c r="BP1361">
        <v>8</v>
      </c>
      <c r="BQ1361">
        <v>81</v>
      </c>
      <c r="BR1361" t="s">
        <v>2418</v>
      </c>
      <c r="BS1361" t="s">
        <v>4013</v>
      </c>
      <c r="BV1361">
        <v>0</v>
      </c>
      <c r="BW1361">
        <v>5583</v>
      </c>
      <c r="BX1361">
        <v>217768</v>
      </c>
      <c r="BY1361">
        <v>0</v>
      </c>
      <c r="BZ1361">
        <v>0</v>
      </c>
      <c r="CA1361">
        <v>0</v>
      </c>
      <c r="CB1361">
        <v>0</v>
      </c>
      <c r="CC1361">
        <v>0</v>
      </c>
      <c r="CD1361">
        <v>0</v>
      </c>
      <c r="CE1361" t="s">
        <v>3108</v>
      </c>
      <c r="CF1361" t="s">
        <v>3108</v>
      </c>
      <c r="CG1361" t="s">
        <v>3108</v>
      </c>
      <c r="CH1361" t="s">
        <v>3108</v>
      </c>
    </row>
    <row r="1362" spans="1:86" x14ac:dyDescent="0.2">
      <c r="A1362" t="s">
        <v>5286</v>
      </c>
      <c r="B1362" t="s">
        <v>5286</v>
      </c>
      <c r="C1362">
        <v>51840</v>
      </c>
      <c r="D1362">
        <v>1470</v>
      </c>
      <c r="E1362" t="s">
        <v>5287</v>
      </c>
      <c r="F1362" t="s">
        <v>3249</v>
      </c>
      <c r="G1362" t="s">
        <v>3249</v>
      </c>
      <c r="H1362" t="s">
        <v>3250</v>
      </c>
      <c r="I1362" t="s">
        <v>3250</v>
      </c>
      <c r="J1362" t="s">
        <v>3250</v>
      </c>
      <c r="K1362" t="s">
        <v>3250</v>
      </c>
      <c r="L1362">
        <v>1200</v>
      </c>
      <c r="M1362" t="s">
        <v>2368</v>
      </c>
      <c r="N1362">
        <v>1204</v>
      </c>
      <c r="O1362" t="s">
        <v>1574</v>
      </c>
      <c r="P1362" t="s">
        <v>3108</v>
      </c>
      <c r="Q1362" t="s">
        <v>3249</v>
      </c>
      <c r="R1362" t="s">
        <v>3249</v>
      </c>
      <c r="S1362" t="s">
        <v>472</v>
      </c>
      <c r="T1362" t="s">
        <v>3251</v>
      </c>
      <c r="U1362">
        <v>140</v>
      </c>
      <c r="V1362" t="s">
        <v>1327</v>
      </c>
      <c r="W1362">
        <v>140</v>
      </c>
      <c r="X1362" t="s">
        <v>1327</v>
      </c>
      <c r="Y1362" t="s">
        <v>3250</v>
      </c>
      <c r="Z1362" t="s">
        <v>3250</v>
      </c>
      <c r="AA1362" t="s">
        <v>3108</v>
      </c>
      <c r="AB1362" t="s">
        <v>3108</v>
      </c>
      <c r="AC1362" t="s">
        <v>3250</v>
      </c>
      <c r="AD1362" t="s">
        <v>3250</v>
      </c>
      <c r="AE1362" t="s">
        <v>3250</v>
      </c>
      <c r="AF1362" t="s">
        <v>3250</v>
      </c>
      <c r="AG1362" t="s">
        <v>3250</v>
      </c>
      <c r="AH1362" t="s">
        <v>3250</v>
      </c>
      <c r="AI1362" t="s">
        <v>3250</v>
      </c>
      <c r="AJ1362" t="s">
        <v>3250</v>
      </c>
      <c r="AL1362">
        <v>141</v>
      </c>
      <c r="AM1362" t="s">
        <v>1327</v>
      </c>
      <c r="AN1362">
        <v>141</v>
      </c>
      <c r="AO1362" t="s">
        <v>1327</v>
      </c>
      <c r="AS1362" t="s">
        <v>3250</v>
      </c>
      <c r="AT1362" t="s">
        <v>3250</v>
      </c>
      <c r="AU1362" t="s">
        <v>3250</v>
      </c>
      <c r="AV1362" t="s">
        <v>3250</v>
      </c>
      <c r="AW1362" t="s">
        <v>3250</v>
      </c>
      <c r="AX1362" t="s">
        <v>3250</v>
      </c>
      <c r="AY1362" t="s">
        <v>3250</v>
      </c>
      <c r="AZ1362" t="s">
        <v>3250</v>
      </c>
      <c r="BA1362" t="s">
        <v>3250</v>
      </c>
      <c r="BB1362" t="s">
        <v>3250</v>
      </c>
      <c r="BC1362" t="s">
        <v>3250</v>
      </c>
      <c r="BE1362" t="s">
        <v>3250</v>
      </c>
      <c r="BF1362" t="s">
        <v>3250</v>
      </c>
      <c r="BG1362" t="s">
        <v>3250</v>
      </c>
      <c r="BH1362" t="s">
        <v>3250</v>
      </c>
      <c r="BI1362" t="s">
        <v>3250</v>
      </c>
      <c r="BK1362" t="s">
        <v>3250</v>
      </c>
      <c r="BL1362" t="s">
        <v>3250</v>
      </c>
      <c r="BM1362" t="s">
        <v>3250</v>
      </c>
      <c r="BN1362" t="s">
        <v>3250</v>
      </c>
      <c r="BP1362">
        <v>1</v>
      </c>
      <c r="BQ1362">
        <v>11</v>
      </c>
      <c r="BR1362" t="s">
        <v>1574</v>
      </c>
      <c r="BS1362" t="s">
        <v>3252</v>
      </c>
      <c r="BV1362">
        <v>1268</v>
      </c>
      <c r="BW1362">
        <v>1268</v>
      </c>
      <c r="BX1362">
        <v>756</v>
      </c>
      <c r="BY1362">
        <v>0</v>
      </c>
      <c r="BZ1362">
        <v>0</v>
      </c>
      <c r="CA1362">
        <v>0</v>
      </c>
      <c r="CB1362">
        <v>0</v>
      </c>
      <c r="CC1362">
        <v>0</v>
      </c>
      <c r="CD1362">
        <v>1268</v>
      </c>
      <c r="CE1362" t="s">
        <v>3108</v>
      </c>
      <c r="CF1362" t="s">
        <v>3108</v>
      </c>
      <c r="CG1362" t="s">
        <v>3108</v>
      </c>
      <c r="CH1362" t="s">
        <v>3108</v>
      </c>
    </row>
    <row r="1363" spans="1:86" x14ac:dyDescent="0.2">
      <c r="A1363" t="s">
        <v>5288</v>
      </c>
      <c r="B1363" t="s">
        <v>5288</v>
      </c>
      <c r="C1363">
        <v>51841</v>
      </c>
      <c r="D1363">
        <v>1471</v>
      </c>
      <c r="E1363" t="s">
        <v>5216</v>
      </c>
      <c r="F1363" t="s">
        <v>3249</v>
      </c>
      <c r="G1363" t="s">
        <v>3249</v>
      </c>
      <c r="H1363" t="s">
        <v>3250</v>
      </c>
      <c r="I1363" t="s">
        <v>3250</v>
      </c>
      <c r="J1363" t="s">
        <v>3250</v>
      </c>
      <c r="K1363" t="s">
        <v>3250</v>
      </c>
      <c r="L1363">
        <v>2100</v>
      </c>
      <c r="M1363" t="s">
        <v>123</v>
      </c>
      <c r="N1363">
        <v>2114</v>
      </c>
      <c r="O1363" t="s">
        <v>1444</v>
      </c>
      <c r="P1363" t="s">
        <v>3108</v>
      </c>
      <c r="Q1363" t="s">
        <v>3249</v>
      </c>
      <c r="R1363" t="s">
        <v>3249</v>
      </c>
      <c r="S1363" t="s">
        <v>472</v>
      </c>
      <c r="T1363" t="s">
        <v>3789</v>
      </c>
      <c r="U1363">
        <v>360</v>
      </c>
      <c r="V1363" t="s">
        <v>3790</v>
      </c>
      <c r="W1363">
        <v>360</v>
      </c>
      <c r="X1363" t="s">
        <v>601</v>
      </c>
      <c r="Y1363" t="s">
        <v>3250</v>
      </c>
      <c r="Z1363" t="s">
        <v>3250</v>
      </c>
      <c r="AA1363" t="s">
        <v>3108</v>
      </c>
      <c r="AB1363" t="s">
        <v>3108</v>
      </c>
      <c r="AC1363" t="s">
        <v>3250</v>
      </c>
      <c r="AD1363" t="s">
        <v>3250</v>
      </c>
      <c r="AE1363" t="s">
        <v>3250</v>
      </c>
      <c r="AF1363" t="s">
        <v>3250</v>
      </c>
      <c r="AG1363" t="s">
        <v>3250</v>
      </c>
      <c r="AH1363" t="s">
        <v>3250</v>
      </c>
      <c r="AI1363" t="s">
        <v>3250</v>
      </c>
      <c r="AJ1363" t="s">
        <v>3250</v>
      </c>
      <c r="AL1363">
        <v>363</v>
      </c>
      <c r="AM1363" t="s">
        <v>925</v>
      </c>
      <c r="AN1363">
        <v>363</v>
      </c>
      <c r="AO1363" t="s">
        <v>925</v>
      </c>
      <c r="AS1363" t="s">
        <v>3250</v>
      </c>
      <c r="AT1363" t="s">
        <v>3250</v>
      </c>
      <c r="AU1363" t="s">
        <v>3250</v>
      </c>
      <c r="AV1363" t="s">
        <v>3250</v>
      </c>
      <c r="AW1363" t="s">
        <v>3250</v>
      </c>
      <c r="AX1363" t="s">
        <v>3250</v>
      </c>
      <c r="AY1363" t="s">
        <v>3250</v>
      </c>
      <c r="AZ1363" t="s">
        <v>3250</v>
      </c>
      <c r="BA1363" t="s">
        <v>3250</v>
      </c>
      <c r="BB1363" t="s">
        <v>3250</v>
      </c>
      <c r="BC1363" t="s">
        <v>3250</v>
      </c>
      <c r="BE1363" t="s">
        <v>3250</v>
      </c>
      <c r="BF1363" t="s">
        <v>3250</v>
      </c>
      <c r="BG1363" t="s">
        <v>3250</v>
      </c>
      <c r="BH1363" t="s">
        <v>3250</v>
      </c>
      <c r="BI1363" t="s">
        <v>3250</v>
      </c>
      <c r="BK1363" t="s">
        <v>3250</v>
      </c>
      <c r="BL1363" t="s">
        <v>3250</v>
      </c>
      <c r="BM1363" t="s">
        <v>3250</v>
      </c>
      <c r="BN1363" t="s">
        <v>3250</v>
      </c>
      <c r="BP1363">
        <v>4</v>
      </c>
      <c r="BQ1363">
        <v>42</v>
      </c>
      <c r="BR1363" t="s">
        <v>1444</v>
      </c>
      <c r="BS1363" t="s">
        <v>4024</v>
      </c>
      <c r="BV1363">
        <v>444068</v>
      </c>
      <c r="BW1363">
        <v>444068</v>
      </c>
      <c r="BX1363">
        <v>444068</v>
      </c>
      <c r="BY1363">
        <v>0</v>
      </c>
      <c r="BZ1363">
        <v>-1817000</v>
      </c>
      <c r="CA1363">
        <v>-935000</v>
      </c>
      <c r="CB1363">
        <v>-935000</v>
      </c>
      <c r="CC1363">
        <v>-935000</v>
      </c>
      <c r="CD1363">
        <v>444068</v>
      </c>
      <c r="CE1363" t="s">
        <v>3108</v>
      </c>
      <c r="CF1363" t="s">
        <v>3108</v>
      </c>
      <c r="CG1363" t="s">
        <v>3108</v>
      </c>
      <c r="CH1363" t="s">
        <v>3108</v>
      </c>
    </row>
    <row r="1364" spans="1:86" x14ac:dyDescent="0.2">
      <c r="A1364" t="s">
        <v>5289</v>
      </c>
      <c r="B1364" t="s">
        <v>5289</v>
      </c>
      <c r="C1364">
        <v>51842</v>
      </c>
      <c r="D1364">
        <v>1472</v>
      </c>
      <c r="E1364" t="s">
        <v>5290</v>
      </c>
      <c r="F1364" t="s">
        <v>3249</v>
      </c>
      <c r="G1364" t="s">
        <v>3249</v>
      </c>
      <c r="H1364" t="s">
        <v>3250</v>
      </c>
      <c r="I1364" t="s">
        <v>3250</v>
      </c>
      <c r="J1364" t="s">
        <v>3250</v>
      </c>
      <c r="K1364" t="s">
        <v>3250</v>
      </c>
      <c r="L1364">
        <v>1200</v>
      </c>
      <c r="M1364" t="s">
        <v>2368</v>
      </c>
      <c r="N1364">
        <v>1204</v>
      </c>
      <c r="O1364" t="s">
        <v>1574</v>
      </c>
      <c r="P1364" t="s">
        <v>3108</v>
      </c>
      <c r="Q1364" t="s">
        <v>3249</v>
      </c>
      <c r="R1364" t="s">
        <v>3249</v>
      </c>
      <c r="S1364" t="s">
        <v>472</v>
      </c>
      <c r="T1364" t="s">
        <v>3789</v>
      </c>
      <c r="U1364">
        <v>360</v>
      </c>
      <c r="V1364" t="s">
        <v>3790</v>
      </c>
      <c r="W1364">
        <v>360</v>
      </c>
      <c r="X1364" t="s">
        <v>601</v>
      </c>
      <c r="Y1364" t="s">
        <v>3250</v>
      </c>
      <c r="Z1364" t="s">
        <v>3250</v>
      </c>
      <c r="AA1364" t="s">
        <v>3108</v>
      </c>
      <c r="AB1364" t="s">
        <v>3108</v>
      </c>
      <c r="AC1364">
        <v>200</v>
      </c>
      <c r="AD1364" t="s">
        <v>5291</v>
      </c>
      <c r="AE1364">
        <v>480</v>
      </c>
      <c r="AF1364" t="s">
        <v>822</v>
      </c>
      <c r="AG1364" t="s">
        <v>3250</v>
      </c>
      <c r="AH1364" t="s">
        <v>3250</v>
      </c>
      <c r="AI1364" t="s">
        <v>3250</v>
      </c>
      <c r="AJ1364" t="s">
        <v>3250</v>
      </c>
      <c r="AL1364">
        <v>363</v>
      </c>
      <c r="AM1364" t="s">
        <v>925</v>
      </c>
      <c r="AN1364">
        <v>363</v>
      </c>
      <c r="AO1364" t="s">
        <v>925</v>
      </c>
      <c r="AS1364" t="s">
        <v>3250</v>
      </c>
      <c r="AT1364" t="s">
        <v>3250</v>
      </c>
      <c r="AU1364" t="s">
        <v>3250</v>
      </c>
      <c r="AV1364" t="s">
        <v>3250</v>
      </c>
      <c r="AW1364" t="s">
        <v>3250</v>
      </c>
      <c r="AX1364" t="s">
        <v>3250</v>
      </c>
      <c r="AY1364" t="s">
        <v>3250</v>
      </c>
      <c r="AZ1364" t="s">
        <v>3250</v>
      </c>
      <c r="BA1364" t="s">
        <v>3250</v>
      </c>
      <c r="BB1364" t="s">
        <v>3250</v>
      </c>
      <c r="BC1364" t="s">
        <v>3250</v>
      </c>
      <c r="BE1364" t="s">
        <v>3250</v>
      </c>
      <c r="BF1364" t="s">
        <v>3250</v>
      </c>
      <c r="BG1364" t="s">
        <v>3250</v>
      </c>
      <c r="BH1364" t="s">
        <v>3250</v>
      </c>
      <c r="BI1364" t="s">
        <v>3250</v>
      </c>
      <c r="BK1364" t="s">
        <v>3250</v>
      </c>
      <c r="BL1364" t="s">
        <v>3250</v>
      </c>
      <c r="BM1364" t="s">
        <v>3250</v>
      </c>
      <c r="BN1364" t="s">
        <v>3250</v>
      </c>
      <c r="BP1364">
        <v>1</v>
      </c>
      <c r="BQ1364">
        <v>11</v>
      </c>
      <c r="BR1364" t="s">
        <v>1574</v>
      </c>
      <c r="BS1364" t="s">
        <v>3252</v>
      </c>
      <c r="BV1364">
        <v>0</v>
      </c>
      <c r="BW1364">
        <v>0</v>
      </c>
      <c r="BX1364">
        <v>0</v>
      </c>
      <c r="BY1364">
        <v>0</v>
      </c>
      <c r="BZ1364">
        <v>0</v>
      </c>
      <c r="CA1364">
        <v>0</v>
      </c>
      <c r="CB1364">
        <v>0</v>
      </c>
      <c r="CC1364">
        <v>0</v>
      </c>
      <c r="CD1364">
        <v>0</v>
      </c>
      <c r="CE1364" t="s">
        <v>3108</v>
      </c>
      <c r="CF1364" t="s">
        <v>3108</v>
      </c>
      <c r="CG1364" t="s">
        <v>3108</v>
      </c>
      <c r="CH1364" t="s">
        <v>3108</v>
      </c>
    </row>
    <row r="1365" spans="1:86" x14ac:dyDescent="0.2">
      <c r="A1365" t="s">
        <v>5292</v>
      </c>
      <c r="B1365" t="s">
        <v>5292</v>
      </c>
      <c r="C1365">
        <v>51843</v>
      </c>
      <c r="D1365">
        <v>1478</v>
      </c>
      <c r="E1365" t="s">
        <v>5293</v>
      </c>
      <c r="F1365">
        <v>2300</v>
      </c>
      <c r="G1365" t="s">
        <v>1305</v>
      </c>
      <c r="H1365" t="s">
        <v>4628</v>
      </c>
      <c r="I1365" t="s">
        <v>1386</v>
      </c>
      <c r="J1365">
        <v>2301</v>
      </c>
      <c r="K1365" t="s">
        <v>4629</v>
      </c>
      <c r="L1365">
        <v>1200</v>
      </c>
      <c r="M1365" t="s">
        <v>2368</v>
      </c>
      <c r="N1365">
        <v>1202</v>
      </c>
      <c r="O1365" t="s">
        <v>2371</v>
      </c>
      <c r="P1365" t="s">
        <v>3108</v>
      </c>
      <c r="Q1365" t="s">
        <v>3249</v>
      </c>
      <c r="R1365" t="s">
        <v>3249</v>
      </c>
      <c r="S1365" t="s">
        <v>810</v>
      </c>
      <c r="T1365" t="s">
        <v>2754</v>
      </c>
      <c r="U1365" t="s">
        <v>3250</v>
      </c>
      <c r="V1365" t="s">
        <v>3250</v>
      </c>
      <c r="W1365" t="s">
        <v>3250</v>
      </c>
      <c r="X1365" t="s">
        <v>3250</v>
      </c>
      <c r="Y1365" t="s">
        <v>3250</v>
      </c>
      <c r="Z1365" t="s">
        <v>3250</v>
      </c>
      <c r="AA1365" t="s">
        <v>3108</v>
      </c>
      <c r="AB1365" t="s">
        <v>3108</v>
      </c>
      <c r="AC1365" t="s">
        <v>3250</v>
      </c>
      <c r="AD1365" t="s">
        <v>3250</v>
      </c>
      <c r="AE1365" t="s">
        <v>3250</v>
      </c>
      <c r="AF1365" t="s">
        <v>3250</v>
      </c>
      <c r="AG1365" t="s">
        <v>3250</v>
      </c>
      <c r="AH1365" t="s">
        <v>3250</v>
      </c>
      <c r="AI1365" t="s">
        <v>3250</v>
      </c>
      <c r="AJ1365" t="s">
        <v>3250</v>
      </c>
      <c r="AL1365" t="s">
        <v>3250</v>
      </c>
      <c r="AM1365" t="s">
        <v>3250</v>
      </c>
      <c r="AN1365" t="s">
        <v>3250</v>
      </c>
      <c r="AO1365" t="s">
        <v>3250</v>
      </c>
      <c r="AS1365" t="s">
        <v>3250</v>
      </c>
      <c r="AT1365" t="s">
        <v>3250</v>
      </c>
      <c r="AU1365" t="s">
        <v>3250</v>
      </c>
      <c r="AV1365" t="s">
        <v>3250</v>
      </c>
      <c r="AW1365" t="s">
        <v>3250</v>
      </c>
      <c r="AX1365" t="s">
        <v>3250</v>
      </c>
      <c r="AY1365" t="s">
        <v>3250</v>
      </c>
      <c r="AZ1365" t="s">
        <v>3250</v>
      </c>
      <c r="BA1365" t="s">
        <v>3250</v>
      </c>
      <c r="BB1365" t="s">
        <v>3250</v>
      </c>
      <c r="BC1365" t="s">
        <v>3250</v>
      </c>
      <c r="BE1365">
        <v>1470</v>
      </c>
      <c r="BF1365" t="s">
        <v>2332</v>
      </c>
      <c r="BG1365" t="s">
        <v>3250</v>
      </c>
      <c r="BH1365">
        <v>1470</v>
      </c>
      <c r="BI1365" t="s">
        <v>2332</v>
      </c>
      <c r="BJ1365" t="s">
        <v>2821</v>
      </c>
      <c r="BK1365" t="s">
        <v>3250</v>
      </c>
      <c r="BL1365" t="s">
        <v>3250</v>
      </c>
      <c r="BM1365" t="s">
        <v>3250</v>
      </c>
      <c r="BN1365" t="s">
        <v>3250</v>
      </c>
      <c r="BP1365">
        <v>1</v>
      </c>
      <c r="BQ1365">
        <v>13</v>
      </c>
      <c r="BR1365" t="s">
        <v>2371</v>
      </c>
      <c r="BS1365" t="s">
        <v>3252</v>
      </c>
      <c r="BV1365">
        <v>145430</v>
      </c>
      <c r="BW1365">
        <v>0</v>
      </c>
      <c r="BX1365">
        <v>0</v>
      </c>
      <c r="BY1365">
        <v>712510</v>
      </c>
      <c r="BZ1365">
        <v>712510</v>
      </c>
      <c r="CA1365">
        <v>740297</v>
      </c>
      <c r="CB1365">
        <v>769910</v>
      </c>
      <c r="CC1365">
        <v>800706</v>
      </c>
      <c r="CD1365">
        <v>127198</v>
      </c>
      <c r="CE1365" t="s">
        <v>3108</v>
      </c>
      <c r="CF1365" t="s">
        <v>3108</v>
      </c>
      <c r="CG1365" t="s">
        <v>3108</v>
      </c>
      <c r="CH1365" t="s">
        <v>3108</v>
      </c>
    </row>
    <row r="1366" spans="1:86" x14ac:dyDescent="0.2">
      <c r="A1366" t="s">
        <v>5294</v>
      </c>
      <c r="B1366" t="s">
        <v>5294</v>
      </c>
      <c r="C1366">
        <v>51846</v>
      </c>
      <c r="D1366">
        <v>1479</v>
      </c>
      <c r="E1366" t="s">
        <v>5295</v>
      </c>
      <c r="F1366">
        <v>1300</v>
      </c>
      <c r="G1366" t="s">
        <v>406</v>
      </c>
      <c r="H1366">
        <v>1300</v>
      </c>
      <c r="I1366" t="s">
        <v>406</v>
      </c>
      <c r="J1366" t="s">
        <v>3250</v>
      </c>
      <c r="K1366" t="s">
        <v>3250</v>
      </c>
      <c r="L1366">
        <v>5000</v>
      </c>
      <c r="M1366" t="s">
        <v>245</v>
      </c>
      <c r="N1366">
        <v>5004</v>
      </c>
      <c r="O1366" t="s">
        <v>2442</v>
      </c>
      <c r="P1366" t="s">
        <v>3108</v>
      </c>
      <c r="Q1366" t="s">
        <v>3249</v>
      </c>
      <c r="R1366" t="s">
        <v>3249</v>
      </c>
      <c r="S1366" t="s">
        <v>472</v>
      </c>
      <c r="T1366" t="s">
        <v>2759</v>
      </c>
      <c r="U1366" t="s">
        <v>3250</v>
      </c>
      <c r="V1366" t="s">
        <v>3250</v>
      </c>
      <c r="W1366" t="s">
        <v>3250</v>
      </c>
      <c r="X1366" t="s">
        <v>3250</v>
      </c>
      <c r="Y1366" t="s">
        <v>3250</v>
      </c>
      <c r="Z1366" t="s">
        <v>3250</v>
      </c>
      <c r="AA1366" t="s">
        <v>3108</v>
      </c>
      <c r="AB1366" t="s">
        <v>3108</v>
      </c>
      <c r="AC1366" t="s">
        <v>3250</v>
      </c>
      <c r="AD1366" t="s">
        <v>3250</v>
      </c>
      <c r="AE1366" t="s">
        <v>3250</v>
      </c>
      <c r="AF1366" t="s">
        <v>3250</v>
      </c>
      <c r="AG1366" t="s">
        <v>3250</v>
      </c>
      <c r="AH1366" t="s">
        <v>3250</v>
      </c>
      <c r="AI1366" t="s">
        <v>3250</v>
      </c>
      <c r="AJ1366" t="s">
        <v>3250</v>
      </c>
      <c r="AL1366" t="s">
        <v>3250</v>
      </c>
      <c r="AM1366" t="s">
        <v>3250</v>
      </c>
      <c r="AN1366" t="s">
        <v>3250</v>
      </c>
      <c r="AO1366" t="s">
        <v>3250</v>
      </c>
      <c r="AS1366" t="s">
        <v>3250</v>
      </c>
      <c r="AT1366" t="s">
        <v>3250</v>
      </c>
      <c r="AU1366" t="s">
        <v>3250</v>
      </c>
      <c r="AV1366" t="s">
        <v>3250</v>
      </c>
      <c r="AW1366" t="s">
        <v>3250</v>
      </c>
      <c r="AX1366" t="s">
        <v>3250</v>
      </c>
      <c r="AY1366" t="s">
        <v>3250</v>
      </c>
      <c r="AZ1366" t="s">
        <v>3250</v>
      </c>
      <c r="BA1366" t="s">
        <v>3250</v>
      </c>
      <c r="BB1366" t="s">
        <v>3250</v>
      </c>
      <c r="BC1366" t="s">
        <v>3250</v>
      </c>
      <c r="BE1366" t="s">
        <v>3250</v>
      </c>
      <c r="BF1366" t="s">
        <v>3250</v>
      </c>
      <c r="BG1366" t="s">
        <v>3250</v>
      </c>
      <c r="BH1366" t="s">
        <v>3250</v>
      </c>
      <c r="BI1366" t="s">
        <v>3250</v>
      </c>
      <c r="BK1366" t="s">
        <v>3250</v>
      </c>
      <c r="BL1366" t="s">
        <v>3250</v>
      </c>
      <c r="BM1366" t="s">
        <v>3250</v>
      </c>
      <c r="BN1366" t="s">
        <v>3250</v>
      </c>
      <c r="BP1366">
        <v>11</v>
      </c>
      <c r="BQ1366">
        <v>111</v>
      </c>
      <c r="BR1366" t="s">
        <v>2442</v>
      </c>
      <c r="BS1366" t="s">
        <v>245</v>
      </c>
      <c r="BV1366">
        <v>2200722</v>
      </c>
      <c r="BW1366">
        <v>3440461</v>
      </c>
      <c r="BX1366">
        <v>3266264</v>
      </c>
      <c r="BY1366">
        <v>0</v>
      </c>
      <c r="BZ1366">
        <v>-3416568</v>
      </c>
      <c r="CA1366">
        <v>-3549814</v>
      </c>
      <c r="CB1366">
        <v>-3691807</v>
      </c>
      <c r="CC1366">
        <v>-3839479</v>
      </c>
      <c r="CD1366">
        <v>1706739</v>
      </c>
      <c r="CE1366" t="s">
        <v>3108</v>
      </c>
      <c r="CF1366" t="s">
        <v>3108</v>
      </c>
      <c r="CG1366" t="s">
        <v>3108</v>
      </c>
      <c r="CH1366" t="s">
        <v>3108</v>
      </c>
    </row>
    <row r="1367" spans="1:86" x14ac:dyDescent="0.2">
      <c r="A1367" t="s">
        <v>5296</v>
      </c>
      <c r="B1367" t="s">
        <v>5296</v>
      </c>
      <c r="C1367">
        <v>51847</v>
      </c>
      <c r="D1367">
        <v>1480</v>
      </c>
      <c r="E1367" t="s">
        <v>5297</v>
      </c>
      <c r="F1367">
        <v>1300</v>
      </c>
      <c r="G1367" t="s">
        <v>406</v>
      </c>
      <c r="H1367">
        <v>1300</v>
      </c>
      <c r="I1367" t="s">
        <v>406</v>
      </c>
      <c r="J1367" t="s">
        <v>3250</v>
      </c>
      <c r="K1367" t="s">
        <v>3250</v>
      </c>
      <c r="L1367">
        <v>5000</v>
      </c>
      <c r="M1367" t="s">
        <v>245</v>
      </c>
      <c r="N1367">
        <v>5004</v>
      </c>
      <c r="O1367" t="s">
        <v>2442</v>
      </c>
      <c r="P1367" t="s">
        <v>3108</v>
      </c>
      <c r="Q1367" t="s">
        <v>3249</v>
      </c>
      <c r="R1367" t="s">
        <v>3249</v>
      </c>
      <c r="S1367" t="s">
        <v>472</v>
      </c>
      <c r="T1367" t="s">
        <v>2759</v>
      </c>
      <c r="U1367" t="s">
        <v>3250</v>
      </c>
      <c r="V1367" t="s">
        <v>3250</v>
      </c>
      <c r="W1367" t="s">
        <v>3250</v>
      </c>
      <c r="X1367" t="s">
        <v>3250</v>
      </c>
      <c r="Y1367" t="s">
        <v>3250</v>
      </c>
      <c r="Z1367" t="s">
        <v>3250</v>
      </c>
      <c r="AA1367" t="s">
        <v>3108</v>
      </c>
      <c r="AB1367" t="s">
        <v>3108</v>
      </c>
      <c r="AC1367" t="s">
        <v>3250</v>
      </c>
      <c r="AD1367" t="s">
        <v>3250</v>
      </c>
      <c r="AE1367" t="s">
        <v>3250</v>
      </c>
      <c r="AF1367" t="s">
        <v>3250</v>
      </c>
      <c r="AG1367" t="s">
        <v>3250</v>
      </c>
      <c r="AH1367" t="s">
        <v>3250</v>
      </c>
      <c r="AI1367" t="s">
        <v>3250</v>
      </c>
      <c r="AJ1367" t="s">
        <v>3250</v>
      </c>
      <c r="AL1367" t="s">
        <v>3250</v>
      </c>
      <c r="AM1367" t="s">
        <v>3250</v>
      </c>
      <c r="AN1367" t="s">
        <v>3250</v>
      </c>
      <c r="AO1367" t="s">
        <v>3250</v>
      </c>
      <c r="AS1367" t="s">
        <v>3250</v>
      </c>
      <c r="AT1367" t="s">
        <v>3250</v>
      </c>
      <c r="AU1367" t="s">
        <v>3250</v>
      </c>
      <c r="AV1367" t="s">
        <v>3250</v>
      </c>
      <c r="AW1367" t="s">
        <v>3250</v>
      </c>
      <c r="AX1367" t="s">
        <v>3250</v>
      </c>
      <c r="AY1367" t="s">
        <v>3250</v>
      </c>
      <c r="AZ1367" t="s">
        <v>3250</v>
      </c>
      <c r="BA1367" t="s">
        <v>3250</v>
      </c>
      <c r="BB1367" t="s">
        <v>3250</v>
      </c>
      <c r="BC1367" t="s">
        <v>3250</v>
      </c>
      <c r="BE1367" t="s">
        <v>3250</v>
      </c>
      <c r="BF1367" t="s">
        <v>3250</v>
      </c>
      <c r="BG1367" t="s">
        <v>3250</v>
      </c>
      <c r="BH1367" t="s">
        <v>3250</v>
      </c>
      <c r="BI1367" t="s">
        <v>3250</v>
      </c>
      <c r="BK1367" t="s">
        <v>3250</v>
      </c>
      <c r="BL1367" t="s">
        <v>3250</v>
      </c>
      <c r="BM1367" t="s">
        <v>3250</v>
      </c>
      <c r="BN1367" t="s">
        <v>3250</v>
      </c>
      <c r="BP1367">
        <v>11</v>
      </c>
      <c r="BQ1367">
        <v>111</v>
      </c>
      <c r="BR1367" t="s">
        <v>2442</v>
      </c>
      <c r="BS1367" t="s">
        <v>245</v>
      </c>
      <c r="BV1367">
        <v>0</v>
      </c>
      <c r="BW1367">
        <v>0</v>
      </c>
      <c r="BX1367">
        <v>0</v>
      </c>
      <c r="BY1367">
        <v>-3416568</v>
      </c>
      <c r="BZ1367">
        <v>0</v>
      </c>
      <c r="CA1367">
        <v>0</v>
      </c>
      <c r="CB1367">
        <v>0</v>
      </c>
      <c r="CC1367">
        <v>0</v>
      </c>
      <c r="CD1367">
        <v>0</v>
      </c>
      <c r="CE1367" t="s">
        <v>3108</v>
      </c>
      <c r="CF1367" t="s">
        <v>3108</v>
      </c>
      <c r="CG1367" t="s">
        <v>3108</v>
      </c>
      <c r="CH1367" t="s">
        <v>3108</v>
      </c>
    </row>
    <row r="1368" spans="1:86" x14ac:dyDescent="0.2">
      <c r="A1368" t="s">
        <v>5298</v>
      </c>
      <c r="B1368" t="s">
        <v>5298</v>
      </c>
      <c r="C1368">
        <v>51848</v>
      </c>
      <c r="D1368">
        <v>1481</v>
      </c>
      <c r="E1368" t="s">
        <v>5299</v>
      </c>
      <c r="F1368" t="s">
        <v>3249</v>
      </c>
      <c r="G1368" t="s">
        <v>3249</v>
      </c>
      <c r="H1368" t="s">
        <v>3250</v>
      </c>
      <c r="I1368" t="s">
        <v>3250</v>
      </c>
      <c r="J1368" t="s">
        <v>3250</v>
      </c>
      <c r="K1368" t="s">
        <v>3250</v>
      </c>
      <c r="L1368">
        <v>1200</v>
      </c>
      <c r="M1368" t="s">
        <v>2368</v>
      </c>
      <c r="N1368">
        <v>1204</v>
      </c>
      <c r="O1368" t="s">
        <v>1574</v>
      </c>
      <c r="P1368" t="s">
        <v>3108</v>
      </c>
      <c r="Q1368" t="s">
        <v>3249</v>
      </c>
      <c r="R1368" t="s">
        <v>3249</v>
      </c>
      <c r="S1368" t="s">
        <v>472</v>
      </c>
      <c r="T1368" t="s">
        <v>3251</v>
      </c>
      <c r="U1368">
        <v>150</v>
      </c>
      <c r="V1368" t="s">
        <v>1328</v>
      </c>
      <c r="W1368">
        <v>150</v>
      </c>
      <c r="X1368" t="s">
        <v>1328</v>
      </c>
      <c r="Y1368" t="s">
        <v>3250</v>
      </c>
      <c r="Z1368" t="s">
        <v>3250</v>
      </c>
      <c r="AA1368" t="s">
        <v>3108</v>
      </c>
      <c r="AB1368" t="s">
        <v>3108</v>
      </c>
      <c r="AC1368" t="s">
        <v>3250</v>
      </c>
      <c r="AD1368" t="s">
        <v>3250</v>
      </c>
      <c r="AE1368" t="s">
        <v>3250</v>
      </c>
      <c r="AF1368" t="s">
        <v>3250</v>
      </c>
      <c r="AG1368" t="s">
        <v>3250</v>
      </c>
      <c r="AH1368" t="s">
        <v>3250</v>
      </c>
      <c r="AI1368" t="s">
        <v>3250</v>
      </c>
      <c r="AJ1368" t="s">
        <v>3250</v>
      </c>
      <c r="AL1368" t="s">
        <v>3250</v>
      </c>
      <c r="AM1368" t="s">
        <v>3250</v>
      </c>
      <c r="AN1368" t="s">
        <v>3250</v>
      </c>
      <c r="AO1368" t="s">
        <v>3250</v>
      </c>
      <c r="AS1368" t="s">
        <v>3250</v>
      </c>
      <c r="AT1368" t="s">
        <v>3250</v>
      </c>
      <c r="AU1368" t="s">
        <v>3250</v>
      </c>
      <c r="AV1368" t="s">
        <v>3250</v>
      </c>
      <c r="AW1368" t="s">
        <v>3250</v>
      </c>
      <c r="AX1368" t="s">
        <v>3250</v>
      </c>
      <c r="AY1368" t="s">
        <v>3250</v>
      </c>
      <c r="AZ1368" t="s">
        <v>3250</v>
      </c>
      <c r="BA1368" t="s">
        <v>3250</v>
      </c>
      <c r="BB1368" t="s">
        <v>3250</v>
      </c>
      <c r="BC1368" t="s">
        <v>3250</v>
      </c>
      <c r="BE1368" t="s">
        <v>3250</v>
      </c>
      <c r="BF1368" t="s">
        <v>3250</v>
      </c>
      <c r="BG1368" t="s">
        <v>3250</v>
      </c>
      <c r="BH1368" t="s">
        <v>3250</v>
      </c>
      <c r="BI1368" t="s">
        <v>3250</v>
      </c>
      <c r="BK1368" t="s">
        <v>3250</v>
      </c>
      <c r="BL1368" t="s">
        <v>3250</v>
      </c>
      <c r="BM1368" t="s">
        <v>3250</v>
      </c>
      <c r="BN1368" t="s">
        <v>3250</v>
      </c>
      <c r="BP1368">
        <v>1</v>
      </c>
      <c r="BQ1368">
        <v>11</v>
      </c>
      <c r="BR1368" t="s">
        <v>1574</v>
      </c>
      <c r="BS1368" t="s">
        <v>3252</v>
      </c>
      <c r="BV1368">
        <v>0</v>
      </c>
      <c r="BW1368">
        <v>0</v>
      </c>
      <c r="BX1368">
        <v>0</v>
      </c>
      <c r="BY1368">
        <v>0</v>
      </c>
      <c r="BZ1368">
        <v>0</v>
      </c>
      <c r="CA1368">
        <v>0</v>
      </c>
      <c r="CB1368">
        <v>0</v>
      </c>
      <c r="CC1368">
        <v>0</v>
      </c>
      <c r="CD1368">
        <v>0</v>
      </c>
      <c r="CE1368" t="s">
        <v>3108</v>
      </c>
      <c r="CF1368" t="s">
        <v>3108</v>
      </c>
      <c r="CG1368" t="s">
        <v>3108</v>
      </c>
      <c r="CH1368" t="s">
        <v>3108</v>
      </c>
    </row>
    <row r="1369" spans="1:86" x14ac:dyDescent="0.2">
      <c r="A1369" t="s">
        <v>5300</v>
      </c>
      <c r="B1369" t="s">
        <v>5300</v>
      </c>
      <c r="C1369">
        <v>51849</v>
      </c>
      <c r="D1369">
        <v>1484</v>
      </c>
      <c r="E1369" t="s">
        <v>5301</v>
      </c>
      <c r="F1369" t="s">
        <v>3249</v>
      </c>
      <c r="G1369" t="s">
        <v>3249</v>
      </c>
      <c r="H1369" t="s">
        <v>3250</v>
      </c>
      <c r="I1369" t="s">
        <v>3250</v>
      </c>
      <c r="J1369" t="s">
        <v>3250</v>
      </c>
      <c r="K1369" t="s">
        <v>3250</v>
      </c>
      <c r="L1369">
        <v>1200</v>
      </c>
      <c r="M1369" t="s">
        <v>2368</v>
      </c>
      <c r="N1369">
        <v>1204</v>
      </c>
      <c r="O1369" t="s">
        <v>1574</v>
      </c>
      <c r="P1369" t="s">
        <v>3108</v>
      </c>
      <c r="Q1369" t="s">
        <v>3249</v>
      </c>
      <c r="R1369" t="s">
        <v>3249</v>
      </c>
      <c r="S1369" t="s">
        <v>472</v>
      </c>
      <c r="T1369" t="s">
        <v>3789</v>
      </c>
      <c r="U1369">
        <v>360</v>
      </c>
      <c r="V1369" t="s">
        <v>3790</v>
      </c>
      <c r="W1369">
        <v>360</v>
      </c>
      <c r="X1369" t="s">
        <v>601</v>
      </c>
      <c r="Y1369" t="s">
        <v>3250</v>
      </c>
      <c r="Z1369" t="s">
        <v>3250</v>
      </c>
      <c r="AA1369" t="s">
        <v>3108</v>
      </c>
      <c r="AB1369" t="s">
        <v>3108</v>
      </c>
      <c r="AC1369" t="s">
        <v>3250</v>
      </c>
      <c r="AD1369" t="s">
        <v>3250</v>
      </c>
      <c r="AE1369" t="s">
        <v>3250</v>
      </c>
      <c r="AF1369" t="s">
        <v>3250</v>
      </c>
      <c r="AG1369" t="s">
        <v>3250</v>
      </c>
      <c r="AH1369" t="s">
        <v>3250</v>
      </c>
      <c r="AI1369" t="s">
        <v>3250</v>
      </c>
      <c r="AJ1369" t="s">
        <v>3250</v>
      </c>
      <c r="AL1369">
        <v>361</v>
      </c>
      <c r="AM1369" t="s">
        <v>2523</v>
      </c>
      <c r="AN1369">
        <v>361</v>
      </c>
      <c r="AO1369" t="s">
        <v>2523</v>
      </c>
      <c r="AS1369" t="s">
        <v>3250</v>
      </c>
      <c r="AT1369" t="s">
        <v>3250</v>
      </c>
      <c r="AU1369" t="s">
        <v>3250</v>
      </c>
      <c r="AV1369" t="s">
        <v>3250</v>
      </c>
      <c r="AW1369" t="s">
        <v>3250</v>
      </c>
      <c r="AX1369" t="s">
        <v>3250</v>
      </c>
      <c r="AY1369" t="s">
        <v>3250</v>
      </c>
      <c r="AZ1369" t="s">
        <v>3250</v>
      </c>
      <c r="BA1369" t="s">
        <v>3250</v>
      </c>
      <c r="BB1369" t="s">
        <v>3250</v>
      </c>
      <c r="BC1369" t="s">
        <v>3250</v>
      </c>
      <c r="BE1369" t="s">
        <v>3250</v>
      </c>
      <c r="BF1369" t="s">
        <v>3250</v>
      </c>
      <c r="BG1369" t="s">
        <v>3250</v>
      </c>
      <c r="BH1369" t="s">
        <v>3250</v>
      </c>
      <c r="BI1369" t="s">
        <v>3250</v>
      </c>
      <c r="BK1369" t="s">
        <v>3250</v>
      </c>
      <c r="BL1369" t="s">
        <v>3250</v>
      </c>
      <c r="BM1369" t="s">
        <v>3250</v>
      </c>
      <c r="BN1369" t="s">
        <v>3250</v>
      </c>
      <c r="BP1369">
        <v>1</v>
      </c>
      <c r="BQ1369">
        <v>11</v>
      </c>
      <c r="BR1369" t="s">
        <v>1574</v>
      </c>
      <c r="BS1369" t="s">
        <v>3252</v>
      </c>
      <c r="BV1369">
        <v>0</v>
      </c>
      <c r="BW1369">
        <v>0</v>
      </c>
      <c r="BX1369">
        <v>0</v>
      </c>
      <c r="BY1369">
        <v>0</v>
      </c>
      <c r="BZ1369">
        <v>0</v>
      </c>
      <c r="CA1369">
        <v>0</v>
      </c>
      <c r="CB1369">
        <v>0</v>
      </c>
      <c r="CC1369">
        <v>0</v>
      </c>
      <c r="CD1369">
        <v>440300</v>
      </c>
      <c r="CE1369" t="s">
        <v>3108</v>
      </c>
      <c r="CF1369" t="s">
        <v>3108</v>
      </c>
      <c r="CG1369" t="s">
        <v>3108</v>
      </c>
      <c r="CH1369" t="s">
        <v>3108</v>
      </c>
    </row>
    <row r="1370" spans="1:86" x14ac:dyDescent="0.2">
      <c r="A1370" t="s">
        <v>5302</v>
      </c>
      <c r="B1370" t="s">
        <v>5302</v>
      </c>
      <c r="C1370">
        <v>51850</v>
      </c>
      <c r="D1370">
        <v>1482</v>
      </c>
      <c r="E1370" t="s">
        <v>4768</v>
      </c>
      <c r="F1370">
        <v>2000</v>
      </c>
      <c r="G1370" t="s">
        <v>408</v>
      </c>
      <c r="H1370" t="s">
        <v>4088</v>
      </c>
      <c r="I1370" t="s">
        <v>1941</v>
      </c>
      <c r="J1370">
        <v>2008</v>
      </c>
      <c r="K1370" t="s">
        <v>1941</v>
      </c>
      <c r="L1370">
        <v>2100</v>
      </c>
      <c r="M1370" t="s">
        <v>123</v>
      </c>
      <c r="N1370">
        <v>2106</v>
      </c>
      <c r="O1370" t="s">
        <v>2399</v>
      </c>
      <c r="P1370" t="s">
        <v>3108</v>
      </c>
      <c r="Q1370" t="s">
        <v>3249</v>
      </c>
      <c r="R1370" t="s">
        <v>3249</v>
      </c>
      <c r="S1370" t="s">
        <v>810</v>
      </c>
      <c r="T1370" t="s">
        <v>2754</v>
      </c>
      <c r="U1370" t="s">
        <v>3250</v>
      </c>
      <c r="V1370" t="s">
        <v>3250</v>
      </c>
      <c r="W1370" t="s">
        <v>3250</v>
      </c>
      <c r="X1370" t="s">
        <v>3250</v>
      </c>
      <c r="Y1370" t="s">
        <v>3250</v>
      </c>
      <c r="Z1370" t="s">
        <v>3250</v>
      </c>
      <c r="AA1370" t="s">
        <v>3108</v>
      </c>
      <c r="AB1370" t="s">
        <v>3108</v>
      </c>
      <c r="AC1370" t="s">
        <v>3250</v>
      </c>
      <c r="AD1370" t="s">
        <v>3250</v>
      </c>
      <c r="AE1370" t="s">
        <v>3250</v>
      </c>
      <c r="AF1370" t="s">
        <v>3250</v>
      </c>
      <c r="AG1370" t="s">
        <v>3250</v>
      </c>
      <c r="AH1370" t="s">
        <v>3250</v>
      </c>
      <c r="AI1370" t="s">
        <v>3250</v>
      </c>
      <c r="AJ1370" t="s">
        <v>3250</v>
      </c>
      <c r="AL1370" t="s">
        <v>3250</v>
      </c>
      <c r="AM1370" t="s">
        <v>3250</v>
      </c>
      <c r="AN1370" t="s">
        <v>3250</v>
      </c>
      <c r="AO1370" t="s">
        <v>3250</v>
      </c>
      <c r="AS1370" t="s">
        <v>3250</v>
      </c>
      <c r="AT1370" t="s">
        <v>3250</v>
      </c>
      <c r="AU1370" t="s">
        <v>3250</v>
      </c>
      <c r="AV1370" t="s">
        <v>3250</v>
      </c>
      <c r="AW1370" t="s">
        <v>3250</v>
      </c>
      <c r="AX1370" t="s">
        <v>3250</v>
      </c>
      <c r="AY1370" t="s">
        <v>3250</v>
      </c>
      <c r="AZ1370" t="s">
        <v>3250</v>
      </c>
      <c r="BA1370" t="s">
        <v>3250</v>
      </c>
      <c r="BB1370" t="s">
        <v>3250</v>
      </c>
      <c r="BC1370" t="s">
        <v>3250</v>
      </c>
      <c r="BE1370" t="s">
        <v>3250</v>
      </c>
      <c r="BF1370" t="s">
        <v>3250</v>
      </c>
      <c r="BG1370" t="s">
        <v>3250</v>
      </c>
      <c r="BH1370" t="s">
        <v>3250</v>
      </c>
      <c r="BI1370" t="s">
        <v>3250</v>
      </c>
      <c r="BK1370" t="s">
        <v>3250</v>
      </c>
      <c r="BL1370" t="s">
        <v>3250</v>
      </c>
      <c r="BM1370" t="s">
        <v>3250</v>
      </c>
      <c r="BN1370" t="s">
        <v>3250</v>
      </c>
      <c r="BO1370" t="s">
        <v>2917</v>
      </c>
      <c r="BP1370">
        <v>5</v>
      </c>
      <c r="BQ1370">
        <v>53</v>
      </c>
      <c r="BR1370" t="s">
        <v>2399</v>
      </c>
      <c r="BS1370" t="s">
        <v>4136</v>
      </c>
      <c r="BV1370">
        <v>0</v>
      </c>
      <c r="BW1370">
        <v>0</v>
      </c>
      <c r="BX1370">
        <v>0</v>
      </c>
      <c r="BY1370">
        <v>0</v>
      </c>
      <c r="BZ1370">
        <v>0</v>
      </c>
      <c r="CA1370">
        <v>0</v>
      </c>
      <c r="CB1370">
        <v>0</v>
      </c>
      <c r="CC1370">
        <v>0</v>
      </c>
      <c r="CD1370">
        <v>0</v>
      </c>
      <c r="CE1370" t="s">
        <v>3108</v>
      </c>
      <c r="CF1370" t="s">
        <v>3108</v>
      </c>
      <c r="CG1370" t="s">
        <v>3108</v>
      </c>
      <c r="CH1370" t="s">
        <v>3108</v>
      </c>
    </row>
    <row r="1371" spans="1:86" x14ac:dyDescent="0.2">
      <c r="A1371" t="s">
        <v>5303</v>
      </c>
      <c r="B1371" t="s">
        <v>5303</v>
      </c>
      <c r="C1371">
        <v>51851</v>
      </c>
      <c r="D1371">
        <v>1485</v>
      </c>
      <c r="E1371" t="s">
        <v>4059</v>
      </c>
      <c r="F1371">
        <v>2900</v>
      </c>
      <c r="G1371" t="s">
        <v>822</v>
      </c>
      <c r="H1371" t="s">
        <v>3108</v>
      </c>
      <c r="I1371" t="s">
        <v>3108</v>
      </c>
      <c r="J1371">
        <v>2904</v>
      </c>
      <c r="K1371" t="s">
        <v>1690</v>
      </c>
      <c r="L1371">
        <v>1200</v>
      </c>
      <c r="M1371" t="s">
        <v>2368</v>
      </c>
      <c r="N1371">
        <v>1204</v>
      </c>
      <c r="O1371" t="s">
        <v>1574</v>
      </c>
      <c r="P1371" t="s">
        <v>3108</v>
      </c>
      <c r="Q1371" t="s">
        <v>3249</v>
      </c>
      <c r="R1371" t="s">
        <v>3249</v>
      </c>
      <c r="S1371" t="s">
        <v>810</v>
      </c>
      <c r="T1371" t="s">
        <v>2754</v>
      </c>
      <c r="U1371" t="s">
        <v>3250</v>
      </c>
      <c r="V1371" t="s">
        <v>3250</v>
      </c>
      <c r="W1371" t="s">
        <v>3250</v>
      </c>
      <c r="X1371" t="s">
        <v>3250</v>
      </c>
      <c r="Y1371" t="s">
        <v>3250</v>
      </c>
      <c r="Z1371" t="s">
        <v>3250</v>
      </c>
      <c r="AA1371" t="s">
        <v>3108</v>
      </c>
      <c r="AB1371" t="s">
        <v>3108</v>
      </c>
      <c r="AC1371" t="s">
        <v>3250</v>
      </c>
      <c r="AD1371" t="s">
        <v>3250</v>
      </c>
      <c r="AE1371" t="s">
        <v>3250</v>
      </c>
      <c r="AF1371" t="s">
        <v>3250</v>
      </c>
      <c r="AG1371" t="s">
        <v>3250</v>
      </c>
      <c r="AH1371" t="s">
        <v>3250</v>
      </c>
      <c r="AI1371" t="s">
        <v>3250</v>
      </c>
      <c r="AJ1371" t="s">
        <v>3250</v>
      </c>
      <c r="AL1371" t="s">
        <v>3250</v>
      </c>
      <c r="AM1371" t="s">
        <v>3250</v>
      </c>
      <c r="AN1371" t="s">
        <v>3250</v>
      </c>
      <c r="AO1371" t="s">
        <v>3250</v>
      </c>
      <c r="AS1371" t="s">
        <v>3250</v>
      </c>
      <c r="AT1371" t="s">
        <v>3250</v>
      </c>
      <c r="AU1371" t="s">
        <v>3250</v>
      </c>
      <c r="AV1371" t="s">
        <v>3250</v>
      </c>
      <c r="AW1371" t="s">
        <v>3250</v>
      </c>
      <c r="AX1371" t="s">
        <v>3250</v>
      </c>
      <c r="AY1371" t="s">
        <v>3250</v>
      </c>
      <c r="AZ1371" t="s">
        <v>3250</v>
      </c>
      <c r="BA1371" t="s">
        <v>3250</v>
      </c>
      <c r="BB1371" t="s">
        <v>3250</v>
      </c>
      <c r="BC1371" t="s">
        <v>3250</v>
      </c>
      <c r="BE1371" t="s">
        <v>3250</v>
      </c>
      <c r="BF1371" t="s">
        <v>3250</v>
      </c>
      <c r="BG1371" t="s">
        <v>3250</v>
      </c>
      <c r="BH1371" t="s">
        <v>3250</v>
      </c>
      <c r="BI1371" t="s">
        <v>3250</v>
      </c>
      <c r="BK1371" t="s">
        <v>3250</v>
      </c>
      <c r="BL1371" t="s">
        <v>3250</v>
      </c>
      <c r="BM1371" t="s">
        <v>3250</v>
      </c>
      <c r="BN1371" t="s">
        <v>3250</v>
      </c>
      <c r="BP1371">
        <v>1</v>
      </c>
      <c r="BQ1371">
        <v>11</v>
      </c>
      <c r="BR1371" t="s">
        <v>1574</v>
      </c>
      <c r="BS1371" t="s">
        <v>3252</v>
      </c>
      <c r="BV1371">
        <v>93</v>
      </c>
      <c r="BW1371">
        <v>394</v>
      </c>
      <c r="BX1371">
        <v>454</v>
      </c>
      <c r="BY1371">
        <v>0</v>
      </c>
      <c r="BZ1371">
        <v>0</v>
      </c>
      <c r="CA1371">
        <v>0</v>
      </c>
      <c r="CB1371">
        <v>0</v>
      </c>
      <c r="CC1371">
        <v>0</v>
      </c>
      <c r="CD1371">
        <v>0</v>
      </c>
      <c r="CE1371" t="s">
        <v>3108</v>
      </c>
      <c r="CF1371" t="s">
        <v>3108</v>
      </c>
      <c r="CG1371" t="s">
        <v>3108</v>
      </c>
      <c r="CH1371" t="s">
        <v>3108</v>
      </c>
    </row>
    <row r="1372" spans="1:86" x14ac:dyDescent="0.2">
      <c r="A1372" t="s">
        <v>5304</v>
      </c>
      <c r="B1372" t="s">
        <v>5304</v>
      </c>
      <c r="C1372">
        <v>51852</v>
      </c>
      <c r="D1372">
        <v>1486</v>
      </c>
      <c r="E1372" t="s">
        <v>4074</v>
      </c>
      <c r="F1372">
        <v>2000</v>
      </c>
      <c r="G1372" t="s">
        <v>408</v>
      </c>
      <c r="H1372" t="s">
        <v>4075</v>
      </c>
      <c r="I1372" t="s">
        <v>946</v>
      </c>
      <c r="J1372">
        <v>2009</v>
      </c>
      <c r="K1372" t="s">
        <v>1340</v>
      </c>
      <c r="L1372">
        <v>1200</v>
      </c>
      <c r="M1372" t="s">
        <v>2368</v>
      </c>
      <c r="N1372">
        <v>1204</v>
      </c>
      <c r="O1372" t="s">
        <v>1574</v>
      </c>
      <c r="P1372" t="s">
        <v>3108</v>
      </c>
      <c r="Q1372" t="s">
        <v>3249</v>
      </c>
      <c r="R1372" t="s">
        <v>3249</v>
      </c>
      <c r="S1372" t="s">
        <v>810</v>
      </c>
      <c r="T1372" t="s">
        <v>2754</v>
      </c>
      <c r="U1372" t="s">
        <v>3250</v>
      </c>
      <c r="V1372" t="s">
        <v>3250</v>
      </c>
      <c r="W1372" t="s">
        <v>3250</v>
      </c>
      <c r="X1372" t="s">
        <v>3250</v>
      </c>
      <c r="Y1372" t="s">
        <v>3250</v>
      </c>
      <c r="Z1372" t="s">
        <v>3250</v>
      </c>
      <c r="AA1372" t="s">
        <v>3108</v>
      </c>
      <c r="AB1372" t="s">
        <v>3108</v>
      </c>
      <c r="AC1372" t="s">
        <v>3250</v>
      </c>
      <c r="AD1372" t="s">
        <v>3250</v>
      </c>
      <c r="AE1372" t="s">
        <v>3250</v>
      </c>
      <c r="AF1372" t="s">
        <v>3250</v>
      </c>
      <c r="AG1372" t="s">
        <v>3250</v>
      </c>
      <c r="AH1372" t="s">
        <v>3250</v>
      </c>
      <c r="AI1372" t="s">
        <v>3250</v>
      </c>
      <c r="AJ1372" t="s">
        <v>3250</v>
      </c>
      <c r="AL1372" t="s">
        <v>3250</v>
      </c>
      <c r="AM1372" t="s">
        <v>3250</v>
      </c>
      <c r="AN1372" t="s">
        <v>3250</v>
      </c>
      <c r="AO1372" t="s">
        <v>3250</v>
      </c>
      <c r="AS1372" t="s">
        <v>3250</v>
      </c>
      <c r="AT1372" t="s">
        <v>3250</v>
      </c>
      <c r="AU1372" t="s">
        <v>3250</v>
      </c>
      <c r="AV1372" t="s">
        <v>3250</v>
      </c>
      <c r="AW1372" t="s">
        <v>3250</v>
      </c>
      <c r="AX1372" t="s">
        <v>3250</v>
      </c>
      <c r="AY1372" t="s">
        <v>3250</v>
      </c>
      <c r="AZ1372" t="s">
        <v>3250</v>
      </c>
      <c r="BA1372" t="s">
        <v>3250</v>
      </c>
      <c r="BB1372" t="s">
        <v>3250</v>
      </c>
      <c r="BC1372" t="s">
        <v>3250</v>
      </c>
      <c r="BE1372" t="s">
        <v>3250</v>
      </c>
      <c r="BF1372" t="s">
        <v>3250</v>
      </c>
      <c r="BG1372" t="s">
        <v>3250</v>
      </c>
      <c r="BH1372" t="s">
        <v>3250</v>
      </c>
      <c r="BI1372" t="s">
        <v>3250</v>
      </c>
      <c r="BK1372" t="s">
        <v>3250</v>
      </c>
      <c r="BL1372" t="s">
        <v>3250</v>
      </c>
      <c r="BM1372" t="s">
        <v>3250</v>
      </c>
      <c r="BN1372" t="s">
        <v>3250</v>
      </c>
      <c r="BO1372" t="s">
        <v>2916</v>
      </c>
      <c r="BP1372">
        <v>1</v>
      </c>
      <c r="BQ1372">
        <v>11</v>
      </c>
      <c r="BR1372" t="s">
        <v>1574</v>
      </c>
      <c r="BS1372" t="s">
        <v>3252</v>
      </c>
      <c r="BV1372">
        <v>0</v>
      </c>
      <c r="BW1372">
        <v>0</v>
      </c>
      <c r="BX1372">
        <v>0</v>
      </c>
      <c r="BY1372">
        <v>0</v>
      </c>
      <c r="BZ1372">
        <v>0</v>
      </c>
      <c r="CA1372">
        <v>0</v>
      </c>
      <c r="CB1372">
        <v>0</v>
      </c>
      <c r="CC1372">
        <v>0</v>
      </c>
      <c r="CD1372">
        <v>0</v>
      </c>
      <c r="CE1372" t="s">
        <v>3108</v>
      </c>
      <c r="CF1372" t="s">
        <v>3108</v>
      </c>
      <c r="CG1372" t="s">
        <v>3108</v>
      </c>
      <c r="CH1372" t="s">
        <v>3108</v>
      </c>
    </row>
    <row r="1373" spans="1:86" x14ac:dyDescent="0.2">
      <c r="A1373" t="s">
        <v>5305</v>
      </c>
      <c r="B1373" t="s">
        <v>5305</v>
      </c>
      <c r="C1373">
        <v>51853</v>
      </c>
      <c r="D1373">
        <v>1487</v>
      </c>
      <c r="E1373" t="s">
        <v>4077</v>
      </c>
      <c r="F1373">
        <v>2000</v>
      </c>
      <c r="G1373" t="s">
        <v>408</v>
      </c>
      <c r="H1373" t="s">
        <v>4075</v>
      </c>
      <c r="I1373" t="s">
        <v>946</v>
      </c>
      <c r="J1373">
        <v>2009</v>
      </c>
      <c r="K1373" t="s">
        <v>1340</v>
      </c>
      <c r="L1373">
        <v>1200</v>
      </c>
      <c r="M1373" t="s">
        <v>2368</v>
      </c>
      <c r="N1373">
        <v>1204</v>
      </c>
      <c r="O1373" t="s">
        <v>1574</v>
      </c>
      <c r="P1373" t="s">
        <v>3108</v>
      </c>
      <c r="Q1373" t="s">
        <v>3249</v>
      </c>
      <c r="R1373" t="s">
        <v>3249</v>
      </c>
      <c r="S1373" t="s">
        <v>810</v>
      </c>
      <c r="T1373" t="s">
        <v>2754</v>
      </c>
      <c r="U1373" t="s">
        <v>3250</v>
      </c>
      <c r="V1373" t="s">
        <v>3250</v>
      </c>
      <c r="W1373" t="s">
        <v>3250</v>
      </c>
      <c r="X1373" t="s">
        <v>3250</v>
      </c>
      <c r="Y1373" t="s">
        <v>3250</v>
      </c>
      <c r="Z1373" t="s">
        <v>3250</v>
      </c>
      <c r="AA1373" t="s">
        <v>3108</v>
      </c>
      <c r="AB1373" t="s">
        <v>3108</v>
      </c>
      <c r="AC1373" t="s">
        <v>3250</v>
      </c>
      <c r="AD1373" t="s">
        <v>3250</v>
      </c>
      <c r="AE1373" t="s">
        <v>3250</v>
      </c>
      <c r="AF1373" t="s">
        <v>3250</v>
      </c>
      <c r="AG1373" t="s">
        <v>3250</v>
      </c>
      <c r="AH1373" t="s">
        <v>3250</v>
      </c>
      <c r="AI1373" t="s">
        <v>3250</v>
      </c>
      <c r="AJ1373" t="s">
        <v>3250</v>
      </c>
      <c r="AL1373" t="s">
        <v>3250</v>
      </c>
      <c r="AM1373" t="s">
        <v>3250</v>
      </c>
      <c r="AN1373" t="s">
        <v>3250</v>
      </c>
      <c r="AO1373" t="s">
        <v>3250</v>
      </c>
      <c r="AS1373" t="s">
        <v>3250</v>
      </c>
      <c r="AT1373" t="s">
        <v>3250</v>
      </c>
      <c r="AU1373" t="s">
        <v>3250</v>
      </c>
      <c r="AV1373" t="s">
        <v>3250</v>
      </c>
      <c r="AW1373" t="s">
        <v>3250</v>
      </c>
      <c r="AX1373" t="s">
        <v>3250</v>
      </c>
      <c r="AY1373" t="s">
        <v>3250</v>
      </c>
      <c r="AZ1373" t="s">
        <v>3250</v>
      </c>
      <c r="BA1373" t="s">
        <v>3250</v>
      </c>
      <c r="BB1373" t="s">
        <v>3250</v>
      </c>
      <c r="BC1373" t="s">
        <v>3250</v>
      </c>
      <c r="BE1373" t="s">
        <v>3250</v>
      </c>
      <c r="BF1373" t="s">
        <v>3250</v>
      </c>
      <c r="BG1373" t="s">
        <v>3250</v>
      </c>
      <c r="BH1373" t="s">
        <v>3250</v>
      </c>
      <c r="BI1373" t="s">
        <v>3250</v>
      </c>
      <c r="BK1373" t="s">
        <v>3250</v>
      </c>
      <c r="BL1373" t="s">
        <v>3250</v>
      </c>
      <c r="BM1373" t="s">
        <v>3250</v>
      </c>
      <c r="BN1373" t="s">
        <v>3250</v>
      </c>
      <c r="BO1373" t="s">
        <v>2916</v>
      </c>
      <c r="BP1373">
        <v>1</v>
      </c>
      <c r="BQ1373">
        <v>11</v>
      </c>
      <c r="BR1373" t="s">
        <v>1574</v>
      </c>
      <c r="BS1373" t="s">
        <v>3252</v>
      </c>
      <c r="BV1373">
        <v>0</v>
      </c>
      <c r="BW1373">
        <v>0</v>
      </c>
      <c r="BX1373">
        <v>6552</v>
      </c>
      <c r="BY1373">
        <v>0</v>
      </c>
      <c r="BZ1373">
        <v>0</v>
      </c>
      <c r="CA1373">
        <v>0</v>
      </c>
      <c r="CB1373">
        <v>0</v>
      </c>
      <c r="CC1373">
        <v>0</v>
      </c>
      <c r="CD1373">
        <v>0</v>
      </c>
      <c r="CE1373" t="s">
        <v>3108</v>
      </c>
      <c r="CF1373" t="s">
        <v>3108</v>
      </c>
      <c r="CG1373" t="s">
        <v>3108</v>
      </c>
      <c r="CH1373" t="s">
        <v>3108</v>
      </c>
    </row>
    <row r="1374" spans="1:86" x14ac:dyDescent="0.2">
      <c r="A1374" t="s">
        <v>5306</v>
      </c>
      <c r="B1374" t="s">
        <v>5306</v>
      </c>
      <c r="C1374">
        <v>51854</v>
      </c>
      <c r="D1374">
        <v>1488</v>
      </c>
      <c r="E1374" t="s">
        <v>5307</v>
      </c>
      <c r="F1374" t="s">
        <v>3249</v>
      </c>
      <c r="G1374" t="s">
        <v>3249</v>
      </c>
      <c r="H1374" t="s">
        <v>3250</v>
      </c>
      <c r="I1374" t="s">
        <v>3250</v>
      </c>
      <c r="J1374" t="s">
        <v>3250</v>
      </c>
      <c r="K1374" t="s">
        <v>3250</v>
      </c>
      <c r="L1374">
        <v>1200</v>
      </c>
      <c r="M1374" t="s">
        <v>2368</v>
      </c>
      <c r="N1374">
        <v>1204</v>
      </c>
      <c r="O1374" t="s">
        <v>1574</v>
      </c>
      <c r="P1374" t="s">
        <v>3108</v>
      </c>
      <c r="Q1374" t="s">
        <v>3249</v>
      </c>
      <c r="R1374" t="s">
        <v>3249</v>
      </c>
      <c r="S1374" t="s">
        <v>472</v>
      </c>
      <c r="T1374" t="s">
        <v>3251</v>
      </c>
      <c r="U1374">
        <v>130</v>
      </c>
      <c r="V1374" t="s">
        <v>4716</v>
      </c>
      <c r="W1374">
        <v>130</v>
      </c>
      <c r="X1374" t="s">
        <v>4716</v>
      </c>
      <c r="Y1374" t="s">
        <v>2755</v>
      </c>
      <c r="Z1374" t="s">
        <v>5308</v>
      </c>
      <c r="AA1374" t="s">
        <v>2755</v>
      </c>
      <c r="AB1374" t="s">
        <v>5308</v>
      </c>
      <c r="AC1374" t="s">
        <v>3250</v>
      </c>
      <c r="AD1374" t="s">
        <v>3250</v>
      </c>
      <c r="AE1374" t="s">
        <v>3250</v>
      </c>
      <c r="AF1374" t="s">
        <v>3250</v>
      </c>
      <c r="AG1374" t="s">
        <v>3250</v>
      </c>
      <c r="AH1374" t="s">
        <v>3250</v>
      </c>
      <c r="AI1374" t="s">
        <v>3250</v>
      </c>
      <c r="AJ1374" t="s">
        <v>3250</v>
      </c>
      <c r="AL1374" t="s">
        <v>3250</v>
      </c>
      <c r="AM1374" t="s">
        <v>3250</v>
      </c>
      <c r="AN1374" t="s">
        <v>3250</v>
      </c>
      <c r="AO1374" t="s">
        <v>3250</v>
      </c>
      <c r="AS1374" t="s">
        <v>3250</v>
      </c>
      <c r="AT1374" t="s">
        <v>3250</v>
      </c>
      <c r="AU1374" t="s">
        <v>3250</v>
      </c>
      <c r="AV1374" t="s">
        <v>3250</v>
      </c>
      <c r="AW1374" t="s">
        <v>3250</v>
      </c>
      <c r="AX1374" t="s">
        <v>3250</v>
      </c>
      <c r="AY1374" t="s">
        <v>3250</v>
      </c>
      <c r="AZ1374" t="s">
        <v>3250</v>
      </c>
      <c r="BA1374" t="s">
        <v>3250</v>
      </c>
      <c r="BB1374" t="s">
        <v>3250</v>
      </c>
      <c r="BC1374" t="s">
        <v>3250</v>
      </c>
      <c r="BE1374" t="s">
        <v>3250</v>
      </c>
      <c r="BF1374" t="s">
        <v>3250</v>
      </c>
      <c r="BG1374" t="s">
        <v>3250</v>
      </c>
      <c r="BH1374" t="s">
        <v>3250</v>
      </c>
      <c r="BI1374" t="s">
        <v>3250</v>
      </c>
      <c r="BK1374" t="s">
        <v>3250</v>
      </c>
      <c r="BL1374" t="s">
        <v>3250</v>
      </c>
      <c r="BM1374" t="s">
        <v>3250</v>
      </c>
      <c r="BN1374" t="s">
        <v>3250</v>
      </c>
      <c r="BP1374">
        <v>1</v>
      </c>
      <c r="BQ1374">
        <v>11</v>
      </c>
      <c r="BR1374" t="s">
        <v>1574</v>
      </c>
      <c r="BS1374" t="s">
        <v>3252</v>
      </c>
      <c r="BT1374">
        <v>8</v>
      </c>
      <c r="BV1374">
        <v>0</v>
      </c>
      <c r="BW1374">
        <v>0</v>
      </c>
      <c r="BX1374">
        <v>0</v>
      </c>
      <c r="BY1374">
        <v>3408647</v>
      </c>
      <c r="BZ1374">
        <v>0</v>
      </c>
      <c r="CA1374">
        <v>0</v>
      </c>
      <c r="CB1374">
        <v>0</v>
      </c>
      <c r="CC1374">
        <v>0</v>
      </c>
      <c r="CD1374">
        <v>0</v>
      </c>
      <c r="CE1374" t="s">
        <v>3108</v>
      </c>
      <c r="CF1374" t="s">
        <v>3108</v>
      </c>
      <c r="CG1374" t="s">
        <v>3108</v>
      </c>
      <c r="CH1374" t="s">
        <v>3108</v>
      </c>
    </row>
    <row r="1375" spans="1:86" x14ac:dyDescent="0.2">
      <c r="A1375" t="s">
        <v>5309</v>
      </c>
      <c r="B1375" t="s">
        <v>5309</v>
      </c>
      <c r="C1375">
        <v>51855</v>
      </c>
      <c r="D1375">
        <v>1489</v>
      </c>
      <c r="E1375" t="s">
        <v>5310</v>
      </c>
      <c r="F1375" t="s">
        <v>3249</v>
      </c>
      <c r="G1375" t="s">
        <v>3249</v>
      </c>
      <c r="H1375" t="s">
        <v>3250</v>
      </c>
      <c r="I1375" t="s">
        <v>3250</v>
      </c>
      <c r="J1375" t="s">
        <v>3250</v>
      </c>
      <c r="K1375" t="s">
        <v>3250</v>
      </c>
      <c r="L1375">
        <v>1200</v>
      </c>
      <c r="M1375" t="s">
        <v>2368</v>
      </c>
      <c r="N1375">
        <v>1204</v>
      </c>
      <c r="O1375" t="s">
        <v>1574</v>
      </c>
      <c r="P1375" t="s">
        <v>3108</v>
      </c>
      <c r="Q1375" t="s">
        <v>3249</v>
      </c>
      <c r="R1375" t="s">
        <v>3249</v>
      </c>
      <c r="S1375" t="s">
        <v>472</v>
      </c>
      <c r="T1375" t="s">
        <v>3251</v>
      </c>
      <c r="U1375">
        <v>130</v>
      </c>
      <c r="V1375" t="s">
        <v>4716</v>
      </c>
      <c r="W1375">
        <v>130</v>
      </c>
      <c r="X1375" t="s">
        <v>4716</v>
      </c>
      <c r="Y1375" t="s">
        <v>2755</v>
      </c>
      <c r="Z1375" t="s">
        <v>5308</v>
      </c>
      <c r="AA1375" t="s">
        <v>2755</v>
      </c>
      <c r="AB1375" t="s">
        <v>5308</v>
      </c>
      <c r="AC1375">
        <v>200</v>
      </c>
      <c r="AD1375" t="s">
        <v>5291</v>
      </c>
      <c r="AE1375">
        <v>480</v>
      </c>
      <c r="AF1375" t="s">
        <v>822</v>
      </c>
      <c r="AG1375" t="s">
        <v>3250</v>
      </c>
      <c r="AH1375" t="s">
        <v>3250</v>
      </c>
      <c r="AI1375" t="s">
        <v>3250</v>
      </c>
      <c r="AJ1375" t="s">
        <v>3250</v>
      </c>
      <c r="AL1375" t="s">
        <v>3250</v>
      </c>
      <c r="AM1375" t="s">
        <v>3250</v>
      </c>
      <c r="AN1375" t="s">
        <v>3250</v>
      </c>
      <c r="AO1375" t="s">
        <v>3250</v>
      </c>
      <c r="AS1375" t="s">
        <v>3250</v>
      </c>
      <c r="AT1375" t="s">
        <v>3250</v>
      </c>
      <c r="AU1375" t="s">
        <v>3250</v>
      </c>
      <c r="AV1375" t="s">
        <v>3250</v>
      </c>
      <c r="AW1375" t="s">
        <v>3250</v>
      </c>
      <c r="AX1375" t="s">
        <v>3250</v>
      </c>
      <c r="AY1375" t="s">
        <v>3250</v>
      </c>
      <c r="AZ1375" t="s">
        <v>3250</v>
      </c>
      <c r="BA1375" t="s">
        <v>3250</v>
      </c>
      <c r="BB1375" t="s">
        <v>3250</v>
      </c>
      <c r="BC1375" t="s">
        <v>3250</v>
      </c>
      <c r="BE1375" t="s">
        <v>3250</v>
      </c>
      <c r="BF1375" t="s">
        <v>3250</v>
      </c>
      <c r="BG1375" t="s">
        <v>3250</v>
      </c>
      <c r="BH1375" t="s">
        <v>3250</v>
      </c>
      <c r="BI1375" t="s">
        <v>3250</v>
      </c>
      <c r="BK1375" t="s">
        <v>3250</v>
      </c>
      <c r="BL1375" t="s">
        <v>3250</v>
      </c>
      <c r="BM1375" t="s">
        <v>3250</v>
      </c>
      <c r="BN1375" t="s">
        <v>3250</v>
      </c>
      <c r="BP1375">
        <v>1</v>
      </c>
      <c r="BQ1375">
        <v>11</v>
      </c>
      <c r="BR1375" t="s">
        <v>1574</v>
      </c>
      <c r="BS1375" t="s">
        <v>3252</v>
      </c>
      <c r="BT1375">
        <v>8</v>
      </c>
      <c r="BV1375">
        <v>0</v>
      </c>
      <c r="BW1375">
        <v>0</v>
      </c>
      <c r="BX1375">
        <v>0</v>
      </c>
      <c r="BY1375">
        <v>0</v>
      </c>
      <c r="BZ1375">
        <v>0</v>
      </c>
      <c r="CA1375">
        <v>0</v>
      </c>
      <c r="CB1375">
        <v>0</v>
      </c>
      <c r="CC1375">
        <v>0</v>
      </c>
      <c r="CD1375">
        <v>0</v>
      </c>
      <c r="CE1375" t="s">
        <v>3108</v>
      </c>
      <c r="CF1375" t="s">
        <v>3108</v>
      </c>
      <c r="CG1375" t="s">
        <v>3108</v>
      </c>
      <c r="CH1375" t="s">
        <v>3108</v>
      </c>
    </row>
    <row r="1376" spans="1:86" x14ac:dyDescent="0.2">
      <c r="A1376" t="s">
        <v>5311</v>
      </c>
      <c r="B1376" t="s">
        <v>5311</v>
      </c>
      <c r="C1376">
        <v>51856</v>
      </c>
      <c r="E1376" t="s">
        <v>5115</v>
      </c>
      <c r="F1376" t="s">
        <v>3249</v>
      </c>
      <c r="G1376" t="s">
        <v>3249</v>
      </c>
      <c r="H1376" t="s">
        <v>3250</v>
      </c>
      <c r="I1376" t="s">
        <v>3250</v>
      </c>
      <c r="J1376" t="s">
        <v>3250</v>
      </c>
      <c r="K1376" t="s">
        <v>3250</v>
      </c>
      <c r="L1376">
        <v>1200</v>
      </c>
      <c r="M1376" t="s">
        <v>2368</v>
      </c>
      <c r="N1376">
        <v>1204</v>
      </c>
      <c r="O1376" t="s">
        <v>1574</v>
      </c>
      <c r="P1376" t="s">
        <v>3108</v>
      </c>
      <c r="Q1376" t="s">
        <v>3249</v>
      </c>
      <c r="R1376" t="s">
        <v>3249</v>
      </c>
      <c r="S1376" t="s">
        <v>472</v>
      </c>
      <c r="T1376" t="s">
        <v>3251</v>
      </c>
      <c r="U1376">
        <v>120</v>
      </c>
      <c r="V1376" t="s">
        <v>599</v>
      </c>
      <c r="W1376">
        <v>120</v>
      </c>
      <c r="X1376" t="s">
        <v>599</v>
      </c>
      <c r="Y1376" t="s">
        <v>2755</v>
      </c>
      <c r="Z1376" t="s">
        <v>5308</v>
      </c>
      <c r="AA1376" t="s">
        <v>2755</v>
      </c>
      <c r="AB1376" t="s">
        <v>5308</v>
      </c>
      <c r="AC1376" t="s">
        <v>3250</v>
      </c>
      <c r="AD1376" t="s">
        <v>3250</v>
      </c>
      <c r="AE1376" t="s">
        <v>3250</v>
      </c>
      <c r="AF1376" t="s">
        <v>3250</v>
      </c>
      <c r="AG1376" t="s">
        <v>3250</v>
      </c>
      <c r="AH1376" t="s">
        <v>3250</v>
      </c>
      <c r="AI1376" t="s">
        <v>3250</v>
      </c>
      <c r="AJ1376" t="s">
        <v>3250</v>
      </c>
      <c r="AL1376" t="s">
        <v>3250</v>
      </c>
      <c r="AM1376" t="s">
        <v>3250</v>
      </c>
      <c r="AN1376" t="s">
        <v>3250</v>
      </c>
      <c r="AO1376" t="s">
        <v>3250</v>
      </c>
      <c r="AR1376" t="s">
        <v>472</v>
      </c>
      <c r="AS1376" t="s">
        <v>3250</v>
      </c>
      <c r="AT1376" t="s">
        <v>3250</v>
      </c>
      <c r="AU1376" t="s">
        <v>3250</v>
      </c>
      <c r="AV1376" t="s">
        <v>3250</v>
      </c>
      <c r="AW1376" t="s">
        <v>3250</v>
      </c>
      <c r="AX1376" t="s">
        <v>3250</v>
      </c>
      <c r="AY1376" t="s">
        <v>3250</v>
      </c>
      <c r="AZ1376" t="s">
        <v>3250</v>
      </c>
      <c r="BA1376" t="s">
        <v>3250</v>
      </c>
      <c r="BB1376" t="s">
        <v>3250</v>
      </c>
      <c r="BC1376" t="s">
        <v>3250</v>
      </c>
      <c r="BE1376" t="s">
        <v>3250</v>
      </c>
      <c r="BF1376" t="s">
        <v>3250</v>
      </c>
      <c r="BG1376" t="s">
        <v>3250</v>
      </c>
      <c r="BH1376" t="s">
        <v>3250</v>
      </c>
      <c r="BI1376" t="s">
        <v>3250</v>
      </c>
      <c r="BK1376" t="s">
        <v>3250</v>
      </c>
      <c r="BL1376" t="s">
        <v>3250</v>
      </c>
      <c r="BM1376" t="s">
        <v>3250</v>
      </c>
      <c r="BN1376" t="s">
        <v>3250</v>
      </c>
      <c r="BP1376">
        <v>1</v>
      </c>
      <c r="BQ1376">
        <v>11</v>
      </c>
      <c r="BR1376" t="s">
        <v>1574</v>
      </c>
      <c r="BS1376" t="s">
        <v>3252</v>
      </c>
      <c r="BV1376">
        <v>0</v>
      </c>
      <c r="BW1376">
        <v>0</v>
      </c>
      <c r="BX1376">
        <v>0</v>
      </c>
      <c r="BY1376">
        <v>0</v>
      </c>
      <c r="BZ1376">
        <v>0</v>
      </c>
      <c r="CA1376">
        <v>70470000</v>
      </c>
      <c r="CB1376">
        <v>82843000</v>
      </c>
      <c r="CC1376">
        <v>81817000</v>
      </c>
      <c r="CD1376">
        <v>0</v>
      </c>
      <c r="CE1376" t="s">
        <v>3108</v>
      </c>
      <c r="CF1376" t="s">
        <v>3108</v>
      </c>
      <c r="CG1376" t="s">
        <v>3108</v>
      </c>
      <c r="CH1376" t="s">
        <v>3108</v>
      </c>
    </row>
    <row r="1377" spans="1:86" x14ac:dyDescent="0.2">
      <c r="A1377" t="s">
        <v>5312</v>
      </c>
      <c r="B1377" t="s">
        <v>5312</v>
      </c>
      <c r="C1377">
        <v>51857</v>
      </c>
      <c r="D1377">
        <v>1491</v>
      </c>
      <c r="E1377" t="s">
        <v>5313</v>
      </c>
      <c r="F1377" t="s">
        <v>3249</v>
      </c>
      <c r="G1377" t="s">
        <v>3249</v>
      </c>
      <c r="H1377" t="s">
        <v>3250</v>
      </c>
      <c r="I1377" t="s">
        <v>3250</v>
      </c>
      <c r="J1377" t="s">
        <v>3250</v>
      </c>
      <c r="K1377" t="s">
        <v>3250</v>
      </c>
      <c r="L1377">
        <v>1200</v>
      </c>
      <c r="M1377" t="s">
        <v>2368</v>
      </c>
      <c r="N1377">
        <v>1204</v>
      </c>
      <c r="O1377" t="s">
        <v>1574</v>
      </c>
      <c r="P1377" t="s">
        <v>3108</v>
      </c>
      <c r="Q1377" t="s">
        <v>3249</v>
      </c>
      <c r="R1377" t="s">
        <v>3249</v>
      </c>
      <c r="S1377" t="s">
        <v>472</v>
      </c>
      <c r="T1377" t="s">
        <v>3251</v>
      </c>
      <c r="U1377">
        <v>130</v>
      </c>
      <c r="V1377" t="s">
        <v>4716</v>
      </c>
      <c r="W1377">
        <v>130</v>
      </c>
      <c r="X1377" t="s">
        <v>4716</v>
      </c>
      <c r="Y1377" t="s">
        <v>5314</v>
      </c>
      <c r="Z1377" t="s">
        <v>5308</v>
      </c>
      <c r="AA1377" t="s">
        <v>5314</v>
      </c>
      <c r="AB1377" t="s">
        <v>5308</v>
      </c>
      <c r="AC1377" t="s">
        <v>3250</v>
      </c>
      <c r="AD1377" t="s">
        <v>3250</v>
      </c>
      <c r="AE1377" t="s">
        <v>3250</v>
      </c>
      <c r="AF1377" t="s">
        <v>3250</v>
      </c>
      <c r="AG1377" t="s">
        <v>3250</v>
      </c>
      <c r="AH1377" t="s">
        <v>3250</v>
      </c>
      <c r="AI1377" t="s">
        <v>3250</v>
      </c>
      <c r="AJ1377" t="s">
        <v>3250</v>
      </c>
      <c r="AL1377" t="s">
        <v>3250</v>
      </c>
      <c r="AM1377" t="s">
        <v>3250</v>
      </c>
      <c r="AN1377" t="s">
        <v>3250</v>
      </c>
      <c r="AO1377" t="s">
        <v>3250</v>
      </c>
      <c r="AS1377" t="s">
        <v>3250</v>
      </c>
      <c r="AT1377" t="s">
        <v>3250</v>
      </c>
      <c r="AU1377" t="s">
        <v>3250</v>
      </c>
      <c r="AV1377" t="s">
        <v>3250</v>
      </c>
      <c r="AW1377" t="s">
        <v>3250</v>
      </c>
      <c r="AX1377" t="s">
        <v>3250</v>
      </c>
      <c r="AY1377" t="s">
        <v>3250</v>
      </c>
      <c r="AZ1377" t="s">
        <v>3250</v>
      </c>
      <c r="BA1377" t="s">
        <v>3250</v>
      </c>
      <c r="BB1377" t="s">
        <v>3250</v>
      </c>
      <c r="BC1377" t="s">
        <v>3250</v>
      </c>
      <c r="BE1377" t="s">
        <v>3250</v>
      </c>
      <c r="BF1377" t="s">
        <v>3250</v>
      </c>
      <c r="BG1377" t="s">
        <v>3250</v>
      </c>
      <c r="BH1377" t="s">
        <v>3250</v>
      </c>
      <c r="BI1377" t="s">
        <v>3250</v>
      </c>
      <c r="BK1377" t="s">
        <v>3250</v>
      </c>
      <c r="BL1377" t="s">
        <v>3250</v>
      </c>
      <c r="BM1377" t="s">
        <v>3250</v>
      </c>
      <c r="BN1377" t="s">
        <v>3250</v>
      </c>
      <c r="BP1377">
        <v>1</v>
      </c>
      <c r="BQ1377">
        <v>11</v>
      </c>
      <c r="BR1377" t="s">
        <v>1574</v>
      </c>
      <c r="BS1377" t="s">
        <v>3252</v>
      </c>
      <c r="BT1377">
        <v>8</v>
      </c>
      <c r="BV1377">
        <v>0</v>
      </c>
      <c r="BW1377">
        <v>0</v>
      </c>
      <c r="BX1377">
        <v>15618893</v>
      </c>
      <c r="BY1377">
        <v>0</v>
      </c>
      <c r="BZ1377">
        <v>0</v>
      </c>
      <c r="CA1377">
        <v>0</v>
      </c>
      <c r="CB1377">
        <v>0</v>
      </c>
      <c r="CC1377">
        <v>0</v>
      </c>
      <c r="CD1377">
        <v>0</v>
      </c>
      <c r="CE1377" t="s">
        <v>3108</v>
      </c>
      <c r="CF1377" t="s">
        <v>3108</v>
      </c>
      <c r="CG1377" t="s">
        <v>3108</v>
      </c>
      <c r="CH1377" t="s">
        <v>3108</v>
      </c>
    </row>
    <row r="1378" spans="1:86" x14ac:dyDescent="0.2">
      <c r="A1378" t="s">
        <v>5315</v>
      </c>
      <c r="B1378" t="s">
        <v>5315</v>
      </c>
      <c r="C1378">
        <v>51859</v>
      </c>
      <c r="D1378">
        <v>246</v>
      </c>
      <c r="E1378" t="s">
        <v>4250</v>
      </c>
      <c r="F1378" t="s">
        <v>3249</v>
      </c>
      <c r="G1378" t="s">
        <v>3249</v>
      </c>
      <c r="H1378" t="s">
        <v>3250</v>
      </c>
      <c r="I1378" t="s">
        <v>3250</v>
      </c>
      <c r="J1378" t="s">
        <v>3250</v>
      </c>
      <c r="K1378" t="s">
        <v>3250</v>
      </c>
      <c r="L1378">
        <v>2100</v>
      </c>
      <c r="M1378" t="s">
        <v>123</v>
      </c>
      <c r="N1378">
        <v>2106</v>
      </c>
      <c r="O1378" t="s">
        <v>2399</v>
      </c>
      <c r="P1378" t="s">
        <v>2805</v>
      </c>
      <c r="Q1378">
        <v>2010</v>
      </c>
      <c r="R1378" t="s">
        <v>1355</v>
      </c>
      <c r="S1378" t="s">
        <v>427</v>
      </c>
      <c r="T1378" t="s">
        <v>3251</v>
      </c>
      <c r="U1378">
        <v>240</v>
      </c>
      <c r="V1378" t="s">
        <v>4251</v>
      </c>
      <c r="W1378">
        <v>240</v>
      </c>
      <c r="X1378" t="s">
        <v>1323</v>
      </c>
      <c r="Y1378" t="s">
        <v>3250</v>
      </c>
      <c r="Z1378" t="s">
        <v>3250</v>
      </c>
      <c r="AA1378" t="s">
        <v>3108</v>
      </c>
      <c r="AB1378" t="s">
        <v>3108</v>
      </c>
      <c r="AC1378" t="s">
        <v>3250</v>
      </c>
      <c r="AD1378" t="s">
        <v>3250</v>
      </c>
      <c r="AE1378" t="s">
        <v>3250</v>
      </c>
      <c r="AF1378" t="s">
        <v>3250</v>
      </c>
      <c r="AG1378" t="s">
        <v>3250</v>
      </c>
      <c r="AH1378" t="s">
        <v>3250</v>
      </c>
      <c r="AI1378" t="s">
        <v>3250</v>
      </c>
      <c r="AJ1378" t="s">
        <v>3250</v>
      </c>
      <c r="AK1378">
        <v>770</v>
      </c>
      <c r="AL1378">
        <v>241</v>
      </c>
      <c r="AM1378" t="s">
        <v>1455</v>
      </c>
      <c r="AN1378">
        <v>241</v>
      </c>
      <c r="AO1378" t="s">
        <v>1455</v>
      </c>
      <c r="AS1378">
        <v>790</v>
      </c>
      <c r="AT1378">
        <v>790</v>
      </c>
      <c r="AU1378" t="s">
        <v>2284</v>
      </c>
      <c r="AV1378" t="s">
        <v>2284</v>
      </c>
      <c r="AW1378" t="s">
        <v>3250</v>
      </c>
      <c r="AX1378" t="s">
        <v>3250</v>
      </c>
      <c r="AY1378" t="s">
        <v>3250</v>
      </c>
      <c r="AZ1378" t="s">
        <v>3250</v>
      </c>
      <c r="BA1378" t="s">
        <v>3250</v>
      </c>
      <c r="BB1378" t="s">
        <v>3250</v>
      </c>
      <c r="BC1378" t="s">
        <v>3250</v>
      </c>
      <c r="BE1378" t="s">
        <v>3250</v>
      </c>
      <c r="BF1378" t="s">
        <v>3250</v>
      </c>
      <c r="BG1378" t="s">
        <v>3250</v>
      </c>
      <c r="BH1378" t="s">
        <v>3250</v>
      </c>
      <c r="BI1378" t="s">
        <v>3250</v>
      </c>
      <c r="BK1378" t="s">
        <v>3250</v>
      </c>
      <c r="BL1378" t="s">
        <v>3250</v>
      </c>
      <c r="BM1378" t="s">
        <v>3250</v>
      </c>
      <c r="BN1378" t="s">
        <v>3250</v>
      </c>
      <c r="BP1378">
        <v>5</v>
      </c>
      <c r="BQ1378">
        <v>53</v>
      </c>
      <c r="BR1378" t="s">
        <v>2399</v>
      </c>
      <c r="BS1378" t="s">
        <v>4136</v>
      </c>
      <c r="BV1378">
        <v>0</v>
      </c>
      <c r="BW1378">
        <v>0</v>
      </c>
      <c r="BX1378">
        <v>2898101</v>
      </c>
      <c r="BY1378">
        <v>0</v>
      </c>
      <c r="BZ1378">
        <v>748589</v>
      </c>
      <c r="CA1378">
        <v>0</v>
      </c>
      <c r="CB1378">
        <v>0</v>
      </c>
      <c r="CC1378">
        <v>0</v>
      </c>
      <c r="CD1378">
        <v>0</v>
      </c>
      <c r="CE1378" t="s">
        <v>3108</v>
      </c>
      <c r="CF1378" t="s">
        <v>3108</v>
      </c>
      <c r="CG1378" t="s">
        <v>3108</v>
      </c>
      <c r="CH1378" t="s">
        <v>3108</v>
      </c>
    </row>
    <row r="1379" spans="1:86" x14ac:dyDescent="0.2">
      <c r="A1379" t="s">
        <v>5316</v>
      </c>
      <c r="B1379" t="s">
        <v>5316</v>
      </c>
      <c r="C1379">
        <v>51860</v>
      </c>
      <c r="D1379">
        <v>1492</v>
      </c>
      <c r="E1379" t="s">
        <v>5317</v>
      </c>
      <c r="F1379" t="s">
        <v>3249</v>
      </c>
      <c r="G1379" t="s">
        <v>3249</v>
      </c>
      <c r="H1379" t="s">
        <v>3250</v>
      </c>
      <c r="I1379" t="s">
        <v>3250</v>
      </c>
      <c r="J1379" t="s">
        <v>3250</v>
      </c>
      <c r="K1379" t="s">
        <v>3250</v>
      </c>
      <c r="L1379">
        <v>1200</v>
      </c>
      <c r="M1379" t="s">
        <v>2368</v>
      </c>
      <c r="N1379">
        <v>1202</v>
      </c>
      <c r="O1379" t="s">
        <v>2371</v>
      </c>
      <c r="P1379" t="s">
        <v>3108</v>
      </c>
      <c r="Q1379">
        <v>2080</v>
      </c>
      <c r="R1379" t="s">
        <v>423</v>
      </c>
      <c r="S1379" t="s">
        <v>427</v>
      </c>
      <c r="T1379" t="s">
        <v>3251</v>
      </c>
      <c r="U1379">
        <v>220</v>
      </c>
      <c r="V1379" t="s">
        <v>5318</v>
      </c>
      <c r="W1379">
        <v>220</v>
      </c>
      <c r="X1379" t="s">
        <v>1324</v>
      </c>
      <c r="Y1379" t="s">
        <v>3250</v>
      </c>
      <c r="Z1379" t="s">
        <v>3250</v>
      </c>
      <c r="AA1379" t="s">
        <v>3108</v>
      </c>
      <c r="AB1379" t="s">
        <v>3108</v>
      </c>
      <c r="AC1379" t="s">
        <v>3250</v>
      </c>
      <c r="AD1379" t="s">
        <v>3250</v>
      </c>
      <c r="AE1379" t="s">
        <v>3250</v>
      </c>
      <c r="AF1379" t="s">
        <v>3250</v>
      </c>
      <c r="AG1379">
        <v>1110</v>
      </c>
      <c r="AH1379" t="s">
        <v>829</v>
      </c>
      <c r="AI1379">
        <v>1110</v>
      </c>
      <c r="AJ1379" t="s">
        <v>829</v>
      </c>
      <c r="AL1379" t="s">
        <v>3250</v>
      </c>
      <c r="AM1379" t="s">
        <v>3250</v>
      </c>
      <c r="AN1379" t="s">
        <v>3250</v>
      </c>
      <c r="AO1379" t="s">
        <v>3250</v>
      </c>
      <c r="AS1379" t="s">
        <v>3250</v>
      </c>
      <c r="AT1379" t="s">
        <v>3250</v>
      </c>
      <c r="AU1379" t="s">
        <v>3250</v>
      </c>
      <c r="AV1379" t="s">
        <v>3250</v>
      </c>
      <c r="AW1379">
        <v>1160</v>
      </c>
      <c r="AX1379" t="s">
        <v>2339</v>
      </c>
      <c r="AY1379" t="s">
        <v>3250</v>
      </c>
      <c r="AZ1379" t="s">
        <v>3250</v>
      </c>
      <c r="BA1379">
        <v>1160</v>
      </c>
      <c r="BB1379" t="s">
        <v>3250</v>
      </c>
      <c r="BC1379" t="s">
        <v>3250</v>
      </c>
      <c r="BE1379" t="s">
        <v>3250</v>
      </c>
      <c r="BF1379" t="s">
        <v>3250</v>
      </c>
      <c r="BG1379" t="s">
        <v>2339</v>
      </c>
      <c r="BH1379" t="s">
        <v>3250</v>
      </c>
      <c r="BI1379" t="s">
        <v>3250</v>
      </c>
      <c r="BK1379" t="s">
        <v>3250</v>
      </c>
      <c r="BL1379" t="s">
        <v>3250</v>
      </c>
      <c r="BM1379" t="s">
        <v>3250</v>
      </c>
      <c r="BN1379" t="s">
        <v>3250</v>
      </c>
      <c r="BP1379">
        <v>1</v>
      </c>
      <c r="BQ1379">
        <v>13</v>
      </c>
      <c r="BR1379" t="s">
        <v>2371</v>
      </c>
      <c r="BS1379" t="s">
        <v>3252</v>
      </c>
      <c r="BV1379">
        <v>0</v>
      </c>
      <c r="BW1379">
        <v>0</v>
      </c>
      <c r="BX1379">
        <v>0</v>
      </c>
      <c r="BY1379">
        <v>0</v>
      </c>
      <c r="BZ1379">
        <v>0</v>
      </c>
      <c r="CA1379">
        <v>0</v>
      </c>
      <c r="CB1379">
        <v>0</v>
      </c>
      <c r="CC1379">
        <v>0</v>
      </c>
      <c r="CD1379">
        <v>0</v>
      </c>
      <c r="CE1379" t="s">
        <v>3108</v>
      </c>
      <c r="CF1379" t="s">
        <v>3108</v>
      </c>
      <c r="CG1379" t="s">
        <v>3108</v>
      </c>
      <c r="CH1379" t="s">
        <v>3108</v>
      </c>
    </row>
    <row r="1380" spans="1:86" x14ac:dyDescent="0.2">
      <c r="A1380" t="s">
        <v>5319</v>
      </c>
      <c r="B1380" t="s">
        <v>5319</v>
      </c>
      <c r="C1380">
        <v>51861</v>
      </c>
      <c r="D1380">
        <v>1493</v>
      </c>
      <c r="E1380" t="s">
        <v>5320</v>
      </c>
      <c r="F1380">
        <v>1000</v>
      </c>
      <c r="G1380" t="s">
        <v>404</v>
      </c>
      <c r="H1380">
        <v>1000</v>
      </c>
      <c r="I1380" t="s">
        <v>404</v>
      </c>
      <c r="J1380" t="s">
        <v>3250</v>
      </c>
      <c r="K1380" t="s">
        <v>3250</v>
      </c>
      <c r="L1380">
        <v>1200</v>
      </c>
      <c r="M1380" t="s">
        <v>2368</v>
      </c>
      <c r="N1380">
        <v>1204</v>
      </c>
      <c r="O1380" t="s">
        <v>1574</v>
      </c>
      <c r="P1380" t="s">
        <v>3108</v>
      </c>
      <c r="Q1380" t="s">
        <v>3249</v>
      </c>
      <c r="R1380" t="s">
        <v>3249</v>
      </c>
      <c r="S1380" t="s">
        <v>472</v>
      </c>
      <c r="T1380" t="s">
        <v>2759</v>
      </c>
      <c r="U1380" t="s">
        <v>3250</v>
      </c>
      <c r="V1380" t="s">
        <v>3250</v>
      </c>
      <c r="W1380" t="s">
        <v>3250</v>
      </c>
      <c r="X1380" t="s">
        <v>3250</v>
      </c>
      <c r="Y1380" t="s">
        <v>3250</v>
      </c>
      <c r="Z1380" t="s">
        <v>3250</v>
      </c>
      <c r="AA1380" t="s">
        <v>3108</v>
      </c>
      <c r="AB1380" t="s">
        <v>3108</v>
      </c>
      <c r="AC1380" t="s">
        <v>3250</v>
      </c>
      <c r="AD1380" t="s">
        <v>3250</v>
      </c>
      <c r="AE1380" t="s">
        <v>3250</v>
      </c>
      <c r="AF1380" t="s">
        <v>3250</v>
      </c>
      <c r="AG1380" t="s">
        <v>3250</v>
      </c>
      <c r="AH1380" t="s">
        <v>3250</v>
      </c>
      <c r="AI1380" t="s">
        <v>3250</v>
      </c>
      <c r="AJ1380" t="s">
        <v>3250</v>
      </c>
      <c r="AL1380" t="s">
        <v>3250</v>
      </c>
      <c r="AM1380" t="s">
        <v>3250</v>
      </c>
      <c r="AN1380" t="s">
        <v>3250</v>
      </c>
      <c r="AO1380" t="s">
        <v>3250</v>
      </c>
      <c r="AS1380" t="s">
        <v>3250</v>
      </c>
      <c r="AT1380" t="s">
        <v>3250</v>
      </c>
      <c r="AU1380" t="s">
        <v>3250</v>
      </c>
      <c r="AV1380" t="s">
        <v>3250</v>
      </c>
      <c r="AW1380" t="s">
        <v>3250</v>
      </c>
      <c r="AX1380" t="s">
        <v>3250</v>
      </c>
      <c r="AY1380" t="s">
        <v>3250</v>
      </c>
      <c r="AZ1380" t="s">
        <v>3250</v>
      </c>
      <c r="BA1380" t="s">
        <v>3250</v>
      </c>
      <c r="BB1380" t="s">
        <v>3250</v>
      </c>
      <c r="BC1380" t="s">
        <v>3250</v>
      </c>
      <c r="BE1380" t="s">
        <v>3250</v>
      </c>
      <c r="BF1380" t="s">
        <v>3250</v>
      </c>
      <c r="BG1380" t="s">
        <v>3250</v>
      </c>
      <c r="BH1380" t="s">
        <v>3250</v>
      </c>
      <c r="BI1380" t="s">
        <v>3250</v>
      </c>
      <c r="BK1380" t="s">
        <v>3250</v>
      </c>
      <c r="BL1380" t="s">
        <v>3250</v>
      </c>
      <c r="BM1380" t="s">
        <v>3250</v>
      </c>
      <c r="BN1380" t="s">
        <v>3250</v>
      </c>
      <c r="BP1380">
        <v>1</v>
      </c>
      <c r="BQ1380">
        <v>11</v>
      </c>
      <c r="BR1380" t="s">
        <v>1574</v>
      </c>
      <c r="BS1380" t="s">
        <v>3252</v>
      </c>
      <c r="BV1380">
        <v>0</v>
      </c>
      <c r="BW1380">
        <v>0</v>
      </c>
      <c r="BX1380">
        <v>0</v>
      </c>
      <c r="BY1380">
        <v>0</v>
      </c>
      <c r="BZ1380">
        <v>0</v>
      </c>
      <c r="CA1380">
        <v>0</v>
      </c>
      <c r="CB1380">
        <v>0</v>
      </c>
      <c r="CC1380">
        <v>0</v>
      </c>
      <c r="CD1380">
        <v>0</v>
      </c>
      <c r="CE1380" t="s">
        <v>3108</v>
      </c>
      <c r="CF1380" t="s">
        <v>3108</v>
      </c>
      <c r="CG1380" t="s">
        <v>3108</v>
      </c>
      <c r="CH1380" t="s">
        <v>3108</v>
      </c>
    </row>
    <row r="1381" spans="1:86" x14ac:dyDescent="0.2">
      <c r="A1381" t="s">
        <v>5321</v>
      </c>
      <c r="B1381" t="s">
        <v>5321</v>
      </c>
      <c r="C1381">
        <v>51862</v>
      </c>
      <c r="D1381">
        <v>1420</v>
      </c>
      <c r="E1381" t="s">
        <v>4357</v>
      </c>
      <c r="F1381">
        <v>2700</v>
      </c>
      <c r="G1381" t="s">
        <v>411</v>
      </c>
      <c r="H1381" t="s">
        <v>3997</v>
      </c>
      <c r="I1381" t="s">
        <v>2533</v>
      </c>
      <c r="J1381">
        <v>2703</v>
      </c>
      <c r="K1381" t="s">
        <v>2533</v>
      </c>
      <c r="L1381">
        <v>3100</v>
      </c>
      <c r="M1381" t="s">
        <v>127</v>
      </c>
      <c r="N1381">
        <v>3107</v>
      </c>
      <c r="O1381" t="s">
        <v>2418</v>
      </c>
      <c r="P1381" t="s">
        <v>3108</v>
      </c>
      <c r="Q1381" t="s">
        <v>3249</v>
      </c>
      <c r="R1381" t="s">
        <v>3249</v>
      </c>
      <c r="S1381" t="s">
        <v>810</v>
      </c>
      <c r="T1381" t="s">
        <v>2754</v>
      </c>
      <c r="U1381" t="s">
        <v>3250</v>
      </c>
      <c r="V1381" t="s">
        <v>3250</v>
      </c>
      <c r="W1381" t="s">
        <v>3250</v>
      </c>
      <c r="X1381" t="s">
        <v>3250</v>
      </c>
      <c r="Y1381" t="s">
        <v>3250</v>
      </c>
      <c r="Z1381" t="s">
        <v>3250</v>
      </c>
      <c r="AA1381" t="s">
        <v>3108</v>
      </c>
      <c r="AB1381" t="s">
        <v>3108</v>
      </c>
      <c r="AC1381" t="s">
        <v>3250</v>
      </c>
      <c r="AD1381" t="s">
        <v>3250</v>
      </c>
      <c r="AE1381" t="s">
        <v>3250</v>
      </c>
      <c r="AF1381" t="s">
        <v>3250</v>
      </c>
      <c r="AG1381" t="s">
        <v>3250</v>
      </c>
      <c r="AH1381" t="s">
        <v>3250</v>
      </c>
      <c r="AI1381" t="s">
        <v>3250</v>
      </c>
      <c r="AJ1381" t="s">
        <v>3250</v>
      </c>
      <c r="AL1381" t="s">
        <v>3250</v>
      </c>
      <c r="AM1381" t="s">
        <v>3250</v>
      </c>
      <c r="AN1381" t="s">
        <v>3250</v>
      </c>
      <c r="AO1381" t="s">
        <v>3250</v>
      </c>
      <c r="AS1381" t="s">
        <v>3250</v>
      </c>
      <c r="AT1381" t="s">
        <v>3250</v>
      </c>
      <c r="AU1381" t="s">
        <v>3250</v>
      </c>
      <c r="AV1381" t="s">
        <v>3250</v>
      </c>
      <c r="AW1381" t="s">
        <v>3250</v>
      </c>
      <c r="AX1381" t="s">
        <v>3250</v>
      </c>
      <c r="AY1381" t="s">
        <v>3250</v>
      </c>
      <c r="AZ1381" t="s">
        <v>3250</v>
      </c>
      <c r="BA1381" t="s">
        <v>3250</v>
      </c>
      <c r="BB1381" t="s">
        <v>3250</v>
      </c>
      <c r="BC1381" t="s">
        <v>3250</v>
      </c>
      <c r="BD1381" t="s">
        <v>2820</v>
      </c>
      <c r="BE1381" t="s">
        <v>3250</v>
      </c>
      <c r="BF1381" t="s">
        <v>3250</v>
      </c>
      <c r="BG1381" t="s">
        <v>3250</v>
      </c>
      <c r="BH1381" t="s">
        <v>3250</v>
      </c>
      <c r="BI1381" t="s">
        <v>3250</v>
      </c>
      <c r="BK1381" t="s">
        <v>3250</v>
      </c>
      <c r="BL1381" t="s">
        <v>3250</v>
      </c>
      <c r="BM1381" t="s">
        <v>3250</v>
      </c>
      <c r="BN1381" t="s">
        <v>3250</v>
      </c>
      <c r="BP1381">
        <v>8</v>
      </c>
      <c r="BQ1381">
        <v>81</v>
      </c>
      <c r="BR1381" t="s">
        <v>2418</v>
      </c>
      <c r="BS1381" t="s">
        <v>4013</v>
      </c>
      <c r="BV1381">
        <v>0</v>
      </c>
      <c r="BW1381">
        <v>0</v>
      </c>
      <c r="BX1381">
        <v>351292</v>
      </c>
      <c r="BY1381">
        <v>0</v>
      </c>
      <c r="BZ1381">
        <v>0</v>
      </c>
      <c r="CA1381">
        <v>0</v>
      </c>
      <c r="CB1381">
        <v>0</v>
      </c>
      <c r="CC1381">
        <v>0</v>
      </c>
      <c r="CD1381">
        <v>-3</v>
      </c>
      <c r="CE1381" t="s">
        <v>3108</v>
      </c>
      <c r="CF1381" t="s">
        <v>3108</v>
      </c>
      <c r="CG1381" t="s">
        <v>3108</v>
      </c>
      <c r="CH1381" t="s">
        <v>3108</v>
      </c>
    </row>
    <row r="1382" spans="1:86" x14ac:dyDescent="0.2">
      <c r="A1382" t="s">
        <v>5322</v>
      </c>
      <c r="B1382" t="s">
        <v>5322</v>
      </c>
      <c r="C1382">
        <v>51863</v>
      </c>
      <c r="D1382">
        <v>1495</v>
      </c>
      <c r="E1382" t="s">
        <v>5323</v>
      </c>
      <c r="F1382" t="s">
        <v>3249</v>
      </c>
      <c r="G1382" t="s">
        <v>3249</v>
      </c>
      <c r="H1382" t="s">
        <v>3250</v>
      </c>
      <c r="I1382" t="s">
        <v>3250</v>
      </c>
      <c r="J1382" t="s">
        <v>3250</v>
      </c>
      <c r="K1382" t="s">
        <v>3250</v>
      </c>
      <c r="L1382">
        <v>1200</v>
      </c>
      <c r="M1382" t="s">
        <v>2368</v>
      </c>
      <c r="N1382">
        <v>1204</v>
      </c>
      <c r="O1382" t="s">
        <v>1574</v>
      </c>
      <c r="P1382" t="s">
        <v>3108</v>
      </c>
      <c r="Q1382">
        <v>2080</v>
      </c>
      <c r="R1382" t="s">
        <v>423</v>
      </c>
      <c r="S1382" t="s">
        <v>427</v>
      </c>
      <c r="T1382" t="s">
        <v>3251</v>
      </c>
      <c r="U1382" t="s">
        <v>3250</v>
      </c>
      <c r="V1382" t="s">
        <v>3250</v>
      </c>
      <c r="W1382" t="s">
        <v>3250</v>
      </c>
      <c r="X1382" t="s">
        <v>3250</v>
      </c>
      <c r="Y1382" t="s">
        <v>3250</v>
      </c>
      <c r="Z1382" t="s">
        <v>3250</v>
      </c>
      <c r="AA1382" t="s">
        <v>3108</v>
      </c>
      <c r="AB1382" t="s">
        <v>3108</v>
      </c>
      <c r="AC1382" t="s">
        <v>3250</v>
      </c>
      <c r="AD1382" t="s">
        <v>3250</v>
      </c>
      <c r="AE1382" t="s">
        <v>3250</v>
      </c>
      <c r="AF1382" t="s">
        <v>3250</v>
      </c>
      <c r="AG1382" t="s">
        <v>3250</v>
      </c>
      <c r="AH1382" t="s">
        <v>3250</v>
      </c>
      <c r="AI1382" t="s">
        <v>3250</v>
      </c>
      <c r="AJ1382" t="s">
        <v>3250</v>
      </c>
      <c r="AL1382" t="s">
        <v>3250</v>
      </c>
      <c r="AM1382" t="s">
        <v>3250</v>
      </c>
      <c r="AN1382" t="s">
        <v>3250</v>
      </c>
      <c r="AO1382" t="s">
        <v>3250</v>
      </c>
      <c r="AS1382" t="s">
        <v>3250</v>
      </c>
      <c r="AT1382" t="s">
        <v>3250</v>
      </c>
      <c r="AU1382" t="s">
        <v>3250</v>
      </c>
      <c r="AV1382" t="s">
        <v>3250</v>
      </c>
      <c r="AW1382" t="s">
        <v>3250</v>
      </c>
      <c r="AX1382" t="s">
        <v>3250</v>
      </c>
      <c r="AY1382" t="s">
        <v>3250</v>
      </c>
      <c r="AZ1382" t="s">
        <v>3250</v>
      </c>
      <c r="BA1382" t="s">
        <v>3250</v>
      </c>
      <c r="BB1382" t="s">
        <v>3250</v>
      </c>
      <c r="BC1382" t="s">
        <v>3250</v>
      </c>
      <c r="BE1382" t="s">
        <v>3250</v>
      </c>
      <c r="BF1382" t="s">
        <v>3250</v>
      </c>
      <c r="BG1382" t="s">
        <v>3250</v>
      </c>
      <c r="BH1382" t="s">
        <v>3250</v>
      </c>
      <c r="BI1382" t="s">
        <v>3250</v>
      </c>
      <c r="BK1382">
        <v>1130</v>
      </c>
      <c r="BL1382" t="s">
        <v>2339</v>
      </c>
      <c r="BM1382">
        <v>1130</v>
      </c>
      <c r="BN1382" t="s">
        <v>2339</v>
      </c>
      <c r="BP1382">
        <v>1</v>
      </c>
      <c r="BQ1382">
        <v>11</v>
      </c>
      <c r="BR1382" t="s">
        <v>1574</v>
      </c>
      <c r="BS1382" t="s">
        <v>3252</v>
      </c>
      <c r="BV1382">
        <v>0</v>
      </c>
      <c r="BW1382">
        <v>0</v>
      </c>
      <c r="BX1382">
        <v>0</v>
      </c>
      <c r="BY1382">
        <v>0</v>
      </c>
      <c r="BZ1382">
        <v>0</v>
      </c>
      <c r="CA1382">
        <v>0</v>
      </c>
      <c r="CB1382">
        <v>0</v>
      </c>
      <c r="CC1382">
        <v>0</v>
      </c>
      <c r="CD1382">
        <v>0</v>
      </c>
      <c r="CE1382" t="s">
        <v>3108</v>
      </c>
      <c r="CF1382" t="s">
        <v>3108</v>
      </c>
      <c r="CG1382" t="s">
        <v>3108</v>
      </c>
      <c r="CH1382" t="s">
        <v>3108</v>
      </c>
    </row>
    <row r="1383" spans="1:86" x14ac:dyDescent="0.2">
      <c r="A1383" t="s">
        <v>5324</v>
      </c>
      <c r="B1383" t="s">
        <v>5324</v>
      </c>
      <c r="C1383">
        <v>51864</v>
      </c>
      <c r="D1383">
        <v>1497</v>
      </c>
      <c r="E1383" t="s">
        <v>5325</v>
      </c>
      <c r="F1383">
        <v>2700</v>
      </c>
      <c r="G1383" t="s">
        <v>411</v>
      </c>
      <c r="H1383" t="s">
        <v>3837</v>
      </c>
      <c r="I1383" t="s">
        <v>2532</v>
      </c>
      <c r="J1383">
        <v>2702</v>
      </c>
      <c r="K1383" t="s">
        <v>2532</v>
      </c>
      <c r="L1383">
        <v>1200</v>
      </c>
      <c r="M1383" t="s">
        <v>2368</v>
      </c>
      <c r="N1383">
        <v>1206</v>
      </c>
      <c r="O1383" t="s">
        <v>285</v>
      </c>
      <c r="P1383" t="s">
        <v>3108</v>
      </c>
      <c r="Q1383" t="s">
        <v>3249</v>
      </c>
      <c r="R1383" t="s">
        <v>3249</v>
      </c>
      <c r="S1383" t="s">
        <v>810</v>
      </c>
      <c r="T1383" t="s">
        <v>2754</v>
      </c>
      <c r="U1383" t="s">
        <v>3250</v>
      </c>
      <c r="V1383" t="s">
        <v>3250</v>
      </c>
      <c r="W1383" t="s">
        <v>3250</v>
      </c>
      <c r="X1383" t="s">
        <v>3250</v>
      </c>
      <c r="Y1383" t="s">
        <v>3250</v>
      </c>
      <c r="Z1383" t="s">
        <v>3250</v>
      </c>
      <c r="AA1383" t="s">
        <v>3108</v>
      </c>
      <c r="AB1383" t="s">
        <v>3108</v>
      </c>
      <c r="AC1383" t="s">
        <v>3250</v>
      </c>
      <c r="AD1383" t="s">
        <v>3250</v>
      </c>
      <c r="AE1383" t="s">
        <v>3250</v>
      </c>
      <c r="AF1383" t="s">
        <v>3250</v>
      </c>
      <c r="AG1383" t="s">
        <v>3250</v>
      </c>
      <c r="AH1383" t="s">
        <v>3250</v>
      </c>
      <c r="AI1383" t="s">
        <v>3250</v>
      </c>
      <c r="AJ1383" t="s">
        <v>3250</v>
      </c>
      <c r="AL1383" t="s">
        <v>3250</v>
      </c>
      <c r="AM1383" t="s">
        <v>3250</v>
      </c>
      <c r="AN1383" t="s">
        <v>3250</v>
      </c>
      <c r="AO1383" t="s">
        <v>3250</v>
      </c>
      <c r="AS1383" t="s">
        <v>3250</v>
      </c>
      <c r="AT1383" t="s">
        <v>3250</v>
      </c>
      <c r="AU1383" t="s">
        <v>3250</v>
      </c>
      <c r="AV1383" t="s">
        <v>3250</v>
      </c>
      <c r="AW1383" t="s">
        <v>3250</v>
      </c>
      <c r="AX1383" t="s">
        <v>3250</v>
      </c>
      <c r="AY1383" t="s">
        <v>3250</v>
      </c>
      <c r="AZ1383" t="s">
        <v>3250</v>
      </c>
      <c r="BA1383" t="s">
        <v>3250</v>
      </c>
      <c r="BB1383" t="s">
        <v>3250</v>
      </c>
      <c r="BC1383" t="s">
        <v>3250</v>
      </c>
      <c r="BE1383" t="s">
        <v>3250</v>
      </c>
      <c r="BF1383" t="s">
        <v>3250</v>
      </c>
      <c r="BG1383" t="s">
        <v>3250</v>
      </c>
      <c r="BH1383" t="s">
        <v>3250</v>
      </c>
      <c r="BI1383" t="s">
        <v>3250</v>
      </c>
      <c r="BK1383" t="s">
        <v>3250</v>
      </c>
      <c r="BL1383" t="s">
        <v>3250</v>
      </c>
      <c r="BM1383" t="s">
        <v>3250</v>
      </c>
      <c r="BN1383" t="s">
        <v>3250</v>
      </c>
      <c r="BP1383">
        <v>1</v>
      </c>
      <c r="BQ1383">
        <v>15</v>
      </c>
      <c r="BR1383" t="s">
        <v>285</v>
      </c>
      <c r="BS1383" t="s">
        <v>3252</v>
      </c>
      <c r="BV1383">
        <v>6710</v>
      </c>
      <c r="BW1383">
        <v>6065</v>
      </c>
      <c r="BX1383">
        <v>999</v>
      </c>
      <c r="BY1383">
        <v>50000</v>
      </c>
      <c r="BZ1383">
        <v>30000</v>
      </c>
      <c r="CA1383">
        <v>31170</v>
      </c>
      <c r="CB1383">
        <v>32417</v>
      </c>
      <c r="CC1383">
        <v>33713</v>
      </c>
      <c r="CD1383">
        <v>18895</v>
      </c>
      <c r="CE1383" t="s">
        <v>3108</v>
      </c>
      <c r="CF1383" t="s">
        <v>3108</v>
      </c>
      <c r="CG1383" t="s">
        <v>3108</v>
      </c>
      <c r="CH1383" t="s">
        <v>3108</v>
      </c>
    </row>
    <row r="1384" spans="1:86" x14ac:dyDescent="0.2">
      <c r="A1384" t="s">
        <v>5326</v>
      </c>
      <c r="B1384" t="s">
        <v>5326</v>
      </c>
      <c r="C1384">
        <v>51865</v>
      </c>
      <c r="D1384">
        <v>1498</v>
      </c>
      <c r="E1384" t="s">
        <v>4003</v>
      </c>
      <c r="F1384">
        <v>2700</v>
      </c>
      <c r="G1384" t="s">
        <v>411</v>
      </c>
      <c r="H1384" t="s">
        <v>4004</v>
      </c>
      <c r="I1384" t="s">
        <v>2531</v>
      </c>
      <c r="J1384">
        <v>2701</v>
      </c>
      <c r="K1384" t="s">
        <v>2531</v>
      </c>
      <c r="L1384">
        <v>1200</v>
      </c>
      <c r="M1384" t="s">
        <v>2368</v>
      </c>
      <c r="N1384">
        <v>1201</v>
      </c>
      <c r="O1384" t="s">
        <v>2370</v>
      </c>
      <c r="P1384" t="s">
        <v>3108</v>
      </c>
      <c r="Q1384" t="s">
        <v>3249</v>
      </c>
      <c r="R1384" t="s">
        <v>3249</v>
      </c>
      <c r="S1384" t="s">
        <v>810</v>
      </c>
      <c r="T1384" t="s">
        <v>2754</v>
      </c>
      <c r="U1384" t="s">
        <v>3250</v>
      </c>
      <c r="V1384" t="s">
        <v>3250</v>
      </c>
      <c r="W1384" t="s">
        <v>3250</v>
      </c>
      <c r="X1384" t="s">
        <v>3250</v>
      </c>
      <c r="Y1384" t="s">
        <v>3250</v>
      </c>
      <c r="Z1384" t="s">
        <v>3250</v>
      </c>
      <c r="AA1384" t="s">
        <v>3108</v>
      </c>
      <c r="AB1384" t="s">
        <v>3108</v>
      </c>
      <c r="AC1384" t="s">
        <v>3250</v>
      </c>
      <c r="AD1384" t="s">
        <v>3250</v>
      </c>
      <c r="AE1384" t="s">
        <v>3250</v>
      </c>
      <c r="AF1384" t="s">
        <v>3250</v>
      </c>
      <c r="AG1384" t="s">
        <v>3250</v>
      </c>
      <c r="AH1384" t="s">
        <v>3250</v>
      </c>
      <c r="AI1384" t="s">
        <v>3250</v>
      </c>
      <c r="AJ1384" t="s">
        <v>3250</v>
      </c>
      <c r="AL1384" t="s">
        <v>3250</v>
      </c>
      <c r="AM1384" t="s">
        <v>3250</v>
      </c>
      <c r="AN1384" t="s">
        <v>3250</v>
      </c>
      <c r="AO1384" t="s">
        <v>3250</v>
      </c>
      <c r="AS1384" t="s">
        <v>3250</v>
      </c>
      <c r="AT1384" t="s">
        <v>3250</v>
      </c>
      <c r="AU1384" t="s">
        <v>3250</v>
      </c>
      <c r="AV1384" t="s">
        <v>3250</v>
      </c>
      <c r="AW1384" t="s">
        <v>3250</v>
      </c>
      <c r="AX1384" t="s">
        <v>3250</v>
      </c>
      <c r="AY1384" t="s">
        <v>3250</v>
      </c>
      <c r="AZ1384" t="s">
        <v>3250</v>
      </c>
      <c r="BA1384" t="s">
        <v>3250</v>
      </c>
      <c r="BB1384" t="s">
        <v>3250</v>
      </c>
      <c r="BC1384" t="s">
        <v>3250</v>
      </c>
      <c r="BE1384" t="s">
        <v>3250</v>
      </c>
      <c r="BF1384" t="s">
        <v>3250</v>
      </c>
      <c r="BG1384" t="s">
        <v>3250</v>
      </c>
      <c r="BH1384" t="s">
        <v>3250</v>
      </c>
      <c r="BI1384" t="s">
        <v>3250</v>
      </c>
      <c r="BK1384" t="s">
        <v>3250</v>
      </c>
      <c r="BL1384" t="s">
        <v>3250</v>
      </c>
      <c r="BM1384" t="s">
        <v>3250</v>
      </c>
      <c r="BN1384" t="s">
        <v>3250</v>
      </c>
      <c r="BP1384">
        <v>1</v>
      </c>
      <c r="BQ1384">
        <v>14</v>
      </c>
      <c r="BR1384" t="s">
        <v>2370</v>
      </c>
      <c r="BS1384" t="s">
        <v>3252</v>
      </c>
      <c r="BV1384">
        <v>0</v>
      </c>
      <c r="BW1384">
        <v>0</v>
      </c>
      <c r="BX1384">
        <v>0</v>
      </c>
      <c r="BY1384">
        <v>0</v>
      </c>
      <c r="BZ1384">
        <v>0</v>
      </c>
      <c r="CA1384">
        <v>0</v>
      </c>
      <c r="CB1384">
        <v>0</v>
      </c>
      <c r="CC1384">
        <v>0</v>
      </c>
      <c r="CD1384">
        <v>0</v>
      </c>
      <c r="CE1384" t="s">
        <v>3108</v>
      </c>
      <c r="CF1384" t="s">
        <v>3108</v>
      </c>
      <c r="CG1384" t="s">
        <v>3108</v>
      </c>
      <c r="CH1384" t="s">
        <v>3108</v>
      </c>
    </row>
    <row r="1385" spans="1:86" x14ac:dyDescent="0.2">
      <c r="A1385" t="s">
        <v>5327</v>
      </c>
      <c r="B1385" t="s">
        <v>5327</v>
      </c>
      <c r="C1385">
        <v>51866</v>
      </c>
      <c r="D1385">
        <v>1499</v>
      </c>
      <c r="E1385" t="s">
        <v>4031</v>
      </c>
      <c r="F1385">
        <v>2900</v>
      </c>
      <c r="G1385" t="s">
        <v>822</v>
      </c>
      <c r="H1385" t="s">
        <v>3108</v>
      </c>
      <c r="I1385" t="s">
        <v>3108</v>
      </c>
      <c r="J1385">
        <v>2904</v>
      </c>
      <c r="K1385" t="s">
        <v>1690</v>
      </c>
      <c r="L1385">
        <v>1200</v>
      </c>
      <c r="M1385" t="s">
        <v>2368</v>
      </c>
      <c r="N1385">
        <v>1201</v>
      </c>
      <c r="O1385" t="s">
        <v>2370</v>
      </c>
      <c r="P1385" t="s">
        <v>3108</v>
      </c>
      <c r="Q1385" t="s">
        <v>3249</v>
      </c>
      <c r="R1385" t="s">
        <v>3249</v>
      </c>
      <c r="S1385" t="s">
        <v>810</v>
      </c>
      <c r="T1385" t="s">
        <v>2754</v>
      </c>
      <c r="U1385" t="s">
        <v>3250</v>
      </c>
      <c r="V1385" t="s">
        <v>3250</v>
      </c>
      <c r="W1385" t="s">
        <v>3250</v>
      </c>
      <c r="X1385" t="s">
        <v>3250</v>
      </c>
      <c r="Y1385" t="s">
        <v>3250</v>
      </c>
      <c r="Z1385" t="s">
        <v>3250</v>
      </c>
      <c r="AA1385" t="s">
        <v>3108</v>
      </c>
      <c r="AB1385" t="s">
        <v>3108</v>
      </c>
      <c r="AC1385" t="s">
        <v>3250</v>
      </c>
      <c r="AD1385" t="s">
        <v>3250</v>
      </c>
      <c r="AE1385" t="s">
        <v>3250</v>
      </c>
      <c r="AF1385" t="s">
        <v>3250</v>
      </c>
      <c r="AG1385" t="s">
        <v>3250</v>
      </c>
      <c r="AH1385" t="s">
        <v>3250</v>
      </c>
      <c r="AI1385" t="s">
        <v>3250</v>
      </c>
      <c r="AJ1385" t="s">
        <v>3250</v>
      </c>
      <c r="AL1385" t="s">
        <v>3250</v>
      </c>
      <c r="AM1385" t="s">
        <v>3250</v>
      </c>
      <c r="AN1385" t="s">
        <v>3250</v>
      </c>
      <c r="AO1385" t="s">
        <v>3250</v>
      </c>
      <c r="AS1385" t="s">
        <v>3250</v>
      </c>
      <c r="AT1385" t="s">
        <v>3250</v>
      </c>
      <c r="AU1385" t="s">
        <v>3250</v>
      </c>
      <c r="AV1385" t="s">
        <v>3250</v>
      </c>
      <c r="AW1385" t="s">
        <v>3250</v>
      </c>
      <c r="AX1385" t="s">
        <v>3250</v>
      </c>
      <c r="AY1385" t="s">
        <v>3250</v>
      </c>
      <c r="AZ1385" t="s">
        <v>3250</v>
      </c>
      <c r="BA1385" t="s">
        <v>3250</v>
      </c>
      <c r="BB1385" t="s">
        <v>3250</v>
      </c>
      <c r="BC1385" t="s">
        <v>3250</v>
      </c>
      <c r="BE1385" t="s">
        <v>3250</v>
      </c>
      <c r="BF1385" t="s">
        <v>3250</v>
      </c>
      <c r="BG1385" t="s">
        <v>3250</v>
      </c>
      <c r="BH1385" t="s">
        <v>3250</v>
      </c>
      <c r="BI1385" t="s">
        <v>3250</v>
      </c>
      <c r="BK1385" t="s">
        <v>3250</v>
      </c>
      <c r="BL1385" t="s">
        <v>3250</v>
      </c>
      <c r="BM1385" t="s">
        <v>3250</v>
      </c>
      <c r="BN1385" t="s">
        <v>3250</v>
      </c>
      <c r="BP1385">
        <v>1</v>
      </c>
      <c r="BQ1385">
        <v>14</v>
      </c>
      <c r="BR1385" t="s">
        <v>2370</v>
      </c>
      <c r="BS1385" t="s">
        <v>3252</v>
      </c>
      <c r="BV1385">
        <v>0</v>
      </c>
      <c r="BW1385">
        <v>0</v>
      </c>
      <c r="BX1385">
        <v>100294</v>
      </c>
      <c r="BY1385">
        <v>0</v>
      </c>
      <c r="BZ1385">
        <v>0</v>
      </c>
      <c r="CA1385">
        <v>0</v>
      </c>
      <c r="CB1385">
        <v>0</v>
      </c>
      <c r="CC1385">
        <v>0</v>
      </c>
      <c r="CD1385">
        <v>0</v>
      </c>
      <c r="CE1385" t="s">
        <v>3108</v>
      </c>
      <c r="CF1385" t="s">
        <v>3108</v>
      </c>
      <c r="CG1385" t="s">
        <v>3108</v>
      </c>
      <c r="CH1385" t="s">
        <v>3108</v>
      </c>
    </row>
    <row r="1386" spans="1:86" x14ac:dyDescent="0.2">
      <c r="A1386" t="s">
        <v>5328</v>
      </c>
      <c r="B1386" t="s">
        <v>5328</v>
      </c>
      <c r="C1386">
        <v>51867</v>
      </c>
      <c r="D1386">
        <v>1500</v>
      </c>
      <c r="E1386" t="s">
        <v>3990</v>
      </c>
      <c r="F1386">
        <v>2900</v>
      </c>
      <c r="G1386" t="s">
        <v>822</v>
      </c>
      <c r="H1386" t="s">
        <v>3108</v>
      </c>
      <c r="I1386" t="s">
        <v>3108</v>
      </c>
      <c r="J1386">
        <v>2904</v>
      </c>
      <c r="K1386" t="s">
        <v>1690</v>
      </c>
      <c r="L1386">
        <v>1200</v>
      </c>
      <c r="M1386" t="s">
        <v>2368</v>
      </c>
      <c r="N1386">
        <v>1201</v>
      </c>
      <c r="O1386" t="s">
        <v>2370</v>
      </c>
      <c r="P1386" t="s">
        <v>3108</v>
      </c>
      <c r="Q1386" t="s">
        <v>3249</v>
      </c>
      <c r="R1386" t="s">
        <v>3249</v>
      </c>
      <c r="S1386" t="s">
        <v>810</v>
      </c>
      <c r="T1386" t="s">
        <v>2754</v>
      </c>
      <c r="U1386" t="s">
        <v>3250</v>
      </c>
      <c r="V1386" t="s">
        <v>3250</v>
      </c>
      <c r="W1386" t="s">
        <v>3250</v>
      </c>
      <c r="X1386" t="s">
        <v>3250</v>
      </c>
      <c r="Y1386" t="s">
        <v>3250</v>
      </c>
      <c r="Z1386" t="s">
        <v>3250</v>
      </c>
      <c r="AA1386" t="s">
        <v>3108</v>
      </c>
      <c r="AB1386" t="s">
        <v>3108</v>
      </c>
      <c r="AC1386" t="s">
        <v>3250</v>
      </c>
      <c r="AD1386" t="s">
        <v>3250</v>
      </c>
      <c r="AE1386" t="s">
        <v>3250</v>
      </c>
      <c r="AF1386" t="s">
        <v>3250</v>
      </c>
      <c r="AG1386" t="s">
        <v>3250</v>
      </c>
      <c r="AH1386" t="s">
        <v>3250</v>
      </c>
      <c r="AI1386" t="s">
        <v>3250</v>
      </c>
      <c r="AJ1386" t="s">
        <v>3250</v>
      </c>
      <c r="AL1386" t="s">
        <v>3250</v>
      </c>
      <c r="AM1386" t="s">
        <v>3250</v>
      </c>
      <c r="AN1386" t="s">
        <v>3250</v>
      </c>
      <c r="AO1386" t="s">
        <v>3250</v>
      </c>
      <c r="AS1386" t="s">
        <v>3250</v>
      </c>
      <c r="AT1386" t="s">
        <v>3250</v>
      </c>
      <c r="AU1386" t="s">
        <v>3250</v>
      </c>
      <c r="AV1386" t="s">
        <v>3250</v>
      </c>
      <c r="AW1386" t="s">
        <v>3250</v>
      </c>
      <c r="AX1386" t="s">
        <v>3250</v>
      </c>
      <c r="AY1386" t="s">
        <v>3250</v>
      </c>
      <c r="AZ1386" t="s">
        <v>3250</v>
      </c>
      <c r="BA1386" t="s">
        <v>3250</v>
      </c>
      <c r="BB1386" t="s">
        <v>3250</v>
      </c>
      <c r="BC1386" t="s">
        <v>3250</v>
      </c>
      <c r="BE1386" t="s">
        <v>3250</v>
      </c>
      <c r="BF1386" t="s">
        <v>3250</v>
      </c>
      <c r="BG1386" t="s">
        <v>3250</v>
      </c>
      <c r="BH1386" t="s">
        <v>3250</v>
      </c>
      <c r="BI1386" t="s">
        <v>3250</v>
      </c>
      <c r="BK1386" t="s">
        <v>3250</v>
      </c>
      <c r="BL1386" t="s">
        <v>3250</v>
      </c>
      <c r="BM1386" t="s">
        <v>3250</v>
      </c>
      <c r="BN1386" t="s">
        <v>3250</v>
      </c>
      <c r="BP1386">
        <v>1</v>
      </c>
      <c r="BQ1386">
        <v>14</v>
      </c>
      <c r="BR1386" t="s">
        <v>2370</v>
      </c>
      <c r="BS1386" t="s">
        <v>3252</v>
      </c>
      <c r="BV1386">
        <v>0</v>
      </c>
      <c r="BW1386">
        <v>0</v>
      </c>
      <c r="BX1386">
        <v>85300</v>
      </c>
      <c r="BY1386">
        <v>0</v>
      </c>
      <c r="BZ1386">
        <v>0</v>
      </c>
      <c r="CA1386">
        <v>0</v>
      </c>
      <c r="CB1386">
        <v>0</v>
      </c>
      <c r="CC1386">
        <v>0</v>
      </c>
      <c r="CD1386">
        <v>0</v>
      </c>
      <c r="CE1386" t="s">
        <v>3108</v>
      </c>
      <c r="CF1386" t="s">
        <v>3108</v>
      </c>
      <c r="CG1386" t="s">
        <v>3108</v>
      </c>
      <c r="CH1386" t="s">
        <v>3108</v>
      </c>
    </row>
    <row r="1387" spans="1:86" x14ac:dyDescent="0.2">
      <c r="A1387" t="s">
        <v>5329</v>
      </c>
      <c r="B1387" t="s">
        <v>5329</v>
      </c>
      <c r="C1387">
        <v>51868</v>
      </c>
      <c r="D1387">
        <v>1501</v>
      </c>
      <c r="E1387" t="s">
        <v>4010</v>
      </c>
      <c r="F1387">
        <v>2900</v>
      </c>
      <c r="G1387" t="s">
        <v>822</v>
      </c>
      <c r="H1387" t="s">
        <v>3108</v>
      </c>
      <c r="I1387" t="s">
        <v>3108</v>
      </c>
      <c r="J1387">
        <v>2904</v>
      </c>
      <c r="K1387" t="s">
        <v>1690</v>
      </c>
      <c r="L1387">
        <v>1200</v>
      </c>
      <c r="M1387" t="s">
        <v>2368</v>
      </c>
      <c r="N1387">
        <v>1201</v>
      </c>
      <c r="O1387" t="s">
        <v>2370</v>
      </c>
      <c r="P1387" t="s">
        <v>3108</v>
      </c>
      <c r="Q1387" t="s">
        <v>3249</v>
      </c>
      <c r="R1387" t="s">
        <v>3249</v>
      </c>
      <c r="S1387" t="s">
        <v>810</v>
      </c>
      <c r="T1387" t="s">
        <v>2754</v>
      </c>
      <c r="U1387" t="s">
        <v>3250</v>
      </c>
      <c r="V1387" t="s">
        <v>3250</v>
      </c>
      <c r="W1387" t="s">
        <v>3250</v>
      </c>
      <c r="X1387" t="s">
        <v>3250</v>
      </c>
      <c r="Y1387" t="s">
        <v>3250</v>
      </c>
      <c r="Z1387" t="s">
        <v>3250</v>
      </c>
      <c r="AA1387" t="s">
        <v>3108</v>
      </c>
      <c r="AB1387" t="s">
        <v>3108</v>
      </c>
      <c r="AC1387" t="s">
        <v>3250</v>
      </c>
      <c r="AD1387" t="s">
        <v>3250</v>
      </c>
      <c r="AE1387" t="s">
        <v>3250</v>
      </c>
      <c r="AF1387" t="s">
        <v>3250</v>
      </c>
      <c r="AG1387" t="s">
        <v>3250</v>
      </c>
      <c r="AH1387" t="s">
        <v>3250</v>
      </c>
      <c r="AI1387" t="s">
        <v>3250</v>
      </c>
      <c r="AJ1387" t="s">
        <v>3250</v>
      </c>
      <c r="AL1387" t="s">
        <v>3250</v>
      </c>
      <c r="AM1387" t="s">
        <v>3250</v>
      </c>
      <c r="AN1387" t="s">
        <v>3250</v>
      </c>
      <c r="AO1387" t="s">
        <v>3250</v>
      </c>
      <c r="AS1387" t="s">
        <v>3250</v>
      </c>
      <c r="AT1387" t="s">
        <v>3250</v>
      </c>
      <c r="AU1387" t="s">
        <v>3250</v>
      </c>
      <c r="AV1387" t="s">
        <v>3250</v>
      </c>
      <c r="AW1387" t="s">
        <v>3250</v>
      </c>
      <c r="AX1387" t="s">
        <v>3250</v>
      </c>
      <c r="AY1387" t="s">
        <v>3250</v>
      </c>
      <c r="AZ1387" t="s">
        <v>3250</v>
      </c>
      <c r="BA1387" t="s">
        <v>3250</v>
      </c>
      <c r="BB1387" t="s">
        <v>3250</v>
      </c>
      <c r="BC1387" t="s">
        <v>3250</v>
      </c>
      <c r="BE1387" t="s">
        <v>3250</v>
      </c>
      <c r="BF1387" t="s">
        <v>3250</v>
      </c>
      <c r="BG1387" t="s">
        <v>3250</v>
      </c>
      <c r="BH1387" t="s">
        <v>3250</v>
      </c>
      <c r="BI1387" t="s">
        <v>3250</v>
      </c>
      <c r="BK1387" t="s">
        <v>3250</v>
      </c>
      <c r="BL1387" t="s">
        <v>3250</v>
      </c>
      <c r="BM1387" t="s">
        <v>3250</v>
      </c>
      <c r="BN1387" t="s">
        <v>3250</v>
      </c>
      <c r="BP1387">
        <v>1</v>
      </c>
      <c r="BQ1387">
        <v>14</v>
      </c>
      <c r="BR1387" t="s">
        <v>2370</v>
      </c>
      <c r="BS1387" t="s">
        <v>3252</v>
      </c>
      <c r="BV1387">
        <v>0</v>
      </c>
      <c r="BW1387">
        <v>0</v>
      </c>
      <c r="BX1387">
        <v>0</v>
      </c>
      <c r="BY1387">
        <v>0</v>
      </c>
      <c r="BZ1387">
        <v>0</v>
      </c>
      <c r="CA1387">
        <v>0</v>
      </c>
      <c r="CB1387">
        <v>0</v>
      </c>
      <c r="CC1387">
        <v>0</v>
      </c>
      <c r="CD1387">
        <v>0</v>
      </c>
      <c r="CE1387" t="s">
        <v>3108</v>
      </c>
      <c r="CF1387" t="s">
        <v>3108</v>
      </c>
      <c r="CG1387" t="s">
        <v>3108</v>
      </c>
      <c r="CH1387" t="s">
        <v>3108</v>
      </c>
    </row>
    <row r="1388" spans="1:86" x14ac:dyDescent="0.2">
      <c r="A1388" t="s">
        <v>5330</v>
      </c>
      <c r="B1388" t="s">
        <v>5330</v>
      </c>
      <c r="C1388">
        <v>51869</v>
      </c>
      <c r="D1388">
        <v>1502</v>
      </c>
      <c r="E1388" t="s">
        <v>4357</v>
      </c>
      <c r="F1388">
        <v>2700</v>
      </c>
      <c r="G1388" t="s">
        <v>411</v>
      </c>
      <c r="H1388" t="s">
        <v>3997</v>
      </c>
      <c r="I1388" t="s">
        <v>2533</v>
      </c>
      <c r="J1388">
        <v>2703</v>
      </c>
      <c r="K1388" t="s">
        <v>2533</v>
      </c>
      <c r="L1388">
        <v>3100</v>
      </c>
      <c r="M1388" t="s">
        <v>127</v>
      </c>
      <c r="N1388">
        <v>3107</v>
      </c>
      <c r="O1388" t="s">
        <v>2418</v>
      </c>
      <c r="P1388" t="s">
        <v>3108</v>
      </c>
      <c r="Q1388" t="s">
        <v>3249</v>
      </c>
      <c r="R1388" t="s">
        <v>3249</v>
      </c>
      <c r="S1388" t="s">
        <v>810</v>
      </c>
      <c r="T1388" t="s">
        <v>2754</v>
      </c>
      <c r="U1388" t="s">
        <v>3250</v>
      </c>
      <c r="V1388" t="s">
        <v>3250</v>
      </c>
      <c r="W1388" t="s">
        <v>3250</v>
      </c>
      <c r="X1388" t="s">
        <v>3250</v>
      </c>
      <c r="Y1388" t="s">
        <v>3250</v>
      </c>
      <c r="Z1388" t="s">
        <v>3250</v>
      </c>
      <c r="AA1388" t="s">
        <v>3108</v>
      </c>
      <c r="AB1388" t="s">
        <v>3108</v>
      </c>
      <c r="AC1388" t="s">
        <v>3250</v>
      </c>
      <c r="AD1388" t="s">
        <v>3250</v>
      </c>
      <c r="AE1388" t="s">
        <v>3250</v>
      </c>
      <c r="AF1388" t="s">
        <v>3250</v>
      </c>
      <c r="AG1388" t="s">
        <v>3250</v>
      </c>
      <c r="AH1388" t="s">
        <v>3250</v>
      </c>
      <c r="AI1388" t="s">
        <v>3250</v>
      </c>
      <c r="AJ1388" t="s">
        <v>3250</v>
      </c>
      <c r="AL1388" t="s">
        <v>3250</v>
      </c>
      <c r="AM1388" t="s">
        <v>3250</v>
      </c>
      <c r="AN1388" t="s">
        <v>3250</v>
      </c>
      <c r="AO1388" t="s">
        <v>3250</v>
      </c>
      <c r="AS1388" t="s">
        <v>3250</v>
      </c>
      <c r="AT1388" t="s">
        <v>3250</v>
      </c>
      <c r="AU1388" t="s">
        <v>3250</v>
      </c>
      <c r="AV1388" t="s">
        <v>3250</v>
      </c>
      <c r="AW1388" t="s">
        <v>3250</v>
      </c>
      <c r="AX1388" t="s">
        <v>3250</v>
      </c>
      <c r="AY1388">
        <v>1200</v>
      </c>
      <c r="AZ1388" t="s">
        <v>2310</v>
      </c>
      <c r="BA1388" t="s">
        <v>3250</v>
      </c>
      <c r="BB1388">
        <v>1200</v>
      </c>
      <c r="BC1388" t="s">
        <v>2310</v>
      </c>
      <c r="BD1388" t="s">
        <v>2820</v>
      </c>
      <c r="BE1388" t="s">
        <v>3250</v>
      </c>
      <c r="BF1388" t="s">
        <v>3250</v>
      </c>
      <c r="BG1388" t="s">
        <v>3250</v>
      </c>
      <c r="BH1388" t="s">
        <v>3250</v>
      </c>
      <c r="BI1388" t="s">
        <v>3250</v>
      </c>
      <c r="BK1388" t="s">
        <v>3250</v>
      </c>
      <c r="BL1388" t="s">
        <v>3250</v>
      </c>
      <c r="BM1388" t="s">
        <v>3250</v>
      </c>
      <c r="BN1388" t="s">
        <v>3250</v>
      </c>
      <c r="BP1388">
        <v>8</v>
      </c>
      <c r="BQ1388">
        <v>81</v>
      </c>
      <c r="BR1388" t="s">
        <v>2418</v>
      </c>
      <c r="BS1388" t="s">
        <v>4013</v>
      </c>
      <c r="BV1388">
        <v>0</v>
      </c>
      <c r="BW1388">
        <v>0</v>
      </c>
      <c r="BX1388">
        <v>0</v>
      </c>
      <c r="BY1388">
        <v>0</v>
      </c>
      <c r="BZ1388">
        <v>0</v>
      </c>
      <c r="CA1388">
        <v>0</v>
      </c>
      <c r="CB1388">
        <v>0</v>
      </c>
      <c r="CC1388">
        <v>0</v>
      </c>
      <c r="CD1388">
        <v>0</v>
      </c>
      <c r="CE1388" t="s">
        <v>3108</v>
      </c>
      <c r="CF1388" t="s">
        <v>3108</v>
      </c>
      <c r="CG1388" t="s">
        <v>3108</v>
      </c>
      <c r="CH1388" t="s">
        <v>3108</v>
      </c>
    </row>
    <row r="1389" spans="1:86" x14ac:dyDescent="0.2">
      <c r="A1389" t="s">
        <v>5331</v>
      </c>
      <c r="B1389" t="s">
        <v>5331</v>
      </c>
      <c r="C1389">
        <v>51870</v>
      </c>
      <c r="D1389">
        <v>1503</v>
      </c>
      <c r="E1389" t="s">
        <v>5285</v>
      </c>
      <c r="F1389">
        <v>2900</v>
      </c>
      <c r="G1389" t="s">
        <v>822</v>
      </c>
      <c r="H1389" t="s">
        <v>3108</v>
      </c>
      <c r="I1389" t="s">
        <v>3108</v>
      </c>
      <c r="J1389">
        <v>2904</v>
      </c>
      <c r="K1389" t="s">
        <v>1690</v>
      </c>
      <c r="L1389">
        <v>1200</v>
      </c>
      <c r="M1389" t="s">
        <v>2368</v>
      </c>
      <c r="N1389">
        <v>1204</v>
      </c>
      <c r="O1389" t="s">
        <v>1574</v>
      </c>
      <c r="P1389" t="s">
        <v>3108</v>
      </c>
      <c r="Q1389" t="s">
        <v>3249</v>
      </c>
      <c r="R1389" t="s">
        <v>3249</v>
      </c>
      <c r="S1389" t="s">
        <v>810</v>
      </c>
      <c r="T1389" t="s">
        <v>2754</v>
      </c>
      <c r="U1389" t="s">
        <v>3250</v>
      </c>
      <c r="V1389" t="s">
        <v>3250</v>
      </c>
      <c r="W1389" t="s">
        <v>3250</v>
      </c>
      <c r="X1389" t="s">
        <v>3250</v>
      </c>
      <c r="Y1389" t="s">
        <v>3250</v>
      </c>
      <c r="Z1389" t="s">
        <v>3250</v>
      </c>
      <c r="AA1389" t="s">
        <v>3108</v>
      </c>
      <c r="AB1389" t="s">
        <v>3108</v>
      </c>
      <c r="AC1389" t="s">
        <v>3250</v>
      </c>
      <c r="AD1389" t="s">
        <v>3250</v>
      </c>
      <c r="AE1389" t="s">
        <v>3250</v>
      </c>
      <c r="AF1389" t="s">
        <v>3250</v>
      </c>
      <c r="AG1389" t="s">
        <v>3250</v>
      </c>
      <c r="AH1389" t="s">
        <v>3250</v>
      </c>
      <c r="AI1389" t="s">
        <v>3250</v>
      </c>
      <c r="AJ1389" t="s">
        <v>3250</v>
      </c>
      <c r="AL1389" t="s">
        <v>3250</v>
      </c>
      <c r="AM1389" t="s">
        <v>3250</v>
      </c>
      <c r="AN1389" t="s">
        <v>3250</v>
      </c>
      <c r="AO1389" t="s">
        <v>3250</v>
      </c>
      <c r="AS1389" t="s">
        <v>3250</v>
      </c>
      <c r="AT1389" t="s">
        <v>3250</v>
      </c>
      <c r="AU1389" t="s">
        <v>3250</v>
      </c>
      <c r="AV1389" t="s">
        <v>3250</v>
      </c>
      <c r="AW1389" t="s">
        <v>3250</v>
      </c>
      <c r="AX1389" t="s">
        <v>3250</v>
      </c>
      <c r="AY1389" t="s">
        <v>3250</v>
      </c>
      <c r="AZ1389" t="s">
        <v>3250</v>
      </c>
      <c r="BA1389" t="s">
        <v>3250</v>
      </c>
      <c r="BB1389" t="s">
        <v>3250</v>
      </c>
      <c r="BC1389" t="s">
        <v>3250</v>
      </c>
      <c r="BE1389" t="s">
        <v>3250</v>
      </c>
      <c r="BF1389" t="s">
        <v>3250</v>
      </c>
      <c r="BG1389" t="s">
        <v>3250</v>
      </c>
      <c r="BH1389" t="s">
        <v>3250</v>
      </c>
      <c r="BI1389" t="s">
        <v>3250</v>
      </c>
      <c r="BK1389" t="s">
        <v>3250</v>
      </c>
      <c r="BL1389" t="s">
        <v>3250</v>
      </c>
      <c r="BM1389" t="s">
        <v>3250</v>
      </c>
      <c r="BN1389" t="s">
        <v>3250</v>
      </c>
      <c r="BP1389">
        <v>1</v>
      </c>
      <c r="BQ1389">
        <v>11</v>
      </c>
      <c r="BR1389" t="s">
        <v>1574</v>
      </c>
      <c r="BS1389" t="s">
        <v>3252</v>
      </c>
      <c r="BV1389">
        <v>60405</v>
      </c>
      <c r="BW1389">
        <v>166063</v>
      </c>
      <c r="BX1389">
        <v>0</v>
      </c>
      <c r="BY1389">
        <v>70276</v>
      </c>
      <c r="BZ1389">
        <v>70276</v>
      </c>
      <c r="CA1389">
        <v>73017</v>
      </c>
      <c r="CB1389">
        <v>75937</v>
      </c>
      <c r="CC1389">
        <v>78975</v>
      </c>
      <c r="CD1389">
        <v>347050</v>
      </c>
      <c r="CE1389" t="s">
        <v>3108</v>
      </c>
      <c r="CF1389" t="s">
        <v>3108</v>
      </c>
      <c r="CG1389" t="s">
        <v>3108</v>
      </c>
      <c r="CH1389" t="s">
        <v>3108</v>
      </c>
    </row>
    <row r="1390" spans="1:86" x14ac:dyDescent="0.2">
      <c r="A1390" t="s">
        <v>5332</v>
      </c>
      <c r="B1390" t="s">
        <v>5332</v>
      </c>
      <c r="C1390">
        <v>51871</v>
      </c>
      <c r="D1390">
        <v>1504</v>
      </c>
      <c r="E1390" t="s">
        <v>4112</v>
      </c>
      <c r="F1390">
        <v>2900</v>
      </c>
      <c r="G1390" t="s">
        <v>822</v>
      </c>
      <c r="H1390" t="s">
        <v>3108</v>
      </c>
      <c r="I1390" t="s">
        <v>3108</v>
      </c>
      <c r="J1390">
        <v>2904</v>
      </c>
      <c r="K1390" t="s">
        <v>1690</v>
      </c>
      <c r="L1390">
        <v>1200</v>
      </c>
      <c r="M1390" t="s">
        <v>2368</v>
      </c>
      <c r="N1390">
        <v>1204</v>
      </c>
      <c r="O1390" t="s">
        <v>1574</v>
      </c>
      <c r="P1390" t="s">
        <v>3108</v>
      </c>
      <c r="Q1390" t="s">
        <v>3249</v>
      </c>
      <c r="R1390" t="s">
        <v>3249</v>
      </c>
      <c r="S1390" t="s">
        <v>810</v>
      </c>
      <c r="T1390" t="s">
        <v>2754</v>
      </c>
      <c r="U1390" t="s">
        <v>3250</v>
      </c>
      <c r="V1390" t="s">
        <v>3250</v>
      </c>
      <c r="W1390" t="s">
        <v>3250</v>
      </c>
      <c r="X1390" t="s">
        <v>3250</v>
      </c>
      <c r="Y1390" t="s">
        <v>3250</v>
      </c>
      <c r="Z1390" t="s">
        <v>3250</v>
      </c>
      <c r="AA1390" t="s">
        <v>3108</v>
      </c>
      <c r="AB1390" t="s">
        <v>3108</v>
      </c>
      <c r="AC1390" t="s">
        <v>3250</v>
      </c>
      <c r="AD1390" t="s">
        <v>3250</v>
      </c>
      <c r="AE1390" t="s">
        <v>3250</v>
      </c>
      <c r="AF1390" t="s">
        <v>3250</v>
      </c>
      <c r="AG1390" t="s">
        <v>3250</v>
      </c>
      <c r="AH1390" t="s">
        <v>3250</v>
      </c>
      <c r="AI1390" t="s">
        <v>3250</v>
      </c>
      <c r="AJ1390" t="s">
        <v>3250</v>
      </c>
      <c r="AL1390" t="s">
        <v>3250</v>
      </c>
      <c r="AM1390" t="s">
        <v>3250</v>
      </c>
      <c r="AN1390" t="s">
        <v>3250</v>
      </c>
      <c r="AO1390" t="s">
        <v>3250</v>
      </c>
      <c r="AS1390" t="s">
        <v>3250</v>
      </c>
      <c r="AT1390" t="s">
        <v>3250</v>
      </c>
      <c r="AU1390" t="s">
        <v>3250</v>
      </c>
      <c r="AV1390" t="s">
        <v>3250</v>
      </c>
      <c r="AW1390" t="s">
        <v>3250</v>
      </c>
      <c r="AX1390" t="s">
        <v>3250</v>
      </c>
      <c r="AY1390" t="s">
        <v>3250</v>
      </c>
      <c r="AZ1390" t="s">
        <v>3250</v>
      </c>
      <c r="BA1390" t="s">
        <v>3250</v>
      </c>
      <c r="BB1390" t="s">
        <v>3250</v>
      </c>
      <c r="BC1390" t="s">
        <v>3250</v>
      </c>
      <c r="BE1390" t="s">
        <v>3250</v>
      </c>
      <c r="BF1390" t="s">
        <v>3250</v>
      </c>
      <c r="BG1390" t="s">
        <v>3250</v>
      </c>
      <c r="BH1390" t="s">
        <v>3250</v>
      </c>
      <c r="BI1390" t="s">
        <v>3250</v>
      </c>
      <c r="BK1390" t="s">
        <v>3250</v>
      </c>
      <c r="BL1390" t="s">
        <v>3250</v>
      </c>
      <c r="BM1390" t="s">
        <v>3250</v>
      </c>
      <c r="BN1390" t="s">
        <v>3250</v>
      </c>
      <c r="BP1390">
        <v>1</v>
      </c>
      <c r="BQ1390">
        <v>11</v>
      </c>
      <c r="BR1390" t="s">
        <v>1574</v>
      </c>
      <c r="BS1390" t="s">
        <v>3252</v>
      </c>
      <c r="BV1390">
        <v>43174</v>
      </c>
      <c r="BW1390">
        <v>38772</v>
      </c>
      <c r="BX1390">
        <v>0</v>
      </c>
      <c r="BY1390">
        <v>170335</v>
      </c>
      <c r="BZ1390">
        <v>170335</v>
      </c>
      <c r="CA1390">
        <v>176978</v>
      </c>
      <c r="CB1390">
        <v>184057</v>
      </c>
      <c r="CC1390">
        <v>191419</v>
      </c>
      <c r="CD1390">
        <v>83850</v>
      </c>
      <c r="CE1390" t="s">
        <v>3108</v>
      </c>
      <c r="CF1390" t="s">
        <v>3108</v>
      </c>
      <c r="CG1390" t="s">
        <v>3108</v>
      </c>
      <c r="CH1390" t="s">
        <v>3108</v>
      </c>
    </row>
    <row r="1391" spans="1:86" x14ac:dyDescent="0.2">
      <c r="A1391" t="s">
        <v>5333</v>
      </c>
      <c r="B1391" t="s">
        <v>5333</v>
      </c>
      <c r="C1391">
        <v>51872</v>
      </c>
      <c r="D1391">
        <v>1505</v>
      </c>
      <c r="E1391" t="s">
        <v>4001</v>
      </c>
      <c r="F1391">
        <v>2900</v>
      </c>
      <c r="G1391" t="s">
        <v>822</v>
      </c>
      <c r="H1391" t="s">
        <v>3108</v>
      </c>
      <c r="I1391" t="s">
        <v>3108</v>
      </c>
      <c r="J1391">
        <v>2904</v>
      </c>
      <c r="K1391" t="s">
        <v>1690</v>
      </c>
      <c r="L1391">
        <v>1200</v>
      </c>
      <c r="M1391" t="s">
        <v>2368</v>
      </c>
      <c r="N1391">
        <v>1204</v>
      </c>
      <c r="O1391" t="s">
        <v>1574</v>
      </c>
      <c r="P1391" t="s">
        <v>3108</v>
      </c>
      <c r="Q1391" t="s">
        <v>3249</v>
      </c>
      <c r="R1391" t="s">
        <v>3249</v>
      </c>
      <c r="S1391" t="s">
        <v>810</v>
      </c>
      <c r="T1391" t="s">
        <v>2754</v>
      </c>
      <c r="U1391" t="s">
        <v>3250</v>
      </c>
      <c r="V1391" t="s">
        <v>3250</v>
      </c>
      <c r="W1391" t="s">
        <v>3250</v>
      </c>
      <c r="X1391" t="s">
        <v>3250</v>
      </c>
      <c r="Y1391" t="s">
        <v>3250</v>
      </c>
      <c r="Z1391" t="s">
        <v>3250</v>
      </c>
      <c r="AA1391" t="s">
        <v>3108</v>
      </c>
      <c r="AB1391" t="s">
        <v>3108</v>
      </c>
      <c r="AC1391" t="s">
        <v>3250</v>
      </c>
      <c r="AD1391" t="s">
        <v>3250</v>
      </c>
      <c r="AE1391" t="s">
        <v>3250</v>
      </c>
      <c r="AF1391" t="s">
        <v>3250</v>
      </c>
      <c r="AG1391" t="s">
        <v>3250</v>
      </c>
      <c r="AH1391" t="s">
        <v>3250</v>
      </c>
      <c r="AI1391" t="s">
        <v>3250</v>
      </c>
      <c r="AJ1391" t="s">
        <v>3250</v>
      </c>
      <c r="AL1391" t="s">
        <v>3250</v>
      </c>
      <c r="AM1391" t="s">
        <v>3250</v>
      </c>
      <c r="AN1391" t="s">
        <v>3250</v>
      </c>
      <c r="AO1391" t="s">
        <v>3250</v>
      </c>
      <c r="AS1391" t="s">
        <v>3250</v>
      </c>
      <c r="AT1391" t="s">
        <v>3250</v>
      </c>
      <c r="AU1391" t="s">
        <v>3250</v>
      </c>
      <c r="AV1391" t="s">
        <v>3250</v>
      </c>
      <c r="AW1391" t="s">
        <v>3250</v>
      </c>
      <c r="AX1391" t="s">
        <v>3250</v>
      </c>
      <c r="AY1391" t="s">
        <v>3250</v>
      </c>
      <c r="AZ1391" t="s">
        <v>3250</v>
      </c>
      <c r="BA1391" t="s">
        <v>3250</v>
      </c>
      <c r="BB1391" t="s">
        <v>3250</v>
      </c>
      <c r="BC1391" t="s">
        <v>3250</v>
      </c>
      <c r="BE1391" t="s">
        <v>3250</v>
      </c>
      <c r="BF1391" t="s">
        <v>3250</v>
      </c>
      <c r="BG1391" t="s">
        <v>3250</v>
      </c>
      <c r="BH1391" t="s">
        <v>3250</v>
      </c>
      <c r="BI1391" t="s">
        <v>3250</v>
      </c>
      <c r="BK1391" t="s">
        <v>3250</v>
      </c>
      <c r="BL1391" t="s">
        <v>3250</v>
      </c>
      <c r="BM1391" t="s">
        <v>3250</v>
      </c>
      <c r="BN1391" t="s">
        <v>3250</v>
      </c>
      <c r="BP1391">
        <v>1</v>
      </c>
      <c r="BQ1391">
        <v>11</v>
      </c>
      <c r="BR1391" t="s">
        <v>1574</v>
      </c>
      <c r="BS1391" t="s">
        <v>3252</v>
      </c>
      <c r="BV1391">
        <v>381745</v>
      </c>
      <c r="BW1391">
        <v>7926</v>
      </c>
      <c r="BX1391">
        <v>0</v>
      </c>
      <c r="BY1391">
        <v>52250</v>
      </c>
      <c r="BZ1391">
        <v>52250</v>
      </c>
      <c r="CA1391">
        <v>54288</v>
      </c>
      <c r="CB1391">
        <v>56459</v>
      </c>
      <c r="CC1391">
        <v>58718</v>
      </c>
      <c r="CD1391">
        <v>2009</v>
      </c>
      <c r="CE1391" t="s">
        <v>3108</v>
      </c>
      <c r="CF1391" t="s">
        <v>3108</v>
      </c>
      <c r="CG1391" t="s">
        <v>3108</v>
      </c>
      <c r="CH1391" t="s">
        <v>3108</v>
      </c>
    </row>
    <row r="1392" spans="1:86" x14ac:dyDescent="0.2">
      <c r="A1392" t="s">
        <v>5334</v>
      </c>
      <c r="B1392" t="s">
        <v>5334</v>
      </c>
      <c r="C1392">
        <v>51873</v>
      </c>
      <c r="D1392">
        <v>1506</v>
      </c>
      <c r="E1392" t="s">
        <v>3990</v>
      </c>
      <c r="F1392">
        <v>2900</v>
      </c>
      <c r="G1392" t="s">
        <v>822</v>
      </c>
      <c r="H1392" t="s">
        <v>3108</v>
      </c>
      <c r="I1392" t="s">
        <v>3108</v>
      </c>
      <c r="J1392">
        <v>2904</v>
      </c>
      <c r="K1392" t="s">
        <v>1690</v>
      </c>
      <c r="L1392">
        <v>1200</v>
      </c>
      <c r="M1392" t="s">
        <v>2368</v>
      </c>
      <c r="N1392">
        <v>1201</v>
      </c>
      <c r="O1392" t="s">
        <v>2370</v>
      </c>
      <c r="P1392" t="s">
        <v>3108</v>
      </c>
      <c r="Q1392" t="s">
        <v>3249</v>
      </c>
      <c r="R1392" t="s">
        <v>3249</v>
      </c>
      <c r="S1392" t="s">
        <v>810</v>
      </c>
      <c r="T1392" t="s">
        <v>2754</v>
      </c>
      <c r="U1392" t="s">
        <v>3250</v>
      </c>
      <c r="V1392" t="s">
        <v>3250</v>
      </c>
      <c r="W1392" t="s">
        <v>3250</v>
      </c>
      <c r="X1392" t="s">
        <v>3250</v>
      </c>
      <c r="Y1392" t="s">
        <v>3250</v>
      </c>
      <c r="Z1392" t="s">
        <v>3250</v>
      </c>
      <c r="AA1392" t="s">
        <v>3108</v>
      </c>
      <c r="AB1392" t="s">
        <v>3108</v>
      </c>
      <c r="AC1392" t="s">
        <v>3250</v>
      </c>
      <c r="AD1392" t="s">
        <v>3250</v>
      </c>
      <c r="AE1392" t="s">
        <v>3250</v>
      </c>
      <c r="AF1392" t="s">
        <v>3250</v>
      </c>
      <c r="AG1392" t="s">
        <v>3250</v>
      </c>
      <c r="AH1392" t="s">
        <v>3250</v>
      </c>
      <c r="AI1392" t="s">
        <v>3250</v>
      </c>
      <c r="AJ1392" t="s">
        <v>3250</v>
      </c>
      <c r="AL1392" t="s">
        <v>3250</v>
      </c>
      <c r="AM1392" t="s">
        <v>3250</v>
      </c>
      <c r="AN1392" t="s">
        <v>3250</v>
      </c>
      <c r="AO1392" t="s">
        <v>3250</v>
      </c>
      <c r="AS1392" t="s">
        <v>3250</v>
      </c>
      <c r="AT1392" t="s">
        <v>3250</v>
      </c>
      <c r="AU1392" t="s">
        <v>3250</v>
      </c>
      <c r="AV1392" t="s">
        <v>3250</v>
      </c>
      <c r="AW1392" t="s">
        <v>3250</v>
      </c>
      <c r="AX1392" t="s">
        <v>3250</v>
      </c>
      <c r="AY1392" t="s">
        <v>3250</v>
      </c>
      <c r="AZ1392" t="s">
        <v>3250</v>
      </c>
      <c r="BA1392" t="s">
        <v>3250</v>
      </c>
      <c r="BB1392" t="s">
        <v>3250</v>
      </c>
      <c r="BC1392" t="s">
        <v>3250</v>
      </c>
      <c r="BE1392" t="s">
        <v>3250</v>
      </c>
      <c r="BF1392" t="s">
        <v>3250</v>
      </c>
      <c r="BG1392" t="s">
        <v>3250</v>
      </c>
      <c r="BH1392" t="s">
        <v>3250</v>
      </c>
      <c r="BI1392" t="s">
        <v>3250</v>
      </c>
      <c r="BK1392" t="s">
        <v>3250</v>
      </c>
      <c r="BL1392" t="s">
        <v>3250</v>
      </c>
      <c r="BM1392" t="s">
        <v>3250</v>
      </c>
      <c r="BN1392" t="s">
        <v>3250</v>
      </c>
      <c r="BP1392">
        <v>1</v>
      </c>
      <c r="BQ1392">
        <v>14</v>
      </c>
      <c r="BR1392" t="s">
        <v>2370</v>
      </c>
      <c r="BS1392" t="s">
        <v>3252</v>
      </c>
      <c r="BV1392">
        <v>0</v>
      </c>
      <c r="BW1392">
        <v>0</v>
      </c>
      <c r="BX1392">
        <v>0</v>
      </c>
      <c r="BY1392">
        <v>0</v>
      </c>
      <c r="BZ1392">
        <v>0</v>
      </c>
      <c r="CA1392">
        <v>0</v>
      </c>
      <c r="CB1392">
        <v>0</v>
      </c>
      <c r="CC1392">
        <v>0</v>
      </c>
      <c r="CD1392">
        <v>0</v>
      </c>
      <c r="CE1392" t="s">
        <v>3108</v>
      </c>
      <c r="CF1392" t="s">
        <v>3108</v>
      </c>
      <c r="CG1392" t="s">
        <v>3108</v>
      </c>
      <c r="CH1392" t="s">
        <v>3108</v>
      </c>
    </row>
    <row r="1393" spans="1:86" x14ac:dyDescent="0.2">
      <c r="A1393" t="s">
        <v>5335</v>
      </c>
      <c r="B1393" t="s">
        <v>5335</v>
      </c>
      <c r="C1393">
        <v>51874</v>
      </c>
      <c r="D1393">
        <v>1507</v>
      </c>
      <c r="E1393" t="s">
        <v>4006</v>
      </c>
      <c r="F1393">
        <v>2700</v>
      </c>
      <c r="G1393" t="s">
        <v>411</v>
      </c>
      <c r="H1393" t="s">
        <v>4004</v>
      </c>
      <c r="I1393" t="s">
        <v>2531</v>
      </c>
      <c r="J1393">
        <v>2701</v>
      </c>
      <c r="K1393" t="s">
        <v>2531</v>
      </c>
      <c r="L1393">
        <v>2100</v>
      </c>
      <c r="M1393" t="s">
        <v>123</v>
      </c>
      <c r="N1393">
        <v>2111</v>
      </c>
      <c r="O1393" t="s">
        <v>2403</v>
      </c>
      <c r="P1393" t="s">
        <v>3108</v>
      </c>
      <c r="Q1393" t="s">
        <v>3249</v>
      </c>
      <c r="R1393" t="s">
        <v>3249</v>
      </c>
      <c r="S1393" t="s">
        <v>810</v>
      </c>
      <c r="T1393" t="s">
        <v>2754</v>
      </c>
      <c r="U1393" t="s">
        <v>3250</v>
      </c>
      <c r="V1393" t="s">
        <v>3250</v>
      </c>
      <c r="W1393" t="s">
        <v>3250</v>
      </c>
      <c r="X1393" t="s">
        <v>3250</v>
      </c>
      <c r="Y1393" t="s">
        <v>3250</v>
      </c>
      <c r="Z1393" t="s">
        <v>3250</v>
      </c>
      <c r="AA1393" t="s">
        <v>3108</v>
      </c>
      <c r="AB1393" t="s">
        <v>3108</v>
      </c>
      <c r="AC1393" t="s">
        <v>3250</v>
      </c>
      <c r="AD1393" t="s">
        <v>3250</v>
      </c>
      <c r="AE1393" t="s">
        <v>3250</v>
      </c>
      <c r="AF1393" t="s">
        <v>3250</v>
      </c>
      <c r="AG1393" t="s">
        <v>3250</v>
      </c>
      <c r="AH1393" t="s">
        <v>3250</v>
      </c>
      <c r="AI1393" t="s">
        <v>3250</v>
      </c>
      <c r="AJ1393" t="s">
        <v>3250</v>
      </c>
      <c r="AL1393" t="s">
        <v>3250</v>
      </c>
      <c r="AM1393" t="s">
        <v>3250</v>
      </c>
      <c r="AN1393" t="s">
        <v>3250</v>
      </c>
      <c r="AO1393" t="s">
        <v>3250</v>
      </c>
      <c r="AS1393" t="s">
        <v>3250</v>
      </c>
      <c r="AT1393" t="s">
        <v>3250</v>
      </c>
      <c r="AU1393" t="s">
        <v>3250</v>
      </c>
      <c r="AV1393" t="s">
        <v>3250</v>
      </c>
      <c r="AW1393" t="s">
        <v>3250</v>
      </c>
      <c r="AX1393" t="s">
        <v>3250</v>
      </c>
      <c r="AY1393" t="s">
        <v>3250</v>
      </c>
      <c r="AZ1393" t="s">
        <v>3250</v>
      </c>
      <c r="BA1393" t="s">
        <v>3250</v>
      </c>
      <c r="BB1393" t="s">
        <v>3250</v>
      </c>
      <c r="BC1393" t="s">
        <v>3250</v>
      </c>
      <c r="BE1393" t="s">
        <v>3250</v>
      </c>
      <c r="BF1393" t="s">
        <v>3250</v>
      </c>
      <c r="BG1393" t="s">
        <v>3250</v>
      </c>
      <c r="BH1393" t="s">
        <v>3250</v>
      </c>
      <c r="BI1393" t="s">
        <v>3250</v>
      </c>
      <c r="BK1393" t="s">
        <v>3250</v>
      </c>
      <c r="BL1393" t="s">
        <v>3250</v>
      </c>
      <c r="BM1393" t="s">
        <v>3250</v>
      </c>
      <c r="BN1393" t="s">
        <v>3250</v>
      </c>
      <c r="BP1393">
        <v>4</v>
      </c>
      <c r="BQ1393">
        <v>45</v>
      </c>
      <c r="BR1393" t="s">
        <v>2403</v>
      </c>
      <c r="BS1393" t="s">
        <v>4024</v>
      </c>
      <c r="BV1393">
        <v>49920</v>
      </c>
      <c r="BW1393">
        <v>7873</v>
      </c>
      <c r="BX1393">
        <v>0</v>
      </c>
      <c r="BY1393">
        <v>65000</v>
      </c>
      <c r="BZ1393">
        <v>65000</v>
      </c>
      <c r="CA1393">
        <v>120000</v>
      </c>
      <c r="CB1393">
        <v>124800</v>
      </c>
      <c r="CC1393">
        <v>129792</v>
      </c>
      <c r="CD1393">
        <v>0</v>
      </c>
      <c r="CE1393" t="s">
        <v>3108</v>
      </c>
      <c r="CF1393" t="s">
        <v>3108</v>
      </c>
      <c r="CG1393" t="s">
        <v>3108</v>
      </c>
      <c r="CH1393" t="s">
        <v>3108</v>
      </c>
    </row>
    <row r="1394" spans="1:86" x14ac:dyDescent="0.2">
      <c r="A1394" t="s">
        <v>5336</v>
      </c>
      <c r="B1394" t="s">
        <v>5336</v>
      </c>
      <c r="C1394">
        <v>51875</v>
      </c>
      <c r="D1394">
        <v>1508</v>
      </c>
      <c r="E1394" t="s">
        <v>4326</v>
      </c>
      <c r="F1394">
        <v>2700</v>
      </c>
      <c r="G1394" t="s">
        <v>411</v>
      </c>
      <c r="H1394" t="s">
        <v>4004</v>
      </c>
      <c r="I1394" t="s">
        <v>2531</v>
      </c>
      <c r="J1394">
        <v>2701</v>
      </c>
      <c r="K1394" t="s">
        <v>2531</v>
      </c>
      <c r="L1394">
        <v>2500</v>
      </c>
      <c r="M1394" t="s">
        <v>1551</v>
      </c>
      <c r="N1394">
        <v>2502</v>
      </c>
      <c r="O1394" t="s">
        <v>2379</v>
      </c>
      <c r="P1394" t="s">
        <v>3108</v>
      </c>
      <c r="Q1394" t="s">
        <v>3249</v>
      </c>
      <c r="R1394" t="s">
        <v>3249</v>
      </c>
      <c r="S1394" t="s">
        <v>810</v>
      </c>
      <c r="T1394" t="s">
        <v>2754</v>
      </c>
      <c r="U1394" t="s">
        <v>3250</v>
      </c>
      <c r="V1394" t="s">
        <v>3250</v>
      </c>
      <c r="W1394" t="s">
        <v>3250</v>
      </c>
      <c r="X1394" t="s">
        <v>3250</v>
      </c>
      <c r="Y1394" t="s">
        <v>3250</v>
      </c>
      <c r="Z1394" t="s">
        <v>3250</v>
      </c>
      <c r="AA1394" t="s">
        <v>3108</v>
      </c>
      <c r="AB1394" t="s">
        <v>3108</v>
      </c>
      <c r="AC1394" t="s">
        <v>3250</v>
      </c>
      <c r="AD1394" t="s">
        <v>3250</v>
      </c>
      <c r="AE1394" t="s">
        <v>3250</v>
      </c>
      <c r="AF1394" t="s">
        <v>3250</v>
      </c>
      <c r="AG1394" t="s">
        <v>3250</v>
      </c>
      <c r="AH1394" t="s">
        <v>3250</v>
      </c>
      <c r="AI1394" t="s">
        <v>3250</v>
      </c>
      <c r="AJ1394" t="s">
        <v>3250</v>
      </c>
      <c r="AL1394" t="s">
        <v>3250</v>
      </c>
      <c r="AM1394" t="s">
        <v>3250</v>
      </c>
      <c r="AN1394" t="s">
        <v>3250</v>
      </c>
      <c r="AO1394" t="s">
        <v>3250</v>
      </c>
      <c r="AS1394" t="s">
        <v>3250</v>
      </c>
      <c r="AT1394" t="s">
        <v>3250</v>
      </c>
      <c r="AU1394" t="s">
        <v>3250</v>
      </c>
      <c r="AV1394" t="s">
        <v>3250</v>
      </c>
      <c r="AW1394" t="s">
        <v>3250</v>
      </c>
      <c r="AX1394" t="s">
        <v>3250</v>
      </c>
      <c r="AY1394" t="s">
        <v>3250</v>
      </c>
      <c r="AZ1394" t="s">
        <v>3250</v>
      </c>
      <c r="BA1394" t="s">
        <v>3250</v>
      </c>
      <c r="BB1394" t="s">
        <v>3250</v>
      </c>
      <c r="BC1394" t="s">
        <v>3250</v>
      </c>
      <c r="BE1394" t="s">
        <v>3250</v>
      </c>
      <c r="BF1394" t="s">
        <v>3250</v>
      </c>
      <c r="BG1394" t="s">
        <v>3250</v>
      </c>
      <c r="BH1394" t="s">
        <v>3250</v>
      </c>
      <c r="BI1394" t="s">
        <v>3250</v>
      </c>
      <c r="BK1394" t="s">
        <v>3250</v>
      </c>
      <c r="BL1394" t="s">
        <v>3250</v>
      </c>
      <c r="BM1394" t="s">
        <v>3250</v>
      </c>
      <c r="BN1394" t="s">
        <v>3250</v>
      </c>
      <c r="BP1394">
        <v>15</v>
      </c>
      <c r="BQ1394">
        <v>151</v>
      </c>
      <c r="BR1394" t="s">
        <v>2379</v>
      </c>
      <c r="BS1394" t="s">
        <v>1551</v>
      </c>
      <c r="BV1394">
        <v>0</v>
      </c>
      <c r="BW1394">
        <v>64400</v>
      </c>
      <c r="BX1394">
        <v>0</v>
      </c>
      <c r="BY1394">
        <v>20000</v>
      </c>
      <c r="BZ1394">
        <v>55000</v>
      </c>
      <c r="CA1394">
        <v>120000</v>
      </c>
      <c r="CB1394">
        <v>124800</v>
      </c>
      <c r="CC1394">
        <v>129792</v>
      </c>
      <c r="CD1394">
        <v>0</v>
      </c>
      <c r="CE1394" t="s">
        <v>3108</v>
      </c>
      <c r="CF1394" t="s">
        <v>3108</v>
      </c>
      <c r="CG1394" t="s">
        <v>3108</v>
      </c>
      <c r="CH1394" t="s">
        <v>3108</v>
      </c>
    </row>
    <row r="1395" spans="1:86" x14ac:dyDescent="0.2">
      <c r="A1395" t="s">
        <v>5337</v>
      </c>
      <c r="B1395" t="s">
        <v>5337</v>
      </c>
      <c r="C1395">
        <v>51876</v>
      </c>
      <c r="D1395">
        <v>1509</v>
      </c>
      <c r="E1395" t="s">
        <v>4006</v>
      </c>
      <c r="F1395">
        <v>2700</v>
      </c>
      <c r="G1395" t="s">
        <v>411</v>
      </c>
      <c r="H1395" t="s">
        <v>4004</v>
      </c>
      <c r="I1395" t="s">
        <v>2531</v>
      </c>
      <c r="J1395">
        <v>2701</v>
      </c>
      <c r="K1395" t="s">
        <v>2531</v>
      </c>
      <c r="L1395">
        <v>2500</v>
      </c>
      <c r="M1395" t="s">
        <v>1551</v>
      </c>
      <c r="N1395">
        <v>2502</v>
      </c>
      <c r="O1395" t="s">
        <v>2379</v>
      </c>
      <c r="P1395" t="s">
        <v>3108</v>
      </c>
      <c r="Q1395" t="s">
        <v>3249</v>
      </c>
      <c r="R1395" t="s">
        <v>3249</v>
      </c>
      <c r="S1395" t="s">
        <v>810</v>
      </c>
      <c r="T1395" t="s">
        <v>2754</v>
      </c>
      <c r="U1395" t="s">
        <v>3250</v>
      </c>
      <c r="V1395" t="s">
        <v>3250</v>
      </c>
      <c r="W1395" t="s">
        <v>3250</v>
      </c>
      <c r="X1395" t="s">
        <v>3250</v>
      </c>
      <c r="Y1395" t="s">
        <v>3250</v>
      </c>
      <c r="Z1395" t="s">
        <v>3250</v>
      </c>
      <c r="AA1395" t="s">
        <v>3108</v>
      </c>
      <c r="AB1395" t="s">
        <v>3108</v>
      </c>
      <c r="AC1395" t="s">
        <v>3250</v>
      </c>
      <c r="AD1395" t="s">
        <v>3250</v>
      </c>
      <c r="AE1395" t="s">
        <v>3250</v>
      </c>
      <c r="AF1395" t="s">
        <v>3250</v>
      </c>
      <c r="AG1395" t="s">
        <v>3250</v>
      </c>
      <c r="AH1395" t="s">
        <v>3250</v>
      </c>
      <c r="AI1395" t="s">
        <v>3250</v>
      </c>
      <c r="AJ1395" t="s">
        <v>3250</v>
      </c>
      <c r="AL1395" t="s">
        <v>3250</v>
      </c>
      <c r="AM1395" t="s">
        <v>3250</v>
      </c>
      <c r="AN1395" t="s">
        <v>3250</v>
      </c>
      <c r="AO1395" t="s">
        <v>3250</v>
      </c>
      <c r="AS1395" t="s">
        <v>3250</v>
      </c>
      <c r="AT1395" t="s">
        <v>3250</v>
      </c>
      <c r="AU1395" t="s">
        <v>3250</v>
      </c>
      <c r="AV1395" t="s">
        <v>3250</v>
      </c>
      <c r="AW1395" t="s">
        <v>3250</v>
      </c>
      <c r="AX1395" t="s">
        <v>3250</v>
      </c>
      <c r="AY1395" t="s">
        <v>3250</v>
      </c>
      <c r="AZ1395" t="s">
        <v>3250</v>
      </c>
      <c r="BA1395" t="s">
        <v>3250</v>
      </c>
      <c r="BB1395" t="s">
        <v>3250</v>
      </c>
      <c r="BC1395" t="s">
        <v>3250</v>
      </c>
      <c r="BE1395" t="s">
        <v>3250</v>
      </c>
      <c r="BF1395" t="s">
        <v>3250</v>
      </c>
      <c r="BG1395" t="s">
        <v>3250</v>
      </c>
      <c r="BH1395" t="s">
        <v>3250</v>
      </c>
      <c r="BI1395" t="s">
        <v>3250</v>
      </c>
      <c r="BK1395" t="s">
        <v>3250</v>
      </c>
      <c r="BL1395" t="s">
        <v>3250</v>
      </c>
      <c r="BM1395" t="s">
        <v>3250</v>
      </c>
      <c r="BN1395" t="s">
        <v>3250</v>
      </c>
      <c r="BP1395">
        <v>15</v>
      </c>
      <c r="BQ1395">
        <v>151</v>
      </c>
      <c r="BR1395" t="s">
        <v>2379</v>
      </c>
      <c r="BS1395" t="s">
        <v>1551</v>
      </c>
      <c r="BV1395">
        <v>0</v>
      </c>
      <c r="BW1395">
        <v>0</v>
      </c>
      <c r="BX1395">
        <v>0</v>
      </c>
      <c r="BY1395">
        <v>40000</v>
      </c>
      <c r="BZ1395">
        <v>0</v>
      </c>
      <c r="CA1395">
        <v>10000</v>
      </c>
      <c r="CB1395">
        <v>10400</v>
      </c>
      <c r="CC1395">
        <v>10816</v>
      </c>
      <c r="CD1395">
        <v>0</v>
      </c>
      <c r="CE1395" t="s">
        <v>3108</v>
      </c>
      <c r="CF1395" t="s">
        <v>3108</v>
      </c>
      <c r="CG1395" t="s">
        <v>3108</v>
      </c>
      <c r="CH1395" t="s">
        <v>3108</v>
      </c>
    </row>
    <row r="1396" spans="1:86" x14ac:dyDescent="0.2">
      <c r="A1396" t="s">
        <v>5338</v>
      </c>
      <c r="B1396" t="s">
        <v>5338</v>
      </c>
      <c r="C1396">
        <v>51877</v>
      </c>
      <c r="D1396">
        <v>1510</v>
      </c>
      <c r="E1396" t="s">
        <v>4015</v>
      </c>
      <c r="F1396">
        <v>2900</v>
      </c>
      <c r="G1396" t="s">
        <v>822</v>
      </c>
      <c r="H1396" t="s">
        <v>3108</v>
      </c>
      <c r="I1396" t="s">
        <v>3108</v>
      </c>
      <c r="J1396">
        <v>2904</v>
      </c>
      <c r="K1396" t="s">
        <v>1690</v>
      </c>
      <c r="L1396">
        <v>2500</v>
      </c>
      <c r="M1396" t="s">
        <v>1551</v>
      </c>
      <c r="N1396">
        <v>2502</v>
      </c>
      <c r="O1396" t="s">
        <v>2379</v>
      </c>
      <c r="P1396" t="s">
        <v>3108</v>
      </c>
      <c r="Q1396" t="s">
        <v>3249</v>
      </c>
      <c r="R1396" t="s">
        <v>3249</v>
      </c>
      <c r="S1396" t="s">
        <v>810</v>
      </c>
      <c r="T1396" t="s">
        <v>2754</v>
      </c>
      <c r="U1396" t="s">
        <v>3250</v>
      </c>
      <c r="V1396" t="s">
        <v>3250</v>
      </c>
      <c r="W1396" t="s">
        <v>3250</v>
      </c>
      <c r="X1396" t="s">
        <v>3250</v>
      </c>
      <c r="Y1396" t="s">
        <v>3250</v>
      </c>
      <c r="Z1396" t="s">
        <v>3250</v>
      </c>
      <c r="AA1396" t="s">
        <v>3108</v>
      </c>
      <c r="AB1396" t="s">
        <v>3108</v>
      </c>
      <c r="AC1396" t="s">
        <v>3250</v>
      </c>
      <c r="AD1396" t="s">
        <v>3250</v>
      </c>
      <c r="AE1396" t="s">
        <v>3250</v>
      </c>
      <c r="AF1396" t="s">
        <v>3250</v>
      </c>
      <c r="AG1396" t="s">
        <v>3250</v>
      </c>
      <c r="AH1396" t="s">
        <v>3250</v>
      </c>
      <c r="AI1396" t="s">
        <v>3250</v>
      </c>
      <c r="AJ1396" t="s">
        <v>3250</v>
      </c>
      <c r="AL1396" t="s">
        <v>3250</v>
      </c>
      <c r="AM1396" t="s">
        <v>3250</v>
      </c>
      <c r="AN1396" t="s">
        <v>3250</v>
      </c>
      <c r="AO1396" t="s">
        <v>3250</v>
      </c>
      <c r="AS1396" t="s">
        <v>3250</v>
      </c>
      <c r="AT1396" t="s">
        <v>3250</v>
      </c>
      <c r="AU1396" t="s">
        <v>3250</v>
      </c>
      <c r="AV1396" t="s">
        <v>3250</v>
      </c>
      <c r="AW1396" t="s">
        <v>3250</v>
      </c>
      <c r="AX1396" t="s">
        <v>3250</v>
      </c>
      <c r="AY1396" t="s">
        <v>3250</v>
      </c>
      <c r="AZ1396" t="s">
        <v>3250</v>
      </c>
      <c r="BA1396" t="s">
        <v>3250</v>
      </c>
      <c r="BB1396" t="s">
        <v>3250</v>
      </c>
      <c r="BC1396" t="s">
        <v>3250</v>
      </c>
      <c r="BE1396" t="s">
        <v>3250</v>
      </c>
      <c r="BF1396" t="s">
        <v>3250</v>
      </c>
      <c r="BG1396" t="s">
        <v>3250</v>
      </c>
      <c r="BH1396" t="s">
        <v>3250</v>
      </c>
      <c r="BI1396" t="s">
        <v>3250</v>
      </c>
      <c r="BK1396" t="s">
        <v>3250</v>
      </c>
      <c r="BL1396" t="s">
        <v>3250</v>
      </c>
      <c r="BM1396" t="s">
        <v>3250</v>
      </c>
      <c r="BN1396" t="s">
        <v>3250</v>
      </c>
      <c r="BP1396">
        <v>15</v>
      </c>
      <c r="BQ1396">
        <v>151</v>
      </c>
      <c r="BR1396" t="s">
        <v>2379</v>
      </c>
      <c r="BS1396" t="s">
        <v>1551</v>
      </c>
      <c r="BV1396">
        <v>0</v>
      </c>
      <c r="BW1396">
        <v>0</v>
      </c>
      <c r="BX1396">
        <v>0</v>
      </c>
      <c r="BY1396">
        <v>0</v>
      </c>
      <c r="BZ1396">
        <v>30000</v>
      </c>
      <c r="CA1396">
        <v>30000</v>
      </c>
      <c r="CB1396">
        <v>32417</v>
      </c>
      <c r="CC1396">
        <v>33713</v>
      </c>
      <c r="CD1396">
        <v>0</v>
      </c>
      <c r="CE1396" t="s">
        <v>3108</v>
      </c>
      <c r="CF1396" t="s">
        <v>3108</v>
      </c>
      <c r="CG1396" t="s">
        <v>3108</v>
      </c>
      <c r="CH1396" t="s">
        <v>3108</v>
      </c>
    </row>
    <row r="1397" spans="1:86" x14ac:dyDescent="0.2">
      <c r="A1397" t="s">
        <v>5339</v>
      </c>
      <c r="B1397" t="s">
        <v>5339</v>
      </c>
      <c r="C1397">
        <v>51878</v>
      </c>
      <c r="D1397">
        <v>1511</v>
      </c>
      <c r="E1397" t="s">
        <v>4003</v>
      </c>
      <c r="F1397">
        <v>2700</v>
      </c>
      <c r="G1397" t="s">
        <v>411</v>
      </c>
      <c r="H1397" t="s">
        <v>4004</v>
      </c>
      <c r="I1397" t="s">
        <v>2531</v>
      </c>
      <c r="J1397">
        <v>2701</v>
      </c>
      <c r="K1397" t="s">
        <v>2531</v>
      </c>
      <c r="L1397">
        <v>2500</v>
      </c>
      <c r="M1397" t="s">
        <v>1551</v>
      </c>
      <c r="N1397">
        <v>2502</v>
      </c>
      <c r="O1397" t="s">
        <v>2379</v>
      </c>
      <c r="P1397" t="s">
        <v>3108</v>
      </c>
      <c r="Q1397" t="s">
        <v>3249</v>
      </c>
      <c r="R1397" t="s">
        <v>3249</v>
      </c>
      <c r="S1397" t="s">
        <v>810</v>
      </c>
      <c r="T1397" t="s">
        <v>2754</v>
      </c>
      <c r="U1397" t="s">
        <v>3250</v>
      </c>
      <c r="V1397" t="s">
        <v>3250</v>
      </c>
      <c r="W1397" t="s">
        <v>3250</v>
      </c>
      <c r="X1397" t="s">
        <v>3250</v>
      </c>
      <c r="Y1397" t="s">
        <v>3250</v>
      </c>
      <c r="Z1397" t="s">
        <v>3250</v>
      </c>
      <c r="AA1397" t="s">
        <v>3108</v>
      </c>
      <c r="AB1397" t="s">
        <v>3108</v>
      </c>
      <c r="AC1397" t="s">
        <v>3250</v>
      </c>
      <c r="AD1397" t="s">
        <v>3250</v>
      </c>
      <c r="AE1397" t="s">
        <v>3250</v>
      </c>
      <c r="AF1397" t="s">
        <v>3250</v>
      </c>
      <c r="AG1397" t="s">
        <v>3250</v>
      </c>
      <c r="AH1397" t="s">
        <v>3250</v>
      </c>
      <c r="AI1397" t="s">
        <v>3250</v>
      </c>
      <c r="AJ1397" t="s">
        <v>3250</v>
      </c>
      <c r="AL1397" t="s">
        <v>3250</v>
      </c>
      <c r="AM1397" t="s">
        <v>3250</v>
      </c>
      <c r="AN1397" t="s">
        <v>3250</v>
      </c>
      <c r="AO1397" t="s">
        <v>3250</v>
      </c>
      <c r="AS1397" t="s">
        <v>3250</v>
      </c>
      <c r="AT1397" t="s">
        <v>3250</v>
      </c>
      <c r="AU1397" t="s">
        <v>3250</v>
      </c>
      <c r="AV1397" t="s">
        <v>3250</v>
      </c>
      <c r="AW1397" t="s">
        <v>3250</v>
      </c>
      <c r="AX1397" t="s">
        <v>3250</v>
      </c>
      <c r="AY1397" t="s">
        <v>3250</v>
      </c>
      <c r="AZ1397" t="s">
        <v>3250</v>
      </c>
      <c r="BA1397" t="s">
        <v>3250</v>
      </c>
      <c r="BB1397" t="s">
        <v>3250</v>
      </c>
      <c r="BC1397" t="s">
        <v>3250</v>
      </c>
      <c r="BE1397" t="s">
        <v>3250</v>
      </c>
      <c r="BF1397" t="s">
        <v>3250</v>
      </c>
      <c r="BG1397" t="s">
        <v>3250</v>
      </c>
      <c r="BH1397" t="s">
        <v>3250</v>
      </c>
      <c r="BI1397" t="s">
        <v>3250</v>
      </c>
      <c r="BK1397" t="s">
        <v>3250</v>
      </c>
      <c r="BL1397" t="s">
        <v>3250</v>
      </c>
      <c r="BM1397" t="s">
        <v>3250</v>
      </c>
      <c r="BN1397" t="s">
        <v>3250</v>
      </c>
      <c r="BP1397">
        <v>15</v>
      </c>
      <c r="BQ1397">
        <v>151</v>
      </c>
      <c r="BR1397" t="s">
        <v>2379</v>
      </c>
      <c r="BS1397" t="s">
        <v>1551</v>
      </c>
      <c r="BV1397">
        <v>0</v>
      </c>
      <c r="BW1397">
        <v>0</v>
      </c>
      <c r="BX1397">
        <v>0</v>
      </c>
      <c r="BY1397">
        <v>0</v>
      </c>
      <c r="BZ1397">
        <v>0</v>
      </c>
      <c r="CA1397">
        <v>0</v>
      </c>
      <c r="CB1397">
        <v>0</v>
      </c>
      <c r="CC1397">
        <v>0</v>
      </c>
      <c r="CD1397">
        <v>0</v>
      </c>
      <c r="CE1397" t="s">
        <v>3108</v>
      </c>
      <c r="CF1397" t="s">
        <v>3108</v>
      </c>
      <c r="CG1397" t="s">
        <v>3108</v>
      </c>
      <c r="CH1397" t="s">
        <v>3108</v>
      </c>
    </row>
    <row r="1398" spans="1:86" x14ac:dyDescent="0.2">
      <c r="A1398" t="s">
        <v>5340</v>
      </c>
      <c r="B1398" t="s">
        <v>5340</v>
      </c>
      <c r="C1398">
        <v>54380</v>
      </c>
      <c r="D1398">
        <v>1512</v>
      </c>
      <c r="E1398" t="s">
        <v>4006</v>
      </c>
      <c r="F1398">
        <v>2700</v>
      </c>
      <c r="G1398" t="s">
        <v>411</v>
      </c>
      <c r="H1398" t="s">
        <v>4004</v>
      </c>
      <c r="I1398" t="s">
        <v>2531</v>
      </c>
      <c r="J1398">
        <v>2701</v>
      </c>
      <c r="K1398" t="s">
        <v>2531</v>
      </c>
      <c r="L1398">
        <v>2500</v>
      </c>
      <c r="M1398" t="s">
        <v>1551</v>
      </c>
      <c r="N1398">
        <v>2502</v>
      </c>
      <c r="O1398" t="s">
        <v>2379</v>
      </c>
      <c r="P1398" t="s">
        <v>3108</v>
      </c>
      <c r="Q1398" t="s">
        <v>3249</v>
      </c>
      <c r="R1398" t="s">
        <v>3249</v>
      </c>
      <c r="S1398" t="s">
        <v>810</v>
      </c>
      <c r="T1398" t="s">
        <v>2754</v>
      </c>
      <c r="U1398" t="s">
        <v>3250</v>
      </c>
      <c r="V1398" t="s">
        <v>3250</v>
      </c>
      <c r="W1398" t="s">
        <v>3250</v>
      </c>
      <c r="X1398" t="s">
        <v>3250</v>
      </c>
      <c r="Y1398" t="s">
        <v>3250</v>
      </c>
      <c r="Z1398" t="s">
        <v>3250</v>
      </c>
      <c r="AA1398" t="s">
        <v>3108</v>
      </c>
      <c r="AB1398" t="s">
        <v>3108</v>
      </c>
      <c r="AC1398" t="s">
        <v>3250</v>
      </c>
      <c r="AD1398" t="s">
        <v>3250</v>
      </c>
      <c r="AE1398" t="s">
        <v>3250</v>
      </c>
      <c r="AF1398" t="s">
        <v>3250</v>
      </c>
      <c r="AG1398" t="s">
        <v>3250</v>
      </c>
      <c r="AH1398" t="s">
        <v>3250</v>
      </c>
      <c r="AI1398" t="s">
        <v>3250</v>
      </c>
      <c r="AJ1398" t="s">
        <v>3250</v>
      </c>
      <c r="AL1398" t="s">
        <v>3250</v>
      </c>
      <c r="AM1398" t="s">
        <v>3250</v>
      </c>
      <c r="AN1398" t="s">
        <v>3250</v>
      </c>
      <c r="AO1398" t="s">
        <v>3250</v>
      </c>
      <c r="AS1398" t="s">
        <v>3250</v>
      </c>
      <c r="AT1398" t="s">
        <v>3250</v>
      </c>
      <c r="AU1398" t="s">
        <v>3250</v>
      </c>
      <c r="AV1398" t="s">
        <v>3250</v>
      </c>
      <c r="AW1398" t="s">
        <v>3250</v>
      </c>
      <c r="AX1398" t="s">
        <v>3250</v>
      </c>
      <c r="AY1398" t="s">
        <v>3250</v>
      </c>
      <c r="AZ1398" t="s">
        <v>3250</v>
      </c>
      <c r="BA1398" t="s">
        <v>3250</v>
      </c>
      <c r="BB1398" t="s">
        <v>3250</v>
      </c>
      <c r="BC1398" t="s">
        <v>3250</v>
      </c>
      <c r="BE1398" t="s">
        <v>3250</v>
      </c>
      <c r="BF1398" t="s">
        <v>3250</v>
      </c>
      <c r="BG1398" t="s">
        <v>3250</v>
      </c>
      <c r="BH1398" t="s">
        <v>3250</v>
      </c>
      <c r="BI1398" t="s">
        <v>3250</v>
      </c>
      <c r="BK1398" t="s">
        <v>3250</v>
      </c>
      <c r="BL1398" t="s">
        <v>3250</v>
      </c>
      <c r="BM1398" t="s">
        <v>3250</v>
      </c>
      <c r="BN1398" t="s">
        <v>3250</v>
      </c>
      <c r="BP1398">
        <v>15</v>
      </c>
      <c r="BQ1398">
        <v>151</v>
      </c>
      <c r="BR1398" t="s">
        <v>2379</v>
      </c>
      <c r="BS1398" t="s">
        <v>1551</v>
      </c>
      <c r="BV1398">
        <v>0</v>
      </c>
      <c r="BW1398">
        <v>0</v>
      </c>
      <c r="BX1398">
        <v>0</v>
      </c>
      <c r="BY1398">
        <v>30000</v>
      </c>
      <c r="BZ1398">
        <v>0</v>
      </c>
      <c r="CA1398">
        <v>30000</v>
      </c>
      <c r="CB1398">
        <v>31200</v>
      </c>
      <c r="CC1398">
        <v>32448</v>
      </c>
      <c r="CD1398">
        <v>0</v>
      </c>
      <c r="CE1398" t="s">
        <v>3108</v>
      </c>
      <c r="CF1398" t="s">
        <v>3108</v>
      </c>
      <c r="CG1398" t="s">
        <v>3108</v>
      </c>
      <c r="CH1398" t="s">
        <v>3108</v>
      </c>
    </row>
    <row r="1399" spans="1:86" x14ac:dyDescent="0.2">
      <c r="A1399" t="s">
        <v>5341</v>
      </c>
      <c r="B1399" t="s">
        <v>5341</v>
      </c>
      <c r="C1399">
        <v>54381</v>
      </c>
      <c r="D1399">
        <v>1513</v>
      </c>
      <c r="E1399" t="s">
        <v>4047</v>
      </c>
      <c r="F1399">
        <v>2600</v>
      </c>
      <c r="G1399" t="s">
        <v>1334</v>
      </c>
      <c r="H1399">
        <v>2600</v>
      </c>
      <c r="I1399" t="s">
        <v>1334</v>
      </c>
      <c r="J1399" t="s">
        <v>3250</v>
      </c>
      <c r="K1399" t="s">
        <v>3250</v>
      </c>
      <c r="L1399">
        <v>2500</v>
      </c>
      <c r="M1399" t="s">
        <v>1551</v>
      </c>
      <c r="N1399">
        <v>2502</v>
      </c>
      <c r="O1399" t="s">
        <v>2379</v>
      </c>
      <c r="P1399" t="s">
        <v>3108</v>
      </c>
      <c r="Q1399" t="s">
        <v>3249</v>
      </c>
      <c r="R1399" t="s">
        <v>3249</v>
      </c>
      <c r="S1399" t="s">
        <v>810</v>
      </c>
      <c r="T1399" t="s">
        <v>2754</v>
      </c>
      <c r="U1399" t="s">
        <v>3250</v>
      </c>
      <c r="V1399" t="s">
        <v>3250</v>
      </c>
      <c r="W1399" t="s">
        <v>3250</v>
      </c>
      <c r="X1399" t="s">
        <v>3250</v>
      </c>
      <c r="Y1399" t="s">
        <v>3250</v>
      </c>
      <c r="Z1399" t="s">
        <v>3250</v>
      </c>
      <c r="AA1399" t="s">
        <v>3108</v>
      </c>
      <c r="AB1399" t="s">
        <v>3108</v>
      </c>
      <c r="AC1399" t="s">
        <v>3250</v>
      </c>
      <c r="AD1399" t="s">
        <v>3250</v>
      </c>
      <c r="AE1399" t="s">
        <v>3250</v>
      </c>
      <c r="AF1399" t="s">
        <v>3250</v>
      </c>
      <c r="AG1399" t="s">
        <v>3250</v>
      </c>
      <c r="AH1399" t="s">
        <v>3250</v>
      </c>
      <c r="AI1399" t="s">
        <v>3250</v>
      </c>
      <c r="AJ1399" t="s">
        <v>3250</v>
      </c>
      <c r="AL1399" t="s">
        <v>3250</v>
      </c>
      <c r="AM1399" t="s">
        <v>3250</v>
      </c>
      <c r="AN1399" t="s">
        <v>3250</v>
      </c>
      <c r="AO1399" t="s">
        <v>3250</v>
      </c>
      <c r="AS1399" t="s">
        <v>3250</v>
      </c>
      <c r="AT1399" t="s">
        <v>3250</v>
      </c>
      <c r="AU1399" t="s">
        <v>3250</v>
      </c>
      <c r="AV1399" t="s">
        <v>3250</v>
      </c>
      <c r="AW1399" t="s">
        <v>3250</v>
      </c>
      <c r="AX1399" t="s">
        <v>3250</v>
      </c>
      <c r="AY1399" t="s">
        <v>3250</v>
      </c>
      <c r="AZ1399" t="s">
        <v>3250</v>
      </c>
      <c r="BA1399" t="s">
        <v>3250</v>
      </c>
      <c r="BB1399" t="s">
        <v>3250</v>
      </c>
      <c r="BC1399" t="s">
        <v>3250</v>
      </c>
      <c r="BE1399" t="s">
        <v>3250</v>
      </c>
      <c r="BF1399" t="s">
        <v>3250</v>
      </c>
      <c r="BG1399" t="s">
        <v>3250</v>
      </c>
      <c r="BH1399" t="s">
        <v>3250</v>
      </c>
      <c r="BI1399" t="s">
        <v>3250</v>
      </c>
      <c r="BK1399" t="s">
        <v>3250</v>
      </c>
      <c r="BL1399" t="s">
        <v>3250</v>
      </c>
      <c r="BM1399" t="s">
        <v>3250</v>
      </c>
      <c r="BN1399" t="s">
        <v>3250</v>
      </c>
      <c r="BP1399">
        <v>15</v>
      </c>
      <c r="BQ1399">
        <v>151</v>
      </c>
      <c r="BR1399" t="s">
        <v>2379</v>
      </c>
      <c r="BS1399" t="s">
        <v>1551</v>
      </c>
      <c r="BV1399">
        <v>0</v>
      </c>
      <c r="BW1399">
        <v>0</v>
      </c>
      <c r="BX1399">
        <v>0</v>
      </c>
      <c r="BY1399">
        <v>0</v>
      </c>
      <c r="BZ1399">
        <v>0</v>
      </c>
      <c r="CA1399">
        <v>0</v>
      </c>
      <c r="CB1399">
        <v>0</v>
      </c>
      <c r="CC1399">
        <v>0</v>
      </c>
      <c r="CD1399">
        <v>0</v>
      </c>
      <c r="CE1399" t="s">
        <v>3108</v>
      </c>
      <c r="CF1399" t="s">
        <v>3108</v>
      </c>
      <c r="CG1399" t="s">
        <v>3108</v>
      </c>
      <c r="CH1399" t="s">
        <v>3108</v>
      </c>
    </row>
    <row r="1400" spans="1:86" x14ac:dyDescent="0.2">
      <c r="A1400" t="s">
        <v>5342</v>
      </c>
      <c r="B1400" t="s">
        <v>5342</v>
      </c>
      <c r="C1400">
        <v>54382</v>
      </c>
      <c r="D1400">
        <v>1514</v>
      </c>
      <c r="E1400" t="s">
        <v>4475</v>
      </c>
      <c r="F1400">
        <v>2600</v>
      </c>
      <c r="G1400" t="s">
        <v>1334</v>
      </c>
      <c r="H1400">
        <v>2600</v>
      </c>
      <c r="I1400" t="s">
        <v>1334</v>
      </c>
      <c r="J1400" t="s">
        <v>3250</v>
      </c>
      <c r="K1400" t="s">
        <v>3250</v>
      </c>
      <c r="L1400">
        <v>2500</v>
      </c>
      <c r="M1400" t="s">
        <v>1551</v>
      </c>
      <c r="N1400">
        <v>2502</v>
      </c>
      <c r="O1400" t="s">
        <v>2379</v>
      </c>
      <c r="P1400" t="s">
        <v>3108</v>
      </c>
      <c r="Q1400" t="s">
        <v>3249</v>
      </c>
      <c r="R1400" t="s">
        <v>3249</v>
      </c>
      <c r="S1400" t="s">
        <v>810</v>
      </c>
      <c r="T1400" t="s">
        <v>2754</v>
      </c>
      <c r="U1400" t="s">
        <v>3250</v>
      </c>
      <c r="V1400" t="s">
        <v>3250</v>
      </c>
      <c r="W1400" t="s">
        <v>3250</v>
      </c>
      <c r="X1400" t="s">
        <v>3250</v>
      </c>
      <c r="Y1400" t="s">
        <v>3250</v>
      </c>
      <c r="Z1400" t="s">
        <v>3250</v>
      </c>
      <c r="AA1400" t="s">
        <v>3108</v>
      </c>
      <c r="AB1400" t="s">
        <v>3108</v>
      </c>
      <c r="AC1400" t="s">
        <v>3250</v>
      </c>
      <c r="AD1400" t="s">
        <v>3250</v>
      </c>
      <c r="AE1400" t="s">
        <v>3250</v>
      </c>
      <c r="AF1400" t="s">
        <v>3250</v>
      </c>
      <c r="AG1400" t="s">
        <v>3250</v>
      </c>
      <c r="AH1400" t="s">
        <v>3250</v>
      </c>
      <c r="AI1400" t="s">
        <v>3250</v>
      </c>
      <c r="AJ1400" t="s">
        <v>3250</v>
      </c>
      <c r="AL1400" t="s">
        <v>3250</v>
      </c>
      <c r="AM1400" t="s">
        <v>3250</v>
      </c>
      <c r="AN1400" t="s">
        <v>3250</v>
      </c>
      <c r="AO1400" t="s">
        <v>3250</v>
      </c>
      <c r="AS1400" t="s">
        <v>3250</v>
      </c>
      <c r="AT1400" t="s">
        <v>3250</v>
      </c>
      <c r="AU1400" t="s">
        <v>3250</v>
      </c>
      <c r="AV1400" t="s">
        <v>3250</v>
      </c>
      <c r="AW1400" t="s">
        <v>3250</v>
      </c>
      <c r="AX1400" t="s">
        <v>3250</v>
      </c>
      <c r="AY1400" t="s">
        <v>3250</v>
      </c>
      <c r="AZ1400" t="s">
        <v>3250</v>
      </c>
      <c r="BA1400" t="s">
        <v>3250</v>
      </c>
      <c r="BB1400" t="s">
        <v>3250</v>
      </c>
      <c r="BC1400" t="s">
        <v>3250</v>
      </c>
      <c r="BE1400" t="s">
        <v>3250</v>
      </c>
      <c r="BF1400" t="s">
        <v>3250</v>
      </c>
      <c r="BG1400" t="s">
        <v>3250</v>
      </c>
      <c r="BH1400" t="s">
        <v>3250</v>
      </c>
      <c r="BI1400" t="s">
        <v>3250</v>
      </c>
      <c r="BK1400" t="s">
        <v>3250</v>
      </c>
      <c r="BL1400" t="s">
        <v>3250</v>
      </c>
      <c r="BM1400" t="s">
        <v>3250</v>
      </c>
      <c r="BN1400" t="s">
        <v>3250</v>
      </c>
      <c r="BP1400">
        <v>15</v>
      </c>
      <c r="BQ1400">
        <v>151</v>
      </c>
      <c r="BR1400" t="s">
        <v>2379</v>
      </c>
      <c r="BS1400" t="s">
        <v>1551</v>
      </c>
      <c r="BV1400">
        <v>0</v>
      </c>
      <c r="BW1400">
        <v>0</v>
      </c>
      <c r="BX1400">
        <v>0</v>
      </c>
      <c r="BY1400">
        <v>0</v>
      </c>
      <c r="BZ1400">
        <v>0</v>
      </c>
      <c r="CA1400">
        <v>0</v>
      </c>
      <c r="CB1400">
        <v>0</v>
      </c>
      <c r="CC1400">
        <v>0</v>
      </c>
      <c r="CD1400">
        <v>0</v>
      </c>
      <c r="CE1400" t="s">
        <v>3108</v>
      </c>
      <c r="CF1400" t="s">
        <v>3108</v>
      </c>
      <c r="CG1400" t="s">
        <v>3108</v>
      </c>
      <c r="CH1400" t="s">
        <v>3108</v>
      </c>
    </row>
    <row r="1401" spans="1:86" x14ac:dyDescent="0.2">
      <c r="A1401" t="s">
        <v>5343</v>
      </c>
      <c r="B1401" t="s">
        <v>5343</v>
      </c>
      <c r="C1401">
        <v>54383</v>
      </c>
      <c r="D1401">
        <v>1515</v>
      </c>
      <c r="E1401" t="s">
        <v>4006</v>
      </c>
      <c r="F1401">
        <v>2700</v>
      </c>
      <c r="G1401" t="s">
        <v>411</v>
      </c>
      <c r="H1401" t="s">
        <v>4004</v>
      </c>
      <c r="I1401" t="s">
        <v>2531</v>
      </c>
      <c r="J1401">
        <v>2701</v>
      </c>
      <c r="K1401" t="s">
        <v>2531</v>
      </c>
      <c r="L1401">
        <v>2500</v>
      </c>
      <c r="M1401" t="s">
        <v>1551</v>
      </c>
      <c r="N1401">
        <v>2502</v>
      </c>
      <c r="O1401" t="s">
        <v>2379</v>
      </c>
      <c r="P1401" t="s">
        <v>3108</v>
      </c>
      <c r="Q1401" t="s">
        <v>3249</v>
      </c>
      <c r="R1401" t="s">
        <v>3249</v>
      </c>
      <c r="S1401" t="s">
        <v>810</v>
      </c>
      <c r="T1401" t="s">
        <v>2754</v>
      </c>
      <c r="U1401" t="s">
        <v>3250</v>
      </c>
      <c r="V1401" t="s">
        <v>3250</v>
      </c>
      <c r="W1401" t="s">
        <v>3250</v>
      </c>
      <c r="X1401" t="s">
        <v>3250</v>
      </c>
      <c r="Y1401" t="s">
        <v>3250</v>
      </c>
      <c r="Z1401" t="s">
        <v>3250</v>
      </c>
      <c r="AA1401" t="s">
        <v>3108</v>
      </c>
      <c r="AB1401" t="s">
        <v>3108</v>
      </c>
      <c r="AC1401" t="s">
        <v>3250</v>
      </c>
      <c r="AD1401" t="s">
        <v>3250</v>
      </c>
      <c r="AE1401" t="s">
        <v>3250</v>
      </c>
      <c r="AF1401" t="s">
        <v>3250</v>
      </c>
      <c r="AG1401" t="s">
        <v>3250</v>
      </c>
      <c r="AH1401" t="s">
        <v>3250</v>
      </c>
      <c r="AI1401" t="s">
        <v>3250</v>
      </c>
      <c r="AJ1401" t="s">
        <v>3250</v>
      </c>
      <c r="AL1401" t="s">
        <v>3250</v>
      </c>
      <c r="AM1401" t="s">
        <v>3250</v>
      </c>
      <c r="AN1401" t="s">
        <v>3250</v>
      </c>
      <c r="AO1401" t="s">
        <v>3250</v>
      </c>
      <c r="AS1401" t="s">
        <v>3250</v>
      </c>
      <c r="AT1401" t="s">
        <v>3250</v>
      </c>
      <c r="AU1401" t="s">
        <v>3250</v>
      </c>
      <c r="AV1401" t="s">
        <v>3250</v>
      </c>
      <c r="AW1401" t="s">
        <v>3250</v>
      </c>
      <c r="AX1401" t="s">
        <v>3250</v>
      </c>
      <c r="AY1401" t="s">
        <v>3250</v>
      </c>
      <c r="AZ1401" t="s">
        <v>3250</v>
      </c>
      <c r="BA1401" t="s">
        <v>3250</v>
      </c>
      <c r="BB1401" t="s">
        <v>3250</v>
      </c>
      <c r="BC1401" t="s">
        <v>3250</v>
      </c>
      <c r="BE1401" t="s">
        <v>3250</v>
      </c>
      <c r="BF1401" t="s">
        <v>3250</v>
      </c>
      <c r="BG1401" t="s">
        <v>3250</v>
      </c>
      <c r="BH1401" t="s">
        <v>3250</v>
      </c>
      <c r="BI1401" t="s">
        <v>3250</v>
      </c>
      <c r="BK1401" t="s">
        <v>3250</v>
      </c>
      <c r="BL1401" t="s">
        <v>3250</v>
      </c>
      <c r="BM1401" t="s">
        <v>3250</v>
      </c>
      <c r="BN1401" t="s">
        <v>3250</v>
      </c>
      <c r="BP1401">
        <v>15</v>
      </c>
      <c r="BQ1401">
        <v>151</v>
      </c>
      <c r="BR1401" t="s">
        <v>2379</v>
      </c>
      <c r="BS1401" t="s">
        <v>1551</v>
      </c>
      <c r="BV1401">
        <v>0</v>
      </c>
      <c r="BW1401">
        <v>25065</v>
      </c>
      <c r="BX1401">
        <v>0</v>
      </c>
      <c r="BY1401">
        <v>0</v>
      </c>
      <c r="BZ1401">
        <v>0</v>
      </c>
      <c r="CA1401">
        <v>0</v>
      </c>
      <c r="CB1401">
        <v>0</v>
      </c>
      <c r="CC1401">
        <v>0</v>
      </c>
      <c r="CD1401">
        <v>0</v>
      </c>
      <c r="CE1401" t="s">
        <v>3108</v>
      </c>
      <c r="CF1401" t="s">
        <v>3108</v>
      </c>
      <c r="CG1401" t="s">
        <v>3108</v>
      </c>
      <c r="CH1401" t="s">
        <v>3108</v>
      </c>
    </row>
    <row r="1402" spans="1:86" x14ac:dyDescent="0.2">
      <c r="A1402" t="s">
        <v>5344</v>
      </c>
      <c r="B1402" t="s">
        <v>5344</v>
      </c>
      <c r="C1402">
        <v>54384</v>
      </c>
      <c r="D1402">
        <v>1516</v>
      </c>
      <c r="E1402" t="s">
        <v>4475</v>
      </c>
      <c r="F1402">
        <v>2600</v>
      </c>
      <c r="G1402" t="s">
        <v>1334</v>
      </c>
      <c r="H1402">
        <v>2600</v>
      </c>
      <c r="I1402" t="s">
        <v>1334</v>
      </c>
      <c r="J1402" t="s">
        <v>3250</v>
      </c>
      <c r="K1402" t="s">
        <v>3250</v>
      </c>
      <c r="L1402">
        <v>2500</v>
      </c>
      <c r="M1402" t="s">
        <v>1551</v>
      </c>
      <c r="N1402">
        <v>2502</v>
      </c>
      <c r="O1402" t="s">
        <v>2379</v>
      </c>
      <c r="P1402" t="s">
        <v>3108</v>
      </c>
      <c r="Q1402" t="s">
        <v>3249</v>
      </c>
      <c r="R1402" t="s">
        <v>3249</v>
      </c>
      <c r="S1402" t="s">
        <v>810</v>
      </c>
      <c r="T1402" t="s">
        <v>2754</v>
      </c>
      <c r="U1402" t="s">
        <v>3250</v>
      </c>
      <c r="V1402" t="s">
        <v>3250</v>
      </c>
      <c r="W1402" t="s">
        <v>3250</v>
      </c>
      <c r="X1402" t="s">
        <v>3250</v>
      </c>
      <c r="Y1402" t="s">
        <v>3250</v>
      </c>
      <c r="Z1402" t="s">
        <v>3250</v>
      </c>
      <c r="AA1402" t="s">
        <v>3108</v>
      </c>
      <c r="AB1402" t="s">
        <v>3108</v>
      </c>
      <c r="AC1402" t="s">
        <v>3250</v>
      </c>
      <c r="AD1402" t="s">
        <v>3250</v>
      </c>
      <c r="AE1402" t="s">
        <v>3250</v>
      </c>
      <c r="AF1402" t="s">
        <v>3250</v>
      </c>
      <c r="AG1402" t="s">
        <v>3250</v>
      </c>
      <c r="AH1402" t="s">
        <v>3250</v>
      </c>
      <c r="AI1402" t="s">
        <v>3250</v>
      </c>
      <c r="AJ1402" t="s">
        <v>3250</v>
      </c>
      <c r="AL1402" t="s">
        <v>3250</v>
      </c>
      <c r="AM1402" t="s">
        <v>3250</v>
      </c>
      <c r="AN1402" t="s">
        <v>3250</v>
      </c>
      <c r="AO1402" t="s">
        <v>3250</v>
      </c>
      <c r="AS1402" t="s">
        <v>3250</v>
      </c>
      <c r="AT1402" t="s">
        <v>3250</v>
      </c>
      <c r="AU1402" t="s">
        <v>3250</v>
      </c>
      <c r="AV1402" t="s">
        <v>3250</v>
      </c>
      <c r="AW1402" t="s">
        <v>3250</v>
      </c>
      <c r="AX1402" t="s">
        <v>3250</v>
      </c>
      <c r="AY1402" t="s">
        <v>3250</v>
      </c>
      <c r="AZ1402" t="s">
        <v>3250</v>
      </c>
      <c r="BA1402" t="s">
        <v>3250</v>
      </c>
      <c r="BB1402" t="s">
        <v>3250</v>
      </c>
      <c r="BC1402" t="s">
        <v>3250</v>
      </c>
      <c r="BE1402" t="s">
        <v>3250</v>
      </c>
      <c r="BF1402" t="s">
        <v>3250</v>
      </c>
      <c r="BG1402" t="s">
        <v>3250</v>
      </c>
      <c r="BH1402" t="s">
        <v>3250</v>
      </c>
      <c r="BI1402" t="s">
        <v>3250</v>
      </c>
      <c r="BK1402" t="s">
        <v>3250</v>
      </c>
      <c r="BL1402" t="s">
        <v>3250</v>
      </c>
      <c r="BM1402" t="s">
        <v>3250</v>
      </c>
      <c r="BN1402" t="s">
        <v>3250</v>
      </c>
      <c r="BP1402">
        <v>15</v>
      </c>
      <c r="BQ1402">
        <v>151</v>
      </c>
      <c r="BR1402" t="s">
        <v>2379</v>
      </c>
      <c r="BS1402" t="s">
        <v>1551</v>
      </c>
      <c r="BV1402">
        <v>0</v>
      </c>
      <c r="BW1402">
        <v>0</v>
      </c>
      <c r="BX1402">
        <v>0</v>
      </c>
      <c r="BY1402">
        <v>0</v>
      </c>
      <c r="BZ1402">
        <v>0</v>
      </c>
      <c r="CA1402">
        <v>0</v>
      </c>
      <c r="CB1402">
        <v>0</v>
      </c>
      <c r="CC1402">
        <v>0</v>
      </c>
      <c r="CD1402">
        <v>0</v>
      </c>
      <c r="CE1402" t="s">
        <v>3108</v>
      </c>
      <c r="CF1402" t="s">
        <v>3108</v>
      </c>
      <c r="CG1402" t="s">
        <v>3108</v>
      </c>
      <c r="CH1402" t="s">
        <v>3108</v>
      </c>
    </row>
    <row r="1403" spans="1:86" x14ac:dyDescent="0.2">
      <c r="A1403" t="s">
        <v>5345</v>
      </c>
      <c r="B1403" t="s">
        <v>5345</v>
      </c>
      <c r="C1403">
        <v>54385</v>
      </c>
      <c r="D1403">
        <v>1517</v>
      </c>
      <c r="E1403" t="s">
        <v>4047</v>
      </c>
      <c r="F1403">
        <v>2600</v>
      </c>
      <c r="G1403" t="s">
        <v>1334</v>
      </c>
      <c r="H1403">
        <v>2600</v>
      </c>
      <c r="I1403" t="s">
        <v>1334</v>
      </c>
      <c r="J1403" t="s">
        <v>3250</v>
      </c>
      <c r="K1403" t="s">
        <v>3250</v>
      </c>
      <c r="L1403">
        <v>2500</v>
      </c>
      <c r="M1403" t="s">
        <v>1551</v>
      </c>
      <c r="N1403">
        <v>2502</v>
      </c>
      <c r="O1403" t="s">
        <v>2379</v>
      </c>
      <c r="P1403" t="s">
        <v>3108</v>
      </c>
      <c r="Q1403" t="s">
        <v>3249</v>
      </c>
      <c r="R1403" t="s">
        <v>3249</v>
      </c>
      <c r="S1403" t="s">
        <v>810</v>
      </c>
      <c r="T1403" t="s">
        <v>2754</v>
      </c>
      <c r="U1403" t="s">
        <v>3250</v>
      </c>
      <c r="V1403" t="s">
        <v>3250</v>
      </c>
      <c r="W1403" t="s">
        <v>3250</v>
      </c>
      <c r="X1403" t="s">
        <v>3250</v>
      </c>
      <c r="Y1403" t="s">
        <v>3250</v>
      </c>
      <c r="Z1403" t="s">
        <v>3250</v>
      </c>
      <c r="AA1403" t="s">
        <v>3108</v>
      </c>
      <c r="AB1403" t="s">
        <v>3108</v>
      </c>
      <c r="AC1403" t="s">
        <v>3250</v>
      </c>
      <c r="AD1403" t="s">
        <v>3250</v>
      </c>
      <c r="AE1403" t="s">
        <v>3250</v>
      </c>
      <c r="AF1403" t="s">
        <v>3250</v>
      </c>
      <c r="AG1403" t="s">
        <v>3250</v>
      </c>
      <c r="AH1403" t="s">
        <v>3250</v>
      </c>
      <c r="AI1403" t="s">
        <v>3250</v>
      </c>
      <c r="AJ1403" t="s">
        <v>3250</v>
      </c>
      <c r="AL1403" t="s">
        <v>3250</v>
      </c>
      <c r="AM1403" t="s">
        <v>3250</v>
      </c>
      <c r="AN1403" t="s">
        <v>3250</v>
      </c>
      <c r="AO1403" t="s">
        <v>3250</v>
      </c>
      <c r="AS1403" t="s">
        <v>3250</v>
      </c>
      <c r="AT1403" t="s">
        <v>3250</v>
      </c>
      <c r="AU1403" t="s">
        <v>3250</v>
      </c>
      <c r="AV1403" t="s">
        <v>3250</v>
      </c>
      <c r="AW1403" t="s">
        <v>3250</v>
      </c>
      <c r="AX1403" t="s">
        <v>3250</v>
      </c>
      <c r="AY1403" t="s">
        <v>3250</v>
      </c>
      <c r="AZ1403" t="s">
        <v>3250</v>
      </c>
      <c r="BA1403" t="s">
        <v>3250</v>
      </c>
      <c r="BB1403" t="s">
        <v>3250</v>
      </c>
      <c r="BC1403" t="s">
        <v>3250</v>
      </c>
      <c r="BE1403" t="s">
        <v>3250</v>
      </c>
      <c r="BF1403" t="s">
        <v>3250</v>
      </c>
      <c r="BG1403" t="s">
        <v>3250</v>
      </c>
      <c r="BH1403" t="s">
        <v>3250</v>
      </c>
      <c r="BI1403" t="s">
        <v>3250</v>
      </c>
      <c r="BK1403" t="s">
        <v>3250</v>
      </c>
      <c r="BL1403" t="s">
        <v>3250</v>
      </c>
      <c r="BM1403" t="s">
        <v>3250</v>
      </c>
      <c r="BN1403" t="s">
        <v>3250</v>
      </c>
      <c r="BP1403">
        <v>15</v>
      </c>
      <c r="BQ1403">
        <v>151</v>
      </c>
      <c r="BR1403" t="s">
        <v>2379</v>
      </c>
      <c r="BS1403" t="s">
        <v>1551</v>
      </c>
      <c r="BV1403">
        <v>0</v>
      </c>
      <c r="BW1403">
        <v>0</v>
      </c>
      <c r="BX1403">
        <v>0</v>
      </c>
      <c r="BY1403">
        <v>0</v>
      </c>
      <c r="BZ1403">
        <v>0</v>
      </c>
      <c r="CA1403">
        <v>0</v>
      </c>
      <c r="CB1403">
        <v>0</v>
      </c>
      <c r="CC1403">
        <v>0</v>
      </c>
      <c r="CD1403">
        <v>0</v>
      </c>
      <c r="CE1403" t="s">
        <v>3108</v>
      </c>
      <c r="CF1403" t="s">
        <v>3108</v>
      </c>
      <c r="CG1403" t="s">
        <v>3108</v>
      </c>
      <c r="CH1403" t="s">
        <v>3108</v>
      </c>
    </row>
    <row r="1404" spans="1:86" x14ac:dyDescent="0.2">
      <c r="A1404" t="s">
        <v>5346</v>
      </c>
      <c r="B1404" t="s">
        <v>5346</v>
      </c>
      <c r="C1404">
        <v>54386</v>
      </c>
      <c r="D1404">
        <v>1518</v>
      </c>
      <c r="E1404" t="s">
        <v>4006</v>
      </c>
      <c r="F1404">
        <v>2700</v>
      </c>
      <c r="G1404" t="s">
        <v>411</v>
      </c>
      <c r="H1404" t="s">
        <v>4004</v>
      </c>
      <c r="I1404" t="s">
        <v>2531</v>
      </c>
      <c r="J1404">
        <v>2701</v>
      </c>
      <c r="K1404" t="s">
        <v>2531</v>
      </c>
      <c r="L1404">
        <v>2500</v>
      </c>
      <c r="M1404" t="s">
        <v>1551</v>
      </c>
      <c r="N1404">
        <v>2502</v>
      </c>
      <c r="O1404" t="s">
        <v>2379</v>
      </c>
      <c r="P1404" t="s">
        <v>3108</v>
      </c>
      <c r="Q1404" t="s">
        <v>3249</v>
      </c>
      <c r="R1404" t="s">
        <v>3249</v>
      </c>
      <c r="S1404" t="s">
        <v>810</v>
      </c>
      <c r="T1404" t="s">
        <v>2754</v>
      </c>
      <c r="U1404" t="s">
        <v>3250</v>
      </c>
      <c r="V1404" t="s">
        <v>3250</v>
      </c>
      <c r="W1404" t="s">
        <v>3250</v>
      </c>
      <c r="X1404" t="s">
        <v>3250</v>
      </c>
      <c r="Y1404" t="s">
        <v>3250</v>
      </c>
      <c r="Z1404" t="s">
        <v>3250</v>
      </c>
      <c r="AA1404" t="s">
        <v>3108</v>
      </c>
      <c r="AB1404" t="s">
        <v>3108</v>
      </c>
      <c r="AC1404" t="s">
        <v>3250</v>
      </c>
      <c r="AD1404" t="s">
        <v>3250</v>
      </c>
      <c r="AE1404" t="s">
        <v>3250</v>
      </c>
      <c r="AF1404" t="s">
        <v>3250</v>
      </c>
      <c r="AG1404" t="s">
        <v>3250</v>
      </c>
      <c r="AH1404" t="s">
        <v>3250</v>
      </c>
      <c r="AI1404" t="s">
        <v>3250</v>
      </c>
      <c r="AJ1404" t="s">
        <v>3250</v>
      </c>
      <c r="AL1404" t="s">
        <v>3250</v>
      </c>
      <c r="AM1404" t="s">
        <v>3250</v>
      </c>
      <c r="AN1404" t="s">
        <v>3250</v>
      </c>
      <c r="AO1404" t="s">
        <v>3250</v>
      </c>
      <c r="AS1404" t="s">
        <v>3250</v>
      </c>
      <c r="AT1404" t="s">
        <v>3250</v>
      </c>
      <c r="AU1404" t="s">
        <v>3250</v>
      </c>
      <c r="AV1404" t="s">
        <v>3250</v>
      </c>
      <c r="AW1404" t="s">
        <v>3250</v>
      </c>
      <c r="AX1404" t="s">
        <v>3250</v>
      </c>
      <c r="AY1404" t="s">
        <v>3250</v>
      </c>
      <c r="AZ1404" t="s">
        <v>3250</v>
      </c>
      <c r="BA1404" t="s">
        <v>3250</v>
      </c>
      <c r="BB1404" t="s">
        <v>3250</v>
      </c>
      <c r="BC1404" t="s">
        <v>3250</v>
      </c>
      <c r="BE1404" t="s">
        <v>3250</v>
      </c>
      <c r="BF1404" t="s">
        <v>3250</v>
      </c>
      <c r="BG1404" t="s">
        <v>3250</v>
      </c>
      <c r="BH1404" t="s">
        <v>3250</v>
      </c>
      <c r="BI1404" t="s">
        <v>3250</v>
      </c>
      <c r="BK1404" t="s">
        <v>3250</v>
      </c>
      <c r="BL1404" t="s">
        <v>3250</v>
      </c>
      <c r="BM1404" t="s">
        <v>3250</v>
      </c>
      <c r="BN1404" t="s">
        <v>3250</v>
      </c>
      <c r="BP1404">
        <v>15</v>
      </c>
      <c r="BQ1404">
        <v>151</v>
      </c>
      <c r="BR1404" t="s">
        <v>2379</v>
      </c>
      <c r="BS1404" t="s">
        <v>1551</v>
      </c>
      <c r="BV1404">
        <v>58500</v>
      </c>
      <c r="BW1404">
        <v>5813</v>
      </c>
      <c r="BX1404">
        <v>0</v>
      </c>
      <c r="BY1404">
        <v>50000</v>
      </c>
      <c r="BZ1404">
        <v>5000</v>
      </c>
      <c r="CA1404">
        <v>50000</v>
      </c>
      <c r="CB1404">
        <v>5403</v>
      </c>
      <c r="CC1404">
        <v>5619</v>
      </c>
      <c r="CD1404">
        <v>39485</v>
      </c>
      <c r="CE1404" t="s">
        <v>3108</v>
      </c>
      <c r="CF1404" t="s">
        <v>3108</v>
      </c>
      <c r="CG1404" t="s">
        <v>3108</v>
      </c>
      <c r="CH1404" t="s">
        <v>3108</v>
      </c>
    </row>
    <row r="1405" spans="1:86" x14ac:dyDescent="0.2">
      <c r="A1405" t="s">
        <v>5347</v>
      </c>
      <c r="B1405" t="s">
        <v>5347</v>
      </c>
      <c r="C1405">
        <v>54387</v>
      </c>
      <c r="D1405">
        <v>1519</v>
      </c>
      <c r="E1405" t="s">
        <v>4008</v>
      </c>
      <c r="F1405">
        <v>2900</v>
      </c>
      <c r="G1405" t="s">
        <v>822</v>
      </c>
      <c r="H1405" t="s">
        <v>3108</v>
      </c>
      <c r="I1405" t="s">
        <v>3108</v>
      </c>
      <c r="J1405">
        <v>2904</v>
      </c>
      <c r="K1405" t="s">
        <v>1690</v>
      </c>
      <c r="L1405">
        <v>2500</v>
      </c>
      <c r="M1405" t="s">
        <v>1551</v>
      </c>
      <c r="N1405">
        <v>2502</v>
      </c>
      <c r="O1405" t="s">
        <v>2379</v>
      </c>
      <c r="P1405" t="s">
        <v>3108</v>
      </c>
      <c r="Q1405" t="s">
        <v>3249</v>
      </c>
      <c r="R1405" t="s">
        <v>3249</v>
      </c>
      <c r="S1405" t="s">
        <v>810</v>
      </c>
      <c r="T1405" t="s">
        <v>2754</v>
      </c>
      <c r="U1405" t="s">
        <v>3250</v>
      </c>
      <c r="V1405" t="s">
        <v>3250</v>
      </c>
      <c r="W1405" t="s">
        <v>3250</v>
      </c>
      <c r="X1405" t="s">
        <v>3250</v>
      </c>
      <c r="Y1405" t="s">
        <v>3250</v>
      </c>
      <c r="Z1405" t="s">
        <v>3250</v>
      </c>
      <c r="AA1405" t="s">
        <v>3108</v>
      </c>
      <c r="AB1405" t="s">
        <v>3108</v>
      </c>
      <c r="AC1405" t="s">
        <v>3250</v>
      </c>
      <c r="AD1405" t="s">
        <v>3250</v>
      </c>
      <c r="AE1405" t="s">
        <v>3250</v>
      </c>
      <c r="AF1405" t="s">
        <v>3250</v>
      </c>
      <c r="AG1405" t="s">
        <v>3250</v>
      </c>
      <c r="AH1405" t="s">
        <v>3250</v>
      </c>
      <c r="AI1405" t="s">
        <v>3250</v>
      </c>
      <c r="AJ1405" t="s">
        <v>3250</v>
      </c>
      <c r="AL1405" t="s">
        <v>3250</v>
      </c>
      <c r="AM1405" t="s">
        <v>3250</v>
      </c>
      <c r="AN1405" t="s">
        <v>3250</v>
      </c>
      <c r="AO1405" t="s">
        <v>3250</v>
      </c>
      <c r="AS1405" t="s">
        <v>3250</v>
      </c>
      <c r="AT1405" t="s">
        <v>3250</v>
      </c>
      <c r="AU1405" t="s">
        <v>3250</v>
      </c>
      <c r="AV1405" t="s">
        <v>3250</v>
      </c>
      <c r="AW1405" t="s">
        <v>3250</v>
      </c>
      <c r="AX1405" t="s">
        <v>3250</v>
      </c>
      <c r="AY1405" t="s">
        <v>3250</v>
      </c>
      <c r="AZ1405" t="s">
        <v>3250</v>
      </c>
      <c r="BA1405" t="s">
        <v>3250</v>
      </c>
      <c r="BB1405" t="s">
        <v>3250</v>
      </c>
      <c r="BC1405" t="s">
        <v>3250</v>
      </c>
      <c r="BE1405" t="s">
        <v>3250</v>
      </c>
      <c r="BF1405" t="s">
        <v>3250</v>
      </c>
      <c r="BG1405" t="s">
        <v>3250</v>
      </c>
      <c r="BH1405" t="s">
        <v>3250</v>
      </c>
      <c r="BI1405" t="s">
        <v>3250</v>
      </c>
      <c r="BK1405" t="s">
        <v>3250</v>
      </c>
      <c r="BL1405" t="s">
        <v>3250</v>
      </c>
      <c r="BM1405" t="s">
        <v>3250</v>
      </c>
      <c r="BN1405" t="s">
        <v>3250</v>
      </c>
      <c r="BP1405">
        <v>15</v>
      </c>
      <c r="BQ1405">
        <v>151</v>
      </c>
      <c r="BR1405" t="s">
        <v>2379</v>
      </c>
      <c r="BS1405" t="s">
        <v>1551</v>
      </c>
      <c r="BV1405">
        <v>0</v>
      </c>
      <c r="BW1405">
        <v>0</v>
      </c>
      <c r="BX1405">
        <v>0</v>
      </c>
      <c r="BY1405">
        <v>0</v>
      </c>
      <c r="BZ1405">
        <v>0</v>
      </c>
      <c r="CA1405">
        <v>0</v>
      </c>
      <c r="CB1405">
        <v>0</v>
      </c>
      <c r="CC1405">
        <v>0</v>
      </c>
      <c r="CD1405">
        <v>0</v>
      </c>
      <c r="CE1405" t="s">
        <v>3108</v>
      </c>
      <c r="CF1405" t="s">
        <v>3108</v>
      </c>
      <c r="CG1405" t="s">
        <v>3108</v>
      </c>
      <c r="CH1405" t="s">
        <v>3108</v>
      </c>
    </row>
    <row r="1406" spans="1:86" x14ac:dyDescent="0.2">
      <c r="A1406" t="s">
        <v>5348</v>
      </c>
      <c r="B1406" t="s">
        <v>5348</v>
      </c>
      <c r="C1406">
        <v>54388</v>
      </c>
      <c r="D1406">
        <v>1520</v>
      </c>
      <c r="E1406" t="s">
        <v>4003</v>
      </c>
      <c r="F1406">
        <v>2700</v>
      </c>
      <c r="G1406" t="s">
        <v>411</v>
      </c>
      <c r="H1406" t="s">
        <v>4004</v>
      </c>
      <c r="I1406" t="s">
        <v>2531</v>
      </c>
      <c r="J1406">
        <v>2701</v>
      </c>
      <c r="K1406" t="s">
        <v>2531</v>
      </c>
      <c r="L1406">
        <v>2500</v>
      </c>
      <c r="M1406" t="s">
        <v>1551</v>
      </c>
      <c r="N1406">
        <v>2502</v>
      </c>
      <c r="O1406" t="s">
        <v>2379</v>
      </c>
      <c r="P1406" t="s">
        <v>3108</v>
      </c>
      <c r="Q1406" t="s">
        <v>3249</v>
      </c>
      <c r="R1406" t="s">
        <v>3249</v>
      </c>
      <c r="S1406" t="s">
        <v>810</v>
      </c>
      <c r="T1406" t="s">
        <v>2754</v>
      </c>
      <c r="U1406" t="s">
        <v>3250</v>
      </c>
      <c r="V1406" t="s">
        <v>3250</v>
      </c>
      <c r="W1406" t="s">
        <v>3250</v>
      </c>
      <c r="X1406" t="s">
        <v>3250</v>
      </c>
      <c r="Y1406" t="s">
        <v>3250</v>
      </c>
      <c r="Z1406" t="s">
        <v>3250</v>
      </c>
      <c r="AA1406" t="s">
        <v>3108</v>
      </c>
      <c r="AB1406" t="s">
        <v>3108</v>
      </c>
      <c r="AC1406" t="s">
        <v>3250</v>
      </c>
      <c r="AD1406" t="s">
        <v>3250</v>
      </c>
      <c r="AE1406" t="s">
        <v>3250</v>
      </c>
      <c r="AF1406" t="s">
        <v>3250</v>
      </c>
      <c r="AG1406" t="s">
        <v>3250</v>
      </c>
      <c r="AH1406" t="s">
        <v>3250</v>
      </c>
      <c r="AI1406" t="s">
        <v>3250</v>
      </c>
      <c r="AJ1406" t="s">
        <v>3250</v>
      </c>
      <c r="AL1406" t="s">
        <v>3250</v>
      </c>
      <c r="AM1406" t="s">
        <v>3250</v>
      </c>
      <c r="AN1406" t="s">
        <v>3250</v>
      </c>
      <c r="AO1406" t="s">
        <v>3250</v>
      </c>
      <c r="AS1406" t="s">
        <v>3250</v>
      </c>
      <c r="AT1406" t="s">
        <v>3250</v>
      </c>
      <c r="AU1406" t="s">
        <v>3250</v>
      </c>
      <c r="AV1406" t="s">
        <v>3250</v>
      </c>
      <c r="AW1406" t="s">
        <v>3250</v>
      </c>
      <c r="AX1406" t="s">
        <v>3250</v>
      </c>
      <c r="AY1406" t="s">
        <v>3250</v>
      </c>
      <c r="AZ1406" t="s">
        <v>3250</v>
      </c>
      <c r="BA1406" t="s">
        <v>3250</v>
      </c>
      <c r="BB1406" t="s">
        <v>3250</v>
      </c>
      <c r="BC1406" t="s">
        <v>3250</v>
      </c>
      <c r="BE1406" t="s">
        <v>3250</v>
      </c>
      <c r="BF1406" t="s">
        <v>3250</v>
      </c>
      <c r="BG1406" t="s">
        <v>3250</v>
      </c>
      <c r="BH1406" t="s">
        <v>3250</v>
      </c>
      <c r="BI1406" t="s">
        <v>3250</v>
      </c>
      <c r="BK1406" t="s">
        <v>3250</v>
      </c>
      <c r="BL1406" t="s">
        <v>3250</v>
      </c>
      <c r="BM1406" t="s">
        <v>3250</v>
      </c>
      <c r="BN1406" t="s">
        <v>3250</v>
      </c>
      <c r="BP1406">
        <v>15</v>
      </c>
      <c r="BQ1406">
        <v>151</v>
      </c>
      <c r="BR1406" t="s">
        <v>2379</v>
      </c>
      <c r="BS1406" t="s">
        <v>1551</v>
      </c>
      <c r="BV1406">
        <v>47316</v>
      </c>
      <c r="BW1406">
        <v>58000</v>
      </c>
      <c r="BX1406">
        <v>0</v>
      </c>
      <c r="BY1406">
        <v>30000</v>
      </c>
      <c r="BZ1406">
        <v>30000</v>
      </c>
      <c r="CA1406">
        <v>40000</v>
      </c>
      <c r="CB1406">
        <v>32417</v>
      </c>
      <c r="CC1406">
        <v>33713</v>
      </c>
      <c r="CD1406">
        <v>28200</v>
      </c>
      <c r="CE1406" t="s">
        <v>3108</v>
      </c>
      <c r="CF1406" t="s">
        <v>3108</v>
      </c>
      <c r="CG1406" t="s">
        <v>3108</v>
      </c>
      <c r="CH1406" t="s">
        <v>3108</v>
      </c>
    </row>
    <row r="1407" spans="1:86" x14ac:dyDescent="0.2">
      <c r="A1407" t="s">
        <v>5349</v>
      </c>
      <c r="B1407" t="s">
        <v>5349</v>
      </c>
      <c r="C1407">
        <v>54389</v>
      </c>
      <c r="D1407">
        <v>1521</v>
      </c>
      <c r="E1407" t="s">
        <v>4047</v>
      </c>
      <c r="F1407">
        <v>2600</v>
      </c>
      <c r="G1407" t="s">
        <v>1334</v>
      </c>
      <c r="H1407">
        <v>2600</v>
      </c>
      <c r="I1407" t="s">
        <v>1334</v>
      </c>
      <c r="J1407" t="s">
        <v>3250</v>
      </c>
      <c r="K1407" t="s">
        <v>3250</v>
      </c>
      <c r="L1407">
        <v>2500</v>
      </c>
      <c r="M1407" t="s">
        <v>1551</v>
      </c>
      <c r="N1407">
        <v>2502</v>
      </c>
      <c r="O1407" t="s">
        <v>2379</v>
      </c>
      <c r="P1407" t="s">
        <v>3108</v>
      </c>
      <c r="Q1407" t="s">
        <v>3249</v>
      </c>
      <c r="R1407" t="s">
        <v>3249</v>
      </c>
      <c r="S1407" t="s">
        <v>810</v>
      </c>
      <c r="T1407" t="s">
        <v>2754</v>
      </c>
      <c r="U1407" t="s">
        <v>3250</v>
      </c>
      <c r="V1407" t="s">
        <v>3250</v>
      </c>
      <c r="W1407" t="s">
        <v>3250</v>
      </c>
      <c r="X1407" t="s">
        <v>3250</v>
      </c>
      <c r="Y1407" t="s">
        <v>3250</v>
      </c>
      <c r="Z1407" t="s">
        <v>3250</v>
      </c>
      <c r="AA1407" t="s">
        <v>3108</v>
      </c>
      <c r="AB1407" t="s">
        <v>3108</v>
      </c>
      <c r="AC1407" t="s">
        <v>3250</v>
      </c>
      <c r="AD1407" t="s">
        <v>3250</v>
      </c>
      <c r="AE1407" t="s">
        <v>3250</v>
      </c>
      <c r="AF1407" t="s">
        <v>3250</v>
      </c>
      <c r="AG1407" t="s">
        <v>3250</v>
      </c>
      <c r="AH1407" t="s">
        <v>3250</v>
      </c>
      <c r="AI1407" t="s">
        <v>3250</v>
      </c>
      <c r="AJ1407" t="s">
        <v>3250</v>
      </c>
      <c r="AL1407" t="s">
        <v>3250</v>
      </c>
      <c r="AM1407" t="s">
        <v>3250</v>
      </c>
      <c r="AN1407" t="s">
        <v>3250</v>
      </c>
      <c r="AO1407" t="s">
        <v>3250</v>
      </c>
      <c r="AS1407" t="s">
        <v>3250</v>
      </c>
      <c r="AT1407" t="s">
        <v>3250</v>
      </c>
      <c r="AU1407" t="s">
        <v>3250</v>
      </c>
      <c r="AV1407" t="s">
        <v>3250</v>
      </c>
      <c r="AW1407" t="s">
        <v>3250</v>
      </c>
      <c r="AX1407" t="s">
        <v>3250</v>
      </c>
      <c r="AY1407" t="s">
        <v>3250</v>
      </c>
      <c r="AZ1407" t="s">
        <v>3250</v>
      </c>
      <c r="BA1407" t="s">
        <v>3250</v>
      </c>
      <c r="BB1407" t="s">
        <v>3250</v>
      </c>
      <c r="BC1407" t="s">
        <v>3250</v>
      </c>
      <c r="BE1407" t="s">
        <v>3250</v>
      </c>
      <c r="BF1407" t="s">
        <v>3250</v>
      </c>
      <c r="BG1407" t="s">
        <v>3250</v>
      </c>
      <c r="BH1407" t="s">
        <v>3250</v>
      </c>
      <c r="BI1407" t="s">
        <v>3250</v>
      </c>
      <c r="BK1407" t="s">
        <v>3250</v>
      </c>
      <c r="BL1407" t="s">
        <v>3250</v>
      </c>
      <c r="BM1407" t="s">
        <v>3250</v>
      </c>
      <c r="BN1407" t="s">
        <v>3250</v>
      </c>
      <c r="BP1407">
        <v>15</v>
      </c>
      <c r="BQ1407">
        <v>151</v>
      </c>
      <c r="BR1407" t="s">
        <v>2379</v>
      </c>
      <c r="BS1407" t="s">
        <v>1551</v>
      </c>
      <c r="BV1407">
        <v>0</v>
      </c>
      <c r="BW1407">
        <v>0</v>
      </c>
      <c r="BX1407">
        <v>0</v>
      </c>
      <c r="BY1407">
        <v>0</v>
      </c>
      <c r="BZ1407">
        <v>0</v>
      </c>
      <c r="CA1407">
        <v>0</v>
      </c>
      <c r="CB1407">
        <v>0</v>
      </c>
      <c r="CC1407">
        <v>0</v>
      </c>
      <c r="CD1407">
        <v>0</v>
      </c>
      <c r="CE1407" t="s">
        <v>3108</v>
      </c>
      <c r="CF1407" t="s">
        <v>3108</v>
      </c>
      <c r="CG1407" t="s">
        <v>3108</v>
      </c>
      <c r="CH1407" t="s">
        <v>3108</v>
      </c>
    </row>
    <row r="1408" spans="1:86" x14ac:dyDescent="0.2">
      <c r="A1408" t="s">
        <v>5350</v>
      </c>
      <c r="B1408" t="s">
        <v>5350</v>
      </c>
      <c r="C1408">
        <v>54390</v>
      </c>
      <c r="D1408">
        <v>1522</v>
      </c>
      <c r="E1408" t="s">
        <v>4001</v>
      </c>
      <c r="F1408">
        <v>2900</v>
      </c>
      <c r="G1408" t="s">
        <v>822</v>
      </c>
      <c r="H1408" t="s">
        <v>3108</v>
      </c>
      <c r="I1408" t="s">
        <v>3108</v>
      </c>
      <c r="J1408">
        <v>2904</v>
      </c>
      <c r="K1408" t="s">
        <v>1690</v>
      </c>
      <c r="L1408">
        <v>2500</v>
      </c>
      <c r="M1408" t="s">
        <v>1551</v>
      </c>
      <c r="N1408">
        <v>2502</v>
      </c>
      <c r="O1408" t="s">
        <v>2379</v>
      </c>
      <c r="P1408" t="s">
        <v>3108</v>
      </c>
      <c r="Q1408" t="s">
        <v>3249</v>
      </c>
      <c r="R1408" t="s">
        <v>3249</v>
      </c>
      <c r="S1408" t="s">
        <v>810</v>
      </c>
      <c r="T1408" t="s">
        <v>2754</v>
      </c>
      <c r="U1408" t="s">
        <v>3250</v>
      </c>
      <c r="V1408" t="s">
        <v>3250</v>
      </c>
      <c r="W1408" t="s">
        <v>3250</v>
      </c>
      <c r="X1408" t="s">
        <v>3250</v>
      </c>
      <c r="Y1408" t="s">
        <v>3250</v>
      </c>
      <c r="Z1408" t="s">
        <v>3250</v>
      </c>
      <c r="AA1408" t="s">
        <v>3108</v>
      </c>
      <c r="AB1408" t="s">
        <v>3108</v>
      </c>
      <c r="AC1408" t="s">
        <v>3250</v>
      </c>
      <c r="AD1408" t="s">
        <v>3250</v>
      </c>
      <c r="AE1408" t="s">
        <v>3250</v>
      </c>
      <c r="AF1408" t="s">
        <v>3250</v>
      </c>
      <c r="AG1408" t="s">
        <v>3250</v>
      </c>
      <c r="AH1408" t="s">
        <v>3250</v>
      </c>
      <c r="AI1408" t="s">
        <v>3250</v>
      </c>
      <c r="AJ1408" t="s">
        <v>3250</v>
      </c>
      <c r="AL1408" t="s">
        <v>3250</v>
      </c>
      <c r="AM1408" t="s">
        <v>3250</v>
      </c>
      <c r="AN1408" t="s">
        <v>3250</v>
      </c>
      <c r="AO1408" t="s">
        <v>3250</v>
      </c>
      <c r="AS1408" t="s">
        <v>3250</v>
      </c>
      <c r="AT1408" t="s">
        <v>3250</v>
      </c>
      <c r="AU1408" t="s">
        <v>3250</v>
      </c>
      <c r="AV1408" t="s">
        <v>3250</v>
      </c>
      <c r="AW1408" t="s">
        <v>3250</v>
      </c>
      <c r="AX1408" t="s">
        <v>3250</v>
      </c>
      <c r="AY1408" t="s">
        <v>3250</v>
      </c>
      <c r="AZ1408" t="s">
        <v>3250</v>
      </c>
      <c r="BA1408" t="s">
        <v>3250</v>
      </c>
      <c r="BB1408" t="s">
        <v>3250</v>
      </c>
      <c r="BC1408" t="s">
        <v>3250</v>
      </c>
      <c r="BE1408" t="s">
        <v>3250</v>
      </c>
      <c r="BF1408" t="s">
        <v>3250</v>
      </c>
      <c r="BG1408" t="s">
        <v>3250</v>
      </c>
      <c r="BH1408" t="s">
        <v>3250</v>
      </c>
      <c r="BI1408" t="s">
        <v>3250</v>
      </c>
      <c r="BK1408" t="s">
        <v>3250</v>
      </c>
      <c r="BL1408" t="s">
        <v>3250</v>
      </c>
      <c r="BM1408" t="s">
        <v>3250</v>
      </c>
      <c r="BN1408" t="s">
        <v>3250</v>
      </c>
      <c r="BP1408">
        <v>15</v>
      </c>
      <c r="BQ1408">
        <v>151</v>
      </c>
      <c r="BR1408" t="s">
        <v>2379</v>
      </c>
      <c r="BS1408" t="s">
        <v>1551</v>
      </c>
      <c r="BV1408">
        <v>0</v>
      </c>
      <c r="BW1408">
        <v>0</v>
      </c>
      <c r="BX1408">
        <v>0</v>
      </c>
      <c r="BY1408">
        <v>0</v>
      </c>
      <c r="BZ1408">
        <v>0</v>
      </c>
      <c r="CA1408">
        <v>0</v>
      </c>
      <c r="CB1408">
        <v>0</v>
      </c>
      <c r="CC1408">
        <v>0</v>
      </c>
      <c r="CD1408">
        <v>0</v>
      </c>
      <c r="CE1408" t="s">
        <v>3108</v>
      </c>
      <c r="CF1408" t="s">
        <v>3108</v>
      </c>
      <c r="CG1408" t="s">
        <v>3108</v>
      </c>
      <c r="CH1408" t="s">
        <v>3108</v>
      </c>
    </row>
    <row r="1409" spans="1:86" x14ac:dyDescent="0.2">
      <c r="A1409" t="s">
        <v>5351</v>
      </c>
      <c r="B1409" t="s">
        <v>5351</v>
      </c>
      <c r="C1409">
        <v>54391</v>
      </c>
      <c r="D1409">
        <v>1523</v>
      </c>
      <c r="E1409" t="s">
        <v>4001</v>
      </c>
      <c r="F1409">
        <v>2900</v>
      </c>
      <c r="G1409" t="s">
        <v>822</v>
      </c>
      <c r="H1409" t="s">
        <v>3108</v>
      </c>
      <c r="I1409" t="s">
        <v>3108</v>
      </c>
      <c r="J1409">
        <v>2904</v>
      </c>
      <c r="K1409" t="s">
        <v>1690</v>
      </c>
      <c r="L1409">
        <v>2200</v>
      </c>
      <c r="M1409" t="s">
        <v>124</v>
      </c>
      <c r="N1409">
        <v>2205</v>
      </c>
      <c r="O1409" t="s">
        <v>2390</v>
      </c>
      <c r="P1409" t="s">
        <v>3108</v>
      </c>
      <c r="Q1409" t="s">
        <v>3249</v>
      </c>
      <c r="R1409" t="s">
        <v>3249</v>
      </c>
      <c r="S1409" t="s">
        <v>810</v>
      </c>
      <c r="T1409" t="s">
        <v>2754</v>
      </c>
      <c r="U1409" t="s">
        <v>3250</v>
      </c>
      <c r="V1409" t="s">
        <v>3250</v>
      </c>
      <c r="W1409" t="s">
        <v>3250</v>
      </c>
      <c r="X1409" t="s">
        <v>3250</v>
      </c>
      <c r="Y1409" t="s">
        <v>3250</v>
      </c>
      <c r="Z1409" t="s">
        <v>3250</v>
      </c>
      <c r="AA1409" t="s">
        <v>3108</v>
      </c>
      <c r="AB1409" t="s">
        <v>3108</v>
      </c>
      <c r="AC1409" t="s">
        <v>3250</v>
      </c>
      <c r="AD1409" t="s">
        <v>3250</v>
      </c>
      <c r="AE1409" t="s">
        <v>3250</v>
      </c>
      <c r="AF1409" t="s">
        <v>3250</v>
      </c>
      <c r="AG1409" t="s">
        <v>3250</v>
      </c>
      <c r="AH1409" t="s">
        <v>3250</v>
      </c>
      <c r="AI1409" t="s">
        <v>3250</v>
      </c>
      <c r="AJ1409" t="s">
        <v>3250</v>
      </c>
      <c r="AL1409" t="s">
        <v>3250</v>
      </c>
      <c r="AM1409" t="s">
        <v>3250</v>
      </c>
      <c r="AN1409" t="s">
        <v>3250</v>
      </c>
      <c r="AO1409" t="s">
        <v>3250</v>
      </c>
      <c r="AS1409" t="s">
        <v>3250</v>
      </c>
      <c r="AT1409" t="s">
        <v>3250</v>
      </c>
      <c r="AU1409" t="s">
        <v>3250</v>
      </c>
      <c r="AV1409" t="s">
        <v>3250</v>
      </c>
      <c r="AW1409" t="s">
        <v>3250</v>
      </c>
      <c r="AX1409" t="s">
        <v>3250</v>
      </c>
      <c r="AY1409" t="s">
        <v>3250</v>
      </c>
      <c r="AZ1409" t="s">
        <v>3250</v>
      </c>
      <c r="BA1409" t="s">
        <v>3250</v>
      </c>
      <c r="BB1409" t="s">
        <v>3250</v>
      </c>
      <c r="BC1409" t="s">
        <v>3250</v>
      </c>
      <c r="BE1409" t="s">
        <v>3250</v>
      </c>
      <c r="BF1409" t="s">
        <v>3250</v>
      </c>
      <c r="BG1409" t="s">
        <v>3250</v>
      </c>
      <c r="BH1409" t="s">
        <v>3250</v>
      </c>
      <c r="BI1409" t="s">
        <v>3250</v>
      </c>
      <c r="BK1409" t="s">
        <v>3250</v>
      </c>
      <c r="BL1409" t="s">
        <v>3250</v>
      </c>
      <c r="BM1409" t="s">
        <v>3250</v>
      </c>
      <c r="BN1409" t="s">
        <v>3250</v>
      </c>
      <c r="BP1409">
        <v>9</v>
      </c>
      <c r="BQ1409">
        <v>91</v>
      </c>
      <c r="BR1409" t="s">
        <v>2390</v>
      </c>
      <c r="BS1409" t="s">
        <v>1675</v>
      </c>
      <c r="BV1409">
        <v>0</v>
      </c>
      <c r="BW1409">
        <v>0</v>
      </c>
      <c r="BX1409">
        <v>0</v>
      </c>
      <c r="BY1409">
        <v>200000</v>
      </c>
      <c r="BZ1409">
        <v>150000</v>
      </c>
      <c r="CA1409">
        <v>200000</v>
      </c>
      <c r="CB1409">
        <v>208000</v>
      </c>
      <c r="CC1409">
        <v>216320</v>
      </c>
      <c r="CD1409">
        <v>0</v>
      </c>
      <c r="CE1409" t="s">
        <v>3108</v>
      </c>
      <c r="CF1409" t="s">
        <v>3108</v>
      </c>
      <c r="CG1409" t="s">
        <v>3108</v>
      </c>
      <c r="CH1409" t="s">
        <v>3108</v>
      </c>
    </row>
    <row r="1410" spans="1:86" x14ac:dyDescent="0.2">
      <c r="A1410" t="s">
        <v>5352</v>
      </c>
      <c r="B1410" t="s">
        <v>5352</v>
      </c>
      <c r="C1410">
        <v>54392</v>
      </c>
      <c r="D1410">
        <v>1524</v>
      </c>
      <c r="E1410" t="s">
        <v>3992</v>
      </c>
      <c r="F1410">
        <v>2900</v>
      </c>
      <c r="G1410" t="s">
        <v>822</v>
      </c>
      <c r="H1410" t="s">
        <v>3108</v>
      </c>
      <c r="I1410" t="s">
        <v>3108</v>
      </c>
      <c r="J1410">
        <v>2904</v>
      </c>
      <c r="K1410" t="s">
        <v>1690</v>
      </c>
      <c r="L1410">
        <v>2200</v>
      </c>
      <c r="M1410" t="s">
        <v>124</v>
      </c>
      <c r="N1410">
        <v>2205</v>
      </c>
      <c r="O1410" t="s">
        <v>2390</v>
      </c>
      <c r="P1410" t="s">
        <v>3108</v>
      </c>
      <c r="Q1410" t="s">
        <v>3249</v>
      </c>
      <c r="R1410" t="s">
        <v>3249</v>
      </c>
      <c r="S1410" t="s">
        <v>810</v>
      </c>
      <c r="T1410" t="s">
        <v>2754</v>
      </c>
      <c r="U1410" t="s">
        <v>3250</v>
      </c>
      <c r="V1410" t="s">
        <v>3250</v>
      </c>
      <c r="W1410" t="s">
        <v>3250</v>
      </c>
      <c r="X1410" t="s">
        <v>3250</v>
      </c>
      <c r="Y1410" t="s">
        <v>3250</v>
      </c>
      <c r="Z1410" t="s">
        <v>3250</v>
      </c>
      <c r="AA1410" t="s">
        <v>3108</v>
      </c>
      <c r="AB1410" t="s">
        <v>3108</v>
      </c>
      <c r="AC1410" t="s">
        <v>3250</v>
      </c>
      <c r="AD1410" t="s">
        <v>3250</v>
      </c>
      <c r="AE1410" t="s">
        <v>3250</v>
      </c>
      <c r="AF1410" t="s">
        <v>3250</v>
      </c>
      <c r="AG1410" t="s">
        <v>3250</v>
      </c>
      <c r="AH1410" t="s">
        <v>3250</v>
      </c>
      <c r="AI1410" t="s">
        <v>3250</v>
      </c>
      <c r="AJ1410" t="s">
        <v>3250</v>
      </c>
      <c r="AL1410" t="s">
        <v>3250</v>
      </c>
      <c r="AM1410" t="s">
        <v>3250</v>
      </c>
      <c r="AN1410" t="s">
        <v>3250</v>
      </c>
      <c r="AO1410" t="s">
        <v>3250</v>
      </c>
      <c r="AS1410" t="s">
        <v>3250</v>
      </c>
      <c r="AT1410" t="s">
        <v>3250</v>
      </c>
      <c r="AU1410" t="s">
        <v>3250</v>
      </c>
      <c r="AV1410" t="s">
        <v>3250</v>
      </c>
      <c r="AW1410" t="s">
        <v>3250</v>
      </c>
      <c r="AX1410" t="s">
        <v>3250</v>
      </c>
      <c r="AY1410" t="s">
        <v>3250</v>
      </c>
      <c r="AZ1410" t="s">
        <v>3250</v>
      </c>
      <c r="BA1410" t="s">
        <v>3250</v>
      </c>
      <c r="BB1410" t="s">
        <v>3250</v>
      </c>
      <c r="BC1410" t="s">
        <v>3250</v>
      </c>
      <c r="BE1410" t="s">
        <v>3250</v>
      </c>
      <c r="BF1410" t="s">
        <v>3250</v>
      </c>
      <c r="BG1410" t="s">
        <v>3250</v>
      </c>
      <c r="BH1410" t="s">
        <v>3250</v>
      </c>
      <c r="BI1410" t="s">
        <v>3250</v>
      </c>
      <c r="BK1410" t="s">
        <v>3250</v>
      </c>
      <c r="BL1410" t="s">
        <v>3250</v>
      </c>
      <c r="BM1410" t="s">
        <v>3250</v>
      </c>
      <c r="BN1410" t="s">
        <v>3250</v>
      </c>
      <c r="BP1410">
        <v>9</v>
      </c>
      <c r="BQ1410">
        <v>91</v>
      </c>
      <c r="BR1410" t="s">
        <v>2390</v>
      </c>
      <c r="BS1410" t="s">
        <v>1675</v>
      </c>
      <c r="BV1410">
        <v>0</v>
      </c>
      <c r="BW1410">
        <v>0</v>
      </c>
      <c r="BX1410">
        <v>0</v>
      </c>
      <c r="BY1410">
        <v>0</v>
      </c>
      <c r="BZ1410">
        <v>0</v>
      </c>
      <c r="CA1410">
        <v>0</v>
      </c>
      <c r="CB1410">
        <v>0</v>
      </c>
      <c r="CC1410">
        <v>0</v>
      </c>
      <c r="CD1410">
        <v>0</v>
      </c>
      <c r="CE1410" t="s">
        <v>3108</v>
      </c>
      <c r="CF1410" t="s">
        <v>3108</v>
      </c>
      <c r="CG1410" t="s">
        <v>3108</v>
      </c>
      <c r="CH1410" t="s">
        <v>3108</v>
      </c>
    </row>
    <row r="1411" spans="1:86" x14ac:dyDescent="0.2">
      <c r="A1411" t="s">
        <v>5353</v>
      </c>
      <c r="B1411" t="s">
        <v>5353</v>
      </c>
      <c r="C1411">
        <v>54393</v>
      </c>
      <c r="D1411">
        <v>1525</v>
      </c>
      <c r="E1411" t="s">
        <v>4003</v>
      </c>
      <c r="F1411">
        <v>2700</v>
      </c>
      <c r="G1411" t="s">
        <v>411</v>
      </c>
      <c r="H1411" t="s">
        <v>4004</v>
      </c>
      <c r="I1411" t="s">
        <v>2531</v>
      </c>
      <c r="J1411">
        <v>2701</v>
      </c>
      <c r="K1411" t="s">
        <v>2531</v>
      </c>
      <c r="L1411">
        <v>2200</v>
      </c>
      <c r="M1411" t="s">
        <v>124</v>
      </c>
      <c r="N1411">
        <v>2205</v>
      </c>
      <c r="O1411" t="s">
        <v>2390</v>
      </c>
      <c r="P1411" t="s">
        <v>3108</v>
      </c>
      <c r="Q1411" t="s">
        <v>3249</v>
      </c>
      <c r="R1411" t="s">
        <v>3249</v>
      </c>
      <c r="S1411" t="s">
        <v>810</v>
      </c>
      <c r="T1411" t="s">
        <v>2754</v>
      </c>
      <c r="U1411" t="s">
        <v>3250</v>
      </c>
      <c r="V1411" t="s">
        <v>3250</v>
      </c>
      <c r="W1411" t="s">
        <v>3250</v>
      </c>
      <c r="X1411" t="s">
        <v>3250</v>
      </c>
      <c r="Y1411" t="s">
        <v>3250</v>
      </c>
      <c r="Z1411" t="s">
        <v>3250</v>
      </c>
      <c r="AA1411" t="s">
        <v>3108</v>
      </c>
      <c r="AB1411" t="s">
        <v>3108</v>
      </c>
      <c r="AC1411" t="s">
        <v>3250</v>
      </c>
      <c r="AD1411" t="s">
        <v>3250</v>
      </c>
      <c r="AE1411" t="s">
        <v>3250</v>
      </c>
      <c r="AF1411" t="s">
        <v>3250</v>
      </c>
      <c r="AG1411" t="s">
        <v>3250</v>
      </c>
      <c r="AH1411" t="s">
        <v>3250</v>
      </c>
      <c r="AI1411" t="s">
        <v>3250</v>
      </c>
      <c r="AJ1411" t="s">
        <v>3250</v>
      </c>
      <c r="AL1411" t="s">
        <v>3250</v>
      </c>
      <c r="AM1411" t="s">
        <v>3250</v>
      </c>
      <c r="AN1411" t="s">
        <v>3250</v>
      </c>
      <c r="AO1411" t="s">
        <v>3250</v>
      </c>
      <c r="AS1411" t="s">
        <v>3250</v>
      </c>
      <c r="AT1411" t="s">
        <v>3250</v>
      </c>
      <c r="AU1411" t="s">
        <v>3250</v>
      </c>
      <c r="AV1411" t="s">
        <v>3250</v>
      </c>
      <c r="AW1411" t="s">
        <v>3250</v>
      </c>
      <c r="AX1411" t="s">
        <v>3250</v>
      </c>
      <c r="AY1411" t="s">
        <v>3250</v>
      </c>
      <c r="AZ1411" t="s">
        <v>3250</v>
      </c>
      <c r="BA1411" t="s">
        <v>3250</v>
      </c>
      <c r="BB1411" t="s">
        <v>3250</v>
      </c>
      <c r="BC1411" t="s">
        <v>3250</v>
      </c>
      <c r="BE1411" t="s">
        <v>3250</v>
      </c>
      <c r="BF1411" t="s">
        <v>3250</v>
      </c>
      <c r="BG1411" t="s">
        <v>3250</v>
      </c>
      <c r="BH1411" t="s">
        <v>3250</v>
      </c>
      <c r="BI1411" t="s">
        <v>3250</v>
      </c>
      <c r="BK1411" t="s">
        <v>3250</v>
      </c>
      <c r="BL1411" t="s">
        <v>3250</v>
      </c>
      <c r="BM1411" t="s">
        <v>3250</v>
      </c>
      <c r="BN1411" t="s">
        <v>3250</v>
      </c>
      <c r="BP1411">
        <v>9</v>
      </c>
      <c r="BQ1411">
        <v>91</v>
      </c>
      <c r="BR1411" t="s">
        <v>2390</v>
      </c>
      <c r="BS1411" t="s">
        <v>1675</v>
      </c>
      <c r="BV1411">
        <v>0</v>
      </c>
      <c r="BW1411">
        <v>0</v>
      </c>
      <c r="BX1411">
        <v>0</v>
      </c>
      <c r="BY1411">
        <v>5000</v>
      </c>
      <c r="BZ1411">
        <v>10000</v>
      </c>
      <c r="CA1411">
        <v>20000</v>
      </c>
      <c r="CB1411">
        <v>20800</v>
      </c>
      <c r="CC1411">
        <v>21632</v>
      </c>
      <c r="CD1411">
        <v>9120</v>
      </c>
      <c r="CE1411" t="s">
        <v>3108</v>
      </c>
      <c r="CF1411" t="s">
        <v>3108</v>
      </c>
      <c r="CG1411" t="s">
        <v>3108</v>
      </c>
      <c r="CH1411" t="s">
        <v>3108</v>
      </c>
    </row>
    <row r="1412" spans="1:86" x14ac:dyDescent="0.2">
      <c r="A1412" t="s">
        <v>5354</v>
      </c>
      <c r="B1412" t="s">
        <v>5354</v>
      </c>
      <c r="C1412">
        <v>54394</v>
      </c>
      <c r="D1412">
        <v>1526</v>
      </c>
      <c r="E1412" t="s">
        <v>4047</v>
      </c>
      <c r="F1412">
        <v>2600</v>
      </c>
      <c r="G1412" t="s">
        <v>1334</v>
      </c>
      <c r="H1412">
        <v>2600</v>
      </c>
      <c r="I1412" t="s">
        <v>1334</v>
      </c>
      <c r="J1412" t="s">
        <v>3250</v>
      </c>
      <c r="K1412" t="s">
        <v>3250</v>
      </c>
      <c r="L1412">
        <v>2200</v>
      </c>
      <c r="M1412" t="s">
        <v>124</v>
      </c>
      <c r="N1412">
        <v>2205</v>
      </c>
      <c r="O1412" t="s">
        <v>2390</v>
      </c>
      <c r="P1412" t="s">
        <v>3108</v>
      </c>
      <c r="Q1412" t="s">
        <v>3249</v>
      </c>
      <c r="R1412" t="s">
        <v>3249</v>
      </c>
      <c r="S1412" t="s">
        <v>810</v>
      </c>
      <c r="T1412" t="s">
        <v>2754</v>
      </c>
      <c r="U1412" t="s">
        <v>3250</v>
      </c>
      <c r="V1412" t="s">
        <v>3250</v>
      </c>
      <c r="W1412" t="s">
        <v>3250</v>
      </c>
      <c r="X1412" t="s">
        <v>3250</v>
      </c>
      <c r="Y1412" t="s">
        <v>3250</v>
      </c>
      <c r="Z1412" t="s">
        <v>3250</v>
      </c>
      <c r="AA1412" t="s">
        <v>3108</v>
      </c>
      <c r="AB1412" t="s">
        <v>3108</v>
      </c>
      <c r="AC1412" t="s">
        <v>3250</v>
      </c>
      <c r="AD1412" t="s">
        <v>3250</v>
      </c>
      <c r="AE1412" t="s">
        <v>3250</v>
      </c>
      <c r="AF1412" t="s">
        <v>3250</v>
      </c>
      <c r="AG1412" t="s">
        <v>3250</v>
      </c>
      <c r="AH1412" t="s">
        <v>3250</v>
      </c>
      <c r="AI1412" t="s">
        <v>3250</v>
      </c>
      <c r="AJ1412" t="s">
        <v>3250</v>
      </c>
      <c r="AL1412" t="s">
        <v>3250</v>
      </c>
      <c r="AM1412" t="s">
        <v>3250</v>
      </c>
      <c r="AN1412" t="s">
        <v>3250</v>
      </c>
      <c r="AO1412" t="s">
        <v>3250</v>
      </c>
      <c r="AS1412" t="s">
        <v>3250</v>
      </c>
      <c r="AT1412" t="s">
        <v>3250</v>
      </c>
      <c r="AU1412" t="s">
        <v>3250</v>
      </c>
      <c r="AV1412" t="s">
        <v>3250</v>
      </c>
      <c r="AW1412" t="s">
        <v>3250</v>
      </c>
      <c r="AX1412" t="s">
        <v>3250</v>
      </c>
      <c r="AY1412" t="s">
        <v>3250</v>
      </c>
      <c r="AZ1412" t="s">
        <v>3250</v>
      </c>
      <c r="BA1412" t="s">
        <v>3250</v>
      </c>
      <c r="BB1412" t="s">
        <v>3250</v>
      </c>
      <c r="BC1412" t="s">
        <v>3250</v>
      </c>
      <c r="BE1412" t="s">
        <v>3250</v>
      </c>
      <c r="BF1412" t="s">
        <v>3250</v>
      </c>
      <c r="BG1412" t="s">
        <v>3250</v>
      </c>
      <c r="BH1412" t="s">
        <v>3250</v>
      </c>
      <c r="BI1412" t="s">
        <v>3250</v>
      </c>
      <c r="BK1412" t="s">
        <v>3250</v>
      </c>
      <c r="BL1412" t="s">
        <v>3250</v>
      </c>
      <c r="BM1412" t="s">
        <v>3250</v>
      </c>
      <c r="BN1412" t="s">
        <v>3250</v>
      </c>
      <c r="BP1412">
        <v>9</v>
      </c>
      <c r="BQ1412">
        <v>91</v>
      </c>
      <c r="BR1412" t="s">
        <v>2390</v>
      </c>
      <c r="BS1412" t="s">
        <v>1675</v>
      </c>
      <c r="BV1412">
        <v>0</v>
      </c>
      <c r="BW1412">
        <v>0</v>
      </c>
      <c r="BX1412">
        <v>0</v>
      </c>
      <c r="BY1412">
        <v>0</v>
      </c>
      <c r="BZ1412">
        <v>0</v>
      </c>
      <c r="CA1412">
        <v>0</v>
      </c>
      <c r="CB1412">
        <v>0</v>
      </c>
      <c r="CC1412">
        <v>0</v>
      </c>
      <c r="CD1412">
        <v>0</v>
      </c>
      <c r="CE1412" t="s">
        <v>3108</v>
      </c>
      <c r="CF1412" t="s">
        <v>3108</v>
      </c>
      <c r="CG1412" t="s">
        <v>3108</v>
      </c>
      <c r="CH1412" t="s">
        <v>3108</v>
      </c>
    </row>
    <row r="1413" spans="1:86" x14ac:dyDescent="0.2">
      <c r="A1413" t="s">
        <v>5355</v>
      </c>
      <c r="B1413" t="s">
        <v>5355</v>
      </c>
      <c r="C1413">
        <v>54395</v>
      </c>
      <c r="D1413">
        <v>1527</v>
      </c>
      <c r="E1413" t="s">
        <v>3992</v>
      </c>
      <c r="F1413">
        <v>2900</v>
      </c>
      <c r="G1413" t="s">
        <v>822</v>
      </c>
      <c r="H1413" t="s">
        <v>3108</v>
      </c>
      <c r="I1413" t="s">
        <v>3108</v>
      </c>
      <c r="J1413">
        <v>2904</v>
      </c>
      <c r="K1413" t="s">
        <v>1690</v>
      </c>
      <c r="L1413">
        <v>2200</v>
      </c>
      <c r="M1413" t="s">
        <v>124</v>
      </c>
      <c r="N1413">
        <v>2205</v>
      </c>
      <c r="O1413" t="s">
        <v>2390</v>
      </c>
      <c r="P1413" t="s">
        <v>3108</v>
      </c>
      <c r="Q1413" t="s">
        <v>3249</v>
      </c>
      <c r="R1413" t="s">
        <v>3249</v>
      </c>
      <c r="S1413" t="s">
        <v>810</v>
      </c>
      <c r="T1413" t="s">
        <v>2754</v>
      </c>
      <c r="U1413" t="s">
        <v>3250</v>
      </c>
      <c r="V1413" t="s">
        <v>3250</v>
      </c>
      <c r="W1413" t="s">
        <v>3250</v>
      </c>
      <c r="X1413" t="s">
        <v>3250</v>
      </c>
      <c r="Y1413" t="s">
        <v>3250</v>
      </c>
      <c r="Z1413" t="s">
        <v>3250</v>
      </c>
      <c r="AA1413" t="s">
        <v>3108</v>
      </c>
      <c r="AB1413" t="s">
        <v>3108</v>
      </c>
      <c r="AC1413" t="s">
        <v>3250</v>
      </c>
      <c r="AD1413" t="s">
        <v>3250</v>
      </c>
      <c r="AE1413" t="s">
        <v>3250</v>
      </c>
      <c r="AF1413" t="s">
        <v>3250</v>
      </c>
      <c r="AG1413" t="s">
        <v>3250</v>
      </c>
      <c r="AH1413" t="s">
        <v>3250</v>
      </c>
      <c r="AI1413" t="s">
        <v>3250</v>
      </c>
      <c r="AJ1413" t="s">
        <v>3250</v>
      </c>
      <c r="AL1413" t="s">
        <v>3250</v>
      </c>
      <c r="AM1413" t="s">
        <v>3250</v>
      </c>
      <c r="AN1413" t="s">
        <v>3250</v>
      </c>
      <c r="AO1413" t="s">
        <v>3250</v>
      </c>
      <c r="AS1413" t="s">
        <v>3250</v>
      </c>
      <c r="AT1413" t="s">
        <v>3250</v>
      </c>
      <c r="AU1413" t="s">
        <v>3250</v>
      </c>
      <c r="AV1413" t="s">
        <v>3250</v>
      </c>
      <c r="AW1413" t="s">
        <v>3250</v>
      </c>
      <c r="AX1413" t="s">
        <v>3250</v>
      </c>
      <c r="AY1413" t="s">
        <v>3250</v>
      </c>
      <c r="AZ1413" t="s">
        <v>3250</v>
      </c>
      <c r="BA1413" t="s">
        <v>3250</v>
      </c>
      <c r="BB1413" t="s">
        <v>3250</v>
      </c>
      <c r="BC1413" t="s">
        <v>3250</v>
      </c>
      <c r="BE1413" t="s">
        <v>3250</v>
      </c>
      <c r="BF1413" t="s">
        <v>3250</v>
      </c>
      <c r="BG1413" t="s">
        <v>3250</v>
      </c>
      <c r="BH1413" t="s">
        <v>3250</v>
      </c>
      <c r="BI1413" t="s">
        <v>3250</v>
      </c>
      <c r="BK1413" t="s">
        <v>3250</v>
      </c>
      <c r="BL1413" t="s">
        <v>3250</v>
      </c>
      <c r="BM1413" t="s">
        <v>3250</v>
      </c>
      <c r="BN1413" t="s">
        <v>3250</v>
      </c>
      <c r="BP1413">
        <v>9</v>
      </c>
      <c r="BQ1413">
        <v>91</v>
      </c>
      <c r="BR1413" t="s">
        <v>2390</v>
      </c>
      <c r="BS1413" t="s">
        <v>1675</v>
      </c>
      <c r="BV1413">
        <v>0</v>
      </c>
      <c r="BW1413">
        <v>0</v>
      </c>
      <c r="BX1413">
        <v>0</v>
      </c>
      <c r="BY1413">
        <v>0</v>
      </c>
      <c r="BZ1413">
        <v>0</v>
      </c>
      <c r="CA1413">
        <v>0</v>
      </c>
      <c r="CB1413">
        <v>0</v>
      </c>
      <c r="CC1413">
        <v>0</v>
      </c>
      <c r="CD1413">
        <v>0</v>
      </c>
      <c r="CE1413" t="s">
        <v>3108</v>
      </c>
      <c r="CF1413" t="s">
        <v>3108</v>
      </c>
      <c r="CG1413" t="s">
        <v>3108</v>
      </c>
      <c r="CH1413" t="s">
        <v>3108</v>
      </c>
    </row>
    <row r="1414" spans="1:86" x14ac:dyDescent="0.2">
      <c r="A1414" t="s">
        <v>5356</v>
      </c>
      <c r="B1414" t="s">
        <v>5356</v>
      </c>
      <c r="C1414">
        <v>54396</v>
      </c>
      <c r="D1414">
        <v>1528</v>
      </c>
      <c r="E1414" t="s">
        <v>4003</v>
      </c>
      <c r="F1414">
        <v>2700</v>
      </c>
      <c r="G1414" t="s">
        <v>411</v>
      </c>
      <c r="H1414" t="s">
        <v>4004</v>
      </c>
      <c r="I1414" t="s">
        <v>2531</v>
      </c>
      <c r="J1414">
        <v>2701</v>
      </c>
      <c r="K1414" t="s">
        <v>2531</v>
      </c>
      <c r="L1414">
        <v>2200</v>
      </c>
      <c r="M1414" t="s">
        <v>124</v>
      </c>
      <c r="N1414">
        <v>2205</v>
      </c>
      <c r="O1414" t="s">
        <v>2390</v>
      </c>
      <c r="P1414" t="s">
        <v>3108</v>
      </c>
      <c r="Q1414" t="s">
        <v>3249</v>
      </c>
      <c r="R1414" t="s">
        <v>3249</v>
      </c>
      <c r="S1414" t="s">
        <v>810</v>
      </c>
      <c r="T1414" t="s">
        <v>2754</v>
      </c>
      <c r="U1414" t="s">
        <v>3250</v>
      </c>
      <c r="V1414" t="s">
        <v>3250</v>
      </c>
      <c r="W1414" t="s">
        <v>3250</v>
      </c>
      <c r="X1414" t="s">
        <v>3250</v>
      </c>
      <c r="Y1414" t="s">
        <v>3250</v>
      </c>
      <c r="Z1414" t="s">
        <v>3250</v>
      </c>
      <c r="AA1414" t="s">
        <v>3108</v>
      </c>
      <c r="AB1414" t="s">
        <v>3108</v>
      </c>
      <c r="AC1414" t="s">
        <v>3250</v>
      </c>
      <c r="AD1414" t="s">
        <v>3250</v>
      </c>
      <c r="AE1414" t="s">
        <v>3250</v>
      </c>
      <c r="AF1414" t="s">
        <v>3250</v>
      </c>
      <c r="AG1414" t="s">
        <v>3250</v>
      </c>
      <c r="AH1414" t="s">
        <v>3250</v>
      </c>
      <c r="AI1414" t="s">
        <v>3250</v>
      </c>
      <c r="AJ1414" t="s">
        <v>3250</v>
      </c>
      <c r="AL1414" t="s">
        <v>3250</v>
      </c>
      <c r="AM1414" t="s">
        <v>3250</v>
      </c>
      <c r="AN1414" t="s">
        <v>3250</v>
      </c>
      <c r="AO1414" t="s">
        <v>3250</v>
      </c>
      <c r="AS1414" t="s">
        <v>3250</v>
      </c>
      <c r="AT1414" t="s">
        <v>3250</v>
      </c>
      <c r="AU1414" t="s">
        <v>3250</v>
      </c>
      <c r="AV1414" t="s">
        <v>3250</v>
      </c>
      <c r="AW1414" t="s">
        <v>3250</v>
      </c>
      <c r="AX1414" t="s">
        <v>3250</v>
      </c>
      <c r="AY1414" t="s">
        <v>3250</v>
      </c>
      <c r="AZ1414" t="s">
        <v>3250</v>
      </c>
      <c r="BA1414" t="s">
        <v>3250</v>
      </c>
      <c r="BB1414" t="s">
        <v>3250</v>
      </c>
      <c r="BC1414" t="s">
        <v>3250</v>
      </c>
      <c r="BE1414" t="s">
        <v>3250</v>
      </c>
      <c r="BF1414" t="s">
        <v>3250</v>
      </c>
      <c r="BG1414" t="s">
        <v>3250</v>
      </c>
      <c r="BH1414" t="s">
        <v>3250</v>
      </c>
      <c r="BI1414" t="s">
        <v>3250</v>
      </c>
      <c r="BK1414" t="s">
        <v>3250</v>
      </c>
      <c r="BL1414" t="s">
        <v>3250</v>
      </c>
      <c r="BM1414" t="s">
        <v>3250</v>
      </c>
      <c r="BN1414" t="s">
        <v>3250</v>
      </c>
      <c r="BP1414">
        <v>9</v>
      </c>
      <c r="BQ1414">
        <v>91</v>
      </c>
      <c r="BR1414" t="s">
        <v>2390</v>
      </c>
      <c r="BS1414" t="s">
        <v>1675</v>
      </c>
      <c r="BV1414">
        <v>14600</v>
      </c>
      <c r="BW1414">
        <v>27100</v>
      </c>
      <c r="BX1414">
        <v>0</v>
      </c>
      <c r="BY1414">
        <v>50000</v>
      </c>
      <c r="BZ1414">
        <v>59300</v>
      </c>
      <c r="CA1414">
        <v>80000</v>
      </c>
      <c r="CB1414">
        <v>83200</v>
      </c>
      <c r="CC1414">
        <v>36528</v>
      </c>
      <c r="CD1414">
        <v>56560</v>
      </c>
      <c r="CE1414" t="s">
        <v>3108</v>
      </c>
      <c r="CF1414" t="s">
        <v>3108</v>
      </c>
      <c r="CG1414" t="s">
        <v>3108</v>
      </c>
      <c r="CH1414" t="s">
        <v>3108</v>
      </c>
    </row>
    <row r="1415" spans="1:86" x14ac:dyDescent="0.2">
      <c r="A1415" t="s">
        <v>5357</v>
      </c>
      <c r="B1415" t="s">
        <v>5357</v>
      </c>
      <c r="C1415">
        <v>54397</v>
      </c>
      <c r="D1415">
        <v>1529</v>
      </c>
      <c r="E1415" t="s">
        <v>4001</v>
      </c>
      <c r="F1415">
        <v>2900</v>
      </c>
      <c r="G1415" t="s">
        <v>822</v>
      </c>
      <c r="H1415" t="s">
        <v>3108</v>
      </c>
      <c r="I1415" t="s">
        <v>3108</v>
      </c>
      <c r="J1415">
        <v>2904</v>
      </c>
      <c r="K1415" t="s">
        <v>1690</v>
      </c>
      <c r="L1415">
        <v>2200</v>
      </c>
      <c r="M1415" t="s">
        <v>124</v>
      </c>
      <c r="N1415">
        <v>2205</v>
      </c>
      <c r="O1415" t="s">
        <v>2390</v>
      </c>
      <c r="P1415" t="s">
        <v>3108</v>
      </c>
      <c r="Q1415" t="s">
        <v>3249</v>
      </c>
      <c r="R1415" t="s">
        <v>3249</v>
      </c>
      <c r="S1415" t="s">
        <v>810</v>
      </c>
      <c r="T1415" t="s">
        <v>2754</v>
      </c>
      <c r="U1415" t="s">
        <v>3250</v>
      </c>
      <c r="V1415" t="s">
        <v>3250</v>
      </c>
      <c r="W1415" t="s">
        <v>3250</v>
      </c>
      <c r="X1415" t="s">
        <v>3250</v>
      </c>
      <c r="Y1415" t="s">
        <v>3250</v>
      </c>
      <c r="Z1415" t="s">
        <v>3250</v>
      </c>
      <c r="AA1415" t="s">
        <v>3108</v>
      </c>
      <c r="AB1415" t="s">
        <v>3108</v>
      </c>
      <c r="AC1415" t="s">
        <v>3250</v>
      </c>
      <c r="AD1415" t="s">
        <v>3250</v>
      </c>
      <c r="AE1415" t="s">
        <v>3250</v>
      </c>
      <c r="AF1415" t="s">
        <v>3250</v>
      </c>
      <c r="AG1415" t="s">
        <v>3250</v>
      </c>
      <c r="AH1415" t="s">
        <v>3250</v>
      </c>
      <c r="AI1415" t="s">
        <v>3250</v>
      </c>
      <c r="AJ1415" t="s">
        <v>3250</v>
      </c>
      <c r="AL1415" t="s">
        <v>3250</v>
      </c>
      <c r="AM1415" t="s">
        <v>3250</v>
      </c>
      <c r="AN1415" t="s">
        <v>3250</v>
      </c>
      <c r="AO1415" t="s">
        <v>3250</v>
      </c>
      <c r="AS1415" t="s">
        <v>3250</v>
      </c>
      <c r="AT1415" t="s">
        <v>3250</v>
      </c>
      <c r="AU1415" t="s">
        <v>3250</v>
      </c>
      <c r="AV1415" t="s">
        <v>3250</v>
      </c>
      <c r="AW1415" t="s">
        <v>3250</v>
      </c>
      <c r="AX1415" t="s">
        <v>3250</v>
      </c>
      <c r="AY1415" t="s">
        <v>3250</v>
      </c>
      <c r="AZ1415" t="s">
        <v>3250</v>
      </c>
      <c r="BA1415" t="s">
        <v>3250</v>
      </c>
      <c r="BB1415" t="s">
        <v>3250</v>
      </c>
      <c r="BC1415" t="s">
        <v>3250</v>
      </c>
      <c r="BE1415" t="s">
        <v>3250</v>
      </c>
      <c r="BF1415" t="s">
        <v>3250</v>
      </c>
      <c r="BG1415" t="s">
        <v>3250</v>
      </c>
      <c r="BH1415" t="s">
        <v>3250</v>
      </c>
      <c r="BI1415" t="s">
        <v>3250</v>
      </c>
      <c r="BK1415" t="s">
        <v>3250</v>
      </c>
      <c r="BL1415" t="s">
        <v>3250</v>
      </c>
      <c r="BM1415" t="s">
        <v>3250</v>
      </c>
      <c r="BN1415" t="s">
        <v>3250</v>
      </c>
      <c r="BP1415">
        <v>9</v>
      </c>
      <c r="BQ1415">
        <v>91</v>
      </c>
      <c r="BR1415" t="s">
        <v>2390</v>
      </c>
      <c r="BS1415" t="s">
        <v>1675</v>
      </c>
      <c r="BV1415">
        <v>0</v>
      </c>
      <c r="BW1415">
        <v>0</v>
      </c>
      <c r="BX1415">
        <v>0</v>
      </c>
      <c r="BY1415">
        <v>0</v>
      </c>
      <c r="BZ1415">
        <v>0</v>
      </c>
      <c r="CA1415">
        <v>0</v>
      </c>
      <c r="CB1415">
        <v>0</v>
      </c>
      <c r="CC1415">
        <v>0</v>
      </c>
      <c r="CD1415">
        <v>0</v>
      </c>
      <c r="CE1415" t="s">
        <v>3108</v>
      </c>
      <c r="CF1415" t="s">
        <v>3108</v>
      </c>
      <c r="CG1415" t="s">
        <v>3108</v>
      </c>
      <c r="CH1415" t="s">
        <v>3108</v>
      </c>
    </row>
    <row r="1416" spans="1:86" x14ac:dyDescent="0.2">
      <c r="A1416" t="s">
        <v>5358</v>
      </c>
      <c r="B1416" t="s">
        <v>5358</v>
      </c>
      <c r="C1416">
        <v>54398</v>
      </c>
      <c r="D1416">
        <v>1530</v>
      </c>
      <c r="E1416" t="s">
        <v>3990</v>
      </c>
      <c r="F1416">
        <v>2900</v>
      </c>
      <c r="G1416" t="s">
        <v>822</v>
      </c>
      <c r="H1416" t="s">
        <v>3108</v>
      </c>
      <c r="I1416" t="s">
        <v>3108</v>
      </c>
      <c r="J1416">
        <v>2904</v>
      </c>
      <c r="K1416" t="s">
        <v>1690</v>
      </c>
      <c r="L1416">
        <v>2200</v>
      </c>
      <c r="M1416" t="s">
        <v>124</v>
      </c>
      <c r="N1416">
        <v>2205</v>
      </c>
      <c r="O1416" t="s">
        <v>2390</v>
      </c>
      <c r="P1416" t="s">
        <v>3108</v>
      </c>
      <c r="Q1416" t="s">
        <v>3249</v>
      </c>
      <c r="R1416" t="s">
        <v>3249</v>
      </c>
      <c r="S1416" t="s">
        <v>810</v>
      </c>
      <c r="T1416" t="s">
        <v>2754</v>
      </c>
      <c r="U1416" t="s">
        <v>3250</v>
      </c>
      <c r="V1416" t="s">
        <v>3250</v>
      </c>
      <c r="W1416" t="s">
        <v>3250</v>
      </c>
      <c r="X1416" t="s">
        <v>3250</v>
      </c>
      <c r="Y1416" t="s">
        <v>3250</v>
      </c>
      <c r="Z1416" t="s">
        <v>3250</v>
      </c>
      <c r="AA1416" t="s">
        <v>3108</v>
      </c>
      <c r="AB1416" t="s">
        <v>3108</v>
      </c>
      <c r="AC1416" t="s">
        <v>3250</v>
      </c>
      <c r="AD1416" t="s">
        <v>3250</v>
      </c>
      <c r="AE1416" t="s">
        <v>3250</v>
      </c>
      <c r="AF1416" t="s">
        <v>3250</v>
      </c>
      <c r="AG1416" t="s">
        <v>3250</v>
      </c>
      <c r="AH1416" t="s">
        <v>3250</v>
      </c>
      <c r="AI1416" t="s">
        <v>3250</v>
      </c>
      <c r="AJ1416" t="s">
        <v>3250</v>
      </c>
      <c r="AL1416" t="s">
        <v>3250</v>
      </c>
      <c r="AM1416" t="s">
        <v>3250</v>
      </c>
      <c r="AN1416" t="s">
        <v>3250</v>
      </c>
      <c r="AO1416" t="s">
        <v>3250</v>
      </c>
      <c r="AS1416" t="s">
        <v>3250</v>
      </c>
      <c r="AT1416" t="s">
        <v>3250</v>
      </c>
      <c r="AU1416" t="s">
        <v>3250</v>
      </c>
      <c r="AV1416" t="s">
        <v>3250</v>
      </c>
      <c r="AW1416" t="s">
        <v>3250</v>
      </c>
      <c r="AX1416" t="s">
        <v>3250</v>
      </c>
      <c r="AY1416" t="s">
        <v>3250</v>
      </c>
      <c r="AZ1416" t="s">
        <v>3250</v>
      </c>
      <c r="BA1416" t="s">
        <v>3250</v>
      </c>
      <c r="BB1416" t="s">
        <v>3250</v>
      </c>
      <c r="BC1416" t="s">
        <v>3250</v>
      </c>
      <c r="BE1416" t="s">
        <v>3250</v>
      </c>
      <c r="BF1416" t="s">
        <v>3250</v>
      </c>
      <c r="BG1416" t="s">
        <v>3250</v>
      </c>
      <c r="BH1416" t="s">
        <v>3250</v>
      </c>
      <c r="BI1416" t="s">
        <v>3250</v>
      </c>
      <c r="BK1416" t="s">
        <v>3250</v>
      </c>
      <c r="BL1416" t="s">
        <v>3250</v>
      </c>
      <c r="BM1416" t="s">
        <v>3250</v>
      </c>
      <c r="BN1416" t="s">
        <v>3250</v>
      </c>
      <c r="BP1416">
        <v>9</v>
      </c>
      <c r="BQ1416">
        <v>91</v>
      </c>
      <c r="BR1416" t="s">
        <v>2390</v>
      </c>
      <c r="BS1416" t="s">
        <v>1675</v>
      </c>
      <c r="BV1416">
        <v>0</v>
      </c>
      <c r="BW1416">
        <v>51100</v>
      </c>
      <c r="BX1416">
        <v>0</v>
      </c>
      <c r="BY1416">
        <v>10000</v>
      </c>
      <c r="BZ1416">
        <v>10000</v>
      </c>
      <c r="CA1416">
        <v>0</v>
      </c>
      <c r="CB1416">
        <v>0</v>
      </c>
      <c r="CC1416">
        <v>0</v>
      </c>
      <c r="CD1416">
        <v>0</v>
      </c>
      <c r="CE1416" t="s">
        <v>3108</v>
      </c>
      <c r="CF1416" t="s">
        <v>3108</v>
      </c>
      <c r="CG1416" t="s">
        <v>3108</v>
      </c>
      <c r="CH1416" t="s">
        <v>3108</v>
      </c>
    </row>
    <row r="1417" spans="1:86" x14ac:dyDescent="0.2">
      <c r="A1417" t="s">
        <v>5359</v>
      </c>
      <c r="B1417" t="s">
        <v>5359</v>
      </c>
      <c r="C1417">
        <v>54399</v>
      </c>
      <c r="D1417">
        <v>1531</v>
      </c>
      <c r="E1417" t="s">
        <v>4047</v>
      </c>
      <c r="F1417">
        <v>2600</v>
      </c>
      <c r="G1417" t="s">
        <v>1334</v>
      </c>
      <c r="H1417">
        <v>2600</v>
      </c>
      <c r="I1417" t="s">
        <v>1334</v>
      </c>
      <c r="J1417" t="s">
        <v>3250</v>
      </c>
      <c r="K1417" t="s">
        <v>3250</v>
      </c>
      <c r="L1417">
        <v>2200</v>
      </c>
      <c r="M1417" t="s">
        <v>124</v>
      </c>
      <c r="N1417">
        <v>2205</v>
      </c>
      <c r="O1417" t="s">
        <v>2390</v>
      </c>
      <c r="P1417" t="s">
        <v>3108</v>
      </c>
      <c r="Q1417" t="s">
        <v>3249</v>
      </c>
      <c r="R1417" t="s">
        <v>3249</v>
      </c>
      <c r="S1417" t="s">
        <v>810</v>
      </c>
      <c r="T1417" t="s">
        <v>2754</v>
      </c>
      <c r="U1417" t="s">
        <v>3250</v>
      </c>
      <c r="V1417" t="s">
        <v>3250</v>
      </c>
      <c r="W1417" t="s">
        <v>3250</v>
      </c>
      <c r="X1417" t="s">
        <v>3250</v>
      </c>
      <c r="Y1417" t="s">
        <v>3250</v>
      </c>
      <c r="Z1417" t="s">
        <v>3250</v>
      </c>
      <c r="AA1417" t="s">
        <v>3108</v>
      </c>
      <c r="AB1417" t="s">
        <v>3108</v>
      </c>
      <c r="AC1417" t="s">
        <v>3250</v>
      </c>
      <c r="AD1417" t="s">
        <v>3250</v>
      </c>
      <c r="AE1417" t="s">
        <v>3250</v>
      </c>
      <c r="AF1417" t="s">
        <v>3250</v>
      </c>
      <c r="AG1417" t="s">
        <v>3250</v>
      </c>
      <c r="AH1417" t="s">
        <v>3250</v>
      </c>
      <c r="AI1417" t="s">
        <v>3250</v>
      </c>
      <c r="AJ1417" t="s">
        <v>3250</v>
      </c>
      <c r="AL1417" t="s">
        <v>3250</v>
      </c>
      <c r="AM1417" t="s">
        <v>3250</v>
      </c>
      <c r="AN1417" t="s">
        <v>3250</v>
      </c>
      <c r="AO1417" t="s">
        <v>3250</v>
      </c>
      <c r="AS1417" t="s">
        <v>3250</v>
      </c>
      <c r="AT1417" t="s">
        <v>3250</v>
      </c>
      <c r="AU1417" t="s">
        <v>3250</v>
      </c>
      <c r="AV1417" t="s">
        <v>3250</v>
      </c>
      <c r="AW1417" t="s">
        <v>3250</v>
      </c>
      <c r="AX1417" t="s">
        <v>3250</v>
      </c>
      <c r="AY1417" t="s">
        <v>3250</v>
      </c>
      <c r="AZ1417" t="s">
        <v>3250</v>
      </c>
      <c r="BA1417" t="s">
        <v>3250</v>
      </c>
      <c r="BB1417" t="s">
        <v>3250</v>
      </c>
      <c r="BC1417" t="s">
        <v>3250</v>
      </c>
      <c r="BE1417" t="s">
        <v>3250</v>
      </c>
      <c r="BF1417" t="s">
        <v>3250</v>
      </c>
      <c r="BG1417" t="s">
        <v>3250</v>
      </c>
      <c r="BH1417" t="s">
        <v>3250</v>
      </c>
      <c r="BI1417" t="s">
        <v>3250</v>
      </c>
      <c r="BK1417" t="s">
        <v>3250</v>
      </c>
      <c r="BL1417" t="s">
        <v>3250</v>
      </c>
      <c r="BM1417" t="s">
        <v>3250</v>
      </c>
      <c r="BN1417" t="s">
        <v>3250</v>
      </c>
      <c r="BP1417">
        <v>9</v>
      </c>
      <c r="BQ1417">
        <v>91</v>
      </c>
      <c r="BR1417" t="s">
        <v>2390</v>
      </c>
      <c r="BS1417" t="s">
        <v>1675</v>
      </c>
      <c r="BV1417">
        <v>0</v>
      </c>
      <c r="BW1417">
        <v>0</v>
      </c>
      <c r="BX1417">
        <v>0</v>
      </c>
      <c r="BY1417">
        <v>80000</v>
      </c>
      <c r="BZ1417">
        <v>110000</v>
      </c>
      <c r="CA1417">
        <v>120000</v>
      </c>
      <c r="CB1417">
        <v>124800</v>
      </c>
      <c r="CC1417">
        <v>129792</v>
      </c>
      <c r="CD1417">
        <v>0</v>
      </c>
      <c r="CE1417" t="s">
        <v>3108</v>
      </c>
      <c r="CF1417" t="s">
        <v>3108</v>
      </c>
      <c r="CG1417" t="s">
        <v>3108</v>
      </c>
      <c r="CH1417" t="s">
        <v>3108</v>
      </c>
    </row>
    <row r="1418" spans="1:86" x14ac:dyDescent="0.2">
      <c r="A1418" t="s">
        <v>5360</v>
      </c>
      <c r="B1418" t="s">
        <v>5360</v>
      </c>
      <c r="C1418">
        <v>54400</v>
      </c>
      <c r="D1418">
        <v>1532</v>
      </c>
      <c r="E1418" t="s">
        <v>4006</v>
      </c>
      <c r="F1418">
        <v>2700</v>
      </c>
      <c r="G1418" t="s">
        <v>411</v>
      </c>
      <c r="H1418" t="s">
        <v>4004</v>
      </c>
      <c r="I1418" t="s">
        <v>2531</v>
      </c>
      <c r="J1418">
        <v>2701</v>
      </c>
      <c r="K1418" t="s">
        <v>2531</v>
      </c>
      <c r="L1418">
        <v>2200</v>
      </c>
      <c r="M1418" t="s">
        <v>124</v>
      </c>
      <c r="N1418">
        <v>2205</v>
      </c>
      <c r="O1418" t="s">
        <v>2390</v>
      </c>
      <c r="P1418" t="s">
        <v>3108</v>
      </c>
      <c r="Q1418" t="s">
        <v>3249</v>
      </c>
      <c r="R1418" t="s">
        <v>3249</v>
      </c>
      <c r="S1418" t="s">
        <v>810</v>
      </c>
      <c r="T1418" t="s">
        <v>2754</v>
      </c>
      <c r="U1418" t="s">
        <v>3250</v>
      </c>
      <c r="V1418" t="s">
        <v>3250</v>
      </c>
      <c r="W1418" t="s">
        <v>3250</v>
      </c>
      <c r="X1418" t="s">
        <v>3250</v>
      </c>
      <c r="Y1418" t="s">
        <v>3250</v>
      </c>
      <c r="Z1418" t="s">
        <v>3250</v>
      </c>
      <c r="AA1418" t="s">
        <v>3108</v>
      </c>
      <c r="AB1418" t="s">
        <v>3108</v>
      </c>
      <c r="AC1418" t="s">
        <v>3250</v>
      </c>
      <c r="AD1418" t="s">
        <v>3250</v>
      </c>
      <c r="AE1418" t="s">
        <v>3250</v>
      </c>
      <c r="AF1418" t="s">
        <v>3250</v>
      </c>
      <c r="AG1418" t="s">
        <v>3250</v>
      </c>
      <c r="AH1418" t="s">
        <v>3250</v>
      </c>
      <c r="AI1418" t="s">
        <v>3250</v>
      </c>
      <c r="AJ1418" t="s">
        <v>3250</v>
      </c>
      <c r="AL1418" t="s">
        <v>3250</v>
      </c>
      <c r="AM1418" t="s">
        <v>3250</v>
      </c>
      <c r="AN1418" t="s">
        <v>3250</v>
      </c>
      <c r="AO1418" t="s">
        <v>3250</v>
      </c>
      <c r="AS1418" t="s">
        <v>3250</v>
      </c>
      <c r="AT1418" t="s">
        <v>3250</v>
      </c>
      <c r="AU1418" t="s">
        <v>3250</v>
      </c>
      <c r="AV1418" t="s">
        <v>3250</v>
      </c>
      <c r="AW1418" t="s">
        <v>3250</v>
      </c>
      <c r="AX1418" t="s">
        <v>3250</v>
      </c>
      <c r="AY1418" t="s">
        <v>3250</v>
      </c>
      <c r="AZ1418" t="s">
        <v>3250</v>
      </c>
      <c r="BA1418" t="s">
        <v>3250</v>
      </c>
      <c r="BB1418" t="s">
        <v>3250</v>
      </c>
      <c r="BC1418" t="s">
        <v>3250</v>
      </c>
      <c r="BE1418" t="s">
        <v>3250</v>
      </c>
      <c r="BF1418" t="s">
        <v>3250</v>
      </c>
      <c r="BG1418" t="s">
        <v>3250</v>
      </c>
      <c r="BH1418" t="s">
        <v>3250</v>
      </c>
      <c r="BI1418" t="s">
        <v>3250</v>
      </c>
      <c r="BK1418" t="s">
        <v>3250</v>
      </c>
      <c r="BL1418" t="s">
        <v>3250</v>
      </c>
      <c r="BM1418" t="s">
        <v>3250</v>
      </c>
      <c r="BN1418" t="s">
        <v>3250</v>
      </c>
      <c r="BP1418">
        <v>9</v>
      </c>
      <c r="BQ1418">
        <v>91</v>
      </c>
      <c r="BR1418" t="s">
        <v>2390</v>
      </c>
      <c r="BS1418" t="s">
        <v>1675</v>
      </c>
      <c r="BV1418">
        <v>309286</v>
      </c>
      <c r="BW1418">
        <v>103995</v>
      </c>
      <c r="BX1418">
        <v>0</v>
      </c>
      <c r="BY1418">
        <v>100000</v>
      </c>
      <c r="BZ1418">
        <v>100000</v>
      </c>
      <c r="CA1418">
        <v>150000</v>
      </c>
      <c r="CB1418">
        <v>156000</v>
      </c>
      <c r="CC1418">
        <v>162240</v>
      </c>
      <c r="CD1418">
        <v>0</v>
      </c>
      <c r="CE1418" t="s">
        <v>3108</v>
      </c>
      <c r="CF1418" t="s">
        <v>3108</v>
      </c>
      <c r="CG1418" t="s">
        <v>3108</v>
      </c>
      <c r="CH1418" t="s">
        <v>3108</v>
      </c>
    </row>
    <row r="1419" spans="1:86" x14ac:dyDescent="0.2">
      <c r="A1419" t="s">
        <v>5361</v>
      </c>
      <c r="B1419" t="s">
        <v>5361</v>
      </c>
      <c r="C1419">
        <v>54401</v>
      </c>
      <c r="D1419">
        <v>1533</v>
      </c>
      <c r="E1419" t="s">
        <v>4178</v>
      </c>
      <c r="F1419">
        <v>2700</v>
      </c>
      <c r="G1419" t="s">
        <v>411</v>
      </c>
      <c r="H1419" t="s">
        <v>3997</v>
      </c>
      <c r="I1419" t="s">
        <v>2533</v>
      </c>
      <c r="J1419">
        <v>2703</v>
      </c>
      <c r="K1419" t="s">
        <v>2533</v>
      </c>
      <c r="L1419">
        <v>2200</v>
      </c>
      <c r="M1419" t="s">
        <v>124</v>
      </c>
      <c r="N1419">
        <v>2205</v>
      </c>
      <c r="O1419" t="s">
        <v>2390</v>
      </c>
      <c r="P1419" t="s">
        <v>3108</v>
      </c>
      <c r="Q1419" t="s">
        <v>3249</v>
      </c>
      <c r="R1419" t="s">
        <v>3249</v>
      </c>
      <c r="S1419" t="s">
        <v>810</v>
      </c>
      <c r="T1419" t="s">
        <v>2754</v>
      </c>
      <c r="U1419" t="s">
        <v>3250</v>
      </c>
      <c r="V1419" t="s">
        <v>3250</v>
      </c>
      <c r="W1419" t="s">
        <v>3250</v>
      </c>
      <c r="X1419" t="s">
        <v>3250</v>
      </c>
      <c r="Y1419" t="s">
        <v>3250</v>
      </c>
      <c r="Z1419" t="s">
        <v>3250</v>
      </c>
      <c r="AA1419" t="s">
        <v>3108</v>
      </c>
      <c r="AB1419" t="s">
        <v>3108</v>
      </c>
      <c r="AC1419" t="s">
        <v>3250</v>
      </c>
      <c r="AD1419" t="s">
        <v>3250</v>
      </c>
      <c r="AE1419" t="s">
        <v>3250</v>
      </c>
      <c r="AF1419" t="s">
        <v>3250</v>
      </c>
      <c r="AG1419" t="s">
        <v>3250</v>
      </c>
      <c r="AH1419" t="s">
        <v>3250</v>
      </c>
      <c r="AI1419" t="s">
        <v>3250</v>
      </c>
      <c r="AJ1419" t="s">
        <v>3250</v>
      </c>
      <c r="AL1419" t="s">
        <v>3250</v>
      </c>
      <c r="AM1419" t="s">
        <v>3250</v>
      </c>
      <c r="AN1419" t="s">
        <v>3250</v>
      </c>
      <c r="AO1419" t="s">
        <v>3250</v>
      </c>
      <c r="AS1419" t="s">
        <v>3250</v>
      </c>
      <c r="AT1419" t="s">
        <v>3250</v>
      </c>
      <c r="AU1419" t="s">
        <v>3250</v>
      </c>
      <c r="AV1419" t="s">
        <v>3250</v>
      </c>
      <c r="AW1419" t="s">
        <v>3250</v>
      </c>
      <c r="AX1419" t="s">
        <v>3250</v>
      </c>
      <c r="AY1419" t="s">
        <v>3250</v>
      </c>
      <c r="AZ1419" t="s">
        <v>3250</v>
      </c>
      <c r="BA1419" t="s">
        <v>3250</v>
      </c>
      <c r="BB1419" t="s">
        <v>3250</v>
      </c>
      <c r="BC1419" t="s">
        <v>3250</v>
      </c>
      <c r="BE1419" t="s">
        <v>3250</v>
      </c>
      <c r="BF1419" t="s">
        <v>3250</v>
      </c>
      <c r="BG1419" t="s">
        <v>3250</v>
      </c>
      <c r="BH1419" t="s">
        <v>3250</v>
      </c>
      <c r="BI1419" t="s">
        <v>3250</v>
      </c>
      <c r="BK1419" t="s">
        <v>3250</v>
      </c>
      <c r="BL1419" t="s">
        <v>3250</v>
      </c>
      <c r="BM1419" t="s">
        <v>3250</v>
      </c>
      <c r="BN1419" t="s">
        <v>3250</v>
      </c>
      <c r="BP1419">
        <v>9</v>
      </c>
      <c r="BQ1419">
        <v>91</v>
      </c>
      <c r="BR1419" t="s">
        <v>2390</v>
      </c>
      <c r="BS1419" t="s">
        <v>1675</v>
      </c>
      <c r="BV1419">
        <v>0</v>
      </c>
      <c r="BW1419">
        <v>0</v>
      </c>
      <c r="BX1419">
        <v>0</v>
      </c>
      <c r="BY1419">
        <v>10000</v>
      </c>
      <c r="BZ1419">
        <v>0</v>
      </c>
      <c r="CA1419">
        <v>35000</v>
      </c>
      <c r="CB1419">
        <v>36400</v>
      </c>
      <c r="CC1419">
        <v>37856</v>
      </c>
      <c r="CD1419">
        <v>0</v>
      </c>
      <c r="CE1419" t="s">
        <v>3108</v>
      </c>
      <c r="CF1419" t="s">
        <v>3108</v>
      </c>
      <c r="CG1419" t="s">
        <v>3108</v>
      </c>
      <c r="CH1419" t="s">
        <v>3108</v>
      </c>
    </row>
    <row r="1420" spans="1:86" x14ac:dyDescent="0.2">
      <c r="A1420" t="s">
        <v>5362</v>
      </c>
      <c r="B1420" t="s">
        <v>5362</v>
      </c>
      <c r="C1420">
        <v>54402</v>
      </c>
      <c r="D1420">
        <v>1534</v>
      </c>
      <c r="E1420" t="s">
        <v>4178</v>
      </c>
      <c r="F1420">
        <v>2700</v>
      </c>
      <c r="G1420" t="s">
        <v>411</v>
      </c>
      <c r="H1420" t="s">
        <v>3997</v>
      </c>
      <c r="I1420" t="s">
        <v>2533</v>
      </c>
      <c r="J1420">
        <v>2703</v>
      </c>
      <c r="K1420" t="s">
        <v>2533</v>
      </c>
      <c r="L1420">
        <v>2200</v>
      </c>
      <c r="M1420" t="s">
        <v>124</v>
      </c>
      <c r="N1420">
        <v>2205</v>
      </c>
      <c r="O1420" t="s">
        <v>2390</v>
      </c>
      <c r="P1420" t="s">
        <v>3108</v>
      </c>
      <c r="Q1420" t="s">
        <v>3249</v>
      </c>
      <c r="R1420" t="s">
        <v>3249</v>
      </c>
      <c r="S1420" t="s">
        <v>810</v>
      </c>
      <c r="T1420" t="s">
        <v>2754</v>
      </c>
      <c r="U1420" t="s">
        <v>3250</v>
      </c>
      <c r="V1420" t="s">
        <v>3250</v>
      </c>
      <c r="W1420" t="s">
        <v>3250</v>
      </c>
      <c r="X1420" t="s">
        <v>3250</v>
      </c>
      <c r="Y1420" t="s">
        <v>3250</v>
      </c>
      <c r="Z1420" t="s">
        <v>3250</v>
      </c>
      <c r="AA1420" t="s">
        <v>3108</v>
      </c>
      <c r="AB1420" t="s">
        <v>3108</v>
      </c>
      <c r="AC1420" t="s">
        <v>3250</v>
      </c>
      <c r="AD1420" t="s">
        <v>3250</v>
      </c>
      <c r="AE1420" t="s">
        <v>3250</v>
      </c>
      <c r="AF1420" t="s">
        <v>3250</v>
      </c>
      <c r="AG1420" t="s">
        <v>3250</v>
      </c>
      <c r="AH1420" t="s">
        <v>3250</v>
      </c>
      <c r="AI1420" t="s">
        <v>3250</v>
      </c>
      <c r="AJ1420" t="s">
        <v>3250</v>
      </c>
      <c r="AL1420" t="s">
        <v>3250</v>
      </c>
      <c r="AM1420" t="s">
        <v>3250</v>
      </c>
      <c r="AN1420" t="s">
        <v>3250</v>
      </c>
      <c r="AO1420" t="s">
        <v>3250</v>
      </c>
      <c r="AS1420" t="s">
        <v>3250</v>
      </c>
      <c r="AT1420" t="s">
        <v>3250</v>
      </c>
      <c r="AU1420" t="s">
        <v>3250</v>
      </c>
      <c r="AV1420" t="s">
        <v>3250</v>
      </c>
      <c r="AW1420" t="s">
        <v>3250</v>
      </c>
      <c r="AX1420" t="s">
        <v>3250</v>
      </c>
      <c r="AY1420" t="s">
        <v>3250</v>
      </c>
      <c r="AZ1420" t="s">
        <v>3250</v>
      </c>
      <c r="BA1420" t="s">
        <v>3250</v>
      </c>
      <c r="BB1420" t="s">
        <v>3250</v>
      </c>
      <c r="BC1420" t="s">
        <v>3250</v>
      </c>
      <c r="BE1420" t="s">
        <v>3250</v>
      </c>
      <c r="BF1420" t="s">
        <v>3250</v>
      </c>
      <c r="BG1420" t="s">
        <v>3250</v>
      </c>
      <c r="BH1420" t="s">
        <v>3250</v>
      </c>
      <c r="BI1420" t="s">
        <v>3250</v>
      </c>
      <c r="BK1420" t="s">
        <v>3250</v>
      </c>
      <c r="BL1420" t="s">
        <v>3250</v>
      </c>
      <c r="BM1420" t="s">
        <v>3250</v>
      </c>
      <c r="BN1420" t="s">
        <v>3250</v>
      </c>
      <c r="BP1420">
        <v>9</v>
      </c>
      <c r="BQ1420">
        <v>91</v>
      </c>
      <c r="BR1420" t="s">
        <v>2390</v>
      </c>
      <c r="BS1420" t="s">
        <v>1675</v>
      </c>
      <c r="BV1420">
        <v>0</v>
      </c>
      <c r="BW1420">
        <v>0</v>
      </c>
      <c r="BX1420">
        <v>0</v>
      </c>
      <c r="BY1420">
        <v>5000</v>
      </c>
      <c r="BZ1420">
        <v>5000</v>
      </c>
      <c r="CA1420">
        <v>5000</v>
      </c>
      <c r="CB1420">
        <v>5200</v>
      </c>
      <c r="CC1420">
        <v>5408</v>
      </c>
      <c r="CD1420">
        <v>0</v>
      </c>
      <c r="CE1420" t="s">
        <v>3108</v>
      </c>
      <c r="CF1420" t="s">
        <v>3108</v>
      </c>
      <c r="CG1420" t="s">
        <v>3108</v>
      </c>
      <c r="CH1420" t="s">
        <v>3108</v>
      </c>
    </row>
    <row r="1421" spans="1:86" x14ac:dyDescent="0.2">
      <c r="A1421" t="s">
        <v>5363</v>
      </c>
      <c r="B1421" t="s">
        <v>5363</v>
      </c>
      <c r="C1421">
        <v>54403</v>
      </c>
      <c r="D1421">
        <v>1535</v>
      </c>
      <c r="E1421" t="s">
        <v>4031</v>
      </c>
      <c r="F1421">
        <v>2900</v>
      </c>
      <c r="G1421" t="s">
        <v>822</v>
      </c>
      <c r="H1421" t="s">
        <v>3108</v>
      </c>
      <c r="I1421" t="s">
        <v>3108</v>
      </c>
      <c r="J1421">
        <v>2904</v>
      </c>
      <c r="K1421" t="s">
        <v>1690</v>
      </c>
      <c r="L1421">
        <v>2200</v>
      </c>
      <c r="M1421" t="s">
        <v>124</v>
      </c>
      <c r="N1421">
        <v>2205</v>
      </c>
      <c r="O1421" t="s">
        <v>2390</v>
      </c>
      <c r="P1421" t="s">
        <v>3108</v>
      </c>
      <c r="Q1421" t="s">
        <v>3249</v>
      </c>
      <c r="R1421" t="s">
        <v>3249</v>
      </c>
      <c r="S1421" t="s">
        <v>810</v>
      </c>
      <c r="T1421" t="s">
        <v>2754</v>
      </c>
      <c r="U1421" t="s">
        <v>3250</v>
      </c>
      <c r="V1421" t="s">
        <v>3250</v>
      </c>
      <c r="W1421" t="s">
        <v>3250</v>
      </c>
      <c r="X1421" t="s">
        <v>3250</v>
      </c>
      <c r="Y1421" t="s">
        <v>3250</v>
      </c>
      <c r="Z1421" t="s">
        <v>3250</v>
      </c>
      <c r="AA1421" t="s">
        <v>3108</v>
      </c>
      <c r="AB1421" t="s">
        <v>3108</v>
      </c>
      <c r="AC1421" t="s">
        <v>3250</v>
      </c>
      <c r="AD1421" t="s">
        <v>3250</v>
      </c>
      <c r="AE1421" t="s">
        <v>3250</v>
      </c>
      <c r="AF1421" t="s">
        <v>3250</v>
      </c>
      <c r="AG1421" t="s">
        <v>3250</v>
      </c>
      <c r="AH1421" t="s">
        <v>3250</v>
      </c>
      <c r="AI1421" t="s">
        <v>3250</v>
      </c>
      <c r="AJ1421" t="s">
        <v>3250</v>
      </c>
      <c r="AL1421" t="s">
        <v>3250</v>
      </c>
      <c r="AM1421" t="s">
        <v>3250</v>
      </c>
      <c r="AN1421" t="s">
        <v>3250</v>
      </c>
      <c r="AO1421" t="s">
        <v>3250</v>
      </c>
      <c r="AS1421" t="s">
        <v>3250</v>
      </c>
      <c r="AT1421" t="s">
        <v>3250</v>
      </c>
      <c r="AU1421" t="s">
        <v>3250</v>
      </c>
      <c r="AV1421" t="s">
        <v>3250</v>
      </c>
      <c r="AW1421" t="s">
        <v>3250</v>
      </c>
      <c r="AX1421" t="s">
        <v>3250</v>
      </c>
      <c r="AY1421" t="s">
        <v>3250</v>
      </c>
      <c r="AZ1421" t="s">
        <v>3250</v>
      </c>
      <c r="BA1421" t="s">
        <v>3250</v>
      </c>
      <c r="BB1421" t="s">
        <v>3250</v>
      </c>
      <c r="BC1421" t="s">
        <v>3250</v>
      </c>
      <c r="BE1421" t="s">
        <v>3250</v>
      </c>
      <c r="BF1421" t="s">
        <v>3250</v>
      </c>
      <c r="BG1421" t="s">
        <v>3250</v>
      </c>
      <c r="BH1421" t="s">
        <v>3250</v>
      </c>
      <c r="BI1421" t="s">
        <v>3250</v>
      </c>
      <c r="BK1421" t="s">
        <v>3250</v>
      </c>
      <c r="BL1421" t="s">
        <v>3250</v>
      </c>
      <c r="BM1421" t="s">
        <v>3250</v>
      </c>
      <c r="BN1421" t="s">
        <v>3250</v>
      </c>
      <c r="BP1421">
        <v>9</v>
      </c>
      <c r="BQ1421">
        <v>91</v>
      </c>
      <c r="BR1421" t="s">
        <v>2390</v>
      </c>
      <c r="BS1421" t="s">
        <v>1675</v>
      </c>
      <c r="BV1421">
        <v>0</v>
      </c>
      <c r="BW1421">
        <v>0</v>
      </c>
      <c r="BX1421">
        <v>0</v>
      </c>
      <c r="BY1421">
        <v>0</v>
      </c>
      <c r="BZ1421">
        <v>0</v>
      </c>
      <c r="CA1421">
        <v>0</v>
      </c>
      <c r="CB1421">
        <v>0</v>
      </c>
      <c r="CC1421">
        <v>0</v>
      </c>
      <c r="CD1421">
        <v>0</v>
      </c>
      <c r="CE1421" t="s">
        <v>3108</v>
      </c>
      <c r="CF1421" t="s">
        <v>3108</v>
      </c>
      <c r="CG1421" t="s">
        <v>3108</v>
      </c>
      <c r="CH1421" t="s">
        <v>3108</v>
      </c>
    </row>
    <row r="1422" spans="1:86" x14ac:dyDescent="0.2">
      <c r="A1422" t="s">
        <v>5364</v>
      </c>
      <c r="B1422" t="s">
        <v>5364</v>
      </c>
      <c r="C1422">
        <v>54404</v>
      </c>
      <c r="D1422">
        <v>1536</v>
      </c>
      <c r="E1422" t="s">
        <v>4326</v>
      </c>
      <c r="F1422">
        <v>2700</v>
      </c>
      <c r="G1422" t="s">
        <v>411</v>
      </c>
      <c r="H1422" t="s">
        <v>4004</v>
      </c>
      <c r="I1422" t="s">
        <v>2531</v>
      </c>
      <c r="J1422">
        <v>2701</v>
      </c>
      <c r="K1422" t="s">
        <v>2531</v>
      </c>
      <c r="L1422">
        <v>2100</v>
      </c>
      <c r="M1422" t="s">
        <v>123</v>
      </c>
      <c r="N1422">
        <v>2115</v>
      </c>
      <c r="O1422" t="s">
        <v>2406</v>
      </c>
      <c r="P1422" t="s">
        <v>3108</v>
      </c>
      <c r="Q1422" t="s">
        <v>3249</v>
      </c>
      <c r="R1422" t="s">
        <v>3249</v>
      </c>
      <c r="S1422" t="s">
        <v>810</v>
      </c>
      <c r="T1422" t="s">
        <v>2754</v>
      </c>
      <c r="U1422" t="s">
        <v>3250</v>
      </c>
      <c r="V1422" t="s">
        <v>3250</v>
      </c>
      <c r="W1422" t="s">
        <v>3250</v>
      </c>
      <c r="X1422" t="s">
        <v>3250</v>
      </c>
      <c r="Y1422" t="s">
        <v>3250</v>
      </c>
      <c r="Z1422" t="s">
        <v>3250</v>
      </c>
      <c r="AA1422" t="s">
        <v>3108</v>
      </c>
      <c r="AB1422" t="s">
        <v>3108</v>
      </c>
      <c r="AC1422" t="s">
        <v>3250</v>
      </c>
      <c r="AD1422" t="s">
        <v>3250</v>
      </c>
      <c r="AE1422" t="s">
        <v>3250</v>
      </c>
      <c r="AF1422" t="s">
        <v>3250</v>
      </c>
      <c r="AG1422" t="s">
        <v>3250</v>
      </c>
      <c r="AH1422" t="s">
        <v>3250</v>
      </c>
      <c r="AI1422" t="s">
        <v>3250</v>
      </c>
      <c r="AJ1422" t="s">
        <v>3250</v>
      </c>
      <c r="AL1422" t="s">
        <v>3250</v>
      </c>
      <c r="AM1422" t="s">
        <v>3250</v>
      </c>
      <c r="AN1422" t="s">
        <v>3250</v>
      </c>
      <c r="AO1422" t="s">
        <v>3250</v>
      </c>
      <c r="AS1422" t="s">
        <v>3250</v>
      </c>
      <c r="AT1422" t="s">
        <v>3250</v>
      </c>
      <c r="AU1422" t="s">
        <v>3250</v>
      </c>
      <c r="AV1422" t="s">
        <v>3250</v>
      </c>
      <c r="AW1422" t="s">
        <v>3250</v>
      </c>
      <c r="AX1422" t="s">
        <v>3250</v>
      </c>
      <c r="AY1422" t="s">
        <v>3250</v>
      </c>
      <c r="AZ1422" t="s">
        <v>3250</v>
      </c>
      <c r="BA1422" t="s">
        <v>3250</v>
      </c>
      <c r="BB1422" t="s">
        <v>3250</v>
      </c>
      <c r="BC1422" t="s">
        <v>3250</v>
      </c>
      <c r="BE1422" t="s">
        <v>3250</v>
      </c>
      <c r="BF1422" t="s">
        <v>3250</v>
      </c>
      <c r="BG1422" t="s">
        <v>3250</v>
      </c>
      <c r="BH1422" t="s">
        <v>3250</v>
      </c>
      <c r="BI1422" t="s">
        <v>3250</v>
      </c>
      <c r="BK1422" t="s">
        <v>3250</v>
      </c>
      <c r="BL1422" t="s">
        <v>3250</v>
      </c>
      <c r="BM1422" t="s">
        <v>3250</v>
      </c>
      <c r="BN1422" t="s">
        <v>3250</v>
      </c>
      <c r="BP1422">
        <v>5</v>
      </c>
      <c r="BQ1422">
        <v>51</v>
      </c>
      <c r="BR1422" t="s">
        <v>2406</v>
      </c>
      <c r="BS1422" t="s">
        <v>4136</v>
      </c>
      <c r="BV1422">
        <v>0</v>
      </c>
      <c r="BW1422">
        <v>54500</v>
      </c>
      <c r="BX1422">
        <v>0</v>
      </c>
      <c r="BY1422">
        <v>130000</v>
      </c>
      <c r="BZ1422">
        <v>160000</v>
      </c>
      <c r="CA1422">
        <v>160000</v>
      </c>
      <c r="CB1422">
        <v>166400</v>
      </c>
      <c r="CC1422">
        <v>173056</v>
      </c>
      <c r="CD1422">
        <v>0</v>
      </c>
      <c r="CE1422" t="s">
        <v>3108</v>
      </c>
      <c r="CF1422" t="s">
        <v>3108</v>
      </c>
      <c r="CG1422" t="s">
        <v>3108</v>
      </c>
      <c r="CH1422" t="s">
        <v>3108</v>
      </c>
    </row>
    <row r="1423" spans="1:86" x14ac:dyDescent="0.2">
      <c r="A1423" t="s">
        <v>5365</v>
      </c>
      <c r="B1423" t="s">
        <v>5365</v>
      </c>
      <c r="C1423">
        <v>54405</v>
      </c>
      <c r="D1423">
        <v>1537</v>
      </c>
      <c r="E1423" t="s">
        <v>4047</v>
      </c>
      <c r="F1423">
        <v>2600</v>
      </c>
      <c r="G1423" t="s">
        <v>1334</v>
      </c>
      <c r="H1423">
        <v>2600</v>
      </c>
      <c r="I1423" t="s">
        <v>1334</v>
      </c>
      <c r="J1423" t="s">
        <v>3250</v>
      </c>
      <c r="K1423" t="s">
        <v>3250</v>
      </c>
      <c r="L1423">
        <v>2100</v>
      </c>
      <c r="M1423" t="s">
        <v>123</v>
      </c>
      <c r="N1423">
        <v>2115</v>
      </c>
      <c r="O1423" t="s">
        <v>2406</v>
      </c>
      <c r="P1423" t="s">
        <v>3108</v>
      </c>
      <c r="Q1423" t="s">
        <v>3249</v>
      </c>
      <c r="R1423" t="s">
        <v>3249</v>
      </c>
      <c r="S1423" t="s">
        <v>810</v>
      </c>
      <c r="T1423" t="s">
        <v>2754</v>
      </c>
      <c r="U1423" t="s">
        <v>3250</v>
      </c>
      <c r="V1423" t="s">
        <v>3250</v>
      </c>
      <c r="W1423" t="s">
        <v>3250</v>
      </c>
      <c r="X1423" t="s">
        <v>3250</v>
      </c>
      <c r="Y1423" t="s">
        <v>3250</v>
      </c>
      <c r="Z1423" t="s">
        <v>3250</v>
      </c>
      <c r="AA1423" t="s">
        <v>3108</v>
      </c>
      <c r="AB1423" t="s">
        <v>3108</v>
      </c>
      <c r="AC1423" t="s">
        <v>3250</v>
      </c>
      <c r="AD1423" t="s">
        <v>3250</v>
      </c>
      <c r="AE1423" t="s">
        <v>3250</v>
      </c>
      <c r="AF1423" t="s">
        <v>3250</v>
      </c>
      <c r="AG1423" t="s">
        <v>3250</v>
      </c>
      <c r="AH1423" t="s">
        <v>3250</v>
      </c>
      <c r="AI1423" t="s">
        <v>3250</v>
      </c>
      <c r="AJ1423" t="s">
        <v>3250</v>
      </c>
      <c r="AL1423" t="s">
        <v>3250</v>
      </c>
      <c r="AM1423" t="s">
        <v>3250</v>
      </c>
      <c r="AN1423" t="s">
        <v>3250</v>
      </c>
      <c r="AO1423" t="s">
        <v>3250</v>
      </c>
      <c r="AS1423" t="s">
        <v>3250</v>
      </c>
      <c r="AT1423" t="s">
        <v>3250</v>
      </c>
      <c r="AU1423" t="s">
        <v>3250</v>
      </c>
      <c r="AV1423" t="s">
        <v>3250</v>
      </c>
      <c r="AW1423" t="s">
        <v>3250</v>
      </c>
      <c r="AX1423" t="s">
        <v>3250</v>
      </c>
      <c r="AY1423" t="s">
        <v>3250</v>
      </c>
      <c r="AZ1423" t="s">
        <v>3250</v>
      </c>
      <c r="BA1423" t="s">
        <v>3250</v>
      </c>
      <c r="BB1423" t="s">
        <v>3250</v>
      </c>
      <c r="BC1423" t="s">
        <v>3250</v>
      </c>
      <c r="BE1423" t="s">
        <v>3250</v>
      </c>
      <c r="BF1423" t="s">
        <v>3250</v>
      </c>
      <c r="BG1423" t="s">
        <v>3250</v>
      </c>
      <c r="BH1423" t="s">
        <v>3250</v>
      </c>
      <c r="BI1423" t="s">
        <v>3250</v>
      </c>
      <c r="BK1423" t="s">
        <v>3250</v>
      </c>
      <c r="BL1423" t="s">
        <v>3250</v>
      </c>
      <c r="BM1423" t="s">
        <v>3250</v>
      </c>
      <c r="BN1423" t="s">
        <v>3250</v>
      </c>
      <c r="BP1423">
        <v>5</v>
      </c>
      <c r="BQ1423">
        <v>51</v>
      </c>
      <c r="BR1423" t="s">
        <v>2406</v>
      </c>
      <c r="BS1423" t="s">
        <v>4136</v>
      </c>
      <c r="BV1423">
        <v>0</v>
      </c>
      <c r="BW1423">
        <v>0</v>
      </c>
      <c r="BX1423">
        <v>0</v>
      </c>
      <c r="BY1423">
        <v>0</v>
      </c>
      <c r="BZ1423">
        <v>0</v>
      </c>
      <c r="CA1423">
        <v>0</v>
      </c>
      <c r="CB1423">
        <v>0</v>
      </c>
      <c r="CC1423">
        <v>0</v>
      </c>
      <c r="CD1423">
        <v>0</v>
      </c>
      <c r="CE1423" t="s">
        <v>3108</v>
      </c>
      <c r="CF1423" t="s">
        <v>3108</v>
      </c>
      <c r="CG1423" t="s">
        <v>3108</v>
      </c>
      <c r="CH1423" t="s">
        <v>3108</v>
      </c>
    </row>
    <row r="1424" spans="1:86" x14ac:dyDescent="0.2">
      <c r="A1424" t="s">
        <v>5366</v>
      </c>
      <c r="B1424" t="s">
        <v>5366</v>
      </c>
      <c r="C1424">
        <v>54406</v>
      </c>
      <c r="D1424">
        <v>1538</v>
      </c>
      <c r="E1424" t="s">
        <v>4006</v>
      </c>
      <c r="F1424">
        <v>2700</v>
      </c>
      <c r="G1424" t="s">
        <v>411</v>
      </c>
      <c r="H1424" t="s">
        <v>4004</v>
      </c>
      <c r="I1424" t="s">
        <v>2531</v>
      </c>
      <c r="J1424">
        <v>2701</v>
      </c>
      <c r="K1424" t="s">
        <v>2531</v>
      </c>
      <c r="L1424">
        <v>2100</v>
      </c>
      <c r="M1424" t="s">
        <v>123</v>
      </c>
      <c r="N1424">
        <v>2115</v>
      </c>
      <c r="O1424" t="s">
        <v>2406</v>
      </c>
      <c r="P1424" t="s">
        <v>3108</v>
      </c>
      <c r="Q1424" t="s">
        <v>3249</v>
      </c>
      <c r="R1424" t="s">
        <v>3249</v>
      </c>
      <c r="S1424" t="s">
        <v>810</v>
      </c>
      <c r="T1424" t="s">
        <v>2754</v>
      </c>
      <c r="U1424" t="s">
        <v>3250</v>
      </c>
      <c r="V1424" t="s">
        <v>3250</v>
      </c>
      <c r="W1424" t="s">
        <v>3250</v>
      </c>
      <c r="X1424" t="s">
        <v>3250</v>
      </c>
      <c r="Y1424" t="s">
        <v>3250</v>
      </c>
      <c r="Z1424" t="s">
        <v>3250</v>
      </c>
      <c r="AA1424" t="s">
        <v>3108</v>
      </c>
      <c r="AB1424" t="s">
        <v>3108</v>
      </c>
      <c r="AC1424" t="s">
        <v>3250</v>
      </c>
      <c r="AD1424" t="s">
        <v>3250</v>
      </c>
      <c r="AE1424" t="s">
        <v>3250</v>
      </c>
      <c r="AF1424" t="s">
        <v>3250</v>
      </c>
      <c r="AG1424" t="s">
        <v>3250</v>
      </c>
      <c r="AH1424" t="s">
        <v>3250</v>
      </c>
      <c r="AI1424" t="s">
        <v>3250</v>
      </c>
      <c r="AJ1424" t="s">
        <v>3250</v>
      </c>
      <c r="AL1424" t="s">
        <v>3250</v>
      </c>
      <c r="AM1424" t="s">
        <v>3250</v>
      </c>
      <c r="AN1424" t="s">
        <v>3250</v>
      </c>
      <c r="AO1424" t="s">
        <v>3250</v>
      </c>
      <c r="AS1424" t="s">
        <v>3250</v>
      </c>
      <c r="AT1424" t="s">
        <v>3250</v>
      </c>
      <c r="AU1424" t="s">
        <v>3250</v>
      </c>
      <c r="AV1424" t="s">
        <v>3250</v>
      </c>
      <c r="AW1424" t="s">
        <v>3250</v>
      </c>
      <c r="AX1424" t="s">
        <v>3250</v>
      </c>
      <c r="AY1424" t="s">
        <v>3250</v>
      </c>
      <c r="AZ1424" t="s">
        <v>3250</v>
      </c>
      <c r="BA1424" t="s">
        <v>3250</v>
      </c>
      <c r="BB1424" t="s">
        <v>3250</v>
      </c>
      <c r="BC1424" t="s">
        <v>3250</v>
      </c>
      <c r="BE1424" t="s">
        <v>3250</v>
      </c>
      <c r="BF1424" t="s">
        <v>3250</v>
      </c>
      <c r="BG1424" t="s">
        <v>3250</v>
      </c>
      <c r="BH1424" t="s">
        <v>3250</v>
      </c>
      <c r="BI1424" t="s">
        <v>3250</v>
      </c>
      <c r="BK1424" t="s">
        <v>3250</v>
      </c>
      <c r="BL1424" t="s">
        <v>3250</v>
      </c>
      <c r="BM1424" t="s">
        <v>3250</v>
      </c>
      <c r="BN1424" t="s">
        <v>3250</v>
      </c>
      <c r="BP1424">
        <v>5</v>
      </c>
      <c r="BQ1424">
        <v>51</v>
      </c>
      <c r="BR1424" t="s">
        <v>2406</v>
      </c>
      <c r="BS1424" t="s">
        <v>4136</v>
      </c>
      <c r="BV1424">
        <v>0</v>
      </c>
      <c r="BW1424">
        <v>0</v>
      </c>
      <c r="BX1424">
        <v>0</v>
      </c>
      <c r="BY1424">
        <v>100000</v>
      </c>
      <c r="BZ1424">
        <v>200000</v>
      </c>
      <c r="CA1424">
        <v>60000</v>
      </c>
      <c r="CB1424">
        <v>62400</v>
      </c>
      <c r="CC1424">
        <v>64896</v>
      </c>
      <c r="CD1424">
        <v>0</v>
      </c>
      <c r="CE1424" t="s">
        <v>3108</v>
      </c>
      <c r="CF1424" t="s">
        <v>3108</v>
      </c>
      <c r="CG1424" t="s">
        <v>3108</v>
      </c>
      <c r="CH1424" t="s">
        <v>3108</v>
      </c>
    </row>
    <row r="1425" spans="1:86" x14ac:dyDescent="0.2">
      <c r="A1425" t="s">
        <v>5367</v>
      </c>
      <c r="B1425" t="s">
        <v>5367</v>
      </c>
      <c r="C1425">
        <v>54407</v>
      </c>
      <c r="D1425">
        <v>1539</v>
      </c>
      <c r="E1425" t="s">
        <v>4010</v>
      </c>
      <c r="F1425">
        <v>2900</v>
      </c>
      <c r="G1425" t="s">
        <v>822</v>
      </c>
      <c r="H1425" t="s">
        <v>3108</v>
      </c>
      <c r="I1425" t="s">
        <v>3108</v>
      </c>
      <c r="J1425">
        <v>2904</v>
      </c>
      <c r="K1425" t="s">
        <v>1690</v>
      </c>
      <c r="L1425">
        <v>2100</v>
      </c>
      <c r="M1425" t="s">
        <v>123</v>
      </c>
      <c r="N1425">
        <v>2118</v>
      </c>
      <c r="O1425" t="s">
        <v>2409</v>
      </c>
      <c r="P1425" t="s">
        <v>3108</v>
      </c>
      <c r="Q1425" t="s">
        <v>3249</v>
      </c>
      <c r="R1425" t="s">
        <v>3249</v>
      </c>
      <c r="S1425" t="s">
        <v>810</v>
      </c>
      <c r="T1425" t="s">
        <v>2754</v>
      </c>
      <c r="U1425" t="s">
        <v>3250</v>
      </c>
      <c r="V1425" t="s">
        <v>3250</v>
      </c>
      <c r="W1425" t="s">
        <v>3250</v>
      </c>
      <c r="X1425" t="s">
        <v>3250</v>
      </c>
      <c r="Y1425" t="s">
        <v>3250</v>
      </c>
      <c r="Z1425" t="s">
        <v>3250</v>
      </c>
      <c r="AA1425" t="s">
        <v>3108</v>
      </c>
      <c r="AB1425" t="s">
        <v>3108</v>
      </c>
      <c r="AC1425" t="s">
        <v>3250</v>
      </c>
      <c r="AD1425" t="s">
        <v>3250</v>
      </c>
      <c r="AE1425" t="s">
        <v>3250</v>
      </c>
      <c r="AF1425" t="s">
        <v>3250</v>
      </c>
      <c r="AG1425" t="s">
        <v>3250</v>
      </c>
      <c r="AH1425" t="s">
        <v>3250</v>
      </c>
      <c r="AI1425" t="s">
        <v>3250</v>
      </c>
      <c r="AJ1425" t="s">
        <v>3250</v>
      </c>
      <c r="AL1425" t="s">
        <v>3250</v>
      </c>
      <c r="AM1425" t="s">
        <v>3250</v>
      </c>
      <c r="AN1425" t="s">
        <v>3250</v>
      </c>
      <c r="AO1425" t="s">
        <v>3250</v>
      </c>
      <c r="AS1425" t="s">
        <v>3250</v>
      </c>
      <c r="AT1425" t="s">
        <v>3250</v>
      </c>
      <c r="AU1425" t="s">
        <v>3250</v>
      </c>
      <c r="AV1425" t="s">
        <v>3250</v>
      </c>
      <c r="AW1425" t="s">
        <v>3250</v>
      </c>
      <c r="AX1425" t="s">
        <v>3250</v>
      </c>
      <c r="AY1425" t="s">
        <v>3250</v>
      </c>
      <c r="AZ1425" t="s">
        <v>3250</v>
      </c>
      <c r="BA1425" t="s">
        <v>3250</v>
      </c>
      <c r="BB1425" t="s">
        <v>3250</v>
      </c>
      <c r="BC1425" t="s">
        <v>3250</v>
      </c>
      <c r="BE1425" t="s">
        <v>3250</v>
      </c>
      <c r="BF1425" t="s">
        <v>3250</v>
      </c>
      <c r="BG1425" t="s">
        <v>3250</v>
      </c>
      <c r="BH1425" t="s">
        <v>3250</v>
      </c>
      <c r="BI1425" t="s">
        <v>3250</v>
      </c>
      <c r="BK1425" t="s">
        <v>3250</v>
      </c>
      <c r="BL1425" t="s">
        <v>3250</v>
      </c>
      <c r="BM1425" t="s">
        <v>3250</v>
      </c>
      <c r="BN1425" t="s">
        <v>3250</v>
      </c>
      <c r="BP1425">
        <v>4</v>
      </c>
      <c r="BQ1425">
        <v>43</v>
      </c>
      <c r="BR1425" t="s">
        <v>2409</v>
      </c>
      <c r="BS1425" t="s">
        <v>4024</v>
      </c>
      <c r="BV1425">
        <v>78208</v>
      </c>
      <c r="BW1425">
        <v>3450</v>
      </c>
      <c r="BX1425">
        <v>0</v>
      </c>
      <c r="BY1425">
        <v>10000</v>
      </c>
      <c r="BZ1425">
        <v>0</v>
      </c>
      <c r="CA1425">
        <v>40000</v>
      </c>
      <c r="CB1425">
        <v>41600</v>
      </c>
      <c r="CC1425">
        <v>43264</v>
      </c>
      <c r="CD1425">
        <v>0</v>
      </c>
      <c r="CE1425" t="s">
        <v>3108</v>
      </c>
      <c r="CF1425" t="s">
        <v>3108</v>
      </c>
      <c r="CG1425" t="s">
        <v>3108</v>
      </c>
      <c r="CH1425" t="s">
        <v>3108</v>
      </c>
    </row>
    <row r="1426" spans="1:86" x14ac:dyDescent="0.2">
      <c r="A1426" t="s">
        <v>5368</v>
      </c>
      <c r="B1426" t="s">
        <v>5368</v>
      </c>
      <c r="C1426">
        <v>54408</v>
      </c>
      <c r="D1426">
        <v>1540</v>
      </c>
      <c r="E1426" t="s">
        <v>4326</v>
      </c>
      <c r="F1426">
        <v>2700</v>
      </c>
      <c r="G1426" t="s">
        <v>411</v>
      </c>
      <c r="H1426" t="s">
        <v>4004</v>
      </c>
      <c r="I1426" t="s">
        <v>2531</v>
      </c>
      <c r="J1426">
        <v>2701</v>
      </c>
      <c r="K1426" t="s">
        <v>2531</v>
      </c>
      <c r="L1426">
        <v>2100</v>
      </c>
      <c r="M1426" t="s">
        <v>123</v>
      </c>
      <c r="N1426">
        <v>2108</v>
      </c>
      <c r="O1426" t="s">
        <v>2401</v>
      </c>
      <c r="P1426" t="s">
        <v>3108</v>
      </c>
      <c r="Q1426" t="s">
        <v>3249</v>
      </c>
      <c r="R1426" t="s">
        <v>3249</v>
      </c>
      <c r="S1426" t="s">
        <v>810</v>
      </c>
      <c r="T1426" t="s">
        <v>2754</v>
      </c>
      <c r="U1426" t="s">
        <v>3250</v>
      </c>
      <c r="V1426" t="s">
        <v>3250</v>
      </c>
      <c r="W1426" t="s">
        <v>3250</v>
      </c>
      <c r="X1426" t="s">
        <v>3250</v>
      </c>
      <c r="Y1426" t="s">
        <v>3250</v>
      </c>
      <c r="Z1426" t="s">
        <v>3250</v>
      </c>
      <c r="AA1426" t="s">
        <v>3108</v>
      </c>
      <c r="AB1426" t="s">
        <v>3108</v>
      </c>
      <c r="AC1426" t="s">
        <v>3250</v>
      </c>
      <c r="AD1426" t="s">
        <v>3250</v>
      </c>
      <c r="AE1426" t="s">
        <v>3250</v>
      </c>
      <c r="AF1426" t="s">
        <v>3250</v>
      </c>
      <c r="AG1426" t="s">
        <v>3250</v>
      </c>
      <c r="AH1426" t="s">
        <v>3250</v>
      </c>
      <c r="AI1426" t="s">
        <v>3250</v>
      </c>
      <c r="AJ1426" t="s">
        <v>3250</v>
      </c>
      <c r="AL1426" t="s">
        <v>3250</v>
      </c>
      <c r="AM1426" t="s">
        <v>3250</v>
      </c>
      <c r="AN1426" t="s">
        <v>3250</v>
      </c>
      <c r="AO1426" t="s">
        <v>3250</v>
      </c>
      <c r="AS1426" t="s">
        <v>3250</v>
      </c>
      <c r="AT1426" t="s">
        <v>3250</v>
      </c>
      <c r="AU1426" t="s">
        <v>3250</v>
      </c>
      <c r="AV1426" t="s">
        <v>3250</v>
      </c>
      <c r="AW1426" t="s">
        <v>3250</v>
      </c>
      <c r="AX1426" t="s">
        <v>3250</v>
      </c>
      <c r="AY1426" t="s">
        <v>3250</v>
      </c>
      <c r="AZ1426" t="s">
        <v>3250</v>
      </c>
      <c r="BA1426" t="s">
        <v>3250</v>
      </c>
      <c r="BB1426" t="s">
        <v>3250</v>
      </c>
      <c r="BC1426" t="s">
        <v>3250</v>
      </c>
      <c r="BE1426" t="s">
        <v>3250</v>
      </c>
      <c r="BF1426" t="s">
        <v>3250</v>
      </c>
      <c r="BG1426" t="s">
        <v>3250</v>
      </c>
      <c r="BH1426" t="s">
        <v>3250</v>
      </c>
      <c r="BI1426" t="s">
        <v>3250</v>
      </c>
      <c r="BK1426" t="s">
        <v>3250</v>
      </c>
      <c r="BL1426" t="s">
        <v>3250</v>
      </c>
      <c r="BM1426" t="s">
        <v>3250</v>
      </c>
      <c r="BN1426" t="s">
        <v>3250</v>
      </c>
      <c r="BP1426">
        <v>4</v>
      </c>
      <c r="BQ1426">
        <v>44</v>
      </c>
      <c r="BR1426" t="s">
        <v>2401</v>
      </c>
      <c r="BS1426" t="s">
        <v>4024</v>
      </c>
      <c r="BV1426">
        <v>0</v>
      </c>
      <c r="BW1426">
        <v>0</v>
      </c>
      <c r="BX1426">
        <v>0</v>
      </c>
      <c r="BY1426">
        <v>20000</v>
      </c>
      <c r="BZ1426">
        <v>20000</v>
      </c>
      <c r="CA1426">
        <v>70000</v>
      </c>
      <c r="CB1426">
        <v>72800</v>
      </c>
      <c r="CC1426">
        <v>75712</v>
      </c>
      <c r="CD1426">
        <v>25000</v>
      </c>
      <c r="CE1426" t="s">
        <v>3108</v>
      </c>
      <c r="CF1426" t="s">
        <v>3108</v>
      </c>
      <c r="CG1426" t="s">
        <v>3108</v>
      </c>
      <c r="CH1426" t="s">
        <v>3108</v>
      </c>
    </row>
    <row r="1427" spans="1:86" x14ac:dyDescent="0.2">
      <c r="A1427" t="s">
        <v>5369</v>
      </c>
      <c r="B1427" t="s">
        <v>5369</v>
      </c>
      <c r="C1427">
        <v>54409</v>
      </c>
      <c r="D1427">
        <v>1541</v>
      </c>
      <c r="E1427" t="s">
        <v>4006</v>
      </c>
      <c r="F1427">
        <v>2700</v>
      </c>
      <c r="G1427" t="s">
        <v>411</v>
      </c>
      <c r="H1427" t="s">
        <v>4004</v>
      </c>
      <c r="I1427" t="s">
        <v>2531</v>
      </c>
      <c r="J1427">
        <v>2701</v>
      </c>
      <c r="K1427" t="s">
        <v>2531</v>
      </c>
      <c r="L1427">
        <v>2100</v>
      </c>
      <c r="M1427" t="s">
        <v>123</v>
      </c>
      <c r="N1427">
        <v>2108</v>
      </c>
      <c r="O1427" t="s">
        <v>2401</v>
      </c>
      <c r="P1427" t="s">
        <v>3108</v>
      </c>
      <c r="Q1427" t="s">
        <v>3249</v>
      </c>
      <c r="R1427" t="s">
        <v>3249</v>
      </c>
      <c r="S1427" t="s">
        <v>810</v>
      </c>
      <c r="T1427" t="s">
        <v>2754</v>
      </c>
      <c r="U1427" t="s">
        <v>3250</v>
      </c>
      <c r="V1427" t="s">
        <v>3250</v>
      </c>
      <c r="W1427" t="s">
        <v>3250</v>
      </c>
      <c r="X1427" t="s">
        <v>3250</v>
      </c>
      <c r="Y1427" t="s">
        <v>3250</v>
      </c>
      <c r="Z1427" t="s">
        <v>3250</v>
      </c>
      <c r="AA1427" t="s">
        <v>3108</v>
      </c>
      <c r="AB1427" t="s">
        <v>3108</v>
      </c>
      <c r="AC1427" t="s">
        <v>3250</v>
      </c>
      <c r="AD1427" t="s">
        <v>3250</v>
      </c>
      <c r="AE1427" t="s">
        <v>3250</v>
      </c>
      <c r="AF1427" t="s">
        <v>3250</v>
      </c>
      <c r="AG1427" t="s">
        <v>3250</v>
      </c>
      <c r="AH1427" t="s">
        <v>3250</v>
      </c>
      <c r="AI1427" t="s">
        <v>3250</v>
      </c>
      <c r="AJ1427" t="s">
        <v>3250</v>
      </c>
      <c r="AL1427" t="s">
        <v>3250</v>
      </c>
      <c r="AM1427" t="s">
        <v>3250</v>
      </c>
      <c r="AN1427" t="s">
        <v>3250</v>
      </c>
      <c r="AO1427" t="s">
        <v>3250</v>
      </c>
      <c r="AS1427" t="s">
        <v>3250</v>
      </c>
      <c r="AT1427" t="s">
        <v>3250</v>
      </c>
      <c r="AU1427" t="s">
        <v>3250</v>
      </c>
      <c r="AV1427" t="s">
        <v>3250</v>
      </c>
      <c r="AW1427" t="s">
        <v>3250</v>
      </c>
      <c r="AX1427" t="s">
        <v>3250</v>
      </c>
      <c r="AY1427" t="s">
        <v>3250</v>
      </c>
      <c r="AZ1427" t="s">
        <v>3250</v>
      </c>
      <c r="BA1427" t="s">
        <v>3250</v>
      </c>
      <c r="BB1427" t="s">
        <v>3250</v>
      </c>
      <c r="BC1427" t="s">
        <v>3250</v>
      </c>
      <c r="BE1427" t="s">
        <v>3250</v>
      </c>
      <c r="BF1427" t="s">
        <v>3250</v>
      </c>
      <c r="BG1427" t="s">
        <v>3250</v>
      </c>
      <c r="BH1427" t="s">
        <v>3250</v>
      </c>
      <c r="BI1427" t="s">
        <v>3250</v>
      </c>
      <c r="BK1427" t="s">
        <v>3250</v>
      </c>
      <c r="BL1427" t="s">
        <v>3250</v>
      </c>
      <c r="BM1427" t="s">
        <v>3250</v>
      </c>
      <c r="BN1427" t="s">
        <v>3250</v>
      </c>
      <c r="BP1427">
        <v>4</v>
      </c>
      <c r="BQ1427">
        <v>44</v>
      </c>
      <c r="BR1427" t="s">
        <v>2401</v>
      </c>
      <c r="BS1427" t="s">
        <v>4024</v>
      </c>
      <c r="BV1427">
        <v>7840</v>
      </c>
      <c r="BW1427">
        <v>0</v>
      </c>
      <c r="BX1427">
        <v>0</v>
      </c>
      <c r="BY1427">
        <v>20000</v>
      </c>
      <c r="BZ1427">
        <v>20000</v>
      </c>
      <c r="CA1427">
        <v>30000</v>
      </c>
      <c r="CB1427">
        <v>31200</v>
      </c>
      <c r="CC1427">
        <v>32448</v>
      </c>
      <c r="CD1427">
        <v>14257</v>
      </c>
      <c r="CE1427" t="s">
        <v>3108</v>
      </c>
      <c r="CF1427" t="s">
        <v>3108</v>
      </c>
      <c r="CG1427" t="s">
        <v>3108</v>
      </c>
      <c r="CH1427" t="s">
        <v>3108</v>
      </c>
    </row>
    <row r="1428" spans="1:86" x14ac:dyDescent="0.2">
      <c r="A1428" t="s">
        <v>5370</v>
      </c>
      <c r="B1428" t="s">
        <v>5370</v>
      </c>
      <c r="C1428">
        <v>54410</v>
      </c>
      <c r="D1428">
        <v>1542</v>
      </c>
      <c r="E1428" t="s">
        <v>4003</v>
      </c>
      <c r="F1428">
        <v>2700</v>
      </c>
      <c r="G1428" t="s">
        <v>411</v>
      </c>
      <c r="H1428" t="s">
        <v>4004</v>
      </c>
      <c r="I1428" t="s">
        <v>2531</v>
      </c>
      <c r="J1428">
        <v>2701</v>
      </c>
      <c r="K1428" t="s">
        <v>2531</v>
      </c>
      <c r="L1428">
        <v>2100</v>
      </c>
      <c r="M1428" t="s">
        <v>123</v>
      </c>
      <c r="N1428">
        <v>2108</v>
      </c>
      <c r="O1428" t="s">
        <v>2401</v>
      </c>
      <c r="P1428" t="s">
        <v>3108</v>
      </c>
      <c r="Q1428" t="s">
        <v>3249</v>
      </c>
      <c r="R1428" t="s">
        <v>3249</v>
      </c>
      <c r="S1428" t="s">
        <v>810</v>
      </c>
      <c r="T1428" t="s">
        <v>2754</v>
      </c>
      <c r="U1428" t="s">
        <v>3250</v>
      </c>
      <c r="V1428" t="s">
        <v>3250</v>
      </c>
      <c r="W1428" t="s">
        <v>3250</v>
      </c>
      <c r="X1428" t="s">
        <v>3250</v>
      </c>
      <c r="Y1428" t="s">
        <v>3250</v>
      </c>
      <c r="Z1428" t="s">
        <v>3250</v>
      </c>
      <c r="AA1428" t="s">
        <v>3108</v>
      </c>
      <c r="AB1428" t="s">
        <v>3108</v>
      </c>
      <c r="AC1428" t="s">
        <v>3250</v>
      </c>
      <c r="AD1428" t="s">
        <v>3250</v>
      </c>
      <c r="AE1428" t="s">
        <v>3250</v>
      </c>
      <c r="AF1428" t="s">
        <v>3250</v>
      </c>
      <c r="AG1428" t="s">
        <v>3250</v>
      </c>
      <c r="AH1428" t="s">
        <v>3250</v>
      </c>
      <c r="AI1428" t="s">
        <v>3250</v>
      </c>
      <c r="AJ1428" t="s">
        <v>3250</v>
      </c>
      <c r="AL1428" t="s">
        <v>3250</v>
      </c>
      <c r="AM1428" t="s">
        <v>3250</v>
      </c>
      <c r="AN1428" t="s">
        <v>3250</v>
      </c>
      <c r="AO1428" t="s">
        <v>3250</v>
      </c>
      <c r="AS1428" t="s">
        <v>3250</v>
      </c>
      <c r="AT1428" t="s">
        <v>3250</v>
      </c>
      <c r="AU1428" t="s">
        <v>3250</v>
      </c>
      <c r="AV1428" t="s">
        <v>3250</v>
      </c>
      <c r="AW1428" t="s">
        <v>3250</v>
      </c>
      <c r="AX1428" t="s">
        <v>3250</v>
      </c>
      <c r="AY1428" t="s">
        <v>3250</v>
      </c>
      <c r="AZ1428" t="s">
        <v>3250</v>
      </c>
      <c r="BA1428" t="s">
        <v>3250</v>
      </c>
      <c r="BB1428" t="s">
        <v>3250</v>
      </c>
      <c r="BC1428" t="s">
        <v>3250</v>
      </c>
      <c r="BE1428" t="s">
        <v>3250</v>
      </c>
      <c r="BF1428" t="s">
        <v>3250</v>
      </c>
      <c r="BG1428" t="s">
        <v>3250</v>
      </c>
      <c r="BH1428" t="s">
        <v>3250</v>
      </c>
      <c r="BI1428" t="s">
        <v>3250</v>
      </c>
      <c r="BK1428" t="s">
        <v>3250</v>
      </c>
      <c r="BL1428" t="s">
        <v>3250</v>
      </c>
      <c r="BM1428" t="s">
        <v>3250</v>
      </c>
      <c r="BN1428" t="s">
        <v>3250</v>
      </c>
      <c r="BP1428">
        <v>4</v>
      </c>
      <c r="BQ1428">
        <v>44</v>
      </c>
      <c r="BR1428" t="s">
        <v>2401</v>
      </c>
      <c r="BS1428" t="s">
        <v>4024</v>
      </c>
      <c r="BV1428">
        <v>0</v>
      </c>
      <c r="BW1428">
        <v>27000</v>
      </c>
      <c r="BX1428">
        <v>0</v>
      </c>
      <c r="BY1428">
        <v>28000</v>
      </c>
      <c r="BZ1428">
        <v>28000</v>
      </c>
      <c r="CA1428">
        <v>28000</v>
      </c>
      <c r="CB1428">
        <v>29120</v>
      </c>
      <c r="CC1428">
        <v>30285</v>
      </c>
      <c r="CD1428">
        <v>8000</v>
      </c>
      <c r="CE1428" t="s">
        <v>3108</v>
      </c>
      <c r="CF1428" t="s">
        <v>3108</v>
      </c>
      <c r="CG1428" t="s">
        <v>3108</v>
      </c>
      <c r="CH1428" t="s">
        <v>3108</v>
      </c>
    </row>
    <row r="1429" spans="1:86" x14ac:dyDescent="0.2">
      <c r="A1429" t="s">
        <v>5371</v>
      </c>
      <c r="B1429" t="s">
        <v>5371</v>
      </c>
      <c r="C1429">
        <v>54411</v>
      </c>
      <c r="D1429">
        <v>1543</v>
      </c>
      <c r="E1429" t="s">
        <v>4015</v>
      </c>
      <c r="F1429">
        <v>2900</v>
      </c>
      <c r="G1429" t="s">
        <v>822</v>
      </c>
      <c r="H1429" t="s">
        <v>3108</v>
      </c>
      <c r="I1429" t="s">
        <v>3108</v>
      </c>
      <c r="J1429">
        <v>2904</v>
      </c>
      <c r="K1429" t="s">
        <v>1690</v>
      </c>
      <c r="L1429">
        <v>2100</v>
      </c>
      <c r="M1429" t="s">
        <v>123</v>
      </c>
      <c r="N1429">
        <v>2108</v>
      </c>
      <c r="O1429" t="s">
        <v>2401</v>
      </c>
      <c r="P1429" t="s">
        <v>3108</v>
      </c>
      <c r="Q1429" t="s">
        <v>3249</v>
      </c>
      <c r="R1429" t="s">
        <v>3249</v>
      </c>
      <c r="S1429" t="s">
        <v>810</v>
      </c>
      <c r="T1429" t="s">
        <v>2754</v>
      </c>
      <c r="U1429" t="s">
        <v>3250</v>
      </c>
      <c r="V1429" t="s">
        <v>3250</v>
      </c>
      <c r="W1429" t="s">
        <v>3250</v>
      </c>
      <c r="X1429" t="s">
        <v>3250</v>
      </c>
      <c r="Y1429" t="s">
        <v>3250</v>
      </c>
      <c r="Z1429" t="s">
        <v>3250</v>
      </c>
      <c r="AA1429" t="s">
        <v>3108</v>
      </c>
      <c r="AB1429" t="s">
        <v>3108</v>
      </c>
      <c r="AC1429" t="s">
        <v>3250</v>
      </c>
      <c r="AD1429" t="s">
        <v>3250</v>
      </c>
      <c r="AE1429" t="s">
        <v>3250</v>
      </c>
      <c r="AF1429" t="s">
        <v>3250</v>
      </c>
      <c r="AG1429" t="s">
        <v>3250</v>
      </c>
      <c r="AH1429" t="s">
        <v>3250</v>
      </c>
      <c r="AI1429" t="s">
        <v>3250</v>
      </c>
      <c r="AJ1429" t="s">
        <v>3250</v>
      </c>
      <c r="AL1429" t="s">
        <v>3250</v>
      </c>
      <c r="AM1429" t="s">
        <v>3250</v>
      </c>
      <c r="AN1429" t="s">
        <v>3250</v>
      </c>
      <c r="AO1429" t="s">
        <v>3250</v>
      </c>
      <c r="AS1429" t="s">
        <v>3250</v>
      </c>
      <c r="AT1429" t="s">
        <v>3250</v>
      </c>
      <c r="AU1429" t="s">
        <v>3250</v>
      </c>
      <c r="AV1429" t="s">
        <v>3250</v>
      </c>
      <c r="AW1429" t="s">
        <v>3250</v>
      </c>
      <c r="AX1429" t="s">
        <v>3250</v>
      </c>
      <c r="AY1429" t="s">
        <v>3250</v>
      </c>
      <c r="AZ1429" t="s">
        <v>3250</v>
      </c>
      <c r="BA1429" t="s">
        <v>3250</v>
      </c>
      <c r="BB1429" t="s">
        <v>3250</v>
      </c>
      <c r="BC1429" t="s">
        <v>3250</v>
      </c>
      <c r="BE1429" t="s">
        <v>3250</v>
      </c>
      <c r="BF1429" t="s">
        <v>3250</v>
      </c>
      <c r="BG1429" t="s">
        <v>3250</v>
      </c>
      <c r="BH1429" t="s">
        <v>3250</v>
      </c>
      <c r="BI1429" t="s">
        <v>3250</v>
      </c>
      <c r="BK1429" t="s">
        <v>3250</v>
      </c>
      <c r="BL1429" t="s">
        <v>3250</v>
      </c>
      <c r="BM1429" t="s">
        <v>3250</v>
      </c>
      <c r="BN1429" t="s">
        <v>3250</v>
      </c>
      <c r="BP1429">
        <v>4</v>
      </c>
      <c r="BQ1429">
        <v>44</v>
      </c>
      <c r="BR1429" t="s">
        <v>2401</v>
      </c>
      <c r="BS1429" t="s">
        <v>4024</v>
      </c>
      <c r="BV1429">
        <v>0</v>
      </c>
      <c r="BW1429">
        <v>0</v>
      </c>
      <c r="BX1429">
        <v>0</v>
      </c>
      <c r="BY1429">
        <v>2000</v>
      </c>
      <c r="BZ1429">
        <v>0</v>
      </c>
      <c r="CA1429">
        <v>3000</v>
      </c>
      <c r="CB1429">
        <v>3120</v>
      </c>
      <c r="CC1429">
        <v>3245</v>
      </c>
      <c r="CD1429">
        <v>0</v>
      </c>
      <c r="CE1429" t="s">
        <v>3108</v>
      </c>
      <c r="CF1429" t="s">
        <v>3108</v>
      </c>
      <c r="CG1429" t="s">
        <v>3108</v>
      </c>
      <c r="CH1429" t="s">
        <v>3108</v>
      </c>
    </row>
    <row r="1430" spans="1:86" x14ac:dyDescent="0.2">
      <c r="A1430" t="s">
        <v>5372</v>
      </c>
      <c r="B1430" t="s">
        <v>5372</v>
      </c>
      <c r="C1430">
        <v>54412</v>
      </c>
      <c r="D1430">
        <v>1544</v>
      </c>
      <c r="E1430" t="s">
        <v>4326</v>
      </c>
      <c r="F1430">
        <v>2700</v>
      </c>
      <c r="G1430" t="s">
        <v>411</v>
      </c>
      <c r="H1430" t="s">
        <v>4004</v>
      </c>
      <c r="I1430" t="s">
        <v>2531</v>
      </c>
      <c r="J1430">
        <v>2701</v>
      </c>
      <c r="K1430" t="s">
        <v>2531</v>
      </c>
      <c r="L1430">
        <v>3100</v>
      </c>
      <c r="M1430" t="s">
        <v>127</v>
      </c>
      <c r="N1430">
        <v>3105</v>
      </c>
      <c r="O1430" t="s">
        <v>2416</v>
      </c>
      <c r="P1430" t="s">
        <v>3108</v>
      </c>
      <c r="Q1430" t="s">
        <v>3249</v>
      </c>
      <c r="R1430" t="s">
        <v>3249</v>
      </c>
      <c r="S1430" t="s">
        <v>810</v>
      </c>
      <c r="T1430" t="s">
        <v>2754</v>
      </c>
      <c r="U1430" t="s">
        <v>3250</v>
      </c>
      <c r="V1430" t="s">
        <v>3250</v>
      </c>
      <c r="W1430" t="s">
        <v>3250</v>
      </c>
      <c r="X1430" t="s">
        <v>3250</v>
      </c>
      <c r="Y1430" t="s">
        <v>3250</v>
      </c>
      <c r="Z1430" t="s">
        <v>3250</v>
      </c>
      <c r="AA1430" t="s">
        <v>3108</v>
      </c>
      <c r="AB1430" t="s">
        <v>3108</v>
      </c>
      <c r="AC1430" t="s">
        <v>3250</v>
      </c>
      <c r="AD1430" t="s">
        <v>3250</v>
      </c>
      <c r="AE1430" t="s">
        <v>3250</v>
      </c>
      <c r="AF1430" t="s">
        <v>3250</v>
      </c>
      <c r="AG1430" t="s">
        <v>3250</v>
      </c>
      <c r="AH1430" t="s">
        <v>3250</v>
      </c>
      <c r="AI1430" t="s">
        <v>3250</v>
      </c>
      <c r="AJ1430" t="s">
        <v>3250</v>
      </c>
      <c r="AL1430" t="s">
        <v>3250</v>
      </c>
      <c r="AM1430" t="s">
        <v>3250</v>
      </c>
      <c r="AN1430" t="s">
        <v>3250</v>
      </c>
      <c r="AO1430" t="s">
        <v>3250</v>
      </c>
      <c r="AS1430" t="s">
        <v>3250</v>
      </c>
      <c r="AT1430" t="s">
        <v>3250</v>
      </c>
      <c r="AU1430" t="s">
        <v>3250</v>
      </c>
      <c r="AV1430" t="s">
        <v>3250</v>
      </c>
      <c r="AW1430" t="s">
        <v>3250</v>
      </c>
      <c r="AX1430" t="s">
        <v>3250</v>
      </c>
      <c r="AY1430" t="s">
        <v>3250</v>
      </c>
      <c r="AZ1430" t="s">
        <v>3250</v>
      </c>
      <c r="BA1430" t="s">
        <v>3250</v>
      </c>
      <c r="BB1430" t="s">
        <v>3250</v>
      </c>
      <c r="BC1430" t="s">
        <v>3250</v>
      </c>
      <c r="BE1430" t="s">
        <v>3250</v>
      </c>
      <c r="BF1430" t="s">
        <v>3250</v>
      </c>
      <c r="BG1430" t="s">
        <v>3250</v>
      </c>
      <c r="BH1430" t="s">
        <v>3250</v>
      </c>
      <c r="BI1430" t="s">
        <v>3250</v>
      </c>
      <c r="BK1430" t="s">
        <v>3250</v>
      </c>
      <c r="BL1430" t="s">
        <v>3250</v>
      </c>
      <c r="BM1430" t="s">
        <v>3250</v>
      </c>
      <c r="BN1430" t="s">
        <v>3250</v>
      </c>
      <c r="BP1430">
        <v>8</v>
      </c>
      <c r="BQ1430">
        <v>83</v>
      </c>
      <c r="BR1430" t="s">
        <v>2416</v>
      </c>
      <c r="BS1430" t="s">
        <v>4013</v>
      </c>
      <c r="BV1430">
        <v>23000</v>
      </c>
      <c r="BW1430">
        <v>0</v>
      </c>
      <c r="BX1430">
        <v>0</v>
      </c>
      <c r="BY1430">
        <v>30000</v>
      </c>
      <c r="BZ1430">
        <v>55000</v>
      </c>
      <c r="CA1430">
        <v>150000</v>
      </c>
      <c r="CB1430">
        <v>156000</v>
      </c>
      <c r="CC1430">
        <v>162240</v>
      </c>
      <c r="CD1430">
        <v>0</v>
      </c>
      <c r="CE1430" t="s">
        <v>3108</v>
      </c>
      <c r="CF1430" t="s">
        <v>3108</v>
      </c>
      <c r="CG1430" t="s">
        <v>3108</v>
      </c>
      <c r="CH1430" t="s">
        <v>3108</v>
      </c>
    </row>
    <row r="1431" spans="1:86" x14ac:dyDescent="0.2">
      <c r="A1431" t="s">
        <v>5373</v>
      </c>
      <c r="B1431" t="s">
        <v>5373</v>
      </c>
      <c r="C1431">
        <v>54413</v>
      </c>
      <c r="D1431">
        <v>1545</v>
      </c>
      <c r="E1431" t="s">
        <v>4010</v>
      </c>
      <c r="F1431">
        <v>2900</v>
      </c>
      <c r="G1431" t="s">
        <v>822</v>
      </c>
      <c r="H1431" t="s">
        <v>3108</v>
      </c>
      <c r="I1431" t="s">
        <v>3108</v>
      </c>
      <c r="J1431">
        <v>2904</v>
      </c>
      <c r="K1431" t="s">
        <v>1690</v>
      </c>
      <c r="L1431">
        <v>4400</v>
      </c>
      <c r="M1431" t="s">
        <v>988</v>
      </c>
      <c r="N1431">
        <v>4403</v>
      </c>
      <c r="O1431" t="s">
        <v>2439</v>
      </c>
      <c r="P1431" t="s">
        <v>3108</v>
      </c>
      <c r="Q1431" t="s">
        <v>3249</v>
      </c>
      <c r="R1431" t="s">
        <v>3249</v>
      </c>
      <c r="S1431" t="s">
        <v>810</v>
      </c>
      <c r="T1431" t="s">
        <v>2754</v>
      </c>
      <c r="U1431" t="s">
        <v>3250</v>
      </c>
      <c r="V1431" t="s">
        <v>3250</v>
      </c>
      <c r="W1431" t="s">
        <v>3250</v>
      </c>
      <c r="X1431" t="s">
        <v>3250</v>
      </c>
      <c r="Y1431" t="s">
        <v>3250</v>
      </c>
      <c r="Z1431" t="s">
        <v>3250</v>
      </c>
      <c r="AA1431" t="s">
        <v>3108</v>
      </c>
      <c r="AB1431" t="s">
        <v>3108</v>
      </c>
      <c r="AC1431" t="s">
        <v>3250</v>
      </c>
      <c r="AD1431" t="s">
        <v>3250</v>
      </c>
      <c r="AE1431" t="s">
        <v>3250</v>
      </c>
      <c r="AF1431" t="s">
        <v>3250</v>
      </c>
      <c r="AG1431" t="s">
        <v>3250</v>
      </c>
      <c r="AH1431" t="s">
        <v>3250</v>
      </c>
      <c r="AI1431" t="s">
        <v>3250</v>
      </c>
      <c r="AJ1431" t="s">
        <v>3250</v>
      </c>
      <c r="AL1431" t="s">
        <v>3250</v>
      </c>
      <c r="AM1431" t="s">
        <v>3250</v>
      </c>
      <c r="AN1431" t="s">
        <v>3250</v>
      </c>
      <c r="AO1431" t="s">
        <v>3250</v>
      </c>
      <c r="AS1431" t="s">
        <v>3250</v>
      </c>
      <c r="AT1431" t="s">
        <v>3250</v>
      </c>
      <c r="AU1431" t="s">
        <v>3250</v>
      </c>
      <c r="AV1431" t="s">
        <v>3250</v>
      </c>
      <c r="AW1431" t="s">
        <v>3250</v>
      </c>
      <c r="AX1431" t="s">
        <v>3250</v>
      </c>
      <c r="AY1431" t="s">
        <v>3250</v>
      </c>
      <c r="AZ1431" t="s">
        <v>3250</v>
      </c>
      <c r="BA1431" t="s">
        <v>3250</v>
      </c>
      <c r="BB1431" t="s">
        <v>3250</v>
      </c>
      <c r="BC1431" t="s">
        <v>3250</v>
      </c>
      <c r="BE1431" t="s">
        <v>3250</v>
      </c>
      <c r="BF1431" t="s">
        <v>3250</v>
      </c>
      <c r="BG1431" t="s">
        <v>3250</v>
      </c>
      <c r="BH1431" t="s">
        <v>3250</v>
      </c>
      <c r="BI1431" t="s">
        <v>3250</v>
      </c>
      <c r="BK1431" t="s">
        <v>3250</v>
      </c>
      <c r="BL1431" t="s">
        <v>3250</v>
      </c>
      <c r="BM1431" t="s">
        <v>3250</v>
      </c>
      <c r="BN1431" t="s">
        <v>3250</v>
      </c>
      <c r="BP1431">
        <v>12</v>
      </c>
      <c r="BQ1431">
        <v>121</v>
      </c>
      <c r="BR1431" t="s">
        <v>2439</v>
      </c>
      <c r="BS1431" t="s">
        <v>941</v>
      </c>
      <c r="BV1431">
        <v>0</v>
      </c>
      <c r="BW1431">
        <v>0</v>
      </c>
      <c r="BX1431">
        <v>0</v>
      </c>
      <c r="BY1431">
        <v>50000</v>
      </c>
      <c r="BZ1431">
        <v>70000</v>
      </c>
      <c r="CA1431">
        <v>5000</v>
      </c>
      <c r="CB1431">
        <v>5200</v>
      </c>
      <c r="CC1431">
        <v>5408</v>
      </c>
      <c r="CD1431">
        <v>0</v>
      </c>
      <c r="CE1431" t="s">
        <v>3108</v>
      </c>
      <c r="CF1431" t="s">
        <v>3108</v>
      </c>
      <c r="CG1431" t="s">
        <v>3108</v>
      </c>
      <c r="CH1431" t="s">
        <v>3108</v>
      </c>
    </row>
    <row r="1432" spans="1:86" x14ac:dyDescent="0.2">
      <c r="A1432" t="s">
        <v>5374</v>
      </c>
      <c r="B1432" t="s">
        <v>5374</v>
      </c>
      <c r="C1432">
        <v>54414</v>
      </c>
      <c r="D1432">
        <v>1546</v>
      </c>
      <c r="E1432" t="s">
        <v>4033</v>
      </c>
      <c r="F1432">
        <v>2900</v>
      </c>
      <c r="G1432" t="s">
        <v>822</v>
      </c>
      <c r="H1432" t="s">
        <v>3108</v>
      </c>
      <c r="I1432" t="s">
        <v>3108</v>
      </c>
      <c r="J1432">
        <v>2904</v>
      </c>
      <c r="K1432" t="s">
        <v>1690</v>
      </c>
      <c r="L1432">
        <v>4400</v>
      </c>
      <c r="M1432" t="s">
        <v>988</v>
      </c>
      <c r="N1432">
        <v>4403</v>
      </c>
      <c r="O1432" t="s">
        <v>2439</v>
      </c>
      <c r="P1432" t="s">
        <v>3108</v>
      </c>
      <c r="Q1432" t="s">
        <v>3249</v>
      </c>
      <c r="R1432" t="s">
        <v>3249</v>
      </c>
      <c r="S1432" t="s">
        <v>810</v>
      </c>
      <c r="T1432" t="s">
        <v>2754</v>
      </c>
      <c r="U1432" t="s">
        <v>3250</v>
      </c>
      <c r="V1432" t="s">
        <v>3250</v>
      </c>
      <c r="W1432" t="s">
        <v>3250</v>
      </c>
      <c r="X1432" t="s">
        <v>3250</v>
      </c>
      <c r="Y1432" t="s">
        <v>3250</v>
      </c>
      <c r="Z1432" t="s">
        <v>3250</v>
      </c>
      <c r="AA1432" t="s">
        <v>3108</v>
      </c>
      <c r="AB1432" t="s">
        <v>3108</v>
      </c>
      <c r="AC1432" t="s">
        <v>3250</v>
      </c>
      <c r="AD1432" t="s">
        <v>3250</v>
      </c>
      <c r="AE1432" t="s">
        <v>3250</v>
      </c>
      <c r="AF1432" t="s">
        <v>3250</v>
      </c>
      <c r="AG1432" t="s">
        <v>3250</v>
      </c>
      <c r="AH1432" t="s">
        <v>3250</v>
      </c>
      <c r="AI1432" t="s">
        <v>3250</v>
      </c>
      <c r="AJ1432" t="s">
        <v>3250</v>
      </c>
      <c r="AL1432" t="s">
        <v>3250</v>
      </c>
      <c r="AM1432" t="s">
        <v>3250</v>
      </c>
      <c r="AN1432" t="s">
        <v>3250</v>
      </c>
      <c r="AO1432" t="s">
        <v>3250</v>
      </c>
      <c r="AS1432" t="s">
        <v>3250</v>
      </c>
      <c r="AT1432" t="s">
        <v>3250</v>
      </c>
      <c r="AU1432" t="s">
        <v>3250</v>
      </c>
      <c r="AV1432" t="s">
        <v>3250</v>
      </c>
      <c r="AW1432" t="s">
        <v>3250</v>
      </c>
      <c r="AX1432" t="s">
        <v>3250</v>
      </c>
      <c r="AY1432" t="s">
        <v>3250</v>
      </c>
      <c r="AZ1432" t="s">
        <v>3250</v>
      </c>
      <c r="BA1432" t="s">
        <v>3250</v>
      </c>
      <c r="BB1432" t="s">
        <v>3250</v>
      </c>
      <c r="BC1432" t="s">
        <v>3250</v>
      </c>
      <c r="BE1432" t="s">
        <v>3250</v>
      </c>
      <c r="BF1432" t="s">
        <v>3250</v>
      </c>
      <c r="BG1432" t="s">
        <v>3250</v>
      </c>
      <c r="BH1432" t="s">
        <v>3250</v>
      </c>
      <c r="BI1432" t="s">
        <v>3250</v>
      </c>
      <c r="BK1432" t="s">
        <v>3250</v>
      </c>
      <c r="BL1432" t="s">
        <v>3250</v>
      </c>
      <c r="BM1432" t="s">
        <v>3250</v>
      </c>
      <c r="BN1432" t="s">
        <v>3250</v>
      </c>
      <c r="BP1432">
        <v>12</v>
      </c>
      <c r="BQ1432">
        <v>121</v>
      </c>
      <c r="BR1432" t="s">
        <v>2439</v>
      </c>
      <c r="BS1432" t="s">
        <v>941</v>
      </c>
      <c r="BV1432">
        <v>0</v>
      </c>
      <c r="BW1432">
        <v>0</v>
      </c>
      <c r="BX1432">
        <v>0</v>
      </c>
      <c r="BY1432">
        <v>0</v>
      </c>
      <c r="BZ1432">
        <v>0</v>
      </c>
      <c r="CA1432">
        <v>0</v>
      </c>
      <c r="CB1432">
        <v>0</v>
      </c>
      <c r="CC1432">
        <v>0</v>
      </c>
      <c r="CD1432">
        <v>0</v>
      </c>
      <c r="CE1432" t="s">
        <v>3108</v>
      </c>
      <c r="CF1432" t="s">
        <v>3108</v>
      </c>
      <c r="CG1432" t="s">
        <v>3108</v>
      </c>
      <c r="CH1432" t="s">
        <v>3108</v>
      </c>
    </row>
    <row r="1433" spans="1:86" x14ac:dyDescent="0.2">
      <c r="A1433" t="s">
        <v>5375</v>
      </c>
      <c r="B1433" t="s">
        <v>5375</v>
      </c>
      <c r="C1433">
        <v>54415</v>
      </c>
      <c r="D1433">
        <v>1547</v>
      </c>
      <c r="E1433" t="s">
        <v>4053</v>
      </c>
      <c r="F1433">
        <v>2900</v>
      </c>
      <c r="G1433" t="s">
        <v>822</v>
      </c>
      <c r="H1433" t="s">
        <v>3108</v>
      </c>
      <c r="I1433" t="s">
        <v>3108</v>
      </c>
      <c r="J1433">
        <v>2904</v>
      </c>
      <c r="K1433" t="s">
        <v>1690</v>
      </c>
      <c r="L1433">
        <v>4400</v>
      </c>
      <c r="M1433" t="s">
        <v>988</v>
      </c>
      <c r="N1433">
        <v>4403</v>
      </c>
      <c r="O1433" t="s">
        <v>2439</v>
      </c>
      <c r="P1433" t="s">
        <v>3108</v>
      </c>
      <c r="Q1433" t="s">
        <v>3249</v>
      </c>
      <c r="R1433" t="s">
        <v>3249</v>
      </c>
      <c r="S1433" t="s">
        <v>810</v>
      </c>
      <c r="T1433" t="s">
        <v>2754</v>
      </c>
      <c r="U1433" t="s">
        <v>3250</v>
      </c>
      <c r="V1433" t="s">
        <v>3250</v>
      </c>
      <c r="W1433" t="s">
        <v>3250</v>
      </c>
      <c r="X1433" t="s">
        <v>3250</v>
      </c>
      <c r="Y1433" t="s">
        <v>3250</v>
      </c>
      <c r="Z1433" t="s">
        <v>3250</v>
      </c>
      <c r="AA1433" t="s">
        <v>3108</v>
      </c>
      <c r="AB1433" t="s">
        <v>3108</v>
      </c>
      <c r="AC1433" t="s">
        <v>3250</v>
      </c>
      <c r="AD1433" t="s">
        <v>3250</v>
      </c>
      <c r="AE1433" t="s">
        <v>3250</v>
      </c>
      <c r="AF1433" t="s">
        <v>3250</v>
      </c>
      <c r="AG1433" t="s">
        <v>3250</v>
      </c>
      <c r="AH1433" t="s">
        <v>3250</v>
      </c>
      <c r="AI1433" t="s">
        <v>3250</v>
      </c>
      <c r="AJ1433" t="s">
        <v>3250</v>
      </c>
      <c r="AL1433" t="s">
        <v>3250</v>
      </c>
      <c r="AM1433" t="s">
        <v>3250</v>
      </c>
      <c r="AN1433" t="s">
        <v>3250</v>
      </c>
      <c r="AO1433" t="s">
        <v>3250</v>
      </c>
      <c r="AS1433" t="s">
        <v>3250</v>
      </c>
      <c r="AT1433" t="s">
        <v>3250</v>
      </c>
      <c r="AU1433" t="s">
        <v>3250</v>
      </c>
      <c r="AV1433" t="s">
        <v>3250</v>
      </c>
      <c r="AW1433" t="s">
        <v>3250</v>
      </c>
      <c r="AX1433" t="s">
        <v>3250</v>
      </c>
      <c r="AY1433" t="s">
        <v>3250</v>
      </c>
      <c r="AZ1433" t="s">
        <v>3250</v>
      </c>
      <c r="BA1433" t="s">
        <v>3250</v>
      </c>
      <c r="BB1433" t="s">
        <v>3250</v>
      </c>
      <c r="BC1433" t="s">
        <v>3250</v>
      </c>
      <c r="BE1433" t="s">
        <v>3250</v>
      </c>
      <c r="BF1433" t="s">
        <v>3250</v>
      </c>
      <c r="BG1433" t="s">
        <v>3250</v>
      </c>
      <c r="BH1433" t="s">
        <v>3250</v>
      </c>
      <c r="BI1433" t="s">
        <v>3250</v>
      </c>
      <c r="BK1433" t="s">
        <v>3250</v>
      </c>
      <c r="BL1433" t="s">
        <v>3250</v>
      </c>
      <c r="BM1433" t="s">
        <v>3250</v>
      </c>
      <c r="BN1433" t="s">
        <v>3250</v>
      </c>
      <c r="BP1433">
        <v>12</v>
      </c>
      <c r="BQ1433">
        <v>121</v>
      </c>
      <c r="BR1433" t="s">
        <v>2439</v>
      </c>
      <c r="BS1433" t="s">
        <v>941</v>
      </c>
      <c r="BV1433">
        <v>0</v>
      </c>
      <c r="BW1433">
        <v>0</v>
      </c>
      <c r="BX1433">
        <v>0</v>
      </c>
      <c r="BY1433">
        <v>0</v>
      </c>
      <c r="BZ1433">
        <v>0</v>
      </c>
      <c r="CA1433">
        <v>0</v>
      </c>
      <c r="CB1433">
        <v>0</v>
      </c>
      <c r="CC1433">
        <v>0</v>
      </c>
      <c r="CD1433">
        <v>0</v>
      </c>
      <c r="CE1433" t="s">
        <v>3108</v>
      </c>
      <c r="CF1433" t="s">
        <v>3108</v>
      </c>
      <c r="CG1433" t="s">
        <v>3108</v>
      </c>
      <c r="CH1433" t="s">
        <v>3108</v>
      </c>
    </row>
    <row r="1434" spans="1:86" x14ac:dyDescent="0.2">
      <c r="A1434" t="s">
        <v>5376</v>
      </c>
      <c r="B1434" t="s">
        <v>5376</v>
      </c>
      <c r="C1434">
        <v>54416</v>
      </c>
      <c r="D1434">
        <v>1548</v>
      </c>
      <c r="E1434" t="s">
        <v>4010</v>
      </c>
      <c r="F1434">
        <v>2900</v>
      </c>
      <c r="G1434" t="s">
        <v>822</v>
      </c>
      <c r="H1434" t="s">
        <v>3108</v>
      </c>
      <c r="I1434" t="s">
        <v>3108</v>
      </c>
      <c r="J1434">
        <v>2904</v>
      </c>
      <c r="K1434" t="s">
        <v>1690</v>
      </c>
      <c r="L1434">
        <v>4400</v>
      </c>
      <c r="M1434" t="s">
        <v>988</v>
      </c>
      <c r="N1434">
        <v>4403</v>
      </c>
      <c r="O1434" t="s">
        <v>2439</v>
      </c>
      <c r="P1434" t="s">
        <v>3108</v>
      </c>
      <c r="Q1434" t="s">
        <v>3249</v>
      </c>
      <c r="R1434" t="s">
        <v>3249</v>
      </c>
      <c r="S1434" t="s">
        <v>810</v>
      </c>
      <c r="T1434" t="s">
        <v>2754</v>
      </c>
      <c r="U1434" t="s">
        <v>3250</v>
      </c>
      <c r="V1434" t="s">
        <v>3250</v>
      </c>
      <c r="W1434" t="s">
        <v>3250</v>
      </c>
      <c r="X1434" t="s">
        <v>3250</v>
      </c>
      <c r="Y1434" t="s">
        <v>3250</v>
      </c>
      <c r="Z1434" t="s">
        <v>3250</v>
      </c>
      <c r="AA1434" t="s">
        <v>3108</v>
      </c>
      <c r="AB1434" t="s">
        <v>3108</v>
      </c>
      <c r="AC1434" t="s">
        <v>3250</v>
      </c>
      <c r="AD1434" t="s">
        <v>3250</v>
      </c>
      <c r="AE1434" t="s">
        <v>3250</v>
      </c>
      <c r="AF1434" t="s">
        <v>3250</v>
      </c>
      <c r="AG1434" t="s">
        <v>3250</v>
      </c>
      <c r="AH1434" t="s">
        <v>3250</v>
      </c>
      <c r="AI1434" t="s">
        <v>3250</v>
      </c>
      <c r="AJ1434" t="s">
        <v>3250</v>
      </c>
      <c r="AL1434" t="s">
        <v>3250</v>
      </c>
      <c r="AM1434" t="s">
        <v>3250</v>
      </c>
      <c r="AN1434" t="s">
        <v>3250</v>
      </c>
      <c r="AO1434" t="s">
        <v>3250</v>
      </c>
      <c r="AS1434" t="s">
        <v>3250</v>
      </c>
      <c r="AT1434" t="s">
        <v>3250</v>
      </c>
      <c r="AU1434" t="s">
        <v>3250</v>
      </c>
      <c r="AV1434" t="s">
        <v>3250</v>
      </c>
      <c r="AW1434" t="s">
        <v>3250</v>
      </c>
      <c r="AX1434" t="s">
        <v>3250</v>
      </c>
      <c r="AY1434" t="s">
        <v>3250</v>
      </c>
      <c r="AZ1434" t="s">
        <v>3250</v>
      </c>
      <c r="BA1434" t="s">
        <v>3250</v>
      </c>
      <c r="BB1434" t="s">
        <v>3250</v>
      </c>
      <c r="BC1434" t="s">
        <v>3250</v>
      </c>
      <c r="BE1434" t="s">
        <v>3250</v>
      </c>
      <c r="BF1434" t="s">
        <v>3250</v>
      </c>
      <c r="BG1434" t="s">
        <v>3250</v>
      </c>
      <c r="BH1434" t="s">
        <v>3250</v>
      </c>
      <c r="BI1434" t="s">
        <v>3250</v>
      </c>
      <c r="BK1434" t="s">
        <v>3250</v>
      </c>
      <c r="BL1434" t="s">
        <v>3250</v>
      </c>
      <c r="BM1434" t="s">
        <v>3250</v>
      </c>
      <c r="BN1434" t="s">
        <v>3250</v>
      </c>
      <c r="BP1434">
        <v>12</v>
      </c>
      <c r="BQ1434">
        <v>121</v>
      </c>
      <c r="BR1434" t="s">
        <v>2439</v>
      </c>
      <c r="BS1434" t="s">
        <v>941</v>
      </c>
      <c r="BV1434">
        <v>0</v>
      </c>
      <c r="BW1434">
        <v>0</v>
      </c>
      <c r="BX1434">
        <v>0</v>
      </c>
      <c r="BY1434">
        <v>0</v>
      </c>
      <c r="BZ1434">
        <v>40000</v>
      </c>
      <c r="CA1434">
        <v>40000</v>
      </c>
      <c r="CB1434">
        <v>41600</v>
      </c>
      <c r="CC1434">
        <v>43264</v>
      </c>
      <c r="CD1434">
        <v>0</v>
      </c>
      <c r="CE1434" t="s">
        <v>3108</v>
      </c>
      <c r="CF1434" t="s">
        <v>3108</v>
      </c>
      <c r="CG1434" t="s">
        <v>3108</v>
      </c>
      <c r="CH1434" t="s">
        <v>3108</v>
      </c>
    </row>
    <row r="1435" spans="1:86" x14ac:dyDescent="0.2">
      <c r="A1435" t="s">
        <v>5377</v>
      </c>
      <c r="B1435" t="s">
        <v>5377</v>
      </c>
      <c r="C1435">
        <v>54417</v>
      </c>
      <c r="D1435">
        <v>1549</v>
      </c>
      <c r="E1435" t="s">
        <v>4463</v>
      </c>
      <c r="F1435">
        <v>2900</v>
      </c>
      <c r="G1435" t="s">
        <v>822</v>
      </c>
      <c r="H1435" t="s">
        <v>3108</v>
      </c>
      <c r="I1435" t="s">
        <v>3108</v>
      </c>
      <c r="J1435">
        <v>2904</v>
      </c>
      <c r="K1435" t="s">
        <v>1690</v>
      </c>
      <c r="L1435">
        <v>4400</v>
      </c>
      <c r="M1435" t="s">
        <v>988</v>
      </c>
      <c r="N1435">
        <v>4403</v>
      </c>
      <c r="O1435" t="s">
        <v>2439</v>
      </c>
      <c r="P1435" t="s">
        <v>3108</v>
      </c>
      <c r="Q1435" t="s">
        <v>3249</v>
      </c>
      <c r="R1435" t="s">
        <v>3249</v>
      </c>
      <c r="S1435" t="s">
        <v>810</v>
      </c>
      <c r="T1435" t="s">
        <v>2754</v>
      </c>
      <c r="U1435" t="s">
        <v>3250</v>
      </c>
      <c r="V1435" t="s">
        <v>3250</v>
      </c>
      <c r="W1435" t="s">
        <v>3250</v>
      </c>
      <c r="X1435" t="s">
        <v>3250</v>
      </c>
      <c r="Y1435" t="s">
        <v>3250</v>
      </c>
      <c r="Z1435" t="s">
        <v>3250</v>
      </c>
      <c r="AA1435" t="s">
        <v>3108</v>
      </c>
      <c r="AB1435" t="s">
        <v>3108</v>
      </c>
      <c r="AC1435" t="s">
        <v>3250</v>
      </c>
      <c r="AD1435" t="s">
        <v>3250</v>
      </c>
      <c r="AE1435" t="s">
        <v>3250</v>
      </c>
      <c r="AF1435" t="s">
        <v>3250</v>
      </c>
      <c r="AG1435" t="s">
        <v>3250</v>
      </c>
      <c r="AH1435" t="s">
        <v>3250</v>
      </c>
      <c r="AI1435" t="s">
        <v>3250</v>
      </c>
      <c r="AJ1435" t="s">
        <v>3250</v>
      </c>
      <c r="AL1435" t="s">
        <v>3250</v>
      </c>
      <c r="AM1435" t="s">
        <v>3250</v>
      </c>
      <c r="AN1435" t="s">
        <v>3250</v>
      </c>
      <c r="AO1435" t="s">
        <v>3250</v>
      </c>
      <c r="AS1435" t="s">
        <v>3250</v>
      </c>
      <c r="AT1435" t="s">
        <v>3250</v>
      </c>
      <c r="AU1435" t="s">
        <v>3250</v>
      </c>
      <c r="AV1435" t="s">
        <v>3250</v>
      </c>
      <c r="AW1435" t="s">
        <v>3250</v>
      </c>
      <c r="AX1435" t="s">
        <v>3250</v>
      </c>
      <c r="AY1435" t="s">
        <v>3250</v>
      </c>
      <c r="AZ1435" t="s">
        <v>3250</v>
      </c>
      <c r="BA1435" t="s">
        <v>3250</v>
      </c>
      <c r="BB1435" t="s">
        <v>3250</v>
      </c>
      <c r="BC1435" t="s">
        <v>3250</v>
      </c>
      <c r="BE1435" t="s">
        <v>3250</v>
      </c>
      <c r="BF1435" t="s">
        <v>3250</v>
      </c>
      <c r="BG1435" t="s">
        <v>3250</v>
      </c>
      <c r="BH1435" t="s">
        <v>3250</v>
      </c>
      <c r="BI1435" t="s">
        <v>3250</v>
      </c>
      <c r="BK1435" t="s">
        <v>3250</v>
      </c>
      <c r="BL1435" t="s">
        <v>3250</v>
      </c>
      <c r="BM1435" t="s">
        <v>3250</v>
      </c>
      <c r="BN1435" t="s">
        <v>3250</v>
      </c>
      <c r="BP1435">
        <v>12</v>
      </c>
      <c r="BQ1435">
        <v>121</v>
      </c>
      <c r="BR1435" t="s">
        <v>2439</v>
      </c>
      <c r="BS1435" t="s">
        <v>941</v>
      </c>
      <c r="BV1435">
        <v>0</v>
      </c>
      <c r="BW1435">
        <v>186661</v>
      </c>
      <c r="BX1435">
        <v>0</v>
      </c>
      <c r="BY1435">
        <v>0</v>
      </c>
      <c r="BZ1435">
        <v>0</v>
      </c>
      <c r="CA1435">
        <v>0</v>
      </c>
      <c r="CB1435">
        <v>0</v>
      </c>
      <c r="CC1435">
        <v>0</v>
      </c>
      <c r="CD1435">
        <v>0</v>
      </c>
      <c r="CE1435" t="s">
        <v>3108</v>
      </c>
      <c r="CF1435" t="s">
        <v>3108</v>
      </c>
      <c r="CG1435" t="s">
        <v>3108</v>
      </c>
      <c r="CH1435" t="s">
        <v>3108</v>
      </c>
    </row>
    <row r="1436" spans="1:86" x14ac:dyDescent="0.2">
      <c r="A1436" t="s">
        <v>5378</v>
      </c>
      <c r="B1436" t="s">
        <v>5378</v>
      </c>
      <c r="C1436">
        <v>54418</v>
      </c>
      <c r="D1436">
        <v>1550</v>
      </c>
      <c r="E1436" t="s">
        <v>4047</v>
      </c>
      <c r="F1436">
        <v>2600</v>
      </c>
      <c r="G1436" t="s">
        <v>1334</v>
      </c>
      <c r="H1436">
        <v>2600</v>
      </c>
      <c r="I1436" t="s">
        <v>1334</v>
      </c>
      <c r="J1436" t="s">
        <v>3250</v>
      </c>
      <c r="K1436" t="s">
        <v>3250</v>
      </c>
      <c r="L1436">
        <v>4400</v>
      </c>
      <c r="M1436" t="s">
        <v>988</v>
      </c>
      <c r="N1436">
        <v>4403</v>
      </c>
      <c r="O1436" t="s">
        <v>2439</v>
      </c>
      <c r="P1436" t="s">
        <v>3108</v>
      </c>
      <c r="Q1436" t="s">
        <v>3249</v>
      </c>
      <c r="R1436" t="s">
        <v>3249</v>
      </c>
      <c r="S1436" t="s">
        <v>810</v>
      </c>
      <c r="T1436" t="s">
        <v>2754</v>
      </c>
      <c r="U1436" t="s">
        <v>3250</v>
      </c>
      <c r="V1436" t="s">
        <v>3250</v>
      </c>
      <c r="W1436" t="s">
        <v>3250</v>
      </c>
      <c r="X1436" t="s">
        <v>3250</v>
      </c>
      <c r="Y1436" t="s">
        <v>3250</v>
      </c>
      <c r="Z1436" t="s">
        <v>3250</v>
      </c>
      <c r="AA1436" t="s">
        <v>3108</v>
      </c>
      <c r="AB1436" t="s">
        <v>3108</v>
      </c>
      <c r="AC1436" t="s">
        <v>3250</v>
      </c>
      <c r="AD1436" t="s">
        <v>3250</v>
      </c>
      <c r="AE1436" t="s">
        <v>3250</v>
      </c>
      <c r="AF1436" t="s">
        <v>3250</v>
      </c>
      <c r="AG1436" t="s">
        <v>3250</v>
      </c>
      <c r="AH1436" t="s">
        <v>3250</v>
      </c>
      <c r="AI1436" t="s">
        <v>3250</v>
      </c>
      <c r="AJ1436" t="s">
        <v>3250</v>
      </c>
      <c r="AL1436" t="s">
        <v>3250</v>
      </c>
      <c r="AM1436" t="s">
        <v>3250</v>
      </c>
      <c r="AN1436" t="s">
        <v>3250</v>
      </c>
      <c r="AO1436" t="s">
        <v>3250</v>
      </c>
      <c r="AS1436" t="s">
        <v>3250</v>
      </c>
      <c r="AT1436" t="s">
        <v>3250</v>
      </c>
      <c r="AU1436" t="s">
        <v>3250</v>
      </c>
      <c r="AV1436" t="s">
        <v>3250</v>
      </c>
      <c r="AW1436" t="s">
        <v>3250</v>
      </c>
      <c r="AX1436" t="s">
        <v>3250</v>
      </c>
      <c r="AY1436" t="s">
        <v>3250</v>
      </c>
      <c r="AZ1436" t="s">
        <v>3250</v>
      </c>
      <c r="BA1436" t="s">
        <v>3250</v>
      </c>
      <c r="BB1436" t="s">
        <v>3250</v>
      </c>
      <c r="BC1436" t="s">
        <v>3250</v>
      </c>
      <c r="BE1436" t="s">
        <v>3250</v>
      </c>
      <c r="BF1436" t="s">
        <v>3250</v>
      </c>
      <c r="BG1436" t="s">
        <v>3250</v>
      </c>
      <c r="BH1436" t="s">
        <v>3250</v>
      </c>
      <c r="BI1436" t="s">
        <v>3250</v>
      </c>
      <c r="BK1436" t="s">
        <v>3250</v>
      </c>
      <c r="BL1436" t="s">
        <v>3250</v>
      </c>
      <c r="BM1436" t="s">
        <v>3250</v>
      </c>
      <c r="BN1436" t="s">
        <v>3250</v>
      </c>
      <c r="BP1436">
        <v>12</v>
      </c>
      <c r="BQ1436">
        <v>121</v>
      </c>
      <c r="BR1436" t="s">
        <v>2439</v>
      </c>
      <c r="BS1436" t="s">
        <v>941</v>
      </c>
      <c r="BV1436">
        <v>31250</v>
      </c>
      <c r="BW1436">
        <v>17304</v>
      </c>
      <c r="BX1436">
        <v>0</v>
      </c>
      <c r="BY1436">
        <v>50000</v>
      </c>
      <c r="BZ1436">
        <v>300000</v>
      </c>
      <c r="CA1436">
        <v>50000</v>
      </c>
      <c r="CB1436">
        <v>52000</v>
      </c>
      <c r="CC1436">
        <v>54080</v>
      </c>
      <c r="CD1436">
        <v>20000</v>
      </c>
      <c r="CE1436" t="s">
        <v>3108</v>
      </c>
      <c r="CF1436" t="s">
        <v>3108</v>
      </c>
      <c r="CG1436" t="s">
        <v>3108</v>
      </c>
      <c r="CH1436" t="s">
        <v>3108</v>
      </c>
    </row>
    <row r="1437" spans="1:86" x14ac:dyDescent="0.2">
      <c r="A1437" t="s">
        <v>5379</v>
      </c>
      <c r="B1437" t="s">
        <v>5379</v>
      </c>
      <c r="C1437">
        <v>54419</v>
      </c>
      <c r="D1437">
        <v>1551</v>
      </c>
      <c r="E1437" t="s">
        <v>4232</v>
      </c>
      <c r="F1437">
        <v>2900</v>
      </c>
      <c r="G1437" t="s">
        <v>822</v>
      </c>
      <c r="H1437" t="s">
        <v>3108</v>
      </c>
      <c r="I1437" t="s">
        <v>3108</v>
      </c>
      <c r="J1437">
        <v>2904</v>
      </c>
      <c r="K1437" t="s">
        <v>1690</v>
      </c>
      <c r="L1437">
        <v>2100</v>
      </c>
      <c r="M1437" t="s">
        <v>123</v>
      </c>
      <c r="N1437">
        <v>2111</v>
      </c>
      <c r="O1437" t="s">
        <v>2403</v>
      </c>
      <c r="P1437" t="s">
        <v>3108</v>
      </c>
      <c r="Q1437" t="s">
        <v>3249</v>
      </c>
      <c r="R1437" t="s">
        <v>3249</v>
      </c>
      <c r="S1437" t="s">
        <v>810</v>
      </c>
      <c r="T1437" t="s">
        <v>2754</v>
      </c>
      <c r="U1437" t="s">
        <v>3250</v>
      </c>
      <c r="V1437" t="s">
        <v>3250</v>
      </c>
      <c r="W1437" t="s">
        <v>3250</v>
      </c>
      <c r="X1437" t="s">
        <v>3250</v>
      </c>
      <c r="Y1437" t="s">
        <v>3250</v>
      </c>
      <c r="Z1437" t="s">
        <v>3250</v>
      </c>
      <c r="AA1437" t="s">
        <v>3108</v>
      </c>
      <c r="AB1437" t="s">
        <v>3108</v>
      </c>
      <c r="AC1437" t="s">
        <v>3250</v>
      </c>
      <c r="AD1437" t="s">
        <v>3250</v>
      </c>
      <c r="AE1437" t="s">
        <v>3250</v>
      </c>
      <c r="AF1437" t="s">
        <v>3250</v>
      </c>
      <c r="AG1437" t="s">
        <v>3250</v>
      </c>
      <c r="AH1437" t="s">
        <v>3250</v>
      </c>
      <c r="AI1437" t="s">
        <v>3250</v>
      </c>
      <c r="AJ1437" t="s">
        <v>3250</v>
      </c>
      <c r="AL1437" t="s">
        <v>3250</v>
      </c>
      <c r="AM1437" t="s">
        <v>3250</v>
      </c>
      <c r="AN1437" t="s">
        <v>3250</v>
      </c>
      <c r="AO1437" t="s">
        <v>3250</v>
      </c>
      <c r="AS1437" t="s">
        <v>3250</v>
      </c>
      <c r="AT1437" t="s">
        <v>3250</v>
      </c>
      <c r="AU1437" t="s">
        <v>3250</v>
      </c>
      <c r="AV1437" t="s">
        <v>3250</v>
      </c>
      <c r="AW1437" t="s">
        <v>3250</v>
      </c>
      <c r="AX1437" t="s">
        <v>3250</v>
      </c>
      <c r="AY1437" t="s">
        <v>3250</v>
      </c>
      <c r="AZ1437" t="s">
        <v>3250</v>
      </c>
      <c r="BA1437" t="s">
        <v>3250</v>
      </c>
      <c r="BB1437" t="s">
        <v>3250</v>
      </c>
      <c r="BC1437" t="s">
        <v>3250</v>
      </c>
      <c r="BE1437" t="s">
        <v>3250</v>
      </c>
      <c r="BF1437" t="s">
        <v>3250</v>
      </c>
      <c r="BG1437" t="s">
        <v>3250</v>
      </c>
      <c r="BH1437" t="s">
        <v>3250</v>
      </c>
      <c r="BI1437" t="s">
        <v>3250</v>
      </c>
      <c r="BK1437" t="s">
        <v>3250</v>
      </c>
      <c r="BL1437" t="s">
        <v>3250</v>
      </c>
      <c r="BM1437" t="s">
        <v>3250</v>
      </c>
      <c r="BN1437" t="s">
        <v>3250</v>
      </c>
      <c r="BP1437">
        <v>4</v>
      </c>
      <c r="BQ1437">
        <v>45</v>
      </c>
      <c r="BR1437" t="s">
        <v>2403</v>
      </c>
      <c r="BS1437" t="s">
        <v>4024</v>
      </c>
      <c r="BV1437">
        <v>2000</v>
      </c>
      <c r="BW1437">
        <v>0</v>
      </c>
      <c r="BX1437">
        <v>0</v>
      </c>
      <c r="BY1437">
        <v>5000</v>
      </c>
      <c r="BZ1437">
        <v>0</v>
      </c>
      <c r="CA1437">
        <v>6000</v>
      </c>
      <c r="CB1437">
        <v>6240</v>
      </c>
      <c r="CC1437">
        <v>6490</v>
      </c>
      <c r="CD1437">
        <v>0</v>
      </c>
      <c r="CE1437" t="s">
        <v>3108</v>
      </c>
      <c r="CF1437" t="s">
        <v>3108</v>
      </c>
      <c r="CG1437" t="s">
        <v>3108</v>
      </c>
      <c r="CH1437" t="s">
        <v>3108</v>
      </c>
    </row>
    <row r="1438" spans="1:86" x14ac:dyDescent="0.2">
      <c r="A1438" t="s">
        <v>5380</v>
      </c>
      <c r="B1438" t="s">
        <v>5380</v>
      </c>
      <c r="C1438">
        <v>54420</v>
      </c>
      <c r="D1438">
        <v>1552</v>
      </c>
      <c r="E1438" t="s">
        <v>3992</v>
      </c>
      <c r="F1438">
        <v>2900</v>
      </c>
      <c r="G1438" t="s">
        <v>822</v>
      </c>
      <c r="H1438" t="s">
        <v>3108</v>
      </c>
      <c r="I1438" t="s">
        <v>3108</v>
      </c>
      <c r="J1438">
        <v>2904</v>
      </c>
      <c r="K1438" t="s">
        <v>1690</v>
      </c>
      <c r="L1438">
        <v>2100</v>
      </c>
      <c r="M1438" t="s">
        <v>123</v>
      </c>
      <c r="N1438">
        <v>2112</v>
      </c>
      <c r="O1438" t="s">
        <v>2404</v>
      </c>
      <c r="P1438" t="s">
        <v>3108</v>
      </c>
      <c r="Q1438" t="s">
        <v>3249</v>
      </c>
      <c r="R1438" t="s">
        <v>3249</v>
      </c>
      <c r="S1438" t="s">
        <v>810</v>
      </c>
      <c r="T1438" t="s">
        <v>2754</v>
      </c>
      <c r="U1438" t="s">
        <v>3250</v>
      </c>
      <c r="V1438" t="s">
        <v>3250</v>
      </c>
      <c r="W1438" t="s">
        <v>3250</v>
      </c>
      <c r="X1438" t="s">
        <v>3250</v>
      </c>
      <c r="Y1438" t="s">
        <v>3250</v>
      </c>
      <c r="Z1438" t="s">
        <v>3250</v>
      </c>
      <c r="AA1438" t="s">
        <v>3108</v>
      </c>
      <c r="AB1438" t="s">
        <v>3108</v>
      </c>
      <c r="AC1438" t="s">
        <v>3250</v>
      </c>
      <c r="AD1438" t="s">
        <v>3250</v>
      </c>
      <c r="AE1438" t="s">
        <v>3250</v>
      </c>
      <c r="AF1438" t="s">
        <v>3250</v>
      </c>
      <c r="AG1438" t="s">
        <v>3250</v>
      </c>
      <c r="AH1438" t="s">
        <v>3250</v>
      </c>
      <c r="AI1438" t="s">
        <v>3250</v>
      </c>
      <c r="AJ1438" t="s">
        <v>3250</v>
      </c>
      <c r="AL1438" t="s">
        <v>3250</v>
      </c>
      <c r="AM1438" t="s">
        <v>3250</v>
      </c>
      <c r="AN1438" t="s">
        <v>3250</v>
      </c>
      <c r="AO1438" t="s">
        <v>3250</v>
      </c>
      <c r="AS1438" t="s">
        <v>3250</v>
      </c>
      <c r="AT1438" t="s">
        <v>3250</v>
      </c>
      <c r="AU1438" t="s">
        <v>3250</v>
      </c>
      <c r="AV1438" t="s">
        <v>3250</v>
      </c>
      <c r="AW1438" t="s">
        <v>3250</v>
      </c>
      <c r="AX1438" t="s">
        <v>3250</v>
      </c>
      <c r="AY1438" t="s">
        <v>3250</v>
      </c>
      <c r="AZ1438" t="s">
        <v>3250</v>
      </c>
      <c r="BA1438" t="s">
        <v>3250</v>
      </c>
      <c r="BB1438" t="s">
        <v>3250</v>
      </c>
      <c r="BC1438" t="s">
        <v>3250</v>
      </c>
      <c r="BE1438" t="s">
        <v>3250</v>
      </c>
      <c r="BF1438" t="s">
        <v>3250</v>
      </c>
      <c r="BG1438" t="s">
        <v>3250</v>
      </c>
      <c r="BH1438" t="s">
        <v>3250</v>
      </c>
      <c r="BI1438" t="s">
        <v>3250</v>
      </c>
      <c r="BK1438" t="s">
        <v>3250</v>
      </c>
      <c r="BL1438" t="s">
        <v>3250</v>
      </c>
      <c r="BM1438" t="s">
        <v>3250</v>
      </c>
      <c r="BN1438" t="s">
        <v>3250</v>
      </c>
      <c r="BP1438">
        <v>4</v>
      </c>
      <c r="BQ1438">
        <v>46</v>
      </c>
      <c r="BR1438" t="s">
        <v>2404</v>
      </c>
      <c r="BS1438" t="s">
        <v>4024</v>
      </c>
      <c r="BV1438">
        <v>0</v>
      </c>
      <c r="BW1438">
        <v>0</v>
      </c>
      <c r="BX1438">
        <v>0</v>
      </c>
      <c r="BY1438">
        <v>50000</v>
      </c>
      <c r="BZ1438">
        <v>50000</v>
      </c>
      <c r="CA1438">
        <v>60000</v>
      </c>
      <c r="CB1438">
        <v>62400</v>
      </c>
      <c r="CC1438">
        <v>64896</v>
      </c>
      <c r="CD1438">
        <v>0</v>
      </c>
      <c r="CE1438" t="s">
        <v>3108</v>
      </c>
      <c r="CF1438" t="s">
        <v>3108</v>
      </c>
      <c r="CG1438" t="s">
        <v>3108</v>
      </c>
      <c r="CH1438" t="s">
        <v>3108</v>
      </c>
    </row>
    <row r="1439" spans="1:86" x14ac:dyDescent="0.2">
      <c r="A1439" t="s">
        <v>5381</v>
      </c>
      <c r="B1439" t="s">
        <v>5381</v>
      </c>
      <c r="C1439">
        <v>54421</v>
      </c>
      <c r="D1439">
        <v>1553</v>
      </c>
      <c r="E1439" t="s">
        <v>4015</v>
      </c>
      <c r="F1439">
        <v>2900</v>
      </c>
      <c r="G1439" t="s">
        <v>822</v>
      </c>
      <c r="H1439" t="s">
        <v>3108</v>
      </c>
      <c r="I1439" t="s">
        <v>3108</v>
      </c>
      <c r="J1439">
        <v>2904</v>
      </c>
      <c r="K1439" t="s">
        <v>1690</v>
      </c>
      <c r="L1439">
        <v>2100</v>
      </c>
      <c r="M1439" t="s">
        <v>123</v>
      </c>
      <c r="N1439">
        <v>2112</v>
      </c>
      <c r="O1439" t="s">
        <v>2404</v>
      </c>
      <c r="P1439" t="s">
        <v>3108</v>
      </c>
      <c r="Q1439" t="s">
        <v>3249</v>
      </c>
      <c r="R1439" t="s">
        <v>3249</v>
      </c>
      <c r="S1439" t="s">
        <v>810</v>
      </c>
      <c r="T1439" t="s">
        <v>2754</v>
      </c>
      <c r="U1439" t="s">
        <v>3250</v>
      </c>
      <c r="V1439" t="s">
        <v>3250</v>
      </c>
      <c r="W1439" t="s">
        <v>3250</v>
      </c>
      <c r="X1439" t="s">
        <v>3250</v>
      </c>
      <c r="Y1439" t="s">
        <v>3250</v>
      </c>
      <c r="Z1439" t="s">
        <v>3250</v>
      </c>
      <c r="AA1439" t="s">
        <v>3108</v>
      </c>
      <c r="AB1439" t="s">
        <v>3108</v>
      </c>
      <c r="AC1439" t="s">
        <v>3250</v>
      </c>
      <c r="AD1439" t="s">
        <v>3250</v>
      </c>
      <c r="AE1439" t="s">
        <v>3250</v>
      </c>
      <c r="AF1439" t="s">
        <v>3250</v>
      </c>
      <c r="AG1439" t="s">
        <v>3250</v>
      </c>
      <c r="AH1439" t="s">
        <v>3250</v>
      </c>
      <c r="AI1439" t="s">
        <v>3250</v>
      </c>
      <c r="AJ1439" t="s">
        <v>3250</v>
      </c>
      <c r="AL1439" t="s">
        <v>3250</v>
      </c>
      <c r="AM1439" t="s">
        <v>3250</v>
      </c>
      <c r="AN1439" t="s">
        <v>3250</v>
      </c>
      <c r="AO1439" t="s">
        <v>3250</v>
      </c>
      <c r="AS1439" t="s">
        <v>3250</v>
      </c>
      <c r="AT1439" t="s">
        <v>3250</v>
      </c>
      <c r="AU1439" t="s">
        <v>3250</v>
      </c>
      <c r="AV1439" t="s">
        <v>3250</v>
      </c>
      <c r="AW1439" t="s">
        <v>3250</v>
      </c>
      <c r="AX1439" t="s">
        <v>3250</v>
      </c>
      <c r="AY1439" t="s">
        <v>3250</v>
      </c>
      <c r="AZ1439" t="s">
        <v>3250</v>
      </c>
      <c r="BA1439" t="s">
        <v>3250</v>
      </c>
      <c r="BB1439" t="s">
        <v>3250</v>
      </c>
      <c r="BC1439" t="s">
        <v>3250</v>
      </c>
      <c r="BE1439" t="s">
        <v>3250</v>
      </c>
      <c r="BF1439" t="s">
        <v>3250</v>
      </c>
      <c r="BG1439" t="s">
        <v>3250</v>
      </c>
      <c r="BH1439" t="s">
        <v>3250</v>
      </c>
      <c r="BI1439" t="s">
        <v>3250</v>
      </c>
      <c r="BK1439" t="s">
        <v>3250</v>
      </c>
      <c r="BL1439" t="s">
        <v>3250</v>
      </c>
      <c r="BM1439" t="s">
        <v>3250</v>
      </c>
      <c r="BN1439" t="s">
        <v>3250</v>
      </c>
      <c r="BP1439">
        <v>4</v>
      </c>
      <c r="BQ1439">
        <v>46</v>
      </c>
      <c r="BR1439" t="s">
        <v>2404</v>
      </c>
      <c r="BS1439" t="s">
        <v>4024</v>
      </c>
      <c r="BV1439">
        <v>0</v>
      </c>
      <c r="BW1439">
        <v>85713</v>
      </c>
      <c r="BX1439">
        <v>0</v>
      </c>
      <c r="BY1439">
        <v>60000</v>
      </c>
      <c r="BZ1439">
        <v>60000</v>
      </c>
      <c r="CA1439">
        <v>130000</v>
      </c>
      <c r="CB1439">
        <v>135200</v>
      </c>
      <c r="CC1439">
        <v>140608</v>
      </c>
      <c r="CD1439">
        <v>0</v>
      </c>
      <c r="CE1439" t="s">
        <v>3108</v>
      </c>
      <c r="CF1439" t="s">
        <v>3108</v>
      </c>
      <c r="CG1439" t="s">
        <v>3108</v>
      </c>
      <c r="CH1439" t="s">
        <v>3108</v>
      </c>
    </row>
    <row r="1440" spans="1:86" x14ac:dyDescent="0.2">
      <c r="A1440" t="s">
        <v>5382</v>
      </c>
      <c r="B1440" t="s">
        <v>5382</v>
      </c>
      <c r="C1440">
        <v>54422</v>
      </c>
      <c r="D1440">
        <v>1554</v>
      </c>
      <c r="E1440" t="s">
        <v>4006</v>
      </c>
      <c r="F1440">
        <v>2700</v>
      </c>
      <c r="G1440" t="s">
        <v>411</v>
      </c>
      <c r="H1440" t="s">
        <v>4004</v>
      </c>
      <c r="I1440" t="s">
        <v>2531</v>
      </c>
      <c r="J1440">
        <v>2701</v>
      </c>
      <c r="K1440" t="s">
        <v>2531</v>
      </c>
      <c r="L1440">
        <v>2200</v>
      </c>
      <c r="M1440" t="s">
        <v>124</v>
      </c>
      <c r="N1440">
        <v>2205</v>
      </c>
      <c r="O1440" t="s">
        <v>2390</v>
      </c>
      <c r="P1440" t="s">
        <v>3108</v>
      </c>
      <c r="Q1440" t="s">
        <v>3249</v>
      </c>
      <c r="R1440" t="s">
        <v>3249</v>
      </c>
      <c r="S1440" t="s">
        <v>810</v>
      </c>
      <c r="T1440" t="s">
        <v>2754</v>
      </c>
      <c r="U1440" t="s">
        <v>3250</v>
      </c>
      <c r="V1440" t="s">
        <v>3250</v>
      </c>
      <c r="W1440" t="s">
        <v>3250</v>
      </c>
      <c r="X1440" t="s">
        <v>3250</v>
      </c>
      <c r="Y1440" t="s">
        <v>3250</v>
      </c>
      <c r="Z1440" t="s">
        <v>3250</v>
      </c>
      <c r="AA1440" t="s">
        <v>3108</v>
      </c>
      <c r="AB1440" t="s">
        <v>3108</v>
      </c>
      <c r="AC1440" t="s">
        <v>3250</v>
      </c>
      <c r="AD1440" t="s">
        <v>3250</v>
      </c>
      <c r="AE1440" t="s">
        <v>3250</v>
      </c>
      <c r="AF1440" t="s">
        <v>3250</v>
      </c>
      <c r="AG1440" t="s">
        <v>3250</v>
      </c>
      <c r="AH1440" t="s">
        <v>3250</v>
      </c>
      <c r="AI1440" t="s">
        <v>3250</v>
      </c>
      <c r="AJ1440" t="s">
        <v>3250</v>
      </c>
      <c r="AL1440" t="s">
        <v>3250</v>
      </c>
      <c r="AM1440" t="s">
        <v>3250</v>
      </c>
      <c r="AN1440" t="s">
        <v>3250</v>
      </c>
      <c r="AO1440" t="s">
        <v>3250</v>
      </c>
      <c r="AS1440" t="s">
        <v>3250</v>
      </c>
      <c r="AT1440" t="s">
        <v>3250</v>
      </c>
      <c r="AU1440" t="s">
        <v>3250</v>
      </c>
      <c r="AV1440" t="s">
        <v>3250</v>
      </c>
      <c r="AW1440" t="s">
        <v>3250</v>
      </c>
      <c r="AX1440" t="s">
        <v>3250</v>
      </c>
      <c r="AY1440" t="s">
        <v>3250</v>
      </c>
      <c r="AZ1440" t="s">
        <v>3250</v>
      </c>
      <c r="BA1440" t="s">
        <v>3250</v>
      </c>
      <c r="BB1440" t="s">
        <v>3250</v>
      </c>
      <c r="BC1440" t="s">
        <v>3250</v>
      </c>
      <c r="BE1440" t="s">
        <v>3250</v>
      </c>
      <c r="BF1440" t="s">
        <v>3250</v>
      </c>
      <c r="BG1440" t="s">
        <v>3250</v>
      </c>
      <c r="BH1440" t="s">
        <v>3250</v>
      </c>
      <c r="BI1440" t="s">
        <v>3250</v>
      </c>
      <c r="BK1440" t="s">
        <v>3250</v>
      </c>
      <c r="BL1440" t="s">
        <v>3250</v>
      </c>
      <c r="BM1440" t="s">
        <v>3250</v>
      </c>
      <c r="BN1440" t="s">
        <v>3250</v>
      </c>
      <c r="BP1440">
        <v>9</v>
      </c>
      <c r="BQ1440">
        <v>91</v>
      </c>
      <c r="BR1440" t="s">
        <v>2390</v>
      </c>
      <c r="BS1440" t="s">
        <v>1675</v>
      </c>
      <c r="BV1440">
        <v>4410</v>
      </c>
      <c r="BW1440">
        <v>31780</v>
      </c>
      <c r="BX1440">
        <v>0</v>
      </c>
      <c r="BY1440">
        <v>30000</v>
      </c>
      <c r="BZ1440">
        <v>0</v>
      </c>
      <c r="CA1440">
        <v>20000</v>
      </c>
      <c r="CB1440">
        <v>20800</v>
      </c>
      <c r="CC1440">
        <v>21632</v>
      </c>
      <c r="CD1440">
        <v>0</v>
      </c>
      <c r="CE1440" t="s">
        <v>3108</v>
      </c>
      <c r="CF1440" t="s">
        <v>3108</v>
      </c>
      <c r="CG1440" t="s">
        <v>3108</v>
      </c>
      <c r="CH1440" t="s">
        <v>3108</v>
      </c>
    </row>
    <row r="1441" spans="1:86" x14ac:dyDescent="0.2">
      <c r="A1441" t="s">
        <v>5383</v>
      </c>
      <c r="B1441" t="s">
        <v>5383</v>
      </c>
      <c r="C1441">
        <v>54423</v>
      </c>
      <c r="D1441">
        <v>1555</v>
      </c>
      <c r="E1441" t="s">
        <v>4003</v>
      </c>
      <c r="F1441">
        <v>2700</v>
      </c>
      <c r="G1441" t="s">
        <v>411</v>
      </c>
      <c r="H1441" t="s">
        <v>4004</v>
      </c>
      <c r="I1441" t="s">
        <v>2531</v>
      </c>
      <c r="J1441">
        <v>2701</v>
      </c>
      <c r="K1441" t="s">
        <v>2531</v>
      </c>
      <c r="L1441">
        <v>2200</v>
      </c>
      <c r="M1441" t="s">
        <v>124</v>
      </c>
      <c r="N1441">
        <v>2205</v>
      </c>
      <c r="O1441" t="s">
        <v>2390</v>
      </c>
      <c r="P1441" t="s">
        <v>3108</v>
      </c>
      <c r="Q1441" t="s">
        <v>3249</v>
      </c>
      <c r="R1441" t="s">
        <v>3249</v>
      </c>
      <c r="S1441" t="s">
        <v>810</v>
      </c>
      <c r="T1441" t="s">
        <v>2754</v>
      </c>
      <c r="U1441" t="s">
        <v>3250</v>
      </c>
      <c r="V1441" t="s">
        <v>3250</v>
      </c>
      <c r="W1441" t="s">
        <v>3250</v>
      </c>
      <c r="X1441" t="s">
        <v>3250</v>
      </c>
      <c r="Y1441" t="s">
        <v>3250</v>
      </c>
      <c r="Z1441" t="s">
        <v>3250</v>
      </c>
      <c r="AA1441" t="s">
        <v>3108</v>
      </c>
      <c r="AB1441" t="s">
        <v>3108</v>
      </c>
      <c r="AC1441" t="s">
        <v>3250</v>
      </c>
      <c r="AD1441" t="s">
        <v>3250</v>
      </c>
      <c r="AE1441" t="s">
        <v>3250</v>
      </c>
      <c r="AF1441" t="s">
        <v>3250</v>
      </c>
      <c r="AG1441" t="s">
        <v>3250</v>
      </c>
      <c r="AH1441" t="s">
        <v>3250</v>
      </c>
      <c r="AI1441" t="s">
        <v>3250</v>
      </c>
      <c r="AJ1441" t="s">
        <v>3250</v>
      </c>
      <c r="AL1441" t="s">
        <v>3250</v>
      </c>
      <c r="AM1441" t="s">
        <v>3250</v>
      </c>
      <c r="AN1441" t="s">
        <v>3250</v>
      </c>
      <c r="AO1441" t="s">
        <v>3250</v>
      </c>
      <c r="AS1441" t="s">
        <v>3250</v>
      </c>
      <c r="AT1441" t="s">
        <v>3250</v>
      </c>
      <c r="AU1441" t="s">
        <v>3250</v>
      </c>
      <c r="AV1441" t="s">
        <v>3250</v>
      </c>
      <c r="AW1441" t="s">
        <v>3250</v>
      </c>
      <c r="AX1441" t="s">
        <v>3250</v>
      </c>
      <c r="AY1441" t="s">
        <v>3250</v>
      </c>
      <c r="AZ1441" t="s">
        <v>3250</v>
      </c>
      <c r="BA1441" t="s">
        <v>3250</v>
      </c>
      <c r="BB1441" t="s">
        <v>3250</v>
      </c>
      <c r="BC1441" t="s">
        <v>3250</v>
      </c>
      <c r="BE1441" t="s">
        <v>3250</v>
      </c>
      <c r="BF1441" t="s">
        <v>3250</v>
      </c>
      <c r="BG1441" t="s">
        <v>3250</v>
      </c>
      <c r="BH1441" t="s">
        <v>3250</v>
      </c>
      <c r="BI1441" t="s">
        <v>3250</v>
      </c>
      <c r="BK1441" t="s">
        <v>3250</v>
      </c>
      <c r="BL1441" t="s">
        <v>3250</v>
      </c>
      <c r="BM1441" t="s">
        <v>3250</v>
      </c>
      <c r="BN1441" t="s">
        <v>3250</v>
      </c>
      <c r="BP1441">
        <v>9</v>
      </c>
      <c r="BQ1441">
        <v>91</v>
      </c>
      <c r="BR1441" t="s">
        <v>2390</v>
      </c>
      <c r="BS1441" t="s">
        <v>1675</v>
      </c>
      <c r="BV1441">
        <v>0</v>
      </c>
      <c r="BW1441">
        <v>29000</v>
      </c>
      <c r="BX1441">
        <v>0</v>
      </c>
      <c r="BY1441">
        <v>5000</v>
      </c>
      <c r="BZ1441">
        <v>0</v>
      </c>
      <c r="CA1441">
        <v>20000</v>
      </c>
      <c r="CB1441">
        <v>20800</v>
      </c>
      <c r="CC1441">
        <v>21632</v>
      </c>
      <c r="CD1441">
        <v>20700</v>
      </c>
      <c r="CE1441" t="s">
        <v>3108</v>
      </c>
      <c r="CF1441" t="s">
        <v>3108</v>
      </c>
      <c r="CG1441" t="s">
        <v>3108</v>
      </c>
      <c r="CH1441" t="s">
        <v>3108</v>
      </c>
    </row>
    <row r="1442" spans="1:86" x14ac:dyDescent="0.2">
      <c r="A1442" t="s">
        <v>5384</v>
      </c>
      <c r="B1442" t="s">
        <v>5384</v>
      </c>
      <c r="C1442">
        <v>54424</v>
      </c>
      <c r="D1442">
        <v>1556</v>
      </c>
      <c r="E1442" t="s">
        <v>4178</v>
      </c>
      <c r="F1442">
        <v>2700</v>
      </c>
      <c r="G1442" t="s">
        <v>411</v>
      </c>
      <c r="H1442" t="s">
        <v>3997</v>
      </c>
      <c r="I1442" t="s">
        <v>2533</v>
      </c>
      <c r="J1442">
        <v>2703</v>
      </c>
      <c r="K1442" t="s">
        <v>2533</v>
      </c>
      <c r="L1442">
        <v>2200</v>
      </c>
      <c r="M1442" t="s">
        <v>124</v>
      </c>
      <c r="N1442">
        <v>2205</v>
      </c>
      <c r="O1442" t="s">
        <v>2390</v>
      </c>
      <c r="P1442" t="s">
        <v>3108</v>
      </c>
      <c r="Q1442" t="s">
        <v>3249</v>
      </c>
      <c r="R1442" t="s">
        <v>3249</v>
      </c>
      <c r="S1442" t="s">
        <v>810</v>
      </c>
      <c r="T1442" t="s">
        <v>2754</v>
      </c>
      <c r="U1442" t="s">
        <v>3250</v>
      </c>
      <c r="V1442" t="s">
        <v>3250</v>
      </c>
      <c r="W1442" t="s">
        <v>3250</v>
      </c>
      <c r="X1442" t="s">
        <v>3250</v>
      </c>
      <c r="Y1442" t="s">
        <v>3250</v>
      </c>
      <c r="Z1442" t="s">
        <v>3250</v>
      </c>
      <c r="AA1442" t="s">
        <v>3108</v>
      </c>
      <c r="AB1442" t="s">
        <v>3108</v>
      </c>
      <c r="AC1442" t="s">
        <v>3250</v>
      </c>
      <c r="AD1442" t="s">
        <v>3250</v>
      </c>
      <c r="AE1442" t="s">
        <v>3250</v>
      </c>
      <c r="AF1442" t="s">
        <v>3250</v>
      </c>
      <c r="AG1442" t="s">
        <v>3250</v>
      </c>
      <c r="AH1442" t="s">
        <v>3250</v>
      </c>
      <c r="AI1442" t="s">
        <v>3250</v>
      </c>
      <c r="AJ1442" t="s">
        <v>3250</v>
      </c>
      <c r="AL1442" t="s">
        <v>3250</v>
      </c>
      <c r="AM1442" t="s">
        <v>3250</v>
      </c>
      <c r="AN1442" t="s">
        <v>3250</v>
      </c>
      <c r="AO1442" t="s">
        <v>3250</v>
      </c>
      <c r="AS1442" t="s">
        <v>3250</v>
      </c>
      <c r="AT1442" t="s">
        <v>3250</v>
      </c>
      <c r="AU1442" t="s">
        <v>3250</v>
      </c>
      <c r="AV1442" t="s">
        <v>3250</v>
      </c>
      <c r="AW1442" t="s">
        <v>3250</v>
      </c>
      <c r="AX1442" t="s">
        <v>3250</v>
      </c>
      <c r="AY1442" t="s">
        <v>3250</v>
      </c>
      <c r="AZ1442" t="s">
        <v>3250</v>
      </c>
      <c r="BA1442" t="s">
        <v>3250</v>
      </c>
      <c r="BB1442" t="s">
        <v>3250</v>
      </c>
      <c r="BC1442" t="s">
        <v>3250</v>
      </c>
      <c r="BE1442" t="s">
        <v>3250</v>
      </c>
      <c r="BF1442" t="s">
        <v>3250</v>
      </c>
      <c r="BG1442" t="s">
        <v>3250</v>
      </c>
      <c r="BH1442" t="s">
        <v>3250</v>
      </c>
      <c r="BI1442" t="s">
        <v>3250</v>
      </c>
      <c r="BK1442" t="s">
        <v>3250</v>
      </c>
      <c r="BL1442" t="s">
        <v>3250</v>
      </c>
      <c r="BM1442" t="s">
        <v>3250</v>
      </c>
      <c r="BN1442" t="s">
        <v>3250</v>
      </c>
      <c r="BP1442">
        <v>9</v>
      </c>
      <c r="BQ1442">
        <v>91</v>
      </c>
      <c r="BR1442" t="s">
        <v>2390</v>
      </c>
      <c r="BS1442" t="s">
        <v>1675</v>
      </c>
      <c r="BV1442">
        <v>0</v>
      </c>
      <c r="BW1442">
        <v>0</v>
      </c>
      <c r="BX1442">
        <v>0</v>
      </c>
      <c r="BY1442">
        <v>30000</v>
      </c>
      <c r="BZ1442">
        <v>0</v>
      </c>
      <c r="CA1442">
        <v>5000</v>
      </c>
      <c r="CB1442">
        <v>5200</v>
      </c>
      <c r="CC1442">
        <v>5408</v>
      </c>
      <c r="CD1442">
        <v>0</v>
      </c>
      <c r="CE1442" t="s">
        <v>3108</v>
      </c>
      <c r="CF1442" t="s">
        <v>3108</v>
      </c>
      <c r="CG1442" t="s">
        <v>3108</v>
      </c>
      <c r="CH1442" t="s">
        <v>3108</v>
      </c>
    </row>
    <row r="1443" spans="1:86" x14ac:dyDescent="0.2">
      <c r="A1443" t="s">
        <v>5385</v>
      </c>
      <c r="B1443" t="s">
        <v>5385</v>
      </c>
      <c r="C1443">
        <v>54425</v>
      </c>
      <c r="D1443">
        <v>1557</v>
      </c>
      <c r="E1443" t="s">
        <v>4178</v>
      </c>
      <c r="F1443">
        <v>2700</v>
      </c>
      <c r="G1443" t="s">
        <v>411</v>
      </c>
      <c r="H1443" t="s">
        <v>3997</v>
      </c>
      <c r="I1443" t="s">
        <v>2533</v>
      </c>
      <c r="J1443">
        <v>2703</v>
      </c>
      <c r="K1443" t="s">
        <v>2533</v>
      </c>
      <c r="L1443">
        <v>2200</v>
      </c>
      <c r="M1443" t="s">
        <v>124</v>
      </c>
      <c r="N1443">
        <v>2205</v>
      </c>
      <c r="O1443" t="s">
        <v>2390</v>
      </c>
      <c r="P1443" t="s">
        <v>3108</v>
      </c>
      <c r="Q1443" t="s">
        <v>3249</v>
      </c>
      <c r="R1443" t="s">
        <v>3249</v>
      </c>
      <c r="S1443" t="s">
        <v>810</v>
      </c>
      <c r="T1443" t="s">
        <v>2754</v>
      </c>
      <c r="U1443" t="s">
        <v>3250</v>
      </c>
      <c r="V1443" t="s">
        <v>3250</v>
      </c>
      <c r="W1443" t="s">
        <v>3250</v>
      </c>
      <c r="X1443" t="s">
        <v>3250</v>
      </c>
      <c r="Y1443" t="s">
        <v>3250</v>
      </c>
      <c r="Z1443" t="s">
        <v>3250</v>
      </c>
      <c r="AA1443" t="s">
        <v>3108</v>
      </c>
      <c r="AB1443" t="s">
        <v>3108</v>
      </c>
      <c r="AC1443" t="s">
        <v>3250</v>
      </c>
      <c r="AD1443" t="s">
        <v>3250</v>
      </c>
      <c r="AE1443" t="s">
        <v>3250</v>
      </c>
      <c r="AF1443" t="s">
        <v>3250</v>
      </c>
      <c r="AG1443" t="s">
        <v>3250</v>
      </c>
      <c r="AH1443" t="s">
        <v>3250</v>
      </c>
      <c r="AI1443" t="s">
        <v>3250</v>
      </c>
      <c r="AJ1443" t="s">
        <v>3250</v>
      </c>
      <c r="AL1443" t="s">
        <v>3250</v>
      </c>
      <c r="AM1443" t="s">
        <v>3250</v>
      </c>
      <c r="AN1443" t="s">
        <v>3250</v>
      </c>
      <c r="AO1443" t="s">
        <v>3250</v>
      </c>
      <c r="AS1443" t="s">
        <v>3250</v>
      </c>
      <c r="AT1443" t="s">
        <v>3250</v>
      </c>
      <c r="AU1443" t="s">
        <v>3250</v>
      </c>
      <c r="AV1443" t="s">
        <v>3250</v>
      </c>
      <c r="AW1443" t="s">
        <v>3250</v>
      </c>
      <c r="AX1443" t="s">
        <v>3250</v>
      </c>
      <c r="AY1443" t="s">
        <v>3250</v>
      </c>
      <c r="AZ1443" t="s">
        <v>3250</v>
      </c>
      <c r="BA1443" t="s">
        <v>3250</v>
      </c>
      <c r="BB1443" t="s">
        <v>3250</v>
      </c>
      <c r="BC1443" t="s">
        <v>3250</v>
      </c>
      <c r="BE1443" t="s">
        <v>3250</v>
      </c>
      <c r="BF1443" t="s">
        <v>3250</v>
      </c>
      <c r="BG1443" t="s">
        <v>3250</v>
      </c>
      <c r="BH1443" t="s">
        <v>3250</v>
      </c>
      <c r="BI1443" t="s">
        <v>3250</v>
      </c>
      <c r="BK1443" t="s">
        <v>3250</v>
      </c>
      <c r="BL1443" t="s">
        <v>3250</v>
      </c>
      <c r="BM1443" t="s">
        <v>3250</v>
      </c>
      <c r="BN1443" t="s">
        <v>3250</v>
      </c>
      <c r="BP1443">
        <v>9</v>
      </c>
      <c r="BQ1443">
        <v>91</v>
      </c>
      <c r="BR1443" t="s">
        <v>2390</v>
      </c>
      <c r="BS1443" t="s">
        <v>1675</v>
      </c>
      <c r="BV1443">
        <v>5500</v>
      </c>
      <c r="BW1443">
        <v>0</v>
      </c>
      <c r="BX1443">
        <v>0</v>
      </c>
      <c r="BY1443">
        <v>0</v>
      </c>
      <c r="BZ1443">
        <v>0</v>
      </c>
      <c r="CA1443">
        <v>0</v>
      </c>
      <c r="CB1443">
        <v>0</v>
      </c>
      <c r="CC1443">
        <v>0</v>
      </c>
      <c r="CD1443">
        <v>0</v>
      </c>
      <c r="CE1443" t="s">
        <v>3108</v>
      </c>
      <c r="CF1443" t="s">
        <v>3108</v>
      </c>
      <c r="CG1443" t="s">
        <v>3108</v>
      </c>
      <c r="CH1443" t="s">
        <v>3108</v>
      </c>
    </row>
    <row r="1444" spans="1:86" x14ac:dyDescent="0.2">
      <c r="A1444" t="s">
        <v>5386</v>
      </c>
      <c r="B1444" t="s">
        <v>5386</v>
      </c>
      <c r="C1444">
        <v>54426</v>
      </c>
      <c r="D1444">
        <v>1558</v>
      </c>
      <c r="E1444" t="s">
        <v>4006</v>
      </c>
      <c r="F1444">
        <v>2700</v>
      </c>
      <c r="G1444" t="s">
        <v>411</v>
      </c>
      <c r="H1444" t="s">
        <v>4004</v>
      </c>
      <c r="I1444" t="s">
        <v>2531</v>
      </c>
      <c r="J1444">
        <v>2701</v>
      </c>
      <c r="K1444" t="s">
        <v>2531</v>
      </c>
      <c r="L1444">
        <v>2200</v>
      </c>
      <c r="M1444" t="s">
        <v>124</v>
      </c>
      <c r="N1444">
        <v>2205</v>
      </c>
      <c r="O1444" t="s">
        <v>2390</v>
      </c>
      <c r="P1444" t="s">
        <v>3108</v>
      </c>
      <c r="Q1444" t="s">
        <v>3249</v>
      </c>
      <c r="R1444" t="s">
        <v>3249</v>
      </c>
      <c r="S1444" t="s">
        <v>810</v>
      </c>
      <c r="T1444" t="s">
        <v>2754</v>
      </c>
      <c r="U1444" t="s">
        <v>3250</v>
      </c>
      <c r="V1444" t="s">
        <v>3250</v>
      </c>
      <c r="W1444" t="s">
        <v>3250</v>
      </c>
      <c r="X1444" t="s">
        <v>3250</v>
      </c>
      <c r="Y1444" t="s">
        <v>3250</v>
      </c>
      <c r="Z1444" t="s">
        <v>3250</v>
      </c>
      <c r="AA1444" t="s">
        <v>3108</v>
      </c>
      <c r="AB1444" t="s">
        <v>3108</v>
      </c>
      <c r="AC1444" t="s">
        <v>3250</v>
      </c>
      <c r="AD1444" t="s">
        <v>3250</v>
      </c>
      <c r="AE1444" t="s">
        <v>3250</v>
      </c>
      <c r="AF1444" t="s">
        <v>3250</v>
      </c>
      <c r="AG1444" t="s">
        <v>3250</v>
      </c>
      <c r="AH1444" t="s">
        <v>3250</v>
      </c>
      <c r="AI1444" t="s">
        <v>3250</v>
      </c>
      <c r="AJ1444" t="s">
        <v>3250</v>
      </c>
      <c r="AL1444" t="s">
        <v>3250</v>
      </c>
      <c r="AM1444" t="s">
        <v>3250</v>
      </c>
      <c r="AN1444" t="s">
        <v>3250</v>
      </c>
      <c r="AO1444" t="s">
        <v>3250</v>
      </c>
      <c r="AS1444" t="s">
        <v>3250</v>
      </c>
      <c r="AT1444" t="s">
        <v>3250</v>
      </c>
      <c r="AU1444" t="s">
        <v>3250</v>
      </c>
      <c r="AV1444" t="s">
        <v>3250</v>
      </c>
      <c r="AW1444" t="s">
        <v>3250</v>
      </c>
      <c r="AX1444" t="s">
        <v>3250</v>
      </c>
      <c r="AY1444" t="s">
        <v>3250</v>
      </c>
      <c r="AZ1444" t="s">
        <v>3250</v>
      </c>
      <c r="BA1444" t="s">
        <v>3250</v>
      </c>
      <c r="BB1444" t="s">
        <v>3250</v>
      </c>
      <c r="BC1444" t="s">
        <v>3250</v>
      </c>
      <c r="BE1444" t="s">
        <v>3250</v>
      </c>
      <c r="BF1444" t="s">
        <v>3250</v>
      </c>
      <c r="BG1444" t="s">
        <v>3250</v>
      </c>
      <c r="BH1444" t="s">
        <v>3250</v>
      </c>
      <c r="BI1444" t="s">
        <v>3250</v>
      </c>
      <c r="BK1444" t="s">
        <v>3250</v>
      </c>
      <c r="BL1444" t="s">
        <v>3250</v>
      </c>
      <c r="BM1444" t="s">
        <v>3250</v>
      </c>
      <c r="BN1444" t="s">
        <v>3250</v>
      </c>
      <c r="BP1444">
        <v>9</v>
      </c>
      <c r="BQ1444">
        <v>91</v>
      </c>
      <c r="BR1444" t="s">
        <v>2390</v>
      </c>
      <c r="BS1444" t="s">
        <v>1675</v>
      </c>
      <c r="BV1444">
        <v>304434</v>
      </c>
      <c r="BW1444">
        <v>21100</v>
      </c>
      <c r="BX1444">
        <v>0</v>
      </c>
      <c r="BY1444">
        <v>50000</v>
      </c>
      <c r="BZ1444">
        <v>0</v>
      </c>
      <c r="CA1444">
        <v>0</v>
      </c>
      <c r="CB1444">
        <v>0</v>
      </c>
      <c r="CC1444">
        <v>0</v>
      </c>
      <c r="CD1444">
        <v>0</v>
      </c>
      <c r="CE1444" t="s">
        <v>3108</v>
      </c>
      <c r="CF1444" t="s">
        <v>3108</v>
      </c>
      <c r="CG1444" t="s">
        <v>3108</v>
      </c>
      <c r="CH1444" t="s">
        <v>3108</v>
      </c>
    </row>
    <row r="1445" spans="1:86" x14ac:dyDescent="0.2">
      <c r="A1445" t="s">
        <v>5387</v>
      </c>
      <c r="B1445" t="s">
        <v>5387</v>
      </c>
      <c r="C1445">
        <v>54427</v>
      </c>
      <c r="D1445">
        <v>1559</v>
      </c>
      <c r="E1445" t="s">
        <v>4003</v>
      </c>
      <c r="F1445">
        <v>2700</v>
      </c>
      <c r="G1445" t="s">
        <v>411</v>
      </c>
      <c r="H1445" t="s">
        <v>4004</v>
      </c>
      <c r="I1445" t="s">
        <v>2531</v>
      </c>
      <c r="J1445">
        <v>2701</v>
      </c>
      <c r="K1445" t="s">
        <v>2531</v>
      </c>
      <c r="L1445">
        <v>2200</v>
      </c>
      <c r="M1445" t="s">
        <v>124</v>
      </c>
      <c r="N1445">
        <v>2205</v>
      </c>
      <c r="O1445" t="s">
        <v>2390</v>
      </c>
      <c r="P1445" t="s">
        <v>3108</v>
      </c>
      <c r="Q1445" t="s">
        <v>3249</v>
      </c>
      <c r="R1445" t="s">
        <v>3249</v>
      </c>
      <c r="S1445" t="s">
        <v>810</v>
      </c>
      <c r="T1445" t="s">
        <v>2754</v>
      </c>
      <c r="U1445" t="s">
        <v>3250</v>
      </c>
      <c r="V1445" t="s">
        <v>3250</v>
      </c>
      <c r="W1445" t="s">
        <v>3250</v>
      </c>
      <c r="X1445" t="s">
        <v>3250</v>
      </c>
      <c r="Y1445" t="s">
        <v>3250</v>
      </c>
      <c r="Z1445" t="s">
        <v>3250</v>
      </c>
      <c r="AA1445" t="s">
        <v>3108</v>
      </c>
      <c r="AB1445" t="s">
        <v>3108</v>
      </c>
      <c r="AC1445" t="s">
        <v>3250</v>
      </c>
      <c r="AD1445" t="s">
        <v>3250</v>
      </c>
      <c r="AE1445" t="s">
        <v>3250</v>
      </c>
      <c r="AF1445" t="s">
        <v>3250</v>
      </c>
      <c r="AG1445" t="s">
        <v>3250</v>
      </c>
      <c r="AH1445" t="s">
        <v>3250</v>
      </c>
      <c r="AI1445" t="s">
        <v>3250</v>
      </c>
      <c r="AJ1445" t="s">
        <v>3250</v>
      </c>
      <c r="AL1445" t="s">
        <v>3250</v>
      </c>
      <c r="AM1445" t="s">
        <v>3250</v>
      </c>
      <c r="AN1445" t="s">
        <v>3250</v>
      </c>
      <c r="AO1445" t="s">
        <v>3250</v>
      </c>
      <c r="AS1445" t="s">
        <v>3250</v>
      </c>
      <c r="AT1445" t="s">
        <v>3250</v>
      </c>
      <c r="AU1445" t="s">
        <v>3250</v>
      </c>
      <c r="AV1445" t="s">
        <v>3250</v>
      </c>
      <c r="AW1445" t="s">
        <v>3250</v>
      </c>
      <c r="AX1445" t="s">
        <v>3250</v>
      </c>
      <c r="AY1445" t="s">
        <v>3250</v>
      </c>
      <c r="AZ1445" t="s">
        <v>3250</v>
      </c>
      <c r="BA1445" t="s">
        <v>3250</v>
      </c>
      <c r="BB1445" t="s">
        <v>3250</v>
      </c>
      <c r="BC1445" t="s">
        <v>3250</v>
      </c>
      <c r="BE1445" t="s">
        <v>3250</v>
      </c>
      <c r="BF1445" t="s">
        <v>3250</v>
      </c>
      <c r="BG1445" t="s">
        <v>3250</v>
      </c>
      <c r="BH1445" t="s">
        <v>3250</v>
      </c>
      <c r="BI1445" t="s">
        <v>3250</v>
      </c>
      <c r="BK1445" t="s">
        <v>3250</v>
      </c>
      <c r="BL1445" t="s">
        <v>3250</v>
      </c>
      <c r="BM1445" t="s">
        <v>3250</v>
      </c>
      <c r="BN1445" t="s">
        <v>3250</v>
      </c>
      <c r="BP1445">
        <v>9</v>
      </c>
      <c r="BQ1445">
        <v>91</v>
      </c>
      <c r="BR1445" t="s">
        <v>2390</v>
      </c>
      <c r="BS1445" t="s">
        <v>1675</v>
      </c>
      <c r="BV1445">
        <v>62640</v>
      </c>
      <c r="BW1445">
        <v>0</v>
      </c>
      <c r="BX1445">
        <v>0</v>
      </c>
      <c r="BY1445">
        <v>50000</v>
      </c>
      <c r="BZ1445">
        <v>0</v>
      </c>
      <c r="CA1445">
        <v>0</v>
      </c>
      <c r="CB1445">
        <v>0</v>
      </c>
      <c r="CC1445">
        <v>0</v>
      </c>
      <c r="CD1445">
        <v>2800</v>
      </c>
      <c r="CE1445" t="s">
        <v>3108</v>
      </c>
      <c r="CF1445" t="s">
        <v>3108</v>
      </c>
      <c r="CG1445" t="s">
        <v>3108</v>
      </c>
      <c r="CH1445" t="s">
        <v>3108</v>
      </c>
    </row>
    <row r="1446" spans="1:86" x14ac:dyDescent="0.2">
      <c r="A1446" t="s">
        <v>5388</v>
      </c>
      <c r="B1446" t="s">
        <v>5388</v>
      </c>
      <c r="C1446">
        <v>54428</v>
      </c>
      <c r="D1446">
        <v>1560</v>
      </c>
      <c r="E1446" t="s">
        <v>4037</v>
      </c>
      <c r="F1446">
        <v>2900</v>
      </c>
      <c r="G1446" t="s">
        <v>822</v>
      </c>
      <c r="H1446" t="s">
        <v>3108</v>
      </c>
      <c r="I1446" t="s">
        <v>3108</v>
      </c>
      <c r="J1446">
        <v>2904</v>
      </c>
      <c r="K1446" t="s">
        <v>1690</v>
      </c>
      <c r="L1446">
        <v>2200</v>
      </c>
      <c r="M1446" t="s">
        <v>124</v>
      </c>
      <c r="N1446">
        <v>2205</v>
      </c>
      <c r="O1446" t="s">
        <v>2390</v>
      </c>
      <c r="P1446" t="s">
        <v>3108</v>
      </c>
      <c r="Q1446" t="s">
        <v>3249</v>
      </c>
      <c r="R1446" t="s">
        <v>3249</v>
      </c>
      <c r="S1446" t="s">
        <v>810</v>
      </c>
      <c r="T1446" t="s">
        <v>2754</v>
      </c>
      <c r="U1446" t="s">
        <v>3250</v>
      </c>
      <c r="V1446" t="s">
        <v>3250</v>
      </c>
      <c r="W1446" t="s">
        <v>3250</v>
      </c>
      <c r="X1446" t="s">
        <v>3250</v>
      </c>
      <c r="Y1446" t="s">
        <v>3250</v>
      </c>
      <c r="Z1446" t="s">
        <v>3250</v>
      </c>
      <c r="AA1446" t="s">
        <v>3108</v>
      </c>
      <c r="AB1446" t="s">
        <v>3108</v>
      </c>
      <c r="AC1446" t="s">
        <v>3250</v>
      </c>
      <c r="AD1446" t="s">
        <v>3250</v>
      </c>
      <c r="AE1446" t="s">
        <v>3250</v>
      </c>
      <c r="AF1446" t="s">
        <v>3250</v>
      </c>
      <c r="AG1446" t="s">
        <v>3250</v>
      </c>
      <c r="AH1446" t="s">
        <v>3250</v>
      </c>
      <c r="AI1446" t="s">
        <v>3250</v>
      </c>
      <c r="AJ1446" t="s">
        <v>3250</v>
      </c>
      <c r="AL1446" t="s">
        <v>3250</v>
      </c>
      <c r="AM1446" t="s">
        <v>3250</v>
      </c>
      <c r="AN1446" t="s">
        <v>3250</v>
      </c>
      <c r="AO1446" t="s">
        <v>3250</v>
      </c>
      <c r="AS1446" t="s">
        <v>3250</v>
      </c>
      <c r="AT1446" t="s">
        <v>3250</v>
      </c>
      <c r="AU1446" t="s">
        <v>3250</v>
      </c>
      <c r="AV1446" t="s">
        <v>3250</v>
      </c>
      <c r="AW1446" t="s">
        <v>3250</v>
      </c>
      <c r="AX1446" t="s">
        <v>3250</v>
      </c>
      <c r="AY1446" t="s">
        <v>3250</v>
      </c>
      <c r="AZ1446" t="s">
        <v>3250</v>
      </c>
      <c r="BA1446" t="s">
        <v>3250</v>
      </c>
      <c r="BB1446" t="s">
        <v>3250</v>
      </c>
      <c r="BC1446" t="s">
        <v>3250</v>
      </c>
      <c r="BE1446" t="s">
        <v>3250</v>
      </c>
      <c r="BF1446" t="s">
        <v>3250</v>
      </c>
      <c r="BG1446" t="s">
        <v>3250</v>
      </c>
      <c r="BH1446" t="s">
        <v>3250</v>
      </c>
      <c r="BI1446" t="s">
        <v>3250</v>
      </c>
      <c r="BK1446" t="s">
        <v>3250</v>
      </c>
      <c r="BL1446" t="s">
        <v>3250</v>
      </c>
      <c r="BM1446" t="s">
        <v>3250</v>
      </c>
      <c r="BN1446" t="s">
        <v>3250</v>
      </c>
      <c r="BP1446">
        <v>9</v>
      </c>
      <c r="BQ1446">
        <v>91</v>
      </c>
      <c r="BR1446" t="s">
        <v>2390</v>
      </c>
      <c r="BS1446" t="s">
        <v>1675</v>
      </c>
      <c r="BV1446">
        <v>0</v>
      </c>
      <c r="BW1446">
        <v>0</v>
      </c>
      <c r="BX1446">
        <v>0</v>
      </c>
      <c r="BY1446">
        <v>0</v>
      </c>
      <c r="BZ1446">
        <v>0</v>
      </c>
      <c r="CA1446">
        <v>0</v>
      </c>
      <c r="CB1446">
        <v>0</v>
      </c>
      <c r="CC1446">
        <v>0</v>
      </c>
      <c r="CD1446">
        <v>0</v>
      </c>
      <c r="CE1446" t="s">
        <v>3108</v>
      </c>
      <c r="CF1446" t="s">
        <v>3108</v>
      </c>
      <c r="CG1446" t="s">
        <v>3108</v>
      </c>
      <c r="CH1446" t="s">
        <v>3108</v>
      </c>
    </row>
    <row r="1447" spans="1:86" x14ac:dyDescent="0.2">
      <c r="A1447" t="s">
        <v>5389</v>
      </c>
      <c r="B1447" t="s">
        <v>5389</v>
      </c>
      <c r="C1447">
        <v>54429</v>
      </c>
      <c r="D1447">
        <v>1561</v>
      </c>
      <c r="E1447" t="s">
        <v>4027</v>
      </c>
      <c r="F1447">
        <v>2900</v>
      </c>
      <c r="G1447" t="s">
        <v>822</v>
      </c>
      <c r="H1447" t="s">
        <v>3108</v>
      </c>
      <c r="I1447" t="s">
        <v>3108</v>
      </c>
      <c r="J1447">
        <v>2904</v>
      </c>
      <c r="K1447" t="s">
        <v>1690</v>
      </c>
      <c r="L1447">
        <v>2200</v>
      </c>
      <c r="M1447" t="s">
        <v>124</v>
      </c>
      <c r="N1447">
        <v>2205</v>
      </c>
      <c r="O1447" t="s">
        <v>2390</v>
      </c>
      <c r="P1447" t="s">
        <v>3108</v>
      </c>
      <c r="Q1447" t="s">
        <v>3249</v>
      </c>
      <c r="R1447" t="s">
        <v>3249</v>
      </c>
      <c r="S1447" t="s">
        <v>810</v>
      </c>
      <c r="T1447" t="s">
        <v>2754</v>
      </c>
      <c r="U1447" t="s">
        <v>3250</v>
      </c>
      <c r="V1447" t="s">
        <v>3250</v>
      </c>
      <c r="W1447" t="s">
        <v>3250</v>
      </c>
      <c r="X1447" t="s">
        <v>3250</v>
      </c>
      <c r="Y1447" t="s">
        <v>3250</v>
      </c>
      <c r="Z1447" t="s">
        <v>3250</v>
      </c>
      <c r="AA1447" t="s">
        <v>3108</v>
      </c>
      <c r="AB1447" t="s">
        <v>3108</v>
      </c>
      <c r="AC1447" t="s">
        <v>3250</v>
      </c>
      <c r="AD1447" t="s">
        <v>3250</v>
      </c>
      <c r="AE1447" t="s">
        <v>3250</v>
      </c>
      <c r="AF1447" t="s">
        <v>3250</v>
      </c>
      <c r="AG1447" t="s">
        <v>3250</v>
      </c>
      <c r="AH1447" t="s">
        <v>3250</v>
      </c>
      <c r="AI1447" t="s">
        <v>3250</v>
      </c>
      <c r="AJ1447" t="s">
        <v>3250</v>
      </c>
      <c r="AL1447" t="s">
        <v>3250</v>
      </c>
      <c r="AM1447" t="s">
        <v>3250</v>
      </c>
      <c r="AN1447" t="s">
        <v>3250</v>
      </c>
      <c r="AO1447" t="s">
        <v>3250</v>
      </c>
      <c r="AS1447" t="s">
        <v>3250</v>
      </c>
      <c r="AT1447" t="s">
        <v>3250</v>
      </c>
      <c r="AU1447" t="s">
        <v>3250</v>
      </c>
      <c r="AV1447" t="s">
        <v>3250</v>
      </c>
      <c r="AW1447" t="s">
        <v>3250</v>
      </c>
      <c r="AX1447" t="s">
        <v>3250</v>
      </c>
      <c r="AY1447" t="s">
        <v>3250</v>
      </c>
      <c r="AZ1447" t="s">
        <v>3250</v>
      </c>
      <c r="BA1447" t="s">
        <v>3250</v>
      </c>
      <c r="BB1447" t="s">
        <v>3250</v>
      </c>
      <c r="BC1447" t="s">
        <v>3250</v>
      </c>
      <c r="BE1447" t="s">
        <v>3250</v>
      </c>
      <c r="BF1447" t="s">
        <v>3250</v>
      </c>
      <c r="BG1447" t="s">
        <v>3250</v>
      </c>
      <c r="BH1447" t="s">
        <v>3250</v>
      </c>
      <c r="BI1447" t="s">
        <v>3250</v>
      </c>
      <c r="BK1447" t="s">
        <v>3250</v>
      </c>
      <c r="BL1447" t="s">
        <v>3250</v>
      </c>
      <c r="BM1447" t="s">
        <v>3250</v>
      </c>
      <c r="BN1447" t="s">
        <v>3250</v>
      </c>
      <c r="BP1447">
        <v>9</v>
      </c>
      <c r="BQ1447">
        <v>91</v>
      </c>
      <c r="BR1447" t="s">
        <v>2390</v>
      </c>
      <c r="BS1447" t="s">
        <v>1675</v>
      </c>
      <c r="BV1447">
        <v>0</v>
      </c>
      <c r="BW1447">
        <v>0</v>
      </c>
      <c r="BX1447">
        <v>0</v>
      </c>
      <c r="BY1447">
        <v>0</v>
      </c>
      <c r="BZ1447">
        <v>0</v>
      </c>
      <c r="CA1447">
        <v>0</v>
      </c>
      <c r="CB1447">
        <v>0</v>
      </c>
      <c r="CC1447">
        <v>0</v>
      </c>
      <c r="CD1447">
        <v>0</v>
      </c>
      <c r="CE1447" t="s">
        <v>3108</v>
      </c>
      <c r="CF1447" t="s">
        <v>3108</v>
      </c>
      <c r="CG1447" t="s">
        <v>3108</v>
      </c>
      <c r="CH1447" t="s">
        <v>3108</v>
      </c>
    </row>
    <row r="1448" spans="1:86" x14ac:dyDescent="0.2">
      <c r="A1448" t="s">
        <v>5390</v>
      </c>
      <c r="B1448" t="s">
        <v>5390</v>
      </c>
      <c r="C1448">
        <v>54430</v>
      </c>
      <c r="D1448">
        <v>1562</v>
      </c>
      <c r="E1448" t="s">
        <v>4031</v>
      </c>
      <c r="F1448">
        <v>2900</v>
      </c>
      <c r="G1448" t="s">
        <v>822</v>
      </c>
      <c r="H1448" t="s">
        <v>3108</v>
      </c>
      <c r="I1448" t="s">
        <v>3108</v>
      </c>
      <c r="J1448">
        <v>2904</v>
      </c>
      <c r="K1448" t="s">
        <v>1690</v>
      </c>
      <c r="L1448">
        <v>2200</v>
      </c>
      <c r="M1448" t="s">
        <v>124</v>
      </c>
      <c r="N1448">
        <v>2205</v>
      </c>
      <c r="O1448" t="s">
        <v>2390</v>
      </c>
      <c r="P1448" t="s">
        <v>3108</v>
      </c>
      <c r="Q1448" t="s">
        <v>3249</v>
      </c>
      <c r="R1448" t="s">
        <v>3249</v>
      </c>
      <c r="S1448" t="s">
        <v>810</v>
      </c>
      <c r="T1448" t="s">
        <v>2754</v>
      </c>
      <c r="U1448" t="s">
        <v>3250</v>
      </c>
      <c r="V1448" t="s">
        <v>3250</v>
      </c>
      <c r="W1448" t="s">
        <v>3250</v>
      </c>
      <c r="X1448" t="s">
        <v>3250</v>
      </c>
      <c r="Y1448" t="s">
        <v>3250</v>
      </c>
      <c r="Z1448" t="s">
        <v>3250</v>
      </c>
      <c r="AA1448" t="s">
        <v>3108</v>
      </c>
      <c r="AB1448" t="s">
        <v>3108</v>
      </c>
      <c r="AC1448" t="s">
        <v>3250</v>
      </c>
      <c r="AD1448" t="s">
        <v>3250</v>
      </c>
      <c r="AE1448" t="s">
        <v>3250</v>
      </c>
      <c r="AF1448" t="s">
        <v>3250</v>
      </c>
      <c r="AG1448" t="s">
        <v>3250</v>
      </c>
      <c r="AH1448" t="s">
        <v>3250</v>
      </c>
      <c r="AI1448" t="s">
        <v>3250</v>
      </c>
      <c r="AJ1448" t="s">
        <v>3250</v>
      </c>
      <c r="AL1448" t="s">
        <v>3250</v>
      </c>
      <c r="AM1448" t="s">
        <v>3250</v>
      </c>
      <c r="AN1448" t="s">
        <v>3250</v>
      </c>
      <c r="AO1448" t="s">
        <v>3250</v>
      </c>
      <c r="AS1448" t="s">
        <v>3250</v>
      </c>
      <c r="AT1448" t="s">
        <v>3250</v>
      </c>
      <c r="AU1448" t="s">
        <v>3250</v>
      </c>
      <c r="AV1448" t="s">
        <v>3250</v>
      </c>
      <c r="AW1448" t="s">
        <v>3250</v>
      </c>
      <c r="AX1448" t="s">
        <v>3250</v>
      </c>
      <c r="AY1448" t="s">
        <v>3250</v>
      </c>
      <c r="AZ1448" t="s">
        <v>3250</v>
      </c>
      <c r="BA1448" t="s">
        <v>3250</v>
      </c>
      <c r="BB1448" t="s">
        <v>3250</v>
      </c>
      <c r="BC1448" t="s">
        <v>3250</v>
      </c>
      <c r="BE1448" t="s">
        <v>3250</v>
      </c>
      <c r="BF1448" t="s">
        <v>3250</v>
      </c>
      <c r="BG1448" t="s">
        <v>3250</v>
      </c>
      <c r="BH1448" t="s">
        <v>3250</v>
      </c>
      <c r="BI1448" t="s">
        <v>3250</v>
      </c>
      <c r="BK1448" t="s">
        <v>3250</v>
      </c>
      <c r="BL1448" t="s">
        <v>3250</v>
      </c>
      <c r="BM1448" t="s">
        <v>3250</v>
      </c>
      <c r="BN1448" t="s">
        <v>3250</v>
      </c>
      <c r="BP1448">
        <v>9</v>
      </c>
      <c r="BQ1448">
        <v>91</v>
      </c>
      <c r="BR1448" t="s">
        <v>2390</v>
      </c>
      <c r="BS1448" t="s">
        <v>1675</v>
      </c>
      <c r="BV1448">
        <v>116265</v>
      </c>
      <c r="BW1448">
        <v>113835</v>
      </c>
      <c r="BX1448">
        <v>0</v>
      </c>
      <c r="BY1448">
        <v>120000</v>
      </c>
      <c r="BZ1448">
        <v>0</v>
      </c>
      <c r="CA1448">
        <v>0</v>
      </c>
      <c r="CB1448">
        <v>0</v>
      </c>
      <c r="CC1448">
        <v>0</v>
      </c>
      <c r="CD1448">
        <v>65100</v>
      </c>
      <c r="CE1448" t="s">
        <v>3108</v>
      </c>
      <c r="CF1448" t="s">
        <v>3108</v>
      </c>
      <c r="CG1448" t="s">
        <v>3108</v>
      </c>
      <c r="CH1448" t="s">
        <v>3108</v>
      </c>
    </row>
    <row r="1449" spans="1:86" x14ac:dyDescent="0.2">
      <c r="A1449" t="s">
        <v>5391</v>
      </c>
      <c r="B1449" t="s">
        <v>5391</v>
      </c>
      <c r="C1449">
        <v>54431</v>
      </c>
      <c r="D1449">
        <v>1563</v>
      </c>
      <c r="E1449" t="s">
        <v>4001</v>
      </c>
      <c r="F1449">
        <v>2900</v>
      </c>
      <c r="G1449" t="s">
        <v>822</v>
      </c>
      <c r="H1449" t="s">
        <v>3108</v>
      </c>
      <c r="I1449" t="s">
        <v>3108</v>
      </c>
      <c r="J1449">
        <v>2904</v>
      </c>
      <c r="K1449" t="s">
        <v>1690</v>
      </c>
      <c r="L1449">
        <v>2100</v>
      </c>
      <c r="M1449" t="s">
        <v>123</v>
      </c>
      <c r="N1449">
        <v>2112</v>
      </c>
      <c r="O1449" t="s">
        <v>2404</v>
      </c>
      <c r="P1449" t="s">
        <v>3108</v>
      </c>
      <c r="Q1449" t="s">
        <v>3249</v>
      </c>
      <c r="R1449" t="s">
        <v>3249</v>
      </c>
      <c r="S1449" t="s">
        <v>810</v>
      </c>
      <c r="T1449" t="s">
        <v>2754</v>
      </c>
      <c r="U1449" t="s">
        <v>3250</v>
      </c>
      <c r="V1449" t="s">
        <v>3250</v>
      </c>
      <c r="W1449" t="s">
        <v>3250</v>
      </c>
      <c r="X1449" t="s">
        <v>3250</v>
      </c>
      <c r="Y1449" t="s">
        <v>3250</v>
      </c>
      <c r="Z1449" t="s">
        <v>3250</v>
      </c>
      <c r="AA1449" t="s">
        <v>3108</v>
      </c>
      <c r="AB1449" t="s">
        <v>3108</v>
      </c>
      <c r="AC1449" t="s">
        <v>3250</v>
      </c>
      <c r="AD1449" t="s">
        <v>3250</v>
      </c>
      <c r="AE1449" t="s">
        <v>3250</v>
      </c>
      <c r="AF1449" t="s">
        <v>3250</v>
      </c>
      <c r="AG1449" t="s">
        <v>3250</v>
      </c>
      <c r="AH1449" t="s">
        <v>3250</v>
      </c>
      <c r="AI1449" t="s">
        <v>3250</v>
      </c>
      <c r="AJ1449" t="s">
        <v>3250</v>
      </c>
      <c r="AL1449" t="s">
        <v>3250</v>
      </c>
      <c r="AM1449" t="s">
        <v>3250</v>
      </c>
      <c r="AN1449" t="s">
        <v>3250</v>
      </c>
      <c r="AO1449" t="s">
        <v>3250</v>
      </c>
      <c r="AS1449" t="s">
        <v>3250</v>
      </c>
      <c r="AT1449" t="s">
        <v>3250</v>
      </c>
      <c r="AU1449" t="s">
        <v>3250</v>
      </c>
      <c r="AV1449" t="s">
        <v>3250</v>
      </c>
      <c r="AW1449" t="s">
        <v>3250</v>
      </c>
      <c r="AX1449" t="s">
        <v>3250</v>
      </c>
      <c r="AY1449" t="s">
        <v>3250</v>
      </c>
      <c r="AZ1449" t="s">
        <v>3250</v>
      </c>
      <c r="BA1449" t="s">
        <v>3250</v>
      </c>
      <c r="BB1449" t="s">
        <v>3250</v>
      </c>
      <c r="BC1449" t="s">
        <v>3250</v>
      </c>
      <c r="BE1449" t="s">
        <v>3250</v>
      </c>
      <c r="BF1449" t="s">
        <v>3250</v>
      </c>
      <c r="BG1449" t="s">
        <v>3250</v>
      </c>
      <c r="BH1449" t="s">
        <v>3250</v>
      </c>
      <c r="BI1449" t="s">
        <v>3250</v>
      </c>
      <c r="BK1449" t="s">
        <v>3250</v>
      </c>
      <c r="BL1449" t="s">
        <v>3250</v>
      </c>
      <c r="BM1449" t="s">
        <v>3250</v>
      </c>
      <c r="BN1449" t="s">
        <v>3250</v>
      </c>
      <c r="BP1449">
        <v>4</v>
      </c>
      <c r="BQ1449">
        <v>46</v>
      </c>
      <c r="BR1449" t="s">
        <v>2404</v>
      </c>
      <c r="BS1449" t="s">
        <v>4024</v>
      </c>
      <c r="BV1449">
        <v>0</v>
      </c>
      <c r="BW1449">
        <v>0</v>
      </c>
      <c r="BX1449">
        <v>0</v>
      </c>
      <c r="BY1449">
        <v>20000</v>
      </c>
      <c r="BZ1449">
        <v>20000</v>
      </c>
      <c r="CA1449">
        <v>30000</v>
      </c>
      <c r="CB1449">
        <v>31200</v>
      </c>
      <c r="CC1449">
        <v>32448</v>
      </c>
      <c r="CD1449">
        <v>21570</v>
      </c>
      <c r="CE1449" t="s">
        <v>3108</v>
      </c>
      <c r="CF1449" t="s">
        <v>3108</v>
      </c>
      <c r="CG1449" t="s">
        <v>3108</v>
      </c>
      <c r="CH1449" t="s">
        <v>3108</v>
      </c>
    </row>
    <row r="1450" spans="1:86" x14ac:dyDescent="0.2">
      <c r="A1450" t="s">
        <v>5392</v>
      </c>
      <c r="B1450" t="s">
        <v>5392</v>
      </c>
      <c r="C1450">
        <v>54432</v>
      </c>
      <c r="D1450">
        <v>1564</v>
      </c>
      <c r="E1450" t="s">
        <v>4015</v>
      </c>
      <c r="F1450">
        <v>2900</v>
      </c>
      <c r="G1450" t="s">
        <v>822</v>
      </c>
      <c r="H1450" t="s">
        <v>3108</v>
      </c>
      <c r="I1450" t="s">
        <v>3108</v>
      </c>
      <c r="J1450">
        <v>2904</v>
      </c>
      <c r="K1450" t="s">
        <v>1690</v>
      </c>
      <c r="L1450">
        <v>2100</v>
      </c>
      <c r="M1450" t="s">
        <v>123</v>
      </c>
      <c r="N1450">
        <v>2112</v>
      </c>
      <c r="O1450" t="s">
        <v>2404</v>
      </c>
      <c r="P1450" t="s">
        <v>3108</v>
      </c>
      <c r="Q1450" t="s">
        <v>3249</v>
      </c>
      <c r="R1450" t="s">
        <v>3249</v>
      </c>
      <c r="S1450" t="s">
        <v>810</v>
      </c>
      <c r="T1450" t="s">
        <v>2754</v>
      </c>
      <c r="U1450" t="s">
        <v>3250</v>
      </c>
      <c r="V1450" t="s">
        <v>3250</v>
      </c>
      <c r="W1450" t="s">
        <v>3250</v>
      </c>
      <c r="X1450" t="s">
        <v>3250</v>
      </c>
      <c r="Y1450" t="s">
        <v>3250</v>
      </c>
      <c r="Z1450" t="s">
        <v>3250</v>
      </c>
      <c r="AA1450" t="s">
        <v>3108</v>
      </c>
      <c r="AB1450" t="s">
        <v>3108</v>
      </c>
      <c r="AC1450" t="s">
        <v>3250</v>
      </c>
      <c r="AD1450" t="s">
        <v>3250</v>
      </c>
      <c r="AE1450" t="s">
        <v>3250</v>
      </c>
      <c r="AF1450" t="s">
        <v>3250</v>
      </c>
      <c r="AG1450" t="s">
        <v>3250</v>
      </c>
      <c r="AH1450" t="s">
        <v>3250</v>
      </c>
      <c r="AI1450" t="s">
        <v>3250</v>
      </c>
      <c r="AJ1450" t="s">
        <v>3250</v>
      </c>
      <c r="AL1450" t="s">
        <v>3250</v>
      </c>
      <c r="AM1450" t="s">
        <v>3250</v>
      </c>
      <c r="AN1450" t="s">
        <v>3250</v>
      </c>
      <c r="AO1450" t="s">
        <v>3250</v>
      </c>
      <c r="AS1450" t="s">
        <v>3250</v>
      </c>
      <c r="AT1450" t="s">
        <v>3250</v>
      </c>
      <c r="AU1450" t="s">
        <v>3250</v>
      </c>
      <c r="AV1450" t="s">
        <v>3250</v>
      </c>
      <c r="AW1450" t="s">
        <v>3250</v>
      </c>
      <c r="AX1450" t="s">
        <v>3250</v>
      </c>
      <c r="AY1450" t="s">
        <v>3250</v>
      </c>
      <c r="AZ1450" t="s">
        <v>3250</v>
      </c>
      <c r="BA1450" t="s">
        <v>3250</v>
      </c>
      <c r="BB1450" t="s">
        <v>3250</v>
      </c>
      <c r="BC1450" t="s">
        <v>3250</v>
      </c>
      <c r="BE1450" t="s">
        <v>3250</v>
      </c>
      <c r="BF1450" t="s">
        <v>3250</v>
      </c>
      <c r="BG1450" t="s">
        <v>3250</v>
      </c>
      <c r="BH1450" t="s">
        <v>3250</v>
      </c>
      <c r="BI1450" t="s">
        <v>3250</v>
      </c>
      <c r="BK1450" t="s">
        <v>3250</v>
      </c>
      <c r="BL1450" t="s">
        <v>3250</v>
      </c>
      <c r="BM1450" t="s">
        <v>3250</v>
      </c>
      <c r="BN1450" t="s">
        <v>3250</v>
      </c>
      <c r="BP1450">
        <v>4</v>
      </c>
      <c r="BQ1450">
        <v>46</v>
      </c>
      <c r="BR1450" t="s">
        <v>2404</v>
      </c>
      <c r="BS1450" t="s">
        <v>4024</v>
      </c>
      <c r="BV1450">
        <v>0</v>
      </c>
      <c r="BW1450">
        <v>0</v>
      </c>
      <c r="BX1450">
        <v>0</v>
      </c>
      <c r="BY1450">
        <v>60000</v>
      </c>
      <c r="BZ1450">
        <v>60000</v>
      </c>
      <c r="CA1450">
        <v>0</v>
      </c>
      <c r="CB1450">
        <v>0</v>
      </c>
      <c r="CC1450">
        <v>0</v>
      </c>
      <c r="CD1450">
        <v>0</v>
      </c>
      <c r="CE1450" t="s">
        <v>3108</v>
      </c>
      <c r="CF1450" t="s">
        <v>3108</v>
      </c>
      <c r="CG1450" t="s">
        <v>3108</v>
      </c>
      <c r="CH1450" t="s">
        <v>3108</v>
      </c>
    </row>
    <row r="1451" spans="1:86" x14ac:dyDescent="0.2">
      <c r="A1451" t="s">
        <v>5393</v>
      </c>
      <c r="B1451" t="s">
        <v>5393</v>
      </c>
      <c r="C1451">
        <v>54433</v>
      </c>
      <c r="D1451">
        <v>1565</v>
      </c>
      <c r="E1451" t="s">
        <v>4326</v>
      </c>
      <c r="F1451">
        <v>2700</v>
      </c>
      <c r="G1451" t="s">
        <v>411</v>
      </c>
      <c r="H1451" t="s">
        <v>4004</v>
      </c>
      <c r="I1451" t="s">
        <v>2531</v>
      </c>
      <c r="J1451">
        <v>2701</v>
      </c>
      <c r="K1451" t="s">
        <v>2531</v>
      </c>
      <c r="L1451">
        <v>2100</v>
      </c>
      <c r="M1451" t="s">
        <v>123</v>
      </c>
      <c r="N1451">
        <v>2112</v>
      </c>
      <c r="O1451" t="s">
        <v>2404</v>
      </c>
      <c r="P1451" t="s">
        <v>3108</v>
      </c>
      <c r="Q1451" t="s">
        <v>3249</v>
      </c>
      <c r="R1451" t="s">
        <v>3249</v>
      </c>
      <c r="S1451" t="s">
        <v>810</v>
      </c>
      <c r="T1451" t="s">
        <v>2754</v>
      </c>
      <c r="U1451" t="s">
        <v>3250</v>
      </c>
      <c r="V1451" t="s">
        <v>3250</v>
      </c>
      <c r="W1451" t="s">
        <v>3250</v>
      </c>
      <c r="X1451" t="s">
        <v>3250</v>
      </c>
      <c r="Y1451" t="s">
        <v>3250</v>
      </c>
      <c r="Z1451" t="s">
        <v>3250</v>
      </c>
      <c r="AA1451" t="s">
        <v>3108</v>
      </c>
      <c r="AB1451" t="s">
        <v>3108</v>
      </c>
      <c r="AC1451" t="s">
        <v>3250</v>
      </c>
      <c r="AD1451" t="s">
        <v>3250</v>
      </c>
      <c r="AE1451" t="s">
        <v>3250</v>
      </c>
      <c r="AF1451" t="s">
        <v>3250</v>
      </c>
      <c r="AG1451" t="s">
        <v>3250</v>
      </c>
      <c r="AH1451" t="s">
        <v>3250</v>
      </c>
      <c r="AI1451" t="s">
        <v>3250</v>
      </c>
      <c r="AJ1451" t="s">
        <v>3250</v>
      </c>
      <c r="AL1451" t="s">
        <v>3250</v>
      </c>
      <c r="AM1451" t="s">
        <v>3250</v>
      </c>
      <c r="AN1451" t="s">
        <v>3250</v>
      </c>
      <c r="AO1451" t="s">
        <v>3250</v>
      </c>
      <c r="AS1451" t="s">
        <v>3250</v>
      </c>
      <c r="AT1451" t="s">
        <v>3250</v>
      </c>
      <c r="AU1451" t="s">
        <v>3250</v>
      </c>
      <c r="AV1451" t="s">
        <v>3250</v>
      </c>
      <c r="AW1451" t="s">
        <v>3250</v>
      </c>
      <c r="AX1451" t="s">
        <v>3250</v>
      </c>
      <c r="AY1451" t="s">
        <v>3250</v>
      </c>
      <c r="AZ1451" t="s">
        <v>3250</v>
      </c>
      <c r="BA1451" t="s">
        <v>3250</v>
      </c>
      <c r="BB1451" t="s">
        <v>3250</v>
      </c>
      <c r="BC1451" t="s">
        <v>3250</v>
      </c>
      <c r="BE1451" t="s">
        <v>3250</v>
      </c>
      <c r="BF1451" t="s">
        <v>3250</v>
      </c>
      <c r="BG1451" t="s">
        <v>3250</v>
      </c>
      <c r="BH1451" t="s">
        <v>3250</v>
      </c>
      <c r="BI1451" t="s">
        <v>3250</v>
      </c>
      <c r="BK1451" t="s">
        <v>3250</v>
      </c>
      <c r="BL1451" t="s">
        <v>3250</v>
      </c>
      <c r="BM1451" t="s">
        <v>3250</v>
      </c>
      <c r="BN1451" t="s">
        <v>3250</v>
      </c>
      <c r="BP1451">
        <v>4</v>
      </c>
      <c r="BQ1451">
        <v>46</v>
      </c>
      <c r="BR1451" t="s">
        <v>2404</v>
      </c>
      <c r="BS1451" t="s">
        <v>4024</v>
      </c>
      <c r="BV1451">
        <v>0</v>
      </c>
      <c r="BW1451">
        <v>0</v>
      </c>
      <c r="BX1451">
        <v>0</v>
      </c>
      <c r="BY1451">
        <v>30000</v>
      </c>
      <c r="BZ1451">
        <v>30000</v>
      </c>
      <c r="CA1451">
        <v>320000</v>
      </c>
      <c r="CB1451">
        <v>332800</v>
      </c>
      <c r="CC1451">
        <v>346112</v>
      </c>
      <c r="CD1451">
        <v>0</v>
      </c>
      <c r="CE1451" t="s">
        <v>3108</v>
      </c>
      <c r="CF1451" t="s">
        <v>3108</v>
      </c>
      <c r="CG1451" t="s">
        <v>3108</v>
      </c>
      <c r="CH1451" t="s">
        <v>3108</v>
      </c>
    </row>
    <row r="1452" spans="1:86" x14ac:dyDescent="0.2">
      <c r="A1452" t="s">
        <v>5394</v>
      </c>
      <c r="B1452" t="s">
        <v>5394</v>
      </c>
      <c r="C1452">
        <v>54434</v>
      </c>
      <c r="D1452">
        <v>1566</v>
      </c>
      <c r="E1452" t="s">
        <v>4015</v>
      </c>
      <c r="F1452">
        <v>2900</v>
      </c>
      <c r="G1452" t="s">
        <v>822</v>
      </c>
      <c r="H1452" t="s">
        <v>3108</v>
      </c>
      <c r="I1452" t="s">
        <v>3108</v>
      </c>
      <c r="J1452">
        <v>2904</v>
      </c>
      <c r="K1452" t="s">
        <v>1690</v>
      </c>
      <c r="L1452">
        <v>2100</v>
      </c>
      <c r="M1452" t="s">
        <v>123</v>
      </c>
      <c r="N1452">
        <v>2118</v>
      </c>
      <c r="O1452" t="s">
        <v>2409</v>
      </c>
      <c r="P1452" t="s">
        <v>3108</v>
      </c>
      <c r="Q1452" t="s">
        <v>3249</v>
      </c>
      <c r="R1452" t="s">
        <v>3249</v>
      </c>
      <c r="S1452" t="s">
        <v>810</v>
      </c>
      <c r="T1452" t="s">
        <v>2754</v>
      </c>
      <c r="U1452" t="s">
        <v>3250</v>
      </c>
      <c r="V1452" t="s">
        <v>3250</v>
      </c>
      <c r="W1452" t="s">
        <v>3250</v>
      </c>
      <c r="X1452" t="s">
        <v>3250</v>
      </c>
      <c r="Y1452" t="s">
        <v>3250</v>
      </c>
      <c r="Z1452" t="s">
        <v>3250</v>
      </c>
      <c r="AA1452" t="s">
        <v>3108</v>
      </c>
      <c r="AB1452" t="s">
        <v>3108</v>
      </c>
      <c r="AC1452" t="s">
        <v>3250</v>
      </c>
      <c r="AD1452" t="s">
        <v>3250</v>
      </c>
      <c r="AE1452" t="s">
        <v>3250</v>
      </c>
      <c r="AF1452" t="s">
        <v>3250</v>
      </c>
      <c r="AG1452" t="s">
        <v>3250</v>
      </c>
      <c r="AH1452" t="s">
        <v>3250</v>
      </c>
      <c r="AI1452" t="s">
        <v>3250</v>
      </c>
      <c r="AJ1452" t="s">
        <v>3250</v>
      </c>
      <c r="AL1452" t="s">
        <v>3250</v>
      </c>
      <c r="AM1452" t="s">
        <v>3250</v>
      </c>
      <c r="AN1452" t="s">
        <v>3250</v>
      </c>
      <c r="AO1452" t="s">
        <v>3250</v>
      </c>
      <c r="AS1452" t="s">
        <v>3250</v>
      </c>
      <c r="AT1452" t="s">
        <v>3250</v>
      </c>
      <c r="AU1452" t="s">
        <v>3250</v>
      </c>
      <c r="AV1452" t="s">
        <v>3250</v>
      </c>
      <c r="AW1452" t="s">
        <v>3250</v>
      </c>
      <c r="AX1452" t="s">
        <v>3250</v>
      </c>
      <c r="AY1452" t="s">
        <v>3250</v>
      </c>
      <c r="AZ1452" t="s">
        <v>3250</v>
      </c>
      <c r="BA1452" t="s">
        <v>3250</v>
      </c>
      <c r="BB1452" t="s">
        <v>3250</v>
      </c>
      <c r="BC1452" t="s">
        <v>3250</v>
      </c>
      <c r="BE1452" t="s">
        <v>3250</v>
      </c>
      <c r="BF1452" t="s">
        <v>3250</v>
      </c>
      <c r="BG1452" t="s">
        <v>3250</v>
      </c>
      <c r="BH1452" t="s">
        <v>3250</v>
      </c>
      <c r="BI1452" t="s">
        <v>3250</v>
      </c>
      <c r="BK1452" t="s">
        <v>3250</v>
      </c>
      <c r="BL1452" t="s">
        <v>3250</v>
      </c>
      <c r="BM1452" t="s">
        <v>3250</v>
      </c>
      <c r="BN1452" t="s">
        <v>3250</v>
      </c>
      <c r="BP1452">
        <v>4</v>
      </c>
      <c r="BQ1452">
        <v>43</v>
      </c>
      <c r="BR1452" t="s">
        <v>2409</v>
      </c>
      <c r="BS1452" t="s">
        <v>4024</v>
      </c>
      <c r="BV1452">
        <v>0</v>
      </c>
      <c r="BW1452">
        <v>0</v>
      </c>
      <c r="BX1452">
        <v>0</v>
      </c>
      <c r="BY1452">
        <v>0</v>
      </c>
      <c r="BZ1452">
        <v>0</v>
      </c>
      <c r="CA1452">
        <v>20000</v>
      </c>
      <c r="CB1452">
        <v>20800</v>
      </c>
      <c r="CC1452">
        <v>21632</v>
      </c>
      <c r="CD1452">
        <v>0</v>
      </c>
      <c r="CE1452" t="s">
        <v>3108</v>
      </c>
      <c r="CF1452" t="s">
        <v>3108</v>
      </c>
      <c r="CG1452" t="s">
        <v>3108</v>
      </c>
      <c r="CH1452" t="s">
        <v>3108</v>
      </c>
    </row>
    <row r="1453" spans="1:86" x14ac:dyDescent="0.2">
      <c r="A1453" t="s">
        <v>5395</v>
      </c>
      <c r="B1453" t="s">
        <v>5395</v>
      </c>
      <c r="C1453">
        <v>54435</v>
      </c>
      <c r="D1453">
        <v>1567</v>
      </c>
      <c r="E1453" t="s">
        <v>4003</v>
      </c>
      <c r="F1453">
        <v>2700</v>
      </c>
      <c r="G1453" t="s">
        <v>411</v>
      </c>
      <c r="H1453" t="s">
        <v>4004</v>
      </c>
      <c r="I1453" t="s">
        <v>2531</v>
      </c>
      <c r="J1453">
        <v>2701</v>
      </c>
      <c r="K1453" t="s">
        <v>2531</v>
      </c>
      <c r="L1453">
        <v>2100</v>
      </c>
      <c r="M1453" t="s">
        <v>123</v>
      </c>
      <c r="N1453">
        <v>2118</v>
      </c>
      <c r="O1453" t="s">
        <v>2409</v>
      </c>
      <c r="P1453" t="s">
        <v>3108</v>
      </c>
      <c r="Q1453" t="s">
        <v>3249</v>
      </c>
      <c r="R1453" t="s">
        <v>3249</v>
      </c>
      <c r="S1453" t="s">
        <v>810</v>
      </c>
      <c r="T1453" t="s">
        <v>2754</v>
      </c>
      <c r="U1453" t="s">
        <v>3250</v>
      </c>
      <c r="V1453" t="s">
        <v>3250</v>
      </c>
      <c r="W1453" t="s">
        <v>3250</v>
      </c>
      <c r="X1453" t="s">
        <v>3250</v>
      </c>
      <c r="Y1453" t="s">
        <v>3250</v>
      </c>
      <c r="Z1453" t="s">
        <v>3250</v>
      </c>
      <c r="AA1453" t="s">
        <v>3108</v>
      </c>
      <c r="AB1453" t="s">
        <v>3108</v>
      </c>
      <c r="AC1453" t="s">
        <v>3250</v>
      </c>
      <c r="AD1453" t="s">
        <v>3250</v>
      </c>
      <c r="AE1453" t="s">
        <v>3250</v>
      </c>
      <c r="AF1453" t="s">
        <v>3250</v>
      </c>
      <c r="AG1453" t="s">
        <v>3250</v>
      </c>
      <c r="AH1453" t="s">
        <v>3250</v>
      </c>
      <c r="AI1453" t="s">
        <v>3250</v>
      </c>
      <c r="AJ1453" t="s">
        <v>3250</v>
      </c>
      <c r="AL1453" t="s">
        <v>3250</v>
      </c>
      <c r="AM1453" t="s">
        <v>3250</v>
      </c>
      <c r="AN1453" t="s">
        <v>3250</v>
      </c>
      <c r="AO1453" t="s">
        <v>3250</v>
      </c>
      <c r="AS1453" t="s">
        <v>3250</v>
      </c>
      <c r="AT1453" t="s">
        <v>3250</v>
      </c>
      <c r="AU1453" t="s">
        <v>3250</v>
      </c>
      <c r="AV1453" t="s">
        <v>3250</v>
      </c>
      <c r="AW1453" t="s">
        <v>3250</v>
      </c>
      <c r="AX1453" t="s">
        <v>3250</v>
      </c>
      <c r="AY1453" t="s">
        <v>3250</v>
      </c>
      <c r="AZ1453" t="s">
        <v>3250</v>
      </c>
      <c r="BA1453" t="s">
        <v>3250</v>
      </c>
      <c r="BB1453" t="s">
        <v>3250</v>
      </c>
      <c r="BC1453" t="s">
        <v>3250</v>
      </c>
      <c r="BE1453" t="s">
        <v>3250</v>
      </c>
      <c r="BF1453" t="s">
        <v>3250</v>
      </c>
      <c r="BG1453" t="s">
        <v>3250</v>
      </c>
      <c r="BH1453" t="s">
        <v>3250</v>
      </c>
      <c r="BI1453" t="s">
        <v>3250</v>
      </c>
      <c r="BK1453" t="s">
        <v>3250</v>
      </c>
      <c r="BL1453" t="s">
        <v>3250</v>
      </c>
      <c r="BM1453" t="s">
        <v>3250</v>
      </c>
      <c r="BN1453" t="s">
        <v>3250</v>
      </c>
      <c r="BP1453">
        <v>4</v>
      </c>
      <c r="BQ1453">
        <v>43</v>
      </c>
      <c r="BR1453" t="s">
        <v>2409</v>
      </c>
      <c r="BS1453" t="s">
        <v>4024</v>
      </c>
      <c r="BV1453">
        <v>0</v>
      </c>
      <c r="BW1453">
        <v>0</v>
      </c>
      <c r="BX1453">
        <v>0</v>
      </c>
      <c r="BY1453">
        <v>30000</v>
      </c>
      <c r="BZ1453">
        <v>30000</v>
      </c>
      <c r="CA1453">
        <v>50000</v>
      </c>
      <c r="CB1453">
        <v>52000</v>
      </c>
      <c r="CC1453">
        <v>54080</v>
      </c>
      <c r="CD1453">
        <v>0</v>
      </c>
      <c r="CE1453" t="s">
        <v>3108</v>
      </c>
      <c r="CF1453" t="s">
        <v>3108</v>
      </c>
      <c r="CG1453" t="s">
        <v>3108</v>
      </c>
      <c r="CH1453" t="s">
        <v>3108</v>
      </c>
    </row>
    <row r="1454" spans="1:86" x14ac:dyDescent="0.2">
      <c r="A1454" t="s">
        <v>5396</v>
      </c>
      <c r="B1454" t="s">
        <v>5396</v>
      </c>
      <c r="C1454">
        <v>54436</v>
      </c>
      <c r="D1454">
        <v>1568</v>
      </c>
      <c r="E1454" t="s">
        <v>4006</v>
      </c>
      <c r="F1454">
        <v>2700</v>
      </c>
      <c r="G1454" t="s">
        <v>411</v>
      </c>
      <c r="H1454" t="s">
        <v>4004</v>
      </c>
      <c r="I1454" t="s">
        <v>2531</v>
      </c>
      <c r="J1454">
        <v>2701</v>
      </c>
      <c r="K1454" t="s">
        <v>2531</v>
      </c>
      <c r="L1454">
        <v>2100</v>
      </c>
      <c r="M1454" t="s">
        <v>123</v>
      </c>
      <c r="N1454">
        <v>2118</v>
      </c>
      <c r="O1454" t="s">
        <v>2409</v>
      </c>
      <c r="P1454" t="s">
        <v>3108</v>
      </c>
      <c r="Q1454" t="s">
        <v>3249</v>
      </c>
      <c r="R1454" t="s">
        <v>3249</v>
      </c>
      <c r="S1454" t="s">
        <v>810</v>
      </c>
      <c r="T1454" t="s">
        <v>2754</v>
      </c>
      <c r="U1454" t="s">
        <v>3250</v>
      </c>
      <c r="V1454" t="s">
        <v>3250</v>
      </c>
      <c r="W1454" t="s">
        <v>3250</v>
      </c>
      <c r="X1454" t="s">
        <v>3250</v>
      </c>
      <c r="Y1454" t="s">
        <v>3250</v>
      </c>
      <c r="Z1454" t="s">
        <v>3250</v>
      </c>
      <c r="AA1454" t="s">
        <v>3108</v>
      </c>
      <c r="AB1454" t="s">
        <v>3108</v>
      </c>
      <c r="AC1454" t="s">
        <v>3250</v>
      </c>
      <c r="AD1454" t="s">
        <v>3250</v>
      </c>
      <c r="AE1454" t="s">
        <v>3250</v>
      </c>
      <c r="AF1454" t="s">
        <v>3250</v>
      </c>
      <c r="AG1454" t="s">
        <v>3250</v>
      </c>
      <c r="AH1454" t="s">
        <v>3250</v>
      </c>
      <c r="AI1454" t="s">
        <v>3250</v>
      </c>
      <c r="AJ1454" t="s">
        <v>3250</v>
      </c>
      <c r="AL1454" t="s">
        <v>3250</v>
      </c>
      <c r="AM1454" t="s">
        <v>3250</v>
      </c>
      <c r="AN1454" t="s">
        <v>3250</v>
      </c>
      <c r="AO1454" t="s">
        <v>3250</v>
      </c>
      <c r="AS1454" t="s">
        <v>3250</v>
      </c>
      <c r="AT1454" t="s">
        <v>3250</v>
      </c>
      <c r="AU1454" t="s">
        <v>3250</v>
      </c>
      <c r="AV1454" t="s">
        <v>3250</v>
      </c>
      <c r="AW1454" t="s">
        <v>3250</v>
      </c>
      <c r="AX1454" t="s">
        <v>3250</v>
      </c>
      <c r="AY1454" t="s">
        <v>3250</v>
      </c>
      <c r="AZ1454" t="s">
        <v>3250</v>
      </c>
      <c r="BA1454" t="s">
        <v>3250</v>
      </c>
      <c r="BB1454" t="s">
        <v>3250</v>
      </c>
      <c r="BC1454" t="s">
        <v>3250</v>
      </c>
      <c r="BE1454" t="s">
        <v>3250</v>
      </c>
      <c r="BF1454" t="s">
        <v>3250</v>
      </c>
      <c r="BG1454" t="s">
        <v>3250</v>
      </c>
      <c r="BH1454" t="s">
        <v>3250</v>
      </c>
      <c r="BI1454" t="s">
        <v>3250</v>
      </c>
      <c r="BK1454" t="s">
        <v>3250</v>
      </c>
      <c r="BL1454" t="s">
        <v>3250</v>
      </c>
      <c r="BM1454" t="s">
        <v>3250</v>
      </c>
      <c r="BN1454" t="s">
        <v>3250</v>
      </c>
      <c r="BP1454">
        <v>4</v>
      </c>
      <c r="BQ1454">
        <v>43</v>
      </c>
      <c r="BR1454" t="s">
        <v>2409</v>
      </c>
      <c r="BS1454" t="s">
        <v>4024</v>
      </c>
      <c r="BV1454">
        <v>3300</v>
      </c>
      <c r="BW1454">
        <v>0</v>
      </c>
      <c r="BX1454">
        <v>0</v>
      </c>
      <c r="BY1454">
        <v>40000</v>
      </c>
      <c r="BZ1454">
        <v>40000</v>
      </c>
      <c r="CA1454">
        <v>60000</v>
      </c>
      <c r="CB1454">
        <v>62400</v>
      </c>
      <c r="CC1454">
        <v>64896</v>
      </c>
      <c r="CD1454">
        <v>0</v>
      </c>
      <c r="CE1454" t="s">
        <v>3108</v>
      </c>
      <c r="CF1454" t="s">
        <v>3108</v>
      </c>
      <c r="CG1454" t="s">
        <v>3108</v>
      </c>
      <c r="CH1454" t="s">
        <v>3108</v>
      </c>
    </row>
    <row r="1455" spans="1:86" x14ac:dyDescent="0.2">
      <c r="A1455" t="s">
        <v>5397</v>
      </c>
      <c r="B1455" t="s">
        <v>5397</v>
      </c>
      <c r="C1455">
        <v>54437</v>
      </c>
      <c r="D1455">
        <v>1569</v>
      </c>
      <c r="E1455" t="s">
        <v>4001</v>
      </c>
      <c r="F1455">
        <v>2900</v>
      </c>
      <c r="G1455" t="s">
        <v>822</v>
      </c>
      <c r="H1455" t="s">
        <v>3108</v>
      </c>
      <c r="I1455" t="s">
        <v>3108</v>
      </c>
      <c r="J1455">
        <v>2904</v>
      </c>
      <c r="K1455" t="s">
        <v>1690</v>
      </c>
      <c r="L1455">
        <v>1100</v>
      </c>
      <c r="M1455" t="s">
        <v>119</v>
      </c>
      <c r="N1455">
        <v>1120</v>
      </c>
      <c r="O1455" t="s">
        <v>2367</v>
      </c>
      <c r="P1455" t="s">
        <v>3108</v>
      </c>
      <c r="Q1455" t="s">
        <v>3249</v>
      </c>
      <c r="R1455" t="s">
        <v>3249</v>
      </c>
      <c r="S1455" t="s">
        <v>810</v>
      </c>
      <c r="T1455" t="s">
        <v>2754</v>
      </c>
      <c r="U1455" t="s">
        <v>3250</v>
      </c>
      <c r="V1455" t="s">
        <v>3250</v>
      </c>
      <c r="W1455" t="s">
        <v>3250</v>
      </c>
      <c r="X1455" t="s">
        <v>3250</v>
      </c>
      <c r="Y1455" t="s">
        <v>3250</v>
      </c>
      <c r="Z1455" t="s">
        <v>3250</v>
      </c>
      <c r="AA1455" t="s">
        <v>3108</v>
      </c>
      <c r="AB1455" t="s">
        <v>3108</v>
      </c>
      <c r="AC1455" t="s">
        <v>3250</v>
      </c>
      <c r="AD1455" t="s">
        <v>3250</v>
      </c>
      <c r="AE1455" t="s">
        <v>3250</v>
      </c>
      <c r="AF1455" t="s">
        <v>3250</v>
      </c>
      <c r="AG1455" t="s">
        <v>3250</v>
      </c>
      <c r="AH1455" t="s">
        <v>3250</v>
      </c>
      <c r="AI1455" t="s">
        <v>3250</v>
      </c>
      <c r="AJ1455" t="s">
        <v>3250</v>
      </c>
      <c r="AL1455" t="s">
        <v>3250</v>
      </c>
      <c r="AM1455" t="s">
        <v>3250</v>
      </c>
      <c r="AN1455" t="s">
        <v>3250</v>
      </c>
      <c r="AO1455" t="s">
        <v>3250</v>
      </c>
      <c r="AS1455" t="s">
        <v>3250</v>
      </c>
      <c r="AT1455" t="s">
        <v>3250</v>
      </c>
      <c r="AU1455" t="s">
        <v>3250</v>
      </c>
      <c r="AV1455" t="s">
        <v>3250</v>
      </c>
      <c r="AW1455" t="s">
        <v>3250</v>
      </c>
      <c r="AX1455" t="s">
        <v>3250</v>
      </c>
      <c r="AY1455" t="s">
        <v>3250</v>
      </c>
      <c r="AZ1455" t="s">
        <v>3250</v>
      </c>
      <c r="BA1455" t="s">
        <v>3250</v>
      </c>
      <c r="BB1455" t="s">
        <v>3250</v>
      </c>
      <c r="BC1455" t="s">
        <v>3250</v>
      </c>
      <c r="BE1455" t="s">
        <v>3250</v>
      </c>
      <c r="BF1455" t="s">
        <v>3250</v>
      </c>
      <c r="BG1455" t="s">
        <v>3250</v>
      </c>
      <c r="BH1455" t="s">
        <v>3250</v>
      </c>
      <c r="BI1455" t="s">
        <v>3250</v>
      </c>
      <c r="BK1455" t="s">
        <v>3250</v>
      </c>
      <c r="BL1455" t="s">
        <v>3250</v>
      </c>
      <c r="BM1455" t="s">
        <v>3250</v>
      </c>
      <c r="BN1455" t="s">
        <v>3250</v>
      </c>
      <c r="BP1455">
        <v>3</v>
      </c>
      <c r="BQ1455">
        <v>31</v>
      </c>
      <c r="BR1455" t="s">
        <v>2367</v>
      </c>
      <c r="BS1455" t="s">
        <v>4381</v>
      </c>
      <c r="BV1455">
        <v>0</v>
      </c>
      <c r="BW1455">
        <v>0</v>
      </c>
      <c r="BX1455">
        <v>0</v>
      </c>
      <c r="BY1455">
        <v>100000</v>
      </c>
      <c r="BZ1455">
        <v>100000</v>
      </c>
      <c r="CA1455">
        <v>103900</v>
      </c>
      <c r="CB1455">
        <v>108056</v>
      </c>
      <c r="CC1455">
        <v>112378</v>
      </c>
      <c r="CD1455">
        <v>0</v>
      </c>
      <c r="CE1455" t="s">
        <v>3108</v>
      </c>
      <c r="CF1455" t="s">
        <v>3108</v>
      </c>
      <c r="CG1455" t="s">
        <v>3108</v>
      </c>
      <c r="CH1455" t="s">
        <v>3108</v>
      </c>
    </row>
    <row r="1456" spans="1:86" x14ac:dyDescent="0.2">
      <c r="A1456" t="s">
        <v>5398</v>
      </c>
      <c r="B1456" t="s">
        <v>5398</v>
      </c>
      <c r="C1456">
        <v>54438</v>
      </c>
      <c r="D1456">
        <v>1570</v>
      </c>
      <c r="E1456" t="s">
        <v>3994</v>
      </c>
      <c r="F1456">
        <v>2600</v>
      </c>
      <c r="G1456" t="s">
        <v>1334</v>
      </c>
      <c r="H1456">
        <v>2600</v>
      </c>
      <c r="I1456" t="s">
        <v>1334</v>
      </c>
      <c r="J1456" t="s">
        <v>3250</v>
      </c>
      <c r="K1456" t="s">
        <v>3250</v>
      </c>
      <c r="L1456">
        <v>1200</v>
      </c>
      <c r="M1456" t="s">
        <v>2368</v>
      </c>
      <c r="N1456">
        <v>1207</v>
      </c>
      <c r="O1456" t="s">
        <v>286</v>
      </c>
      <c r="P1456" t="s">
        <v>3108</v>
      </c>
      <c r="Q1456" t="s">
        <v>3249</v>
      </c>
      <c r="R1456" t="s">
        <v>3249</v>
      </c>
      <c r="S1456" t="s">
        <v>810</v>
      </c>
      <c r="T1456" t="s">
        <v>2754</v>
      </c>
      <c r="U1456" t="s">
        <v>3250</v>
      </c>
      <c r="V1456" t="s">
        <v>3250</v>
      </c>
      <c r="W1456" t="s">
        <v>3250</v>
      </c>
      <c r="X1456" t="s">
        <v>3250</v>
      </c>
      <c r="Y1456" t="s">
        <v>3250</v>
      </c>
      <c r="Z1456" t="s">
        <v>3250</v>
      </c>
      <c r="AA1456" t="s">
        <v>3108</v>
      </c>
      <c r="AB1456" t="s">
        <v>3108</v>
      </c>
      <c r="AC1456" t="s">
        <v>3250</v>
      </c>
      <c r="AD1456" t="s">
        <v>3250</v>
      </c>
      <c r="AE1456" t="s">
        <v>3250</v>
      </c>
      <c r="AF1456" t="s">
        <v>3250</v>
      </c>
      <c r="AG1456" t="s">
        <v>3250</v>
      </c>
      <c r="AH1456" t="s">
        <v>3250</v>
      </c>
      <c r="AI1456" t="s">
        <v>3250</v>
      </c>
      <c r="AJ1456" t="s">
        <v>3250</v>
      </c>
      <c r="AL1456" t="s">
        <v>3250</v>
      </c>
      <c r="AM1456" t="s">
        <v>3250</v>
      </c>
      <c r="AN1456" t="s">
        <v>3250</v>
      </c>
      <c r="AO1456" t="s">
        <v>3250</v>
      </c>
      <c r="AS1456" t="s">
        <v>3250</v>
      </c>
      <c r="AT1456" t="s">
        <v>3250</v>
      </c>
      <c r="AU1456" t="s">
        <v>3250</v>
      </c>
      <c r="AV1456" t="s">
        <v>3250</v>
      </c>
      <c r="AW1456" t="s">
        <v>3250</v>
      </c>
      <c r="AX1456" t="s">
        <v>3250</v>
      </c>
      <c r="AY1456">
        <v>1470</v>
      </c>
      <c r="AZ1456" t="s">
        <v>2332</v>
      </c>
      <c r="BA1456" t="s">
        <v>3250</v>
      </c>
      <c r="BB1456">
        <v>1470</v>
      </c>
      <c r="BC1456" t="s">
        <v>2332</v>
      </c>
      <c r="BE1456" t="s">
        <v>3250</v>
      </c>
      <c r="BF1456" t="s">
        <v>3250</v>
      </c>
      <c r="BG1456" t="s">
        <v>3250</v>
      </c>
      <c r="BH1456" t="s">
        <v>3250</v>
      </c>
      <c r="BI1456" t="s">
        <v>3250</v>
      </c>
      <c r="BK1456" t="s">
        <v>3250</v>
      </c>
      <c r="BL1456" t="s">
        <v>3250</v>
      </c>
      <c r="BM1456" t="s">
        <v>3250</v>
      </c>
      <c r="BN1456" t="s">
        <v>3250</v>
      </c>
      <c r="BP1456">
        <v>1</v>
      </c>
      <c r="BQ1456">
        <v>18</v>
      </c>
      <c r="BR1456" t="s">
        <v>286</v>
      </c>
      <c r="BS1456" t="s">
        <v>3252</v>
      </c>
      <c r="BV1456">
        <v>1036</v>
      </c>
      <c r="BW1456">
        <v>475</v>
      </c>
      <c r="BX1456">
        <v>0</v>
      </c>
      <c r="BY1456">
        <v>60000</v>
      </c>
      <c r="BZ1456">
        <v>60000</v>
      </c>
      <c r="CA1456">
        <v>62340</v>
      </c>
      <c r="CB1456">
        <v>64834</v>
      </c>
      <c r="CC1456">
        <v>67427</v>
      </c>
      <c r="CD1456">
        <v>553630</v>
      </c>
      <c r="CE1456" t="s">
        <v>3108</v>
      </c>
      <c r="CF1456" t="s">
        <v>3108</v>
      </c>
      <c r="CG1456" t="s">
        <v>3108</v>
      </c>
      <c r="CH1456" t="s">
        <v>3108</v>
      </c>
    </row>
    <row r="1457" spans="1:86" x14ac:dyDescent="0.2">
      <c r="A1457" t="s">
        <v>5399</v>
      </c>
      <c r="B1457" t="s">
        <v>5399</v>
      </c>
      <c r="C1457">
        <v>54439</v>
      </c>
      <c r="D1457">
        <v>1571</v>
      </c>
      <c r="E1457" t="s">
        <v>4015</v>
      </c>
      <c r="F1457">
        <v>2900</v>
      </c>
      <c r="G1457" t="s">
        <v>822</v>
      </c>
      <c r="H1457" t="s">
        <v>3108</v>
      </c>
      <c r="I1457" t="s">
        <v>3108</v>
      </c>
      <c r="J1457">
        <v>2904</v>
      </c>
      <c r="K1457" t="s">
        <v>1690</v>
      </c>
      <c r="L1457">
        <v>1100</v>
      </c>
      <c r="M1457" t="s">
        <v>119</v>
      </c>
      <c r="N1457">
        <v>1120</v>
      </c>
      <c r="O1457" t="s">
        <v>2367</v>
      </c>
      <c r="P1457" t="s">
        <v>3108</v>
      </c>
      <c r="Q1457" t="s">
        <v>3249</v>
      </c>
      <c r="R1457" t="s">
        <v>3249</v>
      </c>
      <c r="S1457" t="s">
        <v>810</v>
      </c>
      <c r="T1457" t="s">
        <v>2754</v>
      </c>
      <c r="U1457" t="s">
        <v>3250</v>
      </c>
      <c r="V1457" t="s">
        <v>3250</v>
      </c>
      <c r="W1457" t="s">
        <v>3250</v>
      </c>
      <c r="X1457" t="s">
        <v>3250</v>
      </c>
      <c r="Y1457" t="s">
        <v>3250</v>
      </c>
      <c r="Z1457" t="s">
        <v>3250</v>
      </c>
      <c r="AA1457" t="s">
        <v>3108</v>
      </c>
      <c r="AB1457" t="s">
        <v>3108</v>
      </c>
      <c r="AC1457" t="s">
        <v>3250</v>
      </c>
      <c r="AD1457" t="s">
        <v>3250</v>
      </c>
      <c r="AE1457" t="s">
        <v>3250</v>
      </c>
      <c r="AF1457" t="s">
        <v>3250</v>
      </c>
      <c r="AG1457" t="s">
        <v>3250</v>
      </c>
      <c r="AH1457" t="s">
        <v>3250</v>
      </c>
      <c r="AI1457" t="s">
        <v>3250</v>
      </c>
      <c r="AJ1457" t="s">
        <v>3250</v>
      </c>
      <c r="AL1457" t="s">
        <v>3250</v>
      </c>
      <c r="AM1457" t="s">
        <v>3250</v>
      </c>
      <c r="AN1457" t="s">
        <v>3250</v>
      </c>
      <c r="AO1457" t="s">
        <v>3250</v>
      </c>
      <c r="AS1457" t="s">
        <v>3250</v>
      </c>
      <c r="AT1457" t="s">
        <v>3250</v>
      </c>
      <c r="AU1457" t="s">
        <v>3250</v>
      </c>
      <c r="AV1457" t="s">
        <v>3250</v>
      </c>
      <c r="AW1457" t="s">
        <v>3250</v>
      </c>
      <c r="AX1457" t="s">
        <v>3250</v>
      </c>
      <c r="AY1457" t="s">
        <v>3250</v>
      </c>
      <c r="AZ1457" t="s">
        <v>3250</v>
      </c>
      <c r="BA1457" t="s">
        <v>3250</v>
      </c>
      <c r="BB1457" t="s">
        <v>3250</v>
      </c>
      <c r="BC1457" t="s">
        <v>3250</v>
      </c>
      <c r="BE1457" t="s">
        <v>3250</v>
      </c>
      <c r="BF1457" t="s">
        <v>3250</v>
      </c>
      <c r="BG1457" t="s">
        <v>3250</v>
      </c>
      <c r="BH1457" t="s">
        <v>3250</v>
      </c>
      <c r="BI1457" t="s">
        <v>3250</v>
      </c>
      <c r="BK1457" t="s">
        <v>3250</v>
      </c>
      <c r="BL1457" t="s">
        <v>3250</v>
      </c>
      <c r="BM1457" t="s">
        <v>3250</v>
      </c>
      <c r="BN1457" t="s">
        <v>3250</v>
      </c>
      <c r="BP1457">
        <v>3</v>
      </c>
      <c r="BQ1457">
        <v>31</v>
      </c>
      <c r="BR1457" t="s">
        <v>2367</v>
      </c>
      <c r="BS1457" t="s">
        <v>4381</v>
      </c>
      <c r="BV1457">
        <v>0</v>
      </c>
      <c r="BW1457">
        <v>0</v>
      </c>
      <c r="BX1457">
        <v>0</v>
      </c>
      <c r="BY1457">
        <v>0</v>
      </c>
      <c r="BZ1457">
        <v>0</v>
      </c>
      <c r="CA1457">
        <v>0</v>
      </c>
      <c r="CB1457">
        <v>0</v>
      </c>
      <c r="CC1457">
        <v>0</v>
      </c>
      <c r="CD1457">
        <v>0</v>
      </c>
      <c r="CE1457" t="s">
        <v>3108</v>
      </c>
      <c r="CF1457" t="s">
        <v>3108</v>
      </c>
      <c r="CG1457" t="s">
        <v>3108</v>
      </c>
      <c r="CH1457" t="s">
        <v>3108</v>
      </c>
    </row>
    <row r="1458" spans="1:86" x14ac:dyDescent="0.2">
      <c r="A1458" t="s">
        <v>5400</v>
      </c>
      <c r="B1458" t="s">
        <v>5400</v>
      </c>
      <c r="C1458">
        <v>54440</v>
      </c>
      <c r="D1458">
        <v>1572</v>
      </c>
      <c r="E1458" t="s">
        <v>3990</v>
      </c>
      <c r="F1458">
        <v>2900</v>
      </c>
      <c r="G1458" t="s">
        <v>822</v>
      </c>
      <c r="H1458" t="s">
        <v>3108</v>
      </c>
      <c r="I1458" t="s">
        <v>3108</v>
      </c>
      <c r="J1458">
        <v>2904</v>
      </c>
      <c r="K1458" t="s">
        <v>1690</v>
      </c>
      <c r="L1458">
        <v>1100</v>
      </c>
      <c r="M1458" t="s">
        <v>119</v>
      </c>
      <c r="N1458">
        <v>1120</v>
      </c>
      <c r="O1458" t="s">
        <v>2367</v>
      </c>
      <c r="P1458" t="s">
        <v>3108</v>
      </c>
      <c r="Q1458" t="s">
        <v>3249</v>
      </c>
      <c r="R1458" t="s">
        <v>3249</v>
      </c>
      <c r="S1458" t="s">
        <v>810</v>
      </c>
      <c r="T1458" t="s">
        <v>2754</v>
      </c>
      <c r="U1458" t="s">
        <v>3250</v>
      </c>
      <c r="V1458" t="s">
        <v>3250</v>
      </c>
      <c r="W1458" t="s">
        <v>3250</v>
      </c>
      <c r="X1458" t="s">
        <v>3250</v>
      </c>
      <c r="Y1458" t="s">
        <v>3250</v>
      </c>
      <c r="Z1458" t="s">
        <v>3250</v>
      </c>
      <c r="AA1458" t="s">
        <v>3108</v>
      </c>
      <c r="AB1458" t="s">
        <v>3108</v>
      </c>
      <c r="AC1458" t="s">
        <v>3250</v>
      </c>
      <c r="AD1458" t="s">
        <v>3250</v>
      </c>
      <c r="AE1458" t="s">
        <v>3250</v>
      </c>
      <c r="AF1458" t="s">
        <v>3250</v>
      </c>
      <c r="AG1458" t="s">
        <v>3250</v>
      </c>
      <c r="AH1458" t="s">
        <v>3250</v>
      </c>
      <c r="AI1458" t="s">
        <v>3250</v>
      </c>
      <c r="AJ1458" t="s">
        <v>3250</v>
      </c>
      <c r="AL1458" t="s">
        <v>3250</v>
      </c>
      <c r="AM1458" t="s">
        <v>3250</v>
      </c>
      <c r="AN1458" t="s">
        <v>3250</v>
      </c>
      <c r="AO1458" t="s">
        <v>3250</v>
      </c>
      <c r="AS1458" t="s">
        <v>3250</v>
      </c>
      <c r="AT1458" t="s">
        <v>3250</v>
      </c>
      <c r="AU1458" t="s">
        <v>3250</v>
      </c>
      <c r="AV1458" t="s">
        <v>3250</v>
      </c>
      <c r="AW1458" t="s">
        <v>3250</v>
      </c>
      <c r="AX1458" t="s">
        <v>3250</v>
      </c>
      <c r="AY1458" t="s">
        <v>3250</v>
      </c>
      <c r="AZ1458" t="s">
        <v>3250</v>
      </c>
      <c r="BA1458" t="s">
        <v>3250</v>
      </c>
      <c r="BB1458" t="s">
        <v>3250</v>
      </c>
      <c r="BC1458" t="s">
        <v>3250</v>
      </c>
      <c r="BE1458" t="s">
        <v>3250</v>
      </c>
      <c r="BF1458" t="s">
        <v>3250</v>
      </c>
      <c r="BG1458" t="s">
        <v>3250</v>
      </c>
      <c r="BH1458" t="s">
        <v>3250</v>
      </c>
      <c r="BI1458" t="s">
        <v>3250</v>
      </c>
      <c r="BK1458" t="s">
        <v>3250</v>
      </c>
      <c r="BL1458" t="s">
        <v>3250</v>
      </c>
      <c r="BM1458" t="s">
        <v>3250</v>
      </c>
      <c r="BN1458" t="s">
        <v>3250</v>
      </c>
      <c r="BP1458">
        <v>3</v>
      </c>
      <c r="BQ1458">
        <v>31</v>
      </c>
      <c r="BR1458" t="s">
        <v>2367</v>
      </c>
      <c r="BS1458" t="s">
        <v>4381</v>
      </c>
      <c r="BV1458">
        <v>0</v>
      </c>
      <c r="BW1458">
        <v>0</v>
      </c>
      <c r="BX1458">
        <v>0</v>
      </c>
      <c r="BY1458">
        <v>30000</v>
      </c>
      <c r="BZ1458">
        <v>30000</v>
      </c>
      <c r="CA1458">
        <v>31170</v>
      </c>
      <c r="CB1458">
        <v>32417</v>
      </c>
      <c r="CC1458">
        <v>33713</v>
      </c>
      <c r="CD1458">
        <v>0</v>
      </c>
      <c r="CE1458" t="s">
        <v>3108</v>
      </c>
      <c r="CF1458" t="s">
        <v>3108</v>
      </c>
      <c r="CG1458" t="s">
        <v>3108</v>
      </c>
      <c r="CH1458" t="s">
        <v>3108</v>
      </c>
    </row>
    <row r="1459" spans="1:86" x14ac:dyDescent="0.2">
      <c r="A1459" t="s">
        <v>5401</v>
      </c>
      <c r="B1459" t="s">
        <v>5401</v>
      </c>
      <c r="C1459">
        <v>54441</v>
      </c>
      <c r="D1459">
        <v>1573</v>
      </c>
      <c r="E1459" t="s">
        <v>4010</v>
      </c>
      <c r="F1459">
        <v>2900</v>
      </c>
      <c r="G1459" t="s">
        <v>822</v>
      </c>
      <c r="H1459" t="s">
        <v>3108</v>
      </c>
      <c r="I1459" t="s">
        <v>3108</v>
      </c>
      <c r="J1459">
        <v>2904</v>
      </c>
      <c r="K1459" t="s">
        <v>1690</v>
      </c>
      <c r="L1459">
        <v>1100</v>
      </c>
      <c r="M1459" t="s">
        <v>119</v>
      </c>
      <c r="N1459">
        <v>1120</v>
      </c>
      <c r="O1459" t="s">
        <v>2367</v>
      </c>
      <c r="P1459" t="s">
        <v>3108</v>
      </c>
      <c r="Q1459" t="s">
        <v>3249</v>
      </c>
      <c r="R1459" t="s">
        <v>3249</v>
      </c>
      <c r="S1459" t="s">
        <v>810</v>
      </c>
      <c r="T1459" t="s">
        <v>2754</v>
      </c>
      <c r="U1459" t="s">
        <v>3250</v>
      </c>
      <c r="V1459" t="s">
        <v>3250</v>
      </c>
      <c r="W1459" t="s">
        <v>3250</v>
      </c>
      <c r="X1459" t="s">
        <v>3250</v>
      </c>
      <c r="Y1459" t="s">
        <v>3250</v>
      </c>
      <c r="Z1459" t="s">
        <v>3250</v>
      </c>
      <c r="AA1459" t="s">
        <v>3108</v>
      </c>
      <c r="AB1459" t="s">
        <v>3108</v>
      </c>
      <c r="AC1459" t="s">
        <v>3250</v>
      </c>
      <c r="AD1459" t="s">
        <v>3250</v>
      </c>
      <c r="AE1459" t="s">
        <v>3250</v>
      </c>
      <c r="AF1459" t="s">
        <v>3250</v>
      </c>
      <c r="AG1459" t="s">
        <v>3250</v>
      </c>
      <c r="AH1459" t="s">
        <v>3250</v>
      </c>
      <c r="AI1459" t="s">
        <v>3250</v>
      </c>
      <c r="AJ1459" t="s">
        <v>3250</v>
      </c>
      <c r="AL1459" t="s">
        <v>3250</v>
      </c>
      <c r="AM1459" t="s">
        <v>3250</v>
      </c>
      <c r="AN1459" t="s">
        <v>3250</v>
      </c>
      <c r="AO1459" t="s">
        <v>3250</v>
      </c>
      <c r="AS1459" t="s">
        <v>3250</v>
      </c>
      <c r="AT1459" t="s">
        <v>3250</v>
      </c>
      <c r="AU1459" t="s">
        <v>3250</v>
      </c>
      <c r="AV1459" t="s">
        <v>3250</v>
      </c>
      <c r="AW1459" t="s">
        <v>3250</v>
      </c>
      <c r="AX1459" t="s">
        <v>3250</v>
      </c>
      <c r="AY1459" t="s">
        <v>3250</v>
      </c>
      <c r="AZ1459" t="s">
        <v>3250</v>
      </c>
      <c r="BA1459" t="s">
        <v>3250</v>
      </c>
      <c r="BB1459" t="s">
        <v>3250</v>
      </c>
      <c r="BC1459" t="s">
        <v>3250</v>
      </c>
      <c r="BE1459" t="s">
        <v>3250</v>
      </c>
      <c r="BF1459" t="s">
        <v>3250</v>
      </c>
      <c r="BG1459" t="s">
        <v>3250</v>
      </c>
      <c r="BH1459" t="s">
        <v>3250</v>
      </c>
      <c r="BI1459" t="s">
        <v>3250</v>
      </c>
      <c r="BK1459" t="s">
        <v>3250</v>
      </c>
      <c r="BL1459" t="s">
        <v>3250</v>
      </c>
      <c r="BM1459" t="s">
        <v>3250</v>
      </c>
      <c r="BN1459" t="s">
        <v>3250</v>
      </c>
      <c r="BP1459">
        <v>3</v>
      </c>
      <c r="BQ1459">
        <v>31</v>
      </c>
      <c r="BR1459" t="s">
        <v>2367</v>
      </c>
      <c r="BS1459" t="s">
        <v>4381</v>
      </c>
      <c r="BV1459">
        <v>0</v>
      </c>
      <c r="BW1459">
        <v>0</v>
      </c>
      <c r="BX1459">
        <v>0</v>
      </c>
      <c r="BY1459">
        <v>100000</v>
      </c>
      <c r="BZ1459">
        <v>150000</v>
      </c>
      <c r="CA1459">
        <v>155850</v>
      </c>
      <c r="CB1459">
        <v>162084</v>
      </c>
      <c r="CC1459">
        <v>168567</v>
      </c>
      <c r="CD1459">
        <v>134306</v>
      </c>
      <c r="CE1459" t="s">
        <v>3108</v>
      </c>
      <c r="CF1459" t="s">
        <v>3108</v>
      </c>
      <c r="CG1459" t="s">
        <v>3108</v>
      </c>
      <c r="CH1459" t="s">
        <v>3108</v>
      </c>
    </row>
    <row r="1460" spans="1:86" x14ac:dyDescent="0.2">
      <c r="A1460" t="s">
        <v>5402</v>
      </c>
      <c r="B1460" t="s">
        <v>5402</v>
      </c>
      <c r="C1460">
        <v>54442</v>
      </c>
      <c r="D1460">
        <v>1574</v>
      </c>
      <c r="E1460" t="s">
        <v>5403</v>
      </c>
      <c r="F1460">
        <v>2700</v>
      </c>
      <c r="G1460" t="s">
        <v>411</v>
      </c>
      <c r="H1460" t="s">
        <v>3997</v>
      </c>
      <c r="I1460" t="s">
        <v>2533</v>
      </c>
      <c r="J1460">
        <v>2703</v>
      </c>
      <c r="K1460" t="s">
        <v>2533</v>
      </c>
      <c r="L1460">
        <v>1100</v>
      </c>
      <c r="M1460" t="s">
        <v>119</v>
      </c>
      <c r="N1460">
        <v>1120</v>
      </c>
      <c r="O1460" t="s">
        <v>2367</v>
      </c>
      <c r="P1460" t="s">
        <v>3108</v>
      </c>
      <c r="Q1460" t="s">
        <v>3249</v>
      </c>
      <c r="R1460" t="s">
        <v>3249</v>
      </c>
      <c r="S1460" t="s">
        <v>810</v>
      </c>
      <c r="T1460" t="s">
        <v>2754</v>
      </c>
      <c r="U1460" t="s">
        <v>3250</v>
      </c>
      <c r="V1460" t="s">
        <v>3250</v>
      </c>
      <c r="W1460" t="s">
        <v>3250</v>
      </c>
      <c r="X1460" t="s">
        <v>3250</v>
      </c>
      <c r="Y1460" t="s">
        <v>3250</v>
      </c>
      <c r="Z1460" t="s">
        <v>3250</v>
      </c>
      <c r="AA1460" t="s">
        <v>3108</v>
      </c>
      <c r="AB1460" t="s">
        <v>3108</v>
      </c>
      <c r="AC1460" t="s">
        <v>3250</v>
      </c>
      <c r="AD1460" t="s">
        <v>3250</v>
      </c>
      <c r="AE1460" t="s">
        <v>3250</v>
      </c>
      <c r="AF1460" t="s">
        <v>3250</v>
      </c>
      <c r="AG1460" t="s">
        <v>3250</v>
      </c>
      <c r="AH1460" t="s">
        <v>3250</v>
      </c>
      <c r="AI1460" t="s">
        <v>3250</v>
      </c>
      <c r="AJ1460" t="s">
        <v>3250</v>
      </c>
      <c r="AL1460" t="s">
        <v>3250</v>
      </c>
      <c r="AM1460" t="s">
        <v>3250</v>
      </c>
      <c r="AN1460" t="s">
        <v>3250</v>
      </c>
      <c r="AO1460" t="s">
        <v>3250</v>
      </c>
      <c r="AS1460" t="s">
        <v>3250</v>
      </c>
      <c r="AT1460" t="s">
        <v>3250</v>
      </c>
      <c r="AU1460" t="s">
        <v>3250</v>
      </c>
      <c r="AV1460" t="s">
        <v>3250</v>
      </c>
      <c r="AW1460" t="s">
        <v>3250</v>
      </c>
      <c r="AX1460" t="s">
        <v>3250</v>
      </c>
      <c r="AY1460" t="s">
        <v>3250</v>
      </c>
      <c r="AZ1460" t="s">
        <v>3250</v>
      </c>
      <c r="BA1460" t="s">
        <v>3250</v>
      </c>
      <c r="BB1460" t="s">
        <v>3250</v>
      </c>
      <c r="BC1460" t="s">
        <v>3250</v>
      </c>
      <c r="BE1460" t="s">
        <v>3250</v>
      </c>
      <c r="BF1460" t="s">
        <v>3250</v>
      </c>
      <c r="BG1460" t="s">
        <v>3250</v>
      </c>
      <c r="BH1460" t="s">
        <v>3250</v>
      </c>
      <c r="BI1460" t="s">
        <v>3250</v>
      </c>
      <c r="BK1460" t="s">
        <v>3250</v>
      </c>
      <c r="BL1460" t="s">
        <v>3250</v>
      </c>
      <c r="BM1460" t="s">
        <v>3250</v>
      </c>
      <c r="BN1460" t="s">
        <v>3250</v>
      </c>
      <c r="BP1460">
        <v>3</v>
      </c>
      <c r="BQ1460">
        <v>31</v>
      </c>
      <c r="BR1460" t="s">
        <v>2367</v>
      </c>
      <c r="BS1460" t="s">
        <v>4381</v>
      </c>
      <c r="BV1460">
        <v>0</v>
      </c>
      <c r="BW1460">
        <v>0</v>
      </c>
      <c r="BX1460">
        <v>0</v>
      </c>
      <c r="BY1460">
        <v>150000</v>
      </c>
      <c r="BZ1460">
        <v>150000</v>
      </c>
      <c r="CA1460">
        <v>155850</v>
      </c>
      <c r="CB1460">
        <v>162084</v>
      </c>
      <c r="CC1460">
        <v>168567</v>
      </c>
      <c r="CD1460">
        <v>0</v>
      </c>
      <c r="CE1460" t="s">
        <v>3108</v>
      </c>
      <c r="CF1460" t="s">
        <v>3108</v>
      </c>
      <c r="CG1460" t="s">
        <v>3108</v>
      </c>
      <c r="CH1460" t="s">
        <v>3108</v>
      </c>
    </row>
    <row r="1461" spans="1:86" x14ac:dyDescent="0.2">
      <c r="A1461" t="s">
        <v>5404</v>
      </c>
      <c r="B1461" t="s">
        <v>5404</v>
      </c>
      <c r="C1461">
        <v>54443</v>
      </c>
      <c r="D1461">
        <v>1575</v>
      </c>
      <c r="E1461" t="s">
        <v>3990</v>
      </c>
      <c r="F1461">
        <v>2900</v>
      </c>
      <c r="G1461" t="s">
        <v>822</v>
      </c>
      <c r="H1461" t="s">
        <v>3108</v>
      </c>
      <c r="I1461" t="s">
        <v>3108</v>
      </c>
      <c r="J1461">
        <v>2904</v>
      </c>
      <c r="K1461" t="s">
        <v>1690</v>
      </c>
      <c r="L1461">
        <v>2100</v>
      </c>
      <c r="M1461" t="s">
        <v>123</v>
      </c>
      <c r="N1461">
        <v>2115</v>
      </c>
      <c r="O1461" t="s">
        <v>2406</v>
      </c>
      <c r="P1461" t="s">
        <v>3108</v>
      </c>
      <c r="Q1461" t="s">
        <v>3249</v>
      </c>
      <c r="R1461" t="s">
        <v>3249</v>
      </c>
      <c r="S1461" t="s">
        <v>810</v>
      </c>
      <c r="T1461" t="s">
        <v>2754</v>
      </c>
      <c r="U1461" t="s">
        <v>3250</v>
      </c>
      <c r="V1461" t="s">
        <v>3250</v>
      </c>
      <c r="W1461" t="s">
        <v>3250</v>
      </c>
      <c r="X1461" t="s">
        <v>3250</v>
      </c>
      <c r="Y1461" t="s">
        <v>3250</v>
      </c>
      <c r="Z1461" t="s">
        <v>3250</v>
      </c>
      <c r="AA1461" t="s">
        <v>3108</v>
      </c>
      <c r="AB1461" t="s">
        <v>3108</v>
      </c>
      <c r="AC1461" t="s">
        <v>3250</v>
      </c>
      <c r="AD1461" t="s">
        <v>3250</v>
      </c>
      <c r="AE1461" t="s">
        <v>3250</v>
      </c>
      <c r="AF1461" t="s">
        <v>3250</v>
      </c>
      <c r="AG1461" t="s">
        <v>3250</v>
      </c>
      <c r="AH1461" t="s">
        <v>3250</v>
      </c>
      <c r="AI1461" t="s">
        <v>3250</v>
      </c>
      <c r="AJ1461" t="s">
        <v>3250</v>
      </c>
      <c r="AL1461" t="s">
        <v>3250</v>
      </c>
      <c r="AM1461" t="s">
        <v>3250</v>
      </c>
      <c r="AN1461" t="s">
        <v>3250</v>
      </c>
      <c r="AO1461" t="s">
        <v>3250</v>
      </c>
      <c r="AS1461" t="s">
        <v>3250</v>
      </c>
      <c r="AT1461" t="s">
        <v>3250</v>
      </c>
      <c r="AU1461" t="s">
        <v>3250</v>
      </c>
      <c r="AV1461" t="s">
        <v>3250</v>
      </c>
      <c r="AW1461" t="s">
        <v>3250</v>
      </c>
      <c r="AX1461" t="s">
        <v>3250</v>
      </c>
      <c r="AY1461" t="s">
        <v>3250</v>
      </c>
      <c r="AZ1461" t="s">
        <v>3250</v>
      </c>
      <c r="BA1461" t="s">
        <v>3250</v>
      </c>
      <c r="BB1461" t="s">
        <v>3250</v>
      </c>
      <c r="BC1461" t="s">
        <v>3250</v>
      </c>
      <c r="BE1461" t="s">
        <v>3250</v>
      </c>
      <c r="BF1461" t="s">
        <v>3250</v>
      </c>
      <c r="BG1461" t="s">
        <v>3250</v>
      </c>
      <c r="BH1461" t="s">
        <v>3250</v>
      </c>
      <c r="BI1461" t="s">
        <v>3250</v>
      </c>
      <c r="BK1461" t="s">
        <v>3250</v>
      </c>
      <c r="BL1461" t="s">
        <v>3250</v>
      </c>
      <c r="BM1461" t="s">
        <v>3250</v>
      </c>
      <c r="BN1461" t="s">
        <v>3250</v>
      </c>
      <c r="BP1461">
        <v>5</v>
      </c>
      <c r="BQ1461">
        <v>51</v>
      </c>
      <c r="BR1461" t="s">
        <v>2406</v>
      </c>
      <c r="BS1461" t="s">
        <v>4136</v>
      </c>
      <c r="BV1461">
        <v>0</v>
      </c>
      <c r="BW1461">
        <v>54000</v>
      </c>
      <c r="BX1461">
        <v>0</v>
      </c>
      <c r="BY1461">
        <v>200000</v>
      </c>
      <c r="BZ1461">
        <v>200000</v>
      </c>
      <c r="CA1461">
        <v>250000</v>
      </c>
      <c r="CB1461">
        <v>260000</v>
      </c>
      <c r="CC1461">
        <v>270400</v>
      </c>
      <c r="CD1461">
        <v>180800</v>
      </c>
      <c r="CE1461" t="s">
        <v>3108</v>
      </c>
      <c r="CF1461" t="s">
        <v>3108</v>
      </c>
      <c r="CG1461" t="s">
        <v>3108</v>
      </c>
      <c r="CH1461" t="s">
        <v>3108</v>
      </c>
    </row>
    <row r="1462" spans="1:86" x14ac:dyDescent="0.2">
      <c r="A1462" t="s">
        <v>5405</v>
      </c>
      <c r="B1462" t="s">
        <v>5405</v>
      </c>
      <c r="C1462">
        <v>54444</v>
      </c>
      <c r="D1462">
        <v>1576</v>
      </c>
      <c r="E1462" t="s">
        <v>4006</v>
      </c>
      <c r="F1462">
        <v>2700</v>
      </c>
      <c r="G1462" t="s">
        <v>411</v>
      </c>
      <c r="H1462" t="s">
        <v>4004</v>
      </c>
      <c r="I1462" t="s">
        <v>2531</v>
      </c>
      <c r="J1462">
        <v>2701</v>
      </c>
      <c r="K1462" t="s">
        <v>2531</v>
      </c>
      <c r="L1462">
        <v>2200</v>
      </c>
      <c r="M1462" t="s">
        <v>124</v>
      </c>
      <c r="N1462">
        <v>2205</v>
      </c>
      <c r="O1462" t="s">
        <v>2390</v>
      </c>
      <c r="P1462" t="s">
        <v>3108</v>
      </c>
      <c r="Q1462" t="s">
        <v>3249</v>
      </c>
      <c r="R1462" t="s">
        <v>3249</v>
      </c>
      <c r="S1462" t="s">
        <v>810</v>
      </c>
      <c r="T1462" t="s">
        <v>2754</v>
      </c>
      <c r="U1462" t="s">
        <v>3250</v>
      </c>
      <c r="V1462" t="s">
        <v>3250</v>
      </c>
      <c r="W1462" t="s">
        <v>3250</v>
      </c>
      <c r="X1462" t="s">
        <v>3250</v>
      </c>
      <c r="Y1462" t="s">
        <v>3250</v>
      </c>
      <c r="Z1462" t="s">
        <v>3250</v>
      </c>
      <c r="AA1462" t="s">
        <v>3108</v>
      </c>
      <c r="AB1462" t="s">
        <v>3108</v>
      </c>
      <c r="AC1462" t="s">
        <v>3250</v>
      </c>
      <c r="AD1462" t="s">
        <v>3250</v>
      </c>
      <c r="AE1462" t="s">
        <v>3250</v>
      </c>
      <c r="AF1462" t="s">
        <v>3250</v>
      </c>
      <c r="AG1462" t="s">
        <v>3250</v>
      </c>
      <c r="AH1462" t="s">
        <v>3250</v>
      </c>
      <c r="AI1462" t="s">
        <v>3250</v>
      </c>
      <c r="AJ1462" t="s">
        <v>3250</v>
      </c>
      <c r="AL1462" t="s">
        <v>3250</v>
      </c>
      <c r="AM1462" t="s">
        <v>3250</v>
      </c>
      <c r="AN1462" t="s">
        <v>3250</v>
      </c>
      <c r="AO1462" t="s">
        <v>3250</v>
      </c>
      <c r="AS1462" t="s">
        <v>3250</v>
      </c>
      <c r="AT1462" t="s">
        <v>3250</v>
      </c>
      <c r="AU1462" t="s">
        <v>3250</v>
      </c>
      <c r="AV1462" t="s">
        <v>3250</v>
      </c>
      <c r="AW1462" t="s">
        <v>3250</v>
      </c>
      <c r="AX1462" t="s">
        <v>3250</v>
      </c>
      <c r="AY1462" t="s">
        <v>3250</v>
      </c>
      <c r="AZ1462" t="s">
        <v>3250</v>
      </c>
      <c r="BA1462" t="s">
        <v>3250</v>
      </c>
      <c r="BB1462" t="s">
        <v>3250</v>
      </c>
      <c r="BC1462" t="s">
        <v>3250</v>
      </c>
      <c r="BE1462" t="s">
        <v>3250</v>
      </c>
      <c r="BF1462" t="s">
        <v>3250</v>
      </c>
      <c r="BG1462" t="s">
        <v>3250</v>
      </c>
      <c r="BH1462" t="s">
        <v>3250</v>
      </c>
      <c r="BI1462" t="s">
        <v>3250</v>
      </c>
      <c r="BK1462" t="s">
        <v>3250</v>
      </c>
      <c r="BL1462" t="s">
        <v>3250</v>
      </c>
      <c r="BM1462" t="s">
        <v>3250</v>
      </c>
      <c r="BN1462" t="s">
        <v>3250</v>
      </c>
      <c r="BP1462">
        <v>9</v>
      </c>
      <c r="BQ1462">
        <v>91</v>
      </c>
      <c r="BR1462" t="s">
        <v>2390</v>
      </c>
      <c r="BS1462" t="s">
        <v>1675</v>
      </c>
      <c r="BV1462">
        <v>11413</v>
      </c>
      <c r="BW1462">
        <v>-2786</v>
      </c>
      <c r="BX1462">
        <v>0</v>
      </c>
      <c r="BY1462">
        <v>35000</v>
      </c>
      <c r="BZ1462">
        <v>35000</v>
      </c>
      <c r="CA1462">
        <v>40000</v>
      </c>
      <c r="CB1462">
        <v>41600</v>
      </c>
      <c r="CC1462">
        <v>43264</v>
      </c>
      <c r="CD1462">
        <v>0</v>
      </c>
      <c r="CE1462" t="s">
        <v>3108</v>
      </c>
      <c r="CF1462" t="s">
        <v>3108</v>
      </c>
      <c r="CG1462" t="s">
        <v>3108</v>
      </c>
      <c r="CH1462" t="s">
        <v>3108</v>
      </c>
    </row>
    <row r="1463" spans="1:86" x14ac:dyDescent="0.2">
      <c r="A1463" t="s">
        <v>5406</v>
      </c>
      <c r="B1463" t="s">
        <v>5406</v>
      </c>
      <c r="C1463">
        <v>54445</v>
      </c>
      <c r="D1463">
        <v>1577</v>
      </c>
      <c r="E1463" t="s">
        <v>4178</v>
      </c>
      <c r="F1463">
        <v>2700</v>
      </c>
      <c r="G1463" t="s">
        <v>411</v>
      </c>
      <c r="H1463" t="s">
        <v>3997</v>
      </c>
      <c r="I1463" t="s">
        <v>2533</v>
      </c>
      <c r="J1463">
        <v>2703</v>
      </c>
      <c r="K1463" t="s">
        <v>2533</v>
      </c>
      <c r="L1463">
        <v>2200</v>
      </c>
      <c r="M1463" t="s">
        <v>124</v>
      </c>
      <c r="N1463">
        <v>2205</v>
      </c>
      <c r="O1463" t="s">
        <v>2390</v>
      </c>
      <c r="P1463" t="s">
        <v>3108</v>
      </c>
      <c r="Q1463" t="s">
        <v>3249</v>
      </c>
      <c r="R1463" t="s">
        <v>3249</v>
      </c>
      <c r="S1463" t="s">
        <v>810</v>
      </c>
      <c r="T1463" t="s">
        <v>2754</v>
      </c>
      <c r="U1463" t="s">
        <v>3250</v>
      </c>
      <c r="V1463" t="s">
        <v>3250</v>
      </c>
      <c r="W1463" t="s">
        <v>3250</v>
      </c>
      <c r="X1463" t="s">
        <v>3250</v>
      </c>
      <c r="Y1463" t="s">
        <v>3250</v>
      </c>
      <c r="Z1463" t="s">
        <v>3250</v>
      </c>
      <c r="AA1463" t="s">
        <v>3108</v>
      </c>
      <c r="AB1463" t="s">
        <v>3108</v>
      </c>
      <c r="AC1463" t="s">
        <v>3250</v>
      </c>
      <c r="AD1463" t="s">
        <v>3250</v>
      </c>
      <c r="AE1463" t="s">
        <v>3250</v>
      </c>
      <c r="AF1463" t="s">
        <v>3250</v>
      </c>
      <c r="AG1463" t="s">
        <v>3250</v>
      </c>
      <c r="AH1463" t="s">
        <v>3250</v>
      </c>
      <c r="AI1463" t="s">
        <v>3250</v>
      </c>
      <c r="AJ1463" t="s">
        <v>3250</v>
      </c>
      <c r="AL1463" t="s">
        <v>3250</v>
      </c>
      <c r="AM1463" t="s">
        <v>3250</v>
      </c>
      <c r="AN1463" t="s">
        <v>3250</v>
      </c>
      <c r="AO1463" t="s">
        <v>3250</v>
      </c>
      <c r="AS1463" t="s">
        <v>3250</v>
      </c>
      <c r="AT1463" t="s">
        <v>3250</v>
      </c>
      <c r="AU1463" t="s">
        <v>3250</v>
      </c>
      <c r="AV1463" t="s">
        <v>3250</v>
      </c>
      <c r="AW1463" t="s">
        <v>3250</v>
      </c>
      <c r="AX1463" t="s">
        <v>3250</v>
      </c>
      <c r="AY1463" t="s">
        <v>3250</v>
      </c>
      <c r="AZ1463" t="s">
        <v>3250</v>
      </c>
      <c r="BA1463" t="s">
        <v>3250</v>
      </c>
      <c r="BB1463" t="s">
        <v>3250</v>
      </c>
      <c r="BC1463" t="s">
        <v>3250</v>
      </c>
      <c r="BE1463" t="s">
        <v>3250</v>
      </c>
      <c r="BF1463" t="s">
        <v>3250</v>
      </c>
      <c r="BG1463" t="s">
        <v>3250</v>
      </c>
      <c r="BH1463" t="s">
        <v>3250</v>
      </c>
      <c r="BI1463" t="s">
        <v>3250</v>
      </c>
      <c r="BK1463" t="s">
        <v>3250</v>
      </c>
      <c r="BL1463" t="s">
        <v>3250</v>
      </c>
      <c r="BM1463" t="s">
        <v>3250</v>
      </c>
      <c r="BN1463" t="s">
        <v>3250</v>
      </c>
      <c r="BP1463">
        <v>9</v>
      </c>
      <c r="BQ1463">
        <v>91</v>
      </c>
      <c r="BR1463" t="s">
        <v>2390</v>
      </c>
      <c r="BS1463" t="s">
        <v>1675</v>
      </c>
      <c r="BV1463">
        <v>0</v>
      </c>
      <c r="BW1463">
        <v>0</v>
      </c>
      <c r="BX1463">
        <v>0</v>
      </c>
      <c r="BY1463">
        <v>5000</v>
      </c>
      <c r="BZ1463">
        <v>5000</v>
      </c>
      <c r="CA1463">
        <v>10000</v>
      </c>
      <c r="CB1463">
        <v>10400</v>
      </c>
      <c r="CC1463">
        <v>10816</v>
      </c>
      <c r="CD1463">
        <v>0</v>
      </c>
      <c r="CE1463" t="s">
        <v>3108</v>
      </c>
      <c r="CF1463" t="s">
        <v>3108</v>
      </c>
      <c r="CG1463" t="s">
        <v>3108</v>
      </c>
      <c r="CH1463" t="s">
        <v>3108</v>
      </c>
    </row>
    <row r="1464" spans="1:86" x14ac:dyDescent="0.2">
      <c r="A1464" t="s">
        <v>5407</v>
      </c>
      <c r="B1464" t="s">
        <v>5407</v>
      </c>
      <c r="C1464">
        <v>54446</v>
      </c>
      <c r="D1464">
        <v>1578</v>
      </c>
      <c r="E1464" t="s">
        <v>4003</v>
      </c>
      <c r="F1464">
        <v>2700</v>
      </c>
      <c r="G1464" t="s">
        <v>411</v>
      </c>
      <c r="H1464" t="s">
        <v>4004</v>
      </c>
      <c r="I1464" t="s">
        <v>2531</v>
      </c>
      <c r="J1464">
        <v>2701</v>
      </c>
      <c r="K1464" t="s">
        <v>2531</v>
      </c>
      <c r="L1464">
        <v>2200</v>
      </c>
      <c r="M1464" t="s">
        <v>124</v>
      </c>
      <c r="N1464">
        <v>2205</v>
      </c>
      <c r="O1464" t="s">
        <v>2390</v>
      </c>
      <c r="P1464" t="s">
        <v>3108</v>
      </c>
      <c r="Q1464" t="s">
        <v>3249</v>
      </c>
      <c r="R1464" t="s">
        <v>3249</v>
      </c>
      <c r="S1464" t="s">
        <v>810</v>
      </c>
      <c r="T1464" t="s">
        <v>2754</v>
      </c>
      <c r="U1464" t="s">
        <v>3250</v>
      </c>
      <c r="V1464" t="s">
        <v>3250</v>
      </c>
      <c r="W1464" t="s">
        <v>3250</v>
      </c>
      <c r="X1464" t="s">
        <v>3250</v>
      </c>
      <c r="Y1464" t="s">
        <v>3250</v>
      </c>
      <c r="Z1464" t="s">
        <v>3250</v>
      </c>
      <c r="AA1464" t="s">
        <v>3108</v>
      </c>
      <c r="AB1464" t="s">
        <v>3108</v>
      </c>
      <c r="AC1464" t="s">
        <v>3250</v>
      </c>
      <c r="AD1464" t="s">
        <v>3250</v>
      </c>
      <c r="AE1464" t="s">
        <v>3250</v>
      </c>
      <c r="AF1464" t="s">
        <v>3250</v>
      </c>
      <c r="AG1464" t="s">
        <v>3250</v>
      </c>
      <c r="AH1464" t="s">
        <v>3250</v>
      </c>
      <c r="AI1464" t="s">
        <v>3250</v>
      </c>
      <c r="AJ1464" t="s">
        <v>3250</v>
      </c>
      <c r="AL1464" t="s">
        <v>3250</v>
      </c>
      <c r="AM1464" t="s">
        <v>3250</v>
      </c>
      <c r="AN1464" t="s">
        <v>3250</v>
      </c>
      <c r="AO1464" t="s">
        <v>3250</v>
      </c>
      <c r="AS1464" t="s">
        <v>3250</v>
      </c>
      <c r="AT1464" t="s">
        <v>3250</v>
      </c>
      <c r="AU1464" t="s">
        <v>3250</v>
      </c>
      <c r="AV1464" t="s">
        <v>3250</v>
      </c>
      <c r="AW1464" t="s">
        <v>3250</v>
      </c>
      <c r="AX1464" t="s">
        <v>3250</v>
      </c>
      <c r="AY1464" t="s">
        <v>3250</v>
      </c>
      <c r="AZ1464" t="s">
        <v>3250</v>
      </c>
      <c r="BA1464" t="s">
        <v>3250</v>
      </c>
      <c r="BB1464" t="s">
        <v>3250</v>
      </c>
      <c r="BC1464" t="s">
        <v>3250</v>
      </c>
      <c r="BE1464" t="s">
        <v>3250</v>
      </c>
      <c r="BF1464" t="s">
        <v>3250</v>
      </c>
      <c r="BG1464" t="s">
        <v>3250</v>
      </c>
      <c r="BH1464" t="s">
        <v>3250</v>
      </c>
      <c r="BI1464" t="s">
        <v>3250</v>
      </c>
      <c r="BK1464" t="s">
        <v>3250</v>
      </c>
      <c r="BL1464" t="s">
        <v>3250</v>
      </c>
      <c r="BM1464" t="s">
        <v>3250</v>
      </c>
      <c r="BN1464" t="s">
        <v>3250</v>
      </c>
      <c r="BP1464">
        <v>9</v>
      </c>
      <c r="BQ1464">
        <v>91</v>
      </c>
      <c r="BR1464" t="s">
        <v>2390</v>
      </c>
      <c r="BS1464" t="s">
        <v>1675</v>
      </c>
      <c r="BV1464">
        <v>33826</v>
      </c>
      <c r="BW1464">
        <v>1500</v>
      </c>
      <c r="BX1464">
        <v>0</v>
      </c>
      <c r="BY1464">
        <v>30000</v>
      </c>
      <c r="BZ1464">
        <v>30000</v>
      </c>
      <c r="CA1464">
        <v>50000</v>
      </c>
      <c r="CB1464">
        <v>52000</v>
      </c>
      <c r="CC1464">
        <v>54080</v>
      </c>
      <c r="CD1464">
        <v>0</v>
      </c>
      <c r="CE1464" t="s">
        <v>3108</v>
      </c>
      <c r="CF1464" t="s">
        <v>3108</v>
      </c>
      <c r="CG1464" t="s">
        <v>3108</v>
      </c>
      <c r="CH1464" t="s">
        <v>3108</v>
      </c>
    </row>
    <row r="1465" spans="1:86" x14ac:dyDescent="0.2">
      <c r="A1465" t="s">
        <v>5408</v>
      </c>
      <c r="B1465" t="s">
        <v>5408</v>
      </c>
      <c r="C1465">
        <v>54447</v>
      </c>
      <c r="D1465">
        <v>1579</v>
      </c>
      <c r="E1465" t="s">
        <v>5409</v>
      </c>
      <c r="F1465">
        <v>2700</v>
      </c>
      <c r="G1465" t="s">
        <v>411</v>
      </c>
      <c r="H1465" t="s">
        <v>3837</v>
      </c>
      <c r="I1465" t="s">
        <v>2532</v>
      </c>
      <c r="J1465">
        <v>2702</v>
      </c>
      <c r="K1465" t="s">
        <v>2532</v>
      </c>
      <c r="L1465">
        <v>1100</v>
      </c>
      <c r="M1465" t="s">
        <v>119</v>
      </c>
      <c r="N1465">
        <v>1120</v>
      </c>
      <c r="O1465" t="s">
        <v>2367</v>
      </c>
      <c r="P1465" t="s">
        <v>3108</v>
      </c>
      <c r="Q1465" t="s">
        <v>3249</v>
      </c>
      <c r="R1465" t="s">
        <v>3249</v>
      </c>
      <c r="S1465" t="s">
        <v>810</v>
      </c>
      <c r="T1465" t="s">
        <v>2754</v>
      </c>
      <c r="U1465" t="s">
        <v>3250</v>
      </c>
      <c r="V1465" t="s">
        <v>3250</v>
      </c>
      <c r="W1465" t="s">
        <v>3250</v>
      </c>
      <c r="X1465" t="s">
        <v>3250</v>
      </c>
      <c r="Y1465" t="s">
        <v>3250</v>
      </c>
      <c r="Z1465" t="s">
        <v>3250</v>
      </c>
      <c r="AA1465" t="s">
        <v>3108</v>
      </c>
      <c r="AB1465" t="s">
        <v>3108</v>
      </c>
      <c r="AC1465" t="s">
        <v>3250</v>
      </c>
      <c r="AD1465" t="s">
        <v>3250</v>
      </c>
      <c r="AE1465" t="s">
        <v>3250</v>
      </c>
      <c r="AF1465" t="s">
        <v>3250</v>
      </c>
      <c r="AG1465" t="s">
        <v>3250</v>
      </c>
      <c r="AH1465" t="s">
        <v>3250</v>
      </c>
      <c r="AI1465" t="s">
        <v>3250</v>
      </c>
      <c r="AJ1465" t="s">
        <v>3250</v>
      </c>
      <c r="AL1465" t="s">
        <v>3250</v>
      </c>
      <c r="AM1465" t="s">
        <v>3250</v>
      </c>
      <c r="AN1465" t="s">
        <v>3250</v>
      </c>
      <c r="AO1465" t="s">
        <v>3250</v>
      </c>
      <c r="AS1465" t="s">
        <v>3250</v>
      </c>
      <c r="AT1465" t="s">
        <v>3250</v>
      </c>
      <c r="AU1465" t="s">
        <v>3250</v>
      </c>
      <c r="AV1465" t="s">
        <v>3250</v>
      </c>
      <c r="AW1465" t="s">
        <v>3250</v>
      </c>
      <c r="AX1465" t="s">
        <v>3250</v>
      </c>
      <c r="AY1465" t="s">
        <v>3250</v>
      </c>
      <c r="AZ1465" t="s">
        <v>3250</v>
      </c>
      <c r="BA1465" t="s">
        <v>3250</v>
      </c>
      <c r="BB1465" t="s">
        <v>3250</v>
      </c>
      <c r="BC1465" t="s">
        <v>3250</v>
      </c>
      <c r="BE1465" t="s">
        <v>3250</v>
      </c>
      <c r="BF1465" t="s">
        <v>3250</v>
      </c>
      <c r="BG1465" t="s">
        <v>3250</v>
      </c>
      <c r="BH1465" t="s">
        <v>3250</v>
      </c>
      <c r="BI1465" t="s">
        <v>3250</v>
      </c>
      <c r="BK1465" t="s">
        <v>3250</v>
      </c>
      <c r="BL1465" t="s">
        <v>3250</v>
      </c>
      <c r="BM1465" t="s">
        <v>3250</v>
      </c>
      <c r="BN1465" t="s">
        <v>3250</v>
      </c>
      <c r="BP1465">
        <v>3</v>
      </c>
      <c r="BQ1465">
        <v>31</v>
      </c>
      <c r="BR1465" t="s">
        <v>2367</v>
      </c>
      <c r="BS1465" t="s">
        <v>4381</v>
      </c>
      <c r="BV1465">
        <v>0</v>
      </c>
      <c r="BW1465">
        <v>0</v>
      </c>
      <c r="BX1465">
        <v>0</v>
      </c>
      <c r="BY1465">
        <v>0</v>
      </c>
      <c r="BZ1465">
        <v>0</v>
      </c>
      <c r="CA1465">
        <v>0</v>
      </c>
      <c r="CB1465">
        <v>0</v>
      </c>
      <c r="CC1465">
        <v>0</v>
      </c>
      <c r="CD1465">
        <v>0</v>
      </c>
      <c r="CE1465" t="s">
        <v>3108</v>
      </c>
      <c r="CF1465" t="s">
        <v>3108</v>
      </c>
      <c r="CG1465" t="s">
        <v>3108</v>
      </c>
      <c r="CH1465" t="s">
        <v>3108</v>
      </c>
    </row>
    <row r="1466" spans="1:86" x14ac:dyDescent="0.2">
      <c r="A1466" t="s">
        <v>5410</v>
      </c>
      <c r="B1466" t="s">
        <v>5410</v>
      </c>
      <c r="C1466">
        <v>54448</v>
      </c>
      <c r="D1466">
        <v>1580</v>
      </c>
      <c r="E1466" t="s">
        <v>4326</v>
      </c>
      <c r="F1466">
        <v>2700</v>
      </c>
      <c r="G1466" t="s">
        <v>411</v>
      </c>
      <c r="H1466" t="s">
        <v>4004</v>
      </c>
      <c r="I1466" t="s">
        <v>2531</v>
      </c>
      <c r="J1466">
        <v>2701</v>
      </c>
      <c r="K1466" t="s">
        <v>2531</v>
      </c>
      <c r="L1466">
        <v>1100</v>
      </c>
      <c r="M1466" t="s">
        <v>119</v>
      </c>
      <c r="N1466">
        <v>1120</v>
      </c>
      <c r="O1466" t="s">
        <v>2367</v>
      </c>
      <c r="P1466" t="s">
        <v>3108</v>
      </c>
      <c r="Q1466" t="s">
        <v>3249</v>
      </c>
      <c r="R1466" t="s">
        <v>3249</v>
      </c>
      <c r="S1466" t="s">
        <v>810</v>
      </c>
      <c r="T1466" t="s">
        <v>2754</v>
      </c>
      <c r="U1466" t="s">
        <v>3250</v>
      </c>
      <c r="V1466" t="s">
        <v>3250</v>
      </c>
      <c r="W1466" t="s">
        <v>3250</v>
      </c>
      <c r="X1466" t="s">
        <v>3250</v>
      </c>
      <c r="Y1466" t="s">
        <v>3250</v>
      </c>
      <c r="Z1466" t="s">
        <v>3250</v>
      </c>
      <c r="AA1466" t="s">
        <v>3108</v>
      </c>
      <c r="AB1466" t="s">
        <v>3108</v>
      </c>
      <c r="AC1466" t="s">
        <v>3250</v>
      </c>
      <c r="AD1466" t="s">
        <v>3250</v>
      </c>
      <c r="AE1466" t="s">
        <v>3250</v>
      </c>
      <c r="AF1466" t="s">
        <v>3250</v>
      </c>
      <c r="AG1466" t="s">
        <v>3250</v>
      </c>
      <c r="AH1466" t="s">
        <v>3250</v>
      </c>
      <c r="AI1466" t="s">
        <v>3250</v>
      </c>
      <c r="AJ1466" t="s">
        <v>3250</v>
      </c>
      <c r="AL1466" t="s">
        <v>3250</v>
      </c>
      <c r="AM1466" t="s">
        <v>3250</v>
      </c>
      <c r="AN1466" t="s">
        <v>3250</v>
      </c>
      <c r="AO1466" t="s">
        <v>3250</v>
      </c>
      <c r="AS1466" t="s">
        <v>3250</v>
      </c>
      <c r="AT1466" t="s">
        <v>3250</v>
      </c>
      <c r="AU1466" t="s">
        <v>3250</v>
      </c>
      <c r="AV1466" t="s">
        <v>3250</v>
      </c>
      <c r="AW1466" t="s">
        <v>3250</v>
      </c>
      <c r="AX1466" t="s">
        <v>3250</v>
      </c>
      <c r="AY1466" t="s">
        <v>3250</v>
      </c>
      <c r="AZ1466" t="s">
        <v>3250</v>
      </c>
      <c r="BA1466" t="s">
        <v>3250</v>
      </c>
      <c r="BB1466" t="s">
        <v>3250</v>
      </c>
      <c r="BC1466" t="s">
        <v>3250</v>
      </c>
      <c r="BE1466" t="s">
        <v>3250</v>
      </c>
      <c r="BF1466" t="s">
        <v>3250</v>
      </c>
      <c r="BG1466" t="s">
        <v>3250</v>
      </c>
      <c r="BH1466" t="s">
        <v>3250</v>
      </c>
      <c r="BI1466" t="s">
        <v>3250</v>
      </c>
      <c r="BK1466" t="s">
        <v>3250</v>
      </c>
      <c r="BL1466" t="s">
        <v>3250</v>
      </c>
      <c r="BM1466" t="s">
        <v>3250</v>
      </c>
      <c r="BN1466" t="s">
        <v>3250</v>
      </c>
      <c r="BP1466">
        <v>3</v>
      </c>
      <c r="BQ1466">
        <v>31</v>
      </c>
      <c r="BR1466" t="s">
        <v>2367</v>
      </c>
      <c r="BS1466" t="s">
        <v>4381</v>
      </c>
      <c r="BV1466">
        <v>0</v>
      </c>
      <c r="BW1466">
        <v>0</v>
      </c>
      <c r="BX1466">
        <v>0</v>
      </c>
      <c r="BY1466">
        <v>0</v>
      </c>
      <c r="BZ1466">
        <v>0</v>
      </c>
      <c r="CA1466">
        <v>0</v>
      </c>
      <c r="CB1466">
        <v>0</v>
      </c>
      <c r="CC1466">
        <v>0</v>
      </c>
      <c r="CD1466">
        <v>0</v>
      </c>
      <c r="CE1466" t="s">
        <v>3108</v>
      </c>
      <c r="CF1466" t="s">
        <v>3108</v>
      </c>
      <c r="CG1466" t="s">
        <v>3108</v>
      </c>
      <c r="CH1466" t="s">
        <v>3108</v>
      </c>
    </row>
    <row r="1467" spans="1:86" x14ac:dyDescent="0.2">
      <c r="A1467" t="s">
        <v>5411</v>
      </c>
      <c r="B1467" t="s">
        <v>5411</v>
      </c>
      <c r="C1467">
        <v>54449</v>
      </c>
      <c r="D1467">
        <v>1581</v>
      </c>
      <c r="E1467" t="s">
        <v>5412</v>
      </c>
      <c r="F1467">
        <v>2700</v>
      </c>
      <c r="G1467" t="s">
        <v>411</v>
      </c>
      <c r="H1467" t="s">
        <v>3837</v>
      </c>
      <c r="I1467" t="s">
        <v>2532</v>
      </c>
      <c r="J1467">
        <v>2702</v>
      </c>
      <c r="K1467" t="s">
        <v>2532</v>
      </c>
      <c r="L1467">
        <v>1100</v>
      </c>
      <c r="M1467" t="s">
        <v>119</v>
      </c>
      <c r="N1467">
        <v>1120</v>
      </c>
      <c r="O1467" t="s">
        <v>2367</v>
      </c>
      <c r="P1467" t="s">
        <v>3108</v>
      </c>
      <c r="Q1467" t="s">
        <v>3249</v>
      </c>
      <c r="R1467" t="s">
        <v>3249</v>
      </c>
      <c r="S1467" t="s">
        <v>810</v>
      </c>
      <c r="T1467" t="s">
        <v>2754</v>
      </c>
      <c r="U1467" t="s">
        <v>3250</v>
      </c>
      <c r="V1467" t="s">
        <v>3250</v>
      </c>
      <c r="W1467" t="s">
        <v>3250</v>
      </c>
      <c r="X1467" t="s">
        <v>3250</v>
      </c>
      <c r="Y1467" t="s">
        <v>3250</v>
      </c>
      <c r="Z1467" t="s">
        <v>3250</v>
      </c>
      <c r="AA1467" t="s">
        <v>3108</v>
      </c>
      <c r="AB1467" t="s">
        <v>3108</v>
      </c>
      <c r="AC1467" t="s">
        <v>3250</v>
      </c>
      <c r="AD1467" t="s">
        <v>3250</v>
      </c>
      <c r="AE1467" t="s">
        <v>3250</v>
      </c>
      <c r="AF1467" t="s">
        <v>3250</v>
      </c>
      <c r="AG1467" t="s">
        <v>3250</v>
      </c>
      <c r="AH1467" t="s">
        <v>3250</v>
      </c>
      <c r="AI1467" t="s">
        <v>3250</v>
      </c>
      <c r="AJ1467" t="s">
        <v>3250</v>
      </c>
      <c r="AL1467" t="s">
        <v>3250</v>
      </c>
      <c r="AM1467" t="s">
        <v>3250</v>
      </c>
      <c r="AN1467" t="s">
        <v>3250</v>
      </c>
      <c r="AO1467" t="s">
        <v>3250</v>
      </c>
      <c r="AS1467" t="s">
        <v>3250</v>
      </c>
      <c r="AT1467" t="s">
        <v>3250</v>
      </c>
      <c r="AU1467" t="s">
        <v>3250</v>
      </c>
      <c r="AV1467" t="s">
        <v>3250</v>
      </c>
      <c r="AW1467" t="s">
        <v>3250</v>
      </c>
      <c r="AX1467" t="s">
        <v>3250</v>
      </c>
      <c r="AY1467" t="s">
        <v>3250</v>
      </c>
      <c r="AZ1467" t="s">
        <v>3250</v>
      </c>
      <c r="BA1467" t="s">
        <v>3250</v>
      </c>
      <c r="BB1467" t="s">
        <v>3250</v>
      </c>
      <c r="BC1467" t="s">
        <v>3250</v>
      </c>
      <c r="BE1467" t="s">
        <v>3250</v>
      </c>
      <c r="BF1467" t="s">
        <v>3250</v>
      </c>
      <c r="BG1467" t="s">
        <v>3250</v>
      </c>
      <c r="BH1467" t="s">
        <v>3250</v>
      </c>
      <c r="BI1467" t="s">
        <v>3250</v>
      </c>
      <c r="BK1467" t="s">
        <v>3250</v>
      </c>
      <c r="BL1467" t="s">
        <v>3250</v>
      </c>
      <c r="BM1467" t="s">
        <v>3250</v>
      </c>
      <c r="BN1467" t="s">
        <v>3250</v>
      </c>
      <c r="BP1467">
        <v>3</v>
      </c>
      <c r="BQ1467">
        <v>31</v>
      </c>
      <c r="BR1467" t="s">
        <v>2367</v>
      </c>
      <c r="BS1467" t="s">
        <v>4381</v>
      </c>
      <c r="BV1467">
        <v>0</v>
      </c>
      <c r="BW1467">
        <v>0</v>
      </c>
      <c r="BX1467">
        <v>0</v>
      </c>
      <c r="BY1467">
        <v>260000</v>
      </c>
      <c r="BZ1467">
        <v>260000</v>
      </c>
      <c r="CA1467">
        <v>270140</v>
      </c>
      <c r="CB1467">
        <v>280946</v>
      </c>
      <c r="CC1467">
        <v>292183</v>
      </c>
      <c r="CD1467">
        <v>137086</v>
      </c>
      <c r="CE1467" t="s">
        <v>3108</v>
      </c>
      <c r="CF1467" t="s">
        <v>3108</v>
      </c>
      <c r="CG1467" t="s">
        <v>3108</v>
      </c>
      <c r="CH1467" t="s">
        <v>3108</v>
      </c>
    </row>
    <row r="1468" spans="1:86" x14ac:dyDescent="0.2">
      <c r="A1468" t="s">
        <v>5413</v>
      </c>
      <c r="B1468" t="s">
        <v>5413</v>
      </c>
      <c r="C1468">
        <v>54450</v>
      </c>
      <c r="D1468">
        <v>1582</v>
      </c>
      <c r="E1468" t="s">
        <v>4006</v>
      </c>
      <c r="F1468">
        <v>2700</v>
      </c>
      <c r="G1468" t="s">
        <v>411</v>
      </c>
      <c r="H1468" t="s">
        <v>4004</v>
      </c>
      <c r="I1468" t="s">
        <v>2531</v>
      </c>
      <c r="J1468">
        <v>2701</v>
      </c>
      <c r="K1468" t="s">
        <v>2531</v>
      </c>
      <c r="L1468">
        <v>2200</v>
      </c>
      <c r="M1468" t="s">
        <v>124</v>
      </c>
      <c r="N1468">
        <v>2205</v>
      </c>
      <c r="O1468" t="s">
        <v>2390</v>
      </c>
      <c r="P1468" t="s">
        <v>3108</v>
      </c>
      <c r="Q1468" t="s">
        <v>3249</v>
      </c>
      <c r="R1468" t="s">
        <v>3249</v>
      </c>
      <c r="S1468" t="s">
        <v>810</v>
      </c>
      <c r="T1468" t="s">
        <v>2754</v>
      </c>
      <c r="U1468" t="s">
        <v>3250</v>
      </c>
      <c r="V1468" t="s">
        <v>3250</v>
      </c>
      <c r="W1468" t="s">
        <v>3250</v>
      </c>
      <c r="X1468" t="s">
        <v>3250</v>
      </c>
      <c r="Y1468" t="s">
        <v>3250</v>
      </c>
      <c r="Z1468" t="s">
        <v>3250</v>
      </c>
      <c r="AA1468" t="s">
        <v>3108</v>
      </c>
      <c r="AB1468" t="s">
        <v>3108</v>
      </c>
      <c r="AC1468" t="s">
        <v>3250</v>
      </c>
      <c r="AD1468" t="s">
        <v>3250</v>
      </c>
      <c r="AE1468" t="s">
        <v>3250</v>
      </c>
      <c r="AF1468" t="s">
        <v>3250</v>
      </c>
      <c r="AG1468" t="s">
        <v>3250</v>
      </c>
      <c r="AH1468" t="s">
        <v>3250</v>
      </c>
      <c r="AI1468" t="s">
        <v>3250</v>
      </c>
      <c r="AJ1468" t="s">
        <v>3250</v>
      </c>
      <c r="AL1468" t="s">
        <v>3250</v>
      </c>
      <c r="AM1468" t="s">
        <v>3250</v>
      </c>
      <c r="AN1468" t="s">
        <v>3250</v>
      </c>
      <c r="AO1468" t="s">
        <v>3250</v>
      </c>
      <c r="AS1468" t="s">
        <v>3250</v>
      </c>
      <c r="AT1468" t="s">
        <v>3250</v>
      </c>
      <c r="AU1468" t="s">
        <v>3250</v>
      </c>
      <c r="AV1468" t="s">
        <v>3250</v>
      </c>
      <c r="AW1468" t="s">
        <v>3250</v>
      </c>
      <c r="AX1468" t="s">
        <v>3250</v>
      </c>
      <c r="AY1468" t="s">
        <v>3250</v>
      </c>
      <c r="AZ1468" t="s">
        <v>3250</v>
      </c>
      <c r="BA1468" t="s">
        <v>3250</v>
      </c>
      <c r="BB1468" t="s">
        <v>3250</v>
      </c>
      <c r="BC1468" t="s">
        <v>3250</v>
      </c>
      <c r="BE1468" t="s">
        <v>3250</v>
      </c>
      <c r="BF1468" t="s">
        <v>3250</v>
      </c>
      <c r="BG1468" t="s">
        <v>3250</v>
      </c>
      <c r="BH1468" t="s">
        <v>3250</v>
      </c>
      <c r="BI1468" t="s">
        <v>3250</v>
      </c>
      <c r="BK1468" t="s">
        <v>3250</v>
      </c>
      <c r="BL1468" t="s">
        <v>3250</v>
      </c>
      <c r="BM1468" t="s">
        <v>3250</v>
      </c>
      <c r="BN1468" t="s">
        <v>3250</v>
      </c>
      <c r="BP1468">
        <v>9</v>
      </c>
      <c r="BQ1468">
        <v>91</v>
      </c>
      <c r="BR1468" t="s">
        <v>2390</v>
      </c>
      <c r="BS1468" t="s">
        <v>1675</v>
      </c>
      <c r="BV1468">
        <v>0</v>
      </c>
      <c r="BW1468">
        <v>0</v>
      </c>
      <c r="BX1468">
        <v>0</v>
      </c>
      <c r="BY1468">
        <v>10000</v>
      </c>
      <c r="BZ1468">
        <v>0</v>
      </c>
      <c r="CA1468">
        <v>20000</v>
      </c>
      <c r="CB1468">
        <v>20800</v>
      </c>
      <c r="CC1468">
        <v>21632</v>
      </c>
      <c r="CD1468">
        <v>0</v>
      </c>
      <c r="CE1468" t="s">
        <v>3108</v>
      </c>
      <c r="CF1468" t="s">
        <v>3108</v>
      </c>
      <c r="CG1468" t="s">
        <v>3108</v>
      </c>
      <c r="CH1468" t="s">
        <v>3108</v>
      </c>
    </row>
    <row r="1469" spans="1:86" x14ac:dyDescent="0.2">
      <c r="A1469" t="s">
        <v>5414</v>
      </c>
      <c r="B1469" t="s">
        <v>5414</v>
      </c>
      <c r="C1469">
        <v>54451</v>
      </c>
      <c r="D1469">
        <v>1583</v>
      </c>
      <c r="E1469" t="s">
        <v>4037</v>
      </c>
      <c r="F1469">
        <v>2900</v>
      </c>
      <c r="G1469" t="s">
        <v>822</v>
      </c>
      <c r="H1469" t="s">
        <v>3108</v>
      </c>
      <c r="I1469" t="s">
        <v>3108</v>
      </c>
      <c r="J1469">
        <v>2904</v>
      </c>
      <c r="K1469" t="s">
        <v>1690</v>
      </c>
      <c r="L1469">
        <v>2200</v>
      </c>
      <c r="M1469" t="s">
        <v>124</v>
      </c>
      <c r="N1469">
        <v>2205</v>
      </c>
      <c r="O1469" t="s">
        <v>2390</v>
      </c>
      <c r="P1469" t="s">
        <v>3108</v>
      </c>
      <c r="Q1469" t="s">
        <v>3249</v>
      </c>
      <c r="R1469" t="s">
        <v>3249</v>
      </c>
      <c r="S1469" t="s">
        <v>810</v>
      </c>
      <c r="T1469" t="s">
        <v>2754</v>
      </c>
      <c r="U1469" t="s">
        <v>3250</v>
      </c>
      <c r="V1469" t="s">
        <v>3250</v>
      </c>
      <c r="W1469" t="s">
        <v>3250</v>
      </c>
      <c r="X1469" t="s">
        <v>3250</v>
      </c>
      <c r="Y1469" t="s">
        <v>3250</v>
      </c>
      <c r="Z1469" t="s">
        <v>3250</v>
      </c>
      <c r="AA1469" t="s">
        <v>3108</v>
      </c>
      <c r="AB1469" t="s">
        <v>3108</v>
      </c>
      <c r="AC1469" t="s">
        <v>3250</v>
      </c>
      <c r="AD1469" t="s">
        <v>3250</v>
      </c>
      <c r="AE1469" t="s">
        <v>3250</v>
      </c>
      <c r="AF1469" t="s">
        <v>3250</v>
      </c>
      <c r="AG1469" t="s">
        <v>3250</v>
      </c>
      <c r="AH1469" t="s">
        <v>3250</v>
      </c>
      <c r="AI1469" t="s">
        <v>3250</v>
      </c>
      <c r="AJ1469" t="s">
        <v>3250</v>
      </c>
      <c r="AL1469" t="s">
        <v>3250</v>
      </c>
      <c r="AM1469" t="s">
        <v>3250</v>
      </c>
      <c r="AN1469" t="s">
        <v>3250</v>
      </c>
      <c r="AO1469" t="s">
        <v>3250</v>
      </c>
      <c r="AS1469" t="s">
        <v>3250</v>
      </c>
      <c r="AT1469" t="s">
        <v>3250</v>
      </c>
      <c r="AU1469" t="s">
        <v>3250</v>
      </c>
      <c r="AV1469" t="s">
        <v>3250</v>
      </c>
      <c r="AW1469" t="s">
        <v>3250</v>
      </c>
      <c r="AX1469" t="s">
        <v>3250</v>
      </c>
      <c r="AY1469" t="s">
        <v>3250</v>
      </c>
      <c r="AZ1469" t="s">
        <v>3250</v>
      </c>
      <c r="BA1469" t="s">
        <v>3250</v>
      </c>
      <c r="BB1469" t="s">
        <v>3250</v>
      </c>
      <c r="BC1469" t="s">
        <v>3250</v>
      </c>
      <c r="BE1469" t="s">
        <v>3250</v>
      </c>
      <c r="BF1469" t="s">
        <v>3250</v>
      </c>
      <c r="BG1469" t="s">
        <v>3250</v>
      </c>
      <c r="BH1469" t="s">
        <v>3250</v>
      </c>
      <c r="BI1469" t="s">
        <v>3250</v>
      </c>
      <c r="BK1469" t="s">
        <v>3250</v>
      </c>
      <c r="BL1469" t="s">
        <v>3250</v>
      </c>
      <c r="BM1469" t="s">
        <v>3250</v>
      </c>
      <c r="BN1469" t="s">
        <v>3250</v>
      </c>
      <c r="BP1469">
        <v>9</v>
      </c>
      <c r="BQ1469">
        <v>91</v>
      </c>
      <c r="BR1469" t="s">
        <v>2390</v>
      </c>
      <c r="BS1469" t="s">
        <v>1675</v>
      </c>
      <c r="BV1469">
        <v>0</v>
      </c>
      <c r="BW1469">
        <v>0</v>
      </c>
      <c r="BX1469">
        <v>0</v>
      </c>
      <c r="BY1469">
        <v>0</v>
      </c>
      <c r="BZ1469">
        <v>0</v>
      </c>
      <c r="CA1469">
        <v>0</v>
      </c>
      <c r="CB1469">
        <v>0</v>
      </c>
      <c r="CC1469">
        <v>0</v>
      </c>
      <c r="CD1469">
        <v>0</v>
      </c>
      <c r="CE1469" t="s">
        <v>3108</v>
      </c>
      <c r="CF1469" t="s">
        <v>3108</v>
      </c>
      <c r="CG1469" t="s">
        <v>3108</v>
      </c>
      <c r="CH1469" t="s">
        <v>3108</v>
      </c>
    </row>
    <row r="1470" spans="1:86" x14ac:dyDescent="0.2">
      <c r="A1470" t="s">
        <v>5415</v>
      </c>
      <c r="B1470" t="s">
        <v>5415</v>
      </c>
      <c r="C1470">
        <v>54452</v>
      </c>
      <c r="D1470">
        <v>1584</v>
      </c>
      <c r="E1470" t="s">
        <v>4178</v>
      </c>
      <c r="F1470">
        <v>2700</v>
      </c>
      <c r="G1470" t="s">
        <v>411</v>
      </c>
      <c r="H1470" t="s">
        <v>3997</v>
      </c>
      <c r="I1470" t="s">
        <v>2533</v>
      </c>
      <c r="J1470">
        <v>2703</v>
      </c>
      <c r="K1470" t="s">
        <v>2533</v>
      </c>
      <c r="L1470">
        <v>2200</v>
      </c>
      <c r="M1470" t="s">
        <v>124</v>
      </c>
      <c r="N1470">
        <v>2205</v>
      </c>
      <c r="O1470" t="s">
        <v>2390</v>
      </c>
      <c r="P1470" t="s">
        <v>3108</v>
      </c>
      <c r="Q1470" t="s">
        <v>3249</v>
      </c>
      <c r="R1470" t="s">
        <v>3249</v>
      </c>
      <c r="S1470" t="s">
        <v>810</v>
      </c>
      <c r="T1470" t="s">
        <v>2754</v>
      </c>
      <c r="U1470" t="s">
        <v>3250</v>
      </c>
      <c r="V1470" t="s">
        <v>3250</v>
      </c>
      <c r="W1470" t="s">
        <v>3250</v>
      </c>
      <c r="X1470" t="s">
        <v>3250</v>
      </c>
      <c r="Y1470" t="s">
        <v>3250</v>
      </c>
      <c r="Z1470" t="s">
        <v>3250</v>
      </c>
      <c r="AA1470" t="s">
        <v>3108</v>
      </c>
      <c r="AB1470" t="s">
        <v>3108</v>
      </c>
      <c r="AC1470" t="s">
        <v>3250</v>
      </c>
      <c r="AD1470" t="s">
        <v>3250</v>
      </c>
      <c r="AE1470" t="s">
        <v>3250</v>
      </c>
      <c r="AF1470" t="s">
        <v>3250</v>
      </c>
      <c r="AG1470" t="s">
        <v>3250</v>
      </c>
      <c r="AH1470" t="s">
        <v>3250</v>
      </c>
      <c r="AI1470" t="s">
        <v>3250</v>
      </c>
      <c r="AJ1470" t="s">
        <v>3250</v>
      </c>
      <c r="AL1470" t="s">
        <v>3250</v>
      </c>
      <c r="AM1470" t="s">
        <v>3250</v>
      </c>
      <c r="AN1470" t="s">
        <v>3250</v>
      </c>
      <c r="AO1470" t="s">
        <v>3250</v>
      </c>
      <c r="AS1470" t="s">
        <v>3250</v>
      </c>
      <c r="AT1470" t="s">
        <v>3250</v>
      </c>
      <c r="AU1470" t="s">
        <v>3250</v>
      </c>
      <c r="AV1470" t="s">
        <v>3250</v>
      </c>
      <c r="AW1470" t="s">
        <v>3250</v>
      </c>
      <c r="AX1470" t="s">
        <v>3250</v>
      </c>
      <c r="AY1470" t="s">
        <v>3250</v>
      </c>
      <c r="AZ1470" t="s">
        <v>3250</v>
      </c>
      <c r="BA1470" t="s">
        <v>3250</v>
      </c>
      <c r="BB1470" t="s">
        <v>3250</v>
      </c>
      <c r="BC1470" t="s">
        <v>3250</v>
      </c>
      <c r="BE1470" t="s">
        <v>3250</v>
      </c>
      <c r="BF1470" t="s">
        <v>3250</v>
      </c>
      <c r="BG1470" t="s">
        <v>3250</v>
      </c>
      <c r="BH1470" t="s">
        <v>3250</v>
      </c>
      <c r="BI1470" t="s">
        <v>3250</v>
      </c>
      <c r="BK1470" t="s">
        <v>3250</v>
      </c>
      <c r="BL1470" t="s">
        <v>3250</v>
      </c>
      <c r="BM1470" t="s">
        <v>3250</v>
      </c>
      <c r="BN1470" t="s">
        <v>3250</v>
      </c>
      <c r="BP1470">
        <v>9</v>
      </c>
      <c r="BQ1470">
        <v>91</v>
      </c>
      <c r="BR1470" t="s">
        <v>2390</v>
      </c>
      <c r="BS1470" t="s">
        <v>1675</v>
      </c>
      <c r="BV1470">
        <v>0</v>
      </c>
      <c r="BW1470">
        <v>0</v>
      </c>
      <c r="BX1470">
        <v>0</v>
      </c>
      <c r="BY1470">
        <v>0</v>
      </c>
      <c r="BZ1470">
        <v>0</v>
      </c>
      <c r="CA1470">
        <v>0</v>
      </c>
      <c r="CB1470">
        <v>0</v>
      </c>
      <c r="CC1470">
        <v>0</v>
      </c>
      <c r="CD1470">
        <v>0</v>
      </c>
      <c r="CE1470" t="s">
        <v>3108</v>
      </c>
      <c r="CF1470" t="s">
        <v>3108</v>
      </c>
      <c r="CG1470" t="s">
        <v>3108</v>
      </c>
      <c r="CH1470" t="s">
        <v>3108</v>
      </c>
    </row>
    <row r="1471" spans="1:86" x14ac:dyDescent="0.2">
      <c r="A1471" t="s">
        <v>5416</v>
      </c>
      <c r="B1471" t="s">
        <v>5416</v>
      </c>
      <c r="C1471">
        <v>54453</v>
      </c>
      <c r="D1471">
        <v>1585</v>
      </c>
      <c r="E1471" t="s">
        <v>4003</v>
      </c>
      <c r="F1471">
        <v>2700</v>
      </c>
      <c r="G1471" t="s">
        <v>411</v>
      </c>
      <c r="H1471" t="s">
        <v>4004</v>
      </c>
      <c r="I1471" t="s">
        <v>2531</v>
      </c>
      <c r="J1471">
        <v>2701</v>
      </c>
      <c r="K1471" t="s">
        <v>2531</v>
      </c>
      <c r="L1471">
        <v>2200</v>
      </c>
      <c r="M1471" t="s">
        <v>124</v>
      </c>
      <c r="N1471">
        <v>2205</v>
      </c>
      <c r="O1471" t="s">
        <v>2390</v>
      </c>
      <c r="P1471" t="s">
        <v>3108</v>
      </c>
      <c r="Q1471" t="s">
        <v>3249</v>
      </c>
      <c r="R1471" t="s">
        <v>3249</v>
      </c>
      <c r="S1471" t="s">
        <v>810</v>
      </c>
      <c r="T1471" t="s">
        <v>2754</v>
      </c>
      <c r="U1471" t="s">
        <v>3250</v>
      </c>
      <c r="V1471" t="s">
        <v>3250</v>
      </c>
      <c r="W1471" t="s">
        <v>3250</v>
      </c>
      <c r="X1471" t="s">
        <v>3250</v>
      </c>
      <c r="Y1471" t="s">
        <v>3250</v>
      </c>
      <c r="Z1471" t="s">
        <v>3250</v>
      </c>
      <c r="AA1471" t="s">
        <v>3108</v>
      </c>
      <c r="AB1471" t="s">
        <v>3108</v>
      </c>
      <c r="AC1471" t="s">
        <v>3250</v>
      </c>
      <c r="AD1471" t="s">
        <v>3250</v>
      </c>
      <c r="AE1471" t="s">
        <v>3250</v>
      </c>
      <c r="AF1471" t="s">
        <v>3250</v>
      </c>
      <c r="AG1471" t="s">
        <v>3250</v>
      </c>
      <c r="AH1471" t="s">
        <v>3250</v>
      </c>
      <c r="AI1471" t="s">
        <v>3250</v>
      </c>
      <c r="AJ1471" t="s">
        <v>3250</v>
      </c>
      <c r="AL1471" t="s">
        <v>3250</v>
      </c>
      <c r="AM1471" t="s">
        <v>3250</v>
      </c>
      <c r="AN1471" t="s">
        <v>3250</v>
      </c>
      <c r="AO1471" t="s">
        <v>3250</v>
      </c>
      <c r="AS1471" t="s">
        <v>3250</v>
      </c>
      <c r="AT1471" t="s">
        <v>3250</v>
      </c>
      <c r="AU1471" t="s">
        <v>3250</v>
      </c>
      <c r="AV1471" t="s">
        <v>3250</v>
      </c>
      <c r="AW1471" t="s">
        <v>3250</v>
      </c>
      <c r="AX1471" t="s">
        <v>3250</v>
      </c>
      <c r="AY1471" t="s">
        <v>3250</v>
      </c>
      <c r="AZ1471" t="s">
        <v>3250</v>
      </c>
      <c r="BA1471" t="s">
        <v>3250</v>
      </c>
      <c r="BB1471" t="s">
        <v>3250</v>
      </c>
      <c r="BC1471" t="s">
        <v>3250</v>
      </c>
      <c r="BE1471" t="s">
        <v>3250</v>
      </c>
      <c r="BF1471" t="s">
        <v>3250</v>
      </c>
      <c r="BG1471" t="s">
        <v>3250</v>
      </c>
      <c r="BH1471" t="s">
        <v>3250</v>
      </c>
      <c r="BI1471" t="s">
        <v>3250</v>
      </c>
      <c r="BK1471" t="s">
        <v>3250</v>
      </c>
      <c r="BL1471" t="s">
        <v>3250</v>
      </c>
      <c r="BM1471" t="s">
        <v>3250</v>
      </c>
      <c r="BN1471" t="s">
        <v>3250</v>
      </c>
      <c r="BP1471">
        <v>9</v>
      </c>
      <c r="BQ1471">
        <v>91</v>
      </c>
      <c r="BR1471" t="s">
        <v>2390</v>
      </c>
      <c r="BS1471" t="s">
        <v>1675</v>
      </c>
      <c r="BV1471">
        <v>0</v>
      </c>
      <c r="BW1471">
        <v>15200</v>
      </c>
      <c r="BX1471">
        <v>0</v>
      </c>
      <c r="BY1471">
        <v>20000</v>
      </c>
      <c r="BZ1471">
        <v>0</v>
      </c>
      <c r="CA1471">
        <v>0</v>
      </c>
      <c r="CB1471">
        <v>0</v>
      </c>
      <c r="CC1471">
        <v>0</v>
      </c>
      <c r="CD1471">
        <v>0</v>
      </c>
      <c r="CE1471" t="s">
        <v>3108</v>
      </c>
      <c r="CF1471" t="s">
        <v>3108</v>
      </c>
      <c r="CG1471" t="s">
        <v>3108</v>
      </c>
      <c r="CH1471" t="s">
        <v>3108</v>
      </c>
    </row>
    <row r="1472" spans="1:86" x14ac:dyDescent="0.2">
      <c r="A1472" t="s">
        <v>5417</v>
      </c>
      <c r="B1472" t="s">
        <v>5417</v>
      </c>
      <c r="C1472">
        <v>54454</v>
      </c>
      <c r="D1472">
        <v>1586</v>
      </c>
      <c r="E1472" t="s">
        <v>4031</v>
      </c>
      <c r="F1472">
        <v>2900</v>
      </c>
      <c r="G1472" t="s">
        <v>822</v>
      </c>
      <c r="H1472" t="s">
        <v>3108</v>
      </c>
      <c r="I1472" t="s">
        <v>3108</v>
      </c>
      <c r="J1472">
        <v>2904</v>
      </c>
      <c r="K1472" t="s">
        <v>1690</v>
      </c>
      <c r="L1472">
        <v>2200</v>
      </c>
      <c r="M1472" t="s">
        <v>124</v>
      </c>
      <c r="N1472">
        <v>2205</v>
      </c>
      <c r="O1472" t="s">
        <v>2390</v>
      </c>
      <c r="P1472" t="s">
        <v>3108</v>
      </c>
      <c r="Q1472" t="s">
        <v>3249</v>
      </c>
      <c r="R1472" t="s">
        <v>3249</v>
      </c>
      <c r="S1472" t="s">
        <v>810</v>
      </c>
      <c r="T1472" t="s">
        <v>2754</v>
      </c>
      <c r="U1472" t="s">
        <v>3250</v>
      </c>
      <c r="V1472" t="s">
        <v>3250</v>
      </c>
      <c r="W1472" t="s">
        <v>3250</v>
      </c>
      <c r="X1472" t="s">
        <v>3250</v>
      </c>
      <c r="Y1472" t="s">
        <v>3250</v>
      </c>
      <c r="Z1472" t="s">
        <v>3250</v>
      </c>
      <c r="AA1472" t="s">
        <v>3108</v>
      </c>
      <c r="AB1472" t="s">
        <v>3108</v>
      </c>
      <c r="AC1472" t="s">
        <v>3250</v>
      </c>
      <c r="AD1472" t="s">
        <v>3250</v>
      </c>
      <c r="AE1472" t="s">
        <v>3250</v>
      </c>
      <c r="AF1472" t="s">
        <v>3250</v>
      </c>
      <c r="AG1472" t="s">
        <v>3250</v>
      </c>
      <c r="AH1472" t="s">
        <v>3250</v>
      </c>
      <c r="AI1472" t="s">
        <v>3250</v>
      </c>
      <c r="AJ1472" t="s">
        <v>3250</v>
      </c>
      <c r="AL1472" t="s">
        <v>3250</v>
      </c>
      <c r="AM1472" t="s">
        <v>3250</v>
      </c>
      <c r="AN1472" t="s">
        <v>3250</v>
      </c>
      <c r="AO1472" t="s">
        <v>3250</v>
      </c>
      <c r="AS1472" t="s">
        <v>3250</v>
      </c>
      <c r="AT1472" t="s">
        <v>3250</v>
      </c>
      <c r="AU1472" t="s">
        <v>3250</v>
      </c>
      <c r="AV1472" t="s">
        <v>3250</v>
      </c>
      <c r="AW1472" t="s">
        <v>3250</v>
      </c>
      <c r="AX1472" t="s">
        <v>3250</v>
      </c>
      <c r="AY1472" t="s">
        <v>3250</v>
      </c>
      <c r="AZ1472" t="s">
        <v>3250</v>
      </c>
      <c r="BA1472" t="s">
        <v>3250</v>
      </c>
      <c r="BB1472" t="s">
        <v>3250</v>
      </c>
      <c r="BC1472" t="s">
        <v>3250</v>
      </c>
      <c r="BE1472" t="s">
        <v>3250</v>
      </c>
      <c r="BF1472" t="s">
        <v>3250</v>
      </c>
      <c r="BG1472" t="s">
        <v>3250</v>
      </c>
      <c r="BH1472" t="s">
        <v>3250</v>
      </c>
      <c r="BI1472" t="s">
        <v>3250</v>
      </c>
      <c r="BK1472" t="s">
        <v>3250</v>
      </c>
      <c r="BL1472" t="s">
        <v>3250</v>
      </c>
      <c r="BM1472" t="s">
        <v>3250</v>
      </c>
      <c r="BN1472" t="s">
        <v>3250</v>
      </c>
      <c r="BP1472">
        <v>9</v>
      </c>
      <c r="BQ1472">
        <v>91</v>
      </c>
      <c r="BR1472" t="s">
        <v>2390</v>
      </c>
      <c r="BS1472" t="s">
        <v>1675</v>
      </c>
      <c r="BV1472">
        <v>0</v>
      </c>
      <c r="BW1472">
        <v>0</v>
      </c>
      <c r="BX1472">
        <v>0</v>
      </c>
      <c r="BY1472">
        <v>20000</v>
      </c>
      <c r="BZ1472">
        <v>0</v>
      </c>
      <c r="CA1472">
        <v>33000</v>
      </c>
      <c r="CB1472">
        <v>34320</v>
      </c>
      <c r="CC1472">
        <v>35693</v>
      </c>
      <c r="CD1472">
        <v>0</v>
      </c>
      <c r="CE1472" t="s">
        <v>3108</v>
      </c>
      <c r="CF1472" t="s">
        <v>3108</v>
      </c>
      <c r="CG1472" t="s">
        <v>3108</v>
      </c>
      <c r="CH1472" t="s">
        <v>3108</v>
      </c>
    </row>
    <row r="1473" spans="1:86" x14ac:dyDescent="0.2">
      <c r="A1473" t="s">
        <v>5418</v>
      </c>
      <c r="B1473" t="s">
        <v>5418</v>
      </c>
      <c r="C1473">
        <v>54455</v>
      </c>
      <c r="D1473">
        <v>1587</v>
      </c>
      <c r="E1473" t="s">
        <v>4015</v>
      </c>
      <c r="F1473">
        <v>2900</v>
      </c>
      <c r="G1473" t="s">
        <v>822</v>
      </c>
      <c r="H1473" t="s">
        <v>3108</v>
      </c>
      <c r="I1473" t="s">
        <v>3108</v>
      </c>
      <c r="J1473">
        <v>2904</v>
      </c>
      <c r="K1473" t="s">
        <v>1690</v>
      </c>
      <c r="L1473">
        <v>1100</v>
      </c>
      <c r="M1473" t="s">
        <v>119</v>
      </c>
      <c r="N1473">
        <v>1120</v>
      </c>
      <c r="O1473" t="s">
        <v>2367</v>
      </c>
      <c r="P1473" t="s">
        <v>3108</v>
      </c>
      <c r="Q1473" t="s">
        <v>3249</v>
      </c>
      <c r="R1473" t="s">
        <v>3249</v>
      </c>
      <c r="S1473" t="s">
        <v>810</v>
      </c>
      <c r="T1473" t="s">
        <v>2754</v>
      </c>
      <c r="U1473" t="s">
        <v>3250</v>
      </c>
      <c r="V1473" t="s">
        <v>3250</v>
      </c>
      <c r="W1473" t="s">
        <v>3250</v>
      </c>
      <c r="X1473" t="s">
        <v>3250</v>
      </c>
      <c r="Y1473" t="s">
        <v>3250</v>
      </c>
      <c r="Z1473" t="s">
        <v>3250</v>
      </c>
      <c r="AA1473" t="s">
        <v>3108</v>
      </c>
      <c r="AB1473" t="s">
        <v>3108</v>
      </c>
      <c r="AC1473" t="s">
        <v>3250</v>
      </c>
      <c r="AD1473" t="s">
        <v>3250</v>
      </c>
      <c r="AE1473" t="s">
        <v>3250</v>
      </c>
      <c r="AF1473" t="s">
        <v>3250</v>
      </c>
      <c r="AG1473" t="s">
        <v>3250</v>
      </c>
      <c r="AH1473" t="s">
        <v>3250</v>
      </c>
      <c r="AI1473" t="s">
        <v>3250</v>
      </c>
      <c r="AJ1473" t="s">
        <v>3250</v>
      </c>
      <c r="AL1473" t="s">
        <v>3250</v>
      </c>
      <c r="AM1473" t="s">
        <v>3250</v>
      </c>
      <c r="AN1473" t="s">
        <v>3250</v>
      </c>
      <c r="AO1473" t="s">
        <v>3250</v>
      </c>
      <c r="AS1473" t="s">
        <v>3250</v>
      </c>
      <c r="AT1473" t="s">
        <v>3250</v>
      </c>
      <c r="AU1473" t="s">
        <v>3250</v>
      </c>
      <c r="AV1473" t="s">
        <v>3250</v>
      </c>
      <c r="AW1473" t="s">
        <v>3250</v>
      </c>
      <c r="AX1473" t="s">
        <v>3250</v>
      </c>
      <c r="AY1473" t="s">
        <v>3250</v>
      </c>
      <c r="AZ1473" t="s">
        <v>3250</v>
      </c>
      <c r="BA1473" t="s">
        <v>3250</v>
      </c>
      <c r="BB1473" t="s">
        <v>3250</v>
      </c>
      <c r="BC1473" t="s">
        <v>3250</v>
      </c>
      <c r="BE1473" t="s">
        <v>3250</v>
      </c>
      <c r="BF1473" t="s">
        <v>3250</v>
      </c>
      <c r="BG1473" t="s">
        <v>3250</v>
      </c>
      <c r="BH1473" t="s">
        <v>3250</v>
      </c>
      <c r="BI1473" t="s">
        <v>3250</v>
      </c>
      <c r="BK1473" t="s">
        <v>3250</v>
      </c>
      <c r="BL1473" t="s">
        <v>3250</v>
      </c>
      <c r="BM1473" t="s">
        <v>3250</v>
      </c>
      <c r="BN1473" t="s">
        <v>3250</v>
      </c>
      <c r="BP1473">
        <v>3</v>
      </c>
      <c r="BQ1473">
        <v>31</v>
      </c>
      <c r="BR1473" t="s">
        <v>2367</v>
      </c>
      <c r="BS1473" t="s">
        <v>4381</v>
      </c>
      <c r="BV1473">
        <v>0</v>
      </c>
      <c r="BW1473">
        <v>0</v>
      </c>
      <c r="BX1473">
        <v>-1</v>
      </c>
      <c r="BY1473">
        <v>250000</v>
      </c>
      <c r="BZ1473">
        <v>250000</v>
      </c>
      <c r="CA1473">
        <v>259750</v>
      </c>
      <c r="CB1473">
        <v>270140</v>
      </c>
      <c r="CC1473">
        <v>280946</v>
      </c>
      <c r="CD1473">
        <v>180345</v>
      </c>
      <c r="CE1473" t="s">
        <v>3108</v>
      </c>
      <c r="CF1473" t="s">
        <v>3108</v>
      </c>
      <c r="CG1473" t="s">
        <v>3108</v>
      </c>
      <c r="CH1473" t="s">
        <v>3108</v>
      </c>
    </row>
    <row r="1474" spans="1:86" x14ac:dyDescent="0.2">
      <c r="A1474" t="s">
        <v>5419</v>
      </c>
      <c r="B1474" t="s">
        <v>5419</v>
      </c>
      <c r="C1474">
        <v>54456</v>
      </c>
      <c r="D1474">
        <v>1588</v>
      </c>
      <c r="E1474" t="s">
        <v>4006</v>
      </c>
      <c r="F1474">
        <v>2700</v>
      </c>
      <c r="G1474" t="s">
        <v>411</v>
      </c>
      <c r="H1474" t="s">
        <v>4004</v>
      </c>
      <c r="I1474" t="s">
        <v>2531</v>
      </c>
      <c r="J1474">
        <v>2701</v>
      </c>
      <c r="K1474" t="s">
        <v>2531</v>
      </c>
      <c r="L1474">
        <v>2100</v>
      </c>
      <c r="M1474" t="s">
        <v>123</v>
      </c>
      <c r="N1474">
        <v>2101</v>
      </c>
      <c r="O1474" t="s">
        <v>1445</v>
      </c>
      <c r="P1474" t="s">
        <v>3108</v>
      </c>
      <c r="Q1474" t="s">
        <v>3249</v>
      </c>
      <c r="R1474" t="s">
        <v>3249</v>
      </c>
      <c r="S1474" t="s">
        <v>810</v>
      </c>
      <c r="T1474" t="s">
        <v>2754</v>
      </c>
      <c r="U1474" t="s">
        <v>3250</v>
      </c>
      <c r="V1474" t="s">
        <v>3250</v>
      </c>
      <c r="W1474" t="s">
        <v>3250</v>
      </c>
      <c r="X1474" t="s">
        <v>3250</v>
      </c>
      <c r="Y1474" t="s">
        <v>3250</v>
      </c>
      <c r="Z1474" t="s">
        <v>3250</v>
      </c>
      <c r="AA1474" t="s">
        <v>3108</v>
      </c>
      <c r="AB1474" t="s">
        <v>3108</v>
      </c>
      <c r="AC1474" t="s">
        <v>3250</v>
      </c>
      <c r="AD1474" t="s">
        <v>3250</v>
      </c>
      <c r="AE1474" t="s">
        <v>3250</v>
      </c>
      <c r="AF1474" t="s">
        <v>3250</v>
      </c>
      <c r="AG1474" t="s">
        <v>3250</v>
      </c>
      <c r="AH1474" t="s">
        <v>3250</v>
      </c>
      <c r="AI1474" t="s">
        <v>3250</v>
      </c>
      <c r="AJ1474" t="s">
        <v>3250</v>
      </c>
      <c r="AL1474" t="s">
        <v>3250</v>
      </c>
      <c r="AM1474" t="s">
        <v>3250</v>
      </c>
      <c r="AN1474" t="s">
        <v>3250</v>
      </c>
      <c r="AO1474" t="s">
        <v>3250</v>
      </c>
      <c r="AS1474" t="s">
        <v>3250</v>
      </c>
      <c r="AT1474" t="s">
        <v>3250</v>
      </c>
      <c r="AU1474" t="s">
        <v>3250</v>
      </c>
      <c r="AV1474" t="s">
        <v>3250</v>
      </c>
      <c r="AW1474" t="s">
        <v>3250</v>
      </c>
      <c r="AX1474" t="s">
        <v>3250</v>
      </c>
      <c r="AY1474" t="s">
        <v>3250</v>
      </c>
      <c r="AZ1474" t="s">
        <v>3250</v>
      </c>
      <c r="BA1474" t="s">
        <v>3250</v>
      </c>
      <c r="BB1474" t="s">
        <v>3250</v>
      </c>
      <c r="BC1474" t="s">
        <v>3250</v>
      </c>
      <c r="BE1474" t="s">
        <v>3250</v>
      </c>
      <c r="BF1474" t="s">
        <v>3250</v>
      </c>
      <c r="BG1474" t="s">
        <v>3250</v>
      </c>
      <c r="BH1474" t="s">
        <v>3250</v>
      </c>
      <c r="BI1474" t="s">
        <v>3250</v>
      </c>
      <c r="BK1474" t="s">
        <v>3250</v>
      </c>
      <c r="BL1474" t="s">
        <v>3250</v>
      </c>
      <c r="BM1474" t="s">
        <v>3250</v>
      </c>
      <c r="BN1474" t="s">
        <v>3250</v>
      </c>
      <c r="BP1474">
        <v>4</v>
      </c>
      <c r="BQ1474">
        <v>48</v>
      </c>
      <c r="BR1474" t="s">
        <v>1445</v>
      </c>
      <c r="BS1474" t="s">
        <v>4024</v>
      </c>
      <c r="BV1474">
        <v>0</v>
      </c>
      <c r="BW1474">
        <v>0</v>
      </c>
      <c r="BX1474">
        <v>0</v>
      </c>
      <c r="BY1474">
        <v>40000</v>
      </c>
      <c r="BZ1474">
        <v>45000</v>
      </c>
      <c r="CA1474">
        <v>70000</v>
      </c>
      <c r="CB1474">
        <v>72800</v>
      </c>
      <c r="CC1474">
        <v>75712</v>
      </c>
      <c r="CD1474">
        <v>0</v>
      </c>
      <c r="CE1474" t="s">
        <v>3108</v>
      </c>
      <c r="CF1474" t="s">
        <v>3108</v>
      </c>
      <c r="CG1474" t="s">
        <v>3108</v>
      </c>
      <c r="CH1474" t="s">
        <v>3108</v>
      </c>
    </row>
    <row r="1475" spans="1:86" x14ac:dyDescent="0.2">
      <c r="A1475" t="s">
        <v>5420</v>
      </c>
      <c r="B1475" t="s">
        <v>5420</v>
      </c>
      <c r="C1475">
        <v>54457</v>
      </c>
      <c r="D1475">
        <v>1589</v>
      </c>
      <c r="E1475" t="s">
        <v>4003</v>
      </c>
      <c r="F1475">
        <v>2700</v>
      </c>
      <c r="G1475" t="s">
        <v>411</v>
      </c>
      <c r="H1475" t="s">
        <v>4004</v>
      </c>
      <c r="I1475" t="s">
        <v>2531</v>
      </c>
      <c r="J1475">
        <v>2701</v>
      </c>
      <c r="K1475" t="s">
        <v>2531</v>
      </c>
      <c r="L1475">
        <v>2100</v>
      </c>
      <c r="M1475" t="s">
        <v>123</v>
      </c>
      <c r="N1475">
        <v>2101</v>
      </c>
      <c r="O1475" t="s">
        <v>1445</v>
      </c>
      <c r="P1475" t="s">
        <v>3108</v>
      </c>
      <c r="Q1475" t="s">
        <v>3249</v>
      </c>
      <c r="R1475" t="s">
        <v>3249</v>
      </c>
      <c r="S1475" t="s">
        <v>810</v>
      </c>
      <c r="T1475" t="s">
        <v>2754</v>
      </c>
      <c r="U1475" t="s">
        <v>3250</v>
      </c>
      <c r="V1475" t="s">
        <v>3250</v>
      </c>
      <c r="W1475" t="s">
        <v>3250</v>
      </c>
      <c r="X1475" t="s">
        <v>3250</v>
      </c>
      <c r="Y1475" t="s">
        <v>3250</v>
      </c>
      <c r="Z1475" t="s">
        <v>3250</v>
      </c>
      <c r="AA1475" t="s">
        <v>3108</v>
      </c>
      <c r="AB1475" t="s">
        <v>3108</v>
      </c>
      <c r="AC1475" t="s">
        <v>3250</v>
      </c>
      <c r="AD1475" t="s">
        <v>3250</v>
      </c>
      <c r="AE1475" t="s">
        <v>3250</v>
      </c>
      <c r="AF1475" t="s">
        <v>3250</v>
      </c>
      <c r="AG1475" t="s">
        <v>3250</v>
      </c>
      <c r="AH1475" t="s">
        <v>3250</v>
      </c>
      <c r="AI1475" t="s">
        <v>3250</v>
      </c>
      <c r="AJ1475" t="s">
        <v>3250</v>
      </c>
      <c r="AL1475" t="s">
        <v>3250</v>
      </c>
      <c r="AM1475" t="s">
        <v>3250</v>
      </c>
      <c r="AN1475" t="s">
        <v>3250</v>
      </c>
      <c r="AO1475" t="s">
        <v>3250</v>
      </c>
      <c r="AS1475" t="s">
        <v>3250</v>
      </c>
      <c r="AT1475" t="s">
        <v>3250</v>
      </c>
      <c r="AU1475" t="s">
        <v>3250</v>
      </c>
      <c r="AV1475" t="s">
        <v>3250</v>
      </c>
      <c r="AW1475" t="s">
        <v>3250</v>
      </c>
      <c r="AX1475" t="s">
        <v>3250</v>
      </c>
      <c r="AY1475" t="s">
        <v>3250</v>
      </c>
      <c r="AZ1475" t="s">
        <v>3250</v>
      </c>
      <c r="BA1475" t="s">
        <v>3250</v>
      </c>
      <c r="BB1475" t="s">
        <v>3250</v>
      </c>
      <c r="BC1475" t="s">
        <v>3250</v>
      </c>
      <c r="BE1475" t="s">
        <v>3250</v>
      </c>
      <c r="BF1475" t="s">
        <v>3250</v>
      </c>
      <c r="BG1475" t="s">
        <v>3250</v>
      </c>
      <c r="BH1475" t="s">
        <v>3250</v>
      </c>
      <c r="BI1475" t="s">
        <v>3250</v>
      </c>
      <c r="BK1475" t="s">
        <v>3250</v>
      </c>
      <c r="BL1475" t="s">
        <v>3250</v>
      </c>
      <c r="BM1475" t="s">
        <v>3250</v>
      </c>
      <c r="BN1475" t="s">
        <v>3250</v>
      </c>
      <c r="BP1475">
        <v>4</v>
      </c>
      <c r="BQ1475">
        <v>48</v>
      </c>
      <c r="BR1475" t="s">
        <v>1445</v>
      </c>
      <c r="BS1475" t="s">
        <v>4024</v>
      </c>
      <c r="BV1475">
        <v>0</v>
      </c>
      <c r="BW1475">
        <v>0</v>
      </c>
      <c r="BX1475">
        <v>0</v>
      </c>
      <c r="BY1475">
        <v>30000</v>
      </c>
      <c r="BZ1475">
        <v>34000</v>
      </c>
      <c r="CA1475">
        <v>40000</v>
      </c>
      <c r="CB1475">
        <v>41600</v>
      </c>
      <c r="CC1475">
        <v>43264</v>
      </c>
      <c r="CD1475">
        <v>0</v>
      </c>
      <c r="CE1475" t="s">
        <v>3108</v>
      </c>
      <c r="CF1475" t="s">
        <v>3108</v>
      </c>
      <c r="CG1475" t="s">
        <v>3108</v>
      </c>
      <c r="CH1475" t="s">
        <v>3108</v>
      </c>
    </row>
    <row r="1476" spans="1:86" x14ac:dyDescent="0.2">
      <c r="A1476" t="s">
        <v>5421</v>
      </c>
      <c r="B1476" t="s">
        <v>5421</v>
      </c>
      <c r="C1476">
        <v>54458</v>
      </c>
      <c r="D1476">
        <v>1590</v>
      </c>
      <c r="E1476" t="s">
        <v>3999</v>
      </c>
      <c r="F1476">
        <v>2700</v>
      </c>
      <c r="G1476" t="s">
        <v>411</v>
      </c>
      <c r="H1476" t="s">
        <v>3997</v>
      </c>
      <c r="I1476" t="s">
        <v>2533</v>
      </c>
      <c r="J1476">
        <v>2703</v>
      </c>
      <c r="K1476" t="s">
        <v>2533</v>
      </c>
      <c r="L1476">
        <v>1200</v>
      </c>
      <c r="M1476" t="s">
        <v>2368</v>
      </c>
      <c r="N1476">
        <v>1201</v>
      </c>
      <c r="O1476" t="s">
        <v>2370</v>
      </c>
      <c r="P1476" t="s">
        <v>3108</v>
      </c>
      <c r="Q1476" t="s">
        <v>3249</v>
      </c>
      <c r="R1476" t="s">
        <v>3249</v>
      </c>
      <c r="S1476" t="s">
        <v>810</v>
      </c>
      <c r="T1476" t="s">
        <v>2754</v>
      </c>
      <c r="U1476" t="s">
        <v>3250</v>
      </c>
      <c r="V1476" t="s">
        <v>3250</v>
      </c>
      <c r="W1476" t="s">
        <v>3250</v>
      </c>
      <c r="X1476" t="s">
        <v>3250</v>
      </c>
      <c r="Y1476" t="s">
        <v>3250</v>
      </c>
      <c r="Z1476" t="s">
        <v>3250</v>
      </c>
      <c r="AA1476" t="s">
        <v>3108</v>
      </c>
      <c r="AB1476" t="s">
        <v>3108</v>
      </c>
      <c r="AC1476" t="s">
        <v>3250</v>
      </c>
      <c r="AD1476" t="s">
        <v>3250</v>
      </c>
      <c r="AE1476" t="s">
        <v>3250</v>
      </c>
      <c r="AF1476" t="s">
        <v>3250</v>
      </c>
      <c r="AG1476" t="s">
        <v>3250</v>
      </c>
      <c r="AH1476" t="s">
        <v>3250</v>
      </c>
      <c r="AI1476" t="s">
        <v>3250</v>
      </c>
      <c r="AJ1476" t="s">
        <v>3250</v>
      </c>
      <c r="AL1476" t="s">
        <v>3250</v>
      </c>
      <c r="AM1476" t="s">
        <v>3250</v>
      </c>
      <c r="AN1476" t="s">
        <v>3250</v>
      </c>
      <c r="AO1476" t="s">
        <v>3250</v>
      </c>
      <c r="AS1476" t="s">
        <v>3250</v>
      </c>
      <c r="AT1476" t="s">
        <v>3250</v>
      </c>
      <c r="AU1476" t="s">
        <v>3250</v>
      </c>
      <c r="AV1476" t="s">
        <v>3250</v>
      </c>
      <c r="AW1476" t="s">
        <v>3250</v>
      </c>
      <c r="AX1476" t="s">
        <v>3250</v>
      </c>
      <c r="AY1476" t="s">
        <v>3250</v>
      </c>
      <c r="AZ1476" t="s">
        <v>3250</v>
      </c>
      <c r="BA1476" t="s">
        <v>3250</v>
      </c>
      <c r="BB1476" t="s">
        <v>3250</v>
      </c>
      <c r="BC1476" t="s">
        <v>3250</v>
      </c>
      <c r="BE1476" t="s">
        <v>3250</v>
      </c>
      <c r="BF1476" t="s">
        <v>3250</v>
      </c>
      <c r="BG1476" t="s">
        <v>3250</v>
      </c>
      <c r="BH1476" t="s">
        <v>3250</v>
      </c>
      <c r="BI1476" t="s">
        <v>3250</v>
      </c>
      <c r="BK1476" t="s">
        <v>3250</v>
      </c>
      <c r="BL1476" t="s">
        <v>3250</v>
      </c>
      <c r="BM1476" t="s">
        <v>3250</v>
      </c>
      <c r="BN1476" t="s">
        <v>3250</v>
      </c>
      <c r="BP1476">
        <v>1</v>
      </c>
      <c r="BQ1476">
        <v>14</v>
      </c>
      <c r="BR1476" t="s">
        <v>2370</v>
      </c>
      <c r="BS1476" t="s">
        <v>3252</v>
      </c>
      <c r="BV1476">
        <v>0</v>
      </c>
      <c r="BW1476">
        <v>0</v>
      </c>
      <c r="BX1476">
        <v>0</v>
      </c>
      <c r="BY1476">
        <v>15000</v>
      </c>
      <c r="BZ1476">
        <v>0</v>
      </c>
      <c r="CA1476">
        <v>0</v>
      </c>
      <c r="CB1476">
        <v>0</v>
      </c>
      <c r="CC1476">
        <v>0</v>
      </c>
      <c r="CD1476">
        <v>0</v>
      </c>
      <c r="CE1476" t="s">
        <v>3108</v>
      </c>
      <c r="CF1476" t="s">
        <v>3108</v>
      </c>
      <c r="CG1476" t="s">
        <v>3108</v>
      </c>
      <c r="CH1476" t="s">
        <v>3108</v>
      </c>
    </row>
    <row r="1477" spans="1:86" x14ac:dyDescent="0.2">
      <c r="A1477" t="s">
        <v>5422</v>
      </c>
      <c r="B1477" t="s">
        <v>5422</v>
      </c>
      <c r="C1477">
        <v>54459</v>
      </c>
      <c r="D1477">
        <v>1591</v>
      </c>
      <c r="E1477" t="s">
        <v>4015</v>
      </c>
      <c r="F1477">
        <v>2900</v>
      </c>
      <c r="G1477" t="s">
        <v>822</v>
      </c>
      <c r="H1477" t="s">
        <v>3108</v>
      </c>
      <c r="I1477" t="s">
        <v>3108</v>
      </c>
      <c r="J1477">
        <v>2904</v>
      </c>
      <c r="K1477" t="s">
        <v>1690</v>
      </c>
      <c r="L1477">
        <v>1100</v>
      </c>
      <c r="M1477" t="s">
        <v>119</v>
      </c>
      <c r="N1477">
        <v>1120</v>
      </c>
      <c r="O1477" t="s">
        <v>2367</v>
      </c>
      <c r="P1477" t="s">
        <v>3108</v>
      </c>
      <c r="Q1477" t="s">
        <v>3249</v>
      </c>
      <c r="R1477" t="s">
        <v>3249</v>
      </c>
      <c r="S1477" t="s">
        <v>810</v>
      </c>
      <c r="T1477" t="s">
        <v>2754</v>
      </c>
      <c r="U1477" t="s">
        <v>3250</v>
      </c>
      <c r="V1477" t="s">
        <v>3250</v>
      </c>
      <c r="W1477" t="s">
        <v>3250</v>
      </c>
      <c r="X1477" t="s">
        <v>3250</v>
      </c>
      <c r="Y1477" t="s">
        <v>3250</v>
      </c>
      <c r="Z1477" t="s">
        <v>3250</v>
      </c>
      <c r="AA1477" t="s">
        <v>3108</v>
      </c>
      <c r="AB1477" t="s">
        <v>3108</v>
      </c>
      <c r="AC1477" t="s">
        <v>3250</v>
      </c>
      <c r="AD1477" t="s">
        <v>3250</v>
      </c>
      <c r="AE1477" t="s">
        <v>3250</v>
      </c>
      <c r="AF1477" t="s">
        <v>3250</v>
      </c>
      <c r="AG1477" t="s">
        <v>3250</v>
      </c>
      <c r="AH1477" t="s">
        <v>3250</v>
      </c>
      <c r="AI1477" t="s">
        <v>3250</v>
      </c>
      <c r="AJ1477" t="s">
        <v>3250</v>
      </c>
      <c r="AL1477" t="s">
        <v>3250</v>
      </c>
      <c r="AM1477" t="s">
        <v>3250</v>
      </c>
      <c r="AN1477" t="s">
        <v>3250</v>
      </c>
      <c r="AO1477" t="s">
        <v>3250</v>
      </c>
      <c r="AS1477" t="s">
        <v>3250</v>
      </c>
      <c r="AT1477" t="s">
        <v>3250</v>
      </c>
      <c r="AU1477" t="s">
        <v>3250</v>
      </c>
      <c r="AV1477" t="s">
        <v>3250</v>
      </c>
      <c r="AW1477" t="s">
        <v>3250</v>
      </c>
      <c r="AX1477" t="s">
        <v>3250</v>
      </c>
      <c r="AY1477" t="s">
        <v>3250</v>
      </c>
      <c r="AZ1477" t="s">
        <v>3250</v>
      </c>
      <c r="BA1477" t="s">
        <v>3250</v>
      </c>
      <c r="BB1477" t="s">
        <v>3250</v>
      </c>
      <c r="BC1477" t="s">
        <v>3250</v>
      </c>
      <c r="BE1477" t="s">
        <v>3250</v>
      </c>
      <c r="BF1477" t="s">
        <v>3250</v>
      </c>
      <c r="BG1477" t="s">
        <v>3250</v>
      </c>
      <c r="BH1477" t="s">
        <v>3250</v>
      </c>
      <c r="BI1477" t="s">
        <v>3250</v>
      </c>
      <c r="BK1477" t="s">
        <v>3250</v>
      </c>
      <c r="BL1477" t="s">
        <v>3250</v>
      </c>
      <c r="BM1477" t="s">
        <v>3250</v>
      </c>
      <c r="BN1477" t="s">
        <v>3250</v>
      </c>
      <c r="BP1477">
        <v>3</v>
      </c>
      <c r="BQ1477">
        <v>31</v>
      </c>
      <c r="BR1477" t="s">
        <v>2367</v>
      </c>
      <c r="BS1477" t="s">
        <v>4381</v>
      </c>
      <c r="BV1477">
        <v>455240</v>
      </c>
      <c r="BW1477">
        <v>32088</v>
      </c>
      <c r="BX1477">
        <v>0</v>
      </c>
      <c r="BY1477">
        <v>800000</v>
      </c>
      <c r="BZ1477">
        <v>1600000</v>
      </c>
      <c r="CA1477">
        <v>1662400</v>
      </c>
      <c r="CB1477">
        <v>104000</v>
      </c>
      <c r="CC1477">
        <v>108160</v>
      </c>
      <c r="CD1477">
        <v>116836</v>
      </c>
      <c r="CE1477" t="s">
        <v>3108</v>
      </c>
      <c r="CF1477" t="s">
        <v>3108</v>
      </c>
      <c r="CG1477" t="s">
        <v>3108</v>
      </c>
      <c r="CH1477" t="s">
        <v>3108</v>
      </c>
    </row>
    <row r="1478" spans="1:86" x14ac:dyDescent="0.2">
      <c r="A1478" t="s">
        <v>5423</v>
      </c>
      <c r="B1478" t="s">
        <v>5423</v>
      </c>
      <c r="C1478">
        <v>54460</v>
      </c>
      <c r="D1478">
        <v>1592</v>
      </c>
      <c r="E1478" t="s">
        <v>4431</v>
      </c>
      <c r="F1478">
        <v>2700</v>
      </c>
      <c r="G1478" t="s">
        <v>411</v>
      </c>
      <c r="H1478" t="s">
        <v>3997</v>
      </c>
      <c r="I1478" t="s">
        <v>2533</v>
      </c>
      <c r="J1478">
        <v>2703</v>
      </c>
      <c r="K1478" t="s">
        <v>2533</v>
      </c>
      <c r="L1478">
        <v>3200</v>
      </c>
      <c r="M1478" t="s">
        <v>128</v>
      </c>
      <c r="N1478">
        <v>3205</v>
      </c>
      <c r="O1478" t="s">
        <v>629</v>
      </c>
      <c r="P1478" t="s">
        <v>3108</v>
      </c>
      <c r="Q1478" t="s">
        <v>3249</v>
      </c>
      <c r="R1478" t="s">
        <v>3249</v>
      </c>
      <c r="S1478" t="s">
        <v>810</v>
      </c>
      <c r="T1478" t="s">
        <v>2754</v>
      </c>
      <c r="U1478" t="s">
        <v>3250</v>
      </c>
      <c r="V1478" t="s">
        <v>3250</v>
      </c>
      <c r="W1478" t="s">
        <v>3250</v>
      </c>
      <c r="X1478" t="s">
        <v>3250</v>
      </c>
      <c r="Y1478" t="s">
        <v>3250</v>
      </c>
      <c r="Z1478" t="s">
        <v>3250</v>
      </c>
      <c r="AA1478" t="s">
        <v>3108</v>
      </c>
      <c r="AB1478" t="s">
        <v>3108</v>
      </c>
      <c r="AC1478" t="s">
        <v>3250</v>
      </c>
      <c r="AD1478" t="s">
        <v>3250</v>
      </c>
      <c r="AE1478" t="s">
        <v>3250</v>
      </c>
      <c r="AF1478" t="s">
        <v>3250</v>
      </c>
      <c r="AG1478" t="s">
        <v>3250</v>
      </c>
      <c r="AH1478" t="s">
        <v>3250</v>
      </c>
      <c r="AI1478" t="s">
        <v>3250</v>
      </c>
      <c r="AJ1478" t="s">
        <v>3250</v>
      </c>
      <c r="AL1478" t="s">
        <v>3250</v>
      </c>
      <c r="AM1478" t="s">
        <v>3250</v>
      </c>
      <c r="AN1478" t="s">
        <v>3250</v>
      </c>
      <c r="AO1478" t="s">
        <v>3250</v>
      </c>
      <c r="AS1478" t="s">
        <v>3250</v>
      </c>
      <c r="AT1478" t="s">
        <v>3250</v>
      </c>
      <c r="AU1478" t="s">
        <v>3250</v>
      </c>
      <c r="AV1478" t="s">
        <v>3250</v>
      </c>
      <c r="AW1478" t="s">
        <v>3250</v>
      </c>
      <c r="AX1478" t="s">
        <v>3250</v>
      </c>
      <c r="AY1478">
        <v>130</v>
      </c>
      <c r="AZ1478" t="s">
        <v>2231</v>
      </c>
      <c r="BA1478" t="s">
        <v>3250</v>
      </c>
      <c r="BB1478">
        <v>130</v>
      </c>
      <c r="BC1478" t="s">
        <v>2231</v>
      </c>
      <c r="BD1478" t="s">
        <v>2820</v>
      </c>
      <c r="BE1478" t="s">
        <v>3250</v>
      </c>
      <c r="BF1478" t="s">
        <v>3250</v>
      </c>
      <c r="BG1478" t="s">
        <v>3250</v>
      </c>
      <c r="BH1478" t="s">
        <v>3250</v>
      </c>
      <c r="BI1478" t="s">
        <v>3250</v>
      </c>
      <c r="BK1478" t="s">
        <v>3250</v>
      </c>
      <c r="BL1478" t="s">
        <v>3250</v>
      </c>
      <c r="BM1478" t="s">
        <v>3250</v>
      </c>
      <c r="BN1478" t="s">
        <v>3250</v>
      </c>
      <c r="BP1478">
        <v>7</v>
      </c>
      <c r="BQ1478">
        <v>71</v>
      </c>
      <c r="BR1478" t="s">
        <v>629</v>
      </c>
      <c r="BS1478" t="s">
        <v>4212</v>
      </c>
      <c r="BV1478">
        <v>1568075</v>
      </c>
      <c r="BW1478">
        <v>1163601</v>
      </c>
      <c r="BX1478">
        <v>0</v>
      </c>
      <c r="BY1478">
        <v>2000000</v>
      </c>
      <c r="BZ1478">
        <v>3282733</v>
      </c>
      <c r="CA1478">
        <v>9800000</v>
      </c>
      <c r="CB1478">
        <v>10192000</v>
      </c>
      <c r="CC1478">
        <v>10599680</v>
      </c>
      <c r="CD1478">
        <v>2383366</v>
      </c>
      <c r="CE1478" t="s">
        <v>3108</v>
      </c>
      <c r="CF1478" t="s">
        <v>3108</v>
      </c>
      <c r="CG1478" t="s">
        <v>3108</v>
      </c>
      <c r="CH1478" t="s">
        <v>3108</v>
      </c>
    </row>
    <row r="1479" spans="1:86" x14ac:dyDescent="0.2">
      <c r="A1479" t="s">
        <v>5424</v>
      </c>
      <c r="B1479" t="s">
        <v>5424</v>
      </c>
      <c r="C1479">
        <v>54461</v>
      </c>
      <c r="D1479">
        <v>1593</v>
      </c>
      <c r="E1479" t="s">
        <v>4431</v>
      </c>
      <c r="F1479">
        <v>2700</v>
      </c>
      <c r="G1479" t="s">
        <v>411</v>
      </c>
      <c r="H1479" t="s">
        <v>3997</v>
      </c>
      <c r="I1479" t="s">
        <v>2533</v>
      </c>
      <c r="J1479">
        <v>2703</v>
      </c>
      <c r="K1479" t="s">
        <v>2533</v>
      </c>
      <c r="L1479">
        <v>3200</v>
      </c>
      <c r="M1479" t="s">
        <v>128</v>
      </c>
      <c r="N1479">
        <v>3205</v>
      </c>
      <c r="O1479" t="s">
        <v>629</v>
      </c>
      <c r="P1479" t="s">
        <v>3108</v>
      </c>
      <c r="Q1479" t="s">
        <v>3249</v>
      </c>
      <c r="R1479" t="s">
        <v>3249</v>
      </c>
      <c r="S1479" t="s">
        <v>810</v>
      </c>
      <c r="T1479" t="s">
        <v>2754</v>
      </c>
      <c r="U1479" t="s">
        <v>3250</v>
      </c>
      <c r="V1479" t="s">
        <v>3250</v>
      </c>
      <c r="W1479" t="s">
        <v>3250</v>
      </c>
      <c r="X1479" t="s">
        <v>3250</v>
      </c>
      <c r="Y1479" t="s">
        <v>3250</v>
      </c>
      <c r="Z1479" t="s">
        <v>3250</v>
      </c>
      <c r="AA1479" t="s">
        <v>3108</v>
      </c>
      <c r="AB1479" t="s">
        <v>3108</v>
      </c>
      <c r="AC1479" t="s">
        <v>3250</v>
      </c>
      <c r="AD1479" t="s">
        <v>3250</v>
      </c>
      <c r="AE1479" t="s">
        <v>3250</v>
      </c>
      <c r="AF1479" t="s">
        <v>3250</v>
      </c>
      <c r="AG1479" t="s">
        <v>3250</v>
      </c>
      <c r="AH1479" t="s">
        <v>3250</v>
      </c>
      <c r="AI1479" t="s">
        <v>3250</v>
      </c>
      <c r="AJ1479" t="s">
        <v>3250</v>
      </c>
      <c r="AL1479" t="s">
        <v>3250</v>
      </c>
      <c r="AM1479" t="s">
        <v>3250</v>
      </c>
      <c r="AN1479" t="s">
        <v>3250</v>
      </c>
      <c r="AO1479" t="s">
        <v>3250</v>
      </c>
      <c r="AS1479" t="s">
        <v>3250</v>
      </c>
      <c r="AT1479" t="s">
        <v>3250</v>
      </c>
      <c r="AU1479" t="s">
        <v>3250</v>
      </c>
      <c r="AV1479" t="s">
        <v>3250</v>
      </c>
      <c r="AW1479" t="s">
        <v>3250</v>
      </c>
      <c r="AX1479" t="s">
        <v>3250</v>
      </c>
      <c r="AY1479">
        <v>140</v>
      </c>
      <c r="AZ1479" t="s">
        <v>2232</v>
      </c>
      <c r="BA1479" t="s">
        <v>3250</v>
      </c>
      <c r="BB1479">
        <v>140</v>
      </c>
      <c r="BC1479" t="s">
        <v>2232</v>
      </c>
      <c r="BD1479" t="s">
        <v>2820</v>
      </c>
      <c r="BE1479" t="s">
        <v>3250</v>
      </c>
      <c r="BF1479" t="s">
        <v>3250</v>
      </c>
      <c r="BG1479" t="s">
        <v>3250</v>
      </c>
      <c r="BH1479" t="s">
        <v>3250</v>
      </c>
      <c r="BI1479" t="s">
        <v>3250</v>
      </c>
      <c r="BK1479" t="s">
        <v>3250</v>
      </c>
      <c r="BL1479" t="s">
        <v>3250</v>
      </c>
      <c r="BM1479" t="s">
        <v>3250</v>
      </c>
      <c r="BN1479" t="s">
        <v>3250</v>
      </c>
      <c r="BP1479">
        <v>7</v>
      </c>
      <c r="BQ1479">
        <v>71</v>
      </c>
      <c r="BR1479" t="s">
        <v>629</v>
      </c>
      <c r="BS1479" t="s">
        <v>4212</v>
      </c>
      <c r="BV1479">
        <v>0</v>
      </c>
      <c r="BW1479">
        <v>0</v>
      </c>
      <c r="BX1479">
        <v>0</v>
      </c>
      <c r="BY1479">
        <v>0</v>
      </c>
      <c r="BZ1479">
        <v>0</v>
      </c>
      <c r="CA1479">
        <v>0</v>
      </c>
      <c r="CB1479">
        <v>0</v>
      </c>
      <c r="CC1479">
        <v>0</v>
      </c>
      <c r="CD1479">
        <v>0</v>
      </c>
      <c r="CE1479" t="s">
        <v>3108</v>
      </c>
      <c r="CF1479" t="s">
        <v>3108</v>
      </c>
      <c r="CG1479" t="s">
        <v>3108</v>
      </c>
      <c r="CH1479" t="s">
        <v>3108</v>
      </c>
    </row>
    <row r="1480" spans="1:86" x14ac:dyDescent="0.2">
      <c r="A1480" t="s">
        <v>5425</v>
      </c>
      <c r="B1480" t="s">
        <v>5425</v>
      </c>
      <c r="C1480">
        <v>54462</v>
      </c>
      <c r="D1480">
        <v>1594</v>
      </c>
      <c r="E1480" t="s">
        <v>4341</v>
      </c>
      <c r="F1480">
        <v>2700</v>
      </c>
      <c r="G1480" t="s">
        <v>411</v>
      </c>
      <c r="H1480" t="s">
        <v>3837</v>
      </c>
      <c r="I1480" t="s">
        <v>2532</v>
      </c>
      <c r="J1480">
        <v>2702</v>
      </c>
      <c r="K1480" t="s">
        <v>2532</v>
      </c>
      <c r="L1480">
        <v>3200</v>
      </c>
      <c r="M1480" t="s">
        <v>128</v>
      </c>
      <c r="N1480">
        <v>3205</v>
      </c>
      <c r="O1480" t="s">
        <v>629</v>
      </c>
      <c r="P1480" t="s">
        <v>3108</v>
      </c>
      <c r="Q1480" t="s">
        <v>3249</v>
      </c>
      <c r="R1480" t="s">
        <v>3249</v>
      </c>
      <c r="S1480" t="s">
        <v>810</v>
      </c>
      <c r="T1480" t="s">
        <v>2754</v>
      </c>
      <c r="U1480" t="s">
        <v>3250</v>
      </c>
      <c r="V1480" t="s">
        <v>3250</v>
      </c>
      <c r="W1480" t="s">
        <v>3250</v>
      </c>
      <c r="X1480" t="s">
        <v>3250</v>
      </c>
      <c r="Y1480" t="s">
        <v>3250</v>
      </c>
      <c r="Z1480" t="s">
        <v>3250</v>
      </c>
      <c r="AA1480" t="s">
        <v>3108</v>
      </c>
      <c r="AB1480" t="s">
        <v>3108</v>
      </c>
      <c r="AC1480" t="s">
        <v>3250</v>
      </c>
      <c r="AD1480" t="s">
        <v>3250</v>
      </c>
      <c r="AE1480" t="s">
        <v>3250</v>
      </c>
      <c r="AF1480" t="s">
        <v>3250</v>
      </c>
      <c r="AG1480" t="s">
        <v>3250</v>
      </c>
      <c r="AH1480" t="s">
        <v>3250</v>
      </c>
      <c r="AI1480" t="s">
        <v>3250</v>
      </c>
      <c r="AJ1480" t="s">
        <v>3250</v>
      </c>
      <c r="AL1480" t="s">
        <v>3250</v>
      </c>
      <c r="AM1480" t="s">
        <v>3250</v>
      </c>
      <c r="AN1480" t="s">
        <v>3250</v>
      </c>
      <c r="AO1480" t="s">
        <v>3250</v>
      </c>
      <c r="AS1480" t="s">
        <v>3250</v>
      </c>
      <c r="AT1480" t="s">
        <v>3250</v>
      </c>
      <c r="AU1480" t="s">
        <v>3250</v>
      </c>
      <c r="AV1480" t="s">
        <v>3250</v>
      </c>
      <c r="AW1480" t="s">
        <v>3250</v>
      </c>
      <c r="AX1480" t="s">
        <v>3250</v>
      </c>
      <c r="AY1480">
        <v>130</v>
      </c>
      <c r="AZ1480" t="s">
        <v>2231</v>
      </c>
      <c r="BA1480" t="s">
        <v>3250</v>
      </c>
      <c r="BB1480">
        <v>130</v>
      </c>
      <c r="BC1480" t="s">
        <v>2231</v>
      </c>
      <c r="BE1480" t="s">
        <v>3250</v>
      </c>
      <c r="BF1480" t="s">
        <v>3250</v>
      </c>
      <c r="BG1480" t="s">
        <v>3250</v>
      </c>
      <c r="BH1480" t="s">
        <v>3250</v>
      </c>
      <c r="BI1480" t="s">
        <v>3250</v>
      </c>
      <c r="BK1480" t="s">
        <v>3250</v>
      </c>
      <c r="BL1480" t="s">
        <v>3250</v>
      </c>
      <c r="BM1480" t="s">
        <v>3250</v>
      </c>
      <c r="BN1480" t="s">
        <v>3250</v>
      </c>
      <c r="BP1480">
        <v>7</v>
      </c>
      <c r="BQ1480">
        <v>71</v>
      </c>
      <c r="BR1480" t="s">
        <v>629</v>
      </c>
      <c r="BS1480" t="s">
        <v>4212</v>
      </c>
      <c r="BV1480">
        <v>0</v>
      </c>
      <c r="BW1480">
        <v>0</v>
      </c>
      <c r="BX1480">
        <v>0</v>
      </c>
      <c r="BY1480">
        <v>0</v>
      </c>
      <c r="BZ1480">
        <v>0</v>
      </c>
      <c r="CA1480">
        <v>0</v>
      </c>
      <c r="CB1480">
        <v>0</v>
      </c>
      <c r="CC1480">
        <v>0</v>
      </c>
      <c r="CD1480">
        <v>0</v>
      </c>
      <c r="CE1480" t="s">
        <v>3108</v>
      </c>
      <c r="CF1480" t="s">
        <v>3108</v>
      </c>
      <c r="CG1480" t="s">
        <v>3108</v>
      </c>
      <c r="CH1480" t="s">
        <v>3108</v>
      </c>
    </row>
    <row r="1481" spans="1:86" x14ac:dyDescent="0.2">
      <c r="A1481" t="s">
        <v>5426</v>
      </c>
      <c r="B1481" t="s">
        <v>5426</v>
      </c>
      <c r="C1481">
        <v>54463</v>
      </c>
      <c r="D1481">
        <v>1595</v>
      </c>
      <c r="E1481" t="s">
        <v>5427</v>
      </c>
      <c r="F1481">
        <v>2700</v>
      </c>
      <c r="G1481" t="s">
        <v>411</v>
      </c>
      <c r="H1481" t="s">
        <v>3997</v>
      </c>
      <c r="I1481" t="s">
        <v>2533</v>
      </c>
      <c r="J1481">
        <v>2703</v>
      </c>
      <c r="K1481" t="s">
        <v>2533</v>
      </c>
      <c r="L1481">
        <v>1100</v>
      </c>
      <c r="M1481" t="s">
        <v>119</v>
      </c>
      <c r="N1481">
        <v>1120</v>
      </c>
      <c r="O1481" t="s">
        <v>2367</v>
      </c>
      <c r="P1481" t="s">
        <v>3108</v>
      </c>
      <c r="Q1481" t="s">
        <v>3249</v>
      </c>
      <c r="R1481" t="s">
        <v>3249</v>
      </c>
      <c r="S1481" t="s">
        <v>810</v>
      </c>
      <c r="T1481" t="s">
        <v>2754</v>
      </c>
      <c r="U1481" t="s">
        <v>3250</v>
      </c>
      <c r="V1481" t="s">
        <v>3250</v>
      </c>
      <c r="W1481" t="s">
        <v>3250</v>
      </c>
      <c r="X1481" t="s">
        <v>3250</v>
      </c>
      <c r="Y1481" t="s">
        <v>3250</v>
      </c>
      <c r="Z1481" t="s">
        <v>3250</v>
      </c>
      <c r="AA1481" t="s">
        <v>3108</v>
      </c>
      <c r="AB1481" t="s">
        <v>3108</v>
      </c>
      <c r="AC1481" t="s">
        <v>3250</v>
      </c>
      <c r="AD1481" t="s">
        <v>3250</v>
      </c>
      <c r="AE1481" t="s">
        <v>3250</v>
      </c>
      <c r="AF1481" t="s">
        <v>3250</v>
      </c>
      <c r="AG1481" t="s">
        <v>3250</v>
      </c>
      <c r="AH1481" t="s">
        <v>3250</v>
      </c>
      <c r="AI1481" t="s">
        <v>3250</v>
      </c>
      <c r="AJ1481" t="s">
        <v>3250</v>
      </c>
      <c r="AL1481" t="s">
        <v>3250</v>
      </c>
      <c r="AM1481" t="s">
        <v>3250</v>
      </c>
      <c r="AN1481" t="s">
        <v>3250</v>
      </c>
      <c r="AO1481" t="s">
        <v>3250</v>
      </c>
      <c r="AS1481" t="s">
        <v>3250</v>
      </c>
      <c r="AT1481" t="s">
        <v>3250</v>
      </c>
      <c r="AU1481" t="s">
        <v>3250</v>
      </c>
      <c r="AV1481" t="s">
        <v>3250</v>
      </c>
      <c r="AW1481" t="s">
        <v>3250</v>
      </c>
      <c r="AX1481" t="s">
        <v>3250</v>
      </c>
      <c r="AY1481" t="s">
        <v>3250</v>
      </c>
      <c r="AZ1481" t="s">
        <v>3250</v>
      </c>
      <c r="BA1481" t="s">
        <v>3250</v>
      </c>
      <c r="BB1481" t="s">
        <v>3250</v>
      </c>
      <c r="BC1481" t="s">
        <v>3250</v>
      </c>
      <c r="BE1481" t="s">
        <v>3250</v>
      </c>
      <c r="BF1481" t="s">
        <v>3250</v>
      </c>
      <c r="BG1481" t="s">
        <v>3250</v>
      </c>
      <c r="BH1481" t="s">
        <v>3250</v>
      </c>
      <c r="BI1481" t="s">
        <v>3250</v>
      </c>
      <c r="BK1481" t="s">
        <v>3250</v>
      </c>
      <c r="BL1481" t="s">
        <v>3250</v>
      </c>
      <c r="BM1481" t="s">
        <v>3250</v>
      </c>
      <c r="BN1481" t="s">
        <v>3250</v>
      </c>
      <c r="BP1481">
        <v>3</v>
      </c>
      <c r="BQ1481">
        <v>31</v>
      </c>
      <c r="BR1481" t="s">
        <v>2367</v>
      </c>
      <c r="BS1481" t="s">
        <v>4381</v>
      </c>
      <c r="BV1481">
        <v>94903</v>
      </c>
      <c r="BW1481">
        <v>0</v>
      </c>
      <c r="BX1481">
        <v>0</v>
      </c>
      <c r="BY1481">
        <v>550000</v>
      </c>
      <c r="BZ1481">
        <v>500000</v>
      </c>
      <c r="CA1481">
        <v>519500</v>
      </c>
      <c r="CB1481">
        <v>540280</v>
      </c>
      <c r="CC1481">
        <v>561891</v>
      </c>
      <c r="CD1481">
        <v>130435</v>
      </c>
      <c r="CE1481" t="s">
        <v>3108</v>
      </c>
      <c r="CF1481" t="s">
        <v>3108</v>
      </c>
      <c r="CG1481" t="s">
        <v>3108</v>
      </c>
      <c r="CH1481" t="s">
        <v>3108</v>
      </c>
    </row>
    <row r="1482" spans="1:86" x14ac:dyDescent="0.2">
      <c r="A1482" t="s">
        <v>5428</v>
      </c>
      <c r="B1482" t="s">
        <v>5428</v>
      </c>
      <c r="C1482">
        <v>54464</v>
      </c>
      <c r="D1482">
        <v>1596</v>
      </c>
      <c r="E1482" t="s">
        <v>4320</v>
      </c>
      <c r="F1482">
        <v>2900</v>
      </c>
      <c r="G1482" t="s">
        <v>822</v>
      </c>
      <c r="H1482" t="s">
        <v>3108</v>
      </c>
      <c r="I1482" t="s">
        <v>3108</v>
      </c>
      <c r="J1482">
        <v>2904</v>
      </c>
      <c r="K1482" t="s">
        <v>1690</v>
      </c>
      <c r="L1482">
        <v>1200</v>
      </c>
      <c r="M1482" t="s">
        <v>2368</v>
      </c>
      <c r="N1482">
        <v>1206</v>
      </c>
      <c r="O1482" t="s">
        <v>285</v>
      </c>
      <c r="P1482" t="s">
        <v>3108</v>
      </c>
      <c r="Q1482" t="s">
        <v>3249</v>
      </c>
      <c r="R1482" t="s">
        <v>3249</v>
      </c>
      <c r="S1482" t="s">
        <v>810</v>
      </c>
      <c r="T1482" t="s">
        <v>2754</v>
      </c>
      <c r="U1482" t="s">
        <v>3250</v>
      </c>
      <c r="V1482" t="s">
        <v>3250</v>
      </c>
      <c r="W1482" t="s">
        <v>3250</v>
      </c>
      <c r="X1482" t="s">
        <v>3250</v>
      </c>
      <c r="Y1482" t="s">
        <v>3250</v>
      </c>
      <c r="Z1482" t="s">
        <v>3250</v>
      </c>
      <c r="AA1482" t="s">
        <v>3108</v>
      </c>
      <c r="AB1482" t="s">
        <v>3108</v>
      </c>
      <c r="AC1482" t="s">
        <v>3250</v>
      </c>
      <c r="AD1482" t="s">
        <v>3250</v>
      </c>
      <c r="AE1482" t="s">
        <v>3250</v>
      </c>
      <c r="AF1482" t="s">
        <v>3250</v>
      </c>
      <c r="AG1482" t="s">
        <v>3250</v>
      </c>
      <c r="AH1482" t="s">
        <v>3250</v>
      </c>
      <c r="AI1482" t="s">
        <v>3250</v>
      </c>
      <c r="AJ1482" t="s">
        <v>3250</v>
      </c>
      <c r="AL1482" t="s">
        <v>3250</v>
      </c>
      <c r="AM1482" t="s">
        <v>3250</v>
      </c>
      <c r="AN1482" t="s">
        <v>3250</v>
      </c>
      <c r="AO1482" t="s">
        <v>3250</v>
      </c>
      <c r="AS1482" t="s">
        <v>3250</v>
      </c>
      <c r="AT1482" t="s">
        <v>3250</v>
      </c>
      <c r="AU1482" t="s">
        <v>3250</v>
      </c>
      <c r="AV1482" t="s">
        <v>3250</v>
      </c>
      <c r="AW1482" t="s">
        <v>3250</v>
      </c>
      <c r="AX1482" t="s">
        <v>3250</v>
      </c>
      <c r="AY1482" t="s">
        <v>3250</v>
      </c>
      <c r="AZ1482" t="s">
        <v>3250</v>
      </c>
      <c r="BA1482" t="s">
        <v>3250</v>
      </c>
      <c r="BB1482" t="s">
        <v>3250</v>
      </c>
      <c r="BC1482" t="s">
        <v>3250</v>
      </c>
      <c r="BE1482" t="s">
        <v>3250</v>
      </c>
      <c r="BF1482" t="s">
        <v>3250</v>
      </c>
      <c r="BG1482" t="s">
        <v>3250</v>
      </c>
      <c r="BH1482" t="s">
        <v>3250</v>
      </c>
      <c r="BI1482" t="s">
        <v>3250</v>
      </c>
      <c r="BK1482" t="s">
        <v>3250</v>
      </c>
      <c r="BL1482" t="s">
        <v>3250</v>
      </c>
      <c r="BM1482" t="s">
        <v>3250</v>
      </c>
      <c r="BN1482" t="s">
        <v>3250</v>
      </c>
      <c r="BP1482">
        <v>1</v>
      </c>
      <c r="BQ1482">
        <v>15</v>
      </c>
      <c r="BR1482" t="s">
        <v>285</v>
      </c>
      <c r="BS1482" t="s">
        <v>3252</v>
      </c>
      <c r="BV1482">
        <v>75780</v>
      </c>
      <c r="BW1482">
        <v>161164</v>
      </c>
      <c r="BX1482">
        <v>0</v>
      </c>
      <c r="BY1482">
        <v>80000</v>
      </c>
      <c r="BZ1482">
        <v>160000</v>
      </c>
      <c r="CA1482">
        <v>166240</v>
      </c>
      <c r="CB1482">
        <v>172890</v>
      </c>
      <c r="CC1482">
        <v>179805</v>
      </c>
      <c r="CD1482">
        <v>101888</v>
      </c>
      <c r="CE1482" t="s">
        <v>3108</v>
      </c>
      <c r="CF1482" t="s">
        <v>3108</v>
      </c>
      <c r="CG1482" t="s">
        <v>3108</v>
      </c>
      <c r="CH1482" t="s">
        <v>3108</v>
      </c>
    </row>
    <row r="1483" spans="1:86" x14ac:dyDescent="0.2">
      <c r="A1483" t="s">
        <v>5429</v>
      </c>
      <c r="B1483" t="s">
        <v>5429</v>
      </c>
      <c r="C1483">
        <v>54465</v>
      </c>
      <c r="D1483">
        <v>1597</v>
      </c>
      <c r="E1483" t="s">
        <v>4326</v>
      </c>
      <c r="F1483">
        <v>2700</v>
      </c>
      <c r="G1483" t="s">
        <v>411</v>
      </c>
      <c r="H1483" t="s">
        <v>4004</v>
      </c>
      <c r="I1483" t="s">
        <v>2531</v>
      </c>
      <c r="J1483">
        <v>2701</v>
      </c>
      <c r="K1483" t="s">
        <v>2531</v>
      </c>
      <c r="L1483">
        <v>1100</v>
      </c>
      <c r="M1483" t="s">
        <v>119</v>
      </c>
      <c r="N1483">
        <v>1120</v>
      </c>
      <c r="O1483" t="s">
        <v>2367</v>
      </c>
      <c r="P1483" t="s">
        <v>3108</v>
      </c>
      <c r="Q1483" t="s">
        <v>3249</v>
      </c>
      <c r="R1483" t="s">
        <v>3249</v>
      </c>
      <c r="S1483" t="s">
        <v>810</v>
      </c>
      <c r="T1483" t="s">
        <v>2754</v>
      </c>
      <c r="U1483" t="s">
        <v>3250</v>
      </c>
      <c r="V1483" t="s">
        <v>3250</v>
      </c>
      <c r="W1483" t="s">
        <v>3250</v>
      </c>
      <c r="X1483" t="s">
        <v>3250</v>
      </c>
      <c r="Y1483" t="s">
        <v>3250</v>
      </c>
      <c r="Z1483" t="s">
        <v>3250</v>
      </c>
      <c r="AA1483" t="s">
        <v>3108</v>
      </c>
      <c r="AB1483" t="s">
        <v>3108</v>
      </c>
      <c r="AC1483" t="s">
        <v>3250</v>
      </c>
      <c r="AD1483" t="s">
        <v>3250</v>
      </c>
      <c r="AE1483" t="s">
        <v>3250</v>
      </c>
      <c r="AF1483" t="s">
        <v>3250</v>
      </c>
      <c r="AG1483" t="s">
        <v>3250</v>
      </c>
      <c r="AH1483" t="s">
        <v>3250</v>
      </c>
      <c r="AI1483" t="s">
        <v>3250</v>
      </c>
      <c r="AJ1483" t="s">
        <v>3250</v>
      </c>
      <c r="AL1483" t="s">
        <v>3250</v>
      </c>
      <c r="AM1483" t="s">
        <v>3250</v>
      </c>
      <c r="AN1483" t="s">
        <v>3250</v>
      </c>
      <c r="AO1483" t="s">
        <v>3250</v>
      </c>
      <c r="AS1483" t="s">
        <v>3250</v>
      </c>
      <c r="AT1483" t="s">
        <v>3250</v>
      </c>
      <c r="AU1483" t="s">
        <v>3250</v>
      </c>
      <c r="AV1483" t="s">
        <v>3250</v>
      </c>
      <c r="AW1483" t="s">
        <v>3250</v>
      </c>
      <c r="AX1483" t="s">
        <v>3250</v>
      </c>
      <c r="AY1483" t="s">
        <v>3250</v>
      </c>
      <c r="AZ1483" t="s">
        <v>3250</v>
      </c>
      <c r="BA1483" t="s">
        <v>3250</v>
      </c>
      <c r="BB1483" t="s">
        <v>3250</v>
      </c>
      <c r="BC1483" t="s">
        <v>3250</v>
      </c>
      <c r="BE1483" t="s">
        <v>3250</v>
      </c>
      <c r="BF1483" t="s">
        <v>3250</v>
      </c>
      <c r="BG1483" t="s">
        <v>3250</v>
      </c>
      <c r="BH1483" t="s">
        <v>3250</v>
      </c>
      <c r="BI1483" t="s">
        <v>3250</v>
      </c>
      <c r="BK1483" t="s">
        <v>3250</v>
      </c>
      <c r="BL1483" t="s">
        <v>3250</v>
      </c>
      <c r="BM1483" t="s">
        <v>3250</v>
      </c>
      <c r="BN1483" t="s">
        <v>3250</v>
      </c>
      <c r="BP1483">
        <v>3</v>
      </c>
      <c r="BQ1483">
        <v>31</v>
      </c>
      <c r="BR1483" t="s">
        <v>2367</v>
      </c>
      <c r="BS1483" t="s">
        <v>4381</v>
      </c>
      <c r="BV1483">
        <v>0</v>
      </c>
      <c r="BW1483">
        <v>0</v>
      </c>
      <c r="BX1483">
        <v>0</v>
      </c>
      <c r="BY1483">
        <v>100000</v>
      </c>
      <c r="BZ1483">
        <v>100000</v>
      </c>
      <c r="CA1483">
        <v>103900</v>
      </c>
      <c r="CB1483">
        <v>108056</v>
      </c>
      <c r="CC1483">
        <v>112378</v>
      </c>
      <c r="CD1483">
        <v>675775</v>
      </c>
      <c r="CE1483" t="s">
        <v>3108</v>
      </c>
      <c r="CF1483" t="s">
        <v>3108</v>
      </c>
      <c r="CG1483" t="s">
        <v>3108</v>
      </c>
      <c r="CH1483" t="s">
        <v>3108</v>
      </c>
    </row>
    <row r="1484" spans="1:86" x14ac:dyDescent="0.2">
      <c r="A1484" t="s">
        <v>5430</v>
      </c>
      <c r="B1484" t="s">
        <v>5430</v>
      </c>
      <c r="C1484">
        <v>54466</v>
      </c>
      <c r="D1484">
        <v>1598</v>
      </c>
      <c r="E1484" t="s">
        <v>4357</v>
      </c>
      <c r="F1484">
        <v>2700</v>
      </c>
      <c r="G1484" t="s">
        <v>411</v>
      </c>
      <c r="H1484" t="s">
        <v>3997</v>
      </c>
      <c r="I1484" t="s">
        <v>2533</v>
      </c>
      <c r="J1484">
        <v>2703</v>
      </c>
      <c r="K1484" t="s">
        <v>2533</v>
      </c>
      <c r="L1484">
        <v>2200</v>
      </c>
      <c r="M1484" t="s">
        <v>124</v>
      </c>
      <c r="N1484">
        <v>2205</v>
      </c>
      <c r="O1484" t="s">
        <v>2390</v>
      </c>
      <c r="P1484" t="s">
        <v>3108</v>
      </c>
      <c r="Q1484" t="s">
        <v>3249</v>
      </c>
      <c r="R1484" t="s">
        <v>3249</v>
      </c>
      <c r="S1484" t="s">
        <v>810</v>
      </c>
      <c r="T1484" t="s">
        <v>2754</v>
      </c>
      <c r="U1484" t="s">
        <v>3250</v>
      </c>
      <c r="V1484" t="s">
        <v>3250</v>
      </c>
      <c r="W1484" t="s">
        <v>3250</v>
      </c>
      <c r="X1484" t="s">
        <v>3250</v>
      </c>
      <c r="Y1484" t="s">
        <v>3250</v>
      </c>
      <c r="Z1484" t="s">
        <v>3250</v>
      </c>
      <c r="AA1484" t="s">
        <v>3108</v>
      </c>
      <c r="AB1484" t="s">
        <v>3108</v>
      </c>
      <c r="AC1484" t="s">
        <v>3250</v>
      </c>
      <c r="AD1484" t="s">
        <v>3250</v>
      </c>
      <c r="AE1484" t="s">
        <v>3250</v>
      </c>
      <c r="AF1484" t="s">
        <v>3250</v>
      </c>
      <c r="AG1484" t="s">
        <v>3250</v>
      </c>
      <c r="AH1484" t="s">
        <v>3250</v>
      </c>
      <c r="AI1484" t="s">
        <v>3250</v>
      </c>
      <c r="AJ1484" t="s">
        <v>3250</v>
      </c>
      <c r="AL1484" t="s">
        <v>3250</v>
      </c>
      <c r="AM1484" t="s">
        <v>3250</v>
      </c>
      <c r="AN1484" t="s">
        <v>3250</v>
      </c>
      <c r="AO1484" t="s">
        <v>3250</v>
      </c>
      <c r="AS1484" t="s">
        <v>3250</v>
      </c>
      <c r="AT1484" t="s">
        <v>3250</v>
      </c>
      <c r="AU1484" t="s">
        <v>3250</v>
      </c>
      <c r="AV1484" t="s">
        <v>3250</v>
      </c>
      <c r="AW1484" t="s">
        <v>3250</v>
      </c>
      <c r="AX1484" t="s">
        <v>3250</v>
      </c>
      <c r="AY1484">
        <v>1030</v>
      </c>
      <c r="AZ1484" t="s">
        <v>2303</v>
      </c>
      <c r="BA1484" t="s">
        <v>3250</v>
      </c>
      <c r="BB1484">
        <v>1030</v>
      </c>
      <c r="BC1484" t="s">
        <v>2303</v>
      </c>
      <c r="BD1484" t="s">
        <v>2820</v>
      </c>
      <c r="BE1484" t="s">
        <v>3250</v>
      </c>
      <c r="BF1484" t="s">
        <v>3250</v>
      </c>
      <c r="BG1484" t="s">
        <v>3250</v>
      </c>
      <c r="BH1484" t="s">
        <v>3250</v>
      </c>
      <c r="BI1484" t="s">
        <v>3250</v>
      </c>
      <c r="BK1484" t="s">
        <v>3250</v>
      </c>
      <c r="BL1484" t="s">
        <v>3250</v>
      </c>
      <c r="BM1484" t="s">
        <v>3250</v>
      </c>
      <c r="BN1484" t="s">
        <v>3250</v>
      </c>
      <c r="BP1484">
        <v>9</v>
      </c>
      <c r="BQ1484">
        <v>91</v>
      </c>
      <c r="BR1484" t="s">
        <v>2390</v>
      </c>
      <c r="BS1484" t="s">
        <v>1675</v>
      </c>
      <c r="BV1484">
        <v>298845</v>
      </c>
      <c r="BW1484">
        <v>923263</v>
      </c>
      <c r="BX1484">
        <v>0</v>
      </c>
      <c r="BY1484">
        <v>0</v>
      </c>
      <c r="BZ1484">
        <v>0</v>
      </c>
      <c r="CA1484">
        <v>0</v>
      </c>
      <c r="CB1484">
        <v>0</v>
      </c>
      <c r="CC1484">
        <v>0</v>
      </c>
      <c r="CD1484">
        <v>0</v>
      </c>
      <c r="CE1484" t="s">
        <v>3108</v>
      </c>
      <c r="CF1484" t="s">
        <v>3108</v>
      </c>
      <c r="CG1484" t="s">
        <v>3108</v>
      </c>
      <c r="CH1484" t="s">
        <v>3108</v>
      </c>
    </row>
    <row r="1485" spans="1:86" x14ac:dyDescent="0.2">
      <c r="A1485" t="s">
        <v>5431</v>
      </c>
      <c r="B1485" t="s">
        <v>5431</v>
      </c>
      <c r="C1485">
        <v>54467</v>
      </c>
      <c r="D1485">
        <v>1599</v>
      </c>
      <c r="E1485" t="s">
        <v>4357</v>
      </c>
      <c r="F1485">
        <v>2700</v>
      </c>
      <c r="G1485" t="s">
        <v>411</v>
      </c>
      <c r="H1485" t="s">
        <v>3997</v>
      </c>
      <c r="I1485" t="s">
        <v>2533</v>
      </c>
      <c r="J1485">
        <v>2703</v>
      </c>
      <c r="K1485" t="s">
        <v>2533</v>
      </c>
      <c r="L1485">
        <v>2200</v>
      </c>
      <c r="M1485" t="s">
        <v>124</v>
      </c>
      <c r="N1485">
        <v>2205</v>
      </c>
      <c r="O1485" t="s">
        <v>2390</v>
      </c>
      <c r="P1485" t="s">
        <v>3108</v>
      </c>
      <c r="Q1485" t="s">
        <v>3249</v>
      </c>
      <c r="R1485" t="s">
        <v>3249</v>
      </c>
      <c r="S1485" t="s">
        <v>810</v>
      </c>
      <c r="T1485" t="s">
        <v>2754</v>
      </c>
      <c r="U1485" t="s">
        <v>3250</v>
      </c>
      <c r="V1485" t="s">
        <v>3250</v>
      </c>
      <c r="W1485" t="s">
        <v>3250</v>
      </c>
      <c r="X1485" t="s">
        <v>3250</v>
      </c>
      <c r="Y1485" t="s">
        <v>3250</v>
      </c>
      <c r="Z1485" t="s">
        <v>3250</v>
      </c>
      <c r="AA1485" t="s">
        <v>3108</v>
      </c>
      <c r="AB1485" t="s">
        <v>3108</v>
      </c>
      <c r="AC1485" t="s">
        <v>3250</v>
      </c>
      <c r="AD1485" t="s">
        <v>3250</v>
      </c>
      <c r="AE1485" t="s">
        <v>3250</v>
      </c>
      <c r="AF1485" t="s">
        <v>3250</v>
      </c>
      <c r="AG1485" t="s">
        <v>3250</v>
      </c>
      <c r="AH1485" t="s">
        <v>3250</v>
      </c>
      <c r="AI1485" t="s">
        <v>3250</v>
      </c>
      <c r="AJ1485" t="s">
        <v>3250</v>
      </c>
      <c r="AL1485" t="s">
        <v>3250</v>
      </c>
      <c r="AM1485" t="s">
        <v>3250</v>
      </c>
      <c r="AN1485" t="s">
        <v>3250</v>
      </c>
      <c r="AO1485" t="s">
        <v>3250</v>
      </c>
      <c r="AS1485" t="s">
        <v>3250</v>
      </c>
      <c r="AT1485" t="s">
        <v>3250</v>
      </c>
      <c r="AU1485" t="s">
        <v>3250</v>
      </c>
      <c r="AV1485" t="s">
        <v>3250</v>
      </c>
      <c r="AW1485" t="s">
        <v>3250</v>
      </c>
      <c r="AX1485" t="s">
        <v>3250</v>
      </c>
      <c r="AY1485">
        <v>1030</v>
      </c>
      <c r="AZ1485" t="s">
        <v>2303</v>
      </c>
      <c r="BA1485" t="s">
        <v>3250</v>
      </c>
      <c r="BB1485">
        <v>1030</v>
      </c>
      <c r="BC1485" t="s">
        <v>2303</v>
      </c>
      <c r="BD1485" t="s">
        <v>2820</v>
      </c>
      <c r="BE1485" t="s">
        <v>3250</v>
      </c>
      <c r="BF1485" t="s">
        <v>3250</v>
      </c>
      <c r="BG1485" t="s">
        <v>3250</v>
      </c>
      <c r="BH1485" t="s">
        <v>3250</v>
      </c>
      <c r="BI1485" t="s">
        <v>3250</v>
      </c>
      <c r="BK1485" t="s">
        <v>3250</v>
      </c>
      <c r="BL1485" t="s">
        <v>3250</v>
      </c>
      <c r="BM1485" t="s">
        <v>3250</v>
      </c>
      <c r="BN1485" t="s">
        <v>3250</v>
      </c>
      <c r="BP1485">
        <v>9</v>
      </c>
      <c r="BQ1485">
        <v>91</v>
      </c>
      <c r="BR1485" t="s">
        <v>2390</v>
      </c>
      <c r="BS1485" t="s">
        <v>1675</v>
      </c>
      <c r="BV1485">
        <v>2833919</v>
      </c>
      <c r="BW1485">
        <v>476560</v>
      </c>
      <c r="BX1485">
        <v>0</v>
      </c>
      <c r="BY1485">
        <v>1500000</v>
      </c>
      <c r="BZ1485">
        <v>1500000</v>
      </c>
      <c r="CA1485">
        <v>1900000</v>
      </c>
      <c r="CB1485">
        <v>1650000</v>
      </c>
      <c r="CC1485">
        <v>1815000</v>
      </c>
      <c r="CD1485">
        <v>901179</v>
      </c>
      <c r="CE1485" t="s">
        <v>3108</v>
      </c>
      <c r="CF1485" t="s">
        <v>3108</v>
      </c>
      <c r="CG1485" t="s">
        <v>3108</v>
      </c>
      <c r="CH1485" t="s">
        <v>3108</v>
      </c>
    </row>
    <row r="1486" spans="1:86" x14ac:dyDescent="0.2">
      <c r="A1486" t="s">
        <v>5432</v>
      </c>
      <c r="B1486" t="s">
        <v>5432</v>
      </c>
      <c r="C1486">
        <v>54468</v>
      </c>
      <c r="D1486">
        <v>1600</v>
      </c>
      <c r="E1486" t="s">
        <v>4625</v>
      </c>
      <c r="F1486">
        <v>2900</v>
      </c>
      <c r="G1486" t="s">
        <v>822</v>
      </c>
      <c r="H1486" t="s">
        <v>3108</v>
      </c>
      <c r="I1486" t="s">
        <v>3108</v>
      </c>
      <c r="J1486">
        <v>2904</v>
      </c>
      <c r="K1486" t="s">
        <v>1690</v>
      </c>
      <c r="L1486">
        <v>1200</v>
      </c>
      <c r="M1486" t="s">
        <v>2368</v>
      </c>
      <c r="N1486">
        <v>1206</v>
      </c>
      <c r="O1486" t="s">
        <v>285</v>
      </c>
      <c r="P1486" t="s">
        <v>3108</v>
      </c>
      <c r="Q1486" t="s">
        <v>3249</v>
      </c>
      <c r="R1486" t="s">
        <v>3249</v>
      </c>
      <c r="S1486" t="s">
        <v>810</v>
      </c>
      <c r="T1486" t="s">
        <v>2754</v>
      </c>
      <c r="U1486" t="s">
        <v>3250</v>
      </c>
      <c r="V1486" t="s">
        <v>3250</v>
      </c>
      <c r="W1486" t="s">
        <v>3250</v>
      </c>
      <c r="X1486" t="s">
        <v>3250</v>
      </c>
      <c r="Y1486" t="s">
        <v>3250</v>
      </c>
      <c r="Z1486" t="s">
        <v>3250</v>
      </c>
      <c r="AA1486" t="s">
        <v>3108</v>
      </c>
      <c r="AB1486" t="s">
        <v>3108</v>
      </c>
      <c r="AC1486" t="s">
        <v>3250</v>
      </c>
      <c r="AD1486" t="s">
        <v>3250</v>
      </c>
      <c r="AE1486" t="s">
        <v>3250</v>
      </c>
      <c r="AF1486" t="s">
        <v>3250</v>
      </c>
      <c r="AG1486" t="s">
        <v>3250</v>
      </c>
      <c r="AH1486" t="s">
        <v>3250</v>
      </c>
      <c r="AI1486" t="s">
        <v>3250</v>
      </c>
      <c r="AJ1486" t="s">
        <v>3250</v>
      </c>
      <c r="AL1486" t="s">
        <v>3250</v>
      </c>
      <c r="AM1486" t="s">
        <v>3250</v>
      </c>
      <c r="AN1486" t="s">
        <v>3250</v>
      </c>
      <c r="AO1486" t="s">
        <v>3250</v>
      </c>
      <c r="AS1486" t="s">
        <v>3250</v>
      </c>
      <c r="AT1486" t="s">
        <v>3250</v>
      </c>
      <c r="AU1486" t="s">
        <v>3250</v>
      </c>
      <c r="AV1486" t="s">
        <v>3250</v>
      </c>
      <c r="AW1486" t="s">
        <v>3250</v>
      </c>
      <c r="AX1486" t="s">
        <v>3250</v>
      </c>
      <c r="AY1486" t="s">
        <v>3250</v>
      </c>
      <c r="AZ1486" t="s">
        <v>3250</v>
      </c>
      <c r="BA1486" t="s">
        <v>3250</v>
      </c>
      <c r="BB1486" t="s">
        <v>3250</v>
      </c>
      <c r="BC1486" t="s">
        <v>3250</v>
      </c>
      <c r="BE1486" t="s">
        <v>3250</v>
      </c>
      <c r="BF1486" t="s">
        <v>3250</v>
      </c>
      <c r="BG1486" t="s">
        <v>3250</v>
      </c>
      <c r="BH1486" t="s">
        <v>3250</v>
      </c>
      <c r="BI1486" t="s">
        <v>3250</v>
      </c>
      <c r="BK1486" t="s">
        <v>3250</v>
      </c>
      <c r="BL1486" t="s">
        <v>3250</v>
      </c>
      <c r="BM1486" t="s">
        <v>3250</v>
      </c>
      <c r="BN1486" t="s">
        <v>3250</v>
      </c>
      <c r="BP1486">
        <v>1</v>
      </c>
      <c r="BQ1486">
        <v>15</v>
      </c>
      <c r="BR1486" t="s">
        <v>285</v>
      </c>
      <c r="BS1486" t="s">
        <v>3252</v>
      </c>
      <c r="BV1486">
        <v>0</v>
      </c>
      <c r="BW1486">
        <v>0</v>
      </c>
      <c r="BX1486">
        <v>0</v>
      </c>
      <c r="BY1486">
        <v>0</v>
      </c>
      <c r="BZ1486">
        <v>0</v>
      </c>
      <c r="CA1486">
        <v>0</v>
      </c>
      <c r="CB1486">
        <v>0</v>
      </c>
      <c r="CC1486">
        <v>0</v>
      </c>
      <c r="CD1486">
        <v>0</v>
      </c>
      <c r="CE1486" t="s">
        <v>3108</v>
      </c>
      <c r="CF1486" t="s">
        <v>3108</v>
      </c>
      <c r="CG1486" t="s">
        <v>3108</v>
      </c>
      <c r="CH1486" t="s">
        <v>3108</v>
      </c>
    </row>
    <row r="1487" spans="1:86" x14ac:dyDescent="0.2">
      <c r="A1487" t="s">
        <v>5433</v>
      </c>
      <c r="B1487" t="s">
        <v>5433</v>
      </c>
      <c r="C1487">
        <v>54469</v>
      </c>
      <c r="D1487">
        <v>1601</v>
      </c>
      <c r="E1487" t="s">
        <v>4326</v>
      </c>
      <c r="F1487">
        <v>2700</v>
      </c>
      <c r="G1487" t="s">
        <v>411</v>
      </c>
      <c r="H1487" t="s">
        <v>4004</v>
      </c>
      <c r="I1487" t="s">
        <v>2531</v>
      </c>
      <c r="J1487">
        <v>2701</v>
      </c>
      <c r="K1487" t="s">
        <v>2531</v>
      </c>
      <c r="L1487">
        <v>1200</v>
      </c>
      <c r="M1487" t="s">
        <v>2368</v>
      </c>
      <c r="N1487">
        <v>1206</v>
      </c>
      <c r="O1487" t="s">
        <v>285</v>
      </c>
      <c r="P1487" t="s">
        <v>3108</v>
      </c>
      <c r="Q1487" t="s">
        <v>3249</v>
      </c>
      <c r="R1487" t="s">
        <v>3249</v>
      </c>
      <c r="S1487" t="s">
        <v>810</v>
      </c>
      <c r="T1487" t="s">
        <v>2754</v>
      </c>
      <c r="U1487" t="s">
        <v>3250</v>
      </c>
      <c r="V1487" t="s">
        <v>3250</v>
      </c>
      <c r="W1487" t="s">
        <v>3250</v>
      </c>
      <c r="X1487" t="s">
        <v>3250</v>
      </c>
      <c r="Y1487" t="s">
        <v>3250</v>
      </c>
      <c r="Z1487" t="s">
        <v>3250</v>
      </c>
      <c r="AA1487" t="s">
        <v>3108</v>
      </c>
      <c r="AB1487" t="s">
        <v>3108</v>
      </c>
      <c r="AC1487" t="s">
        <v>3250</v>
      </c>
      <c r="AD1487" t="s">
        <v>3250</v>
      </c>
      <c r="AE1487" t="s">
        <v>3250</v>
      </c>
      <c r="AF1487" t="s">
        <v>3250</v>
      </c>
      <c r="AG1487" t="s">
        <v>3250</v>
      </c>
      <c r="AH1487" t="s">
        <v>3250</v>
      </c>
      <c r="AI1487" t="s">
        <v>3250</v>
      </c>
      <c r="AJ1487" t="s">
        <v>3250</v>
      </c>
      <c r="AL1487" t="s">
        <v>3250</v>
      </c>
      <c r="AM1487" t="s">
        <v>3250</v>
      </c>
      <c r="AN1487" t="s">
        <v>3250</v>
      </c>
      <c r="AO1487" t="s">
        <v>3250</v>
      </c>
      <c r="AS1487" t="s">
        <v>3250</v>
      </c>
      <c r="AT1487" t="s">
        <v>3250</v>
      </c>
      <c r="AU1487" t="s">
        <v>3250</v>
      </c>
      <c r="AV1487" t="s">
        <v>3250</v>
      </c>
      <c r="AW1487" t="s">
        <v>3250</v>
      </c>
      <c r="AX1487" t="s">
        <v>3250</v>
      </c>
      <c r="AY1487" t="s">
        <v>3250</v>
      </c>
      <c r="AZ1487" t="s">
        <v>3250</v>
      </c>
      <c r="BA1487" t="s">
        <v>3250</v>
      </c>
      <c r="BB1487" t="s">
        <v>3250</v>
      </c>
      <c r="BC1487" t="s">
        <v>3250</v>
      </c>
      <c r="BE1487" t="s">
        <v>3250</v>
      </c>
      <c r="BF1487" t="s">
        <v>3250</v>
      </c>
      <c r="BG1487" t="s">
        <v>3250</v>
      </c>
      <c r="BH1487" t="s">
        <v>3250</v>
      </c>
      <c r="BI1487" t="s">
        <v>3250</v>
      </c>
      <c r="BK1487" t="s">
        <v>3250</v>
      </c>
      <c r="BL1487" t="s">
        <v>3250</v>
      </c>
      <c r="BM1487" t="s">
        <v>3250</v>
      </c>
      <c r="BN1487" t="s">
        <v>3250</v>
      </c>
      <c r="BP1487">
        <v>1</v>
      </c>
      <c r="BQ1487">
        <v>15</v>
      </c>
      <c r="BR1487" t="s">
        <v>285</v>
      </c>
      <c r="BS1487" t="s">
        <v>3252</v>
      </c>
      <c r="BV1487">
        <v>0</v>
      </c>
      <c r="BW1487">
        <v>0</v>
      </c>
      <c r="BX1487">
        <v>0</v>
      </c>
      <c r="BY1487">
        <v>0</v>
      </c>
      <c r="BZ1487">
        <v>0</v>
      </c>
      <c r="CA1487">
        <v>0</v>
      </c>
      <c r="CB1487">
        <v>0</v>
      </c>
      <c r="CC1487">
        <v>0</v>
      </c>
      <c r="CD1487">
        <v>0</v>
      </c>
      <c r="CE1487" t="s">
        <v>3108</v>
      </c>
      <c r="CF1487" t="s">
        <v>3108</v>
      </c>
      <c r="CG1487" t="s">
        <v>3108</v>
      </c>
      <c r="CH1487" t="s">
        <v>3108</v>
      </c>
    </row>
    <row r="1488" spans="1:86" x14ac:dyDescent="0.2">
      <c r="A1488" t="s">
        <v>5434</v>
      </c>
      <c r="B1488" t="s">
        <v>5434</v>
      </c>
      <c r="C1488">
        <v>54470</v>
      </c>
      <c r="D1488">
        <v>1602</v>
      </c>
      <c r="E1488" t="s">
        <v>4326</v>
      </c>
      <c r="F1488">
        <v>2700</v>
      </c>
      <c r="G1488" t="s">
        <v>411</v>
      </c>
      <c r="H1488" t="s">
        <v>4004</v>
      </c>
      <c r="I1488" t="s">
        <v>2531</v>
      </c>
      <c r="J1488">
        <v>2701</v>
      </c>
      <c r="K1488" t="s">
        <v>2531</v>
      </c>
      <c r="L1488">
        <v>1200</v>
      </c>
      <c r="M1488" t="s">
        <v>2368</v>
      </c>
      <c r="N1488">
        <v>1206</v>
      </c>
      <c r="O1488" t="s">
        <v>285</v>
      </c>
      <c r="P1488" t="s">
        <v>3108</v>
      </c>
      <c r="Q1488" t="s">
        <v>3249</v>
      </c>
      <c r="R1488" t="s">
        <v>3249</v>
      </c>
      <c r="S1488" t="s">
        <v>810</v>
      </c>
      <c r="T1488" t="s">
        <v>2754</v>
      </c>
      <c r="U1488" t="s">
        <v>3250</v>
      </c>
      <c r="V1488" t="s">
        <v>3250</v>
      </c>
      <c r="W1488" t="s">
        <v>3250</v>
      </c>
      <c r="X1488" t="s">
        <v>3250</v>
      </c>
      <c r="Y1488" t="s">
        <v>3250</v>
      </c>
      <c r="Z1488" t="s">
        <v>3250</v>
      </c>
      <c r="AA1488" t="s">
        <v>3108</v>
      </c>
      <c r="AB1488" t="s">
        <v>3108</v>
      </c>
      <c r="AC1488" t="s">
        <v>3250</v>
      </c>
      <c r="AD1488" t="s">
        <v>3250</v>
      </c>
      <c r="AE1488" t="s">
        <v>3250</v>
      </c>
      <c r="AF1488" t="s">
        <v>3250</v>
      </c>
      <c r="AG1488" t="s">
        <v>3250</v>
      </c>
      <c r="AH1488" t="s">
        <v>3250</v>
      </c>
      <c r="AI1488" t="s">
        <v>3250</v>
      </c>
      <c r="AJ1488" t="s">
        <v>3250</v>
      </c>
      <c r="AL1488" t="s">
        <v>3250</v>
      </c>
      <c r="AM1488" t="s">
        <v>3250</v>
      </c>
      <c r="AN1488" t="s">
        <v>3250</v>
      </c>
      <c r="AO1488" t="s">
        <v>3250</v>
      </c>
      <c r="AS1488" t="s">
        <v>3250</v>
      </c>
      <c r="AT1488" t="s">
        <v>3250</v>
      </c>
      <c r="AU1488" t="s">
        <v>3250</v>
      </c>
      <c r="AV1488" t="s">
        <v>3250</v>
      </c>
      <c r="AW1488" t="s">
        <v>3250</v>
      </c>
      <c r="AX1488" t="s">
        <v>3250</v>
      </c>
      <c r="AY1488" t="s">
        <v>3250</v>
      </c>
      <c r="AZ1488" t="s">
        <v>3250</v>
      </c>
      <c r="BA1488" t="s">
        <v>3250</v>
      </c>
      <c r="BB1488" t="s">
        <v>3250</v>
      </c>
      <c r="BC1488" t="s">
        <v>3250</v>
      </c>
      <c r="BE1488" t="s">
        <v>3250</v>
      </c>
      <c r="BF1488" t="s">
        <v>3250</v>
      </c>
      <c r="BG1488" t="s">
        <v>3250</v>
      </c>
      <c r="BH1488" t="s">
        <v>3250</v>
      </c>
      <c r="BI1488" t="s">
        <v>3250</v>
      </c>
      <c r="BK1488" t="s">
        <v>3250</v>
      </c>
      <c r="BL1488" t="s">
        <v>3250</v>
      </c>
      <c r="BM1488" t="s">
        <v>3250</v>
      </c>
      <c r="BN1488" t="s">
        <v>3250</v>
      </c>
      <c r="BP1488">
        <v>1</v>
      </c>
      <c r="BQ1488">
        <v>15</v>
      </c>
      <c r="BR1488" t="s">
        <v>285</v>
      </c>
      <c r="BS1488" t="s">
        <v>3252</v>
      </c>
      <c r="BV1488">
        <v>558002</v>
      </c>
      <c r="BW1488">
        <v>39450</v>
      </c>
      <c r="BX1488">
        <v>0</v>
      </c>
      <c r="BY1488">
        <v>480000</v>
      </c>
      <c r="BZ1488">
        <v>280000</v>
      </c>
      <c r="CA1488">
        <v>400000</v>
      </c>
      <c r="CB1488">
        <v>50800</v>
      </c>
      <c r="CC1488">
        <v>539328</v>
      </c>
      <c r="CD1488">
        <v>314338</v>
      </c>
      <c r="CE1488" t="s">
        <v>3108</v>
      </c>
      <c r="CF1488" t="s">
        <v>3108</v>
      </c>
      <c r="CG1488" t="s">
        <v>3108</v>
      </c>
      <c r="CH1488" t="s">
        <v>3108</v>
      </c>
    </row>
    <row r="1489" spans="1:86" x14ac:dyDescent="0.2">
      <c r="A1489" t="s">
        <v>5435</v>
      </c>
      <c r="B1489" t="s">
        <v>5435</v>
      </c>
      <c r="C1489">
        <v>54471</v>
      </c>
      <c r="D1489">
        <v>1603</v>
      </c>
      <c r="E1489" t="s">
        <v>4003</v>
      </c>
      <c r="F1489">
        <v>2700</v>
      </c>
      <c r="G1489" t="s">
        <v>411</v>
      </c>
      <c r="H1489" t="s">
        <v>4004</v>
      </c>
      <c r="I1489" t="s">
        <v>2531</v>
      </c>
      <c r="J1489">
        <v>2701</v>
      </c>
      <c r="K1489" t="s">
        <v>2531</v>
      </c>
      <c r="L1489">
        <v>1200</v>
      </c>
      <c r="M1489" t="s">
        <v>2368</v>
      </c>
      <c r="N1489">
        <v>1206</v>
      </c>
      <c r="O1489" t="s">
        <v>285</v>
      </c>
      <c r="P1489" t="s">
        <v>3108</v>
      </c>
      <c r="Q1489" t="s">
        <v>3249</v>
      </c>
      <c r="R1489" t="s">
        <v>3249</v>
      </c>
      <c r="S1489" t="s">
        <v>810</v>
      </c>
      <c r="T1489" t="s">
        <v>2754</v>
      </c>
      <c r="U1489" t="s">
        <v>3250</v>
      </c>
      <c r="V1489" t="s">
        <v>3250</v>
      </c>
      <c r="W1489" t="s">
        <v>3250</v>
      </c>
      <c r="X1489" t="s">
        <v>3250</v>
      </c>
      <c r="Y1489" t="s">
        <v>3250</v>
      </c>
      <c r="Z1489" t="s">
        <v>3250</v>
      </c>
      <c r="AA1489" t="s">
        <v>3108</v>
      </c>
      <c r="AB1489" t="s">
        <v>3108</v>
      </c>
      <c r="AC1489" t="s">
        <v>3250</v>
      </c>
      <c r="AD1489" t="s">
        <v>3250</v>
      </c>
      <c r="AE1489" t="s">
        <v>3250</v>
      </c>
      <c r="AF1489" t="s">
        <v>3250</v>
      </c>
      <c r="AG1489" t="s">
        <v>3250</v>
      </c>
      <c r="AH1489" t="s">
        <v>3250</v>
      </c>
      <c r="AI1489" t="s">
        <v>3250</v>
      </c>
      <c r="AJ1489" t="s">
        <v>3250</v>
      </c>
      <c r="AL1489" t="s">
        <v>3250</v>
      </c>
      <c r="AM1489" t="s">
        <v>3250</v>
      </c>
      <c r="AN1489" t="s">
        <v>3250</v>
      </c>
      <c r="AO1489" t="s">
        <v>3250</v>
      </c>
      <c r="AS1489" t="s">
        <v>3250</v>
      </c>
      <c r="AT1489" t="s">
        <v>3250</v>
      </c>
      <c r="AU1489" t="s">
        <v>3250</v>
      </c>
      <c r="AV1489" t="s">
        <v>3250</v>
      </c>
      <c r="AW1489" t="s">
        <v>3250</v>
      </c>
      <c r="AX1489" t="s">
        <v>3250</v>
      </c>
      <c r="AY1489" t="s">
        <v>3250</v>
      </c>
      <c r="AZ1489" t="s">
        <v>3250</v>
      </c>
      <c r="BA1489" t="s">
        <v>3250</v>
      </c>
      <c r="BB1489" t="s">
        <v>3250</v>
      </c>
      <c r="BC1489" t="s">
        <v>3250</v>
      </c>
      <c r="BE1489" t="s">
        <v>3250</v>
      </c>
      <c r="BF1489" t="s">
        <v>3250</v>
      </c>
      <c r="BG1489" t="s">
        <v>3250</v>
      </c>
      <c r="BH1489" t="s">
        <v>3250</v>
      </c>
      <c r="BI1489" t="s">
        <v>3250</v>
      </c>
      <c r="BK1489" t="s">
        <v>3250</v>
      </c>
      <c r="BL1489" t="s">
        <v>3250</v>
      </c>
      <c r="BM1489" t="s">
        <v>3250</v>
      </c>
      <c r="BN1489" t="s">
        <v>3250</v>
      </c>
      <c r="BP1489">
        <v>1</v>
      </c>
      <c r="BQ1489">
        <v>15</v>
      </c>
      <c r="BR1489" t="s">
        <v>285</v>
      </c>
      <c r="BS1489" t="s">
        <v>3252</v>
      </c>
      <c r="BV1489">
        <v>0</v>
      </c>
      <c r="BW1489">
        <v>0</v>
      </c>
      <c r="BX1489">
        <v>0</v>
      </c>
      <c r="BY1489">
        <v>30000</v>
      </c>
      <c r="BZ1489">
        <v>30000</v>
      </c>
      <c r="CA1489">
        <v>31170</v>
      </c>
      <c r="CB1489">
        <v>32417</v>
      </c>
      <c r="CC1489">
        <v>33713</v>
      </c>
      <c r="CD1489">
        <v>12000</v>
      </c>
      <c r="CE1489" t="s">
        <v>3108</v>
      </c>
      <c r="CF1489" t="s">
        <v>3108</v>
      </c>
      <c r="CG1489" t="s">
        <v>3108</v>
      </c>
      <c r="CH1489" t="s">
        <v>3108</v>
      </c>
    </row>
    <row r="1490" spans="1:86" x14ac:dyDescent="0.2">
      <c r="A1490" t="s">
        <v>5436</v>
      </c>
      <c r="B1490" t="s">
        <v>5436</v>
      </c>
      <c r="C1490">
        <v>54472</v>
      </c>
      <c r="D1490">
        <v>1604</v>
      </c>
      <c r="E1490" t="s">
        <v>4003</v>
      </c>
      <c r="F1490">
        <v>2700</v>
      </c>
      <c r="G1490" t="s">
        <v>411</v>
      </c>
      <c r="H1490" t="s">
        <v>4004</v>
      </c>
      <c r="I1490" t="s">
        <v>2531</v>
      </c>
      <c r="J1490">
        <v>2701</v>
      </c>
      <c r="K1490" t="s">
        <v>2531</v>
      </c>
      <c r="L1490">
        <v>1200</v>
      </c>
      <c r="M1490" t="s">
        <v>2368</v>
      </c>
      <c r="N1490">
        <v>1206</v>
      </c>
      <c r="O1490" t="s">
        <v>285</v>
      </c>
      <c r="P1490" t="s">
        <v>3108</v>
      </c>
      <c r="Q1490" t="s">
        <v>3249</v>
      </c>
      <c r="R1490" t="s">
        <v>3249</v>
      </c>
      <c r="S1490" t="s">
        <v>810</v>
      </c>
      <c r="T1490" t="s">
        <v>2754</v>
      </c>
      <c r="U1490" t="s">
        <v>3250</v>
      </c>
      <c r="V1490" t="s">
        <v>3250</v>
      </c>
      <c r="W1490" t="s">
        <v>3250</v>
      </c>
      <c r="X1490" t="s">
        <v>3250</v>
      </c>
      <c r="Y1490" t="s">
        <v>3250</v>
      </c>
      <c r="Z1490" t="s">
        <v>3250</v>
      </c>
      <c r="AA1490" t="s">
        <v>3108</v>
      </c>
      <c r="AB1490" t="s">
        <v>3108</v>
      </c>
      <c r="AC1490" t="s">
        <v>3250</v>
      </c>
      <c r="AD1490" t="s">
        <v>3250</v>
      </c>
      <c r="AE1490" t="s">
        <v>3250</v>
      </c>
      <c r="AF1490" t="s">
        <v>3250</v>
      </c>
      <c r="AG1490" t="s">
        <v>3250</v>
      </c>
      <c r="AH1490" t="s">
        <v>3250</v>
      </c>
      <c r="AI1490" t="s">
        <v>3250</v>
      </c>
      <c r="AJ1490" t="s">
        <v>3250</v>
      </c>
      <c r="AL1490" t="s">
        <v>3250</v>
      </c>
      <c r="AM1490" t="s">
        <v>3250</v>
      </c>
      <c r="AN1490" t="s">
        <v>3250</v>
      </c>
      <c r="AO1490" t="s">
        <v>3250</v>
      </c>
      <c r="AS1490" t="s">
        <v>3250</v>
      </c>
      <c r="AT1490" t="s">
        <v>3250</v>
      </c>
      <c r="AU1490" t="s">
        <v>3250</v>
      </c>
      <c r="AV1490" t="s">
        <v>3250</v>
      </c>
      <c r="AW1490" t="s">
        <v>3250</v>
      </c>
      <c r="AX1490" t="s">
        <v>3250</v>
      </c>
      <c r="AY1490" t="s">
        <v>3250</v>
      </c>
      <c r="AZ1490" t="s">
        <v>3250</v>
      </c>
      <c r="BA1490" t="s">
        <v>3250</v>
      </c>
      <c r="BB1490" t="s">
        <v>3250</v>
      </c>
      <c r="BC1490" t="s">
        <v>3250</v>
      </c>
      <c r="BE1490" t="s">
        <v>3250</v>
      </c>
      <c r="BF1490" t="s">
        <v>3250</v>
      </c>
      <c r="BG1490" t="s">
        <v>3250</v>
      </c>
      <c r="BH1490" t="s">
        <v>3250</v>
      </c>
      <c r="BI1490" t="s">
        <v>3250</v>
      </c>
      <c r="BK1490" t="s">
        <v>3250</v>
      </c>
      <c r="BL1490" t="s">
        <v>3250</v>
      </c>
      <c r="BM1490" t="s">
        <v>3250</v>
      </c>
      <c r="BN1490" t="s">
        <v>3250</v>
      </c>
      <c r="BP1490">
        <v>1</v>
      </c>
      <c r="BQ1490">
        <v>15</v>
      </c>
      <c r="BR1490" t="s">
        <v>285</v>
      </c>
      <c r="BS1490" t="s">
        <v>3252</v>
      </c>
      <c r="BV1490">
        <v>0</v>
      </c>
      <c r="BW1490">
        <v>0</v>
      </c>
      <c r="BX1490">
        <v>0</v>
      </c>
      <c r="BY1490">
        <v>0</v>
      </c>
      <c r="BZ1490">
        <v>0</v>
      </c>
      <c r="CA1490">
        <v>0</v>
      </c>
      <c r="CB1490">
        <v>0</v>
      </c>
      <c r="CC1490">
        <v>0</v>
      </c>
      <c r="CD1490">
        <v>0</v>
      </c>
      <c r="CE1490" t="s">
        <v>3108</v>
      </c>
      <c r="CF1490" t="s">
        <v>3108</v>
      </c>
      <c r="CG1490" t="s">
        <v>3108</v>
      </c>
      <c r="CH1490" t="s">
        <v>3108</v>
      </c>
    </row>
    <row r="1491" spans="1:86" x14ac:dyDescent="0.2">
      <c r="A1491" t="s">
        <v>5437</v>
      </c>
      <c r="B1491" t="s">
        <v>5437</v>
      </c>
      <c r="C1491">
        <v>54473</v>
      </c>
      <c r="D1491">
        <v>1605</v>
      </c>
      <c r="E1491" t="s">
        <v>4006</v>
      </c>
      <c r="F1491">
        <v>2700</v>
      </c>
      <c r="G1491" t="s">
        <v>411</v>
      </c>
      <c r="H1491" t="s">
        <v>4004</v>
      </c>
      <c r="I1491" t="s">
        <v>2531</v>
      </c>
      <c r="J1491">
        <v>2701</v>
      </c>
      <c r="K1491" t="s">
        <v>2531</v>
      </c>
      <c r="L1491">
        <v>1200</v>
      </c>
      <c r="M1491" t="s">
        <v>2368</v>
      </c>
      <c r="N1491">
        <v>1206</v>
      </c>
      <c r="O1491" t="s">
        <v>285</v>
      </c>
      <c r="P1491" t="s">
        <v>3108</v>
      </c>
      <c r="Q1491" t="s">
        <v>3249</v>
      </c>
      <c r="R1491" t="s">
        <v>3249</v>
      </c>
      <c r="S1491" t="s">
        <v>810</v>
      </c>
      <c r="T1491" t="s">
        <v>2754</v>
      </c>
      <c r="U1491" t="s">
        <v>3250</v>
      </c>
      <c r="V1491" t="s">
        <v>3250</v>
      </c>
      <c r="W1491" t="s">
        <v>3250</v>
      </c>
      <c r="X1491" t="s">
        <v>3250</v>
      </c>
      <c r="Y1491" t="s">
        <v>3250</v>
      </c>
      <c r="Z1491" t="s">
        <v>3250</v>
      </c>
      <c r="AA1491" t="s">
        <v>3108</v>
      </c>
      <c r="AB1491" t="s">
        <v>3108</v>
      </c>
      <c r="AC1491" t="s">
        <v>3250</v>
      </c>
      <c r="AD1491" t="s">
        <v>3250</v>
      </c>
      <c r="AE1491" t="s">
        <v>3250</v>
      </c>
      <c r="AF1491" t="s">
        <v>3250</v>
      </c>
      <c r="AG1491" t="s">
        <v>3250</v>
      </c>
      <c r="AH1491" t="s">
        <v>3250</v>
      </c>
      <c r="AI1491" t="s">
        <v>3250</v>
      </c>
      <c r="AJ1491" t="s">
        <v>3250</v>
      </c>
      <c r="AL1491" t="s">
        <v>3250</v>
      </c>
      <c r="AM1491" t="s">
        <v>3250</v>
      </c>
      <c r="AN1491" t="s">
        <v>3250</v>
      </c>
      <c r="AO1491" t="s">
        <v>3250</v>
      </c>
      <c r="AS1491" t="s">
        <v>3250</v>
      </c>
      <c r="AT1491" t="s">
        <v>3250</v>
      </c>
      <c r="AU1491" t="s">
        <v>3250</v>
      </c>
      <c r="AV1491" t="s">
        <v>3250</v>
      </c>
      <c r="AW1491" t="s">
        <v>3250</v>
      </c>
      <c r="AX1491" t="s">
        <v>3250</v>
      </c>
      <c r="AY1491" t="s">
        <v>3250</v>
      </c>
      <c r="AZ1491" t="s">
        <v>3250</v>
      </c>
      <c r="BA1491" t="s">
        <v>3250</v>
      </c>
      <c r="BB1491" t="s">
        <v>3250</v>
      </c>
      <c r="BC1491" t="s">
        <v>3250</v>
      </c>
      <c r="BE1491" t="s">
        <v>3250</v>
      </c>
      <c r="BF1491" t="s">
        <v>3250</v>
      </c>
      <c r="BG1491" t="s">
        <v>3250</v>
      </c>
      <c r="BH1491" t="s">
        <v>3250</v>
      </c>
      <c r="BI1491" t="s">
        <v>3250</v>
      </c>
      <c r="BK1491" t="s">
        <v>3250</v>
      </c>
      <c r="BL1491" t="s">
        <v>3250</v>
      </c>
      <c r="BM1491" t="s">
        <v>3250</v>
      </c>
      <c r="BN1491" t="s">
        <v>3250</v>
      </c>
      <c r="BP1491">
        <v>1</v>
      </c>
      <c r="BQ1491">
        <v>15</v>
      </c>
      <c r="BR1491" t="s">
        <v>285</v>
      </c>
      <c r="BS1491" t="s">
        <v>3252</v>
      </c>
      <c r="BV1491">
        <v>11451</v>
      </c>
      <c r="BW1491">
        <v>16800</v>
      </c>
      <c r="BX1491">
        <v>0</v>
      </c>
      <c r="BY1491">
        <v>30000</v>
      </c>
      <c r="BZ1491">
        <v>20000</v>
      </c>
      <c r="CA1491">
        <v>20780</v>
      </c>
      <c r="CB1491">
        <v>21611</v>
      </c>
      <c r="CC1491">
        <v>22476</v>
      </c>
      <c r="CD1491">
        <v>31537</v>
      </c>
      <c r="CE1491" t="s">
        <v>3108</v>
      </c>
      <c r="CF1491" t="s">
        <v>3108</v>
      </c>
      <c r="CG1491" t="s">
        <v>3108</v>
      </c>
      <c r="CH1491" t="s">
        <v>3108</v>
      </c>
    </row>
    <row r="1492" spans="1:86" x14ac:dyDescent="0.2">
      <c r="A1492" t="s">
        <v>5438</v>
      </c>
      <c r="B1492" t="s">
        <v>5438</v>
      </c>
      <c r="C1492">
        <v>54474</v>
      </c>
      <c r="D1492">
        <v>1606</v>
      </c>
      <c r="E1492" t="s">
        <v>4625</v>
      </c>
      <c r="F1492">
        <v>2900</v>
      </c>
      <c r="G1492" t="s">
        <v>822</v>
      </c>
      <c r="H1492" t="s">
        <v>3108</v>
      </c>
      <c r="I1492" t="s">
        <v>3108</v>
      </c>
      <c r="J1492">
        <v>2904</v>
      </c>
      <c r="K1492" t="s">
        <v>1690</v>
      </c>
      <c r="L1492">
        <v>1200</v>
      </c>
      <c r="M1492" t="s">
        <v>2368</v>
      </c>
      <c r="N1492">
        <v>1206</v>
      </c>
      <c r="O1492" t="s">
        <v>285</v>
      </c>
      <c r="P1492" t="s">
        <v>3108</v>
      </c>
      <c r="Q1492" t="s">
        <v>3249</v>
      </c>
      <c r="R1492" t="s">
        <v>3249</v>
      </c>
      <c r="S1492" t="s">
        <v>810</v>
      </c>
      <c r="T1492" t="s">
        <v>2754</v>
      </c>
      <c r="U1492" t="s">
        <v>3250</v>
      </c>
      <c r="V1492" t="s">
        <v>3250</v>
      </c>
      <c r="W1492" t="s">
        <v>3250</v>
      </c>
      <c r="X1492" t="s">
        <v>3250</v>
      </c>
      <c r="Y1492" t="s">
        <v>3250</v>
      </c>
      <c r="Z1492" t="s">
        <v>3250</v>
      </c>
      <c r="AA1492" t="s">
        <v>3108</v>
      </c>
      <c r="AB1492" t="s">
        <v>3108</v>
      </c>
      <c r="AC1492" t="s">
        <v>3250</v>
      </c>
      <c r="AD1492" t="s">
        <v>3250</v>
      </c>
      <c r="AE1492" t="s">
        <v>3250</v>
      </c>
      <c r="AF1492" t="s">
        <v>3250</v>
      </c>
      <c r="AG1492" t="s">
        <v>3250</v>
      </c>
      <c r="AH1492" t="s">
        <v>3250</v>
      </c>
      <c r="AI1492" t="s">
        <v>3250</v>
      </c>
      <c r="AJ1492" t="s">
        <v>3250</v>
      </c>
      <c r="AL1492" t="s">
        <v>3250</v>
      </c>
      <c r="AM1492" t="s">
        <v>3250</v>
      </c>
      <c r="AN1492" t="s">
        <v>3250</v>
      </c>
      <c r="AO1492" t="s">
        <v>3250</v>
      </c>
      <c r="AS1492" t="s">
        <v>3250</v>
      </c>
      <c r="AT1492" t="s">
        <v>3250</v>
      </c>
      <c r="AU1492" t="s">
        <v>3250</v>
      </c>
      <c r="AV1492" t="s">
        <v>3250</v>
      </c>
      <c r="AW1492" t="s">
        <v>3250</v>
      </c>
      <c r="AX1492" t="s">
        <v>3250</v>
      </c>
      <c r="AY1492" t="s">
        <v>3250</v>
      </c>
      <c r="AZ1492" t="s">
        <v>3250</v>
      </c>
      <c r="BA1492" t="s">
        <v>3250</v>
      </c>
      <c r="BB1492" t="s">
        <v>3250</v>
      </c>
      <c r="BC1492" t="s">
        <v>3250</v>
      </c>
      <c r="BE1492" t="s">
        <v>3250</v>
      </c>
      <c r="BF1492" t="s">
        <v>3250</v>
      </c>
      <c r="BG1492" t="s">
        <v>3250</v>
      </c>
      <c r="BH1492" t="s">
        <v>3250</v>
      </c>
      <c r="BI1492" t="s">
        <v>3250</v>
      </c>
      <c r="BK1492" t="s">
        <v>3250</v>
      </c>
      <c r="BL1492" t="s">
        <v>3250</v>
      </c>
      <c r="BM1492" t="s">
        <v>3250</v>
      </c>
      <c r="BN1492" t="s">
        <v>3250</v>
      </c>
      <c r="BP1492">
        <v>1</v>
      </c>
      <c r="BQ1492">
        <v>15</v>
      </c>
      <c r="BR1492" t="s">
        <v>285</v>
      </c>
      <c r="BS1492" t="s">
        <v>3252</v>
      </c>
      <c r="BV1492">
        <v>0</v>
      </c>
      <c r="BW1492">
        <v>0</v>
      </c>
      <c r="BX1492">
        <v>0</v>
      </c>
      <c r="BY1492">
        <v>0</v>
      </c>
      <c r="BZ1492">
        <v>0</v>
      </c>
      <c r="CA1492">
        <v>0</v>
      </c>
      <c r="CB1492">
        <v>0</v>
      </c>
      <c r="CC1492">
        <v>0</v>
      </c>
      <c r="CD1492">
        <v>0</v>
      </c>
      <c r="CE1492" t="s">
        <v>3108</v>
      </c>
      <c r="CF1492" t="s">
        <v>3108</v>
      </c>
      <c r="CG1492" t="s">
        <v>3108</v>
      </c>
      <c r="CH1492" t="s">
        <v>3108</v>
      </c>
    </row>
    <row r="1493" spans="1:86" x14ac:dyDescent="0.2">
      <c r="A1493" t="s">
        <v>5439</v>
      </c>
      <c r="B1493" t="s">
        <v>5439</v>
      </c>
      <c r="C1493">
        <v>54475</v>
      </c>
      <c r="D1493">
        <v>1607</v>
      </c>
      <c r="E1493" t="s">
        <v>4006</v>
      </c>
      <c r="F1493">
        <v>2700</v>
      </c>
      <c r="G1493" t="s">
        <v>411</v>
      </c>
      <c r="H1493" t="s">
        <v>4004</v>
      </c>
      <c r="I1493" t="s">
        <v>2531</v>
      </c>
      <c r="J1493">
        <v>2701</v>
      </c>
      <c r="K1493" t="s">
        <v>2531</v>
      </c>
      <c r="L1493">
        <v>1200</v>
      </c>
      <c r="M1493" t="s">
        <v>2368</v>
      </c>
      <c r="N1493">
        <v>1206</v>
      </c>
      <c r="O1493" t="s">
        <v>285</v>
      </c>
      <c r="P1493" t="s">
        <v>3108</v>
      </c>
      <c r="Q1493" t="s">
        <v>3249</v>
      </c>
      <c r="R1493" t="s">
        <v>3249</v>
      </c>
      <c r="S1493" t="s">
        <v>810</v>
      </c>
      <c r="T1493" t="s">
        <v>2754</v>
      </c>
      <c r="U1493" t="s">
        <v>3250</v>
      </c>
      <c r="V1493" t="s">
        <v>3250</v>
      </c>
      <c r="W1493" t="s">
        <v>3250</v>
      </c>
      <c r="X1493" t="s">
        <v>3250</v>
      </c>
      <c r="Y1493" t="s">
        <v>3250</v>
      </c>
      <c r="Z1493" t="s">
        <v>3250</v>
      </c>
      <c r="AA1493" t="s">
        <v>3108</v>
      </c>
      <c r="AB1493" t="s">
        <v>3108</v>
      </c>
      <c r="AC1493" t="s">
        <v>3250</v>
      </c>
      <c r="AD1493" t="s">
        <v>3250</v>
      </c>
      <c r="AE1493" t="s">
        <v>3250</v>
      </c>
      <c r="AF1493" t="s">
        <v>3250</v>
      </c>
      <c r="AG1493" t="s">
        <v>3250</v>
      </c>
      <c r="AH1493" t="s">
        <v>3250</v>
      </c>
      <c r="AI1493" t="s">
        <v>3250</v>
      </c>
      <c r="AJ1493" t="s">
        <v>3250</v>
      </c>
      <c r="AL1493" t="s">
        <v>3250</v>
      </c>
      <c r="AM1493" t="s">
        <v>3250</v>
      </c>
      <c r="AN1493" t="s">
        <v>3250</v>
      </c>
      <c r="AO1493" t="s">
        <v>3250</v>
      </c>
      <c r="AS1493" t="s">
        <v>3250</v>
      </c>
      <c r="AT1493" t="s">
        <v>3250</v>
      </c>
      <c r="AU1493" t="s">
        <v>3250</v>
      </c>
      <c r="AV1493" t="s">
        <v>3250</v>
      </c>
      <c r="AW1493" t="s">
        <v>3250</v>
      </c>
      <c r="AX1493" t="s">
        <v>3250</v>
      </c>
      <c r="AY1493" t="s">
        <v>3250</v>
      </c>
      <c r="AZ1493" t="s">
        <v>3250</v>
      </c>
      <c r="BA1493" t="s">
        <v>3250</v>
      </c>
      <c r="BB1493" t="s">
        <v>3250</v>
      </c>
      <c r="BC1493" t="s">
        <v>3250</v>
      </c>
      <c r="BE1493" t="s">
        <v>3250</v>
      </c>
      <c r="BF1493" t="s">
        <v>3250</v>
      </c>
      <c r="BG1493" t="s">
        <v>3250</v>
      </c>
      <c r="BH1493" t="s">
        <v>3250</v>
      </c>
      <c r="BI1493" t="s">
        <v>3250</v>
      </c>
      <c r="BK1493" t="s">
        <v>3250</v>
      </c>
      <c r="BL1493" t="s">
        <v>3250</v>
      </c>
      <c r="BM1493" t="s">
        <v>3250</v>
      </c>
      <c r="BN1493" t="s">
        <v>3250</v>
      </c>
      <c r="BP1493">
        <v>1</v>
      </c>
      <c r="BQ1493">
        <v>15</v>
      </c>
      <c r="BR1493" t="s">
        <v>285</v>
      </c>
      <c r="BS1493" t="s">
        <v>3252</v>
      </c>
      <c r="BV1493">
        <v>0</v>
      </c>
      <c r="BW1493">
        <v>0</v>
      </c>
      <c r="BX1493">
        <v>0</v>
      </c>
      <c r="BY1493">
        <v>0</v>
      </c>
      <c r="BZ1493">
        <v>0</v>
      </c>
      <c r="CA1493">
        <v>0</v>
      </c>
      <c r="CB1493">
        <v>0</v>
      </c>
      <c r="CC1493">
        <v>0</v>
      </c>
      <c r="CD1493">
        <v>0</v>
      </c>
      <c r="CE1493" t="s">
        <v>3108</v>
      </c>
      <c r="CF1493" t="s">
        <v>3108</v>
      </c>
      <c r="CG1493" t="s">
        <v>3108</v>
      </c>
      <c r="CH1493" t="s">
        <v>3108</v>
      </c>
    </row>
    <row r="1494" spans="1:86" x14ac:dyDescent="0.2">
      <c r="A1494" t="s">
        <v>5440</v>
      </c>
      <c r="B1494" t="s">
        <v>5440</v>
      </c>
      <c r="C1494">
        <v>54476</v>
      </c>
      <c r="D1494">
        <v>1608</v>
      </c>
      <c r="E1494" t="s">
        <v>5441</v>
      </c>
      <c r="F1494">
        <v>2700</v>
      </c>
      <c r="G1494" t="s">
        <v>411</v>
      </c>
      <c r="H1494" t="s">
        <v>3837</v>
      </c>
      <c r="I1494" t="s">
        <v>2532</v>
      </c>
      <c r="J1494">
        <v>2702</v>
      </c>
      <c r="K1494" t="s">
        <v>2532</v>
      </c>
      <c r="L1494">
        <v>1100</v>
      </c>
      <c r="M1494" t="s">
        <v>119</v>
      </c>
      <c r="N1494">
        <v>1120</v>
      </c>
      <c r="O1494" t="s">
        <v>2367</v>
      </c>
      <c r="P1494" t="s">
        <v>3108</v>
      </c>
      <c r="Q1494" t="s">
        <v>3249</v>
      </c>
      <c r="R1494" t="s">
        <v>3249</v>
      </c>
      <c r="S1494" t="s">
        <v>810</v>
      </c>
      <c r="T1494" t="s">
        <v>2754</v>
      </c>
      <c r="U1494" t="s">
        <v>3250</v>
      </c>
      <c r="V1494" t="s">
        <v>3250</v>
      </c>
      <c r="W1494" t="s">
        <v>3250</v>
      </c>
      <c r="X1494" t="s">
        <v>3250</v>
      </c>
      <c r="Y1494" t="s">
        <v>3250</v>
      </c>
      <c r="Z1494" t="s">
        <v>3250</v>
      </c>
      <c r="AA1494" t="s">
        <v>3108</v>
      </c>
      <c r="AB1494" t="s">
        <v>3108</v>
      </c>
      <c r="AC1494" t="s">
        <v>3250</v>
      </c>
      <c r="AD1494" t="s">
        <v>3250</v>
      </c>
      <c r="AE1494" t="s">
        <v>3250</v>
      </c>
      <c r="AF1494" t="s">
        <v>3250</v>
      </c>
      <c r="AG1494" t="s">
        <v>3250</v>
      </c>
      <c r="AH1494" t="s">
        <v>3250</v>
      </c>
      <c r="AI1494" t="s">
        <v>3250</v>
      </c>
      <c r="AJ1494" t="s">
        <v>3250</v>
      </c>
      <c r="AL1494" t="s">
        <v>3250</v>
      </c>
      <c r="AM1494" t="s">
        <v>3250</v>
      </c>
      <c r="AN1494" t="s">
        <v>3250</v>
      </c>
      <c r="AO1494" t="s">
        <v>3250</v>
      </c>
      <c r="AS1494" t="s">
        <v>3250</v>
      </c>
      <c r="AT1494" t="s">
        <v>3250</v>
      </c>
      <c r="AU1494" t="s">
        <v>3250</v>
      </c>
      <c r="AV1494" t="s">
        <v>3250</v>
      </c>
      <c r="AW1494" t="s">
        <v>3250</v>
      </c>
      <c r="AX1494" t="s">
        <v>3250</v>
      </c>
      <c r="AY1494" t="s">
        <v>3250</v>
      </c>
      <c r="AZ1494" t="s">
        <v>3250</v>
      </c>
      <c r="BA1494" t="s">
        <v>3250</v>
      </c>
      <c r="BB1494" t="s">
        <v>3250</v>
      </c>
      <c r="BC1494" t="s">
        <v>3250</v>
      </c>
      <c r="BE1494" t="s">
        <v>3250</v>
      </c>
      <c r="BF1494" t="s">
        <v>3250</v>
      </c>
      <c r="BG1494" t="s">
        <v>3250</v>
      </c>
      <c r="BH1494" t="s">
        <v>3250</v>
      </c>
      <c r="BI1494" t="s">
        <v>3250</v>
      </c>
      <c r="BK1494" t="s">
        <v>3250</v>
      </c>
      <c r="BL1494" t="s">
        <v>3250</v>
      </c>
      <c r="BM1494" t="s">
        <v>3250</v>
      </c>
      <c r="BN1494" t="s">
        <v>3250</v>
      </c>
      <c r="BP1494">
        <v>3</v>
      </c>
      <c r="BQ1494">
        <v>31</v>
      </c>
      <c r="BR1494" t="s">
        <v>2367</v>
      </c>
      <c r="BS1494" t="s">
        <v>4381</v>
      </c>
      <c r="BV1494">
        <v>0</v>
      </c>
      <c r="BW1494">
        <v>0</v>
      </c>
      <c r="BX1494">
        <v>0</v>
      </c>
      <c r="BY1494">
        <v>0</v>
      </c>
      <c r="BZ1494">
        <v>0</v>
      </c>
      <c r="CA1494">
        <v>0</v>
      </c>
      <c r="CB1494">
        <v>0</v>
      </c>
      <c r="CC1494">
        <v>0</v>
      </c>
      <c r="CD1494">
        <v>0</v>
      </c>
      <c r="CE1494" t="s">
        <v>3108</v>
      </c>
      <c r="CF1494" t="s">
        <v>3108</v>
      </c>
      <c r="CG1494" t="s">
        <v>3108</v>
      </c>
      <c r="CH1494" t="s">
        <v>3108</v>
      </c>
    </row>
    <row r="1495" spans="1:86" x14ac:dyDescent="0.2">
      <c r="A1495" t="s">
        <v>5442</v>
      </c>
      <c r="B1495" t="s">
        <v>5442</v>
      </c>
      <c r="C1495">
        <v>54477</v>
      </c>
      <c r="D1495">
        <v>1609</v>
      </c>
      <c r="E1495" t="s">
        <v>4250</v>
      </c>
      <c r="F1495" t="s">
        <v>3249</v>
      </c>
      <c r="G1495" t="s">
        <v>3249</v>
      </c>
      <c r="H1495" t="s">
        <v>3250</v>
      </c>
      <c r="I1495" t="s">
        <v>3250</v>
      </c>
      <c r="J1495" t="s">
        <v>3250</v>
      </c>
      <c r="K1495" t="s">
        <v>3250</v>
      </c>
      <c r="L1495">
        <v>4100</v>
      </c>
      <c r="M1495" t="s">
        <v>2365</v>
      </c>
      <c r="N1495">
        <v>4101</v>
      </c>
      <c r="O1495" t="s">
        <v>2432</v>
      </c>
      <c r="P1495" t="s">
        <v>2805</v>
      </c>
      <c r="Q1495">
        <v>2010</v>
      </c>
      <c r="R1495" t="s">
        <v>1355</v>
      </c>
      <c r="S1495" t="s">
        <v>427</v>
      </c>
      <c r="T1495" t="s">
        <v>3251</v>
      </c>
      <c r="U1495">
        <v>240</v>
      </c>
      <c r="V1495" t="s">
        <v>4251</v>
      </c>
      <c r="W1495">
        <v>240</v>
      </c>
      <c r="X1495" t="s">
        <v>1323</v>
      </c>
      <c r="Y1495" t="s">
        <v>3250</v>
      </c>
      <c r="Z1495" t="s">
        <v>3250</v>
      </c>
      <c r="AA1495" t="s">
        <v>3108</v>
      </c>
      <c r="AB1495" t="s">
        <v>3108</v>
      </c>
      <c r="AC1495" t="s">
        <v>3250</v>
      </c>
      <c r="AD1495" t="s">
        <v>3250</v>
      </c>
      <c r="AE1495" t="s">
        <v>3250</v>
      </c>
      <c r="AF1495" t="s">
        <v>3250</v>
      </c>
      <c r="AG1495" t="s">
        <v>3250</v>
      </c>
      <c r="AH1495" t="s">
        <v>3250</v>
      </c>
      <c r="AI1495" t="s">
        <v>3250</v>
      </c>
      <c r="AJ1495" t="s">
        <v>3250</v>
      </c>
      <c r="AK1495">
        <v>200</v>
      </c>
      <c r="AL1495">
        <v>241</v>
      </c>
      <c r="AM1495" t="s">
        <v>1455</v>
      </c>
      <c r="AN1495">
        <v>241</v>
      </c>
      <c r="AO1495" t="s">
        <v>1455</v>
      </c>
      <c r="AS1495">
        <v>280</v>
      </c>
      <c r="AT1495">
        <v>280</v>
      </c>
      <c r="AU1495" t="s">
        <v>2245</v>
      </c>
      <c r="AV1495" t="s">
        <v>2245</v>
      </c>
      <c r="AW1495" t="s">
        <v>3250</v>
      </c>
      <c r="AX1495" t="s">
        <v>3250</v>
      </c>
      <c r="AY1495" t="s">
        <v>3250</v>
      </c>
      <c r="AZ1495" t="s">
        <v>3250</v>
      </c>
      <c r="BA1495" t="s">
        <v>3250</v>
      </c>
      <c r="BB1495" t="s">
        <v>3250</v>
      </c>
      <c r="BC1495" t="s">
        <v>3250</v>
      </c>
      <c r="BE1495" t="s">
        <v>3250</v>
      </c>
      <c r="BF1495" t="s">
        <v>3250</v>
      </c>
      <c r="BG1495" t="s">
        <v>3250</v>
      </c>
      <c r="BH1495" t="s">
        <v>3250</v>
      </c>
      <c r="BI1495" t="s">
        <v>3250</v>
      </c>
      <c r="BK1495" t="s">
        <v>3250</v>
      </c>
      <c r="BL1495" t="s">
        <v>3250</v>
      </c>
      <c r="BM1495" t="s">
        <v>3250</v>
      </c>
      <c r="BN1495" t="s">
        <v>3250</v>
      </c>
      <c r="BP1495">
        <v>6</v>
      </c>
      <c r="BQ1495">
        <v>61</v>
      </c>
      <c r="BR1495" t="s">
        <v>555</v>
      </c>
      <c r="BS1495" t="s">
        <v>4397</v>
      </c>
      <c r="BV1495">
        <v>0</v>
      </c>
      <c r="BW1495">
        <v>0</v>
      </c>
      <c r="BX1495">
        <v>0</v>
      </c>
      <c r="BY1495">
        <v>0</v>
      </c>
      <c r="BZ1495">
        <v>0</v>
      </c>
      <c r="CA1495">
        <v>0</v>
      </c>
      <c r="CB1495">
        <v>0</v>
      </c>
      <c r="CC1495">
        <v>0</v>
      </c>
      <c r="CD1495">
        <v>0</v>
      </c>
      <c r="CE1495" t="s">
        <v>3108</v>
      </c>
      <c r="CF1495" t="s">
        <v>3108</v>
      </c>
      <c r="CG1495" t="s">
        <v>3108</v>
      </c>
      <c r="CH1495" t="s">
        <v>3108</v>
      </c>
    </row>
    <row r="1496" spans="1:86" x14ac:dyDescent="0.2">
      <c r="A1496" t="s">
        <v>5443</v>
      </c>
      <c r="B1496" t="s">
        <v>5443</v>
      </c>
      <c r="C1496">
        <v>54478</v>
      </c>
      <c r="D1496">
        <v>1610</v>
      </c>
      <c r="E1496" t="s">
        <v>4015</v>
      </c>
      <c r="F1496">
        <v>2900</v>
      </c>
      <c r="G1496" t="s">
        <v>822</v>
      </c>
      <c r="H1496" t="s">
        <v>3108</v>
      </c>
      <c r="I1496" t="s">
        <v>3108</v>
      </c>
      <c r="J1496">
        <v>2904</v>
      </c>
      <c r="K1496" t="s">
        <v>1690</v>
      </c>
      <c r="L1496">
        <v>1100</v>
      </c>
      <c r="M1496" t="s">
        <v>119</v>
      </c>
      <c r="N1496">
        <v>1120</v>
      </c>
      <c r="O1496" t="s">
        <v>2367</v>
      </c>
      <c r="P1496" t="s">
        <v>3108</v>
      </c>
      <c r="Q1496" t="s">
        <v>3249</v>
      </c>
      <c r="R1496" t="s">
        <v>3249</v>
      </c>
      <c r="S1496" t="s">
        <v>810</v>
      </c>
      <c r="T1496" t="s">
        <v>2754</v>
      </c>
      <c r="U1496" t="s">
        <v>3250</v>
      </c>
      <c r="V1496" t="s">
        <v>3250</v>
      </c>
      <c r="W1496" t="s">
        <v>3250</v>
      </c>
      <c r="X1496" t="s">
        <v>3250</v>
      </c>
      <c r="Y1496" t="s">
        <v>3250</v>
      </c>
      <c r="Z1496" t="s">
        <v>3250</v>
      </c>
      <c r="AA1496" t="s">
        <v>3108</v>
      </c>
      <c r="AB1496" t="s">
        <v>3108</v>
      </c>
      <c r="AC1496" t="s">
        <v>3250</v>
      </c>
      <c r="AD1496" t="s">
        <v>3250</v>
      </c>
      <c r="AE1496" t="s">
        <v>3250</v>
      </c>
      <c r="AF1496" t="s">
        <v>3250</v>
      </c>
      <c r="AG1496" t="s">
        <v>3250</v>
      </c>
      <c r="AH1496" t="s">
        <v>3250</v>
      </c>
      <c r="AI1496" t="s">
        <v>3250</v>
      </c>
      <c r="AJ1496" t="s">
        <v>3250</v>
      </c>
      <c r="AL1496" t="s">
        <v>3250</v>
      </c>
      <c r="AM1496" t="s">
        <v>3250</v>
      </c>
      <c r="AN1496" t="s">
        <v>3250</v>
      </c>
      <c r="AO1496" t="s">
        <v>3250</v>
      </c>
      <c r="AS1496" t="s">
        <v>3250</v>
      </c>
      <c r="AT1496" t="s">
        <v>3250</v>
      </c>
      <c r="AU1496" t="s">
        <v>3250</v>
      </c>
      <c r="AV1496" t="s">
        <v>3250</v>
      </c>
      <c r="AW1496" t="s">
        <v>3250</v>
      </c>
      <c r="AX1496" t="s">
        <v>3250</v>
      </c>
      <c r="AY1496" t="s">
        <v>3250</v>
      </c>
      <c r="AZ1496" t="s">
        <v>3250</v>
      </c>
      <c r="BA1496" t="s">
        <v>3250</v>
      </c>
      <c r="BB1496" t="s">
        <v>3250</v>
      </c>
      <c r="BC1496" t="s">
        <v>3250</v>
      </c>
      <c r="BE1496" t="s">
        <v>3250</v>
      </c>
      <c r="BF1496" t="s">
        <v>3250</v>
      </c>
      <c r="BG1496" t="s">
        <v>3250</v>
      </c>
      <c r="BH1496" t="s">
        <v>3250</v>
      </c>
      <c r="BI1496" t="s">
        <v>3250</v>
      </c>
      <c r="BK1496" t="s">
        <v>3250</v>
      </c>
      <c r="BL1496" t="s">
        <v>3250</v>
      </c>
      <c r="BM1496" t="s">
        <v>3250</v>
      </c>
      <c r="BN1496" t="s">
        <v>3250</v>
      </c>
      <c r="BP1496">
        <v>3</v>
      </c>
      <c r="BQ1496">
        <v>31</v>
      </c>
      <c r="BR1496" t="s">
        <v>2367</v>
      </c>
      <c r="BS1496" t="s">
        <v>4381</v>
      </c>
      <c r="BV1496">
        <v>43798</v>
      </c>
      <c r="BW1496">
        <v>6688</v>
      </c>
      <c r="BX1496">
        <v>0</v>
      </c>
      <c r="BY1496">
        <v>200000</v>
      </c>
      <c r="BZ1496">
        <v>200000</v>
      </c>
      <c r="CA1496">
        <v>207800</v>
      </c>
      <c r="CB1496">
        <v>216112</v>
      </c>
      <c r="CC1496">
        <v>224756</v>
      </c>
      <c r="CD1496">
        <v>0</v>
      </c>
      <c r="CE1496" t="s">
        <v>3108</v>
      </c>
      <c r="CF1496" t="s">
        <v>3108</v>
      </c>
      <c r="CG1496" t="s">
        <v>3108</v>
      </c>
      <c r="CH1496" t="s">
        <v>3108</v>
      </c>
    </row>
    <row r="1497" spans="1:86" x14ac:dyDescent="0.2">
      <c r="A1497" t="s">
        <v>5444</v>
      </c>
      <c r="B1497" t="s">
        <v>5444</v>
      </c>
      <c r="C1497">
        <v>54479</v>
      </c>
      <c r="D1497">
        <v>1611</v>
      </c>
      <c r="E1497" t="s">
        <v>4429</v>
      </c>
      <c r="F1497">
        <v>2700</v>
      </c>
      <c r="G1497" t="s">
        <v>411</v>
      </c>
      <c r="H1497" t="s">
        <v>3997</v>
      </c>
      <c r="I1497" t="s">
        <v>2533</v>
      </c>
      <c r="J1497">
        <v>2703</v>
      </c>
      <c r="K1497" t="s">
        <v>2533</v>
      </c>
      <c r="L1497">
        <v>1200</v>
      </c>
      <c r="M1497" t="s">
        <v>2368</v>
      </c>
      <c r="N1497">
        <v>1201</v>
      </c>
      <c r="O1497" t="s">
        <v>2370</v>
      </c>
      <c r="P1497" t="s">
        <v>3108</v>
      </c>
      <c r="Q1497" t="s">
        <v>3249</v>
      </c>
      <c r="R1497" t="s">
        <v>3249</v>
      </c>
      <c r="S1497" t="s">
        <v>810</v>
      </c>
      <c r="T1497" t="s">
        <v>2754</v>
      </c>
      <c r="U1497" t="s">
        <v>3250</v>
      </c>
      <c r="V1497" t="s">
        <v>3250</v>
      </c>
      <c r="W1497" t="s">
        <v>3250</v>
      </c>
      <c r="X1497" t="s">
        <v>3250</v>
      </c>
      <c r="Y1497" t="s">
        <v>3250</v>
      </c>
      <c r="Z1497" t="s">
        <v>3250</v>
      </c>
      <c r="AA1497" t="s">
        <v>3108</v>
      </c>
      <c r="AB1497" t="s">
        <v>3108</v>
      </c>
      <c r="AC1497" t="s">
        <v>3250</v>
      </c>
      <c r="AD1497" t="s">
        <v>3250</v>
      </c>
      <c r="AE1497" t="s">
        <v>3250</v>
      </c>
      <c r="AF1497" t="s">
        <v>3250</v>
      </c>
      <c r="AG1497" t="s">
        <v>3250</v>
      </c>
      <c r="AH1497" t="s">
        <v>3250</v>
      </c>
      <c r="AI1497" t="s">
        <v>3250</v>
      </c>
      <c r="AJ1497" t="s">
        <v>3250</v>
      </c>
      <c r="AL1497" t="s">
        <v>3250</v>
      </c>
      <c r="AM1497" t="s">
        <v>3250</v>
      </c>
      <c r="AN1497" t="s">
        <v>3250</v>
      </c>
      <c r="AO1497" t="s">
        <v>3250</v>
      </c>
      <c r="AS1497" t="s">
        <v>3250</v>
      </c>
      <c r="AT1497" t="s">
        <v>3250</v>
      </c>
      <c r="AU1497" t="s">
        <v>3250</v>
      </c>
      <c r="AV1497" t="s">
        <v>3250</v>
      </c>
      <c r="AW1497" t="s">
        <v>3250</v>
      </c>
      <c r="AX1497" t="s">
        <v>3250</v>
      </c>
      <c r="AY1497" t="s">
        <v>3250</v>
      </c>
      <c r="AZ1497" t="s">
        <v>3250</v>
      </c>
      <c r="BA1497" t="s">
        <v>3250</v>
      </c>
      <c r="BB1497" t="s">
        <v>3250</v>
      </c>
      <c r="BC1497" t="s">
        <v>3250</v>
      </c>
      <c r="BD1497" t="s">
        <v>2820</v>
      </c>
      <c r="BE1497" t="s">
        <v>3250</v>
      </c>
      <c r="BF1497" t="s">
        <v>3250</v>
      </c>
      <c r="BG1497" t="s">
        <v>3250</v>
      </c>
      <c r="BH1497" t="s">
        <v>3250</v>
      </c>
      <c r="BI1497" t="s">
        <v>3250</v>
      </c>
      <c r="BK1497" t="s">
        <v>3250</v>
      </c>
      <c r="BL1497" t="s">
        <v>3250</v>
      </c>
      <c r="BM1497" t="s">
        <v>3250</v>
      </c>
      <c r="BN1497" t="s">
        <v>3250</v>
      </c>
      <c r="BP1497">
        <v>1</v>
      </c>
      <c r="BQ1497">
        <v>14</v>
      </c>
      <c r="BR1497" t="s">
        <v>2370</v>
      </c>
      <c r="BS1497" t="s">
        <v>3252</v>
      </c>
      <c r="BV1497">
        <v>0</v>
      </c>
      <c r="BW1497">
        <v>0</v>
      </c>
      <c r="BX1497">
        <v>0</v>
      </c>
      <c r="BY1497">
        <v>0</v>
      </c>
      <c r="BZ1497">
        <v>0</v>
      </c>
      <c r="CA1497">
        <v>0</v>
      </c>
      <c r="CB1497">
        <v>0</v>
      </c>
      <c r="CC1497">
        <v>0</v>
      </c>
      <c r="CD1497">
        <v>0</v>
      </c>
      <c r="CE1497" t="s">
        <v>3108</v>
      </c>
      <c r="CF1497" t="s">
        <v>3108</v>
      </c>
      <c r="CG1497" t="s">
        <v>3108</v>
      </c>
      <c r="CH1497" t="s">
        <v>3108</v>
      </c>
    </row>
    <row r="1498" spans="1:86" x14ac:dyDescent="0.2">
      <c r="A1498" t="s">
        <v>5445</v>
      </c>
      <c r="B1498" t="s">
        <v>5445</v>
      </c>
      <c r="C1498">
        <v>54480</v>
      </c>
      <c r="D1498">
        <v>1612</v>
      </c>
      <c r="E1498" t="s">
        <v>4592</v>
      </c>
      <c r="F1498">
        <v>2900</v>
      </c>
      <c r="G1498" t="s">
        <v>822</v>
      </c>
      <c r="H1498" t="s">
        <v>3108</v>
      </c>
      <c r="I1498" t="s">
        <v>3108</v>
      </c>
      <c r="J1498">
        <v>2904</v>
      </c>
      <c r="K1498" t="s">
        <v>1690</v>
      </c>
      <c r="L1498">
        <v>1200</v>
      </c>
      <c r="M1498" t="s">
        <v>2368</v>
      </c>
      <c r="N1498">
        <v>1201</v>
      </c>
      <c r="O1498" t="s">
        <v>2370</v>
      </c>
      <c r="P1498" t="s">
        <v>3108</v>
      </c>
      <c r="Q1498" t="s">
        <v>3249</v>
      </c>
      <c r="R1498" t="s">
        <v>3249</v>
      </c>
      <c r="S1498" t="s">
        <v>810</v>
      </c>
      <c r="T1498" t="s">
        <v>2754</v>
      </c>
      <c r="U1498" t="s">
        <v>3250</v>
      </c>
      <c r="V1498" t="s">
        <v>3250</v>
      </c>
      <c r="W1498" t="s">
        <v>3250</v>
      </c>
      <c r="X1498" t="s">
        <v>3250</v>
      </c>
      <c r="Y1498" t="s">
        <v>3250</v>
      </c>
      <c r="Z1498" t="s">
        <v>3250</v>
      </c>
      <c r="AA1498" t="s">
        <v>3108</v>
      </c>
      <c r="AB1498" t="s">
        <v>3108</v>
      </c>
      <c r="AC1498" t="s">
        <v>3250</v>
      </c>
      <c r="AD1498" t="s">
        <v>3250</v>
      </c>
      <c r="AE1498" t="s">
        <v>3250</v>
      </c>
      <c r="AF1498" t="s">
        <v>3250</v>
      </c>
      <c r="AG1498" t="s">
        <v>3250</v>
      </c>
      <c r="AH1498" t="s">
        <v>3250</v>
      </c>
      <c r="AI1498" t="s">
        <v>3250</v>
      </c>
      <c r="AJ1498" t="s">
        <v>3250</v>
      </c>
      <c r="AL1498" t="s">
        <v>3250</v>
      </c>
      <c r="AM1498" t="s">
        <v>3250</v>
      </c>
      <c r="AN1498" t="s">
        <v>3250</v>
      </c>
      <c r="AO1498" t="s">
        <v>3250</v>
      </c>
      <c r="AS1498" t="s">
        <v>3250</v>
      </c>
      <c r="AT1498" t="s">
        <v>3250</v>
      </c>
      <c r="AU1498" t="s">
        <v>3250</v>
      </c>
      <c r="AV1498" t="s">
        <v>3250</v>
      </c>
      <c r="AW1498" t="s">
        <v>3250</v>
      </c>
      <c r="AX1498" t="s">
        <v>3250</v>
      </c>
      <c r="AY1498" t="s">
        <v>3250</v>
      </c>
      <c r="AZ1498" t="s">
        <v>3250</v>
      </c>
      <c r="BA1498" t="s">
        <v>3250</v>
      </c>
      <c r="BB1498" t="s">
        <v>3250</v>
      </c>
      <c r="BC1498" t="s">
        <v>3250</v>
      </c>
      <c r="BE1498" t="s">
        <v>3250</v>
      </c>
      <c r="BF1498" t="s">
        <v>3250</v>
      </c>
      <c r="BG1498" t="s">
        <v>3250</v>
      </c>
      <c r="BH1498" t="s">
        <v>3250</v>
      </c>
      <c r="BI1498" t="s">
        <v>3250</v>
      </c>
      <c r="BK1498" t="s">
        <v>3250</v>
      </c>
      <c r="BL1498" t="s">
        <v>3250</v>
      </c>
      <c r="BM1498" t="s">
        <v>3250</v>
      </c>
      <c r="BN1498" t="s">
        <v>3250</v>
      </c>
      <c r="BP1498">
        <v>1</v>
      </c>
      <c r="BQ1498">
        <v>14</v>
      </c>
      <c r="BR1498" t="s">
        <v>2370</v>
      </c>
      <c r="BS1498" t="s">
        <v>3252</v>
      </c>
      <c r="BV1498">
        <v>12398</v>
      </c>
      <c r="BW1498">
        <v>142237</v>
      </c>
      <c r="BX1498">
        <v>0</v>
      </c>
      <c r="BY1498">
        <v>150000</v>
      </c>
      <c r="BZ1498">
        <v>150000</v>
      </c>
      <c r="CA1498">
        <v>155850</v>
      </c>
      <c r="CB1498">
        <v>162084</v>
      </c>
      <c r="CC1498">
        <v>168567</v>
      </c>
      <c r="CD1498">
        <v>70831</v>
      </c>
      <c r="CE1498" t="s">
        <v>3108</v>
      </c>
      <c r="CF1498" t="s">
        <v>3108</v>
      </c>
      <c r="CG1498" t="s">
        <v>3108</v>
      </c>
      <c r="CH1498" t="s">
        <v>3108</v>
      </c>
    </row>
    <row r="1499" spans="1:86" x14ac:dyDescent="0.2">
      <c r="A1499" t="s">
        <v>5446</v>
      </c>
      <c r="B1499" t="s">
        <v>5446</v>
      </c>
      <c r="C1499">
        <v>54481</v>
      </c>
      <c r="D1499">
        <v>1613</v>
      </c>
      <c r="E1499" t="s">
        <v>4596</v>
      </c>
      <c r="F1499">
        <v>2900</v>
      </c>
      <c r="G1499" t="s">
        <v>822</v>
      </c>
      <c r="H1499" t="s">
        <v>3108</v>
      </c>
      <c r="I1499" t="s">
        <v>3108</v>
      </c>
      <c r="J1499">
        <v>2904</v>
      </c>
      <c r="K1499" t="s">
        <v>1690</v>
      </c>
      <c r="L1499">
        <v>1200</v>
      </c>
      <c r="M1499" t="s">
        <v>2368</v>
      </c>
      <c r="N1499">
        <v>1201</v>
      </c>
      <c r="O1499" t="s">
        <v>2370</v>
      </c>
      <c r="P1499" t="s">
        <v>3108</v>
      </c>
      <c r="Q1499" t="s">
        <v>3249</v>
      </c>
      <c r="R1499" t="s">
        <v>3249</v>
      </c>
      <c r="S1499" t="s">
        <v>810</v>
      </c>
      <c r="T1499" t="s">
        <v>2754</v>
      </c>
      <c r="U1499" t="s">
        <v>3250</v>
      </c>
      <c r="V1499" t="s">
        <v>3250</v>
      </c>
      <c r="W1499" t="s">
        <v>3250</v>
      </c>
      <c r="X1499" t="s">
        <v>3250</v>
      </c>
      <c r="Y1499" t="s">
        <v>3250</v>
      </c>
      <c r="Z1499" t="s">
        <v>3250</v>
      </c>
      <c r="AA1499" t="s">
        <v>3108</v>
      </c>
      <c r="AB1499" t="s">
        <v>3108</v>
      </c>
      <c r="AC1499" t="s">
        <v>3250</v>
      </c>
      <c r="AD1499" t="s">
        <v>3250</v>
      </c>
      <c r="AE1499" t="s">
        <v>3250</v>
      </c>
      <c r="AF1499" t="s">
        <v>3250</v>
      </c>
      <c r="AG1499" t="s">
        <v>3250</v>
      </c>
      <c r="AH1499" t="s">
        <v>3250</v>
      </c>
      <c r="AI1499" t="s">
        <v>3250</v>
      </c>
      <c r="AJ1499" t="s">
        <v>3250</v>
      </c>
      <c r="AL1499" t="s">
        <v>3250</v>
      </c>
      <c r="AM1499" t="s">
        <v>3250</v>
      </c>
      <c r="AN1499" t="s">
        <v>3250</v>
      </c>
      <c r="AO1499" t="s">
        <v>3250</v>
      </c>
      <c r="AS1499" t="s">
        <v>3250</v>
      </c>
      <c r="AT1499" t="s">
        <v>3250</v>
      </c>
      <c r="AU1499" t="s">
        <v>3250</v>
      </c>
      <c r="AV1499" t="s">
        <v>3250</v>
      </c>
      <c r="AW1499" t="s">
        <v>3250</v>
      </c>
      <c r="AX1499" t="s">
        <v>3250</v>
      </c>
      <c r="AY1499" t="s">
        <v>3250</v>
      </c>
      <c r="AZ1499" t="s">
        <v>3250</v>
      </c>
      <c r="BA1499" t="s">
        <v>3250</v>
      </c>
      <c r="BB1499" t="s">
        <v>3250</v>
      </c>
      <c r="BC1499" t="s">
        <v>3250</v>
      </c>
      <c r="BE1499" t="s">
        <v>3250</v>
      </c>
      <c r="BF1499" t="s">
        <v>3250</v>
      </c>
      <c r="BG1499" t="s">
        <v>3250</v>
      </c>
      <c r="BH1499" t="s">
        <v>3250</v>
      </c>
      <c r="BI1499" t="s">
        <v>3250</v>
      </c>
      <c r="BK1499" t="s">
        <v>3250</v>
      </c>
      <c r="BL1499" t="s">
        <v>3250</v>
      </c>
      <c r="BM1499" t="s">
        <v>3250</v>
      </c>
      <c r="BN1499" t="s">
        <v>3250</v>
      </c>
      <c r="BP1499">
        <v>1</v>
      </c>
      <c r="BQ1499">
        <v>14</v>
      </c>
      <c r="BR1499" t="s">
        <v>2370</v>
      </c>
      <c r="BS1499" t="s">
        <v>3252</v>
      </c>
      <c r="BV1499">
        <v>0</v>
      </c>
      <c r="BW1499">
        <v>0</v>
      </c>
      <c r="BX1499">
        <v>0</v>
      </c>
      <c r="BY1499">
        <v>0</v>
      </c>
      <c r="BZ1499">
        <v>0</v>
      </c>
      <c r="CA1499">
        <v>0</v>
      </c>
      <c r="CB1499">
        <v>0</v>
      </c>
      <c r="CC1499">
        <v>0</v>
      </c>
      <c r="CD1499">
        <v>0</v>
      </c>
      <c r="CE1499" t="s">
        <v>3108</v>
      </c>
      <c r="CF1499" t="s">
        <v>3108</v>
      </c>
      <c r="CG1499" t="s">
        <v>3108</v>
      </c>
      <c r="CH1499" t="s">
        <v>3108</v>
      </c>
    </row>
    <row r="1500" spans="1:86" x14ac:dyDescent="0.2">
      <c r="A1500" t="s">
        <v>5447</v>
      </c>
      <c r="B1500" t="s">
        <v>5447</v>
      </c>
      <c r="C1500">
        <v>54482</v>
      </c>
      <c r="D1500">
        <v>1614</v>
      </c>
      <c r="E1500" t="s">
        <v>4488</v>
      </c>
      <c r="F1500">
        <v>2900</v>
      </c>
      <c r="G1500" t="s">
        <v>822</v>
      </c>
      <c r="H1500" t="s">
        <v>3108</v>
      </c>
      <c r="I1500" t="s">
        <v>3108</v>
      </c>
      <c r="J1500">
        <v>2904</v>
      </c>
      <c r="K1500" t="s">
        <v>1690</v>
      </c>
      <c r="L1500">
        <v>1200</v>
      </c>
      <c r="M1500" t="s">
        <v>2368</v>
      </c>
      <c r="N1500">
        <v>1201</v>
      </c>
      <c r="O1500" t="s">
        <v>2370</v>
      </c>
      <c r="P1500" t="s">
        <v>3108</v>
      </c>
      <c r="Q1500" t="s">
        <v>3249</v>
      </c>
      <c r="R1500" t="s">
        <v>3249</v>
      </c>
      <c r="S1500" t="s">
        <v>810</v>
      </c>
      <c r="T1500" t="s">
        <v>2754</v>
      </c>
      <c r="U1500" t="s">
        <v>3250</v>
      </c>
      <c r="V1500" t="s">
        <v>3250</v>
      </c>
      <c r="W1500" t="s">
        <v>3250</v>
      </c>
      <c r="X1500" t="s">
        <v>3250</v>
      </c>
      <c r="Y1500" t="s">
        <v>3250</v>
      </c>
      <c r="Z1500" t="s">
        <v>3250</v>
      </c>
      <c r="AA1500" t="s">
        <v>3108</v>
      </c>
      <c r="AB1500" t="s">
        <v>3108</v>
      </c>
      <c r="AC1500" t="s">
        <v>3250</v>
      </c>
      <c r="AD1500" t="s">
        <v>3250</v>
      </c>
      <c r="AE1500" t="s">
        <v>3250</v>
      </c>
      <c r="AF1500" t="s">
        <v>3250</v>
      </c>
      <c r="AG1500" t="s">
        <v>3250</v>
      </c>
      <c r="AH1500" t="s">
        <v>3250</v>
      </c>
      <c r="AI1500" t="s">
        <v>3250</v>
      </c>
      <c r="AJ1500" t="s">
        <v>3250</v>
      </c>
      <c r="AL1500" t="s">
        <v>3250</v>
      </c>
      <c r="AM1500" t="s">
        <v>3250</v>
      </c>
      <c r="AN1500" t="s">
        <v>3250</v>
      </c>
      <c r="AO1500" t="s">
        <v>3250</v>
      </c>
      <c r="AS1500" t="s">
        <v>3250</v>
      </c>
      <c r="AT1500" t="s">
        <v>3250</v>
      </c>
      <c r="AU1500" t="s">
        <v>3250</v>
      </c>
      <c r="AV1500" t="s">
        <v>3250</v>
      </c>
      <c r="AW1500" t="s">
        <v>3250</v>
      </c>
      <c r="AX1500" t="s">
        <v>3250</v>
      </c>
      <c r="AY1500" t="s">
        <v>3250</v>
      </c>
      <c r="AZ1500" t="s">
        <v>3250</v>
      </c>
      <c r="BA1500" t="s">
        <v>3250</v>
      </c>
      <c r="BB1500" t="s">
        <v>3250</v>
      </c>
      <c r="BC1500" t="s">
        <v>3250</v>
      </c>
      <c r="BE1500" t="s">
        <v>3250</v>
      </c>
      <c r="BF1500" t="s">
        <v>3250</v>
      </c>
      <c r="BG1500" t="s">
        <v>3250</v>
      </c>
      <c r="BH1500" t="s">
        <v>3250</v>
      </c>
      <c r="BI1500" t="s">
        <v>3250</v>
      </c>
      <c r="BK1500" t="s">
        <v>3250</v>
      </c>
      <c r="BL1500" t="s">
        <v>3250</v>
      </c>
      <c r="BM1500" t="s">
        <v>3250</v>
      </c>
      <c r="BN1500" t="s">
        <v>3250</v>
      </c>
      <c r="BP1500">
        <v>1</v>
      </c>
      <c r="BQ1500">
        <v>14</v>
      </c>
      <c r="BR1500" t="s">
        <v>2370</v>
      </c>
      <c r="BS1500" t="s">
        <v>3252</v>
      </c>
      <c r="BV1500">
        <v>342166</v>
      </c>
      <c r="BW1500">
        <v>9552</v>
      </c>
      <c r="BX1500">
        <v>13104</v>
      </c>
      <c r="BY1500">
        <v>450000</v>
      </c>
      <c r="BZ1500">
        <v>450000</v>
      </c>
      <c r="CA1500">
        <v>467550</v>
      </c>
      <c r="CB1500">
        <v>486252</v>
      </c>
      <c r="CC1500">
        <v>505702</v>
      </c>
      <c r="CD1500">
        <v>267192</v>
      </c>
      <c r="CE1500" t="s">
        <v>3108</v>
      </c>
      <c r="CF1500" t="s">
        <v>3108</v>
      </c>
      <c r="CG1500" t="s">
        <v>3108</v>
      </c>
      <c r="CH1500" t="s">
        <v>3108</v>
      </c>
    </row>
    <row r="1501" spans="1:86" x14ac:dyDescent="0.2">
      <c r="A1501" t="s">
        <v>5448</v>
      </c>
      <c r="B1501" t="s">
        <v>5448</v>
      </c>
      <c r="C1501">
        <v>54483</v>
      </c>
      <c r="D1501">
        <v>1615</v>
      </c>
      <c r="E1501" t="s">
        <v>5449</v>
      </c>
      <c r="F1501">
        <v>2700</v>
      </c>
      <c r="G1501" t="s">
        <v>411</v>
      </c>
      <c r="H1501" t="s">
        <v>4004</v>
      </c>
      <c r="I1501" t="s">
        <v>2531</v>
      </c>
      <c r="J1501">
        <v>2701</v>
      </c>
      <c r="K1501" t="s">
        <v>2531</v>
      </c>
      <c r="L1501">
        <v>2300</v>
      </c>
      <c r="M1501" t="s">
        <v>125</v>
      </c>
      <c r="N1501">
        <v>2305</v>
      </c>
      <c r="O1501" t="s">
        <v>2394</v>
      </c>
      <c r="P1501" t="s">
        <v>3108</v>
      </c>
      <c r="Q1501" t="s">
        <v>3249</v>
      </c>
      <c r="R1501" t="s">
        <v>3249</v>
      </c>
      <c r="S1501" t="s">
        <v>810</v>
      </c>
      <c r="T1501" t="s">
        <v>2754</v>
      </c>
      <c r="U1501" t="s">
        <v>3250</v>
      </c>
      <c r="V1501" t="s">
        <v>3250</v>
      </c>
      <c r="W1501" t="s">
        <v>3250</v>
      </c>
      <c r="X1501" t="s">
        <v>3250</v>
      </c>
      <c r="Y1501" t="s">
        <v>3250</v>
      </c>
      <c r="Z1501" t="s">
        <v>3250</v>
      </c>
      <c r="AA1501" t="s">
        <v>3108</v>
      </c>
      <c r="AB1501" t="s">
        <v>3108</v>
      </c>
      <c r="AC1501" t="s">
        <v>3250</v>
      </c>
      <c r="AD1501" t="s">
        <v>3250</v>
      </c>
      <c r="AE1501" t="s">
        <v>3250</v>
      </c>
      <c r="AF1501" t="s">
        <v>3250</v>
      </c>
      <c r="AG1501" t="s">
        <v>3250</v>
      </c>
      <c r="AH1501" t="s">
        <v>3250</v>
      </c>
      <c r="AI1501" t="s">
        <v>3250</v>
      </c>
      <c r="AJ1501" t="s">
        <v>3250</v>
      </c>
      <c r="AL1501" t="s">
        <v>3250</v>
      </c>
      <c r="AM1501" t="s">
        <v>3250</v>
      </c>
      <c r="AN1501" t="s">
        <v>3250</v>
      </c>
      <c r="AO1501" t="s">
        <v>3250</v>
      </c>
      <c r="AS1501" t="s">
        <v>3250</v>
      </c>
      <c r="AT1501" t="s">
        <v>3250</v>
      </c>
      <c r="AU1501" t="s">
        <v>3250</v>
      </c>
      <c r="AV1501" t="s">
        <v>3250</v>
      </c>
      <c r="AW1501" t="s">
        <v>3250</v>
      </c>
      <c r="AX1501" t="s">
        <v>3250</v>
      </c>
      <c r="AY1501" t="s">
        <v>3250</v>
      </c>
      <c r="AZ1501" t="s">
        <v>3250</v>
      </c>
      <c r="BA1501" t="s">
        <v>3250</v>
      </c>
      <c r="BB1501" t="s">
        <v>3250</v>
      </c>
      <c r="BC1501" t="s">
        <v>3250</v>
      </c>
      <c r="BE1501" t="s">
        <v>3250</v>
      </c>
      <c r="BF1501" t="s">
        <v>3250</v>
      </c>
      <c r="BG1501" t="s">
        <v>3250</v>
      </c>
      <c r="BH1501" t="s">
        <v>3250</v>
      </c>
      <c r="BI1501" t="s">
        <v>3250</v>
      </c>
      <c r="BK1501" t="s">
        <v>3250</v>
      </c>
      <c r="BL1501" t="s">
        <v>3250</v>
      </c>
      <c r="BM1501" t="s">
        <v>3250</v>
      </c>
      <c r="BN1501" t="s">
        <v>3250</v>
      </c>
      <c r="BP1501">
        <v>10</v>
      </c>
      <c r="BQ1501">
        <v>101</v>
      </c>
      <c r="BR1501" t="s">
        <v>2394</v>
      </c>
      <c r="BS1501" t="s">
        <v>5450</v>
      </c>
      <c r="BV1501">
        <v>1704</v>
      </c>
      <c r="BW1501">
        <v>0</v>
      </c>
      <c r="BX1501">
        <v>0</v>
      </c>
      <c r="BY1501">
        <v>0</v>
      </c>
      <c r="BZ1501">
        <v>0</v>
      </c>
      <c r="CA1501">
        <v>0</v>
      </c>
      <c r="CB1501">
        <v>0</v>
      </c>
      <c r="CC1501">
        <v>0</v>
      </c>
      <c r="CD1501">
        <v>0</v>
      </c>
      <c r="CE1501" t="s">
        <v>3108</v>
      </c>
      <c r="CF1501" t="s">
        <v>3108</v>
      </c>
      <c r="CG1501" t="s">
        <v>3108</v>
      </c>
      <c r="CH1501" t="s">
        <v>3108</v>
      </c>
    </row>
    <row r="1502" spans="1:86" x14ac:dyDescent="0.2">
      <c r="A1502" t="s">
        <v>5451</v>
      </c>
      <c r="B1502" t="s">
        <v>5451</v>
      </c>
      <c r="C1502">
        <v>54484</v>
      </c>
      <c r="D1502">
        <v>1616</v>
      </c>
      <c r="E1502" t="s">
        <v>4615</v>
      </c>
      <c r="F1502">
        <v>2700</v>
      </c>
      <c r="G1502" t="s">
        <v>411</v>
      </c>
      <c r="H1502" t="s">
        <v>4004</v>
      </c>
      <c r="I1502" t="s">
        <v>2531</v>
      </c>
      <c r="J1502">
        <v>2701</v>
      </c>
      <c r="K1502" t="s">
        <v>2531</v>
      </c>
      <c r="L1502">
        <v>2300</v>
      </c>
      <c r="M1502" t="s">
        <v>125</v>
      </c>
      <c r="N1502">
        <v>2305</v>
      </c>
      <c r="O1502" t="s">
        <v>2394</v>
      </c>
      <c r="P1502" t="s">
        <v>3108</v>
      </c>
      <c r="Q1502" t="s">
        <v>3249</v>
      </c>
      <c r="R1502" t="s">
        <v>3249</v>
      </c>
      <c r="S1502" t="s">
        <v>810</v>
      </c>
      <c r="T1502" t="s">
        <v>2754</v>
      </c>
      <c r="U1502" t="s">
        <v>3250</v>
      </c>
      <c r="V1502" t="s">
        <v>3250</v>
      </c>
      <c r="W1502" t="s">
        <v>3250</v>
      </c>
      <c r="X1502" t="s">
        <v>3250</v>
      </c>
      <c r="Y1502" t="s">
        <v>3250</v>
      </c>
      <c r="Z1502" t="s">
        <v>3250</v>
      </c>
      <c r="AA1502" t="s">
        <v>3108</v>
      </c>
      <c r="AB1502" t="s">
        <v>3108</v>
      </c>
      <c r="AC1502" t="s">
        <v>3250</v>
      </c>
      <c r="AD1502" t="s">
        <v>3250</v>
      </c>
      <c r="AE1502" t="s">
        <v>3250</v>
      </c>
      <c r="AF1502" t="s">
        <v>3250</v>
      </c>
      <c r="AG1502" t="s">
        <v>3250</v>
      </c>
      <c r="AH1502" t="s">
        <v>3250</v>
      </c>
      <c r="AI1502" t="s">
        <v>3250</v>
      </c>
      <c r="AJ1502" t="s">
        <v>3250</v>
      </c>
      <c r="AL1502" t="s">
        <v>3250</v>
      </c>
      <c r="AM1502" t="s">
        <v>3250</v>
      </c>
      <c r="AN1502" t="s">
        <v>3250</v>
      </c>
      <c r="AO1502" t="s">
        <v>3250</v>
      </c>
      <c r="AS1502" t="s">
        <v>3250</v>
      </c>
      <c r="AT1502" t="s">
        <v>3250</v>
      </c>
      <c r="AU1502" t="s">
        <v>3250</v>
      </c>
      <c r="AV1502" t="s">
        <v>3250</v>
      </c>
      <c r="AW1502" t="s">
        <v>3250</v>
      </c>
      <c r="AX1502" t="s">
        <v>3250</v>
      </c>
      <c r="AY1502" t="s">
        <v>3250</v>
      </c>
      <c r="AZ1502" t="s">
        <v>3250</v>
      </c>
      <c r="BA1502" t="s">
        <v>3250</v>
      </c>
      <c r="BB1502" t="s">
        <v>3250</v>
      </c>
      <c r="BC1502" t="s">
        <v>3250</v>
      </c>
      <c r="BE1502" t="s">
        <v>3250</v>
      </c>
      <c r="BF1502" t="s">
        <v>3250</v>
      </c>
      <c r="BG1502" t="s">
        <v>3250</v>
      </c>
      <c r="BH1502" t="s">
        <v>3250</v>
      </c>
      <c r="BI1502" t="s">
        <v>3250</v>
      </c>
      <c r="BK1502" t="s">
        <v>3250</v>
      </c>
      <c r="BL1502" t="s">
        <v>3250</v>
      </c>
      <c r="BM1502" t="s">
        <v>3250</v>
      </c>
      <c r="BN1502" t="s">
        <v>3250</v>
      </c>
      <c r="BP1502">
        <v>10</v>
      </c>
      <c r="BQ1502">
        <v>101</v>
      </c>
      <c r="BR1502" t="s">
        <v>2394</v>
      </c>
      <c r="BS1502" t="s">
        <v>5450</v>
      </c>
      <c r="BV1502">
        <v>0</v>
      </c>
      <c r="BW1502">
        <v>0</v>
      </c>
      <c r="BX1502">
        <v>0</v>
      </c>
      <c r="BY1502">
        <v>15000</v>
      </c>
      <c r="BZ1502">
        <v>0</v>
      </c>
      <c r="CA1502">
        <v>0</v>
      </c>
      <c r="CB1502">
        <v>0</v>
      </c>
      <c r="CC1502">
        <v>0</v>
      </c>
      <c r="CD1502">
        <v>0</v>
      </c>
      <c r="CE1502" t="s">
        <v>3108</v>
      </c>
      <c r="CF1502" t="s">
        <v>3108</v>
      </c>
      <c r="CG1502" t="s">
        <v>3108</v>
      </c>
      <c r="CH1502" t="s">
        <v>3108</v>
      </c>
    </row>
    <row r="1503" spans="1:86" x14ac:dyDescent="0.2">
      <c r="A1503" t="s">
        <v>5452</v>
      </c>
      <c r="B1503" t="s">
        <v>5452</v>
      </c>
      <c r="C1503">
        <v>54485</v>
      </c>
      <c r="D1503">
        <v>1617</v>
      </c>
      <c r="E1503" t="s">
        <v>4401</v>
      </c>
      <c r="F1503">
        <v>2700</v>
      </c>
      <c r="G1503" t="s">
        <v>411</v>
      </c>
      <c r="H1503" t="s">
        <v>3837</v>
      </c>
      <c r="I1503" t="s">
        <v>2532</v>
      </c>
      <c r="J1503">
        <v>2702</v>
      </c>
      <c r="K1503" t="s">
        <v>2532</v>
      </c>
      <c r="L1503">
        <v>2300</v>
      </c>
      <c r="M1503" t="s">
        <v>125</v>
      </c>
      <c r="N1503">
        <v>2305</v>
      </c>
      <c r="O1503" t="s">
        <v>2394</v>
      </c>
      <c r="P1503" t="s">
        <v>3108</v>
      </c>
      <c r="Q1503" t="s">
        <v>3249</v>
      </c>
      <c r="R1503" t="s">
        <v>3249</v>
      </c>
      <c r="S1503" t="s">
        <v>810</v>
      </c>
      <c r="T1503" t="s">
        <v>2754</v>
      </c>
      <c r="U1503" t="s">
        <v>3250</v>
      </c>
      <c r="V1503" t="s">
        <v>3250</v>
      </c>
      <c r="W1503" t="s">
        <v>3250</v>
      </c>
      <c r="X1503" t="s">
        <v>3250</v>
      </c>
      <c r="Y1503" t="s">
        <v>3250</v>
      </c>
      <c r="Z1503" t="s">
        <v>3250</v>
      </c>
      <c r="AA1503" t="s">
        <v>3108</v>
      </c>
      <c r="AB1503" t="s">
        <v>3108</v>
      </c>
      <c r="AC1503" t="s">
        <v>3250</v>
      </c>
      <c r="AD1503" t="s">
        <v>3250</v>
      </c>
      <c r="AE1503" t="s">
        <v>3250</v>
      </c>
      <c r="AF1503" t="s">
        <v>3250</v>
      </c>
      <c r="AG1503" t="s">
        <v>3250</v>
      </c>
      <c r="AH1503" t="s">
        <v>3250</v>
      </c>
      <c r="AI1503" t="s">
        <v>3250</v>
      </c>
      <c r="AJ1503" t="s">
        <v>3250</v>
      </c>
      <c r="AL1503" t="s">
        <v>3250</v>
      </c>
      <c r="AM1503" t="s">
        <v>3250</v>
      </c>
      <c r="AN1503" t="s">
        <v>3250</v>
      </c>
      <c r="AO1503" t="s">
        <v>3250</v>
      </c>
      <c r="AS1503" t="s">
        <v>3250</v>
      </c>
      <c r="AT1503" t="s">
        <v>3250</v>
      </c>
      <c r="AU1503" t="s">
        <v>3250</v>
      </c>
      <c r="AV1503" t="s">
        <v>3250</v>
      </c>
      <c r="AW1503" t="s">
        <v>3250</v>
      </c>
      <c r="AX1503" t="s">
        <v>3250</v>
      </c>
      <c r="AY1503" t="s">
        <v>3250</v>
      </c>
      <c r="AZ1503" t="s">
        <v>3250</v>
      </c>
      <c r="BA1503" t="s">
        <v>3250</v>
      </c>
      <c r="BB1503" t="s">
        <v>3250</v>
      </c>
      <c r="BC1503" t="s">
        <v>3250</v>
      </c>
      <c r="BE1503" t="s">
        <v>3250</v>
      </c>
      <c r="BF1503" t="s">
        <v>3250</v>
      </c>
      <c r="BG1503" t="s">
        <v>3250</v>
      </c>
      <c r="BH1503" t="s">
        <v>3250</v>
      </c>
      <c r="BI1503" t="s">
        <v>3250</v>
      </c>
      <c r="BK1503" t="s">
        <v>3250</v>
      </c>
      <c r="BL1503" t="s">
        <v>3250</v>
      </c>
      <c r="BM1503" t="s">
        <v>3250</v>
      </c>
      <c r="BN1503" t="s">
        <v>3250</v>
      </c>
      <c r="BP1503">
        <v>10</v>
      </c>
      <c r="BQ1503">
        <v>101</v>
      </c>
      <c r="BR1503" t="s">
        <v>2394</v>
      </c>
      <c r="BS1503" t="s">
        <v>5450</v>
      </c>
      <c r="BV1503">
        <v>0</v>
      </c>
      <c r="BW1503">
        <v>0</v>
      </c>
      <c r="BX1503">
        <v>0</v>
      </c>
      <c r="BY1503">
        <v>0</v>
      </c>
      <c r="BZ1503">
        <v>0</v>
      </c>
      <c r="CA1503">
        <v>0</v>
      </c>
      <c r="CB1503">
        <v>0</v>
      </c>
      <c r="CC1503">
        <v>0</v>
      </c>
      <c r="CD1503">
        <v>0</v>
      </c>
      <c r="CE1503" t="s">
        <v>3108</v>
      </c>
      <c r="CF1503" t="s">
        <v>3108</v>
      </c>
      <c r="CG1503" t="s">
        <v>3108</v>
      </c>
      <c r="CH1503" t="s">
        <v>3108</v>
      </c>
    </row>
    <row r="1504" spans="1:86" x14ac:dyDescent="0.2">
      <c r="A1504" t="s">
        <v>5453</v>
      </c>
      <c r="B1504" t="s">
        <v>5453</v>
      </c>
      <c r="C1504">
        <v>54486</v>
      </c>
      <c r="D1504">
        <v>1618</v>
      </c>
      <c r="E1504" t="s">
        <v>5454</v>
      </c>
      <c r="F1504">
        <v>2700</v>
      </c>
      <c r="G1504" t="s">
        <v>411</v>
      </c>
      <c r="H1504" t="s">
        <v>3837</v>
      </c>
      <c r="I1504" t="s">
        <v>2532</v>
      </c>
      <c r="J1504">
        <v>2702</v>
      </c>
      <c r="K1504" t="s">
        <v>2532</v>
      </c>
      <c r="L1504">
        <v>2300</v>
      </c>
      <c r="M1504" t="s">
        <v>125</v>
      </c>
      <c r="N1504">
        <v>2305</v>
      </c>
      <c r="O1504" t="s">
        <v>2394</v>
      </c>
      <c r="P1504" t="s">
        <v>3108</v>
      </c>
      <c r="Q1504" t="s">
        <v>3249</v>
      </c>
      <c r="R1504" t="s">
        <v>3249</v>
      </c>
      <c r="S1504" t="s">
        <v>810</v>
      </c>
      <c r="T1504" t="s">
        <v>2754</v>
      </c>
      <c r="U1504" t="s">
        <v>3250</v>
      </c>
      <c r="V1504" t="s">
        <v>3250</v>
      </c>
      <c r="W1504" t="s">
        <v>3250</v>
      </c>
      <c r="X1504" t="s">
        <v>3250</v>
      </c>
      <c r="Y1504" t="s">
        <v>3250</v>
      </c>
      <c r="Z1504" t="s">
        <v>3250</v>
      </c>
      <c r="AA1504" t="s">
        <v>3108</v>
      </c>
      <c r="AB1504" t="s">
        <v>3108</v>
      </c>
      <c r="AC1504" t="s">
        <v>3250</v>
      </c>
      <c r="AD1504" t="s">
        <v>3250</v>
      </c>
      <c r="AE1504" t="s">
        <v>3250</v>
      </c>
      <c r="AF1504" t="s">
        <v>3250</v>
      </c>
      <c r="AG1504" t="s">
        <v>3250</v>
      </c>
      <c r="AH1504" t="s">
        <v>3250</v>
      </c>
      <c r="AI1504" t="s">
        <v>3250</v>
      </c>
      <c r="AJ1504" t="s">
        <v>3250</v>
      </c>
      <c r="AL1504" t="s">
        <v>3250</v>
      </c>
      <c r="AM1504" t="s">
        <v>3250</v>
      </c>
      <c r="AN1504" t="s">
        <v>3250</v>
      </c>
      <c r="AO1504" t="s">
        <v>3250</v>
      </c>
      <c r="AS1504" t="s">
        <v>3250</v>
      </c>
      <c r="AT1504" t="s">
        <v>3250</v>
      </c>
      <c r="AU1504" t="s">
        <v>3250</v>
      </c>
      <c r="AV1504" t="s">
        <v>3250</v>
      </c>
      <c r="AW1504" t="s">
        <v>3250</v>
      </c>
      <c r="AX1504" t="s">
        <v>3250</v>
      </c>
      <c r="AY1504" t="s">
        <v>3250</v>
      </c>
      <c r="AZ1504" t="s">
        <v>3250</v>
      </c>
      <c r="BA1504" t="s">
        <v>3250</v>
      </c>
      <c r="BB1504" t="s">
        <v>3250</v>
      </c>
      <c r="BC1504" t="s">
        <v>3250</v>
      </c>
      <c r="BE1504" t="s">
        <v>3250</v>
      </c>
      <c r="BF1504" t="s">
        <v>3250</v>
      </c>
      <c r="BG1504" t="s">
        <v>3250</v>
      </c>
      <c r="BH1504" t="s">
        <v>3250</v>
      </c>
      <c r="BI1504" t="s">
        <v>3250</v>
      </c>
      <c r="BK1504" t="s">
        <v>3250</v>
      </c>
      <c r="BL1504" t="s">
        <v>3250</v>
      </c>
      <c r="BM1504" t="s">
        <v>3250</v>
      </c>
      <c r="BN1504" t="s">
        <v>3250</v>
      </c>
      <c r="BP1504">
        <v>10</v>
      </c>
      <c r="BQ1504">
        <v>101</v>
      </c>
      <c r="BR1504" t="s">
        <v>2394</v>
      </c>
      <c r="BS1504" t="s">
        <v>5450</v>
      </c>
      <c r="BV1504">
        <v>0</v>
      </c>
      <c r="BW1504">
        <v>0</v>
      </c>
      <c r="BX1504">
        <v>0</v>
      </c>
      <c r="BY1504">
        <v>0</v>
      </c>
      <c r="BZ1504">
        <v>0</v>
      </c>
      <c r="CA1504">
        <v>0</v>
      </c>
      <c r="CB1504">
        <v>0</v>
      </c>
      <c r="CC1504">
        <v>0</v>
      </c>
      <c r="CD1504">
        <v>0</v>
      </c>
      <c r="CE1504" t="s">
        <v>3108</v>
      </c>
      <c r="CF1504" t="s">
        <v>3108</v>
      </c>
      <c r="CG1504" t="s">
        <v>3108</v>
      </c>
      <c r="CH1504" t="s">
        <v>3108</v>
      </c>
    </row>
    <row r="1505" spans="1:86" x14ac:dyDescent="0.2">
      <c r="A1505" t="s">
        <v>5455</v>
      </c>
      <c r="B1505" t="s">
        <v>5455</v>
      </c>
      <c r="C1505">
        <v>54487</v>
      </c>
      <c r="D1505">
        <v>1619</v>
      </c>
      <c r="E1505" t="s">
        <v>4047</v>
      </c>
      <c r="F1505">
        <v>2600</v>
      </c>
      <c r="G1505" t="s">
        <v>1334</v>
      </c>
      <c r="H1505">
        <v>2600</v>
      </c>
      <c r="I1505" t="s">
        <v>1334</v>
      </c>
      <c r="J1505" t="s">
        <v>3250</v>
      </c>
      <c r="K1505" t="s">
        <v>3250</v>
      </c>
      <c r="L1505">
        <v>1100</v>
      </c>
      <c r="M1505" t="s">
        <v>119</v>
      </c>
      <c r="N1505">
        <v>1120</v>
      </c>
      <c r="O1505" t="s">
        <v>2367</v>
      </c>
      <c r="P1505" t="s">
        <v>3108</v>
      </c>
      <c r="Q1505" t="s">
        <v>3249</v>
      </c>
      <c r="R1505" t="s">
        <v>3249</v>
      </c>
      <c r="S1505" t="s">
        <v>810</v>
      </c>
      <c r="T1505" t="s">
        <v>2754</v>
      </c>
      <c r="U1505" t="s">
        <v>3250</v>
      </c>
      <c r="V1505" t="s">
        <v>3250</v>
      </c>
      <c r="W1505" t="s">
        <v>3250</v>
      </c>
      <c r="X1505" t="s">
        <v>3250</v>
      </c>
      <c r="Y1505" t="s">
        <v>3250</v>
      </c>
      <c r="Z1505" t="s">
        <v>3250</v>
      </c>
      <c r="AA1505" t="s">
        <v>3108</v>
      </c>
      <c r="AB1505" t="s">
        <v>3108</v>
      </c>
      <c r="AC1505" t="s">
        <v>3250</v>
      </c>
      <c r="AD1505" t="s">
        <v>3250</v>
      </c>
      <c r="AE1505" t="s">
        <v>3250</v>
      </c>
      <c r="AF1505" t="s">
        <v>3250</v>
      </c>
      <c r="AG1505" t="s">
        <v>3250</v>
      </c>
      <c r="AH1505" t="s">
        <v>3250</v>
      </c>
      <c r="AI1505" t="s">
        <v>3250</v>
      </c>
      <c r="AJ1505" t="s">
        <v>3250</v>
      </c>
      <c r="AL1505" t="s">
        <v>3250</v>
      </c>
      <c r="AM1505" t="s">
        <v>3250</v>
      </c>
      <c r="AN1505" t="s">
        <v>3250</v>
      </c>
      <c r="AO1505" t="s">
        <v>3250</v>
      </c>
      <c r="AS1505" t="s">
        <v>3250</v>
      </c>
      <c r="AT1505" t="s">
        <v>3250</v>
      </c>
      <c r="AU1505" t="s">
        <v>3250</v>
      </c>
      <c r="AV1505" t="s">
        <v>3250</v>
      </c>
      <c r="AW1505" t="s">
        <v>3250</v>
      </c>
      <c r="AX1505" t="s">
        <v>3250</v>
      </c>
      <c r="AY1505" t="s">
        <v>3250</v>
      </c>
      <c r="AZ1505" t="s">
        <v>3250</v>
      </c>
      <c r="BA1505" t="s">
        <v>3250</v>
      </c>
      <c r="BB1505" t="s">
        <v>3250</v>
      </c>
      <c r="BC1505" t="s">
        <v>3250</v>
      </c>
      <c r="BE1505" t="s">
        <v>3250</v>
      </c>
      <c r="BF1505" t="s">
        <v>3250</v>
      </c>
      <c r="BG1505" t="s">
        <v>3250</v>
      </c>
      <c r="BH1505" t="s">
        <v>3250</v>
      </c>
      <c r="BI1505" t="s">
        <v>3250</v>
      </c>
      <c r="BK1505" t="s">
        <v>3250</v>
      </c>
      <c r="BL1505" t="s">
        <v>3250</v>
      </c>
      <c r="BM1505" t="s">
        <v>3250</v>
      </c>
      <c r="BN1505" t="s">
        <v>3250</v>
      </c>
      <c r="BP1505">
        <v>3</v>
      </c>
      <c r="BQ1505">
        <v>31</v>
      </c>
      <c r="BR1505" t="s">
        <v>2367</v>
      </c>
      <c r="BS1505" t="s">
        <v>4381</v>
      </c>
      <c r="BV1505">
        <v>139990</v>
      </c>
      <c r="BW1505">
        <v>0</v>
      </c>
      <c r="BX1505">
        <v>0</v>
      </c>
      <c r="BY1505">
        <v>0</v>
      </c>
      <c r="BZ1505">
        <v>0</v>
      </c>
      <c r="CA1505">
        <v>0</v>
      </c>
      <c r="CB1505">
        <v>0</v>
      </c>
      <c r="CC1505">
        <v>0</v>
      </c>
      <c r="CD1505">
        <v>0</v>
      </c>
      <c r="CE1505" t="s">
        <v>3108</v>
      </c>
      <c r="CF1505" t="s">
        <v>3108</v>
      </c>
      <c r="CG1505" t="s">
        <v>3108</v>
      </c>
      <c r="CH1505" t="s">
        <v>3108</v>
      </c>
    </row>
    <row r="1506" spans="1:86" x14ac:dyDescent="0.2">
      <c r="A1506" t="s">
        <v>5456</v>
      </c>
      <c r="B1506" t="s">
        <v>5456</v>
      </c>
      <c r="C1506">
        <v>54488</v>
      </c>
      <c r="D1506">
        <v>1640</v>
      </c>
      <c r="E1506" t="s">
        <v>5457</v>
      </c>
      <c r="F1506">
        <v>2700</v>
      </c>
      <c r="G1506" t="s">
        <v>411</v>
      </c>
      <c r="H1506" t="s">
        <v>4004</v>
      </c>
      <c r="I1506" t="s">
        <v>2531</v>
      </c>
      <c r="J1506">
        <v>2701</v>
      </c>
      <c r="K1506" t="s">
        <v>2531</v>
      </c>
      <c r="L1506">
        <v>1100</v>
      </c>
      <c r="M1506" t="s">
        <v>119</v>
      </c>
      <c r="N1506">
        <v>1120</v>
      </c>
      <c r="O1506" t="s">
        <v>2367</v>
      </c>
      <c r="P1506" t="s">
        <v>3108</v>
      </c>
      <c r="Q1506" t="s">
        <v>3249</v>
      </c>
      <c r="R1506" t="s">
        <v>3249</v>
      </c>
      <c r="S1506" t="s">
        <v>810</v>
      </c>
      <c r="T1506" t="s">
        <v>2754</v>
      </c>
      <c r="U1506" t="s">
        <v>3250</v>
      </c>
      <c r="V1506" t="s">
        <v>3250</v>
      </c>
      <c r="W1506" t="s">
        <v>3250</v>
      </c>
      <c r="X1506" t="s">
        <v>3250</v>
      </c>
      <c r="Y1506" t="s">
        <v>3250</v>
      </c>
      <c r="Z1506" t="s">
        <v>3250</v>
      </c>
      <c r="AA1506" t="s">
        <v>3108</v>
      </c>
      <c r="AB1506" t="s">
        <v>3108</v>
      </c>
      <c r="AC1506" t="s">
        <v>3250</v>
      </c>
      <c r="AD1506" t="s">
        <v>3250</v>
      </c>
      <c r="AE1506" t="s">
        <v>3250</v>
      </c>
      <c r="AF1506" t="s">
        <v>3250</v>
      </c>
      <c r="AG1506" t="s">
        <v>3250</v>
      </c>
      <c r="AH1506" t="s">
        <v>3250</v>
      </c>
      <c r="AI1506" t="s">
        <v>3250</v>
      </c>
      <c r="AJ1506" t="s">
        <v>3250</v>
      </c>
      <c r="AL1506" t="s">
        <v>3250</v>
      </c>
      <c r="AM1506" t="s">
        <v>3250</v>
      </c>
      <c r="AN1506" t="s">
        <v>3250</v>
      </c>
      <c r="AO1506" t="s">
        <v>3250</v>
      </c>
      <c r="AS1506" t="s">
        <v>3250</v>
      </c>
      <c r="AT1506" t="s">
        <v>3250</v>
      </c>
      <c r="AU1506" t="s">
        <v>3250</v>
      </c>
      <c r="AV1506" t="s">
        <v>3250</v>
      </c>
      <c r="AW1506" t="s">
        <v>3250</v>
      </c>
      <c r="AX1506" t="s">
        <v>3250</v>
      </c>
      <c r="AY1506" t="s">
        <v>3250</v>
      </c>
      <c r="AZ1506" t="s">
        <v>3250</v>
      </c>
      <c r="BA1506" t="s">
        <v>3250</v>
      </c>
      <c r="BB1506" t="s">
        <v>3250</v>
      </c>
      <c r="BC1506" t="s">
        <v>3250</v>
      </c>
      <c r="BE1506" t="s">
        <v>3250</v>
      </c>
      <c r="BF1506" t="s">
        <v>3250</v>
      </c>
      <c r="BG1506" t="s">
        <v>3250</v>
      </c>
      <c r="BH1506" t="s">
        <v>3250</v>
      </c>
      <c r="BI1506" t="s">
        <v>3250</v>
      </c>
      <c r="BK1506" t="s">
        <v>3250</v>
      </c>
      <c r="BL1506" t="s">
        <v>3250</v>
      </c>
      <c r="BM1506" t="s">
        <v>3250</v>
      </c>
      <c r="BN1506" t="s">
        <v>3250</v>
      </c>
      <c r="BP1506">
        <v>3</v>
      </c>
      <c r="BQ1506">
        <v>31</v>
      </c>
      <c r="BR1506" t="s">
        <v>2367</v>
      </c>
      <c r="BS1506" t="s">
        <v>4381</v>
      </c>
      <c r="BV1506">
        <v>0</v>
      </c>
      <c r="BW1506">
        <v>0</v>
      </c>
      <c r="BX1506">
        <v>0</v>
      </c>
      <c r="BY1506">
        <v>0</v>
      </c>
      <c r="BZ1506">
        <v>0</v>
      </c>
      <c r="CA1506">
        <v>0</v>
      </c>
      <c r="CB1506">
        <v>0</v>
      </c>
      <c r="CC1506">
        <v>0</v>
      </c>
      <c r="CD1506">
        <v>0</v>
      </c>
      <c r="CE1506" t="s">
        <v>3108</v>
      </c>
      <c r="CF1506" t="s">
        <v>3108</v>
      </c>
      <c r="CG1506" t="s">
        <v>3108</v>
      </c>
      <c r="CH1506" t="s">
        <v>3108</v>
      </c>
    </row>
    <row r="1507" spans="1:86" x14ac:dyDescent="0.2">
      <c r="A1507" t="s">
        <v>5458</v>
      </c>
      <c r="B1507" t="s">
        <v>5458</v>
      </c>
      <c r="C1507">
        <v>54489</v>
      </c>
      <c r="D1507">
        <v>1641</v>
      </c>
      <c r="E1507" t="s">
        <v>4326</v>
      </c>
      <c r="F1507">
        <v>2700</v>
      </c>
      <c r="G1507" t="s">
        <v>411</v>
      </c>
      <c r="H1507" t="s">
        <v>4004</v>
      </c>
      <c r="I1507" t="s">
        <v>2531</v>
      </c>
      <c r="J1507">
        <v>2701</v>
      </c>
      <c r="K1507" t="s">
        <v>2531</v>
      </c>
      <c r="L1507">
        <v>1100</v>
      </c>
      <c r="M1507" t="s">
        <v>119</v>
      </c>
      <c r="N1507">
        <v>1120</v>
      </c>
      <c r="O1507" t="s">
        <v>2367</v>
      </c>
      <c r="P1507" t="s">
        <v>3108</v>
      </c>
      <c r="Q1507" t="s">
        <v>3249</v>
      </c>
      <c r="R1507" t="s">
        <v>3249</v>
      </c>
      <c r="S1507" t="s">
        <v>810</v>
      </c>
      <c r="T1507" t="s">
        <v>2754</v>
      </c>
      <c r="U1507" t="s">
        <v>3250</v>
      </c>
      <c r="V1507" t="s">
        <v>3250</v>
      </c>
      <c r="W1507" t="s">
        <v>3250</v>
      </c>
      <c r="X1507" t="s">
        <v>3250</v>
      </c>
      <c r="Y1507" t="s">
        <v>3250</v>
      </c>
      <c r="Z1507" t="s">
        <v>3250</v>
      </c>
      <c r="AA1507" t="s">
        <v>3108</v>
      </c>
      <c r="AB1507" t="s">
        <v>3108</v>
      </c>
      <c r="AC1507" t="s">
        <v>3250</v>
      </c>
      <c r="AD1507" t="s">
        <v>3250</v>
      </c>
      <c r="AE1507" t="s">
        <v>3250</v>
      </c>
      <c r="AF1507" t="s">
        <v>3250</v>
      </c>
      <c r="AG1507" t="s">
        <v>3250</v>
      </c>
      <c r="AH1507" t="s">
        <v>3250</v>
      </c>
      <c r="AI1507" t="s">
        <v>3250</v>
      </c>
      <c r="AJ1507" t="s">
        <v>3250</v>
      </c>
      <c r="AL1507" t="s">
        <v>3250</v>
      </c>
      <c r="AM1507" t="s">
        <v>3250</v>
      </c>
      <c r="AN1507" t="s">
        <v>3250</v>
      </c>
      <c r="AO1507" t="s">
        <v>3250</v>
      </c>
      <c r="AS1507" t="s">
        <v>3250</v>
      </c>
      <c r="AT1507" t="s">
        <v>3250</v>
      </c>
      <c r="AU1507" t="s">
        <v>3250</v>
      </c>
      <c r="AV1507" t="s">
        <v>3250</v>
      </c>
      <c r="AW1507" t="s">
        <v>3250</v>
      </c>
      <c r="AX1507" t="s">
        <v>3250</v>
      </c>
      <c r="AY1507" t="s">
        <v>3250</v>
      </c>
      <c r="AZ1507" t="s">
        <v>3250</v>
      </c>
      <c r="BA1507" t="s">
        <v>3250</v>
      </c>
      <c r="BB1507" t="s">
        <v>3250</v>
      </c>
      <c r="BC1507" t="s">
        <v>3250</v>
      </c>
      <c r="BE1507" t="s">
        <v>3250</v>
      </c>
      <c r="BF1507" t="s">
        <v>3250</v>
      </c>
      <c r="BG1507" t="s">
        <v>3250</v>
      </c>
      <c r="BH1507" t="s">
        <v>3250</v>
      </c>
      <c r="BI1507" t="s">
        <v>3250</v>
      </c>
      <c r="BK1507" t="s">
        <v>3250</v>
      </c>
      <c r="BL1507" t="s">
        <v>3250</v>
      </c>
      <c r="BM1507" t="s">
        <v>3250</v>
      </c>
      <c r="BN1507" t="s">
        <v>3250</v>
      </c>
      <c r="BP1507">
        <v>3</v>
      </c>
      <c r="BQ1507">
        <v>31</v>
      </c>
      <c r="BR1507" t="s">
        <v>2367</v>
      </c>
      <c r="BS1507" t="s">
        <v>4381</v>
      </c>
      <c r="BV1507">
        <v>109633</v>
      </c>
      <c r="BW1507">
        <v>0</v>
      </c>
      <c r="BX1507">
        <v>0</v>
      </c>
      <c r="BY1507">
        <v>0</v>
      </c>
      <c r="BZ1507">
        <v>1300000</v>
      </c>
      <c r="CA1507">
        <v>1350700</v>
      </c>
      <c r="CB1507">
        <v>1404728</v>
      </c>
      <c r="CC1507">
        <v>1460917</v>
      </c>
      <c r="CD1507">
        <v>946030</v>
      </c>
      <c r="CE1507" t="s">
        <v>3108</v>
      </c>
      <c r="CF1507" t="s">
        <v>3108</v>
      </c>
      <c r="CG1507" t="s">
        <v>3108</v>
      </c>
      <c r="CH1507" t="s">
        <v>3108</v>
      </c>
    </row>
    <row r="1508" spans="1:86" x14ac:dyDescent="0.2">
      <c r="A1508" t="s">
        <v>5459</v>
      </c>
      <c r="B1508" t="s">
        <v>5459</v>
      </c>
      <c r="C1508">
        <v>54490</v>
      </c>
      <c r="D1508">
        <v>1620</v>
      </c>
      <c r="E1508" t="s">
        <v>4010</v>
      </c>
      <c r="F1508">
        <v>2900</v>
      </c>
      <c r="G1508" t="s">
        <v>822</v>
      </c>
      <c r="H1508" t="s">
        <v>3108</v>
      </c>
      <c r="I1508" t="s">
        <v>3108</v>
      </c>
      <c r="J1508">
        <v>2904</v>
      </c>
      <c r="K1508" t="s">
        <v>1690</v>
      </c>
      <c r="L1508">
        <v>2100</v>
      </c>
      <c r="M1508" t="s">
        <v>123</v>
      </c>
      <c r="N1508">
        <v>2110</v>
      </c>
      <c r="O1508" t="s">
        <v>1671</v>
      </c>
      <c r="P1508" t="s">
        <v>3108</v>
      </c>
      <c r="Q1508" t="s">
        <v>3249</v>
      </c>
      <c r="R1508" t="s">
        <v>3249</v>
      </c>
      <c r="S1508" t="s">
        <v>810</v>
      </c>
      <c r="T1508" t="s">
        <v>2754</v>
      </c>
      <c r="U1508" t="s">
        <v>3250</v>
      </c>
      <c r="V1508" t="s">
        <v>3250</v>
      </c>
      <c r="W1508" t="s">
        <v>3250</v>
      </c>
      <c r="X1508" t="s">
        <v>3250</v>
      </c>
      <c r="Y1508" t="s">
        <v>3250</v>
      </c>
      <c r="Z1508" t="s">
        <v>3250</v>
      </c>
      <c r="AA1508" t="s">
        <v>3108</v>
      </c>
      <c r="AB1508" t="s">
        <v>3108</v>
      </c>
      <c r="AC1508" t="s">
        <v>3250</v>
      </c>
      <c r="AD1508" t="s">
        <v>3250</v>
      </c>
      <c r="AE1508" t="s">
        <v>3250</v>
      </c>
      <c r="AF1508" t="s">
        <v>3250</v>
      </c>
      <c r="AG1508" t="s">
        <v>3250</v>
      </c>
      <c r="AH1508" t="s">
        <v>3250</v>
      </c>
      <c r="AI1508" t="s">
        <v>3250</v>
      </c>
      <c r="AJ1508" t="s">
        <v>3250</v>
      </c>
      <c r="AL1508" t="s">
        <v>3250</v>
      </c>
      <c r="AM1508" t="s">
        <v>3250</v>
      </c>
      <c r="AN1508" t="s">
        <v>3250</v>
      </c>
      <c r="AO1508" t="s">
        <v>3250</v>
      </c>
      <c r="AS1508" t="s">
        <v>3250</v>
      </c>
      <c r="AT1508" t="s">
        <v>3250</v>
      </c>
      <c r="AU1508" t="s">
        <v>3250</v>
      </c>
      <c r="AV1508" t="s">
        <v>3250</v>
      </c>
      <c r="AW1508" t="s">
        <v>3250</v>
      </c>
      <c r="AX1508" t="s">
        <v>3250</v>
      </c>
      <c r="AY1508" t="s">
        <v>3250</v>
      </c>
      <c r="AZ1508" t="s">
        <v>3250</v>
      </c>
      <c r="BA1508" t="s">
        <v>3250</v>
      </c>
      <c r="BB1508" t="s">
        <v>3250</v>
      </c>
      <c r="BC1508" t="s">
        <v>3250</v>
      </c>
      <c r="BE1508" t="s">
        <v>3250</v>
      </c>
      <c r="BF1508" t="s">
        <v>3250</v>
      </c>
      <c r="BG1508" t="s">
        <v>3250</v>
      </c>
      <c r="BH1508" t="s">
        <v>3250</v>
      </c>
      <c r="BI1508" t="s">
        <v>3250</v>
      </c>
      <c r="BK1508" t="s">
        <v>3250</v>
      </c>
      <c r="BL1508" t="s">
        <v>3250</v>
      </c>
      <c r="BM1508" t="s">
        <v>3250</v>
      </c>
      <c r="BN1508" t="s">
        <v>3250</v>
      </c>
      <c r="BP1508">
        <v>5</v>
      </c>
      <c r="BQ1508">
        <v>52</v>
      </c>
      <c r="BR1508" t="s">
        <v>1671</v>
      </c>
      <c r="BS1508" t="s">
        <v>4136</v>
      </c>
      <c r="BV1508">
        <v>48105</v>
      </c>
      <c r="BW1508">
        <v>0</v>
      </c>
      <c r="BX1508">
        <v>0</v>
      </c>
      <c r="BY1508">
        <v>30000</v>
      </c>
      <c r="BZ1508">
        <v>0</v>
      </c>
      <c r="CA1508">
        <v>60000</v>
      </c>
      <c r="CB1508">
        <v>62400</v>
      </c>
      <c r="CC1508">
        <v>64896</v>
      </c>
      <c r="CD1508">
        <v>2000</v>
      </c>
      <c r="CE1508" t="s">
        <v>3108</v>
      </c>
      <c r="CF1508" t="s">
        <v>3108</v>
      </c>
      <c r="CG1508" t="s">
        <v>3108</v>
      </c>
      <c r="CH1508" t="s">
        <v>3108</v>
      </c>
    </row>
    <row r="1509" spans="1:86" x14ac:dyDescent="0.2">
      <c r="A1509" t="s">
        <v>5460</v>
      </c>
      <c r="B1509" t="s">
        <v>5460</v>
      </c>
      <c r="C1509">
        <v>54491</v>
      </c>
      <c r="D1509">
        <v>1692</v>
      </c>
      <c r="E1509" t="s">
        <v>4003</v>
      </c>
      <c r="F1509">
        <v>2700</v>
      </c>
      <c r="G1509" t="s">
        <v>411</v>
      </c>
      <c r="H1509" t="s">
        <v>4004</v>
      </c>
      <c r="I1509" t="s">
        <v>2531</v>
      </c>
      <c r="J1509">
        <v>2701</v>
      </c>
      <c r="K1509" t="s">
        <v>2531</v>
      </c>
      <c r="L1509">
        <v>2100</v>
      </c>
      <c r="M1509" t="s">
        <v>123</v>
      </c>
      <c r="N1509">
        <v>2110</v>
      </c>
      <c r="O1509" t="s">
        <v>1671</v>
      </c>
      <c r="P1509" t="s">
        <v>3108</v>
      </c>
      <c r="Q1509" t="s">
        <v>3249</v>
      </c>
      <c r="R1509" t="s">
        <v>3249</v>
      </c>
      <c r="S1509" t="s">
        <v>810</v>
      </c>
      <c r="T1509" t="s">
        <v>2754</v>
      </c>
      <c r="U1509" t="s">
        <v>3250</v>
      </c>
      <c r="V1509" t="s">
        <v>3250</v>
      </c>
      <c r="W1509" t="s">
        <v>3250</v>
      </c>
      <c r="X1509" t="s">
        <v>3250</v>
      </c>
      <c r="Y1509" t="s">
        <v>3250</v>
      </c>
      <c r="Z1509" t="s">
        <v>3250</v>
      </c>
      <c r="AA1509" t="s">
        <v>3108</v>
      </c>
      <c r="AB1509" t="s">
        <v>3108</v>
      </c>
      <c r="AC1509" t="s">
        <v>3250</v>
      </c>
      <c r="AD1509" t="s">
        <v>3250</v>
      </c>
      <c r="AE1509" t="s">
        <v>3250</v>
      </c>
      <c r="AF1509" t="s">
        <v>3250</v>
      </c>
      <c r="AG1509" t="s">
        <v>3250</v>
      </c>
      <c r="AH1509" t="s">
        <v>3250</v>
      </c>
      <c r="AI1509" t="s">
        <v>3250</v>
      </c>
      <c r="AJ1509" t="s">
        <v>3250</v>
      </c>
      <c r="AL1509" t="s">
        <v>3250</v>
      </c>
      <c r="AM1509" t="s">
        <v>3250</v>
      </c>
      <c r="AN1509" t="s">
        <v>3250</v>
      </c>
      <c r="AO1509" t="s">
        <v>3250</v>
      </c>
      <c r="AS1509" t="s">
        <v>3250</v>
      </c>
      <c r="AT1509" t="s">
        <v>3250</v>
      </c>
      <c r="AU1509" t="s">
        <v>3250</v>
      </c>
      <c r="AV1509" t="s">
        <v>3250</v>
      </c>
      <c r="AW1509" t="s">
        <v>3250</v>
      </c>
      <c r="AX1509" t="s">
        <v>3250</v>
      </c>
      <c r="AY1509" t="s">
        <v>3250</v>
      </c>
      <c r="AZ1509" t="s">
        <v>3250</v>
      </c>
      <c r="BA1509" t="s">
        <v>3250</v>
      </c>
      <c r="BB1509" t="s">
        <v>3250</v>
      </c>
      <c r="BC1509" t="s">
        <v>3250</v>
      </c>
      <c r="BE1509" t="s">
        <v>3250</v>
      </c>
      <c r="BF1509" t="s">
        <v>3250</v>
      </c>
      <c r="BG1509" t="s">
        <v>3250</v>
      </c>
      <c r="BH1509" t="s">
        <v>3250</v>
      </c>
      <c r="BI1509" t="s">
        <v>3250</v>
      </c>
      <c r="BK1509" t="s">
        <v>3250</v>
      </c>
      <c r="BL1509" t="s">
        <v>3250</v>
      </c>
      <c r="BM1509" t="s">
        <v>3250</v>
      </c>
      <c r="BN1509" t="s">
        <v>3250</v>
      </c>
      <c r="BP1509">
        <v>5</v>
      </c>
      <c r="BQ1509">
        <v>52</v>
      </c>
      <c r="BR1509" t="s">
        <v>1671</v>
      </c>
      <c r="BS1509" t="s">
        <v>4136</v>
      </c>
      <c r="BV1509">
        <v>0</v>
      </c>
      <c r="BW1509">
        <v>9600</v>
      </c>
      <c r="BX1509">
        <v>0</v>
      </c>
      <c r="BY1509">
        <v>50000</v>
      </c>
      <c r="BZ1509">
        <v>0</v>
      </c>
      <c r="CA1509">
        <v>50000</v>
      </c>
      <c r="CB1509">
        <v>52000</v>
      </c>
      <c r="CC1509">
        <v>54080</v>
      </c>
      <c r="CD1509">
        <v>0</v>
      </c>
      <c r="CE1509" t="s">
        <v>3108</v>
      </c>
      <c r="CF1509" t="s">
        <v>3108</v>
      </c>
      <c r="CG1509" t="s">
        <v>3108</v>
      </c>
      <c r="CH1509" t="s">
        <v>3108</v>
      </c>
    </row>
    <row r="1510" spans="1:86" x14ac:dyDescent="0.2">
      <c r="A1510" t="s">
        <v>5461</v>
      </c>
      <c r="B1510" t="s">
        <v>5461</v>
      </c>
      <c r="C1510">
        <v>54492</v>
      </c>
      <c r="D1510">
        <v>1622</v>
      </c>
      <c r="E1510" t="s">
        <v>4015</v>
      </c>
      <c r="F1510">
        <v>2900</v>
      </c>
      <c r="G1510" t="s">
        <v>822</v>
      </c>
      <c r="H1510" t="s">
        <v>3108</v>
      </c>
      <c r="I1510" t="s">
        <v>3108</v>
      </c>
      <c r="J1510">
        <v>2904</v>
      </c>
      <c r="K1510" t="s">
        <v>1690</v>
      </c>
      <c r="L1510">
        <v>1200</v>
      </c>
      <c r="M1510" t="s">
        <v>2368</v>
      </c>
      <c r="N1510">
        <v>1201</v>
      </c>
      <c r="O1510" t="s">
        <v>2370</v>
      </c>
      <c r="P1510" t="s">
        <v>3108</v>
      </c>
      <c r="Q1510" t="s">
        <v>3249</v>
      </c>
      <c r="R1510" t="s">
        <v>3249</v>
      </c>
      <c r="S1510" t="s">
        <v>810</v>
      </c>
      <c r="T1510" t="s">
        <v>2754</v>
      </c>
      <c r="U1510" t="s">
        <v>3250</v>
      </c>
      <c r="V1510" t="s">
        <v>3250</v>
      </c>
      <c r="W1510" t="s">
        <v>3250</v>
      </c>
      <c r="X1510" t="s">
        <v>3250</v>
      </c>
      <c r="Y1510" t="s">
        <v>3250</v>
      </c>
      <c r="Z1510" t="s">
        <v>3250</v>
      </c>
      <c r="AA1510" t="s">
        <v>3108</v>
      </c>
      <c r="AB1510" t="s">
        <v>3108</v>
      </c>
      <c r="AC1510" t="s">
        <v>3250</v>
      </c>
      <c r="AD1510" t="s">
        <v>3250</v>
      </c>
      <c r="AE1510" t="s">
        <v>3250</v>
      </c>
      <c r="AF1510" t="s">
        <v>3250</v>
      </c>
      <c r="AG1510" t="s">
        <v>3250</v>
      </c>
      <c r="AH1510" t="s">
        <v>3250</v>
      </c>
      <c r="AI1510" t="s">
        <v>3250</v>
      </c>
      <c r="AJ1510" t="s">
        <v>3250</v>
      </c>
      <c r="AL1510" t="s">
        <v>3250</v>
      </c>
      <c r="AM1510" t="s">
        <v>3250</v>
      </c>
      <c r="AN1510" t="s">
        <v>3250</v>
      </c>
      <c r="AO1510" t="s">
        <v>3250</v>
      </c>
      <c r="AS1510" t="s">
        <v>3250</v>
      </c>
      <c r="AT1510" t="s">
        <v>3250</v>
      </c>
      <c r="AU1510" t="s">
        <v>3250</v>
      </c>
      <c r="AV1510" t="s">
        <v>3250</v>
      </c>
      <c r="AW1510" t="s">
        <v>3250</v>
      </c>
      <c r="AX1510" t="s">
        <v>3250</v>
      </c>
      <c r="AY1510" t="s">
        <v>3250</v>
      </c>
      <c r="AZ1510" t="s">
        <v>3250</v>
      </c>
      <c r="BA1510" t="s">
        <v>3250</v>
      </c>
      <c r="BB1510" t="s">
        <v>3250</v>
      </c>
      <c r="BC1510" t="s">
        <v>3250</v>
      </c>
      <c r="BE1510" t="s">
        <v>3250</v>
      </c>
      <c r="BF1510" t="s">
        <v>3250</v>
      </c>
      <c r="BG1510" t="s">
        <v>3250</v>
      </c>
      <c r="BH1510" t="s">
        <v>3250</v>
      </c>
      <c r="BI1510" t="s">
        <v>3250</v>
      </c>
      <c r="BK1510" t="s">
        <v>3250</v>
      </c>
      <c r="BL1510" t="s">
        <v>3250</v>
      </c>
      <c r="BM1510" t="s">
        <v>3250</v>
      </c>
      <c r="BN1510" t="s">
        <v>3250</v>
      </c>
      <c r="BP1510">
        <v>1</v>
      </c>
      <c r="BQ1510">
        <v>14</v>
      </c>
      <c r="BR1510" t="s">
        <v>2370</v>
      </c>
      <c r="BS1510" t="s">
        <v>3252</v>
      </c>
      <c r="BV1510">
        <v>0</v>
      </c>
      <c r="BW1510">
        <v>0</v>
      </c>
      <c r="BX1510">
        <v>0</v>
      </c>
      <c r="BY1510">
        <v>0</v>
      </c>
      <c r="BZ1510">
        <v>0</v>
      </c>
      <c r="CA1510">
        <v>0</v>
      </c>
      <c r="CB1510">
        <v>0</v>
      </c>
      <c r="CC1510">
        <v>0</v>
      </c>
      <c r="CD1510">
        <v>0</v>
      </c>
      <c r="CE1510" t="s">
        <v>3108</v>
      </c>
      <c r="CF1510" t="s">
        <v>3108</v>
      </c>
      <c r="CG1510" t="s">
        <v>3108</v>
      </c>
      <c r="CH1510" t="s">
        <v>3108</v>
      </c>
    </row>
    <row r="1511" spans="1:86" x14ac:dyDescent="0.2">
      <c r="A1511" t="s">
        <v>5462</v>
      </c>
      <c r="B1511" t="s">
        <v>5462</v>
      </c>
      <c r="C1511">
        <v>54493</v>
      </c>
      <c r="D1511">
        <v>1623</v>
      </c>
      <c r="E1511" t="s">
        <v>3994</v>
      </c>
      <c r="F1511">
        <v>2600</v>
      </c>
      <c r="G1511" t="s">
        <v>1334</v>
      </c>
      <c r="H1511">
        <v>2600</v>
      </c>
      <c r="I1511" t="s">
        <v>1334</v>
      </c>
      <c r="J1511" t="s">
        <v>3250</v>
      </c>
      <c r="K1511" t="s">
        <v>3250</v>
      </c>
      <c r="L1511">
        <v>1200</v>
      </c>
      <c r="M1511" t="s">
        <v>2368</v>
      </c>
      <c r="N1511">
        <v>1201</v>
      </c>
      <c r="O1511" t="s">
        <v>2370</v>
      </c>
      <c r="P1511" t="s">
        <v>3108</v>
      </c>
      <c r="Q1511" t="s">
        <v>3249</v>
      </c>
      <c r="R1511" t="s">
        <v>3249</v>
      </c>
      <c r="S1511" t="s">
        <v>810</v>
      </c>
      <c r="T1511" t="s">
        <v>2754</v>
      </c>
      <c r="U1511" t="s">
        <v>3250</v>
      </c>
      <c r="V1511" t="s">
        <v>3250</v>
      </c>
      <c r="W1511" t="s">
        <v>3250</v>
      </c>
      <c r="X1511" t="s">
        <v>3250</v>
      </c>
      <c r="Y1511" t="s">
        <v>3250</v>
      </c>
      <c r="Z1511" t="s">
        <v>3250</v>
      </c>
      <c r="AA1511" t="s">
        <v>3108</v>
      </c>
      <c r="AB1511" t="s">
        <v>3108</v>
      </c>
      <c r="AC1511" t="s">
        <v>3250</v>
      </c>
      <c r="AD1511" t="s">
        <v>3250</v>
      </c>
      <c r="AE1511" t="s">
        <v>3250</v>
      </c>
      <c r="AF1511" t="s">
        <v>3250</v>
      </c>
      <c r="AG1511" t="s">
        <v>3250</v>
      </c>
      <c r="AH1511" t="s">
        <v>3250</v>
      </c>
      <c r="AI1511" t="s">
        <v>3250</v>
      </c>
      <c r="AJ1511" t="s">
        <v>3250</v>
      </c>
      <c r="AL1511" t="s">
        <v>3250</v>
      </c>
      <c r="AM1511" t="s">
        <v>3250</v>
      </c>
      <c r="AN1511" t="s">
        <v>3250</v>
      </c>
      <c r="AO1511" t="s">
        <v>3250</v>
      </c>
      <c r="AS1511" t="s">
        <v>3250</v>
      </c>
      <c r="AT1511" t="s">
        <v>3250</v>
      </c>
      <c r="AU1511" t="s">
        <v>3250</v>
      </c>
      <c r="AV1511" t="s">
        <v>3250</v>
      </c>
      <c r="AW1511" t="s">
        <v>3250</v>
      </c>
      <c r="AX1511" t="s">
        <v>3250</v>
      </c>
      <c r="AY1511" t="s">
        <v>3250</v>
      </c>
      <c r="AZ1511" t="s">
        <v>3250</v>
      </c>
      <c r="BA1511" t="s">
        <v>3250</v>
      </c>
      <c r="BB1511" t="s">
        <v>3250</v>
      </c>
      <c r="BC1511" t="s">
        <v>3250</v>
      </c>
      <c r="BE1511" t="s">
        <v>3250</v>
      </c>
      <c r="BF1511" t="s">
        <v>3250</v>
      </c>
      <c r="BG1511" t="s">
        <v>3250</v>
      </c>
      <c r="BH1511" t="s">
        <v>3250</v>
      </c>
      <c r="BI1511" t="s">
        <v>3250</v>
      </c>
      <c r="BK1511" t="s">
        <v>3250</v>
      </c>
      <c r="BL1511" t="s">
        <v>3250</v>
      </c>
      <c r="BM1511" t="s">
        <v>3250</v>
      </c>
      <c r="BN1511" t="s">
        <v>3250</v>
      </c>
      <c r="BP1511">
        <v>1</v>
      </c>
      <c r="BQ1511">
        <v>14</v>
      </c>
      <c r="BR1511" t="s">
        <v>2370</v>
      </c>
      <c r="BS1511" t="s">
        <v>3252</v>
      </c>
      <c r="BV1511">
        <v>27197</v>
      </c>
      <c r="BW1511">
        <v>48634</v>
      </c>
      <c r="BX1511">
        <v>48</v>
      </c>
      <c r="BY1511">
        <v>0</v>
      </c>
      <c r="BZ1511">
        <v>0</v>
      </c>
      <c r="CA1511">
        <v>0</v>
      </c>
      <c r="CB1511">
        <v>0</v>
      </c>
      <c r="CC1511">
        <v>0</v>
      </c>
      <c r="CD1511">
        <v>0</v>
      </c>
      <c r="CE1511" t="s">
        <v>3108</v>
      </c>
      <c r="CF1511" t="s">
        <v>3108</v>
      </c>
      <c r="CG1511" t="s">
        <v>3108</v>
      </c>
      <c r="CH1511" t="s">
        <v>3108</v>
      </c>
    </row>
    <row r="1512" spans="1:86" x14ac:dyDescent="0.2">
      <c r="A1512" t="s">
        <v>5463</v>
      </c>
      <c r="B1512" t="s">
        <v>5463</v>
      </c>
      <c r="C1512">
        <v>54494</v>
      </c>
      <c r="D1512">
        <v>1624</v>
      </c>
      <c r="E1512" t="s">
        <v>5464</v>
      </c>
      <c r="F1512">
        <v>2900</v>
      </c>
      <c r="G1512" t="s">
        <v>822</v>
      </c>
      <c r="H1512" t="s">
        <v>3108</v>
      </c>
      <c r="I1512" t="s">
        <v>3108</v>
      </c>
      <c r="J1512">
        <v>2904</v>
      </c>
      <c r="K1512" t="s">
        <v>1690</v>
      </c>
      <c r="L1512">
        <v>1200</v>
      </c>
      <c r="M1512" t="s">
        <v>2368</v>
      </c>
      <c r="N1512">
        <v>1201</v>
      </c>
      <c r="O1512" t="s">
        <v>2370</v>
      </c>
      <c r="P1512" t="s">
        <v>3108</v>
      </c>
      <c r="Q1512" t="s">
        <v>3249</v>
      </c>
      <c r="R1512" t="s">
        <v>3249</v>
      </c>
      <c r="S1512" t="s">
        <v>810</v>
      </c>
      <c r="T1512" t="s">
        <v>2754</v>
      </c>
      <c r="U1512" t="s">
        <v>3250</v>
      </c>
      <c r="V1512" t="s">
        <v>3250</v>
      </c>
      <c r="W1512" t="s">
        <v>3250</v>
      </c>
      <c r="X1512" t="s">
        <v>3250</v>
      </c>
      <c r="Y1512" t="s">
        <v>3250</v>
      </c>
      <c r="Z1512" t="s">
        <v>3250</v>
      </c>
      <c r="AA1512" t="s">
        <v>3108</v>
      </c>
      <c r="AB1512" t="s">
        <v>3108</v>
      </c>
      <c r="AC1512" t="s">
        <v>3250</v>
      </c>
      <c r="AD1512" t="s">
        <v>3250</v>
      </c>
      <c r="AE1512" t="s">
        <v>3250</v>
      </c>
      <c r="AF1512" t="s">
        <v>3250</v>
      </c>
      <c r="AG1512" t="s">
        <v>3250</v>
      </c>
      <c r="AH1512" t="s">
        <v>3250</v>
      </c>
      <c r="AI1512" t="s">
        <v>3250</v>
      </c>
      <c r="AJ1512" t="s">
        <v>3250</v>
      </c>
      <c r="AL1512" t="s">
        <v>3250</v>
      </c>
      <c r="AM1512" t="s">
        <v>3250</v>
      </c>
      <c r="AN1512" t="s">
        <v>3250</v>
      </c>
      <c r="AO1512" t="s">
        <v>3250</v>
      </c>
      <c r="AS1512" t="s">
        <v>3250</v>
      </c>
      <c r="AT1512" t="s">
        <v>3250</v>
      </c>
      <c r="AU1512" t="s">
        <v>3250</v>
      </c>
      <c r="AV1512" t="s">
        <v>3250</v>
      </c>
      <c r="AW1512" t="s">
        <v>3250</v>
      </c>
      <c r="AX1512" t="s">
        <v>3250</v>
      </c>
      <c r="AY1512" t="s">
        <v>3250</v>
      </c>
      <c r="AZ1512" t="s">
        <v>3250</v>
      </c>
      <c r="BA1512" t="s">
        <v>3250</v>
      </c>
      <c r="BB1512" t="s">
        <v>3250</v>
      </c>
      <c r="BC1512" t="s">
        <v>3250</v>
      </c>
      <c r="BE1512" t="s">
        <v>3250</v>
      </c>
      <c r="BF1512" t="s">
        <v>3250</v>
      </c>
      <c r="BG1512" t="s">
        <v>3250</v>
      </c>
      <c r="BH1512" t="s">
        <v>3250</v>
      </c>
      <c r="BI1512" t="s">
        <v>3250</v>
      </c>
      <c r="BK1512" t="s">
        <v>3250</v>
      </c>
      <c r="BL1512" t="s">
        <v>3250</v>
      </c>
      <c r="BM1512" t="s">
        <v>3250</v>
      </c>
      <c r="BN1512" t="s">
        <v>3250</v>
      </c>
      <c r="BP1512">
        <v>1</v>
      </c>
      <c r="BQ1512">
        <v>14</v>
      </c>
      <c r="BR1512" t="s">
        <v>2370</v>
      </c>
      <c r="BS1512" t="s">
        <v>3252</v>
      </c>
      <c r="BV1512">
        <v>0</v>
      </c>
      <c r="BW1512">
        <v>0</v>
      </c>
      <c r="BX1512">
        <v>0</v>
      </c>
      <c r="BY1512">
        <v>3000</v>
      </c>
      <c r="BZ1512">
        <v>3000</v>
      </c>
      <c r="CA1512">
        <v>3117</v>
      </c>
      <c r="CB1512">
        <v>3242</v>
      </c>
      <c r="CC1512">
        <v>3371</v>
      </c>
      <c r="CD1512">
        <v>0</v>
      </c>
      <c r="CE1512" t="s">
        <v>3108</v>
      </c>
      <c r="CF1512" t="s">
        <v>3108</v>
      </c>
      <c r="CG1512" t="s">
        <v>3108</v>
      </c>
      <c r="CH1512" t="s">
        <v>3108</v>
      </c>
    </row>
    <row r="1513" spans="1:86" x14ac:dyDescent="0.2">
      <c r="A1513" t="s">
        <v>5465</v>
      </c>
      <c r="B1513" t="s">
        <v>5465</v>
      </c>
      <c r="C1513">
        <v>54495</v>
      </c>
      <c r="D1513">
        <v>1625</v>
      </c>
      <c r="E1513" t="s">
        <v>5466</v>
      </c>
      <c r="F1513">
        <v>2700</v>
      </c>
      <c r="G1513" t="s">
        <v>411</v>
      </c>
      <c r="H1513" t="s">
        <v>3997</v>
      </c>
      <c r="I1513" t="s">
        <v>2533</v>
      </c>
      <c r="J1513">
        <v>2703</v>
      </c>
      <c r="K1513" t="s">
        <v>2533</v>
      </c>
      <c r="L1513">
        <v>1200</v>
      </c>
      <c r="M1513" t="s">
        <v>2368</v>
      </c>
      <c r="N1513">
        <v>1201</v>
      </c>
      <c r="O1513" t="s">
        <v>2370</v>
      </c>
      <c r="P1513" t="s">
        <v>3108</v>
      </c>
      <c r="Q1513" t="s">
        <v>3249</v>
      </c>
      <c r="R1513" t="s">
        <v>3249</v>
      </c>
      <c r="S1513" t="s">
        <v>810</v>
      </c>
      <c r="T1513" t="s">
        <v>2754</v>
      </c>
      <c r="U1513" t="s">
        <v>3250</v>
      </c>
      <c r="V1513" t="s">
        <v>3250</v>
      </c>
      <c r="W1513" t="s">
        <v>3250</v>
      </c>
      <c r="X1513" t="s">
        <v>3250</v>
      </c>
      <c r="Y1513" t="s">
        <v>3250</v>
      </c>
      <c r="Z1513" t="s">
        <v>3250</v>
      </c>
      <c r="AA1513" t="s">
        <v>3108</v>
      </c>
      <c r="AB1513" t="s">
        <v>3108</v>
      </c>
      <c r="AC1513" t="s">
        <v>3250</v>
      </c>
      <c r="AD1513" t="s">
        <v>3250</v>
      </c>
      <c r="AE1513" t="s">
        <v>3250</v>
      </c>
      <c r="AF1513" t="s">
        <v>3250</v>
      </c>
      <c r="AG1513" t="s">
        <v>3250</v>
      </c>
      <c r="AH1513" t="s">
        <v>3250</v>
      </c>
      <c r="AI1513" t="s">
        <v>3250</v>
      </c>
      <c r="AJ1513" t="s">
        <v>3250</v>
      </c>
      <c r="AL1513" t="s">
        <v>3250</v>
      </c>
      <c r="AM1513" t="s">
        <v>3250</v>
      </c>
      <c r="AN1513" t="s">
        <v>3250</v>
      </c>
      <c r="AO1513" t="s">
        <v>3250</v>
      </c>
      <c r="AS1513" t="s">
        <v>3250</v>
      </c>
      <c r="AT1513" t="s">
        <v>3250</v>
      </c>
      <c r="AU1513" t="s">
        <v>3250</v>
      </c>
      <c r="AV1513" t="s">
        <v>3250</v>
      </c>
      <c r="AW1513" t="s">
        <v>3250</v>
      </c>
      <c r="AX1513" t="s">
        <v>3250</v>
      </c>
      <c r="AY1513" t="s">
        <v>3250</v>
      </c>
      <c r="AZ1513" t="s">
        <v>3250</v>
      </c>
      <c r="BA1513" t="s">
        <v>3250</v>
      </c>
      <c r="BB1513" t="s">
        <v>3250</v>
      </c>
      <c r="BC1513" t="s">
        <v>3250</v>
      </c>
      <c r="BE1513" t="s">
        <v>3250</v>
      </c>
      <c r="BF1513" t="s">
        <v>3250</v>
      </c>
      <c r="BG1513" t="s">
        <v>3250</v>
      </c>
      <c r="BH1513" t="s">
        <v>3250</v>
      </c>
      <c r="BI1513" t="s">
        <v>3250</v>
      </c>
      <c r="BK1513" t="s">
        <v>3250</v>
      </c>
      <c r="BL1513" t="s">
        <v>3250</v>
      </c>
      <c r="BM1513" t="s">
        <v>3250</v>
      </c>
      <c r="BN1513" t="s">
        <v>3250</v>
      </c>
      <c r="BP1513">
        <v>1</v>
      </c>
      <c r="BQ1513">
        <v>14</v>
      </c>
      <c r="BR1513" t="s">
        <v>2370</v>
      </c>
      <c r="BS1513" t="s">
        <v>3252</v>
      </c>
      <c r="BV1513">
        <v>10756</v>
      </c>
      <c r="BW1513">
        <v>17112</v>
      </c>
      <c r="BX1513">
        <v>0</v>
      </c>
      <c r="BY1513">
        <v>20000</v>
      </c>
      <c r="BZ1513">
        <v>240000</v>
      </c>
      <c r="CA1513">
        <v>249360</v>
      </c>
      <c r="CB1513">
        <v>259334</v>
      </c>
      <c r="CC1513">
        <v>269708</v>
      </c>
      <c r="CD1513">
        <v>194693</v>
      </c>
      <c r="CE1513" t="s">
        <v>3108</v>
      </c>
      <c r="CF1513" t="s">
        <v>3108</v>
      </c>
      <c r="CG1513" t="s">
        <v>3108</v>
      </c>
      <c r="CH1513" t="s">
        <v>3108</v>
      </c>
    </row>
    <row r="1514" spans="1:86" x14ac:dyDescent="0.2">
      <c r="A1514" t="s">
        <v>5467</v>
      </c>
      <c r="B1514" t="s">
        <v>5467</v>
      </c>
      <c r="C1514">
        <v>54496</v>
      </c>
      <c r="D1514">
        <v>1626</v>
      </c>
      <c r="E1514" t="s">
        <v>5468</v>
      </c>
      <c r="F1514">
        <v>2900</v>
      </c>
      <c r="G1514" t="s">
        <v>822</v>
      </c>
      <c r="H1514" t="s">
        <v>3108</v>
      </c>
      <c r="I1514" t="s">
        <v>3108</v>
      </c>
      <c r="J1514">
        <v>2904</v>
      </c>
      <c r="K1514" t="s">
        <v>1690</v>
      </c>
      <c r="L1514">
        <v>1200</v>
      </c>
      <c r="M1514" t="s">
        <v>2368</v>
      </c>
      <c r="N1514">
        <v>1201</v>
      </c>
      <c r="O1514" t="s">
        <v>2370</v>
      </c>
      <c r="P1514" t="s">
        <v>3108</v>
      </c>
      <c r="Q1514" t="s">
        <v>3249</v>
      </c>
      <c r="R1514" t="s">
        <v>3249</v>
      </c>
      <c r="S1514" t="s">
        <v>810</v>
      </c>
      <c r="T1514" t="s">
        <v>2754</v>
      </c>
      <c r="U1514" t="s">
        <v>3250</v>
      </c>
      <c r="V1514" t="s">
        <v>3250</v>
      </c>
      <c r="W1514" t="s">
        <v>3250</v>
      </c>
      <c r="X1514" t="s">
        <v>3250</v>
      </c>
      <c r="Y1514" t="s">
        <v>3250</v>
      </c>
      <c r="Z1514" t="s">
        <v>3250</v>
      </c>
      <c r="AA1514" t="s">
        <v>3108</v>
      </c>
      <c r="AB1514" t="s">
        <v>3108</v>
      </c>
      <c r="AC1514" t="s">
        <v>3250</v>
      </c>
      <c r="AD1514" t="s">
        <v>3250</v>
      </c>
      <c r="AE1514" t="s">
        <v>3250</v>
      </c>
      <c r="AF1514" t="s">
        <v>3250</v>
      </c>
      <c r="AG1514" t="s">
        <v>3250</v>
      </c>
      <c r="AH1514" t="s">
        <v>3250</v>
      </c>
      <c r="AI1514" t="s">
        <v>3250</v>
      </c>
      <c r="AJ1514" t="s">
        <v>3250</v>
      </c>
      <c r="AL1514" t="s">
        <v>3250</v>
      </c>
      <c r="AM1514" t="s">
        <v>3250</v>
      </c>
      <c r="AN1514" t="s">
        <v>3250</v>
      </c>
      <c r="AO1514" t="s">
        <v>3250</v>
      </c>
      <c r="AS1514" t="s">
        <v>3250</v>
      </c>
      <c r="AT1514" t="s">
        <v>3250</v>
      </c>
      <c r="AU1514" t="s">
        <v>3250</v>
      </c>
      <c r="AV1514" t="s">
        <v>3250</v>
      </c>
      <c r="AW1514" t="s">
        <v>3250</v>
      </c>
      <c r="AX1514" t="s">
        <v>3250</v>
      </c>
      <c r="AY1514" t="s">
        <v>3250</v>
      </c>
      <c r="AZ1514" t="s">
        <v>3250</v>
      </c>
      <c r="BA1514" t="s">
        <v>3250</v>
      </c>
      <c r="BB1514" t="s">
        <v>3250</v>
      </c>
      <c r="BC1514" t="s">
        <v>3250</v>
      </c>
      <c r="BE1514" t="s">
        <v>3250</v>
      </c>
      <c r="BF1514" t="s">
        <v>3250</v>
      </c>
      <c r="BG1514" t="s">
        <v>3250</v>
      </c>
      <c r="BH1514" t="s">
        <v>3250</v>
      </c>
      <c r="BI1514" t="s">
        <v>3250</v>
      </c>
      <c r="BK1514" t="s">
        <v>3250</v>
      </c>
      <c r="BL1514" t="s">
        <v>3250</v>
      </c>
      <c r="BM1514" t="s">
        <v>3250</v>
      </c>
      <c r="BN1514" t="s">
        <v>3250</v>
      </c>
      <c r="BP1514">
        <v>1</v>
      </c>
      <c r="BQ1514">
        <v>14</v>
      </c>
      <c r="BR1514" t="s">
        <v>2370</v>
      </c>
      <c r="BS1514" t="s">
        <v>3252</v>
      </c>
      <c r="BV1514">
        <v>148116</v>
      </c>
      <c r="BW1514">
        <v>132310</v>
      </c>
      <c r="BX1514">
        <v>0</v>
      </c>
      <c r="BY1514">
        <v>180000</v>
      </c>
      <c r="BZ1514">
        <v>180000</v>
      </c>
      <c r="CA1514">
        <v>187020</v>
      </c>
      <c r="CB1514">
        <v>194501</v>
      </c>
      <c r="CC1514">
        <v>202281</v>
      </c>
      <c r="CD1514">
        <v>180000</v>
      </c>
      <c r="CE1514" t="s">
        <v>3108</v>
      </c>
      <c r="CF1514" t="s">
        <v>3108</v>
      </c>
      <c r="CG1514" t="s">
        <v>3108</v>
      </c>
      <c r="CH1514" t="s">
        <v>3108</v>
      </c>
    </row>
    <row r="1515" spans="1:86" x14ac:dyDescent="0.2">
      <c r="A1515" t="s">
        <v>5469</v>
      </c>
      <c r="B1515" t="s">
        <v>5469</v>
      </c>
      <c r="C1515">
        <v>54497</v>
      </c>
      <c r="D1515">
        <v>1642</v>
      </c>
      <c r="E1515" t="s">
        <v>3992</v>
      </c>
      <c r="F1515">
        <v>2900</v>
      </c>
      <c r="G1515" t="s">
        <v>822</v>
      </c>
      <c r="H1515" t="s">
        <v>3108</v>
      </c>
      <c r="I1515" t="s">
        <v>3108</v>
      </c>
      <c r="J1515">
        <v>2904</v>
      </c>
      <c r="K1515" t="s">
        <v>1690</v>
      </c>
      <c r="L1515">
        <v>2100</v>
      </c>
      <c r="M1515" t="s">
        <v>123</v>
      </c>
      <c r="N1515">
        <v>2110</v>
      </c>
      <c r="O1515" t="s">
        <v>1671</v>
      </c>
      <c r="P1515" t="s">
        <v>3108</v>
      </c>
      <c r="Q1515" t="s">
        <v>3249</v>
      </c>
      <c r="R1515" t="s">
        <v>3249</v>
      </c>
      <c r="S1515" t="s">
        <v>810</v>
      </c>
      <c r="T1515" t="s">
        <v>2754</v>
      </c>
      <c r="U1515" t="s">
        <v>3250</v>
      </c>
      <c r="V1515" t="s">
        <v>3250</v>
      </c>
      <c r="W1515" t="s">
        <v>3250</v>
      </c>
      <c r="X1515" t="s">
        <v>3250</v>
      </c>
      <c r="Y1515" t="s">
        <v>3250</v>
      </c>
      <c r="Z1515" t="s">
        <v>3250</v>
      </c>
      <c r="AA1515" t="s">
        <v>3108</v>
      </c>
      <c r="AB1515" t="s">
        <v>3108</v>
      </c>
      <c r="AC1515" t="s">
        <v>3250</v>
      </c>
      <c r="AD1515" t="s">
        <v>3250</v>
      </c>
      <c r="AE1515" t="s">
        <v>3250</v>
      </c>
      <c r="AF1515" t="s">
        <v>3250</v>
      </c>
      <c r="AG1515" t="s">
        <v>3250</v>
      </c>
      <c r="AH1515" t="s">
        <v>3250</v>
      </c>
      <c r="AI1515" t="s">
        <v>3250</v>
      </c>
      <c r="AJ1515" t="s">
        <v>3250</v>
      </c>
      <c r="AL1515" t="s">
        <v>3250</v>
      </c>
      <c r="AM1515" t="s">
        <v>3250</v>
      </c>
      <c r="AN1515" t="s">
        <v>3250</v>
      </c>
      <c r="AO1515" t="s">
        <v>3250</v>
      </c>
      <c r="AS1515" t="s">
        <v>3250</v>
      </c>
      <c r="AT1515" t="s">
        <v>3250</v>
      </c>
      <c r="AU1515" t="s">
        <v>3250</v>
      </c>
      <c r="AV1515" t="s">
        <v>3250</v>
      </c>
      <c r="AW1515" t="s">
        <v>3250</v>
      </c>
      <c r="AX1515" t="s">
        <v>3250</v>
      </c>
      <c r="AY1515" t="s">
        <v>3250</v>
      </c>
      <c r="AZ1515" t="s">
        <v>3250</v>
      </c>
      <c r="BA1515" t="s">
        <v>3250</v>
      </c>
      <c r="BB1515" t="s">
        <v>3250</v>
      </c>
      <c r="BC1515" t="s">
        <v>3250</v>
      </c>
      <c r="BE1515" t="s">
        <v>3250</v>
      </c>
      <c r="BF1515" t="s">
        <v>3250</v>
      </c>
      <c r="BG1515" t="s">
        <v>3250</v>
      </c>
      <c r="BH1515" t="s">
        <v>3250</v>
      </c>
      <c r="BI1515" t="s">
        <v>3250</v>
      </c>
      <c r="BK1515" t="s">
        <v>3250</v>
      </c>
      <c r="BL1515" t="s">
        <v>3250</v>
      </c>
      <c r="BM1515" t="s">
        <v>3250</v>
      </c>
      <c r="BN1515" t="s">
        <v>3250</v>
      </c>
      <c r="BP1515">
        <v>5</v>
      </c>
      <c r="BQ1515">
        <v>52</v>
      </c>
      <c r="BR1515" t="s">
        <v>1671</v>
      </c>
      <c r="BS1515" t="s">
        <v>4136</v>
      </c>
      <c r="BV1515">
        <v>307740</v>
      </c>
      <c r="BW1515">
        <v>0</v>
      </c>
      <c r="BX1515">
        <v>0</v>
      </c>
      <c r="BY1515">
        <v>50000</v>
      </c>
      <c r="BZ1515">
        <v>0</v>
      </c>
      <c r="CA1515">
        <v>20000</v>
      </c>
      <c r="CB1515">
        <v>20800</v>
      </c>
      <c r="CC1515">
        <v>21632</v>
      </c>
      <c r="CD1515">
        <v>89500</v>
      </c>
      <c r="CE1515" t="s">
        <v>3108</v>
      </c>
      <c r="CF1515" t="s">
        <v>3108</v>
      </c>
      <c r="CG1515" t="s">
        <v>3108</v>
      </c>
      <c r="CH1515" t="s">
        <v>3108</v>
      </c>
    </row>
    <row r="1516" spans="1:86" x14ac:dyDescent="0.2">
      <c r="A1516" t="s">
        <v>5470</v>
      </c>
      <c r="B1516" t="s">
        <v>5470</v>
      </c>
      <c r="C1516">
        <v>54498</v>
      </c>
      <c r="D1516">
        <v>1643</v>
      </c>
      <c r="E1516" t="s">
        <v>4006</v>
      </c>
      <c r="F1516">
        <v>2700</v>
      </c>
      <c r="G1516" t="s">
        <v>411</v>
      </c>
      <c r="H1516" t="s">
        <v>4004</v>
      </c>
      <c r="I1516" t="s">
        <v>2531</v>
      </c>
      <c r="J1516">
        <v>2701</v>
      </c>
      <c r="K1516" t="s">
        <v>2531</v>
      </c>
      <c r="L1516">
        <v>2100</v>
      </c>
      <c r="M1516" t="s">
        <v>123</v>
      </c>
      <c r="N1516">
        <v>2110</v>
      </c>
      <c r="O1516" t="s">
        <v>1671</v>
      </c>
      <c r="P1516" t="s">
        <v>3108</v>
      </c>
      <c r="Q1516" t="s">
        <v>3249</v>
      </c>
      <c r="R1516" t="s">
        <v>3249</v>
      </c>
      <c r="S1516" t="s">
        <v>810</v>
      </c>
      <c r="T1516" t="s">
        <v>2754</v>
      </c>
      <c r="U1516" t="s">
        <v>3250</v>
      </c>
      <c r="V1516" t="s">
        <v>3250</v>
      </c>
      <c r="W1516" t="s">
        <v>3250</v>
      </c>
      <c r="X1516" t="s">
        <v>3250</v>
      </c>
      <c r="Y1516" t="s">
        <v>3250</v>
      </c>
      <c r="Z1516" t="s">
        <v>3250</v>
      </c>
      <c r="AA1516" t="s">
        <v>3108</v>
      </c>
      <c r="AB1516" t="s">
        <v>3108</v>
      </c>
      <c r="AC1516" t="s">
        <v>3250</v>
      </c>
      <c r="AD1516" t="s">
        <v>3250</v>
      </c>
      <c r="AE1516" t="s">
        <v>3250</v>
      </c>
      <c r="AF1516" t="s">
        <v>3250</v>
      </c>
      <c r="AG1516" t="s">
        <v>3250</v>
      </c>
      <c r="AH1516" t="s">
        <v>3250</v>
      </c>
      <c r="AI1516" t="s">
        <v>3250</v>
      </c>
      <c r="AJ1516" t="s">
        <v>3250</v>
      </c>
      <c r="AL1516" t="s">
        <v>3250</v>
      </c>
      <c r="AM1516" t="s">
        <v>3250</v>
      </c>
      <c r="AN1516" t="s">
        <v>3250</v>
      </c>
      <c r="AO1516" t="s">
        <v>3250</v>
      </c>
      <c r="AS1516" t="s">
        <v>3250</v>
      </c>
      <c r="AT1516" t="s">
        <v>3250</v>
      </c>
      <c r="AU1516" t="s">
        <v>3250</v>
      </c>
      <c r="AV1516" t="s">
        <v>3250</v>
      </c>
      <c r="AW1516" t="s">
        <v>3250</v>
      </c>
      <c r="AX1516" t="s">
        <v>3250</v>
      </c>
      <c r="AY1516" t="s">
        <v>3250</v>
      </c>
      <c r="AZ1516" t="s">
        <v>3250</v>
      </c>
      <c r="BA1516" t="s">
        <v>3250</v>
      </c>
      <c r="BB1516" t="s">
        <v>3250</v>
      </c>
      <c r="BC1516" t="s">
        <v>3250</v>
      </c>
      <c r="BE1516" t="s">
        <v>3250</v>
      </c>
      <c r="BF1516" t="s">
        <v>3250</v>
      </c>
      <c r="BG1516" t="s">
        <v>3250</v>
      </c>
      <c r="BH1516" t="s">
        <v>3250</v>
      </c>
      <c r="BI1516" t="s">
        <v>3250</v>
      </c>
      <c r="BK1516" t="s">
        <v>3250</v>
      </c>
      <c r="BL1516" t="s">
        <v>3250</v>
      </c>
      <c r="BM1516" t="s">
        <v>3250</v>
      </c>
      <c r="BN1516" t="s">
        <v>3250</v>
      </c>
      <c r="BP1516">
        <v>5</v>
      </c>
      <c r="BQ1516">
        <v>52</v>
      </c>
      <c r="BR1516" t="s">
        <v>1671</v>
      </c>
      <c r="BS1516" t="s">
        <v>4136</v>
      </c>
      <c r="BV1516">
        <v>49500</v>
      </c>
      <c r="BW1516">
        <v>0</v>
      </c>
      <c r="BX1516">
        <v>0</v>
      </c>
      <c r="BY1516">
        <v>60000</v>
      </c>
      <c r="BZ1516">
        <v>0</v>
      </c>
      <c r="CA1516">
        <v>80000</v>
      </c>
      <c r="CB1516">
        <v>83200</v>
      </c>
      <c r="CC1516">
        <v>86528</v>
      </c>
      <c r="CD1516">
        <v>0</v>
      </c>
      <c r="CE1516" t="s">
        <v>3108</v>
      </c>
      <c r="CF1516" t="s">
        <v>3108</v>
      </c>
      <c r="CG1516" t="s">
        <v>3108</v>
      </c>
      <c r="CH1516" t="s">
        <v>3108</v>
      </c>
    </row>
    <row r="1517" spans="1:86" x14ac:dyDescent="0.2">
      <c r="A1517" t="s">
        <v>5471</v>
      </c>
      <c r="B1517" t="s">
        <v>5471</v>
      </c>
      <c r="C1517">
        <v>54499</v>
      </c>
      <c r="D1517">
        <v>1627</v>
      </c>
      <c r="E1517" t="s">
        <v>5472</v>
      </c>
      <c r="F1517">
        <v>2700</v>
      </c>
      <c r="G1517" t="s">
        <v>411</v>
      </c>
      <c r="H1517" t="s">
        <v>4004</v>
      </c>
      <c r="I1517" t="s">
        <v>2531</v>
      </c>
      <c r="J1517">
        <v>2701</v>
      </c>
      <c r="K1517" t="s">
        <v>2531</v>
      </c>
      <c r="L1517">
        <v>1200</v>
      </c>
      <c r="M1517" t="s">
        <v>2368</v>
      </c>
      <c r="N1517">
        <v>1201</v>
      </c>
      <c r="O1517" t="s">
        <v>2370</v>
      </c>
      <c r="P1517" t="s">
        <v>3108</v>
      </c>
      <c r="Q1517" t="s">
        <v>3249</v>
      </c>
      <c r="R1517" t="s">
        <v>3249</v>
      </c>
      <c r="S1517" t="s">
        <v>810</v>
      </c>
      <c r="T1517" t="s">
        <v>2754</v>
      </c>
      <c r="U1517" t="s">
        <v>3250</v>
      </c>
      <c r="V1517" t="s">
        <v>3250</v>
      </c>
      <c r="W1517" t="s">
        <v>3250</v>
      </c>
      <c r="X1517" t="s">
        <v>3250</v>
      </c>
      <c r="Y1517" t="s">
        <v>3250</v>
      </c>
      <c r="Z1517" t="s">
        <v>3250</v>
      </c>
      <c r="AA1517" t="s">
        <v>3108</v>
      </c>
      <c r="AB1517" t="s">
        <v>3108</v>
      </c>
      <c r="AC1517" t="s">
        <v>3250</v>
      </c>
      <c r="AD1517" t="s">
        <v>3250</v>
      </c>
      <c r="AE1517" t="s">
        <v>3250</v>
      </c>
      <c r="AF1517" t="s">
        <v>3250</v>
      </c>
      <c r="AG1517" t="s">
        <v>3250</v>
      </c>
      <c r="AH1517" t="s">
        <v>3250</v>
      </c>
      <c r="AI1517" t="s">
        <v>3250</v>
      </c>
      <c r="AJ1517" t="s">
        <v>3250</v>
      </c>
      <c r="AL1517" t="s">
        <v>3250</v>
      </c>
      <c r="AM1517" t="s">
        <v>3250</v>
      </c>
      <c r="AN1517" t="s">
        <v>3250</v>
      </c>
      <c r="AO1517" t="s">
        <v>3250</v>
      </c>
      <c r="AS1517" t="s">
        <v>3250</v>
      </c>
      <c r="AT1517" t="s">
        <v>3250</v>
      </c>
      <c r="AU1517" t="s">
        <v>3250</v>
      </c>
      <c r="AV1517" t="s">
        <v>3250</v>
      </c>
      <c r="AW1517" t="s">
        <v>3250</v>
      </c>
      <c r="AX1517" t="s">
        <v>3250</v>
      </c>
      <c r="AY1517" t="s">
        <v>3250</v>
      </c>
      <c r="AZ1517" t="s">
        <v>3250</v>
      </c>
      <c r="BA1517" t="s">
        <v>3250</v>
      </c>
      <c r="BB1517" t="s">
        <v>3250</v>
      </c>
      <c r="BC1517" t="s">
        <v>3250</v>
      </c>
      <c r="BE1517" t="s">
        <v>3250</v>
      </c>
      <c r="BF1517" t="s">
        <v>3250</v>
      </c>
      <c r="BG1517" t="s">
        <v>3250</v>
      </c>
      <c r="BH1517" t="s">
        <v>3250</v>
      </c>
      <c r="BI1517" t="s">
        <v>3250</v>
      </c>
      <c r="BK1517" t="s">
        <v>3250</v>
      </c>
      <c r="BL1517" t="s">
        <v>3250</v>
      </c>
      <c r="BM1517" t="s">
        <v>3250</v>
      </c>
      <c r="BN1517" t="s">
        <v>3250</v>
      </c>
      <c r="BP1517">
        <v>1</v>
      </c>
      <c r="BQ1517">
        <v>14</v>
      </c>
      <c r="BR1517" t="s">
        <v>2370</v>
      </c>
      <c r="BS1517" t="s">
        <v>3252</v>
      </c>
      <c r="BV1517">
        <v>0</v>
      </c>
      <c r="BW1517">
        <v>0</v>
      </c>
      <c r="BX1517">
        <v>0</v>
      </c>
      <c r="BY1517">
        <v>0</v>
      </c>
      <c r="BZ1517">
        <v>0</v>
      </c>
      <c r="CA1517">
        <v>0</v>
      </c>
      <c r="CB1517">
        <v>0</v>
      </c>
      <c r="CC1517">
        <v>0</v>
      </c>
      <c r="CD1517">
        <v>0</v>
      </c>
      <c r="CE1517" t="s">
        <v>3108</v>
      </c>
      <c r="CF1517" t="s">
        <v>3108</v>
      </c>
      <c r="CG1517" t="s">
        <v>3108</v>
      </c>
      <c r="CH1517" t="s">
        <v>3108</v>
      </c>
    </row>
    <row r="1518" spans="1:86" x14ac:dyDescent="0.2">
      <c r="A1518" t="s">
        <v>5473</v>
      </c>
      <c r="B1518" t="s">
        <v>5473</v>
      </c>
      <c r="C1518">
        <v>54500</v>
      </c>
      <c r="D1518">
        <v>1644</v>
      </c>
      <c r="E1518" t="s">
        <v>5441</v>
      </c>
      <c r="F1518">
        <v>2700</v>
      </c>
      <c r="G1518" t="s">
        <v>411</v>
      </c>
      <c r="H1518" t="s">
        <v>3837</v>
      </c>
      <c r="I1518" t="s">
        <v>2532</v>
      </c>
      <c r="J1518">
        <v>2702</v>
      </c>
      <c r="K1518" t="s">
        <v>2532</v>
      </c>
      <c r="L1518">
        <v>1100</v>
      </c>
      <c r="M1518" t="s">
        <v>119</v>
      </c>
      <c r="N1518">
        <v>1120</v>
      </c>
      <c r="O1518" t="s">
        <v>2367</v>
      </c>
      <c r="P1518" t="s">
        <v>3108</v>
      </c>
      <c r="Q1518" t="s">
        <v>3249</v>
      </c>
      <c r="R1518" t="s">
        <v>3249</v>
      </c>
      <c r="S1518" t="s">
        <v>810</v>
      </c>
      <c r="T1518" t="s">
        <v>2754</v>
      </c>
      <c r="U1518" t="s">
        <v>3250</v>
      </c>
      <c r="V1518" t="s">
        <v>3250</v>
      </c>
      <c r="W1518" t="s">
        <v>3250</v>
      </c>
      <c r="X1518" t="s">
        <v>3250</v>
      </c>
      <c r="Y1518" t="s">
        <v>3250</v>
      </c>
      <c r="Z1518" t="s">
        <v>3250</v>
      </c>
      <c r="AA1518" t="s">
        <v>3108</v>
      </c>
      <c r="AB1518" t="s">
        <v>3108</v>
      </c>
      <c r="AC1518" t="s">
        <v>3250</v>
      </c>
      <c r="AD1518" t="s">
        <v>3250</v>
      </c>
      <c r="AE1518" t="s">
        <v>3250</v>
      </c>
      <c r="AF1518" t="s">
        <v>3250</v>
      </c>
      <c r="AG1518" t="s">
        <v>3250</v>
      </c>
      <c r="AH1518" t="s">
        <v>3250</v>
      </c>
      <c r="AI1518" t="s">
        <v>3250</v>
      </c>
      <c r="AJ1518" t="s">
        <v>3250</v>
      </c>
      <c r="AL1518" t="s">
        <v>3250</v>
      </c>
      <c r="AM1518" t="s">
        <v>3250</v>
      </c>
      <c r="AN1518" t="s">
        <v>3250</v>
      </c>
      <c r="AO1518" t="s">
        <v>3250</v>
      </c>
      <c r="AS1518" t="s">
        <v>3250</v>
      </c>
      <c r="AT1518" t="s">
        <v>3250</v>
      </c>
      <c r="AU1518" t="s">
        <v>3250</v>
      </c>
      <c r="AV1518" t="s">
        <v>3250</v>
      </c>
      <c r="AW1518" t="s">
        <v>3250</v>
      </c>
      <c r="AX1518" t="s">
        <v>3250</v>
      </c>
      <c r="AY1518" t="s">
        <v>3250</v>
      </c>
      <c r="AZ1518" t="s">
        <v>3250</v>
      </c>
      <c r="BA1518" t="s">
        <v>3250</v>
      </c>
      <c r="BB1518" t="s">
        <v>3250</v>
      </c>
      <c r="BC1518" t="s">
        <v>3250</v>
      </c>
      <c r="BE1518" t="s">
        <v>3250</v>
      </c>
      <c r="BF1518" t="s">
        <v>3250</v>
      </c>
      <c r="BG1518" t="s">
        <v>3250</v>
      </c>
      <c r="BH1518" t="s">
        <v>3250</v>
      </c>
      <c r="BI1518" t="s">
        <v>3250</v>
      </c>
      <c r="BK1518" t="s">
        <v>3250</v>
      </c>
      <c r="BL1518" t="s">
        <v>3250</v>
      </c>
      <c r="BM1518" t="s">
        <v>3250</v>
      </c>
      <c r="BN1518" t="s">
        <v>3250</v>
      </c>
      <c r="BP1518">
        <v>3</v>
      </c>
      <c r="BQ1518">
        <v>31</v>
      </c>
      <c r="BR1518" t="s">
        <v>2367</v>
      </c>
      <c r="BS1518" t="s">
        <v>4381</v>
      </c>
      <c r="BV1518">
        <v>0</v>
      </c>
      <c r="BW1518">
        <v>0</v>
      </c>
      <c r="BX1518">
        <v>0</v>
      </c>
      <c r="BY1518">
        <v>0</v>
      </c>
      <c r="BZ1518">
        <v>0</v>
      </c>
      <c r="CA1518">
        <v>0</v>
      </c>
      <c r="CB1518">
        <v>0</v>
      </c>
      <c r="CC1518">
        <v>0</v>
      </c>
      <c r="CD1518">
        <v>0</v>
      </c>
      <c r="CE1518" t="s">
        <v>3108</v>
      </c>
      <c r="CF1518" t="s">
        <v>3108</v>
      </c>
      <c r="CG1518" t="s">
        <v>3108</v>
      </c>
      <c r="CH1518" t="s">
        <v>3108</v>
      </c>
    </row>
    <row r="1519" spans="1:86" x14ac:dyDescent="0.2">
      <c r="A1519" t="s">
        <v>5474</v>
      </c>
      <c r="B1519" t="s">
        <v>5474</v>
      </c>
      <c r="C1519">
        <v>54501</v>
      </c>
      <c r="D1519">
        <v>1645</v>
      </c>
      <c r="E1519" t="s">
        <v>4006</v>
      </c>
      <c r="F1519">
        <v>2700</v>
      </c>
      <c r="G1519" t="s">
        <v>411</v>
      </c>
      <c r="H1519" t="s">
        <v>4004</v>
      </c>
      <c r="I1519" t="s">
        <v>2531</v>
      </c>
      <c r="J1519">
        <v>2701</v>
      </c>
      <c r="K1519" t="s">
        <v>2531</v>
      </c>
      <c r="L1519">
        <v>2100</v>
      </c>
      <c r="M1519" t="s">
        <v>123</v>
      </c>
      <c r="N1519">
        <v>2118</v>
      </c>
      <c r="O1519" t="s">
        <v>2409</v>
      </c>
      <c r="P1519" t="s">
        <v>3108</v>
      </c>
      <c r="Q1519" t="s">
        <v>3249</v>
      </c>
      <c r="R1519" t="s">
        <v>3249</v>
      </c>
      <c r="S1519" t="s">
        <v>810</v>
      </c>
      <c r="T1519" t="s">
        <v>2754</v>
      </c>
      <c r="U1519" t="s">
        <v>3250</v>
      </c>
      <c r="V1519" t="s">
        <v>3250</v>
      </c>
      <c r="W1519" t="s">
        <v>3250</v>
      </c>
      <c r="X1519" t="s">
        <v>3250</v>
      </c>
      <c r="Y1519" t="s">
        <v>3250</v>
      </c>
      <c r="Z1519" t="s">
        <v>3250</v>
      </c>
      <c r="AA1519" t="s">
        <v>3108</v>
      </c>
      <c r="AB1519" t="s">
        <v>3108</v>
      </c>
      <c r="AC1519" t="s">
        <v>3250</v>
      </c>
      <c r="AD1519" t="s">
        <v>3250</v>
      </c>
      <c r="AE1519" t="s">
        <v>3250</v>
      </c>
      <c r="AF1519" t="s">
        <v>3250</v>
      </c>
      <c r="AG1519" t="s">
        <v>3250</v>
      </c>
      <c r="AH1519" t="s">
        <v>3250</v>
      </c>
      <c r="AI1519" t="s">
        <v>3250</v>
      </c>
      <c r="AJ1519" t="s">
        <v>3250</v>
      </c>
      <c r="AL1519" t="s">
        <v>3250</v>
      </c>
      <c r="AM1519" t="s">
        <v>3250</v>
      </c>
      <c r="AN1519" t="s">
        <v>3250</v>
      </c>
      <c r="AO1519" t="s">
        <v>3250</v>
      </c>
      <c r="AS1519" t="s">
        <v>3250</v>
      </c>
      <c r="AT1519" t="s">
        <v>3250</v>
      </c>
      <c r="AU1519" t="s">
        <v>3250</v>
      </c>
      <c r="AV1519" t="s">
        <v>3250</v>
      </c>
      <c r="AW1519" t="s">
        <v>3250</v>
      </c>
      <c r="AX1519" t="s">
        <v>3250</v>
      </c>
      <c r="AY1519" t="s">
        <v>3250</v>
      </c>
      <c r="AZ1519" t="s">
        <v>3250</v>
      </c>
      <c r="BA1519" t="s">
        <v>3250</v>
      </c>
      <c r="BB1519" t="s">
        <v>3250</v>
      </c>
      <c r="BC1519" t="s">
        <v>3250</v>
      </c>
      <c r="BE1519" t="s">
        <v>3250</v>
      </c>
      <c r="BF1519" t="s">
        <v>3250</v>
      </c>
      <c r="BG1519" t="s">
        <v>3250</v>
      </c>
      <c r="BH1519" t="s">
        <v>3250</v>
      </c>
      <c r="BI1519" t="s">
        <v>3250</v>
      </c>
      <c r="BK1519" t="s">
        <v>3250</v>
      </c>
      <c r="BL1519" t="s">
        <v>3250</v>
      </c>
      <c r="BM1519" t="s">
        <v>3250</v>
      </c>
      <c r="BN1519" t="s">
        <v>3250</v>
      </c>
      <c r="BP1519">
        <v>4</v>
      </c>
      <c r="BQ1519">
        <v>43</v>
      </c>
      <c r="BR1519" t="s">
        <v>2409</v>
      </c>
      <c r="BS1519" t="s">
        <v>4024</v>
      </c>
      <c r="BV1519">
        <v>0</v>
      </c>
      <c r="BW1519">
        <v>9000</v>
      </c>
      <c r="BX1519">
        <v>0</v>
      </c>
      <c r="BY1519">
        <v>0</v>
      </c>
      <c r="BZ1519">
        <v>0</v>
      </c>
      <c r="CA1519">
        <v>60000</v>
      </c>
      <c r="CB1519">
        <v>62400</v>
      </c>
      <c r="CC1519">
        <v>64896</v>
      </c>
      <c r="CD1519">
        <v>0</v>
      </c>
      <c r="CE1519" t="s">
        <v>3108</v>
      </c>
      <c r="CF1519" t="s">
        <v>3108</v>
      </c>
      <c r="CG1519" t="s">
        <v>3108</v>
      </c>
      <c r="CH1519" t="s">
        <v>3108</v>
      </c>
    </row>
    <row r="1520" spans="1:86" x14ac:dyDescent="0.2">
      <c r="A1520" t="s">
        <v>5475</v>
      </c>
      <c r="B1520" t="s">
        <v>5475</v>
      </c>
      <c r="C1520">
        <v>54502</v>
      </c>
      <c r="D1520">
        <v>1646</v>
      </c>
      <c r="E1520" t="s">
        <v>4003</v>
      </c>
      <c r="F1520">
        <v>2700</v>
      </c>
      <c r="G1520" t="s">
        <v>411</v>
      </c>
      <c r="H1520" t="s">
        <v>4004</v>
      </c>
      <c r="I1520" t="s">
        <v>2531</v>
      </c>
      <c r="J1520">
        <v>2701</v>
      </c>
      <c r="K1520" t="s">
        <v>2531</v>
      </c>
      <c r="L1520">
        <v>2100</v>
      </c>
      <c r="M1520" t="s">
        <v>123</v>
      </c>
      <c r="N1520">
        <v>2118</v>
      </c>
      <c r="O1520" t="s">
        <v>2409</v>
      </c>
      <c r="P1520" t="s">
        <v>3108</v>
      </c>
      <c r="Q1520" t="s">
        <v>3249</v>
      </c>
      <c r="R1520" t="s">
        <v>3249</v>
      </c>
      <c r="S1520" t="s">
        <v>810</v>
      </c>
      <c r="T1520" t="s">
        <v>2754</v>
      </c>
      <c r="U1520" t="s">
        <v>3250</v>
      </c>
      <c r="V1520" t="s">
        <v>3250</v>
      </c>
      <c r="W1520" t="s">
        <v>3250</v>
      </c>
      <c r="X1520" t="s">
        <v>3250</v>
      </c>
      <c r="Y1520" t="s">
        <v>3250</v>
      </c>
      <c r="Z1520" t="s">
        <v>3250</v>
      </c>
      <c r="AA1520" t="s">
        <v>3108</v>
      </c>
      <c r="AB1520" t="s">
        <v>3108</v>
      </c>
      <c r="AC1520" t="s">
        <v>3250</v>
      </c>
      <c r="AD1520" t="s">
        <v>3250</v>
      </c>
      <c r="AE1520" t="s">
        <v>3250</v>
      </c>
      <c r="AF1520" t="s">
        <v>3250</v>
      </c>
      <c r="AG1520" t="s">
        <v>3250</v>
      </c>
      <c r="AH1520" t="s">
        <v>3250</v>
      </c>
      <c r="AI1520" t="s">
        <v>3250</v>
      </c>
      <c r="AJ1520" t="s">
        <v>3250</v>
      </c>
      <c r="AL1520" t="s">
        <v>3250</v>
      </c>
      <c r="AM1520" t="s">
        <v>3250</v>
      </c>
      <c r="AN1520" t="s">
        <v>3250</v>
      </c>
      <c r="AO1520" t="s">
        <v>3250</v>
      </c>
      <c r="AS1520" t="s">
        <v>3250</v>
      </c>
      <c r="AT1520" t="s">
        <v>3250</v>
      </c>
      <c r="AU1520" t="s">
        <v>3250</v>
      </c>
      <c r="AV1520" t="s">
        <v>3250</v>
      </c>
      <c r="AW1520" t="s">
        <v>3250</v>
      </c>
      <c r="AX1520" t="s">
        <v>3250</v>
      </c>
      <c r="AY1520" t="s">
        <v>3250</v>
      </c>
      <c r="AZ1520" t="s">
        <v>3250</v>
      </c>
      <c r="BA1520" t="s">
        <v>3250</v>
      </c>
      <c r="BB1520" t="s">
        <v>3250</v>
      </c>
      <c r="BC1520" t="s">
        <v>3250</v>
      </c>
      <c r="BE1520" t="s">
        <v>3250</v>
      </c>
      <c r="BF1520" t="s">
        <v>3250</v>
      </c>
      <c r="BG1520" t="s">
        <v>3250</v>
      </c>
      <c r="BH1520" t="s">
        <v>3250</v>
      </c>
      <c r="BI1520" t="s">
        <v>3250</v>
      </c>
      <c r="BK1520" t="s">
        <v>3250</v>
      </c>
      <c r="BL1520" t="s">
        <v>3250</v>
      </c>
      <c r="BM1520" t="s">
        <v>3250</v>
      </c>
      <c r="BN1520" t="s">
        <v>3250</v>
      </c>
      <c r="BP1520">
        <v>4</v>
      </c>
      <c r="BQ1520">
        <v>43</v>
      </c>
      <c r="BR1520" t="s">
        <v>2409</v>
      </c>
      <c r="BS1520" t="s">
        <v>4024</v>
      </c>
      <c r="BV1520">
        <v>0</v>
      </c>
      <c r="BW1520">
        <v>6800</v>
      </c>
      <c r="BX1520">
        <v>0</v>
      </c>
      <c r="BY1520">
        <v>0</v>
      </c>
      <c r="BZ1520">
        <v>0</v>
      </c>
      <c r="CA1520">
        <v>30000</v>
      </c>
      <c r="CB1520">
        <v>31200</v>
      </c>
      <c r="CC1520">
        <v>32448</v>
      </c>
      <c r="CD1520">
        <v>163650</v>
      </c>
      <c r="CE1520" t="s">
        <v>3108</v>
      </c>
      <c r="CF1520" t="s">
        <v>3108</v>
      </c>
      <c r="CG1520" t="s">
        <v>3108</v>
      </c>
      <c r="CH1520" t="s">
        <v>3108</v>
      </c>
    </row>
    <row r="1521" spans="1:86" x14ac:dyDescent="0.2">
      <c r="A1521" t="s">
        <v>5476</v>
      </c>
      <c r="B1521" t="s">
        <v>5476</v>
      </c>
      <c r="C1521">
        <v>54503</v>
      </c>
      <c r="D1521">
        <v>1639</v>
      </c>
      <c r="E1521" t="s">
        <v>4010</v>
      </c>
      <c r="F1521">
        <v>2900</v>
      </c>
      <c r="G1521" t="s">
        <v>822</v>
      </c>
      <c r="H1521" t="s">
        <v>3108</v>
      </c>
      <c r="I1521" t="s">
        <v>3108</v>
      </c>
      <c r="J1521">
        <v>2904</v>
      </c>
      <c r="K1521" t="s">
        <v>1690</v>
      </c>
      <c r="L1521">
        <v>1200</v>
      </c>
      <c r="M1521" t="s">
        <v>2368</v>
      </c>
      <c r="N1521">
        <v>1201</v>
      </c>
      <c r="O1521" t="s">
        <v>2370</v>
      </c>
      <c r="P1521" t="s">
        <v>3108</v>
      </c>
      <c r="Q1521" t="s">
        <v>3249</v>
      </c>
      <c r="R1521" t="s">
        <v>3249</v>
      </c>
      <c r="S1521" t="s">
        <v>810</v>
      </c>
      <c r="T1521" t="s">
        <v>2754</v>
      </c>
      <c r="U1521" t="s">
        <v>3250</v>
      </c>
      <c r="V1521" t="s">
        <v>3250</v>
      </c>
      <c r="W1521" t="s">
        <v>3250</v>
      </c>
      <c r="X1521" t="s">
        <v>3250</v>
      </c>
      <c r="Y1521" t="s">
        <v>3250</v>
      </c>
      <c r="Z1521" t="s">
        <v>3250</v>
      </c>
      <c r="AA1521" t="s">
        <v>3108</v>
      </c>
      <c r="AB1521" t="s">
        <v>3108</v>
      </c>
      <c r="AC1521" t="s">
        <v>3250</v>
      </c>
      <c r="AD1521" t="s">
        <v>3250</v>
      </c>
      <c r="AE1521" t="s">
        <v>3250</v>
      </c>
      <c r="AF1521" t="s">
        <v>3250</v>
      </c>
      <c r="AG1521" t="s">
        <v>3250</v>
      </c>
      <c r="AH1521" t="s">
        <v>3250</v>
      </c>
      <c r="AI1521" t="s">
        <v>3250</v>
      </c>
      <c r="AJ1521" t="s">
        <v>3250</v>
      </c>
      <c r="AL1521" t="s">
        <v>3250</v>
      </c>
      <c r="AM1521" t="s">
        <v>3250</v>
      </c>
      <c r="AN1521" t="s">
        <v>3250</v>
      </c>
      <c r="AO1521" t="s">
        <v>3250</v>
      </c>
      <c r="AS1521" t="s">
        <v>3250</v>
      </c>
      <c r="AT1521" t="s">
        <v>3250</v>
      </c>
      <c r="AU1521" t="s">
        <v>3250</v>
      </c>
      <c r="AV1521" t="s">
        <v>3250</v>
      </c>
      <c r="AW1521" t="s">
        <v>3250</v>
      </c>
      <c r="AX1521" t="s">
        <v>3250</v>
      </c>
      <c r="AY1521" t="s">
        <v>3250</v>
      </c>
      <c r="AZ1521" t="s">
        <v>3250</v>
      </c>
      <c r="BA1521" t="s">
        <v>3250</v>
      </c>
      <c r="BB1521" t="s">
        <v>3250</v>
      </c>
      <c r="BC1521" t="s">
        <v>3250</v>
      </c>
      <c r="BE1521" t="s">
        <v>3250</v>
      </c>
      <c r="BF1521" t="s">
        <v>3250</v>
      </c>
      <c r="BG1521" t="s">
        <v>3250</v>
      </c>
      <c r="BH1521" t="s">
        <v>3250</v>
      </c>
      <c r="BI1521" t="s">
        <v>3250</v>
      </c>
      <c r="BK1521" t="s">
        <v>3250</v>
      </c>
      <c r="BL1521" t="s">
        <v>3250</v>
      </c>
      <c r="BM1521" t="s">
        <v>3250</v>
      </c>
      <c r="BN1521" t="s">
        <v>3250</v>
      </c>
      <c r="BP1521">
        <v>1</v>
      </c>
      <c r="BQ1521">
        <v>14</v>
      </c>
      <c r="BR1521" t="s">
        <v>2370</v>
      </c>
      <c r="BS1521" t="s">
        <v>3252</v>
      </c>
      <c r="BV1521">
        <v>0</v>
      </c>
      <c r="BW1521">
        <v>6400</v>
      </c>
      <c r="BX1521">
        <v>0</v>
      </c>
      <c r="BY1521">
        <v>20000</v>
      </c>
      <c r="BZ1521">
        <v>10000</v>
      </c>
      <c r="CA1521">
        <v>10390</v>
      </c>
      <c r="CB1521">
        <v>10806</v>
      </c>
      <c r="CC1521">
        <v>11238</v>
      </c>
      <c r="CD1521">
        <v>0</v>
      </c>
      <c r="CE1521" t="s">
        <v>3108</v>
      </c>
      <c r="CF1521" t="s">
        <v>3108</v>
      </c>
      <c r="CG1521" t="s">
        <v>3108</v>
      </c>
      <c r="CH1521" t="s">
        <v>3108</v>
      </c>
    </row>
    <row r="1522" spans="1:86" x14ac:dyDescent="0.2">
      <c r="A1522" t="s">
        <v>5477</v>
      </c>
      <c r="B1522" t="s">
        <v>5477</v>
      </c>
      <c r="C1522">
        <v>54504</v>
      </c>
      <c r="D1522">
        <v>1647</v>
      </c>
      <c r="E1522" t="s">
        <v>4326</v>
      </c>
      <c r="F1522">
        <v>2700</v>
      </c>
      <c r="G1522" t="s">
        <v>411</v>
      </c>
      <c r="H1522" t="s">
        <v>4004</v>
      </c>
      <c r="I1522" t="s">
        <v>2531</v>
      </c>
      <c r="J1522">
        <v>2701</v>
      </c>
      <c r="K1522" t="s">
        <v>2531</v>
      </c>
      <c r="L1522">
        <v>1200</v>
      </c>
      <c r="M1522" t="s">
        <v>2368</v>
      </c>
      <c r="N1522">
        <v>1207</v>
      </c>
      <c r="O1522" t="s">
        <v>286</v>
      </c>
      <c r="P1522" t="s">
        <v>3108</v>
      </c>
      <c r="Q1522" t="s">
        <v>3249</v>
      </c>
      <c r="R1522" t="s">
        <v>3249</v>
      </c>
      <c r="S1522" t="s">
        <v>810</v>
      </c>
      <c r="T1522" t="s">
        <v>2754</v>
      </c>
      <c r="U1522" t="s">
        <v>3250</v>
      </c>
      <c r="V1522" t="s">
        <v>3250</v>
      </c>
      <c r="W1522" t="s">
        <v>3250</v>
      </c>
      <c r="X1522" t="s">
        <v>3250</v>
      </c>
      <c r="Y1522" t="s">
        <v>3250</v>
      </c>
      <c r="Z1522" t="s">
        <v>3250</v>
      </c>
      <c r="AA1522" t="s">
        <v>3108</v>
      </c>
      <c r="AB1522" t="s">
        <v>3108</v>
      </c>
      <c r="AC1522" t="s">
        <v>3250</v>
      </c>
      <c r="AD1522" t="s">
        <v>3250</v>
      </c>
      <c r="AE1522" t="s">
        <v>3250</v>
      </c>
      <c r="AF1522" t="s">
        <v>3250</v>
      </c>
      <c r="AG1522" t="s">
        <v>3250</v>
      </c>
      <c r="AH1522" t="s">
        <v>3250</v>
      </c>
      <c r="AI1522" t="s">
        <v>3250</v>
      </c>
      <c r="AJ1522" t="s">
        <v>3250</v>
      </c>
      <c r="AL1522" t="s">
        <v>3250</v>
      </c>
      <c r="AM1522" t="s">
        <v>3250</v>
      </c>
      <c r="AN1522" t="s">
        <v>3250</v>
      </c>
      <c r="AO1522" t="s">
        <v>3250</v>
      </c>
      <c r="AS1522" t="s">
        <v>3250</v>
      </c>
      <c r="AT1522" t="s">
        <v>3250</v>
      </c>
      <c r="AU1522" t="s">
        <v>3250</v>
      </c>
      <c r="AV1522" t="s">
        <v>3250</v>
      </c>
      <c r="AW1522" t="s">
        <v>3250</v>
      </c>
      <c r="AX1522" t="s">
        <v>3250</v>
      </c>
      <c r="AY1522" t="s">
        <v>3250</v>
      </c>
      <c r="AZ1522" t="s">
        <v>3250</v>
      </c>
      <c r="BA1522" t="s">
        <v>3250</v>
      </c>
      <c r="BB1522" t="s">
        <v>3250</v>
      </c>
      <c r="BC1522" t="s">
        <v>3250</v>
      </c>
      <c r="BE1522" t="s">
        <v>3250</v>
      </c>
      <c r="BF1522" t="s">
        <v>3250</v>
      </c>
      <c r="BG1522" t="s">
        <v>3250</v>
      </c>
      <c r="BH1522" t="s">
        <v>3250</v>
      </c>
      <c r="BI1522" t="s">
        <v>3250</v>
      </c>
      <c r="BK1522" t="s">
        <v>3250</v>
      </c>
      <c r="BL1522" t="s">
        <v>3250</v>
      </c>
      <c r="BM1522" t="s">
        <v>3250</v>
      </c>
      <c r="BN1522" t="s">
        <v>3250</v>
      </c>
      <c r="BP1522">
        <v>1</v>
      </c>
      <c r="BQ1522">
        <v>18</v>
      </c>
      <c r="BR1522" t="s">
        <v>286</v>
      </c>
      <c r="BS1522" t="s">
        <v>3252</v>
      </c>
      <c r="BV1522">
        <v>1210882</v>
      </c>
      <c r="BW1522">
        <v>97926</v>
      </c>
      <c r="BX1522">
        <v>0</v>
      </c>
      <c r="BY1522">
        <v>200000</v>
      </c>
      <c r="BZ1522">
        <v>70000</v>
      </c>
      <c r="CA1522">
        <v>72730</v>
      </c>
      <c r="CB1522">
        <v>75639</v>
      </c>
      <c r="CC1522">
        <v>78665</v>
      </c>
      <c r="CD1522">
        <v>50922</v>
      </c>
      <c r="CE1522" t="s">
        <v>3108</v>
      </c>
      <c r="CF1522" t="s">
        <v>3108</v>
      </c>
      <c r="CG1522" t="s">
        <v>3108</v>
      </c>
      <c r="CH1522" t="s">
        <v>3108</v>
      </c>
    </row>
    <row r="1523" spans="1:86" x14ac:dyDescent="0.2">
      <c r="A1523" t="s">
        <v>5478</v>
      </c>
      <c r="B1523" t="s">
        <v>5478</v>
      </c>
      <c r="C1523">
        <v>54505</v>
      </c>
      <c r="D1523">
        <v>1648</v>
      </c>
      <c r="E1523" t="s">
        <v>4003</v>
      </c>
      <c r="F1523">
        <v>2700</v>
      </c>
      <c r="G1523" t="s">
        <v>411</v>
      </c>
      <c r="H1523" t="s">
        <v>4004</v>
      </c>
      <c r="I1523" t="s">
        <v>2531</v>
      </c>
      <c r="J1523">
        <v>2701</v>
      </c>
      <c r="K1523" t="s">
        <v>2531</v>
      </c>
      <c r="L1523">
        <v>2100</v>
      </c>
      <c r="M1523" t="s">
        <v>123</v>
      </c>
      <c r="N1523">
        <v>2118</v>
      </c>
      <c r="O1523" t="s">
        <v>2409</v>
      </c>
      <c r="P1523" t="s">
        <v>3108</v>
      </c>
      <c r="Q1523" t="s">
        <v>3249</v>
      </c>
      <c r="R1523" t="s">
        <v>3249</v>
      </c>
      <c r="S1523" t="s">
        <v>810</v>
      </c>
      <c r="T1523" t="s">
        <v>2754</v>
      </c>
      <c r="U1523" t="s">
        <v>3250</v>
      </c>
      <c r="V1523" t="s">
        <v>3250</v>
      </c>
      <c r="W1523" t="s">
        <v>3250</v>
      </c>
      <c r="X1523" t="s">
        <v>3250</v>
      </c>
      <c r="Y1523" t="s">
        <v>3250</v>
      </c>
      <c r="Z1523" t="s">
        <v>3250</v>
      </c>
      <c r="AA1523" t="s">
        <v>3108</v>
      </c>
      <c r="AB1523" t="s">
        <v>3108</v>
      </c>
      <c r="AC1523" t="s">
        <v>3250</v>
      </c>
      <c r="AD1523" t="s">
        <v>3250</v>
      </c>
      <c r="AE1523" t="s">
        <v>3250</v>
      </c>
      <c r="AF1523" t="s">
        <v>3250</v>
      </c>
      <c r="AG1523" t="s">
        <v>3250</v>
      </c>
      <c r="AH1523" t="s">
        <v>3250</v>
      </c>
      <c r="AI1523" t="s">
        <v>3250</v>
      </c>
      <c r="AJ1523" t="s">
        <v>3250</v>
      </c>
      <c r="AL1523" t="s">
        <v>3250</v>
      </c>
      <c r="AM1523" t="s">
        <v>3250</v>
      </c>
      <c r="AN1523" t="s">
        <v>3250</v>
      </c>
      <c r="AO1523" t="s">
        <v>3250</v>
      </c>
      <c r="AS1523" t="s">
        <v>3250</v>
      </c>
      <c r="AT1523" t="s">
        <v>3250</v>
      </c>
      <c r="AU1523" t="s">
        <v>3250</v>
      </c>
      <c r="AV1523" t="s">
        <v>3250</v>
      </c>
      <c r="AW1523" t="s">
        <v>3250</v>
      </c>
      <c r="AX1523" t="s">
        <v>3250</v>
      </c>
      <c r="AY1523" t="s">
        <v>3250</v>
      </c>
      <c r="AZ1523" t="s">
        <v>3250</v>
      </c>
      <c r="BA1523" t="s">
        <v>3250</v>
      </c>
      <c r="BB1523" t="s">
        <v>3250</v>
      </c>
      <c r="BC1523" t="s">
        <v>3250</v>
      </c>
      <c r="BE1523" t="s">
        <v>3250</v>
      </c>
      <c r="BF1523" t="s">
        <v>3250</v>
      </c>
      <c r="BG1523" t="s">
        <v>3250</v>
      </c>
      <c r="BH1523" t="s">
        <v>3250</v>
      </c>
      <c r="BI1523" t="s">
        <v>3250</v>
      </c>
      <c r="BK1523" t="s">
        <v>3250</v>
      </c>
      <c r="BL1523" t="s">
        <v>3250</v>
      </c>
      <c r="BM1523" t="s">
        <v>3250</v>
      </c>
      <c r="BN1523" t="s">
        <v>3250</v>
      </c>
      <c r="BP1523">
        <v>4</v>
      </c>
      <c r="BQ1523">
        <v>43</v>
      </c>
      <c r="BR1523" t="s">
        <v>2409</v>
      </c>
      <c r="BS1523" t="s">
        <v>4024</v>
      </c>
      <c r="BV1523">
        <v>0</v>
      </c>
      <c r="BW1523">
        <v>3800</v>
      </c>
      <c r="BX1523">
        <v>0</v>
      </c>
      <c r="BY1523">
        <v>50000</v>
      </c>
      <c r="BZ1523">
        <v>70300</v>
      </c>
      <c r="CA1523">
        <v>50000</v>
      </c>
      <c r="CB1523">
        <v>52000</v>
      </c>
      <c r="CC1523">
        <v>54080</v>
      </c>
      <c r="CD1523">
        <v>41700</v>
      </c>
      <c r="CE1523" t="s">
        <v>3108</v>
      </c>
      <c r="CF1523" t="s">
        <v>3108</v>
      </c>
      <c r="CG1523" t="s">
        <v>3108</v>
      </c>
      <c r="CH1523" t="s">
        <v>3108</v>
      </c>
    </row>
    <row r="1524" spans="1:86" x14ac:dyDescent="0.2">
      <c r="A1524" t="s">
        <v>5479</v>
      </c>
      <c r="B1524" t="s">
        <v>5479</v>
      </c>
      <c r="C1524">
        <v>54506</v>
      </c>
      <c r="D1524">
        <v>1649</v>
      </c>
      <c r="E1524" t="s">
        <v>4003</v>
      </c>
      <c r="F1524">
        <v>2700</v>
      </c>
      <c r="G1524" t="s">
        <v>411</v>
      </c>
      <c r="H1524" t="s">
        <v>4004</v>
      </c>
      <c r="I1524" t="s">
        <v>2531</v>
      </c>
      <c r="J1524">
        <v>2701</v>
      </c>
      <c r="K1524" t="s">
        <v>2531</v>
      </c>
      <c r="L1524">
        <v>2100</v>
      </c>
      <c r="M1524" t="s">
        <v>123</v>
      </c>
      <c r="N1524">
        <v>2118</v>
      </c>
      <c r="O1524" t="s">
        <v>2409</v>
      </c>
      <c r="P1524" t="s">
        <v>3108</v>
      </c>
      <c r="Q1524" t="s">
        <v>3249</v>
      </c>
      <c r="R1524" t="s">
        <v>3249</v>
      </c>
      <c r="S1524" t="s">
        <v>810</v>
      </c>
      <c r="T1524" t="s">
        <v>2754</v>
      </c>
      <c r="U1524" t="s">
        <v>3250</v>
      </c>
      <c r="V1524" t="s">
        <v>3250</v>
      </c>
      <c r="W1524" t="s">
        <v>3250</v>
      </c>
      <c r="X1524" t="s">
        <v>3250</v>
      </c>
      <c r="Y1524" t="s">
        <v>3250</v>
      </c>
      <c r="Z1524" t="s">
        <v>3250</v>
      </c>
      <c r="AA1524" t="s">
        <v>3108</v>
      </c>
      <c r="AB1524" t="s">
        <v>3108</v>
      </c>
      <c r="AC1524" t="s">
        <v>3250</v>
      </c>
      <c r="AD1524" t="s">
        <v>3250</v>
      </c>
      <c r="AE1524" t="s">
        <v>3250</v>
      </c>
      <c r="AF1524" t="s">
        <v>3250</v>
      </c>
      <c r="AG1524" t="s">
        <v>3250</v>
      </c>
      <c r="AH1524" t="s">
        <v>3250</v>
      </c>
      <c r="AI1524" t="s">
        <v>3250</v>
      </c>
      <c r="AJ1524" t="s">
        <v>3250</v>
      </c>
      <c r="AL1524" t="s">
        <v>3250</v>
      </c>
      <c r="AM1524" t="s">
        <v>3250</v>
      </c>
      <c r="AN1524" t="s">
        <v>3250</v>
      </c>
      <c r="AO1524" t="s">
        <v>3250</v>
      </c>
      <c r="AS1524" t="s">
        <v>3250</v>
      </c>
      <c r="AT1524" t="s">
        <v>3250</v>
      </c>
      <c r="AU1524" t="s">
        <v>3250</v>
      </c>
      <c r="AV1524" t="s">
        <v>3250</v>
      </c>
      <c r="AW1524" t="s">
        <v>3250</v>
      </c>
      <c r="AX1524" t="s">
        <v>3250</v>
      </c>
      <c r="AY1524" t="s">
        <v>3250</v>
      </c>
      <c r="AZ1524" t="s">
        <v>3250</v>
      </c>
      <c r="BA1524" t="s">
        <v>3250</v>
      </c>
      <c r="BB1524" t="s">
        <v>3250</v>
      </c>
      <c r="BC1524" t="s">
        <v>3250</v>
      </c>
      <c r="BE1524" t="s">
        <v>3250</v>
      </c>
      <c r="BF1524" t="s">
        <v>3250</v>
      </c>
      <c r="BG1524" t="s">
        <v>3250</v>
      </c>
      <c r="BH1524" t="s">
        <v>3250</v>
      </c>
      <c r="BI1524" t="s">
        <v>3250</v>
      </c>
      <c r="BK1524" t="s">
        <v>3250</v>
      </c>
      <c r="BL1524" t="s">
        <v>3250</v>
      </c>
      <c r="BM1524" t="s">
        <v>3250</v>
      </c>
      <c r="BN1524" t="s">
        <v>3250</v>
      </c>
      <c r="BP1524">
        <v>4</v>
      </c>
      <c r="BQ1524">
        <v>43</v>
      </c>
      <c r="BR1524" t="s">
        <v>2409</v>
      </c>
      <c r="BS1524" t="s">
        <v>4024</v>
      </c>
      <c r="BV1524">
        <v>0</v>
      </c>
      <c r="BW1524">
        <v>31200</v>
      </c>
      <c r="BX1524">
        <v>0</v>
      </c>
      <c r="BY1524">
        <v>30000</v>
      </c>
      <c r="BZ1524">
        <v>30000</v>
      </c>
      <c r="CA1524">
        <v>50000</v>
      </c>
      <c r="CB1524">
        <v>52000</v>
      </c>
      <c r="CC1524">
        <v>54080</v>
      </c>
      <c r="CD1524">
        <v>0</v>
      </c>
      <c r="CE1524" t="s">
        <v>3108</v>
      </c>
      <c r="CF1524" t="s">
        <v>3108</v>
      </c>
      <c r="CG1524" t="s">
        <v>3108</v>
      </c>
      <c r="CH1524" t="s">
        <v>3108</v>
      </c>
    </row>
    <row r="1525" spans="1:86" x14ac:dyDescent="0.2">
      <c r="A1525" t="s">
        <v>5480</v>
      </c>
      <c r="B1525" t="s">
        <v>5480</v>
      </c>
      <c r="C1525">
        <v>54507</v>
      </c>
      <c r="D1525">
        <v>1650</v>
      </c>
      <c r="E1525" t="s">
        <v>4006</v>
      </c>
      <c r="F1525">
        <v>2700</v>
      </c>
      <c r="G1525" t="s">
        <v>411</v>
      </c>
      <c r="H1525" t="s">
        <v>4004</v>
      </c>
      <c r="I1525" t="s">
        <v>2531</v>
      </c>
      <c r="J1525">
        <v>2701</v>
      </c>
      <c r="K1525" t="s">
        <v>2531</v>
      </c>
      <c r="L1525">
        <v>2100</v>
      </c>
      <c r="M1525" t="s">
        <v>123</v>
      </c>
      <c r="N1525">
        <v>2118</v>
      </c>
      <c r="O1525" t="s">
        <v>2409</v>
      </c>
      <c r="P1525" t="s">
        <v>3108</v>
      </c>
      <c r="Q1525" t="s">
        <v>3249</v>
      </c>
      <c r="R1525" t="s">
        <v>3249</v>
      </c>
      <c r="S1525" t="s">
        <v>810</v>
      </c>
      <c r="T1525" t="s">
        <v>2754</v>
      </c>
      <c r="U1525" t="s">
        <v>3250</v>
      </c>
      <c r="V1525" t="s">
        <v>3250</v>
      </c>
      <c r="W1525" t="s">
        <v>3250</v>
      </c>
      <c r="X1525" t="s">
        <v>3250</v>
      </c>
      <c r="Y1525" t="s">
        <v>3250</v>
      </c>
      <c r="Z1525" t="s">
        <v>3250</v>
      </c>
      <c r="AA1525" t="s">
        <v>3108</v>
      </c>
      <c r="AB1525" t="s">
        <v>3108</v>
      </c>
      <c r="AC1525" t="s">
        <v>3250</v>
      </c>
      <c r="AD1525" t="s">
        <v>3250</v>
      </c>
      <c r="AE1525" t="s">
        <v>3250</v>
      </c>
      <c r="AF1525" t="s">
        <v>3250</v>
      </c>
      <c r="AG1525" t="s">
        <v>3250</v>
      </c>
      <c r="AH1525" t="s">
        <v>3250</v>
      </c>
      <c r="AI1525" t="s">
        <v>3250</v>
      </c>
      <c r="AJ1525" t="s">
        <v>3250</v>
      </c>
      <c r="AL1525" t="s">
        <v>3250</v>
      </c>
      <c r="AM1525" t="s">
        <v>3250</v>
      </c>
      <c r="AN1525" t="s">
        <v>3250</v>
      </c>
      <c r="AO1525" t="s">
        <v>3250</v>
      </c>
      <c r="AS1525" t="s">
        <v>3250</v>
      </c>
      <c r="AT1525" t="s">
        <v>3250</v>
      </c>
      <c r="AU1525" t="s">
        <v>3250</v>
      </c>
      <c r="AV1525" t="s">
        <v>3250</v>
      </c>
      <c r="AW1525" t="s">
        <v>3250</v>
      </c>
      <c r="AX1525" t="s">
        <v>3250</v>
      </c>
      <c r="AY1525" t="s">
        <v>3250</v>
      </c>
      <c r="AZ1525" t="s">
        <v>3250</v>
      </c>
      <c r="BA1525" t="s">
        <v>3250</v>
      </c>
      <c r="BB1525" t="s">
        <v>3250</v>
      </c>
      <c r="BC1525" t="s">
        <v>3250</v>
      </c>
      <c r="BE1525" t="s">
        <v>3250</v>
      </c>
      <c r="BF1525" t="s">
        <v>3250</v>
      </c>
      <c r="BG1525" t="s">
        <v>3250</v>
      </c>
      <c r="BH1525" t="s">
        <v>3250</v>
      </c>
      <c r="BI1525" t="s">
        <v>3250</v>
      </c>
      <c r="BK1525" t="s">
        <v>3250</v>
      </c>
      <c r="BL1525" t="s">
        <v>3250</v>
      </c>
      <c r="BM1525" t="s">
        <v>3250</v>
      </c>
      <c r="BN1525" t="s">
        <v>3250</v>
      </c>
      <c r="BP1525">
        <v>4</v>
      </c>
      <c r="BQ1525">
        <v>43</v>
      </c>
      <c r="BR1525" t="s">
        <v>2409</v>
      </c>
      <c r="BS1525" t="s">
        <v>4024</v>
      </c>
      <c r="BV1525">
        <v>0</v>
      </c>
      <c r="BW1525">
        <v>14250</v>
      </c>
      <c r="BX1525">
        <v>0</v>
      </c>
      <c r="BY1525">
        <v>30000</v>
      </c>
      <c r="BZ1525">
        <v>30000</v>
      </c>
      <c r="CA1525">
        <v>40000</v>
      </c>
      <c r="CB1525">
        <v>41600</v>
      </c>
      <c r="CC1525">
        <v>43264</v>
      </c>
      <c r="CD1525">
        <v>0</v>
      </c>
      <c r="CE1525" t="s">
        <v>3108</v>
      </c>
      <c r="CF1525" t="s">
        <v>3108</v>
      </c>
      <c r="CG1525" t="s">
        <v>3108</v>
      </c>
      <c r="CH1525" t="s">
        <v>3108</v>
      </c>
    </row>
    <row r="1526" spans="1:86" x14ac:dyDescent="0.2">
      <c r="A1526" t="s">
        <v>5481</v>
      </c>
      <c r="B1526" t="s">
        <v>5481</v>
      </c>
      <c r="C1526">
        <v>54508</v>
      </c>
      <c r="D1526">
        <v>1651</v>
      </c>
      <c r="E1526" t="s">
        <v>4178</v>
      </c>
      <c r="F1526">
        <v>2700</v>
      </c>
      <c r="G1526" t="s">
        <v>411</v>
      </c>
      <c r="H1526" t="s">
        <v>3997</v>
      </c>
      <c r="I1526" t="s">
        <v>2533</v>
      </c>
      <c r="J1526">
        <v>2703</v>
      </c>
      <c r="K1526" t="s">
        <v>2533</v>
      </c>
      <c r="L1526">
        <v>2100</v>
      </c>
      <c r="M1526" t="s">
        <v>123</v>
      </c>
      <c r="N1526">
        <v>2118</v>
      </c>
      <c r="O1526" t="s">
        <v>2409</v>
      </c>
      <c r="P1526" t="s">
        <v>3108</v>
      </c>
      <c r="Q1526" t="s">
        <v>3249</v>
      </c>
      <c r="R1526" t="s">
        <v>3249</v>
      </c>
      <c r="S1526" t="s">
        <v>810</v>
      </c>
      <c r="T1526" t="s">
        <v>2754</v>
      </c>
      <c r="U1526" t="s">
        <v>3250</v>
      </c>
      <c r="V1526" t="s">
        <v>3250</v>
      </c>
      <c r="W1526" t="s">
        <v>3250</v>
      </c>
      <c r="X1526" t="s">
        <v>3250</v>
      </c>
      <c r="Y1526" t="s">
        <v>3250</v>
      </c>
      <c r="Z1526" t="s">
        <v>3250</v>
      </c>
      <c r="AA1526" t="s">
        <v>3108</v>
      </c>
      <c r="AB1526" t="s">
        <v>3108</v>
      </c>
      <c r="AC1526" t="s">
        <v>3250</v>
      </c>
      <c r="AD1526" t="s">
        <v>3250</v>
      </c>
      <c r="AE1526" t="s">
        <v>3250</v>
      </c>
      <c r="AF1526" t="s">
        <v>3250</v>
      </c>
      <c r="AG1526" t="s">
        <v>3250</v>
      </c>
      <c r="AH1526" t="s">
        <v>3250</v>
      </c>
      <c r="AI1526" t="s">
        <v>3250</v>
      </c>
      <c r="AJ1526" t="s">
        <v>3250</v>
      </c>
      <c r="AL1526" t="s">
        <v>3250</v>
      </c>
      <c r="AM1526" t="s">
        <v>3250</v>
      </c>
      <c r="AN1526" t="s">
        <v>3250</v>
      </c>
      <c r="AO1526" t="s">
        <v>3250</v>
      </c>
      <c r="AS1526" t="s">
        <v>3250</v>
      </c>
      <c r="AT1526" t="s">
        <v>3250</v>
      </c>
      <c r="AU1526" t="s">
        <v>3250</v>
      </c>
      <c r="AV1526" t="s">
        <v>3250</v>
      </c>
      <c r="AW1526" t="s">
        <v>3250</v>
      </c>
      <c r="AX1526" t="s">
        <v>3250</v>
      </c>
      <c r="AY1526" t="s">
        <v>3250</v>
      </c>
      <c r="AZ1526" t="s">
        <v>3250</v>
      </c>
      <c r="BA1526" t="s">
        <v>3250</v>
      </c>
      <c r="BB1526" t="s">
        <v>3250</v>
      </c>
      <c r="BC1526" t="s">
        <v>3250</v>
      </c>
      <c r="BE1526" t="s">
        <v>3250</v>
      </c>
      <c r="BF1526" t="s">
        <v>3250</v>
      </c>
      <c r="BG1526" t="s">
        <v>3250</v>
      </c>
      <c r="BH1526" t="s">
        <v>3250</v>
      </c>
      <c r="BI1526" t="s">
        <v>3250</v>
      </c>
      <c r="BK1526" t="s">
        <v>3250</v>
      </c>
      <c r="BL1526" t="s">
        <v>3250</v>
      </c>
      <c r="BM1526" t="s">
        <v>3250</v>
      </c>
      <c r="BN1526" t="s">
        <v>3250</v>
      </c>
      <c r="BP1526">
        <v>4</v>
      </c>
      <c r="BQ1526">
        <v>43</v>
      </c>
      <c r="BR1526" t="s">
        <v>2409</v>
      </c>
      <c r="BS1526" t="s">
        <v>4024</v>
      </c>
      <c r="BV1526">
        <v>0</v>
      </c>
      <c r="BW1526">
        <v>2782</v>
      </c>
      <c r="BX1526">
        <v>0</v>
      </c>
      <c r="BY1526">
        <v>5000</v>
      </c>
      <c r="BZ1526">
        <v>5000</v>
      </c>
      <c r="CA1526">
        <v>10000</v>
      </c>
      <c r="CB1526">
        <v>10400</v>
      </c>
      <c r="CC1526">
        <v>10816</v>
      </c>
      <c r="CD1526">
        <v>0</v>
      </c>
      <c r="CE1526" t="s">
        <v>3108</v>
      </c>
      <c r="CF1526" t="s">
        <v>3108</v>
      </c>
      <c r="CG1526" t="s">
        <v>3108</v>
      </c>
      <c r="CH1526" t="s">
        <v>3108</v>
      </c>
    </row>
    <row r="1527" spans="1:86" x14ac:dyDescent="0.2">
      <c r="A1527" t="s">
        <v>5482</v>
      </c>
      <c r="B1527" t="s">
        <v>5482</v>
      </c>
      <c r="C1527">
        <v>54509</v>
      </c>
      <c r="D1527">
        <v>1652</v>
      </c>
      <c r="E1527" t="s">
        <v>4031</v>
      </c>
      <c r="F1527">
        <v>2900</v>
      </c>
      <c r="G1527" t="s">
        <v>822</v>
      </c>
      <c r="H1527" t="s">
        <v>3108</v>
      </c>
      <c r="I1527" t="s">
        <v>3108</v>
      </c>
      <c r="J1527">
        <v>2904</v>
      </c>
      <c r="K1527" t="s">
        <v>1690</v>
      </c>
      <c r="L1527">
        <v>2100</v>
      </c>
      <c r="M1527" t="s">
        <v>123</v>
      </c>
      <c r="N1527">
        <v>2118</v>
      </c>
      <c r="O1527" t="s">
        <v>2409</v>
      </c>
      <c r="P1527" t="s">
        <v>3108</v>
      </c>
      <c r="Q1527" t="s">
        <v>3249</v>
      </c>
      <c r="R1527" t="s">
        <v>3249</v>
      </c>
      <c r="S1527" t="s">
        <v>810</v>
      </c>
      <c r="T1527" t="s">
        <v>2754</v>
      </c>
      <c r="U1527" t="s">
        <v>3250</v>
      </c>
      <c r="V1527" t="s">
        <v>3250</v>
      </c>
      <c r="W1527" t="s">
        <v>3250</v>
      </c>
      <c r="X1527" t="s">
        <v>3250</v>
      </c>
      <c r="Y1527" t="s">
        <v>3250</v>
      </c>
      <c r="Z1527" t="s">
        <v>3250</v>
      </c>
      <c r="AA1527" t="s">
        <v>3108</v>
      </c>
      <c r="AB1527" t="s">
        <v>3108</v>
      </c>
      <c r="AC1527" t="s">
        <v>3250</v>
      </c>
      <c r="AD1527" t="s">
        <v>3250</v>
      </c>
      <c r="AE1527" t="s">
        <v>3250</v>
      </c>
      <c r="AF1527" t="s">
        <v>3250</v>
      </c>
      <c r="AG1527" t="s">
        <v>3250</v>
      </c>
      <c r="AH1527" t="s">
        <v>3250</v>
      </c>
      <c r="AI1527" t="s">
        <v>3250</v>
      </c>
      <c r="AJ1527" t="s">
        <v>3250</v>
      </c>
      <c r="AL1527" t="s">
        <v>3250</v>
      </c>
      <c r="AM1527" t="s">
        <v>3250</v>
      </c>
      <c r="AN1527" t="s">
        <v>3250</v>
      </c>
      <c r="AO1527" t="s">
        <v>3250</v>
      </c>
      <c r="AS1527" t="s">
        <v>3250</v>
      </c>
      <c r="AT1527" t="s">
        <v>3250</v>
      </c>
      <c r="AU1527" t="s">
        <v>3250</v>
      </c>
      <c r="AV1527" t="s">
        <v>3250</v>
      </c>
      <c r="AW1527" t="s">
        <v>3250</v>
      </c>
      <c r="AX1527" t="s">
        <v>3250</v>
      </c>
      <c r="AY1527" t="s">
        <v>3250</v>
      </c>
      <c r="AZ1527" t="s">
        <v>3250</v>
      </c>
      <c r="BA1527" t="s">
        <v>3250</v>
      </c>
      <c r="BB1527" t="s">
        <v>3250</v>
      </c>
      <c r="BC1527" t="s">
        <v>3250</v>
      </c>
      <c r="BE1527" t="s">
        <v>3250</v>
      </c>
      <c r="BF1527" t="s">
        <v>3250</v>
      </c>
      <c r="BG1527" t="s">
        <v>3250</v>
      </c>
      <c r="BH1527" t="s">
        <v>3250</v>
      </c>
      <c r="BI1527" t="s">
        <v>3250</v>
      </c>
      <c r="BK1527" t="s">
        <v>3250</v>
      </c>
      <c r="BL1527" t="s">
        <v>3250</v>
      </c>
      <c r="BM1527" t="s">
        <v>3250</v>
      </c>
      <c r="BN1527" t="s">
        <v>3250</v>
      </c>
      <c r="BP1527">
        <v>4</v>
      </c>
      <c r="BQ1527">
        <v>43</v>
      </c>
      <c r="BR1527" t="s">
        <v>2409</v>
      </c>
      <c r="BS1527" t="s">
        <v>4024</v>
      </c>
      <c r="BV1527">
        <v>0</v>
      </c>
      <c r="BW1527">
        <v>0</v>
      </c>
      <c r="BX1527">
        <v>0</v>
      </c>
      <c r="BY1527">
        <v>0</v>
      </c>
      <c r="BZ1527">
        <v>0</v>
      </c>
      <c r="CA1527">
        <v>0</v>
      </c>
      <c r="CB1527">
        <v>0</v>
      </c>
      <c r="CC1527">
        <v>0</v>
      </c>
      <c r="CD1527">
        <v>0</v>
      </c>
      <c r="CE1527" t="s">
        <v>3108</v>
      </c>
      <c r="CF1527" t="s">
        <v>3108</v>
      </c>
      <c r="CG1527" t="s">
        <v>3108</v>
      </c>
      <c r="CH1527" t="s">
        <v>3108</v>
      </c>
    </row>
    <row r="1528" spans="1:86" x14ac:dyDescent="0.2">
      <c r="A1528" t="s">
        <v>5483</v>
      </c>
      <c r="B1528" t="s">
        <v>5483</v>
      </c>
      <c r="C1528">
        <v>54510</v>
      </c>
      <c r="D1528">
        <v>1653</v>
      </c>
      <c r="E1528" t="s">
        <v>4003</v>
      </c>
      <c r="F1528">
        <v>2700</v>
      </c>
      <c r="G1528" t="s">
        <v>411</v>
      </c>
      <c r="H1528" t="s">
        <v>4004</v>
      </c>
      <c r="I1528" t="s">
        <v>2531</v>
      </c>
      <c r="J1528">
        <v>2701</v>
      </c>
      <c r="K1528" t="s">
        <v>2531</v>
      </c>
      <c r="L1528">
        <v>2100</v>
      </c>
      <c r="M1528" t="s">
        <v>123</v>
      </c>
      <c r="N1528">
        <v>2118</v>
      </c>
      <c r="O1528" t="s">
        <v>2409</v>
      </c>
      <c r="P1528" t="s">
        <v>3108</v>
      </c>
      <c r="Q1528" t="s">
        <v>3249</v>
      </c>
      <c r="R1528" t="s">
        <v>3249</v>
      </c>
      <c r="S1528" t="s">
        <v>810</v>
      </c>
      <c r="T1528" t="s">
        <v>2754</v>
      </c>
      <c r="U1528" t="s">
        <v>3250</v>
      </c>
      <c r="V1528" t="s">
        <v>3250</v>
      </c>
      <c r="W1528" t="s">
        <v>3250</v>
      </c>
      <c r="X1528" t="s">
        <v>3250</v>
      </c>
      <c r="Y1528" t="s">
        <v>3250</v>
      </c>
      <c r="Z1528" t="s">
        <v>3250</v>
      </c>
      <c r="AA1528" t="s">
        <v>3108</v>
      </c>
      <c r="AB1528" t="s">
        <v>3108</v>
      </c>
      <c r="AC1528" t="s">
        <v>3250</v>
      </c>
      <c r="AD1528" t="s">
        <v>3250</v>
      </c>
      <c r="AE1528" t="s">
        <v>3250</v>
      </c>
      <c r="AF1528" t="s">
        <v>3250</v>
      </c>
      <c r="AG1528" t="s">
        <v>3250</v>
      </c>
      <c r="AH1528" t="s">
        <v>3250</v>
      </c>
      <c r="AI1528" t="s">
        <v>3250</v>
      </c>
      <c r="AJ1528" t="s">
        <v>3250</v>
      </c>
      <c r="AL1528" t="s">
        <v>3250</v>
      </c>
      <c r="AM1528" t="s">
        <v>3250</v>
      </c>
      <c r="AN1528" t="s">
        <v>3250</v>
      </c>
      <c r="AO1528" t="s">
        <v>3250</v>
      </c>
      <c r="AS1528" t="s">
        <v>3250</v>
      </c>
      <c r="AT1528" t="s">
        <v>3250</v>
      </c>
      <c r="AU1528" t="s">
        <v>3250</v>
      </c>
      <c r="AV1528" t="s">
        <v>3250</v>
      </c>
      <c r="AW1528" t="s">
        <v>3250</v>
      </c>
      <c r="AX1528" t="s">
        <v>3250</v>
      </c>
      <c r="AY1528" t="s">
        <v>3250</v>
      </c>
      <c r="AZ1528" t="s">
        <v>3250</v>
      </c>
      <c r="BA1528" t="s">
        <v>3250</v>
      </c>
      <c r="BB1528" t="s">
        <v>3250</v>
      </c>
      <c r="BC1528" t="s">
        <v>3250</v>
      </c>
      <c r="BE1528" t="s">
        <v>3250</v>
      </c>
      <c r="BF1528" t="s">
        <v>3250</v>
      </c>
      <c r="BG1528" t="s">
        <v>3250</v>
      </c>
      <c r="BH1528" t="s">
        <v>3250</v>
      </c>
      <c r="BI1528" t="s">
        <v>3250</v>
      </c>
      <c r="BK1528" t="s">
        <v>3250</v>
      </c>
      <c r="BL1528" t="s">
        <v>3250</v>
      </c>
      <c r="BM1528" t="s">
        <v>3250</v>
      </c>
      <c r="BN1528" t="s">
        <v>3250</v>
      </c>
      <c r="BP1528">
        <v>4</v>
      </c>
      <c r="BQ1528">
        <v>43</v>
      </c>
      <c r="BR1528" t="s">
        <v>2409</v>
      </c>
      <c r="BS1528" t="s">
        <v>4024</v>
      </c>
      <c r="BV1528">
        <v>52240</v>
      </c>
      <c r="BW1528">
        <v>0</v>
      </c>
      <c r="BX1528">
        <v>0</v>
      </c>
      <c r="BY1528">
        <v>40000</v>
      </c>
      <c r="BZ1528">
        <v>40000</v>
      </c>
      <c r="CA1528">
        <v>45000</v>
      </c>
      <c r="CB1528">
        <v>46800</v>
      </c>
      <c r="CC1528">
        <v>48672</v>
      </c>
      <c r="CD1528">
        <v>0</v>
      </c>
      <c r="CE1528" t="s">
        <v>3108</v>
      </c>
      <c r="CF1528" t="s">
        <v>3108</v>
      </c>
      <c r="CG1528" t="s">
        <v>3108</v>
      </c>
      <c r="CH1528" t="s">
        <v>3108</v>
      </c>
    </row>
    <row r="1529" spans="1:86" x14ac:dyDescent="0.2">
      <c r="A1529" t="s">
        <v>5484</v>
      </c>
      <c r="B1529" t="s">
        <v>5484</v>
      </c>
      <c r="C1529">
        <v>54511</v>
      </c>
      <c r="D1529">
        <v>1654</v>
      </c>
      <c r="E1529" t="s">
        <v>4010</v>
      </c>
      <c r="F1529">
        <v>2900</v>
      </c>
      <c r="G1529" t="s">
        <v>822</v>
      </c>
      <c r="H1529" t="s">
        <v>3108</v>
      </c>
      <c r="I1529" t="s">
        <v>3108</v>
      </c>
      <c r="J1529">
        <v>2904</v>
      </c>
      <c r="K1529" t="s">
        <v>1690</v>
      </c>
      <c r="L1529">
        <v>2100</v>
      </c>
      <c r="M1529" t="s">
        <v>123</v>
      </c>
      <c r="N1529">
        <v>2118</v>
      </c>
      <c r="O1529" t="s">
        <v>2409</v>
      </c>
      <c r="P1529" t="s">
        <v>3108</v>
      </c>
      <c r="Q1529" t="s">
        <v>3249</v>
      </c>
      <c r="R1529" t="s">
        <v>3249</v>
      </c>
      <c r="S1529" t="s">
        <v>810</v>
      </c>
      <c r="T1529" t="s">
        <v>2754</v>
      </c>
      <c r="U1529" t="s">
        <v>3250</v>
      </c>
      <c r="V1529" t="s">
        <v>3250</v>
      </c>
      <c r="W1529" t="s">
        <v>3250</v>
      </c>
      <c r="X1529" t="s">
        <v>3250</v>
      </c>
      <c r="Y1529" t="s">
        <v>3250</v>
      </c>
      <c r="Z1529" t="s">
        <v>3250</v>
      </c>
      <c r="AA1529" t="s">
        <v>3108</v>
      </c>
      <c r="AB1529" t="s">
        <v>3108</v>
      </c>
      <c r="AC1529" t="s">
        <v>3250</v>
      </c>
      <c r="AD1529" t="s">
        <v>3250</v>
      </c>
      <c r="AE1529" t="s">
        <v>3250</v>
      </c>
      <c r="AF1529" t="s">
        <v>3250</v>
      </c>
      <c r="AG1529" t="s">
        <v>3250</v>
      </c>
      <c r="AH1529" t="s">
        <v>3250</v>
      </c>
      <c r="AI1529" t="s">
        <v>3250</v>
      </c>
      <c r="AJ1529" t="s">
        <v>3250</v>
      </c>
      <c r="AL1529" t="s">
        <v>3250</v>
      </c>
      <c r="AM1529" t="s">
        <v>3250</v>
      </c>
      <c r="AN1529" t="s">
        <v>3250</v>
      </c>
      <c r="AO1529" t="s">
        <v>3250</v>
      </c>
      <c r="AS1529" t="s">
        <v>3250</v>
      </c>
      <c r="AT1529" t="s">
        <v>3250</v>
      </c>
      <c r="AU1529" t="s">
        <v>3250</v>
      </c>
      <c r="AV1529" t="s">
        <v>3250</v>
      </c>
      <c r="AW1529" t="s">
        <v>3250</v>
      </c>
      <c r="AX1529" t="s">
        <v>3250</v>
      </c>
      <c r="AY1529" t="s">
        <v>3250</v>
      </c>
      <c r="AZ1529" t="s">
        <v>3250</v>
      </c>
      <c r="BA1529" t="s">
        <v>3250</v>
      </c>
      <c r="BB1529" t="s">
        <v>3250</v>
      </c>
      <c r="BC1529" t="s">
        <v>3250</v>
      </c>
      <c r="BE1529" t="s">
        <v>3250</v>
      </c>
      <c r="BF1529" t="s">
        <v>3250</v>
      </c>
      <c r="BG1529" t="s">
        <v>3250</v>
      </c>
      <c r="BH1529" t="s">
        <v>3250</v>
      </c>
      <c r="BI1529" t="s">
        <v>3250</v>
      </c>
      <c r="BK1529" t="s">
        <v>3250</v>
      </c>
      <c r="BL1529" t="s">
        <v>3250</v>
      </c>
      <c r="BM1529" t="s">
        <v>3250</v>
      </c>
      <c r="BN1529" t="s">
        <v>3250</v>
      </c>
      <c r="BP1529">
        <v>4</v>
      </c>
      <c r="BQ1529">
        <v>43</v>
      </c>
      <c r="BR1529" t="s">
        <v>2409</v>
      </c>
      <c r="BS1529" t="s">
        <v>4024</v>
      </c>
      <c r="BV1529">
        <v>0</v>
      </c>
      <c r="BW1529">
        <v>0</v>
      </c>
      <c r="BX1529">
        <v>0</v>
      </c>
      <c r="BY1529">
        <v>0</v>
      </c>
      <c r="BZ1529">
        <v>0</v>
      </c>
      <c r="CA1529">
        <v>60000</v>
      </c>
      <c r="CB1529">
        <v>62400</v>
      </c>
      <c r="CC1529">
        <v>64896</v>
      </c>
      <c r="CD1529">
        <v>0</v>
      </c>
      <c r="CE1529" t="s">
        <v>3108</v>
      </c>
      <c r="CF1529" t="s">
        <v>3108</v>
      </c>
      <c r="CG1529" t="s">
        <v>3108</v>
      </c>
      <c r="CH1529" t="s">
        <v>3108</v>
      </c>
    </row>
    <row r="1530" spans="1:86" x14ac:dyDescent="0.2">
      <c r="A1530" t="s">
        <v>5485</v>
      </c>
      <c r="B1530" t="s">
        <v>5485</v>
      </c>
      <c r="C1530">
        <v>54512</v>
      </c>
      <c r="D1530">
        <v>1655</v>
      </c>
      <c r="E1530" t="s">
        <v>4006</v>
      </c>
      <c r="F1530">
        <v>2700</v>
      </c>
      <c r="G1530" t="s">
        <v>411</v>
      </c>
      <c r="H1530" t="s">
        <v>4004</v>
      </c>
      <c r="I1530" t="s">
        <v>2531</v>
      </c>
      <c r="J1530">
        <v>2701</v>
      </c>
      <c r="K1530" t="s">
        <v>2531</v>
      </c>
      <c r="L1530">
        <v>2100</v>
      </c>
      <c r="M1530" t="s">
        <v>123</v>
      </c>
      <c r="N1530">
        <v>2118</v>
      </c>
      <c r="O1530" t="s">
        <v>2409</v>
      </c>
      <c r="P1530" t="s">
        <v>3108</v>
      </c>
      <c r="Q1530" t="s">
        <v>3249</v>
      </c>
      <c r="R1530" t="s">
        <v>3249</v>
      </c>
      <c r="S1530" t="s">
        <v>810</v>
      </c>
      <c r="T1530" t="s">
        <v>2754</v>
      </c>
      <c r="U1530" t="s">
        <v>3250</v>
      </c>
      <c r="V1530" t="s">
        <v>3250</v>
      </c>
      <c r="W1530" t="s">
        <v>3250</v>
      </c>
      <c r="X1530" t="s">
        <v>3250</v>
      </c>
      <c r="Y1530" t="s">
        <v>3250</v>
      </c>
      <c r="Z1530" t="s">
        <v>3250</v>
      </c>
      <c r="AA1530" t="s">
        <v>3108</v>
      </c>
      <c r="AB1530" t="s">
        <v>3108</v>
      </c>
      <c r="AC1530" t="s">
        <v>3250</v>
      </c>
      <c r="AD1530" t="s">
        <v>3250</v>
      </c>
      <c r="AE1530" t="s">
        <v>3250</v>
      </c>
      <c r="AF1530" t="s">
        <v>3250</v>
      </c>
      <c r="AG1530" t="s">
        <v>3250</v>
      </c>
      <c r="AH1530" t="s">
        <v>3250</v>
      </c>
      <c r="AI1530" t="s">
        <v>3250</v>
      </c>
      <c r="AJ1530" t="s">
        <v>3250</v>
      </c>
      <c r="AL1530" t="s">
        <v>3250</v>
      </c>
      <c r="AM1530" t="s">
        <v>3250</v>
      </c>
      <c r="AN1530" t="s">
        <v>3250</v>
      </c>
      <c r="AO1530" t="s">
        <v>3250</v>
      </c>
      <c r="AS1530" t="s">
        <v>3250</v>
      </c>
      <c r="AT1530" t="s">
        <v>3250</v>
      </c>
      <c r="AU1530" t="s">
        <v>3250</v>
      </c>
      <c r="AV1530" t="s">
        <v>3250</v>
      </c>
      <c r="AW1530" t="s">
        <v>3250</v>
      </c>
      <c r="AX1530" t="s">
        <v>3250</v>
      </c>
      <c r="AY1530" t="s">
        <v>3250</v>
      </c>
      <c r="AZ1530" t="s">
        <v>3250</v>
      </c>
      <c r="BA1530" t="s">
        <v>3250</v>
      </c>
      <c r="BB1530" t="s">
        <v>3250</v>
      </c>
      <c r="BC1530" t="s">
        <v>3250</v>
      </c>
      <c r="BE1530" t="s">
        <v>3250</v>
      </c>
      <c r="BF1530" t="s">
        <v>3250</v>
      </c>
      <c r="BG1530" t="s">
        <v>3250</v>
      </c>
      <c r="BH1530" t="s">
        <v>3250</v>
      </c>
      <c r="BI1530" t="s">
        <v>3250</v>
      </c>
      <c r="BK1530" t="s">
        <v>3250</v>
      </c>
      <c r="BL1530" t="s">
        <v>3250</v>
      </c>
      <c r="BM1530" t="s">
        <v>3250</v>
      </c>
      <c r="BN1530" t="s">
        <v>3250</v>
      </c>
      <c r="BP1530">
        <v>4</v>
      </c>
      <c r="BQ1530">
        <v>43</v>
      </c>
      <c r="BR1530" t="s">
        <v>2409</v>
      </c>
      <c r="BS1530" t="s">
        <v>4024</v>
      </c>
      <c r="BV1530">
        <v>0</v>
      </c>
      <c r="BW1530">
        <v>43810</v>
      </c>
      <c r="BX1530">
        <v>0</v>
      </c>
      <c r="BY1530">
        <v>47900</v>
      </c>
      <c r="BZ1530">
        <v>0</v>
      </c>
      <c r="CA1530">
        <v>50000</v>
      </c>
      <c r="CB1530">
        <v>52000</v>
      </c>
      <c r="CC1530">
        <v>54080</v>
      </c>
      <c r="CD1530">
        <v>0</v>
      </c>
      <c r="CE1530" t="s">
        <v>3108</v>
      </c>
      <c r="CF1530" t="s">
        <v>3108</v>
      </c>
      <c r="CG1530" t="s">
        <v>3108</v>
      </c>
      <c r="CH1530" t="s">
        <v>3108</v>
      </c>
    </row>
    <row r="1531" spans="1:86" x14ac:dyDescent="0.2">
      <c r="A1531" t="s">
        <v>5486</v>
      </c>
      <c r="B1531" t="s">
        <v>5486</v>
      </c>
      <c r="C1531">
        <v>54513</v>
      </c>
      <c r="D1531">
        <v>1656</v>
      </c>
      <c r="E1531" t="s">
        <v>4003</v>
      </c>
      <c r="F1531">
        <v>2700</v>
      </c>
      <c r="G1531" t="s">
        <v>411</v>
      </c>
      <c r="H1531" t="s">
        <v>4004</v>
      </c>
      <c r="I1531" t="s">
        <v>2531</v>
      </c>
      <c r="J1531">
        <v>2701</v>
      </c>
      <c r="K1531" t="s">
        <v>2531</v>
      </c>
      <c r="L1531">
        <v>2100</v>
      </c>
      <c r="M1531" t="s">
        <v>123</v>
      </c>
      <c r="N1531">
        <v>2118</v>
      </c>
      <c r="O1531" t="s">
        <v>2409</v>
      </c>
      <c r="P1531" t="s">
        <v>3108</v>
      </c>
      <c r="Q1531" t="s">
        <v>3249</v>
      </c>
      <c r="R1531" t="s">
        <v>3249</v>
      </c>
      <c r="S1531" t="s">
        <v>810</v>
      </c>
      <c r="T1531" t="s">
        <v>2754</v>
      </c>
      <c r="U1531" t="s">
        <v>3250</v>
      </c>
      <c r="V1531" t="s">
        <v>3250</v>
      </c>
      <c r="W1531" t="s">
        <v>3250</v>
      </c>
      <c r="X1531" t="s">
        <v>3250</v>
      </c>
      <c r="Y1531" t="s">
        <v>3250</v>
      </c>
      <c r="Z1531" t="s">
        <v>3250</v>
      </c>
      <c r="AA1531" t="s">
        <v>3108</v>
      </c>
      <c r="AB1531" t="s">
        <v>3108</v>
      </c>
      <c r="AC1531" t="s">
        <v>3250</v>
      </c>
      <c r="AD1531" t="s">
        <v>3250</v>
      </c>
      <c r="AE1531" t="s">
        <v>3250</v>
      </c>
      <c r="AF1531" t="s">
        <v>3250</v>
      </c>
      <c r="AG1531" t="s">
        <v>3250</v>
      </c>
      <c r="AH1531" t="s">
        <v>3250</v>
      </c>
      <c r="AI1531" t="s">
        <v>3250</v>
      </c>
      <c r="AJ1531" t="s">
        <v>3250</v>
      </c>
      <c r="AL1531" t="s">
        <v>3250</v>
      </c>
      <c r="AM1531" t="s">
        <v>3250</v>
      </c>
      <c r="AN1531" t="s">
        <v>3250</v>
      </c>
      <c r="AO1531" t="s">
        <v>3250</v>
      </c>
      <c r="AS1531" t="s">
        <v>3250</v>
      </c>
      <c r="AT1531" t="s">
        <v>3250</v>
      </c>
      <c r="AU1531" t="s">
        <v>3250</v>
      </c>
      <c r="AV1531" t="s">
        <v>3250</v>
      </c>
      <c r="AW1531" t="s">
        <v>3250</v>
      </c>
      <c r="AX1531" t="s">
        <v>3250</v>
      </c>
      <c r="AY1531" t="s">
        <v>3250</v>
      </c>
      <c r="AZ1531" t="s">
        <v>3250</v>
      </c>
      <c r="BA1531" t="s">
        <v>3250</v>
      </c>
      <c r="BB1531" t="s">
        <v>3250</v>
      </c>
      <c r="BC1531" t="s">
        <v>3250</v>
      </c>
      <c r="BE1531" t="s">
        <v>3250</v>
      </c>
      <c r="BF1531" t="s">
        <v>3250</v>
      </c>
      <c r="BG1531" t="s">
        <v>3250</v>
      </c>
      <c r="BH1531" t="s">
        <v>3250</v>
      </c>
      <c r="BI1531" t="s">
        <v>3250</v>
      </c>
      <c r="BK1531" t="s">
        <v>3250</v>
      </c>
      <c r="BL1531" t="s">
        <v>3250</v>
      </c>
      <c r="BM1531" t="s">
        <v>3250</v>
      </c>
      <c r="BN1531" t="s">
        <v>3250</v>
      </c>
      <c r="BP1531">
        <v>4</v>
      </c>
      <c r="BQ1531">
        <v>43</v>
      </c>
      <c r="BR1531" t="s">
        <v>2409</v>
      </c>
      <c r="BS1531" t="s">
        <v>4024</v>
      </c>
      <c r="BV1531">
        <v>0</v>
      </c>
      <c r="BW1531">
        <v>8400</v>
      </c>
      <c r="BX1531">
        <v>0</v>
      </c>
      <c r="BY1531">
        <v>40000</v>
      </c>
      <c r="BZ1531">
        <v>0</v>
      </c>
      <c r="CA1531">
        <v>40000</v>
      </c>
      <c r="CB1531">
        <v>41600</v>
      </c>
      <c r="CC1531">
        <v>43264</v>
      </c>
      <c r="CD1531">
        <v>0</v>
      </c>
      <c r="CE1531" t="s">
        <v>3108</v>
      </c>
      <c r="CF1531" t="s">
        <v>3108</v>
      </c>
      <c r="CG1531" t="s">
        <v>3108</v>
      </c>
      <c r="CH1531" t="s">
        <v>3108</v>
      </c>
    </row>
    <row r="1532" spans="1:86" x14ac:dyDescent="0.2">
      <c r="A1532" t="s">
        <v>5487</v>
      </c>
      <c r="B1532" t="s">
        <v>5487</v>
      </c>
      <c r="C1532">
        <v>54514</v>
      </c>
      <c r="D1532">
        <v>1657</v>
      </c>
      <c r="E1532" t="s">
        <v>4010</v>
      </c>
      <c r="F1532">
        <v>2900</v>
      </c>
      <c r="G1532" t="s">
        <v>822</v>
      </c>
      <c r="H1532" t="s">
        <v>3108</v>
      </c>
      <c r="I1532" t="s">
        <v>3108</v>
      </c>
      <c r="J1532">
        <v>2904</v>
      </c>
      <c r="K1532" t="s">
        <v>1690</v>
      </c>
      <c r="L1532">
        <v>2100</v>
      </c>
      <c r="M1532" t="s">
        <v>123</v>
      </c>
      <c r="N1532">
        <v>2118</v>
      </c>
      <c r="O1532" t="s">
        <v>2409</v>
      </c>
      <c r="P1532" t="s">
        <v>3108</v>
      </c>
      <c r="Q1532" t="s">
        <v>3249</v>
      </c>
      <c r="R1532" t="s">
        <v>3249</v>
      </c>
      <c r="S1532" t="s">
        <v>810</v>
      </c>
      <c r="T1532" t="s">
        <v>2754</v>
      </c>
      <c r="U1532" t="s">
        <v>3250</v>
      </c>
      <c r="V1532" t="s">
        <v>3250</v>
      </c>
      <c r="W1532" t="s">
        <v>3250</v>
      </c>
      <c r="X1532" t="s">
        <v>3250</v>
      </c>
      <c r="Y1532" t="s">
        <v>3250</v>
      </c>
      <c r="Z1532" t="s">
        <v>3250</v>
      </c>
      <c r="AA1532" t="s">
        <v>3108</v>
      </c>
      <c r="AB1532" t="s">
        <v>3108</v>
      </c>
      <c r="AC1532" t="s">
        <v>3250</v>
      </c>
      <c r="AD1532" t="s">
        <v>3250</v>
      </c>
      <c r="AE1532" t="s">
        <v>3250</v>
      </c>
      <c r="AF1532" t="s">
        <v>3250</v>
      </c>
      <c r="AG1532" t="s">
        <v>3250</v>
      </c>
      <c r="AH1532" t="s">
        <v>3250</v>
      </c>
      <c r="AI1532" t="s">
        <v>3250</v>
      </c>
      <c r="AJ1532" t="s">
        <v>3250</v>
      </c>
      <c r="AL1532" t="s">
        <v>3250</v>
      </c>
      <c r="AM1532" t="s">
        <v>3250</v>
      </c>
      <c r="AN1532" t="s">
        <v>3250</v>
      </c>
      <c r="AO1532" t="s">
        <v>3250</v>
      </c>
      <c r="AS1532" t="s">
        <v>3250</v>
      </c>
      <c r="AT1532" t="s">
        <v>3250</v>
      </c>
      <c r="AU1532" t="s">
        <v>3250</v>
      </c>
      <c r="AV1532" t="s">
        <v>3250</v>
      </c>
      <c r="AW1532" t="s">
        <v>3250</v>
      </c>
      <c r="AX1532" t="s">
        <v>3250</v>
      </c>
      <c r="AY1532" t="s">
        <v>3250</v>
      </c>
      <c r="AZ1532" t="s">
        <v>3250</v>
      </c>
      <c r="BA1532" t="s">
        <v>3250</v>
      </c>
      <c r="BB1532" t="s">
        <v>3250</v>
      </c>
      <c r="BC1532" t="s">
        <v>3250</v>
      </c>
      <c r="BE1532" t="s">
        <v>3250</v>
      </c>
      <c r="BF1532" t="s">
        <v>3250</v>
      </c>
      <c r="BG1532" t="s">
        <v>3250</v>
      </c>
      <c r="BH1532" t="s">
        <v>3250</v>
      </c>
      <c r="BI1532" t="s">
        <v>3250</v>
      </c>
      <c r="BK1532" t="s">
        <v>3250</v>
      </c>
      <c r="BL1532" t="s">
        <v>3250</v>
      </c>
      <c r="BM1532" t="s">
        <v>3250</v>
      </c>
      <c r="BN1532" t="s">
        <v>3250</v>
      </c>
      <c r="BP1532">
        <v>4</v>
      </c>
      <c r="BQ1532">
        <v>43</v>
      </c>
      <c r="BR1532" t="s">
        <v>2409</v>
      </c>
      <c r="BS1532" t="s">
        <v>4024</v>
      </c>
      <c r="BV1532">
        <v>0</v>
      </c>
      <c r="BW1532">
        <v>35232</v>
      </c>
      <c r="BX1532">
        <v>0</v>
      </c>
      <c r="BY1532">
        <v>60000</v>
      </c>
      <c r="BZ1532">
        <v>26040</v>
      </c>
      <c r="CA1532">
        <v>80000</v>
      </c>
      <c r="CB1532">
        <v>83200</v>
      </c>
      <c r="CC1532">
        <v>86528</v>
      </c>
      <c r="CD1532">
        <v>33960</v>
      </c>
      <c r="CE1532" t="s">
        <v>3108</v>
      </c>
      <c r="CF1532" t="s">
        <v>3108</v>
      </c>
      <c r="CG1532" t="s">
        <v>3108</v>
      </c>
      <c r="CH1532" t="s">
        <v>3108</v>
      </c>
    </row>
    <row r="1533" spans="1:86" x14ac:dyDescent="0.2">
      <c r="A1533" t="s">
        <v>5488</v>
      </c>
      <c r="B1533" t="s">
        <v>5488</v>
      </c>
      <c r="C1533">
        <v>54520</v>
      </c>
      <c r="D1533">
        <v>1658</v>
      </c>
      <c r="E1533" t="s">
        <v>4003</v>
      </c>
      <c r="F1533">
        <v>2700</v>
      </c>
      <c r="G1533" t="s">
        <v>411</v>
      </c>
      <c r="H1533" t="s">
        <v>4004</v>
      </c>
      <c r="I1533" t="s">
        <v>2531</v>
      </c>
      <c r="J1533">
        <v>2701</v>
      </c>
      <c r="K1533" t="s">
        <v>2531</v>
      </c>
      <c r="L1533">
        <v>2100</v>
      </c>
      <c r="M1533" t="s">
        <v>123</v>
      </c>
      <c r="N1533">
        <v>2118</v>
      </c>
      <c r="O1533" t="s">
        <v>2409</v>
      </c>
      <c r="P1533" t="s">
        <v>3108</v>
      </c>
      <c r="Q1533" t="s">
        <v>3249</v>
      </c>
      <c r="R1533" t="s">
        <v>3249</v>
      </c>
      <c r="S1533" t="s">
        <v>810</v>
      </c>
      <c r="T1533" t="s">
        <v>2754</v>
      </c>
      <c r="U1533" t="s">
        <v>3250</v>
      </c>
      <c r="V1533" t="s">
        <v>3250</v>
      </c>
      <c r="W1533" t="s">
        <v>3250</v>
      </c>
      <c r="X1533" t="s">
        <v>3250</v>
      </c>
      <c r="Y1533" t="s">
        <v>3250</v>
      </c>
      <c r="Z1533" t="s">
        <v>3250</v>
      </c>
      <c r="AA1533" t="s">
        <v>3108</v>
      </c>
      <c r="AB1533" t="s">
        <v>3108</v>
      </c>
      <c r="AC1533" t="s">
        <v>3250</v>
      </c>
      <c r="AD1533" t="s">
        <v>3250</v>
      </c>
      <c r="AE1533" t="s">
        <v>3250</v>
      </c>
      <c r="AF1533" t="s">
        <v>3250</v>
      </c>
      <c r="AG1533" t="s">
        <v>3250</v>
      </c>
      <c r="AH1533" t="s">
        <v>3250</v>
      </c>
      <c r="AI1533" t="s">
        <v>3250</v>
      </c>
      <c r="AJ1533" t="s">
        <v>3250</v>
      </c>
      <c r="AL1533" t="s">
        <v>3250</v>
      </c>
      <c r="AM1533" t="s">
        <v>3250</v>
      </c>
      <c r="AN1533" t="s">
        <v>3250</v>
      </c>
      <c r="AO1533" t="s">
        <v>3250</v>
      </c>
      <c r="AS1533" t="s">
        <v>3250</v>
      </c>
      <c r="AT1533" t="s">
        <v>3250</v>
      </c>
      <c r="AU1533" t="s">
        <v>3250</v>
      </c>
      <c r="AV1533" t="s">
        <v>3250</v>
      </c>
      <c r="AW1533" t="s">
        <v>3250</v>
      </c>
      <c r="AX1533" t="s">
        <v>3250</v>
      </c>
      <c r="AY1533" t="s">
        <v>3250</v>
      </c>
      <c r="AZ1533" t="s">
        <v>3250</v>
      </c>
      <c r="BA1533" t="s">
        <v>3250</v>
      </c>
      <c r="BB1533" t="s">
        <v>3250</v>
      </c>
      <c r="BC1533" t="s">
        <v>3250</v>
      </c>
      <c r="BE1533" t="s">
        <v>3250</v>
      </c>
      <c r="BF1533" t="s">
        <v>3250</v>
      </c>
      <c r="BG1533" t="s">
        <v>3250</v>
      </c>
      <c r="BH1533" t="s">
        <v>3250</v>
      </c>
      <c r="BI1533" t="s">
        <v>3250</v>
      </c>
      <c r="BK1533" t="s">
        <v>3250</v>
      </c>
      <c r="BL1533" t="s">
        <v>3250</v>
      </c>
      <c r="BM1533" t="s">
        <v>3250</v>
      </c>
      <c r="BN1533" t="s">
        <v>3250</v>
      </c>
      <c r="BP1533">
        <v>4</v>
      </c>
      <c r="BQ1533">
        <v>43</v>
      </c>
      <c r="BR1533" t="s">
        <v>2409</v>
      </c>
      <c r="BS1533" t="s">
        <v>4024</v>
      </c>
      <c r="BV1533">
        <v>0</v>
      </c>
      <c r="BW1533">
        <v>109600</v>
      </c>
      <c r="BX1533">
        <v>0</v>
      </c>
      <c r="BY1533">
        <v>80600</v>
      </c>
      <c r="BZ1533">
        <v>80000</v>
      </c>
      <c r="CA1533">
        <v>80000</v>
      </c>
      <c r="CB1533">
        <v>83200</v>
      </c>
      <c r="CC1533">
        <v>86528</v>
      </c>
      <c r="CD1533">
        <v>0</v>
      </c>
      <c r="CE1533" t="s">
        <v>3108</v>
      </c>
      <c r="CF1533" t="s">
        <v>3108</v>
      </c>
      <c r="CG1533" t="s">
        <v>3108</v>
      </c>
      <c r="CH1533" t="s">
        <v>3108</v>
      </c>
    </row>
    <row r="1534" spans="1:86" x14ac:dyDescent="0.2">
      <c r="A1534" t="s">
        <v>5489</v>
      </c>
      <c r="B1534" t="s">
        <v>5489</v>
      </c>
      <c r="C1534">
        <v>54521</v>
      </c>
      <c r="D1534">
        <v>1659</v>
      </c>
      <c r="E1534" t="s">
        <v>4006</v>
      </c>
      <c r="F1534">
        <v>2700</v>
      </c>
      <c r="G1534" t="s">
        <v>411</v>
      </c>
      <c r="H1534" t="s">
        <v>4004</v>
      </c>
      <c r="I1534" t="s">
        <v>2531</v>
      </c>
      <c r="J1534">
        <v>2701</v>
      </c>
      <c r="K1534" t="s">
        <v>2531</v>
      </c>
      <c r="L1534">
        <v>2100</v>
      </c>
      <c r="M1534" t="s">
        <v>123</v>
      </c>
      <c r="N1534">
        <v>2118</v>
      </c>
      <c r="O1534" t="s">
        <v>2409</v>
      </c>
      <c r="P1534" t="s">
        <v>3108</v>
      </c>
      <c r="Q1534" t="s">
        <v>3249</v>
      </c>
      <c r="R1534" t="s">
        <v>3249</v>
      </c>
      <c r="S1534" t="s">
        <v>810</v>
      </c>
      <c r="T1534" t="s">
        <v>2754</v>
      </c>
      <c r="U1534" t="s">
        <v>3250</v>
      </c>
      <c r="V1534" t="s">
        <v>3250</v>
      </c>
      <c r="W1534" t="s">
        <v>3250</v>
      </c>
      <c r="X1534" t="s">
        <v>3250</v>
      </c>
      <c r="Y1534" t="s">
        <v>3250</v>
      </c>
      <c r="Z1534" t="s">
        <v>3250</v>
      </c>
      <c r="AA1534" t="s">
        <v>3108</v>
      </c>
      <c r="AB1534" t="s">
        <v>3108</v>
      </c>
      <c r="AC1534" t="s">
        <v>3250</v>
      </c>
      <c r="AD1534" t="s">
        <v>3250</v>
      </c>
      <c r="AE1534" t="s">
        <v>3250</v>
      </c>
      <c r="AF1534" t="s">
        <v>3250</v>
      </c>
      <c r="AG1534" t="s">
        <v>3250</v>
      </c>
      <c r="AH1534" t="s">
        <v>3250</v>
      </c>
      <c r="AI1534" t="s">
        <v>3250</v>
      </c>
      <c r="AJ1534" t="s">
        <v>3250</v>
      </c>
      <c r="AL1534" t="s">
        <v>3250</v>
      </c>
      <c r="AM1534" t="s">
        <v>3250</v>
      </c>
      <c r="AN1534" t="s">
        <v>3250</v>
      </c>
      <c r="AO1534" t="s">
        <v>3250</v>
      </c>
      <c r="AS1534" t="s">
        <v>3250</v>
      </c>
      <c r="AT1534" t="s">
        <v>3250</v>
      </c>
      <c r="AU1534" t="s">
        <v>3250</v>
      </c>
      <c r="AV1534" t="s">
        <v>3250</v>
      </c>
      <c r="AW1534" t="s">
        <v>3250</v>
      </c>
      <c r="AX1534" t="s">
        <v>3250</v>
      </c>
      <c r="AY1534" t="s">
        <v>3250</v>
      </c>
      <c r="AZ1534" t="s">
        <v>3250</v>
      </c>
      <c r="BA1534" t="s">
        <v>3250</v>
      </c>
      <c r="BB1534" t="s">
        <v>3250</v>
      </c>
      <c r="BC1534" t="s">
        <v>3250</v>
      </c>
      <c r="BE1534" t="s">
        <v>3250</v>
      </c>
      <c r="BF1534" t="s">
        <v>3250</v>
      </c>
      <c r="BG1534" t="s">
        <v>3250</v>
      </c>
      <c r="BH1534" t="s">
        <v>3250</v>
      </c>
      <c r="BI1534" t="s">
        <v>3250</v>
      </c>
      <c r="BK1534" t="s">
        <v>3250</v>
      </c>
      <c r="BL1534" t="s">
        <v>3250</v>
      </c>
      <c r="BM1534" t="s">
        <v>3250</v>
      </c>
      <c r="BN1534" t="s">
        <v>3250</v>
      </c>
      <c r="BP1534">
        <v>4</v>
      </c>
      <c r="BQ1534">
        <v>43</v>
      </c>
      <c r="BR1534" t="s">
        <v>2409</v>
      </c>
      <c r="BS1534" t="s">
        <v>4024</v>
      </c>
      <c r="BV1534">
        <v>82290</v>
      </c>
      <c r="BW1534">
        <v>205300</v>
      </c>
      <c r="BX1534">
        <v>0</v>
      </c>
      <c r="BY1534">
        <v>80000</v>
      </c>
      <c r="BZ1534">
        <v>100000</v>
      </c>
      <c r="CA1534">
        <v>220000</v>
      </c>
      <c r="CB1534">
        <v>228800</v>
      </c>
      <c r="CC1534">
        <v>237952</v>
      </c>
      <c r="CD1534">
        <v>92462</v>
      </c>
      <c r="CE1534" t="s">
        <v>3108</v>
      </c>
      <c r="CF1534" t="s">
        <v>3108</v>
      </c>
      <c r="CG1534" t="s">
        <v>3108</v>
      </c>
      <c r="CH1534" t="s">
        <v>3108</v>
      </c>
    </row>
    <row r="1535" spans="1:86" x14ac:dyDescent="0.2">
      <c r="A1535" t="s">
        <v>5490</v>
      </c>
      <c r="B1535" t="s">
        <v>5490</v>
      </c>
      <c r="C1535">
        <v>54522</v>
      </c>
      <c r="D1535">
        <v>1660</v>
      </c>
      <c r="E1535" t="s">
        <v>4010</v>
      </c>
      <c r="F1535">
        <v>2900</v>
      </c>
      <c r="G1535" t="s">
        <v>822</v>
      </c>
      <c r="H1535" t="s">
        <v>3108</v>
      </c>
      <c r="I1535" t="s">
        <v>3108</v>
      </c>
      <c r="J1535">
        <v>2904</v>
      </c>
      <c r="K1535" t="s">
        <v>1690</v>
      </c>
      <c r="L1535">
        <v>2100</v>
      </c>
      <c r="M1535" t="s">
        <v>123</v>
      </c>
      <c r="N1535">
        <v>2118</v>
      </c>
      <c r="O1535" t="s">
        <v>2409</v>
      </c>
      <c r="P1535" t="s">
        <v>3108</v>
      </c>
      <c r="Q1535" t="s">
        <v>3249</v>
      </c>
      <c r="R1535" t="s">
        <v>3249</v>
      </c>
      <c r="S1535" t="s">
        <v>810</v>
      </c>
      <c r="T1535" t="s">
        <v>2754</v>
      </c>
      <c r="U1535" t="s">
        <v>3250</v>
      </c>
      <c r="V1535" t="s">
        <v>3250</v>
      </c>
      <c r="W1535" t="s">
        <v>3250</v>
      </c>
      <c r="X1535" t="s">
        <v>3250</v>
      </c>
      <c r="Y1535" t="s">
        <v>3250</v>
      </c>
      <c r="Z1535" t="s">
        <v>3250</v>
      </c>
      <c r="AA1535" t="s">
        <v>3108</v>
      </c>
      <c r="AB1535" t="s">
        <v>3108</v>
      </c>
      <c r="AC1535" t="s">
        <v>3250</v>
      </c>
      <c r="AD1535" t="s">
        <v>3250</v>
      </c>
      <c r="AE1535" t="s">
        <v>3250</v>
      </c>
      <c r="AF1535" t="s">
        <v>3250</v>
      </c>
      <c r="AG1535" t="s">
        <v>3250</v>
      </c>
      <c r="AH1535" t="s">
        <v>3250</v>
      </c>
      <c r="AI1535" t="s">
        <v>3250</v>
      </c>
      <c r="AJ1535" t="s">
        <v>3250</v>
      </c>
      <c r="AL1535" t="s">
        <v>3250</v>
      </c>
      <c r="AM1535" t="s">
        <v>3250</v>
      </c>
      <c r="AN1535" t="s">
        <v>3250</v>
      </c>
      <c r="AO1535" t="s">
        <v>3250</v>
      </c>
      <c r="AS1535" t="s">
        <v>3250</v>
      </c>
      <c r="AT1535" t="s">
        <v>3250</v>
      </c>
      <c r="AU1535" t="s">
        <v>3250</v>
      </c>
      <c r="AV1535" t="s">
        <v>3250</v>
      </c>
      <c r="AW1535" t="s">
        <v>3250</v>
      </c>
      <c r="AX1535" t="s">
        <v>3250</v>
      </c>
      <c r="AY1535" t="s">
        <v>3250</v>
      </c>
      <c r="AZ1535" t="s">
        <v>3250</v>
      </c>
      <c r="BA1535" t="s">
        <v>3250</v>
      </c>
      <c r="BB1535" t="s">
        <v>3250</v>
      </c>
      <c r="BC1535" t="s">
        <v>3250</v>
      </c>
      <c r="BE1535" t="s">
        <v>3250</v>
      </c>
      <c r="BF1535" t="s">
        <v>3250</v>
      </c>
      <c r="BG1535" t="s">
        <v>3250</v>
      </c>
      <c r="BH1535" t="s">
        <v>3250</v>
      </c>
      <c r="BI1535" t="s">
        <v>3250</v>
      </c>
      <c r="BK1535" t="s">
        <v>3250</v>
      </c>
      <c r="BL1535" t="s">
        <v>3250</v>
      </c>
      <c r="BM1535" t="s">
        <v>3250</v>
      </c>
      <c r="BN1535" t="s">
        <v>3250</v>
      </c>
      <c r="BP1535">
        <v>4</v>
      </c>
      <c r="BQ1535">
        <v>43</v>
      </c>
      <c r="BR1535" t="s">
        <v>2409</v>
      </c>
      <c r="BS1535" t="s">
        <v>4024</v>
      </c>
      <c r="BV1535">
        <v>127547</v>
      </c>
      <c r="BW1535">
        <v>121533</v>
      </c>
      <c r="BX1535">
        <v>0</v>
      </c>
      <c r="BY1535">
        <v>586500</v>
      </c>
      <c r="BZ1535">
        <v>362236</v>
      </c>
      <c r="CA1535">
        <v>720000</v>
      </c>
      <c r="CB1535">
        <v>748800</v>
      </c>
      <c r="CC1535">
        <v>778752</v>
      </c>
      <c r="CD1535">
        <v>228764</v>
      </c>
      <c r="CE1535" t="s">
        <v>3108</v>
      </c>
      <c r="CF1535" t="s">
        <v>3108</v>
      </c>
      <c r="CG1535" t="s">
        <v>3108</v>
      </c>
      <c r="CH1535" t="s">
        <v>3108</v>
      </c>
    </row>
    <row r="1536" spans="1:86" x14ac:dyDescent="0.2">
      <c r="A1536" t="s">
        <v>5491</v>
      </c>
      <c r="B1536" t="s">
        <v>5491</v>
      </c>
      <c r="C1536">
        <v>54523</v>
      </c>
      <c r="D1536">
        <v>1661</v>
      </c>
      <c r="E1536" t="s">
        <v>3994</v>
      </c>
      <c r="F1536">
        <v>2600</v>
      </c>
      <c r="G1536" t="s">
        <v>1334</v>
      </c>
      <c r="H1536">
        <v>2600</v>
      </c>
      <c r="I1536" t="s">
        <v>1334</v>
      </c>
      <c r="J1536" t="s">
        <v>3250</v>
      </c>
      <c r="K1536" t="s">
        <v>3250</v>
      </c>
      <c r="L1536">
        <v>2100</v>
      </c>
      <c r="M1536" t="s">
        <v>123</v>
      </c>
      <c r="N1536">
        <v>2118</v>
      </c>
      <c r="O1536" t="s">
        <v>2409</v>
      </c>
      <c r="P1536" t="s">
        <v>3108</v>
      </c>
      <c r="Q1536" t="s">
        <v>3249</v>
      </c>
      <c r="R1536" t="s">
        <v>3249</v>
      </c>
      <c r="S1536" t="s">
        <v>810</v>
      </c>
      <c r="T1536" t="s">
        <v>2754</v>
      </c>
      <c r="U1536" t="s">
        <v>3250</v>
      </c>
      <c r="V1536" t="s">
        <v>3250</v>
      </c>
      <c r="W1536" t="s">
        <v>3250</v>
      </c>
      <c r="X1536" t="s">
        <v>3250</v>
      </c>
      <c r="Y1536" t="s">
        <v>3250</v>
      </c>
      <c r="Z1536" t="s">
        <v>3250</v>
      </c>
      <c r="AA1536" t="s">
        <v>3108</v>
      </c>
      <c r="AB1536" t="s">
        <v>3108</v>
      </c>
      <c r="AC1536" t="s">
        <v>3250</v>
      </c>
      <c r="AD1536" t="s">
        <v>3250</v>
      </c>
      <c r="AE1536" t="s">
        <v>3250</v>
      </c>
      <c r="AF1536" t="s">
        <v>3250</v>
      </c>
      <c r="AG1536" t="s">
        <v>3250</v>
      </c>
      <c r="AH1536" t="s">
        <v>3250</v>
      </c>
      <c r="AI1536" t="s">
        <v>3250</v>
      </c>
      <c r="AJ1536" t="s">
        <v>3250</v>
      </c>
      <c r="AL1536" t="s">
        <v>3250</v>
      </c>
      <c r="AM1536" t="s">
        <v>3250</v>
      </c>
      <c r="AN1536" t="s">
        <v>3250</v>
      </c>
      <c r="AO1536" t="s">
        <v>3250</v>
      </c>
      <c r="AS1536" t="s">
        <v>3250</v>
      </c>
      <c r="AT1536" t="s">
        <v>3250</v>
      </c>
      <c r="AU1536" t="s">
        <v>3250</v>
      </c>
      <c r="AV1536" t="s">
        <v>3250</v>
      </c>
      <c r="AW1536" t="s">
        <v>3250</v>
      </c>
      <c r="AX1536" t="s">
        <v>3250</v>
      </c>
      <c r="AY1536" t="s">
        <v>3250</v>
      </c>
      <c r="AZ1536" t="s">
        <v>3250</v>
      </c>
      <c r="BA1536" t="s">
        <v>3250</v>
      </c>
      <c r="BB1536" t="s">
        <v>3250</v>
      </c>
      <c r="BC1536" t="s">
        <v>3250</v>
      </c>
      <c r="BE1536" t="s">
        <v>3250</v>
      </c>
      <c r="BF1536" t="s">
        <v>3250</v>
      </c>
      <c r="BG1536" t="s">
        <v>3250</v>
      </c>
      <c r="BH1536" t="s">
        <v>3250</v>
      </c>
      <c r="BI1536" t="s">
        <v>3250</v>
      </c>
      <c r="BK1536" t="s">
        <v>3250</v>
      </c>
      <c r="BL1536" t="s">
        <v>3250</v>
      </c>
      <c r="BM1536" t="s">
        <v>3250</v>
      </c>
      <c r="BN1536" t="s">
        <v>3250</v>
      </c>
      <c r="BP1536">
        <v>4</v>
      </c>
      <c r="BQ1536">
        <v>43</v>
      </c>
      <c r="BR1536" t="s">
        <v>2409</v>
      </c>
      <c r="BS1536" t="s">
        <v>4024</v>
      </c>
      <c r="BV1536">
        <v>176400</v>
      </c>
      <c r="BW1536">
        <v>161079</v>
      </c>
      <c r="BX1536">
        <v>0</v>
      </c>
      <c r="BY1536">
        <v>736500</v>
      </c>
      <c r="BZ1536">
        <v>600000</v>
      </c>
      <c r="CA1536">
        <v>70000</v>
      </c>
      <c r="CB1536">
        <v>72800</v>
      </c>
      <c r="CC1536">
        <v>75712</v>
      </c>
      <c r="CD1536">
        <v>136510</v>
      </c>
      <c r="CE1536" t="s">
        <v>3108</v>
      </c>
      <c r="CF1536" t="s">
        <v>3108</v>
      </c>
      <c r="CG1536" t="s">
        <v>3108</v>
      </c>
      <c r="CH1536" t="s">
        <v>3108</v>
      </c>
    </row>
    <row r="1537" spans="1:86" x14ac:dyDescent="0.2">
      <c r="A1537" t="s">
        <v>5492</v>
      </c>
      <c r="B1537" t="s">
        <v>5492</v>
      </c>
      <c r="C1537">
        <v>54524</v>
      </c>
      <c r="D1537">
        <v>1662</v>
      </c>
      <c r="E1537" t="s">
        <v>4600</v>
      </c>
      <c r="F1537">
        <v>2700</v>
      </c>
      <c r="G1537" t="s">
        <v>411</v>
      </c>
      <c r="H1537" t="s">
        <v>3837</v>
      </c>
      <c r="I1537" t="s">
        <v>2532</v>
      </c>
      <c r="J1537">
        <v>2702</v>
      </c>
      <c r="K1537" t="s">
        <v>2532</v>
      </c>
      <c r="L1537">
        <v>1100</v>
      </c>
      <c r="M1537" t="s">
        <v>119</v>
      </c>
      <c r="N1537">
        <v>1120</v>
      </c>
      <c r="O1537" t="s">
        <v>2367</v>
      </c>
      <c r="P1537" t="s">
        <v>3108</v>
      </c>
      <c r="Q1537" t="s">
        <v>3249</v>
      </c>
      <c r="R1537" t="s">
        <v>3249</v>
      </c>
      <c r="S1537" t="s">
        <v>810</v>
      </c>
      <c r="T1537" t="s">
        <v>2754</v>
      </c>
      <c r="U1537" t="s">
        <v>3250</v>
      </c>
      <c r="V1537" t="s">
        <v>3250</v>
      </c>
      <c r="W1537" t="s">
        <v>3250</v>
      </c>
      <c r="X1537" t="s">
        <v>3250</v>
      </c>
      <c r="Y1537" t="s">
        <v>3250</v>
      </c>
      <c r="Z1537" t="s">
        <v>3250</v>
      </c>
      <c r="AA1537" t="s">
        <v>3108</v>
      </c>
      <c r="AB1537" t="s">
        <v>3108</v>
      </c>
      <c r="AC1537" t="s">
        <v>3250</v>
      </c>
      <c r="AD1537" t="s">
        <v>3250</v>
      </c>
      <c r="AE1537" t="s">
        <v>3250</v>
      </c>
      <c r="AF1537" t="s">
        <v>3250</v>
      </c>
      <c r="AG1537" t="s">
        <v>3250</v>
      </c>
      <c r="AH1537" t="s">
        <v>3250</v>
      </c>
      <c r="AI1537" t="s">
        <v>3250</v>
      </c>
      <c r="AJ1537" t="s">
        <v>3250</v>
      </c>
      <c r="AL1537" t="s">
        <v>3250</v>
      </c>
      <c r="AM1537" t="s">
        <v>3250</v>
      </c>
      <c r="AN1537" t="s">
        <v>3250</v>
      </c>
      <c r="AO1537" t="s">
        <v>3250</v>
      </c>
      <c r="AS1537" t="s">
        <v>3250</v>
      </c>
      <c r="AT1537" t="s">
        <v>3250</v>
      </c>
      <c r="AU1537" t="s">
        <v>3250</v>
      </c>
      <c r="AV1537" t="s">
        <v>3250</v>
      </c>
      <c r="AW1537" t="s">
        <v>3250</v>
      </c>
      <c r="AX1537" t="s">
        <v>3250</v>
      </c>
      <c r="AY1537" t="s">
        <v>3250</v>
      </c>
      <c r="AZ1537" t="s">
        <v>3250</v>
      </c>
      <c r="BA1537" t="s">
        <v>3250</v>
      </c>
      <c r="BB1537" t="s">
        <v>3250</v>
      </c>
      <c r="BC1537" t="s">
        <v>3250</v>
      </c>
      <c r="BE1537" t="s">
        <v>3250</v>
      </c>
      <c r="BF1537" t="s">
        <v>3250</v>
      </c>
      <c r="BG1537" t="s">
        <v>3250</v>
      </c>
      <c r="BH1537" t="s">
        <v>3250</v>
      </c>
      <c r="BI1537" t="s">
        <v>3250</v>
      </c>
      <c r="BK1537" t="s">
        <v>3250</v>
      </c>
      <c r="BL1537" t="s">
        <v>3250</v>
      </c>
      <c r="BM1537" t="s">
        <v>3250</v>
      </c>
      <c r="BN1537" t="s">
        <v>3250</v>
      </c>
      <c r="BP1537">
        <v>3</v>
      </c>
      <c r="BQ1537">
        <v>31</v>
      </c>
      <c r="BR1537" t="s">
        <v>2367</v>
      </c>
      <c r="BS1537" t="s">
        <v>4381</v>
      </c>
      <c r="BV1537">
        <v>0</v>
      </c>
      <c r="BW1537">
        <v>0</v>
      </c>
      <c r="BX1537">
        <v>0</v>
      </c>
      <c r="BY1537">
        <v>0</v>
      </c>
      <c r="BZ1537">
        <v>0</v>
      </c>
      <c r="CA1537">
        <v>0</v>
      </c>
      <c r="CB1537">
        <v>0</v>
      </c>
      <c r="CC1537">
        <v>0</v>
      </c>
      <c r="CD1537">
        <v>0</v>
      </c>
      <c r="CE1537" t="s">
        <v>3108</v>
      </c>
      <c r="CF1537" t="s">
        <v>3108</v>
      </c>
      <c r="CG1537" t="s">
        <v>3108</v>
      </c>
      <c r="CH1537" t="s">
        <v>3108</v>
      </c>
    </row>
    <row r="1538" spans="1:86" x14ac:dyDescent="0.2">
      <c r="A1538" t="s">
        <v>5493</v>
      </c>
      <c r="B1538" t="s">
        <v>5493</v>
      </c>
      <c r="C1538">
        <v>54525</v>
      </c>
      <c r="D1538">
        <v>1638</v>
      </c>
      <c r="E1538" t="s">
        <v>4006</v>
      </c>
      <c r="F1538">
        <v>2700</v>
      </c>
      <c r="G1538" t="s">
        <v>411</v>
      </c>
      <c r="H1538" t="s">
        <v>4004</v>
      </c>
      <c r="I1538" t="s">
        <v>2531</v>
      </c>
      <c r="J1538">
        <v>2701</v>
      </c>
      <c r="K1538" t="s">
        <v>2531</v>
      </c>
      <c r="L1538">
        <v>3100</v>
      </c>
      <c r="M1538" t="s">
        <v>127</v>
      </c>
      <c r="N1538">
        <v>3105</v>
      </c>
      <c r="O1538" t="s">
        <v>2416</v>
      </c>
      <c r="P1538" t="s">
        <v>3108</v>
      </c>
      <c r="Q1538" t="s">
        <v>3249</v>
      </c>
      <c r="R1538" t="s">
        <v>3249</v>
      </c>
      <c r="S1538" t="s">
        <v>810</v>
      </c>
      <c r="T1538" t="s">
        <v>2754</v>
      </c>
      <c r="U1538" t="s">
        <v>3250</v>
      </c>
      <c r="V1538" t="s">
        <v>3250</v>
      </c>
      <c r="W1538" t="s">
        <v>3250</v>
      </c>
      <c r="X1538" t="s">
        <v>3250</v>
      </c>
      <c r="Y1538" t="s">
        <v>3250</v>
      </c>
      <c r="Z1538" t="s">
        <v>3250</v>
      </c>
      <c r="AA1538" t="s">
        <v>3108</v>
      </c>
      <c r="AB1538" t="s">
        <v>3108</v>
      </c>
      <c r="AC1538" t="s">
        <v>3250</v>
      </c>
      <c r="AD1538" t="s">
        <v>3250</v>
      </c>
      <c r="AE1538" t="s">
        <v>3250</v>
      </c>
      <c r="AF1538" t="s">
        <v>3250</v>
      </c>
      <c r="AG1538" t="s">
        <v>3250</v>
      </c>
      <c r="AH1538" t="s">
        <v>3250</v>
      </c>
      <c r="AI1538" t="s">
        <v>3250</v>
      </c>
      <c r="AJ1538" t="s">
        <v>3250</v>
      </c>
      <c r="AL1538" t="s">
        <v>3250</v>
      </c>
      <c r="AM1538" t="s">
        <v>3250</v>
      </c>
      <c r="AN1538" t="s">
        <v>3250</v>
      </c>
      <c r="AO1538" t="s">
        <v>3250</v>
      </c>
      <c r="AS1538" t="s">
        <v>3250</v>
      </c>
      <c r="AT1538" t="s">
        <v>3250</v>
      </c>
      <c r="AU1538" t="s">
        <v>3250</v>
      </c>
      <c r="AV1538" t="s">
        <v>3250</v>
      </c>
      <c r="AW1538" t="s">
        <v>3250</v>
      </c>
      <c r="AX1538" t="s">
        <v>3250</v>
      </c>
      <c r="AY1538" t="s">
        <v>3250</v>
      </c>
      <c r="AZ1538" t="s">
        <v>3250</v>
      </c>
      <c r="BA1538" t="s">
        <v>3250</v>
      </c>
      <c r="BB1538" t="s">
        <v>3250</v>
      </c>
      <c r="BC1538" t="s">
        <v>3250</v>
      </c>
      <c r="BE1538" t="s">
        <v>3250</v>
      </c>
      <c r="BF1538" t="s">
        <v>3250</v>
      </c>
      <c r="BG1538" t="s">
        <v>3250</v>
      </c>
      <c r="BH1538" t="s">
        <v>3250</v>
      </c>
      <c r="BI1538" t="s">
        <v>3250</v>
      </c>
      <c r="BK1538" t="s">
        <v>3250</v>
      </c>
      <c r="BL1538" t="s">
        <v>3250</v>
      </c>
      <c r="BM1538" t="s">
        <v>3250</v>
      </c>
      <c r="BN1538" t="s">
        <v>3250</v>
      </c>
      <c r="BP1538">
        <v>8</v>
      </c>
      <c r="BQ1538">
        <v>83</v>
      </c>
      <c r="BR1538" t="s">
        <v>2416</v>
      </c>
      <c r="BS1538" t="s">
        <v>4013</v>
      </c>
      <c r="BV1538">
        <v>4750</v>
      </c>
      <c r="BW1538">
        <v>0</v>
      </c>
      <c r="BX1538">
        <v>0</v>
      </c>
      <c r="BY1538">
        <v>0</v>
      </c>
      <c r="BZ1538">
        <v>0</v>
      </c>
      <c r="CA1538">
        <v>40000</v>
      </c>
      <c r="CB1538">
        <v>41600</v>
      </c>
      <c r="CC1538">
        <v>43264</v>
      </c>
      <c r="CD1538">
        <v>0</v>
      </c>
      <c r="CE1538" t="s">
        <v>3108</v>
      </c>
      <c r="CF1538" t="s">
        <v>3108</v>
      </c>
      <c r="CG1538" t="s">
        <v>3108</v>
      </c>
      <c r="CH1538" t="s">
        <v>3108</v>
      </c>
    </row>
    <row r="1539" spans="1:86" x14ac:dyDescent="0.2">
      <c r="A1539" t="s">
        <v>5494</v>
      </c>
      <c r="B1539" t="s">
        <v>5494</v>
      </c>
      <c r="C1539">
        <v>54526</v>
      </c>
      <c r="D1539">
        <v>1663</v>
      </c>
      <c r="E1539" t="s">
        <v>4623</v>
      </c>
      <c r="F1539">
        <v>2900</v>
      </c>
      <c r="G1539" t="s">
        <v>822</v>
      </c>
      <c r="H1539" t="s">
        <v>3108</v>
      </c>
      <c r="I1539" t="s">
        <v>3108</v>
      </c>
      <c r="J1539">
        <v>2904</v>
      </c>
      <c r="K1539" t="s">
        <v>1690</v>
      </c>
      <c r="L1539">
        <v>1100</v>
      </c>
      <c r="M1539" t="s">
        <v>119</v>
      </c>
      <c r="N1539">
        <v>1120</v>
      </c>
      <c r="O1539" t="s">
        <v>2367</v>
      </c>
      <c r="P1539" t="s">
        <v>3108</v>
      </c>
      <c r="Q1539" t="s">
        <v>3249</v>
      </c>
      <c r="R1539" t="s">
        <v>3249</v>
      </c>
      <c r="S1539" t="s">
        <v>810</v>
      </c>
      <c r="T1539" t="s">
        <v>2754</v>
      </c>
      <c r="U1539" t="s">
        <v>3250</v>
      </c>
      <c r="V1539" t="s">
        <v>3250</v>
      </c>
      <c r="W1539" t="s">
        <v>3250</v>
      </c>
      <c r="X1539" t="s">
        <v>3250</v>
      </c>
      <c r="Y1539" t="s">
        <v>3250</v>
      </c>
      <c r="Z1539" t="s">
        <v>3250</v>
      </c>
      <c r="AA1539" t="s">
        <v>3108</v>
      </c>
      <c r="AB1539" t="s">
        <v>3108</v>
      </c>
      <c r="AC1539" t="s">
        <v>3250</v>
      </c>
      <c r="AD1539" t="s">
        <v>3250</v>
      </c>
      <c r="AE1539" t="s">
        <v>3250</v>
      </c>
      <c r="AF1539" t="s">
        <v>3250</v>
      </c>
      <c r="AG1539" t="s">
        <v>3250</v>
      </c>
      <c r="AH1539" t="s">
        <v>3250</v>
      </c>
      <c r="AI1539" t="s">
        <v>3250</v>
      </c>
      <c r="AJ1539" t="s">
        <v>3250</v>
      </c>
      <c r="AL1539" t="s">
        <v>3250</v>
      </c>
      <c r="AM1539" t="s">
        <v>3250</v>
      </c>
      <c r="AN1539" t="s">
        <v>3250</v>
      </c>
      <c r="AO1539" t="s">
        <v>3250</v>
      </c>
      <c r="AS1539" t="s">
        <v>3250</v>
      </c>
      <c r="AT1539" t="s">
        <v>3250</v>
      </c>
      <c r="AU1539" t="s">
        <v>3250</v>
      </c>
      <c r="AV1539" t="s">
        <v>3250</v>
      </c>
      <c r="AW1539" t="s">
        <v>3250</v>
      </c>
      <c r="AX1539" t="s">
        <v>3250</v>
      </c>
      <c r="AY1539" t="s">
        <v>3250</v>
      </c>
      <c r="AZ1539" t="s">
        <v>3250</v>
      </c>
      <c r="BA1539" t="s">
        <v>3250</v>
      </c>
      <c r="BB1539" t="s">
        <v>3250</v>
      </c>
      <c r="BC1539" t="s">
        <v>3250</v>
      </c>
      <c r="BE1539" t="s">
        <v>3250</v>
      </c>
      <c r="BF1539" t="s">
        <v>3250</v>
      </c>
      <c r="BG1539" t="s">
        <v>3250</v>
      </c>
      <c r="BH1539" t="s">
        <v>3250</v>
      </c>
      <c r="BI1539" t="s">
        <v>3250</v>
      </c>
      <c r="BK1539" t="s">
        <v>3250</v>
      </c>
      <c r="BL1539" t="s">
        <v>3250</v>
      </c>
      <c r="BM1539" t="s">
        <v>3250</v>
      </c>
      <c r="BN1539" t="s">
        <v>3250</v>
      </c>
      <c r="BP1539">
        <v>3</v>
      </c>
      <c r="BQ1539">
        <v>31</v>
      </c>
      <c r="BR1539" t="s">
        <v>2367</v>
      </c>
      <c r="BS1539" t="s">
        <v>4381</v>
      </c>
      <c r="BV1539">
        <v>3391</v>
      </c>
      <c r="BW1539">
        <v>10651</v>
      </c>
      <c r="BX1539">
        <v>0</v>
      </c>
      <c r="BY1539">
        <v>60000</v>
      </c>
      <c r="BZ1539">
        <v>60000</v>
      </c>
      <c r="CA1539">
        <v>62340</v>
      </c>
      <c r="CB1539">
        <v>64834</v>
      </c>
      <c r="CC1539">
        <v>67427</v>
      </c>
      <c r="CD1539">
        <v>1843</v>
      </c>
      <c r="CE1539" t="s">
        <v>3108</v>
      </c>
      <c r="CF1539" t="s">
        <v>3108</v>
      </c>
      <c r="CG1539" t="s">
        <v>3108</v>
      </c>
      <c r="CH1539" t="s">
        <v>3108</v>
      </c>
    </row>
    <row r="1540" spans="1:86" x14ac:dyDescent="0.2">
      <c r="A1540" t="s">
        <v>5495</v>
      </c>
      <c r="B1540" t="s">
        <v>5495</v>
      </c>
      <c r="C1540">
        <v>54527</v>
      </c>
      <c r="D1540">
        <v>1628</v>
      </c>
      <c r="E1540" t="s">
        <v>4015</v>
      </c>
      <c r="F1540">
        <v>2900</v>
      </c>
      <c r="G1540" t="s">
        <v>822</v>
      </c>
      <c r="H1540" t="s">
        <v>3108</v>
      </c>
      <c r="I1540" t="s">
        <v>3108</v>
      </c>
      <c r="J1540">
        <v>2904</v>
      </c>
      <c r="K1540" t="s">
        <v>1690</v>
      </c>
      <c r="L1540">
        <v>1200</v>
      </c>
      <c r="M1540" t="s">
        <v>2368</v>
      </c>
      <c r="N1540">
        <v>1201</v>
      </c>
      <c r="O1540" t="s">
        <v>2370</v>
      </c>
      <c r="P1540" t="s">
        <v>3108</v>
      </c>
      <c r="Q1540" t="s">
        <v>3249</v>
      </c>
      <c r="R1540" t="s">
        <v>3249</v>
      </c>
      <c r="S1540" t="s">
        <v>810</v>
      </c>
      <c r="T1540" t="s">
        <v>2754</v>
      </c>
      <c r="U1540" t="s">
        <v>3250</v>
      </c>
      <c r="V1540" t="s">
        <v>3250</v>
      </c>
      <c r="W1540" t="s">
        <v>3250</v>
      </c>
      <c r="X1540" t="s">
        <v>3250</v>
      </c>
      <c r="Y1540" t="s">
        <v>3250</v>
      </c>
      <c r="Z1540" t="s">
        <v>3250</v>
      </c>
      <c r="AA1540" t="s">
        <v>3108</v>
      </c>
      <c r="AB1540" t="s">
        <v>3108</v>
      </c>
      <c r="AC1540" t="s">
        <v>3250</v>
      </c>
      <c r="AD1540" t="s">
        <v>3250</v>
      </c>
      <c r="AE1540" t="s">
        <v>3250</v>
      </c>
      <c r="AF1540" t="s">
        <v>3250</v>
      </c>
      <c r="AG1540" t="s">
        <v>3250</v>
      </c>
      <c r="AH1540" t="s">
        <v>3250</v>
      </c>
      <c r="AI1540" t="s">
        <v>3250</v>
      </c>
      <c r="AJ1540" t="s">
        <v>3250</v>
      </c>
      <c r="AL1540" t="s">
        <v>3250</v>
      </c>
      <c r="AM1540" t="s">
        <v>3250</v>
      </c>
      <c r="AN1540" t="s">
        <v>3250</v>
      </c>
      <c r="AO1540" t="s">
        <v>3250</v>
      </c>
      <c r="AS1540" t="s">
        <v>3250</v>
      </c>
      <c r="AT1540" t="s">
        <v>3250</v>
      </c>
      <c r="AU1540" t="s">
        <v>3250</v>
      </c>
      <c r="AV1540" t="s">
        <v>3250</v>
      </c>
      <c r="AW1540" t="s">
        <v>3250</v>
      </c>
      <c r="AX1540" t="s">
        <v>3250</v>
      </c>
      <c r="AY1540" t="s">
        <v>3250</v>
      </c>
      <c r="AZ1540" t="s">
        <v>3250</v>
      </c>
      <c r="BA1540" t="s">
        <v>3250</v>
      </c>
      <c r="BB1540" t="s">
        <v>3250</v>
      </c>
      <c r="BC1540" t="s">
        <v>3250</v>
      </c>
      <c r="BE1540" t="s">
        <v>3250</v>
      </c>
      <c r="BF1540" t="s">
        <v>3250</v>
      </c>
      <c r="BG1540" t="s">
        <v>3250</v>
      </c>
      <c r="BH1540" t="s">
        <v>3250</v>
      </c>
      <c r="BI1540" t="s">
        <v>3250</v>
      </c>
      <c r="BK1540" t="s">
        <v>3250</v>
      </c>
      <c r="BL1540" t="s">
        <v>3250</v>
      </c>
      <c r="BM1540" t="s">
        <v>3250</v>
      </c>
      <c r="BN1540" t="s">
        <v>3250</v>
      </c>
      <c r="BP1540">
        <v>1</v>
      </c>
      <c r="BQ1540">
        <v>14</v>
      </c>
      <c r="BR1540" t="s">
        <v>2370</v>
      </c>
      <c r="BS1540" t="s">
        <v>3252</v>
      </c>
      <c r="BV1540">
        <v>0</v>
      </c>
      <c r="BW1540">
        <v>0</v>
      </c>
      <c r="BX1540">
        <v>0</v>
      </c>
      <c r="BY1540">
        <v>0</v>
      </c>
      <c r="BZ1540">
        <v>0</v>
      </c>
      <c r="CA1540">
        <v>0</v>
      </c>
      <c r="CB1540">
        <v>0</v>
      </c>
      <c r="CC1540">
        <v>0</v>
      </c>
      <c r="CD1540">
        <v>0</v>
      </c>
      <c r="CE1540" t="s">
        <v>3108</v>
      </c>
      <c r="CF1540" t="s">
        <v>3108</v>
      </c>
      <c r="CG1540" t="s">
        <v>3108</v>
      </c>
      <c r="CH1540" t="s">
        <v>3108</v>
      </c>
    </row>
    <row r="1541" spans="1:86" x14ac:dyDescent="0.2">
      <c r="A1541" t="s">
        <v>5496</v>
      </c>
      <c r="B1541" t="s">
        <v>5496</v>
      </c>
      <c r="C1541">
        <v>54528</v>
      </c>
      <c r="D1541">
        <v>1664</v>
      </c>
      <c r="E1541" t="s">
        <v>4444</v>
      </c>
      <c r="F1541">
        <v>2900</v>
      </c>
      <c r="G1541" t="s">
        <v>822</v>
      </c>
      <c r="H1541" t="s">
        <v>3108</v>
      </c>
      <c r="I1541" t="s">
        <v>3108</v>
      </c>
      <c r="J1541">
        <v>2904</v>
      </c>
      <c r="K1541" t="s">
        <v>1690</v>
      </c>
      <c r="L1541">
        <v>1100</v>
      </c>
      <c r="M1541" t="s">
        <v>119</v>
      </c>
      <c r="N1541">
        <v>1120</v>
      </c>
      <c r="O1541" t="s">
        <v>2367</v>
      </c>
      <c r="P1541" t="s">
        <v>3108</v>
      </c>
      <c r="Q1541" t="s">
        <v>3249</v>
      </c>
      <c r="R1541" t="s">
        <v>3249</v>
      </c>
      <c r="S1541" t="s">
        <v>810</v>
      </c>
      <c r="T1541" t="s">
        <v>2754</v>
      </c>
      <c r="U1541" t="s">
        <v>3250</v>
      </c>
      <c r="V1541" t="s">
        <v>3250</v>
      </c>
      <c r="W1541" t="s">
        <v>3250</v>
      </c>
      <c r="X1541" t="s">
        <v>3250</v>
      </c>
      <c r="Y1541" t="s">
        <v>3250</v>
      </c>
      <c r="Z1541" t="s">
        <v>3250</v>
      </c>
      <c r="AA1541" t="s">
        <v>3108</v>
      </c>
      <c r="AB1541" t="s">
        <v>3108</v>
      </c>
      <c r="AC1541" t="s">
        <v>3250</v>
      </c>
      <c r="AD1541" t="s">
        <v>3250</v>
      </c>
      <c r="AE1541" t="s">
        <v>3250</v>
      </c>
      <c r="AF1541" t="s">
        <v>3250</v>
      </c>
      <c r="AG1541" t="s">
        <v>3250</v>
      </c>
      <c r="AH1541" t="s">
        <v>3250</v>
      </c>
      <c r="AI1541" t="s">
        <v>3250</v>
      </c>
      <c r="AJ1541" t="s">
        <v>3250</v>
      </c>
      <c r="AL1541" t="s">
        <v>3250</v>
      </c>
      <c r="AM1541" t="s">
        <v>3250</v>
      </c>
      <c r="AN1541" t="s">
        <v>3250</v>
      </c>
      <c r="AO1541" t="s">
        <v>3250</v>
      </c>
      <c r="AS1541" t="s">
        <v>3250</v>
      </c>
      <c r="AT1541" t="s">
        <v>3250</v>
      </c>
      <c r="AU1541" t="s">
        <v>3250</v>
      </c>
      <c r="AV1541" t="s">
        <v>3250</v>
      </c>
      <c r="AW1541" t="s">
        <v>3250</v>
      </c>
      <c r="AX1541" t="s">
        <v>3250</v>
      </c>
      <c r="AY1541" t="s">
        <v>3250</v>
      </c>
      <c r="AZ1541" t="s">
        <v>3250</v>
      </c>
      <c r="BA1541" t="s">
        <v>3250</v>
      </c>
      <c r="BB1541" t="s">
        <v>3250</v>
      </c>
      <c r="BC1541" t="s">
        <v>3250</v>
      </c>
      <c r="BE1541" t="s">
        <v>3250</v>
      </c>
      <c r="BF1541" t="s">
        <v>3250</v>
      </c>
      <c r="BG1541" t="s">
        <v>3250</v>
      </c>
      <c r="BH1541" t="s">
        <v>3250</v>
      </c>
      <c r="BI1541" t="s">
        <v>3250</v>
      </c>
      <c r="BK1541" t="s">
        <v>3250</v>
      </c>
      <c r="BL1541" t="s">
        <v>3250</v>
      </c>
      <c r="BM1541" t="s">
        <v>3250</v>
      </c>
      <c r="BN1541" t="s">
        <v>3250</v>
      </c>
      <c r="BP1541">
        <v>3</v>
      </c>
      <c r="BQ1541">
        <v>31</v>
      </c>
      <c r="BR1541" t="s">
        <v>2367</v>
      </c>
      <c r="BS1541" t="s">
        <v>4381</v>
      </c>
      <c r="BV1541">
        <v>10000</v>
      </c>
      <c r="BW1541">
        <v>2000</v>
      </c>
      <c r="BX1541">
        <v>0</v>
      </c>
      <c r="BY1541">
        <v>100000</v>
      </c>
      <c r="BZ1541">
        <v>100000</v>
      </c>
      <c r="CA1541">
        <v>103900</v>
      </c>
      <c r="CB1541">
        <v>108056</v>
      </c>
      <c r="CC1541">
        <v>112378</v>
      </c>
      <c r="CD1541">
        <v>0</v>
      </c>
      <c r="CE1541" t="s">
        <v>3108</v>
      </c>
      <c r="CF1541" t="s">
        <v>3108</v>
      </c>
      <c r="CG1541" t="s">
        <v>3108</v>
      </c>
      <c r="CH1541" t="s">
        <v>3108</v>
      </c>
    </row>
    <row r="1542" spans="1:86" x14ac:dyDescent="0.2">
      <c r="A1542" t="s">
        <v>5497</v>
      </c>
      <c r="B1542" t="s">
        <v>5497</v>
      </c>
      <c r="C1542">
        <v>54529</v>
      </c>
      <c r="D1542">
        <v>1665</v>
      </c>
      <c r="E1542" t="s">
        <v>4027</v>
      </c>
      <c r="F1542">
        <v>2900</v>
      </c>
      <c r="G1542" t="s">
        <v>822</v>
      </c>
      <c r="H1542" t="s">
        <v>3108</v>
      </c>
      <c r="I1542" t="s">
        <v>3108</v>
      </c>
      <c r="J1542">
        <v>2904</v>
      </c>
      <c r="K1542" t="s">
        <v>1690</v>
      </c>
      <c r="L1542">
        <v>1100</v>
      </c>
      <c r="M1542" t="s">
        <v>119</v>
      </c>
      <c r="N1542">
        <v>1120</v>
      </c>
      <c r="O1542" t="s">
        <v>2367</v>
      </c>
      <c r="P1542" t="s">
        <v>3108</v>
      </c>
      <c r="Q1542" t="s">
        <v>3249</v>
      </c>
      <c r="R1542" t="s">
        <v>3249</v>
      </c>
      <c r="S1542" t="s">
        <v>810</v>
      </c>
      <c r="T1542" t="s">
        <v>2754</v>
      </c>
      <c r="U1542" t="s">
        <v>3250</v>
      </c>
      <c r="V1542" t="s">
        <v>3250</v>
      </c>
      <c r="W1542" t="s">
        <v>3250</v>
      </c>
      <c r="X1542" t="s">
        <v>3250</v>
      </c>
      <c r="Y1542" t="s">
        <v>3250</v>
      </c>
      <c r="Z1542" t="s">
        <v>3250</v>
      </c>
      <c r="AA1542" t="s">
        <v>3108</v>
      </c>
      <c r="AB1542" t="s">
        <v>3108</v>
      </c>
      <c r="AC1542" t="s">
        <v>3250</v>
      </c>
      <c r="AD1542" t="s">
        <v>3250</v>
      </c>
      <c r="AE1542" t="s">
        <v>3250</v>
      </c>
      <c r="AF1542" t="s">
        <v>3250</v>
      </c>
      <c r="AG1542" t="s">
        <v>3250</v>
      </c>
      <c r="AH1542" t="s">
        <v>3250</v>
      </c>
      <c r="AI1542" t="s">
        <v>3250</v>
      </c>
      <c r="AJ1542" t="s">
        <v>3250</v>
      </c>
      <c r="AL1542" t="s">
        <v>3250</v>
      </c>
      <c r="AM1542" t="s">
        <v>3250</v>
      </c>
      <c r="AN1542" t="s">
        <v>3250</v>
      </c>
      <c r="AO1542" t="s">
        <v>3250</v>
      </c>
      <c r="AS1542" t="s">
        <v>3250</v>
      </c>
      <c r="AT1542" t="s">
        <v>3250</v>
      </c>
      <c r="AU1542" t="s">
        <v>3250</v>
      </c>
      <c r="AV1542" t="s">
        <v>3250</v>
      </c>
      <c r="AW1542" t="s">
        <v>3250</v>
      </c>
      <c r="AX1542" t="s">
        <v>3250</v>
      </c>
      <c r="AY1542" t="s">
        <v>3250</v>
      </c>
      <c r="AZ1542" t="s">
        <v>3250</v>
      </c>
      <c r="BA1542" t="s">
        <v>3250</v>
      </c>
      <c r="BB1542" t="s">
        <v>3250</v>
      </c>
      <c r="BC1542" t="s">
        <v>3250</v>
      </c>
      <c r="BE1542" t="s">
        <v>3250</v>
      </c>
      <c r="BF1542" t="s">
        <v>3250</v>
      </c>
      <c r="BG1542" t="s">
        <v>3250</v>
      </c>
      <c r="BH1542" t="s">
        <v>3250</v>
      </c>
      <c r="BI1542" t="s">
        <v>3250</v>
      </c>
      <c r="BK1542" t="s">
        <v>3250</v>
      </c>
      <c r="BL1542" t="s">
        <v>3250</v>
      </c>
      <c r="BM1542" t="s">
        <v>3250</v>
      </c>
      <c r="BN1542" t="s">
        <v>3250</v>
      </c>
      <c r="BP1542">
        <v>3</v>
      </c>
      <c r="BQ1542">
        <v>31</v>
      </c>
      <c r="BR1542" t="s">
        <v>2367</v>
      </c>
      <c r="BS1542" t="s">
        <v>4381</v>
      </c>
      <c r="BV1542">
        <v>8332</v>
      </c>
      <c r="BW1542">
        <v>12085</v>
      </c>
      <c r="BX1542">
        <v>0</v>
      </c>
      <c r="BY1542">
        <v>60000</v>
      </c>
      <c r="BZ1542">
        <v>60000</v>
      </c>
      <c r="CA1542">
        <v>62340</v>
      </c>
      <c r="CB1542">
        <v>64834</v>
      </c>
      <c r="CC1542">
        <v>67427</v>
      </c>
      <c r="CD1542">
        <v>0</v>
      </c>
      <c r="CE1542" t="s">
        <v>3108</v>
      </c>
      <c r="CF1542" t="s">
        <v>3108</v>
      </c>
      <c r="CG1542" t="s">
        <v>3108</v>
      </c>
      <c r="CH1542" t="s">
        <v>3108</v>
      </c>
    </row>
    <row r="1543" spans="1:86" x14ac:dyDescent="0.2">
      <c r="A1543" t="s">
        <v>5498</v>
      </c>
      <c r="B1543" t="s">
        <v>5498</v>
      </c>
      <c r="C1543">
        <v>54530</v>
      </c>
      <c r="D1543">
        <v>1666</v>
      </c>
      <c r="E1543" t="s">
        <v>4099</v>
      </c>
      <c r="F1543">
        <v>2900</v>
      </c>
      <c r="G1543" t="s">
        <v>822</v>
      </c>
      <c r="H1543" t="s">
        <v>3108</v>
      </c>
      <c r="I1543" t="s">
        <v>3108</v>
      </c>
      <c r="J1543">
        <v>2904</v>
      </c>
      <c r="K1543" t="s">
        <v>1690</v>
      </c>
      <c r="L1543">
        <v>1100</v>
      </c>
      <c r="M1543" t="s">
        <v>119</v>
      </c>
      <c r="N1543">
        <v>1120</v>
      </c>
      <c r="O1543" t="s">
        <v>2367</v>
      </c>
      <c r="P1543" t="s">
        <v>3108</v>
      </c>
      <c r="Q1543" t="s">
        <v>3249</v>
      </c>
      <c r="R1543" t="s">
        <v>3249</v>
      </c>
      <c r="S1543" t="s">
        <v>810</v>
      </c>
      <c r="T1543" t="s">
        <v>2754</v>
      </c>
      <c r="U1543" t="s">
        <v>3250</v>
      </c>
      <c r="V1543" t="s">
        <v>3250</v>
      </c>
      <c r="W1543" t="s">
        <v>3250</v>
      </c>
      <c r="X1543" t="s">
        <v>3250</v>
      </c>
      <c r="Y1543" t="s">
        <v>3250</v>
      </c>
      <c r="Z1543" t="s">
        <v>3250</v>
      </c>
      <c r="AA1543" t="s">
        <v>3108</v>
      </c>
      <c r="AB1543" t="s">
        <v>3108</v>
      </c>
      <c r="AC1543" t="s">
        <v>3250</v>
      </c>
      <c r="AD1543" t="s">
        <v>3250</v>
      </c>
      <c r="AE1543" t="s">
        <v>3250</v>
      </c>
      <c r="AF1543" t="s">
        <v>3250</v>
      </c>
      <c r="AG1543" t="s">
        <v>3250</v>
      </c>
      <c r="AH1543" t="s">
        <v>3250</v>
      </c>
      <c r="AI1543" t="s">
        <v>3250</v>
      </c>
      <c r="AJ1543" t="s">
        <v>3250</v>
      </c>
      <c r="AL1543" t="s">
        <v>3250</v>
      </c>
      <c r="AM1543" t="s">
        <v>3250</v>
      </c>
      <c r="AN1543" t="s">
        <v>3250</v>
      </c>
      <c r="AO1543" t="s">
        <v>3250</v>
      </c>
      <c r="AS1543" t="s">
        <v>3250</v>
      </c>
      <c r="AT1543" t="s">
        <v>3250</v>
      </c>
      <c r="AU1543" t="s">
        <v>3250</v>
      </c>
      <c r="AV1543" t="s">
        <v>3250</v>
      </c>
      <c r="AW1543" t="s">
        <v>3250</v>
      </c>
      <c r="AX1543" t="s">
        <v>3250</v>
      </c>
      <c r="AY1543" t="s">
        <v>3250</v>
      </c>
      <c r="AZ1543" t="s">
        <v>3250</v>
      </c>
      <c r="BA1543" t="s">
        <v>3250</v>
      </c>
      <c r="BB1543" t="s">
        <v>3250</v>
      </c>
      <c r="BC1543" t="s">
        <v>3250</v>
      </c>
      <c r="BE1543" t="s">
        <v>3250</v>
      </c>
      <c r="BF1543" t="s">
        <v>3250</v>
      </c>
      <c r="BG1543" t="s">
        <v>3250</v>
      </c>
      <c r="BH1543" t="s">
        <v>3250</v>
      </c>
      <c r="BI1543" t="s">
        <v>3250</v>
      </c>
      <c r="BK1543" t="s">
        <v>3250</v>
      </c>
      <c r="BL1543" t="s">
        <v>3250</v>
      </c>
      <c r="BM1543" t="s">
        <v>3250</v>
      </c>
      <c r="BN1543" t="s">
        <v>3250</v>
      </c>
      <c r="BP1543">
        <v>3</v>
      </c>
      <c r="BQ1543">
        <v>31</v>
      </c>
      <c r="BR1543" t="s">
        <v>2367</v>
      </c>
      <c r="BS1543" t="s">
        <v>4381</v>
      </c>
      <c r="BV1543">
        <v>17302</v>
      </c>
      <c r="BW1543">
        <v>11379</v>
      </c>
      <c r="BX1543">
        <v>0</v>
      </c>
      <c r="BY1543">
        <v>100000</v>
      </c>
      <c r="BZ1543">
        <v>100000</v>
      </c>
      <c r="CA1543">
        <v>103900</v>
      </c>
      <c r="CB1543">
        <v>108056</v>
      </c>
      <c r="CC1543">
        <v>112378</v>
      </c>
      <c r="CD1543">
        <v>0</v>
      </c>
      <c r="CE1543" t="s">
        <v>3108</v>
      </c>
      <c r="CF1543" t="s">
        <v>3108</v>
      </c>
      <c r="CG1543" t="s">
        <v>3108</v>
      </c>
      <c r="CH1543" t="s">
        <v>3108</v>
      </c>
    </row>
    <row r="1544" spans="1:86" x14ac:dyDescent="0.2">
      <c r="A1544" t="s">
        <v>5499</v>
      </c>
      <c r="B1544" t="s">
        <v>5499</v>
      </c>
      <c r="C1544">
        <v>54531</v>
      </c>
      <c r="D1544">
        <v>1667</v>
      </c>
      <c r="E1544" t="s">
        <v>4031</v>
      </c>
      <c r="F1544">
        <v>2900</v>
      </c>
      <c r="G1544" t="s">
        <v>822</v>
      </c>
      <c r="H1544" t="s">
        <v>3108</v>
      </c>
      <c r="I1544" t="s">
        <v>3108</v>
      </c>
      <c r="J1544">
        <v>2904</v>
      </c>
      <c r="K1544" t="s">
        <v>1690</v>
      </c>
      <c r="L1544">
        <v>1100</v>
      </c>
      <c r="M1544" t="s">
        <v>119</v>
      </c>
      <c r="N1544">
        <v>1120</v>
      </c>
      <c r="O1544" t="s">
        <v>2367</v>
      </c>
      <c r="P1544" t="s">
        <v>3108</v>
      </c>
      <c r="Q1544" t="s">
        <v>3249</v>
      </c>
      <c r="R1544" t="s">
        <v>3249</v>
      </c>
      <c r="S1544" t="s">
        <v>810</v>
      </c>
      <c r="T1544" t="s">
        <v>2754</v>
      </c>
      <c r="U1544" t="s">
        <v>3250</v>
      </c>
      <c r="V1544" t="s">
        <v>3250</v>
      </c>
      <c r="W1544" t="s">
        <v>3250</v>
      </c>
      <c r="X1544" t="s">
        <v>3250</v>
      </c>
      <c r="Y1544" t="s">
        <v>3250</v>
      </c>
      <c r="Z1544" t="s">
        <v>3250</v>
      </c>
      <c r="AA1544" t="s">
        <v>3108</v>
      </c>
      <c r="AB1544" t="s">
        <v>3108</v>
      </c>
      <c r="AC1544" t="s">
        <v>3250</v>
      </c>
      <c r="AD1544" t="s">
        <v>3250</v>
      </c>
      <c r="AE1544" t="s">
        <v>3250</v>
      </c>
      <c r="AF1544" t="s">
        <v>3250</v>
      </c>
      <c r="AG1544" t="s">
        <v>3250</v>
      </c>
      <c r="AH1544" t="s">
        <v>3250</v>
      </c>
      <c r="AI1544" t="s">
        <v>3250</v>
      </c>
      <c r="AJ1544" t="s">
        <v>3250</v>
      </c>
      <c r="AL1544" t="s">
        <v>3250</v>
      </c>
      <c r="AM1544" t="s">
        <v>3250</v>
      </c>
      <c r="AN1544" t="s">
        <v>3250</v>
      </c>
      <c r="AO1544" t="s">
        <v>3250</v>
      </c>
      <c r="AS1544" t="s">
        <v>3250</v>
      </c>
      <c r="AT1544" t="s">
        <v>3250</v>
      </c>
      <c r="AU1544" t="s">
        <v>3250</v>
      </c>
      <c r="AV1544" t="s">
        <v>3250</v>
      </c>
      <c r="AW1544" t="s">
        <v>3250</v>
      </c>
      <c r="AX1544" t="s">
        <v>3250</v>
      </c>
      <c r="AY1544" t="s">
        <v>3250</v>
      </c>
      <c r="AZ1544" t="s">
        <v>3250</v>
      </c>
      <c r="BA1544" t="s">
        <v>3250</v>
      </c>
      <c r="BB1544" t="s">
        <v>3250</v>
      </c>
      <c r="BC1544" t="s">
        <v>3250</v>
      </c>
      <c r="BE1544" t="s">
        <v>3250</v>
      </c>
      <c r="BF1544" t="s">
        <v>3250</v>
      </c>
      <c r="BG1544" t="s">
        <v>3250</v>
      </c>
      <c r="BH1544" t="s">
        <v>3250</v>
      </c>
      <c r="BI1544" t="s">
        <v>3250</v>
      </c>
      <c r="BK1544" t="s">
        <v>3250</v>
      </c>
      <c r="BL1544" t="s">
        <v>3250</v>
      </c>
      <c r="BM1544" t="s">
        <v>3250</v>
      </c>
      <c r="BN1544" t="s">
        <v>3250</v>
      </c>
      <c r="BP1544">
        <v>3</v>
      </c>
      <c r="BQ1544">
        <v>31</v>
      </c>
      <c r="BR1544" t="s">
        <v>2367</v>
      </c>
      <c r="BS1544" t="s">
        <v>4381</v>
      </c>
      <c r="BV1544">
        <v>234952</v>
      </c>
      <c r="BW1544">
        <v>406992</v>
      </c>
      <c r="BX1544">
        <v>0</v>
      </c>
      <c r="BY1544">
        <v>200000</v>
      </c>
      <c r="BZ1544">
        <v>100000</v>
      </c>
      <c r="CA1544">
        <v>103900</v>
      </c>
      <c r="CB1544">
        <v>108056</v>
      </c>
      <c r="CC1544">
        <v>112378</v>
      </c>
      <c r="CD1544">
        <v>250386</v>
      </c>
      <c r="CE1544" t="s">
        <v>3108</v>
      </c>
      <c r="CF1544" t="s">
        <v>3108</v>
      </c>
      <c r="CG1544" t="s">
        <v>3108</v>
      </c>
      <c r="CH1544" t="s">
        <v>3108</v>
      </c>
    </row>
    <row r="1545" spans="1:86" x14ac:dyDescent="0.2">
      <c r="A1545" t="s">
        <v>5500</v>
      </c>
      <c r="B1545" t="s">
        <v>5500</v>
      </c>
      <c r="C1545">
        <v>54532</v>
      </c>
      <c r="D1545">
        <v>1668</v>
      </c>
      <c r="E1545" t="s">
        <v>4037</v>
      </c>
      <c r="F1545">
        <v>2900</v>
      </c>
      <c r="G1545" t="s">
        <v>822</v>
      </c>
      <c r="H1545" t="s">
        <v>3108</v>
      </c>
      <c r="I1545" t="s">
        <v>3108</v>
      </c>
      <c r="J1545">
        <v>2904</v>
      </c>
      <c r="K1545" t="s">
        <v>1690</v>
      </c>
      <c r="L1545">
        <v>1100</v>
      </c>
      <c r="M1545" t="s">
        <v>119</v>
      </c>
      <c r="N1545">
        <v>1120</v>
      </c>
      <c r="O1545" t="s">
        <v>2367</v>
      </c>
      <c r="P1545" t="s">
        <v>3108</v>
      </c>
      <c r="Q1545" t="s">
        <v>3249</v>
      </c>
      <c r="R1545" t="s">
        <v>3249</v>
      </c>
      <c r="S1545" t="s">
        <v>810</v>
      </c>
      <c r="T1545" t="s">
        <v>2754</v>
      </c>
      <c r="U1545" t="s">
        <v>3250</v>
      </c>
      <c r="V1545" t="s">
        <v>3250</v>
      </c>
      <c r="W1545" t="s">
        <v>3250</v>
      </c>
      <c r="X1545" t="s">
        <v>3250</v>
      </c>
      <c r="Y1545" t="s">
        <v>3250</v>
      </c>
      <c r="Z1545" t="s">
        <v>3250</v>
      </c>
      <c r="AA1545" t="s">
        <v>3108</v>
      </c>
      <c r="AB1545" t="s">
        <v>3108</v>
      </c>
      <c r="AC1545" t="s">
        <v>3250</v>
      </c>
      <c r="AD1545" t="s">
        <v>3250</v>
      </c>
      <c r="AE1545" t="s">
        <v>3250</v>
      </c>
      <c r="AF1545" t="s">
        <v>3250</v>
      </c>
      <c r="AG1545" t="s">
        <v>3250</v>
      </c>
      <c r="AH1545" t="s">
        <v>3250</v>
      </c>
      <c r="AI1545" t="s">
        <v>3250</v>
      </c>
      <c r="AJ1545" t="s">
        <v>3250</v>
      </c>
      <c r="AL1545" t="s">
        <v>3250</v>
      </c>
      <c r="AM1545" t="s">
        <v>3250</v>
      </c>
      <c r="AN1545" t="s">
        <v>3250</v>
      </c>
      <c r="AO1545" t="s">
        <v>3250</v>
      </c>
      <c r="AS1545" t="s">
        <v>3250</v>
      </c>
      <c r="AT1545" t="s">
        <v>3250</v>
      </c>
      <c r="AU1545" t="s">
        <v>3250</v>
      </c>
      <c r="AV1545" t="s">
        <v>3250</v>
      </c>
      <c r="AW1545" t="s">
        <v>3250</v>
      </c>
      <c r="AX1545" t="s">
        <v>3250</v>
      </c>
      <c r="AY1545" t="s">
        <v>3250</v>
      </c>
      <c r="AZ1545" t="s">
        <v>3250</v>
      </c>
      <c r="BA1545" t="s">
        <v>3250</v>
      </c>
      <c r="BB1545" t="s">
        <v>3250</v>
      </c>
      <c r="BC1545" t="s">
        <v>3250</v>
      </c>
      <c r="BE1545" t="s">
        <v>3250</v>
      </c>
      <c r="BF1545" t="s">
        <v>3250</v>
      </c>
      <c r="BG1545" t="s">
        <v>3250</v>
      </c>
      <c r="BH1545" t="s">
        <v>3250</v>
      </c>
      <c r="BI1545" t="s">
        <v>3250</v>
      </c>
      <c r="BK1545" t="s">
        <v>3250</v>
      </c>
      <c r="BL1545" t="s">
        <v>3250</v>
      </c>
      <c r="BM1545" t="s">
        <v>3250</v>
      </c>
      <c r="BN1545" t="s">
        <v>3250</v>
      </c>
      <c r="BP1545">
        <v>3</v>
      </c>
      <c r="BQ1545">
        <v>31</v>
      </c>
      <c r="BR1545" t="s">
        <v>2367</v>
      </c>
      <c r="BS1545" t="s">
        <v>4381</v>
      </c>
      <c r="BV1545">
        <v>0</v>
      </c>
      <c r="BW1545">
        <v>0</v>
      </c>
      <c r="BX1545">
        <v>0</v>
      </c>
      <c r="BY1545">
        <v>70000</v>
      </c>
      <c r="BZ1545">
        <v>70000</v>
      </c>
      <c r="CA1545">
        <v>72730</v>
      </c>
      <c r="CB1545">
        <v>75639</v>
      </c>
      <c r="CC1545">
        <v>78665</v>
      </c>
      <c r="CD1545">
        <v>0</v>
      </c>
      <c r="CE1545" t="s">
        <v>3108</v>
      </c>
      <c r="CF1545" t="s">
        <v>3108</v>
      </c>
      <c r="CG1545" t="s">
        <v>3108</v>
      </c>
      <c r="CH1545" t="s">
        <v>3108</v>
      </c>
    </row>
    <row r="1546" spans="1:86" x14ac:dyDescent="0.2">
      <c r="A1546" t="s">
        <v>5501</v>
      </c>
      <c r="B1546" t="s">
        <v>5501</v>
      </c>
      <c r="C1546">
        <v>54533</v>
      </c>
      <c r="D1546">
        <v>1669</v>
      </c>
      <c r="E1546" t="s">
        <v>4326</v>
      </c>
      <c r="F1546">
        <v>2700</v>
      </c>
      <c r="G1546" t="s">
        <v>411</v>
      </c>
      <c r="H1546" t="s">
        <v>4004</v>
      </c>
      <c r="I1546" t="s">
        <v>2531</v>
      </c>
      <c r="J1546">
        <v>2701</v>
      </c>
      <c r="K1546" t="s">
        <v>2531</v>
      </c>
      <c r="L1546">
        <v>2100</v>
      </c>
      <c r="M1546" t="s">
        <v>123</v>
      </c>
      <c r="N1546">
        <v>2109</v>
      </c>
      <c r="O1546" t="s">
        <v>2402</v>
      </c>
      <c r="P1546" t="s">
        <v>3108</v>
      </c>
      <c r="Q1546" t="s">
        <v>3249</v>
      </c>
      <c r="R1546" t="s">
        <v>3249</v>
      </c>
      <c r="S1546" t="s">
        <v>810</v>
      </c>
      <c r="T1546" t="s">
        <v>2754</v>
      </c>
      <c r="U1546" t="s">
        <v>3250</v>
      </c>
      <c r="V1546" t="s">
        <v>3250</v>
      </c>
      <c r="W1546" t="s">
        <v>3250</v>
      </c>
      <c r="X1546" t="s">
        <v>3250</v>
      </c>
      <c r="Y1546" t="s">
        <v>3250</v>
      </c>
      <c r="Z1546" t="s">
        <v>3250</v>
      </c>
      <c r="AA1546" t="s">
        <v>3108</v>
      </c>
      <c r="AB1546" t="s">
        <v>3108</v>
      </c>
      <c r="AC1546" t="s">
        <v>3250</v>
      </c>
      <c r="AD1546" t="s">
        <v>3250</v>
      </c>
      <c r="AE1546" t="s">
        <v>3250</v>
      </c>
      <c r="AF1546" t="s">
        <v>3250</v>
      </c>
      <c r="AG1546" t="s">
        <v>3250</v>
      </c>
      <c r="AH1546" t="s">
        <v>3250</v>
      </c>
      <c r="AI1546" t="s">
        <v>3250</v>
      </c>
      <c r="AJ1546" t="s">
        <v>3250</v>
      </c>
      <c r="AL1546" t="s">
        <v>3250</v>
      </c>
      <c r="AM1546" t="s">
        <v>3250</v>
      </c>
      <c r="AN1546" t="s">
        <v>3250</v>
      </c>
      <c r="AO1546" t="s">
        <v>3250</v>
      </c>
      <c r="AS1546" t="s">
        <v>3250</v>
      </c>
      <c r="AT1546" t="s">
        <v>3250</v>
      </c>
      <c r="AU1546" t="s">
        <v>3250</v>
      </c>
      <c r="AV1546" t="s">
        <v>3250</v>
      </c>
      <c r="AW1546" t="s">
        <v>3250</v>
      </c>
      <c r="AX1546" t="s">
        <v>3250</v>
      </c>
      <c r="AY1546" t="s">
        <v>3250</v>
      </c>
      <c r="AZ1546" t="s">
        <v>3250</v>
      </c>
      <c r="BA1546" t="s">
        <v>3250</v>
      </c>
      <c r="BB1546" t="s">
        <v>3250</v>
      </c>
      <c r="BC1546" t="s">
        <v>3250</v>
      </c>
      <c r="BE1546" t="s">
        <v>3250</v>
      </c>
      <c r="BF1546" t="s">
        <v>3250</v>
      </c>
      <c r="BG1546" t="s">
        <v>3250</v>
      </c>
      <c r="BH1546" t="s">
        <v>3250</v>
      </c>
      <c r="BI1546" t="s">
        <v>3250</v>
      </c>
      <c r="BK1546" t="s">
        <v>3250</v>
      </c>
      <c r="BL1546" t="s">
        <v>3250</v>
      </c>
      <c r="BM1546" t="s">
        <v>3250</v>
      </c>
      <c r="BN1546" t="s">
        <v>3250</v>
      </c>
      <c r="BP1546">
        <v>4</v>
      </c>
      <c r="BQ1546">
        <v>41</v>
      </c>
      <c r="BR1546" t="s">
        <v>2402</v>
      </c>
      <c r="BS1546" t="s">
        <v>4024</v>
      </c>
      <c r="BV1546">
        <v>23538</v>
      </c>
      <c r="BW1546">
        <v>0</v>
      </c>
      <c r="BX1546">
        <v>0</v>
      </c>
      <c r="BY1546">
        <v>50000</v>
      </c>
      <c r="BZ1546">
        <v>50000</v>
      </c>
      <c r="CA1546">
        <v>70000</v>
      </c>
      <c r="CB1546">
        <v>72800</v>
      </c>
      <c r="CC1546">
        <v>75712</v>
      </c>
      <c r="CD1546">
        <v>0</v>
      </c>
      <c r="CE1546" t="s">
        <v>3108</v>
      </c>
      <c r="CF1546" t="s">
        <v>3108</v>
      </c>
      <c r="CG1546" t="s">
        <v>3108</v>
      </c>
      <c r="CH1546" t="s">
        <v>3108</v>
      </c>
    </row>
    <row r="1547" spans="1:86" x14ac:dyDescent="0.2">
      <c r="A1547" t="s">
        <v>5502</v>
      </c>
      <c r="B1547" t="s">
        <v>5502</v>
      </c>
      <c r="C1547">
        <v>54534</v>
      </c>
      <c r="D1547">
        <v>1670</v>
      </c>
      <c r="E1547" t="s">
        <v>4564</v>
      </c>
      <c r="F1547">
        <v>600</v>
      </c>
      <c r="G1547" t="s">
        <v>902</v>
      </c>
      <c r="H1547">
        <v>600</v>
      </c>
      <c r="I1547" t="s">
        <v>1365</v>
      </c>
      <c r="J1547" t="s">
        <v>3250</v>
      </c>
      <c r="K1547" t="s">
        <v>3250</v>
      </c>
      <c r="L1547">
        <v>4400</v>
      </c>
      <c r="M1547" t="s">
        <v>988</v>
      </c>
      <c r="N1547">
        <v>4403</v>
      </c>
      <c r="O1547" t="s">
        <v>2439</v>
      </c>
      <c r="P1547" t="s">
        <v>3108</v>
      </c>
      <c r="Q1547" t="s">
        <v>3249</v>
      </c>
      <c r="R1547" t="s">
        <v>3249</v>
      </c>
      <c r="S1547" t="s">
        <v>810</v>
      </c>
      <c r="T1547" t="s">
        <v>2759</v>
      </c>
      <c r="U1547" t="s">
        <v>3250</v>
      </c>
      <c r="V1547" t="s">
        <v>3250</v>
      </c>
      <c r="W1547" t="s">
        <v>3250</v>
      </c>
      <c r="X1547" t="s">
        <v>3250</v>
      </c>
      <c r="Y1547" t="s">
        <v>3250</v>
      </c>
      <c r="Z1547" t="s">
        <v>3250</v>
      </c>
      <c r="AA1547" t="s">
        <v>3108</v>
      </c>
      <c r="AB1547" t="s">
        <v>3108</v>
      </c>
      <c r="AC1547" t="s">
        <v>3250</v>
      </c>
      <c r="AD1547" t="s">
        <v>3250</v>
      </c>
      <c r="AE1547" t="s">
        <v>3250</v>
      </c>
      <c r="AF1547" t="s">
        <v>3250</v>
      </c>
      <c r="AG1547" t="s">
        <v>3250</v>
      </c>
      <c r="AH1547" t="s">
        <v>3250</v>
      </c>
      <c r="AI1547" t="s">
        <v>3250</v>
      </c>
      <c r="AJ1547" t="s">
        <v>3250</v>
      </c>
      <c r="AL1547" t="s">
        <v>3250</v>
      </c>
      <c r="AM1547" t="s">
        <v>3250</v>
      </c>
      <c r="AN1547" t="s">
        <v>3250</v>
      </c>
      <c r="AO1547" t="s">
        <v>3250</v>
      </c>
      <c r="AS1547" t="s">
        <v>3250</v>
      </c>
      <c r="AT1547" t="s">
        <v>3250</v>
      </c>
      <c r="AU1547" t="s">
        <v>3250</v>
      </c>
      <c r="AV1547" t="s">
        <v>3250</v>
      </c>
      <c r="AW1547" t="s">
        <v>3250</v>
      </c>
      <c r="AX1547" t="s">
        <v>3250</v>
      </c>
      <c r="AY1547" t="s">
        <v>3250</v>
      </c>
      <c r="AZ1547" t="s">
        <v>3250</v>
      </c>
      <c r="BA1547" t="s">
        <v>3250</v>
      </c>
      <c r="BB1547" t="s">
        <v>3250</v>
      </c>
      <c r="BC1547" t="s">
        <v>3250</v>
      </c>
      <c r="BE1547" t="s">
        <v>3250</v>
      </c>
      <c r="BF1547" t="s">
        <v>3250</v>
      </c>
      <c r="BG1547" t="s">
        <v>3250</v>
      </c>
      <c r="BH1547" t="s">
        <v>3250</v>
      </c>
      <c r="BI1547" t="s">
        <v>3250</v>
      </c>
      <c r="BK1547" t="s">
        <v>3250</v>
      </c>
      <c r="BL1547" t="s">
        <v>3250</v>
      </c>
      <c r="BM1547" t="s">
        <v>3250</v>
      </c>
      <c r="BN1547" t="s">
        <v>3250</v>
      </c>
      <c r="BP1547">
        <v>12</v>
      </c>
      <c r="BQ1547">
        <v>121</v>
      </c>
      <c r="BR1547" t="s">
        <v>2439</v>
      </c>
      <c r="BS1547" t="s">
        <v>941</v>
      </c>
      <c r="BV1547">
        <v>0</v>
      </c>
      <c r="BW1547">
        <v>0</v>
      </c>
      <c r="BX1547">
        <v>0</v>
      </c>
      <c r="BY1547">
        <v>0</v>
      </c>
      <c r="BZ1547">
        <v>0</v>
      </c>
      <c r="CA1547">
        <v>0</v>
      </c>
      <c r="CB1547">
        <v>0</v>
      </c>
      <c r="CC1547">
        <v>0</v>
      </c>
      <c r="CD1547">
        <v>0</v>
      </c>
      <c r="CE1547" t="s">
        <v>3108</v>
      </c>
      <c r="CF1547" t="s">
        <v>3108</v>
      </c>
      <c r="CG1547" t="s">
        <v>3108</v>
      </c>
      <c r="CH1547" t="s">
        <v>3108</v>
      </c>
    </row>
    <row r="1548" spans="1:86" x14ac:dyDescent="0.2">
      <c r="A1548" t="s">
        <v>5503</v>
      </c>
      <c r="B1548" t="s">
        <v>5503</v>
      </c>
      <c r="C1548">
        <v>54535</v>
      </c>
      <c r="D1548">
        <v>1629</v>
      </c>
      <c r="E1548" t="s">
        <v>4003</v>
      </c>
      <c r="F1548">
        <v>2700</v>
      </c>
      <c r="G1548" t="s">
        <v>411</v>
      </c>
      <c r="H1548" t="s">
        <v>4004</v>
      </c>
      <c r="I1548" t="s">
        <v>2531</v>
      </c>
      <c r="J1548">
        <v>2701</v>
      </c>
      <c r="K1548" t="s">
        <v>2531</v>
      </c>
      <c r="L1548">
        <v>1100</v>
      </c>
      <c r="M1548" t="s">
        <v>119</v>
      </c>
      <c r="N1548">
        <v>1120</v>
      </c>
      <c r="O1548" t="s">
        <v>2367</v>
      </c>
      <c r="P1548" t="s">
        <v>3108</v>
      </c>
      <c r="Q1548" t="s">
        <v>3249</v>
      </c>
      <c r="R1548" t="s">
        <v>3249</v>
      </c>
      <c r="S1548" t="s">
        <v>810</v>
      </c>
      <c r="T1548" t="s">
        <v>2754</v>
      </c>
      <c r="U1548" t="s">
        <v>3250</v>
      </c>
      <c r="V1548" t="s">
        <v>3250</v>
      </c>
      <c r="W1548" t="s">
        <v>3250</v>
      </c>
      <c r="X1548" t="s">
        <v>3250</v>
      </c>
      <c r="Y1548" t="s">
        <v>3250</v>
      </c>
      <c r="Z1548" t="s">
        <v>3250</v>
      </c>
      <c r="AA1548" t="s">
        <v>3108</v>
      </c>
      <c r="AB1548" t="s">
        <v>3108</v>
      </c>
      <c r="AC1548" t="s">
        <v>3250</v>
      </c>
      <c r="AD1548" t="s">
        <v>3250</v>
      </c>
      <c r="AE1548" t="s">
        <v>3250</v>
      </c>
      <c r="AF1548" t="s">
        <v>3250</v>
      </c>
      <c r="AG1548" t="s">
        <v>3250</v>
      </c>
      <c r="AH1548" t="s">
        <v>3250</v>
      </c>
      <c r="AI1548" t="s">
        <v>3250</v>
      </c>
      <c r="AJ1548" t="s">
        <v>3250</v>
      </c>
      <c r="AL1548" t="s">
        <v>3250</v>
      </c>
      <c r="AM1548" t="s">
        <v>3250</v>
      </c>
      <c r="AN1548" t="s">
        <v>3250</v>
      </c>
      <c r="AO1548" t="s">
        <v>3250</v>
      </c>
      <c r="AS1548" t="s">
        <v>3250</v>
      </c>
      <c r="AT1548" t="s">
        <v>3250</v>
      </c>
      <c r="AU1548" t="s">
        <v>3250</v>
      </c>
      <c r="AV1548" t="s">
        <v>3250</v>
      </c>
      <c r="AW1548" t="s">
        <v>3250</v>
      </c>
      <c r="AX1548" t="s">
        <v>3250</v>
      </c>
      <c r="AY1548" t="s">
        <v>3250</v>
      </c>
      <c r="AZ1548" t="s">
        <v>3250</v>
      </c>
      <c r="BA1548" t="s">
        <v>3250</v>
      </c>
      <c r="BB1548" t="s">
        <v>3250</v>
      </c>
      <c r="BC1548" t="s">
        <v>3250</v>
      </c>
      <c r="BE1548" t="s">
        <v>3250</v>
      </c>
      <c r="BF1548" t="s">
        <v>3250</v>
      </c>
      <c r="BG1548" t="s">
        <v>3250</v>
      </c>
      <c r="BH1548" t="s">
        <v>3250</v>
      </c>
      <c r="BI1548" t="s">
        <v>3250</v>
      </c>
      <c r="BK1548" t="s">
        <v>3250</v>
      </c>
      <c r="BL1548" t="s">
        <v>3250</v>
      </c>
      <c r="BM1548" t="s">
        <v>3250</v>
      </c>
      <c r="BN1548" t="s">
        <v>3250</v>
      </c>
      <c r="BP1548">
        <v>3</v>
      </c>
      <c r="BQ1548">
        <v>31</v>
      </c>
      <c r="BR1548" t="s">
        <v>2367</v>
      </c>
      <c r="BS1548" t="s">
        <v>4381</v>
      </c>
      <c r="BV1548">
        <v>0</v>
      </c>
      <c r="BW1548">
        <v>11566</v>
      </c>
      <c r="BX1548">
        <v>0</v>
      </c>
      <c r="BY1548">
        <v>150000</v>
      </c>
      <c r="BZ1548">
        <v>150000</v>
      </c>
      <c r="CA1548">
        <v>155850</v>
      </c>
      <c r="CB1548">
        <v>162084</v>
      </c>
      <c r="CC1548">
        <v>168567</v>
      </c>
      <c r="CD1548">
        <v>0</v>
      </c>
      <c r="CE1548" t="s">
        <v>3108</v>
      </c>
      <c r="CF1548" t="s">
        <v>3108</v>
      </c>
      <c r="CG1548" t="s">
        <v>3108</v>
      </c>
      <c r="CH1548" t="s">
        <v>3108</v>
      </c>
    </row>
    <row r="1549" spans="1:86" x14ac:dyDescent="0.2">
      <c r="A1549" t="s">
        <v>5504</v>
      </c>
      <c r="B1549" t="s">
        <v>5504</v>
      </c>
      <c r="C1549">
        <v>54536</v>
      </c>
      <c r="D1549">
        <v>1630</v>
      </c>
      <c r="E1549" t="s">
        <v>4006</v>
      </c>
      <c r="F1549">
        <v>2700</v>
      </c>
      <c r="G1549" t="s">
        <v>411</v>
      </c>
      <c r="H1549" t="s">
        <v>4004</v>
      </c>
      <c r="I1549" t="s">
        <v>2531</v>
      </c>
      <c r="J1549">
        <v>2701</v>
      </c>
      <c r="K1549" t="s">
        <v>2531</v>
      </c>
      <c r="L1549">
        <v>1100</v>
      </c>
      <c r="M1549" t="s">
        <v>119</v>
      </c>
      <c r="N1549">
        <v>1120</v>
      </c>
      <c r="O1549" t="s">
        <v>2367</v>
      </c>
      <c r="P1549" t="s">
        <v>3108</v>
      </c>
      <c r="Q1549" t="s">
        <v>3249</v>
      </c>
      <c r="R1549" t="s">
        <v>3249</v>
      </c>
      <c r="S1549" t="s">
        <v>810</v>
      </c>
      <c r="T1549" t="s">
        <v>2754</v>
      </c>
      <c r="U1549" t="s">
        <v>3250</v>
      </c>
      <c r="V1549" t="s">
        <v>3250</v>
      </c>
      <c r="W1549" t="s">
        <v>3250</v>
      </c>
      <c r="X1549" t="s">
        <v>3250</v>
      </c>
      <c r="Y1549" t="s">
        <v>3250</v>
      </c>
      <c r="Z1549" t="s">
        <v>3250</v>
      </c>
      <c r="AA1549" t="s">
        <v>3108</v>
      </c>
      <c r="AB1549" t="s">
        <v>3108</v>
      </c>
      <c r="AC1549" t="s">
        <v>3250</v>
      </c>
      <c r="AD1549" t="s">
        <v>3250</v>
      </c>
      <c r="AE1549" t="s">
        <v>3250</v>
      </c>
      <c r="AF1549" t="s">
        <v>3250</v>
      </c>
      <c r="AG1549" t="s">
        <v>3250</v>
      </c>
      <c r="AH1549" t="s">
        <v>3250</v>
      </c>
      <c r="AI1549" t="s">
        <v>3250</v>
      </c>
      <c r="AJ1549" t="s">
        <v>3250</v>
      </c>
      <c r="AL1549" t="s">
        <v>3250</v>
      </c>
      <c r="AM1549" t="s">
        <v>3250</v>
      </c>
      <c r="AN1549" t="s">
        <v>3250</v>
      </c>
      <c r="AO1549" t="s">
        <v>3250</v>
      </c>
      <c r="AS1549" t="s">
        <v>3250</v>
      </c>
      <c r="AT1549" t="s">
        <v>3250</v>
      </c>
      <c r="AU1549" t="s">
        <v>3250</v>
      </c>
      <c r="AV1549" t="s">
        <v>3250</v>
      </c>
      <c r="AW1549" t="s">
        <v>3250</v>
      </c>
      <c r="AX1549" t="s">
        <v>3250</v>
      </c>
      <c r="AY1549" t="s">
        <v>3250</v>
      </c>
      <c r="AZ1549" t="s">
        <v>3250</v>
      </c>
      <c r="BA1549" t="s">
        <v>3250</v>
      </c>
      <c r="BB1549" t="s">
        <v>3250</v>
      </c>
      <c r="BC1549" t="s">
        <v>3250</v>
      </c>
      <c r="BE1549" t="s">
        <v>3250</v>
      </c>
      <c r="BF1549" t="s">
        <v>3250</v>
      </c>
      <c r="BG1549" t="s">
        <v>3250</v>
      </c>
      <c r="BH1549" t="s">
        <v>3250</v>
      </c>
      <c r="BI1549" t="s">
        <v>3250</v>
      </c>
      <c r="BK1549" t="s">
        <v>3250</v>
      </c>
      <c r="BL1549" t="s">
        <v>3250</v>
      </c>
      <c r="BM1549" t="s">
        <v>3250</v>
      </c>
      <c r="BN1549" t="s">
        <v>3250</v>
      </c>
      <c r="BP1549">
        <v>3</v>
      </c>
      <c r="BQ1549">
        <v>31</v>
      </c>
      <c r="BR1549" t="s">
        <v>2367</v>
      </c>
      <c r="BS1549" t="s">
        <v>4381</v>
      </c>
      <c r="BV1549">
        <v>0</v>
      </c>
      <c r="BW1549">
        <v>133750</v>
      </c>
      <c r="BX1549">
        <v>0</v>
      </c>
      <c r="BY1549">
        <v>150000</v>
      </c>
      <c r="BZ1549">
        <v>250000</v>
      </c>
      <c r="CA1549">
        <v>259750</v>
      </c>
      <c r="CB1549">
        <v>270140</v>
      </c>
      <c r="CC1549">
        <v>280946</v>
      </c>
      <c r="CD1549">
        <v>243464</v>
      </c>
      <c r="CE1549" t="s">
        <v>3108</v>
      </c>
      <c r="CF1549" t="s">
        <v>3108</v>
      </c>
      <c r="CG1549" t="s">
        <v>3108</v>
      </c>
      <c r="CH1549" t="s">
        <v>3108</v>
      </c>
    </row>
    <row r="1550" spans="1:86" x14ac:dyDescent="0.2">
      <c r="A1550" t="s">
        <v>5505</v>
      </c>
      <c r="B1550" t="s">
        <v>5505</v>
      </c>
      <c r="C1550">
        <v>54537</v>
      </c>
      <c r="D1550">
        <v>1671</v>
      </c>
      <c r="E1550" t="s">
        <v>4461</v>
      </c>
      <c r="F1550">
        <v>2900</v>
      </c>
      <c r="G1550" t="s">
        <v>822</v>
      </c>
      <c r="H1550" t="s">
        <v>3108</v>
      </c>
      <c r="I1550" t="s">
        <v>3108</v>
      </c>
      <c r="J1550">
        <v>2904</v>
      </c>
      <c r="K1550" t="s">
        <v>1690</v>
      </c>
      <c r="L1550">
        <v>2100</v>
      </c>
      <c r="M1550" t="s">
        <v>123</v>
      </c>
      <c r="N1550">
        <v>2118</v>
      </c>
      <c r="O1550" t="s">
        <v>2409</v>
      </c>
      <c r="P1550" t="s">
        <v>3108</v>
      </c>
      <c r="Q1550" t="s">
        <v>3249</v>
      </c>
      <c r="R1550" t="s">
        <v>3249</v>
      </c>
      <c r="S1550" t="s">
        <v>810</v>
      </c>
      <c r="T1550" t="s">
        <v>2754</v>
      </c>
      <c r="U1550" t="s">
        <v>3250</v>
      </c>
      <c r="V1550" t="s">
        <v>3250</v>
      </c>
      <c r="W1550" t="s">
        <v>3250</v>
      </c>
      <c r="X1550" t="s">
        <v>3250</v>
      </c>
      <c r="Y1550" t="s">
        <v>3250</v>
      </c>
      <c r="Z1550" t="s">
        <v>3250</v>
      </c>
      <c r="AA1550" t="s">
        <v>3108</v>
      </c>
      <c r="AB1550" t="s">
        <v>3108</v>
      </c>
      <c r="AC1550" t="s">
        <v>3250</v>
      </c>
      <c r="AD1550" t="s">
        <v>3250</v>
      </c>
      <c r="AE1550" t="s">
        <v>3250</v>
      </c>
      <c r="AF1550" t="s">
        <v>3250</v>
      </c>
      <c r="AG1550" t="s">
        <v>3250</v>
      </c>
      <c r="AH1550" t="s">
        <v>3250</v>
      </c>
      <c r="AI1550" t="s">
        <v>3250</v>
      </c>
      <c r="AJ1550" t="s">
        <v>3250</v>
      </c>
      <c r="AL1550" t="s">
        <v>3250</v>
      </c>
      <c r="AM1550" t="s">
        <v>3250</v>
      </c>
      <c r="AN1550" t="s">
        <v>3250</v>
      </c>
      <c r="AO1550" t="s">
        <v>3250</v>
      </c>
      <c r="AS1550" t="s">
        <v>3250</v>
      </c>
      <c r="AT1550" t="s">
        <v>3250</v>
      </c>
      <c r="AU1550" t="s">
        <v>3250</v>
      </c>
      <c r="AV1550" t="s">
        <v>3250</v>
      </c>
      <c r="AW1550" t="s">
        <v>3250</v>
      </c>
      <c r="AX1550" t="s">
        <v>3250</v>
      </c>
      <c r="AY1550" t="s">
        <v>3250</v>
      </c>
      <c r="AZ1550" t="s">
        <v>3250</v>
      </c>
      <c r="BA1550" t="s">
        <v>3250</v>
      </c>
      <c r="BB1550" t="s">
        <v>3250</v>
      </c>
      <c r="BC1550" t="s">
        <v>3250</v>
      </c>
      <c r="BE1550" t="s">
        <v>3250</v>
      </c>
      <c r="BF1550" t="s">
        <v>3250</v>
      </c>
      <c r="BG1550" t="s">
        <v>3250</v>
      </c>
      <c r="BH1550" t="s">
        <v>3250</v>
      </c>
      <c r="BI1550" t="s">
        <v>3250</v>
      </c>
      <c r="BK1550" t="s">
        <v>3250</v>
      </c>
      <c r="BL1550" t="s">
        <v>3250</v>
      </c>
      <c r="BM1550" t="s">
        <v>3250</v>
      </c>
      <c r="BN1550" t="s">
        <v>3250</v>
      </c>
      <c r="BP1550">
        <v>4</v>
      </c>
      <c r="BQ1550">
        <v>43</v>
      </c>
      <c r="BR1550" t="s">
        <v>2409</v>
      </c>
      <c r="BS1550" t="s">
        <v>4024</v>
      </c>
      <c r="BV1550">
        <v>262940</v>
      </c>
      <c r="BW1550">
        <v>90143</v>
      </c>
      <c r="BX1550">
        <v>0</v>
      </c>
      <c r="BY1550">
        <v>250000</v>
      </c>
      <c r="BZ1550">
        <v>500000</v>
      </c>
      <c r="CA1550">
        <v>650000</v>
      </c>
      <c r="CB1550">
        <v>676000</v>
      </c>
      <c r="CC1550">
        <v>703040</v>
      </c>
      <c r="CD1550">
        <v>286864</v>
      </c>
      <c r="CE1550" t="s">
        <v>3108</v>
      </c>
      <c r="CF1550" t="s">
        <v>3108</v>
      </c>
      <c r="CG1550" t="s">
        <v>3108</v>
      </c>
      <c r="CH1550" t="s">
        <v>3108</v>
      </c>
    </row>
    <row r="1551" spans="1:86" x14ac:dyDescent="0.2">
      <c r="A1551" t="s">
        <v>5506</v>
      </c>
      <c r="B1551" t="s">
        <v>5506</v>
      </c>
      <c r="C1551">
        <v>54538</v>
      </c>
      <c r="D1551">
        <v>1672</v>
      </c>
      <c r="E1551" t="s">
        <v>4027</v>
      </c>
      <c r="F1551">
        <v>2900</v>
      </c>
      <c r="G1551" t="s">
        <v>822</v>
      </c>
      <c r="H1551" t="s">
        <v>3108</v>
      </c>
      <c r="I1551" t="s">
        <v>3108</v>
      </c>
      <c r="J1551">
        <v>2904</v>
      </c>
      <c r="K1551" t="s">
        <v>1690</v>
      </c>
      <c r="L1551">
        <v>2100</v>
      </c>
      <c r="M1551" t="s">
        <v>123</v>
      </c>
      <c r="N1551">
        <v>2114</v>
      </c>
      <c r="O1551" t="s">
        <v>1444</v>
      </c>
      <c r="P1551" t="s">
        <v>3108</v>
      </c>
      <c r="Q1551" t="s">
        <v>3249</v>
      </c>
      <c r="R1551" t="s">
        <v>3249</v>
      </c>
      <c r="S1551" t="s">
        <v>810</v>
      </c>
      <c r="T1551" t="s">
        <v>2754</v>
      </c>
      <c r="U1551" t="s">
        <v>3250</v>
      </c>
      <c r="V1551" t="s">
        <v>3250</v>
      </c>
      <c r="W1551" t="s">
        <v>3250</v>
      </c>
      <c r="X1551" t="s">
        <v>3250</v>
      </c>
      <c r="Y1551" t="s">
        <v>3250</v>
      </c>
      <c r="Z1551" t="s">
        <v>3250</v>
      </c>
      <c r="AA1551" t="s">
        <v>3108</v>
      </c>
      <c r="AB1551" t="s">
        <v>3108</v>
      </c>
      <c r="AC1551" t="s">
        <v>3250</v>
      </c>
      <c r="AD1551" t="s">
        <v>3250</v>
      </c>
      <c r="AE1551" t="s">
        <v>3250</v>
      </c>
      <c r="AF1551" t="s">
        <v>3250</v>
      </c>
      <c r="AG1551" t="s">
        <v>3250</v>
      </c>
      <c r="AH1551" t="s">
        <v>3250</v>
      </c>
      <c r="AI1551" t="s">
        <v>3250</v>
      </c>
      <c r="AJ1551" t="s">
        <v>3250</v>
      </c>
      <c r="AL1551" t="s">
        <v>3250</v>
      </c>
      <c r="AM1551" t="s">
        <v>3250</v>
      </c>
      <c r="AN1551" t="s">
        <v>3250</v>
      </c>
      <c r="AO1551" t="s">
        <v>3250</v>
      </c>
      <c r="AS1551" t="s">
        <v>3250</v>
      </c>
      <c r="AT1551" t="s">
        <v>3250</v>
      </c>
      <c r="AU1551" t="s">
        <v>3250</v>
      </c>
      <c r="AV1551" t="s">
        <v>3250</v>
      </c>
      <c r="AW1551" t="s">
        <v>3250</v>
      </c>
      <c r="AX1551" t="s">
        <v>3250</v>
      </c>
      <c r="AY1551" t="s">
        <v>3250</v>
      </c>
      <c r="AZ1551" t="s">
        <v>3250</v>
      </c>
      <c r="BA1551" t="s">
        <v>3250</v>
      </c>
      <c r="BB1551" t="s">
        <v>3250</v>
      </c>
      <c r="BC1551" t="s">
        <v>3250</v>
      </c>
      <c r="BE1551" t="s">
        <v>3250</v>
      </c>
      <c r="BF1551" t="s">
        <v>3250</v>
      </c>
      <c r="BG1551" t="s">
        <v>3250</v>
      </c>
      <c r="BH1551" t="s">
        <v>3250</v>
      </c>
      <c r="BI1551" t="s">
        <v>3250</v>
      </c>
      <c r="BK1551" t="s">
        <v>3250</v>
      </c>
      <c r="BL1551" t="s">
        <v>3250</v>
      </c>
      <c r="BM1551" t="s">
        <v>3250</v>
      </c>
      <c r="BN1551" t="s">
        <v>3250</v>
      </c>
      <c r="BP1551">
        <v>4</v>
      </c>
      <c r="BQ1551">
        <v>42</v>
      </c>
      <c r="BR1551" t="s">
        <v>1444</v>
      </c>
      <c r="BS1551" t="s">
        <v>4024</v>
      </c>
      <c r="BV1551">
        <v>0</v>
      </c>
      <c r="BW1551">
        <v>0</v>
      </c>
      <c r="BX1551">
        <v>0</v>
      </c>
      <c r="BY1551">
        <v>0</v>
      </c>
      <c r="BZ1551">
        <v>0</v>
      </c>
      <c r="CA1551">
        <v>0</v>
      </c>
      <c r="CB1551">
        <v>0</v>
      </c>
      <c r="CC1551">
        <v>0</v>
      </c>
      <c r="CD1551">
        <v>0</v>
      </c>
      <c r="CE1551" t="s">
        <v>3108</v>
      </c>
      <c r="CF1551" t="s">
        <v>3108</v>
      </c>
      <c r="CG1551" t="s">
        <v>3108</v>
      </c>
      <c r="CH1551" t="s">
        <v>3108</v>
      </c>
    </row>
    <row r="1552" spans="1:86" x14ac:dyDescent="0.2">
      <c r="A1552" t="s">
        <v>5507</v>
      </c>
      <c r="B1552" t="s">
        <v>5507</v>
      </c>
      <c r="C1552">
        <v>54539</v>
      </c>
      <c r="D1552">
        <v>1673</v>
      </c>
      <c r="E1552" t="s">
        <v>4097</v>
      </c>
      <c r="F1552">
        <v>2900</v>
      </c>
      <c r="G1552" t="s">
        <v>822</v>
      </c>
      <c r="H1552" t="s">
        <v>3108</v>
      </c>
      <c r="I1552" t="s">
        <v>3108</v>
      </c>
      <c r="J1552">
        <v>2904</v>
      </c>
      <c r="K1552" t="s">
        <v>1690</v>
      </c>
      <c r="L1552">
        <v>2100</v>
      </c>
      <c r="M1552" t="s">
        <v>123</v>
      </c>
      <c r="N1552">
        <v>2114</v>
      </c>
      <c r="O1552" t="s">
        <v>1444</v>
      </c>
      <c r="P1552" t="s">
        <v>3108</v>
      </c>
      <c r="Q1552" t="s">
        <v>3249</v>
      </c>
      <c r="R1552" t="s">
        <v>3249</v>
      </c>
      <c r="S1552" t="s">
        <v>810</v>
      </c>
      <c r="T1552" t="s">
        <v>2754</v>
      </c>
      <c r="U1552" t="s">
        <v>3250</v>
      </c>
      <c r="V1552" t="s">
        <v>3250</v>
      </c>
      <c r="W1552" t="s">
        <v>3250</v>
      </c>
      <c r="X1552" t="s">
        <v>3250</v>
      </c>
      <c r="Y1552" t="s">
        <v>3250</v>
      </c>
      <c r="Z1552" t="s">
        <v>3250</v>
      </c>
      <c r="AA1552" t="s">
        <v>3108</v>
      </c>
      <c r="AB1552" t="s">
        <v>3108</v>
      </c>
      <c r="AC1552" t="s">
        <v>3250</v>
      </c>
      <c r="AD1552" t="s">
        <v>3250</v>
      </c>
      <c r="AE1552" t="s">
        <v>3250</v>
      </c>
      <c r="AF1552" t="s">
        <v>3250</v>
      </c>
      <c r="AG1552" t="s">
        <v>3250</v>
      </c>
      <c r="AH1552" t="s">
        <v>3250</v>
      </c>
      <c r="AI1552" t="s">
        <v>3250</v>
      </c>
      <c r="AJ1552" t="s">
        <v>3250</v>
      </c>
      <c r="AL1552" t="s">
        <v>3250</v>
      </c>
      <c r="AM1552" t="s">
        <v>3250</v>
      </c>
      <c r="AN1552" t="s">
        <v>3250</v>
      </c>
      <c r="AO1552" t="s">
        <v>3250</v>
      </c>
      <c r="AS1552" t="s">
        <v>3250</v>
      </c>
      <c r="AT1552" t="s">
        <v>3250</v>
      </c>
      <c r="AU1552" t="s">
        <v>3250</v>
      </c>
      <c r="AV1552" t="s">
        <v>3250</v>
      </c>
      <c r="AW1552" t="s">
        <v>3250</v>
      </c>
      <c r="AX1552" t="s">
        <v>3250</v>
      </c>
      <c r="AY1552" t="s">
        <v>3250</v>
      </c>
      <c r="AZ1552" t="s">
        <v>3250</v>
      </c>
      <c r="BA1552" t="s">
        <v>3250</v>
      </c>
      <c r="BB1552" t="s">
        <v>3250</v>
      </c>
      <c r="BC1552" t="s">
        <v>3250</v>
      </c>
      <c r="BE1552" t="s">
        <v>3250</v>
      </c>
      <c r="BF1552" t="s">
        <v>3250</v>
      </c>
      <c r="BG1552" t="s">
        <v>3250</v>
      </c>
      <c r="BH1552" t="s">
        <v>3250</v>
      </c>
      <c r="BI1552" t="s">
        <v>3250</v>
      </c>
      <c r="BK1552" t="s">
        <v>3250</v>
      </c>
      <c r="BL1552" t="s">
        <v>3250</v>
      </c>
      <c r="BM1552" t="s">
        <v>3250</v>
      </c>
      <c r="BN1552" t="s">
        <v>3250</v>
      </c>
      <c r="BP1552">
        <v>4</v>
      </c>
      <c r="BQ1552">
        <v>42</v>
      </c>
      <c r="BR1552" t="s">
        <v>1444</v>
      </c>
      <c r="BS1552" t="s">
        <v>4024</v>
      </c>
      <c r="BV1552">
        <v>0</v>
      </c>
      <c r="BW1552">
        <v>0</v>
      </c>
      <c r="BX1552">
        <v>0</v>
      </c>
      <c r="BY1552">
        <v>0</v>
      </c>
      <c r="BZ1552">
        <v>0</v>
      </c>
      <c r="CA1552">
        <v>0</v>
      </c>
      <c r="CB1552">
        <v>0</v>
      </c>
      <c r="CC1552">
        <v>0</v>
      </c>
      <c r="CD1552">
        <v>0</v>
      </c>
      <c r="CE1552" t="s">
        <v>3108</v>
      </c>
      <c r="CF1552" t="s">
        <v>3108</v>
      </c>
      <c r="CG1552" t="s">
        <v>3108</v>
      </c>
      <c r="CH1552" t="s">
        <v>3108</v>
      </c>
    </row>
    <row r="1553" spans="1:86" x14ac:dyDescent="0.2">
      <c r="A1553" t="s">
        <v>5508</v>
      </c>
      <c r="B1553" t="s">
        <v>5508</v>
      </c>
      <c r="C1553">
        <v>54540</v>
      </c>
      <c r="D1553">
        <v>1674</v>
      </c>
      <c r="E1553" t="s">
        <v>4037</v>
      </c>
      <c r="F1553">
        <v>2900</v>
      </c>
      <c r="G1553" t="s">
        <v>822</v>
      </c>
      <c r="H1553" t="s">
        <v>3108</v>
      </c>
      <c r="I1553" t="s">
        <v>3108</v>
      </c>
      <c r="J1553">
        <v>2904</v>
      </c>
      <c r="K1553" t="s">
        <v>1690</v>
      </c>
      <c r="L1553">
        <v>2100</v>
      </c>
      <c r="M1553" t="s">
        <v>123</v>
      </c>
      <c r="N1553">
        <v>2114</v>
      </c>
      <c r="O1553" t="s">
        <v>1444</v>
      </c>
      <c r="P1553" t="s">
        <v>3108</v>
      </c>
      <c r="Q1553" t="s">
        <v>3249</v>
      </c>
      <c r="R1553" t="s">
        <v>3249</v>
      </c>
      <c r="S1553" t="s">
        <v>810</v>
      </c>
      <c r="T1553" t="s">
        <v>2754</v>
      </c>
      <c r="U1553" t="s">
        <v>3250</v>
      </c>
      <c r="V1553" t="s">
        <v>3250</v>
      </c>
      <c r="W1553" t="s">
        <v>3250</v>
      </c>
      <c r="X1553" t="s">
        <v>3250</v>
      </c>
      <c r="Y1553" t="s">
        <v>3250</v>
      </c>
      <c r="Z1553" t="s">
        <v>3250</v>
      </c>
      <c r="AA1553" t="s">
        <v>3108</v>
      </c>
      <c r="AB1553" t="s">
        <v>3108</v>
      </c>
      <c r="AC1553" t="s">
        <v>3250</v>
      </c>
      <c r="AD1553" t="s">
        <v>3250</v>
      </c>
      <c r="AE1553" t="s">
        <v>3250</v>
      </c>
      <c r="AF1553" t="s">
        <v>3250</v>
      </c>
      <c r="AG1553" t="s">
        <v>3250</v>
      </c>
      <c r="AH1553" t="s">
        <v>3250</v>
      </c>
      <c r="AI1553" t="s">
        <v>3250</v>
      </c>
      <c r="AJ1553" t="s">
        <v>3250</v>
      </c>
      <c r="AL1553" t="s">
        <v>3250</v>
      </c>
      <c r="AM1553" t="s">
        <v>3250</v>
      </c>
      <c r="AN1553" t="s">
        <v>3250</v>
      </c>
      <c r="AO1553" t="s">
        <v>3250</v>
      </c>
      <c r="AS1553" t="s">
        <v>3250</v>
      </c>
      <c r="AT1553" t="s">
        <v>3250</v>
      </c>
      <c r="AU1553" t="s">
        <v>3250</v>
      </c>
      <c r="AV1553" t="s">
        <v>3250</v>
      </c>
      <c r="AW1553" t="s">
        <v>3250</v>
      </c>
      <c r="AX1553" t="s">
        <v>3250</v>
      </c>
      <c r="AY1553" t="s">
        <v>3250</v>
      </c>
      <c r="AZ1553" t="s">
        <v>3250</v>
      </c>
      <c r="BA1553" t="s">
        <v>3250</v>
      </c>
      <c r="BB1553" t="s">
        <v>3250</v>
      </c>
      <c r="BC1553" t="s">
        <v>3250</v>
      </c>
      <c r="BE1553" t="s">
        <v>3250</v>
      </c>
      <c r="BF1553" t="s">
        <v>3250</v>
      </c>
      <c r="BG1553" t="s">
        <v>3250</v>
      </c>
      <c r="BH1553" t="s">
        <v>3250</v>
      </c>
      <c r="BI1553" t="s">
        <v>3250</v>
      </c>
      <c r="BK1553" t="s">
        <v>3250</v>
      </c>
      <c r="BL1553" t="s">
        <v>3250</v>
      </c>
      <c r="BM1553" t="s">
        <v>3250</v>
      </c>
      <c r="BN1553" t="s">
        <v>3250</v>
      </c>
      <c r="BP1553">
        <v>4</v>
      </c>
      <c r="BQ1553">
        <v>42</v>
      </c>
      <c r="BR1553" t="s">
        <v>1444</v>
      </c>
      <c r="BS1553" t="s">
        <v>4024</v>
      </c>
      <c r="BV1553">
        <v>0</v>
      </c>
      <c r="BW1553">
        <v>0</v>
      </c>
      <c r="BX1553">
        <v>0</v>
      </c>
      <c r="BY1553">
        <v>6180</v>
      </c>
      <c r="BZ1553">
        <v>6180</v>
      </c>
      <c r="CA1553">
        <v>6421</v>
      </c>
      <c r="CB1553">
        <v>6678</v>
      </c>
      <c r="CC1553">
        <v>6945</v>
      </c>
      <c r="CD1553">
        <v>0</v>
      </c>
      <c r="CE1553" t="s">
        <v>3108</v>
      </c>
      <c r="CF1553" t="s">
        <v>3108</v>
      </c>
      <c r="CG1553" t="s">
        <v>3108</v>
      </c>
      <c r="CH1553" t="s">
        <v>3108</v>
      </c>
    </row>
    <row r="1554" spans="1:86" x14ac:dyDescent="0.2">
      <c r="A1554" t="s">
        <v>5509</v>
      </c>
      <c r="B1554" t="s">
        <v>5509</v>
      </c>
      <c r="C1554">
        <v>54541</v>
      </c>
      <c r="D1554">
        <v>1675</v>
      </c>
      <c r="E1554" t="s">
        <v>4027</v>
      </c>
      <c r="F1554">
        <v>2900</v>
      </c>
      <c r="G1554" t="s">
        <v>822</v>
      </c>
      <c r="H1554" t="s">
        <v>3108</v>
      </c>
      <c r="I1554" t="s">
        <v>3108</v>
      </c>
      <c r="J1554">
        <v>2904</v>
      </c>
      <c r="K1554" t="s">
        <v>1690</v>
      </c>
      <c r="L1554">
        <v>2100</v>
      </c>
      <c r="M1554" t="s">
        <v>123</v>
      </c>
      <c r="N1554">
        <v>2114</v>
      </c>
      <c r="O1554" t="s">
        <v>1444</v>
      </c>
      <c r="P1554" t="s">
        <v>3108</v>
      </c>
      <c r="Q1554" t="s">
        <v>3249</v>
      </c>
      <c r="R1554" t="s">
        <v>3249</v>
      </c>
      <c r="S1554" t="s">
        <v>810</v>
      </c>
      <c r="T1554" t="s">
        <v>2754</v>
      </c>
      <c r="U1554" t="s">
        <v>3250</v>
      </c>
      <c r="V1554" t="s">
        <v>3250</v>
      </c>
      <c r="W1554" t="s">
        <v>3250</v>
      </c>
      <c r="X1554" t="s">
        <v>3250</v>
      </c>
      <c r="Y1554" t="s">
        <v>3250</v>
      </c>
      <c r="Z1554" t="s">
        <v>3250</v>
      </c>
      <c r="AA1554" t="s">
        <v>3108</v>
      </c>
      <c r="AB1554" t="s">
        <v>3108</v>
      </c>
      <c r="AC1554" t="s">
        <v>3250</v>
      </c>
      <c r="AD1554" t="s">
        <v>3250</v>
      </c>
      <c r="AE1554" t="s">
        <v>3250</v>
      </c>
      <c r="AF1554" t="s">
        <v>3250</v>
      </c>
      <c r="AG1554" t="s">
        <v>3250</v>
      </c>
      <c r="AH1554" t="s">
        <v>3250</v>
      </c>
      <c r="AI1554" t="s">
        <v>3250</v>
      </c>
      <c r="AJ1554" t="s">
        <v>3250</v>
      </c>
      <c r="AL1554" t="s">
        <v>3250</v>
      </c>
      <c r="AM1554" t="s">
        <v>3250</v>
      </c>
      <c r="AN1554" t="s">
        <v>3250</v>
      </c>
      <c r="AO1554" t="s">
        <v>3250</v>
      </c>
      <c r="AS1554" t="s">
        <v>3250</v>
      </c>
      <c r="AT1554" t="s">
        <v>3250</v>
      </c>
      <c r="AU1554" t="s">
        <v>3250</v>
      </c>
      <c r="AV1554" t="s">
        <v>3250</v>
      </c>
      <c r="AW1554" t="s">
        <v>3250</v>
      </c>
      <c r="AX1554" t="s">
        <v>3250</v>
      </c>
      <c r="AY1554" t="s">
        <v>3250</v>
      </c>
      <c r="AZ1554" t="s">
        <v>3250</v>
      </c>
      <c r="BA1554" t="s">
        <v>3250</v>
      </c>
      <c r="BB1554" t="s">
        <v>3250</v>
      </c>
      <c r="BC1554" t="s">
        <v>3250</v>
      </c>
      <c r="BE1554" t="s">
        <v>3250</v>
      </c>
      <c r="BF1554" t="s">
        <v>3250</v>
      </c>
      <c r="BG1554" t="s">
        <v>3250</v>
      </c>
      <c r="BH1554" t="s">
        <v>3250</v>
      </c>
      <c r="BI1554" t="s">
        <v>3250</v>
      </c>
      <c r="BK1554" t="s">
        <v>3250</v>
      </c>
      <c r="BL1554" t="s">
        <v>3250</v>
      </c>
      <c r="BM1554" t="s">
        <v>3250</v>
      </c>
      <c r="BN1554" t="s">
        <v>3250</v>
      </c>
      <c r="BP1554">
        <v>4</v>
      </c>
      <c r="BQ1554">
        <v>42</v>
      </c>
      <c r="BR1554" t="s">
        <v>1444</v>
      </c>
      <c r="BS1554" t="s">
        <v>4024</v>
      </c>
      <c r="BV1554">
        <v>0</v>
      </c>
      <c r="BW1554">
        <v>0</v>
      </c>
      <c r="BX1554">
        <v>0</v>
      </c>
      <c r="BY1554">
        <v>32960</v>
      </c>
      <c r="BZ1554">
        <v>32960</v>
      </c>
      <c r="CA1554">
        <v>34245</v>
      </c>
      <c r="CB1554">
        <v>35615</v>
      </c>
      <c r="CC1554">
        <v>37040</v>
      </c>
      <c r="CD1554">
        <v>0</v>
      </c>
      <c r="CE1554" t="s">
        <v>3108</v>
      </c>
      <c r="CF1554" t="s">
        <v>3108</v>
      </c>
      <c r="CG1554" t="s">
        <v>3108</v>
      </c>
      <c r="CH1554" t="s">
        <v>3108</v>
      </c>
    </row>
    <row r="1555" spans="1:86" x14ac:dyDescent="0.2">
      <c r="A1555" t="s">
        <v>5510</v>
      </c>
      <c r="B1555" t="s">
        <v>5510</v>
      </c>
      <c r="C1555">
        <v>54542</v>
      </c>
      <c r="D1555">
        <v>1676</v>
      </c>
      <c r="E1555" t="s">
        <v>4053</v>
      </c>
      <c r="F1555">
        <v>2900</v>
      </c>
      <c r="G1555" t="s">
        <v>822</v>
      </c>
      <c r="H1555" t="s">
        <v>3108</v>
      </c>
      <c r="I1555" t="s">
        <v>3108</v>
      </c>
      <c r="J1555">
        <v>2904</v>
      </c>
      <c r="K1555" t="s">
        <v>1690</v>
      </c>
      <c r="L1555">
        <v>2100</v>
      </c>
      <c r="M1555" t="s">
        <v>123</v>
      </c>
      <c r="N1555">
        <v>2114</v>
      </c>
      <c r="O1555" t="s">
        <v>1444</v>
      </c>
      <c r="P1555" t="s">
        <v>3108</v>
      </c>
      <c r="Q1555" t="s">
        <v>3249</v>
      </c>
      <c r="R1555" t="s">
        <v>3249</v>
      </c>
      <c r="S1555" t="s">
        <v>810</v>
      </c>
      <c r="T1555" t="s">
        <v>2754</v>
      </c>
      <c r="U1555" t="s">
        <v>3250</v>
      </c>
      <c r="V1555" t="s">
        <v>3250</v>
      </c>
      <c r="W1555" t="s">
        <v>3250</v>
      </c>
      <c r="X1555" t="s">
        <v>3250</v>
      </c>
      <c r="Y1555" t="s">
        <v>3250</v>
      </c>
      <c r="Z1555" t="s">
        <v>3250</v>
      </c>
      <c r="AA1555" t="s">
        <v>3108</v>
      </c>
      <c r="AB1555" t="s">
        <v>3108</v>
      </c>
      <c r="AC1555" t="s">
        <v>3250</v>
      </c>
      <c r="AD1555" t="s">
        <v>3250</v>
      </c>
      <c r="AE1555" t="s">
        <v>3250</v>
      </c>
      <c r="AF1555" t="s">
        <v>3250</v>
      </c>
      <c r="AG1555" t="s">
        <v>3250</v>
      </c>
      <c r="AH1555" t="s">
        <v>3250</v>
      </c>
      <c r="AI1555" t="s">
        <v>3250</v>
      </c>
      <c r="AJ1555" t="s">
        <v>3250</v>
      </c>
      <c r="AL1555" t="s">
        <v>3250</v>
      </c>
      <c r="AM1555" t="s">
        <v>3250</v>
      </c>
      <c r="AN1555" t="s">
        <v>3250</v>
      </c>
      <c r="AO1555" t="s">
        <v>3250</v>
      </c>
      <c r="AS1555" t="s">
        <v>3250</v>
      </c>
      <c r="AT1555" t="s">
        <v>3250</v>
      </c>
      <c r="AU1555" t="s">
        <v>3250</v>
      </c>
      <c r="AV1555" t="s">
        <v>3250</v>
      </c>
      <c r="AW1555" t="s">
        <v>3250</v>
      </c>
      <c r="AX1555" t="s">
        <v>3250</v>
      </c>
      <c r="AY1555" t="s">
        <v>3250</v>
      </c>
      <c r="AZ1555" t="s">
        <v>3250</v>
      </c>
      <c r="BA1555" t="s">
        <v>3250</v>
      </c>
      <c r="BB1555" t="s">
        <v>3250</v>
      </c>
      <c r="BC1555" t="s">
        <v>3250</v>
      </c>
      <c r="BE1555" t="s">
        <v>3250</v>
      </c>
      <c r="BF1555" t="s">
        <v>3250</v>
      </c>
      <c r="BG1555" t="s">
        <v>3250</v>
      </c>
      <c r="BH1555" t="s">
        <v>3250</v>
      </c>
      <c r="BI1555" t="s">
        <v>3250</v>
      </c>
      <c r="BK1555" t="s">
        <v>3250</v>
      </c>
      <c r="BL1555" t="s">
        <v>3250</v>
      </c>
      <c r="BM1555" t="s">
        <v>3250</v>
      </c>
      <c r="BN1555" t="s">
        <v>3250</v>
      </c>
      <c r="BP1555">
        <v>4</v>
      </c>
      <c r="BQ1555">
        <v>42</v>
      </c>
      <c r="BR1555" t="s">
        <v>1444</v>
      </c>
      <c r="BS1555" t="s">
        <v>4024</v>
      </c>
      <c r="BV1555">
        <v>0</v>
      </c>
      <c r="BW1555">
        <v>0</v>
      </c>
      <c r="BX1555">
        <v>0</v>
      </c>
      <c r="BY1555">
        <v>24720</v>
      </c>
      <c r="BZ1555">
        <v>24720</v>
      </c>
      <c r="CA1555">
        <v>25684</v>
      </c>
      <c r="CB1555">
        <v>26711</v>
      </c>
      <c r="CC1555">
        <v>27780</v>
      </c>
      <c r="CD1555">
        <v>0</v>
      </c>
      <c r="CE1555" t="s">
        <v>3108</v>
      </c>
      <c r="CF1555" t="s">
        <v>3108</v>
      </c>
      <c r="CG1555" t="s">
        <v>3108</v>
      </c>
      <c r="CH1555" t="s">
        <v>3108</v>
      </c>
    </row>
    <row r="1556" spans="1:86" x14ac:dyDescent="0.2">
      <c r="A1556" t="s">
        <v>5511</v>
      </c>
      <c r="B1556" t="s">
        <v>5511</v>
      </c>
      <c r="C1556">
        <v>54543</v>
      </c>
      <c r="D1556">
        <v>1677</v>
      </c>
      <c r="E1556" t="s">
        <v>3992</v>
      </c>
      <c r="F1556">
        <v>2900</v>
      </c>
      <c r="G1556" t="s">
        <v>822</v>
      </c>
      <c r="H1556" t="s">
        <v>3108</v>
      </c>
      <c r="I1556" t="s">
        <v>3108</v>
      </c>
      <c r="J1556">
        <v>2904</v>
      </c>
      <c r="K1556" t="s">
        <v>1690</v>
      </c>
      <c r="L1556">
        <v>2100</v>
      </c>
      <c r="M1556" t="s">
        <v>123</v>
      </c>
      <c r="N1556">
        <v>2114</v>
      </c>
      <c r="O1556" t="s">
        <v>1444</v>
      </c>
      <c r="P1556" t="s">
        <v>3108</v>
      </c>
      <c r="Q1556" t="s">
        <v>3249</v>
      </c>
      <c r="R1556" t="s">
        <v>3249</v>
      </c>
      <c r="S1556" t="s">
        <v>810</v>
      </c>
      <c r="T1556" t="s">
        <v>2754</v>
      </c>
      <c r="U1556" t="s">
        <v>3250</v>
      </c>
      <c r="V1556" t="s">
        <v>3250</v>
      </c>
      <c r="W1556" t="s">
        <v>3250</v>
      </c>
      <c r="X1556" t="s">
        <v>3250</v>
      </c>
      <c r="Y1556" t="s">
        <v>3250</v>
      </c>
      <c r="Z1556" t="s">
        <v>3250</v>
      </c>
      <c r="AA1556" t="s">
        <v>3108</v>
      </c>
      <c r="AB1556" t="s">
        <v>3108</v>
      </c>
      <c r="AC1556" t="s">
        <v>3250</v>
      </c>
      <c r="AD1556" t="s">
        <v>3250</v>
      </c>
      <c r="AE1556" t="s">
        <v>3250</v>
      </c>
      <c r="AF1556" t="s">
        <v>3250</v>
      </c>
      <c r="AG1556" t="s">
        <v>3250</v>
      </c>
      <c r="AH1556" t="s">
        <v>3250</v>
      </c>
      <c r="AI1556" t="s">
        <v>3250</v>
      </c>
      <c r="AJ1556" t="s">
        <v>3250</v>
      </c>
      <c r="AL1556" t="s">
        <v>3250</v>
      </c>
      <c r="AM1556" t="s">
        <v>3250</v>
      </c>
      <c r="AN1556" t="s">
        <v>3250</v>
      </c>
      <c r="AO1556" t="s">
        <v>3250</v>
      </c>
      <c r="AS1556" t="s">
        <v>3250</v>
      </c>
      <c r="AT1556" t="s">
        <v>3250</v>
      </c>
      <c r="AU1556" t="s">
        <v>3250</v>
      </c>
      <c r="AV1556" t="s">
        <v>3250</v>
      </c>
      <c r="AW1556" t="s">
        <v>3250</v>
      </c>
      <c r="AX1556" t="s">
        <v>3250</v>
      </c>
      <c r="AY1556" t="s">
        <v>3250</v>
      </c>
      <c r="AZ1556" t="s">
        <v>3250</v>
      </c>
      <c r="BA1556" t="s">
        <v>3250</v>
      </c>
      <c r="BB1556" t="s">
        <v>3250</v>
      </c>
      <c r="BC1556" t="s">
        <v>3250</v>
      </c>
      <c r="BE1556" t="s">
        <v>3250</v>
      </c>
      <c r="BF1556" t="s">
        <v>3250</v>
      </c>
      <c r="BG1556" t="s">
        <v>3250</v>
      </c>
      <c r="BH1556" t="s">
        <v>3250</v>
      </c>
      <c r="BI1556" t="s">
        <v>3250</v>
      </c>
      <c r="BK1556" t="s">
        <v>3250</v>
      </c>
      <c r="BL1556" t="s">
        <v>3250</v>
      </c>
      <c r="BM1556" t="s">
        <v>3250</v>
      </c>
      <c r="BN1556" t="s">
        <v>3250</v>
      </c>
      <c r="BP1556">
        <v>4</v>
      </c>
      <c r="BQ1556">
        <v>42</v>
      </c>
      <c r="BR1556" t="s">
        <v>1444</v>
      </c>
      <c r="BS1556" t="s">
        <v>4024</v>
      </c>
      <c r="BV1556">
        <v>0</v>
      </c>
      <c r="BW1556">
        <v>62349</v>
      </c>
      <c r="BX1556">
        <v>0</v>
      </c>
      <c r="BY1556">
        <v>5150</v>
      </c>
      <c r="BZ1556">
        <v>5150</v>
      </c>
      <c r="CA1556">
        <v>5351</v>
      </c>
      <c r="CB1556">
        <v>5565</v>
      </c>
      <c r="CC1556">
        <v>5787</v>
      </c>
      <c r="CD1556">
        <v>0</v>
      </c>
      <c r="CE1556" t="s">
        <v>3108</v>
      </c>
      <c r="CF1556" t="s">
        <v>3108</v>
      </c>
      <c r="CG1556" t="s">
        <v>3108</v>
      </c>
      <c r="CH1556" t="s">
        <v>3108</v>
      </c>
    </row>
    <row r="1557" spans="1:86" x14ac:dyDescent="0.2">
      <c r="A1557" t="s">
        <v>5512</v>
      </c>
      <c r="B1557" t="s">
        <v>5512</v>
      </c>
      <c r="C1557">
        <v>54544</v>
      </c>
      <c r="D1557">
        <v>1678</v>
      </c>
      <c r="E1557" t="s">
        <v>4097</v>
      </c>
      <c r="F1557">
        <v>2900</v>
      </c>
      <c r="G1557" t="s">
        <v>822</v>
      </c>
      <c r="H1557" t="s">
        <v>3108</v>
      </c>
      <c r="I1557" t="s">
        <v>3108</v>
      </c>
      <c r="J1557">
        <v>2904</v>
      </c>
      <c r="K1557" t="s">
        <v>1690</v>
      </c>
      <c r="L1557">
        <v>2100</v>
      </c>
      <c r="M1557" t="s">
        <v>123</v>
      </c>
      <c r="N1557">
        <v>2114</v>
      </c>
      <c r="O1557" t="s">
        <v>1444</v>
      </c>
      <c r="P1557" t="s">
        <v>3108</v>
      </c>
      <c r="Q1557" t="s">
        <v>3249</v>
      </c>
      <c r="R1557" t="s">
        <v>3249</v>
      </c>
      <c r="S1557" t="s">
        <v>810</v>
      </c>
      <c r="T1557" t="s">
        <v>2754</v>
      </c>
      <c r="U1557" t="s">
        <v>3250</v>
      </c>
      <c r="V1557" t="s">
        <v>3250</v>
      </c>
      <c r="W1557" t="s">
        <v>3250</v>
      </c>
      <c r="X1557" t="s">
        <v>3250</v>
      </c>
      <c r="Y1557" t="s">
        <v>3250</v>
      </c>
      <c r="Z1557" t="s">
        <v>3250</v>
      </c>
      <c r="AA1557" t="s">
        <v>3108</v>
      </c>
      <c r="AB1557" t="s">
        <v>3108</v>
      </c>
      <c r="AC1557" t="s">
        <v>3250</v>
      </c>
      <c r="AD1557" t="s">
        <v>3250</v>
      </c>
      <c r="AE1557" t="s">
        <v>3250</v>
      </c>
      <c r="AF1557" t="s">
        <v>3250</v>
      </c>
      <c r="AG1557" t="s">
        <v>3250</v>
      </c>
      <c r="AH1557" t="s">
        <v>3250</v>
      </c>
      <c r="AI1557" t="s">
        <v>3250</v>
      </c>
      <c r="AJ1557" t="s">
        <v>3250</v>
      </c>
      <c r="AL1557" t="s">
        <v>3250</v>
      </c>
      <c r="AM1557" t="s">
        <v>3250</v>
      </c>
      <c r="AN1557" t="s">
        <v>3250</v>
      </c>
      <c r="AO1557" t="s">
        <v>3250</v>
      </c>
      <c r="AS1557" t="s">
        <v>3250</v>
      </c>
      <c r="AT1557" t="s">
        <v>3250</v>
      </c>
      <c r="AU1557" t="s">
        <v>3250</v>
      </c>
      <c r="AV1557" t="s">
        <v>3250</v>
      </c>
      <c r="AW1557" t="s">
        <v>3250</v>
      </c>
      <c r="AX1557" t="s">
        <v>3250</v>
      </c>
      <c r="AY1557" t="s">
        <v>3250</v>
      </c>
      <c r="AZ1557" t="s">
        <v>3250</v>
      </c>
      <c r="BA1557" t="s">
        <v>3250</v>
      </c>
      <c r="BB1557" t="s">
        <v>3250</v>
      </c>
      <c r="BC1557" t="s">
        <v>3250</v>
      </c>
      <c r="BE1557" t="s">
        <v>3250</v>
      </c>
      <c r="BF1557" t="s">
        <v>3250</v>
      </c>
      <c r="BG1557" t="s">
        <v>3250</v>
      </c>
      <c r="BH1557" t="s">
        <v>3250</v>
      </c>
      <c r="BI1557" t="s">
        <v>3250</v>
      </c>
      <c r="BK1557" t="s">
        <v>3250</v>
      </c>
      <c r="BL1557" t="s">
        <v>3250</v>
      </c>
      <c r="BM1557" t="s">
        <v>3250</v>
      </c>
      <c r="BN1557" t="s">
        <v>3250</v>
      </c>
      <c r="BP1557">
        <v>4</v>
      </c>
      <c r="BQ1557">
        <v>42</v>
      </c>
      <c r="BR1557" t="s">
        <v>1444</v>
      </c>
      <c r="BS1557" t="s">
        <v>4024</v>
      </c>
      <c r="BV1557">
        <v>0</v>
      </c>
      <c r="BW1557">
        <v>0</v>
      </c>
      <c r="BX1557">
        <v>0</v>
      </c>
      <c r="BY1557">
        <v>49440</v>
      </c>
      <c r="BZ1557">
        <v>49440</v>
      </c>
      <c r="CA1557">
        <v>51368</v>
      </c>
      <c r="CB1557">
        <v>53423</v>
      </c>
      <c r="CC1557">
        <v>55560</v>
      </c>
      <c r="CD1557">
        <v>0</v>
      </c>
      <c r="CE1557" t="s">
        <v>3108</v>
      </c>
      <c r="CF1557" t="s">
        <v>3108</v>
      </c>
      <c r="CG1557" t="s">
        <v>3108</v>
      </c>
      <c r="CH1557" t="s">
        <v>3108</v>
      </c>
    </row>
    <row r="1558" spans="1:86" x14ac:dyDescent="0.2">
      <c r="A1558" t="s">
        <v>5513</v>
      </c>
      <c r="B1558" t="s">
        <v>5513</v>
      </c>
      <c r="C1558">
        <v>54545</v>
      </c>
      <c r="D1558">
        <v>1631</v>
      </c>
      <c r="E1558" t="s">
        <v>4253</v>
      </c>
      <c r="F1558">
        <v>2900</v>
      </c>
      <c r="G1558" t="s">
        <v>822</v>
      </c>
      <c r="H1558" t="s">
        <v>3108</v>
      </c>
      <c r="I1558" t="s">
        <v>3108</v>
      </c>
      <c r="J1558">
        <v>2904</v>
      </c>
      <c r="K1558" t="s">
        <v>1690</v>
      </c>
      <c r="L1558">
        <v>3100</v>
      </c>
      <c r="M1558" t="s">
        <v>127</v>
      </c>
      <c r="N1558">
        <v>3107</v>
      </c>
      <c r="O1558" t="s">
        <v>2418</v>
      </c>
      <c r="P1558" t="s">
        <v>3108</v>
      </c>
      <c r="Q1558" t="s">
        <v>3249</v>
      </c>
      <c r="R1558" t="s">
        <v>3249</v>
      </c>
      <c r="S1558" t="s">
        <v>810</v>
      </c>
      <c r="T1558" t="s">
        <v>2754</v>
      </c>
      <c r="U1558" t="s">
        <v>3250</v>
      </c>
      <c r="V1558" t="s">
        <v>3250</v>
      </c>
      <c r="W1558" t="s">
        <v>3250</v>
      </c>
      <c r="X1558" t="s">
        <v>3250</v>
      </c>
      <c r="Y1558" t="s">
        <v>3250</v>
      </c>
      <c r="Z1558" t="s">
        <v>3250</v>
      </c>
      <c r="AA1558" t="s">
        <v>3108</v>
      </c>
      <c r="AB1558" t="s">
        <v>3108</v>
      </c>
      <c r="AC1558" t="s">
        <v>3250</v>
      </c>
      <c r="AD1558" t="s">
        <v>3250</v>
      </c>
      <c r="AE1558" t="s">
        <v>3250</v>
      </c>
      <c r="AF1558" t="s">
        <v>3250</v>
      </c>
      <c r="AG1558" t="s">
        <v>3250</v>
      </c>
      <c r="AH1558" t="s">
        <v>3250</v>
      </c>
      <c r="AI1558" t="s">
        <v>3250</v>
      </c>
      <c r="AJ1558" t="s">
        <v>3250</v>
      </c>
      <c r="AL1558" t="s">
        <v>3250</v>
      </c>
      <c r="AM1558" t="s">
        <v>3250</v>
      </c>
      <c r="AN1558" t="s">
        <v>3250</v>
      </c>
      <c r="AO1558" t="s">
        <v>3250</v>
      </c>
      <c r="AS1558" t="s">
        <v>3250</v>
      </c>
      <c r="AT1558" t="s">
        <v>3250</v>
      </c>
      <c r="AU1558" t="s">
        <v>3250</v>
      </c>
      <c r="AV1558" t="s">
        <v>3250</v>
      </c>
      <c r="AW1558" t="s">
        <v>3250</v>
      </c>
      <c r="AX1558" t="s">
        <v>3250</v>
      </c>
      <c r="AY1558" t="s">
        <v>3250</v>
      </c>
      <c r="AZ1558" t="s">
        <v>3250</v>
      </c>
      <c r="BA1558" t="s">
        <v>3250</v>
      </c>
      <c r="BB1558" t="s">
        <v>3250</v>
      </c>
      <c r="BC1558" t="s">
        <v>3250</v>
      </c>
      <c r="BE1558" t="s">
        <v>3250</v>
      </c>
      <c r="BF1558" t="s">
        <v>3250</v>
      </c>
      <c r="BG1558" t="s">
        <v>3250</v>
      </c>
      <c r="BH1558" t="s">
        <v>3250</v>
      </c>
      <c r="BI1558" t="s">
        <v>3250</v>
      </c>
      <c r="BK1558" t="s">
        <v>3250</v>
      </c>
      <c r="BL1558" t="s">
        <v>3250</v>
      </c>
      <c r="BM1558" t="s">
        <v>3250</v>
      </c>
      <c r="BN1558" t="s">
        <v>3250</v>
      </c>
      <c r="BP1558">
        <v>8</v>
      </c>
      <c r="BQ1558">
        <v>81</v>
      </c>
      <c r="BR1558" t="s">
        <v>2418</v>
      </c>
      <c r="BS1558" t="s">
        <v>4013</v>
      </c>
      <c r="BV1558">
        <v>192701</v>
      </c>
      <c r="BW1558">
        <v>200000</v>
      </c>
      <c r="BX1558">
        <v>0</v>
      </c>
      <c r="BY1558">
        <v>300000</v>
      </c>
      <c r="BZ1558">
        <v>300000</v>
      </c>
      <c r="CA1558">
        <v>311700</v>
      </c>
      <c r="CB1558">
        <v>324168</v>
      </c>
      <c r="CC1558">
        <v>330000</v>
      </c>
      <c r="CD1558">
        <v>40000</v>
      </c>
      <c r="CE1558" t="s">
        <v>3108</v>
      </c>
      <c r="CF1558" t="s">
        <v>3108</v>
      </c>
      <c r="CG1558" t="s">
        <v>3108</v>
      </c>
      <c r="CH1558" t="s">
        <v>3108</v>
      </c>
    </row>
    <row r="1559" spans="1:86" x14ac:dyDescent="0.2">
      <c r="A1559" t="s">
        <v>5514</v>
      </c>
      <c r="B1559" t="s">
        <v>5514</v>
      </c>
      <c r="C1559">
        <v>54546</v>
      </c>
      <c r="D1559">
        <v>1679</v>
      </c>
      <c r="E1559" t="s">
        <v>4006</v>
      </c>
      <c r="F1559">
        <v>2700</v>
      </c>
      <c r="G1559" t="s">
        <v>411</v>
      </c>
      <c r="H1559" t="s">
        <v>4004</v>
      </c>
      <c r="I1559" t="s">
        <v>2531</v>
      </c>
      <c r="J1559">
        <v>2701</v>
      </c>
      <c r="K1559" t="s">
        <v>2531</v>
      </c>
      <c r="L1559">
        <v>2100</v>
      </c>
      <c r="M1559" t="s">
        <v>123</v>
      </c>
      <c r="N1559">
        <v>2114</v>
      </c>
      <c r="O1559" t="s">
        <v>1444</v>
      </c>
      <c r="P1559" t="s">
        <v>3108</v>
      </c>
      <c r="Q1559" t="s">
        <v>3249</v>
      </c>
      <c r="R1559" t="s">
        <v>3249</v>
      </c>
      <c r="S1559" t="s">
        <v>810</v>
      </c>
      <c r="T1559" t="s">
        <v>2754</v>
      </c>
      <c r="U1559" t="s">
        <v>3250</v>
      </c>
      <c r="V1559" t="s">
        <v>3250</v>
      </c>
      <c r="W1559" t="s">
        <v>3250</v>
      </c>
      <c r="X1559" t="s">
        <v>3250</v>
      </c>
      <c r="Y1559" t="s">
        <v>3250</v>
      </c>
      <c r="Z1559" t="s">
        <v>3250</v>
      </c>
      <c r="AA1559" t="s">
        <v>3108</v>
      </c>
      <c r="AB1559" t="s">
        <v>3108</v>
      </c>
      <c r="AC1559" t="s">
        <v>3250</v>
      </c>
      <c r="AD1559" t="s">
        <v>3250</v>
      </c>
      <c r="AE1559" t="s">
        <v>3250</v>
      </c>
      <c r="AF1559" t="s">
        <v>3250</v>
      </c>
      <c r="AG1559" t="s">
        <v>3250</v>
      </c>
      <c r="AH1559" t="s">
        <v>3250</v>
      </c>
      <c r="AI1559" t="s">
        <v>3250</v>
      </c>
      <c r="AJ1559" t="s">
        <v>3250</v>
      </c>
      <c r="AL1559" t="s">
        <v>3250</v>
      </c>
      <c r="AM1559" t="s">
        <v>3250</v>
      </c>
      <c r="AN1559" t="s">
        <v>3250</v>
      </c>
      <c r="AO1559" t="s">
        <v>3250</v>
      </c>
      <c r="AS1559" t="s">
        <v>3250</v>
      </c>
      <c r="AT1559" t="s">
        <v>3250</v>
      </c>
      <c r="AU1559" t="s">
        <v>3250</v>
      </c>
      <c r="AV1559" t="s">
        <v>3250</v>
      </c>
      <c r="AW1559" t="s">
        <v>3250</v>
      </c>
      <c r="AX1559" t="s">
        <v>3250</v>
      </c>
      <c r="AY1559" t="s">
        <v>3250</v>
      </c>
      <c r="AZ1559" t="s">
        <v>3250</v>
      </c>
      <c r="BA1559" t="s">
        <v>3250</v>
      </c>
      <c r="BB1559" t="s">
        <v>3250</v>
      </c>
      <c r="BC1559" t="s">
        <v>3250</v>
      </c>
      <c r="BE1559" t="s">
        <v>3250</v>
      </c>
      <c r="BF1559" t="s">
        <v>3250</v>
      </c>
      <c r="BG1559" t="s">
        <v>3250</v>
      </c>
      <c r="BH1559" t="s">
        <v>3250</v>
      </c>
      <c r="BI1559" t="s">
        <v>3250</v>
      </c>
      <c r="BK1559" t="s">
        <v>3250</v>
      </c>
      <c r="BL1559" t="s">
        <v>3250</v>
      </c>
      <c r="BM1559" t="s">
        <v>3250</v>
      </c>
      <c r="BN1559" t="s">
        <v>3250</v>
      </c>
      <c r="BP1559">
        <v>4</v>
      </c>
      <c r="BQ1559">
        <v>42</v>
      </c>
      <c r="BR1559" t="s">
        <v>1444</v>
      </c>
      <c r="BS1559" t="s">
        <v>4024</v>
      </c>
      <c r="BV1559">
        <v>0</v>
      </c>
      <c r="BW1559">
        <v>0</v>
      </c>
      <c r="BX1559">
        <v>0</v>
      </c>
      <c r="BY1559">
        <v>1545</v>
      </c>
      <c r="BZ1559">
        <v>1545</v>
      </c>
      <c r="CA1559">
        <v>1605</v>
      </c>
      <c r="CB1559">
        <v>1669</v>
      </c>
      <c r="CC1559">
        <v>1736</v>
      </c>
      <c r="CD1559">
        <v>0</v>
      </c>
      <c r="CE1559" t="s">
        <v>3108</v>
      </c>
      <c r="CF1559" t="s">
        <v>3108</v>
      </c>
      <c r="CG1559" t="s">
        <v>3108</v>
      </c>
      <c r="CH1559" t="s">
        <v>3108</v>
      </c>
    </row>
    <row r="1560" spans="1:86" x14ac:dyDescent="0.2">
      <c r="A1560" t="s">
        <v>5515</v>
      </c>
      <c r="B1560" t="s">
        <v>5515</v>
      </c>
      <c r="C1560">
        <v>54547</v>
      </c>
      <c r="D1560">
        <v>1680</v>
      </c>
      <c r="E1560" t="s">
        <v>4015</v>
      </c>
      <c r="F1560">
        <v>2900</v>
      </c>
      <c r="G1560" t="s">
        <v>822</v>
      </c>
      <c r="H1560" t="s">
        <v>3108</v>
      </c>
      <c r="I1560" t="s">
        <v>3108</v>
      </c>
      <c r="J1560">
        <v>2904</v>
      </c>
      <c r="K1560" t="s">
        <v>1690</v>
      </c>
      <c r="L1560">
        <v>2100</v>
      </c>
      <c r="M1560" t="s">
        <v>123</v>
      </c>
      <c r="N1560">
        <v>2114</v>
      </c>
      <c r="O1560" t="s">
        <v>1444</v>
      </c>
      <c r="P1560" t="s">
        <v>3108</v>
      </c>
      <c r="Q1560" t="s">
        <v>3249</v>
      </c>
      <c r="R1560" t="s">
        <v>3249</v>
      </c>
      <c r="S1560" t="s">
        <v>810</v>
      </c>
      <c r="T1560" t="s">
        <v>2754</v>
      </c>
      <c r="U1560" t="s">
        <v>3250</v>
      </c>
      <c r="V1560" t="s">
        <v>3250</v>
      </c>
      <c r="W1560" t="s">
        <v>3250</v>
      </c>
      <c r="X1560" t="s">
        <v>3250</v>
      </c>
      <c r="Y1560" t="s">
        <v>3250</v>
      </c>
      <c r="Z1560" t="s">
        <v>3250</v>
      </c>
      <c r="AA1560" t="s">
        <v>3108</v>
      </c>
      <c r="AB1560" t="s">
        <v>3108</v>
      </c>
      <c r="AC1560" t="s">
        <v>3250</v>
      </c>
      <c r="AD1560" t="s">
        <v>3250</v>
      </c>
      <c r="AE1560" t="s">
        <v>3250</v>
      </c>
      <c r="AF1560" t="s">
        <v>3250</v>
      </c>
      <c r="AG1560" t="s">
        <v>3250</v>
      </c>
      <c r="AH1560" t="s">
        <v>3250</v>
      </c>
      <c r="AI1560" t="s">
        <v>3250</v>
      </c>
      <c r="AJ1560" t="s">
        <v>3250</v>
      </c>
      <c r="AL1560" t="s">
        <v>3250</v>
      </c>
      <c r="AM1560" t="s">
        <v>3250</v>
      </c>
      <c r="AN1560" t="s">
        <v>3250</v>
      </c>
      <c r="AO1560" t="s">
        <v>3250</v>
      </c>
      <c r="AS1560" t="s">
        <v>3250</v>
      </c>
      <c r="AT1560" t="s">
        <v>3250</v>
      </c>
      <c r="AU1560" t="s">
        <v>3250</v>
      </c>
      <c r="AV1560" t="s">
        <v>3250</v>
      </c>
      <c r="AW1560" t="s">
        <v>3250</v>
      </c>
      <c r="AX1560" t="s">
        <v>3250</v>
      </c>
      <c r="AY1560" t="s">
        <v>3250</v>
      </c>
      <c r="AZ1560" t="s">
        <v>3250</v>
      </c>
      <c r="BA1560" t="s">
        <v>3250</v>
      </c>
      <c r="BB1560" t="s">
        <v>3250</v>
      </c>
      <c r="BC1560" t="s">
        <v>3250</v>
      </c>
      <c r="BE1560" t="s">
        <v>3250</v>
      </c>
      <c r="BF1560" t="s">
        <v>3250</v>
      </c>
      <c r="BG1560" t="s">
        <v>3250</v>
      </c>
      <c r="BH1560" t="s">
        <v>3250</v>
      </c>
      <c r="BI1560" t="s">
        <v>3250</v>
      </c>
      <c r="BK1560" t="s">
        <v>3250</v>
      </c>
      <c r="BL1560" t="s">
        <v>3250</v>
      </c>
      <c r="BM1560" t="s">
        <v>3250</v>
      </c>
      <c r="BN1560" t="s">
        <v>3250</v>
      </c>
      <c r="BP1560">
        <v>4</v>
      </c>
      <c r="BQ1560">
        <v>42</v>
      </c>
      <c r="BR1560" t="s">
        <v>1444</v>
      </c>
      <c r="BS1560" t="s">
        <v>4024</v>
      </c>
      <c r="BV1560">
        <v>0</v>
      </c>
      <c r="BW1560">
        <v>0</v>
      </c>
      <c r="BX1560">
        <v>0</v>
      </c>
      <c r="BY1560">
        <v>2060</v>
      </c>
      <c r="BZ1560">
        <v>2060</v>
      </c>
      <c r="CA1560">
        <v>2140</v>
      </c>
      <c r="CB1560">
        <v>2226</v>
      </c>
      <c r="CC1560">
        <v>2315</v>
      </c>
      <c r="CD1560">
        <v>0</v>
      </c>
      <c r="CE1560" t="s">
        <v>3108</v>
      </c>
      <c r="CF1560" t="s">
        <v>3108</v>
      </c>
      <c r="CG1560" t="s">
        <v>3108</v>
      </c>
      <c r="CH1560" t="s">
        <v>3108</v>
      </c>
    </row>
    <row r="1561" spans="1:86" x14ac:dyDescent="0.2">
      <c r="A1561" t="s">
        <v>5516</v>
      </c>
      <c r="B1561" t="s">
        <v>5516</v>
      </c>
      <c r="C1561">
        <v>54548</v>
      </c>
      <c r="D1561">
        <v>1681</v>
      </c>
      <c r="E1561" t="s">
        <v>4015</v>
      </c>
      <c r="F1561">
        <v>2900</v>
      </c>
      <c r="G1561" t="s">
        <v>822</v>
      </c>
      <c r="H1561" t="s">
        <v>3108</v>
      </c>
      <c r="I1561" t="s">
        <v>3108</v>
      </c>
      <c r="J1561">
        <v>2904</v>
      </c>
      <c r="K1561" t="s">
        <v>1690</v>
      </c>
      <c r="L1561">
        <v>2100</v>
      </c>
      <c r="M1561" t="s">
        <v>123</v>
      </c>
      <c r="N1561">
        <v>2114</v>
      </c>
      <c r="O1561" t="s">
        <v>1444</v>
      </c>
      <c r="P1561" t="s">
        <v>3108</v>
      </c>
      <c r="Q1561" t="s">
        <v>3249</v>
      </c>
      <c r="R1561" t="s">
        <v>3249</v>
      </c>
      <c r="S1561" t="s">
        <v>810</v>
      </c>
      <c r="T1561" t="s">
        <v>2754</v>
      </c>
      <c r="U1561" t="s">
        <v>3250</v>
      </c>
      <c r="V1561" t="s">
        <v>3250</v>
      </c>
      <c r="W1561" t="s">
        <v>3250</v>
      </c>
      <c r="X1561" t="s">
        <v>3250</v>
      </c>
      <c r="Y1561" t="s">
        <v>3250</v>
      </c>
      <c r="Z1561" t="s">
        <v>3250</v>
      </c>
      <c r="AA1561" t="s">
        <v>3108</v>
      </c>
      <c r="AB1561" t="s">
        <v>3108</v>
      </c>
      <c r="AC1561" t="s">
        <v>3250</v>
      </c>
      <c r="AD1561" t="s">
        <v>3250</v>
      </c>
      <c r="AE1561" t="s">
        <v>3250</v>
      </c>
      <c r="AF1561" t="s">
        <v>3250</v>
      </c>
      <c r="AG1561" t="s">
        <v>3250</v>
      </c>
      <c r="AH1561" t="s">
        <v>3250</v>
      </c>
      <c r="AI1561" t="s">
        <v>3250</v>
      </c>
      <c r="AJ1561" t="s">
        <v>3250</v>
      </c>
      <c r="AL1561" t="s">
        <v>3250</v>
      </c>
      <c r="AM1561" t="s">
        <v>3250</v>
      </c>
      <c r="AN1561" t="s">
        <v>3250</v>
      </c>
      <c r="AO1561" t="s">
        <v>3250</v>
      </c>
      <c r="AS1561" t="s">
        <v>3250</v>
      </c>
      <c r="AT1561" t="s">
        <v>3250</v>
      </c>
      <c r="AU1561" t="s">
        <v>3250</v>
      </c>
      <c r="AV1561" t="s">
        <v>3250</v>
      </c>
      <c r="AW1561" t="s">
        <v>3250</v>
      </c>
      <c r="AX1561" t="s">
        <v>3250</v>
      </c>
      <c r="AY1561" t="s">
        <v>3250</v>
      </c>
      <c r="AZ1561" t="s">
        <v>3250</v>
      </c>
      <c r="BA1561" t="s">
        <v>3250</v>
      </c>
      <c r="BB1561" t="s">
        <v>3250</v>
      </c>
      <c r="BC1561" t="s">
        <v>3250</v>
      </c>
      <c r="BE1561" t="s">
        <v>3250</v>
      </c>
      <c r="BF1561" t="s">
        <v>3250</v>
      </c>
      <c r="BG1561" t="s">
        <v>3250</v>
      </c>
      <c r="BH1561" t="s">
        <v>3250</v>
      </c>
      <c r="BI1561" t="s">
        <v>3250</v>
      </c>
      <c r="BK1561" t="s">
        <v>3250</v>
      </c>
      <c r="BL1561" t="s">
        <v>3250</v>
      </c>
      <c r="BM1561" t="s">
        <v>3250</v>
      </c>
      <c r="BN1561" t="s">
        <v>3250</v>
      </c>
      <c r="BP1561">
        <v>4</v>
      </c>
      <c r="BQ1561">
        <v>42</v>
      </c>
      <c r="BR1561" t="s">
        <v>1444</v>
      </c>
      <c r="BS1561" t="s">
        <v>4024</v>
      </c>
      <c r="BV1561">
        <v>0</v>
      </c>
      <c r="BW1561">
        <v>0</v>
      </c>
      <c r="BX1561">
        <v>0</v>
      </c>
      <c r="BY1561">
        <v>10300</v>
      </c>
      <c r="BZ1561">
        <v>10300</v>
      </c>
      <c r="CA1561">
        <v>10702</v>
      </c>
      <c r="CB1561">
        <v>11130</v>
      </c>
      <c r="CC1561">
        <v>11575</v>
      </c>
      <c r="CD1561">
        <v>0</v>
      </c>
      <c r="CE1561" t="s">
        <v>3108</v>
      </c>
      <c r="CF1561" t="s">
        <v>3108</v>
      </c>
      <c r="CG1561" t="s">
        <v>3108</v>
      </c>
      <c r="CH1561" t="s">
        <v>3108</v>
      </c>
    </row>
    <row r="1562" spans="1:86" x14ac:dyDescent="0.2">
      <c r="A1562" t="s">
        <v>5517</v>
      </c>
      <c r="B1562" t="s">
        <v>5517</v>
      </c>
      <c r="C1562">
        <v>54549</v>
      </c>
      <c r="D1562">
        <v>1682</v>
      </c>
      <c r="E1562" t="s">
        <v>4015</v>
      </c>
      <c r="F1562">
        <v>2900</v>
      </c>
      <c r="G1562" t="s">
        <v>822</v>
      </c>
      <c r="H1562" t="s">
        <v>3108</v>
      </c>
      <c r="I1562" t="s">
        <v>3108</v>
      </c>
      <c r="J1562">
        <v>2904</v>
      </c>
      <c r="K1562" t="s">
        <v>1690</v>
      </c>
      <c r="L1562">
        <v>2100</v>
      </c>
      <c r="M1562" t="s">
        <v>123</v>
      </c>
      <c r="N1562">
        <v>2114</v>
      </c>
      <c r="O1562" t="s">
        <v>1444</v>
      </c>
      <c r="P1562" t="s">
        <v>3108</v>
      </c>
      <c r="Q1562" t="s">
        <v>3249</v>
      </c>
      <c r="R1562" t="s">
        <v>3249</v>
      </c>
      <c r="S1562" t="s">
        <v>810</v>
      </c>
      <c r="T1562" t="s">
        <v>2754</v>
      </c>
      <c r="U1562" t="s">
        <v>3250</v>
      </c>
      <c r="V1562" t="s">
        <v>3250</v>
      </c>
      <c r="W1562" t="s">
        <v>3250</v>
      </c>
      <c r="X1562" t="s">
        <v>3250</v>
      </c>
      <c r="Y1562" t="s">
        <v>3250</v>
      </c>
      <c r="Z1562" t="s">
        <v>3250</v>
      </c>
      <c r="AA1562" t="s">
        <v>3108</v>
      </c>
      <c r="AB1562" t="s">
        <v>3108</v>
      </c>
      <c r="AC1562" t="s">
        <v>3250</v>
      </c>
      <c r="AD1562" t="s">
        <v>3250</v>
      </c>
      <c r="AE1562" t="s">
        <v>3250</v>
      </c>
      <c r="AF1562" t="s">
        <v>3250</v>
      </c>
      <c r="AG1562" t="s">
        <v>3250</v>
      </c>
      <c r="AH1562" t="s">
        <v>3250</v>
      </c>
      <c r="AI1562" t="s">
        <v>3250</v>
      </c>
      <c r="AJ1562" t="s">
        <v>3250</v>
      </c>
      <c r="AL1562" t="s">
        <v>3250</v>
      </c>
      <c r="AM1562" t="s">
        <v>3250</v>
      </c>
      <c r="AN1562" t="s">
        <v>3250</v>
      </c>
      <c r="AO1562" t="s">
        <v>3250</v>
      </c>
      <c r="AS1562" t="s">
        <v>3250</v>
      </c>
      <c r="AT1562" t="s">
        <v>3250</v>
      </c>
      <c r="AU1562" t="s">
        <v>3250</v>
      </c>
      <c r="AV1562" t="s">
        <v>3250</v>
      </c>
      <c r="AW1562" t="s">
        <v>3250</v>
      </c>
      <c r="AX1562" t="s">
        <v>3250</v>
      </c>
      <c r="AY1562" t="s">
        <v>3250</v>
      </c>
      <c r="AZ1562" t="s">
        <v>3250</v>
      </c>
      <c r="BA1562" t="s">
        <v>3250</v>
      </c>
      <c r="BB1562" t="s">
        <v>3250</v>
      </c>
      <c r="BC1562" t="s">
        <v>3250</v>
      </c>
      <c r="BE1562" t="s">
        <v>3250</v>
      </c>
      <c r="BF1562" t="s">
        <v>3250</v>
      </c>
      <c r="BG1562" t="s">
        <v>3250</v>
      </c>
      <c r="BH1562" t="s">
        <v>3250</v>
      </c>
      <c r="BI1562" t="s">
        <v>3250</v>
      </c>
      <c r="BK1562" t="s">
        <v>3250</v>
      </c>
      <c r="BL1562" t="s">
        <v>3250</v>
      </c>
      <c r="BM1562" t="s">
        <v>3250</v>
      </c>
      <c r="BN1562" t="s">
        <v>3250</v>
      </c>
      <c r="BP1562">
        <v>4</v>
      </c>
      <c r="BQ1562">
        <v>42</v>
      </c>
      <c r="BR1562" t="s">
        <v>1444</v>
      </c>
      <c r="BS1562" t="s">
        <v>4024</v>
      </c>
      <c r="BV1562">
        <v>0</v>
      </c>
      <c r="BW1562">
        <v>0</v>
      </c>
      <c r="BX1562">
        <v>0</v>
      </c>
      <c r="BY1562">
        <v>6180</v>
      </c>
      <c r="BZ1562">
        <v>6180</v>
      </c>
      <c r="CA1562">
        <v>6421</v>
      </c>
      <c r="CB1562">
        <v>6678</v>
      </c>
      <c r="CC1562">
        <v>6945</v>
      </c>
      <c r="CD1562">
        <v>0</v>
      </c>
      <c r="CE1562" t="s">
        <v>3108</v>
      </c>
      <c r="CF1562" t="s">
        <v>3108</v>
      </c>
      <c r="CG1562" t="s">
        <v>3108</v>
      </c>
      <c r="CH1562" t="s">
        <v>3108</v>
      </c>
    </row>
    <row r="1563" spans="1:86" x14ac:dyDescent="0.2">
      <c r="A1563" t="s">
        <v>5518</v>
      </c>
      <c r="B1563" t="s">
        <v>5518</v>
      </c>
      <c r="C1563">
        <v>54550</v>
      </c>
      <c r="D1563">
        <v>1632</v>
      </c>
      <c r="E1563" t="s">
        <v>4106</v>
      </c>
      <c r="F1563">
        <v>2900</v>
      </c>
      <c r="G1563" t="s">
        <v>822</v>
      </c>
      <c r="H1563" t="s">
        <v>3108</v>
      </c>
      <c r="I1563" t="s">
        <v>3108</v>
      </c>
      <c r="J1563">
        <v>2904</v>
      </c>
      <c r="K1563" t="s">
        <v>1690</v>
      </c>
      <c r="L1563">
        <v>3100</v>
      </c>
      <c r="M1563" t="s">
        <v>127</v>
      </c>
      <c r="N1563">
        <v>3107</v>
      </c>
      <c r="O1563" t="s">
        <v>2418</v>
      </c>
      <c r="P1563" t="s">
        <v>3108</v>
      </c>
      <c r="Q1563" t="s">
        <v>3249</v>
      </c>
      <c r="R1563" t="s">
        <v>3249</v>
      </c>
      <c r="S1563" t="s">
        <v>810</v>
      </c>
      <c r="T1563" t="s">
        <v>2754</v>
      </c>
      <c r="U1563" t="s">
        <v>3250</v>
      </c>
      <c r="V1563" t="s">
        <v>3250</v>
      </c>
      <c r="W1563" t="s">
        <v>3250</v>
      </c>
      <c r="X1563" t="s">
        <v>3250</v>
      </c>
      <c r="Y1563" t="s">
        <v>3250</v>
      </c>
      <c r="Z1563" t="s">
        <v>3250</v>
      </c>
      <c r="AA1563" t="s">
        <v>3108</v>
      </c>
      <c r="AB1563" t="s">
        <v>3108</v>
      </c>
      <c r="AC1563" t="s">
        <v>3250</v>
      </c>
      <c r="AD1563" t="s">
        <v>3250</v>
      </c>
      <c r="AE1563" t="s">
        <v>3250</v>
      </c>
      <c r="AF1563" t="s">
        <v>3250</v>
      </c>
      <c r="AG1563" t="s">
        <v>3250</v>
      </c>
      <c r="AH1563" t="s">
        <v>3250</v>
      </c>
      <c r="AI1563" t="s">
        <v>3250</v>
      </c>
      <c r="AJ1563" t="s">
        <v>3250</v>
      </c>
      <c r="AL1563" t="s">
        <v>3250</v>
      </c>
      <c r="AM1563" t="s">
        <v>3250</v>
      </c>
      <c r="AN1563" t="s">
        <v>3250</v>
      </c>
      <c r="AO1563" t="s">
        <v>3250</v>
      </c>
      <c r="AS1563" t="s">
        <v>3250</v>
      </c>
      <c r="AT1563" t="s">
        <v>3250</v>
      </c>
      <c r="AU1563" t="s">
        <v>3250</v>
      </c>
      <c r="AV1563" t="s">
        <v>3250</v>
      </c>
      <c r="AW1563" t="s">
        <v>3250</v>
      </c>
      <c r="AX1563" t="s">
        <v>3250</v>
      </c>
      <c r="AY1563" t="s">
        <v>3250</v>
      </c>
      <c r="AZ1563" t="s">
        <v>3250</v>
      </c>
      <c r="BA1563" t="s">
        <v>3250</v>
      </c>
      <c r="BB1563" t="s">
        <v>3250</v>
      </c>
      <c r="BC1563" t="s">
        <v>3250</v>
      </c>
      <c r="BE1563" t="s">
        <v>3250</v>
      </c>
      <c r="BF1563" t="s">
        <v>3250</v>
      </c>
      <c r="BG1563" t="s">
        <v>3250</v>
      </c>
      <c r="BH1563" t="s">
        <v>3250</v>
      </c>
      <c r="BI1563" t="s">
        <v>3250</v>
      </c>
      <c r="BK1563" t="s">
        <v>3250</v>
      </c>
      <c r="BL1563" t="s">
        <v>3250</v>
      </c>
      <c r="BM1563" t="s">
        <v>3250</v>
      </c>
      <c r="BN1563" t="s">
        <v>3250</v>
      </c>
      <c r="BP1563">
        <v>8</v>
      </c>
      <c r="BQ1563">
        <v>81</v>
      </c>
      <c r="BR1563" t="s">
        <v>2418</v>
      </c>
      <c r="BS1563" t="s">
        <v>4013</v>
      </c>
      <c r="BV1563">
        <v>0</v>
      </c>
      <c r="BW1563">
        <v>0</v>
      </c>
      <c r="BX1563">
        <v>0</v>
      </c>
      <c r="BY1563">
        <v>15000</v>
      </c>
      <c r="BZ1563">
        <v>0</v>
      </c>
      <c r="CA1563">
        <v>0</v>
      </c>
      <c r="CB1563">
        <v>0</v>
      </c>
      <c r="CC1563">
        <v>0</v>
      </c>
      <c r="CD1563">
        <v>0</v>
      </c>
      <c r="CE1563" t="s">
        <v>3108</v>
      </c>
      <c r="CF1563" t="s">
        <v>3108</v>
      </c>
      <c r="CG1563" t="s">
        <v>3108</v>
      </c>
      <c r="CH1563" t="s">
        <v>3108</v>
      </c>
    </row>
    <row r="1564" spans="1:86" x14ac:dyDescent="0.2">
      <c r="A1564" t="s">
        <v>5519</v>
      </c>
      <c r="B1564" t="s">
        <v>5519</v>
      </c>
      <c r="C1564">
        <v>54551</v>
      </c>
      <c r="D1564">
        <v>1633</v>
      </c>
      <c r="E1564" t="s">
        <v>4103</v>
      </c>
      <c r="F1564">
        <v>2900</v>
      </c>
      <c r="G1564" t="s">
        <v>822</v>
      </c>
      <c r="H1564" t="s">
        <v>3108</v>
      </c>
      <c r="I1564" t="s">
        <v>3108</v>
      </c>
      <c r="J1564">
        <v>2904</v>
      </c>
      <c r="K1564" t="s">
        <v>1690</v>
      </c>
      <c r="L1564">
        <v>1200</v>
      </c>
      <c r="M1564" t="s">
        <v>2368</v>
      </c>
      <c r="N1564">
        <v>1204</v>
      </c>
      <c r="O1564" t="s">
        <v>1574</v>
      </c>
      <c r="P1564" t="s">
        <v>3108</v>
      </c>
      <c r="Q1564" t="s">
        <v>3249</v>
      </c>
      <c r="R1564" t="s">
        <v>3249</v>
      </c>
      <c r="S1564" t="s">
        <v>810</v>
      </c>
      <c r="T1564" t="s">
        <v>2754</v>
      </c>
      <c r="U1564" t="s">
        <v>3250</v>
      </c>
      <c r="V1564" t="s">
        <v>3250</v>
      </c>
      <c r="W1564" t="s">
        <v>3250</v>
      </c>
      <c r="X1564" t="s">
        <v>3250</v>
      </c>
      <c r="Y1564" t="s">
        <v>3250</v>
      </c>
      <c r="Z1564" t="s">
        <v>3250</v>
      </c>
      <c r="AA1564" t="s">
        <v>3108</v>
      </c>
      <c r="AB1564" t="s">
        <v>3108</v>
      </c>
      <c r="AC1564" t="s">
        <v>3250</v>
      </c>
      <c r="AD1564" t="s">
        <v>3250</v>
      </c>
      <c r="AE1564" t="s">
        <v>3250</v>
      </c>
      <c r="AF1564" t="s">
        <v>3250</v>
      </c>
      <c r="AG1564" t="s">
        <v>3250</v>
      </c>
      <c r="AH1564" t="s">
        <v>3250</v>
      </c>
      <c r="AI1564" t="s">
        <v>3250</v>
      </c>
      <c r="AJ1564" t="s">
        <v>3250</v>
      </c>
      <c r="AL1564" t="s">
        <v>3250</v>
      </c>
      <c r="AM1564" t="s">
        <v>3250</v>
      </c>
      <c r="AN1564" t="s">
        <v>3250</v>
      </c>
      <c r="AO1564" t="s">
        <v>3250</v>
      </c>
      <c r="AS1564" t="s">
        <v>3250</v>
      </c>
      <c r="AT1564" t="s">
        <v>3250</v>
      </c>
      <c r="AU1564" t="s">
        <v>3250</v>
      </c>
      <c r="AV1564" t="s">
        <v>3250</v>
      </c>
      <c r="AW1564" t="s">
        <v>3250</v>
      </c>
      <c r="AX1564" t="s">
        <v>3250</v>
      </c>
      <c r="AY1564" t="s">
        <v>3250</v>
      </c>
      <c r="AZ1564" t="s">
        <v>3250</v>
      </c>
      <c r="BA1564" t="s">
        <v>3250</v>
      </c>
      <c r="BB1564" t="s">
        <v>3250</v>
      </c>
      <c r="BC1564" t="s">
        <v>3250</v>
      </c>
      <c r="BE1564" t="s">
        <v>3250</v>
      </c>
      <c r="BF1564" t="s">
        <v>3250</v>
      </c>
      <c r="BG1564" t="s">
        <v>3250</v>
      </c>
      <c r="BH1564" t="s">
        <v>3250</v>
      </c>
      <c r="BI1564" t="s">
        <v>3250</v>
      </c>
      <c r="BK1564" t="s">
        <v>3250</v>
      </c>
      <c r="BL1564" t="s">
        <v>3250</v>
      </c>
      <c r="BM1564" t="s">
        <v>3250</v>
      </c>
      <c r="BN1564" t="s">
        <v>3250</v>
      </c>
      <c r="BP1564">
        <v>1</v>
      </c>
      <c r="BQ1564">
        <v>11</v>
      </c>
      <c r="BR1564" t="s">
        <v>1574</v>
      </c>
      <c r="BS1564" t="s">
        <v>3252</v>
      </c>
      <c r="BV1564">
        <v>0</v>
      </c>
      <c r="BW1564">
        <v>0</v>
      </c>
      <c r="BX1564">
        <v>-22</v>
      </c>
      <c r="BY1564">
        <v>0</v>
      </c>
      <c r="BZ1564">
        <v>0</v>
      </c>
      <c r="CA1564">
        <v>0</v>
      </c>
      <c r="CB1564">
        <v>0</v>
      </c>
      <c r="CC1564">
        <v>0</v>
      </c>
      <c r="CD1564">
        <v>0</v>
      </c>
      <c r="CE1564" t="s">
        <v>3108</v>
      </c>
      <c r="CF1564" t="s">
        <v>3108</v>
      </c>
      <c r="CG1564" t="s">
        <v>3108</v>
      </c>
      <c r="CH1564" t="s">
        <v>3108</v>
      </c>
    </row>
    <row r="1565" spans="1:86" x14ac:dyDescent="0.2">
      <c r="A1565" t="s">
        <v>5520</v>
      </c>
      <c r="B1565" t="s">
        <v>5520</v>
      </c>
      <c r="C1565">
        <v>54552</v>
      </c>
      <c r="D1565">
        <v>1683</v>
      </c>
      <c r="E1565" t="s">
        <v>4003</v>
      </c>
      <c r="F1565">
        <v>2700</v>
      </c>
      <c r="G1565" t="s">
        <v>411</v>
      </c>
      <c r="H1565" t="s">
        <v>4004</v>
      </c>
      <c r="I1565" t="s">
        <v>2531</v>
      </c>
      <c r="J1565">
        <v>2701</v>
      </c>
      <c r="K1565" t="s">
        <v>2531</v>
      </c>
      <c r="L1565">
        <v>2100</v>
      </c>
      <c r="M1565" t="s">
        <v>123</v>
      </c>
      <c r="N1565">
        <v>2114</v>
      </c>
      <c r="O1565" t="s">
        <v>1444</v>
      </c>
      <c r="P1565" t="s">
        <v>3108</v>
      </c>
      <c r="Q1565" t="s">
        <v>3249</v>
      </c>
      <c r="R1565" t="s">
        <v>3249</v>
      </c>
      <c r="S1565" t="s">
        <v>810</v>
      </c>
      <c r="T1565" t="s">
        <v>2754</v>
      </c>
      <c r="U1565" t="s">
        <v>3250</v>
      </c>
      <c r="V1565" t="s">
        <v>3250</v>
      </c>
      <c r="W1565" t="s">
        <v>3250</v>
      </c>
      <c r="X1565" t="s">
        <v>3250</v>
      </c>
      <c r="Y1565" t="s">
        <v>3250</v>
      </c>
      <c r="Z1565" t="s">
        <v>3250</v>
      </c>
      <c r="AA1565" t="s">
        <v>3108</v>
      </c>
      <c r="AB1565" t="s">
        <v>3108</v>
      </c>
      <c r="AC1565" t="s">
        <v>3250</v>
      </c>
      <c r="AD1565" t="s">
        <v>3250</v>
      </c>
      <c r="AE1565" t="s">
        <v>3250</v>
      </c>
      <c r="AF1565" t="s">
        <v>3250</v>
      </c>
      <c r="AG1565" t="s">
        <v>3250</v>
      </c>
      <c r="AH1565" t="s">
        <v>3250</v>
      </c>
      <c r="AI1565" t="s">
        <v>3250</v>
      </c>
      <c r="AJ1565" t="s">
        <v>3250</v>
      </c>
      <c r="AL1565" t="s">
        <v>3250</v>
      </c>
      <c r="AM1565" t="s">
        <v>3250</v>
      </c>
      <c r="AN1565" t="s">
        <v>3250</v>
      </c>
      <c r="AO1565" t="s">
        <v>3250</v>
      </c>
      <c r="AS1565" t="s">
        <v>3250</v>
      </c>
      <c r="AT1565" t="s">
        <v>3250</v>
      </c>
      <c r="AU1565" t="s">
        <v>3250</v>
      </c>
      <c r="AV1565" t="s">
        <v>3250</v>
      </c>
      <c r="AW1565" t="s">
        <v>3250</v>
      </c>
      <c r="AX1565" t="s">
        <v>3250</v>
      </c>
      <c r="AY1565" t="s">
        <v>3250</v>
      </c>
      <c r="AZ1565" t="s">
        <v>3250</v>
      </c>
      <c r="BA1565" t="s">
        <v>3250</v>
      </c>
      <c r="BB1565" t="s">
        <v>3250</v>
      </c>
      <c r="BC1565" t="s">
        <v>3250</v>
      </c>
      <c r="BE1565" t="s">
        <v>3250</v>
      </c>
      <c r="BF1565" t="s">
        <v>3250</v>
      </c>
      <c r="BG1565" t="s">
        <v>3250</v>
      </c>
      <c r="BH1565" t="s">
        <v>3250</v>
      </c>
      <c r="BI1565" t="s">
        <v>3250</v>
      </c>
      <c r="BK1565" t="s">
        <v>3250</v>
      </c>
      <c r="BL1565" t="s">
        <v>3250</v>
      </c>
      <c r="BM1565" t="s">
        <v>3250</v>
      </c>
      <c r="BN1565" t="s">
        <v>3250</v>
      </c>
      <c r="BP1565">
        <v>4</v>
      </c>
      <c r="BQ1565">
        <v>42</v>
      </c>
      <c r="BR1565" t="s">
        <v>1444</v>
      </c>
      <c r="BS1565" t="s">
        <v>4024</v>
      </c>
      <c r="BV1565">
        <v>0</v>
      </c>
      <c r="BW1565">
        <v>0</v>
      </c>
      <c r="BX1565">
        <v>0</v>
      </c>
      <c r="BY1565">
        <v>17505</v>
      </c>
      <c r="BZ1565">
        <v>17505</v>
      </c>
      <c r="CA1565">
        <v>18188</v>
      </c>
      <c r="CB1565">
        <v>18915</v>
      </c>
      <c r="CC1565">
        <v>19672</v>
      </c>
      <c r="CD1565">
        <v>0</v>
      </c>
      <c r="CE1565" t="s">
        <v>3108</v>
      </c>
      <c r="CF1565" t="s">
        <v>3108</v>
      </c>
      <c r="CG1565" t="s">
        <v>3108</v>
      </c>
      <c r="CH1565" t="s">
        <v>3108</v>
      </c>
    </row>
    <row r="1566" spans="1:86" x14ac:dyDescent="0.2">
      <c r="A1566" t="s">
        <v>5521</v>
      </c>
      <c r="B1566" t="s">
        <v>5521</v>
      </c>
      <c r="C1566">
        <v>54553</v>
      </c>
      <c r="D1566">
        <v>1684</v>
      </c>
      <c r="E1566" t="s">
        <v>4015</v>
      </c>
      <c r="F1566">
        <v>2900</v>
      </c>
      <c r="G1566" t="s">
        <v>822</v>
      </c>
      <c r="H1566" t="s">
        <v>3108</v>
      </c>
      <c r="I1566" t="s">
        <v>3108</v>
      </c>
      <c r="J1566">
        <v>2904</v>
      </c>
      <c r="K1566" t="s">
        <v>1690</v>
      </c>
      <c r="L1566">
        <v>2100</v>
      </c>
      <c r="M1566" t="s">
        <v>123</v>
      </c>
      <c r="N1566">
        <v>2114</v>
      </c>
      <c r="O1566" t="s">
        <v>1444</v>
      </c>
      <c r="P1566" t="s">
        <v>3108</v>
      </c>
      <c r="Q1566" t="s">
        <v>3249</v>
      </c>
      <c r="R1566" t="s">
        <v>3249</v>
      </c>
      <c r="S1566" t="s">
        <v>810</v>
      </c>
      <c r="T1566" t="s">
        <v>2754</v>
      </c>
      <c r="U1566" t="s">
        <v>3250</v>
      </c>
      <c r="V1566" t="s">
        <v>3250</v>
      </c>
      <c r="W1566" t="s">
        <v>3250</v>
      </c>
      <c r="X1566" t="s">
        <v>3250</v>
      </c>
      <c r="Y1566" t="s">
        <v>3250</v>
      </c>
      <c r="Z1566" t="s">
        <v>3250</v>
      </c>
      <c r="AA1566" t="s">
        <v>3108</v>
      </c>
      <c r="AB1566" t="s">
        <v>3108</v>
      </c>
      <c r="AC1566" t="s">
        <v>3250</v>
      </c>
      <c r="AD1566" t="s">
        <v>3250</v>
      </c>
      <c r="AE1566" t="s">
        <v>3250</v>
      </c>
      <c r="AF1566" t="s">
        <v>3250</v>
      </c>
      <c r="AG1566" t="s">
        <v>3250</v>
      </c>
      <c r="AH1566" t="s">
        <v>3250</v>
      </c>
      <c r="AI1566" t="s">
        <v>3250</v>
      </c>
      <c r="AJ1566" t="s">
        <v>3250</v>
      </c>
      <c r="AL1566" t="s">
        <v>3250</v>
      </c>
      <c r="AM1566" t="s">
        <v>3250</v>
      </c>
      <c r="AN1566" t="s">
        <v>3250</v>
      </c>
      <c r="AO1566" t="s">
        <v>3250</v>
      </c>
      <c r="AS1566" t="s">
        <v>3250</v>
      </c>
      <c r="AT1566" t="s">
        <v>3250</v>
      </c>
      <c r="AU1566" t="s">
        <v>3250</v>
      </c>
      <c r="AV1566" t="s">
        <v>3250</v>
      </c>
      <c r="AW1566" t="s">
        <v>3250</v>
      </c>
      <c r="AX1566" t="s">
        <v>3250</v>
      </c>
      <c r="AY1566" t="s">
        <v>3250</v>
      </c>
      <c r="AZ1566" t="s">
        <v>3250</v>
      </c>
      <c r="BA1566" t="s">
        <v>3250</v>
      </c>
      <c r="BB1566" t="s">
        <v>3250</v>
      </c>
      <c r="BC1566" t="s">
        <v>3250</v>
      </c>
      <c r="BE1566" t="s">
        <v>3250</v>
      </c>
      <c r="BF1566" t="s">
        <v>3250</v>
      </c>
      <c r="BG1566" t="s">
        <v>3250</v>
      </c>
      <c r="BH1566" t="s">
        <v>3250</v>
      </c>
      <c r="BI1566" t="s">
        <v>3250</v>
      </c>
      <c r="BK1566" t="s">
        <v>3250</v>
      </c>
      <c r="BL1566" t="s">
        <v>3250</v>
      </c>
      <c r="BM1566" t="s">
        <v>3250</v>
      </c>
      <c r="BN1566" t="s">
        <v>3250</v>
      </c>
      <c r="BP1566">
        <v>4</v>
      </c>
      <c r="BQ1566">
        <v>42</v>
      </c>
      <c r="BR1566" t="s">
        <v>1444</v>
      </c>
      <c r="BS1566" t="s">
        <v>4024</v>
      </c>
      <c r="BV1566">
        <v>0</v>
      </c>
      <c r="BW1566">
        <v>0</v>
      </c>
      <c r="BX1566">
        <v>0</v>
      </c>
      <c r="BY1566">
        <v>10300</v>
      </c>
      <c r="BZ1566">
        <v>10300</v>
      </c>
      <c r="CA1566">
        <v>10702</v>
      </c>
      <c r="CB1566">
        <v>11130</v>
      </c>
      <c r="CC1566">
        <v>11575</v>
      </c>
      <c r="CD1566">
        <v>0</v>
      </c>
      <c r="CE1566" t="s">
        <v>3108</v>
      </c>
      <c r="CF1566" t="s">
        <v>3108</v>
      </c>
      <c r="CG1566" t="s">
        <v>3108</v>
      </c>
      <c r="CH1566" t="s">
        <v>3108</v>
      </c>
    </row>
    <row r="1567" spans="1:86" x14ac:dyDescent="0.2">
      <c r="A1567" t="s">
        <v>5522</v>
      </c>
      <c r="B1567" t="s">
        <v>5522</v>
      </c>
      <c r="C1567">
        <v>54554</v>
      </c>
      <c r="D1567">
        <v>1685</v>
      </c>
      <c r="E1567" t="s">
        <v>5523</v>
      </c>
      <c r="F1567">
        <v>2700</v>
      </c>
      <c r="G1567" t="s">
        <v>411</v>
      </c>
      <c r="H1567" t="s">
        <v>4004</v>
      </c>
      <c r="I1567" t="s">
        <v>2531</v>
      </c>
      <c r="J1567">
        <v>2701</v>
      </c>
      <c r="K1567" t="s">
        <v>2531</v>
      </c>
      <c r="L1567">
        <v>3100</v>
      </c>
      <c r="M1567" t="s">
        <v>127</v>
      </c>
      <c r="N1567">
        <v>3107</v>
      </c>
      <c r="O1567" t="s">
        <v>2418</v>
      </c>
      <c r="P1567" t="s">
        <v>3108</v>
      </c>
      <c r="Q1567" t="s">
        <v>3249</v>
      </c>
      <c r="R1567" t="s">
        <v>3249</v>
      </c>
      <c r="S1567" t="s">
        <v>810</v>
      </c>
      <c r="T1567" t="s">
        <v>2754</v>
      </c>
      <c r="U1567" t="s">
        <v>3250</v>
      </c>
      <c r="V1567" t="s">
        <v>3250</v>
      </c>
      <c r="W1567" t="s">
        <v>3250</v>
      </c>
      <c r="X1567" t="s">
        <v>3250</v>
      </c>
      <c r="Y1567" t="s">
        <v>3250</v>
      </c>
      <c r="Z1567" t="s">
        <v>3250</v>
      </c>
      <c r="AA1567" t="s">
        <v>3108</v>
      </c>
      <c r="AB1567" t="s">
        <v>3108</v>
      </c>
      <c r="AC1567" t="s">
        <v>3250</v>
      </c>
      <c r="AD1567" t="s">
        <v>3250</v>
      </c>
      <c r="AE1567" t="s">
        <v>3250</v>
      </c>
      <c r="AF1567" t="s">
        <v>3250</v>
      </c>
      <c r="AG1567" t="s">
        <v>3250</v>
      </c>
      <c r="AH1567" t="s">
        <v>3250</v>
      </c>
      <c r="AI1567" t="s">
        <v>3250</v>
      </c>
      <c r="AJ1567" t="s">
        <v>3250</v>
      </c>
      <c r="AL1567" t="s">
        <v>3250</v>
      </c>
      <c r="AM1567" t="s">
        <v>3250</v>
      </c>
      <c r="AN1567" t="s">
        <v>3250</v>
      </c>
      <c r="AO1567" t="s">
        <v>3250</v>
      </c>
      <c r="AS1567" t="s">
        <v>3250</v>
      </c>
      <c r="AT1567" t="s">
        <v>3250</v>
      </c>
      <c r="AU1567" t="s">
        <v>3250</v>
      </c>
      <c r="AV1567" t="s">
        <v>3250</v>
      </c>
      <c r="AW1567" t="s">
        <v>3250</v>
      </c>
      <c r="AX1567" t="s">
        <v>3250</v>
      </c>
      <c r="AY1567" t="s">
        <v>3250</v>
      </c>
      <c r="AZ1567" t="s">
        <v>3250</v>
      </c>
      <c r="BA1567" t="s">
        <v>3250</v>
      </c>
      <c r="BB1567" t="s">
        <v>3250</v>
      </c>
      <c r="BC1567" t="s">
        <v>3250</v>
      </c>
      <c r="BE1567" t="s">
        <v>3250</v>
      </c>
      <c r="BF1567" t="s">
        <v>3250</v>
      </c>
      <c r="BG1567" t="s">
        <v>3250</v>
      </c>
      <c r="BH1567" t="s">
        <v>3250</v>
      </c>
      <c r="BI1567" t="s">
        <v>3250</v>
      </c>
      <c r="BK1567" t="s">
        <v>3250</v>
      </c>
      <c r="BL1567" t="s">
        <v>3250</v>
      </c>
      <c r="BM1567" t="s">
        <v>3250</v>
      </c>
      <c r="BN1567" t="s">
        <v>3250</v>
      </c>
      <c r="BP1567">
        <v>8</v>
      </c>
      <c r="BQ1567">
        <v>81</v>
      </c>
      <c r="BR1567" t="s">
        <v>2418</v>
      </c>
      <c r="BS1567" t="s">
        <v>4013</v>
      </c>
      <c r="BV1567">
        <v>0</v>
      </c>
      <c r="BW1567">
        <v>233</v>
      </c>
      <c r="BX1567">
        <v>0</v>
      </c>
      <c r="BY1567">
        <v>0</v>
      </c>
      <c r="BZ1567">
        <v>0</v>
      </c>
      <c r="CA1567">
        <v>0</v>
      </c>
      <c r="CB1567">
        <v>0</v>
      </c>
      <c r="CC1567">
        <v>0</v>
      </c>
      <c r="CD1567">
        <v>0</v>
      </c>
      <c r="CE1567" t="s">
        <v>3108</v>
      </c>
      <c r="CF1567" t="s">
        <v>3108</v>
      </c>
      <c r="CG1567" t="s">
        <v>3108</v>
      </c>
      <c r="CH1567" t="s">
        <v>3108</v>
      </c>
    </row>
    <row r="1568" spans="1:86" x14ac:dyDescent="0.2">
      <c r="A1568" t="s">
        <v>5524</v>
      </c>
      <c r="B1568" t="s">
        <v>5524</v>
      </c>
      <c r="C1568">
        <v>54555</v>
      </c>
      <c r="D1568">
        <v>1686</v>
      </c>
      <c r="E1568" t="s">
        <v>4015</v>
      </c>
      <c r="F1568">
        <v>2900</v>
      </c>
      <c r="G1568" t="s">
        <v>822</v>
      </c>
      <c r="H1568" t="s">
        <v>3108</v>
      </c>
      <c r="I1568" t="s">
        <v>3108</v>
      </c>
      <c r="J1568">
        <v>2904</v>
      </c>
      <c r="K1568" t="s">
        <v>1690</v>
      </c>
      <c r="L1568">
        <v>2100</v>
      </c>
      <c r="M1568" t="s">
        <v>123</v>
      </c>
      <c r="N1568">
        <v>2114</v>
      </c>
      <c r="O1568" t="s">
        <v>1444</v>
      </c>
      <c r="P1568" t="s">
        <v>3108</v>
      </c>
      <c r="Q1568" t="s">
        <v>3249</v>
      </c>
      <c r="R1568" t="s">
        <v>3249</v>
      </c>
      <c r="S1568" t="s">
        <v>810</v>
      </c>
      <c r="T1568" t="s">
        <v>2754</v>
      </c>
      <c r="U1568" t="s">
        <v>3250</v>
      </c>
      <c r="V1568" t="s">
        <v>3250</v>
      </c>
      <c r="W1568" t="s">
        <v>3250</v>
      </c>
      <c r="X1568" t="s">
        <v>3250</v>
      </c>
      <c r="Y1568" t="s">
        <v>3250</v>
      </c>
      <c r="Z1568" t="s">
        <v>3250</v>
      </c>
      <c r="AA1568" t="s">
        <v>3108</v>
      </c>
      <c r="AB1568" t="s">
        <v>3108</v>
      </c>
      <c r="AC1568" t="s">
        <v>3250</v>
      </c>
      <c r="AD1568" t="s">
        <v>3250</v>
      </c>
      <c r="AE1568" t="s">
        <v>3250</v>
      </c>
      <c r="AF1568" t="s">
        <v>3250</v>
      </c>
      <c r="AG1568" t="s">
        <v>3250</v>
      </c>
      <c r="AH1568" t="s">
        <v>3250</v>
      </c>
      <c r="AI1568" t="s">
        <v>3250</v>
      </c>
      <c r="AJ1568" t="s">
        <v>3250</v>
      </c>
      <c r="AL1568" t="s">
        <v>3250</v>
      </c>
      <c r="AM1568" t="s">
        <v>3250</v>
      </c>
      <c r="AN1568" t="s">
        <v>3250</v>
      </c>
      <c r="AO1568" t="s">
        <v>3250</v>
      </c>
      <c r="AS1568" t="s">
        <v>3250</v>
      </c>
      <c r="AT1568" t="s">
        <v>3250</v>
      </c>
      <c r="AU1568" t="s">
        <v>3250</v>
      </c>
      <c r="AV1568" t="s">
        <v>3250</v>
      </c>
      <c r="AW1568" t="s">
        <v>3250</v>
      </c>
      <c r="AX1568" t="s">
        <v>3250</v>
      </c>
      <c r="AY1568" t="s">
        <v>3250</v>
      </c>
      <c r="AZ1568" t="s">
        <v>3250</v>
      </c>
      <c r="BA1568" t="s">
        <v>3250</v>
      </c>
      <c r="BB1568" t="s">
        <v>3250</v>
      </c>
      <c r="BC1568" t="s">
        <v>3250</v>
      </c>
      <c r="BE1568" t="s">
        <v>3250</v>
      </c>
      <c r="BF1568" t="s">
        <v>3250</v>
      </c>
      <c r="BG1568" t="s">
        <v>3250</v>
      </c>
      <c r="BH1568" t="s">
        <v>3250</v>
      </c>
      <c r="BI1568" t="s">
        <v>3250</v>
      </c>
      <c r="BK1568" t="s">
        <v>3250</v>
      </c>
      <c r="BL1568" t="s">
        <v>3250</v>
      </c>
      <c r="BM1568" t="s">
        <v>3250</v>
      </c>
      <c r="BN1568" t="s">
        <v>3250</v>
      </c>
      <c r="BP1568">
        <v>4</v>
      </c>
      <c r="BQ1568">
        <v>42</v>
      </c>
      <c r="BR1568" t="s">
        <v>1444</v>
      </c>
      <c r="BS1568" t="s">
        <v>4024</v>
      </c>
      <c r="BV1568">
        <v>0</v>
      </c>
      <c r="BW1568">
        <v>0</v>
      </c>
      <c r="BX1568">
        <v>0</v>
      </c>
      <c r="BY1568">
        <v>61800</v>
      </c>
      <c r="BZ1568">
        <v>61800</v>
      </c>
      <c r="CA1568">
        <v>64210</v>
      </c>
      <c r="CB1568">
        <v>66779</v>
      </c>
      <c r="CC1568">
        <v>69450</v>
      </c>
      <c r="CD1568">
        <v>0</v>
      </c>
      <c r="CE1568" t="s">
        <v>3108</v>
      </c>
      <c r="CF1568" t="s">
        <v>3108</v>
      </c>
      <c r="CG1568" t="s">
        <v>3108</v>
      </c>
      <c r="CH1568" t="s">
        <v>3108</v>
      </c>
    </row>
    <row r="1569" spans="1:86" x14ac:dyDescent="0.2">
      <c r="A1569" t="s">
        <v>5525</v>
      </c>
      <c r="B1569" t="s">
        <v>5525</v>
      </c>
      <c r="C1569">
        <v>54556</v>
      </c>
      <c r="D1569">
        <v>1687</v>
      </c>
      <c r="E1569" t="s">
        <v>4053</v>
      </c>
      <c r="F1569">
        <v>2900</v>
      </c>
      <c r="G1569" t="s">
        <v>822</v>
      </c>
      <c r="H1569" t="s">
        <v>3108</v>
      </c>
      <c r="I1569" t="s">
        <v>3108</v>
      </c>
      <c r="J1569">
        <v>2904</v>
      </c>
      <c r="K1569" t="s">
        <v>1690</v>
      </c>
      <c r="L1569">
        <v>2100</v>
      </c>
      <c r="M1569" t="s">
        <v>123</v>
      </c>
      <c r="N1569">
        <v>2114</v>
      </c>
      <c r="O1569" t="s">
        <v>1444</v>
      </c>
      <c r="P1569" t="s">
        <v>3108</v>
      </c>
      <c r="Q1569" t="s">
        <v>3249</v>
      </c>
      <c r="R1569" t="s">
        <v>3249</v>
      </c>
      <c r="S1569" t="s">
        <v>810</v>
      </c>
      <c r="T1569" t="s">
        <v>2754</v>
      </c>
      <c r="U1569" t="s">
        <v>3250</v>
      </c>
      <c r="V1569" t="s">
        <v>3250</v>
      </c>
      <c r="W1569" t="s">
        <v>3250</v>
      </c>
      <c r="X1569" t="s">
        <v>3250</v>
      </c>
      <c r="Y1569" t="s">
        <v>3250</v>
      </c>
      <c r="Z1569" t="s">
        <v>3250</v>
      </c>
      <c r="AA1569" t="s">
        <v>3108</v>
      </c>
      <c r="AB1569" t="s">
        <v>3108</v>
      </c>
      <c r="AC1569" t="s">
        <v>3250</v>
      </c>
      <c r="AD1569" t="s">
        <v>3250</v>
      </c>
      <c r="AE1569" t="s">
        <v>3250</v>
      </c>
      <c r="AF1569" t="s">
        <v>3250</v>
      </c>
      <c r="AG1569" t="s">
        <v>3250</v>
      </c>
      <c r="AH1569" t="s">
        <v>3250</v>
      </c>
      <c r="AI1569" t="s">
        <v>3250</v>
      </c>
      <c r="AJ1569" t="s">
        <v>3250</v>
      </c>
      <c r="AL1569" t="s">
        <v>3250</v>
      </c>
      <c r="AM1569" t="s">
        <v>3250</v>
      </c>
      <c r="AN1569" t="s">
        <v>3250</v>
      </c>
      <c r="AO1569" t="s">
        <v>3250</v>
      </c>
      <c r="AS1569" t="s">
        <v>3250</v>
      </c>
      <c r="AT1569" t="s">
        <v>3250</v>
      </c>
      <c r="AU1569" t="s">
        <v>3250</v>
      </c>
      <c r="AV1569" t="s">
        <v>3250</v>
      </c>
      <c r="AW1569" t="s">
        <v>3250</v>
      </c>
      <c r="AX1569" t="s">
        <v>3250</v>
      </c>
      <c r="AY1569" t="s">
        <v>3250</v>
      </c>
      <c r="AZ1569" t="s">
        <v>3250</v>
      </c>
      <c r="BA1569" t="s">
        <v>3250</v>
      </c>
      <c r="BB1569" t="s">
        <v>3250</v>
      </c>
      <c r="BC1569" t="s">
        <v>3250</v>
      </c>
      <c r="BE1569" t="s">
        <v>3250</v>
      </c>
      <c r="BF1569" t="s">
        <v>3250</v>
      </c>
      <c r="BG1569" t="s">
        <v>3250</v>
      </c>
      <c r="BH1569" t="s">
        <v>3250</v>
      </c>
      <c r="BI1569" t="s">
        <v>3250</v>
      </c>
      <c r="BK1569" t="s">
        <v>3250</v>
      </c>
      <c r="BL1569" t="s">
        <v>3250</v>
      </c>
      <c r="BM1569" t="s">
        <v>3250</v>
      </c>
      <c r="BN1569" t="s">
        <v>3250</v>
      </c>
      <c r="BP1569">
        <v>4</v>
      </c>
      <c r="BQ1569">
        <v>42</v>
      </c>
      <c r="BR1569" t="s">
        <v>1444</v>
      </c>
      <c r="BS1569" t="s">
        <v>4024</v>
      </c>
      <c r="BV1569">
        <v>0</v>
      </c>
      <c r="BW1569">
        <v>0</v>
      </c>
      <c r="BX1569">
        <v>0</v>
      </c>
      <c r="BY1569">
        <v>27900</v>
      </c>
      <c r="BZ1569">
        <v>27900</v>
      </c>
      <c r="CA1569">
        <v>28988</v>
      </c>
      <c r="CB1569">
        <v>30148</v>
      </c>
      <c r="CC1569">
        <v>31354</v>
      </c>
      <c r="CD1569">
        <v>0</v>
      </c>
      <c r="CE1569" t="s">
        <v>3108</v>
      </c>
      <c r="CF1569" t="s">
        <v>3108</v>
      </c>
      <c r="CG1569" t="s">
        <v>3108</v>
      </c>
      <c r="CH1569" t="s">
        <v>3108</v>
      </c>
    </row>
    <row r="1570" spans="1:86" x14ac:dyDescent="0.2">
      <c r="A1570" t="s">
        <v>5526</v>
      </c>
      <c r="B1570" t="s">
        <v>5526</v>
      </c>
      <c r="C1570">
        <v>54557</v>
      </c>
      <c r="D1570">
        <v>1688</v>
      </c>
      <c r="E1570" t="s">
        <v>4001</v>
      </c>
      <c r="F1570">
        <v>2900</v>
      </c>
      <c r="G1570" t="s">
        <v>822</v>
      </c>
      <c r="H1570" t="s">
        <v>3108</v>
      </c>
      <c r="I1570" t="s">
        <v>3108</v>
      </c>
      <c r="J1570">
        <v>2904</v>
      </c>
      <c r="K1570" t="s">
        <v>1690</v>
      </c>
      <c r="L1570">
        <v>2100</v>
      </c>
      <c r="M1570" t="s">
        <v>123</v>
      </c>
      <c r="N1570">
        <v>2114</v>
      </c>
      <c r="O1570" t="s">
        <v>1444</v>
      </c>
      <c r="P1570" t="s">
        <v>3108</v>
      </c>
      <c r="Q1570" t="s">
        <v>3249</v>
      </c>
      <c r="R1570" t="s">
        <v>3249</v>
      </c>
      <c r="S1570" t="s">
        <v>810</v>
      </c>
      <c r="T1570" t="s">
        <v>2754</v>
      </c>
      <c r="U1570" t="s">
        <v>3250</v>
      </c>
      <c r="V1570" t="s">
        <v>3250</v>
      </c>
      <c r="W1570" t="s">
        <v>3250</v>
      </c>
      <c r="X1570" t="s">
        <v>3250</v>
      </c>
      <c r="Y1570" t="s">
        <v>3250</v>
      </c>
      <c r="Z1570" t="s">
        <v>3250</v>
      </c>
      <c r="AA1570" t="s">
        <v>3108</v>
      </c>
      <c r="AB1570" t="s">
        <v>3108</v>
      </c>
      <c r="AC1570" t="s">
        <v>3250</v>
      </c>
      <c r="AD1570" t="s">
        <v>3250</v>
      </c>
      <c r="AE1570" t="s">
        <v>3250</v>
      </c>
      <c r="AF1570" t="s">
        <v>3250</v>
      </c>
      <c r="AG1570" t="s">
        <v>3250</v>
      </c>
      <c r="AH1570" t="s">
        <v>3250</v>
      </c>
      <c r="AI1570" t="s">
        <v>3250</v>
      </c>
      <c r="AJ1570" t="s">
        <v>3250</v>
      </c>
      <c r="AL1570" t="s">
        <v>3250</v>
      </c>
      <c r="AM1570" t="s">
        <v>3250</v>
      </c>
      <c r="AN1570" t="s">
        <v>3250</v>
      </c>
      <c r="AO1570" t="s">
        <v>3250</v>
      </c>
      <c r="AS1570" t="s">
        <v>3250</v>
      </c>
      <c r="AT1570" t="s">
        <v>3250</v>
      </c>
      <c r="AU1570" t="s">
        <v>3250</v>
      </c>
      <c r="AV1570" t="s">
        <v>3250</v>
      </c>
      <c r="AW1570" t="s">
        <v>3250</v>
      </c>
      <c r="AX1570" t="s">
        <v>3250</v>
      </c>
      <c r="AY1570" t="s">
        <v>3250</v>
      </c>
      <c r="AZ1570" t="s">
        <v>3250</v>
      </c>
      <c r="BA1570" t="s">
        <v>3250</v>
      </c>
      <c r="BB1570" t="s">
        <v>3250</v>
      </c>
      <c r="BC1570" t="s">
        <v>3250</v>
      </c>
      <c r="BE1570" t="s">
        <v>3250</v>
      </c>
      <c r="BF1570" t="s">
        <v>3250</v>
      </c>
      <c r="BG1570" t="s">
        <v>3250</v>
      </c>
      <c r="BH1570" t="s">
        <v>3250</v>
      </c>
      <c r="BI1570" t="s">
        <v>3250</v>
      </c>
      <c r="BK1570" t="s">
        <v>3250</v>
      </c>
      <c r="BL1570" t="s">
        <v>3250</v>
      </c>
      <c r="BM1570" t="s">
        <v>3250</v>
      </c>
      <c r="BN1570" t="s">
        <v>3250</v>
      </c>
      <c r="BP1570">
        <v>4</v>
      </c>
      <c r="BQ1570">
        <v>42</v>
      </c>
      <c r="BR1570" t="s">
        <v>1444</v>
      </c>
      <c r="BS1570" t="s">
        <v>4024</v>
      </c>
      <c r="BV1570">
        <v>0</v>
      </c>
      <c r="BW1570">
        <v>0</v>
      </c>
      <c r="BX1570">
        <v>0</v>
      </c>
      <c r="BY1570">
        <v>5150</v>
      </c>
      <c r="BZ1570">
        <v>5150</v>
      </c>
      <c r="CA1570">
        <v>5351</v>
      </c>
      <c r="CB1570">
        <v>5565</v>
      </c>
      <c r="CC1570">
        <v>5787</v>
      </c>
      <c r="CD1570">
        <v>0</v>
      </c>
      <c r="CE1570" t="s">
        <v>3108</v>
      </c>
      <c r="CF1570" t="s">
        <v>3108</v>
      </c>
      <c r="CG1570" t="s">
        <v>3108</v>
      </c>
      <c r="CH1570" t="s">
        <v>3108</v>
      </c>
    </row>
    <row r="1571" spans="1:86" x14ac:dyDescent="0.2">
      <c r="A1571" t="s">
        <v>5527</v>
      </c>
      <c r="B1571" t="s">
        <v>5527</v>
      </c>
      <c r="C1571">
        <v>54558</v>
      </c>
      <c r="D1571">
        <v>1689</v>
      </c>
      <c r="E1571" t="s">
        <v>4357</v>
      </c>
      <c r="F1571">
        <v>2700</v>
      </c>
      <c r="G1571" t="s">
        <v>411</v>
      </c>
      <c r="H1571" t="s">
        <v>3997</v>
      </c>
      <c r="I1571" t="s">
        <v>2533</v>
      </c>
      <c r="J1571">
        <v>2703</v>
      </c>
      <c r="K1571" t="s">
        <v>2533</v>
      </c>
      <c r="L1571">
        <v>2300</v>
      </c>
      <c r="M1571" t="s">
        <v>125</v>
      </c>
      <c r="N1571">
        <v>2304</v>
      </c>
      <c r="O1571" t="s">
        <v>2393</v>
      </c>
      <c r="P1571" t="s">
        <v>3108</v>
      </c>
      <c r="Q1571" t="s">
        <v>3249</v>
      </c>
      <c r="R1571" t="s">
        <v>3249</v>
      </c>
      <c r="S1571" t="s">
        <v>810</v>
      </c>
      <c r="T1571" t="s">
        <v>2754</v>
      </c>
      <c r="U1571" t="s">
        <v>3250</v>
      </c>
      <c r="V1571" t="s">
        <v>3250</v>
      </c>
      <c r="W1571" t="s">
        <v>3250</v>
      </c>
      <c r="X1571" t="s">
        <v>3250</v>
      </c>
      <c r="Y1571" t="s">
        <v>3250</v>
      </c>
      <c r="Z1571" t="s">
        <v>3250</v>
      </c>
      <c r="AA1571" t="s">
        <v>3108</v>
      </c>
      <c r="AB1571" t="s">
        <v>3108</v>
      </c>
      <c r="AC1571" t="s">
        <v>3250</v>
      </c>
      <c r="AD1571" t="s">
        <v>3250</v>
      </c>
      <c r="AE1571" t="s">
        <v>3250</v>
      </c>
      <c r="AF1571" t="s">
        <v>3250</v>
      </c>
      <c r="AG1571" t="s">
        <v>3250</v>
      </c>
      <c r="AH1571" t="s">
        <v>3250</v>
      </c>
      <c r="AI1571" t="s">
        <v>3250</v>
      </c>
      <c r="AJ1571" t="s">
        <v>3250</v>
      </c>
      <c r="AL1571" t="s">
        <v>3250</v>
      </c>
      <c r="AM1571" t="s">
        <v>3250</v>
      </c>
      <c r="AN1571" t="s">
        <v>3250</v>
      </c>
      <c r="AO1571" t="s">
        <v>3250</v>
      </c>
      <c r="AS1571" t="s">
        <v>3250</v>
      </c>
      <c r="AT1571" t="s">
        <v>3250</v>
      </c>
      <c r="AU1571" t="s">
        <v>3250</v>
      </c>
      <c r="AV1571" t="s">
        <v>3250</v>
      </c>
      <c r="AW1571" t="s">
        <v>3250</v>
      </c>
      <c r="AX1571" t="s">
        <v>3250</v>
      </c>
      <c r="AY1571">
        <v>1200</v>
      </c>
      <c r="AZ1571" t="s">
        <v>2310</v>
      </c>
      <c r="BA1571" t="s">
        <v>3250</v>
      </c>
      <c r="BB1571">
        <v>1200</v>
      </c>
      <c r="BC1571" t="s">
        <v>2310</v>
      </c>
      <c r="BD1571" t="s">
        <v>2820</v>
      </c>
      <c r="BE1571" t="s">
        <v>3250</v>
      </c>
      <c r="BF1571" t="s">
        <v>3250</v>
      </c>
      <c r="BG1571" t="s">
        <v>3250</v>
      </c>
      <c r="BH1571" t="s">
        <v>3250</v>
      </c>
      <c r="BI1571" t="s">
        <v>3250</v>
      </c>
      <c r="BK1571" t="s">
        <v>3250</v>
      </c>
      <c r="BL1571" t="s">
        <v>3250</v>
      </c>
      <c r="BM1571" t="s">
        <v>3250</v>
      </c>
      <c r="BN1571" t="s">
        <v>3250</v>
      </c>
      <c r="BP1571">
        <v>10</v>
      </c>
      <c r="BQ1571">
        <v>102</v>
      </c>
      <c r="BR1571" t="s">
        <v>5528</v>
      </c>
      <c r="BS1571" t="s">
        <v>5450</v>
      </c>
      <c r="BV1571">
        <v>0</v>
      </c>
      <c r="BW1571">
        <v>0</v>
      </c>
      <c r="BX1571">
        <v>0</v>
      </c>
      <c r="BY1571">
        <v>0</v>
      </c>
      <c r="BZ1571">
        <v>0</v>
      </c>
      <c r="CA1571">
        <v>0</v>
      </c>
      <c r="CB1571">
        <v>0</v>
      </c>
      <c r="CC1571">
        <v>0</v>
      </c>
      <c r="CD1571">
        <v>0</v>
      </c>
      <c r="CE1571" t="s">
        <v>3108</v>
      </c>
      <c r="CF1571" t="s">
        <v>3108</v>
      </c>
      <c r="CG1571" t="s">
        <v>3108</v>
      </c>
      <c r="CH1571" t="s">
        <v>3108</v>
      </c>
    </row>
    <row r="1572" spans="1:86" x14ac:dyDescent="0.2">
      <c r="A1572" t="s">
        <v>5529</v>
      </c>
      <c r="B1572" t="s">
        <v>5529</v>
      </c>
      <c r="C1572">
        <v>54559</v>
      </c>
      <c r="D1572">
        <v>1635</v>
      </c>
      <c r="E1572" t="s">
        <v>4680</v>
      </c>
      <c r="F1572" t="s">
        <v>3249</v>
      </c>
      <c r="G1572" t="s">
        <v>3249</v>
      </c>
      <c r="H1572" t="s">
        <v>3250</v>
      </c>
      <c r="I1572" t="s">
        <v>3250</v>
      </c>
      <c r="J1572" t="s">
        <v>3250</v>
      </c>
      <c r="K1572" t="s">
        <v>3250</v>
      </c>
      <c r="L1572">
        <v>3200</v>
      </c>
      <c r="M1572" t="s">
        <v>128</v>
      </c>
      <c r="N1572">
        <v>3205</v>
      </c>
      <c r="O1572" t="s">
        <v>629</v>
      </c>
      <c r="P1572" t="s">
        <v>2805</v>
      </c>
      <c r="Q1572">
        <v>2080</v>
      </c>
      <c r="R1572" t="s">
        <v>423</v>
      </c>
      <c r="S1572" t="s">
        <v>427</v>
      </c>
      <c r="T1572" t="s">
        <v>3251</v>
      </c>
      <c r="U1572">
        <v>240</v>
      </c>
      <c r="V1572" t="s">
        <v>4251</v>
      </c>
      <c r="W1572">
        <v>240</v>
      </c>
      <c r="X1572" t="s">
        <v>1323</v>
      </c>
      <c r="Y1572" t="s">
        <v>3250</v>
      </c>
      <c r="Z1572" t="s">
        <v>3250</v>
      </c>
      <c r="AA1572" t="s">
        <v>3108</v>
      </c>
      <c r="AB1572" t="s">
        <v>3108</v>
      </c>
      <c r="AC1572" t="s">
        <v>3250</v>
      </c>
      <c r="AD1572" t="s">
        <v>3250</v>
      </c>
      <c r="AE1572" t="s">
        <v>3250</v>
      </c>
      <c r="AF1572" t="s">
        <v>3250</v>
      </c>
      <c r="AG1572">
        <v>1530</v>
      </c>
      <c r="AH1572" t="s">
        <v>2335</v>
      </c>
      <c r="AI1572">
        <v>1530</v>
      </c>
      <c r="AJ1572" t="s">
        <v>2335</v>
      </c>
      <c r="AL1572">
        <v>241</v>
      </c>
      <c r="AM1572" t="s">
        <v>1455</v>
      </c>
      <c r="AN1572">
        <v>241</v>
      </c>
      <c r="AO1572" t="s">
        <v>1455</v>
      </c>
      <c r="AS1572">
        <v>1530</v>
      </c>
      <c r="AT1572">
        <v>1530</v>
      </c>
      <c r="AU1572" t="s">
        <v>2335</v>
      </c>
      <c r="AV1572" t="s">
        <v>2335</v>
      </c>
      <c r="AW1572" t="s">
        <v>3250</v>
      </c>
      <c r="AX1572" t="s">
        <v>3250</v>
      </c>
      <c r="AY1572" t="s">
        <v>3250</v>
      </c>
      <c r="AZ1572" t="s">
        <v>3250</v>
      </c>
      <c r="BA1572" t="s">
        <v>3250</v>
      </c>
      <c r="BB1572" t="s">
        <v>3250</v>
      </c>
      <c r="BC1572" t="s">
        <v>3250</v>
      </c>
      <c r="BE1572" t="s">
        <v>3250</v>
      </c>
      <c r="BF1572" t="s">
        <v>3250</v>
      </c>
      <c r="BG1572" t="s">
        <v>3250</v>
      </c>
      <c r="BH1572" t="s">
        <v>3250</v>
      </c>
      <c r="BI1572" t="s">
        <v>3250</v>
      </c>
      <c r="BK1572" t="s">
        <v>3250</v>
      </c>
      <c r="BL1572" t="s">
        <v>3250</v>
      </c>
      <c r="BM1572" t="s">
        <v>3250</v>
      </c>
      <c r="BN1572" t="s">
        <v>3250</v>
      </c>
      <c r="BP1572">
        <v>7</v>
      </c>
      <c r="BQ1572">
        <v>71</v>
      </c>
      <c r="BR1572" t="s">
        <v>629</v>
      </c>
      <c r="BS1572" t="s">
        <v>4212</v>
      </c>
      <c r="BV1572">
        <v>1933679</v>
      </c>
      <c r="BW1572">
        <v>1280000</v>
      </c>
      <c r="BX1572">
        <v>0</v>
      </c>
      <c r="BY1572">
        <v>0</v>
      </c>
      <c r="BZ1572">
        <v>0</v>
      </c>
      <c r="CA1572">
        <v>800000</v>
      </c>
      <c r="CB1572">
        <v>0</v>
      </c>
      <c r="CC1572">
        <v>0</v>
      </c>
      <c r="CD1572">
        <v>1933679</v>
      </c>
      <c r="CE1572" t="s">
        <v>3108</v>
      </c>
      <c r="CF1572" t="s">
        <v>3108</v>
      </c>
      <c r="CG1572" t="s">
        <v>3108</v>
      </c>
      <c r="CH1572" t="s">
        <v>3108</v>
      </c>
    </row>
    <row r="1573" spans="1:86" x14ac:dyDescent="0.2">
      <c r="A1573" t="s">
        <v>5530</v>
      </c>
      <c r="B1573" t="s">
        <v>5530</v>
      </c>
      <c r="C1573">
        <v>54560</v>
      </c>
      <c r="D1573">
        <v>1636</v>
      </c>
      <c r="E1573" t="s">
        <v>4836</v>
      </c>
      <c r="F1573" t="s">
        <v>3249</v>
      </c>
      <c r="G1573" t="s">
        <v>3249</v>
      </c>
      <c r="H1573" t="s">
        <v>3250</v>
      </c>
      <c r="I1573" t="s">
        <v>3250</v>
      </c>
      <c r="J1573" t="s">
        <v>3250</v>
      </c>
      <c r="K1573" t="s">
        <v>3250</v>
      </c>
      <c r="L1573">
        <v>3200</v>
      </c>
      <c r="M1573" t="s">
        <v>128</v>
      </c>
      <c r="N1573">
        <v>3205</v>
      </c>
      <c r="O1573" t="s">
        <v>629</v>
      </c>
      <c r="P1573" t="s">
        <v>2805</v>
      </c>
      <c r="Q1573">
        <v>2080</v>
      </c>
      <c r="R1573" t="s">
        <v>423</v>
      </c>
      <c r="S1573" t="s">
        <v>427</v>
      </c>
      <c r="T1573" t="s">
        <v>3251</v>
      </c>
      <c r="U1573">
        <v>240</v>
      </c>
      <c r="V1573" t="s">
        <v>4251</v>
      </c>
      <c r="W1573">
        <v>240</v>
      </c>
      <c r="X1573" t="s">
        <v>1323</v>
      </c>
      <c r="Y1573" t="s">
        <v>3250</v>
      </c>
      <c r="Z1573" t="s">
        <v>3250</v>
      </c>
      <c r="AA1573" t="s">
        <v>3108</v>
      </c>
      <c r="AB1573" t="s">
        <v>3108</v>
      </c>
      <c r="AC1573" t="s">
        <v>3250</v>
      </c>
      <c r="AD1573" t="s">
        <v>3250</v>
      </c>
      <c r="AE1573" t="s">
        <v>3250</v>
      </c>
      <c r="AF1573" t="s">
        <v>3250</v>
      </c>
      <c r="AG1573">
        <v>1180</v>
      </c>
      <c r="AH1573" t="s">
        <v>1738</v>
      </c>
      <c r="AI1573">
        <v>1180</v>
      </c>
      <c r="AJ1573" t="s">
        <v>1738</v>
      </c>
      <c r="AL1573">
        <v>241</v>
      </c>
      <c r="AM1573" t="s">
        <v>1455</v>
      </c>
      <c r="AN1573">
        <v>241</v>
      </c>
      <c r="AO1573" t="s">
        <v>1455</v>
      </c>
      <c r="AS1573" t="s">
        <v>3250</v>
      </c>
      <c r="AT1573" t="s">
        <v>3250</v>
      </c>
      <c r="AU1573" t="s">
        <v>3250</v>
      </c>
      <c r="AV1573" t="s">
        <v>3250</v>
      </c>
      <c r="AW1573">
        <v>1240</v>
      </c>
      <c r="AX1573" t="s">
        <v>2314</v>
      </c>
      <c r="AY1573" t="s">
        <v>3250</v>
      </c>
      <c r="AZ1573" t="s">
        <v>3250</v>
      </c>
      <c r="BA1573">
        <v>1240</v>
      </c>
      <c r="BB1573" t="s">
        <v>3250</v>
      </c>
      <c r="BC1573" t="s">
        <v>3250</v>
      </c>
      <c r="BE1573" t="s">
        <v>3250</v>
      </c>
      <c r="BF1573" t="s">
        <v>3250</v>
      </c>
      <c r="BG1573" t="s">
        <v>2314</v>
      </c>
      <c r="BH1573" t="s">
        <v>3250</v>
      </c>
      <c r="BI1573" t="s">
        <v>3250</v>
      </c>
      <c r="BK1573" t="s">
        <v>3250</v>
      </c>
      <c r="BL1573" t="s">
        <v>3250</v>
      </c>
      <c r="BM1573" t="s">
        <v>3250</v>
      </c>
      <c r="BN1573" t="s">
        <v>3250</v>
      </c>
      <c r="BP1573">
        <v>7</v>
      </c>
      <c r="BQ1573">
        <v>71</v>
      </c>
      <c r="BR1573" t="s">
        <v>629</v>
      </c>
      <c r="BS1573" t="s">
        <v>4212</v>
      </c>
      <c r="BV1573">
        <v>0</v>
      </c>
      <c r="BW1573">
        <v>0</v>
      </c>
      <c r="BX1573">
        <v>0</v>
      </c>
      <c r="BY1573">
        <v>0</v>
      </c>
      <c r="BZ1573">
        <v>550000</v>
      </c>
      <c r="CA1573">
        <v>0</v>
      </c>
      <c r="CB1573">
        <v>0</v>
      </c>
      <c r="CC1573">
        <v>0</v>
      </c>
      <c r="CD1573">
        <v>0</v>
      </c>
      <c r="CE1573" t="s">
        <v>3108</v>
      </c>
      <c r="CF1573" t="s">
        <v>3108</v>
      </c>
      <c r="CG1573" t="s">
        <v>3108</v>
      </c>
      <c r="CH1573" t="s">
        <v>3108</v>
      </c>
    </row>
    <row r="1574" spans="1:86" x14ac:dyDescent="0.2">
      <c r="A1574" t="s">
        <v>5531</v>
      </c>
      <c r="B1574" t="s">
        <v>5531</v>
      </c>
      <c r="C1574">
        <v>54561</v>
      </c>
      <c r="D1574">
        <v>1637</v>
      </c>
      <c r="E1574" t="s">
        <v>4250</v>
      </c>
      <c r="F1574" t="s">
        <v>3249</v>
      </c>
      <c r="G1574" t="s">
        <v>3249</v>
      </c>
      <c r="H1574" t="s">
        <v>3250</v>
      </c>
      <c r="I1574" t="s">
        <v>3250</v>
      </c>
      <c r="J1574" t="s">
        <v>3250</v>
      </c>
      <c r="K1574" t="s">
        <v>3250</v>
      </c>
      <c r="L1574">
        <v>1200</v>
      </c>
      <c r="M1574" t="s">
        <v>2368</v>
      </c>
      <c r="N1574">
        <v>1201</v>
      </c>
      <c r="O1574" t="s">
        <v>2370</v>
      </c>
      <c r="P1574" t="s">
        <v>2805</v>
      </c>
      <c r="Q1574">
        <v>2080</v>
      </c>
      <c r="R1574" t="s">
        <v>423</v>
      </c>
      <c r="S1574" t="s">
        <v>427</v>
      </c>
      <c r="T1574" t="s">
        <v>3251</v>
      </c>
      <c r="U1574">
        <v>240</v>
      </c>
      <c r="V1574" t="s">
        <v>4251</v>
      </c>
      <c r="W1574">
        <v>240</v>
      </c>
      <c r="X1574" t="s">
        <v>1323</v>
      </c>
      <c r="Y1574" t="s">
        <v>3250</v>
      </c>
      <c r="Z1574" t="s">
        <v>3250</v>
      </c>
      <c r="AA1574" t="s">
        <v>3108</v>
      </c>
      <c r="AB1574" t="s">
        <v>3108</v>
      </c>
      <c r="AC1574" t="s">
        <v>3250</v>
      </c>
      <c r="AD1574" t="s">
        <v>3250</v>
      </c>
      <c r="AE1574" t="s">
        <v>3250</v>
      </c>
      <c r="AF1574" t="s">
        <v>3250</v>
      </c>
      <c r="AG1574" t="s">
        <v>3250</v>
      </c>
      <c r="AH1574" t="s">
        <v>3250</v>
      </c>
      <c r="AI1574" t="s">
        <v>3250</v>
      </c>
      <c r="AJ1574" t="s">
        <v>3250</v>
      </c>
      <c r="AK1574">
        <v>1180</v>
      </c>
      <c r="AL1574">
        <v>241</v>
      </c>
      <c r="AM1574" t="s">
        <v>1455</v>
      </c>
      <c r="AN1574">
        <v>241</v>
      </c>
      <c r="AO1574" t="s">
        <v>1455</v>
      </c>
      <c r="AS1574" t="s">
        <v>3250</v>
      </c>
      <c r="AT1574" t="s">
        <v>3250</v>
      </c>
      <c r="AU1574" t="s">
        <v>3250</v>
      </c>
      <c r="AV1574" t="s">
        <v>3250</v>
      </c>
      <c r="AW1574" t="s">
        <v>3250</v>
      </c>
      <c r="AX1574" t="s">
        <v>3250</v>
      </c>
      <c r="AY1574" t="s">
        <v>3250</v>
      </c>
      <c r="AZ1574" t="s">
        <v>3250</v>
      </c>
      <c r="BA1574" t="s">
        <v>3250</v>
      </c>
      <c r="BB1574" t="s">
        <v>3250</v>
      </c>
      <c r="BC1574" t="s">
        <v>3250</v>
      </c>
      <c r="BE1574" t="s">
        <v>3250</v>
      </c>
      <c r="BF1574" t="s">
        <v>3250</v>
      </c>
      <c r="BG1574" t="s">
        <v>3250</v>
      </c>
      <c r="BH1574" t="s">
        <v>3250</v>
      </c>
      <c r="BI1574" t="s">
        <v>3250</v>
      </c>
      <c r="BK1574">
        <v>1200</v>
      </c>
      <c r="BL1574" t="s">
        <v>2310</v>
      </c>
      <c r="BM1574">
        <v>1200</v>
      </c>
      <c r="BN1574" t="s">
        <v>2310</v>
      </c>
      <c r="BP1574">
        <v>1</v>
      </c>
      <c r="BQ1574">
        <v>14</v>
      </c>
      <c r="BR1574" t="s">
        <v>2370</v>
      </c>
      <c r="BS1574" t="s">
        <v>3252</v>
      </c>
      <c r="BV1574">
        <v>0</v>
      </c>
      <c r="BW1574">
        <v>0</v>
      </c>
      <c r="BX1574">
        <v>0</v>
      </c>
      <c r="BY1574">
        <v>1000000</v>
      </c>
      <c r="BZ1574">
        <v>1000000</v>
      </c>
      <c r="CA1574">
        <v>0</v>
      </c>
      <c r="CB1574">
        <v>0</v>
      </c>
      <c r="CC1574">
        <v>0</v>
      </c>
      <c r="CD1574">
        <v>0</v>
      </c>
      <c r="CE1574" t="s">
        <v>3108</v>
      </c>
      <c r="CF1574" t="s">
        <v>3108</v>
      </c>
      <c r="CG1574" t="s">
        <v>3108</v>
      </c>
      <c r="CH1574" t="s">
        <v>3108</v>
      </c>
    </row>
    <row r="1575" spans="1:86" x14ac:dyDescent="0.2">
      <c r="A1575" t="s">
        <v>5532</v>
      </c>
      <c r="B1575" t="s">
        <v>5532</v>
      </c>
      <c r="C1575">
        <v>54562</v>
      </c>
      <c r="D1575">
        <v>1634</v>
      </c>
      <c r="E1575" t="s">
        <v>4250</v>
      </c>
      <c r="F1575" t="s">
        <v>3249</v>
      </c>
      <c r="G1575" t="s">
        <v>3249</v>
      </c>
      <c r="H1575" t="s">
        <v>3250</v>
      </c>
      <c r="I1575" t="s">
        <v>3250</v>
      </c>
      <c r="J1575" t="s">
        <v>3250</v>
      </c>
      <c r="K1575" t="s">
        <v>3250</v>
      </c>
      <c r="L1575">
        <v>4100</v>
      </c>
      <c r="M1575" t="s">
        <v>2365</v>
      </c>
      <c r="N1575">
        <v>4101</v>
      </c>
      <c r="O1575" t="s">
        <v>2432</v>
      </c>
      <c r="P1575" t="s">
        <v>2805</v>
      </c>
      <c r="Q1575">
        <v>2010</v>
      </c>
      <c r="R1575" t="s">
        <v>1355</v>
      </c>
      <c r="S1575" t="s">
        <v>427</v>
      </c>
      <c r="T1575" t="s">
        <v>3251</v>
      </c>
      <c r="U1575">
        <v>240</v>
      </c>
      <c r="V1575" t="s">
        <v>4251</v>
      </c>
      <c r="W1575">
        <v>240</v>
      </c>
      <c r="X1575" t="s">
        <v>1323</v>
      </c>
      <c r="Y1575" t="s">
        <v>3250</v>
      </c>
      <c r="Z1575" t="s">
        <v>3250</v>
      </c>
      <c r="AA1575" t="s">
        <v>3108</v>
      </c>
      <c r="AB1575" t="s">
        <v>3108</v>
      </c>
      <c r="AC1575" t="s">
        <v>3250</v>
      </c>
      <c r="AD1575" t="s">
        <v>3250</v>
      </c>
      <c r="AE1575" t="s">
        <v>3250</v>
      </c>
      <c r="AF1575" t="s">
        <v>3250</v>
      </c>
      <c r="AG1575" t="s">
        <v>3250</v>
      </c>
      <c r="AH1575" t="s">
        <v>3250</v>
      </c>
      <c r="AI1575" t="s">
        <v>3250</v>
      </c>
      <c r="AJ1575" t="s">
        <v>3250</v>
      </c>
      <c r="AK1575">
        <v>200</v>
      </c>
      <c r="AL1575">
        <v>241</v>
      </c>
      <c r="AM1575" t="s">
        <v>1455</v>
      </c>
      <c r="AN1575">
        <v>241</v>
      </c>
      <c r="AO1575" t="s">
        <v>1455</v>
      </c>
      <c r="AS1575">
        <v>240</v>
      </c>
      <c r="AT1575">
        <v>240</v>
      </c>
      <c r="AU1575" t="s">
        <v>2241</v>
      </c>
      <c r="AV1575" t="s">
        <v>2241</v>
      </c>
      <c r="AW1575" t="s">
        <v>3250</v>
      </c>
      <c r="AX1575" t="s">
        <v>3250</v>
      </c>
      <c r="AY1575" t="s">
        <v>3250</v>
      </c>
      <c r="AZ1575" t="s">
        <v>3250</v>
      </c>
      <c r="BA1575" t="s">
        <v>3250</v>
      </c>
      <c r="BB1575" t="s">
        <v>3250</v>
      </c>
      <c r="BC1575" t="s">
        <v>3250</v>
      </c>
      <c r="BE1575" t="s">
        <v>3250</v>
      </c>
      <c r="BF1575" t="s">
        <v>3250</v>
      </c>
      <c r="BG1575" t="s">
        <v>3250</v>
      </c>
      <c r="BH1575" t="s">
        <v>3250</v>
      </c>
      <c r="BI1575" t="s">
        <v>3250</v>
      </c>
      <c r="BK1575" t="s">
        <v>3250</v>
      </c>
      <c r="BL1575" t="s">
        <v>3250</v>
      </c>
      <c r="BM1575" t="s">
        <v>3250</v>
      </c>
      <c r="BN1575" t="s">
        <v>3250</v>
      </c>
      <c r="BP1575">
        <v>6</v>
      </c>
      <c r="BQ1575">
        <v>61</v>
      </c>
      <c r="BR1575" t="s">
        <v>555</v>
      </c>
      <c r="BS1575" t="s">
        <v>4397</v>
      </c>
      <c r="BV1575">
        <v>0</v>
      </c>
      <c r="BW1575">
        <v>0</v>
      </c>
      <c r="BX1575">
        <v>0</v>
      </c>
      <c r="BY1575">
        <v>0</v>
      </c>
      <c r="BZ1575">
        <v>0</v>
      </c>
      <c r="CA1575">
        <v>0</v>
      </c>
      <c r="CB1575">
        <v>0</v>
      </c>
      <c r="CC1575">
        <v>0</v>
      </c>
      <c r="CD1575">
        <v>0</v>
      </c>
      <c r="CE1575" t="s">
        <v>3108</v>
      </c>
      <c r="CF1575" t="s">
        <v>3108</v>
      </c>
      <c r="CG1575" t="s">
        <v>3108</v>
      </c>
      <c r="CH1575" t="s">
        <v>3108</v>
      </c>
    </row>
    <row r="1576" spans="1:86" x14ac:dyDescent="0.2">
      <c r="A1576" t="s">
        <v>5533</v>
      </c>
      <c r="B1576" t="s">
        <v>5533</v>
      </c>
      <c r="C1576">
        <v>54563</v>
      </c>
      <c r="D1576">
        <v>1690</v>
      </c>
      <c r="E1576" t="s">
        <v>4117</v>
      </c>
      <c r="F1576">
        <v>2900</v>
      </c>
      <c r="G1576" t="s">
        <v>822</v>
      </c>
      <c r="H1576" t="s">
        <v>3108</v>
      </c>
      <c r="I1576" t="s">
        <v>3108</v>
      </c>
      <c r="J1576">
        <v>2904</v>
      </c>
      <c r="K1576" t="s">
        <v>1690</v>
      </c>
      <c r="L1576">
        <v>1100</v>
      </c>
      <c r="M1576" t="s">
        <v>119</v>
      </c>
      <c r="N1576">
        <v>1120</v>
      </c>
      <c r="O1576" t="s">
        <v>2367</v>
      </c>
      <c r="P1576" t="s">
        <v>3108</v>
      </c>
      <c r="Q1576" t="s">
        <v>3249</v>
      </c>
      <c r="R1576" t="s">
        <v>3249</v>
      </c>
      <c r="S1576" t="s">
        <v>810</v>
      </c>
      <c r="T1576" t="s">
        <v>2754</v>
      </c>
      <c r="U1576" t="s">
        <v>3250</v>
      </c>
      <c r="V1576" t="s">
        <v>3250</v>
      </c>
      <c r="W1576" t="s">
        <v>3250</v>
      </c>
      <c r="X1576" t="s">
        <v>3250</v>
      </c>
      <c r="Y1576" t="s">
        <v>3250</v>
      </c>
      <c r="Z1576" t="s">
        <v>3250</v>
      </c>
      <c r="AA1576" t="s">
        <v>3108</v>
      </c>
      <c r="AB1576" t="s">
        <v>3108</v>
      </c>
      <c r="AC1576" t="s">
        <v>3250</v>
      </c>
      <c r="AD1576" t="s">
        <v>3250</v>
      </c>
      <c r="AE1576" t="s">
        <v>3250</v>
      </c>
      <c r="AF1576" t="s">
        <v>3250</v>
      </c>
      <c r="AG1576" t="s">
        <v>3250</v>
      </c>
      <c r="AH1576" t="s">
        <v>3250</v>
      </c>
      <c r="AI1576" t="s">
        <v>3250</v>
      </c>
      <c r="AJ1576" t="s">
        <v>3250</v>
      </c>
      <c r="AL1576" t="s">
        <v>3250</v>
      </c>
      <c r="AM1576" t="s">
        <v>3250</v>
      </c>
      <c r="AN1576" t="s">
        <v>3250</v>
      </c>
      <c r="AO1576" t="s">
        <v>3250</v>
      </c>
      <c r="AS1576" t="s">
        <v>3250</v>
      </c>
      <c r="AT1576" t="s">
        <v>3250</v>
      </c>
      <c r="AU1576" t="s">
        <v>3250</v>
      </c>
      <c r="AV1576" t="s">
        <v>3250</v>
      </c>
      <c r="AW1576" t="s">
        <v>3250</v>
      </c>
      <c r="AX1576" t="s">
        <v>3250</v>
      </c>
      <c r="AY1576" t="s">
        <v>3250</v>
      </c>
      <c r="AZ1576" t="s">
        <v>3250</v>
      </c>
      <c r="BA1576" t="s">
        <v>3250</v>
      </c>
      <c r="BB1576" t="s">
        <v>3250</v>
      </c>
      <c r="BC1576" t="s">
        <v>3250</v>
      </c>
      <c r="BE1576" t="s">
        <v>3250</v>
      </c>
      <c r="BF1576" t="s">
        <v>3250</v>
      </c>
      <c r="BG1576" t="s">
        <v>3250</v>
      </c>
      <c r="BH1576" t="s">
        <v>3250</v>
      </c>
      <c r="BI1576" t="s">
        <v>3250</v>
      </c>
      <c r="BK1576" t="s">
        <v>3250</v>
      </c>
      <c r="BL1576" t="s">
        <v>3250</v>
      </c>
      <c r="BM1576" t="s">
        <v>3250</v>
      </c>
      <c r="BN1576" t="s">
        <v>3250</v>
      </c>
      <c r="BP1576">
        <v>3</v>
      </c>
      <c r="BQ1576">
        <v>31</v>
      </c>
      <c r="BR1576" t="s">
        <v>2367</v>
      </c>
      <c r="BS1576" t="s">
        <v>4381</v>
      </c>
      <c r="BV1576">
        <v>0</v>
      </c>
      <c r="BW1576">
        <v>0</v>
      </c>
      <c r="BX1576">
        <v>0</v>
      </c>
      <c r="BY1576">
        <v>72715</v>
      </c>
      <c r="BZ1576">
        <v>72715</v>
      </c>
      <c r="CA1576">
        <v>75551</v>
      </c>
      <c r="CB1576">
        <v>78573</v>
      </c>
      <c r="CC1576">
        <v>81716</v>
      </c>
      <c r="CD1576">
        <v>0</v>
      </c>
      <c r="CE1576" t="s">
        <v>3108</v>
      </c>
      <c r="CF1576" t="s">
        <v>3108</v>
      </c>
      <c r="CG1576" t="s">
        <v>3108</v>
      </c>
      <c r="CH1576" t="s">
        <v>3108</v>
      </c>
    </row>
    <row r="1577" spans="1:86" x14ac:dyDescent="0.2">
      <c r="A1577" t="s">
        <v>5534</v>
      </c>
      <c r="B1577" t="s">
        <v>5534</v>
      </c>
      <c r="C1577">
        <v>54564</v>
      </c>
      <c r="D1577">
        <v>1691</v>
      </c>
      <c r="E1577" t="s">
        <v>4117</v>
      </c>
      <c r="F1577">
        <v>2900</v>
      </c>
      <c r="G1577" t="s">
        <v>822</v>
      </c>
      <c r="H1577" t="s">
        <v>3108</v>
      </c>
      <c r="I1577" t="s">
        <v>3108</v>
      </c>
      <c r="J1577">
        <v>2904</v>
      </c>
      <c r="K1577" t="s">
        <v>1690</v>
      </c>
      <c r="L1577">
        <v>3200</v>
      </c>
      <c r="M1577" t="s">
        <v>128</v>
      </c>
      <c r="N1577">
        <v>3205</v>
      </c>
      <c r="O1577" t="s">
        <v>629</v>
      </c>
      <c r="P1577" t="s">
        <v>3108</v>
      </c>
      <c r="Q1577" t="s">
        <v>3249</v>
      </c>
      <c r="R1577" t="s">
        <v>3249</v>
      </c>
      <c r="S1577" t="s">
        <v>810</v>
      </c>
      <c r="T1577" t="s">
        <v>2754</v>
      </c>
      <c r="U1577" t="s">
        <v>3250</v>
      </c>
      <c r="V1577" t="s">
        <v>3250</v>
      </c>
      <c r="W1577" t="s">
        <v>3250</v>
      </c>
      <c r="X1577" t="s">
        <v>3250</v>
      </c>
      <c r="Y1577" t="s">
        <v>3250</v>
      </c>
      <c r="Z1577" t="s">
        <v>3250</v>
      </c>
      <c r="AA1577" t="s">
        <v>3108</v>
      </c>
      <c r="AB1577" t="s">
        <v>3108</v>
      </c>
      <c r="AC1577" t="s">
        <v>3250</v>
      </c>
      <c r="AD1577" t="s">
        <v>3250</v>
      </c>
      <c r="AE1577" t="s">
        <v>3250</v>
      </c>
      <c r="AF1577" t="s">
        <v>3250</v>
      </c>
      <c r="AG1577" t="s">
        <v>3250</v>
      </c>
      <c r="AH1577" t="s">
        <v>3250</v>
      </c>
      <c r="AI1577" t="s">
        <v>3250</v>
      </c>
      <c r="AJ1577" t="s">
        <v>3250</v>
      </c>
      <c r="AL1577" t="s">
        <v>3250</v>
      </c>
      <c r="AM1577" t="s">
        <v>3250</v>
      </c>
      <c r="AN1577" t="s">
        <v>3250</v>
      </c>
      <c r="AO1577" t="s">
        <v>3250</v>
      </c>
      <c r="AS1577" t="s">
        <v>3250</v>
      </c>
      <c r="AT1577" t="s">
        <v>3250</v>
      </c>
      <c r="AU1577" t="s">
        <v>3250</v>
      </c>
      <c r="AV1577" t="s">
        <v>3250</v>
      </c>
      <c r="AW1577" t="s">
        <v>3250</v>
      </c>
      <c r="AX1577" t="s">
        <v>3250</v>
      </c>
      <c r="AY1577" t="s">
        <v>3250</v>
      </c>
      <c r="AZ1577" t="s">
        <v>3250</v>
      </c>
      <c r="BA1577" t="s">
        <v>3250</v>
      </c>
      <c r="BB1577" t="s">
        <v>3250</v>
      </c>
      <c r="BC1577" t="s">
        <v>3250</v>
      </c>
      <c r="BE1577" t="s">
        <v>3250</v>
      </c>
      <c r="BF1577" t="s">
        <v>3250</v>
      </c>
      <c r="BG1577" t="s">
        <v>3250</v>
      </c>
      <c r="BH1577" t="s">
        <v>3250</v>
      </c>
      <c r="BI1577" t="s">
        <v>3250</v>
      </c>
      <c r="BK1577" t="s">
        <v>3250</v>
      </c>
      <c r="BL1577" t="s">
        <v>3250</v>
      </c>
      <c r="BM1577" t="s">
        <v>3250</v>
      </c>
      <c r="BN1577" t="s">
        <v>3250</v>
      </c>
      <c r="BP1577">
        <v>7</v>
      </c>
      <c r="BQ1577">
        <v>71</v>
      </c>
      <c r="BR1577" t="s">
        <v>629</v>
      </c>
      <c r="BS1577" t="s">
        <v>4212</v>
      </c>
      <c r="BV1577">
        <v>0</v>
      </c>
      <c r="BW1577">
        <v>0</v>
      </c>
      <c r="BX1577">
        <v>0</v>
      </c>
      <c r="BY1577">
        <v>100000</v>
      </c>
      <c r="BZ1577">
        <v>0</v>
      </c>
      <c r="CA1577">
        <v>0</v>
      </c>
      <c r="CB1577">
        <v>0</v>
      </c>
      <c r="CC1577">
        <v>0</v>
      </c>
      <c r="CD1577">
        <v>0</v>
      </c>
      <c r="CE1577" t="s">
        <v>3108</v>
      </c>
      <c r="CF1577" t="s">
        <v>3108</v>
      </c>
      <c r="CG1577" t="s">
        <v>3108</v>
      </c>
      <c r="CH1577" t="s">
        <v>3108</v>
      </c>
    </row>
    <row r="1578" spans="1:86" x14ac:dyDescent="0.2">
      <c r="A1578" t="s">
        <v>5535</v>
      </c>
      <c r="B1578" t="s">
        <v>5535</v>
      </c>
      <c r="C1578">
        <v>54569</v>
      </c>
      <c r="D1578">
        <v>1693</v>
      </c>
      <c r="E1578" t="s">
        <v>4117</v>
      </c>
      <c r="F1578">
        <v>2900</v>
      </c>
      <c r="G1578" t="s">
        <v>822</v>
      </c>
      <c r="H1578" t="s">
        <v>3108</v>
      </c>
      <c r="I1578" t="s">
        <v>3108</v>
      </c>
      <c r="J1578">
        <v>2904</v>
      </c>
      <c r="K1578" t="s">
        <v>1690</v>
      </c>
      <c r="L1578">
        <v>1200</v>
      </c>
      <c r="M1578" t="s">
        <v>2368</v>
      </c>
      <c r="N1578">
        <v>1206</v>
      </c>
      <c r="O1578" t="s">
        <v>285</v>
      </c>
      <c r="P1578" t="s">
        <v>3108</v>
      </c>
      <c r="Q1578" t="s">
        <v>3249</v>
      </c>
      <c r="R1578" t="s">
        <v>3249</v>
      </c>
      <c r="S1578" t="s">
        <v>810</v>
      </c>
      <c r="T1578" t="s">
        <v>2754</v>
      </c>
      <c r="U1578" t="s">
        <v>3250</v>
      </c>
      <c r="V1578" t="s">
        <v>3250</v>
      </c>
      <c r="W1578" t="s">
        <v>3250</v>
      </c>
      <c r="X1578" t="s">
        <v>3250</v>
      </c>
      <c r="Y1578" t="s">
        <v>3250</v>
      </c>
      <c r="Z1578" t="s">
        <v>3250</v>
      </c>
      <c r="AA1578" t="s">
        <v>3108</v>
      </c>
      <c r="AB1578" t="s">
        <v>3108</v>
      </c>
      <c r="AC1578" t="s">
        <v>3250</v>
      </c>
      <c r="AD1578" t="s">
        <v>3250</v>
      </c>
      <c r="AE1578" t="s">
        <v>3250</v>
      </c>
      <c r="AF1578" t="s">
        <v>3250</v>
      </c>
      <c r="AG1578" t="s">
        <v>3250</v>
      </c>
      <c r="AH1578" t="s">
        <v>3250</v>
      </c>
      <c r="AI1578" t="s">
        <v>3250</v>
      </c>
      <c r="AJ1578" t="s">
        <v>3250</v>
      </c>
      <c r="AL1578" t="s">
        <v>3250</v>
      </c>
      <c r="AM1578" t="s">
        <v>3250</v>
      </c>
      <c r="AN1578" t="s">
        <v>3250</v>
      </c>
      <c r="AO1578" t="s">
        <v>3250</v>
      </c>
      <c r="AS1578" t="s">
        <v>3250</v>
      </c>
      <c r="AT1578" t="s">
        <v>3250</v>
      </c>
      <c r="AU1578" t="s">
        <v>3250</v>
      </c>
      <c r="AV1578" t="s">
        <v>3250</v>
      </c>
      <c r="AW1578" t="s">
        <v>3250</v>
      </c>
      <c r="AX1578" t="s">
        <v>3250</v>
      </c>
      <c r="AY1578" t="s">
        <v>3250</v>
      </c>
      <c r="AZ1578" t="s">
        <v>3250</v>
      </c>
      <c r="BA1578" t="s">
        <v>3250</v>
      </c>
      <c r="BB1578" t="s">
        <v>3250</v>
      </c>
      <c r="BC1578" t="s">
        <v>3250</v>
      </c>
      <c r="BE1578" t="s">
        <v>3250</v>
      </c>
      <c r="BF1578" t="s">
        <v>3250</v>
      </c>
      <c r="BG1578" t="s">
        <v>3250</v>
      </c>
      <c r="BH1578" t="s">
        <v>3250</v>
      </c>
      <c r="BI1578" t="s">
        <v>3250</v>
      </c>
      <c r="BK1578" t="s">
        <v>3250</v>
      </c>
      <c r="BL1578" t="s">
        <v>3250</v>
      </c>
      <c r="BM1578" t="s">
        <v>3250</v>
      </c>
      <c r="BN1578" t="s">
        <v>3250</v>
      </c>
      <c r="BP1578">
        <v>1</v>
      </c>
      <c r="BQ1578">
        <v>15</v>
      </c>
      <c r="BR1578" t="s">
        <v>285</v>
      </c>
      <c r="BS1578" t="s">
        <v>3252</v>
      </c>
      <c r="BV1578">
        <v>0</v>
      </c>
      <c r="BW1578">
        <v>0</v>
      </c>
      <c r="BX1578">
        <v>0</v>
      </c>
      <c r="BY1578">
        <v>304190</v>
      </c>
      <c r="BZ1578">
        <v>304190</v>
      </c>
      <c r="CA1578">
        <v>480000</v>
      </c>
      <c r="CB1578">
        <v>322441</v>
      </c>
      <c r="CC1578">
        <v>341788</v>
      </c>
      <c r="CD1578">
        <v>388507</v>
      </c>
      <c r="CE1578" t="s">
        <v>3108</v>
      </c>
      <c r="CF1578" t="s">
        <v>3108</v>
      </c>
      <c r="CG1578" t="s">
        <v>3108</v>
      </c>
      <c r="CH1578" t="s">
        <v>3108</v>
      </c>
    </row>
    <row r="1579" spans="1:86" x14ac:dyDescent="0.2">
      <c r="A1579" t="s">
        <v>5536</v>
      </c>
      <c r="B1579" t="s">
        <v>5536</v>
      </c>
      <c r="C1579">
        <v>54570</v>
      </c>
      <c r="D1579">
        <v>1694</v>
      </c>
      <c r="E1579" t="s">
        <v>4047</v>
      </c>
      <c r="F1579">
        <v>2600</v>
      </c>
      <c r="G1579" t="s">
        <v>1334</v>
      </c>
      <c r="H1579">
        <v>2600</v>
      </c>
      <c r="I1579" t="s">
        <v>1334</v>
      </c>
      <c r="J1579" t="s">
        <v>3250</v>
      </c>
      <c r="K1579" t="s">
        <v>3250</v>
      </c>
      <c r="L1579">
        <v>5000</v>
      </c>
      <c r="M1579" t="s">
        <v>245</v>
      </c>
      <c r="N1579">
        <v>5004</v>
      </c>
      <c r="O1579" t="s">
        <v>2442</v>
      </c>
      <c r="P1579" t="s">
        <v>3108</v>
      </c>
      <c r="Q1579" t="s">
        <v>3249</v>
      </c>
      <c r="R1579" t="s">
        <v>3249</v>
      </c>
      <c r="S1579" t="s">
        <v>810</v>
      </c>
      <c r="T1579" t="s">
        <v>2754</v>
      </c>
      <c r="U1579" t="s">
        <v>3250</v>
      </c>
      <c r="V1579" t="s">
        <v>3250</v>
      </c>
      <c r="W1579" t="s">
        <v>3250</v>
      </c>
      <c r="X1579" t="s">
        <v>3250</v>
      </c>
      <c r="Y1579" t="s">
        <v>3250</v>
      </c>
      <c r="Z1579" t="s">
        <v>3250</v>
      </c>
      <c r="AA1579" t="s">
        <v>3108</v>
      </c>
      <c r="AB1579" t="s">
        <v>3108</v>
      </c>
      <c r="AC1579" t="s">
        <v>3250</v>
      </c>
      <c r="AD1579" t="s">
        <v>3250</v>
      </c>
      <c r="AE1579" t="s">
        <v>3250</v>
      </c>
      <c r="AF1579" t="s">
        <v>3250</v>
      </c>
      <c r="AG1579" t="s">
        <v>3250</v>
      </c>
      <c r="AH1579" t="s">
        <v>3250</v>
      </c>
      <c r="AI1579" t="s">
        <v>3250</v>
      </c>
      <c r="AJ1579" t="s">
        <v>3250</v>
      </c>
      <c r="AL1579" t="s">
        <v>3250</v>
      </c>
      <c r="AM1579" t="s">
        <v>3250</v>
      </c>
      <c r="AN1579" t="s">
        <v>3250</v>
      </c>
      <c r="AO1579" t="s">
        <v>3250</v>
      </c>
      <c r="AS1579" t="s">
        <v>3250</v>
      </c>
      <c r="AT1579" t="s">
        <v>3250</v>
      </c>
      <c r="AU1579" t="s">
        <v>3250</v>
      </c>
      <c r="AV1579" t="s">
        <v>3250</v>
      </c>
      <c r="AW1579" t="s">
        <v>3250</v>
      </c>
      <c r="AX1579" t="s">
        <v>3250</v>
      </c>
      <c r="AY1579" t="s">
        <v>3250</v>
      </c>
      <c r="AZ1579" t="s">
        <v>3250</v>
      </c>
      <c r="BA1579" t="s">
        <v>3250</v>
      </c>
      <c r="BB1579" t="s">
        <v>3250</v>
      </c>
      <c r="BC1579" t="s">
        <v>3250</v>
      </c>
      <c r="BE1579" t="s">
        <v>3250</v>
      </c>
      <c r="BF1579" t="s">
        <v>3250</v>
      </c>
      <c r="BG1579" t="s">
        <v>3250</v>
      </c>
      <c r="BH1579" t="s">
        <v>3250</v>
      </c>
      <c r="BI1579" t="s">
        <v>3250</v>
      </c>
      <c r="BK1579" t="s">
        <v>3250</v>
      </c>
      <c r="BL1579" t="s">
        <v>3250</v>
      </c>
      <c r="BM1579" t="s">
        <v>3250</v>
      </c>
      <c r="BN1579" t="s">
        <v>3250</v>
      </c>
      <c r="BP1579">
        <v>11</v>
      </c>
      <c r="BQ1579">
        <v>111</v>
      </c>
      <c r="BR1579" t="s">
        <v>2442</v>
      </c>
      <c r="BS1579" t="s">
        <v>245</v>
      </c>
      <c r="BV1579">
        <v>45531</v>
      </c>
      <c r="BW1579">
        <v>124043</v>
      </c>
      <c r="BX1579">
        <v>0</v>
      </c>
      <c r="BY1579">
        <v>0</v>
      </c>
      <c r="BZ1579">
        <v>0</v>
      </c>
      <c r="CA1579">
        <v>0</v>
      </c>
      <c r="CB1579">
        <v>0</v>
      </c>
      <c r="CC1579">
        <v>0</v>
      </c>
      <c r="CD1579">
        <v>0</v>
      </c>
      <c r="CE1579" t="s">
        <v>3108</v>
      </c>
      <c r="CF1579" t="s">
        <v>3108</v>
      </c>
      <c r="CG1579" t="s">
        <v>3108</v>
      </c>
      <c r="CH1579" t="s">
        <v>3108</v>
      </c>
    </row>
    <row r="1580" spans="1:86" x14ac:dyDescent="0.2">
      <c r="A1580" t="s">
        <v>5537</v>
      </c>
      <c r="B1580" t="s">
        <v>5537</v>
      </c>
      <c r="C1580">
        <v>54571</v>
      </c>
      <c r="D1580">
        <v>1695</v>
      </c>
      <c r="E1580" t="s">
        <v>4119</v>
      </c>
      <c r="F1580">
        <v>2900</v>
      </c>
      <c r="G1580" t="s">
        <v>822</v>
      </c>
      <c r="H1580" t="s">
        <v>3108</v>
      </c>
      <c r="I1580" t="s">
        <v>3108</v>
      </c>
      <c r="J1580">
        <v>2904</v>
      </c>
      <c r="K1580" t="s">
        <v>1690</v>
      </c>
      <c r="L1580">
        <v>1200</v>
      </c>
      <c r="M1580" t="s">
        <v>2368</v>
      </c>
      <c r="N1580">
        <v>1207</v>
      </c>
      <c r="O1580" t="s">
        <v>286</v>
      </c>
      <c r="P1580" t="s">
        <v>3108</v>
      </c>
      <c r="Q1580" t="s">
        <v>3249</v>
      </c>
      <c r="R1580" t="s">
        <v>3249</v>
      </c>
      <c r="S1580" t="s">
        <v>810</v>
      </c>
      <c r="T1580" t="s">
        <v>2754</v>
      </c>
      <c r="U1580" t="s">
        <v>3250</v>
      </c>
      <c r="V1580" t="s">
        <v>3250</v>
      </c>
      <c r="W1580" t="s">
        <v>3250</v>
      </c>
      <c r="X1580" t="s">
        <v>3250</v>
      </c>
      <c r="Y1580" t="s">
        <v>3250</v>
      </c>
      <c r="Z1580" t="s">
        <v>3250</v>
      </c>
      <c r="AA1580" t="s">
        <v>3108</v>
      </c>
      <c r="AB1580" t="s">
        <v>3108</v>
      </c>
      <c r="AC1580" t="s">
        <v>3250</v>
      </c>
      <c r="AD1580" t="s">
        <v>3250</v>
      </c>
      <c r="AE1580" t="s">
        <v>3250</v>
      </c>
      <c r="AF1580" t="s">
        <v>3250</v>
      </c>
      <c r="AG1580" t="s">
        <v>3250</v>
      </c>
      <c r="AH1580" t="s">
        <v>3250</v>
      </c>
      <c r="AI1580" t="s">
        <v>3250</v>
      </c>
      <c r="AJ1580" t="s">
        <v>3250</v>
      </c>
      <c r="AL1580" t="s">
        <v>3250</v>
      </c>
      <c r="AM1580" t="s">
        <v>3250</v>
      </c>
      <c r="AN1580" t="s">
        <v>3250</v>
      </c>
      <c r="AO1580" t="s">
        <v>3250</v>
      </c>
      <c r="AS1580" t="s">
        <v>3250</v>
      </c>
      <c r="AT1580" t="s">
        <v>3250</v>
      </c>
      <c r="AU1580" t="s">
        <v>3250</v>
      </c>
      <c r="AV1580" t="s">
        <v>3250</v>
      </c>
      <c r="AW1580" t="s">
        <v>3250</v>
      </c>
      <c r="AX1580" t="s">
        <v>3250</v>
      </c>
      <c r="AY1580" t="s">
        <v>3250</v>
      </c>
      <c r="AZ1580" t="s">
        <v>3250</v>
      </c>
      <c r="BA1580" t="s">
        <v>3250</v>
      </c>
      <c r="BB1580" t="s">
        <v>3250</v>
      </c>
      <c r="BC1580" t="s">
        <v>3250</v>
      </c>
      <c r="BE1580" t="s">
        <v>3250</v>
      </c>
      <c r="BF1580" t="s">
        <v>3250</v>
      </c>
      <c r="BG1580" t="s">
        <v>3250</v>
      </c>
      <c r="BH1580" t="s">
        <v>3250</v>
      </c>
      <c r="BI1580" t="s">
        <v>3250</v>
      </c>
      <c r="BK1580" t="s">
        <v>3250</v>
      </c>
      <c r="BL1580" t="s">
        <v>3250</v>
      </c>
      <c r="BM1580" t="s">
        <v>3250</v>
      </c>
      <c r="BN1580" t="s">
        <v>3250</v>
      </c>
      <c r="BP1580">
        <v>1</v>
      </c>
      <c r="BQ1580">
        <v>18</v>
      </c>
      <c r="BR1580" t="s">
        <v>286</v>
      </c>
      <c r="BS1580" t="s">
        <v>3252</v>
      </c>
      <c r="BV1580">
        <v>4000</v>
      </c>
      <c r="BW1580">
        <v>28833</v>
      </c>
      <c r="BX1580">
        <v>8580</v>
      </c>
      <c r="BY1580">
        <v>50000</v>
      </c>
      <c r="BZ1580">
        <v>0</v>
      </c>
      <c r="CA1580">
        <v>16000</v>
      </c>
      <c r="CB1580">
        <v>53000</v>
      </c>
      <c r="CC1580">
        <v>56180</v>
      </c>
      <c r="CD1580">
        <v>11576</v>
      </c>
      <c r="CE1580" t="s">
        <v>3108</v>
      </c>
      <c r="CF1580" t="s">
        <v>3108</v>
      </c>
      <c r="CG1580" t="s">
        <v>3108</v>
      </c>
      <c r="CH1580" t="s">
        <v>3108</v>
      </c>
    </row>
    <row r="1581" spans="1:86" x14ac:dyDescent="0.2">
      <c r="A1581" t="s">
        <v>5538</v>
      </c>
      <c r="B1581" t="s">
        <v>5538</v>
      </c>
      <c r="C1581">
        <v>54602</v>
      </c>
      <c r="D1581">
        <v>1696</v>
      </c>
      <c r="E1581" t="s">
        <v>5539</v>
      </c>
      <c r="F1581">
        <v>2700</v>
      </c>
      <c r="G1581" t="s">
        <v>411</v>
      </c>
      <c r="H1581" t="s">
        <v>3997</v>
      </c>
      <c r="I1581" t="s">
        <v>2533</v>
      </c>
      <c r="J1581">
        <v>2703</v>
      </c>
      <c r="K1581" t="s">
        <v>2533</v>
      </c>
      <c r="L1581">
        <v>1200</v>
      </c>
      <c r="M1581" t="s">
        <v>2368</v>
      </c>
      <c r="N1581">
        <v>1206</v>
      </c>
      <c r="O1581" t="s">
        <v>285</v>
      </c>
      <c r="P1581" t="s">
        <v>3108</v>
      </c>
      <c r="Q1581" t="s">
        <v>3249</v>
      </c>
      <c r="R1581" t="s">
        <v>3249</v>
      </c>
      <c r="S1581" t="s">
        <v>810</v>
      </c>
      <c r="T1581" t="s">
        <v>2754</v>
      </c>
      <c r="U1581" t="s">
        <v>3250</v>
      </c>
      <c r="V1581" t="s">
        <v>3250</v>
      </c>
      <c r="W1581" t="s">
        <v>3250</v>
      </c>
      <c r="X1581" t="s">
        <v>3250</v>
      </c>
      <c r="Y1581" t="s">
        <v>3250</v>
      </c>
      <c r="Z1581" t="s">
        <v>3250</v>
      </c>
      <c r="AA1581" t="s">
        <v>3108</v>
      </c>
      <c r="AB1581" t="s">
        <v>3108</v>
      </c>
      <c r="AC1581" t="s">
        <v>3250</v>
      </c>
      <c r="AD1581" t="s">
        <v>3250</v>
      </c>
      <c r="AE1581" t="s">
        <v>3250</v>
      </c>
      <c r="AF1581" t="s">
        <v>3250</v>
      </c>
      <c r="AG1581" t="s">
        <v>3250</v>
      </c>
      <c r="AH1581" t="s">
        <v>3250</v>
      </c>
      <c r="AI1581" t="s">
        <v>3250</v>
      </c>
      <c r="AJ1581" t="s">
        <v>3250</v>
      </c>
      <c r="AL1581" t="s">
        <v>3250</v>
      </c>
      <c r="AM1581" t="s">
        <v>3250</v>
      </c>
      <c r="AN1581" t="s">
        <v>3250</v>
      </c>
      <c r="AO1581" t="s">
        <v>3250</v>
      </c>
      <c r="AS1581" t="s">
        <v>3250</v>
      </c>
      <c r="AT1581" t="s">
        <v>3250</v>
      </c>
      <c r="AU1581" t="s">
        <v>3250</v>
      </c>
      <c r="AV1581" t="s">
        <v>3250</v>
      </c>
      <c r="AW1581" t="s">
        <v>3250</v>
      </c>
      <c r="AX1581" t="s">
        <v>3250</v>
      </c>
      <c r="AY1581">
        <v>1200</v>
      </c>
      <c r="AZ1581" t="s">
        <v>2310</v>
      </c>
      <c r="BA1581" t="s">
        <v>3250</v>
      </c>
      <c r="BB1581">
        <v>1200</v>
      </c>
      <c r="BC1581" t="s">
        <v>2310</v>
      </c>
      <c r="BE1581" t="s">
        <v>3250</v>
      </c>
      <c r="BF1581" t="s">
        <v>3250</v>
      </c>
      <c r="BG1581" t="s">
        <v>3250</v>
      </c>
      <c r="BH1581" t="s">
        <v>3250</v>
      </c>
      <c r="BI1581" t="s">
        <v>3250</v>
      </c>
      <c r="BK1581" t="s">
        <v>3250</v>
      </c>
      <c r="BL1581" t="s">
        <v>3250</v>
      </c>
      <c r="BM1581" t="s">
        <v>3250</v>
      </c>
      <c r="BN1581" t="s">
        <v>3250</v>
      </c>
      <c r="BP1581">
        <v>1</v>
      </c>
      <c r="BQ1581">
        <v>15</v>
      </c>
      <c r="BR1581" t="s">
        <v>285</v>
      </c>
      <c r="BS1581" t="s">
        <v>3252</v>
      </c>
      <c r="BV1581">
        <v>0</v>
      </c>
      <c r="BW1581">
        <v>0</v>
      </c>
      <c r="BX1581">
        <v>0</v>
      </c>
      <c r="BY1581">
        <v>0</v>
      </c>
      <c r="BZ1581">
        <v>0</v>
      </c>
      <c r="CA1581">
        <v>0</v>
      </c>
      <c r="CB1581">
        <v>0</v>
      </c>
      <c r="CC1581">
        <v>0</v>
      </c>
      <c r="CD1581">
        <v>0</v>
      </c>
      <c r="CE1581" t="s">
        <v>3108</v>
      </c>
      <c r="CF1581" t="s">
        <v>3108</v>
      </c>
      <c r="CG1581" t="s">
        <v>3108</v>
      </c>
      <c r="CH1581" t="s">
        <v>3108</v>
      </c>
    </row>
    <row r="1582" spans="1:86" x14ac:dyDescent="0.2">
      <c r="A1582" t="s">
        <v>5540</v>
      </c>
      <c r="B1582" t="s">
        <v>5540</v>
      </c>
      <c r="C1582">
        <v>54603</v>
      </c>
      <c r="D1582">
        <v>1697</v>
      </c>
      <c r="E1582" t="s">
        <v>4117</v>
      </c>
      <c r="F1582">
        <v>2900</v>
      </c>
      <c r="G1582" t="s">
        <v>822</v>
      </c>
      <c r="H1582" t="s">
        <v>3108</v>
      </c>
      <c r="I1582" t="s">
        <v>3108</v>
      </c>
      <c r="J1582">
        <v>2904</v>
      </c>
      <c r="K1582" t="s">
        <v>1690</v>
      </c>
      <c r="L1582">
        <v>2100</v>
      </c>
      <c r="M1582" t="s">
        <v>123</v>
      </c>
      <c r="N1582">
        <v>2106</v>
      </c>
      <c r="O1582" t="s">
        <v>2399</v>
      </c>
      <c r="P1582" t="s">
        <v>3108</v>
      </c>
      <c r="Q1582" t="s">
        <v>3249</v>
      </c>
      <c r="R1582" t="s">
        <v>3249</v>
      </c>
      <c r="S1582" t="s">
        <v>810</v>
      </c>
      <c r="T1582" t="s">
        <v>2754</v>
      </c>
      <c r="U1582" t="s">
        <v>3250</v>
      </c>
      <c r="V1582" t="s">
        <v>3250</v>
      </c>
      <c r="W1582" t="s">
        <v>3250</v>
      </c>
      <c r="X1582" t="s">
        <v>3250</v>
      </c>
      <c r="Y1582" t="s">
        <v>3250</v>
      </c>
      <c r="Z1582" t="s">
        <v>3250</v>
      </c>
      <c r="AA1582" t="s">
        <v>3108</v>
      </c>
      <c r="AB1582" t="s">
        <v>3108</v>
      </c>
      <c r="AC1582" t="s">
        <v>3250</v>
      </c>
      <c r="AD1582" t="s">
        <v>3250</v>
      </c>
      <c r="AE1582" t="s">
        <v>3250</v>
      </c>
      <c r="AF1582" t="s">
        <v>3250</v>
      </c>
      <c r="AG1582" t="s">
        <v>3250</v>
      </c>
      <c r="AH1582" t="s">
        <v>3250</v>
      </c>
      <c r="AI1582" t="s">
        <v>3250</v>
      </c>
      <c r="AJ1582" t="s">
        <v>3250</v>
      </c>
      <c r="AL1582" t="s">
        <v>3250</v>
      </c>
      <c r="AM1582" t="s">
        <v>3250</v>
      </c>
      <c r="AN1582" t="s">
        <v>3250</v>
      </c>
      <c r="AO1582" t="s">
        <v>3250</v>
      </c>
      <c r="AS1582" t="s">
        <v>3250</v>
      </c>
      <c r="AT1582" t="s">
        <v>3250</v>
      </c>
      <c r="AU1582" t="s">
        <v>3250</v>
      </c>
      <c r="AV1582" t="s">
        <v>3250</v>
      </c>
      <c r="AW1582" t="s">
        <v>3250</v>
      </c>
      <c r="AX1582" t="s">
        <v>3250</v>
      </c>
      <c r="AY1582" t="s">
        <v>3250</v>
      </c>
      <c r="AZ1582" t="s">
        <v>3250</v>
      </c>
      <c r="BA1582" t="s">
        <v>3250</v>
      </c>
      <c r="BB1582" t="s">
        <v>3250</v>
      </c>
      <c r="BC1582" t="s">
        <v>3250</v>
      </c>
      <c r="BE1582" t="s">
        <v>3250</v>
      </c>
      <c r="BF1582" t="s">
        <v>3250</v>
      </c>
      <c r="BG1582" t="s">
        <v>3250</v>
      </c>
      <c r="BH1582" t="s">
        <v>3250</v>
      </c>
      <c r="BI1582" t="s">
        <v>3250</v>
      </c>
      <c r="BK1582" t="s">
        <v>3250</v>
      </c>
      <c r="BL1582" t="s">
        <v>3250</v>
      </c>
      <c r="BM1582" t="s">
        <v>3250</v>
      </c>
      <c r="BN1582" t="s">
        <v>3250</v>
      </c>
      <c r="BP1582">
        <v>5</v>
      </c>
      <c r="BQ1582">
        <v>53</v>
      </c>
      <c r="BR1582" t="s">
        <v>2399</v>
      </c>
      <c r="BS1582" t="s">
        <v>4136</v>
      </c>
      <c r="BV1582">
        <v>0</v>
      </c>
      <c r="BW1582">
        <v>0</v>
      </c>
      <c r="BX1582">
        <v>0</v>
      </c>
      <c r="BY1582">
        <v>0</v>
      </c>
      <c r="BZ1582">
        <v>0</v>
      </c>
      <c r="CA1582">
        <v>0</v>
      </c>
      <c r="CB1582">
        <v>0</v>
      </c>
      <c r="CC1582">
        <v>0</v>
      </c>
      <c r="CD1582">
        <v>0</v>
      </c>
      <c r="CE1582" t="s">
        <v>3108</v>
      </c>
      <c r="CF1582" t="s">
        <v>3108</v>
      </c>
      <c r="CG1582" t="s">
        <v>3108</v>
      </c>
      <c r="CH1582" t="s">
        <v>3108</v>
      </c>
    </row>
    <row r="1583" spans="1:86" x14ac:dyDescent="0.2">
      <c r="A1583" t="s">
        <v>5541</v>
      </c>
      <c r="B1583" t="s">
        <v>5541</v>
      </c>
      <c r="C1583">
        <v>54604</v>
      </c>
      <c r="D1583">
        <v>1698</v>
      </c>
      <c r="E1583" t="s">
        <v>5542</v>
      </c>
      <c r="F1583">
        <v>2000</v>
      </c>
      <c r="G1583" t="s">
        <v>408</v>
      </c>
      <c r="H1583" t="s">
        <v>4091</v>
      </c>
      <c r="I1583" t="s">
        <v>1940</v>
      </c>
      <c r="J1583">
        <v>2006</v>
      </c>
      <c r="K1583" t="s">
        <v>1940</v>
      </c>
      <c r="L1583">
        <v>1200</v>
      </c>
      <c r="M1583" t="s">
        <v>2368</v>
      </c>
      <c r="N1583">
        <v>1201</v>
      </c>
      <c r="O1583" t="s">
        <v>2370</v>
      </c>
      <c r="P1583" t="s">
        <v>3108</v>
      </c>
      <c r="Q1583" t="s">
        <v>3249</v>
      </c>
      <c r="R1583" t="s">
        <v>3249</v>
      </c>
      <c r="S1583" t="s">
        <v>810</v>
      </c>
      <c r="T1583" t="s">
        <v>2754</v>
      </c>
      <c r="U1583" t="s">
        <v>3250</v>
      </c>
      <c r="V1583" t="s">
        <v>3250</v>
      </c>
      <c r="W1583" t="s">
        <v>3250</v>
      </c>
      <c r="X1583" t="s">
        <v>3250</v>
      </c>
      <c r="Y1583" t="s">
        <v>3250</v>
      </c>
      <c r="Z1583" t="s">
        <v>3250</v>
      </c>
      <c r="AA1583" t="s">
        <v>3108</v>
      </c>
      <c r="AB1583" t="s">
        <v>3108</v>
      </c>
      <c r="AC1583" t="s">
        <v>3250</v>
      </c>
      <c r="AD1583" t="s">
        <v>3250</v>
      </c>
      <c r="AE1583" t="s">
        <v>3250</v>
      </c>
      <c r="AF1583" t="s">
        <v>3250</v>
      </c>
      <c r="AG1583" t="s">
        <v>3250</v>
      </c>
      <c r="AH1583" t="s">
        <v>3250</v>
      </c>
      <c r="AI1583" t="s">
        <v>3250</v>
      </c>
      <c r="AJ1583" t="s">
        <v>3250</v>
      </c>
      <c r="AL1583" t="s">
        <v>3250</v>
      </c>
      <c r="AM1583" t="s">
        <v>3250</v>
      </c>
      <c r="AN1583" t="s">
        <v>3250</v>
      </c>
      <c r="AO1583" t="s">
        <v>3250</v>
      </c>
      <c r="AS1583" t="s">
        <v>3250</v>
      </c>
      <c r="AT1583" t="s">
        <v>3250</v>
      </c>
      <c r="AU1583" t="s">
        <v>3250</v>
      </c>
      <c r="AV1583" t="s">
        <v>3250</v>
      </c>
      <c r="AW1583" t="s">
        <v>3250</v>
      </c>
      <c r="AX1583" t="s">
        <v>3250</v>
      </c>
      <c r="AY1583" t="s">
        <v>3250</v>
      </c>
      <c r="AZ1583" t="s">
        <v>3250</v>
      </c>
      <c r="BA1583" t="s">
        <v>3250</v>
      </c>
      <c r="BB1583" t="s">
        <v>3250</v>
      </c>
      <c r="BC1583" t="s">
        <v>3250</v>
      </c>
      <c r="BE1583" t="s">
        <v>3250</v>
      </c>
      <c r="BF1583" t="s">
        <v>3250</v>
      </c>
      <c r="BG1583" t="s">
        <v>3250</v>
      </c>
      <c r="BH1583" t="s">
        <v>3250</v>
      </c>
      <c r="BI1583" t="s">
        <v>3250</v>
      </c>
      <c r="BK1583" t="s">
        <v>3250</v>
      </c>
      <c r="BL1583" t="s">
        <v>3250</v>
      </c>
      <c r="BM1583" t="s">
        <v>3250</v>
      </c>
      <c r="BN1583" t="s">
        <v>3250</v>
      </c>
      <c r="BO1583" t="s">
        <v>2917</v>
      </c>
      <c r="BP1583">
        <v>1</v>
      </c>
      <c r="BQ1583">
        <v>14</v>
      </c>
      <c r="BR1583" t="s">
        <v>2370</v>
      </c>
      <c r="BS1583" t="s">
        <v>3252</v>
      </c>
      <c r="BV1583">
        <v>2000</v>
      </c>
      <c r="BW1583">
        <v>0</v>
      </c>
      <c r="BX1583">
        <v>0</v>
      </c>
      <c r="BY1583">
        <v>0</v>
      </c>
      <c r="BZ1583">
        <v>0</v>
      </c>
      <c r="CA1583">
        <v>0</v>
      </c>
      <c r="CB1583">
        <v>0</v>
      </c>
      <c r="CC1583">
        <v>0</v>
      </c>
      <c r="CD1583">
        <v>0</v>
      </c>
      <c r="CE1583" t="s">
        <v>3108</v>
      </c>
      <c r="CF1583" t="s">
        <v>3108</v>
      </c>
      <c r="CG1583" t="s">
        <v>3108</v>
      </c>
      <c r="CH1583" t="s">
        <v>3108</v>
      </c>
    </row>
    <row r="1584" spans="1:86" x14ac:dyDescent="0.2">
      <c r="A1584" t="s">
        <v>5543</v>
      </c>
      <c r="B1584" t="s">
        <v>5543</v>
      </c>
      <c r="C1584">
        <v>54693</v>
      </c>
      <c r="D1584">
        <v>1699</v>
      </c>
      <c r="E1584" t="s">
        <v>4682</v>
      </c>
      <c r="F1584" t="s">
        <v>3249</v>
      </c>
      <c r="G1584" t="s">
        <v>3249</v>
      </c>
      <c r="H1584" t="s">
        <v>3250</v>
      </c>
      <c r="I1584" t="s">
        <v>3250</v>
      </c>
      <c r="J1584" t="s">
        <v>3250</v>
      </c>
      <c r="K1584" t="s">
        <v>3250</v>
      </c>
      <c r="L1584">
        <v>1200</v>
      </c>
      <c r="M1584" t="s">
        <v>2368</v>
      </c>
      <c r="N1584">
        <v>1201</v>
      </c>
      <c r="O1584" t="s">
        <v>2370</v>
      </c>
      <c r="P1584" t="s">
        <v>2805</v>
      </c>
      <c r="Q1584">
        <v>2080</v>
      </c>
      <c r="R1584" t="s">
        <v>423</v>
      </c>
      <c r="S1584" t="s">
        <v>427</v>
      </c>
      <c r="T1584" t="s">
        <v>3251</v>
      </c>
      <c r="U1584">
        <v>240</v>
      </c>
      <c r="V1584" t="s">
        <v>4251</v>
      </c>
      <c r="W1584">
        <v>240</v>
      </c>
      <c r="X1584" t="s">
        <v>1323</v>
      </c>
      <c r="Y1584" t="s">
        <v>3250</v>
      </c>
      <c r="Z1584" t="s">
        <v>3250</v>
      </c>
      <c r="AA1584" t="s">
        <v>3108</v>
      </c>
      <c r="AB1584" t="s">
        <v>3108</v>
      </c>
      <c r="AC1584" t="s">
        <v>3250</v>
      </c>
      <c r="AD1584" t="s">
        <v>3250</v>
      </c>
      <c r="AE1584" t="s">
        <v>3250</v>
      </c>
      <c r="AF1584" t="s">
        <v>3250</v>
      </c>
      <c r="AG1584">
        <v>1490</v>
      </c>
      <c r="AH1584" t="s">
        <v>2333</v>
      </c>
      <c r="AI1584">
        <v>1490</v>
      </c>
      <c r="AJ1584" t="s">
        <v>2333</v>
      </c>
      <c r="AL1584">
        <v>241</v>
      </c>
      <c r="AM1584" t="s">
        <v>1455</v>
      </c>
      <c r="AN1584">
        <v>241</v>
      </c>
      <c r="AO1584" t="s">
        <v>1455</v>
      </c>
      <c r="AS1584">
        <v>1490</v>
      </c>
      <c r="AT1584">
        <v>1490</v>
      </c>
      <c r="AU1584" t="s">
        <v>2333</v>
      </c>
      <c r="AV1584" t="s">
        <v>2333</v>
      </c>
      <c r="AW1584" t="s">
        <v>3250</v>
      </c>
      <c r="AX1584" t="s">
        <v>3250</v>
      </c>
      <c r="AY1584" t="s">
        <v>3250</v>
      </c>
      <c r="AZ1584" t="s">
        <v>3250</v>
      </c>
      <c r="BA1584" t="s">
        <v>3250</v>
      </c>
      <c r="BB1584" t="s">
        <v>3250</v>
      </c>
      <c r="BC1584" t="s">
        <v>3250</v>
      </c>
      <c r="BE1584" t="s">
        <v>3250</v>
      </c>
      <c r="BF1584" t="s">
        <v>3250</v>
      </c>
      <c r="BG1584" t="s">
        <v>3250</v>
      </c>
      <c r="BH1584" t="s">
        <v>3250</v>
      </c>
      <c r="BI1584" t="s">
        <v>3250</v>
      </c>
      <c r="BK1584" t="s">
        <v>3250</v>
      </c>
      <c r="BL1584" t="s">
        <v>3250</v>
      </c>
      <c r="BM1584" t="s">
        <v>3250</v>
      </c>
      <c r="BN1584" t="s">
        <v>3250</v>
      </c>
      <c r="BP1584">
        <v>1</v>
      </c>
      <c r="BQ1584">
        <v>14</v>
      </c>
      <c r="BR1584" t="s">
        <v>2370</v>
      </c>
      <c r="BS1584" t="s">
        <v>3252</v>
      </c>
      <c r="BV1584">
        <v>0</v>
      </c>
      <c r="BW1584">
        <v>0</v>
      </c>
      <c r="BX1584">
        <v>0</v>
      </c>
      <c r="BY1584">
        <v>400000</v>
      </c>
      <c r="BZ1584">
        <v>400000</v>
      </c>
      <c r="CA1584">
        <v>350000</v>
      </c>
      <c r="CB1584">
        <v>432224</v>
      </c>
      <c r="CC1584">
        <v>449513</v>
      </c>
      <c r="CD1584">
        <v>146790</v>
      </c>
      <c r="CE1584" t="s">
        <v>3108</v>
      </c>
      <c r="CF1584" t="s">
        <v>3108</v>
      </c>
      <c r="CG1584" t="s">
        <v>3108</v>
      </c>
      <c r="CH1584" t="s">
        <v>3108</v>
      </c>
    </row>
    <row r="1585" spans="1:86" x14ac:dyDescent="0.2">
      <c r="A1585" t="s">
        <v>5544</v>
      </c>
      <c r="B1585" t="s">
        <v>5544</v>
      </c>
      <c r="C1585">
        <v>54698</v>
      </c>
      <c r="D1585">
        <v>1700</v>
      </c>
      <c r="E1585" t="s">
        <v>5545</v>
      </c>
      <c r="F1585">
        <v>2000</v>
      </c>
      <c r="G1585" t="s">
        <v>408</v>
      </c>
      <c r="H1585" t="s">
        <v>4070</v>
      </c>
      <c r="I1585" t="s">
        <v>1792</v>
      </c>
      <c r="J1585">
        <v>2002</v>
      </c>
      <c r="K1585" t="s">
        <v>1792</v>
      </c>
      <c r="L1585">
        <v>1100</v>
      </c>
      <c r="M1585" t="s">
        <v>119</v>
      </c>
      <c r="N1585">
        <v>1120</v>
      </c>
      <c r="O1585" t="s">
        <v>2367</v>
      </c>
      <c r="P1585" t="s">
        <v>3108</v>
      </c>
      <c r="Q1585" t="s">
        <v>3249</v>
      </c>
      <c r="R1585" t="s">
        <v>3249</v>
      </c>
      <c r="S1585" t="s">
        <v>810</v>
      </c>
      <c r="T1585" t="s">
        <v>2754</v>
      </c>
      <c r="U1585" t="s">
        <v>3250</v>
      </c>
      <c r="V1585" t="s">
        <v>3250</v>
      </c>
      <c r="W1585" t="s">
        <v>3250</v>
      </c>
      <c r="X1585" t="s">
        <v>3250</v>
      </c>
      <c r="Y1585" t="s">
        <v>3250</v>
      </c>
      <c r="Z1585" t="s">
        <v>3250</v>
      </c>
      <c r="AA1585" t="s">
        <v>3108</v>
      </c>
      <c r="AB1585" t="s">
        <v>3108</v>
      </c>
      <c r="AC1585" t="s">
        <v>3250</v>
      </c>
      <c r="AD1585" t="s">
        <v>3250</v>
      </c>
      <c r="AE1585" t="s">
        <v>3250</v>
      </c>
      <c r="AF1585" t="s">
        <v>3250</v>
      </c>
      <c r="AG1585" t="s">
        <v>3250</v>
      </c>
      <c r="AH1585" t="s">
        <v>3250</v>
      </c>
      <c r="AI1585" t="s">
        <v>3250</v>
      </c>
      <c r="AJ1585" t="s">
        <v>3250</v>
      </c>
      <c r="AL1585" t="s">
        <v>3250</v>
      </c>
      <c r="AM1585" t="s">
        <v>3250</v>
      </c>
      <c r="AN1585" t="s">
        <v>3250</v>
      </c>
      <c r="AO1585" t="s">
        <v>3250</v>
      </c>
      <c r="AS1585" t="s">
        <v>3250</v>
      </c>
      <c r="AT1585" t="s">
        <v>3250</v>
      </c>
      <c r="AU1585" t="s">
        <v>3250</v>
      </c>
      <c r="AV1585" t="s">
        <v>3250</v>
      </c>
      <c r="AW1585" t="s">
        <v>3250</v>
      </c>
      <c r="AX1585" t="s">
        <v>3250</v>
      </c>
      <c r="AY1585" t="s">
        <v>3250</v>
      </c>
      <c r="AZ1585" t="s">
        <v>3250</v>
      </c>
      <c r="BA1585" t="s">
        <v>3250</v>
      </c>
      <c r="BB1585" t="s">
        <v>3250</v>
      </c>
      <c r="BC1585" t="s">
        <v>3250</v>
      </c>
      <c r="BE1585" t="s">
        <v>3250</v>
      </c>
      <c r="BF1585" t="s">
        <v>3250</v>
      </c>
      <c r="BG1585" t="s">
        <v>3250</v>
      </c>
      <c r="BH1585" t="s">
        <v>3250</v>
      </c>
      <c r="BI1585" t="s">
        <v>3250</v>
      </c>
      <c r="BK1585" t="s">
        <v>3250</v>
      </c>
      <c r="BL1585" t="s">
        <v>3250</v>
      </c>
      <c r="BM1585" t="s">
        <v>3250</v>
      </c>
      <c r="BN1585" t="s">
        <v>3250</v>
      </c>
      <c r="BO1585" t="s">
        <v>2917</v>
      </c>
      <c r="BP1585">
        <v>3</v>
      </c>
      <c r="BQ1585">
        <v>31</v>
      </c>
      <c r="BR1585" t="s">
        <v>2367</v>
      </c>
      <c r="BS1585" t="s">
        <v>4381</v>
      </c>
      <c r="BV1585">
        <v>0</v>
      </c>
      <c r="BW1585">
        <v>0</v>
      </c>
      <c r="BX1585">
        <v>0</v>
      </c>
      <c r="BY1585">
        <v>10307</v>
      </c>
      <c r="BZ1585">
        <v>10307</v>
      </c>
      <c r="CA1585">
        <v>11029</v>
      </c>
      <c r="CB1585">
        <v>11801</v>
      </c>
      <c r="CC1585">
        <v>12627</v>
      </c>
      <c r="CD1585">
        <v>0</v>
      </c>
      <c r="CE1585" t="s">
        <v>3108</v>
      </c>
      <c r="CF1585" t="s">
        <v>3108</v>
      </c>
      <c r="CG1585" t="s">
        <v>3108</v>
      </c>
      <c r="CH1585" t="s">
        <v>3108</v>
      </c>
    </row>
    <row r="1586" spans="1:86" x14ac:dyDescent="0.2">
      <c r="A1586" t="s">
        <v>5546</v>
      </c>
      <c r="B1586" t="s">
        <v>5546</v>
      </c>
      <c r="C1586">
        <v>54699</v>
      </c>
      <c r="D1586">
        <v>1701</v>
      </c>
      <c r="E1586" t="s">
        <v>4250</v>
      </c>
      <c r="F1586" t="s">
        <v>3249</v>
      </c>
      <c r="G1586" t="s">
        <v>3249</v>
      </c>
      <c r="H1586" t="s">
        <v>3250</v>
      </c>
      <c r="I1586" t="s">
        <v>3250</v>
      </c>
      <c r="J1586" t="s">
        <v>3250</v>
      </c>
      <c r="K1586" t="s">
        <v>3250</v>
      </c>
      <c r="L1586">
        <v>2100</v>
      </c>
      <c r="M1586" t="s">
        <v>123</v>
      </c>
      <c r="N1586">
        <v>2106</v>
      </c>
      <c r="O1586" t="s">
        <v>2399</v>
      </c>
      <c r="P1586" t="s">
        <v>2805</v>
      </c>
      <c r="Q1586">
        <v>2080</v>
      </c>
      <c r="R1586" t="s">
        <v>423</v>
      </c>
      <c r="S1586" t="s">
        <v>427</v>
      </c>
      <c r="T1586" t="s">
        <v>3251</v>
      </c>
      <c r="U1586">
        <v>240</v>
      </c>
      <c r="V1586" t="s">
        <v>4251</v>
      </c>
      <c r="W1586">
        <v>240</v>
      </c>
      <c r="X1586" t="s">
        <v>1323</v>
      </c>
      <c r="Y1586" t="s">
        <v>3250</v>
      </c>
      <c r="Z1586" t="s">
        <v>3250</v>
      </c>
      <c r="AA1586" t="s">
        <v>3108</v>
      </c>
      <c r="AB1586" t="s">
        <v>3108</v>
      </c>
      <c r="AC1586" t="s">
        <v>3250</v>
      </c>
      <c r="AD1586" t="s">
        <v>3250</v>
      </c>
      <c r="AE1586" t="s">
        <v>3250</v>
      </c>
      <c r="AF1586" t="s">
        <v>3250</v>
      </c>
      <c r="AG1586" t="s">
        <v>3250</v>
      </c>
      <c r="AH1586" t="s">
        <v>3250</v>
      </c>
      <c r="AI1586" t="s">
        <v>3250</v>
      </c>
      <c r="AJ1586" t="s">
        <v>3250</v>
      </c>
      <c r="AK1586">
        <v>770</v>
      </c>
      <c r="AL1586">
        <v>241</v>
      </c>
      <c r="AM1586" t="s">
        <v>1455</v>
      </c>
      <c r="AN1586">
        <v>241</v>
      </c>
      <c r="AO1586" t="s">
        <v>1455</v>
      </c>
      <c r="AS1586">
        <v>790</v>
      </c>
      <c r="AT1586">
        <v>790</v>
      </c>
      <c r="AU1586" t="s">
        <v>2284</v>
      </c>
      <c r="AV1586" t="s">
        <v>2284</v>
      </c>
      <c r="AW1586" t="s">
        <v>3250</v>
      </c>
      <c r="AX1586" t="s">
        <v>3250</v>
      </c>
      <c r="AY1586" t="s">
        <v>3250</v>
      </c>
      <c r="AZ1586" t="s">
        <v>3250</v>
      </c>
      <c r="BA1586" t="s">
        <v>3250</v>
      </c>
      <c r="BB1586" t="s">
        <v>3250</v>
      </c>
      <c r="BC1586" t="s">
        <v>3250</v>
      </c>
      <c r="BE1586" t="s">
        <v>3250</v>
      </c>
      <c r="BF1586" t="s">
        <v>3250</v>
      </c>
      <c r="BG1586" t="s">
        <v>3250</v>
      </c>
      <c r="BH1586" t="s">
        <v>3250</v>
      </c>
      <c r="BI1586" t="s">
        <v>3250</v>
      </c>
      <c r="BK1586" t="s">
        <v>3250</v>
      </c>
      <c r="BL1586" t="s">
        <v>3250</v>
      </c>
      <c r="BM1586" t="s">
        <v>3250</v>
      </c>
      <c r="BN1586" t="s">
        <v>3250</v>
      </c>
      <c r="BP1586">
        <v>5</v>
      </c>
      <c r="BQ1586">
        <v>53</v>
      </c>
      <c r="BR1586" t="s">
        <v>2399</v>
      </c>
      <c r="BS1586" t="s">
        <v>4136</v>
      </c>
      <c r="BV1586">
        <v>0</v>
      </c>
      <c r="BW1586">
        <v>0</v>
      </c>
      <c r="BX1586">
        <v>0</v>
      </c>
      <c r="BY1586">
        <v>0</v>
      </c>
      <c r="BZ1586">
        <v>0</v>
      </c>
      <c r="CA1586">
        <v>0</v>
      </c>
      <c r="CB1586">
        <v>0</v>
      </c>
      <c r="CC1586">
        <v>0</v>
      </c>
      <c r="CD1586">
        <v>649790</v>
      </c>
      <c r="CE1586" t="s">
        <v>3108</v>
      </c>
      <c r="CF1586" t="s">
        <v>3108</v>
      </c>
      <c r="CG1586" t="s">
        <v>3108</v>
      </c>
      <c r="CH1586" t="s">
        <v>3108</v>
      </c>
    </row>
    <row r="1587" spans="1:86" x14ac:dyDescent="0.2">
      <c r="A1587" t="s">
        <v>5547</v>
      </c>
      <c r="B1587" t="s">
        <v>5547</v>
      </c>
      <c r="C1587">
        <v>54700</v>
      </c>
      <c r="D1587">
        <v>1702</v>
      </c>
      <c r="E1587" t="s">
        <v>5548</v>
      </c>
      <c r="F1587" t="s">
        <v>3249</v>
      </c>
      <c r="G1587" t="s">
        <v>3249</v>
      </c>
      <c r="H1587" t="s">
        <v>3250</v>
      </c>
      <c r="I1587" t="s">
        <v>3250</v>
      </c>
      <c r="J1587" t="s">
        <v>3250</v>
      </c>
      <c r="K1587" t="s">
        <v>3250</v>
      </c>
      <c r="L1587">
        <v>1200</v>
      </c>
      <c r="M1587" t="s">
        <v>2368</v>
      </c>
      <c r="N1587">
        <v>1206</v>
      </c>
      <c r="O1587" t="s">
        <v>285</v>
      </c>
      <c r="P1587" t="s">
        <v>3108</v>
      </c>
      <c r="Q1587" t="s">
        <v>3249</v>
      </c>
      <c r="R1587" t="s">
        <v>3249</v>
      </c>
      <c r="S1587" t="s">
        <v>472</v>
      </c>
      <c r="T1587" t="s">
        <v>3789</v>
      </c>
      <c r="U1587">
        <v>370</v>
      </c>
      <c r="V1587" t="s">
        <v>5549</v>
      </c>
      <c r="W1587">
        <v>370</v>
      </c>
      <c r="X1587" t="s">
        <v>884</v>
      </c>
      <c r="Y1587" t="s">
        <v>3250</v>
      </c>
      <c r="Z1587" t="s">
        <v>3250</v>
      </c>
      <c r="AA1587" t="s">
        <v>3108</v>
      </c>
      <c r="AB1587" t="s">
        <v>3108</v>
      </c>
      <c r="AC1587" t="s">
        <v>3250</v>
      </c>
      <c r="AD1587" t="s">
        <v>3250</v>
      </c>
      <c r="AE1587" t="s">
        <v>3250</v>
      </c>
      <c r="AF1587" t="s">
        <v>3250</v>
      </c>
      <c r="AG1587" t="s">
        <v>3250</v>
      </c>
      <c r="AH1587" t="s">
        <v>3250</v>
      </c>
      <c r="AI1587" t="s">
        <v>3250</v>
      </c>
      <c r="AJ1587" t="s">
        <v>3250</v>
      </c>
      <c r="AL1587" t="s">
        <v>3250</v>
      </c>
      <c r="AM1587" t="s">
        <v>3250</v>
      </c>
      <c r="AN1587" t="s">
        <v>3250</v>
      </c>
      <c r="AO1587" t="s">
        <v>3250</v>
      </c>
      <c r="AS1587" t="s">
        <v>3250</v>
      </c>
      <c r="AT1587" t="s">
        <v>3250</v>
      </c>
      <c r="AU1587" t="s">
        <v>3250</v>
      </c>
      <c r="AV1587" t="s">
        <v>3250</v>
      </c>
      <c r="AW1587" t="s">
        <v>3250</v>
      </c>
      <c r="AX1587" t="s">
        <v>3250</v>
      </c>
      <c r="AY1587" t="s">
        <v>3250</v>
      </c>
      <c r="AZ1587" t="s">
        <v>3250</v>
      </c>
      <c r="BA1587" t="s">
        <v>3250</v>
      </c>
      <c r="BB1587" t="s">
        <v>3250</v>
      </c>
      <c r="BC1587" t="s">
        <v>3250</v>
      </c>
      <c r="BE1587" t="s">
        <v>3250</v>
      </c>
      <c r="BF1587" t="s">
        <v>3250</v>
      </c>
      <c r="BG1587" t="s">
        <v>3250</v>
      </c>
      <c r="BH1587" t="s">
        <v>3250</v>
      </c>
      <c r="BI1587" t="s">
        <v>3250</v>
      </c>
      <c r="BK1587" t="s">
        <v>3250</v>
      </c>
      <c r="BL1587" t="s">
        <v>3250</v>
      </c>
      <c r="BM1587" t="s">
        <v>3250</v>
      </c>
      <c r="BN1587" t="s">
        <v>3250</v>
      </c>
      <c r="BP1587">
        <v>1</v>
      </c>
      <c r="BQ1587">
        <v>15</v>
      </c>
      <c r="BR1587" t="s">
        <v>285</v>
      </c>
      <c r="BS1587" t="s">
        <v>3252</v>
      </c>
      <c r="BV1587">
        <v>0</v>
      </c>
      <c r="BW1587">
        <v>0</v>
      </c>
      <c r="BX1587">
        <v>0</v>
      </c>
      <c r="BY1587">
        <v>-255000</v>
      </c>
      <c r="BZ1587">
        <v>0</v>
      </c>
      <c r="CA1587">
        <v>0</v>
      </c>
      <c r="CB1587">
        <v>0</v>
      </c>
      <c r="CC1587">
        <v>0</v>
      </c>
      <c r="CD1587">
        <v>0</v>
      </c>
      <c r="CE1587" t="s">
        <v>3108</v>
      </c>
      <c r="CF1587" t="s">
        <v>3108</v>
      </c>
      <c r="CG1587" t="s">
        <v>3108</v>
      </c>
      <c r="CH1587" t="s">
        <v>3108</v>
      </c>
    </row>
    <row r="1588" spans="1:86" x14ac:dyDescent="0.2">
      <c r="A1588" t="s">
        <v>5550</v>
      </c>
      <c r="B1588" t="s">
        <v>5550</v>
      </c>
      <c r="C1588">
        <v>54701</v>
      </c>
      <c r="D1588">
        <v>1703</v>
      </c>
      <c r="E1588" t="s">
        <v>5551</v>
      </c>
      <c r="F1588" t="s">
        <v>3249</v>
      </c>
      <c r="G1588" t="s">
        <v>3249</v>
      </c>
      <c r="H1588" t="s">
        <v>3250</v>
      </c>
      <c r="I1588" t="s">
        <v>3250</v>
      </c>
      <c r="J1588" t="s">
        <v>3250</v>
      </c>
      <c r="K1588" t="s">
        <v>3250</v>
      </c>
      <c r="L1588">
        <v>1200</v>
      </c>
      <c r="M1588" t="s">
        <v>2368</v>
      </c>
      <c r="N1588">
        <v>1206</v>
      </c>
      <c r="O1588" t="s">
        <v>285</v>
      </c>
      <c r="P1588" t="s">
        <v>3108</v>
      </c>
      <c r="Q1588" t="s">
        <v>3249</v>
      </c>
      <c r="R1588" t="s">
        <v>3249</v>
      </c>
      <c r="S1588" t="s">
        <v>472</v>
      </c>
      <c r="T1588" t="s">
        <v>3789</v>
      </c>
      <c r="U1588">
        <v>410</v>
      </c>
      <c r="V1588" t="s">
        <v>5193</v>
      </c>
      <c r="W1588">
        <v>410</v>
      </c>
      <c r="X1588" t="s">
        <v>884</v>
      </c>
      <c r="Y1588" t="s">
        <v>3250</v>
      </c>
      <c r="Z1588" t="s">
        <v>3250</v>
      </c>
      <c r="AA1588" t="s">
        <v>3108</v>
      </c>
      <c r="AB1588" t="s">
        <v>3108</v>
      </c>
      <c r="AC1588" t="s">
        <v>3250</v>
      </c>
      <c r="AD1588" t="s">
        <v>3250</v>
      </c>
      <c r="AE1588" t="s">
        <v>3250</v>
      </c>
      <c r="AF1588" t="s">
        <v>3250</v>
      </c>
      <c r="AG1588" t="s">
        <v>3250</v>
      </c>
      <c r="AH1588" t="s">
        <v>3250</v>
      </c>
      <c r="AI1588" t="s">
        <v>3250</v>
      </c>
      <c r="AJ1588" t="s">
        <v>3250</v>
      </c>
      <c r="AL1588">
        <v>413</v>
      </c>
      <c r="AM1588" t="s">
        <v>245</v>
      </c>
      <c r="AN1588">
        <v>413</v>
      </c>
      <c r="AO1588" t="s">
        <v>245</v>
      </c>
      <c r="AS1588" t="s">
        <v>3250</v>
      </c>
      <c r="AT1588" t="s">
        <v>3250</v>
      </c>
      <c r="AU1588" t="s">
        <v>3250</v>
      </c>
      <c r="AV1588" t="s">
        <v>3250</v>
      </c>
      <c r="AW1588" t="s">
        <v>3250</v>
      </c>
      <c r="AX1588" t="s">
        <v>3250</v>
      </c>
      <c r="AY1588" t="s">
        <v>3250</v>
      </c>
      <c r="AZ1588" t="s">
        <v>3250</v>
      </c>
      <c r="BA1588" t="s">
        <v>3250</v>
      </c>
      <c r="BB1588" t="s">
        <v>3250</v>
      </c>
      <c r="BC1588" t="s">
        <v>3250</v>
      </c>
      <c r="BE1588" t="s">
        <v>3250</v>
      </c>
      <c r="BF1588" t="s">
        <v>3250</v>
      </c>
      <c r="BG1588" t="s">
        <v>3250</v>
      </c>
      <c r="BH1588" t="s">
        <v>3250</v>
      </c>
      <c r="BI1588" t="s">
        <v>3250</v>
      </c>
      <c r="BK1588" t="s">
        <v>3250</v>
      </c>
      <c r="BL1588" t="s">
        <v>3250</v>
      </c>
      <c r="BM1588" t="s">
        <v>3250</v>
      </c>
      <c r="BN1588" t="s">
        <v>3250</v>
      </c>
      <c r="BP1588">
        <v>1</v>
      </c>
      <c r="BQ1588">
        <v>15</v>
      </c>
      <c r="BR1588" t="s">
        <v>285</v>
      </c>
      <c r="BS1588" t="s">
        <v>3252</v>
      </c>
      <c r="BV1588">
        <v>0</v>
      </c>
      <c r="BW1588">
        <v>0</v>
      </c>
      <c r="BX1588">
        <v>0</v>
      </c>
      <c r="BY1588">
        <v>0</v>
      </c>
      <c r="BZ1588">
        <v>-2576332</v>
      </c>
      <c r="CA1588">
        <v>0</v>
      </c>
      <c r="CB1588">
        <v>0</v>
      </c>
      <c r="CC1588">
        <v>0</v>
      </c>
      <c r="CD1588">
        <v>0</v>
      </c>
      <c r="CE1588" t="s">
        <v>3108</v>
      </c>
      <c r="CF1588" t="s">
        <v>3108</v>
      </c>
      <c r="CG1588" t="s">
        <v>3108</v>
      </c>
      <c r="CH1588" t="s">
        <v>3108</v>
      </c>
    </row>
    <row r="1589" spans="1:86" x14ac:dyDescent="0.2">
      <c r="A1589" t="s">
        <v>5552</v>
      </c>
      <c r="B1589" t="s">
        <v>5552</v>
      </c>
      <c r="C1589">
        <v>54702</v>
      </c>
      <c r="D1589">
        <v>1704</v>
      </c>
      <c r="E1589" t="s">
        <v>4250</v>
      </c>
      <c r="F1589" t="s">
        <v>3249</v>
      </c>
      <c r="G1589" t="s">
        <v>3249</v>
      </c>
      <c r="H1589" t="s">
        <v>3250</v>
      </c>
      <c r="I1589" t="s">
        <v>3250</v>
      </c>
      <c r="J1589" t="s">
        <v>3250</v>
      </c>
      <c r="K1589" t="s">
        <v>3250</v>
      </c>
      <c r="L1589">
        <v>3200</v>
      </c>
      <c r="M1589" t="s">
        <v>128</v>
      </c>
      <c r="N1589">
        <v>3205</v>
      </c>
      <c r="O1589" t="s">
        <v>629</v>
      </c>
      <c r="P1589" t="s">
        <v>2805</v>
      </c>
      <c r="Q1589">
        <v>2080</v>
      </c>
      <c r="R1589" t="s">
        <v>423</v>
      </c>
      <c r="S1589" t="s">
        <v>427</v>
      </c>
      <c r="T1589" t="s">
        <v>3251</v>
      </c>
      <c r="U1589">
        <v>240</v>
      </c>
      <c r="V1589" t="s">
        <v>4251</v>
      </c>
      <c r="W1589">
        <v>240</v>
      </c>
      <c r="X1589" t="s">
        <v>1323</v>
      </c>
      <c r="Y1589" t="s">
        <v>3250</v>
      </c>
      <c r="Z1589" t="s">
        <v>3250</v>
      </c>
      <c r="AA1589" t="s">
        <v>3108</v>
      </c>
      <c r="AB1589" t="s">
        <v>3108</v>
      </c>
      <c r="AC1589" t="s">
        <v>3250</v>
      </c>
      <c r="AD1589" t="s">
        <v>3250</v>
      </c>
      <c r="AE1589" t="s">
        <v>3250</v>
      </c>
      <c r="AF1589" t="s">
        <v>3250</v>
      </c>
      <c r="AG1589" t="s">
        <v>3250</v>
      </c>
      <c r="AH1589" t="s">
        <v>3250</v>
      </c>
      <c r="AI1589" t="s">
        <v>3250</v>
      </c>
      <c r="AJ1589" t="s">
        <v>3250</v>
      </c>
      <c r="AK1589">
        <v>110</v>
      </c>
      <c r="AL1589">
        <v>241</v>
      </c>
      <c r="AM1589" t="s">
        <v>1455</v>
      </c>
      <c r="AN1589">
        <v>241</v>
      </c>
      <c r="AO1589" t="s">
        <v>1455</v>
      </c>
      <c r="AS1589" t="s">
        <v>3250</v>
      </c>
      <c r="AT1589" t="s">
        <v>3250</v>
      </c>
      <c r="AU1589" t="s">
        <v>3250</v>
      </c>
      <c r="AV1589" t="s">
        <v>3250</v>
      </c>
      <c r="AW1589" t="s">
        <v>3250</v>
      </c>
      <c r="AX1589" t="s">
        <v>3250</v>
      </c>
      <c r="AY1589" t="s">
        <v>3250</v>
      </c>
      <c r="AZ1589" t="s">
        <v>3250</v>
      </c>
      <c r="BA1589" t="s">
        <v>3250</v>
      </c>
      <c r="BB1589" t="s">
        <v>3250</v>
      </c>
      <c r="BC1589" t="s">
        <v>3250</v>
      </c>
      <c r="BE1589" t="s">
        <v>3250</v>
      </c>
      <c r="BF1589" t="s">
        <v>3250</v>
      </c>
      <c r="BG1589" t="s">
        <v>3250</v>
      </c>
      <c r="BH1589" t="s">
        <v>3250</v>
      </c>
      <c r="BI1589" t="s">
        <v>3250</v>
      </c>
      <c r="BK1589">
        <v>120</v>
      </c>
      <c r="BL1589" t="s">
        <v>629</v>
      </c>
      <c r="BM1589">
        <v>120</v>
      </c>
      <c r="BN1589" t="s">
        <v>629</v>
      </c>
      <c r="BP1589">
        <v>7</v>
      </c>
      <c r="BQ1589">
        <v>71</v>
      </c>
      <c r="BR1589" t="s">
        <v>629</v>
      </c>
      <c r="BS1589" t="s">
        <v>4212</v>
      </c>
      <c r="BV1589">
        <v>0</v>
      </c>
      <c r="BW1589">
        <v>0</v>
      </c>
      <c r="BX1589">
        <v>0</v>
      </c>
      <c r="BY1589">
        <v>0</v>
      </c>
      <c r="BZ1589">
        <v>0</v>
      </c>
      <c r="CA1589">
        <v>0</v>
      </c>
      <c r="CB1589">
        <v>0</v>
      </c>
      <c r="CC1589">
        <v>0</v>
      </c>
      <c r="CD1589">
        <v>0</v>
      </c>
      <c r="CE1589" t="s">
        <v>3108</v>
      </c>
      <c r="CF1589" t="s">
        <v>3108</v>
      </c>
      <c r="CG1589" t="s">
        <v>3108</v>
      </c>
      <c r="CH1589" t="s">
        <v>3108</v>
      </c>
    </row>
    <row r="1590" spans="1:86" x14ac:dyDescent="0.2">
      <c r="A1590" t="s">
        <v>5553</v>
      </c>
      <c r="B1590" t="s">
        <v>5553</v>
      </c>
      <c r="C1590">
        <v>54707</v>
      </c>
      <c r="D1590">
        <v>1711</v>
      </c>
      <c r="E1590" t="s">
        <v>3992</v>
      </c>
      <c r="F1590">
        <v>2900</v>
      </c>
      <c r="G1590" t="s">
        <v>822</v>
      </c>
      <c r="H1590" t="s">
        <v>3108</v>
      </c>
      <c r="I1590" t="s">
        <v>3108</v>
      </c>
      <c r="J1590">
        <v>2904</v>
      </c>
      <c r="K1590" t="s">
        <v>1690</v>
      </c>
      <c r="L1590">
        <v>2200</v>
      </c>
      <c r="M1590" t="s">
        <v>124</v>
      </c>
      <c r="N1590">
        <v>2205</v>
      </c>
      <c r="O1590" t="s">
        <v>2390</v>
      </c>
      <c r="P1590" t="s">
        <v>3108</v>
      </c>
      <c r="Q1590" t="s">
        <v>3249</v>
      </c>
      <c r="R1590" t="s">
        <v>3249</v>
      </c>
      <c r="S1590" t="s">
        <v>810</v>
      </c>
      <c r="T1590" t="s">
        <v>2754</v>
      </c>
      <c r="U1590" t="s">
        <v>3250</v>
      </c>
      <c r="V1590" t="s">
        <v>3250</v>
      </c>
      <c r="W1590" t="s">
        <v>3250</v>
      </c>
      <c r="X1590" t="s">
        <v>3250</v>
      </c>
      <c r="Y1590" t="s">
        <v>3250</v>
      </c>
      <c r="Z1590" t="s">
        <v>3250</v>
      </c>
      <c r="AA1590" t="s">
        <v>3108</v>
      </c>
      <c r="AB1590" t="s">
        <v>3108</v>
      </c>
      <c r="AC1590" t="s">
        <v>3250</v>
      </c>
      <c r="AD1590" t="s">
        <v>3250</v>
      </c>
      <c r="AE1590" t="s">
        <v>3250</v>
      </c>
      <c r="AF1590" t="s">
        <v>3250</v>
      </c>
      <c r="AG1590" t="s">
        <v>3250</v>
      </c>
      <c r="AH1590" t="s">
        <v>3250</v>
      </c>
      <c r="AI1590" t="s">
        <v>3250</v>
      </c>
      <c r="AJ1590" t="s">
        <v>3250</v>
      </c>
      <c r="AL1590" t="s">
        <v>3250</v>
      </c>
      <c r="AM1590" t="s">
        <v>3250</v>
      </c>
      <c r="AN1590" t="s">
        <v>3250</v>
      </c>
      <c r="AO1590" t="s">
        <v>3250</v>
      </c>
      <c r="AS1590" t="s">
        <v>3250</v>
      </c>
      <c r="AT1590" t="s">
        <v>3250</v>
      </c>
      <c r="AU1590" t="s">
        <v>3250</v>
      </c>
      <c r="AV1590" t="s">
        <v>3250</v>
      </c>
      <c r="AW1590" t="s">
        <v>3250</v>
      </c>
      <c r="AX1590" t="s">
        <v>3250</v>
      </c>
      <c r="AY1590" t="s">
        <v>3250</v>
      </c>
      <c r="AZ1590" t="s">
        <v>3250</v>
      </c>
      <c r="BA1590" t="s">
        <v>3250</v>
      </c>
      <c r="BB1590" t="s">
        <v>3250</v>
      </c>
      <c r="BC1590" t="s">
        <v>3250</v>
      </c>
      <c r="BE1590" t="s">
        <v>3250</v>
      </c>
      <c r="BF1590" t="s">
        <v>3250</v>
      </c>
      <c r="BG1590" t="s">
        <v>3250</v>
      </c>
      <c r="BH1590" t="s">
        <v>3250</v>
      </c>
      <c r="BI1590" t="s">
        <v>3250</v>
      </c>
      <c r="BK1590" t="s">
        <v>3250</v>
      </c>
      <c r="BL1590" t="s">
        <v>3250</v>
      </c>
      <c r="BM1590" t="s">
        <v>3250</v>
      </c>
      <c r="BN1590" t="s">
        <v>3250</v>
      </c>
      <c r="BP1590">
        <v>9</v>
      </c>
      <c r="BQ1590">
        <v>91</v>
      </c>
      <c r="BR1590" t="s">
        <v>2390</v>
      </c>
      <c r="BS1590" t="s">
        <v>1675</v>
      </c>
      <c r="BV1590">
        <v>32441</v>
      </c>
      <c r="BW1590">
        <v>0</v>
      </c>
      <c r="BX1590">
        <v>0</v>
      </c>
      <c r="BY1590">
        <v>40000</v>
      </c>
      <c r="BZ1590">
        <v>40000</v>
      </c>
      <c r="CA1590">
        <v>60000</v>
      </c>
      <c r="CB1590">
        <v>62400</v>
      </c>
      <c r="CC1590">
        <v>64896</v>
      </c>
      <c r="CD1590">
        <v>0</v>
      </c>
      <c r="CE1590" t="s">
        <v>3108</v>
      </c>
      <c r="CF1590" t="s">
        <v>3108</v>
      </c>
      <c r="CG1590" t="s">
        <v>3108</v>
      </c>
      <c r="CH1590" t="s">
        <v>3108</v>
      </c>
    </row>
    <row r="1591" spans="1:86" x14ac:dyDescent="0.2">
      <c r="A1591" t="s">
        <v>5554</v>
      </c>
      <c r="B1591" t="s">
        <v>5554</v>
      </c>
      <c r="C1591">
        <v>54708</v>
      </c>
      <c r="D1591">
        <v>1712</v>
      </c>
      <c r="E1591" t="s">
        <v>5555</v>
      </c>
      <c r="F1591">
        <v>2700</v>
      </c>
      <c r="G1591" t="s">
        <v>411</v>
      </c>
      <c r="H1591" t="s">
        <v>3997</v>
      </c>
      <c r="I1591" t="s">
        <v>2533</v>
      </c>
      <c r="J1591">
        <v>2703</v>
      </c>
      <c r="K1591" t="s">
        <v>2533</v>
      </c>
      <c r="L1591">
        <v>4100</v>
      </c>
      <c r="M1591" t="s">
        <v>2365</v>
      </c>
      <c r="N1591">
        <v>4101</v>
      </c>
      <c r="O1591" t="s">
        <v>2432</v>
      </c>
      <c r="P1591" t="s">
        <v>3108</v>
      </c>
      <c r="Q1591" t="s">
        <v>3249</v>
      </c>
      <c r="R1591" t="s">
        <v>3249</v>
      </c>
      <c r="S1591" t="s">
        <v>810</v>
      </c>
      <c r="T1591" t="s">
        <v>2754</v>
      </c>
      <c r="U1591" t="s">
        <v>3250</v>
      </c>
      <c r="V1591" t="s">
        <v>3250</v>
      </c>
      <c r="W1591" t="s">
        <v>3250</v>
      </c>
      <c r="X1591" t="s">
        <v>3250</v>
      </c>
      <c r="Y1591" t="s">
        <v>3250</v>
      </c>
      <c r="Z1591" t="s">
        <v>3250</v>
      </c>
      <c r="AA1591" t="s">
        <v>3108</v>
      </c>
      <c r="AB1591" t="s">
        <v>3108</v>
      </c>
      <c r="AC1591" t="s">
        <v>3250</v>
      </c>
      <c r="AD1591" t="s">
        <v>3250</v>
      </c>
      <c r="AE1591" t="s">
        <v>3250</v>
      </c>
      <c r="AF1591" t="s">
        <v>3250</v>
      </c>
      <c r="AG1591" t="s">
        <v>3250</v>
      </c>
      <c r="AH1591" t="s">
        <v>3250</v>
      </c>
      <c r="AI1591" t="s">
        <v>3250</v>
      </c>
      <c r="AJ1591" t="s">
        <v>3250</v>
      </c>
      <c r="AL1591" t="s">
        <v>3250</v>
      </c>
      <c r="AM1591" t="s">
        <v>3250</v>
      </c>
      <c r="AN1591" t="s">
        <v>3250</v>
      </c>
      <c r="AO1591" t="s">
        <v>3250</v>
      </c>
      <c r="AS1591" t="s">
        <v>3250</v>
      </c>
      <c r="AT1591" t="s">
        <v>3250</v>
      </c>
      <c r="AU1591" t="s">
        <v>3250</v>
      </c>
      <c r="AV1591" t="s">
        <v>3250</v>
      </c>
      <c r="AW1591" t="s">
        <v>3250</v>
      </c>
      <c r="AX1591" t="s">
        <v>3250</v>
      </c>
      <c r="AY1591" t="s">
        <v>3250</v>
      </c>
      <c r="AZ1591" t="s">
        <v>3250</v>
      </c>
      <c r="BA1591" t="s">
        <v>3250</v>
      </c>
      <c r="BB1591" t="s">
        <v>3250</v>
      </c>
      <c r="BC1591" t="s">
        <v>3250</v>
      </c>
      <c r="BE1591" t="s">
        <v>3250</v>
      </c>
      <c r="BF1591" t="s">
        <v>3250</v>
      </c>
      <c r="BG1591" t="s">
        <v>3250</v>
      </c>
      <c r="BH1591" t="s">
        <v>3250</v>
      </c>
      <c r="BI1591" t="s">
        <v>3250</v>
      </c>
      <c r="BK1591" t="s">
        <v>3250</v>
      </c>
      <c r="BL1591" t="s">
        <v>3250</v>
      </c>
      <c r="BM1591" t="s">
        <v>3250</v>
      </c>
      <c r="BN1591" t="s">
        <v>3250</v>
      </c>
      <c r="BP1591">
        <v>6</v>
      </c>
      <c r="BQ1591">
        <v>61</v>
      </c>
      <c r="BR1591" t="s">
        <v>555</v>
      </c>
      <c r="BS1591" t="s">
        <v>4397</v>
      </c>
      <c r="BV1591">
        <v>6223503</v>
      </c>
      <c r="BW1591">
        <v>3222602</v>
      </c>
      <c r="BX1591">
        <v>0</v>
      </c>
      <c r="BY1591">
        <v>0</v>
      </c>
      <c r="BZ1591">
        <v>0</v>
      </c>
      <c r="CA1591">
        <v>0</v>
      </c>
      <c r="CB1591">
        <v>0</v>
      </c>
      <c r="CC1591">
        <v>0</v>
      </c>
      <c r="CD1591">
        <v>200000</v>
      </c>
      <c r="CE1591" t="s">
        <v>3108</v>
      </c>
      <c r="CF1591" t="s">
        <v>3108</v>
      </c>
      <c r="CG1591" t="s">
        <v>3108</v>
      </c>
      <c r="CH1591" t="s">
        <v>3108</v>
      </c>
    </row>
    <row r="1592" spans="1:86" x14ac:dyDescent="0.2">
      <c r="A1592" t="s">
        <v>5556</v>
      </c>
      <c r="B1592" t="s">
        <v>5556</v>
      </c>
      <c r="C1592">
        <v>54709</v>
      </c>
      <c r="D1592">
        <v>1705</v>
      </c>
      <c r="E1592" t="s">
        <v>5557</v>
      </c>
      <c r="F1592" t="s">
        <v>3249</v>
      </c>
      <c r="G1592" t="s">
        <v>3249</v>
      </c>
      <c r="H1592" t="s">
        <v>3250</v>
      </c>
      <c r="I1592" t="s">
        <v>3250</v>
      </c>
      <c r="J1592" t="s">
        <v>3250</v>
      </c>
      <c r="K1592" t="s">
        <v>3250</v>
      </c>
      <c r="L1592">
        <v>1200</v>
      </c>
      <c r="M1592" t="s">
        <v>2368</v>
      </c>
      <c r="N1592">
        <v>1204</v>
      </c>
      <c r="O1592" t="s">
        <v>1574</v>
      </c>
      <c r="P1592" t="s">
        <v>3108</v>
      </c>
      <c r="Q1592" t="s">
        <v>3249</v>
      </c>
      <c r="R1592" t="s">
        <v>3249</v>
      </c>
      <c r="S1592" t="s">
        <v>472</v>
      </c>
      <c r="T1592" t="s">
        <v>3789</v>
      </c>
      <c r="U1592">
        <v>360</v>
      </c>
      <c r="V1592" t="s">
        <v>3790</v>
      </c>
      <c r="W1592">
        <v>360</v>
      </c>
      <c r="X1592" t="s">
        <v>601</v>
      </c>
      <c r="Y1592" t="s">
        <v>3250</v>
      </c>
      <c r="Z1592" t="s">
        <v>3250</v>
      </c>
      <c r="AA1592" t="s">
        <v>3108</v>
      </c>
      <c r="AB1592" t="s">
        <v>3108</v>
      </c>
      <c r="AC1592" t="s">
        <v>3250</v>
      </c>
      <c r="AD1592" t="s">
        <v>3250</v>
      </c>
      <c r="AE1592" t="s">
        <v>3250</v>
      </c>
      <c r="AF1592" t="s">
        <v>3250</v>
      </c>
      <c r="AG1592" t="s">
        <v>3250</v>
      </c>
      <c r="AH1592" t="s">
        <v>3250</v>
      </c>
      <c r="AI1592" t="s">
        <v>3250</v>
      </c>
      <c r="AJ1592" t="s">
        <v>3250</v>
      </c>
      <c r="AL1592">
        <v>361</v>
      </c>
      <c r="AM1592" t="s">
        <v>2523</v>
      </c>
      <c r="AN1592">
        <v>361</v>
      </c>
      <c r="AO1592" t="s">
        <v>2523</v>
      </c>
      <c r="AS1592" t="s">
        <v>3250</v>
      </c>
      <c r="AT1592" t="s">
        <v>3250</v>
      </c>
      <c r="AU1592" t="s">
        <v>3250</v>
      </c>
      <c r="AV1592" t="s">
        <v>3250</v>
      </c>
      <c r="AW1592" t="s">
        <v>3250</v>
      </c>
      <c r="AX1592" t="s">
        <v>3250</v>
      </c>
      <c r="AY1592" t="s">
        <v>3250</v>
      </c>
      <c r="AZ1592" t="s">
        <v>3250</v>
      </c>
      <c r="BA1592" t="s">
        <v>3250</v>
      </c>
      <c r="BB1592" t="s">
        <v>3250</v>
      </c>
      <c r="BC1592" t="s">
        <v>3250</v>
      </c>
      <c r="BE1592" t="s">
        <v>3250</v>
      </c>
      <c r="BF1592" t="s">
        <v>3250</v>
      </c>
      <c r="BG1592" t="s">
        <v>3250</v>
      </c>
      <c r="BH1592" t="s">
        <v>3250</v>
      </c>
      <c r="BI1592" t="s">
        <v>3250</v>
      </c>
      <c r="BK1592" t="s">
        <v>3250</v>
      </c>
      <c r="BL1592" t="s">
        <v>3250</v>
      </c>
      <c r="BM1592" t="s">
        <v>3250</v>
      </c>
      <c r="BN1592" t="s">
        <v>3250</v>
      </c>
      <c r="BP1592">
        <v>1</v>
      </c>
      <c r="BQ1592">
        <v>11</v>
      </c>
      <c r="BR1592" t="s">
        <v>1574</v>
      </c>
      <c r="BS1592" t="s">
        <v>3252</v>
      </c>
      <c r="BV1592">
        <v>0</v>
      </c>
      <c r="BW1592">
        <v>0</v>
      </c>
      <c r="BX1592">
        <v>0</v>
      </c>
      <c r="BY1592">
        <v>0</v>
      </c>
      <c r="BZ1592">
        <v>0</v>
      </c>
      <c r="CA1592">
        <v>0</v>
      </c>
      <c r="CB1592">
        <v>0</v>
      </c>
      <c r="CC1592">
        <v>0</v>
      </c>
      <c r="CD1592">
        <v>0</v>
      </c>
      <c r="CE1592" t="s">
        <v>3108</v>
      </c>
      <c r="CF1592" t="s">
        <v>3108</v>
      </c>
      <c r="CG1592" t="s">
        <v>3108</v>
      </c>
      <c r="CH1592" t="s">
        <v>3108</v>
      </c>
    </row>
    <row r="1593" spans="1:86" x14ac:dyDescent="0.2">
      <c r="A1593" t="s">
        <v>5558</v>
      </c>
      <c r="B1593" t="s">
        <v>5558</v>
      </c>
      <c r="C1593">
        <v>54710</v>
      </c>
      <c r="D1593">
        <v>1706</v>
      </c>
      <c r="E1593" t="s">
        <v>5559</v>
      </c>
      <c r="F1593" t="s">
        <v>3249</v>
      </c>
      <c r="G1593" t="s">
        <v>3249</v>
      </c>
      <c r="H1593" t="s">
        <v>3250</v>
      </c>
      <c r="I1593" t="s">
        <v>3250</v>
      </c>
      <c r="J1593" t="s">
        <v>3250</v>
      </c>
      <c r="K1593" t="s">
        <v>3250</v>
      </c>
      <c r="L1593">
        <v>1200</v>
      </c>
      <c r="M1593" t="s">
        <v>2368</v>
      </c>
      <c r="N1593">
        <v>1204</v>
      </c>
      <c r="O1593" t="s">
        <v>1574</v>
      </c>
      <c r="P1593" t="s">
        <v>3108</v>
      </c>
      <c r="Q1593" t="s">
        <v>3249</v>
      </c>
      <c r="R1593" t="s">
        <v>3249</v>
      </c>
      <c r="S1593" t="s">
        <v>472</v>
      </c>
      <c r="T1593" t="s">
        <v>3789</v>
      </c>
      <c r="U1593">
        <v>360</v>
      </c>
      <c r="V1593" t="s">
        <v>3790</v>
      </c>
      <c r="W1593">
        <v>360</v>
      </c>
      <c r="X1593" t="s">
        <v>601</v>
      </c>
      <c r="Y1593" t="s">
        <v>3250</v>
      </c>
      <c r="Z1593" t="s">
        <v>3250</v>
      </c>
      <c r="AA1593" t="s">
        <v>3108</v>
      </c>
      <c r="AB1593" t="s">
        <v>3108</v>
      </c>
      <c r="AC1593" t="s">
        <v>3250</v>
      </c>
      <c r="AD1593" t="s">
        <v>3250</v>
      </c>
      <c r="AE1593" t="s">
        <v>3250</v>
      </c>
      <c r="AF1593" t="s">
        <v>3250</v>
      </c>
      <c r="AG1593" t="s">
        <v>3250</v>
      </c>
      <c r="AH1593" t="s">
        <v>3250</v>
      </c>
      <c r="AI1593" t="s">
        <v>3250</v>
      </c>
      <c r="AJ1593" t="s">
        <v>3250</v>
      </c>
      <c r="AL1593">
        <v>361</v>
      </c>
      <c r="AM1593" t="s">
        <v>2523</v>
      </c>
      <c r="AN1593">
        <v>361</v>
      </c>
      <c r="AO1593" t="s">
        <v>2523</v>
      </c>
      <c r="AS1593" t="s">
        <v>3250</v>
      </c>
      <c r="AT1593" t="s">
        <v>3250</v>
      </c>
      <c r="AU1593" t="s">
        <v>3250</v>
      </c>
      <c r="AV1593" t="s">
        <v>3250</v>
      </c>
      <c r="AW1593" t="s">
        <v>3250</v>
      </c>
      <c r="AX1593" t="s">
        <v>3250</v>
      </c>
      <c r="AY1593" t="s">
        <v>3250</v>
      </c>
      <c r="AZ1593" t="s">
        <v>3250</v>
      </c>
      <c r="BA1593" t="s">
        <v>3250</v>
      </c>
      <c r="BB1593" t="s">
        <v>3250</v>
      </c>
      <c r="BC1593" t="s">
        <v>3250</v>
      </c>
      <c r="BE1593" t="s">
        <v>3250</v>
      </c>
      <c r="BF1593" t="s">
        <v>3250</v>
      </c>
      <c r="BG1593" t="s">
        <v>3250</v>
      </c>
      <c r="BH1593" t="s">
        <v>3250</v>
      </c>
      <c r="BI1593" t="s">
        <v>3250</v>
      </c>
      <c r="BK1593" t="s">
        <v>3250</v>
      </c>
      <c r="BL1593" t="s">
        <v>3250</v>
      </c>
      <c r="BM1593" t="s">
        <v>3250</v>
      </c>
      <c r="BN1593" t="s">
        <v>3250</v>
      </c>
      <c r="BP1593">
        <v>1</v>
      </c>
      <c r="BQ1593">
        <v>11</v>
      </c>
      <c r="BR1593" t="s">
        <v>1574</v>
      </c>
      <c r="BS1593" t="s">
        <v>3252</v>
      </c>
      <c r="BV1593">
        <v>0</v>
      </c>
      <c r="BW1593">
        <v>0</v>
      </c>
      <c r="BX1593">
        <v>0</v>
      </c>
      <c r="BY1593">
        <v>0</v>
      </c>
      <c r="BZ1593">
        <v>0</v>
      </c>
      <c r="CA1593">
        <v>0</v>
      </c>
      <c r="CB1593">
        <v>0</v>
      </c>
      <c r="CC1593">
        <v>0</v>
      </c>
      <c r="CD1593">
        <v>0</v>
      </c>
      <c r="CE1593" t="s">
        <v>3108</v>
      </c>
      <c r="CF1593" t="s">
        <v>3108</v>
      </c>
      <c r="CG1593" t="s">
        <v>3108</v>
      </c>
      <c r="CH1593" t="s">
        <v>3108</v>
      </c>
    </row>
    <row r="1594" spans="1:86" x14ac:dyDescent="0.2">
      <c r="A1594" t="s">
        <v>5560</v>
      </c>
      <c r="B1594" t="s">
        <v>5560</v>
      </c>
      <c r="C1594">
        <v>54711</v>
      </c>
      <c r="D1594">
        <v>1707</v>
      </c>
      <c r="E1594" t="s">
        <v>5561</v>
      </c>
      <c r="F1594" t="s">
        <v>3249</v>
      </c>
      <c r="G1594" t="s">
        <v>3249</v>
      </c>
      <c r="H1594" t="s">
        <v>3250</v>
      </c>
      <c r="I1594" t="s">
        <v>3250</v>
      </c>
      <c r="J1594" t="s">
        <v>3250</v>
      </c>
      <c r="K1594" t="s">
        <v>3250</v>
      </c>
      <c r="L1594">
        <v>1200</v>
      </c>
      <c r="M1594" t="s">
        <v>2368</v>
      </c>
      <c r="N1594">
        <v>1204</v>
      </c>
      <c r="O1594" t="s">
        <v>1574</v>
      </c>
      <c r="P1594" t="s">
        <v>3108</v>
      </c>
      <c r="Q1594" t="s">
        <v>3249</v>
      </c>
      <c r="R1594" t="s">
        <v>3249</v>
      </c>
      <c r="S1594" t="s">
        <v>472</v>
      </c>
      <c r="T1594" t="s">
        <v>3789</v>
      </c>
      <c r="U1594">
        <v>360</v>
      </c>
      <c r="V1594" t="s">
        <v>3790</v>
      </c>
      <c r="W1594">
        <v>360</v>
      </c>
      <c r="X1594" t="s">
        <v>601</v>
      </c>
      <c r="Y1594" t="s">
        <v>3250</v>
      </c>
      <c r="Z1594" t="s">
        <v>3250</v>
      </c>
      <c r="AA1594" t="s">
        <v>3108</v>
      </c>
      <c r="AB1594" t="s">
        <v>3108</v>
      </c>
      <c r="AC1594" t="s">
        <v>3250</v>
      </c>
      <c r="AD1594" t="s">
        <v>3250</v>
      </c>
      <c r="AE1594" t="s">
        <v>3250</v>
      </c>
      <c r="AF1594" t="s">
        <v>3250</v>
      </c>
      <c r="AG1594" t="s">
        <v>3250</v>
      </c>
      <c r="AH1594" t="s">
        <v>3250</v>
      </c>
      <c r="AI1594" t="s">
        <v>3250</v>
      </c>
      <c r="AJ1594" t="s">
        <v>3250</v>
      </c>
      <c r="AL1594">
        <v>361</v>
      </c>
      <c r="AM1594" t="s">
        <v>2523</v>
      </c>
      <c r="AN1594">
        <v>361</v>
      </c>
      <c r="AO1594" t="s">
        <v>2523</v>
      </c>
      <c r="AS1594" t="s">
        <v>3250</v>
      </c>
      <c r="AT1594" t="s">
        <v>3250</v>
      </c>
      <c r="AU1594" t="s">
        <v>3250</v>
      </c>
      <c r="AV1594" t="s">
        <v>3250</v>
      </c>
      <c r="AW1594" t="s">
        <v>3250</v>
      </c>
      <c r="AX1594" t="s">
        <v>3250</v>
      </c>
      <c r="AY1594" t="s">
        <v>3250</v>
      </c>
      <c r="AZ1594" t="s">
        <v>3250</v>
      </c>
      <c r="BA1594" t="s">
        <v>3250</v>
      </c>
      <c r="BB1594" t="s">
        <v>3250</v>
      </c>
      <c r="BC1594" t="s">
        <v>3250</v>
      </c>
      <c r="BE1594" t="s">
        <v>3250</v>
      </c>
      <c r="BF1594" t="s">
        <v>3250</v>
      </c>
      <c r="BG1594" t="s">
        <v>3250</v>
      </c>
      <c r="BH1594" t="s">
        <v>3250</v>
      </c>
      <c r="BI1594" t="s">
        <v>3250</v>
      </c>
      <c r="BK1594" t="s">
        <v>3250</v>
      </c>
      <c r="BL1594" t="s">
        <v>3250</v>
      </c>
      <c r="BM1594" t="s">
        <v>3250</v>
      </c>
      <c r="BN1594" t="s">
        <v>3250</v>
      </c>
      <c r="BP1594">
        <v>1</v>
      </c>
      <c r="BQ1594">
        <v>11</v>
      </c>
      <c r="BR1594" t="s">
        <v>1574</v>
      </c>
      <c r="BS1594" t="s">
        <v>3252</v>
      </c>
      <c r="BV1594">
        <v>0</v>
      </c>
      <c r="BW1594">
        <v>0</v>
      </c>
      <c r="BX1594">
        <v>0</v>
      </c>
      <c r="BY1594">
        <v>0</v>
      </c>
      <c r="BZ1594">
        <v>0</v>
      </c>
      <c r="CA1594">
        <v>0</v>
      </c>
      <c r="CB1594">
        <v>0</v>
      </c>
      <c r="CC1594">
        <v>0</v>
      </c>
      <c r="CD1594">
        <v>0</v>
      </c>
      <c r="CE1594" t="s">
        <v>3108</v>
      </c>
      <c r="CF1594" t="s">
        <v>3108</v>
      </c>
      <c r="CG1594" t="s">
        <v>3108</v>
      </c>
      <c r="CH1594" t="s">
        <v>3108</v>
      </c>
    </row>
    <row r="1595" spans="1:86" x14ac:dyDescent="0.2">
      <c r="A1595" t="s">
        <v>5562</v>
      </c>
      <c r="B1595" t="s">
        <v>5562</v>
      </c>
      <c r="C1595">
        <v>54712</v>
      </c>
      <c r="D1595">
        <v>1708</v>
      </c>
      <c r="E1595" t="s">
        <v>5563</v>
      </c>
      <c r="F1595" t="s">
        <v>3249</v>
      </c>
      <c r="G1595" t="s">
        <v>3249</v>
      </c>
      <c r="H1595" t="s">
        <v>3250</v>
      </c>
      <c r="I1595" t="s">
        <v>3250</v>
      </c>
      <c r="J1595" t="s">
        <v>3250</v>
      </c>
      <c r="K1595" t="s">
        <v>3250</v>
      </c>
      <c r="L1595">
        <v>1200</v>
      </c>
      <c r="M1595" t="s">
        <v>2368</v>
      </c>
      <c r="N1595">
        <v>1204</v>
      </c>
      <c r="O1595" t="s">
        <v>1574</v>
      </c>
      <c r="P1595" t="s">
        <v>3108</v>
      </c>
      <c r="Q1595" t="s">
        <v>3249</v>
      </c>
      <c r="R1595" t="s">
        <v>3249</v>
      </c>
      <c r="S1595" t="s">
        <v>472</v>
      </c>
      <c r="T1595" t="s">
        <v>3251</v>
      </c>
      <c r="U1595">
        <v>150</v>
      </c>
      <c r="V1595" t="s">
        <v>1328</v>
      </c>
      <c r="W1595">
        <v>150</v>
      </c>
      <c r="X1595" t="s">
        <v>1328</v>
      </c>
      <c r="Y1595" t="s">
        <v>3250</v>
      </c>
      <c r="Z1595" t="s">
        <v>3250</v>
      </c>
      <c r="AA1595" t="s">
        <v>3108</v>
      </c>
      <c r="AB1595" t="s">
        <v>3108</v>
      </c>
      <c r="AC1595" t="s">
        <v>3250</v>
      </c>
      <c r="AD1595" t="s">
        <v>3250</v>
      </c>
      <c r="AE1595" t="s">
        <v>3250</v>
      </c>
      <c r="AF1595" t="s">
        <v>3250</v>
      </c>
      <c r="AG1595" t="s">
        <v>3250</v>
      </c>
      <c r="AH1595" t="s">
        <v>3250</v>
      </c>
      <c r="AI1595" t="s">
        <v>3250</v>
      </c>
      <c r="AJ1595" t="s">
        <v>3250</v>
      </c>
      <c r="AL1595" t="s">
        <v>3250</v>
      </c>
      <c r="AM1595" t="s">
        <v>3250</v>
      </c>
      <c r="AN1595" t="s">
        <v>3250</v>
      </c>
      <c r="AO1595" t="s">
        <v>3250</v>
      </c>
      <c r="AS1595" t="s">
        <v>3250</v>
      </c>
      <c r="AT1595" t="s">
        <v>3250</v>
      </c>
      <c r="AU1595" t="s">
        <v>3250</v>
      </c>
      <c r="AV1595" t="s">
        <v>3250</v>
      </c>
      <c r="AW1595" t="s">
        <v>3250</v>
      </c>
      <c r="AX1595" t="s">
        <v>3250</v>
      </c>
      <c r="AY1595" t="s">
        <v>3250</v>
      </c>
      <c r="AZ1595" t="s">
        <v>3250</v>
      </c>
      <c r="BA1595" t="s">
        <v>3250</v>
      </c>
      <c r="BB1595" t="s">
        <v>3250</v>
      </c>
      <c r="BC1595" t="s">
        <v>3250</v>
      </c>
      <c r="BE1595" t="s">
        <v>3250</v>
      </c>
      <c r="BF1595" t="s">
        <v>3250</v>
      </c>
      <c r="BG1595" t="s">
        <v>3250</v>
      </c>
      <c r="BH1595" t="s">
        <v>3250</v>
      </c>
      <c r="BI1595" t="s">
        <v>3250</v>
      </c>
      <c r="BK1595" t="s">
        <v>3250</v>
      </c>
      <c r="BL1595" t="s">
        <v>3250</v>
      </c>
      <c r="BM1595" t="s">
        <v>3250</v>
      </c>
      <c r="BN1595" t="s">
        <v>3250</v>
      </c>
      <c r="BP1595">
        <v>1</v>
      </c>
      <c r="BQ1595">
        <v>11</v>
      </c>
      <c r="BR1595" t="s">
        <v>1574</v>
      </c>
      <c r="BS1595" t="s">
        <v>3252</v>
      </c>
      <c r="BV1595">
        <v>0</v>
      </c>
      <c r="BW1595">
        <v>0</v>
      </c>
      <c r="BX1595">
        <v>0</v>
      </c>
      <c r="BY1595">
        <v>0</v>
      </c>
      <c r="BZ1595">
        <v>0</v>
      </c>
      <c r="CA1595">
        <v>0</v>
      </c>
      <c r="CB1595">
        <v>0</v>
      </c>
      <c r="CC1595">
        <v>0</v>
      </c>
      <c r="CD1595">
        <v>0</v>
      </c>
      <c r="CE1595" t="s">
        <v>3108</v>
      </c>
      <c r="CF1595" t="s">
        <v>3108</v>
      </c>
      <c r="CG1595" t="s">
        <v>3108</v>
      </c>
      <c r="CH1595" t="s">
        <v>3108</v>
      </c>
    </row>
    <row r="1596" spans="1:86" x14ac:dyDescent="0.2">
      <c r="A1596" t="s">
        <v>5564</v>
      </c>
      <c r="B1596" t="s">
        <v>5564</v>
      </c>
      <c r="C1596">
        <v>54713</v>
      </c>
      <c r="D1596">
        <v>1709</v>
      </c>
      <c r="E1596" t="s">
        <v>5565</v>
      </c>
      <c r="F1596" t="s">
        <v>3249</v>
      </c>
      <c r="G1596" t="s">
        <v>3249</v>
      </c>
      <c r="H1596" t="s">
        <v>3250</v>
      </c>
      <c r="I1596" t="s">
        <v>3250</v>
      </c>
      <c r="J1596" t="s">
        <v>3250</v>
      </c>
      <c r="K1596" t="s">
        <v>3250</v>
      </c>
      <c r="L1596">
        <v>1200</v>
      </c>
      <c r="M1596" t="s">
        <v>2368</v>
      </c>
      <c r="N1596">
        <v>1204</v>
      </c>
      <c r="O1596" t="s">
        <v>1574</v>
      </c>
      <c r="P1596" t="s">
        <v>3108</v>
      </c>
      <c r="Q1596" t="s">
        <v>3249</v>
      </c>
      <c r="R1596" t="s">
        <v>3249</v>
      </c>
      <c r="S1596" t="s">
        <v>472</v>
      </c>
      <c r="T1596" t="s">
        <v>3251</v>
      </c>
      <c r="U1596">
        <v>150</v>
      </c>
      <c r="V1596" t="s">
        <v>1328</v>
      </c>
      <c r="W1596">
        <v>150</v>
      </c>
      <c r="X1596" t="s">
        <v>1328</v>
      </c>
      <c r="Y1596" t="s">
        <v>3250</v>
      </c>
      <c r="Z1596" t="s">
        <v>3250</v>
      </c>
      <c r="AA1596" t="s">
        <v>3108</v>
      </c>
      <c r="AB1596" t="s">
        <v>3108</v>
      </c>
      <c r="AC1596" t="s">
        <v>3250</v>
      </c>
      <c r="AD1596" t="s">
        <v>3250</v>
      </c>
      <c r="AE1596" t="s">
        <v>3250</v>
      </c>
      <c r="AF1596" t="s">
        <v>3250</v>
      </c>
      <c r="AG1596" t="s">
        <v>3250</v>
      </c>
      <c r="AH1596" t="s">
        <v>3250</v>
      </c>
      <c r="AI1596" t="s">
        <v>3250</v>
      </c>
      <c r="AJ1596" t="s">
        <v>3250</v>
      </c>
      <c r="AL1596" t="s">
        <v>3250</v>
      </c>
      <c r="AM1596" t="s">
        <v>3250</v>
      </c>
      <c r="AN1596" t="s">
        <v>3250</v>
      </c>
      <c r="AO1596" t="s">
        <v>3250</v>
      </c>
      <c r="AS1596" t="s">
        <v>3250</v>
      </c>
      <c r="AT1596" t="s">
        <v>3250</v>
      </c>
      <c r="AU1596" t="s">
        <v>3250</v>
      </c>
      <c r="AV1596" t="s">
        <v>3250</v>
      </c>
      <c r="AW1596" t="s">
        <v>3250</v>
      </c>
      <c r="AX1596" t="s">
        <v>3250</v>
      </c>
      <c r="AY1596" t="s">
        <v>3250</v>
      </c>
      <c r="AZ1596" t="s">
        <v>3250</v>
      </c>
      <c r="BA1596" t="s">
        <v>3250</v>
      </c>
      <c r="BB1596" t="s">
        <v>3250</v>
      </c>
      <c r="BC1596" t="s">
        <v>3250</v>
      </c>
      <c r="BE1596" t="s">
        <v>3250</v>
      </c>
      <c r="BF1596" t="s">
        <v>3250</v>
      </c>
      <c r="BG1596" t="s">
        <v>3250</v>
      </c>
      <c r="BH1596" t="s">
        <v>3250</v>
      </c>
      <c r="BI1596" t="s">
        <v>3250</v>
      </c>
      <c r="BK1596" t="s">
        <v>3250</v>
      </c>
      <c r="BL1596" t="s">
        <v>3250</v>
      </c>
      <c r="BM1596" t="s">
        <v>3250</v>
      </c>
      <c r="BN1596" t="s">
        <v>3250</v>
      </c>
      <c r="BP1596">
        <v>1</v>
      </c>
      <c r="BQ1596">
        <v>11</v>
      </c>
      <c r="BR1596" t="s">
        <v>1574</v>
      </c>
      <c r="BS1596" t="s">
        <v>3252</v>
      </c>
      <c r="BV1596">
        <v>0</v>
      </c>
      <c r="BW1596">
        <v>0</v>
      </c>
      <c r="BX1596">
        <v>0</v>
      </c>
      <c r="BY1596">
        <v>0</v>
      </c>
      <c r="BZ1596">
        <v>0</v>
      </c>
      <c r="CA1596">
        <v>0</v>
      </c>
      <c r="CB1596">
        <v>0</v>
      </c>
      <c r="CC1596">
        <v>0</v>
      </c>
      <c r="CD1596">
        <v>0</v>
      </c>
      <c r="CE1596" t="s">
        <v>3108</v>
      </c>
      <c r="CF1596" t="s">
        <v>3108</v>
      </c>
      <c r="CG1596" t="s">
        <v>3108</v>
      </c>
      <c r="CH1596" t="s">
        <v>3108</v>
      </c>
    </row>
    <row r="1597" spans="1:86" x14ac:dyDescent="0.2">
      <c r="A1597" t="s">
        <v>5566</v>
      </c>
      <c r="B1597" t="s">
        <v>5566</v>
      </c>
      <c r="C1597">
        <v>54714</v>
      </c>
      <c r="D1597">
        <v>1710</v>
      </c>
      <c r="E1597" t="s">
        <v>5567</v>
      </c>
      <c r="F1597" t="s">
        <v>3249</v>
      </c>
      <c r="G1597" t="s">
        <v>3249</v>
      </c>
      <c r="H1597" t="s">
        <v>3250</v>
      </c>
      <c r="I1597" t="s">
        <v>3250</v>
      </c>
      <c r="J1597" t="s">
        <v>3250</v>
      </c>
      <c r="K1597" t="s">
        <v>3250</v>
      </c>
      <c r="L1597">
        <v>1200</v>
      </c>
      <c r="M1597" t="s">
        <v>2368</v>
      </c>
      <c r="N1597">
        <v>1204</v>
      </c>
      <c r="O1597" t="s">
        <v>1574</v>
      </c>
      <c r="P1597" t="s">
        <v>3108</v>
      </c>
      <c r="Q1597" t="s">
        <v>3249</v>
      </c>
      <c r="R1597" t="s">
        <v>3249</v>
      </c>
      <c r="S1597" t="s">
        <v>472</v>
      </c>
      <c r="T1597" t="s">
        <v>3251</v>
      </c>
      <c r="U1597">
        <v>150</v>
      </c>
      <c r="V1597" t="s">
        <v>1328</v>
      </c>
      <c r="W1597">
        <v>150</v>
      </c>
      <c r="X1597" t="s">
        <v>1328</v>
      </c>
      <c r="Y1597" t="s">
        <v>3250</v>
      </c>
      <c r="Z1597" t="s">
        <v>3250</v>
      </c>
      <c r="AA1597" t="s">
        <v>3108</v>
      </c>
      <c r="AB1597" t="s">
        <v>3108</v>
      </c>
      <c r="AC1597" t="s">
        <v>3250</v>
      </c>
      <c r="AD1597" t="s">
        <v>3250</v>
      </c>
      <c r="AE1597" t="s">
        <v>3250</v>
      </c>
      <c r="AF1597" t="s">
        <v>3250</v>
      </c>
      <c r="AG1597" t="s">
        <v>3250</v>
      </c>
      <c r="AH1597" t="s">
        <v>3250</v>
      </c>
      <c r="AI1597" t="s">
        <v>3250</v>
      </c>
      <c r="AJ1597" t="s">
        <v>3250</v>
      </c>
      <c r="AL1597" t="s">
        <v>3250</v>
      </c>
      <c r="AM1597" t="s">
        <v>3250</v>
      </c>
      <c r="AN1597" t="s">
        <v>3250</v>
      </c>
      <c r="AO1597" t="s">
        <v>3250</v>
      </c>
      <c r="AS1597" t="s">
        <v>3250</v>
      </c>
      <c r="AT1597" t="s">
        <v>3250</v>
      </c>
      <c r="AU1597" t="s">
        <v>3250</v>
      </c>
      <c r="AV1597" t="s">
        <v>3250</v>
      </c>
      <c r="AW1597" t="s">
        <v>3250</v>
      </c>
      <c r="AX1597" t="s">
        <v>3250</v>
      </c>
      <c r="AY1597" t="s">
        <v>3250</v>
      </c>
      <c r="AZ1597" t="s">
        <v>3250</v>
      </c>
      <c r="BA1597" t="s">
        <v>3250</v>
      </c>
      <c r="BB1597" t="s">
        <v>3250</v>
      </c>
      <c r="BC1597" t="s">
        <v>3250</v>
      </c>
      <c r="BE1597" t="s">
        <v>3250</v>
      </c>
      <c r="BF1597" t="s">
        <v>3250</v>
      </c>
      <c r="BG1597" t="s">
        <v>3250</v>
      </c>
      <c r="BH1597" t="s">
        <v>3250</v>
      </c>
      <c r="BI1597" t="s">
        <v>3250</v>
      </c>
      <c r="BK1597" t="s">
        <v>3250</v>
      </c>
      <c r="BL1597" t="s">
        <v>3250</v>
      </c>
      <c r="BM1597" t="s">
        <v>3250</v>
      </c>
      <c r="BN1597" t="s">
        <v>3250</v>
      </c>
      <c r="BP1597">
        <v>1</v>
      </c>
      <c r="BQ1597">
        <v>11</v>
      </c>
      <c r="BR1597" t="s">
        <v>1574</v>
      </c>
      <c r="BS1597" t="s">
        <v>3252</v>
      </c>
      <c r="BV1597">
        <v>0</v>
      </c>
      <c r="BW1597">
        <v>0</v>
      </c>
      <c r="BX1597">
        <v>535435</v>
      </c>
      <c r="BY1597">
        <v>543000</v>
      </c>
      <c r="BZ1597">
        <v>0</v>
      </c>
      <c r="CA1597">
        <v>1083762</v>
      </c>
      <c r="CB1597">
        <v>586744</v>
      </c>
      <c r="CC1597">
        <v>610214</v>
      </c>
      <c r="CD1597">
        <v>0</v>
      </c>
      <c r="CE1597" t="s">
        <v>3108</v>
      </c>
      <c r="CF1597" t="s">
        <v>3108</v>
      </c>
      <c r="CG1597" t="s">
        <v>3108</v>
      </c>
      <c r="CH1597" t="s">
        <v>3108</v>
      </c>
    </row>
    <row r="1598" spans="1:86" x14ac:dyDescent="0.2">
      <c r="A1598" t="s">
        <v>5568</v>
      </c>
      <c r="B1598" t="s">
        <v>5568</v>
      </c>
      <c r="C1598">
        <v>54715</v>
      </c>
      <c r="D1598">
        <v>1713</v>
      </c>
      <c r="E1598" t="s">
        <v>5563</v>
      </c>
      <c r="F1598" t="s">
        <v>3249</v>
      </c>
      <c r="G1598" t="s">
        <v>3249</v>
      </c>
      <c r="H1598" t="s">
        <v>3250</v>
      </c>
      <c r="I1598" t="s">
        <v>3250</v>
      </c>
      <c r="J1598" t="s">
        <v>3250</v>
      </c>
      <c r="K1598" t="s">
        <v>3250</v>
      </c>
      <c r="L1598">
        <v>1200</v>
      </c>
      <c r="M1598" t="s">
        <v>2368</v>
      </c>
      <c r="N1598">
        <v>1204</v>
      </c>
      <c r="O1598" t="s">
        <v>1574</v>
      </c>
      <c r="P1598" t="s">
        <v>3108</v>
      </c>
      <c r="Q1598" t="s">
        <v>3249</v>
      </c>
      <c r="R1598" t="s">
        <v>3249</v>
      </c>
      <c r="S1598" t="s">
        <v>472</v>
      </c>
      <c r="T1598" t="s">
        <v>3251</v>
      </c>
      <c r="U1598">
        <v>150</v>
      </c>
      <c r="V1598" t="s">
        <v>1328</v>
      </c>
      <c r="W1598">
        <v>150</v>
      </c>
      <c r="X1598" t="s">
        <v>1328</v>
      </c>
      <c r="Y1598" t="s">
        <v>3250</v>
      </c>
      <c r="Z1598" t="s">
        <v>3250</v>
      </c>
      <c r="AA1598" t="s">
        <v>3108</v>
      </c>
      <c r="AB1598" t="s">
        <v>3108</v>
      </c>
      <c r="AC1598" t="s">
        <v>3250</v>
      </c>
      <c r="AD1598" t="s">
        <v>3250</v>
      </c>
      <c r="AE1598" t="s">
        <v>3250</v>
      </c>
      <c r="AF1598" t="s">
        <v>3250</v>
      </c>
      <c r="AG1598" t="s">
        <v>3250</v>
      </c>
      <c r="AH1598" t="s">
        <v>3250</v>
      </c>
      <c r="AI1598" t="s">
        <v>3250</v>
      </c>
      <c r="AJ1598" t="s">
        <v>3250</v>
      </c>
      <c r="AL1598" t="s">
        <v>3250</v>
      </c>
      <c r="AM1598" t="s">
        <v>3250</v>
      </c>
      <c r="AN1598" t="s">
        <v>3250</v>
      </c>
      <c r="AO1598" t="s">
        <v>3250</v>
      </c>
      <c r="AS1598" t="s">
        <v>3250</v>
      </c>
      <c r="AT1598" t="s">
        <v>3250</v>
      </c>
      <c r="AU1598" t="s">
        <v>3250</v>
      </c>
      <c r="AV1598" t="s">
        <v>3250</v>
      </c>
      <c r="AW1598" t="s">
        <v>3250</v>
      </c>
      <c r="AX1598" t="s">
        <v>3250</v>
      </c>
      <c r="AY1598" t="s">
        <v>3250</v>
      </c>
      <c r="AZ1598" t="s">
        <v>3250</v>
      </c>
      <c r="BA1598" t="s">
        <v>3250</v>
      </c>
      <c r="BB1598" t="s">
        <v>3250</v>
      </c>
      <c r="BC1598" t="s">
        <v>3250</v>
      </c>
      <c r="BE1598" t="s">
        <v>3250</v>
      </c>
      <c r="BF1598" t="s">
        <v>3250</v>
      </c>
      <c r="BG1598" t="s">
        <v>3250</v>
      </c>
      <c r="BH1598" t="s">
        <v>3250</v>
      </c>
      <c r="BI1598" t="s">
        <v>3250</v>
      </c>
      <c r="BK1598" t="s">
        <v>3250</v>
      </c>
      <c r="BL1598" t="s">
        <v>3250</v>
      </c>
      <c r="BM1598" t="s">
        <v>3250</v>
      </c>
      <c r="BN1598" t="s">
        <v>3250</v>
      </c>
      <c r="BP1598">
        <v>1</v>
      </c>
      <c r="BQ1598">
        <v>11</v>
      </c>
      <c r="BR1598" t="s">
        <v>1574</v>
      </c>
      <c r="BS1598" t="s">
        <v>3252</v>
      </c>
      <c r="BV1598">
        <v>964896</v>
      </c>
      <c r="BW1598">
        <v>964896</v>
      </c>
      <c r="BX1598">
        <v>964896</v>
      </c>
      <c r="BY1598">
        <v>0</v>
      </c>
      <c r="BZ1598">
        <v>0</v>
      </c>
      <c r="CA1598">
        <v>0</v>
      </c>
      <c r="CB1598">
        <v>0</v>
      </c>
      <c r="CC1598">
        <v>0</v>
      </c>
      <c r="CD1598">
        <v>964896</v>
      </c>
      <c r="CE1598" t="s">
        <v>3108</v>
      </c>
      <c r="CF1598" t="s">
        <v>3108</v>
      </c>
      <c r="CG1598" t="s">
        <v>3108</v>
      </c>
      <c r="CH1598" t="s">
        <v>3108</v>
      </c>
    </row>
    <row r="1599" spans="1:86" x14ac:dyDescent="0.2">
      <c r="A1599" t="s">
        <v>5569</v>
      </c>
      <c r="B1599" t="s">
        <v>5569</v>
      </c>
      <c r="C1599">
        <v>54716</v>
      </c>
      <c r="D1599">
        <v>1714</v>
      </c>
      <c r="E1599" t="s">
        <v>5561</v>
      </c>
      <c r="F1599" t="s">
        <v>3249</v>
      </c>
      <c r="G1599" t="s">
        <v>3249</v>
      </c>
      <c r="H1599" t="s">
        <v>3250</v>
      </c>
      <c r="I1599" t="s">
        <v>3250</v>
      </c>
      <c r="J1599" t="s">
        <v>3250</v>
      </c>
      <c r="K1599" t="s">
        <v>3250</v>
      </c>
      <c r="L1599">
        <v>1200</v>
      </c>
      <c r="M1599" t="s">
        <v>2368</v>
      </c>
      <c r="N1599">
        <v>1204</v>
      </c>
      <c r="O1599" t="s">
        <v>1574</v>
      </c>
      <c r="P1599" t="s">
        <v>3108</v>
      </c>
      <c r="Q1599" t="s">
        <v>3249</v>
      </c>
      <c r="R1599" t="s">
        <v>3249</v>
      </c>
      <c r="S1599" t="s">
        <v>472</v>
      </c>
      <c r="T1599" t="s">
        <v>3789</v>
      </c>
      <c r="U1599">
        <v>360</v>
      </c>
      <c r="V1599" t="s">
        <v>3790</v>
      </c>
      <c r="W1599">
        <v>360</v>
      </c>
      <c r="X1599" t="s">
        <v>601</v>
      </c>
      <c r="Y1599" t="s">
        <v>3250</v>
      </c>
      <c r="Z1599" t="s">
        <v>3250</v>
      </c>
      <c r="AA1599" t="s">
        <v>3108</v>
      </c>
      <c r="AB1599" t="s">
        <v>3108</v>
      </c>
      <c r="AC1599" t="s">
        <v>3250</v>
      </c>
      <c r="AD1599" t="s">
        <v>3250</v>
      </c>
      <c r="AE1599" t="s">
        <v>3250</v>
      </c>
      <c r="AF1599" t="s">
        <v>3250</v>
      </c>
      <c r="AG1599" t="s">
        <v>3250</v>
      </c>
      <c r="AH1599" t="s">
        <v>3250</v>
      </c>
      <c r="AI1599" t="s">
        <v>3250</v>
      </c>
      <c r="AJ1599" t="s">
        <v>3250</v>
      </c>
      <c r="AL1599">
        <v>361</v>
      </c>
      <c r="AM1599" t="s">
        <v>2523</v>
      </c>
      <c r="AN1599">
        <v>361</v>
      </c>
      <c r="AO1599" t="s">
        <v>2523</v>
      </c>
      <c r="AS1599" t="s">
        <v>3250</v>
      </c>
      <c r="AT1599" t="s">
        <v>3250</v>
      </c>
      <c r="AU1599" t="s">
        <v>3250</v>
      </c>
      <c r="AV1599" t="s">
        <v>3250</v>
      </c>
      <c r="AW1599" t="s">
        <v>3250</v>
      </c>
      <c r="AX1599" t="s">
        <v>3250</v>
      </c>
      <c r="AY1599" t="s">
        <v>3250</v>
      </c>
      <c r="AZ1599" t="s">
        <v>3250</v>
      </c>
      <c r="BA1599" t="s">
        <v>3250</v>
      </c>
      <c r="BB1599" t="s">
        <v>3250</v>
      </c>
      <c r="BC1599" t="s">
        <v>3250</v>
      </c>
      <c r="BE1599" t="s">
        <v>3250</v>
      </c>
      <c r="BF1599" t="s">
        <v>3250</v>
      </c>
      <c r="BG1599" t="s">
        <v>3250</v>
      </c>
      <c r="BH1599" t="s">
        <v>3250</v>
      </c>
      <c r="BI1599" t="s">
        <v>3250</v>
      </c>
      <c r="BK1599" t="s">
        <v>3250</v>
      </c>
      <c r="BL1599" t="s">
        <v>3250</v>
      </c>
      <c r="BM1599" t="s">
        <v>3250</v>
      </c>
      <c r="BN1599" t="s">
        <v>3250</v>
      </c>
      <c r="BP1599">
        <v>1</v>
      </c>
      <c r="BQ1599">
        <v>11</v>
      </c>
      <c r="BR1599" t="s">
        <v>1574</v>
      </c>
      <c r="BS1599" t="s">
        <v>3252</v>
      </c>
      <c r="BV1599">
        <v>0</v>
      </c>
      <c r="BW1599">
        <v>0</v>
      </c>
      <c r="BX1599">
        <v>4356</v>
      </c>
      <c r="BY1599">
        <v>0</v>
      </c>
      <c r="BZ1599">
        <v>0</v>
      </c>
      <c r="CA1599">
        <v>0</v>
      </c>
      <c r="CB1599">
        <v>0</v>
      </c>
      <c r="CC1599">
        <v>0</v>
      </c>
      <c r="CD1599">
        <v>0</v>
      </c>
      <c r="CE1599" t="s">
        <v>3108</v>
      </c>
      <c r="CF1599" t="s">
        <v>3108</v>
      </c>
      <c r="CG1599" t="s">
        <v>3108</v>
      </c>
      <c r="CH1599" t="s">
        <v>3108</v>
      </c>
    </row>
    <row r="1600" spans="1:86" x14ac:dyDescent="0.2">
      <c r="A1600" t="s">
        <v>5570</v>
      </c>
      <c r="B1600" t="s">
        <v>5570</v>
      </c>
      <c r="C1600">
        <v>54717</v>
      </c>
      <c r="D1600">
        <v>1715</v>
      </c>
      <c r="E1600" t="s">
        <v>4072</v>
      </c>
      <c r="F1600">
        <v>2000</v>
      </c>
      <c r="G1600" t="s">
        <v>408</v>
      </c>
      <c r="H1600" t="s">
        <v>4070</v>
      </c>
      <c r="I1600" t="s">
        <v>1792</v>
      </c>
      <c r="J1600">
        <v>2002</v>
      </c>
      <c r="K1600" t="s">
        <v>1792</v>
      </c>
      <c r="L1600">
        <v>2100</v>
      </c>
      <c r="M1600" t="s">
        <v>123</v>
      </c>
      <c r="N1600">
        <v>2106</v>
      </c>
      <c r="O1600" t="s">
        <v>2399</v>
      </c>
      <c r="P1600" t="s">
        <v>3108</v>
      </c>
      <c r="Q1600" t="s">
        <v>3249</v>
      </c>
      <c r="R1600" t="s">
        <v>3249</v>
      </c>
      <c r="S1600" t="s">
        <v>810</v>
      </c>
      <c r="T1600" t="s">
        <v>2754</v>
      </c>
      <c r="U1600" t="s">
        <v>3250</v>
      </c>
      <c r="V1600" t="s">
        <v>3250</v>
      </c>
      <c r="W1600" t="s">
        <v>3250</v>
      </c>
      <c r="X1600" t="s">
        <v>3250</v>
      </c>
      <c r="Y1600" t="s">
        <v>3250</v>
      </c>
      <c r="Z1600" t="s">
        <v>3250</v>
      </c>
      <c r="AA1600" t="s">
        <v>3108</v>
      </c>
      <c r="AB1600" t="s">
        <v>3108</v>
      </c>
      <c r="AC1600" t="s">
        <v>3250</v>
      </c>
      <c r="AD1600" t="s">
        <v>3250</v>
      </c>
      <c r="AE1600" t="s">
        <v>3250</v>
      </c>
      <c r="AF1600" t="s">
        <v>3250</v>
      </c>
      <c r="AG1600" t="s">
        <v>3250</v>
      </c>
      <c r="AH1600" t="s">
        <v>3250</v>
      </c>
      <c r="AI1600" t="s">
        <v>3250</v>
      </c>
      <c r="AJ1600" t="s">
        <v>3250</v>
      </c>
      <c r="AL1600" t="s">
        <v>3250</v>
      </c>
      <c r="AM1600" t="s">
        <v>3250</v>
      </c>
      <c r="AN1600" t="s">
        <v>3250</v>
      </c>
      <c r="AO1600" t="s">
        <v>3250</v>
      </c>
      <c r="AS1600" t="s">
        <v>3250</v>
      </c>
      <c r="AT1600" t="s">
        <v>3250</v>
      </c>
      <c r="AU1600" t="s">
        <v>3250</v>
      </c>
      <c r="AV1600" t="s">
        <v>3250</v>
      </c>
      <c r="AW1600" t="s">
        <v>3250</v>
      </c>
      <c r="AX1600" t="s">
        <v>3250</v>
      </c>
      <c r="AY1600" t="s">
        <v>3250</v>
      </c>
      <c r="AZ1600" t="s">
        <v>3250</v>
      </c>
      <c r="BA1600" t="s">
        <v>3250</v>
      </c>
      <c r="BB1600" t="s">
        <v>3250</v>
      </c>
      <c r="BC1600" t="s">
        <v>3250</v>
      </c>
      <c r="BE1600" t="s">
        <v>3250</v>
      </c>
      <c r="BF1600" t="s">
        <v>3250</v>
      </c>
      <c r="BG1600" t="s">
        <v>3250</v>
      </c>
      <c r="BH1600" t="s">
        <v>3250</v>
      </c>
      <c r="BI1600" t="s">
        <v>3250</v>
      </c>
      <c r="BK1600" t="s">
        <v>3250</v>
      </c>
      <c r="BL1600" t="s">
        <v>3250</v>
      </c>
      <c r="BM1600" t="s">
        <v>3250</v>
      </c>
      <c r="BN1600" t="s">
        <v>3250</v>
      </c>
      <c r="BO1600" t="s">
        <v>2916</v>
      </c>
      <c r="BP1600">
        <v>5</v>
      </c>
      <c r="BQ1600">
        <v>53</v>
      </c>
      <c r="BR1600" t="s">
        <v>2399</v>
      </c>
      <c r="BS1600" t="s">
        <v>4136</v>
      </c>
      <c r="BV1600">
        <v>0</v>
      </c>
      <c r="BW1600">
        <v>11780</v>
      </c>
      <c r="BX1600">
        <v>0</v>
      </c>
      <c r="BY1600">
        <v>0</v>
      </c>
      <c r="BZ1600">
        <v>0</v>
      </c>
      <c r="CA1600">
        <v>0</v>
      </c>
      <c r="CB1600">
        <v>0</v>
      </c>
      <c r="CC1600">
        <v>0</v>
      </c>
      <c r="CD1600">
        <v>0</v>
      </c>
      <c r="CE1600" t="s">
        <v>3108</v>
      </c>
      <c r="CF1600" t="s">
        <v>3108</v>
      </c>
      <c r="CG1600" t="s">
        <v>3108</v>
      </c>
      <c r="CH1600" t="s">
        <v>3108</v>
      </c>
    </row>
    <row r="1601" spans="1:86" x14ac:dyDescent="0.2">
      <c r="A1601" t="s">
        <v>5571</v>
      </c>
      <c r="B1601" t="s">
        <v>5571</v>
      </c>
      <c r="C1601">
        <v>54718</v>
      </c>
      <c r="D1601">
        <v>1716</v>
      </c>
      <c r="E1601" t="s">
        <v>4063</v>
      </c>
      <c r="F1601">
        <v>2000</v>
      </c>
      <c r="G1601" t="s">
        <v>408</v>
      </c>
      <c r="H1601" t="s">
        <v>4064</v>
      </c>
      <c r="I1601" t="s">
        <v>1340</v>
      </c>
      <c r="J1601">
        <v>2009</v>
      </c>
      <c r="K1601" t="s">
        <v>1340</v>
      </c>
      <c r="L1601">
        <v>2100</v>
      </c>
      <c r="M1601" t="s">
        <v>123</v>
      </c>
      <c r="N1601">
        <v>2106</v>
      </c>
      <c r="O1601" t="s">
        <v>2399</v>
      </c>
      <c r="P1601" t="s">
        <v>3108</v>
      </c>
      <c r="Q1601" t="s">
        <v>3249</v>
      </c>
      <c r="R1601" t="s">
        <v>3249</v>
      </c>
      <c r="S1601" t="s">
        <v>810</v>
      </c>
      <c r="T1601" t="s">
        <v>2754</v>
      </c>
      <c r="U1601" t="s">
        <v>3250</v>
      </c>
      <c r="V1601" t="s">
        <v>3250</v>
      </c>
      <c r="W1601" t="s">
        <v>3250</v>
      </c>
      <c r="X1601" t="s">
        <v>3250</v>
      </c>
      <c r="Y1601" t="s">
        <v>3250</v>
      </c>
      <c r="Z1601" t="s">
        <v>3250</v>
      </c>
      <c r="AA1601" t="s">
        <v>3108</v>
      </c>
      <c r="AB1601" t="s">
        <v>3108</v>
      </c>
      <c r="AC1601" t="s">
        <v>3250</v>
      </c>
      <c r="AD1601" t="s">
        <v>3250</v>
      </c>
      <c r="AE1601" t="s">
        <v>3250</v>
      </c>
      <c r="AF1601" t="s">
        <v>3250</v>
      </c>
      <c r="AG1601" t="s">
        <v>3250</v>
      </c>
      <c r="AH1601" t="s">
        <v>3250</v>
      </c>
      <c r="AI1601" t="s">
        <v>3250</v>
      </c>
      <c r="AJ1601" t="s">
        <v>3250</v>
      </c>
      <c r="AL1601" t="s">
        <v>3250</v>
      </c>
      <c r="AM1601" t="s">
        <v>3250</v>
      </c>
      <c r="AN1601" t="s">
        <v>3250</v>
      </c>
      <c r="AO1601" t="s">
        <v>3250</v>
      </c>
      <c r="AS1601" t="s">
        <v>3250</v>
      </c>
      <c r="AT1601" t="s">
        <v>3250</v>
      </c>
      <c r="AU1601" t="s">
        <v>3250</v>
      </c>
      <c r="AV1601" t="s">
        <v>3250</v>
      </c>
      <c r="AW1601" t="s">
        <v>3250</v>
      </c>
      <c r="AX1601" t="s">
        <v>3250</v>
      </c>
      <c r="AY1601" t="s">
        <v>3250</v>
      </c>
      <c r="AZ1601" t="s">
        <v>3250</v>
      </c>
      <c r="BA1601" t="s">
        <v>3250</v>
      </c>
      <c r="BB1601" t="s">
        <v>3250</v>
      </c>
      <c r="BC1601" t="s">
        <v>3250</v>
      </c>
      <c r="BE1601" t="s">
        <v>3250</v>
      </c>
      <c r="BF1601" t="s">
        <v>3250</v>
      </c>
      <c r="BG1601" t="s">
        <v>3250</v>
      </c>
      <c r="BH1601" t="s">
        <v>3250</v>
      </c>
      <c r="BI1601" t="s">
        <v>3250</v>
      </c>
      <c r="BK1601" t="s">
        <v>3250</v>
      </c>
      <c r="BL1601" t="s">
        <v>3250</v>
      </c>
      <c r="BM1601" t="s">
        <v>3250</v>
      </c>
      <c r="BN1601" t="s">
        <v>3250</v>
      </c>
      <c r="BO1601" t="s">
        <v>2916</v>
      </c>
      <c r="BP1601">
        <v>5</v>
      </c>
      <c r="BQ1601">
        <v>53</v>
      </c>
      <c r="BR1601" t="s">
        <v>2399</v>
      </c>
      <c r="BS1601" t="s">
        <v>4136</v>
      </c>
      <c r="BV1601">
        <v>0</v>
      </c>
      <c r="BW1601">
        <v>10255</v>
      </c>
      <c r="BX1601">
        <v>0</v>
      </c>
      <c r="BY1601">
        <v>0</v>
      </c>
      <c r="BZ1601">
        <v>0</v>
      </c>
      <c r="CA1601">
        <v>0</v>
      </c>
      <c r="CB1601">
        <v>0</v>
      </c>
      <c r="CC1601">
        <v>0</v>
      </c>
      <c r="CD1601">
        <v>0</v>
      </c>
      <c r="CE1601" t="s">
        <v>3108</v>
      </c>
      <c r="CF1601" t="s">
        <v>3108</v>
      </c>
      <c r="CG1601" t="s">
        <v>3108</v>
      </c>
      <c r="CH1601" t="s">
        <v>3108</v>
      </c>
    </row>
    <row r="1602" spans="1:86" x14ac:dyDescent="0.2">
      <c r="A1602" t="s">
        <v>5572</v>
      </c>
      <c r="B1602" t="s">
        <v>5572</v>
      </c>
      <c r="C1602">
        <v>54719</v>
      </c>
      <c r="D1602">
        <v>1717</v>
      </c>
      <c r="E1602" t="s">
        <v>4061</v>
      </c>
      <c r="F1602">
        <v>2900</v>
      </c>
      <c r="G1602" t="s">
        <v>822</v>
      </c>
      <c r="H1602" t="s">
        <v>3108</v>
      </c>
      <c r="I1602" t="s">
        <v>3108</v>
      </c>
      <c r="J1602">
        <v>2904</v>
      </c>
      <c r="K1602" t="s">
        <v>1690</v>
      </c>
      <c r="L1602">
        <v>2100</v>
      </c>
      <c r="M1602" t="s">
        <v>123</v>
      </c>
      <c r="N1602">
        <v>2106</v>
      </c>
      <c r="O1602" t="s">
        <v>2399</v>
      </c>
      <c r="P1602" t="s">
        <v>3108</v>
      </c>
      <c r="Q1602" t="s">
        <v>3249</v>
      </c>
      <c r="R1602" t="s">
        <v>3249</v>
      </c>
      <c r="S1602" t="s">
        <v>810</v>
      </c>
      <c r="T1602" t="s">
        <v>2754</v>
      </c>
      <c r="U1602" t="s">
        <v>3250</v>
      </c>
      <c r="V1602" t="s">
        <v>3250</v>
      </c>
      <c r="W1602" t="s">
        <v>3250</v>
      </c>
      <c r="X1602" t="s">
        <v>3250</v>
      </c>
      <c r="Y1602" t="s">
        <v>3250</v>
      </c>
      <c r="Z1602" t="s">
        <v>3250</v>
      </c>
      <c r="AA1602" t="s">
        <v>3108</v>
      </c>
      <c r="AB1602" t="s">
        <v>3108</v>
      </c>
      <c r="AC1602" t="s">
        <v>3250</v>
      </c>
      <c r="AD1602" t="s">
        <v>3250</v>
      </c>
      <c r="AE1602" t="s">
        <v>3250</v>
      </c>
      <c r="AF1602" t="s">
        <v>3250</v>
      </c>
      <c r="AG1602" t="s">
        <v>3250</v>
      </c>
      <c r="AH1602" t="s">
        <v>3250</v>
      </c>
      <c r="AI1602" t="s">
        <v>3250</v>
      </c>
      <c r="AJ1602" t="s">
        <v>3250</v>
      </c>
      <c r="AL1602" t="s">
        <v>3250</v>
      </c>
      <c r="AM1602" t="s">
        <v>3250</v>
      </c>
      <c r="AN1602" t="s">
        <v>3250</v>
      </c>
      <c r="AO1602" t="s">
        <v>3250</v>
      </c>
      <c r="AS1602" t="s">
        <v>3250</v>
      </c>
      <c r="AT1602" t="s">
        <v>3250</v>
      </c>
      <c r="AU1602" t="s">
        <v>3250</v>
      </c>
      <c r="AV1602" t="s">
        <v>3250</v>
      </c>
      <c r="AW1602" t="s">
        <v>3250</v>
      </c>
      <c r="AX1602" t="s">
        <v>3250</v>
      </c>
      <c r="AY1602" t="s">
        <v>3250</v>
      </c>
      <c r="AZ1602" t="s">
        <v>3250</v>
      </c>
      <c r="BA1602" t="s">
        <v>3250</v>
      </c>
      <c r="BB1602" t="s">
        <v>3250</v>
      </c>
      <c r="BC1602" t="s">
        <v>3250</v>
      </c>
      <c r="BE1602" t="s">
        <v>3250</v>
      </c>
      <c r="BF1602" t="s">
        <v>3250</v>
      </c>
      <c r="BG1602" t="s">
        <v>3250</v>
      </c>
      <c r="BH1602" t="s">
        <v>3250</v>
      </c>
      <c r="BI1602" t="s">
        <v>3250</v>
      </c>
      <c r="BK1602" t="s">
        <v>3250</v>
      </c>
      <c r="BL1602" t="s">
        <v>3250</v>
      </c>
      <c r="BM1602" t="s">
        <v>3250</v>
      </c>
      <c r="BN1602" t="s">
        <v>3250</v>
      </c>
      <c r="BP1602">
        <v>5</v>
      </c>
      <c r="BQ1602">
        <v>53</v>
      </c>
      <c r="BR1602" t="s">
        <v>2399</v>
      </c>
      <c r="BS1602" t="s">
        <v>4136</v>
      </c>
      <c r="BV1602">
        <v>0</v>
      </c>
      <c r="BW1602">
        <v>13180</v>
      </c>
      <c r="BX1602">
        <v>0</v>
      </c>
      <c r="BY1602">
        <v>0</v>
      </c>
      <c r="BZ1602">
        <v>0</v>
      </c>
      <c r="CA1602">
        <v>0</v>
      </c>
      <c r="CB1602">
        <v>0</v>
      </c>
      <c r="CC1602">
        <v>0</v>
      </c>
      <c r="CD1602">
        <v>0</v>
      </c>
      <c r="CE1602" t="s">
        <v>3108</v>
      </c>
      <c r="CF1602" t="s">
        <v>3108</v>
      </c>
      <c r="CG1602" t="s">
        <v>3108</v>
      </c>
      <c r="CH1602" t="s">
        <v>3108</v>
      </c>
    </row>
    <row r="1603" spans="1:86" x14ac:dyDescent="0.2">
      <c r="A1603" t="s">
        <v>5573</v>
      </c>
      <c r="B1603" t="s">
        <v>5573</v>
      </c>
      <c r="C1603">
        <v>54720</v>
      </c>
      <c r="D1603">
        <v>1718</v>
      </c>
      <c r="E1603" t="s">
        <v>5574</v>
      </c>
      <c r="F1603">
        <v>2900</v>
      </c>
      <c r="G1603" t="s">
        <v>822</v>
      </c>
      <c r="H1603" t="s">
        <v>3108</v>
      </c>
      <c r="I1603" t="s">
        <v>3108</v>
      </c>
      <c r="J1603">
        <v>2904</v>
      </c>
      <c r="K1603" t="s">
        <v>1690</v>
      </c>
      <c r="L1603">
        <v>2100</v>
      </c>
      <c r="M1603" t="s">
        <v>123</v>
      </c>
      <c r="N1603">
        <v>2106</v>
      </c>
      <c r="O1603" t="s">
        <v>2399</v>
      </c>
      <c r="P1603" t="s">
        <v>3108</v>
      </c>
      <c r="Q1603" t="s">
        <v>3249</v>
      </c>
      <c r="R1603" t="s">
        <v>3249</v>
      </c>
      <c r="S1603" t="s">
        <v>810</v>
      </c>
      <c r="T1603" t="s">
        <v>2754</v>
      </c>
      <c r="U1603" t="s">
        <v>3250</v>
      </c>
      <c r="V1603" t="s">
        <v>3250</v>
      </c>
      <c r="W1603" t="s">
        <v>3250</v>
      </c>
      <c r="X1603" t="s">
        <v>3250</v>
      </c>
      <c r="Y1603" t="s">
        <v>3250</v>
      </c>
      <c r="Z1603" t="s">
        <v>3250</v>
      </c>
      <c r="AA1603" t="s">
        <v>3108</v>
      </c>
      <c r="AB1603" t="s">
        <v>3108</v>
      </c>
      <c r="AC1603" t="s">
        <v>3250</v>
      </c>
      <c r="AD1603" t="s">
        <v>3250</v>
      </c>
      <c r="AE1603" t="s">
        <v>3250</v>
      </c>
      <c r="AF1603" t="s">
        <v>3250</v>
      </c>
      <c r="AG1603" t="s">
        <v>3250</v>
      </c>
      <c r="AH1603" t="s">
        <v>3250</v>
      </c>
      <c r="AI1603" t="s">
        <v>3250</v>
      </c>
      <c r="AJ1603" t="s">
        <v>3250</v>
      </c>
      <c r="AL1603" t="s">
        <v>3250</v>
      </c>
      <c r="AM1603" t="s">
        <v>3250</v>
      </c>
      <c r="AN1603" t="s">
        <v>3250</v>
      </c>
      <c r="AO1603" t="s">
        <v>3250</v>
      </c>
      <c r="AS1603" t="s">
        <v>3250</v>
      </c>
      <c r="AT1603" t="s">
        <v>3250</v>
      </c>
      <c r="AU1603" t="s">
        <v>3250</v>
      </c>
      <c r="AV1603" t="s">
        <v>3250</v>
      </c>
      <c r="AW1603" t="s">
        <v>3250</v>
      </c>
      <c r="AX1603" t="s">
        <v>3250</v>
      </c>
      <c r="AY1603" t="s">
        <v>3250</v>
      </c>
      <c r="AZ1603" t="s">
        <v>3250</v>
      </c>
      <c r="BA1603" t="s">
        <v>3250</v>
      </c>
      <c r="BB1603" t="s">
        <v>3250</v>
      </c>
      <c r="BC1603" t="s">
        <v>3250</v>
      </c>
      <c r="BE1603" t="s">
        <v>3250</v>
      </c>
      <c r="BF1603" t="s">
        <v>3250</v>
      </c>
      <c r="BG1603" t="s">
        <v>3250</v>
      </c>
      <c r="BH1603" t="s">
        <v>3250</v>
      </c>
      <c r="BI1603" t="s">
        <v>3250</v>
      </c>
      <c r="BK1603" t="s">
        <v>3250</v>
      </c>
      <c r="BL1603" t="s">
        <v>3250</v>
      </c>
      <c r="BM1603" t="s">
        <v>3250</v>
      </c>
      <c r="BN1603" t="s">
        <v>3250</v>
      </c>
      <c r="BP1603">
        <v>5</v>
      </c>
      <c r="BQ1603">
        <v>53</v>
      </c>
      <c r="BR1603" t="s">
        <v>2399</v>
      </c>
      <c r="BS1603" t="s">
        <v>4136</v>
      </c>
      <c r="BV1603">
        <v>0</v>
      </c>
      <c r="BW1603">
        <v>0</v>
      </c>
      <c r="BX1603">
        <v>0</v>
      </c>
      <c r="BY1603">
        <v>0</v>
      </c>
      <c r="BZ1603">
        <v>0</v>
      </c>
      <c r="CA1603">
        <v>0</v>
      </c>
      <c r="CB1603">
        <v>0</v>
      </c>
      <c r="CC1603">
        <v>0</v>
      </c>
      <c r="CD1603">
        <v>0</v>
      </c>
      <c r="CE1603" t="s">
        <v>3108</v>
      </c>
      <c r="CF1603" t="s">
        <v>3108</v>
      </c>
      <c r="CG1603" t="s">
        <v>3108</v>
      </c>
      <c r="CH1603" t="s">
        <v>3108</v>
      </c>
    </row>
    <row r="1604" spans="1:86" x14ac:dyDescent="0.2">
      <c r="A1604" t="s">
        <v>5575</v>
      </c>
      <c r="B1604" t="s">
        <v>5575</v>
      </c>
      <c r="C1604">
        <v>54721</v>
      </c>
      <c r="D1604">
        <v>1720</v>
      </c>
      <c r="E1604" t="s">
        <v>4250</v>
      </c>
      <c r="F1604" t="s">
        <v>3249</v>
      </c>
      <c r="G1604" t="s">
        <v>3249</v>
      </c>
      <c r="H1604" t="s">
        <v>3250</v>
      </c>
      <c r="I1604" t="s">
        <v>3250</v>
      </c>
      <c r="J1604" t="s">
        <v>3250</v>
      </c>
      <c r="K1604" t="s">
        <v>3250</v>
      </c>
      <c r="L1604">
        <v>2100</v>
      </c>
      <c r="M1604" t="s">
        <v>123</v>
      </c>
      <c r="N1604">
        <v>2106</v>
      </c>
      <c r="O1604" t="s">
        <v>2399</v>
      </c>
      <c r="P1604" t="s">
        <v>2805</v>
      </c>
      <c r="Q1604">
        <v>2080</v>
      </c>
      <c r="R1604" t="s">
        <v>423</v>
      </c>
      <c r="S1604" t="s">
        <v>427</v>
      </c>
      <c r="T1604" t="s">
        <v>3251</v>
      </c>
      <c r="U1604">
        <v>240</v>
      </c>
      <c r="V1604" t="s">
        <v>4251</v>
      </c>
      <c r="W1604">
        <v>240</v>
      </c>
      <c r="X1604" t="s">
        <v>1323</v>
      </c>
      <c r="Y1604" t="s">
        <v>3250</v>
      </c>
      <c r="Z1604" t="s">
        <v>3250</v>
      </c>
      <c r="AA1604" t="s">
        <v>3108</v>
      </c>
      <c r="AB1604" t="s">
        <v>3108</v>
      </c>
      <c r="AC1604" t="s">
        <v>3250</v>
      </c>
      <c r="AD1604" t="s">
        <v>3250</v>
      </c>
      <c r="AE1604" t="s">
        <v>3250</v>
      </c>
      <c r="AF1604" t="s">
        <v>3250</v>
      </c>
      <c r="AG1604" t="s">
        <v>3250</v>
      </c>
      <c r="AH1604" t="s">
        <v>3250</v>
      </c>
      <c r="AI1604" t="s">
        <v>3250</v>
      </c>
      <c r="AJ1604" t="s">
        <v>3250</v>
      </c>
      <c r="AK1604">
        <v>770</v>
      </c>
      <c r="AL1604">
        <v>241</v>
      </c>
      <c r="AM1604" t="s">
        <v>1455</v>
      </c>
      <c r="AN1604">
        <v>241</v>
      </c>
      <c r="AO1604" t="s">
        <v>1455</v>
      </c>
      <c r="AS1604">
        <v>790</v>
      </c>
      <c r="AT1604">
        <v>790</v>
      </c>
      <c r="AU1604" t="s">
        <v>2284</v>
      </c>
      <c r="AV1604" t="s">
        <v>2284</v>
      </c>
      <c r="AW1604" t="s">
        <v>3250</v>
      </c>
      <c r="AX1604" t="s">
        <v>3250</v>
      </c>
      <c r="AY1604" t="s">
        <v>3250</v>
      </c>
      <c r="AZ1604" t="s">
        <v>3250</v>
      </c>
      <c r="BA1604" t="s">
        <v>3250</v>
      </c>
      <c r="BB1604" t="s">
        <v>3250</v>
      </c>
      <c r="BC1604" t="s">
        <v>3250</v>
      </c>
      <c r="BE1604" t="s">
        <v>3250</v>
      </c>
      <c r="BF1604" t="s">
        <v>3250</v>
      </c>
      <c r="BG1604" t="s">
        <v>3250</v>
      </c>
      <c r="BH1604" t="s">
        <v>3250</v>
      </c>
      <c r="BI1604" t="s">
        <v>3250</v>
      </c>
      <c r="BK1604" t="s">
        <v>3250</v>
      </c>
      <c r="BL1604" t="s">
        <v>3250</v>
      </c>
      <c r="BM1604" t="s">
        <v>3250</v>
      </c>
      <c r="BN1604" t="s">
        <v>3250</v>
      </c>
      <c r="BP1604">
        <v>5</v>
      </c>
      <c r="BQ1604">
        <v>53</v>
      </c>
      <c r="BR1604" t="s">
        <v>2399</v>
      </c>
      <c r="BS1604" t="s">
        <v>4136</v>
      </c>
      <c r="BV1604">
        <v>0</v>
      </c>
      <c r="BW1604">
        <v>0</v>
      </c>
      <c r="BX1604">
        <v>0</v>
      </c>
      <c r="BY1604">
        <v>3000000</v>
      </c>
      <c r="BZ1604">
        <v>5132585</v>
      </c>
      <c r="CA1604">
        <v>0</v>
      </c>
      <c r="CB1604">
        <v>0</v>
      </c>
      <c r="CC1604">
        <v>0</v>
      </c>
      <c r="CD1604">
        <v>1856737</v>
      </c>
      <c r="CE1604" t="s">
        <v>3108</v>
      </c>
      <c r="CF1604" t="s">
        <v>3108</v>
      </c>
      <c r="CG1604" t="s">
        <v>3108</v>
      </c>
      <c r="CH1604" t="s">
        <v>3108</v>
      </c>
    </row>
    <row r="1605" spans="1:86" x14ac:dyDescent="0.2">
      <c r="A1605" t="s">
        <v>5576</v>
      </c>
      <c r="B1605" t="s">
        <v>5576</v>
      </c>
      <c r="C1605">
        <v>54722</v>
      </c>
      <c r="D1605">
        <v>1721</v>
      </c>
      <c r="E1605" t="s">
        <v>4250</v>
      </c>
      <c r="F1605" t="s">
        <v>3249</v>
      </c>
      <c r="G1605" t="s">
        <v>3249</v>
      </c>
      <c r="H1605" t="s">
        <v>3250</v>
      </c>
      <c r="I1605" t="s">
        <v>3250</v>
      </c>
      <c r="J1605" t="s">
        <v>3250</v>
      </c>
      <c r="K1605" t="s">
        <v>3250</v>
      </c>
      <c r="L1605">
        <v>2100</v>
      </c>
      <c r="M1605" t="s">
        <v>123</v>
      </c>
      <c r="N1605">
        <v>2106</v>
      </c>
      <c r="O1605" t="s">
        <v>2399</v>
      </c>
      <c r="P1605" t="s">
        <v>2805</v>
      </c>
      <c r="Q1605">
        <v>2080</v>
      </c>
      <c r="R1605" t="s">
        <v>423</v>
      </c>
      <c r="S1605" t="s">
        <v>427</v>
      </c>
      <c r="T1605" t="s">
        <v>3251</v>
      </c>
      <c r="U1605">
        <v>240</v>
      </c>
      <c r="V1605" t="s">
        <v>4251</v>
      </c>
      <c r="W1605">
        <v>240</v>
      </c>
      <c r="X1605" t="s">
        <v>1323</v>
      </c>
      <c r="Y1605" t="s">
        <v>3250</v>
      </c>
      <c r="Z1605" t="s">
        <v>3250</v>
      </c>
      <c r="AA1605" t="s">
        <v>3108</v>
      </c>
      <c r="AB1605" t="s">
        <v>3108</v>
      </c>
      <c r="AC1605" t="s">
        <v>3250</v>
      </c>
      <c r="AD1605" t="s">
        <v>3250</v>
      </c>
      <c r="AE1605" t="s">
        <v>3250</v>
      </c>
      <c r="AF1605" t="s">
        <v>3250</v>
      </c>
      <c r="AG1605" t="s">
        <v>3250</v>
      </c>
      <c r="AH1605" t="s">
        <v>3250</v>
      </c>
      <c r="AI1605" t="s">
        <v>3250</v>
      </c>
      <c r="AJ1605" t="s">
        <v>3250</v>
      </c>
      <c r="AK1605">
        <v>770</v>
      </c>
      <c r="AL1605">
        <v>241</v>
      </c>
      <c r="AM1605" t="s">
        <v>1455</v>
      </c>
      <c r="AN1605">
        <v>241</v>
      </c>
      <c r="AO1605" t="s">
        <v>1455</v>
      </c>
      <c r="AS1605">
        <v>790</v>
      </c>
      <c r="AT1605">
        <v>790</v>
      </c>
      <c r="AU1605" t="s">
        <v>2284</v>
      </c>
      <c r="AV1605" t="s">
        <v>2284</v>
      </c>
      <c r="AW1605" t="s">
        <v>3250</v>
      </c>
      <c r="AX1605" t="s">
        <v>3250</v>
      </c>
      <c r="AY1605" t="s">
        <v>3250</v>
      </c>
      <c r="AZ1605" t="s">
        <v>3250</v>
      </c>
      <c r="BA1605" t="s">
        <v>3250</v>
      </c>
      <c r="BB1605" t="s">
        <v>3250</v>
      </c>
      <c r="BC1605" t="s">
        <v>3250</v>
      </c>
      <c r="BE1605" t="s">
        <v>3250</v>
      </c>
      <c r="BF1605" t="s">
        <v>3250</v>
      </c>
      <c r="BG1605" t="s">
        <v>3250</v>
      </c>
      <c r="BH1605" t="s">
        <v>3250</v>
      </c>
      <c r="BI1605" t="s">
        <v>3250</v>
      </c>
      <c r="BK1605" t="s">
        <v>3250</v>
      </c>
      <c r="BL1605" t="s">
        <v>3250</v>
      </c>
      <c r="BM1605" t="s">
        <v>3250</v>
      </c>
      <c r="BN1605" t="s">
        <v>3250</v>
      </c>
      <c r="BP1605">
        <v>5</v>
      </c>
      <c r="BQ1605">
        <v>53</v>
      </c>
      <c r="BR1605" t="s">
        <v>2399</v>
      </c>
      <c r="BS1605" t="s">
        <v>4136</v>
      </c>
      <c r="BV1605">
        <v>0</v>
      </c>
      <c r="BW1605">
        <v>0</v>
      </c>
      <c r="BX1605">
        <v>0</v>
      </c>
      <c r="BY1605">
        <v>0</v>
      </c>
      <c r="BZ1605">
        <v>0</v>
      </c>
      <c r="CA1605">
        <v>0</v>
      </c>
      <c r="CB1605">
        <v>0</v>
      </c>
      <c r="CC1605">
        <v>0</v>
      </c>
      <c r="CD1605">
        <v>0</v>
      </c>
      <c r="CE1605" t="s">
        <v>3108</v>
      </c>
      <c r="CF1605" t="s">
        <v>3108</v>
      </c>
      <c r="CG1605" t="s">
        <v>3108</v>
      </c>
      <c r="CH1605" t="s">
        <v>3108</v>
      </c>
    </row>
    <row r="1606" spans="1:86" x14ac:dyDescent="0.2">
      <c r="A1606" t="s">
        <v>5577</v>
      </c>
      <c r="B1606" t="s">
        <v>5577</v>
      </c>
      <c r="C1606">
        <v>54723</v>
      </c>
      <c r="D1606">
        <v>1722</v>
      </c>
      <c r="E1606" t="s">
        <v>4250</v>
      </c>
      <c r="F1606" t="s">
        <v>3249</v>
      </c>
      <c r="G1606" t="s">
        <v>3249</v>
      </c>
      <c r="H1606" t="s">
        <v>3250</v>
      </c>
      <c r="I1606" t="s">
        <v>3250</v>
      </c>
      <c r="J1606" t="s">
        <v>3250</v>
      </c>
      <c r="K1606" t="s">
        <v>3250</v>
      </c>
      <c r="L1606">
        <v>3200</v>
      </c>
      <c r="M1606" t="s">
        <v>128</v>
      </c>
      <c r="N1606">
        <v>3205</v>
      </c>
      <c r="O1606" t="s">
        <v>629</v>
      </c>
      <c r="P1606" t="s">
        <v>2805</v>
      </c>
      <c r="Q1606">
        <v>2080</v>
      </c>
      <c r="R1606" t="s">
        <v>423</v>
      </c>
      <c r="S1606" t="s">
        <v>427</v>
      </c>
      <c r="T1606" t="s">
        <v>3251</v>
      </c>
      <c r="U1606">
        <v>240</v>
      </c>
      <c r="V1606" t="s">
        <v>4251</v>
      </c>
      <c r="W1606">
        <v>240</v>
      </c>
      <c r="X1606" t="s">
        <v>1323</v>
      </c>
      <c r="Y1606" t="s">
        <v>3250</v>
      </c>
      <c r="Z1606" t="s">
        <v>3250</v>
      </c>
      <c r="AA1606" t="s">
        <v>3108</v>
      </c>
      <c r="AB1606" t="s">
        <v>3108</v>
      </c>
      <c r="AC1606" t="s">
        <v>3250</v>
      </c>
      <c r="AD1606" t="s">
        <v>3250</v>
      </c>
      <c r="AE1606" t="s">
        <v>3250</v>
      </c>
      <c r="AF1606" t="s">
        <v>3250</v>
      </c>
      <c r="AG1606" t="s">
        <v>3250</v>
      </c>
      <c r="AH1606" t="s">
        <v>3250</v>
      </c>
      <c r="AI1606" t="s">
        <v>3250</v>
      </c>
      <c r="AJ1606" t="s">
        <v>3250</v>
      </c>
      <c r="AK1606">
        <v>110</v>
      </c>
      <c r="AL1606">
        <v>241</v>
      </c>
      <c r="AM1606" t="s">
        <v>1455</v>
      </c>
      <c r="AN1606">
        <v>241</v>
      </c>
      <c r="AO1606" t="s">
        <v>1455</v>
      </c>
      <c r="AS1606" t="s">
        <v>3250</v>
      </c>
      <c r="AT1606" t="s">
        <v>3250</v>
      </c>
      <c r="AU1606" t="s">
        <v>3250</v>
      </c>
      <c r="AV1606" t="s">
        <v>3250</v>
      </c>
      <c r="AW1606" t="s">
        <v>3250</v>
      </c>
      <c r="AX1606" t="s">
        <v>3250</v>
      </c>
      <c r="AY1606" t="s">
        <v>3250</v>
      </c>
      <c r="AZ1606" t="s">
        <v>3250</v>
      </c>
      <c r="BA1606" t="s">
        <v>3250</v>
      </c>
      <c r="BB1606" t="s">
        <v>3250</v>
      </c>
      <c r="BC1606" t="s">
        <v>3250</v>
      </c>
      <c r="BE1606" t="s">
        <v>3250</v>
      </c>
      <c r="BF1606" t="s">
        <v>3250</v>
      </c>
      <c r="BG1606" t="s">
        <v>3250</v>
      </c>
      <c r="BH1606" t="s">
        <v>3250</v>
      </c>
      <c r="BI1606" t="s">
        <v>3250</v>
      </c>
      <c r="BK1606">
        <v>120</v>
      </c>
      <c r="BL1606" t="s">
        <v>629</v>
      </c>
      <c r="BM1606">
        <v>120</v>
      </c>
      <c r="BN1606" t="s">
        <v>629</v>
      </c>
      <c r="BP1606">
        <v>7</v>
      </c>
      <c r="BQ1606">
        <v>71</v>
      </c>
      <c r="BR1606" t="s">
        <v>629</v>
      </c>
      <c r="BS1606" t="s">
        <v>4212</v>
      </c>
      <c r="BV1606">
        <v>0</v>
      </c>
      <c r="BW1606">
        <v>0</v>
      </c>
      <c r="BX1606">
        <v>0</v>
      </c>
      <c r="BY1606">
        <v>0</v>
      </c>
      <c r="BZ1606">
        <v>0</v>
      </c>
      <c r="CA1606">
        <v>0</v>
      </c>
      <c r="CB1606">
        <v>0</v>
      </c>
      <c r="CC1606">
        <v>0</v>
      </c>
      <c r="CD1606">
        <v>482509</v>
      </c>
      <c r="CE1606" t="s">
        <v>3108</v>
      </c>
      <c r="CF1606" t="s">
        <v>3108</v>
      </c>
      <c r="CG1606" t="s">
        <v>3108</v>
      </c>
      <c r="CH1606" t="s">
        <v>3108</v>
      </c>
    </row>
    <row r="1607" spans="1:86" x14ac:dyDescent="0.2">
      <c r="A1607" t="s">
        <v>5578</v>
      </c>
      <c r="B1607" t="s">
        <v>5578</v>
      </c>
      <c r="C1607">
        <v>54724</v>
      </c>
      <c r="D1607">
        <v>1723</v>
      </c>
      <c r="E1607" t="s">
        <v>4250</v>
      </c>
      <c r="F1607" t="s">
        <v>3249</v>
      </c>
      <c r="G1607" t="s">
        <v>3249</v>
      </c>
      <c r="H1607" t="s">
        <v>3250</v>
      </c>
      <c r="I1607" t="s">
        <v>3250</v>
      </c>
      <c r="J1607" t="s">
        <v>3250</v>
      </c>
      <c r="K1607" t="s">
        <v>3250</v>
      </c>
      <c r="L1607">
        <v>2100</v>
      </c>
      <c r="M1607" t="s">
        <v>123</v>
      </c>
      <c r="N1607">
        <v>2106</v>
      </c>
      <c r="O1607" t="s">
        <v>2399</v>
      </c>
      <c r="P1607" t="s">
        <v>2805</v>
      </c>
      <c r="Q1607">
        <v>2080</v>
      </c>
      <c r="R1607" t="s">
        <v>423</v>
      </c>
      <c r="S1607" t="s">
        <v>427</v>
      </c>
      <c r="T1607" t="s">
        <v>3251</v>
      </c>
      <c r="U1607">
        <v>240</v>
      </c>
      <c r="V1607" t="s">
        <v>4251</v>
      </c>
      <c r="W1607">
        <v>240</v>
      </c>
      <c r="X1607" t="s">
        <v>1323</v>
      </c>
      <c r="Y1607" t="s">
        <v>3250</v>
      </c>
      <c r="Z1607" t="s">
        <v>3250</v>
      </c>
      <c r="AA1607" t="s">
        <v>3108</v>
      </c>
      <c r="AB1607" t="s">
        <v>3108</v>
      </c>
      <c r="AC1607" t="s">
        <v>3250</v>
      </c>
      <c r="AD1607" t="s">
        <v>3250</v>
      </c>
      <c r="AE1607" t="s">
        <v>3250</v>
      </c>
      <c r="AF1607" t="s">
        <v>3250</v>
      </c>
      <c r="AG1607" t="s">
        <v>3250</v>
      </c>
      <c r="AH1607" t="s">
        <v>3250</v>
      </c>
      <c r="AI1607" t="s">
        <v>3250</v>
      </c>
      <c r="AJ1607" t="s">
        <v>3250</v>
      </c>
      <c r="AK1607">
        <v>770</v>
      </c>
      <c r="AL1607">
        <v>241</v>
      </c>
      <c r="AM1607" t="s">
        <v>1455</v>
      </c>
      <c r="AN1607">
        <v>241</v>
      </c>
      <c r="AO1607" t="s">
        <v>1455</v>
      </c>
      <c r="AS1607">
        <v>790</v>
      </c>
      <c r="AT1607">
        <v>790</v>
      </c>
      <c r="AU1607" t="s">
        <v>2284</v>
      </c>
      <c r="AV1607" t="s">
        <v>2284</v>
      </c>
      <c r="AW1607" t="s">
        <v>3250</v>
      </c>
      <c r="AX1607" t="s">
        <v>3250</v>
      </c>
      <c r="AY1607" t="s">
        <v>3250</v>
      </c>
      <c r="AZ1607" t="s">
        <v>3250</v>
      </c>
      <c r="BA1607" t="s">
        <v>3250</v>
      </c>
      <c r="BB1607" t="s">
        <v>3250</v>
      </c>
      <c r="BC1607" t="s">
        <v>3250</v>
      </c>
      <c r="BE1607" t="s">
        <v>3250</v>
      </c>
      <c r="BF1607" t="s">
        <v>3250</v>
      </c>
      <c r="BG1607" t="s">
        <v>3250</v>
      </c>
      <c r="BH1607" t="s">
        <v>3250</v>
      </c>
      <c r="BI1607" t="s">
        <v>3250</v>
      </c>
      <c r="BK1607" t="s">
        <v>3250</v>
      </c>
      <c r="BL1607" t="s">
        <v>3250</v>
      </c>
      <c r="BM1607" t="s">
        <v>3250</v>
      </c>
      <c r="BN1607" t="s">
        <v>3250</v>
      </c>
      <c r="BP1607">
        <v>5</v>
      </c>
      <c r="BQ1607">
        <v>53</v>
      </c>
      <c r="BR1607" t="s">
        <v>2399</v>
      </c>
      <c r="BS1607" t="s">
        <v>4136</v>
      </c>
      <c r="BV1607">
        <v>0</v>
      </c>
      <c r="BW1607">
        <v>0</v>
      </c>
      <c r="BX1607">
        <v>0</v>
      </c>
      <c r="BY1607">
        <v>0</v>
      </c>
      <c r="BZ1607">
        <v>0</v>
      </c>
      <c r="CA1607">
        <v>0</v>
      </c>
      <c r="CB1607">
        <v>0</v>
      </c>
      <c r="CC1607">
        <v>0</v>
      </c>
      <c r="CD1607">
        <v>0</v>
      </c>
      <c r="CE1607" t="s">
        <v>3108</v>
      </c>
      <c r="CF1607" t="s">
        <v>3108</v>
      </c>
      <c r="CG1607" t="s">
        <v>3108</v>
      </c>
      <c r="CH1607" t="s">
        <v>3108</v>
      </c>
    </row>
    <row r="1608" spans="1:86" x14ac:dyDescent="0.2">
      <c r="A1608" t="s">
        <v>5579</v>
      </c>
      <c r="B1608" t="s">
        <v>5579</v>
      </c>
      <c r="C1608">
        <v>54725</v>
      </c>
      <c r="D1608">
        <v>1724</v>
      </c>
      <c r="E1608" t="s">
        <v>5580</v>
      </c>
      <c r="F1608">
        <v>1500</v>
      </c>
      <c r="G1608" t="s">
        <v>2342</v>
      </c>
      <c r="H1608">
        <v>1500</v>
      </c>
      <c r="I1608" t="s">
        <v>2342</v>
      </c>
      <c r="J1608" t="s">
        <v>3250</v>
      </c>
      <c r="K1608" t="s">
        <v>3250</v>
      </c>
      <c r="L1608">
        <v>2200</v>
      </c>
      <c r="M1608" t="s">
        <v>124</v>
      </c>
      <c r="N1608">
        <v>2205</v>
      </c>
      <c r="O1608" t="s">
        <v>2390</v>
      </c>
      <c r="P1608" t="s">
        <v>3108</v>
      </c>
      <c r="Q1608" t="s">
        <v>3249</v>
      </c>
      <c r="R1608" t="s">
        <v>3249</v>
      </c>
      <c r="S1608" t="s">
        <v>810</v>
      </c>
      <c r="T1608" t="s">
        <v>2759</v>
      </c>
      <c r="U1608" t="s">
        <v>3250</v>
      </c>
      <c r="V1608" t="s">
        <v>3250</v>
      </c>
      <c r="W1608" t="s">
        <v>3250</v>
      </c>
      <c r="X1608" t="s">
        <v>3250</v>
      </c>
      <c r="Y1608" t="s">
        <v>3250</v>
      </c>
      <c r="Z1608" t="s">
        <v>3250</v>
      </c>
      <c r="AA1608" t="s">
        <v>3108</v>
      </c>
      <c r="AB1608" t="s">
        <v>3108</v>
      </c>
      <c r="AC1608" t="s">
        <v>3250</v>
      </c>
      <c r="AD1608" t="s">
        <v>3250</v>
      </c>
      <c r="AE1608" t="s">
        <v>3250</v>
      </c>
      <c r="AF1608" t="s">
        <v>3250</v>
      </c>
      <c r="AG1608" t="s">
        <v>3250</v>
      </c>
      <c r="AH1608" t="s">
        <v>3250</v>
      </c>
      <c r="AI1608" t="s">
        <v>3250</v>
      </c>
      <c r="AJ1608" t="s">
        <v>3250</v>
      </c>
      <c r="AL1608" t="s">
        <v>3250</v>
      </c>
      <c r="AM1608" t="s">
        <v>3250</v>
      </c>
      <c r="AN1608" t="s">
        <v>3250</v>
      </c>
      <c r="AO1608" t="s">
        <v>3250</v>
      </c>
      <c r="AS1608" t="s">
        <v>3250</v>
      </c>
      <c r="AT1608" t="s">
        <v>3250</v>
      </c>
      <c r="AU1608" t="s">
        <v>3250</v>
      </c>
      <c r="AV1608" t="s">
        <v>3250</v>
      </c>
      <c r="AW1608" t="s">
        <v>3250</v>
      </c>
      <c r="AX1608" t="s">
        <v>3250</v>
      </c>
      <c r="AY1608">
        <v>1030</v>
      </c>
      <c r="AZ1608" t="s">
        <v>2303</v>
      </c>
      <c r="BA1608" t="s">
        <v>3250</v>
      </c>
      <c r="BB1608">
        <v>1030</v>
      </c>
      <c r="BC1608" t="s">
        <v>2303</v>
      </c>
      <c r="BE1608" t="s">
        <v>3250</v>
      </c>
      <c r="BF1608" t="s">
        <v>3250</v>
      </c>
      <c r="BG1608" t="s">
        <v>3250</v>
      </c>
      <c r="BH1608" t="s">
        <v>3250</v>
      </c>
      <c r="BI1608" t="s">
        <v>3250</v>
      </c>
      <c r="BK1608" t="s">
        <v>3250</v>
      </c>
      <c r="BL1608" t="s">
        <v>3250</v>
      </c>
      <c r="BM1608" t="s">
        <v>3250</v>
      </c>
      <c r="BN1608" t="s">
        <v>3250</v>
      </c>
      <c r="BP1608">
        <v>9</v>
      </c>
      <c r="BQ1608">
        <v>91</v>
      </c>
      <c r="BR1608" t="s">
        <v>2390</v>
      </c>
      <c r="BS1608" t="s">
        <v>1675</v>
      </c>
      <c r="BV1608">
        <v>25059</v>
      </c>
      <c r="BW1608">
        <v>24941</v>
      </c>
      <c r="BX1608">
        <v>0</v>
      </c>
      <c r="BY1608">
        <v>0</v>
      </c>
      <c r="BZ1608">
        <v>0</v>
      </c>
      <c r="CA1608">
        <v>0</v>
      </c>
      <c r="CB1608">
        <v>0</v>
      </c>
      <c r="CC1608">
        <v>0</v>
      </c>
      <c r="CD1608">
        <v>0</v>
      </c>
      <c r="CE1608" t="s">
        <v>3108</v>
      </c>
      <c r="CF1608" t="s">
        <v>3108</v>
      </c>
      <c r="CG1608" t="s">
        <v>3108</v>
      </c>
      <c r="CH1608" t="s">
        <v>3108</v>
      </c>
    </row>
    <row r="1609" spans="1:86" x14ac:dyDescent="0.2">
      <c r="A1609" t="s">
        <v>5581</v>
      </c>
      <c r="B1609" t="s">
        <v>5581</v>
      </c>
      <c r="C1609">
        <v>54726</v>
      </c>
      <c r="D1609">
        <v>1719</v>
      </c>
      <c r="E1609" t="s">
        <v>4326</v>
      </c>
      <c r="F1609">
        <v>2700</v>
      </c>
      <c r="G1609" t="s">
        <v>411</v>
      </c>
      <c r="H1609" t="s">
        <v>4004</v>
      </c>
      <c r="I1609" t="s">
        <v>2531</v>
      </c>
      <c r="J1609">
        <v>2701</v>
      </c>
      <c r="K1609" t="s">
        <v>2531</v>
      </c>
      <c r="L1609">
        <v>3100</v>
      </c>
      <c r="M1609" t="s">
        <v>127</v>
      </c>
      <c r="N1609">
        <v>3105</v>
      </c>
      <c r="O1609" t="s">
        <v>2416</v>
      </c>
      <c r="P1609" t="s">
        <v>3108</v>
      </c>
      <c r="Q1609" t="s">
        <v>3249</v>
      </c>
      <c r="R1609" t="s">
        <v>3249</v>
      </c>
      <c r="S1609" t="s">
        <v>810</v>
      </c>
      <c r="T1609" t="s">
        <v>2754</v>
      </c>
      <c r="U1609" t="s">
        <v>3250</v>
      </c>
      <c r="V1609" t="s">
        <v>3250</v>
      </c>
      <c r="W1609" t="s">
        <v>3250</v>
      </c>
      <c r="X1609" t="s">
        <v>3250</v>
      </c>
      <c r="Y1609" t="s">
        <v>3250</v>
      </c>
      <c r="Z1609" t="s">
        <v>3250</v>
      </c>
      <c r="AA1609" t="s">
        <v>3108</v>
      </c>
      <c r="AB1609" t="s">
        <v>3108</v>
      </c>
      <c r="AC1609" t="s">
        <v>3250</v>
      </c>
      <c r="AD1609" t="s">
        <v>3250</v>
      </c>
      <c r="AE1609" t="s">
        <v>3250</v>
      </c>
      <c r="AF1609" t="s">
        <v>3250</v>
      </c>
      <c r="AG1609" t="s">
        <v>3250</v>
      </c>
      <c r="AH1609" t="s">
        <v>3250</v>
      </c>
      <c r="AI1609" t="s">
        <v>3250</v>
      </c>
      <c r="AJ1609" t="s">
        <v>3250</v>
      </c>
      <c r="AL1609" t="s">
        <v>3250</v>
      </c>
      <c r="AM1609" t="s">
        <v>3250</v>
      </c>
      <c r="AN1609" t="s">
        <v>3250</v>
      </c>
      <c r="AO1609" t="s">
        <v>3250</v>
      </c>
      <c r="AS1609" t="s">
        <v>3250</v>
      </c>
      <c r="AT1609" t="s">
        <v>3250</v>
      </c>
      <c r="AU1609" t="s">
        <v>3250</v>
      </c>
      <c r="AV1609" t="s">
        <v>3250</v>
      </c>
      <c r="AW1609" t="s">
        <v>3250</v>
      </c>
      <c r="AX1609" t="s">
        <v>3250</v>
      </c>
      <c r="AY1609" t="s">
        <v>3250</v>
      </c>
      <c r="AZ1609" t="s">
        <v>3250</v>
      </c>
      <c r="BA1609" t="s">
        <v>3250</v>
      </c>
      <c r="BB1609" t="s">
        <v>3250</v>
      </c>
      <c r="BC1609" t="s">
        <v>3250</v>
      </c>
      <c r="BE1609" t="s">
        <v>3250</v>
      </c>
      <c r="BF1609" t="s">
        <v>3250</v>
      </c>
      <c r="BG1609" t="s">
        <v>3250</v>
      </c>
      <c r="BH1609" t="s">
        <v>3250</v>
      </c>
      <c r="BI1609" t="s">
        <v>3250</v>
      </c>
      <c r="BK1609" t="s">
        <v>3250</v>
      </c>
      <c r="BL1609" t="s">
        <v>3250</v>
      </c>
      <c r="BM1609" t="s">
        <v>3250</v>
      </c>
      <c r="BN1609" t="s">
        <v>3250</v>
      </c>
      <c r="BP1609">
        <v>8</v>
      </c>
      <c r="BQ1609">
        <v>83</v>
      </c>
      <c r="BR1609" t="s">
        <v>2416</v>
      </c>
      <c r="BS1609" t="s">
        <v>4013</v>
      </c>
      <c r="BV1609">
        <v>1386326</v>
      </c>
      <c r="BW1609">
        <v>2530721</v>
      </c>
      <c r="BX1609">
        <v>0</v>
      </c>
      <c r="BY1609">
        <v>0</v>
      </c>
      <c r="BZ1609">
        <v>0</v>
      </c>
      <c r="CA1609">
        <v>0</v>
      </c>
      <c r="CB1609">
        <v>0</v>
      </c>
      <c r="CC1609">
        <v>0</v>
      </c>
      <c r="CD1609">
        <v>0</v>
      </c>
      <c r="CE1609" t="s">
        <v>3108</v>
      </c>
      <c r="CF1609" t="s">
        <v>3108</v>
      </c>
      <c r="CG1609" t="s">
        <v>3108</v>
      </c>
      <c r="CH1609" t="s">
        <v>3108</v>
      </c>
    </row>
    <row r="1610" spans="1:86" x14ac:dyDescent="0.2">
      <c r="A1610" t="s">
        <v>5582</v>
      </c>
      <c r="B1610" t="s">
        <v>5582</v>
      </c>
      <c r="C1610">
        <v>54727</v>
      </c>
      <c r="D1610">
        <v>1725</v>
      </c>
      <c r="E1610" t="s">
        <v>4093</v>
      </c>
      <c r="F1610">
        <v>2000</v>
      </c>
      <c r="G1610" t="s">
        <v>408</v>
      </c>
      <c r="H1610" t="s">
        <v>4094</v>
      </c>
      <c r="I1610" t="s">
        <v>1135</v>
      </c>
      <c r="J1610">
        <v>2001</v>
      </c>
      <c r="K1610" t="s">
        <v>1135</v>
      </c>
      <c r="L1610">
        <v>4400</v>
      </c>
      <c r="M1610" t="s">
        <v>988</v>
      </c>
      <c r="N1610">
        <v>4403</v>
      </c>
      <c r="O1610" t="s">
        <v>2439</v>
      </c>
      <c r="P1610" t="s">
        <v>3108</v>
      </c>
      <c r="Q1610" t="s">
        <v>3249</v>
      </c>
      <c r="R1610" t="s">
        <v>3249</v>
      </c>
      <c r="S1610" t="s">
        <v>810</v>
      </c>
      <c r="T1610" t="s">
        <v>2754</v>
      </c>
      <c r="U1610" t="s">
        <v>3250</v>
      </c>
      <c r="V1610" t="s">
        <v>3250</v>
      </c>
      <c r="W1610" t="s">
        <v>3250</v>
      </c>
      <c r="X1610" t="s">
        <v>3250</v>
      </c>
      <c r="Y1610" t="s">
        <v>3250</v>
      </c>
      <c r="Z1610" t="s">
        <v>3250</v>
      </c>
      <c r="AA1610" t="s">
        <v>3108</v>
      </c>
      <c r="AB1610" t="s">
        <v>3108</v>
      </c>
      <c r="AC1610" t="s">
        <v>3250</v>
      </c>
      <c r="AD1610" t="s">
        <v>3250</v>
      </c>
      <c r="AE1610" t="s">
        <v>3250</v>
      </c>
      <c r="AF1610" t="s">
        <v>3250</v>
      </c>
      <c r="AG1610" t="s">
        <v>3250</v>
      </c>
      <c r="AH1610" t="s">
        <v>3250</v>
      </c>
      <c r="AI1610" t="s">
        <v>3250</v>
      </c>
      <c r="AJ1610" t="s">
        <v>3250</v>
      </c>
      <c r="AL1610" t="s">
        <v>3250</v>
      </c>
      <c r="AM1610" t="s">
        <v>3250</v>
      </c>
      <c r="AN1610" t="s">
        <v>3250</v>
      </c>
      <c r="AO1610" t="s">
        <v>3250</v>
      </c>
      <c r="AS1610" t="s">
        <v>3250</v>
      </c>
      <c r="AT1610" t="s">
        <v>3250</v>
      </c>
      <c r="AU1610" t="s">
        <v>3250</v>
      </c>
      <c r="AV1610" t="s">
        <v>3250</v>
      </c>
      <c r="AW1610" t="s">
        <v>3250</v>
      </c>
      <c r="AX1610" t="s">
        <v>3250</v>
      </c>
      <c r="AY1610" t="s">
        <v>3250</v>
      </c>
      <c r="AZ1610" t="s">
        <v>3250</v>
      </c>
      <c r="BA1610" t="s">
        <v>3250</v>
      </c>
      <c r="BB1610" t="s">
        <v>3250</v>
      </c>
      <c r="BC1610" t="s">
        <v>3250</v>
      </c>
      <c r="BE1610" t="s">
        <v>3250</v>
      </c>
      <c r="BF1610" t="s">
        <v>3250</v>
      </c>
      <c r="BG1610" t="s">
        <v>3250</v>
      </c>
      <c r="BH1610" t="s">
        <v>3250</v>
      </c>
      <c r="BI1610" t="s">
        <v>3250</v>
      </c>
      <c r="BK1610" t="s">
        <v>3250</v>
      </c>
      <c r="BL1610" t="s">
        <v>3250</v>
      </c>
      <c r="BM1610" t="s">
        <v>3250</v>
      </c>
      <c r="BN1610" t="s">
        <v>3250</v>
      </c>
      <c r="BO1610" t="s">
        <v>2916</v>
      </c>
      <c r="BP1610">
        <v>12</v>
      </c>
      <c r="BQ1610">
        <v>121</v>
      </c>
      <c r="BR1610" t="s">
        <v>2439</v>
      </c>
      <c r="BS1610" t="s">
        <v>941</v>
      </c>
      <c r="BV1610">
        <v>0</v>
      </c>
      <c r="BW1610">
        <v>0</v>
      </c>
      <c r="BX1610">
        <v>0</v>
      </c>
      <c r="BY1610">
        <v>800000</v>
      </c>
      <c r="BZ1610">
        <v>0</v>
      </c>
      <c r="CA1610">
        <v>0</v>
      </c>
      <c r="CB1610">
        <v>0</v>
      </c>
      <c r="CC1610">
        <v>0</v>
      </c>
      <c r="CD1610">
        <v>186825</v>
      </c>
      <c r="CE1610" t="s">
        <v>3108</v>
      </c>
      <c r="CF1610" t="s">
        <v>3108</v>
      </c>
      <c r="CG1610" t="s">
        <v>3108</v>
      </c>
      <c r="CH1610" t="s">
        <v>3108</v>
      </c>
    </row>
    <row r="1611" spans="1:86" x14ac:dyDescent="0.2">
      <c r="A1611" t="s">
        <v>5583</v>
      </c>
      <c r="B1611" t="s">
        <v>5583</v>
      </c>
      <c r="C1611">
        <v>54728</v>
      </c>
      <c r="D1611">
        <v>1726</v>
      </c>
      <c r="E1611" t="s">
        <v>3994</v>
      </c>
      <c r="F1611">
        <v>2600</v>
      </c>
      <c r="G1611" t="s">
        <v>1334</v>
      </c>
      <c r="H1611">
        <v>2600</v>
      </c>
      <c r="I1611" t="s">
        <v>1334</v>
      </c>
      <c r="J1611" t="s">
        <v>3250</v>
      </c>
      <c r="K1611" t="s">
        <v>3250</v>
      </c>
      <c r="L1611">
        <v>1100</v>
      </c>
      <c r="M1611" t="s">
        <v>119</v>
      </c>
      <c r="N1611">
        <v>1110</v>
      </c>
      <c r="O1611" t="s">
        <v>284</v>
      </c>
      <c r="P1611" t="s">
        <v>3108</v>
      </c>
      <c r="Q1611" t="s">
        <v>3249</v>
      </c>
      <c r="R1611" t="s">
        <v>3249</v>
      </c>
      <c r="S1611" t="s">
        <v>810</v>
      </c>
      <c r="T1611" t="s">
        <v>2754</v>
      </c>
      <c r="U1611" t="s">
        <v>3250</v>
      </c>
      <c r="V1611" t="s">
        <v>3250</v>
      </c>
      <c r="W1611" t="s">
        <v>3250</v>
      </c>
      <c r="X1611" t="s">
        <v>3250</v>
      </c>
      <c r="Y1611" t="s">
        <v>3250</v>
      </c>
      <c r="Z1611" t="s">
        <v>3250</v>
      </c>
      <c r="AA1611" t="s">
        <v>3108</v>
      </c>
      <c r="AB1611" t="s">
        <v>3108</v>
      </c>
      <c r="AC1611" t="s">
        <v>3250</v>
      </c>
      <c r="AD1611" t="s">
        <v>3250</v>
      </c>
      <c r="AE1611" t="s">
        <v>3250</v>
      </c>
      <c r="AF1611" t="s">
        <v>3250</v>
      </c>
      <c r="AG1611" t="s">
        <v>3250</v>
      </c>
      <c r="AH1611" t="s">
        <v>3250</v>
      </c>
      <c r="AI1611" t="s">
        <v>3250</v>
      </c>
      <c r="AJ1611" t="s">
        <v>3250</v>
      </c>
      <c r="AL1611" t="s">
        <v>3250</v>
      </c>
      <c r="AM1611" t="s">
        <v>3250</v>
      </c>
      <c r="AN1611" t="s">
        <v>3250</v>
      </c>
      <c r="AO1611" t="s">
        <v>3250</v>
      </c>
      <c r="AS1611" t="s">
        <v>3250</v>
      </c>
      <c r="AT1611" t="s">
        <v>3250</v>
      </c>
      <c r="AU1611" t="s">
        <v>3250</v>
      </c>
      <c r="AV1611" t="s">
        <v>3250</v>
      </c>
      <c r="AW1611" t="s">
        <v>3250</v>
      </c>
      <c r="AX1611" t="s">
        <v>3250</v>
      </c>
      <c r="AY1611" t="s">
        <v>3250</v>
      </c>
      <c r="AZ1611" t="s">
        <v>3250</v>
      </c>
      <c r="BA1611" t="s">
        <v>3250</v>
      </c>
      <c r="BB1611" t="s">
        <v>3250</v>
      </c>
      <c r="BC1611" t="s">
        <v>3250</v>
      </c>
      <c r="BE1611" t="s">
        <v>3250</v>
      </c>
      <c r="BF1611" t="s">
        <v>3250</v>
      </c>
      <c r="BG1611" t="s">
        <v>3250</v>
      </c>
      <c r="BH1611" t="s">
        <v>3250</v>
      </c>
      <c r="BI1611" t="s">
        <v>3250</v>
      </c>
      <c r="BK1611" t="s">
        <v>3250</v>
      </c>
      <c r="BL1611" t="s">
        <v>3250</v>
      </c>
      <c r="BM1611" t="s">
        <v>3250</v>
      </c>
      <c r="BN1611" t="s">
        <v>3250</v>
      </c>
      <c r="BP1611">
        <v>3</v>
      </c>
      <c r="BQ1611">
        <v>32</v>
      </c>
      <c r="BR1611" t="s">
        <v>284</v>
      </c>
      <c r="BS1611" t="s">
        <v>4381</v>
      </c>
      <c r="BV1611">
        <v>535012</v>
      </c>
      <c r="BW1611">
        <v>1057506</v>
      </c>
      <c r="BX1611">
        <v>0</v>
      </c>
      <c r="BY1611">
        <v>500000</v>
      </c>
      <c r="BZ1611">
        <v>800000</v>
      </c>
      <c r="CA1611">
        <v>831200</v>
      </c>
      <c r="CB1611">
        <v>864448</v>
      </c>
      <c r="CC1611">
        <v>899026</v>
      </c>
      <c r="CD1611">
        <v>580073</v>
      </c>
      <c r="CE1611" t="s">
        <v>3108</v>
      </c>
      <c r="CF1611" t="s">
        <v>3108</v>
      </c>
      <c r="CG1611" t="s">
        <v>3108</v>
      </c>
      <c r="CH1611" t="s">
        <v>3108</v>
      </c>
    </row>
    <row r="1612" spans="1:86" x14ac:dyDescent="0.2">
      <c r="A1612" t="s">
        <v>5584</v>
      </c>
      <c r="B1612" t="s">
        <v>5584</v>
      </c>
      <c r="C1612">
        <v>54729</v>
      </c>
      <c r="D1612">
        <v>1727</v>
      </c>
      <c r="E1612" t="s">
        <v>3992</v>
      </c>
      <c r="F1612">
        <v>2900</v>
      </c>
      <c r="G1612" t="s">
        <v>822</v>
      </c>
      <c r="H1612" t="s">
        <v>3108</v>
      </c>
      <c r="I1612" t="s">
        <v>3108</v>
      </c>
      <c r="J1612">
        <v>2904</v>
      </c>
      <c r="K1612" t="s">
        <v>1690</v>
      </c>
      <c r="L1612">
        <v>2500</v>
      </c>
      <c r="M1612" t="s">
        <v>1551</v>
      </c>
      <c r="N1612">
        <v>2502</v>
      </c>
      <c r="O1612" t="s">
        <v>2379</v>
      </c>
      <c r="P1612" t="s">
        <v>3108</v>
      </c>
      <c r="Q1612" t="s">
        <v>3249</v>
      </c>
      <c r="R1612" t="s">
        <v>3249</v>
      </c>
      <c r="S1612" t="s">
        <v>810</v>
      </c>
      <c r="T1612" t="s">
        <v>2754</v>
      </c>
      <c r="U1612" t="s">
        <v>3250</v>
      </c>
      <c r="V1612" t="s">
        <v>3250</v>
      </c>
      <c r="W1612" t="s">
        <v>3250</v>
      </c>
      <c r="X1612" t="s">
        <v>3250</v>
      </c>
      <c r="Y1612" t="s">
        <v>3250</v>
      </c>
      <c r="Z1612" t="s">
        <v>3250</v>
      </c>
      <c r="AA1612" t="s">
        <v>3108</v>
      </c>
      <c r="AB1612" t="s">
        <v>3108</v>
      </c>
      <c r="AC1612" t="s">
        <v>3250</v>
      </c>
      <c r="AD1612" t="s">
        <v>3250</v>
      </c>
      <c r="AE1612" t="s">
        <v>3250</v>
      </c>
      <c r="AF1612" t="s">
        <v>3250</v>
      </c>
      <c r="AG1612" t="s">
        <v>3250</v>
      </c>
      <c r="AH1612" t="s">
        <v>3250</v>
      </c>
      <c r="AI1612" t="s">
        <v>3250</v>
      </c>
      <c r="AJ1612" t="s">
        <v>3250</v>
      </c>
      <c r="AL1612" t="s">
        <v>3250</v>
      </c>
      <c r="AM1612" t="s">
        <v>3250</v>
      </c>
      <c r="AN1612" t="s">
        <v>3250</v>
      </c>
      <c r="AO1612" t="s">
        <v>3250</v>
      </c>
      <c r="AS1612" t="s">
        <v>3250</v>
      </c>
      <c r="AT1612" t="s">
        <v>3250</v>
      </c>
      <c r="AU1612" t="s">
        <v>3250</v>
      </c>
      <c r="AV1612" t="s">
        <v>3250</v>
      </c>
      <c r="AW1612" t="s">
        <v>3250</v>
      </c>
      <c r="AX1612" t="s">
        <v>3250</v>
      </c>
      <c r="AY1612" t="s">
        <v>3250</v>
      </c>
      <c r="AZ1612" t="s">
        <v>3250</v>
      </c>
      <c r="BA1612" t="s">
        <v>3250</v>
      </c>
      <c r="BB1612" t="s">
        <v>3250</v>
      </c>
      <c r="BC1612" t="s">
        <v>3250</v>
      </c>
      <c r="BE1612" t="s">
        <v>3250</v>
      </c>
      <c r="BF1612" t="s">
        <v>3250</v>
      </c>
      <c r="BG1612" t="s">
        <v>3250</v>
      </c>
      <c r="BH1612" t="s">
        <v>3250</v>
      </c>
      <c r="BI1612" t="s">
        <v>3250</v>
      </c>
      <c r="BK1612" t="s">
        <v>3250</v>
      </c>
      <c r="BL1612" t="s">
        <v>3250</v>
      </c>
      <c r="BM1612" t="s">
        <v>3250</v>
      </c>
      <c r="BN1612" t="s">
        <v>3250</v>
      </c>
      <c r="BP1612">
        <v>15</v>
      </c>
      <c r="BQ1612">
        <v>151</v>
      </c>
      <c r="BR1612" t="s">
        <v>2379</v>
      </c>
      <c r="BS1612" t="s">
        <v>1551</v>
      </c>
      <c r="BV1612">
        <v>0</v>
      </c>
      <c r="BW1612">
        <v>0</v>
      </c>
      <c r="BX1612">
        <v>0</v>
      </c>
      <c r="BY1612">
        <v>70000</v>
      </c>
      <c r="BZ1612">
        <v>57405</v>
      </c>
      <c r="CA1612">
        <v>50000</v>
      </c>
      <c r="CB1612">
        <v>62030</v>
      </c>
      <c r="CC1612">
        <v>64511</v>
      </c>
      <c r="CD1612">
        <v>95</v>
      </c>
      <c r="CE1612" t="s">
        <v>3108</v>
      </c>
      <c r="CF1612" t="s">
        <v>3108</v>
      </c>
      <c r="CG1612" t="s">
        <v>3108</v>
      </c>
      <c r="CH1612" t="s">
        <v>3108</v>
      </c>
    </row>
    <row r="1613" spans="1:86" x14ac:dyDescent="0.2">
      <c r="A1613" t="s">
        <v>5585</v>
      </c>
      <c r="B1613" t="s">
        <v>5585</v>
      </c>
      <c r="C1613">
        <v>54730</v>
      </c>
      <c r="D1613">
        <v>1728</v>
      </c>
      <c r="E1613" t="s">
        <v>4006</v>
      </c>
      <c r="F1613">
        <v>2700</v>
      </c>
      <c r="G1613" t="s">
        <v>411</v>
      </c>
      <c r="H1613" t="s">
        <v>4004</v>
      </c>
      <c r="I1613" t="s">
        <v>2531</v>
      </c>
      <c r="J1613">
        <v>2701</v>
      </c>
      <c r="K1613" t="s">
        <v>2531</v>
      </c>
      <c r="L1613">
        <v>2200</v>
      </c>
      <c r="M1613" t="s">
        <v>124</v>
      </c>
      <c r="N1613">
        <v>2205</v>
      </c>
      <c r="O1613" t="s">
        <v>2390</v>
      </c>
      <c r="P1613" t="s">
        <v>3108</v>
      </c>
      <c r="Q1613" t="s">
        <v>3249</v>
      </c>
      <c r="R1613" t="s">
        <v>3249</v>
      </c>
      <c r="S1613" t="s">
        <v>810</v>
      </c>
      <c r="T1613" t="s">
        <v>2754</v>
      </c>
      <c r="U1613" t="s">
        <v>3250</v>
      </c>
      <c r="V1613" t="s">
        <v>3250</v>
      </c>
      <c r="W1613" t="s">
        <v>3250</v>
      </c>
      <c r="X1613" t="s">
        <v>3250</v>
      </c>
      <c r="Y1613" t="s">
        <v>3250</v>
      </c>
      <c r="Z1613" t="s">
        <v>3250</v>
      </c>
      <c r="AA1613" t="s">
        <v>3108</v>
      </c>
      <c r="AB1613" t="s">
        <v>3108</v>
      </c>
      <c r="AC1613" t="s">
        <v>3250</v>
      </c>
      <c r="AD1613" t="s">
        <v>3250</v>
      </c>
      <c r="AE1613" t="s">
        <v>3250</v>
      </c>
      <c r="AF1613" t="s">
        <v>3250</v>
      </c>
      <c r="AG1613" t="s">
        <v>3250</v>
      </c>
      <c r="AH1613" t="s">
        <v>3250</v>
      </c>
      <c r="AI1613" t="s">
        <v>3250</v>
      </c>
      <c r="AJ1613" t="s">
        <v>3250</v>
      </c>
      <c r="AL1613" t="s">
        <v>3250</v>
      </c>
      <c r="AM1613" t="s">
        <v>3250</v>
      </c>
      <c r="AN1613" t="s">
        <v>3250</v>
      </c>
      <c r="AO1613" t="s">
        <v>3250</v>
      </c>
      <c r="AS1613" t="s">
        <v>3250</v>
      </c>
      <c r="AT1613" t="s">
        <v>3250</v>
      </c>
      <c r="AU1613" t="s">
        <v>3250</v>
      </c>
      <c r="AV1613" t="s">
        <v>3250</v>
      </c>
      <c r="AW1613" t="s">
        <v>3250</v>
      </c>
      <c r="AX1613" t="s">
        <v>3250</v>
      </c>
      <c r="AY1613" t="s">
        <v>3250</v>
      </c>
      <c r="AZ1613" t="s">
        <v>3250</v>
      </c>
      <c r="BA1613" t="s">
        <v>3250</v>
      </c>
      <c r="BB1613" t="s">
        <v>3250</v>
      </c>
      <c r="BC1613" t="s">
        <v>3250</v>
      </c>
      <c r="BE1613" t="s">
        <v>3250</v>
      </c>
      <c r="BF1613" t="s">
        <v>3250</v>
      </c>
      <c r="BG1613" t="s">
        <v>3250</v>
      </c>
      <c r="BH1613" t="s">
        <v>3250</v>
      </c>
      <c r="BI1613" t="s">
        <v>3250</v>
      </c>
      <c r="BK1613" t="s">
        <v>3250</v>
      </c>
      <c r="BL1613" t="s">
        <v>3250</v>
      </c>
      <c r="BM1613" t="s">
        <v>3250</v>
      </c>
      <c r="BN1613" t="s">
        <v>3250</v>
      </c>
      <c r="BP1613">
        <v>9</v>
      </c>
      <c r="BQ1613">
        <v>91</v>
      </c>
      <c r="BR1613" t="s">
        <v>2390</v>
      </c>
      <c r="BS1613" t="s">
        <v>1675</v>
      </c>
      <c r="BV1613">
        <v>0</v>
      </c>
      <c r="BW1613">
        <v>0</v>
      </c>
      <c r="BX1613">
        <v>0</v>
      </c>
      <c r="BY1613">
        <v>10000</v>
      </c>
      <c r="BZ1613">
        <v>30270</v>
      </c>
      <c r="CA1613">
        <v>15000</v>
      </c>
      <c r="CB1613">
        <v>15600</v>
      </c>
      <c r="CC1613">
        <v>16224</v>
      </c>
      <c r="CD1613">
        <v>1800</v>
      </c>
      <c r="CE1613" t="s">
        <v>3108</v>
      </c>
      <c r="CF1613" t="s">
        <v>3108</v>
      </c>
      <c r="CG1613" t="s">
        <v>3108</v>
      </c>
      <c r="CH1613" t="s">
        <v>3108</v>
      </c>
    </row>
    <row r="1614" spans="1:86" x14ac:dyDescent="0.2">
      <c r="A1614" t="s">
        <v>5586</v>
      </c>
      <c r="B1614" t="s">
        <v>5586</v>
      </c>
      <c r="C1614">
        <v>54731</v>
      </c>
      <c r="D1614">
        <v>1729</v>
      </c>
      <c r="E1614" t="s">
        <v>4326</v>
      </c>
      <c r="F1614">
        <v>2700</v>
      </c>
      <c r="G1614" t="s">
        <v>411</v>
      </c>
      <c r="H1614" t="s">
        <v>4004</v>
      </c>
      <c r="I1614" t="s">
        <v>2531</v>
      </c>
      <c r="J1614">
        <v>2701</v>
      </c>
      <c r="K1614" t="s">
        <v>2531</v>
      </c>
      <c r="L1614">
        <v>2200</v>
      </c>
      <c r="M1614" t="s">
        <v>124</v>
      </c>
      <c r="N1614">
        <v>2205</v>
      </c>
      <c r="O1614" t="s">
        <v>2390</v>
      </c>
      <c r="P1614" t="s">
        <v>3108</v>
      </c>
      <c r="Q1614" t="s">
        <v>3249</v>
      </c>
      <c r="R1614" t="s">
        <v>3249</v>
      </c>
      <c r="S1614" t="s">
        <v>810</v>
      </c>
      <c r="T1614" t="s">
        <v>2754</v>
      </c>
      <c r="U1614" t="s">
        <v>3250</v>
      </c>
      <c r="V1614" t="s">
        <v>3250</v>
      </c>
      <c r="W1614" t="s">
        <v>3250</v>
      </c>
      <c r="X1614" t="s">
        <v>3250</v>
      </c>
      <c r="Y1614" t="s">
        <v>3250</v>
      </c>
      <c r="Z1614" t="s">
        <v>3250</v>
      </c>
      <c r="AA1614" t="s">
        <v>3108</v>
      </c>
      <c r="AB1614" t="s">
        <v>3108</v>
      </c>
      <c r="AC1614" t="s">
        <v>3250</v>
      </c>
      <c r="AD1614" t="s">
        <v>3250</v>
      </c>
      <c r="AE1614" t="s">
        <v>3250</v>
      </c>
      <c r="AF1614" t="s">
        <v>3250</v>
      </c>
      <c r="AG1614" t="s">
        <v>3250</v>
      </c>
      <c r="AH1614" t="s">
        <v>3250</v>
      </c>
      <c r="AI1614" t="s">
        <v>3250</v>
      </c>
      <c r="AJ1614" t="s">
        <v>3250</v>
      </c>
      <c r="AL1614" t="s">
        <v>3250</v>
      </c>
      <c r="AM1614" t="s">
        <v>3250</v>
      </c>
      <c r="AN1614" t="s">
        <v>3250</v>
      </c>
      <c r="AO1614" t="s">
        <v>3250</v>
      </c>
      <c r="AS1614" t="s">
        <v>3250</v>
      </c>
      <c r="AT1614" t="s">
        <v>3250</v>
      </c>
      <c r="AU1614" t="s">
        <v>3250</v>
      </c>
      <c r="AV1614" t="s">
        <v>3250</v>
      </c>
      <c r="AW1614" t="s">
        <v>3250</v>
      </c>
      <c r="AX1614" t="s">
        <v>3250</v>
      </c>
      <c r="AY1614" t="s">
        <v>3250</v>
      </c>
      <c r="AZ1614" t="s">
        <v>3250</v>
      </c>
      <c r="BA1614" t="s">
        <v>3250</v>
      </c>
      <c r="BB1614" t="s">
        <v>3250</v>
      </c>
      <c r="BC1614" t="s">
        <v>3250</v>
      </c>
      <c r="BE1614" t="s">
        <v>3250</v>
      </c>
      <c r="BF1614" t="s">
        <v>3250</v>
      </c>
      <c r="BG1614" t="s">
        <v>3250</v>
      </c>
      <c r="BH1614" t="s">
        <v>3250</v>
      </c>
      <c r="BI1614" t="s">
        <v>3250</v>
      </c>
      <c r="BK1614" t="s">
        <v>3250</v>
      </c>
      <c r="BL1614" t="s">
        <v>3250</v>
      </c>
      <c r="BM1614" t="s">
        <v>3250</v>
      </c>
      <c r="BN1614" t="s">
        <v>3250</v>
      </c>
      <c r="BP1614">
        <v>9</v>
      </c>
      <c r="BQ1614">
        <v>91</v>
      </c>
      <c r="BR1614" t="s">
        <v>2390</v>
      </c>
      <c r="BS1614" t="s">
        <v>1675</v>
      </c>
      <c r="BV1614">
        <v>0</v>
      </c>
      <c r="BW1614">
        <v>0</v>
      </c>
      <c r="BX1614">
        <v>0</v>
      </c>
      <c r="BY1614">
        <v>30000</v>
      </c>
      <c r="BZ1614">
        <v>17930</v>
      </c>
      <c r="CA1614">
        <v>20000</v>
      </c>
      <c r="CB1614">
        <v>20800</v>
      </c>
      <c r="CC1614">
        <v>21632</v>
      </c>
      <c r="CD1614">
        <v>2070</v>
      </c>
      <c r="CE1614" t="s">
        <v>3108</v>
      </c>
      <c r="CF1614" t="s">
        <v>3108</v>
      </c>
      <c r="CG1614" t="s">
        <v>3108</v>
      </c>
      <c r="CH1614" t="s">
        <v>3108</v>
      </c>
    </row>
    <row r="1615" spans="1:86" x14ac:dyDescent="0.2">
      <c r="A1615" t="s">
        <v>5587</v>
      </c>
      <c r="B1615" t="s">
        <v>5587</v>
      </c>
      <c r="C1615">
        <v>54732</v>
      </c>
      <c r="D1615">
        <v>1730</v>
      </c>
      <c r="E1615" t="s">
        <v>4037</v>
      </c>
      <c r="F1615">
        <v>2900</v>
      </c>
      <c r="G1615" t="s">
        <v>822</v>
      </c>
      <c r="H1615" t="s">
        <v>3108</v>
      </c>
      <c r="I1615" t="s">
        <v>3108</v>
      </c>
      <c r="J1615">
        <v>2904</v>
      </c>
      <c r="K1615" t="s">
        <v>1690</v>
      </c>
      <c r="L1615">
        <v>2200</v>
      </c>
      <c r="M1615" t="s">
        <v>124</v>
      </c>
      <c r="N1615">
        <v>2205</v>
      </c>
      <c r="O1615" t="s">
        <v>2390</v>
      </c>
      <c r="P1615" t="s">
        <v>3108</v>
      </c>
      <c r="Q1615" t="s">
        <v>3249</v>
      </c>
      <c r="R1615" t="s">
        <v>3249</v>
      </c>
      <c r="S1615" t="s">
        <v>810</v>
      </c>
      <c r="T1615" t="s">
        <v>2754</v>
      </c>
      <c r="U1615" t="s">
        <v>3250</v>
      </c>
      <c r="V1615" t="s">
        <v>3250</v>
      </c>
      <c r="W1615" t="s">
        <v>3250</v>
      </c>
      <c r="X1615" t="s">
        <v>3250</v>
      </c>
      <c r="Y1615" t="s">
        <v>3250</v>
      </c>
      <c r="Z1615" t="s">
        <v>3250</v>
      </c>
      <c r="AA1615" t="s">
        <v>3108</v>
      </c>
      <c r="AB1615" t="s">
        <v>3108</v>
      </c>
      <c r="AC1615" t="s">
        <v>3250</v>
      </c>
      <c r="AD1615" t="s">
        <v>3250</v>
      </c>
      <c r="AE1615" t="s">
        <v>3250</v>
      </c>
      <c r="AF1615" t="s">
        <v>3250</v>
      </c>
      <c r="AG1615" t="s">
        <v>3250</v>
      </c>
      <c r="AH1615" t="s">
        <v>3250</v>
      </c>
      <c r="AI1615" t="s">
        <v>3250</v>
      </c>
      <c r="AJ1615" t="s">
        <v>3250</v>
      </c>
      <c r="AL1615" t="s">
        <v>3250</v>
      </c>
      <c r="AM1615" t="s">
        <v>3250</v>
      </c>
      <c r="AN1615" t="s">
        <v>3250</v>
      </c>
      <c r="AO1615" t="s">
        <v>3250</v>
      </c>
      <c r="AS1615" t="s">
        <v>3250</v>
      </c>
      <c r="AT1615" t="s">
        <v>3250</v>
      </c>
      <c r="AU1615" t="s">
        <v>3250</v>
      </c>
      <c r="AV1615" t="s">
        <v>3250</v>
      </c>
      <c r="AW1615" t="s">
        <v>3250</v>
      </c>
      <c r="AX1615" t="s">
        <v>3250</v>
      </c>
      <c r="AY1615" t="s">
        <v>3250</v>
      </c>
      <c r="AZ1615" t="s">
        <v>3250</v>
      </c>
      <c r="BA1615" t="s">
        <v>3250</v>
      </c>
      <c r="BB1615" t="s">
        <v>3250</v>
      </c>
      <c r="BC1615" t="s">
        <v>3250</v>
      </c>
      <c r="BE1615" t="s">
        <v>3250</v>
      </c>
      <c r="BF1615" t="s">
        <v>3250</v>
      </c>
      <c r="BG1615" t="s">
        <v>3250</v>
      </c>
      <c r="BH1615" t="s">
        <v>3250</v>
      </c>
      <c r="BI1615" t="s">
        <v>3250</v>
      </c>
      <c r="BK1615" t="s">
        <v>3250</v>
      </c>
      <c r="BL1615" t="s">
        <v>3250</v>
      </c>
      <c r="BM1615" t="s">
        <v>3250</v>
      </c>
      <c r="BN1615" t="s">
        <v>3250</v>
      </c>
      <c r="BP1615">
        <v>9</v>
      </c>
      <c r="BQ1615">
        <v>91</v>
      </c>
      <c r="BR1615" t="s">
        <v>2390</v>
      </c>
      <c r="BS1615" t="s">
        <v>1675</v>
      </c>
      <c r="BV1615">
        <v>12702</v>
      </c>
      <c r="BW1615">
        <v>0</v>
      </c>
      <c r="BX1615">
        <v>0</v>
      </c>
      <c r="BY1615">
        <v>35000</v>
      </c>
      <c r="BZ1615">
        <v>85000</v>
      </c>
      <c r="CA1615">
        <v>70000</v>
      </c>
      <c r="CB1615">
        <v>72800</v>
      </c>
      <c r="CC1615">
        <v>75712</v>
      </c>
      <c r="CD1615">
        <v>0</v>
      </c>
      <c r="CE1615" t="s">
        <v>3108</v>
      </c>
      <c r="CF1615" t="s">
        <v>3108</v>
      </c>
      <c r="CG1615" t="s">
        <v>3108</v>
      </c>
      <c r="CH1615" t="s">
        <v>3108</v>
      </c>
    </row>
    <row r="1616" spans="1:86" x14ac:dyDescent="0.2">
      <c r="A1616" t="s">
        <v>5588</v>
      </c>
      <c r="B1616" t="s">
        <v>5588</v>
      </c>
      <c r="C1616">
        <v>54733</v>
      </c>
      <c r="D1616">
        <v>1731</v>
      </c>
      <c r="E1616" t="s">
        <v>3990</v>
      </c>
      <c r="F1616">
        <v>2900</v>
      </c>
      <c r="G1616" t="s">
        <v>822</v>
      </c>
      <c r="H1616" t="s">
        <v>3108</v>
      </c>
      <c r="I1616" t="s">
        <v>3108</v>
      </c>
      <c r="J1616">
        <v>2904</v>
      </c>
      <c r="K1616" t="s">
        <v>1690</v>
      </c>
      <c r="L1616">
        <v>2100</v>
      </c>
      <c r="M1616" t="s">
        <v>123</v>
      </c>
      <c r="N1616">
        <v>2118</v>
      </c>
      <c r="O1616" t="s">
        <v>2409</v>
      </c>
      <c r="P1616" t="s">
        <v>3108</v>
      </c>
      <c r="Q1616" t="s">
        <v>3249</v>
      </c>
      <c r="R1616" t="s">
        <v>3249</v>
      </c>
      <c r="S1616" t="s">
        <v>810</v>
      </c>
      <c r="T1616" t="s">
        <v>2754</v>
      </c>
      <c r="U1616" t="s">
        <v>3250</v>
      </c>
      <c r="V1616" t="s">
        <v>3250</v>
      </c>
      <c r="W1616" t="s">
        <v>3250</v>
      </c>
      <c r="X1616" t="s">
        <v>3250</v>
      </c>
      <c r="Y1616" t="s">
        <v>3250</v>
      </c>
      <c r="Z1616" t="s">
        <v>3250</v>
      </c>
      <c r="AA1616" t="s">
        <v>3108</v>
      </c>
      <c r="AB1616" t="s">
        <v>3108</v>
      </c>
      <c r="AC1616" t="s">
        <v>3250</v>
      </c>
      <c r="AD1616" t="s">
        <v>3250</v>
      </c>
      <c r="AE1616" t="s">
        <v>3250</v>
      </c>
      <c r="AF1616" t="s">
        <v>3250</v>
      </c>
      <c r="AG1616" t="s">
        <v>3250</v>
      </c>
      <c r="AH1616" t="s">
        <v>3250</v>
      </c>
      <c r="AI1616" t="s">
        <v>3250</v>
      </c>
      <c r="AJ1616" t="s">
        <v>3250</v>
      </c>
      <c r="AL1616" t="s">
        <v>3250</v>
      </c>
      <c r="AM1616" t="s">
        <v>3250</v>
      </c>
      <c r="AN1616" t="s">
        <v>3250</v>
      </c>
      <c r="AO1616" t="s">
        <v>3250</v>
      </c>
      <c r="AS1616" t="s">
        <v>3250</v>
      </c>
      <c r="AT1616" t="s">
        <v>3250</v>
      </c>
      <c r="AU1616" t="s">
        <v>3250</v>
      </c>
      <c r="AV1616" t="s">
        <v>3250</v>
      </c>
      <c r="AW1616" t="s">
        <v>3250</v>
      </c>
      <c r="AX1616" t="s">
        <v>3250</v>
      </c>
      <c r="AY1616" t="s">
        <v>3250</v>
      </c>
      <c r="AZ1616" t="s">
        <v>3250</v>
      </c>
      <c r="BA1616" t="s">
        <v>3250</v>
      </c>
      <c r="BB1616" t="s">
        <v>3250</v>
      </c>
      <c r="BC1616" t="s">
        <v>3250</v>
      </c>
      <c r="BE1616" t="s">
        <v>3250</v>
      </c>
      <c r="BF1616" t="s">
        <v>3250</v>
      </c>
      <c r="BG1616" t="s">
        <v>3250</v>
      </c>
      <c r="BH1616" t="s">
        <v>3250</v>
      </c>
      <c r="BI1616" t="s">
        <v>3250</v>
      </c>
      <c r="BK1616" t="s">
        <v>3250</v>
      </c>
      <c r="BL1616" t="s">
        <v>3250</v>
      </c>
      <c r="BM1616" t="s">
        <v>3250</v>
      </c>
      <c r="BN1616" t="s">
        <v>3250</v>
      </c>
      <c r="BP1616">
        <v>4</v>
      </c>
      <c r="BQ1616">
        <v>43</v>
      </c>
      <c r="BR1616" t="s">
        <v>2409</v>
      </c>
      <c r="BS1616" t="s">
        <v>4024</v>
      </c>
      <c r="BV1616">
        <v>0</v>
      </c>
      <c r="BW1616">
        <v>0</v>
      </c>
      <c r="BX1616">
        <v>0</v>
      </c>
      <c r="BY1616">
        <v>30000</v>
      </c>
      <c r="BZ1616">
        <v>30000</v>
      </c>
      <c r="CA1616">
        <v>60000</v>
      </c>
      <c r="CB1616">
        <v>62400</v>
      </c>
      <c r="CC1616">
        <v>64896</v>
      </c>
      <c r="CD1616">
        <v>0</v>
      </c>
      <c r="CE1616" t="s">
        <v>3108</v>
      </c>
      <c r="CF1616" t="s">
        <v>3108</v>
      </c>
      <c r="CG1616" t="s">
        <v>3108</v>
      </c>
      <c r="CH1616" t="s">
        <v>3108</v>
      </c>
    </row>
    <row r="1617" spans="1:86" x14ac:dyDescent="0.2">
      <c r="A1617" t="s">
        <v>5589</v>
      </c>
      <c r="B1617" t="s">
        <v>5589</v>
      </c>
      <c r="C1617">
        <v>54734</v>
      </c>
      <c r="D1617">
        <v>1732</v>
      </c>
      <c r="E1617" t="s">
        <v>4031</v>
      </c>
      <c r="F1617">
        <v>2900</v>
      </c>
      <c r="G1617" t="s">
        <v>822</v>
      </c>
      <c r="H1617" t="s">
        <v>3108</v>
      </c>
      <c r="I1617" t="s">
        <v>3108</v>
      </c>
      <c r="J1617">
        <v>2904</v>
      </c>
      <c r="K1617" t="s">
        <v>1690</v>
      </c>
      <c r="L1617">
        <v>2100</v>
      </c>
      <c r="M1617" t="s">
        <v>123</v>
      </c>
      <c r="N1617">
        <v>2118</v>
      </c>
      <c r="O1617" t="s">
        <v>2409</v>
      </c>
      <c r="P1617" t="s">
        <v>3108</v>
      </c>
      <c r="Q1617" t="s">
        <v>3249</v>
      </c>
      <c r="R1617" t="s">
        <v>3249</v>
      </c>
      <c r="S1617" t="s">
        <v>810</v>
      </c>
      <c r="T1617" t="s">
        <v>2754</v>
      </c>
      <c r="U1617" t="s">
        <v>3250</v>
      </c>
      <c r="V1617" t="s">
        <v>3250</v>
      </c>
      <c r="W1617" t="s">
        <v>3250</v>
      </c>
      <c r="X1617" t="s">
        <v>3250</v>
      </c>
      <c r="Y1617" t="s">
        <v>3250</v>
      </c>
      <c r="Z1617" t="s">
        <v>3250</v>
      </c>
      <c r="AA1617" t="s">
        <v>3108</v>
      </c>
      <c r="AB1617" t="s">
        <v>3108</v>
      </c>
      <c r="AC1617" t="s">
        <v>3250</v>
      </c>
      <c r="AD1617" t="s">
        <v>3250</v>
      </c>
      <c r="AE1617" t="s">
        <v>3250</v>
      </c>
      <c r="AF1617" t="s">
        <v>3250</v>
      </c>
      <c r="AG1617" t="s">
        <v>3250</v>
      </c>
      <c r="AH1617" t="s">
        <v>3250</v>
      </c>
      <c r="AI1617" t="s">
        <v>3250</v>
      </c>
      <c r="AJ1617" t="s">
        <v>3250</v>
      </c>
      <c r="AL1617" t="s">
        <v>3250</v>
      </c>
      <c r="AM1617" t="s">
        <v>3250</v>
      </c>
      <c r="AN1617" t="s">
        <v>3250</v>
      </c>
      <c r="AO1617" t="s">
        <v>3250</v>
      </c>
      <c r="AS1617" t="s">
        <v>3250</v>
      </c>
      <c r="AT1617" t="s">
        <v>3250</v>
      </c>
      <c r="AU1617" t="s">
        <v>3250</v>
      </c>
      <c r="AV1617" t="s">
        <v>3250</v>
      </c>
      <c r="AW1617" t="s">
        <v>3250</v>
      </c>
      <c r="AX1617" t="s">
        <v>3250</v>
      </c>
      <c r="AY1617" t="s">
        <v>3250</v>
      </c>
      <c r="AZ1617" t="s">
        <v>3250</v>
      </c>
      <c r="BA1617" t="s">
        <v>3250</v>
      </c>
      <c r="BB1617" t="s">
        <v>3250</v>
      </c>
      <c r="BC1617" t="s">
        <v>3250</v>
      </c>
      <c r="BE1617" t="s">
        <v>3250</v>
      </c>
      <c r="BF1617" t="s">
        <v>3250</v>
      </c>
      <c r="BG1617" t="s">
        <v>3250</v>
      </c>
      <c r="BH1617" t="s">
        <v>3250</v>
      </c>
      <c r="BI1617" t="s">
        <v>3250</v>
      </c>
      <c r="BK1617" t="s">
        <v>3250</v>
      </c>
      <c r="BL1617" t="s">
        <v>3250</v>
      </c>
      <c r="BM1617" t="s">
        <v>3250</v>
      </c>
      <c r="BN1617" t="s">
        <v>3250</v>
      </c>
      <c r="BP1617">
        <v>4</v>
      </c>
      <c r="BQ1617">
        <v>43</v>
      </c>
      <c r="BR1617" t="s">
        <v>2409</v>
      </c>
      <c r="BS1617" t="s">
        <v>4024</v>
      </c>
      <c r="BV1617">
        <v>0</v>
      </c>
      <c r="BW1617">
        <v>0</v>
      </c>
      <c r="BX1617">
        <v>0</v>
      </c>
      <c r="BY1617">
        <v>20000</v>
      </c>
      <c r="BZ1617">
        <v>100000</v>
      </c>
      <c r="CA1617">
        <v>100000</v>
      </c>
      <c r="CB1617">
        <v>104000</v>
      </c>
      <c r="CC1617">
        <v>108160</v>
      </c>
      <c r="CD1617">
        <v>0</v>
      </c>
      <c r="CE1617" t="s">
        <v>3108</v>
      </c>
      <c r="CF1617" t="s">
        <v>3108</v>
      </c>
      <c r="CG1617" t="s">
        <v>3108</v>
      </c>
      <c r="CH1617" t="s">
        <v>3108</v>
      </c>
    </row>
    <row r="1618" spans="1:86" x14ac:dyDescent="0.2">
      <c r="A1618" t="s">
        <v>5590</v>
      </c>
      <c r="B1618" t="s">
        <v>5590</v>
      </c>
      <c r="C1618">
        <v>54735</v>
      </c>
      <c r="D1618">
        <v>1733</v>
      </c>
      <c r="E1618" t="s">
        <v>4326</v>
      </c>
      <c r="F1618">
        <v>2700</v>
      </c>
      <c r="G1618" t="s">
        <v>411</v>
      </c>
      <c r="H1618" t="s">
        <v>4004</v>
      </c>
      <c r="I1618" t="s">
        <v>2531</v>
      </c>
      <c r="J1618">
        <v>2701</v>
      </c>
      <c r="K1618" t="s">
        <v>2531</v>
      </c>
      <c r="L1618">
        <v>2100</v>
      </c>
      <c r="M1618" t="s">
        <v>123</v>
      </c>
      <c r="N1618">
        <v>2118</v>
      </c>
      <c r="O1618" t="s">
        <v>2409</v>
      </c>
      <c r="P1618" t="s">
        <v>3108</v>
      </c>
      <c r="Q1618" t="s">
        <v>3249</v>
      </c>
      <c r="R1618" t="s">
        <v>3249</v>
      </c>
      <c r="S1618" t="s">
        <v>810</v>
      </c>
      <c r="T1618" t="s">
        <v>2754</v>
      </c>
      <c r="U1618" t="s">
        <v>3250</v>
      </c>
      <c r="V1618" t="s">
        <v>3250</v>
      </c>
      <c r="W1618" t="s">
        <v>3250</v>
      </c>
      <c r="X1618" t="s">
        <v>3250</v>
      </c>
      <c r="Y1618" t="s">
        <v>3250</v>
      </c>
      <c r="Z1618" t="s">
        <v>3250</v>
      </c>
      <c r="AA1618" t="s">
        <v>3108</v>
      </c>
      <c r="AB1618" t="s">
        <v>3108</v>
      </c>
      <c r="AC1618" t="s">
        <v>3250</v>
      </c>
      <c r="AD1618" t="s">
        <v>3250</v>
      </c>
      <c r="AE1618" t="s">
        <v>3250</v>
      </c>
      <c r="AF1618" t="s">
        <v>3250</v>
      </c>
      <c r="AG1618" t="s">
        <v>3250</v>
      </c>
      <c r="AH1618" t="s">
        <v>3250</v>
      </c>
      <c r="AI1618" t="s">
        <v>3250</v>
      </c>
      <c r="AJ1618" t="s">
        <v>3250</v>
      </c>
      <c r="AL1618" t="s">
        <v>3250</v>
      </c>
      <c r="AM1618" t="s">
        <v>3250</v>
      </c>
      <c r="AN1618" t="s">
        <v>3250</v>
      </c>
      <c r="AO1618" t="s">
        <v>3250</v>
      </c>
      <c r="AS1618" t="s">
        <v>3250</v>
      </c>
      <c r="AT1618" t="s">
        <v>3250</v>
      </c>
      <c r="AU1618" t="s">
        <v>3250</v>
      </c>
      <c r="AV1618" t="s">
        <v>3250</v>
      </c>
      <c r="AW1618" t="s">
        <v>3250</v>
      </c>
      <c r="AX1618" t="s">
        <v>3250</v>
      </c>
      <c r="AY1618" t="s">
        <v>3250</v>
      </c>
      <c r="AZ1618" t="s">
        <v>3250</v>
      </c>
      <c r="BA1618" t="s">
        <v>3250</v>
      </c>
      <c r="BB1618" t="s">
        <v>3250</v>
      </c>
      <c r="BC1618" t="s">
        <v>3250</v>
      </c>
      <c r="BE1618" t="s">
        <v>3250</v>
      </c>
      <c r="BF1618" t="s">
        <v>3250</v>
      </c>
      <c r="BG1618" t="s">
        <v>3250</v>
      </c>
      <c r="BH1618" t="s">
        <v>3250</v>
      </c>
      <c r="BI1618" t="s">
        <v>3250</v>
      </c>
      <c r="BK1618" t="s">
        <v>3250</v>
      </c>
      <c r="BL1618" t="s">
        <v>3250</v>
      </c>
      <c r="BM1618" t="s">
        <v>3250</v>
      </c>
      <c r="BN1618" t="s">
        <v>3250</v>
      </c>
      <c r="BP1618">
        <v>4</v>
      </c>
      <c r="BQ1618">
        <v>43</v>
      </c>
      <c r="BR1618" t="s">
        <v>2409</v>
      </c>
      <c r="BS1618" t="s">
        <v>4024</v>
      </c>
      <c r="BV1618">
        <v>0</v>
      </c>
      <c r="BW1618">
        <v>0</v>
      </c>
      <c r="BX1618">
        <v>0</v>
      </c>
      <c r="BY1618">
        <v>30000</v>
      </c>
      <c r="BZ1618">
        <v>70000</v>
      </c>
      <c r="CA1618">
        <v>50000</v>
      </c>
      <c r="CB1618">
        <v>52000</v>
      </c>
      <c r="CC1618">
        <v>54080</v>
      </c>
      <c r="CD1618">
        <v>0</v>
      </c>
      <c r="CE1618" t="s">
        <v>3108</v>
      </c>
      <c r="CF1618" t="s">
        <v>3108</v>
      </c>
      <c r="CG1618" t="s">
        <v>3108</v>
      </c>
      <c r="CH1618" t="s">
        <v>3108</v>
      </c>
    </row>
    <row r="1619" spans="1:86" x14ac:dyDescent="0.2">
      <c r="A1619" t="s">
        <v>5591</v>
      </c>
      <c r="B1619" t="s">
        <v>5591</v>
      </c>
      <c r="C1619">
        <v>54736</v>
      </c>
      <c r="D1619">
        <v>1734</v>
      </c>
      <c r="E1619" t="s">
        <v>3994</v>
      </c>
      <c r="F1619">
        <v>2600</v>
      </c>
      <c r="G1619" t="s">
        <v>1334</v>
      </c>
      <c r="H1619">
        <v>2600</v>
      </c>
      <c r="I1619" t="s">
        <v>1334</v>
      </c>
      <c r="J1619" t="s">
        <v>3250</v>
      </c>
      <c r="K1619" t="s">
        <v>3250</v>
      </c>
      <c r="L1619">
        <v>2100</v>
      </c>
      <c r="M1619" t="s">
        <v>123</v>
      </c>
      <c r="N1619">
        <v>2118</v>
      </c>
      <c r="O1619" t="s">
        <v>2409</v>
      </c>
      <c r="P1619" t="s">
        <v>3108</v>
      </c>
      <c r="Q1619" t="s">
        <v>3249</v>
      </c>
      <c r="R1619" t="s">
        <v>3249</v>
      </c>
      <c r="S1619" t="s">
        <v>810</v>
      </c>
      <c r="T1619" t="s">
        <v>2754</v>
      </c>
      <c r="U1619" t="s">
        <v>3250</v>
      </c>
      <c r="V1619" t="s">
        <v>3250</v>
      </c>
      <c r="W1619" t="s">
        <v>3250</v>
      </c>
      <c r="X1619" t="s">
        <v>3250</v>
      </c>
      <c r="Y1619" t="s">
        <v>3250</v>
      </c>
      <c r="Z1619" t="s">
        <v>3250</v>
      </c>
      <c r="AA1619" t="s">
        <v>3108</v>
      </c>
      <c r="AB1619" t="s">
        <v>3108</v>
      </c>
      <c r="AC1619" t="s">
        <v>3250</v>
      </c>
      <c r="AD1619" t="s">
        <v>3250</v>
      </c>
      <c r="AE1619" t="s">
        <v>3250</v>
      </c>
      <c r="AF1619" t="s">
        <v>3250</v>
      </c>
      <c r="AG1619" t="s">
        <v>3250</v>
      </c>
      <c r="AH1619" t="s">
        <v>3250</v>
      </c>
      <c r="AI1619" t="s">
        <v>3250</v>
      </c>
      <c r="AJ1619" t="s">
        <v>3250</v>
      </c>
      <c r="AL1619" t="s">
        <v>3250</v>
      </c>
      <c r="AM1619" t="s">
        <v>3250</v>
      </c>
      <c r="AN1619" t="s">
        <v>3250</v>
      </c>
      <c r="AO1619" t="s">
        <v>3250</v>
      </c>
      <c r="AS1619" t="s">
        <v>3250</v>
      </c>
      <c r="AT1619" t="s">
        <v>3250</v>
      </c>
      <c r="AU1619" t="s">
        <v>3250</v>
      </c>
      <c r="AV1619" t="s">
        <v>3250</v>
      </c>
      <c r="AW1619" t="s">
        <v>3250</v>
      </c>
      <c r="AX1619" t="s">
        <v>3250</v>
      </c>
      <c r="AY1619" t="s">
        <v>3250</v>
      </c>
      <c r="AZ1619" t="s">
        <v>3250</v>
      </c>
      <c r="BA1619" t="s">
        <v>3250</v>
      </c>
      <c r="BB1619" t="s">
        <v>3250</v>
      </c>
      <c r="BC1619" t="s">
        <v>3250</v>
      </c>
      <c r="BE1619" t="s">
        <v>3250</v>
      </c>
      <c r="BF1619" t="s">
        <v>3250</v>
      </c>
      <c r="BG1619" t="s">
        <v>3250</v>
      </c>
      <c r="BH1619" t="s">
        <v>3250</v>
      </c>
      <c r="BI1619" t="s">
        <v>3250</v>
      </c>
      <c r="BK1619" t="s">
        <v>3250</v>
      </c>
      <c r="BL1619" t="s">
        <v>3250</v>
      </c>
      <c r="BM1619" t="s">
        <v>3250</v>
      </c>
      <c r="BN1619" t="s">
        <v>3250</v>
      </c>
      <c r="BP1619">
        <v>4</v>
      </c>
      <c r="BQ1619">
        <v>43</v>
      </c>
      <c r="BR1619" t="s">
        <v>2409</v>
      </c>
      <c r="BS1619" t="s">
        <v>4024</v>
      </c>
      <c r="BV1619">
        <v>38532</v>
      </c>
      <c r="BW1619">
        <v>0</v>
      </c>
      <c r="BX1619">
        <v>0</v>
      </c>
      <c r="BY1619">
        <v>20000</v>
      </c>
      <c r="BZ1619">
        <v>70000</v>
      </c>
      <c r="CA1619">
        <v>100000</v>
      </c>
      <c r="CB1619">
        <v>104000</v>
      </c>
      <c r="CC1619">
        <v>108160</v>
      </c>
      <c r="CD1619">
        <v>216</v>
      </c>
      <c r="CE1619" t="s">
        <v>3108</v>
      </c>
      <c r="CF1619" t="s">
        <v>3108</v>
      </c>
      <c r="CG1619" t="s">
        <v>3108</v>
      </c>
      <c r="CH1619" t="s">
        <v>3108</v>
      </c>
    </row>
    <row r="1620" spans="1:86" x14ac:dyDescent="0.2">
      <c r="A1620" t="s">
        <v>5592</v>
      </c>
      <c r="B1620" t="s">
        <v>5592</v>
      </c>
      <c r="C1620">
        <v>54737</v>
      </c>
      <c r="D1620">
        <v>1735</v>
      </c>
      <c r="E1620" t="s">
        <v>4003</v>
      </c>
      <c r="F1620">
        <v>2700</v>
      </c>
      <c r="G1620" t="s">
        <v>411</v>
      </c>
      <c r="H1620" t="s">
        <v>4004</v>
      </c>
      <c r="I1620" t="s">
        <v>2531</v>
      </c>
      <c r="J1620">
        <v>2701</v>
      </c>
      <c r="K1620" t="s">
        <v>2531</v>
      </c>
      <c r="L1620">
        <v>2100</v>
      </c>
      <c r="M1620" t="s">
        <v>123</v>
      </c>
      <c r="N1620">
        <v>2115</v>
      </c>
      <c r="O1620" t="s">
        <v>2406</v>
      </c>
      <c r="P1620" t="s">
        <v>3108</v>
      </c>
      <c r="Q1620" t="s">
        <v>3249</v>
      </c>
      <c r="R1620" t="s">
        <v>3249</v>
      </c>
      <c r="S1620" t="s">
        <v>810</v>
      </c>
      <c r="T1620" t="s">
        <v>2754</v>
      </c>
      <c r="U1620" t="s">
        <v>3250</v>
      </c>
      <c r="V1620" t="s">
        <v>3250</v>
      </c>
      <c r="W1620" t="s">
        <v>3250</v>
      </c>
      <c r="X1620" t="s">
        <v>3250</v>
      </c>
      <c r="Y1620" t="s">
        <v>3250</v>
      </c>
      <c r="Z1620" t="s">
        <v>3250</v>
      </c>
      <c r="AA1620" t="s">
        <v>3108</v>
      </c>
      <c r="AB1620" t="s">
        <v>3108</v>
      </c>
      <c r="AC1620" t="s">
        <v>3250</v>
      </c>
      <c r="AD1620" t="s">
        <v>3250</v>
      </c>
      <c r="AE1620" t="s">
        <v>3250</v>
      </c>
      <c r="AF1620" t="s">
        <v>3250</v>
      </c>
      <c r="AG1620" t="s">
        <v>3250</v>
      </c>
      <c r="AH1620" t="s">
        <v>3250</v>
      </c>
      <c r="AI1620" t="s">
        <v>3250</v>
      </c>
      <c r="AJ1620" t="s">
        <v>3250</v>
      </c>
      <c r="AL1620" t="s">
        <v>3250</v>
      </c>
      <c r="AM1620" t="s">
        <v>3250</v>
      </c>
      <c r="AN1620" t="s">
        <v>3250</v>
      </c>
      <c r="AO1620" t="s">
        <v>3250</v>
      </c>
      <c r="AS1620" t="s">
        <v>3250</v>
      </c>
      <c r="AT1620" t="s">
        <v>3250</v>
      </c>
      <c r="AU1620" t="s">
        <v>3250</v>
      </c>
      <c r="AV1620" t="s">
        <v>3250</v>
      </c>
      <c r="AW1620" t="s">
        <v>3250</v>
      </c>
      <c r="AX1620" t="s">
        <v>3250</v>
      </c>
      <c r="AY1620" t="s">
        <v>3250</v>
      </c>
      <c r="AZ1620" t="s">
        <v>3250</v>
      </c>
      <c r="BA1620" t="s">
        <v>3250</v>
      </c>
      <c r="BB1620" t="s">
        <v>3250</v>
      </c>
      <c r="BC1620" t="s">
        <v>3250</v>
      </c>
      <c r="BE1620" t="s">
        <v>3250</v>
      </c>
      <c r="BF1620" t="s">
        <v>3250</v>
      </c>
      <c r="BG1620" t="s">
        <v>3250</v>
      </c>
      <c r="BH1620" t="s">
        <v>3250</v>
      </c>
      <c r="BI1620" t="s">
        <v>3250</v>
      </c>
      <c r="BK1620" t="s">
        <v>3250</v>
      </c>
      <c r="BL1620" t="s">
        <v>3250</v>
      </c>
      <c r="BM1620" t="s">
        <v>3250</v>
      </c>
      <c r="BN1620" t="s">
        <v>3250</v>
      </c>
      <c r="BP1620">
        <v>5</v>
      </c>
      <c r="BQ1620">
        <v>51</v>
      </c>
      <c r="BR1620" t="s">
        <v>2406</v>
      </c>
      <c r="BS1620" t="s">
        <v>4136</v>
      </c>
      <c r="BV1620">
        <v>0</v>
      </c>
      <c r="BW1620">
        <v>0</v>
      </c>
      <c r="BX1620">
        <v>0</v>
      </c>
      <c r="BY1620">
        <v>30000</v>
      </c>
      <c r="BZ1620">
        <v>20000</v>
      </c>
      <c r="CA1620">
        <v>30000</v>
      </c>
      <c r="CB1620">
        <v>31200</v>
      </c>
      <c r="CC1620">
        <v>32448</v>
      </c>
      <c r="CD1620">
        <v>0</v>
      </c>
      <c r="CE1620" t="s">
        <v>3108</v>
      </c>
      <c r="CF1620" t="s">
        <v>3108</v>
      </c>
      <c r="CG1620" t="s">
        <v>3108</v>
      </c>
      <c r="CH1620" t="s">
        <v>3108</v>
      </c>
    </row>
    <row r="1621" spans="1:86" x14ac:dyDescent="0.2">
      <c r="A1621" t="s">
        <v>5593</v>
      </c>
      <c r="B1621" t="s">
        <v>5593</v>
      </c>
      <c r="C1621">
        <v>54738</v>
      </c>
      <c r="D1621">
        <v>1736</v>
      </c>
      <c r="E1621" t="s">
        <v>4006</v>
      </c>
      <c r="F1621">
        <v>2700</v>
      </c>
      <c r="G1621" t="s">
        <v>411</v>
      </c>
      <c r="H1621" t="s">
        <v>4004</v>
      </c>
      <c r="I1621" t="s">
        <v>2531</v>
      </c>
      <c r="J1621">
        <v>2701</v>
      </c>
      <c r="K1621" t="s">
        <v>2531</v>
      </c>
      <c r="L1621">
        <v>2100</v>
      </c>
      <c r="M1621" t="s">
        <v>123</v>
      </c>
      <c r="N1621">
        <v>2115</v>
      </c>
      <c r="O1621" t="s">
        <v>2406</v>
      </c>
      <c r="P1621" t="s">
        <v>3108</v>
      </c>
      <c r="Q1621" t="s">
        <v>3249</v>
      </c>
      <c r="R1621" t="s">
        <v>3249</v>
      </c>
      <c r="S1621" t="s">
        <v>810</v>
      </c>
      <c r="T1621" t="s">
        <v>2754</v>
      </c>
      <c r="U1621" t="s">
        <v>3250</v>
      </c>
      <c r="V1621" t="s">
        <v>3250</v>
      </c>
      <c r="W1621" t="s">
        <v>3250</v>
      </c>
      <c r="X1621" t="s">
        <v>3250</v>
      </c>
      <c r="Y1621" t="s">
        <v>3250</v>
      </c>
      <c r="Z1621" t="s">
        <v>3250</v>
      </c>
      <c r="AA1621" t="s">
        <v>3108</v>
      </c>
      <c r="AB1621" t="s">
        <v>3108</v>
      </c>
      <c r="AC1621" t="s">
        <v>3250</v>
      </c>
      <c r="AD1621" t="s">
        <v>3250</v>
      </c>
      <c r="AE1621" t="s">
        <v>3250</v>
      </c>
      <c r="AF1621" t="s">
        <v>3250</v>
      </c>
      <c r="AG1621" t="s">
        <v>3250</v>
      </c>
      <c r="AH1621" t="s">
        <v>3250</v>
      </c>
      <c r="AI1621" t="s">
        <v>3250</v>
      </c>
      <c r="AJ1621" t="s">
        <v>3250</v>
      </c>
      <c r="AL1621" t="s">
        <v>3250</v>
      </c>
      <c r="AM1621" t="s">
        <v>3250</v>
      </c>
      <c r="AN1621" t="s">
        <v>3250</v>
      </c>
      <c r="AO1621" t="s">
        <v>3250</v>
      </c>
      <c r="AS1621" t="s">
        <v>3250</v>
      </c>
      <c r="AT1621" t="s">
        <v>3250</v>
      </c>
      <c r="AU1621" t="s">
        <v>3250</v>
      </c>
      <c r="AV1621" t="s">
        <v>3250</v>
      </c>
      <c r="AW1621" t="s">
        <v>3250</v>
      </c>
      <c r="AX1621" t="s">
        <v>3250</v>
      </c>
      <c r="AY1621" t="s">
        <v>3250</v>
      </c>
      <c r="AZ1621" t="s">
        <v>3250</v>
      </c>
      <c r="BA1621" t="s">
        <v>3250</v>
      </c>
      <c r="BB1621" t="s">
        <v>3250</v>
      </c>
      <c r="BC1621" t="s">
        <v>3250</v>
      </c>
      <c r="BE1621" t="s">
        <v>3250</v>
      </c>
      <c r="BF1621" t="s">
        <v>3250</v>
      </c>
      <c r="BG1621" t="s">
        <v>3250</v>
      </c>
      <c r="BH1621" t="s">
        <v>3250</v>
      </c>
      <c r="BI1621" t="s">
        <v>3250</v>
      </c>
      <c r="BK1621" t="s">
        <v>3250</v>
      </c>
      <c r="BL1621" t="s">
        <v>3250</v>
      </c>
      <c r="BM1621" t="s">
        <v>3250</v>
      </c>
      <c r="BN1621" t="s">
        <v>3250</v>
      </c>
      <c r="BP1621">
        <v>5</v>
      </c>
      <c r="BQ1621">
        <v>51</v>
      </c>
      <c r="BR1621" t="s">
        <v>2406</v>
      </c>
      <c r="BS1621" t="s">
        <v>4136</v>
      </c>
      <c r="BV1621">
        <v>0</v>
      </c>
      <c r="BW1621">
        <v>0</v>
      </c>
      <c r="BX1621">
        <v>0</v>
      </c>
      <c r="BY1621">
        <v>120000</v>
      </c>
      <c r="BZ1621">
        <v>100000</v>
      </c>
      <c r="CA1621">
        <v>120000</v>
      </c>
      <c r="CB1621">
        <v>124800</v>
      </c>
      <c r="CC1621">
        <v>129792</v>
      </c>
      <c r="CD1621">
        <v>29186</v>
      </c>
      <c r="CE1621" t="s">
        <v>3108</v>
      </c>
      <c r="CF1621" t="s">
        <v>3108</v>
      </c>
      <c r="CG1621" t="s">
        <v>3108</v>
      </c>
      <c r="CH1621" t="s">
        <v>3108</v>
      </c>
    </row>
    <row r="1622" spans="1:86" x14ac:dyDescent="0.2">
      <c r="A1622" t="s">
        <v>5594</v>
      </c>
      <c r="B1622" t="s">
        <v>5594</v>
      </c>
      <c r="C1622">
        <v>54739</v>
      </c>
      <c r="D1622">
        <v>1737</v>
      </c>
      <c r="E1622" t="s">
        <v>4326</v>
      </c>
      <c r="F1622">
        <v>2700</v>
      </c>
      <c r="G1622" t="s">
        <v>411</v>
      </c>
      <c r="H1622" t="s">
        <v>4004</v>
      </c>
      <c r="I1622" t="s">
        <v>2531</v>
      </c>
      <c r="J1622">
        <v>2701</v>
      </c>
      <c r="K1622" t="s">
        <v>2531</v>
      </c>
      <c r="L1622">
        <v>2100</v>
      </c>
      <c r="M1622" t="s">
        <v>123</v>
      </c>
      <c r="N1622">
        <v>2115</v>
      </c>
      <c r="O1622" t="s">
        <v>2406</v>
      </c>
      <c r="P1622" t="s">
        <v>3108</v>
      </c>
      <c r="Q1622" t="s">
        <v>3249</v>
      </c>
      <c r="R1622" t="s">
        <v>3249</v>
      </c>
      <c r="S1622" t="s">
        <v>810</v>
      </c>
      <c r="T1622" t="s">
        <v>2754</v>
      </c>
      <c r="U1622" t="s">
        <v>3250</v>
      </c>
      <c r="V1622" t="s">
        <v>3250</v>
      </c>
      <c r="W1622" t="s">
        <v>3250</v>
      </c>
      <c r="X1622" t="s">
        <v>3250</v>
      </c>
      <c r="Y1622" t="s">
        <v>3250</v>
      </c>
      <c r="Z1622" t="s">
        <v>3250</v>
      </c>
      <c r="AA1622" t="s">
        <v>3108</v>
      </c>
      <c r="AB1622" t="s">
        <v>3108</v>
      </c>
      <c r="AC1622" t="s">
        <v>3250</v>
      </c>
      <c r="AD1622" t="s">
        <v>3250</v>
      </c>
      <c r="AE1622" t="s">
        <v>3250</v>
      </c>
      <c r="AF1622" t="s">
        <v>3250</v>
      </c>
      <c r="AG1622" t="s">
        <v>3250</v>
      </c>
      <c r="AH1622" t="s">
        <v>3250</v>
      </c>
      <c r="AI1622" t="s">
        <v>3250</v>
      </c>
      <c r="AJ1622" t="s">
        <v>3250</v>
      </c>
      <c r="AL1622" t="s">
        <v>3250</v>
      </c>
      <c r="AM1622" t="s">
        <v>3250</v>
      </c>
      <c r="AN1622" t="s">
        <v>3250</v>
      </c>
      <c r="AO1622" t="s">
        <v>3250</v>
      </c>
      <c r="AS1622" t="s">
        <v>3250</v>
      </c>
      <c r="AT1622" t="s">
        <v>3250</v>
      </c>
      <c r="AU1622" t="s">
        <v>3250</v>
      </c>
      <c r="AV1622" t="s">
        <v>3250</v>
      </c>
      <c r="AW1622" t="s">
        <v>3250</v>
      </c>
      <c r="AX1622" t="s">
        <v>3250</v>
      </c>
      <c r="AY1622" t="s">
        <v>3250</v>
      </c>
      <c r="AZ1622" t="s">
        <v>3250</v>
      </c>
      <c r="BA1622" t="s">
        <v>3250</v>
      </c>
      <c r="BB1622" t="s">
        <v>3250</v>
      </c>
      <c r="BC1622" t="s">
        <v>3250</v>
      </c>
      <c r="BE1622" t="s">
        <v>3250</v>
      </c>
      <c r="BF1622" t="s">
        <v>3250</v>
      </c>
      <c r="BG1622" t="s">
        <v>3250</v>
      </c>
      <c r="BH1622" t="s">
        <v>3250</v>
      </c>
      <c r="BI1622" t="s">
        <v>3250</v>
      </c>
      <c r="BK1622" t="s">
        <v>3250</v>
      </c>
      <c r="BL1622" t="s">
        <v>3250</v>
      </c>
      <c r="BM1622" t="s">
        <v>3250</v>
      </c>
      <c r="BN1622" t="s">
        <v>3250</v>
      </c>
      <c r="BP1622">
        <v>5</v>
      </c>
      <c r="BQ1622">
        <v>51</v>
      </c>
      <c r="BR1622" t="s">
        <v>2406</v>
      </c>
      <c r="BS1622" t="s">
        <v>4136</v>
      </c>
      <c r="BV1622">
        <v>0</v>
      </c>
      <c r="BW1622">
        <v>0</v>
      </c>
      <c r="BX1622">
        <v>0</v>
      </c>
      <c r="BY1622">
        <v>80000</v>
      </c>
      <c r="BZ1622">
        <v>100000</v>
      </c>
      <c r="CA1622">
        <v>60000</v>
      </c>
      <c r="CB1622">
        <v>62400</v>
      </c>
      <c r="CC1622">
        <v>64896</v>
      </c>
      <c r="CD1622">
        <v>3900</v>
      </c>
      <c r="CE1622" t="s">
        <v>3108</v>
      </c>
      <c r="CF1622" t="s">
        <v>3108</v>
      </c>
      <c r="CG1622" t="s">
        <v>3108</v>
      </c>
      <c r="CH1622" t="s">
        <v>3108</v>
      </c>
    </row>
    <row r="1623" spans="1:86" x14ac:dyDescent="0.2">
      <c r="A1623" t="s">
        <v>5595</v>
      </c>
      <c r="B1623" t="s">
        <v>5595</v>
      </c>
      <c r="C1623">
        <v>54740</v>
      </c>
      <c r="D1623">
        <v>1738</v>
      </c>
      <c r="E1623" t="s">
        <v>4010</v>
      </c>
      <c r="F1623">
        <v>2900</v>
      </c>
      <c r="G1623" t="s">
        <v>822</v>
      </c>
      <c r="H1623" t="s">
        <v>3108</v>
      </c>
      <c r="I1623" t="s">
        <v>3108</v>
      </c>
      <c r="J1623">
        <v>2904</v>
      </c>
      <c r="K1623" t="s">
        <v>1690</v>
      </c>
      <c r="L1623">
        <v>2100</v>
      </c>
      <c r="M1623" t="s">
        <v>123</v>
      </c>
      <c r="N1623">
        <v>2115</v>
      </c>
      <c r="O1623" t="s">
        <v>2406</v>
      </c>
      <c r="P1623" t="s">
        <v>3108</v>
      </c>
      <c r="Q1623" t="s">
        <v>3249</v>
      </c>
      <c r="R1623" t="s">
        <v>3249</v>
      </c>
      <c r="S1623" t="s">
        <v>810</v>
      </c>
      <c r="T1623" t="s">
        <v>2754</v>
      </c>
      <c r="U1623" t="s">
        <v>3250</v>
      </c>
      <c r="V1623" t="s">
        <v>3250</v>
      </c>
      <c r="W1623" t="s">
        <v>3250</v>
      </c>
      <c r="X1623" t="s">
        <v>3250</v>
      </c>
      <c r="Y1623" t="s">
        <v>3250</v>
      </c>
      <c r="Z1623" t="s">
        <v>3250</v>
      </c>
      <c r="AA1623" t="s">
        <v>3108</v>
      </c>
      <c r="AB1623" t="s">
        <v>3108</v>
      </c>
      <c r="AC1623" t="s">
        <v>3250</v>
      </c>
      <c r="AD1623" t="s">
        <v>3250</v>
      </c>
      <c r="AE1623" t="s">
        <v>3250</v>
      </c>
      <c r="AF1623" t="s">
        <v>3250</v>
      </c>
      <c r="AG1623" t="s">
        <v>3250</v>
      </c>
      <c r="AH1623" t="s">
        <v>3250</v>
      </c>
      <c r="AI1623" t="s">
        <v>3250</v>
      </c>
      <c r="AJ1623" t="s">
        <v>3250</v>
      </c>
      <c r="AL1623" t="s">
        <v>3250</v>
      </c>
      <c r="AM1623" t="s">
        <v>3250</v>
      </c>
      <c r="AN1623" t="s">
        <v>3250</v>
      </c>
      <c r="AO1623" t="s">
        <v>3250</v>
      </c>
      <c r="AS1623" t="s">
        <v>3250</v>
      </c>
      <c r="AT1623" t="s">
        <v>3250</v>
      </c>
      <c r="AU1623" t="s">
        <v>3250</v>
      </c>
      <c r="AV1623" t="s">
        <v>3250</v>
      </c>
      <c r="AW1623" t="s">
        <v>3250</v>
      </c>
      <c r="AX1623" t="s">
        <v>3250</v>
      </c>
      <c r="AY1623" t="s">
        <v>3250</v>
      </c>
      <c r="AZ1623" t="s">
        <v>3250</v>
      </c>
      <c r="BA1623" t="s">
        <v>3250</v>
      </c>
      <c r="BB1623" t="s">
        <v>3250</v>
      </c>
      <c r="BC1623" t="s">
        <v>3250</v>
      </c>
      <c r="BE1623" t="s">
        <v>3250</v>
      </c>
      <c r="BF1623" t="s">
        <v>3250</v>
      </c>
      <c r="BG1623" t="s">
        <v>3250</v>
      </c>
      <c r="BH1623" t="s">
        <v>3250</v>
      </c>
      <c r="BI1623" t="s">
        <v>3250</v>
      </c>
      <c r="BK1623" t="s">
        <v>3250</v>
      </c>
      <c r="BL1623" t="s">
        <v>3250</v>
      </c>
      <c r="BM1623" t="s">
        <v>3250</v>
      </c>
      <c r="BN1623" t="s">
        <v>3250</v>
      </c>
      <c r="BP1623">
        <v>5</v>
      </c>
      <c r="BQ1623">
        <v>51</v>
      </c>
      <c r="BR1623" t="s">
        <v>2406</v>
      </c>
      <c r="BS1623" t="s">
        <v>4136</v>
      </c>
      <c r="BV1623">
        <v>0</v>
      </c>
      <c r="BW1623">
        <v>0</v>
      </c>
      <c r="BX1623">
        <v>0</v>
      </c>
      <c r="BY1623">
        <v>70000</v>
      </c>
      <c r="BZ1623">
        <v>50000</v>
      </c>
      <c r="CA1623">
        <v>70000</v>
      </c>
      <c r="CB1623">
        <v>72800</v>
      </c>
      <c r="CC1623">
        <v>75712</v>
      </c>
      <c r="CD1623">
        <v>56817</v>
      </c>
      <c r="CE1623" t="s">
        <v>3108</v>
      </c>
      <c r="CF1623" t="s">
        <v>3108</v>
      </c>
      <c r="CG1623" t="s">
        <v>3108</v>
      </c>
      <c r="CH1623" t="s">
        <v>3108</v>
      </c>
    </row>
    <row r="1624" spans="1:86" x14ac:dyDescent="0.2">
      <c r="A1624" t="s">
        <v>5596</v>
      </c>
      <c r="B1624" t="s">
        <v>5596</v>
      </c>
      <c r="C1624">
        <v>54741</v>
      </c>
      <c r="D1624">
        <v>1739</v>
      </c>
      <c r="E1624" t="s">
        <v>4232</v>
      </c>
      <c r="F1624">
        <v>2900</v>
      </c>
      <c r="G1624" t="s">
        <v>822</v>
      </c>
      <c r="H1624" t="s">
        <v>3108</v>
      </c>
      <c r="I1624" t="s">
        <v>3108</v>
      </c>
      <c r="J1624">
        <v>2904</v>
      </c>
      <c r="K1624" t="s">
        <v>1690</v>
      </c>
      <c r="L1624">
        <v>2200</v>
      </c>
      <c r="M1624" t="s">
        <v>124</v>
      </c>
      <c r="N1624">
        <v>2205</v>
      </c>
      <c r="O1624" t="s">
        <v>2390</v>
      </c>
      <c r="P1624" t="s">
        <v>3108</v>
      </c>
      <c r="Q1624" t="s">
        <v>3249</v>
      </c>
      <c r="R1624" t="s">
        <v>3249</v>
      </c>
      <c r="S1624" t="s">
        <v>810</v>
      </c>
      <c r="T1624" t="s">
        <v>2754</v>
      </c>
      <c r="U1624" t="s">
        <v>3250</v>
      </c>
      <c r="V1624" t="s">
        <v>3250</v>
      </c>
      <c r="W1624" t="s">
        <v>3250</v>
      </c>
      <c r="X1624" t="s">
        <v>3250</v>
      </c>
      <c r="Y1624" t="s">
        <v>3250</v>
      </c>
      <c r="Z1624" t="s">
        <v>3250</v>
      </c>
      <c r="AA1624" t="s">
        <v>3108</v>
      </c>
      <c r="AB1624" t="s">
        <v>3108</v>
      </c>
      <c r="AC1624" t="s">
        <v>3250</v>
      </c>
      <c r="AD1624" t="s">
        <v>3250</v>
      </c>
      <c r="AE1624" t="s">
        <v>3250</v>
      </c>
      <c r="AF1624" t="s">
        <v>3250</v>
      </c>
      <c r="AG1624" t="s">
        <v>3250</v>
      </c>
      <c r="AH1624" t="s">
        <v>3250</v>
      </c>
      <c r="AI1624" t="s">
        <v>3250</v>
      </c>
      <c r="AJ1624" t="s">
        <v>3250</v>
      </c>
      <c r="AL1624" t="s">
        <v>3250</v>
      </c>
      <c r="AM1624" t="s">
        <v>3250</v>
      </c>
      <c r="AN1624" t="s">
        <v>3250</v>
      </c>
      <c r="AO1624" t="s">
        <v>3250</v>
      </c>
      <c r="AS1624" t="s">
        <v>3250</v>
      </c>
      <c r="AT1624" t="s">
        <v>3250</v>
      </c>
      <c r="AU1624" t="s">
        <v>3250</v>
      </c>
      <c r="AV1624" t="s">
        <v>3250</v>
      </c>
      <c r="AW1624" t="s">
        <v>3250</v>
      </c>
      <c r="AX1624" t="s">
        <v>3250</v>
      </c>
      <c r="AY1624" t="s">
        <v>3250</v>
      </c>
      <c r="AZ1624" t="s">
        <v>3250</v>
      </c>
      <c r="BA1624" t="s">
        <v>3250</v>
      </c>
      <c r="BB1624" t="s">
        <v>3250</v>
      </c>
      <c r="BC1624" t="s">
        <v>3250</v>
      </c>
      <c r="BE1624" t="s">
        <v>3250</v>
      </c>
      <c r="BF1624" t="s">
        <v>3250</v>
      </c>
      <c r="BG1624" t="s">
        <v>3250</v>
      </c>
      <c r="BH1624" t="s">
        <v>3250</v>
      </c>
      <c r="BI1624" t="s">
        <v>3250</v>
      </c>
      <c r="BK1624" t="s">
        <v>3250</v>
      </c>
      <c r="BL1624" t="s">
        <v>3250</v>
      </c>
      <c r="BM1624" t="s">
        <v>3250</v>
      </c>
      <c r="BN1624" t="s">
        <v>3250</v>
      </c>
      <c r="BP1624">
        <v>9</v>
      </c>
      <c r="BQ1624">
        <v>91</v>
      </c>
      <c r="BR1624" t="s">
        <v>2390</v>
      </c>
      <c r="BS1624" t="s">
        <v>1675</v>
      </c>
      <c r="BV1624">
        <v>1000</v>
      </c>
      <c r="BW1624">
        <v>0</v>
      </c>
      <c r="BX1624">
        <v>0</v>
      </c>
      <c r="BY1624">
        <v>20000</v>
      </c>
      <c r="BZ1624">
        <v>0</v>
      </c>
      <c r="CA1624">
        <v>5000</v>
      </c>
      <c r="CB1624">
        <v>5200</v>
      </c>
      <c r="CC1624">
        <v>5408</v>
      </c>
      <c r="CD1624">
        <v>0</v>
      </c>
      <c r="CE1624" t="s">
        <v>3108</v>
      </c>
      <c r="CF1624" t="s">
        <v>3108</v>
      </c>
      <c r="CG1624" t="s">
        <v>3108</v>
      </c>
      <c r="CH1624" t="s">
        <v>3108</v>
      </c>
    </row>
    <row r="1625" spans="1:86" x14ac:dyDescent="0.2">
      <c r="A1625" t="s">
        <v>5597</v>
      </c>
      <c r="B1625" t="s">
        <v>5597</v>
      </c>
      <c r="C1625">
        <v>54742</v>
      </c>
      <c r="D1625">
        <v>1740</v>
      </c>
      <c r="E1625" t="s">
        <v>4035</v>
      </c>
      <c r="F1625">
        <v>2900</v>
      </c>
      <c r="G1625" t="s">
        <v>822</v>
      </c>
      <c r="H1625" t="s">
        <v>3108</v>
      </c>
      <c r="I1625" t="s">
        <v>3108</v>
      </c>
      <c r="J1625">
        <v>2904</v>
      </c>
      <c r="K1625" t="s">
        <v>1690</v>
      </c>
      <c r="L1625">
        <v>2200</v>
      </c>
      <c r="M1625" t="s">
        <v>124</v>
      </c>
      <c r="N1625">
        <v>2205</v>
      </c>
      <c r="O1625" t="s">
        <v>2390</v>
      </c>
      <c r="P1625" t="s">
        <v>3108</v>
      </c>
      <c r="Q1625" t="s">
        <v>3249</v>
      </c>
      <c r="R1625" t="s">
        <v>3249</v>
      </c>
      <c r="S1625" t="s">
        <v>810</v>
      </c>
      <c r="T1625" t="s">
        <v>2754</v>
      </c>
      <c r="U1625" t="s">
        <v>3250</v>
      </c>
      <c r="V1625" t="s">
        <v>3250</v>
      </c>
      <c r="W1625" t="s">
        <v>3250</v>
      </c>
      <c r="X1625" t="s">
        <v>3250</v>
      </c>
      <c r="Y1625" t="s">
        <v>3250</v>
      </c>
      <c r="Z1625" t="s">
        <v>3250</v>
      </c>
      <c r="AA1625" t="s">
        <v>3108</v>
      </c>
      <c r="AB1625" t="s">
        <v>3108</v>
      </c>
      <c r="AC1625" t="s">
        <v>3250</v>
      </c>
      <c r="AD1625" t="s">
        <v>3250</v>
      </c>
      <c r="AE1625" t="s">
        <v>3250</v>
      </c>
      <c r="AF1625" t="s">
        <v>3250</v>
      </c>
      <c r="AG1625" t="s">
        <v>3250</v>
      </c>
      <c r="AH1625" t="s">
        <v>3250</v>
      </c>
      <c r="AI1625" t="s">
        <v>3250</v>
      </c>
      <c r="AJ1625" t="s">
        <v>3250</v>
      </c>
      <c r="AL1625" t="s">
        <v>3250</v>
      </c>
      <c r="AM1625" t="s">
        <v>3250</v>
      </c>
      <c r="AN1625" t="s">
        <v>3250</v>
      </c>
      <c r="AO1625" t="s">
        <v>3250</v>
      </c>
      <c r="AS1625" t="s">
        <v>3250</v>
      </c>
      <c r="AT1625" t="s">
        <v>3250</v>
      </c>
      <c r="AU1625" t="s">
        <v>3250</v>
      </c>
      <c r="AV1625" t="s">
        <v>3250</v>
      </c>
      <c r="AW1625" t="s">
        <v>3250</v>
      </c>
      <c r="AX1625" t="s">
        <v>3250</v>
      </c>
      <c r="AY1625" t="s">
        <v>3250</v>
      </c>
      <c r="AZ1625" t="s">
        <v>3250</v>
      </c>
      <c r="BA1625" t="s">
        <v>3250</v>
      </c>
      <c r="BB1625" t="s">
        <v>3250</v>
      </c>
      <c r="BC1625" t="s">
        <v>3250</v>
      </c>
      <c r="BE1625" t="s">
        <v>3250</v>
      </c>
      <c r="BF1625" t="s">
        <v>3250</v>
      </c>
      <c r="BG1625" t="s">
        <v>3250</v>
      </c>
      <c r="BH1625" t="s">
        <v>3250</v>
      </c>
      <c r="BI1625" t="s">
        <v>3250</v>
      </c>
      <c r="BK1625" t="s">
        <v>3250</v>
      </c>
      <c r="BL1625" t="s">
        <v>3250</v>
      </c>
      <c r="BM1625" t="s">
        <v>3250</v>
      </c>
      <c r="BN1625" t="s">
        <v>3250</v>
      </c>
      <c r="BP1625">
        <v>9</v>
      </c>
      <c r="BQ1625">
        <v>91</v>
      </c>
      <c r="BR1625" t="s">
        <v>2390</v>
      </c>
      <c r="BS1625" t="s">
        <v>1675</v>
      </c>
      <c r="BV1625">
        <v>0</v>
      </c>
      <c r="BW1625">
        <v>0</v>
      </c>
      <c r="BX1625">
        <v>0</v>
      </c>
      <c r="BY1625">
        <v>5000</v>
      </c>
      <c r="BZ1625">
        <v>0</v>
      </c>
      <c r="CA1625">
        <v>2000</v>
      </c>
      <c r="CB1625">
        <v>2080</v>
      </c>
      <c r="CC1625">
        <v>2163</v>
      </c>
      <c r="CD1625">
        <v>0</v>
      </c>
      <c r="CE1625" t="s">
        <v>3108</v>
      </c>
      <c r="CF1625" t="s">
        <v>3108</v>
      </c>
      <c r="CG1625" t="s">
        <v>3108</v>
      </c>
      <c r="CH1625" t="s">
        <v>3108</v>
      </c>
    </row>
    <row r="1626" spans="1:86" x14ac:dyDescent="0.2">
      <c r="A1626" t="s">
        <v>5598</v>
      </c>
      <c r="B1626" t="s">
        <v>5598</v>
      </c>
      <c r="C1626">
        <v>54743</v>
      </c>
      <c r="D1626">
        <v>1741</v>
      </c>
      <c r="E1626" t="s">
        <v>3994</v>
      </c>
      <c r="F1626">
        <v>2600</v>
      </c>
      <c r="G1626" t="s">
        <v>1334</v>
      </c>
      <c r="H1626">
        <v>2600</v>
      </c>
      <c r="I1626" t="s">
        <v>1334</v>
      </c>
      <c r="J1626" t="s">
        <v>3250</v>
      </c>
      <c r="K1626" t="s">
        <v>3250</v>
      </c>
      <c r="L1626">
        <v>2100</v>
      </c>
      <c r="M1626" t="s">
        <v>123</v>
      </c>
      <c r="N1626">
        <v>2101</v>
      </c>
      <c r="O1626" t="s">
        <v>1445</v>
      </c>
      <c r="P1626" t="s">
        <v>3108</v>
      </c>
      <c r="Q1626" t="s">
        <v>3249</v>
      </c>
      <c r="R1626" t="s">
        <v>3249</v>
      </c>
      <c r="S1626" t="s">
        <v>810</v>
      </c>
      <c r="T1626" t="s">
        <v>2754</v>
      </c>
      <c r="U1626" t="s">
        <v>3250</v>
      </c>
      <c r="V1626" t="s">
        <v>3250</v>
      </c>
      <c r="W1626" t="s">
        <v>3250</v>
      </c>
      <c r="X1626" t="s">
        <v>3250</v>
      </c>
      <c r="Y1626" t="s">
        <v>3250</v>
      </c>
      <c r="Z1626" t="s">
        <v>3250</v>
      </c>
      <c r="AA1626" t="s">
        <v>3108</v>
      </c>
      <c r="AB1626" t="s">
        <v>3108</v>
      </c>
      <c r="AC1626" t="s">
        <v>3250</v>
      </c>
      <c r="AD1626" t="s">
        <v>3250</v>
      </c>
      <c r="AE1626" t="s">
        <v>3250</v>
      </c>
      <c r="AF1626" t="s">
        <v>3250</v>
      </c>
      <c r="AG1626" t="s">
        <v>3250</v>
      </c>
      <c r="AH1626" t="s">
        <v>3250</v>
      </c>
      <c r="AI1626" t="s">
        <v>3250</v>
      </c>
      <c r="AJ1626" t="s">
        <v>3250</v>
      </c>
      <c r="AL1626" t="s">
        <v>3250</v>
      </c>
      <c r="AM1626" t="s">
        <v>3250</v>
      </c>
      <c r="AN1626" t="s">
        <v>3250</v>
      </c>
      <c r="AO1626" t="s">
        <v>3250</v>
      </c>
      <c r="AS1626" t="s">
        <v>3250</v>
      </c>
      <c r="AT1626" t="s">
        <v>3250</v>
      </c>
      <c r="AU1626" t="s">
        <v>3250</v>
      </c>
      <c r="AV1626" t="s">
        <v>3250</v>
      </c>
      <c r="AW1626" t="s">
        <v>3250</v>
      </c>
      <c r="AX1626" t="s">
        <v>3250</v>
      </c>
      <c r="AY1626" t="s">
        <v>3250</v>
      </c>
      <c r="AZ1626" t="s">
        <v>3250</v>
      </c>
      <c r="BA1626" t="s">
        <v>3250</v>
      </c>
      <c r="BB1626" t="s">
        <v>3250</v>
      </c>
      <c r="BC1626" t="s">
        <v>3250</v>
      </c>
      <c r="BE1626" t="s">
        <v>3250</v>
      </c>
      <c r="BF1626" t="s">
        <v>3250</v>
      </c>
      <c r="BG1626" t="s">
        <v>3250</v>
      </c>
      <c r="BH1626" t="s">
        <v>3250</v>
      </c>
      <c r="BI1626" t="s">
        <v>3250</v>
      </c>
      <c r="BK1626" t="s">
        <v>3250</v>
      </c>
      <c r="BL1626" t="s">
        <v>3250</v>
      </c>
      <c r="BM1626" t="s">
        <v>3250</v>
      </c>
      <c r="BN1626" t="s">
        <v>3250</v>
      </c>
      <c r="BP1626">
        <v>4</v>
      </c>
      <c r="BQ1626">
        <v>48</v>
      </c>
      <c r="BR1626" t="s">
        <v>1445</v>
      </c>
      <c r="BS1626" t="s">
        <v>4024</v>
      </c>
      <c r="BV1626">
        <v>0</v>
      </c>
      <c r="BW1626">
        <v>0</v>
      </c>
      <c r="BX1626">
        <v>0</v>
      </c>
      <c r="BY1626">
        <v>30000</v>
      </c>
      <c r="BZ1626">
        <v>30000</v>
      </c>
      <c r="CA1626">
        <v>130000</v>
      </c>
      <c r="CB1626">
        <v>135200</v>
      </c>
      <c r="CC1626">
        <v>146080</v>
      </c>
      <c r="CD1626">
        <v>0</v>
      </c>
      <c r="CE1626" t="s">
        <v>3108</v>
      </c>
      <c r="CF1626" t="s">
        <v>3108</v>
      </c>
      <c r="CG1626" t="s">
        <v>3108</v>
      </c>
      <c r="CH1626" t="s">
        <v>3108</v>
      </c>
    </row>
    <row r="1627" spans="1:86" x14ac:dyDescent="0.2">
      <c r="A1627" t="s">
        <v>5599</v>
      </c>
      <c r="B1627" t="s">
        <v>5599</v>
      </c>
      <c r="C1627">
        <v>54744</v>
      </c>
      <c r="D1627">
        <v>1742</v>
      </c>
      <c r="E1627" t="s">
        <v>4006</v>
      </c>
      <c r="F1627">
        <v>2700</v>
      </c>
      <c r="G1627" t="s">
        <v>411</v>
      </c>
      <c r="H1627" t="s">
        <v>4004</v>
      </c>
      <c r="I1627" t="s">
        <v>2531</v>
      </c>
      <c r="J1627">
        <v>2701</v>
      </c>
      <c r="K1627" t="s">
        <v>2531</v>
      </c>
      <c r="L1627">
        <v>2100</v>
      </c>
      <c r="M1627" t="s">
        <v>123</v>
      </c>
      <c r="N1627">
        <v>2118</v>
      </c>
      <c r="O1627" t="s">
        <v>2409</v>
      </c>
      <c r="P1627" t="s">
        <v>3108</v>
      </c>
      <c r="Q1627" t="s">
        <v>3249</v>
      </c>
      <c r="R1627" t="s">
        <v>3249</v>
      </c>
      <c r="S1627" t="s">
        <v>810</v>
      </c>
      <c r="T1627" t="s">
        <v>2754</v>
      </c>
      <c r="U1627" t="s">
        <v>3250</v>
      </c>
      <c r="V1627" t="s">
        <v>3250</v>
      </c>
      <c r="W1627" t="s">
        <v>3250</v>
      </c>
      <c r="X1627" t="s">
        <v>3250</v>
      </c>
      <c r="Y1627" t="s">
        <v>3250</v>
      </c>
      <c r="Z1627" t="s">
        <v>3250</v>
      </c>
      <c r="AA1627" t="s">
        <v>3108</v>
      </c>
      <c r="AB1627" t="s">
        <v>3108</v>
      </c>
      <c r="AC1627" t="s">
        <v>3250</v>
      </c>
      <c r="AD1627" t="s">
        <v>3250</v>
      </c>
      <c r="AE1627" t="s">
        <v>3250</v>
      </c>
      <c r="AF1627" t="s">
        <v>3250</v>
      </c>
      <c r="AG1627" t="s">
        <v>3250</v>
      </c>
      <c r="AH1627" t="s">
        <v>3250</v>
      </c>
      <c r="AI1627" t="s">
        <v>3250</v>
      </c>
      <c r="AJ1627" t="s">
        <v>3250</v>
      </c>
      <c r="AL1627" t="s">
        <v>3250</v>
      </c>
      <c r="AM1627" t="s">
        <v>3250</v>
      </c>
      <c r="AN1627" t="s">
        <v>3250</v>
      </c>
      <c r="AO1627" t="s">
        <v>3250</v>
      </c>
      <c r="AS1627" t="s">
        <v>3250</v>
      </c>
      <c r="AT1627" t="s">
        <v>3250</v>
      </c>
      <c r="AU1627" t="s">
        <v>3250</v>
      </c>
      <c r="AV1627" t="s">
        <v>3250</v>
      </c>
      <c r="AW1627" t="s">
        <v>3250</v>
      </c>
      <c r="AX1627" t="s">
        <v>3250</v>
      </c>
      <c r="AY1627" t="s">
        <v>3250</v>
      </c>
      <c r="AZ1627" t="s">
        <v>3250</v>
      </c>
      <c r="BA1627" t="s">
        <v>3250</v>
      </c>
      <c r="BB1627" t="s">
        <v>3250</v>
      </c>
      <c r="BC1627" t="s">
        <v>3250</v>
      </c>
      <c r="BE1627" t="s">
        <v>3250</v>
      </c>
      <c r="BF1627" t="s">
        <v>3250</v>
      </c>
      <c r="BG1627" t="s">
        <v>3250</v>
      </c>
      <c r="BH1627" t="s">
        <v>3250</v>
      </c>
      <c r="BI1627" t="s">
        <v>3250</v>
      </c>
      <c r="BK1627" t="s">
        <v>3250</v>
      </c>
      <c r="BL1627" t="s">
        <v>3250</v>
      </c>
      <c r="BM1627" t="s">
        <v>3250</v>
      </c>
      <c r="BN1627" t="s">
        <v>3250</v>
      </c>
      <c r="BP1627">
        <v>4</v>
      </c>
      <c r="BQ1627">
        <v>43</v>
      </c>
      <c r="BR1627" t="s">
        <v>2409</v>
      </c>
      <c r="BS1627" t="s">
        <v>4024</v>
      </c>
      <c r="BV1627">
        <v>470</v>
      </c>
      <c r="BW1627">
        <v>0</v>
      </c>
      <c r="BX1627">
        <v>0</v>
      </c>
      <c r="BY1627">
        <v>30000</v>
      </c>
      <c r="BZ1627">
        <v>47750</v>
      </c>
      <c r="CA1627">
        <v>40000</v>
      </c>
      <c r="CB1627">
        <v>41600</v>
      </c>
      <c r="CC1627">
        <v>43264</v>
      </c>
      <c r="CD1627">
        <v>23850</v>
      </c>
      <c r="CE1627" t="s">
        <v>3108</v>
      </c>
      <c r="CF1627" t="s">
        <v>3108</v>
      </c>
      <c r="CG1627" t="s">
        <v>3108</v>
      </c>
      <c r="CH1627" t="s">
        <v>3108</v>
      </c>
    </row>
    <row r="1628" spans="1:86" x14ac:dyDescent="0.2">
      <c r="A1628" t="s">
        <v>5600</v>
      </c>
      <c r="B1628" t="s">
        <v>5600</v>
      </c>
      <c r="C1628">
        <v>54745</v>
      </c>
      <c r="D1628">
        <v>1743</v>
      </c>
      <c r="E1628" t="s">
        <v>3994</v>
      </c>
      <c r="F1628">
        <v>2600</v>
      </c>
      <c r="G1628" t="s">
        <v>1334</v>
      </c>
      <c r="H1628">
        <v>2600</v>
      </c>
      <c r="I1628" t="s">
        <v>1334</v>
      </c>
      <c r="J1628" t="s">
        <v>3250</v>
      </c>
      <c r="K1628" t="s">
        <v>3250</v>
      </c>
      <c r="L1628">
        <v>2100</v>
      </c>
      <c r="M1628" t="s">
        <v>123</v>
      </c>
      <c r="N1628">
        <v>2118</v>
      </c>
      <c r="O1628" t="s">
        <v>2409</v>
      </c>
      <c r="P1628" t="s">
        <v>3108</v>
      </c>
      <c r="Q1628" t="s">
        <v>3249</v>
      </c>
      <c r="R1628" t="s">
        <v>3249</v>
      </c>
      <c r="S1628" t="s">
        <v>810</v>
      </c>
      <c r="T1628" t="s">
        <v>2754</v>
      </c>
      <c r="U1628" t="s">
        <v>3250</v>
      </c>
      <c r="V1628" t="s">
        <v>3250</v>
      </c>
      <c r="W1628" t="s">
        <v>3250</v>
      </c>
      <c r="X1628" t="s">
        <v>3250</v>
      </c>
      <c r="Y1628" t="s">
        <v>3250</v>
      </c>
      <c r="Z1628" t="s">
        <v>3250</v>
      </c>
      <c r="AA1628" t="s">
        <v>3108</v>
      </c>
      <c r="AB1628" t="s">
        <v>3108</v>
      </c>
      <c r="AC1628" t="s">
        <v>3250</v>
      </c>
      <c r="AD1628" t="s">
        <v>3250</v>
      </c>
      <c r="AE1628" t="s">
        <v>3250</v>
      </c>
      <c r="AF1628" t="s">
        <v>3250</v>
      </c>
      <c r="AG1628" t="s">
        <v>3250</v>
      </c>
      <c r="AH1628" t="s">
        <v>3250</v>
      </c>
      <c r="AI1628" t="s">
        <v>3250</v>
      </c>
      <c r="AJ1628" t="s">
        <v>3250</v>
      </c>
      <c r="AL1628" t="s">
        <v>3250</v>
      </c>
      <c r="AM1628" t="s">
        <v>3250</v>
      </c>
      <c r="AN1628" t="s">
        <v>3250</v>
      </c>
      <c r="AO1628" t="s">
        <v>3250</v>
      </c>
      <c r="AS1628" t="s">
        <v>3250</v>
      </c>
      <c r="AT1628" t="s">
        <v>3250</v>
      </c>
      <c r="AU1628" t="s">
        <v>3250</v>
      </c>
      <c r="AV1628" t="s">
        <v>3250</v>
      </c>
      <c r="AW1628" t="s">
        <v>3250</v>
      </c>
      <c r="AX1628" t="s">
        <v>3250</v>
      </c>
      <c r="AY1628" t="s">
        <v>3250</v>
      </c>
      <c r="AZ1628" t="s">
        <v>3250</v>
      </c>
      <c r="BA1628" t="s">
        <v>3250</v>
      </c>
      <c r="BB1628" t="s">
        <v>3250</v>
      </c>
      <c r="BC1628" t="s">
        <v>3250</v>
      </c>
      <c r="BE1628" t="s">
        <v>3250</v>
      </c>
      <c r="BF1628" t="s">
        <v>3250</v>
      </c>
      <c r="BG1628" t="s">
        <v>3250</v>
      </c>
      <c r="BH1628" t="s">
        <v>3250</v>
      </c>
      <c r="BI1628" t="s">
        <v>3250</v>
      </c>
      <c r="BK1628" t="s">
        <v>3250</v>
      </c>
      <c r="BL1628" t="s">
        <v>3250</v>
      </c>
      <c r="BM1628" t="s">
        <v>3250</v>
      </c>
      <c r="BN1628" t="s">
        <v>3250</v>
      </c>
      <c r="BP1628">
        <v>4</v>
      </c>
      <c r="BQ1628">
        <v>43</v>
      </c>
      <c r="BR1628" t="s">
        <v>2409</v>
      </c>
      <c r="BS1628" t="s">
        <v>4024</v>
      </c>
      <c r="BV1628">
        <v>1058</v>
      </c>
      <c r="BW1628">
        <v>0</v>
      </c>
      <c r="BX1628">
        <v>0</v>
      </c>
      <c r="BY1628">
        <v>20000</v>
      </c>
      <c r="BZ1628">
        <v>26500</v>
      </c>
      <c r="CA1628">
        <v>40000</v>
      </c>
      <c r="CB1628">
        <v>41600</v>
      </c>
      <c r="CC1628">
        <v>43264</v>
      </c>
      <c r="CD1628">
        <v>3500</v>
      </c>
      <c r="CE1628" t="s">
        <v>3108</v>
      </c>
      <c r="CF1628" t="s">
        <v>3108</v>
      </c>
      <c r="CG1628" t="s">
        <v>3108</v>
      </c>
      <c r="CH1628" t="s">
        <v>3108</v>
      </c>
    </row>
    <row r="1629" spans="1:86" x14ac:dyDescent="0.2">
      <c r="A1629" t="s">
        <v>5601</v>
      </c>
      <c r="B1629" t="s">
        <v>5601</v>
      </c>
      <c r="C1629">
        <v>54746</v>
      </c>
      <c r="D1629">
        <v>1744</v>
      </c>
      <c r="E1629" t="s">
        <v>4006</v>
      </c>
      <c r="F1629">
        <v>2700</v>
      </c>
      <c r="G1629" t="s">
        <v>411</v>
      </c>
      <c r="H1629" t="s">
        <v>4004</v>
      </c>
      <c r="I1629" t="s">
        <v>2531</v>
      </c>
      <c r="J1629">
        <v>2701</v>
      </c>
      <c r="K1629" t="s">
        <v>2531</v>
      </c>
      <c r="L1629">
        <v>2100</v>
      </c>
      <c r="M1629" t="s">
        <v>123</v>
      </c>
      <c r="N1629">
        <v>2118</v>
      </c>
      <c r="O1629" t="s">
        <v>2409</v>
      </c>
      <c r="P1629" t="s">
        <v>3108</v>
      </c>
      <c r="Q1629" t="s">
        <v>3249</v>
      </c>
      <c r="R1629" t="s">
        <v>3249</v>
      </c>
      <c r="S1629" t="s">
        <v>810</v>
      </c>
      <c r="T1629" t="s">
        <v>2754</v>
      </c>
      <c r="U1629" t="s">
        <v>3250</v>
      </c>
      <c r="V1629" t="s">
        <v>3250</v>
      </c>
      <c r="W1629" t="s">
        <v>3250</v>
      </c>
      <c r="X1629" t="s">
        <v>3250</v>
      </c>
      <c r="Y1629" t="s">
        <v>3250</v>
      </c>
      <c r="Z1629" t="s">
        <v>3250</v>
      </c>
      <c r="AA1629" t="s">
        <v>3108</v>
      </c>
      <c r="AB1629" t="s">
        <v>3108</v>
      </c>
      <c r="AC1629" t="s">
        <v>3250</v>
      </c>
      <c r="AD1629" t="s">
        <v>3250</v>
      </c>
      <c r="AE1629" t="s">
        <v>3250</v>
      </c>
      <c r="AF1629" t="s">
        <v>3250</v>
      </c>
      <c r="AG1629" t="s">
        <v>3250</v>
      </c>
      <c r="AH1629" t="s">
        <v>3250</v>
      </c>
      <c r="AI1629" t="s">
        <v>3250</v>
      </c>
      <c r="AJ1629" t="s">
        <v>3250</v>
      </c>
      <c r="AL1629" t="s">
        <v>3250</v>
      </c>
      <c r="AM1629" t="s">
        <v>3250</v>
      </c>
      <c r="AN1629" t="s">
        <v>3250</v>
      </c>
      <c r="AO1629" t="s">
        <v>3250</v>
      </c>
      <c r="AS1629" t="s">
        <v>3250</v>
      </c>
      <c r="AT1629" t="s">
        <v>3250</v>
      </c>
      <c r="AU1629" t="s">
        <v>3250</v>
      </c>
      <c r="AV1629" t="s">
        <v>3250</v>
      </c>
      <c r="AW1629" t="s">
        <v>3250</v>
      </c>
      <c r="AX1629" t="s">
        <v>3250</v>
      </c>
      <c r="AY1629" t="s">
        <v>3250</v>
      </c>
      <c r="AZ1629" t="s">
        <v>3250</v>
      </c>
      <c r="BA1629" t="s">
        <v>3250</v>
      </c>
      <c r="BB1629" t="s">
        <v>3250</v>
      </c>
      <c r="BC1629" t="s">
        <v>3250</v>
      </c>
      <c r="BE1629" t="s">
        <v>3250</v>
      </c>
      <c r="BF1629" t="s">
        <v>3250</v>
      </c>
      <c r="BG1629" t="s">
        <v>3250</v>
      </c>
      <c r="BH1629" t="s">
        <v>3250</v>
      </c>
      <c r="BI1629" t="s">
        <v>3250</v>
      </c>
      <c r="BK1629" t="s">
        <v>3250</v>
      </c>
      <c r="BL1629" t="s">
        <v>3250</v>
      </c>
      <c r="BM1629" t="s">
        <v>3250</v>
      </c>
      <c r="BN1629" t="s">
        <v>3250</v>
      </c>
      <c r="BP1629">
        <v>4</v>
      </c>
      <c r="BQ1629">
        <v>43</v>
      </c>
      <c r="BR1629" t="s">
        <v>2409</v>
      </c>
      <c r="BS1629" t="s">
        <v>4024</v>
      </c>
      <c r="BV1629">
        <v>45472</v>
      </c>
      <c r="BW1629">
        <v>0</v>
      </c>
      <c r="BX1629">
        <v>0</v>
      </c>
      <c r="BY1629">
        <v>50000</v>
      </c>
      <c r="BZ1629">
        <v>50000</v>
      </c>
      <c r="CA1629">
        <v>50000</v>
      </c>
      <c r="CB1629">
        <v>52000</v>
      </c>
      <c r="CC1629">
        <v>54080</v>
      </c>
      <c r="CD1629">
        <v>0</v>
      </c>
      <c r="CE1629" t="s">
        <v>3108</v>
      </c>
      <c r="CF1629" t="s">
        <v>3108</v>
      </c>
      <c r="CG1629" t="s">
        <v>3108</v>
      </c>
      <c r="CH1629" t="s">
        <v>3108</v>
      </c>
    </row>
    <row r="1630" spans="1:86" x14ac:dyDescent="0.2">
      <c r="A1630" t="s">
        <v>5602</v>
      </c>
      <c r="B1630" t="s">
        <v>5602</v>
      </c>
      <c r="C1630">
        <v>54747</v>
      </c>
      <c r="D1630">
        <v>1745</v>
      </c>
      <c r="E1630" t="s">
        <v>4326</v>
      </c>
      <c r="F1630">
        <v>2700</v>
      </c>
      <c r="G1630" t="s">
        <v>411</v>
      </c>
      <c r="H1630" t="s">
        <v>4004</v>
      </c>
      <c r="I1630" t="s">
        <v>2531</v>
      </c>
      <c r="J1630">
        <v>2701</v>
      </c>
      <c r="K1630" t="s">
        <v>2531</v>
      </c>
      <c r="L1630">
        <v>2100</v>
      </c>
      <c r="M1630" t="s">
        <v>123</v>
      </c>
      <c r="N1630">
        <v>2118</v>
      </c>
      <c r="O1630" t="s">
        <v>2409</v>
      </c>
      <c r="P1630" t="s">
        <v>3108</v>
      </c>
      <c r="Q1630" t="s">
        <v>3249</v>
      </c>
      <c r="R1630" t="s">
        <v>3249</v>
      </c>
      <c r="S1630" t="s">
        <v>810</v>
      </c>
      <c r="T1630" t="s">
        <v>2754</v>
      </c>
      <c r="U1630" t="s">
        <v>3250</v>
      </c>
      <c r="V1630" t="s">
        <v>3250</v>
      </c>
      <c r="W1630" t="s">
        <v>3250</v>
      </c>
      <c r="X1630" t="s">
        <v>3250</v>
      </c>
      <c r="Y1630" t="s">
        <v>3250</v>
      </c>
      <c r="Z1630" t="s">
        <v>3250</v>
      </c>
      <c r="AA1630" t="s">
        <v>3108</v>
      </c>
      <c r="AB1630" t="s">
        <v>3108</v>
      </c>
      <c r="AC1630" t="s">
        <v>3250</v>
      </c>
      <c r="AD1630" t="s">
        <v>3250</v>
      </c>
      <c r="AE1630" t="s">
        <v>3250</v>
      </c>
      <c r="AF1630" t="s">
        <v>3250</v>
      </c>
      <c r="AG1630" t="s">
        <v>3250</v>
      </c>
      <c r="AH1630" t="s">
        <v>3250</v>
      </c>
      <c r="AI1630" t="s">
        <v>3250</v>
      </c>
      <c r="AJ1630" t="s">
        <v>3250</v>
      </c>
      <c r="AL1630" t="s">
        <v>3250</v>
      </c>
      <c r="AM1630" t="s">
        <v>3250</v>
      </c>
      <c r="AN1630" t="s">
        <v>3250</v>
      </c>
      <c r="AO1630" t="s">
        <v>3250</v>
      </c>
      <c r="AS1630" t="s">
        <v>3250</v>
      </c>
      <c r="AT1630" t="s">
        <v>3250</v>
      </c>
      <c r="AU1630" t="s">
        <v>3250</v>
      </c>
      <c r="AV1630" t="s">
        <v>3250</v>
      </c>
      <c r="AW1630" t="s">
        <v>3250</v>
      </c>
      <c r="AX1630" t="s">
        <v>3250</v>
      </c>
      <c r="AY1630" t="s">
        <v>3250</v>
      </c>
      <c r="AZ1630" t="s">
        <v>3250</v>
      </c>
      <c r="BA1630" t="s">
        <v>3250</v>
      </c>
      <c r="BB1630" t="s">
        <v>3250</v>
      </c>
      <c r="BC1630" t="s">
        <v>3250</v>
      </c>
      <c r="BE1630" t="s">
        <v>3250</v>
      </c>
      <c r="BF1630" t="s">
        <v>3250</v>
      </c>
      <c r="BG1630" t="s">
        <v>3250</v>
      </c>
      <c r="BH1630" t="s">
        <v>3250</v>
      </c>
      <c r="BI1630" t="s">
        <v>3250</v>
      </c>
      <c r="BK1630" t="s">
        <v>3250</v>
      </c>
      <c r="BL1630" t="s">
        <v>3250</v>
      </c>
      <c r="BM1630" t="s">
        <v>3250</v>
      </c>
      <c r="BN1630" t="s">
        <v>3250</v>
      </c>
      <c r="BP1630">
        <v>4</v>
      </c>
      <c r="BQ1630">
        <v>43</v>
      </c>
      <c r="BR1630" t="s">
        <v>2409</v>
      </c>
      <c r="BS1630" t="s">
        <v>4024</v>
      </c>
      <c r="BV1630">
        <v>37220</v>
      </c>
      <c r="BW1630">
        <v>0</v>
      </c>
      <c r="BX1630">
        <v>0</v>
      </c>
      <c r="BY1630">
        <v>30000</v>
      </c>
      <c r="BZ1630">
        <v>30000</v>
      </c>
      <c r="CA1630">
        <v>60000</v>
      </c>
      <c r="CB1630">
        <v>62400</v>
      </c>
      <c r="CC1630">
        <v>64896</v>
      </c>
      <c r="CD1630">
        <v>0</v>
      </c>
      <c r="CE1630" t="s">
        <v>3108</v>
      </c>
      <c r="CF1630" t="s">
        <v>3108</v>
      </c>
      <c r="CG1630" t="s">
        <v>3108</v>
      </c>
      <c r="CH1630" t="s">
        <v>3108</v>
      </c>
    </row>
    <row r="1631" spans="1:86" x14ac:dyDescent="0.2">
      <c r="A1631" t="s">
        <v>5603</v>
      </c>
      <c r="B1631" t="s">
        <v>5603</v>
      </c>
      <c r="C1631">
        <v>54748</v>
      </c>
      <c r="D1631">
        <v>1746</v>
      </c>
      <c r="E1631" t="s">
        <v>4006</v>
      </c>
      <c r="F1631">
        <v>2700</v>
      </c>
      <c r="G1631" t="s">
        <v>411</v>
      </c>
      <c r="H1631" t="s">
        <v>4004</v>
      </c>
      <c r="I1631" t="s">
        <v>2531</v>
      </c>
      <c r="J1631">
        <v>2701</v>
      </c>
      <c r="K1631" t="s">
        <v>2531</v>
      </c>
      <c r="L1631">
        <v>2100</v>
      </c>
      <c r="M1631" t="s">
        <v>123</v>
      </c>
      <c r="N1631">
        <v>2118</v>
      </c>
      <c r="O1631" t="s">
        <v>2409</v>
      </c>
      <c r="P1631" t="s">
        <v>3108</v>
      </c>
      <c r="Q1631" t="s">
        <v>3249</v>
      </c>
      <c r="R1631" t="s">
        <v>3249</v>
      </c>
      <c r="S1631" t="s">
        <v>810</v>
      </c>
      <c r="T1631" t="s">
        <v>2754</v>
      </c>
      <c r="U1631" t="s">
        <v>3250</v>
      </c>
      <c r="V1631" t="s">
        <v>3250</v>
      </c>
      <c r="W1631" t="s">
        <v>3250</v>
      </c>
      <c r="X1631" t="s">
        <v>3250</v>
      </c>
      <c r="Y1631" t="s">
        <v>3250</v>
      </c>
      <c r="Z1631" t="s">
        <v>3250</v>
      </c>
      <c r="AA1631" t="s">
        <v>3108</v>
      </c>
      <c r="AB1631" t="s">
        <v>3108</v>
      </c>
      <c r="AC1631" t="s">
        <v>3250</v>
      </c>
      <c r="AD1631" t="s">
        <v>3250</v>
      </c>
      <c r="AE1631" t="s">
        <v>3250</v>
      </c>
      <c r="AF1631" t="s">
        <v>3250</v>
      </c>
      <c r="AG1631" t="s">
        <v>3250</v>
      </c>
      <c r="AH1631" t="s">
        <v>3250</v>
      </c>
      <c r="AI1631" t="s">
        <v>3250</v>
      </c>
      <c r="AJ1631" t="s">
        <v>3250</v>
      </c>
      <c r="AL1631" t="s">
        <v>3250</v>
      </c>
      <c r="AM1631" t="s">
        <v>3250</v>
      </c>
      <c r="AN1631" t="s">
        <v>3250</v>
      </c>
      <c r="AO1631" t="s">
        <v>3250</v>
      </c>
      <c r="AS1631" t="s">
        <v>3250</v>
      </c>
      <c r="AT1631" t="s">
        <v>3250</v>
      </c>
      <c r="AU1631" t="s">
        <v>3250</v>
      </c>
      <c r="AV1631" t="s">
        <v>3250</v>
      </c>
      <c r="AW1631" t="s">
        <v>3250</v>
      </c>
      <c r="AX1631" t="s">
        <v>3250</v>
      </c>
      <c r="AY1631" t="s">
        <v>3250</v>
      </c>
      <c r="AZ1631" t="s">
        <v>3250</v>
      </c>
      <c r="BA1631" t="s">
        <v>3250</v>
      </c>
      <c r="BB1631" t="s">
        <v>3250</v>
      </c>
      <c r="BC1631" t="s">
        <v>3250</v>
      </c>
      <c r="BE1631" t="s">
        <v>3250</v>
      </c>
      <c r="BF1631" t="s">
        <v>3250</v>
      </c>
      <c r="BG1631" t="s">
        <v>3250</v>
      </c>
      <c r="BH1631" t="s">
        <v>3250</v>
      </c>
      <c r="BI1631" t="s">
        <v>3250</v>
      </c>
      <c r="BK1631" t="s">
        <v>3250</v>
      </c>
      <c r="BL1631" t="s">
        <v>3250</v>
      </c>
      <c r="BM1631" t="s">
        <v>3250</v>
      </c>
      <c r="BN1631" t="s">
        <v>3250</v>
      </c>
      <c r="BP1631">
        <v>4</v>
      </c>
      <c r="BQ1631">
        <v>43</v>
      </c>
      <c r="BR1631" t="s">
        <v>2409</v>
      </c>
      <c r="BS1631" t="s">
        <v>4024</v>
      </c>
      <c r="BV1631">
        <v>0</v>
      </c>
      <c r="BW1631">
        <v>0</v>
      </c>
      <c r="BX1631">
        <v>0</v>
      </c>
      <c r="BY1631">
        <v>0</v>
      </c>
      <c r="BZ1631">
        <v>0</v>
      </c>
      <c r="CA1631">
        <v>0</v>
      </c>
      <c r="CB1631">
        <v>0</v>
      </c>
      <c r="CC1631">
        <v>0</v>
      </c>
      <c r="CD1631">
        <v>0</v>
      </c>
      <c r="CE1631" t="s">
        <v>3108</v>
      </c>
      <c r="CF1631" t="s">
        <v>3108</v>
      </c>
      <c r="CG1631" t="s">
        <v>3108</v>
      </c>
      <c r="CH1631" t="s">
        <v>3108</v>
      </c>
    </row>
    <row r="1632" spans="1:86" x14ac:dyDescent="0.2">
      <c r="A1632" t="s">
        <v>5604</v>
      </c>
      <c r="B1632" t="s">
        <v>5604</v>
      </c>
      <c r="C1632">
        <v>54749</v>
      </c>
      <c r="D1632">
        <v>1747</v>
      </c>
      <c r="E1632" t="s">
        <v>4003</v>
      </c>
      <c r="F1632">
        <v>2700</v>
      </c>
      <c r="G1632" t="s">
        <v>411</v>
      </c>
      <c r="H1632" t="s">
        <v>4004</v>
      </c>
      <c r="I1632" t="s">
        <v>2531</v>
      </c>
      <c r="J1632">
        <v>2701</v>
      </c>
      <c r="K1632" t="s">
        <v>2531</v>
      </c>
      <c r="L1632">
        <v>2100</v>
      </c>
      <c r="M1632" t="s">
        <v>123</v>
      </c>
      <c r="N1632">
        <v>2111</v>
      </c>
      <c r="O1632" t="s">
        <v>2403</v>
      </c>
      <c r="P1632" t="s">
        <v>3108</v>
      </c>
      <c r="Q1632" t="s">
        <v>3249</v>
      </c>
      <c r="R1632" t="s">
        <v>3249</v>
      </c>
      <c r="S1632" t="s">
        <v>810</v>
      </c>
      <c r="T1632" t="s">
        <v>2754</v>
      </c>
      <c r="U1632" t="s">
        <v>3250</v>
      </c>
      <c r="V1632" t="s">
        <v>3250</v>
      </c>
      <c r="W1632" t="s">
        <v>3250</v>
      </c>
      <c r="X1632" t="s">
        <v>3250</v>
      </c>
      <c r="Y1632" t="s">
        <v>3250</v>
      </c>
      <c r="Z1632" t="s">
        <v>3250</v>
      </c>
      <c r="AA1632" t="s">
        <v>3108</v>
      </c>
      <c r="AB1632" t="s">
        <v>3108</v>
      </c>
      <c r="AC1632" t="s">
        <v>3250</v>
      </c>
      <c r="AD1632" t="s">
        <v>3250</v>
      </c>
      <c r="AE1632" t="s">
        <v>3250</v>
      </c>
      <c r="AF1632" t="s">
        <v>3250</v>
      </c>
      <c r="AG1632" t="s">
        <v>3250</v>
      </c>
      <c r="AH1632" t="s">
        <v>3250</v>
      </c>
      <c r="AI1632" t="s">
        <v>3250</v>
      </c>
      <c r="AJ1632" t="s">
        <v>3250</v>
      </c>
      <c r="AL1632" t="s">
        <v>3250</v>
      </c>
      <c r="AM1632" t="s">
        <v>3250</v>
      </c>
      <c r="AN1632" t="s">
        <v>3250</v>
      </c>
      <c r="AO1632" t="s">
        <v>3250</v>
      </c>
      <c r="AS1632" t="s">
        <v>3250</v>
      </c>
      <c r="AT1632" t="s">
        <v>3250</v>
      </c>
      <c r="AU1632" t="s">
        <v>3250</v>
      </c>
      <c r="AV1632" t="s">
        <v>3250</v>
      </c>
      <c r="AW1632" t="s">
        <v>3250</v>
      </c>
      <c r="AX1632" t="s">
        <v>3250</v>
      </c>
      <c r="AY1632" t="s">
        <v>3250</v>
      </c>
      <c r="AZ1632" t="s">
        <v>3250</v>
      </c>
      <c r="BA1632" t="s">
        <v>3250</v>
      </c>
      <c r="BB1632" t="s">
        <v>3250</v>
      </c>
      <c r="BC1632" t="s">
        <v>3250</v>
      </c>
      <c r="BE1632" t="s">
        <v>3250</v>
      </c>
      <c r="BF1632" t="s">
        <v>3250</v>
      </c>
      <c r="BG1632" t="s">
        <v>3250</v>
      </c>
      <c r="BH1632" t="s">
        <v>3250</v>
      </c>
      <c r="BI1632" t="s">
        <v>3250</v>
      </c>
      <c r="BK1632" t="s">
        <v>3250</v>
      </c>
      <c r="BL1632" t="s">
        <v>3250</v>
      </c>
      <c r="BM1632" t="s">
        <v>3250</v>
      </c>
      <c r="BN1632" t="s">
        <v>3250</v>
      </c>
      <c r="BP1632">
        <v>4</v>
      </c>
      <c r="BQ1632">
        <v>45</v>
      </c>
      <c r="BR1632" t="s">
        <v>2403</v>
      </c>
      <c r="BS1632" t="s">
        <v>4024</v>
      </c>
      <c r="BV1632">
        <v>0</v>
      </c>
      <c r="BW1632">
        <v>0</v>
      </c>
      <c r="BX1632">
        <v>0</v>
      </c>
      <c r="BY1632">
        <v>40000</v>
      </c>
      <c r="BZ1632">
        <v>40000</v>
      </c>
      <c r="CA1632">
        <v>40000</v>
      </c>
      <c r="CB1632">
        <v>41600</v>
      </c>
      <c r="CC1632">
        <v>43264</v>
      </c>
      <c r="CD1632">
        <v>0</v>
      </c>
      <c r="CE1632" t="s">
        <v>3108</v>
      </c>
      <c r="CF1632" t="s">
        <v>3108</v>
      </c>
      <c r="CG1632" t="s">
        <v>3108</v>
      </c>
      <c r="CH1632" t="s">
        <v>3108</v>
      </c>
    </row>
    <row r="1633" spans="1:86" x14ac:dyDescent="0.2">
      <c r="A1633" t="s">
        <v>5605</v>
      </c>
      <c r="B1633" t="s">
        <v>5605</v>
      </c>
      <c r="C1633">
        <v>54750</v>
      </c>
      <c r="D1633">
        <v>1748</v>
      </c>
      <c r="E1633" t="s">
        <v>4031</v>
      </c>
      <c r="F1633">
        <v>2900</v>
      </c>
      <c r="G1633" t="s">
        <v>822</v>
      </c>
      <c r="H1633" t="s">
        <v>3108</v>
      </c>
      <c r="I1633" t="s">
        <v>3108</v>
      </c>
      <c r="J1633">
        <v>2904</v>
      </c>
      <c r="K1633" t="s">
        <v>1690</v>
      </c>
      <c r="L1633">
        <v>2100</v>
      </c>
      <c r="M1633" t="s">
        <v>123</v>
      </c>
      <c r="N1633">
        <v>2111</v>
      </c>
      <c r="O1633" t="s">
        <v>2403</v>
      </c>
      <c r="P1633" t="s">
        <v>3108</v>
      </c>
      <c r="Q1633" t="s">
        <v>3249</v>
      </c>
      <c r="R1633" t="s">
        <v>3249</v>
      </c>
      <c r="S1633" t="s">
        <v>810</v>
      </c>
      <c r="T1633" t="s">
        <v>2754</v>
      </c>
      <c r="U1633" t="s">
        <v>3250</v>
      </c>
      <c r="V1633" t="s">
        <v>3250</v>
      </c>
      <c r="W1633" t="s">
        <v>3250</v>
      </c>
      <c r="X1633" t="s">
        <v>3250</v>
      </c>
      <c r="Y1633" t="s">
        <v>3250</v>
      </c>
      <c r="Z1633" t="s">
        <v>3250</v>
      </c>
      <c r="AA1633" t="s">
        <v>3108</v>
      </c>
      <c r="AB1633" t="s">
        <v>3108</v>
      </c>
      <c r="AC1633" t="s">
        <v>3250</v>
      </c>
      <c r="AD1633" t="s">
        <v>3250</v>
      </c>
      <c r="AE1633" t="s">
        <v>3250</v>
      </c>
      <c r="AF1633" t="s">
        <v>3250</v>
      </c>
      <c r="AG1633" t="s">
        <v>3250</v>
      </c>
      <c r="AH1633" t="s">
        <v>3250</v>
      </c>
      <c r="AI1633" t="s">
        <v>3250</v>
      </c>
      <c r="AJ1633" t="s">
        <v>3250</v>
      </c>
      <c r="AL1633" t="s">
        <v>3250</v>
      </c>
      <c r="AM1633" t="s">
        <v>3250</v>
      </c>
      <c r="AN1633" t="s">
        <v>3250</v>
      </c>
      <c r="AO1633" t="s">
        <v>3250</v>
      </c>
      <c r="AS1633" t="s">
        <v>3250</v>
      </c>
      <c r="AT1633" t="s">
        <v>3250</v>
      </c>
      <c r="AU1633" t="s">
        <v>3250</v>
      </c>
      <c r="AV1633" t="s">
        <v>3250</v>
      </c>
      <c r="AW1633" t="s">
        <v>3250</v>
      </c>
      <c r="AX1633" t="s">
        <v>3250</v>
      </c>
      <c r="AY1633" t="s">
        <v>3250</v>
      </c>
      <c r="AZ1633" t="s">
        <v>3250</v>
      </c>
      <c r="BA1633" t="s">
        <v>3250</v>
      </c>
      <c r="BB1633" t="s">
        <v>3250</v>
      </c>
      <c r="BC1633" t="s">
        <v>3250</v>
      </c>
      <c r="BE1633" t="s">
        <v>3250</v>
      </c>
      <c r="BF1633" t="s">
        <v>3250</v>
      </c>
      <c r="BG1633" t="s">
        <v>3250</v>
      </c>
      <c r="BH1633" t="s">
        <v>3250</v>
      </c>
      <c r="BI1633" t="s">
        <v>3250</v>
      </c>
      <c r="BK1633" t="s">
        <v>3250</v>
      </c>
      <c r="BL1633" t="s">
        <v>3250</v>
      </c>
      <c r="BM1633" t="s">
        <v>3250</v>
      </c>
      <c r="BN1633" t="s">
        <v>3250</v>
      </c>
      <c r="BP1633">
        <v>4</v>
      </c>
      <c r="BQ1633">
        <v>45</v>
      </c>
      <c r="BR1633" t="s">
        <v>2403</v>
      </c>
      <c r="BS1633" t="s">
        <v>4024</v>
      </c>
      <c r="BV1633">
        <v>0</v>
      </c>
      <c r="BW1633">
        <v>0</v>
      </c>
      <c r="BX1633">
        <v>0</v>
      </c>
      <c r="BY1633">
        <v>0</v>
      </c>
      <c r="BZ1633">
        <v>0</v>
      </c>
      <c r="CA1633">
        <v>0</v>
      </c>
      <c r="CB1633">
        <v>0</v>
      </c>
      <c r="CC1633">
        <v>0</v>
      </c>
      <c r="CD1633">
        <v>0</v>
      </c>
      <c r="CE1633" t="s">
        <v>3108</v>
      </c>
      <c r="CF1633" t="s">
        <v>3108</v>
      </c>
      <c r="CG1633" t="s">
        <v>3108</v>
      </c>
      <c r="CH1633" t="s">
        <v>3108</v>
      </c>
    </row>
    <row r="1634" spans="1:86" x14ac:dyDescent="0.2">
      <c r="A1634" t="s">
        <v>5606</v>
      </c>
      <c r="B1634" t="s">
        <v>5606</v>
      </c>
      <c r="C1634">
        <v>54751</v>
      </c>
      <c r="D1634">
        <v>1749</v>
      </c>
      <c r="E1634" t="s">
        <v>3994</v>
      </c>
      <c r="F1634">
        <v>2600</v>
      </c>
      <c r="G1634" t="s">
        <v>1334</v>
      </c>
      <c r="H1634">
        <v>2600</v>
      </c>
      <c r="I1634" t="s">
        <v>1334</v>
      </c>
      <c r="J1634" t="s">
        <v>3250</v>
      </c>
      <c r="K1634" t="s">
        <v>3250</v>
      </c>
      <c r="L1634">
        <v>2100</v>
      </c>
      <c r="M1634" t="s">
        <v>123</v>
      </c>
      <c r="N1634">
        <v>2108</v>
      </c>
      <c r="O1634" t="s">
        <v>2401</v>
      </c>
      <c r="P1634" t="s">
        <v>3108</v>
      </c>
      <c r="Q1634" t="s">
        <v>3249</v>
      </c>
      <c r="R1634" t="s">
        <v>3249</v>
      </c>
      <c r="S1634" t="s">
        <v>810</v>
      </c>
      <c r="T1634" t="s">
        <v>2754</v>
      </c>
      <c r="U1634" t="s">
        <v>3250</v>
      </c>
      <c r="V1634" t="s">
        <v>3250</v>
      </c>
      <c r="W1634" t="s">
        <v>3250</v>
      </c>
      <c r="X1634" t="s">
        <v>3250</v>
      </c>
      <c r="Y1634" t="s">
        <v>3250</v>
      </c>
      <c r="Z1634" t="s">
        <v>3250</v>
      </c>
      <c r="AA1634" t="s">
        <v>3108</v>
      </c>
      <c r="AB1634" t="s">
        <v>3108</v>
      </c>
      <c r="AC1634" t="s">
        <v>3250</v>
      </c>
      <c r="AD1634" t="s">
        <v>3250</v>
      </c>
      <c r="AE1634" t="s">
        <v>3250</v>
      </c>
      <c r="AF1634" t="s">
        <v>3250</v>
      </c>
      <c r="AG1634" t="s">
        <v>3250</v>
      </c>
      <c r="AH1634" t="s">
        <v>3250</v>
      </c>
      <c r="AI1634" t="s">
        <v>3250</v>
      </c>
      <c r="AJ1634" t="s">
        <v>3250</v>
      </c>
      <c r="AL1634" t="s">
        <v>3250</v>
      </c>
      <c r="AM1634" t="s">
        <v>3250</v>
      </c>
      <c r="AN1634" t="s">
        <v>3250</v>
      </c>
      <c r="AO1634" t="s">
        <v>3250</v>
      </c>
      <c r="AS1634" t="s">
        <v>3250</v>
      </c>
      <c r="AT1634" t="s">
        <v>3250</v>
      </c>
      <c r="AU1634" t="s">
        <v>3250</v>
      </c>
      <c r="AV1634" t="s">
        <v>3250</v>
      </c>
      <c r="AW1634" t="s">
        <v>3250</v>
      </c>
      <c r="AX1634" t="s">
        <v>3250</v>
      </c>
      <c r="AY1634" t="s">
        <v>3250</v>
      </c>
      <c r="AZ1634" t="s">
        <v>3250</v>
      </c>
      <c r="BA1634" t="s">
        <v>3250</v>
      </c>
      <c r="BB1634" t="s">
        <v>3250</v>
      </c>
      <c r="BC1634" t="s">
        <v>3250</v>
      </c>
      <c r="BE1634" t="s">
        <v>3250</v>
      </c>
      <c r="BF1634" t="s">
        <v>3250</v>
      </c>
      <c r="BG1634" t="s">
        <v>3250</v>
      </c>
      <c r="BH1634" t="s">
        <v>3250</v>
      </c>
      <c r="BI1634" t="s">
        <v>3250</v>
      </c>
      <c r="BK1634" t="s">
        <v>3250</v>
      </c>
      <c r="BL1634" t="s">
        <v>3250</v>
      </c>
      <c r="BM1634" t="s">
        <v>3250</v>
      </c>
      <c r="BN1634" t="s">
        <v>3250</v>
      </c>
      <c r="BP1634">
        <v>4</v>
      </c>
      <c r="BQ1634">
        <v>44</v>
      </c>
      <c r="BR1634" t="s">
        <v>2401</v>
      </c>
      <c r="BS1634" t="s">
        <v>4024</v>
      </c>
      <c r="BV1634">
        <v>0</v>
      </c>
      <c r="BW1634">
        <v>0</v>
      </c>
      <c r="BX1634">
        <v>0</v>
      </c>
      <c r="BY1634">
        <v>30000</v>
      </c>
      <c r="BZ1634">
        <v>32000</v>
      </c>
      <c r="CA1634">
        <v>50000</v>
      </c>
      <c r="CB1634">
        <v>52000</v>
      </c>
      <c r="CC1634">
        <v>54080</v>
      </c>
      <c r="CD1634">
        <v>0</v>
      </c>
      <c r="CE1634" t="s">
        <v>3108</v>
      </c>
      <c r="CF1634" t="s">
        <v>3108</v>
      </c>
      <c r="CG1634" t="s">
        <v>3108</v>
      </c>
      <c r="CH1634" t="s">
        <v>3108</v>
      </c>
    </row>
    <row r="1635" spans="1:86" x14ac:dyDescent="0.2">
      <c r="A1635" t="s">
        <v>5607</v>
      </c>
      <c r="B1635" t="s">
        <v>5607</v>
      </c>
      <c r="C1635">
        <v>54752</v>
      </c>
      <c r="D1635">
        <v>1750</v>
      </c>
      <c r="E1635" t="s">
        <v>3994</v>
      </c>
      <c r="F1635">
        <v>2600</v>
      </c>
      <c r="G1635" t="s">
        <v>1334</v>
      </c>
      <c r="H1635">
        <v>2600</v>
      </c>
      <c r="I1635" t="s">
        <v>1334</v>
      </c>
      <c r="J1635" t="s">
        <v>3250</v>
      </c>
      <c r="K1635" t="s">
        <v>3250</v>
      </c>
      <c r="L1635">
        <v>3100</v>
      </c>
      <c r="M1635" t="s">
        <v>127</v>
      </c>
      <c r="N1635">
        <v>3105</v>
      </c>
      <c r="O1635" t="s">
        <v>2416</v>
      </c>
      <c r="P1635" t="s">
        <v>3108</v>
      </c>
      <c r="Q1635" t="s">
        <v>3249</v>
      </c>
      <c r="R1635" t="s">
        <v>3249</v>
      </c>
      <c r="S1635" t="s">
        <v>810</v>
      </c>
      <c r="T1635" t="s">
        <v>2754</v>
      </c>
      <c r="U1635" t="s">
        <v>3250</v>
      </c>
      <c r="V1635" t="s">
        <v>3250</v>
      </c>
      <c r="W1635" t="s">
        <v>3250</v>
      </c>
      <c r="X1635" t="s">
        <v>3250</v>
      </c>
      <c r="Y1635" t="s">
        <v>3250</v>
      </c>
      <c r="Z1635" t="s">
        <v>3250</v>
      </c>
      <c r="AA1635" t="s">
        <v>3108</v>
      </c>
      <c r="AB1635" t="s">
        <v>3108</v>
      </c>
      <c r="AC1635" t="s">
        <v>3250</v>
      </c>
      <c r="AD1635" t="s">
        <v>3250</v>
      </c>
      <c r="AE1635" t="s">
        <v>3250</v>
      </c>
      <c r="AF1635" t="s">
        <v>3250</v>
      </c>
      <c r="AG1635" t="s">
        <v>3250</v>
      </c>
      <c r="AH1635" t="s">
        <v>3250</v>
      </c>
      <c r="AI1635" t="s">
        <v>3250</v>
      </c>
      <c r="AJ1635" t="s">
        <v>3250</v>
      </c>
      <c r="AL1635" t="s">
        <v>3250</v>
      </c>
      <c r="AM1635" t="s">
        <v>3250</v>
      </c>
      <c r="AN1635" t="s">
        <v>3250</v>
      </c>
      <c r="AO1635" t="s">
        <v>3250</v>
      </c>
      <c r="AS1635" t="s">
        <v>3250</v>
      </c>
      <c r="AT1635" t="s">
        <v>3250</v>
      </c>
      <c r="AU1635" t="s">
        <v>3250</v>
      </c>
      <c r="AV1635" t="s">
        <v>3250</v>
      </c>
      <c r="AW1635" t="s">
        <v>3250</v>
      </c>
      <c r="AX1635" t="s">
        <v>3250</v>
      </c>
      <c r="AY1635" t="s">
        <v>3250</v>
      </c>
      <c r="AZ1635" t="s">
        <v>3250</v>
      </c>
      <c r="BA1635" t="s">
        <v>3250</v>
      </c>
      <c r="BB1635" t="s">
        <v>3250</v>
      </c>
      <c r="BC1635" t="s">
        <v>3250</v>
      </c>
      <c r="BE1635" t="s">
        <v>3250</v>
      </c>
      <c r="BF1635" t="s">
        <v>3250</v>
      </c>
      <c r="BG1635" t="s">
        <v>3250</v>
      </c>
      <c r="BH1635" t="s">
        <v>3250</v>
      </c>
      <c r="BI1635" t="s">
        <v>3250</v>
      </c>
      <c r="BK1635" t="s">
        <v>3250</v>
      </c>
      <c r="BL1635" t="s">
        <v>3250</v>
      </c>
      <c r="BM1635" t="s">
        <v>3250</v>
      </c>
      <c r="BN1635" t="s">
        <v>3250</v>
      </c>
      <c r="BP1635">
        <v>8</v>
      </c>
      <c r="BQ1635">
        <v>83</v>
      </c>
      <c r="BR1635" t="s">
        <v>2416</v>
      </c>
      <c r="BS1635" t="s">
        <v>4013</v>
      </c>
      <c r="BV1635">
        <v>0</v>
      </c>
      <c r="BW1635">
        <v>0</v>
      </c>
      <c r="BX1635">
        <v>0</v>
      </c>
      <c r="BY1635">
        <v>30000</v>
      </c>
      <c r="BZ1635">
        <v>30000</v>
      </c>
      <c r="CA1635">
        <v>20000</v>
      </c>
      <c r="CB1635">
        <v>20800</v>
      </c>
      <c r="CC1635">
        <v>21632</v>
      </c>
      <c r="CD1635">
        <v>0</v>
      </c>
      <c r="CE1635" t="s">
        <v>3108</v>
      </c>
      <c r="CF1635" t="s">
        <v>3108</v>
      </c>
      <c r="CG1635" t="s">
        <v>3108</v>
      </c>
      <c r="CH1635" t="s">
        <v>3108</v>
      </c>
    </row>
    <row r="1636" spans="1:86" x14ac:dyDescent="0.2">
      <c r="A1636" t="s">
        <v>5608</v>
      </c>
      <c r="B1636" t="s">
        <v>5608</v>
      </c>
      <c r="C1636">
        <v>54753</v>
      </c>
      <c r="D1636">
        <v>1751</v>
      </c>
      <c r="E1636" t="s">
        <v>4326</v>
      </c>
      <c r="F1636">
        <v>2700</v>
      </c>
      <c r="G1636" t="s">
        <v>411</v>
      </c>
      <c r="H1636" t="s">
        <v>4004</v>
      </c>
      <c r="I1636" t="s">
        <v>2531</v>
      </c>
      <c r="J1636">
        <v>2701</v>
      </c>
      <c r="K1636" t="s">
        <v>2531</v>
      </c>
      <c r="L1636">
        <v>2100</v>
      </c>
      <c r="M1636" t="s">
        <v>123</v>
      </c>
      <c r="N1636">
        <v>2118</v>
      </c>
      <c r="O1636" t="s">
        <v>2409</v>
      </c>
      <c r="P1636" t="s">
        <v>3108</v>
      </c>
      <c r="Q1636" t="s">
        <v>3249</v>
      </c>
      <c r="R1636" t="s">
        <v>3249</v>
      </c>
      <c r="S1636" t="s">
        <v>810</v>
      </c>
      <c r="T1636" t="s">
        <v>2754</v>
      </c>
      <c r="U1636" t="s">
        <v>3250</v>
      </c>
      <c r="V1636" t="s">
        <v>3250</v>
      </c>
      <c r="W1636" t="s">
        <v>3250</v>
      </c>
      <c r="X1636" t="s">
        <v>3250</v>
      </c>
      <c r="Y1636" t="s">
        <v>3250</v>
      </c>
      <c r="Z1636" t="s">
        <v>3250</v>
      </c>
      <c r="AA1636" t="s">
        <v>3108</v>
      </c>
      <c r="AB1636" t="s">
        <v>3108</v>
      </c>
      <c r="AC1636" t="s">
        <v>3250</v>
      </c>
      <c r="AD1636" t="s">
        <v>3250</v>
      </c>
      <c r="AE1636" t="s">
        <v>3250</v>
      </c>
      <c r="AF1636" t="s">
        <v>3250</v>
      </c>
      <c r="AG1636" t="s">
        <v>3250</v>
      </c>
      <c r="AH1636" t="s">
        <v>3250</v>
      </c>
      <c r="AI1636" t="s">
        <v>3250</v>
      </c>
      <c r="AJ1636" t="s">
        <v>3250</v>
      </c>
      <c r="AL1636" t="s">
        <v>3250</v>
      </c>
      <c r="AM1636" t="s">
        <v>3250</v>
      </c>
      <c r="AN1636" t="s">
        <v>3250</v>
      </c>
      <c r="AO1636" t="s">
        <v>3250</v>
      </c>
      <c r="AS1636" t="s">
        <v>3250</v>
      </c>
      <c r="AT1636" t="s">
        <v>3250</v>
      </c>
      <c r="AU1636" t="s">
        <v>3250</v>
      </c>
      <c r="AV1636" t="s">
        <v>3250</v>
      </c>
      <c r="AW1636" t="s">
        <v>3250</v>
      </c>
      <c r="AX1636" t="s">
        <v>3250</v>
      </c>
      <c r="AY1636" t="s">
        <v>3250</v>
      </c>
      <c r="AZ1636" t="s">
        <v>3250</v>
      </c>
      <c r="BA1636" t="s">
        <v>3250</v>
      </c>
      <c r="BB1636" t="s">
        <v>3250</v>
      </c>
      <c r="BC1636" t="s">
        <v>3250</v>
      </c>
      <c r="BE1636" t="s">
        <v>3250</v>
      </c>
      <c r="BF1636" t="s">
        <v>3250</v>
      </c>
      <c r="BG1636" t="s">
        <v>3250</v>
      </c>
      <c r="BH1636" t="s">
        <v>3250</v>
      </c>
      <c r="BI1636" t="s">
        <v>3250</v>
      </c>
      <c r="BK1636" t="s">
        <v>3250</v>
      </c>
      <c r="BL1636" t="s">
        <v>3250</v>
      </c>
      <c r="BM1636" t="s">
        <v>3250</v>
      </c>
      <c r="BN1636" t="s">
        <v>3250</v>
      </c>
      <c r="BP1636">
        <v>4</v>
      </c>
      <c r="BQ1636">
        <v>43</v>
      </c>
      <c r="BR1636" t="s">
        <v>2409</v>
      </c>
      <c r="BS1636" t="s">
        <v>4024</v>
      </c>
      <c r="BV1636">
        <v>41739</v>
      </c>
      <c r="BW1636">
        <v>0</v>
      </c>
      <c r="BX1636">
        <v>0</v>
      </c>
      <c r="BY1636">
        <v>150000</v>
      </c>
      <c r="BZ1636">
        <v>150000</v>
      </c>
      <c r="CA1636">
        <v>260000</v>
      </c>
      <c r="CB1636">
        <v>270400</v>
      </c>
      <c r="CC1636">
        <v>281216</v>
      </c>
      <c r="CD1636">
        <v>0</v>
      </c>
      <c r="CE1636" t="s">
        <v>3108</v>
      </c>
      <c r="CF1636" t="s">
        <v>3108</v>
      </c>
      <c r="CG1636" t="s">
        <v>3108</v>
      </c>
      <c r="CH1636" t="s">
        <v>3108</v>
      </c>
    </row>
    <row r="1637" spans="1:86" x14ac:dyDescent="0.2">
      <c r="A1637" t="s">
        <v>5609</v>
      </c>
      <c r="B1637" t="s">
        <v>5609</v>
      </c>
      <c r="C1637">
        <v>54754</v>
      </c>
      <c r="D1637">
        <v>1752</v>
      </c>
      <c r="E1637" t="s">
        <v>4003</v>
      </c>
      <c r="F1637">
        <v>2700</v>
      </c>
      <c r="G1637" t="s">
        <v>411</v>
      </c>
      <c r="H1637" t="s">
        <v>4004</v>
      </c>
      <c r="I1637" t="s">
        <v>2531</v>
      </c>
      <c r="J1637">
        <v>2701</v>
      </c>
      <c r="K1637" t="s">
        <v>2531</v>
      </c>
      <c r="L1637">
        <v>2100</v>
      </c>
      <c r="M1637" t="s">
        <v>123</v>
      </c>
      <c r="N1637">
        <v>2118</v>
      </c>
      <c r="O1637" t="s">
        <v>2409</v>
      </c>
      <c r="P1637" t="s">
        <v>3108</v>
      </c>
      <c r="Q1637" t="s">
        <v>3249</v>
      </c>
      <c r="R1637" t="s">
        <v>3249</v>
      </c>
      <c r="S1637" t="s">
        <v>810</v>
      </c>
      <c r="T1637" t="s">
        <v>2754</v>
      </c>
      <c r="U1637" t="s">
        <v>3250</v>
      </c>
      <c r="V1637" t="s">
        <v>3250</v>
      </c>
      <c r="W1637" t="s">
        <v>3250</v>
      </c>
      <c r="X1637" t="s">
        <v>3250</v>
      </c>
      <c r="Y1637" t="s">
        <v>3250</v>
      </c>
      <c r="Z1637" t="s">
        <v>3250</v>
      </c>
      <c r="AA1637" t="s">
        <v>3108</v>
      </c>
      <c r="AB1637" t="s">
        <v>3108</v>
      </c>
      <c r="AC1637" t="s">
        <v>3250</v>
      </c>
      <c r="AD1637" t="s">
        <v>3250</v>
      </c>
      <c r="AE1637" t="s">
        <v>3250</v>
      </c>
      <c r="AF1637" t="s">
        <v>3250</v>
      </c>
      <c r="AG1637" t="s">
        <v>3250</v>
      </c>
      <c r="AH1637" t="s">
        <v>3250</v>
      </c>
      <c r="AI1637" t="s">
        <v>3250</v>
      </c>
      <c r="AJ1637" t="s">
        <v>3250</v>
      </c>
      <c r="AL1637" t="s">
        <v>3250</v>
      </c>
      <c r="AM1637" t="s">
        <v>3250</v>
      </c>
      <c r="AN1637" t="s">
        <v>3250</v>
      </c>
      <c r="AO1637" t="s">
        <v>3250</v>
      </c>
      <c r="AS1637" t="s">
        <v>3250</v>
      </c>
      <c r="AT1637" t="s">
        <v>3250</v>
      </c>
      <c r="AU1637" t="s">
        <v>3250</v>
      </c>
      <c r="AV1637" t="s">
        <v>3250</v>
      </c>
      <c r="AW1637" t="s">
        <v>3250</v>
      </c>
      <c r="AX1637" t="s">
        <v>3250</v>
      </c>
      <c r="AY1637" t="s">
        <v>3250</v>
      </c>
      <c r="AZ1637" t="s">
        <v>3250</v>
      </c>
      <c r="BA1637" t="s">
        <v>3250</v>
      </c>
      <c r="BB1637" t="s">
        <v>3250</v>
      </c>
      <c r="BC1637" t="s">
        <v>3250</v>
      </c>
      <c r="BE1637" t="s">
        <v>3250</v>
      </c>
      <c r="BF1637" t="s">
        <v>3250</v>
      </c>
      <c r="BG1637" t="s">
        <v>3250</v>
      </c>
      <c r="BH1637" t="s">
        <v>3250</v>
      </c>
      <c r="BI1637" t="s">
        <v>3250</v>
      </c>
      <c r="BK1637" t="s">
        <v>3250</v>
      </c>
      <c r="BL1637" t="s">
        <v>3250</v>
      </c>
      <c r="BM1637" t="s">
        <v>3250</v>
      </c>
      <c r="BN1637" t="s">
        <v>3250</v>
      </c>
      <c r="BP1637">
        <v>4</v>
      </c>
      <c r="BQ1637">
        <v>43</v>
      </c>
      <c r="BR1637" t="s">
        <v>2409</v>
      </c>
      <c r="BS1637" t="s">
        <v>4024</v>
      </c>
      <c r="BV1637">
        <v>0</v>
      </c>
      <c r="BW1637">
        <v>0</v>
      </c>
      <c r="BX1637">
        <v>0</v>
      </c>
      <c r="BY1637">
        <v>30000</v>
      </c>
      <c r="BZ1637">
        <v>30000</v>
      </c>
      <c r="CA1637">
        <v>30000</v>
      </c>
      <c r="CB1637">
        <v>31200</v>
      </c>
      <c r="CC1637">
        <v>32448</v>
      </c>
      <c r="CD1637">
        <v>0</v>
      </c>
      <c r="CE1637" t="s">
        <v>3108</v>
      </c>
      <c r="CF1637" t="s">
        <v>3108</v>
      </c>
      <c r="CG1637" t="s">
        <v>3108</v>
      </c>
      <c r="CH1637" t="s">
        <v>3108</v>
      </c>
    </row>
    <row r="1638" spans="1:86" x14ac:dyDescent="0.2">
      <c r="A1638" t="s">
        <v>5610</v>
      </c>
      <c r="B1638" t="s">
        <v>5610</v>
      </c>
      <c r="C1638">
        <v>54755</v>
      </c>
      <c r="D1638">
        <v>1753</v>
      </c>
      <c r="E1638" t="s">
        <v>4006</v>
      </c>
      <c r="F1638">
        <v>2700</v>
      </c>
      <c r="G1638" t="s">
        <v>411</v>
      </c>
      <c r="H1638" t="s">
        <v>4004</v>
      </c>
      <c r="I1638" t="s">
        <v>2531</v>
      </c>
      <c r="J1638">
        <v>2701</v>
      </c>
      <c r="K1638" t="s">
        <v>2531</v>
      </c>
      <c r="L1638">
        <v>2100</v>
      </c>
      <c r="M1638" t="s">
        <v>123</v>
      </c>
      <c r="N1638">
        <v>2118</v>
      </c>
      <c r="O1638" t="s">
        <v>2409</v>
      </c>
      <c r="P1638" t="s">
        <v>3108</v>
      </c>
      <c r="Q1638" t="s">
        <v>3249</v>
      </c>
      <c r="R1638" t="s">
        <v>3249</v>
      </c>
      <c r="S1638" t="s">
        <v>810</v>
      </c>
      <c r="T1638" t="s">
        <v>2754</v>
      </c>
      <c r="U1638" t="s">
        <v>3250</v>
      </c>
      <c r="V1638" t="s">
        <v>3250</v>
      </c>
      <c r="W1638" t="s">
        <v>3250</v>
      </c>
      <c r="X1638" t="s">
        <v>3250</v>
      </c>
      <c r="Y1638" t="s">
        <v>3250</v>
      </c>
      <c r="Z1638" t="s">
        <v>3250</v>
      </c>
      <c r="AA1638" t="s">
        <v>3108</v>
      </c>
      <c r="AB1638" t="s">
        <v>3108</v>
      </c>
      <c r="AC1638" t="s">
        <v>3250</v>
      </c>
      <c r="AD1638" t="s">
        <v>3250</v>
      </c>
      <c r="AE1638" t="s">
        <v>3250</v>
      </c>
      <c r="AF1638" t="s">
        <v>3250</v>
      </c>
      <c r="AG1638" t="s">
        <v>3250</v>
      </c>
      <c r="AH1638" t="s">
        <v>3250</v>
      </c>
      <c r="AI1638" t="s">
        <v>3250</v>
      </c>
      <c r="AJ1638" t="s">
        <v>3250</v>
      </c>
      <c r="AL1638" t="s">
        <v>3250</v>
      </c>
      <c r="AM1638" t="s">
        <v>3250</v>
      </c>
      <c r="AN1638" t="s">
        <v>3250</v>
      </c>
      <c r="AO1638" t="s">
        <v>3250</v>
      </c>
      <c r="AS1638" t="s">
        <v>3250</v>
      </c>
      <c r="AT1638" t="s">
        <v>3250</v>
      </c>
      <c r="AU1638" t="s">
        <v>3250</v>
      </c>
      <c r="AV1638" t="s">
        <v>3250</v>
      </c>
      <c r="AW1638" t="s">
        <v>3250</v>
      </c>
      <c r="AX1638" t="s">
        <v>3250</v>
      </c>
      <c r="AY1638" t="s">
        <v>3250</v>
      </c>
      <c r="AZ1638" t="s">
        <v>3250</v>
      </c>
      <c r="BA1638" t="s">
        <v>3250</v>
      </c>
      <c r="BB1638" t="s">
        <v>3250</v>
      </c>
      <c r="BC1638" t="s">
        <v>3250</v>
      </c>
      <c r="BE1638" t="s">
        <v>3250</v>
      </c>
      <c r="BF1638" t="s">
        <v>3250</v>
      </c>
      <c r="BG1638" t="s">
        <v>3250</v>
      </c>
      <c r="BH1638" t="s">
        <v>3250</v>
      </c>
      <c r="BI1638" t="s">
        <v>3250</v>
      </c>
      <c r="BK1638" t="s">
        <v>3250</v>
      </c>
      <c r="BL1638" t="s">
        <v>3250</v>
      </c>
      <c r="BM1638" t="s">
        <v>3250</v>
      </c>
      <c r="BN1638" t="s">
        <v>3250</v>
      </c>
      <c r="BP1638">
        <v>4</v>
      </c>
      <c r="BQ1638">
        <v>43</v>
      </c>
      <c r="BR1638" t="s">
        <v>2409</v>
      </c>
      <c r="BS1638" t="s">
        <v>4024</v>
      </c>
      <c r="BV1638">
        <v>7840</v>
      </c>
      <c r="BW1638">
        <v>0</v>
      </c>
      <c r="BX1638">
        <v>0</v>
      </c>
      <c r="BY1638">
        <v>30000</v>
      </c>
      <c r="BZ1638">
        <v>28935</v>
      </c>
      <c r="CA1638">
        <v>30000</v>
      </c>
      <c r="CB1638">
        <v>31200</v>
      </c>
      <c r="CC1638">
        <v>32448</v>
      </c>
      <c r="CD1638">
        <v>1065</v>
      </c>
      <c r="CE1638" t="s">
        <v>3108</v>
      </c>
      <c r="CF1638" t="s">
        <v>3108</v>
      </c>
      <c r="CG1638" t="s">
        <v>3108</v>
      </c>
      <c r="CH1638" t="s">
        <v>3108</v>
      </c>
    </row>
    <row r="1639" spans="1:86" x14ac:dyDescent="0.2">
      <c r="A1639" t="s">
        <v>5611</v>
      </c>
      <c r="B1639" t="s">
        <v>5611</v>
      </c>
      <c r="C1639">
        <v>54756</v>
      </c>
      <c r="D1639">
        <v>1754</v>
      </c>
      <c r="E1639" t="s">
        <v>3994</v>
      </c>
      <c r="F1639">
        <v>2600</v>
      </c>
      <c r="G1639" t="s">
        <v>1334</v>
      </c>
      <c r="H1639">
        <v>2600</v>
      </c>
      <c r="I1639" t="s">
        <v>1334</v>
      </c>
      <c r="J1639" t="s">
        <v>3250</v>
      </c>
      <c r="K1639" t="s">
        <v>3250</v>
      </c>
      <c r="L1639">
        <v>2100</v>
      </c>
      <c r="M1639" t="s">
        <v>123</v>
      </c>
      <c r="N1639">
        <v>2118</v>
      </c>
      <c r="O1639" t="s">
        <v>2409</v>
      </c>
      <c r="P1639" t="s">
        <v>3108</v>
      </c>
      <c r="Q1639" t="s">
        <v>3249</v>
      </c>
      <c r="R1639" t="s">
        <v>3249</v>
      </c>
      <c r="S1639" t="s">
        <v>810</v>
      </c>
      <c r="T1639" t="s">
        <v>2754</v>
      </c>
      <c r="U1639" t="s">
        <v>3250</v>
      </c>
      <c r="V1639" t="s">
        <v>3250</v>
      </c>
      <c r="W1639" t="s">
        <v>3250</v>
      </c>
      <c r="X1639" t="s">
        <v>3250</v>
      </c>
      <c r="Y1639" t="s">
        <v>3250</v>
      </c>
      <c r="Z1639" t="s">
        <v>3250</v>
      </c>
      <c r="AA1639" t="s">
        <v>3108</v>
      </c>
      <c r="AB1639" t="s">
        <v>3108</v>
      </c>
      <c r="AC1639" t="s">
        <v>3250</v>
      </c>
      <c r="AD1639" t="s">
        <v>3250</v>
      </c>
      <c r="AE1639" t="s">
        <v>3250</v>
      </c>
      <c r="AF1639" t="s">
        <v>3250</v>
      </c>
      <c r="AG1639" t="s">
        <v>3250</v>
      </c>
      <c r="AH1639" t="s">
        <v>3250</v>
      </c>
      <c r="AI1639" t="s">
        <v>3250</v>
      </c>
      <c r="AJ1639" t="s">
        <v>3250</v>
      </c>
      <c r="AL1639" t="s">
        <v>3250</v>
      </c>
      <c r="AM1639" t="s">
        <v>3250</v>
      </c>
      <c r="AN1639" t="s">
        <v>3250</v>
      </c>
      <c r="AO1639" t="s">
        <v>3250</v>
      </c>
      <c r="AS1639" t="s">
        <v>3250</v>
      </c>
      <c r="AT1639" t="s">
        <v>3250</v>
      </c>
      <c r="AU1639" t="s">
        <v>3250</v>
      </c>
      <c r="AV1639" t="s">
        <v>3250</v>
      </c>
      <c r="AW1639" t="s">
        <v>3250</v>
      </c>
      <c r="AX1639" t="s">
        <v>3250</v>
      </c>
      <c r="AY1639" t="s">
        <v>3250</v>
      </c>
      <c r="AZ1639" t="s">
        <v>3250</v>
      </c>
      <c r="BA1639" t="s">
        <v>3250</v>
      </c>
      <c r="BB1639" t="s">
        <v>3250</v>
      </c>
      <c r="BC1639" t="s">
        <v>3250</v>
      </c>
      <c r="BE1639" t="s">
        <v>3250</v>
      </c>
      <c r="BF1639" t="s">
        <v>3250</v>
      </c>
      <c r="BG1639" t="s">
        <v>3250</v>
      </c>
      <c r="BH1639" t="s">
        <v>3250</v>
      </c>
      <c r="BI1639" t="s">
        <v>3250</v>
      </c>
      <c r="BK1639" t="s">
        <v>3250</v>
      </c>
      <c r="BL1639" t="s">
        <v>3250</v>
      </c>
      <c r="BM1639" t="s">
        <v>3250</v>
      </c>
      <c r="BN1639" t="s">
        <v>3250</v>
      </c>
      <c r="BP1639">
        <v>4</v>
      </c>
      <c r="BQ1639">
        <v>43</v>
      </c>
      <c r="BR1639" t="s">
        <v>2409</v>
      </c>
      <c r="BS1639" t="s">
        <v>4024</v>
      </c>
      <c r="BV1639">
        <v>0</v>
      </c>
      <c r="BW1639">
        <v>0</v>
      </c>
      <c r="BX1639">
        <v>0</v>
      </c>
      <c r="BY1639">
        <v>80000</v>
      </c>
      <c r="BZ1639">
        <v>80000</v>
      </c>
      <c r="CA1639">
        <v>80000</v>
      </c>
      <c r="CB1639">
        <v>83200</v>
      </c>
      <c r="CC1639">
        <v>86528</v>
      </c>
      <c r="CD1639">
        <v>0</v>
      </c>
      <c r="CE1639" t="s">
        <v>3108</v>
      </c>
      <c r="CF1639" t="s">
        <v>3108</v>
      </c>
      <c r="CG1639" t="s">
        <v>3108</v>
      </c>
      <c r="CH1639" t="s">
        <v>3108</v>
      </c>
    </row>
    <row r="1640" spans="1:86" x14ac:dyDescent="0.2">
      <c r="A1640" t="s">
        <v>5612</v>
      </c>
      <c r="B1640" t="s">
        <v>5612</v>
      </c>
      <c r="C1640">
        <v>54757</v>
      </c>
      <c r="D1640">
        <v>1755</v>
      </c>
      <c r="E1640" t="s">
        <v>4031</v>
      </c>
      <c r="F1640">
        <v>2900</v>
      </c>
      <c r="G1640" t="s">
        <v>822</v>
      </c>
      <c r="H1640" t="s">
        <v>3108</v>
      </c>
      <c r="I1640" t="s">
        <v>3108</v>
      </c>
      <c r="J1640">
        <v>2904</v>
      </c>
      <c r="K1640" t="s">
        <v>1690</v>
      </c>
      <c r="L1640">
        <v>2100</v>
      </c>
      <c r="M1640" t="s">
        <v>123</v>
      </c>
      <c r="N1640">
        <v>2118</v>
      </c>
      <c r="O1640" t="s">
        <v>2409</v>
      </c>
      <c r="P1640" t="s">
        <v>3108</v>
      </c>
      <c r="Q1640" t="s">
        <v>3249</v>
      </c>
      <c r="R1640" t="s">
        <v>3249</v>
      </c>
      <c r="S1640" t="s">
        <v>810</v>
      </c>
      <c r="T1640" t="s">
        <v>2754</v>
      </c>
      <c r="U1640" t="s">
        <v>3250</v>
      </c>
      <c r="V1640" t="s">
        <v>3250</v>
      </c>
      <c r="W1640" t="s">
        <v>3250</v>
      </c>
      <c r="X1640" t="s">
        <v>3250</v>
      </c>
      <c r="Y1640" t="s">
        <v>3250</v>
      </c>
      <c r="Z1640" t="s">
        <v>3250</v>
      </c>
      <c r="AA1640" t="s">
        <v>3108</v>
      </c>
      <c r="AB1640" t="s">
        <v>3108</v>
      </c>
      <c r="AC1640" t="s">
        <v>3250</v>
      </c>
      <c r="AD1640" t="s">
        <v>3250</v>
      </c>
      <c r="AE1640" t="s">
        <v>3250</v>
      </c>
      <c r="AF1640" t="s">
        <v>3250</v>
      </c>
      <c r="AG1640" t="s">
        <v>3250</v>
      </c>
      <c r="AH1640" t="s">
        <v>3250</v>
      </c>
      <c r="AI1640" t="s">
        <v>3250</v>
      </c>
      <c r="AJ1640" t="s">
        <v>3250</v>
      </c>
      <c r="AL1640" t="s">
        <v>3250</v>
      </c>
      <c r="AM1640" t="s">
        <v>3250</v>
      </c>
      <c r="AN1640" t="s">
        <v>3250</v>
      </c>
      <c r="AO1640" t="s">
        <v>3250</v>
      </c>
      <c r="AS1640" t="s">
        <v>3250</v>
      </c>
      <c r="AT1640" t="s">
        <v>3250</v>
      </c>
      <c r="AU1640" t="s">
        <v>3250</v>
      </c>
      <c r="AV1640" t="s">
        <v>3250</v>
      </c>
      <c r="AW1640" t="s">
        <v>3250</v>
      </c>
      <c r="AX1640" t="s">
        <v>3250</v>
      </c>
      <c r="AY1640" t="s">
        <v>3250</v>
      </c>
      <c r="AZ1640" t="s">
        <v>3250</v>
      </c>
      <c r="BA1640" t="s">
        <v>3250</v>
      </c>
      <c r="BB1640" t="s">
        <v>3250</v>
      </c>
      <c r="BC1640" t="s">
        <v>3250</v>
      </c>
      <c r="BE1640" t="s">
        <v>3250</v>
      </c>
      <c r="BF1640" t="s">
        <v>3250</v>
      </c>
      <c r="BG1640" t="s">
        <v>3250</v>
      </c>
      <c r="BH1640" t="s">
        <v>3250</v>
      </c>
      <c r="BI1640" t="s">
        <v>3250</v>
      </c>
      <c r="BK1640" t="s">
        <v>3250</v>
      </c>
      <c r="BL1640" t="s">
        <v>3250</v>
      </c>
      <c r="BM1640" t="s">
        <v>3250</v>
      </c>
      <c r="BN1640" t="s">
        <v>3250</v>
      </c>
      <c r="BP1640">
        <v>4</v>
      </c>
      <c r="BQ1640">
        <v>43</v>
      </c>
      <c r="BR1640" t="s">
        <v>2409</v>
      </c>
      <c r="BS1640" t="s">
        <v>4024</v>
      </c>
      <c r="BV1640">
        <v>0</v>
      </c>
      <c r="BW1640">
        <v>0</v>
      </c>
      <c r="BX1640">
        <v>0</v>
      </c>
      <c r="BY1640">
        <v>50000</v>
      </c>
      <c r="BZ1640">
        <v>45753</v>
      </c>
      <c r="CA1640">
        <v>150000</v>
      </c>
      <c r="CB1640">
        <v>156000</v>
      </c>
      <c r="CC1640">
        <v>162240</v>
      </c>
      <c r="CD1640">
        <v>4247</v>
      </c>
      <c r="CE1640" t="s">
        <v>3108</v>
      </c>
      <c r="CF1640" t="s">
        <v>3108</v>
      </c>
      <c r="CG1640" t="s">
        <v>3108</v>
      </c>
      <c r="CH1640" t="s">
        <v>3108</v>
      </c>
    </row>
    <row r="1641" spans="1:86" x14ac:dyDescent="0.2">
      <c r="A1641" t="s">
        <v>5613</v>
      </c>
      <c r="B1641" t="s">
        <v>5613</v>
      </c>
      <c r="C1641">
        <v>54758</v>
      </c>
      <c r="D1641">
        <v>1756</v>
      </c>
      <c r="E1641" t="s">
        <v>3994</v>
      </c>
      <c r="F1641">
        <v>2600</v>
      </c>
      <c r="G1641" t="s">
        <v>1334</v>
      </c>
      <c r="H1641">
        <v>2600</v>
      </c>
      <c r="I1641" t="s">
        <v>1334</v>
      </c>
      <c r="J1641" t="s">
        <v>3250</v>
      </c>
      <c r="K1641" t="s">
        <v>3250</v>
      </c>
      <c r="L1641">
        <v>2100</v>
      </c>
      <c r="M1641" t="s">
        <v>123</v>
      </c>
      <c r="N1641">
        <v>2118</v>
      </c>
      <c r="O1641" t="s">
        <v>2409</v>
      </c>
      <c r="P1641" t="s">
        <v>3108</v>
      </c>
      <c r="Q1641" t="s">
        <v>3249</v>
      </c>
      <c r="R1641" t="s">
        <v>3249</v>
      </c>
      <c r="S1641" t="s">
        <v>810</v>
      </c>
      <c r="T1641" t="s">
        <v>2754</v>
      </c>
      <c r="U1641" t="s">
        <v>3250</v>
      </c>
      <c r="V1641" t="s">
        <v>3250</v>
      </c>
      <c r="W1641" t="s">
        <v>3250</v>
      </c>
      <c r="X1641" t="s">
        <v>3250</v>
      </c>
      <c r="Y1641" t="s">
        <v>3250</v>
      </c>
      <c r="Z1641" t="s">
        <v>3250</v>
      </c>
      <c r="AA1641" t="s">
        <v>3108</v>
      </c>
      <c r="AB1641" t="s">
        <v>3108</v>
      </c>
      <c r="AC1641" t="s">
        <v>3250</v>
      </c>
      <c r="AD1641" t="s">
        <v>3250</v>
      </c>
      <c r="AE1641" t="s">
        <v>3250</v>
      </c>
      <c r="AF1641" t="s">
        <v>3250</v>
      </c>
      <c r="AG1641" t="s">
        <v>3250</v>
      </c>
      <c r="AH1641" t="s">
        <v>3250</v>
      </c>
      <c r="AI1641" t="s">
        <v>3250</v>
      </c>
      <c r="AJ1641" t="s">
        <v>3250</v>
      </c>
      <c r="AL1641" t="s">
        <v>3250</v>
      </c>
      <c r="AM1641" t="s">
        <v>3250</v>
      </c>
      <c r="AN1641" t="s">
        <v>3250</v>
      </c>
      <c r="AO1641" t="s">
        <v>3250</v>
      </c>
      <c r="AS1641" t="s">
        <v>3250</v>
      </c>
      <c r="AT1641" t="s">
        <v>3250</v>
      </c>
      <c r="AU1641" t="s">
        <v>3250</v>
      </c>
      <c r="AV1641" t="s">
        <v>3250</v>
      </c>
      <c r="AW1641" t="s">
        <v>3250</v>
      </c>
      <c r="AX1641" t="s">
        <v>3250</v>
      </c>
      <c r="AY1641" t="s">
        <v>3250</v>
      </c>
      <c r="AZ1641" t="s">
        <v>3250</v>
      </c>
      <c r="BA1641" t="s">
        <v>3250</v>
      </c>
      <c r="BB1641" t="s">
        <v>3250</v>
      </c>
      <c r="BC1641" t="s">
        <v>3250</v>
      </c>
      <c r="BE1641" t="s">
        <v>3250</v>
      </c>
      <c r="BF1641" t="s">
        <v>3250</v>
      </c>
      <c r="BG1641" t="s">
        <v>3250</v>
      </c>
      <c r="BH1641" t="s">
        <v>3250</v>
      </c>
      <c r="BI1641" t="s">
        <v>3250</v>
      </c>
      <c r="BK1641" t="s">
        <v>3250</v>
      </c>
      <c r="BL1641" t="s">
        <v>3250</v>
      </c>
      <c r="BM1641" t="s">
        <v>3250</v>
      </c>
      <c r="BN1641" t="s">
        <v>3250</v>
      </c>
      <c r="BP1641">
        <v>4</v>
      </c>
      <c r="BQ1641">
        <v>43</v>
      </c>
      <c r="BR1641" t="s">
        <v>2409</v>
      </c>
      <c r="BS1641" t="s">
        <v>4024</v>
      </c>
      <c r="BV1641">
        <v>0</v>
      </c>
      <c r="BW1641">
        <v>0</v>
      </c>
      <c r="BX1641">
        <v>0</v>
      </c>
      <c r="BY1641">
        <v>0</v>
      </c>
      <c r="BZ1641">
        <v>0</v>
      </c>
      <c r="CA1641">
        <v>0</v>
      </c>
      <c r="CB1641">
        <v>0</v>
      </c>
      <c r="CC1641">
        <v>0</v>
      </c>
      <c r="CD1641">
        <v>0</v>
      </c>
      <c r="CE1641" t="s">
        <v>3108</v>
      </c>
      <c r="CF1641" t="s">
        <v>3108</v>
      </c>
      <c r="CG1641" t="s">
        <v>3108</v>
      </c>
      <c r="CH1641" t="s">
        <v>3108</v>
      </c>
    </row>
    <row r="1642" spans="1:86" x14ac:dyDescent="0.2">
      <c r="A1642" t="s">
        <v>5614</v>
      </c>
      <c r="B1642" t="s">
        <v>5614</v>
      </c>
      <c r="C1642">
        <v>54759</v>
      </c>
      <c r="D1642">
        <v>1757</v>
      </c>
      <c r="E1642" t="s">
        <v>4117</v>
      </c>
      <c r="F1642">
        <v>2900</v>
      </c>
      <c r="G1642" t="s">
        <v>822</v>
      </c>
      <c r="H1642" t="s">
        <v>3108</v>
      </c>
      <c r="I1642" t="s">
        <v>3108</v>
      </c>
      <c r="J1642">
        <v>2904</v>
      </c>
      <c r="K1642" t="s">
        <v>1690</v>
      </c>
      <c r="L1642">
        <v>5000</v>
      </c>
      <c r="M1642" t="s">
        <v>245</v>
      </c>
      <c r="N1642">
        <v>5004</v>
      </c>
      <c r="O1642" t="s">
        <v>2442</v>
      </c>
      <c r="P1642" t="s">
        <v>3108</v>
      </c>
      <c r="Q1642" t="s">
        <v>3249</v>
      </c>
      <c r="R1642" t="s">
        <v>3249</v>
      </c>
      <c r="S1642" t="s">
        <v>810</v>
      </c>
      <c r="T1642" t="s">
        <v>2754</v>
      </c>
      <c r="U1642" t="s">
        <v>3250</v>
      </c>
      <c r="V1642" t="s">
        <v>3250</v>
      </c>
      <c r="W1642" t="s">
        <v>3250</v>
      </c>
      <c r="X1642" t="s">
        <v>3250</v>
      </c>
      <c r="Y1642" t="s">
        <v>3250</v>
      </c>
      <c r="Z1642" t="s">
        <v>3250</v>
      </c>
      <c r="AA1642" t="s">
        <v>3108</v>
      </c>
      <c r="AB1642" t="s">
        <v>3108</v>
      </c>
      <c r="AC1642" t="s">
        <v>3250</v>
      </c>
      <c r="AD1642" t="s">
        <v>3250</v>
      </c>
      <c r="AE1642" t="s">
        <v>3250</v>
      </c>
      <c r="AF1642" t="s">
        <v>3250</v>
      </c>
      <c r="AG1642" t="s">
        <v>3250</v>
      </c>
      <c r="AH1642" t="s">
        <v>3250</v>
      </c>
      <c r="AI1642" t="s">
        <v>3250</v>
      </c>
      <c r="AJ1642" t="s">
        <v>3250</v>
      </c>
      <c r="AL1642" t="s">
        <v>3250</v>
      </c>
      <c r="AM1642" t="s">
        <v>3250</v>
      </c>
      <c r="AN1642" t="s">
        <v>3250</v>
      </c>
      <c r="AO1642" t="s">
        <v>3250</v>
      </c>
      <c r="AS1642" t="s">
        <v>3250</v>
      </c>
      <c r="AT1642" t="s">
        <v>3250</v>
      </c>
      <c r="AU1642" t="s">
        <v>3250</v>
      </c>
      <c r="AV1642" t="s">
        <v>3250</v>
      </c>
      <c r="AW1642" t="s">
        <v>3250</v>
      </c>
      <c r="AX1642" t="s">
        <v>3250</v>
      </c>
      <c r="AY1642" t="s">
        <v>3250</v>
      </c>
      <c r="AZ1642" t="s">
        <v>3250</v>
      </c>
      <c r="BA1642" t="s">
        <v>3250</v>
      </c>
      <c r="BB1642" t="s">
        <v>3250</v>
      </c>
      <c r="BC1642" t="s">
        <v>3250</v>
      </c>
      <c r="BE1642" t="s">
        <v>3250</v>
      </c>
      <c r="BF1642" t="s">
        <v>3250</v>
      </c>
      <c r="BG1642" t="s">
        <v>3250</v>
      </c>
      <c r="BH1642" t="s">
        <v>3250</v>
      </c>
      <c r="BI1642" t="s">
        <v>3250</v>
      </c>
      <c r="BK1642" t="s">
        <v>3250</v>
      </c>
      <c r="BL1642" t="s">
        <v>3250</v>
      </c>
      <c r="BM1642" t="s">
        <v>3250</v>
      </c>
      <c r="BN1642" t="s">
        <v>3250</v>
      </c>
      <c r="BP1642">
        <v>11</v>
      </c>
      <c r="BQ1642">
        <v>111</v>
      </c>
      <c r="BR1642" t="s">
        <v>2442</v>
      </c>
      <c r="BS1642" t="s">
        <v>245</v>
      </c>
      <c r="BV1642">
        <v>0</v>
      </c>
      <c r="BW1642">
        <v>0</v>
      </c>
      <c r="BX1642">
        <v>0</v>
      </c>
      <c r="BY1642">
        <v>62316</v>
      </c>
      <c r="BZ1642">
        <v>62316</v>
      </c>
      <c r="CA1642">
        <v>64746</v>
      </c>
      <c r="CB1642">
        <v>67336</v>
      </c>
      <c r="CC1642">
        <v>70030</v>
      </c>
      <c r="CD1642">
        <v>0</v>
      </c>
      <c r="CE1642" t="s">
        <v>3108</v>
      </c>
      <c r="CF1642" t="s">
        <v>3108</v>
      </c>
      <c r="CG1642" t="s">
        <v>3108</v>
      </c>
      <c r="CH1642" t="s">
        <v>3108</v>
      </c>
    </row>
    <row r="1643" spans="1:86" x14ac:dyDescent="0.2">
      <c r="A1643" t="s">
        <v>5615</v>
      </c>
      <c r="B1643" t="s">
        <v>5615</v>
      </c>
      <c r="C1643">
        <v>54760</v>
      </c>
      <c r="D1643">
        <v>1758</v>
      </c>
      <c r="E1643" t="s">
        <v>4250</v>
      </c>
      <c r="F1643" t="s">
        <v>3249</v>
      </c>
      <c r="G1643" t="s">
        <v>3249</v>
      </c>
      <c r="H1643" t="s">
        <v>3250</v>
      </c>
      <c r="I1643" t="s">
        <v>3250</v>
      </c>
      <c r="J1643" t="s">
        <v>3250</v>
      </c>
      <c r="K1643" t="s">
        <v>3250</v>
      </c>
      <c r="L1643">
        <v>2100</v>
      </c>
      <c r="M1643" t="s">
        <v>123</v>
      </c>
      <c r="N1643">
        <v>2106</v>
      </c>
      <c r="O1643" t="s">
        <v>2399</v>
      </c>
      <c r="P1643" t="s">
        <v>2805</v>
      </c>
      <c r="Q1643">
        <v>2010</v>
      </c>
      <c r="R1643" t="s">
        <v>1355</v>
      </c>
      <c r="S1643" t="s">
        <v>427</v>
      </c>
      <c r="T1643" t="s">
        <v>3251</v>
      </c>
      <c r="U1643">
        <v>240</v>
      </c>
      <c r="V1643" t="s">
        <v>4251</v>
      </c>
      <c r="W1643">
        <v>240</v>
      </c>
      <c r="X1643" t="s">
        <v>1323</v>
      </c>
      <c r="Y1643" t="s">
        <v>3250</v>
      </c>
      <c r="Z1643" t="s">
        <v>3250</v>
      </c>
      <c r="AA1643" t="s">
        <v>3108</v>
      </c>
      <c r="AB1643" t="s">
        <v>3108</v>
      </c>
      <c r="AC1643" t="s">
        <v>3250</v>
      </c>
      <c r="AD1643" t="s">
        <v>3250</v>
      </c>
      <c r="AE1643" t="s">
        <v>3250</v>
      </c>
      <c r="AF1643" t="s">
        <v>3250</v>
      </c>
      <c r="AG1643" t="s">
        <v>3250</v>
      </c>
      <c r="AH1643" t="s">
        <v>3250</v>
      </c>
      <c r="AI1643" t="s">
        <v>3250</v>
      </c>
      <c r="AJ1643" t="s">
        <v>3250</v>
      </c>
      <c r="AK1643">
        <v>770</v>
      </c>
      <c r="AL1643">
        <v>241</v>
      </c>
      <c r="AM1643" t="s">
        <v>1455</v>
      </c>
      <c r="AN1643">
        <v>241</v>
      </c>
      <c r="AO1643" t="s">
        <v>1455</v>
      </c>
      <c r="AS1643">
        <v>790</v>
      </c>
      <c r="AT1643">
        <v>790</v>
      </c>
      <c r="AU1643" t="s">
        <v>2284</v>
      </c>
      <c r="AV1643" t="s">
        <v>2284</v>
      </c>
      <c r="AW1643" t="s">
        <v>3250</v>
      </c>
      <c r="AX1643" t="s">
        <v>3250</v>
      </c>
      <c r="AY1643" t="s">
        <v>3250</v>
      </c>
      <c r="AZ1643" t="s">
        <v>3250</v>
      </c>
      <c r="BA1643" t="s">
        <v>3250</v>
      </c>
      <c r="BB1643" t="s">
        <v>3250</v>
      </c>
      <c r="BC1643" t="s">
        <v>3250</v>
      </c>
      <c r="BE1643" t="s">
        <v>3250</v>
      </c>
      <c r="BF1643" t="s">
        <v>3250</v>
      </c>
      <c r="BG1643" t="s">
        <v>3250</v>
      </c>
      <c r="BH1643" t="s">
        <v>3250</v>
      </c>
      <c r="BI1643" t="s">
        <v>3250</v>
      </c>
      <c r="BK1643" t="s">
        <v>3250</v>
      </c>
      <c r="BL1643" t="s">
        <v>3250</v>
      </c>
      <c r="BM1643" t="s">
        <v>3250</v>
      </c>
      <c r="BN1643" t="s">
        <v>3250</v>
      </c>
      <c r="BP1643">
        <v>5</v>
      </c>
      <c r="BQ1643">
        <v>53</v>
      </c>
      <c r="BR1643" t="s">
        <v>2399</v>
      </c>
      <c r="BS1643" t="s">
        <v>4136</v>
      </c>
      <c r="BV1643">
        <v>5389657</v>
      </c>
      <c r="BW1643">
        <v>424734</v>
      </c>
      <c r="BX1643">
        <v>0</v>
      </c>
      <c r="BY1643">
        <v>1529393</v>
      </c>
      <c r="BZ1643">
        <v>1529393</v>
      </c>
      <c r="CA1643">
        <v>0</v>
      </c>
      <c r="CB1643">
        <v>0</v>
      </c>
      <c r="CC1643">
        <v>0</v>
      </c>
      <c r="CD1643">
        <v>6708634</v>
      </c>
      <c r="CE1643" t="s">
        <v>3108</v>
      </c>
      <c r="CF1643" t="s">
        <v>3108</v>
      </c>
      <c r="CG1643" t="s">
        <v>3108</v>
      </c>
      <c r="CH1643" t="s">
        <v>3108</v>
      </c>
    </row>
    <row r="1644" spans="1:86" x14ac:dyDescent="0.2">
      <c r="A1644" t="s">
        <v>5616</v>
      </c>
      <c r="B1644" t="s">
        <v>5616</v>
      </c>
      <c r="C1644">
        <v>54761</v>
      </c>
      <c r="D1644">
        <v>1759</v>
      </c>
      <c r="E1644" t="s">
        <v>3994</v>
      </c>
      <c r="F1644">
        <v>2600</v>
      </c>
      <c r="G1644" t="s">
        <v>1334</v>
      </c>
      <c r="H1644">
        <v>2600</v>
      </c>
      <c r="I1644" t="s">
        <v>1334</v>
      </c>
      <c r="J1644" t="s">
        <v>3250</v>
      </c>
      <c r="K1644" t="s">
        <v>3250</v>
      </c>
      <c r="L1644">
        <v>2100</v>
      </c>
      <c r="M1644" t="s">
        <v>123</v>
      </c>
      <c r="N1644">
        <v>2118</v>
      </c>
      <c r="O1644" t="s">
        <v>2409</v>
      </c>
      <c r="P1644" t="s">
        <v>3108</v>
      </c>
      <c r="Q1644" t="s">
        <v>3249</v>
      </c>
      <c r="R1644" t="s">
        <v>3249</v>
      </c>
      <c r="S1644" t="s">
        <v>810</v>
      </c>
      <c r="T1644" t="s">
        <v>2754</v>
      </c>
      <c r="U1644" t="s">
        <v>3250</v>
      </c>
      <c r="V1644" t="s">
        <v>3250</v>
      </c>
      <c r="W1644" t="s">
        <v>3250</v>
      </c>
      <c r="X1644" t="s">
        <v>3250</v>
      </c>
      <c r="Y1644" t="s">
        <v>3250</v>
      </c>
      <c r="Z1644" t="s">
        <v>3250</v>
      </c>
      <c r="AA1644" t="s">
        <v>3108</v>
      </c>
      <c r="AB1644" t="s">
        <v>3108</v>
      </c>
      <c r="AC1644" t="s">
        <v>3250</v>
      </c>
      <c r="AD1644" t="s">
        <v>3250</v>
      </c>
      <c r="AE1644" t="s">
        <v>3250</v>
      </c>
      <c r="AF1644" t="s">
        <v>3250</v>
      </c>
      <c r="AG1644" t="s">
        <v>3250</v>
      </c>
      <c r="AH1644" t="s">
        <v>3250</v>
      </c>
      <c r="AI1644" t="s">
        <v>3250</v>
      </c>
      <c r="AJ1644" t="s">
        <v>3250</v>
      </c>
      <c r="AL1644" t="s">
        <v>3250</v>
      </c>
      <c r="AM1644" t="s">
        <v>3250</v>
      </c>
      <c r="AN1644" t="s">
        <v>3250</v>
      </c>
      <c r="AO1644" t="s">
        <v>3250</v>
      </c>
      <c r="AS1644" t="s">
        <v>3250</v>
      </c>
      <c r="AT1644" t="s">
        <v>3250</v>
      </c>
      <c r="AU1644" t="s">
        <v>3250</v>
      </c>
      <c r="AV1644" t="s">
        <v>3250</v>
      </c>
      <c r="AW1644" t="s">
        <v>3250</v>
      </c>
      <c r="AX1644" t="s">
        <v>3250</v>
      </c>
      <c r="AY1644" t="s">
        <v>3250</v>
      </c>
      <c r="AZ1644" t="s">
        <v>3250</v>
      </c>
      <c r="BA1644" t="s">
        <v>3250</v>
      </c>
      <c r="BB1644" t="s">
        <v>3250</v>
      </c>
      <c r="BC1644" t="s">
        <v>3250</v>
      </c>
      <c r="BE1644" t="s">
        <v>3250</v>
      </c>
      <c r="BF1644" t="s">
        <v>3250</v>
      </c>
      <c r="BG1644" t="s">
        <v>3250</v>
      </c>
      <c r="BH1644" t="s">
        <v>3250</v>
      </c>
      <c r="BI1644" t="s">
        <v>3250</v>
      </c>
      <c r="BK1644" t="s">
        <v>3250</v>
      </c>
      <c r="BL1644" t="s">
        <v>3250</v>
      </c>
      <c r="BM1644" t="s">
        <v>3250</v>
      </c>
      <c r="BN1644" t="s">
        <v>3250</v>
      </c>
      <c r="BP1644">
        <v>4</v>
      </c>
      <c r="BQ1644">
        <v>43</v>
      </c>
      <c r="BR1644" t="s">
        <v>2409</v>
      </c>
      <c r="BS1644" t="s">
        <v>4024</v>
      </c>
      <c r="BV1644">
        <v>0</v>
      </c>
      <c r="BW1644">
        <v>0</v>
      </c>
      <c r="BX1644">
        <v>0</v>
      </c>
      <c r="BY1644">
        <v>20000</v>
      </c>
      <c r="BZ1644">
        <v>0</v>
      </c>
      <c r="CA1644">
        <v>120000</v>
      </c>
      <c r="CB1644">
        <v>124800</v>
      </c>
      <c r="CC1644">
        <v>129792</v>
      </c>
      <c r="CD1644">
        <v>0</v>
      </c>
      <c r="CE1644" t="s">
        <v>3108</v>
      </c>
      <c r="CF1644" t="s">
        <v>3108</v>
      </c>
      <c r="CG1644" t="s">
        <v>3108</v>
      </c>
      <c r="CH1644" t="s">
        <v>3108</v>
      </c>
    </row>
    <row r="1645" spans="1:86" x14ac:dyDescent="0.2">
      <c r="A1645" t="s">
        <v>5617</v>
      </c>
      <c r="B1645" t="s">
        <v>5617</v>
      </c>
      <c r="C1645">
        <v>54762</v>
      </c>
      <c r="D1645">
        <v>1760</v>
      </c>
      <c r="E1645" t="s">
        <v>4566</v>
      </c>
      <c r="F1645">
        <v>1500</v>
      </c>
      <c r="G1645" t="s">
        <v>2342</v>
      </c>
      <c r="H1645">
        <v>1500</v>
      </c>
      <c r="I1645" t="s">
        <v>2342</v>
      </c>
      <c r="J1645" t="s">
        <v>3250</v>
      </c>
      <c r="K1645" t="s">
        <v>3250</v>
      </c>
      <c r="L1645">
        <v>2100</v>
      </c>
      <c r="M1645" t="s">
        <v>123</v>
      </c>
      <c r="N1645">
        <v>2114</v>
      </c>
      <c r="O1645" t="s">
        <v>1444</v>
      </c>
      <c r="P1645" t="s">
        <v>3108</v>
      </c>
      <c r="Q1645" t="s">
        <v>3249</v>
      </c>
      <c r="R1645" t="s">
        <v>3249</v>
      </c>
      <c r="S1645" t="s">
        <v>472</v>
      </c>
      <c r="T1645" t="s">
        <v>2759</v>
      </c>
      <c r="U1645" t="s">
        <v>3250</v>
      </c>
      <c r="V1645" t="s">
        <v>3250</v>
      </c>
      <c r="W1645" t="s">
        <v>3250</v>
      </c>
      <c r="X1645" t="s">
        <v>3250</v>
      </c>
      <c r="Y1645" t="s">
        <v>3250</v>
      </c>
      <c r="Z1645" t="s">
        <v>3250</v>
      </c>
      <c r="AA1645" t="s">
        <v>3108</v>
      </c>
      <c r="AB1645" t="s">
        <v>3108</v>
      </c>
      <c r="AC1645" t="s">
        <v>3250</v>
      </c>
      <c r="AD1645" t="s">
        <v>3250</v>
      </c>
      <c r="AE1645" t="s">
        <v>3250</v>
      </c>
      <c r="AF1645" t="s">
        <v>3250</v>
      </c>
      <c r="AG1645" t="s">
        <v>3250</v>
      </c>
      <c r="AH1645" t="s">
        <v>3250</v>
      </c>
      <c r="AI1645" t="s">
        <v>3250</v>
      </c>
      <c r="AJ1645" t="s">
        <v>3250</v>
      </c>
      <c r="AL1645" t="s">
        <v>3250</v>
      </c>
      <c r="AM1645" t="s">
        <v>3250</v>
      </c>
      <c r="AN1645" t="s">
        <v>3250</v>
      </c>
      <c r="AO1645" t="s">
        <v>3250</v>
      </c>
      <c r="AS1645" t="s">
        <v>3250</v>
      </c>
      <c r="AT1645" t="s">
        <v>3250</v>
      </c>
      <c r="AU1645" t="s">
        <v>3250</v>
      </c>
      <c r="AV1645" t="s">
        <v>3250</v>
      </c>
      <c r="AW1645" t="s">
        <v>3250</v>
      </c>
      <c r="AX1645" t="s">
        <v>3250</v>
      </c>
      <c r="AY1645" t="s">
        <v>3250</v>
      </c>
      <c r="AZ1645" t="s">
        <v>3250</v>
      </c>
      <c r="BA1645" t="s">
        <v>3250</v>
      </c>
      <c r="BB1645" t="s">
        <v>3250</v>
      </c>
      <c r="BC1645" t="s">
        <v>3250</v>
      </c>
      <c r="BE1645" t="s">
        <v>3250</v>
      </c>
      <c r="BF1645" t="s">
        <v>3250</v>
      </c>
      <c r="BG1645" t="s">
        <v>3250</v>
      </c>
      <c r="BH1645" t="s">
        <v>3250</v>
      </c>
      <c r="BI1645" t="s">
        <v>3250</v>
      </c>
      <c r="BK1645" t="s">
        <v>3250</v>
      </c>
      <c r="BL1645" t="s">
        <v>3250</v>
      </c>
      <c r="BM1645" t="s">
        <v>3250</v>
      </c>
      <c r="BN1645" t="s">
        <v>3250</v>
      </c>
      <c r="BP1645">
        <v>4</v>
      </c>
      <c r="BQ1645">
        <v>42</v>
      </c>
      <c r="BR1645" t="s">
        <v>1444</v>
      </c>
      <c r="BS1645" t="s">
        <v>4024</v>
      </c>
      <c r="BV1645">
        <v>0</v>
      </c>
      <c r="BW1645">
        <v>0</v>
      </c>
      <c r="BX1645">
        <v>0</v>
      </c>
      <c r="BY1645">
        <v>0</v>
      </c>
      <c r="BZ1645">
        <v>0</v>
      </c>
      <c r="CA1645">
        <v>-935000</v>
      </c>
      <c r="CB1645">
        <v>-935000</v>
      </c>
      <c r="CC1645">
        <v>-935000</v>
      </c>
      <c r="CD1645">
        <v>0</v>
      </c>
      <c r="CE1645" t="s">
        <v>3108</v>
      </c>
      <c r="CF1645" t="s">
        <v>3108</v>
      </c>
      <c r="CG1645" t="s">
        <v>3108</v>
      </c>
      <c r="CH1645" t="s">
        <v>3108</v>
      </c>
    </row>
    <row r="1646" spans="1:86" x14ac:dyDescent="0.2">
      <c r="A1646" t="s">
        <v>5618</v>
      </c>
      <c r="B1646" t="s">
        <v>5618</v>
      </c>
      <c r="C1646">
        <v>54763</v>
      </c>
      <c r="D1646">
        <v>1761</v>
      </c>
      <c r="E1646" t="s">
        <v>5619</v>
      </c>
      <c r="F1646">
        <v>2900</v>
      </c>
      <c r="G1646" t="s">
        <v>822</v>
      </c>
      <c r="H1646" t="s">
        <v>3108</v>
      </c>
      <c r="I1646" t="s">
        <v>3108</v>
      </c>
      <c r="J1646">
        <v>2904</v>
      </c>
      <c r="K1646" t="s">
        <v>1690</v>
      </c>
      <c r="L1646">
        <v>5000</v>
      </c>
      <c r="M1646" t="s">
        <v>245</v>
      </c>
      <c r="N1646">
        <v>5004</v>
      </c>
      <c r="O1646" t="s">
        <v>2442</v>
      </c>
      <c r="P1646" t="s">
        <v>3108</v>
      </c>
      <c r="Q1646" t="s">
        <v>3249</v>
      </c>
      <c r="R1646" t="s">
        <v>3249</v>
      </c>
      <c r="S1646" t="s">
        <v>810</v>
      </c>
      <c r="T1646" t="s">
        <v>2754</v>
      </c>
      <c r="U1646" t="s">
        <v>3250</v>
      </c>
      <c r="V1646" t="s">
        <v>3250</v>
      </c>
      <c r="W1646" t="s">
        <v>3250</v>
      </c>
      <c r="X1646" t="s">
        <v>3250</v>
      </c>
      <c r="Y1646" t="s">
        <v>3250</v>
      </c>
      <c r="Z1646" t="s">
        <v>3250</v>
      </c>
      <c r="AA1646" t="s">
        <v>3108</v>
      </c>
      <c r="AB1646" t="s">
        <v>3108</v>
      </c>
      <c r="AC1646" t="s">
        <v>3250</v>
      </c>
      <c r="AD1646" t="s">
        <v>3250</v>
      </c>
      <c r="AE1646" t="s">
        <v>3250</v>
      </c>
      <c r="AF1646" t="s">
        <v>3250</v>
      </c>
      <c r="AG1646" t="s">
        <v>3250</v>
      </c>
      <c r="AH1646" t="s">
        <v>3250</v>
      </c>
      <c r="AI1646" t="s">
        <v>3250</v>
      </c>
      <c r="AJ1646" t="s">
        <v>3250</v>
      </c>
      <c r="AL1646" t="s">
        <v>3250</v>
      </c>
      <c r="AM1646" t="s">
        <v>3250</v>
      </c>
      <c r="AN1646" t="s">
        <v>3250</v>
      </c>
      <c r="AO1646" t="s">
        <v>3250</v>
      </c>
      <c r="AS1646" t="s">
        <v>3250</v>
      </c>
      <c r="AT1646" t="s">
        <v>3250</v>
      </c>
      <c r="AU1646" t="s">
        <v>3250</v>
      </c>
      <c r="AV1646" t="s">
        <v>3250</v>
      </c>
      <c r="AW1646" t="s">
        <v>3250</v>
      </c>
      <c r="AX1646" t="s">
        <v>3250</v>
      </c>
      <c r="AY1646" t="s">
        <v>3250</v>
      </c>
      <c r="AZ1646" t="s">
        <v>3250</v>
      </c>
      <c r="BA1646" t="s">
        <v>3250</v>
      </c>
      <c r="BB1646" t="s">
        <v>3250</v>
      </c>
      <c r="BC1646" t="s">
        <v>3250</v>
      </c>
      <c r="BE1646" t="s">
        <v>3250</v>
      </c>
      <c r="BF1646" t="s">
        <v>3250</v>
      </c>
      <c r="BG1646" t="s">
        <v>3250</v>
      </c>
      <c r="BH1646" t="s">
        <v>3250</v>
      </c>
      <c r="BI1646" t="s">
        <v>3250</v>
      </c>
      <c r="BK1646" t="s">
        <v>3250</v>
      </c>
      <c r="BL1646" t="s">
        <v>3250</v>
      </c>
      <c r="BM1646" t="s">
        <v>3250</v>
      </c>
      <c r="BN1646" t="s">
        <v>3250</v>
      </c>
      <c r="BP1646">
        <v>11</v>
      </c>
      <c r="BQ1646">
        <v>111</v>
      </c>
      <c r="BR1646" t="s">
        <v>2442</v>
      </c>
      <c r="BS1646" t="s">
        <v>245</v>
      </c>
      <c r="BV1646">
        <v>0</v>
      </c>
      <c r="BW1646">
        <v>0</v>
      </c>
      <c r="BX1646">
        <v>0</v>
      </c>
      <c r="BY1646">
        <v>400000</v>
      </c>
      <c r="BZ1646">
        <v>400000</v>
      </c>
      <c r="CA1646">
        <v>415600</v>
      </c>
      <c r="CB1646">
        <v>432224</v>
      </c>
      <c r="CC1646">
        <v>449513</v>
      </c>
      <c r="CD1646">
        <v>0</v>
      </c>
      <c r="CE1646" t="s">
        <v>3108</v>
      </c>
      <c r="CF1646" t="s">
        <v>3108</v>
      </c>
      <c r="CG1646" t="s">
        <v>3108</v>
      </c>
      <c r="CH1646" t="s">
        <v>3108</v>
      </c>
    </row>
    <row r="1647" spans="1:86" x14ac:dyDescent="0.2">
      <c r="A1647" t="s">
        <v>5620</v>
      </c>
      <c r="B1647" t="s">
        <v>5620</v>
      </c>
      <c r="C1647">
        <v>54764</v>
      </c>
      <c r="D1647">
        <v>1762</v>
      </c>
      <c r="E1647" t="s">
        <v>5621</v>
      </c>
      <c r="F1647" t="s">
        <v>3249</v>
      </c>
      <c r="G1647" t="s">
        <v>3249</v>
      </c>
      <c r="H1647" t="s">
        <v>3250</v>
      </c>
      <c r="I1647" t="s">
        <v>3250</v>
      </c>
      <c r="J1647" t="s">
        <v>3250</v>
      </c>
      <c r="K1647" t="s">
        <v>3250</v>
      </c>
      <c r="L1647">
        <v>1200</v>
      </c>
      <c r="M1647" t="s">
        <v>2368</v>
      </c>
      <c r="N1647">
        <v>1202</v>
      </c>
      <c r="O1647" t="s">
        <v>2371</v>
      </c>
      <c r="P1647" t="s">
        <v>2805</v>
      </c>
      <c r="Q1647" t="s">
        <v>3249</v>
      </c>
      <c r="R1647" t="s">
        <v>3249</v>
      </c>
      <c r="S1647" t="s">
        <v>427</v>
      </c>
      <c r="T1647" t="s">
        <v>3251</v>
      </c>
      <c r="U1647">
        <v>280</v>
      </c>
      <c r="V1647" t="s">
        <v>5622</v>
      </c>
      <c r="W1647">
        <v>280</v>
      </c>
      <c r="X1647" t="s">
        <v>5623</v>
      </c>
      <c r="Y1647" t="s">
        <v>3250</v>
      </c>
      <c r="Z1647" t="s">
        <v>3250</v>
      </c>
      <c r="AA1647" t="s">
        <v>3108</v>
      </c>
      <c r="AB1647" t="s">
        <v>3108</v>
      </c>
      <c r="AC1647" t="s">
        <v>3250</v>
      </c>
      <c r="AD1647" t="s">
        <v>3250</v>
      </c>
      <c r="AE1647" t="s">
        <v>3250</v>
      </c>
      <c r="AF1647" t="s">
        <v>3250</v>
      </c>
      <c r="AG1647">
        <v>1050</v>
      </c>
      <c r="AH1647" t="s">
        <v>1733</v>
      </c>
      <c r="AI1647">
        <v>1050</v>
      </c>
      <c r="AJ1647" t="s">
        <v>1733</v>
      </c>
      <c r="AL1647" t="s">
        <v>3250</v>
      </c>
      <c r="AM1647" t="s">
        <v>3250</v>
      </c>
      <c r="AN1647" t="s">
        <v>3250</v>
      </c>
      <c r="AO1647" t="s">
        <v>3250</v>
      </c>
      <c r="AS1647">
        <v>1360</v>
      </c>
      <c r="AT1647">
        <v>1360</v>
      </c>
      <c r="AU1647" t="s">
        <v>2322</v>
      </c>
      <c r="AV1647" t="s">
        <v>2322</v>
      </c>
      <c r="AW1647" t="s">
        <v>3250</v>
      </c>
      <c r="AX1647" t="s">
        <v>3250</v>
      </c>
      <c r="AY1647" t="s">
        <v>3250</v>
      </c>
      <c r="AZ1647" t="s">
        <v>3250</v>
      </c>
      <c r="BA1647" t="s">
        <v>3250</v>
      </c>
      <c r="BB1647" t="s">
        <v>3250</v>
      </c>
      <c r="BC1647" t="s">
        <v>3250</v>
      </c>
      <c r="BE1647" t="s">
        <v>3250</v>
      </c>
      <c r="BF1647" t="s">
        <v>3250</v>
      </c>
      <c r="BG1647" t="s">
        <v>3250</v>
      </c>
      <c r="BH1647" t="s">
        <v>3250</v>
      </c>
      <c r="BI1647" t="s">
        <v>3250</v>
      </c>
      <c r="BK1647" t="s">
        <v>3250</v>
      </c>
      <c r="BL1647" t="s">
        <v>3250</v>
      </c>
      <c r="BM1647" t="s">
        <v>3250</v>
      </c>
      <c r="BN1647" t="s">
        <v>3250</v>
      </c>
      <c r="BP1647">
        <v>1</v>
      </c>
      <c r="BQ1647">
        <v>13</v>
      </c>
      <c r="BR1647" t="s">
        <v>2371</v>
      </c>
      <c r="BS1647" t="s">
        <v>3252</v>
      </c>
      <c r="BV1647">
        <v>0</v>
      </c>
      <c r="BW1647">
        <v>0</v>
      </c>
      <c r="BX1647">
        <v>0</v>
      </c>
      <c r="BY1647">
        <v>0</v>
      </c>
      <c r="BZ1647">
        <v>0</v>
      </c>
      <c r="CA1647">
        <v>0</v>
      </c>
      <c r="CB1647">
        <v>0</v>
      </c>
      <c r="CC1647">
        <v>0</v>
      </c>
      <c r="CD1647">
        <v>0</v>
      </c>
      <c r="CE1647" t="s">
        <v>3108</v>
      </c>
      <c r="CF1647" t="s">
        <v>3108</v>
      </c>
      <c r="CG1647" t="s">
        <v>3108</v>
      </c>
      <c r="CH1647" t="s">
        <v>3108</v>
      </c>
    </row>
    <row r="1648" spans="1:86" x14ac:dyDescent="0.2">
      <c r="A1648" t="s">
        <v>5624</v>
      </c>
      <c r="B1648" t="s">
        <v>5624</v>
      </c>
      <c r="C1648">
        <v>54765</v>
      </c>
      <c r="D1648">
        <v>1763</v>
      </c>
      <c r="E1648" t="s">
        <v>5625</v>
      </c>
      <c r="F1648" t="s">
        <v>3249</v>
      </c>
      <c r="G1648" t="s">
        <v>3249</v>
      </c>
      <c r="H1648" t="s">
        <v>3250</v>
      </c>
      <c r="I1648" t="s">
        <v>3250</v>
      </c>
      <c r="J1648" t="s">
        <v>3250</v>
      </c>
      <c r="K1648" t="s">
        <v>3250</v>
      </c>
      <c r="L1648">
        <v>1200</v>
      </c>
      <c r="M1648" t="s">
        <v>2368</v>
      </c>
      <c r="N1648">
        <v>1202</v>
      </c>
      <c r="O1648" t="s">
        <v>2371</v>
      </c>
      <c r="P1648" t="s">
        <v>2805</v>
      </c>
      <c r="Q1648" t="s">
        <v>3249</v>
      </c>
      <c r="R1648" t="s">
        <v>3249</v>
      </c>
      <c r="S1648" t="s">
        <v>427</v>
      </c>
      <c r="T1648" t="s">
        <v>3251</v>
      </c>
      <c r="U1648">
        <v>260</v>
      </c>
      <c r="V1648" t="s">
        <v>5626</v>
      </c>
      <c r="W1648">
        <v>260</v>
      </c>
      <c r="X1648" t="s">
        <v>813</v>
      </c>
      <c r="Y1648" t="s">
        <v>3250</v>
      </c>
      <c r="Z1648" t="s">
        <v>3250</v>
      </c>
      <c r="AA1648" t="s">
        <v>3108</v>
      </c>
      <c r="AB1648" t="s">
        <v>3108</v>
      </c>
      <c r="AC1648" t="s">
        <v>3250</v>
      </c>
      <c r="AD1648" t="s">
        <v>3250</v>
      </c>
      <c r="AE1648" t="s">
        <v>3250</v>
      </c>
      <c r="AF1648" t="s">
        <v>3250</v>
      </c>
      <c r="AG1648">
        <v>1360</v>
      </c>
      <c r="AH1648" t="s">
        <v>2322</v>
      </c>
      <c r="AI1648">
        <v>1360</v>
      </c>
      <c r="AJ1648" t="s">
        <v>2322</v>
      </c>
      <c r="AL1648" t="s">
        <v>3250</v>
      </c>
      <c r="AM1648" t="s">
        <v>3250</v>
      </c>
      <c r="AN1648" t="s">
        <v>3250</v>
      </c>
      <c r="AO1648" t="s">
        <v>3250</v>
      </c>
      <c r="AS1648">
        <v>1360</v>
      </c>
      <c r="AT1648">
        <v>1360</v>
      </c>
      <c r="AU1648" t="s">
        <v>2322</v>
      </c>
      <c r="AV1648" t="s">
        <v>2322</v>
      </c>
      <c r="AW1648" t="s">
        <v>3250</v>
      </c>
      <c r="AX1648" t="s">
        <v>3250</v>
      </c>
      <c r="AY1648" t="s">
        <v>3250</v>
      </c>
      <c r="AZ1648" t="s">
        <v>3250</v>
      </c>
      <c r="BA1648" t="s">
        <v>3250</v>
      </c>
      <c r="BB1648" t="s">
        <v>3250</v>
      </c>
      <c r="BC1648" t="s">
        <v>3250</v>
      </c>
      <c r="BE1648" t="s">
        <v>3250</v>
      </c>
      <c r="BF1648" t="s">
        <v>3250</v>
      </c>
      <c r="BG1648" t="s">
        <v>3250</v>
      </c>
      <c r="BH1648" t="s">
        <v>3250</v>
      </c>
      <c r="BI1648" t="s">
        <v>3250</v>
      </c>
      <c r="BK1648" t="s">
        <v>3250</v>
      </c>
      <c r="BL1648" t="s">
        <v>3250</v>
      </c>
      <c r="BM1648" t="s">
        <v>3250</v>
      </c>
      <c r="BN1648" t="s">
        <v>3250</v>
      </c>
      <c r="BP1648">
        <v>1</v>
      </c>
      <c r="BQ1648">
        <v>13</v>
      </c>
      <c r="BR1648" t="s">
        <v>2371</v>
      </c>
      <c r="BS1648" t="s">
        <v>3252</v>
      </c>
      <c r="BV1648">
        <v>0</v>
      </c>
      <c r="BW1648">
        <v>0</v>
      </c>
      <c r="BX1648">
        <v>0</v>
      </c>
      <c r="BY1648">
        <v>0</v>
      </c>
      <c r="BZ1648">
        <v>0</v>
      </c>
      <c r="CA1648">
        <v>0</v>
      </c>
      <c r="CB1648">
        <v>0</v>
      </c>
      <c r="CC1648">
        <v>0</v>
      </c>
      <c r="CD1648">
        <v>0</v>
      </c>
      <c r="CE1648" t="s">
        <v>3108</v>
      </c>
      <c r="CF1648" t="s">
        <v>3108</v>
      </c>
      <c r="CG1648" t="s">
        <v>3108</v>
      </c>
      <c r="CH1648" t="s">
        <v>3108</v>
      </c>
    </row>
    <row r="1649" spans="1:86" x14ac:dyDescent="0.2">
      <c r="A1649" t="s">
        <v>5627</v>
      </c>
      <c r="B1649" t="s">
        <v>5627</v>
      </c>
      <c r="C1649">
        <v>54766</v>
      </c>
      <c r="D1649">
        <v>1764</v>
      </c>
      <c r="E1649" t="s">
        <v>4180</v>
      </c>
      <c r="F1649">
        <v>2700</v>
      </c>
      <c r="G1649" t="s">
        <v>411</v>
      </c>
      <c r="H1649" t="s">
        <v>3997</v>
      </c>
      <c r="I1649" t="s">
        <v>2533</v>
      </c>
      <c r="J1649">
        <v>2703</v>
      </c>
      <c r="K1649" t="s">
        <v>2533</v>
      </c>
      <c r="L1649">
        <v>3100</v>
      </c>
      <c r="M1649" t="s">
        <v>127</v>
      </c>
      <c r="N1649">
        <v>3108</v>
      </c>
      <c r="O1649" t="s">
        <v>2419</v>
      </c>
      <c r="P1649" t="s">
        <v>3108</v>
      </c>
      <c r="Q1649" t="s">
        <v>3249</v>
      </c>
      <c r="R1649" t="s">
        <v>3249</v>
      </c>
      <c r="S1649" t="s">
        <v>810</v>
      </c>
      <c r="T1649" t="s">
        <v>2754</v>
      </c>
      <c r="U1649" t="s">
        <v>3250</v>
      </c>
      <c r="V1649" t="s">
        <v>3250</v>
      </c>
      <c r="W1649" t="s">
        <v>3250</v>
      </c>
      <c r="X1649" t="s">
        <v>3250</v>
      </c>
      <c r="Y1649" t="s">
        <v>3250</v>
      </c>
      <c r="Z1649" t="s">
        <v>3250</v>
      </c>
      <c r="AA1649" t="s">
        <v>3108</v>
      </c>
      <c r="AB1649" t="s">
        <v>3108</v>
      </c>
      <c r="AC1649" t="s">
        <v>3250</v>
      </c>
      <c r="AD1649" t="s">
        <v>3250</v>
      </c>
      <c r="AE1649" t="s">
        <v>3250</v>
      </c>
      <c r="AF1649" t="s">
        <v>3250</v>
      </c>
      <c r="AG1649" t="s">
        <v>3250</v>
      </c>
      <c r="AH1649" t="s">
        <v>3250</v>
      </c>
      <c r="AI1649" t="s">
        <v>3250</v>
      </c>
      <c r="AJ1649" t="s">
        <v>3250</v>
      </c>
      <c r="AL1649" t="s">
        <v>3250</v>
      </c>
      <c r="AM1649" t="s">
        <v>3250</v>
      </c>
      <c r="AN1649" t="s">
        <v>3250</v>
      </c>
      <c r="AO1649" t="s">
        <v>3250</v>
      </c>
      <c r="AS1649" t="s">
        <v>3250</v>
      </c>
      <c r="AT1649" t="s">
        <v>3250</v>
      </c>
      <c r="AU1649" t="s">
        <v>3250</v>
      </c>
      <c r="AV1649" t="s">
        <v>3250</v>
      </c>
      <c r="AW1649" t="s">
        <v>3250</v>
      </c>
      <c r="AX1649" t="s">
        <v>3250</v>
      </c>
      <c r="AY1649">
        <v>1030</v>
      </c>
      <c r="AZ1649" t="s">
        <v>2303</v>
      </c>
      <c r="BA1649" t="s">
        <v>3250</v>
      </c>
      <c r="BB1649">
        <v>1030</v>
      </c>
      <c r="BC1649" t="s">
        <v>2303</v>
      </c>
      <c r="BE1649" t="s">
        <v>3250</v>
      </c>
      <c r="BF1649" t="s">
        <v>3250</v>
      </c>
      <c r="BG1649" t="s">
        <v>3250</v>
      </c>
      <c r="BH1649" t="s">
        <v>3250</v>
      </c>
      <c r="BI1649" t="s">
        <v>3250</v>
      </c>
      <c r="BK1649" t="s">
        <v>3250</v>
      </c>
      <c r="BL1649" t="s">
        <v>3250</v>
      </c>
      <c r="BM1649" t="s">
        <v>3250</v>
      </c>
      <c r="BN1649" t="s">
        <v>3250</v>
      </c>
      <c r="BP1649">
        <v>8</v>
      </c>
      <c r="BQ1649">
        <v>86</v>
      </c>
      <c r="BR1649" t="s">
        <v>2419</v>
      </c>
      <c r="BS1649" t="s">
        <v>4013</v>
      </c>
      <c r="BV1649">
        <v>0</v>
      </c>
      <c r="BW1649">
        <v>0</v>
      </c>
      <c r="BX1649">
        <v>0</v>
      </c>
      <c r="BY1649">
        <v>0</v>
      </c>
      <c r="BZ1649">
        <v>0</v>
      </c>
      <c r="CA1649">
        <v>0</v>
      </c>
      <c r="CB1649">
        <v>0</v>
      </c>
      <c r="CC1649">
        <v>0</v>
      </c>
      <c r="CD1649">
        <v>0</v>
      </c>
      <c r="CE1649" t="s">
        <v>3108</v>
      </c>
      <c r="CF1649" t="s">
        <v>3108</v>
      </c>
      <c r="CG1649" t="s">
        <v>3108</v>
      </c>
      <c r="CH1649" t="s">
        <v>3108</v>
      </c>
    </row>
    <row r="1650" spans="1:86" x14ac:dyDescent="0.2">
      <c r="A1650" t="s">
        <v>5628</v>
      </c>
      <c r="B1650" t="s">
        <v>5628</v>
      </c>
      <c r="C1650">
        <v>54767</v>
      </c>
      <c r="D1650">
        <v>1765</v>
      </c>
      <c r="E1650" t="s">
        <v>4093</v>
      </c>
      <c r="F1650">
        <v>2000</v>
      </c>
      <c r="G1650" t="s">
        <v>408</v>
      </c>
      <c r="H1650" t="s">
        <v>4094</v>
      </c>
      <c r="I1650" t="s">
        <v>1135</v>
      </c>
      <c r="J1650">
        <v>2001</v>
      </c>
      <c r="K1650" t="s">
        <v>1135</v>
      </c>
      <c r="L1650">
        <v>1200</v>
      </c>
      <c r="M1650" t="s">
        <v>2368</v>
      </c>
      <c r="N1650">
        <v>1201</v>
      </c>
      <c r="O1650" t="s">
        <v>2370</v>
      </c>
      <c r="P1650" t="s">
        <v>3108</v>
      </c>
      <c r="Q1650" t="s">
        <v>3249</v>
      </c>
      <c r="R1650" t="s">
        <v>3249</v>
      </c>
      <c r="S1650" t="s">
        <v>810</v>
      </c>
      <c r="T1650" t="s">
        <v>2754</v>
      </c>
      <c r="U1650" t="s">
        <v>3250</v>
      </c>
      <c r="V1650" t="s">
        <v>3250</v>
      </c>
      <c r="W1650" t="s">
        <v>3250</v>
      </c>
      <c r="X1650" t="s">
        <v>3250</v>
      </c>
      <c r="Y1650" t="s">
        <v>3250</v>
      </c>
      <c r="Z1650" t="s">
        <v>3250</v>
      </c>
      <c r="AA1650" t="s">
        <v>3108</v>
      </c>
      <c r="AB1650" t="s">
        <v>3108</v>
      </c>
      <c r="AC1650" t="s">
        <v>3250</v>
      </c>
      <c r="AD1650" t="s">
        <v>3250</v>
      </c>
      <c r="AE1650" t="s">
        <v>3250</v>
      </c>
      <c r="AF1650" t="s">
        <v>3250</v>
      </c>
      <c r="AG1650" t="s">
        <v>3250</v>
      </c>
      <c r="AH1650" t="s">
        <v>3250</v>
      </c>
      <c r="AI1650" t="s">
        <v>3250</v>
      </c>
      <c r="AJ1650" t="s">
        <v>3250</v>
      </c>
      <c r="AL1650" t="s">
        <v>3250</v>
      </c>
      <c r="AM1650" t="s">
        <v>3250</v>
      </c>
      <c r="AN1650" t="s">
        <v>3250</v>
      </c>
      <c r="AO1650" t="s">
        <v>3250</v>
      </c>
      <c r="AS1650" t="s">
        <v>3250</v>
      </c>
      <c r="AT1650" t="s">
        <v>3250</v>
      </c>
      <c r="AU1650" t="s">
        <v>3250</v>
      </c>
      <c r="AV1650" t="s">
        <v>3250</v>
      </c>
      <c r="AW1650" t="s">
        <v>3250</v>
      </c>
      <c r="AX1650" t="s">
        <v>3250</v>
      </c>
      <c r="AY1650" t="s">
        <v>3250</v>
      </c>
      <c r="AZ1650" t="s">
        <v>3250</v>
      </c>
      <c r="BA1650" t="s">
        <v>3250</v>
      </c>
      <c r="BB1650" t="s">
        <v>3250</v>
      </c>
      <c r="BC1650" t="s">
        <v>3250</v>
      </c>
      <c r="BE1650" t="s">
        <v>3250</v>
      </c>
      <c r="BF1650" t="s">
        <v>3250</v>
      </c>
      <c r="BG1650" t="s">
        <v>3250</v>
      </c>
      <c r="BH1650" t="s">
        <v>3250</v>
      </c>
      <c r="BI1650" t="s">
        <v>3250</v>
      </c>
      <c r="BK1650" t="s">
        <v>3250</v>
      </c>
      <c r="BL1650" t="s">
        <v>3250</v>
      </c>
      <c r="BM1650" t="s">
        <v>3250</v>
      </c>
      <c r="BN1650" t="s">
        <v>3250</v>
      </c>
      <c r="BO1650" t="s">
        <v>2916</v>
      </c>
      <c r="BP1650">
        <v>1</v>
      </c>
      <c r="BQ1650">
        <v>14</v>
      </c>
      <c r="BR1650" t="s">
        <v>2370</v>
      </c>
      <c r="BS1650" t="s">
        <v>3252</v>
      </c>
      <c r="BV1650">
        <v>0</v>
      </c>
      <c r="BW1650">
        <v>0</v>
      </c>
      <c r="BX1650">
        <v>0</v>
      </c>
      <c r="BY1650">
        <v>0</v>
      </c>
      <c r="BZ1650">
        <v>0</v>
      </c>
      <c r="CA1650">
        <v>0</v>
      </c>
      <c r="CB1650">
        <v>0</v>
      </c>
      <c r="CC1650">
        <v>0</v>
      </c>
      <c r="CD1650">
        <v>0</v>
      </c>
      <c r="CE1650" t="s">
        <v>3108</v>
      </c>
      <c r="CF1650" t="s">
        <v>3108</v>
      </c>
      <c r="CG1650" t="s">
        <v>3108</v>
      </c>
      <c r="CH1650" t="s">
        <v>3108</v>
      </c>
    </row>
    <row r="1651" spans="1:86" x14ac:dyDescent="0.2">
      <c r="A1651" t="s">
        <v>5629</v>
      </c>
      <c r="B1651" t="s">
        <v>5629</v>
      </c>
      <c r="C1651">
        <v>54768</v>
      </c>
      <c r="D1651">
        <v>1766</v>
      </c>
      <c r="E1651" t="s">
        <v>5630</v>
      </c>
      <c r="F1651" t="s">
        <v>3249</v>
      </c>
      <c r="G1651" t="s">
        <v>3249</v>
      </c>
      <c r="H1651" t="s">
        <v>3250</v>
      </c>
      <c r="I1651" t="s">
        <v>3250</v>
      </c>
      <c r="J1651" t="s">
        <v>3250</v>
      </c>
      <c r="K1651" t="s">
        <v>3250</v>
      </c>
      <c r="L1651">
        <v>1200</v>
      </c>
      <c r="M1651" t="s">
        <v>2368</v>
      </c>
      <c r="N1651">
        <v>1202</v>
      </c>
      <c r="O1651" t="s">
        <v>2371</v>
      </c>
      <c r="P1651" t="s">
        <v>3108</v>
      </c>
      <c r="Q1651" t="s">
        <v>3249</v>
      </c>
      <c r="R1651" t="s">
        <v>3249</v>
      </c>
      <c r="S1651" t="s">
        <v>472</v>
      </c>
      <c r="T1651" t="s">
        <v>3251</v>
      </c>
      <c r="U1651">
        <v>240</v>
      </c>
      <c r="V1651" t="s">
        <v>4251</v>
      </c>
      <c r="W1651">
        <v>240</v>
      </c>
      <c r="X1651" t="s">
        <v>1323</v>
      </c>
      <c r="Y1651" t="s">
        <v>3250</v>
      </c>
      <c r="Z1651" t="s">
        <v>3250</v>
      </c>
      <c r="AA1651" t="s">
        <v>3108</v>
      </c>
      <c r="AB1651" t="s">
        <v>3108</v>
      </c>
      <c r="AC1651" t="s">
        <v>3250</v>
      </c>
      <c r="AD1651" t="s">
        <v>3250</v>
      </c>
      <c r="AE1651" t="s">
        <v>3250</v>
      </c>
      <c r="AF1651" t="s">
        <v>3250</v>
      </c>
      <c r="AG1651">
        <v>1510</v>
      </c>
      <c r="AH1651" t="s">
        <v>2334</v>
      </c>
      <c r="AI1651">
        <v>1510</v>
      </c>
      <c r="AJ1651" t="s">
        <v>2334</v>
      </c>
      <c r="AL1651">
        <v>241</v>
      </c>
      <c r="AM1651" t="s">
        <v>1455</v>
      </c>
      <c r="AN1651">
        <v>241</v>
      </c>
      <c r="AO1651" t="s">
        <v>1455</v>
      </c>
      <c r="AS1651" t="s">
        <v>3250</v>
      </c>
      <c r="AT1651" t="s">
        <v>3250</v>
      </c>
      <c r="AU1651" t="s">
        <v>3250</v>
      </c>
      <c r="AV1651" t="s">
        <v>3250</v>
      </c>
      <c r="AW1651" t="s">
        <v>3250</v>
      </c>
      <c r="AX1651" t="s">
        <v>3250</v>
      </c>
      <c r="AY1651" t="s">
        <v>3250</v>
      </c>
      <c r="AZ1651" t="s">
        <v>3250</v>
      </c>
      <c r="BA1651" t="s">
        <v>3250</v>
      </c>
      <c r="BB1651" t="s">
        <v>3250</v>
      </c>
      <c r="BC1651" t="s">
        <v>3250</v>
      </c>
      <c r="BE1651" t="s">
        <v>3250</v>
      </c>
      <c r="BF1651" t="s">
        <v>3250</v>
      </c>
      <c r="BG1651" t="s">
        <v>3250</v>
      </c>
      <c r="BH1651" t="s">
        <v>3250</v>
      </c>
      <c r="BI1651" t="s">
        <v>3250</v>
      </c>
      <c r="BK1651" t="s">
        <v>3250</v>
      </c>
      <c r="BL1651" t="s">
        <v>3250</v>
      </c>
      <c r="BM1651" t="s">
        <v>3250</v>
      </c>
      <c r="BN1651" t="s">
        <v>3250</v>
      </c>
      <c r="BP1651">
        <v>1</v>
      </c>
      <c r="BQ1651">
        <v>13</v>
      </c>
      <c r="BR1651" t="s">
        <v>2371</v>
      </c>
      <c r="BS1651" t="s">
        <v>3252</v>
      </c>
      <c r="BV1651">
        <v>0</v>
      </c>
      <c r="BW1651">
        <v>0</v>
      </c>
      <c r="BX1651">
        <v>0</v>
      </c>
      <c r="BY1651">
        <v>100226</v>
      </c>
      <c r="BZ1651">
        <v>1057847</v>
      </c>
      <c r="CA1651">
        <v>1057847</v>
      </c>
      <c r="CB1651">
        <v>1143067</v>
      </c>
      <c r="CC1651">
        <v>1188790</v>
      </c>
      <c r="CD1651">
        <v>0</v>
      </c>
      <c r="CE1651" t="s">
        <v>3108</v>
      </c>
      <c r="CF1651" t="s">
        <v>3108</v>
      </c>
      <c r="CG1651" t="s">
        <v>3108</v>
      </c>
      <c r="CH1651" t="s">
        <v>3108</v>
      </c>
    </row>
    <row r="1652" spans="1:86" x14ac:dyDescent="0.2">
      <c r="A1652" t="s">
        <v>5631</v>
      </c>
      <c r="B1652" t="s">
        <v>5631</v>
      </c>
      <c r="C1652">
        <v>54769</v>
      </c>
      <c r="D1652">
        <v>1767</v>
      </c>
      <c r="E1652" t="s">
        <v>5632</v>
      </c>
      <c r="F1652" t="s">
        <v>3249</v>
      </c>
      <c r="G1652" t="s">
        <v>3249</v>
      </c>
      <c r="H1652" t="s">
        <v>3250</v>
      </c>
      <c r="I1652" t="s">
        <v>3250</v>
      </c>
      <c r="J1652" t="s">
        <v>3250</v>
      </c>
      <c r="K1652" t="s">
        <v>3250</v>
      </c>
      <c r="L1652">
        <v>1200</v>
      </c>
      <c r="M1652" t="s">
        <v>2368</v>
      </c>
      <c r="N1652">
        <v>1202</v>
      </c>
      <c r="O1652" t="s">
        <v>2371</v>
      </c>
      <c r="P1652" t="s">
        <v>3108</v>
      </c>
      <c r="Q1652" t="s">
        <v>3249</v>
      </c>
      <c r="R1652" t="s">
        <v>3249</v>
      </c>
      <c r="S1652" t="s">
        <v>472</v>
      </c>
      <c r="T1652" t="s">
        <v>3251</v>
      </c>
      <c r="U1652">
        <v>240</v>
      </c>
      <c r="V1652" t="s">
        <v>4251</v>
      </c>
      <c r="W1652">
        <v>240</v>
      </c>
      <c r="X1652" t="s">
        <v>1323</v>
      </c>
      <c r="Y1652" t="s">
        <v>3250</v>
      </c>
      <c r="Z1652" t="s">
        <v>3250</v>
      </c>
      <c r="AA1652" t="s">
        <v>3108</v>
      </c>
      <c r="AB1652" t="s">
        <v>3108</v>
      </c>
      <c r="AC1652" t="s">
        <v>3250</v>
      </c>
      <c r="AD1652" t="s">
        <v>3250</v>
      </c>
      <c r="AE1652" t="s">
        <v>3250</v>
      </c>
      <c r="AF1652" t="s">
        <v>3250</v>
      </c>
      <c r="AG1652">
        <v>1510</v>
      </c>
      <c r="AH1652" t="s">
        <v>2334</v>
      </c>
      <c r="AI1652">
        <v>1510</v>
      </c>
      <c r="AJ1652" t="s">
        <v>2334</v>
      </c>
      <c r="AL1652">
        <v>243</v>
      </c>
      <c r="AM1652" t="s">
        <v>700</v>
      </c>
      <c r="AN1652">
        <v>243</v>
      </c>
      <c r="AO1652" t="s">
        <v>700</v>
      </c>
      <c r="AS1652" t="s">
        <v>3250</v>
      </c>
      <c r="AT1652" t="s">
        <v>3250</v>
      </c>
      <c r="AU1652" t="s">
        <v>3250</v>
      </c>
      <c r="AV1652" t="s">
        <v>3250</v>
      </c>
      <c r="AW1652" t="s">
        <v>3250</v>
      </c>
      <c r="AX1652" t="s">
        <v>3250</v>
      </c>
      <c r="AY1652" t="s">
        <v>3250</v>
      </c>
      <c r="AZ1652" t="s">
        <v>3250</v>
      </c>
      <c r="BA1652" t="s">
        <v>3250</v>
      </c>
      <c r="BB1652" t="s">
        <v>3250</v>
      </c>
      <c r="BC1652" t="s">
        <v>3250</v>
      </c>
      <c r="BE1652" t="s">
        <v>3250</v>
      </c>
      <c r="BF1652" t="s">
        <v>3250</v>
      </c>
      <c r="BG1652" t="s">
        <v>3250</v>
      </c>
      <c r="BH1652" t="s">
        <v>3250</v>
      </c>
      <c r="BI1652" t="s">
        <v>3250</v>
      </c>
      <c r="BK1652" t="s">
        <v>3250</v>
      </c>
      <c r="BL1652" t="s">
        <v>3250</v>
      </c>
      <c r="BM1652" t="s">
        <v>3250</v>
      </c>
      <c r="BN1652" t="s">
        <v>3250</v>
      </c>
      <c r="BP1652">
        <v>1</v>
      </c>
      <c r="BQ1652">
        <v>13</v>
      </c>
      <c r="BR1652" t="s">
        <v>2371</v>
      </c>
      <c r="BS1652" t="s">
        <v>3252</v>
      </c>
      <c r="BV1652">
        <v>0</v>
      </c>
      <c r="BW1652">
        <v>0</v>
      </c>
      <c r="BX1652">
        <v>0</v>
      </c>
      <c r="BY1652">
        <v>0</v>
      </c>
      <c r="BZ1652">
        <v>0</v>
      </c>
      <c r="CA1652">
        <v>0</v>
      </c>
      <c r="CB1652">
        <v>0</v>
      </c>
      <c r="CC1652">
        <v>0</v>
      </c>
      <c r="CD1652">
        <v>0</v>
      </c>
      <c r="CE1652" t="s">
        <v>3108</v>
      </c>
      <c r="CF1652" t="s">
        <v>3108</v>
      </c>
      <c r="CG1652" t="s">
        <v>3108</v>
      </c>
      <c r="CH1652" t="s">
        <v>3108</v>
      </c>
    </row>
    <row r="1653" spans="1:86" x14ac:dyDescent="0.2">
      <c r="A1653" t="s">
        <v>5633</v>
      </c>
      <c r="B1653" t="s">
        <v>5633</v>
      </c>
      <c r="C1653">
        <v>54770</v>
      </c>
      <c r="D1653">
        <v>1768</v>
      </c>
      <c r="E1653" t="s">
        <v>5634</v>
      </c>
      <c r="F1653" t="s">
        <v>3249</v>
      </c>
      <c r="G1653" t="s">
        <v>3249</v>
      </c>
      <c r="H1653" t="s">
        <v>3250</v>
      </c>
      <c r="I1653" t="s">
        <v>3250</v>
      </c>
      <c r="J1653" t="s">
        <v>3250</v>
      </c>
      <c r="K1653" t="s">
        <v>3250</v>
      </c>
      <c r="L1653">
        <v>1200</v>
      </c>
      <c r="M1653" t="s">
        <v>2368</v>
      </c>
      <c r="N1653">
        <v>1202</v>
      </c>
      <c r="O1653" t="s">
        <v>2371</v>
      </c>
      <c r="P1653" t="s">
        <v>3108</v>
      </c>
      <c r="Q1653" t="s">
        <v>3249</v>
      </c>
      <c r="R1653" t="s">
        <v>3249</v>
      </c>
      <c r="S1653" t="s">
        <v>472</v>
      </c>
      <c r="T1653" t="s">
        <v>3251</v>
      </c>
      <c r="U1653">
        <v>240</v>
      </c>
      <c r="V1653" t="s">
        <v>4251</v>
      </c>
      <c r="W1653">
        <v>240</v>
      </c>
      <c r="X1653" t="s">
        <v>1323</v>
      </c>
      <c r="Y1653" t="s">
        <v>3250</v>
      </c>
      <c r="Z1653" t="s">
        <v>3250</v>
      </c>
      <c r="AA1653" t="s">
        <v>3108</v>
      </c>
      <c r="AB1653" t="s">
        <v>3108</v>
      </c>
      <c r="AC1653" t="s">
        <v>3250</v>
      </c>
      <c r="AD1653" t="s">
        <v>3250</v>
      </c>
      <c r="AE1653" t="s">
        <v>3250</v>
      </c>
      <c r="AF1653" t="s">
        <v>3250</v>
      </c>
      <c r="AG1653">
        <v>1490</v>
      </c>
      <c r="AH1653" t="s">
        <v>2333</v>
      </c>
      <c r="AI1653">
        <v>1490</v>
      </c>
      <c r="AJ1653" t="s">
        <v>2333</v>
      </c>
      <c r="AL1653">
        <v>243</v>
      </c>
      <c r="AM1653" t="s">
        <v>700</v>
      </c>
      <c r="AN1653">
        <v>243</v>
      </c>
      <c r="AO1653" t="s">
        <v>700</v>
      </c>
      <c r="AS1653" t="s">
        <v>3250</v>
      </c>
      <c r="AT1653" t="s">
        <v>3250</v>
      </c>
      <c r="AU1653" t="s">
        <v>3250</v>
      </c>
      <c r="AV1653" t="s">
        <v>3250</v>
      </c>
      <c r="AW1653" t="s">
        <v>3250</v>
      </c>
      <c r="AX1653" t="s">
        <v>3250</v>
      </c>
      <c r="AY1653" t="s">
        <v>3250</v>
      </c>
      <c r="AZ1653" t="s">
        <v>3250</v>
      </c>
      <c r="BA1653" t="s">
        <v>3250</v>
      </c>
      <c r="BB1653" t="s">
        <v>3250</v>
      </c>
      <c r="BC1653" t="s">
        <v>3250</v>
      </c>
      <c r="BE1653" t="s">
        <v>3250</v>
      </c>
      <c r="BF1653" t="s">
        <v>3250</v>
      </c>
      <c r="BG1653" t="s">
        <v>3250</v>
      </c>
      <c r="BH1653" t="s">
        <v>3250</v>
      </c>
      <c r="BI1653" t="s">
        <v>3250</v>
      </c>
      <c r="BK1653" t="s">
        <v>3250</v>
      </c>
      <c r="BL1653" t="s">
        <v>3250</v>
      </c>
      <c r="BM1653" t="s">
        <v>3250</v>
      </c>
      <c r="BN1653" t="s">
        <v>3250</v>
      </c>
      <c r="BP1653">
        <v>1</v>
      </c>
      <c r="BQ1653">
        <v>13</v>
      </c>
      <c r="BR1653" t="s">
        <v>2371</v>
      </c>
      <c r="BS1653" t="s">
        <v>3252</v>
      </c>
      <c r="BV1653">
        <v>0</v>
      </c>
      <c r="BW1653">
        <v>0</v>
      </c>
      <c r="BX1653">
        <v>0</v>
      </c>
      <c r="BY1653">
        <v>-4590199</v>
      </c>
      <c r="BZ1653">
        <v>-4992949</v>
      </c>
      <c r="CA1653">
        <v>-5665823</v>
      </c>
      <c r="CB1653">
        <v>-5395181</v>
      </c>
      <c r="CC1653">
        <v>-5610988</v>
      </c>
      <c r="CD1653">
        <v>0</v>
      </c>
      <c r="CE1653" t="s">
        <v>3108</v>
      </c>
      <c r="CF1653" t="s">
        <v>3108</v>
      </c>
      <c r="CG1653" t="s">
        <v>3108</v>
      </c>
      <c r="CH1653" t="s">
        <v>3108</v>
      </c>
    </row>
    <row r="1654" spans="1:86" x14ac:dyDescent="0.2">
      <c r="A1654" t="s">
        <v>5635</v>
      </c>
      <c r="B1654" t="s">
        <v>5635</v>
      </c>
      <c r="C1654">
        <v>54771</v>
      </c>
      <c r="D1654">
        <v>1769</v>
      </c>
      <c r="E1654" t="s">
        <v>5636</v>
      </c>
      <c r="F1654" t="s">
        <v>3249</v>
      </c>
      <c r="G1654" t="s">
        <v>3249</v>
      </c>
      <c r="H1654" t="s">
        <v>3250</v>
      </c>
      <c r="I1654" t="s">
        <v>3250</v>
      </c>
      <c r="J1654" t="s">
        <v>3250</v>
      </c>
      <c r="K1654" t="s">
        <v>3250</v>
      </c>
      <c r="L1654">
        <v>1200</v>
      </c>
      <c r="M1654" t="s">
        <v>2368</v>
      </c>
      <c r="N1654">
        <v>1202</v>
      </c>
      <c r="O1654" t="s">
        <v>2371</v>
      </c>
      <c r="P1654" t="s">
        <v>3108</v>
      </c>
      <c r="Q1654" t="s">
        <v>3249</v>
      </c>
      <c r="R1654" t="s">
        <v>3249</v>
      </c>
      <c r="S1654" t="s">
        <v>427</v>
      </c>
      <c r="T1654" t="s">
        <v>3251</v>
      </c>
      <c r="U1654">
        <v>240</v>
      </c>
      <c r="V1654" t="s">
        <v>4251</v>
      </c>
      <c r="W1654">
        <v>240</v>
      </c>
      <c r="X1654" t="s">
        <v>1323</v>
      </c>
      <c r="Y1654" t="s">
        <v>3250</v>
      </c>
      <c r="Z1654" t="s">
        <v>3250</v>
      </c>
      <c r="AA1654" t="s">
        <v>3108</v>
      </c>
      <c r="AB1654" t="s">
        <v>3108</v>
      </c>
      <c r="AC1654" t="s">
        <v>3250</v>
      </c>
      <c r="AD1654" t="s">
        <v>3250</v>
      </c>
      <c r="AE1654" t="s">
        <v>3250</v>
      </c>
      <c r="AF1654" t="s">
        <v>3250</v>
      </c>
      <c r="AG1654">
        <v>1530</v>
      </c>
      <c r="AH1654" t="s">
        <v>2335</v>
      </c>
      <c r="AI1654">
        <v>1530</v>
      </c>
      <c r="AJ1654" t="s">
        <v>2335</v>
      </c>
      <c r="AL1654">
        <v>241</v>
      </c>
      <c r="AM1654" t="s">
        <v>1455</v>
      </c>
      <c r="AN1654">
        <v>241</v>
      </c>
      <c r="AO1654" t="s">
        <v>1455</v>
      </c>
      <c r="AS1654" t="s">
        <v>3250</v>
      </c>
      <c r="AT1654" t="s">
        <v>3250</v>
      </c>
      <c r="AU1654" t="s">
        <v>3250</v>
      </c>
      <c r="AV1654" t="s">
        <v>3250</v>
      </c>
      <c r="AW1654">
        <v>1530</v>
      </c>
      <c r="AX1654" t="s">
        <v>2335</v>
      </c>
      <c r="AY1654" t="s">
        <v>3250</v>
      </c>
      <c r="AZ1654" t="s">
        <v>3250</v>
      </c>
      <c r="BA1654">
        <v>1530</v>
      </c>
      <c r="BB1654" t="s">
        <v>3250</v>
      </c>
      <c r="BC1654" t="s">
        <v>3250</v>
      </c>
      <c r="BE1654" t="s">
        <v>3250</v>
      </c>
      <c r="BF1654" t="s">
        <v>3250</v>
      </c>
      <c r="BG1654" t="s">
        <v>2335</v>
      </c>
      <c r="BH1654" t="s">
        <v>3250</v>
      </c>
      <c r="BI1654" t="s">
        <v>3250</v>
      </c>
      <c r="BK1654" t="s">
        <v>3250</v>
      </c>
      <c r="BL1654" t="s">
        <v>3250</v>
      </c>
      <c r="BM1654" t="s">
        <v>3250</v>
      </c>
      <c r="BN1654" t="s">
        <v>3250</v>
      </c>
      <c r="BP1654">
        <v>1</v>
      </c>
      <c r="BQ1654">
        <v>13</v>
      </c>
      <c r="BR1654" t="s">
        <v>2371</v>
      </c>
      <c r="BS1654" t="s">
        <v>3252</v>
      </c>
      <c r="BV1654">
        <v>0</v>
      </c>
      <c r="BW1654">
        <v>0</v>
      </c>
      <c r="BX1654">
        <v>0</v>
      </c>
      <c r="BY1654">
        <v>4604463</v>
      </c>
      <c r="BZ1654">
        <v>4779160</v>
      </c>
      <c r="CA1654">
        <v>4779160</v>
      </c>
      <c r="CB1654">
        <v>5164169</v>
      </c>
      <c r="CC1654">
        <v>5370736</v>
      </c>
      <c r="CD1654">
        <v>0</v>
      </c>
      <c r="CE1654" t="s">
        <v>3108</v>
      </c>
      <c r="CF1654" t="s">
        <v>3108</v>
      </c>
      <c r="CG1654" t="s">
        <v>3108</v>
      </c>
      <c r="CH1654" t="s">
        <v>3108</v>
      </c>
    </row>
    <row r="1655" spans="1:86" x14ac:dyDescent="0.2">
      <c r="A1655" t="s">
        <v>5637</v>
      </c>
      <c r="B1655" t="s">
        <v>5637</v>
      </c>
      <c r="C1655">
        <v>54772</v>
      </c>
      <c r="D1655">
        <v>1770</v>
      </c>
      <c r="E1655" t="s">
        <v>5638</v>
      </c>
      <c r="F1655" t="s">
        <v>3249</v>
      </c>
      <c r="G1655" t="s">
        <v>3249</v>
      </c>
      <c r="H1655" t="s">
        <v>3250</v>
      </c>
      <c r="I1655" t="s">
        <v>3250</v>
      </c>
      <c r="J1655" t="s">
        <v>3250</v>
      </c>
      <c r="K1655" t="s">
        <v>3250</v>
      </c>
      <c r="L1655">
        <v>1200</v>
      </c>
      <c r="M1655" t="s">
        <v>2368</v>
      </c>
      <c r="N1655">
        <v>1202</v>
      </c>
      <c r="O1655" t="s">
        <v>2371</v>
      </c>
      <c r="P1655" t="s">
        <v>3108</v>
      </c>
      <c r="Q1655" t="s">
        <v>3249</v>
      </c>
      <c r="R1655" t="s">
        <v>3249</v>
      </c>
      <c r="S1655" t="s">
        <v>427</v>
      </c>
      <c r="T1655" t="s">
        <v>3251</v>
      </c>
      <c r="U1655">
        <v>240</v>
      </c>
      <c r="V1655" t="s">
        <v>4251</v>
      </c>
      <c r="W1655">
        <v>240</v>
      </c>
      <c r="X1655" t="s">
        <v>1323</v>
      </c>
      <c r="Y1655" t="s">
        <v>3250</v>
      </c>
      <c r="Z1655" t="s">
        <v>3250</v>
      </c>
      <c r="AA1655" t="s">
        <v>3108</v>
      </c>
      <c r="AB1655" t="s">
        <v>3108</v>
      </c>
      <c r="AC1655" t="s">
        <v>3250</v>
      </c>
      <c r="AD1655" t="s">
        <v>3250</v>
      </c>
      <c r="AE1655" t="s">
        <v>3250</v>
      </c>
      <c r="AF1655" t="s">
        <v>3250</v>
      </c>
      <c r="AG1655">
        <v>1490</v>
      </c>
      <c r="AH1655" t="s">
        <v>2333</v>
      </c>
      <c r="AI1655">
        <v>1490</v>
      </c>
      <c r="AJ1655" t="s">
        <v>2333</v>
      </c>
      <c r="AL1655">
        <v>241</v>
      </c>
      <c r="AM1655" t="s">
        <v>1455</v>
      </c>
      <c r="AN1655">
        <v>241</v>
      </c>
      <c r="AO1655" t="s">
        <v>1455</v>
      </c>
      <c r="AS1655" t="s">
        <v>3250</v>
      </c>
      <c r="AT1655" t="s">
        <v>3250</v>
      </c>
      <c r="AU1655" t="s">
        <v>3250</v>
      </c>
      <c r="AV1655" t="s">
        <v>3250</v>
      </c>
      <c r="AW1655">
        <v>1490</v>
      </c>
      <c r="AX1655" t="s">
        <v>2333</v>
      </c>
      <c r="AY1655" t="s">
        <v>3250</v>
      </c>
      <c r="AZ1655" t="s">
        <v>3250</v>
      </c>
      <c r="BA1655">
        <v>1490</v>
      </c>
      <c r="BB1655" t="s">
        <v>3250</v>
      </c>
      <c r="BC1655" t="s">
        <v>3250</v>
      </c>
      <c r="BE1655" t="s">
        <v>3250</v>
      </c>
      <c r="BF1655" t="s">
        <v>3250</v>
      </c>
      <c r="BG1655" t="s">
        <v>2333</v>
      </c>
      <c r="BH1655" t="s">
        <v>3250</v>
      </c>
      <c r="BI1655" t="s">
        <v>3250</v>
      </c>
      <c r="BK1655" t="s">
        <v>3250</v>
      </c>
      <c r="BL1655" t="s">
        <v>3250</v>
      </c>
      <c r="BM1655" t="s">
        <v>3250</v>
      </c>
      <c r="BN1655" t="s">
        <v>3250</v>
      </c>
      <c r="BP1655">
        <v>1</v>
      </c>
      <c r="BQ1655">
        <v>13</v>
      </c>
      <c r="BR1655" t="s">
        <v>2371</v>
      </c>
      <c r="BS1655" t="s">
        <v>3252</v>
      </c>
      <c r="BV1655">
        <v>0</v>
      </c>
      <c r="BW1655">
        <v>0</v>
      </c>
      <c r="BX1655">
        <v>0</v>
      </c>
      <c r="BY1655">
        <v>5039208</v>
      </c>
      <c r="BZ1655">
        <v>5749062</v>
      </c>
      <c r="CA1655">
        <v>5749062</v>
      </c>
      <c r="CB1655">
        <v>6212206</v>
      </c>
      <c r="CC1655">
        <v>6460695</v>
      </c>
      <c r="CD1655">
        <v>0</v>
      </c>
      <c r="CE1655" t="s">
        <v>3108</v>
      </c>
      <c r="CF1655" t="s">
        <v>3108</v>
      </c>
      <c r="CG1655" t="s">
        <v>3108</v>
      </c>
      <c r="CH1655" t="s">
        <v>3108</v>
      </c>
    </row>
    <row r="1656" spans="1:86" x14ac:dyDescent="0.2">
      <c r="A1656" t="s">
        <v>5639</v>
      </c>
      <c r="B1656" t="s">
        <v>5639</v>
      </c>
      <c r="C1656">
        <v>54773</v>
      </c>
      <c r="D1656">
        <v>1771</v>
      </c>
      <c r="E1656" t="s">
        <v>5640</v>
      </c>
      <c r="F1656" t="s">
        <v>3249</v>
      </c>
      <c r="G1656" t="s">
        <v>3249</v>
      </c>
      <c r="H1656" t="s">
        <v>3250</v>
      </c>
      <c r="I1656" t="s">
        <v>3250</v>
      </c>
      <c r="J1656" t="s">
        <v>3250</v>
      </c>
      <c r="K1656" t="s">
        <v>3250</v>
      </c>
      <c r="L1656">
        <v>1200</v>
      </c>
      <c r="M1656" t="s">
        <v>2368</v>
      </c>
      <c r="N1656">
        <v>1202</v>
      </c>
      <c r="O1656" t="s">
        <v>2371</v>
      </c>
      <c r="P1656" t="s">
        <v>3108</v>
      </c>
      <c r="Q1656" t="s">
        <v>3249</v>
      </c>
      <c r="R1656" t="s">
        <v>3249</v>
      </c>
      <c r="S1656" t="s">
        <v>472</v>
      </c>
      <c r="T1656" t="s">
        <v>3251</v>
      </c>
      <c r="U1656">
        <v>240</v>
      </c>
      <c r="V1656" t="s">
        <v>4251</v>
      </c>
      <c r="W1656">
        <v>240</v>
      </c>
      <c r="X1656" t="s">
        <v>1323</v>
      </c>
      <c r="Y1656" t="s">
        <v>3250</v>
      </c>
      <c r="Z1656" t="s">
        <v>3250</v>
      </c>
      <c r="AA1656" t="s">
        <v>3108</v>
      </c>
      <c r="AB1656" t="s">
        <v>3108</v>
      </c>
      <c r="AC1656" t="s">
        <v>3250</v>
      </c>
      <c r="AD1656" t="s">
        <v>3250</v>
      </c>
      <c r="AE1656" t="s">
        <v>3250</v>
      </c>
      <c r="AF1656" t="s">
        <v>3250</v>
      </c>
      <c r="AG1656">
        <v>1530</v>
      </c>
      <c r="AH1656" t="s">
        <v>2335</v>
      </c>
      <c r="AI1656">
        <v>1530</v>
      </c>
      <c r="AJ1656" t="s">
        <v>2335</v>
      </c>
      <c r="AL1656">
        <v>243</v>
      </c>
      <c r="AM1656" t="s">
        <v>700</v>
      </c>
      <c r="AN1656">
        <v>243</v>
      </c>
      <c r="AO1656" t="s">
        <v>700</v>
      </c>
      <c r="AS1656" t="s">
        <v>3250</v>
      </c>
      <c r="AT1656" t="s">
        <v>3250</v>
      </c>
      <c r="AU1656" t="s">
        <v>3250</v>
      </c>
      <c r="AV1656" t="s">
        <v>3250</v>
      </c>
      <c r="AW1656" t="s">
        <v>3250</v>
      </c>
      <c r="AX1656" t="s">
        <v>3250</v>
      </c>
      <c r="AY1656" t="s">
        <v>3250</v>
      </c>
      <c r="AZ1656" t="s">
        <v>3250</v>
      </c>
      <c r="BA1656" t="s">
        <v>3250</v>
      </c>
      <c r="BB1656" t="s">
        <v>3250</v>
      </c>
      <c r="BC1656" t="s">
        <v>3250</v>
      </c>
      <c r="BE1656" t="s">
        <v>3250</v>
      </c>
      <c r="BF1656" t="s">
        <v>3250</v>
      </c>
      <c r="BG1656" t="s">
        <v>3250</v>
      </c>
      <c r="BH1656" t="s">
        <v>3250</v>
      </c>
      <c r="BI1656" t="s">
        <v>3250</v>
      </c>
      <c r="BK1656" t="s">
        <v>3250</v>
      </c>
      <c r="BL1656" t="s">
        <v>3250</v>
      </c>
      <c r="BM1656" t="s">
        <v>3250</v>
      </c>
      <c r="BN1656" t="s">
        <v>3250</v>
      </c>
      <c r="BP1656">
        <v>1</v>
      </c>
      <c r="BQ1656">
        <v>13</v>
      </c>
      <c r="BR1656" t="s">
        <v>2371</v>
      </c>
      <c r="BS1656" t="s">
        <v>3252</v>
      </c>
      <c r="BV1656">
        <v>0</v>
      </c>
      <c r="BW1656">
        <v>0</v>
      </c>
      <c r="BX1656">
        <v>0</v>
      </c>
      <c r="BY1656">
        <v>0</v>
      </c>
      <c r="BZ1656">
        <v>0</v>
      </c>
      <c r="CA1656">
        <v>0</v>
      </c>
      <c r="CB1656">
        <v>0</v>
      </c>
      <c r="CC1656">
        <v>0</v>
      </c>
      <c r="CD1656">
        <v>0</v>
      </c>
      <c r="CE1656" t="s">
        <v>3108</v>
      </c>
      <c r="CF1656" t="s">
        <v>3108</v>
      </c>
      <c r="CG1656" t="s">
        <v>3108</v>
      </c>
      <c r="CH1656" t="s">
        <v>3108</v>
      </c>
    </row>
    <row r="1657" spans="1:86" x14ac:dyDescent="0.2">
      <c r="A1657" t="s">
        <v>5641</v>
      </c>
      <c r="B1657" t="s">
        <v>5641</v>
      </c>
      <c r="C1657">
        <v>54774</v>
      </c>
      <c r="D1657">
        <v>1772</v>
      </c>
      <c r="E1657" t="s">
        <v>5642</v>
      </c>
      <c r="F1657" t="s">
        <v>3249</v>
      </c>
      <c r="G1657" t="s">
        <v>3249</v>
      </c>
      <c r="H1657" t="s">
        <v>3250</v>
      </c>
      <c r="I1657" t="s">
        <v>3250</v>
      </c>
      <c r="J1657" t="s">
        <v>3250</v>
      </c>
      <c r="K1657" t="s">
        <v>3250</v>
      </c>
      <c r="L1657">
        <v>1200</v>
      </c>
      <c r="M1657" t="s">
        <v>2368</v>
      </c>
      <c r="N1657">
        <v>1202</v>
      </c>
      <c r="O1657" t="s">
        <v>2371</v>
      </c>
      <c r="P1657" t="s">
        <v>3108</v>
      </c>
      <c r="Q1657" t="s">
        <v>3249</v>
      </c>
      <c r="R1657" t="s">
        <v>3249</v>
      </c>
      <c r="S1657" t="s">
        <v>472</v>
      </c>
      <c r="T1657" t="s">
        <v>3251</v>
      </c>
      <c r="U1657">
        <v>240</v>
      </c>
      <c r="V1657" t="s">
        <v>4251</v>
      </c>
      <c r="W1657">
        <v>240</v>
      </c>
      <c r="X1657" t="s">
        <v>1323</v>
      </c>
      <c r="Y1657" t="s">
        <v>3250</v>
      </c>
      <c r="Z1657" t="s">
        <v>3250</v>
      </c>
      <c r="AA1657" t="s">
        <v>3108</v>
      </c>
      <c r="AB1657" t="s">
        <v>3108</v>
      </c>
      <c r="AC1657" t="s">
        <v>3250</v>
      </c>
      <c r="AD1657" t="s">
        <v>3250</v>
      </c>
      <c r="AE1657" t="s">
        <v>3250</v>
      </c>
      <c r="AF1657" t="s">
        <v>3250</v>
      </c>
      <c r="AG1657">
        <v>110</v>
      </c>
      <c r="AH1657" t="s">
        <v>2230</v>
      </c>
      <c r="AI1657">
        <v>110</v>
      </c>
      <c r="AJ1657" t="s">
        <v>2230</v>
      </c>
      <c r="AL1657">
        <v>243</v>
      </c>
      <c r="AM1657" t="s">
        <v>700</v>
      </c>
      <c r="AN1657">
        <v>243</v>
      </c>
      <c r="AO1657" t="s">
        <v>700</v>
      </c>
      <c r="AS1657" t="s">
        <v>3250</v>
      </c>
      <c r="AT1657" t="s">
        <v>3250</v>
      </c>
      <c r="AU1657" t="s">
        <v>3250</v>
      </c>
      <c r="AV1657" t="s">
        <v>3250</v>
      </c>
      <c r="AW1657" t="s">
        <v>3250</v>
      </c>
      <c r="AX1657" t="s">
        <v>3250</v>
      </c>
      <c r="AY1657" t="s">
        <v>3250</v>
      </c>
      <c r="AZ1657" t="s">
        <v>3250</v>
      </c>
      <c r="BA1657" t="s">
        <v>3250</v>
      </c>
      <c r="BB1657" t="s">
        <v>3250</v>
      </c>
      <c r="BC1657" t="s">
        <v>3250</v>
      </c>
      <c r="BE1657" t="s">
        <v>3250</v>
      </c>
      <c r="BF1657" t="s">
        <v>3250</v>
      </c>
      <c r="BG1657" t="s">
        <v>3250</v>
      </c>
      <c r="BH1657" t="s">
        <v>3250</v>
      </c>
      <c r="BI1657" t="s">
        <v>3250</v>
      </c>
      <c r="BK1657" t="s">
        <v>3250</v>
      </c>
      <c r="BL1657" t="s">
        <v>3250</v>
      </c>
      <c r="BM1657" t="s">
        <v>3250</v>
      </c>
      <c r="BN1657" t="s">
        <v>3250</v>
      </c>
      <c r="BP1657">
        <v>1</v>
      </c>
      <c r="BQ1657">
        <v>13</v>
      </c>
      <c r="BR1657" t="s">
        <v>2371</v>
      </c>
      <c r="BS1657" t="s">
        <v>3252</v>
      </c>
      <c r="BV1657">
        <v>0</v>
      </c>
      <c r="BW1657">
        <v>0</v>
      </c>
      <c r="BX1657">
        <v>0</v>
      </c>
      <c r="BY1657">
        <v>-17674602</v>
      </c>
      <c r="BZ1657">
        <v>-21249425</v>
      </c>
      <c r="CA1657">
        <v>0</v>
      </c>
      <c r="CB1657">
        <v>0</v>
      </c>
      <c r="CC1657">
        <v>0</v>
      </c>
      <c r="CD1657">
        <v>0</v>
      </c>
      <c r="CE1657" t="s">
        <v>3108</v>
      </c>
      <c r="CF1657" t="s">
        <v>3108</v>
      </c>
      <c r="CG1657" t="s">
        <v>3108</v>
      </c>
      <c r="CH1657" t="s">
        <v>3108</v>
      </c>
    </row>
    <row r="1658" spans="1:86" x14ac:dyDescent="0.2">
      <c r="A1658" t="s">
        <v>5643</v>
      </c>
      <c r="B1658" t="s">
        <v>5643</v>
      </c>
      <c r="C1658">
        <v>54775</v>
      </c>
      <c r="D1658">
        <v>1773</v>
      </c>
      <c r="E1658" t="s">
        <v>5644</v>
      </c>
      <c r="F1658" t="s">
        <v>3249</v>
      </c>
      <c r="G1658" t="s">
        <v>3249</v>
      </c>
      <c r="H1658" t="s">
        <v>3250</v>
      </c>
      <c r="I1658" t="s">
        <v>3250</v>
      </c>
      <c r="J1658" t="s">
        <v>3250</v>
      </c>
      <c r="K1658" t="s">
        <v>3250</v>
      </c>
      <c r="L1658">
        <v>1200</v>
      </c>
      <c r="M1658" t="s">
        <v>2368</v>
      </c>
      <c r="N1658">
        <v>1202</v>
      </c>
      <c r="O1658" t="s">
        <v>2371</v>
      </c>
      <c r="P1658" t="s">
        <v>3108</v>
      </c>
      <c r="Q1658" t="s">
        <v>3249</v>
      </c>
      <c r="R1658" t="s">
        <v>3249</v>
      </c>
      <c r="S1658" t="s">
        <v>427</v>
      </c>
      <c r="T1658" t="s">
        <v>3251</v>
      </c>
      <c r="U1658">
        <v>240</v>
      </c>
      <c r="V1658" t="s">
        <v>4251</v>
      </c>
      <c r="W1658">
        <v>240</v>
      </c>
      <c r="X1658" t="s">
        <v>1323</v>
      </c>
      <c r="Y1658" t="s">
        <v>3250</v>
      </c>
      <c r="Z1658" t="s">
        <v>3250</v>
      </c>
      <c r="AA1658" t="s">
        <v>3108</v>
      </c>
      <c r="AB1658" t="s">
        <v>3108</v>
      </c>
      <c r="AC1658" t="s">
        <v>3250</v>
      </c>
      <c r="AD1658" t="s">
        <v>3250</v>
      </c>
      <c r="AE1658" t="s">
        <v>3250</v>
      </c>
      <c r="AF1658" t="s">
        <v>3250</v>
      </c>
      <c r="AG1658">
        <v>110</v>
      </c>
      <c r="AH1658" t="s">
        <v>2230</v>
      </c>
      <c r="AI1658">
        <v>110</v>
      </c>
      <c r="AJ1658" t="s">
        <v>2230</v>
      </c>
      <c r="AL1658">
        <v>241</v>
      </c>
      <c r="AM1658" t="s">
        <v>1455</v>
      </c>
      <c r="AN1658">
        <v>241</v>
      </c>
      <c r="AO1658" t="s">
        <v>1455</v>
      </c>
      <c r="AS1658" t="s">
        <v>3250</v>
      </c>
      <c r="AT1658" t="s">
        <v>3250</v>
      </c>
      <c r="AU1658" t="s">
        <v>3250</v>
      </c>
      <c r="AV1658" t="s">
        <v>3250</v>
      </c>
      <c r="AW1658">
        <v>120</v>
      </c>
      <c r="AX1658" t="s">
        <v>629</v>
      </c>
      <c r="AY1658" t="s">
        <v>3250</v>
      </c>
      <c r="AZ1658" t="s">
        <v>3250</v>
      </c>
      <c r="BA1658">
        <v>120</v>
      </c>
      <c r="BB1658" t="s">
        <v>3250</v>
      </c>
      <c r="BC1658" t="s">
        <v>3250</v>
      </c>
      <c r="BE1658" t="s">
        <v>3250</v>
      </c>
      <c r="BF1658" t="s">
        <v>3250</v>
      </c>
      <c r="BG1658" t="s">
        <v>629</v>
      </c>
      <c r="BH1658" t="s">
        <v>3250</v>
      </c>
      <c r="BI1658" t="s">
        <v>3250</v>
      </c>
      <c r="BK1658" t="s">
        <v>3250</v>
      </c>
      <c r="BL1658" t="s">
        <v>3250</v>
      </c>
      <c r="BM1658" t="s">
        <v>3250</v>
      </c>
      <c r="BN1658" t="s">
        <v>3250</v>
      </c>
      <c r="BP1658">
        <v>1</v>
      </c>
      <c r="BQ1658">
        <v>13</v>
      </c>
      <c r="BR1658" t="s">
        <v>2371</v>
      </c>
      <c r="BS1658" t="s">
        <v>3252</v>
      </c>
      <c r="BV1658">
        <v>0</v>
      </c>
      <c r="BW1658">
        <v>0</v>
      </c>
      <c r="BX1658">
        <v>0</v>
      </c>
      <c r="BY1658">
        <v>62146626</v>
      </c>
      <c r="BZ1658">
        <v>84570069</v>
      </c>
      <c r="CA1658">
        <v>68985803</v>
      </c>
      <c r="CB1658">
        <v>74543299</v>
      </c>
      <c r="CC1658">
        <v>77525031</v>
      </c>
      <c r="CD1658">
        <v>0</v>
      </c>
      <c r="CE1658" t="s">
        <v>3108</v>
      </c>
      <c r="CF1658" t="s">
        <v>3108</v>
      </c>
      <c r="CG1658" t="s">
        <v>3108</v>
      </c>
      <c r="CH1658" t="s">
        <v>3108</v>
      </c>
    </row>
    <row r="1659" spans="1:86" x14ac:dyDescent="0.2">
      <c r="A1659" t="s">
        <v>5645</v>
      </c>
      <c r="B1659" t="s">
        <v>5645</v>
      </c>
      <c r="C1659">
        <v>54776</v>
      </c>
      <c r="D1659">
        <v>1774</v>
      </c>
      <c r="E1659" t="s">
        <v>5646</v>
      </c>
      <c r="F1659" t="s">
        <v>3249</v>
      </c>
      <c r="G1659" t="s">
        <v>3249</v>
      </c>
      <c r="H1659" t="s">
        <v>3250</v>
      </c>
      <c r="I1659" t="s">
        <v>3250</v>
      </c>
      <c r="J1659" t="s">
        <v>3250</v>
      </c>
      <c r="K1659" t="s">
        <v>3250</v>
      </c>
      <c r="L1659">
        <v>1200</v>
      </c>
      <c r="M1659" t="s">
        <v>2368</v>
      </c>
      <c r="N1659">
        <v>1202</v>
      </c>
      <c r="O1659" t="s">
        <v>2371</v>
      </c>
      <c r="P1659" t="s">
        <v>3108</v>
      </c>
      <c r="Q1659" t="s">
        <v>3249</v>
      </c>
      <c r="R1659" t="s">
        <v>3249</v>
      </c>
      <c r="S1659" t="s">
        <v>427</v>
      </c>
      <c r="T1659" t="s">
        <v>3251</v>
      </c>
      <c r="U1659">
        <v>240</v>
      </c>
      <c r="V1659" t="s">
        <v>4251</v>
      </c>
      <c r="W1659">
        <v>240</v>
      </c>
      <c r="X1659" t="s">
        <v>1323</v>
      </c>
      <c r="Y1659" t="s">
        <v>3250</v>
      </c>
      <c r="Z1659" t="s">
        <v>3250</v>
      </c>
      <c r="AA1659" t="s">
        <v>3108</v>
      </c>
      <c r="AB1659" t="s">
        <v>3108</v>
      </c>
      <c r="AC1659" t="s">
        <v>3250</v>
      </c>
      <c r="AD1659" t="s">
        <v>3250</v>
      </c>
      <c r="AE1659" t="s">
        <v>3250</v>
      </c>
      <c r="AF1659" t="s">
        <v>3250</v>
      </c>
      <c r="AG1659">
        <v>1470</v>
      </c>
      <c r="AH1659" t="s">
        <v>2332</v>
      </c>
      <c r="AI1659">
        <v>1470</v>
      </c>
      <c r="AJ1659" t="s">
        <v>2332</v>
      </c>
      <c r="AL1659">
        <v>241</v>
      </c>
      <c r="AM1659" t="s">
        <v>1455</v>
      </c>
      <c r="AN1659">
        <v>241</v>
      </c>
      <c r="AO1659" t="s">
        <v>1455</v>
      </c>
      <c r="AS1659" t="s">
        <v>3250</v>
      </c>
      <c r="AT1659" t="s">
        <v>3250</v>
      </c>
      <c r="AU1659" t="s">
        <v>3250</v>
      </c>
      <c r="AV1659" t="s">
        <v>3250</v>
      </c>
      <c r="AW1659">
        <v>1470</v>
      </c>
      <c r="AX1659" t="s">
        <v>2332</v>
      </c>
      <c r="AY1659" t="s">
        <v>3250</v>
      </c>
      <c r="AZ1659" t="s">
        <v>3250</v>
      </c>
      <c r="BA1659">
        <v>1470</v>
      </c>
      <c r="BB1659" t="s">
        <v>3250</v>
      </c>
      <c r="BC1659" t="s">
        <v>3250</v>
      </c>
      <c r="BE1659" t="s">
        <v>3250</v>
      </c>
      <c r="BF1659" t="s">
        <v>3250</v>
      </c>
      <c r="BG1659" t="s">
        <v>2332</v>
      </c>
      <c r="BH1659" t="s">
        <v>3250</v>
      </c>
      <c r="BI1659" t="s">
        <v>3250</v>
      </c>
      <c r="BK1659" t="s">
        <v>3250</v>
      </c>
      <c r="BL1659" t="s">
        <v>3250</v>
      </c>
      <c r="BM1659" t="s">
        <v>3250</v>
      </c>
      <c r="BN1659" t="s">
        <v>3250</v>
      </c>
      <c r="BP1659">
        <v>1</v>
      </c>
      <c r="BQ1659">
        <v>13</v>
      </c>
      <c r="BR1659" t="s">
        <v>2371</v>
      </c>
      <c r="BS1659" t="s">
        <v>3252</v>
      </c>
      <c r="BV1659">
        <v>0</v>
      </c>
      <c r="BW1659">
        <v>0</v>
      </c>
      <c r="BX1659">
        <v>0</v>
      </c>
      <c r="BY1659">
        <v>570234</v>
      </c>
      <c r="BZ1659">
        <v>1020347</v>
      </c>
      <c r="CA1659">
        <v>3368097</v>
      </c>
      <c r="CB1659">
        <v>1102546</v>
      </c>
      <c r="CC1659">
        <v>1146648</v>
      </c>
      <c r="CD1659">
        <v>0</v>
      </c>
      <c r="CE1659" t="s">
        <v>3108</v>
      </c>
      <c r="CF1659" t="s">
        <v>3108</v>
      </c>
      <c r="CG1659" t="s">
        <v>3108</v>
      </c>
      <c r="CH1659" t="s">
        <v>3108</v>
      </c>
    </row>
    <row r="1660" spans="1:86" x14ac:dyDescent="0.2">
      <c r="A1660" t="s">
        <v>5647</v>
      </c>
      <c r="B1660" t="s">
        <v>5647</v>
      </c>
      <c r="C1660">
        <v>54777</v>
      </c>
      <c r="D1660">
        <v>1775</v>
      </c>
      <c r="E1660" t="s">
        <v>5648</v>
      </c>
      <c r="F1660" t="s">
        <v>3249</v>
      </c>
      <c r="G1660" t="s">
        <v>3249</v>
      </c>
      <c r="H1660" t="s">
        <v>3250</v>
      </c>
      <c r="I1660" t="s">
        <v>3250</v>
      </c>
      <c r="J1660" t="s">
        <v>3250</v>
      </c>
      <c r="K1660" t="s">
        <v>3250</v>
      </c>
      <c r="L1660">
        <v>1200</v>
      </c>
      <c r="M1660" t="s">
        <v>2368</v>
      </c>
      <c r="N1660">
        <v>1202</v>
      </c>
      <c r="O1660" t="s">
        <v>2371</v>
      </c>
      <c r="P1660" t="s">
        <v>3108</v>
      </c>
      <c r="Q1660" t="s">
        <v>3249</v>
      </c>
      <c r="R1660" t="s">
        <v>3249</v>
      </c>
      <c r="S1660" t="s">
        <v>472</v>
      </c>
      <c r="T1660" t="s">
        <v>3251</v>
      </c>
      <c r="U1660">
        <v>240</v>
      </c>
      <c r="V1660" t="s">
        <v>4251</v>
      </c>
      <c r="W1660">
        <v>240</v>
      </c>
      <c r="X1660" t="s">
        <v>1323</v>
      </c>
      <c r="Y1660" t="s">
        <v>3250</v>
      </c>
      <c r="Z1660" t="s">
        <v>3250</v>
      </c>
      <c r="AA1660" t="s">
        <v>3108</v>
      </c>
      <c r="AB1660" t="s">
        <v>3108</v>
      </c>
      <c r="AC1660" t="s">
        <v>3250</v>
      </c>
      <c r="AD1660" t="s">
        <v>3250</v>
      </c>
      <c r="AE1660" t="s">
        <v>3250</v>
      </c>
      <c r="AF1660" t="s">
        <v>3250</v>
      </c>
      <c r="AG1660">
        <v>1470</v>
      </c>
      <c r="AH1660" t="s">
        <v>2332</v>
      </c>
      <c r="AI1660">
        <v>1470</v>
      </c>
      <c r="AJ1660" t="s">
        <v>2332</v>
      </c>
      <c r="AL1660">
        <v>243</v>
      </c>
      <c r="AM1660" t="s">
        <v>700</v>
      </c>
      <c r="AN1660">
        <v>243</v>
      </c>
      <c r="AO1660" t="s">
        <v>700</v>
      </c>
      <c r="AS1660" t="s">
        <v>3250</v>
      </c>
      <c r="AT1660" t="s">
        <v>3250</v>
      </c>
      <c r="AU1660" t="s">
        <v>3250</v>
      </c>
      <c r="AV1660" t="s">
        <v>3250</v>
      </c>
      <c r="AW1660" t="s">
        <v>3250</v>
      </c>
      <c r="AX1660" t="s">
        <v>3250</v>
      </c>
      <c r="AY1660" t="s">
        <v>3250</v>
      </c>
      <c r="AZ1660" t="s">
        <v>3250</v>
      </c>
      <c r="BA1660" t="s">
        <v>3250</v>
      </c>
      <c r="BB1660" t="s">
        <v>3250</v>
      </c>
      <c r="BC1660" t="s">
        <v>3250</v>
      </c>
      <c r="BE1660" t="s">
        <v>3250</v>
      </c>
      <c r="BF1660" t="s">
        <v>3250</v>
      </c>
      <c r="BG1660" t="s">
        <v>3250</v>
      </c>
      <c r="BH1660" t="s">
        <v>3250</v>
      </c>
      <c r="BI1660" t="s">
        <v>3250</v>
      </c>
      <c r="BK1660" t="s">
        <v>3250</v>
      </c>
      <c r="BL1660" t="s">
        <v>3250</v>
      </c>
      <c r="BM1660" t="s">
        <v>3250</v>
      </c>
      <c r="BN1660" t="s">
        <v>3250</v>
      </c>
      <c r="BP1660">
        <v>1</v>
      </c>
      <c r="BQ1660">
        <v>13</v>
      </c>
      <c r="BR1660" t="s">
        <v>2371</v>
      </c>
      <c r="BS1660" t="s">
        <v>3252</v>
      </c>
      <c r="BV1660">
        <v>0</v>
      </c>
      <c r="BW1660">
        <v>0</v>
      </c>
      <c r="BX1660">
        <v>0</v>
      </c>
      <c r="BY1660">
        <v>-1964</v>
      </c>
      <c r="BZ1660">
        <v>0</v>
      </c>
      <c r="CA1660">
        <v>0</v>
      </c>
      <c r="CB1660">
        <v>0</v>
      </c>
      <c r="CC1660">
        <v>0</v>
      </c>
      <c r="CD1660">
        <v>0</v>
      </c>
      <c r="CE1660" t="s">
        <v>3108</v>
      </c>
      <c r="CF1660" t="s">
        <v>3108</v>
      </c>
      <c r="CG1660" t="s">
        <v>3108</v>
      </c>
      <c r="CH1660" t="s">
        <v>3108</v>
      </c>
    </row>
    <row r="1661" spans="1:86" x14ac:dyDescent="0.2">
      <c r="A1661" t="s">
        <v>5649</v>
      </c>
      <c r="B1661" t="s">
        <v>5649</v>
      </c>
      <c r="C1661">
        <v>54778</v>
      </c>
      <c r="D1661">
        <v>1776</v>
      </c>
      <c r="E1661" t="s">
        <v>5650</v>
      </c>
      <c r="F1661" t="s">
        <v>3249</v>
      </c>
      <c r="G1661" t="s">
        <v>3249</v>
      </c>
      <c r="H1661" t="s">
        <v>3250</v>
      </c>
      <c r="I1661" t="s">
        <v>3250</v>
      </c>
      <c r="J1661" t="s">
        <v>3250</v>
      </c>
      <c r="K1661" t="s">
        <v>3250</v>
      </c>
      <c r="L1661">
        <v>1200</v>
      </c>
      <c r="M1661" t="s">
        <v>2368</v>
      </c>
      <c r="N1661">
        <v>1202</v>
      </c>
      <c r="O1661" t="s">
        <v>2371</v>
      </c>
      <c r="P1661" t="s">
        <v>3108</v>
      </c>
      <c r="Q1661" t="s">
        <v>3249</v>
      </c>
      <c r="R1661" t="s">
        <v>3249</v>
      </c>
      <c r="S1661" t="s">
        <v>427</v>
      </c>
      <c r="T1661" t="s">
        <v>3251</v>
      </c>
      <c r="U1661">
        <v>240</v>
      </c>
      <c r="V1661" t="s">
        <v>4251</v>
      </c>
      <c r="W1661">
        <v>240</v>
      </c>
      <c r="X1661" t="s">
        <v>1323</v>
      </c>
      <c r="Y1661" t="s">
        <v>3250</v>
      </c>
      <c r="Z1661" t="s">
        <v>3250</v>
      </c>
      <c r="AA1661" t="s">
        <v>3108</v>
      </c>
      <c r="AB1661" t="s">
        <v>3108</v>
      </c>
      <c r="AC1661" t="s">
        <v>3250</v>
      </c>
      <c r="AD1661" t="s">
        <v>3250</v>
      </c>
      <c r="AE1661" t="s">
        <v>3250</v>
      </c>
      <c r="AF1661" t="s">
        <v>3250</v>
      </c>
      <c r="AG1661">
        <v>770</v>
      </c>
      <c r="AH1661" t="s">
        <v>2282</v>
      </c>
      <c r="AI1661">
        <v>770</v>
      </c>
      <c r="AJ1661" t="s">
        <v>2282</v>
      </c>
      <c r="AL1661">
        <v>241</v>
      </c>
      <c r="AM1661" t="s">
        <v>1455</v>
      </c>
      <c r="AN1661">
        <v>241</v>
      </c>
      <c r="AO1661" t="s">
        <v>1455</v>
      </c>
      <c r="AS1661" t="s">
        <v>3250</v>
      </c>
      <c r="AT1661" t="s">
        <v>3250</v>
      </c>
      <c r="AU1661" t="s">
        <v>3250</v>
      </c>
      <c r="AV1661" t="s">
        <v>3250</v>
      </c>
      <c r="AW1661">
        <v>790</v>
      </c>
      <c r="AX1661" t="s">
        <v>2284</v>
      </c>
      <c r="AY1661" t="s">
        <v>3250</v>
      </c>
      <c r="AZ1661" t="s">
        <v>3250</v>
      </c>
      <c r="BA1661">
        <v>790</v>
      </c>
      <c r="BB1661" t="s">
        <v>3250</v>
      </c>
      <c r="BC1661" t="s">
        <v>3250</v>
      </c>
      <c r="BE1661" t="s">
        <v>3250</v>
      </c>
      <c r="BF1661" t="s">
        <v>3250</v>
      </c>
      <c r="BG1661" t="s">
        <v>2284</v>
      </c>
      <c r="BH1661" t="s">
        <v>3250</v>
      </c>
      <c r="BI1661" t="s">
        <v>3250</v>
      </c>
      <c r="BK1661" t="s">
        <v>3250</v>
      </c>
      <c r="BL1661" t="s">
        <v>3250</v>
      </c>
      <c r="BM1661" t="s">
        <v>3250</v>
      </c>
      <c r="BN1661" t="s">
        <v>3250</v>
      </c>
      <c r="BP1661">
        <v>1</v>
      </c>
      <c r="BQ1661">
        <v>13</v>
      </c>
      <c r="BR1661" t="s">
        <v>2371</v>
      </c>
      <c r="BS1661" t="s">
        <v>3252</v>
      </c>
      <c r="BV1661">
        <v>0</v>
      </c>
      <c r="BW1661">
        <v>0</v>
      </c>
      <c r="BX1661">
        <v>0</v>
      </c>
      <c r="BY1661">
        <v>90719296</v>
      </c>
      <c r="BZ1661">
        <v>109340411</v>
      </c>
      <c r="CA1661">
        <v>96630602</v>
      </c>
      <c r="CB1661">
        <v>104415163</v>
      </c>
      <c r="CC1661">
        <v>108591770</v>
      </c>
      <c r="CD1661">
        <v>0</v>
      </c>
      <c r="CE1661" t="s">
        <v>3108</v>
      </c>
      <c r="CF1661" t="s">
        <v>3108</v>
      </c>
      <c r="CG1661" t="s">
        <v>3108</v>
      </c>
      <c r="CH1661" t="s">
        <v>3108</v>
      </c>
    </row>
    <row r="1662" spans="1:86" x14ac:dyDescent="0.2">
      <c r="A1662" t="s">
        <v>5651</v>
      </c>
      <c r="B1662" t="s">
        <v>5651</v>
      </c>
      <c r="C1662">
        <v>54779</v>
      </c>
      <c r="D1662">
        <v>1777</v>
      </c>
      <c r="E1662" t="s">
        <v>5652</v>
      </c>
      <c r="F1662" t="s">
        <v>3249</v>
      </c>
      <c r="G1662" t="s">
        <v>3249</v>
      </c>
      <c r="H1662" t="s">
        <v>3250</v>
      </c>
      <c r="I1662" t="s">
        <v>3250</v>
      </c>
      <c r="J1662" t="s">
        <v>3250</v>
      </c>
      <c r="K1662" t="s">
        <v>3250</v>
      </c>
      <c r="L1662">
        <v>1200</v>
      </c>
      <c r="M1662" t="s">
        <v>2368</v>
      </c>
      <c r="N1662">
        <v>1202</v>
      </c>
      <c r="O1662" t="s">
        <v>2371</v>
      </c>
      <c r="P1662" t="s">
        <v>3108</v>
      </c>
      <c r="Q1662" t="s">
        <v>3249</v>
      </c>
      <c r="R1662" t="s">
        <v>3249</v>
      </c>
      <c r="S1662" t="s">
        <v>472</v>
      </c>
      <c r="T1662" t="s">
        <v>3251</v>
      </c>
      <c r="U1662">
        <v>240</v>
      </c>
      <c r="V1662" t="s">
        <v>4251</v>
      </c>
      <c r="W1662">
        <v>240</v>
      </c>
      <c r="X1662" t="s">
        <v>1323</v>
      </c>
      <c r="Y1662" t="s">
        <v>3250</v>
      </c>
      <c r="Z1662" t="s">
        <v>3250</v>
      </c>
      <c r="AA1662" t="s">
        <v>3108</v>
      </c>
      <c r="AB1662" t="s">
        <v>3108</v>
      </c>
      <c r="AC1662" t="s">
        <v>3250</v>
      </c>
      <c r="AD1662" t="s">
        <v>3250</v>
      </c>
      <c r="AE1662" t="s">
        <v>3250</v>
      </c>
      <c r="AF1662" t="s">
        <v>3250</v>
      </c>
      <c r="AG1662">
        <v>770</v>
      </c>
      <c r="AH1662" t="s">
        <v>2282</v>
      </c>
      <c r="AI1662">
        <v>770</v>
      </c>
      <c r="AJ1662" t="s">
        <v>2282</v>
      </c>
      <c r="AL1662">
        <v>243</v>
      </c>
      <c r="AM1662" t="s">
        <v>700</v>
      </c>
      <c r="AN1662">
        <v>243</v>
      </c>
      <c r="AO1662" t="s">
        <v>700</v>
      </c>
      <c r="AS1662" t="s">
        <v>3250</v>
      </c>
      <c r="AT1662" t="s">
        <v>3250</v>
      </c>
      <c r="AU1662" t="s">
        <v>3250</v>
      </c>
      <c r="AV1662" t="s">
        <v>3250</v>
      </c>
      <c r="AW1662" t="s">
        <v>3250</v>
      </c>
      <c r="AX1662" t="s">
        <v>3250</v>
      </c>
      <c r="AY1662" t="s">
        <v>3250</v>
      </c>
      <c r="AZ1662" t="s">
        <v>3250</v>
      </c>
      <c r="BA1662" t="s">
        <v>3250</v>
      </c>
      <c r="BB1662" t="s">
        <v>3250</v>
      </c>
      <c r="BC1662" t="s">
        <v>3250</v>
      </c>
      <c r="BE1662" t="s">
        <v>3250</v>
      </c>
      <c r="BF1662" t="s">
        <v>3250</v>
      </c>
      <c r="BG1662" t="s">
        <v>3250</v>
      </c>
      <c r="BH1662" t="s">
        <v>3250</v>
      </c>
      <c r="BI1662" t="s">
        <v>3250</v>
      </c>
      <c r="BK1662" t="s">
        <v>3250</v>
      </c>
      <c r="BL1662" t="s">
        <v>3250</v>
      </c>
      <c r="BM1662" t="s">
        <v>3250</v>
      </c>
      <c r="BN1662" t="s">
        <v>3250</v>
      </c>
      <c r="BP1662">
        <v>1</v>
      </c>
      <c r="BQ1662">
        <v>13</v>
      </c>
      <c r="BR1662" t="s">
        <v>2371</v>
      </c>
      <c r="BS1662" t="s">
        <v>3252</v>
      </c>
      <c r="BV1662">
        <v>0</v>
      </c>
      <c r="BW1662">
        <v>0</v>
      </c>
      <c r="BX1662">
        <v>0</v>
      </c>
      <c r="BY1662">
        <v>-23030718</v>
      </c>
      <c r="BZ1662">
        <v>-30712012</v>
      </c>
      <c r="CA1662">
        <v>-26931758</v>
      </c>
      <c r="CB1662">
        <v>-33186172</v>
      </c>
      <c r="CC1662">
        <v>-34513619</v>
      </c>
      <c r="CD1662">
        <v>0</v>
      </c>
      <c r="CE1662" t="s">
        <v>3108</v>
      </c>
      <c r="CF1662" t="s">
        <v>3108</v>
      </c>
      <c r="CG1662" t="s">
        <v>3108</v>
      </c>
      <c r="CH1662" t="s">
        <v>3108</v>
      </c>
    </row>
    <row r="1663" spans="1:86" x14ac:dyDescent="0.2">
      <c r="A1663" t="s">
        <v>5653</v>
      </c>
      <c r="B1663" t="s">
        <v>5653</v>
      </c>
      <c r="C1663">
        <v>54780</v>
      </c>
      <c r="D1663">
        <v>1778</v>
      </c>
      <c r="E1663" t="s">
        <v>5654</v>
      </c>
      <c r="F1663" t="s">
        <v>3249</v>
      </c>
      <c r="G1663" t="s">
        <v>3249</v>
      </c>
      <c r="H1663" t="s">
        <v>3250</v>
      </c>
      <c r="I1663" t="s">
        <v>3250</v>
      </c>
      <c r="J1663" t="s">
        <v>3250</v>
      </c>
      <c r="K1663" t="s">
        <v>3250</v>
      </c>
      <c r="L1663">
        <v>1200</v>
      </c>
      <c r="M1663" t="s">
        <v>2368</v>
      </c>
      <c r="N1663">
        <v>1202</v>
      </c>
      <c r="O1663" t="s">
        <v>2371</v>
      </c>
      <c r="P1663" t="s">
        <v>3108</v>
      </c>
      <c r="Q1663" t="s">
        <v>3249</v>
      </c>
      <c r="R1663" t="s">
        <v>3249</v>
      </c>
      <c r="S1663" t="s">
        <v>427</v>
      </c>
      <c r="T1663" t="s">
        <v>3251</v>
      </c>
      <c r="U1663">
        <v>240</v>
      </c>
      <c r="V1663" t="s">
        <v>4251</v>
      </c>
      <c r="W1663">
        <v>240</v>
      </c>
      <c r="X1663" t="s">
        <v>1323</v>
      </c>
      <c r="Y1663" t="s">
        <v>3250</v>
      </c>
      <c r="Z1663" t="s">
        <v>3250</v>
      </c>
      <c r="AA1663" t="s">
        <v>3108</v>
      </c>
      <c r="AB1663" t="s">
        <v>3108</v>
      </c>
      <c r="AC1663" t="s">
        <v>3250</v>
      </c>
      <c r="AD1663" t="s">
        <v>3250</v>
      </c>
      <c r="AE1663" t="s">
        <v>3250</v>
      </c>
      <c r="AF1663" t="s">
        <v>3250</v>
      </c>
      <c r="AG1663">
        <v>1180</v>
      </c>
      <c r="AH1663" t="s">
        <v>1738</v>
      </c>
      <c r="AI1663">
        <v>1180</v>
      </c>
      <c r="AJ1663" t="s">
        <v>1738</v>
      </c>
      <c r="AL1663">
        <v>241</v>
      </c>
      <c r="AM1663" t="s">
        <v>1455</v>
      </c>
      <c r="AN1663">
        <v>241</v>
      </c>
      <c r="AO1663" t="s">
        <v>1455</v>
      </c>
      <c r="AS1663" t="s">
        <v>3250</v>
      </c>
      <c r="AT1663" t="s">
        <v>3250</v>
      </c>
      <c r="AU1663" t="s">
        <v>3250</v>
      </c>
      <c r="AV1663" t="s">
        <v>3250</v>
      </c>
      <c r="AW1663">
        <v>1200</v>
      </c>
      <c r="AX1663" t="s">
        <v>2310</v>
      </c>
      <c r="AY1663" t="s">
        <v>3250</v>
      </c>
      <c r="AZ1663" t="s">
        <v>3250</v>
      </c>
      <c r="BA1663">
        <v>1200</v>
      </c>
      <c r="BB1663" t="s">
        <v>3250</v>
      </c>
      <c r="BC1663" t="s">
        <v>3250</v>
      </c>
      <c r="BE1663" t="s">
        <v>3250</v>
      </c>
      <c r="BF1663" t="s">
        <v>3250</v>
      </c>
      <c r="BG1663" t="s">
        <v>2310</v>
      </c>
      <c r="BH1663" t="s">
        <v>3250</v>
      </c>
      <c r="BI1663" t="s">
        <v>3250</v>
      </c>
      <c r="BK1663" t="s">
        <v>3250</v>
      </c>
      <c r="BL1663" t="s">
        <v>3250</v>
      </c>
      <c r="BM1663" t="s">
        <v>3250</v>
      </c>
      <c r="BN1663" t="s">
        <v>3250</v>
      </c>
      <c r="BP1663">
        <v>1</v>
      </c>
      <c r="BQ1663">
        <v>13</v>
      </c>
      <c r="BR1663" t="s">
        <v>2371</v>
      </c>
      <c r="BS1663" t="s">
        <v>3252</v>
      </c>
      <c r="BV1663">
        <v>0</v>
      </c>
      <c r="BW1663">
        <v>0</v>
      </c>
      <c r="BX1663">
        <v>0</v>
      </c>
      <c r="BY1663">
        <v>12980672</v>
      </c>
      <c r="BZ1663">
        <v>0</v>
      </c>
      <c r="CA1663">
        <v>0</v>
      </c>
      <c r="CB1663">
        <v>0</v>
      </c>
      <c r="CC1663">
        <v>0</v>
      </c>
      <c r="CD1663">
        <v>0</v>
      </c>
      <c r="CE1663" t="s">
        <v>3108</v>
      </c>
      <c r="CF1663" t="s">
        <v>3108</v>
      </c>
      <c r="CG1663" t="s">
        <v>3108</v>
      </c>
      <c r="CH1663" t="s">
        <v>3108</v>
      </c>
    </row>
    <row r="1664" spans="1:86" x14ac:dyDescent="0.2">
      <c r="A1664" t="s">
        <v>5655</v>
      </c>
      <c r="B1664" t="s">
        <v>5655</v>
      </c>
      <c r="C1664">
        <v>54781</v>
      </c>
      <c r="D1664">
        <v>1779</v>
      </c>
      <c r="E1664" t="s">
        <v>5656</v>
      </c>
      <c r="F1664" t="s">
        <v>3249</v>
      </c>
      <c r="G1664" t="s">
        <v>3249</v>
      </c>
      <c r="H1664" t="s">
        <v>3250</v>
      </c>
      <c r="I1664" t="s">
        <v>3250</v>
      </c>
      <c r="J1664" t="s">
        <v>3250</v>
      </c>
      <c r="K1664" t="s">
        <v>3250</v>
      </c>
      <c r="L1664">
        <v>1200</v>
      </c>
      <c r="M1664" t="s">
        <v>2368</v>
      </c>
      <c r="N1664">
        <v>1202</v>
      </c>
      <c r="O1664" t="s">
        <v>2371</v>
      </c>
      <c r="P1664" t="s">
        <v>3108</v>
      </c>
      <c r="Q1664" t="s">
        <v>3249</v>
      </c>
      <c r="R1664" t="s">
        <v>3249</v>
      </c>
      <c r="S1664" t="s">
        <v>472</v>
      </c>
      <c r="T1664" t="s">
        <v>3251</v>
      </c>
      <c r="U1664">
        <v>240</v>
      </c>
      <c r="V1664" t="s">
        <v>4251</v>
      </c>
      <c r="W1664">
        <v>240</v>
      </c>
      <c r="X1664" t="s">
        <v>1323</v>
      </c>
      <c r="Y1664" t="s">
        <v>3250</v>
      </c>
      <c r="Z1664" t="s">
        <v>3250</v>
      </c>
      <c r="AA1664" t="s">
        <v>3108</v>
      </c>
      <c r="AB1664" t="s">
        <v>3108</v>
      </c>
      <c r="AC1664" t="s">
        <v>3250</v>
      </c>
      <c r="AD1664" t="s">
        <v>3250</v>
      </c>
      <c r="AE1664" t="s">
        <v>3250</v>
      </c>
      <c r="AF1664" t="s">
        <v>3250</v>
      </c>
      <c r="AG1664">
        <v>1180</v>
      </c>
      <c r="AH1664" t="s">
        <v>1738</v>
      </c>
      <c r="AI1664">
        <v>1180</v>
      </c>
      <c r="AJ1664" t="s">
        <v>1738</v>
      </c>
      <c r="AL1664">
        <v>243</v>
      </c>
      <c r="AM1664" t="s">
        <v>700</v>
      </c>
      <c r="AN1664">
        <v>243</v>
      </c>
      <c r="AO1664" t="s">
        <v>700</v>
      </c>
      <c r="AS1664" t="s">
        <v>3250</v>
      </c>
      <c r="AT1664" t="s">
        <v>3250</v>
      </c>
      <c r="AU1664" t="s">
        <v>3250</v>
      </c>
      <c r="AV1664" t="s">
        <v>3250</v>
      </c>
      <c r="AW1664" t="s">
        <v>3250</v>
      </c>
      <c r="AX1664" t="s">
        <v>3250</v>
      </c>
      <c r="AY1664" t="s">
        <v>3250</v>
      </c>
      <c r="AZ1664" t="s">
        <v>3250</v>
      </c>
      <c r="BA1664" t="s">
        <v>3250</v>
      </c>
      <c r="BB1664" t="s">
        <v>3250</v>
      </c>
      <c r="BC1664" t="s">
        <v>3250</v>
      </c>
      <c r="BE1664" t="s">
        <v>3250</v>
      </c>
      <c r="BF1664" t="s">
        <v>3250</v>
      </c>
      <c r="BG1664" t="s">
        <v>3250</v>
      </c>
      <c r="BH1664" t="s">
        <v>3250</v>
      </c>
      <c r="BI1664" t="s">
        <v>3250</v>
      </c>
      <c r="BK1664" t="s">
        <v>3250</v>
      </c>
      <c r="BL1664" t="s">
        <v>3250</v>
      </c>
      <c r="BM1664" t="s">
        <v>3250</v>
      </c>
      <c r="BN1664" t="s">
        <v>3250</v>
      </c>
      <c r="BP1664">
        <v>1</v>
      </c>
      <c r="BQ1664">
        <v>13</v>
      </c>
      <c r="BR1664" t="s">
        <v>2371</v>
      </c>
      <c r="BS1664" t="s">
        <v>3252</v>
      </c>
      <c r="BV1664">
        <v>0</v>
      </c>
      <c r="BW1664">
        <v>0</v>
      </c>
      <c r="BX1664">
        <v>0</v>
      </c>
      <c r="BY1664">
        <v>0</v>
      </c>
      <c r="BZ1664">
        <v>0</v>
      </c>
      <c r="CA1664">
        <v>-3780254</v>
      </c>
      <c r="CB1664">
        <v>0</v>
      </c>
      <c r="CC1664">
        <v>0</v>
      </c>
      <c r="CD1664">
        <v>0</v>
      </c>
      <c r="CE1664" t="s">
        <v>3108</v>
      </c>
      <c r="CF1664" t="s">
        <v>3108</v>
      </c>
      <c r="CG1664" t="s">
        <v>3108</v>
      </c>
      <c r="CH1664" t="s">
        <v>3108</v>
      </c>
    </row>
    <row r="1665" spans="1:86" x14ac:dyDescent="0.2">
      <c r="A1665" t="s">
        <v>5657</v>
      </c>
      <c r="B1665" t="s">
        <v>5657</v>
      </c>
      <c r="C1665">
        <v>54782</v>
      </c>
      <c r="D1665">
        <v>1780</v>
      </c>
      <c r="E1665" t="s">
        <v>5658</v>
      </c>
      <c r="F1665" t="s">
        <v>3249</v>
      </c>
      <c r="G1665" t="s">
        <v>3249</v>
      </c>
      <c r="H1665" t="s">
        <v>3250</v>
      </c>
      <c r="I1665" t="s">
        <v>3250</v>
      </c>
      <c r="J1665" t="s">
        <v>3250</v>
      </c>
      <c r="K1665" t="s">
        <v>3250</v>
      </c>
      <c r="L1665">
        <v>1200</v>
      </c>
      <c r="M1665" t="s">
        <v>2368</v>
      </c>
      <c r="N1665">
        <v>1202</v>
      </c>
      <c r="O1665" t="s">
        <v>2371</v>
      </c>
      <c r="P1665" t="s">
        <v>3108</v>
      </c>
      <c r="Q1665" t="s">
        <v>3249</v>
      </c>
      <c r="R1665" t="s">
        <v>3249</v>
      </c>
      <c r="S1665" t="s">
        <v>427</v>
      </c>
      <c r="T1665" t="s">
        <v>3251</v>
      </c>
      <c r="U1665">
        <v>220</v>
      </c>
      <c r="V1665" t="s">
        <v>5318</v>
      </c>
      <c r="W1665">
        <v>220</v>
      </c>
      <c r="X1665" t="s">
        <v>1324</v>
      </c>
      <c r="Y1665" t="s">
        <v>3250</v>
      </c>
      <c r="Z1665" t="s">
        <v>3250</v>
      </c>
      <c r="AA1665" t="s">
        <v>3108</v>
      </c>
      <c r="AB1665" t="s">
        <v>3108</v>
      </c>
      <c r="AC1665" t="s">
        <v>3250</v>
      </c>
      <c r="AD1665" t="s">
        <v>3250</v>
      </c>
      <c r="AE1665" t="s">
        <v>3250</v>
      </c>
      <c r="AF1665" t="s">
        <v>3250</v>
      </c>
      <c r="AG1665">
        <v>1110</v>
      </c>
      <c r="AH1665" t="s">
        <v>829</v>
      </c>
      <c r="AI1665">
        <v>1110</v>
      </c>
      <c r="AJ1665" t="s">
        <v>829</v>
      </c>
      <c r="AL1665" t="s">
        <v>3250</v>
      </c>
      <c r="AM1665" t="s">
        <v>3250</v>
      </c>
      <c r="AN1665" t="s">
        <v>3250</v>
      </c>
      <c r="AO1665" t="s">
        <v>3250</v>
      </c>
      <c r="AS1665" t="s">
        <v>3250</v>
      </c>
      <c r="AT1665" t="s">
        <v>3250</v>
      </c>
      <c r="AU1665" t="s">
        <v>3250</v>
      </c>
      <c r="AV1665" t="s">
        <v>3250</v>
      </c>
      <c r="AW1665">
        <v>1160</v>
      </c>
      <c r="AX1665" t="s">
        <v>2339</v>
      </c>
      <c r="AY1665" t="s">
        <v>3250</v>
      </c>
      <c r="AZ1665" t="s">
        <v>3250</v>
      </c>
      <c r="BA1665">
        <v>1160</v>
      </c>
      <c r="BB1665" t="s">
        <v>3250</v>
      </c>
      <c r="BC1665" t="s">
        <v>3250</v>
      </c>
      <c r="BE1665" t="s">
        <v>3250</v>
      </c>
      <c r="BF1665" t="s">
        <v>3250</v>
      </c>
      <c r="BG1665" t="s">
        <v>2339</v>
      </c>
      <c r="BH1665" t="s">
        <v>3250</v>
      </c>
      <c r="BI1665" t="s">
        <v>3250</v>
      </c>
      <c r="BK1665" t="s">
        <v>3250</v>
      </c>
      <c r="BL1665" t="s">
        <v>3250</v>
      </c>
      <c r="BM1665" t="s">
        <v>3250</v>
      </c>
      <c r="BN1665" t="s">
        <v>3250</v>
      </c>
      <c r="BP1665">
        <v>1</v>
      </c>
      <c r="BQ1665">
        <v>13</v>
      </c>
      <c r="BR1665" t="s">
        <v>2371</v>
      </c>
      <c r="BS1665" t="s">
        <v>3252</v>
      </c>
      <c r="BV1665">
        <v>0</v>
      </c>
      <c r="BW1665">
        <v>0</v>
      </c>
      <c r="BX1665">
        <v>0</v>
      </c>
      <c r="BY1665">
        <v>4523600</v>
      </c>
      <c r="BZ1665">
        <v>10405000</v>
      </c>
      <c r="CA1665">
        <v>10405000</v>
      </c>
      <c r="CB1665">
        <v>11243227</v>
      </c>
      <c r="CC1665">
        <v>11692956</v>
      </c>
      <c r="CD1665">
        <v>0</v>
      </c>
      <c r="CE1665" t="s">
        <v>3108</v>
      </c>
      <c r="CF1665" t="s">
        <v>3108</v>
      </c>
      <c r="CG1665" t="s">
        <v>3108</v>
      </c>
      <c r="CH1665" t="s">
        <v>3108</v>
      </c>
    </row>
    <row r="1666" spans="1:86" x14ac:dyDescent="0.2">
      <c r="A1666" t="s">
        <v>5659</v>
      </c>
      <c r="B1666" t="s">
        <v>5659</v>
      </c>
      <c r="C1666">
        <v>54783</v>
      </c>
      <c r="D1666">
        <v>1781</v>
      </c>
      <c r="E1666" t="s">
        <v>5660</v>
      </c>
      <c r="F1666" t="s">
        <v>3249</v>
      </c>
      <c r="G1666" t="s">
        <v>3249</v>
      </c>
      <c r="H1666" t="s">
        <v>3250</v>
      </c>
      <c r="I1666" t="s">
        <v>3250</v>
      </c>
      <c r="J1666" t="s">
        <v>3250</v>
      </c>
      <c r="K1666" t="s">
        <v>3250</v>
      </c>
      <c r="L1666">
        <v>1200</v>
      </c>
      <c r="M1666" t="s">
        <v>2368</v>
      </c>
      <c r="N1666">
        <v>1202</v>
      </c>
      <c r="O1666" t="s">
        <v>2371</v>
      </c>
      <c r="P1666" t="s">
        <v>3108</v>
      </c>
      <c r="Q1666" t="s">
        <v>3249</v>
      </c>
      <c r="R1666" t="s">
        <v>3249</v>
      </c>
      <c r="S1666" t="s">
        <v>472</v>
      </c>
      <c r="T1666" t="s">
        <v>3251</v>
      </c>
      <c r="U1666">
        <v>240</v>
      </c>
      <c r="V1666" t="s">
        <v>4251</v>
      </c>
      <c r="W1666">
        <v>240</v>
      </c>
      <c r="X1666" t="s">
        <v>1323</v>
      </c>
      <c r="Y1666" t="s">
        <v>3250</v>
      </c>
      <c r="Z1666" t="s">
        <v>3250</v>
      </c>
      <c r="AA1666" t="s">
        <v>3108</v>
      </c>
      <c r="AB1666" t="s">
        <v>3108</v>
      </c>
      <c r="AC1666" t="s">
        <v>3250</v>
      </c>
      <c r="AD1666" t="s">
        <v>3250</v>
      </c>
      <c r="AE1666" t="s">
        <v>3250</v>
      </c>
      <c r="AF1666" t="s">
        <v>3250</v>
      </c>
      <c r="AG1666" t="s">
        <v>3250</v>
      </c>
      <c r="AH1666" t="s">
        <v>3250</v>
      </c>
      <c r="AI1666" t="s">
        <v>3250</v>
      </c>
      <c r="AJ1666" t="s">
        <v>3250</v>
      </c>
      <c r="AL1666">
        <v>241</v>
      </c>
      <c r="AM1666" t="s">
        <v>1455</v>
      </c>
      <c r="AN1666">
        <v>241</v>
      </c>
      <c r="AO1666" t="s">
        <v>1455</v>
      </c>
      <c r="AS1666" t="s">
        <v>3250</v>
      </c>
      <c r="AT1666" t="s">
        <v>3250</v>
      </c>
      <c r="AU1666" t="s">
        <v>3250</v>
      </c>
      <c r="AV1666" t="s">
        <v>3250</v>
      </c>
      <c r="AW1666" t="s">
        <v>3250</v>
      </c>
      <c r="AX1666" t="s">
        <v>3250</v>
      </c>
      <c r="AY1666" t="s">
        <v>3250</v>
      </c>
      <c r="AZ1666" t="s">
        <v>3250</v>
      </c>
      <c r="BA1666" t="s">
        <v>3250</v>
      </c>
      <c r="BB1666" t="s">
        <v>3250</v>
      </c>
      <c r="BC1666" t="s">
        <v>3250</v>
      </c>
      <c r="BE1666" t="s">
        <v>3250</v>
      </c>
      <c r="BF1666" t="s">
        <v>3250</v>
      </c>
      <c r="BG1666" t="s">
        <v>3250</v>
      </c>
      <c r="BH1666" t="s">
        <v>3250</v>
      </c>
      <c r="BI1666" t="s">
        <v>3250</v>
      </c>
      <c r="BK1666" t="s">
        <v>3250</v>
      </c>
      <c r="BL1666" t="s">
        <v>3250</v>
      </c>
      <c r="BM1666" t="s">
        <v>3250</v>
      </c>
      <c r="BN1666" t="s">
        <v>3250</v>
      </c>
      <c r="BP1666">
        <v>1</v>
      </c>
      <c r="BQ1666">
        <v>13</v>
      </c>
      <c r="BR1666" t="s">
        <v>2371</v>
      </c>
      <c r="BS1666" t="s">
        <v>3252</v>
      </c>
      <c r="BV1666">
        <v>0</v>
      </c>
      <c r="BW1666">
        <v>0</v>
      </c>
      <c r="BX1666">
        <v>0</v>
      </c>
      <c r="BY1666">
        <v>8834279</v>
      </c>
      <c r="BZ1666">
        <v>0</v>
      </c>
      <c r="CA1666">
        <v>0</v>
      </c>
      <c r="CB1666">
        <v>0</v>
      </c>
      <c r="CC1666">
        <v>0</v>
      </c>
      <c r="CD1666">
        <v>0</v>
      </c>
      <c r="CE1666" t="s">
        <v>3108</v>
      </c>
      <c r="CF1666" t="s">
        <v>3108</v>
      </c>
      <c r="CG1666" t="s">
        <v>3108</v>
      </c>
      <c r="CH1666" t="s">
        <v>3107</v>
      </c>
    </row>
    <row r="1667" spans="1:86" x14ac:dyDescent="0.2">
      <c r="A1667" t="s">
        <v>5661</v>
      </c>
      <c r="B1667" t="s">
        <v>5661</v>
      </c>
      <c r="C1667">
        <v>54784</v>
      </c>
      <c r="D1667">
        <v>1782</v>
      </c>
      <c r="E1667" t="s">
        <v>5662</v>
      </c>
      <c r="F1667" t="s">
        <v>3249</v>
      </c>
      <c r="G1667" t="s">
        <v>3249</v>
      </c>
      <c r="H1667" t="s">
        <v>3250</v>
      </c>
      <c r="I1667" t="s">
        <v>3250</v>
      </c>
      <c r="J1667" t="s">
        <v>3250</v>
      </c>
      <c r="K1667" t="s">
        <v>3250</v>
      </c>
      <c r="L1667">
        <v>1200</v>
      </c>
      <c r="M1667" t="s">
        <v>2368</v>
      </c>
      <c r="N1667">
        <v>1202</v>
      </c>
      <c r="O1667" t="s">
        <v>2371</v>
      </c>
      <c r="P1667" t="s">
        <v>3108</v>
      </c>
      <c r="Q1667" t="s">
        <v>3249</v>
      </c>
      <c r="R1667" t="s">
        <v>3249</v>
      </c>
      <c r="S1667" t="s">
        <v>427</v>
      </c>
      <c r="T1667" t="s">
        <v>3251</v>
      </c>
      <c r="U1667">
        <v>240</v>
      </c>
      <c r="V1667" t="s">
        <v>4251</v>
      </c>
      <c r="W1667">
        <v>240</v>
      </c>
      <c r="X1667" t="s">
        <v>1323</v>
      </c>
      <c r="Y1667" t="s">
        <v>3250</v>
      </c>
      <c r="Z1667" t="s">
        <v>3250</v>
      </c>
      <c r="AA1667" t="s">
        <v>3108</v>
      </c>
      <c r="AB1667" t="s">
        <v>3108</v>
      </c>
      <c r="AC1667" t="s">
        <v>3250</v>
      </c>
      <c r="AD1667" t="s">
        <v>3250</v>
      </c>
      <c r="AE1667" t="s">
        <v>3250</v>
      </c>
      <c r="AF1667" t="s">
        <v>3250</v>
      </c>
      <c r="AG1667">
        <v>1550</v>
      </c>
      <c r="AH1667" t="s">
        <v>2470</v>
      </c>
      <c r="AI1667">
        <v>1550</v>
      </c>
      <c r="AJ1667" t="s">
        <v>2470</v>
      </c>
      <c r="AL1667">
        <v>241</v>
      </c>
      <c r="AM1667" t="s">
        <v>1455</v>
      </c>
      <c r="AN1667">
        <v>241</v>
      </c>
      <c r="AO1667" t="s">
        <v>1455</v>
      </c>
      <c r="AS1667">
        <v>1550</v>
      </c>
      <c r="AT1667">
        <v>1550</v>
      </c>
      <c r="AU1667" t="s">
        <v>2470</v>
      </c>
      <c r="AV1667" t="s">
        <v>2470</v>
      </c>
      <c r="AW1667" t="s">
        <v>3250</v>
      </c>
      <c r="AX1667" t="s">
        <v>3250</v>
      </c>
      <c r="AY1667" t="s">
        <v>3250</v>
      </c>
      <c r="AZ1667" t="s">
        <v>3250</v>
      </c>
      <c r="BA1667" t="s">
        <v>3250</v>
      </c>
      <c r="BB1667" t="s">
        <v>3250</v>
      </c>
      <c r="BC1667" t="s">
        <v>3250</v>
      </c>
      <c r="BE1667" t="s">
        <v>3250</v>
      </c>
      <c r="BF1667" t="s">
        <v>3250</v>
      </c>
      <c r="BG1667" t="s">
        <v>3250</v>
      </c>
      <c r="BH1667" t="s">
        <v>3250</v>
      </c>
      <c r="BI1667" t="s">
        <v>3250</v>
      </c>
      <c r="BK1667" t="s">
        <v>3250</v>
      </c>
      <c r="BL1667" t="s">
        <v>3250</v>
      </c>
      <c r="BM1667" t="s">
        <v>3250</v>
      </c>
      <c r="BN1667" t="s">
        <v>3250</v>
      </c>
      <c r="BP1667">
        <v>1</v>
      </c>
      <c r="BQ1667">
        <v>13</v>
      </c>
      <c r="BR1667" t="s">
        <v>2371</v>
      </c>
      <c r="BS1667" t="s">
        <v>3252</v>
      </c>
      <c r="BV1667">
        <v>0</v>
      </c>
      <c r="BW1667">
        <v>0</v>
      </c>
      <c r="BX1667">
        <v>0</v>
      </c>
      <c r="BY1667">
        <v>728000</v>
      </c>
      <c r="BZ1667">
        <v>728000</v>
      </c>
      <c r="CA1667">
        <v>13437809</v>
      </c>
      <c r="CB1667">
        <v>786648</v>
      </c>
      <c r="CC1667">
        <v>818114</v>
      </c>
      <c r="CD1667">
        <v>0</v>
      </c>
      <c r="CE1667" t="s">
        <v>3108</v>
      </c>
      <c r="CF1667" t="s">
        <v>3108</v>
      </c>
      <c r="CG1667" t="s">
        <v>3108</v>
      </c>
      <c r="CH1667" t="s">
        <v>3108</v>
      </c>
    </row>
    <row r="1668" spans="1:86" x14ac:dyDescent="0.2">
      <c r="A1668" t="s">
        <v>5663</v>
      </c>
      <c r="B1668" t="s">
        <v>5663</v>
      </c>
      <c r="C1668">
        <v>54785</v>
      </c>
      <c r="D1668">
        <v>1783</v>
      </c>
      <c r="E1668" t="s">
        <v>4250</v>
      </c>
      <c r="F1668" t="s">
        <v>3249</v>
      </c>
      <c r="G1668" t="s">
        <v>3249</v>
      </c>
      <c r="H1668" t="s">
        <v>3250</v>
      </c>
      <c r="I1668" t="s">
        <v>3250</v>
      </c>
      <c r="J1668" t="s">
        <v>3250</v>
      </c>
      <c r="K1668" t="s">
        <v>3250</v>
      </c>
      <c r="L1668">
        <v>2100</v>
      </c>
      <c r="M1668" t="s">
        <v>123</v>
      </c>
      <c r="N1668">
        <v>2106</v>
      </c>
      <c r="O1668" t="s">
        <v>2399</v>
      </c>
      <c r="P1668" t="s">
        <v>2805</v>
      </c>
      <c r="Q1668">
        <v>2010</v>
      </c>
      <c r="R1668" t="s">
        <v>1355</v>
      </c>
      <c r="S1668" t="s">
        <v>427</v>
      </c>
      <c r="T1668" t="s">
        <v>3251</v>
      </c>
      <c r="U1668">
        <v>240</v>
      </c>
      <c r="V1668" t="s">
        <v>4251</v>
      </c>
      <c r="W1668">
        <v>240</v>
      </c>
      <c r="X1668" t="s">
        <v>1323</v>
      </c>
      <c r="Y1668" t="s">
        <v>3250</v>
      </c>
      <c r="Z1668" t="s">
        <v>3250</v>
      </c>
      <c r="AA1668" t="s">
        <v>3108</v>
      </c>
      <c r="AB1668" t="s">
        <v>3108</v>
      </c>
      <c r="AC1668" t="s">
        <v>3250</v>
      </c>
      <c r="AD1668" t="s">
        <v>3250</v>
      </c>
      <c r="AE1668" t="s">
        <v>3250</v>
      </c>
      <c r="AF1668" t="s">
        <v>3250</v>
      </c>
      <c r="AG1668" t="s">
        <v>3250</v>
      </c>
      <c r="AH1668" t="s">
        <v>3250</v>
      </c>
      <c r="AI1668" t="s">
        <v>3250</v>
      </c>
      <c r="AJ1668" t="s">
        <v>3250</v>
      </c>
      <c r="AK1668">
        <v>770</v>
      </c>
      <c r="AL1668">
        <v>241</v>
      </c>
      <c r="AM1668" t="s">
        <v>1455</v>
      </c>
      <c r="AN1668">
        <v>241</v>
      </c>
      <c r="AO1668" t="s">
        <v>1455</v>
      </c>
      <c r="AS1668">
        <v>790</v>
      </c>
      <c r="AT1668">
        <v>790</v>
      </c>
      <c r="AU1668" t="s">
        <v>2284</v>
      </c>
      <c r="AV1668" t="s">
        <v>2284</v>
      </c>
      <c r="AW1668" t="s">
        <v>3250</v>
      </c>
      <c r="AX1668" t="s">
        <v>3250</v>
      </c>
      <c r="AY1668" t="s">
        <v>3250</v>
      </c>
      <c r="AZ1668" t="s">
        <v>3250</v>
      </c>
      <c r="BA1668" t="s">
        <v>3250</v>
      </c>
      <c r="BB1668" t="s">
        <v>3250</v>
      </c>
      <c r="BC1668" t="s">
        <v>3250</v>
      </c>
      <c r="BE1668" t="s">
        <v>3250</v>
      </c>
      <c r="BF1668" t="s">
        <v>3250</v>
      </c>
      <c r="BG1668" t="s">
        <v>3250</v>
      </c>
      <c r="BH1668" t="s">
        <v>3250</v>
      </c>
      <c r="BI1668" t="s">
        <v>3250</v>
      </c>
      <c r="BK1668" t="s">
        <v>3250</v>
      </c>
      <c r="BL1668" t="s">
        <v>3250</v>
      </c>
      <c r="BM1668" t="s">
        <v>3250</v>
      </c>
      <c r="BN1668" t="s">
        <v>3250</v>
      </c>
      <c r="BP1668">
        <v>5</v>
      </c>
      <c r="BQ1668">
        <v>53</v>
      </c>
      <c r="BR1668" t="s">
        <v>2399</v>
      </c>
      <c r="BS1668" t="s">
        <v>4136</v>
      </c>
      <c r="BV1668">
        <v>4115808</v>
      </c>
      <c r="BW1668">
        <v>454113</v>
      </c>
      <c r="BX1668">
        <v>0</v>
      </c>
      <c r="BY1668">
        <v>507082</v>
      </c>
      <c r="BZ1668">
        <v>0</v>
      </c>
      <c r="CA1668">
        <v>0</v>
      </c>
      <c r="CB1668">
        <v>0</v>
      </c>
      <c r="CC1668">
        <v>0</v>
      </c>
      <c r="CD1668">
        <v>4808874</v>
      </c>
      <c r="CE1668" t="s">
        <v>3108</v>
      </c>
      <c r="CF1668" t="s">
        <v>3108</v>
      </c>
      <c r="CG1668" t="s">
        <v>3108</v>
      </c>
      <c r="CH1668" t="s">
        <v>3108</v>
      </c>
    </row>
    <row r="1669" spans="1:86" x14ac:dyDescent="0.2">
      <c r="A1669" t="s">
        <v>5664</v>
      </c>
      <c r="B1669" t="s">
        <v>5664</v>
      </c>
      <c r="C1669">
        <v>54786</v>
      </c>
      <c r="D1669">
        <v>1784</v>
      </c>
      <c r="E1669" t="s">
        <v>4680</v>
      </c>
      <c r="F1669" t="s">
        <v>3249</v>
      </c>
      <c r="G1669" t="s">
        <v>3249</v>
      </c>
      <c r="H1669" t="s">
        <v>3250</v>
      </c>
      <c r="I1669" t="s">
        <v>3250</v>
      </c>
      <c r="J1669" t="s">
        <v>3250</v>
      </c>
      <c r="K1669" t="s">
        <v>3250</v>
      </c>
      <c r="L1669">
        <v>3200</v>
      </c>
      <c r="M1669" t="s">
        <v>128</v>
      </c>
      <c r="N1669">
        <v>3205</v>
      </c>
      <c r="O1669" t="s">
        <v>629</v>
      </c>
      <c r="P1669" t="s">
        <v>2805</v>
      </c>
      <c r="Q1669">
        <v>2080</v>
      </c>
      <c r="R1669" t="s">
        <v>423</v>
      </c>
      <c r="S1669" t="s">
        <v>427</v>
      </c>
      <c r="T1669" t="s">
        <v>3251</v>
      </c>
      <c r="U1669">
        <v>240</v>
      </c>
      <c r="V1669" t="s">
        <v>4251</v>
      </c>
      <c r="W1669">
        <v>240</v>
      </c>
      <c r="X1669" t="s">
        <v>1323</v>
      </c>
      <c r="Y1669" t="s">
        <v>3250</v>
      </c>
      <c r="Z1669" t="s">
        <v>3250</v>
      </c>
      <c r="AA1669" t="s">
        <v>3108</v>
      </c>
      <c r="AB1669" t="s">
        <v>3108</v>
      </c>
      <c r="AC1669" t="s">
        <v>3250</v>
      </c>
      <c r="AD1669" t="s">
        <v>3250</v>
      </c>
      <c r="AE1669" t="s">
        <v>3250</v>
      </c>
      <c r="AF1669" t="s">
        <v>3250</v>
      </c>
      <c r="AG1669">
        <v>1530</v>
      </c>
      <c r="AH1669" t="s">
        <v>2335</v>
      </c>
      <c r="AI1669">
        <v>1530</v>
      </c>
      <c r="AJ1669" t="s">
        <v>2335</v>
      </c>
      <c r="AL1669">
        <v>241</v>
      </c>
      <c r="AM1669" t="s">
        <v>1455</v>
      </c>
      <c r="AN1669">
        <v>241</v>
      </c>
      <c r="AO1669" t="s">
        <v>1455</v>
      </c>
      <c r="AS1669">
        <v>1530</v>
      </c>
      <c r="AT1669">
        <v>1530</v>
      </c>
      <c r="AU1669" t="s">
        <v>2335</v>
      </c>
      <c r="AV1669" t="s">
        <v>2335</v>
      </c>
      <c r="AW1669" t="s">
        <v>3250</v>
      </c>
      <c r="AX1669" t="s">
        <v>3250</v>
      </c>
      <c r="AY1669" t="s">
        <v>3250</v>
      </c>
      <c r="AZ1669" t="s">
        <v>3250</v>
      </c>
      <c r="BA1669" t="s">
        <v>3250</v>
      </c>
      <c r="BB1669" t="s">
        <v>3250</v>
      </c>
      <c r="BC1669" t="s">
        <v>3250</v>
      </c>
      <c r="BE1669" t="s">
        <v>3250</v>
      </c>
      <c r="BF1669" t="s">
        <v>3250</v>
      </c>
      <c r="BG1669" t="s">
        <v>3250</v>
      </c>
      <c r="BH1669" t="s">
        <v>3250</v>
      </c>
      <c r="BI1669" t="s">
        <v>3250</v>
      </c>
      <c r="BK1669" t="s">
        <v>3250</v>
      </c>
      <c r="BL1669" t="s">
        <v>3250</v>
      </c>
      <c r="BM1669" t="s">
        <v>3250</v>
      </c>
      <c r="BN1669" t="s">
        <v>3250</v>
      </c>
      <c r="BP1669">
        <v>7</v>
      </c>
      <c r="BQ1669">
        <v>71</v>
      </c>
      <c r="BR1669" t="s">
        <v>629</v>
      </c>
      <c r="BS1669" t="s">
        <v>4212</v>
      </c>
      <c r="BV1669">
        <v>0</v>
      </c>
      <c r="BW1669">
        <v>0</v>
      </c>
      <c r="BX1669">
        <v>0</v>
      </c>
      <c r="BY1669">
        <v>0</v>
      </c>
      <c r="BZ1669">
        <v>0</v>
      </c>
      <c r="CA1669">
        <v>0</v>
      </c>
      <c r="CB1669">
        <v>0</v>
      </c>
      <c r="CC1669">
        <v>0</v>
      </c>
      <c r="CD1669">
        <v>0</v>
      </c>
      <c r="CE1669" t="s">
        <v>3108</v>
      </c>
      <c r="CF1669" t="s">
        <v>3108</v>
      </c>
      <c r="CG1669" t="s">
        <v>3108</v>
      </c>
      <c r="CH1669" t="s">
        <v>3108</v>
      </c>
    </row>
    <row r="1670" spans="1:86" x14ac:dyDescent="0.2">
      <c r="A1670" t="s">
        <v>5665</v>
      </c>
      <c r="B1670" t="s">
        <v>5665</v>
      </c>
      <c r="C1670">
        <v>54787</v>
      </c>
      <c r="D1670">
        <v>1785</v>
      </c>
      <c r="E1670" t="s">
        <v>4686</v>
      </c>
      <c r="F1670" t="s">
        <v>3249</v>
      </c>
      <c r="G1670" t="s">
        <v>3249</v>
      </c>
      <c r="H1670" t="s">
        <v>3250</v>
      </c>
      <c r="I1670" t="s">
        <v>3250</v>
      </c>
      <c r="J1670" t="s">
        <v>3250</v>
      </c>
      <c r="K1670" t="s">
        <v>3250</v>
      </c>
      <c r="L1670">
        <v>3200</v>
      </c>
      <c r="M1670" t="s">
        <v>128</v>
      </c>
      <c r="N1670">
        <v>3205</v>
      </c>
      <c r="O1670" t="s">
        <v>629</v>
      </c>
      <c r="P1670" t="s">
        <v>2805</v>
      </c>
      <c r="Q1670">
        <v>2080</v>
      </c>
      <c r="R1670" t="s">
        <v>423</v>
      </c>
      <c r="S1670" t="s">
        <v>427</v>
      </c>
      <c r="T1670" t="s">
        <v>3251</v>
      </c>
      <c r="U1670">
        <v>240</v>
      </c>
      <c r="V1670" t="s">
        <v>4251</v>
      </c>
      <c r="W1670">
        <v>240</v>
      </c>
      <c r="X1670" t="s">
        <v>1323</v>
      </c>
      <c r="Y1670" t="s">
        <v>3250</v>
      </c>
      <c r="Z1670" t="s">
        <v>3250</v>
      </c>
      <c r="AA1670" t="s">
        <v>3108</v>
      </c>
      <c r="AB1670" t="s">
        <v>3108</v>
      </c>
      <c r="AC1670" t="s">
        <v>3250</v>
      </c>
      <c r="AD1670" t="s">
        <v>3250</v>
      </c>
      <c r="AE1670" t="s">
        <v>3250</v>
      </c>
      <c r="AF1670" t="s">
        <v>3250</v>
      </c>
      <c r="AG1670">
        <v>1510</v>
      </c>
      <c r="AH1670" t="s">
        <v>2334</v>
      </c>
      <c r="AI1670">
        <v>1510</v>
      </c>
      <c r="AJ1670" t="s">
        <v>2334</v>
      </c>
      <c r="AL1670">
        <v>241</v>
      </c>
      <c r="AM1670" t="s">
        <v>1455</v>
      </c>
      <c r="AN1670">
        <v>241</v>
      </c>
      <c r="AO1670" t="s">
        <v>1455</v>
      </c>
      <c r="AS1670">
        <v>1510</v>
      </c>
      <c r="AT1670">
        <v>1510</v>
      </c>
      <c r="AU1670" t="s">
        <v>2334</v>
      </c>
      <c r="AV1670" t="s">
        <v>2334</v>
      </c>
      <c r="AW1670" t="s">
        <v>3250</v>
      </c>
      <c r="AX1670" t="s">
        <v>3250</v>
      </c>
      <c r="AY1670" t="s">
        <v>3250</v>
      </c>
      <c r="AZ1670" t="s">
        <v>3250</v>
      </c>
      <c r="BA1670" t="s">
        <v>3250</v>
      </c>
      <c r="BB1670" t="s">
        <v>3250</v>
      </c>
      <c r="BC1670" t="s">
        <v>3250</v>
      </c>
      <c r="BE1670" t="s">
        <v>3250</v>
      </c>
      <c r="BF1670" t="s">
        <v>3250</v>
      </c>
      <c r="BG1670" t="s">
        <v>3250</v>
      </c>
      <c r="BH1670" t="s">
        <v>3250</v>
      </c>
      <c r="BI1670" t="s">
        <v>3250</v>
      </c>
      <c r="BK1670" t="s">
        <v>3250</v>
      </c>
      <c r="BL1670" t="s">
        <v>3250</v>
      </c>
      <c r="BM1670" t="s">
        <v>3250</v>
      </c>
      <c r="BN1670" t="s">
        <v>3250</v>
      </c>
      <c r="BP1670">
        <v>7</v>
      </c>
      <c r="BQ1670">
        <v>71</v>
      </c>
      <c r="BR1670" t="s">
        <v>629</v>
      </c>
      <c r="BS1670" t="s">
        <v>4212</v>
      </c>
      <c r="BV1670">
        <v>0</v>
      </c>
      <c r="BW1670">
        <v>0</v>
      </c>
      <c r="BX1670">
        <v>0</v>
      </c>
      <c r="BY1670">
        <v>0</v>
      </c>
      <c r="BZ1670">
        <v>0</v>
      </c>
      <c r="CA1670">
        <v>0</v>
      </c>
      <c r="CB1670">
        <v>0</v>
      </c>
      <c r="CC1670">
        <v>0</v>
      </c>
      <c r="CD1670">
        <v>0</v>
      </c>
      <c r="CE1670" t="s">
        <v>3108</v>
      </c>
      <c r="CF1670" t="s">
        <v>3108</v>
      </c>
      <c r="CG1670" t="s">
        <v>3108</v>
      </c>
      <c r="CH1670" t="s">
        <v>3108</v>
      </c>
    </row>
    <row r="1671" spans="1:86" x14ac:dyDescent="0.2">
      <c r="A1671" t="s">
        <v>5666</v>
      </c>
      <c r="B1671" t="s">
        <v>5666</v>
      </c>
      <c r="C1671">
        <v>54788</v>
      </c>
      <c r="D1671">
        <v>1790</v>
      </c>
      <c r="E1671" t="s">
        <v>5231</v>
      </c>
      <c r="F1671" t="s">
        <v>3249</v>
      </c>
      <c r="G1671" t="s">
        <v>3249</v>
      </c>
      <c r="H1671" t="s">
        <v>3250</v>
      </c>
      <c r="I1671" t="s">
        <v>3250</v>
      </c>
      <c r="J1671" t="s">
        <v>3250</v>
      </c>
      <c r="K1671" t="s">
        <v>3250</v>
      </c>
      <c r="L1671">
        <v>2100</v>
      </c>
      <c r="M1671" t="s">
        <v>123</v>
      </c>
      <c r="N1671">
        <v>2114</v>
      </c>
      <c r="O1671" t="s">
        <v>1444</v>
      </c>
      <c r="P1671" t="s">
        <v>3108</v>
      </c>
      <c r="Q1671" t="s">
        <v>3249</v>
      </c>
      <c r="R1671" t="s">
        <v>3249</v>
      </c>
      <c r="S1671" t="s">
        <v>472</v>
      </c>
      <c r="T1671" t="s">
        <v>3789</v>
      </c>
      <c r="U1671">
        <v>360</v>
      </c>
      <c r="V1671" t="s">
        <v>3790</v>
      </c>
      <c r="W1671">
        <v>360</v>
      </c>
      <c r="X1671" t="s">
        <v>601</v>
      </c>
      <c r="Y1671" t="s">
        <v>3250</v>
      </c>
      <c r="Z1671" t="s">
        <v>3250</v>
      </c>
      <c r="AA1671" t="s">
        <v>3108</v>
      </c>
      <c r="AB1671" t="s">
        <v>3108</v>
      </c>
      <c r="AC1671" t="s">
        <v>3250</v>
      </c>
      <c r="AD1671" t="s">
        <v>3250</v>
      </c>
      <c r="AE1671" t="s">
        <v>3250</v>
      </c>
      <c r="AF1671" t="s">
        <v>3250</v>
      </c>
      <c r="AG1671" t="s">
        <v>3250</v>
      </c>
      <c r="AH1671" t="s">
        <v>3250</v>
      </c>
      <c r="AI1671" t="s">
        <v>3250</v>
      </c>
      <c r="AJ1671" t="s">
        <v>3250</v>
      </c>
      <c r="AL1671">
        <v>363</v>
      </c>
      <c r="AM1671" t="s">
        <v>925</v>
      </c>
      <c r="AN1671">
        <v>363</v>
      </c>
      <c r="AO1671" t="s">
        <v>925</v>
      </c>
      <c r="AS1671" t="s">
        <v>3250</v>
      </c>
      <c r="AT1671" t="s">
        <v>3250</v>
      </c>
      <c r="AU1671" t="s">
        <v>3250</v>
      </c>
      <c r="AV1671" t="s">
        <v>3250</v>
      </c>
      <c r="AW1671" t="s">
        <v>3250</v>
      </c>
      <c r="AX1671" t="s">
        <v>3250</v>
      </c>
      <c r="AY1671" t="s">
        <v>3250</v>
      </c>
      <c r="AZ1671" t="s">
        <v>3250</v>
      </c>
      <c r="BA1671" t="s">
        <v>3250</v>
      </c>
      <c r="BB1671" t="s">
        <v>3250</v>
      </c>
      <c r="BC1671" t="s">
        <v>3250</v>
      </c>
      <c r="BE1671" t="s">
        <v>3250</v>
      </c>
      <c r="BF1671" t="s">
        <v>3250</v>
      </c>
      <c r="BG1671" t="s">
        <v>3250</v>
      </c>
      <c r="BH1671" t="s">
        <v>3250</v>
      </c>
      <c r="BI1671" t="s">
        <v>3250</v>
      </c>
      <c r="BK1671" t="s">
        <v>3250</v>
      </c>
      <c r="BL1671" t="s">
        <v>3250</v>
      </c>
      <c r="BM1671" t="s">
        <v>3250</v>
      </c>
      <c r="BN1671" t="s">
        <v>3250</v>
      </c>
      <c r="BP1671">
        <v>4</v>
      </c>
      <c r="BQ1671">
        <v>42</v>
      </c>
      <c r="BR1671" t="s">
        <v>1444</v>
      </c>
      <c r="BS1671" t="s">
        <v>4024</v>
      </c>
      <c r="BV1671">
        <v>0</v>
      </c>
      <c r="BW1671">
        <v>0</v>
      </c>
      <c r="BX1671">
        <v>0</v>
      </c>
      <c r="BY1671">
        <v>0</v>
      </c>
      <c r="BZ1671">
        <v>444068</v>
      </c>
      <c r="CA1671">
        <v>975000</v>
      </c>
      <c r="CB1671">
        <v>975000</v>
      </c>
      <c r="CC1671">
        <v>975000</v>
      </c>
      <c r="CD1671">
        <v>0</v>
      </c>
      <c r="CE1671" t="s">
        <v>3108</v>
      </c>
      <c r="CF1671" t="s">
        <v>3108</v>
      </c>
      <c r="CG1671" t="s">
        <v>3108</v>
      </c>
      <c r="CH1671" t="s">
        <v>3108</v>
      </c>
    </row>
    <row r="1672" spans="1:86" x14ac:dyDescent="0.2">
      <c r="A1672" t="s">
        <v>5667</v>
      </c>
      <c r="B1672" t="s">
        <v>5667</v>
      </c>
      <c r="C1672">
        <v>54789</v>
      </c>
      <c r="D1672">
        <v>1791</v>
      </c>
      <c r="E1672" t="s">
        <v>5216</v>
      </c>
      <c r="F1672" t="s">
        <v>3249</v>
      </c>
      <c r="G1672" t="s">
        <v>3249</v>
      </c>
      <c r="H1672" t="s">
        <v>3250</v>
      </c>
      <c r="I1672" t="s">
        <v>3250</v>
      </c>
      <c r="J1672" t="s">
        <v>3250</v>
      </c>
      <c r="K1672" t="s">
        <v>3250</v>
      </c>
      <c r="L1672">
        <v>2200</v>
      </c>
      <c r="M1672" t="s">
        <v>124</v>
      </c>
      <c r="N1672">
        <v>2205</v>
      </c>
      <c r="O1672" t="s">
        <v>2390</v>
      </c>
      <c r="P1672" t="s">
        <v>3108</v>
      </c>
      <c r="Q1672" t="s">
        <v>3249</v>
      </c>
      <c r="R1672" t="s">
        <v>3249</v>
      </c>
      <c r="S1672" t="s">
        <v>472</v>
      </c>
      <c r="T1672" t="s">
        <v>3789</v>
      </c>
      <c r="U1672">
        <v>360</v>
      </c>
      <c r="V1672" t="s">
        <v>3790</v>
      </c>
      <c r="W1672">
        <v>360</v>
      </c>
      <c r="X1672" t="s">
        <v>601</v>
      </c>
      <c r="Y1672" t="s">
        <v>3250</v>
      </c>
      <c r="Z1672" t="s">
        <v>3250</v>
      </c>
      <c r="AA1672" t="s">
        <v>3108</v>
      </c>
      <c r="AB1672" t="s">
        <v>3108</v>
      </c>
      <c r="AC1672" t="s">
        <v>3250</v>
      </c>
      <c r="AD1672" t="s">
        <v>3250</v>
      </c>
      <c r="AE1672" t="s">
        <v>3250</v>
      </c>
      <c r="AF1672" t="s">
        <v>3250</v>
      </c>
      <c r="AG1672" t="s">
        <v>3250</v>
      </c>
      <c r="AH1672" t="s">
        <v>3250</v>
      </c>
      <c r="AI1672" t="s">
        <v>3250</v>
      </c>
      <c r="AJ1672" t="s">
        <v>3250</v>
      </c>
      <c r="AL1672">
        <v>363</v>
      </c>
      <c r="AM1672" t="s">
        <v>925</v>
      </c>
      <c r="AN1672">
        <v>363</v>
      </c>
      <c r="AO1672" t="s">
        <v>925</v>
      </c>
      <c r="AS1672" t="s">
        <v>3250</v>
      </c>
      <c r="AT1672" t="s">
        <v>3250</v>
      </c>
      <c r="AU1672" t="s">
        <v>3250</v>
      </c>
      <c r="AV1672" t="s">
        <v>3250</v>
      </c>
      <c r="AW1672" t="s">
        <v>3250</v>
      </c>
      <c r="AX1672" t="s">
        <v>3250</v>
      </c>
      <c r="AY1672" t="s">
        <v>3250</v>
      </c>
      <c r="AZ1672" t="s">
        <v>3250</v>
      </c>
      <c r="BA1672" t="s">
        <v>3250</v>
      </c>
      <c r="BB1672" t="s">
        <v>3250</v>
      </c>
      <c r="BC1672" t="s">
        <v>3250</v>
      </c>
      <c r="BE1672" t="s">
        <v>3250</v>
      </c>
      <c r="BF1672" t="s">
        <v>3250</v>
      </c>
      <c r="BG1672" t="s">
        <v>3250</v>
      </c>
      <c r="BH1672" t="s">
        <v>3250</v>
      </c>
      <c r="BI1672" t="s">
        <v>3250</v>
      </c>
      <c r="BK1672" t="s">
        <v>3250</v>
      </c>
      <c r="BL1672" t="s">
        <v>3250</v>
      </c>
      <c r="BM1672" t="s">
        <v>3250</v>
      </c>
      <c r="BN1672" t="s">
        <v>3250</v>
      </c>
      <c r="BP1672">
        <v>9</v>
      </c>
      <c r="BQ1672">
        <v>91</v>
      </c>
      <c r="BR1672" t="s">
        <v>2390</v>
      </c>
      <c r="BS1672" t="s">
        <v>1675</v>
      </c>
      <c r="BV1672">
        <v>0</v>
      </c>
      <c r="BW1672">
        <v>25059</v>
      </c>
      <c r="BX1672">
        <v>0</v>
      </c>
      <c r="BY1672">
        <v>0</v>
      </c>
      <c r="BZ1672">
        <v>0</v>
      </c>
      <c r="CA1672">
        <v>0</v>
      </c>
      <c r="CB1672">
        <v>0</v>
      </c>
      <c r="CC1672">
        <v>0</v>
      </c>
      <c r="CD1672">
        <v>0</v>
      </c>
      <c r="CE1672" t="s">
        <v>3108</v>
      </c>
      <c r="CF1672" t="s">
        <v>3108</v>
      </c>
      <c r="CG1672" t="s">
        <v>3108</v>
      </c>
      <c r="CH1672" t="s">
        <v>3108</v>
      </c>
    </row>
    <row r="1673" spans="1:86" x14ac:dyDescent="0.2">
      <c r="A1673" t="s">
        <v>5668</v>
      </c>
      <c r="B1673" t="s">
        <v>5668</v>
      </c>
      <c r="C1673">
        <v>54790</v>
      </c>
      <c r="D1673">
        <v>1792</v>
      </c>
      <c r="E1673" t="s">
        <v>5290</v>
      </c>
      <c r="F1673" t="s">
        <v>3249</v>
      </c>
      <c r="G1673" t="s">
        <v>3249</v>
      </c>
      <c r="H1673" t="s">
        <v>3250</v>
      </c>
      <c r="I1673" t="s">
        <v>3250</v>
      </c>
      <c r="J1673" t="s">
        <v>3250</v>
      </c>
      <c r="K1673" t="s">
        <v>3250</v>
      </c>
      <c r="L1673">
        <v>2200</v>
      </c>
      <c r="M1673" t="s">
        <v>124</v>
      </c>
      <c r="N1673">
        <v>2205</v>
      </c>
      <c r="O1673" t="s">
        <v>2390</v>
      </c>
      <c r="P1673" t="s">
        <v>3108</v>
      </c>
      <c r="Q1673" t="s">
        <v>3249</v>
      </c>
      <c r="R1673" t="s">
        <v>3249</v>
      </c>
      <c r="S1673" t="s">
        <v>472</v>
      </c>
      <c r="T1673" t="s">
        <v>3789</v>
      </c>
      <c r="U1673">
        <v>360</v>
      </c>
      <c r="V1673" t="s">
        <v>3790</v>
      </c>
      <c r="W1673">
        <v>360</v>
      </c>
      <c r="X1673" t="s">
        <v>601</v>
      </c>
      <c r="Y1673" t="s">
        <v>3250</v>
      </c>
      <c r="Z1673" t="s">
        <v>3250</v>
      </c>
      <c r="AA1673" t="s">
        <v>3108</v>
      </c>
      <c r="AB1673" t="s">
        <v>3108</v>
      </c>
      <c r="AC1673">
        <v>200</v>
      </c>
      <c r="AD1673" t="s">
        <v>5291</v>
      </c>
      <c r="AE1673">
        <v>480</v>
      </c>
      <c r="AF1673" t="s">
        <v>822</v>
      </c>
      <c r="AG1673" t="s">
        <v>3250</v>
      </c>
      <c r="AH1673" t="s">
        <v>3250</v>
      </c>
      <c r="AI1673" t="s">
        <v>3250</v>
      </c>
      <c r="AJ1673" t="s">
        <v>3250</v>
      </c>
      <c r="AL1673">
        <v>363</v>
      </c>
      <c r="AM1673" t="s">
        <v>925</v>
      </c>
      <c r="AN1673">
        <v>363</v>
      </c>
      <c r="AO1673" t="s">
        <v>925</v>
      </c>
      <c r="AS1673" t="s">
        <v>3250</v>
      </c>
      <c r="AT1673" t="s">
        <v>3250</v>
      </c>
      <c r="AU1673" t="s">
        <v>3250</v>
      </c>
      <c r="AV1673" t="s">
        <v>3250</v>
      </c>
      <c r="AW1673" t="s">
        <v>3250</v>
      </c>
      <c r="AX1673" t="s">
        <v>3250</v>
      </c>
      <c r="AY1673" t="s">
        <v>3250</v>
      </c>
      <c r="AZ1673" t="s">
        <v>3250</v>
      </c>
      <c r="BA1673" t="s">
        <v>3250</v>
      </c>
      <c r="BB1673" t="s">
        <v>3250</v>
      </c>
      <c r="BC1673" t="s">
        <v>3250</v>
      </c>
      <c r="BE1673" t="s">
        <v>3250</v>
      </c>
      <c r="BF1673" t="s">
        <v>3250</v>
      </c>
      <c r="BG1673" t="s">
        <v>3250</v>
      </c>
      <c r="BH1673" t="s">
        <v>3250</v>
      </c>
      <c r="BI1673" t="s">
        <v>3250</v>
      </c>
      <c r="BK1673" t="s">
        <v>3250</v>
      </c>
      <c r="BL1673" t="s">
        <v>3250</v>
      </c>
      <c r="BM1673" t="s">
        <v>3250</v>
      </c>
      <c r="BN1673" t="s">
        <v>3250</v>
      </c>
      <c r="BP1673">
        <v>9</v>
      </c>
      <c r="BQ1673">
        <v>91</v>
      </c>
      <c r="BR1673" t="s">
        <v>2390</v>
      </c>
      <c r="BS1673" t="s">
        <v>1675</v>
      </c>
      <c r="BV1673">
        <v>0</v>
      </c>
      <c r="BW1673">
        <v>0</v>
      </c>
      <c r="BX1673">
        <v>0</v>
      </c>
      <c r="BY1673">
        <v>0</v>
      </c>
      <c r="BZ1673">
        <v>0</v>
      </c>
      <c r="CA1673">
        <v>0</v>
      </c>
      <c r="CB1673">
        <v>0</v>
      </c>
      <c r="CC1673">
        <v>0</v>
      </c>
      <c r="CD1673">
        <v>0</v>
      </c>
      <c r="CE1673" t="s">
        <v>3108</v>
      </c>
      <c r="CF1673" t="s">
        <v>3108</v>
      </c>
      <c r="CG1673" t="s">
        <v>3108</v>
      </c>
      <c r="CH1673" t="s">
        <v>3108</v>
      </c>
    </row>
    <row r="1674" spans="1:86" x14ac:dyDescent="0.2">
      <c r="A1674" t="s">
        <v>5669</v>
      </c>
      <c r="B1674" t="s">
        <v>5669</v>
      </c>
      <c r="C1674">
        <v>54791</v>
      </c>
      <c r="D1674">
        <v>1793</v>
      </c>
      <c r="E1674" t="s">
        <v>5670</v>
      </c>
      <c r="F1674" t="s">
        <v>3249</v>
      </c>
      <c r="G1674" t="s">
        <v>3249</v>
      </c>
      <c r="H1674" t="s">
        <v>3250</v>
      </c>
      <c r="I1674" t="s">
        <v>3250</v>
      </c>
      <c r="J1674" t="s">
        <v>3250</v>
      </c>
      <c r="K1674" t="s">
        <v>3250</v>
      </c>
      <c r="L1674">
        <v>3200</v>
      </c>
      <c r="M1674" t="s">
        <v>128</v>
      </c>
      <c r="N1674">
        <v>3205</v>
      </c>
      <c r="O1674" t="s">
        <v>629</v>
      </c>
      <c r="P1674" t="s">
        <v>3108</v>
      </c>
      <c r="Q1674" t="s">
        <v>3249</v>
      </c>
      <c r="R1674" t="s">
        <v>3249</v>
      </c>
      <c r="S1674" t="s">
        <v>472</v>
      </c>
      <c r="T1674" t="s">
        <v>3789</v>
      </c>
      <c r="U1674">
        <v>360</v>
      </c>
      <c r="V1674" t="s">
        <v>3790</v>
      </c>
      <c r="W1674">
        <v>360</v>
      </c>
      <c r="X1674" t="s">
        <v>601</v>
      </c>
      <c r="Y1674" t="s">
        <v>3250</v>
      </c>
      <c r="Z1674" t="s">
        <v>3250</v>
      </c>
      <c r="AA1674" t="s">
        <v>3108</v>
      </c>
      <c r="AB1674" t="s">
        <v>3108</v>
      </c>
      <c r="AC1674" t="s">
        <v>3250</v>
      </c>
      <c r="AD1674" t="s">
        <v>3250</v>
      </c>
      <c r="AE1674" t="s">
        <v>3250</v>
      </c>
      <c r="AF1674" t="s">
        <v>3250</v>
      </c>
      <c r="AG1674" t="s">
        <v>3250</v>
      </c>
      <c r="AH1674" t="s">
        <v>3250</v>
      </c>
      <c r="AI1674" t="s">
        <v>3250</v>
      </c>
      <c r="AJ1674" t="s">
        <v>3250</v>
      </c>
      <c r="AL1674">
        <v>363</v>
      </c>
      <c r="AM1674" t="s">
        <v>925</v>
      </c>
      <c r="AN1674">
        <v>363</v>
      </c>
      <c r="AO1674" t="s">
        <v>925</v>
      </c>
      <c r="AS1674" t="s">
        <v>3250</v>
      </c>
      <c r="AT1674" t="s">
        <v>3250</v>
      </c>
      <c r="AU1674" t="s">
        <v>3250</v>
      </c>
      <c r="AV1674" t="s">
        <v>3250</v>
      </c>
      <c r="AW1674" t="s">
        <v>3250</v>
      </c>
      <c r="AX1674" t="s">
        <v>3250</v>
      </c>
      <c r="AY1674" t="s">
        <v>3250</v>
      </c>
      <c r="AZ1674" t="s">
        <v>3250</v>
      </c>
      <c r="BA1674" t="s">
        <v>3250</v>
      </c>
      <c r="BB1674" t="s">
        <v>3250</v>
      </c>
      <c r="BC1674" t="s">
        <v>3250</v>
      </c>
      <c r="BE1674" t="s">
        <v>3250</v>
      </c>
      <c r="BF1674" t="s">
        <v>3250</v>
      </c>
      <c r="BG1674" t="s">
        <v>3250</v>
      </c>
      <c r="BH1674" t="s">
        <v>3250</v>
      </c>
      <c r="BI1674" t="s">
        <v>3250</v>
      </c>
      <c r="BK1674" t="s">
        <v>3250</v>
      </c>
      <c r="BL1674" t="s">
        <v>3250</v>
      </c>
      <c r="BM1674" t="s">
        <v>3250</v>
      </c>
      <c r="BN1674" t="s">
        <v>3250</v>
      </c>
      <c r="BP1674">
        <v>7</v>
      </c>
      <c r="BQ1674">
        <v>71</v>
      </c>
      <c r="BR1674" t="s">
        <v>629</v>
      </c>
      <c r="BS1674" t="s">
        <v>4212</v>
      </c>
      <c r="BV1674">
        <v>0</v>
      </c>
      <c r="BW1674">
        <v>0</v>
      </c>
      <c r="BX1674">
        <v>0</v>
      </c>
      <c r="BY1674">
        <v>0</v>
      </c>
      <c r="BZ1674">
        <v>0</v>
      </c>
      <c r="CA1674">
        <v>-444068</v>
      </c>
      <c r="CB1674">
        <v>-444068</v>
      </c>
      <c r="CC1674">
        <v>-444068</v>
      </c>
      <c r="CD1674">
        <v>0</v>
      </c>
      <c r="CE1674" t="s">
        <v>3108</v>
      </c>
      <c r="CF1674" t="s">
        <v>3108</v>
      </c>
      <c r="CG1674" t="s">
        <v>3108</v>
      </c>
      <c r="CH1674" t="s">
        <v>3108</v>
      </c>
    </row>
    <row r="1675" spans="1:86" x14ac:dyDescent="0.2">
      <c r="A1675" t="s">
        <v>5671</v>
      </c>
      <c r="B1675" t="s">
        <v>5671</v>
      </c>
      <c r="C1675">
        <v>54792</v>
      </c>
      <c r="D1675">
        <v>1794</v>
      </c>
      <c r="E1675" t="s">
        <v>5580</v>
      </c>
      <c r="F1675">
        <v>1500</v>
      </c>
      <c r="G1675" t="s">
        <v>2342</v>
      </c>
      <c r="H1675">
        <v>1500</v>
      </c>
      <c r="I1675" t="s">
        <v>2342</v>
      </c>
      <c r="J1675" t="s">
        <v>3250</v>
      </c>
      <c r="K1675" t="s">
        <v>3250</v>
      </c>
      <c r="L1675">
        <v>2200</v>
      </c>
      <c r="M1675" t="s">
        <v>124</v>
      </c>
      <c r="N1675">
        <v>2205</v>
      </c>
      <c r="O1675" t="s">
        <v>2390</v>
      </c>
      <c r="P1675" t="s">
        <v>3108</v>
      </c>
      <c r="Q1675" t="s">
        <v>3249</v>
      </c>
      <c r="R1675" t="s">
        <v>3249</v>
      </c>
      <c r="S1675" t="s">
        <v>472</v>
      </c>
      <c r="T1675" t="s">
        <v>2759</v>
      </c>
      <c r="U1675" t="s">
        <v>3250</v>
      </c>
      <c r="V1675" t="s">
        <v>3250</v>
      </c>
      <c r="W1675" t="s">
        <v>3250</v>
      </c>
      <c r="X1675" t="s">
        <v>3250</v>
      </c>
      <c r="Y1675" t="s">
        <v>3250</v>
      </c>
      <c r="Z1675" t="s">
        <v>3250</v>
      </c>
      <c r="AA1675" t="s">
        <v>3108</v>
      </c>
      <c r="AB1675" t="s">
        <v>3108</v>
      </c>
      <c r="AC1675" t="s">
        <v>3250</v>
      </c>
      <c r="AD1675" t="s">
        <v>3250</v>
      </c>
      <c r="AE1675" t="s">
        <v>3250</v>
      </c>
      <c r="AF1675" t="s">
        <v>3250</v>
      </c>
      <c r="AG1675" t="s">
        <v>3250</v>
      </c>
      <c r="AH1675" t="s">
        <v>3250</v>
      </c>
      <c r="AI1675" t="s">
        <v>3250</v>
      </c>
      <c r="AJ1675" t="s">
        <v>3250</v>
      </c>
      <c r="AL1675" t="s">
        <v>3250</v>
      </c>
      <c r="AM1675" t="s">
        <v>3250</v>
      </c>
      <c r="AN1675" t="s">
        <v>3250</v>
      </c>
      <c r="AO1675" t="s">
        <v>3250</v>
      </c>
      <c r="AS1675" t="s">
        <v>3250</v>
      </c>
      <c r="AT1675" t="s">
        <v>3250</v>
      </c>
      <c r="AU1675" t="s">
        <v>3250</v>
      </c>
      <c r="AV1675" t="s">
        <v>3250</v>
      </c>
      <c r="AW1675" t="s">
        <v>3250</v>
      </c>
      <c r="AX1675" t="s">
        <v>3250</v>
      </c>
      <c r="AY1675" t="s">
        <v>3250</v>
      </c>
      <c r="AZ1675" t="s">
        <v>3250</v>
      </c>
      <c r="BA1675" t="s">
        <v>3250</v>
      </c>
      <c r="BB1675" t="s">
        <v>3250</v>
      </c>
      <c r="BC1675" t="s">
        <v>3250</v>
      </c>
      <c r="BE1675" t="s">
        <v>3250</v>
      </c>
      <c r="BF1675" t="s">
        <v>3250</v>
      </c>
      <c r="BG1675" t="s">
        <v>3250</v>
      </c>
      <c r="BH1675" t="s">
        <v>3250</v>
      </c>
      <c r="BI1675" t="s">
        <v>3250</v>
      </c>
      <c r="BK1675" t="s">
        <v>3250</v>
      </c>
      <c r="BL1675" t="s">
        <v>3250</v>
      </c>
      <c r="BM1675" t="s">
        <v>3250</v>
      </c>
      <c r="BN1675" t="s">
        <v>3250</v>
      </c>
      <c r="BP1675">
        <v>9</v>
      </c>
      <c r="BQ1675">
        <v>91</v>
      </c>
      <c r="BR1675" t="s">
        <v>2390</v>
      </c>
      <c r="BS1675" t="s">
        <v>1675</v>
      </c>
      <c r="BV1675">
        <v>0</v>
      </c>
      <c r="BW1675">
        <v>0</v>
      </c>
      <c r="BX1675">
        <v>0</v>
      </c>
      <c r="BY1675">
        <v>0</v>
      </c>
      <c r="BZ1675">
        <v>0</v>
      </c>
      <c r="CA1675">
        <v>0</v>
      </c>
      <c r="CB1675">
        <v>0</v>
      </c>
      <c r="CC1675">
        <v>0</v>
      </c>
      <c r="CD1675">
        <v>0</v>
      </c>
      <c r="CE1675" t="s">
        <v>3108</v>
      </c>
      <c r="CF1675" t="s">
        <v>3108</v>
      </c>
      <c r="CG1675" t="s">
        <v>3108</v>
      </c>
      <c r="CH1675" t="s">
        <v>3108</v>
      </c>
    </row>
    <row r="1676" spans="1:86" x14ac:dyDescent="0.2">
      <c r="A1676" t="s">
        <v>5672</v>
      </c>
      <c r="B1676" t="s">
        <v>5672</v>
      </c>
      <c r="C1676">
        <v>54793</v>
      </c>
      <c r="D1676">
        <v>1795</v>
      </c>
      <c r="E1676" t="s">
        <v>5673</v>
      </c>
      <c r="F1676">
        <v>1600</v>
      </c>
      <c r="G1676" t="s">
        <v>1360</v>
      </c>
      <c r="H1676">
        <v>1616</v>
      </c>
      <c r="I1676" t="s">
        <v>2975</v>
      </c>
      <c r="J1676" t="s">
        <v>3250</v>
      </c>
      <c r="K1676" t="s">
        <v>3250</v>
      </c>
      <c r="L1676">
        <v>1200</v>
      </c>
      <c r="M1676" t="s">
        <v>2368</v>
      </c>
      <c r="N1676">
        <v>1204</v>
      </c>
      <c r="O1676" t="s">
        <v>1574</v>
      </c>
      <c r="P1676" t="s">
        <v>3108</v>
      </c>
      <c r="Q1676" t="s">
        <v>3249</v>
      </c>
      <c r="R1676" t="s">
        <v>3249</v>
      </c>
      <c r="S1676" t="s">
        <v>472</v>
      </c>
      <c r="T1676" t="s">
        <v>2759</v>
      </c>
      <c r="U1676" t="s">
        <v>3250</v>
      </c>
      <c r="V1676" t="s">
        <v>3250</v>
      </c>
      <c r="W1676" t="s">
        <v>3250</v>
      </c>
      <c r="X1676" t="s">
        <v>3250</v>
      </c>
      <c r="Y1676" t="s">
        <v>3250</v>
      </c>
      <c r="Z1676" t="s">
        <v>3250</v>
      </c>
      <c r="AA1676" t="s">
        <v>3108</v>
      </c>
      <c r="AB1676" t="s">
        <v>3108</v>
      </c>
      <c r="AC1676" t="s">
        <v>3250</v>
      </c>
      <c r="AD1676" t="s">
        <v>3250</v>
      </c>
      <c r="AE1676" t="s">
        <v>3250</v>
      </c>
      <c r="AF1676" t="s">
        <v>3250</v>
      </c>
      <c r="AG1676" t="s">
        <v>3250</v>
      </c>
      <c r="AH1676" t="s">
        <v>3250</v>
      </c>
      <c r="AI1676" t="s">
        <v>3250</v>
      </c>
      <c r="AJ1676" t="s">
        <v>3250</v>
      </c>
      <c r="AL1676" t="s">
        <v>3250</v>
      </c>
      <c r="AM1676" t="s">
        <v>3250</v>
      </c>
      <c r="AN1676" t="s">
        <v>3250</v>
      </c>
      <c r="AO1676" t="s">
        <v>3250</v>
      </c>
      <c r="AS1676" t="s">
        <v>3250</v>
      </c>
      <c r="AT1676" t="s">
        <v>3250</v>
      </c>
      <c r="AU1676" t="s">
        <v>3250</v>
      </c>
      <c r="AV1676" t="s">
        <v>3250</v>
      </c>
      <c r="AW1676" t="s">
        <v>3250</v>
      </c>
      <c r="AX1676" t="s">
        <v>3250</v>
      </c>
      <c r="AY1676" t="s">
        <v>3250</v>
      </c>
      <c r="AZ1676" t="s">
        <v>3250</v>
      </c>
      <c r="BA1676" t="s">
        <v>3250</v>
      </c>
      <c r="BB1676" t="s">
        <v>3250</v>
      </c>
      <c r="BC1676" t="s">
        <v>3250</v>
      </c>
      <c r="BE1676" t="s">
        <v>3250</v>
      </c>
      <c r="BF1676" t="s">
        <v>3250</v>
      </c>
      <c r="BG1676" t="s">
        <v>3250</v>
      </c>
      <c r="BH1676" t="s">
        <v>3250</v>
      </c>
      <c r="BI1676" t="s">
        <v>3250</v>
      </c>
      <c r="BK1676" t="s">
        <v>3250</v>
      </c>
      <c r="BL1676" t="s">
        <v>3250</v>
      </c>
      <c r="BM1676" t="s">
        <v>3250</v>
      </c>
      <c r="BN1676" t="s">
        <v>3250</v>
      </c>
      <c r="BP1676">
        <v>1</v>
      </c>
      <c r="BQ1676">
        <v>11</v>
      </c>
      <c r="BR1676" t="s">
        <v>1574</v>
      </c>
      <c r="BS1676" t="s">
        <v>3252</v>
      </c>
      <c r="BV1676">
        <v>96755</v>
      </c>
      <c r="BW1676">
        <v>101636</v>
      </c>
      <c r="BX1676">
        <v>103687</v>
      </c>
      <c r="BY1676">
        <v>0</v>
      </c>
      <c r="BZ1676">
        <v>0</v>
      </c>
      <c r="CA1676">
        <v>0</v>
      </c>
      <c r="CB1676">
        <v>0</v>
      </c>
      <c r="CC1676">
        <v>0</v>
      </c>
      <c r="CD1676">
        <v>0</v>
      </c>
      <c r="CE1676" t="s">
        <v>3108</v>
      </c>
      <c r="CF1676" t="s">
        <v>3108</v>
      </c>
      <c r="CG1676" t="s">
        <v>3108</v>
      </c>
      <c r="CH1676" t="s">
        <v>3108</v>
      </c>
    </row>
    <row r="1677" spans="1:86" x14ac:dyDescent="0.2">
      <c r="A1677" t="s">
        <v>5674</v>
      </c>
      <c r="B1677" t="s">
        <v>5674</v>
      </c>
      <c r="C1677">
        <v>54794</v>
      </c>
      <c r="D1677">
        <v>1796</v>
      </c>
      <c r="E1677" t="s">
        <v>5675</v>
      </c>
      <c r="F1677" t="s">
        <v>3249</v>
      </c>
      <c r="G1677" t="s">
        <v>3249</v>
      </c>
      <c r="H1677" t="s">
        <v>3250</v>
      </c>
      <c r="I1677" t="s">
        <v>3250</v>
      </c>
      <c r="J1677" t="s">
        <v>3250</v>
      </c>
      <c r="K1677" t="s">
        <v>3250</v>
      </c>
      <c r="L1677">
        <v>1200</v>
      </c>
      <c r="M1677" t="s">
        <v>2368</v>
      </c>
      <c r="N1677">
        <v>1204</v>
      </c>
      <c r="O1677" t="s">
        <v>1574</v>
      </c>
      <c r="P1677" t="s">
        <v>3108</v>
      </c>
      <c r="Q1677" t="s">
        <v>3249</v>
      </c>
      <c r="R1677" t="s">
        <v>3249</v>
      </c>
      <c r="S1677" t="s">
        <v>472</v>
      </c>
      <c r="T1677" t="s">
        <v>3789</v>
      </c>
      <c r="U1677">
        <v>360</v>
      </c>
      <c r="V1677" t="s">
        <v>3790</v>
      </c>
      <c r="W1677">
        <v>360</v>
      </c>
      <c r="X1677" t="s">
        <v>601</v>
      </c>
      <c r="Y1677" t="s">
        <v>3250</v>
      </c>
      <c r="Z1677" t="s">
        <v>3250</v>
      </c>
      <c r="AA1677" t="s">
        <v>3108</v>
      </c>
      <c r="AB1677" t="s">
        <v>3108</v>
      </c>
      <c r="AC1677" t="s">
        <v>3250</v>
      </c>
      <c r="AD1677" t="s">
        <v>3250</v>
      </c>
      <c r="AE1677" t="s">
        <v>3250</v>
      </c>
      <c r="AF1677" t="s">
        <v>3250</v>
      </c>
      <c r="AG1677" t="s">
        <v>3250</v>
      </c>
      <c r="AH1677" t="s">
        <v>3250</v>
      </c>
      <c r="AI1677" t="s">
        <v>3250</v>
      </c>
      <c r="AJ1677" t="s">
        <v>3250</v>
      </c>
      <c r="AL1677">
        <v>361</v>
      </c>
      <c r="AM1677" t="s">
        <v>2523</v>
      </c>
      <c r="AN1677">
        <v>361</v>
      </c>
      <c r="AO1677" t="s">
        <v>2523</v>
      </c>
      <c r="AS1677" t="s">
        <v>3250</v>
      </c>
      <c r="AT1677" t="s">
        <v>3250</v>
      </c>
      <c r="AU1677" t="s">
        <v>3250</v>
      </c>
      <c r="AV1677" t="s">
        <v>3250</v>
      </c>
      <c r="AW1677" t="s">
        <v>3250</v>
      </c>
      <c r="AX1677" t="s">
        <v>3250</v>
      </c>
      <c r="AY1677" t="s">
        <v>3250</v>
      </c>
      <c r="AZ1677" t="s">
        <v>3250</v>
      </c>
      <c r="BA1677" t="s">
        <v>3250</v>
      </c>
      <c r="BB1677" t="s">
        <v>3250</v>
      </c>
      <c r="BC1677" t="s">
        <v>3250</v>
      </c>
      <c r="BE1677" t="s">
        <v>3250</v>
      </c>
      <c r="BF1677" t="s">
        <v>3250</v>
      </c>
      <c r="BG1677" t="s">
        <v>3250</v>
      </c>
      <c r="BH1677" t="s">
        <v>3250</v>
      </c>
      <c r="BI1677" t="s">
        <v>3250</v>
      </c>
      <c r="BK1677" t="s">
        <v>3250</v>
      </c>
      <c r="BL1677" t="s">
        <v>3250</v>
      </c>
      <c r="BM1677" t="s">
        <v>3250</v>
      </c>
      <c r="BN1677" t="s">
        <v>3250</v>
      </c>
      <c r="BP1677">
        <v>1</v>
      </c>
      <c r="BQ1677">
        <v>11</v>
      </c>
      <c r="BR1677" t="s">
        <v>1574</v>
      </c>
      <c r="BS1677" t="s">
        <v>3252</v>
      </c>
      <c r="BV1677">
        <v>0</v>
      </c>
      <c r="BW1677">
        <v>0</v>
      </c>
      <c r="BX1677">
        <v>0</v>
      </c>
      <c r="BY1677">
        <v>0</v>
      </c>
      <c r="BZ1677">
        <v>0</v>
      </c>
      <c r="CA1677">
        <v>0</v>
      </c>
      <c r="CB1677">
        <v>0</v>
      </c>
      <c r="CC1677">
        <v>0</v>
      </c>
      <c r="CD1677">
        <v>0</v>
      </c>
      <c r="CE1677" t="s">
        <v>3108</v>
      </c>
      <c r="CF1677" t="s">
        <v>3108</v>
      </c>
      <c r="CG1677" t="s">
        <v>3108</v>
      </c>
      <c r="CH1677" t="s">
        <v>3108</v>
      </c>
    </row>
    <row r="1678" spans="1:86" x14ac:dyDescent="0.2">
      <c r="A1678" t="s">
        <v>5676</v>
      </c>
      <c r="B1678" t="s">
        <v>5676</v>
      </c>
      <c r="C1678">
        <v>54795</v>
      </c>
      <c r="D1678">
        <v>1797</v>
      </c>
      <c r="E1678" t="s">
        <v>5677</v>
      </c>
      <c r="F1678" t="s">
        <v>3249</v>
      </c>
      <c r="G1678" t="s">
        <v>3249</v>
      </c>
      <c r="H1678" t="s">
        <v>3250</v>
      </c>
      <c r="I1678" t="s">
        <v>3250</v>
      </c>
      <c r="J1678" t="s">
        <v>3250</v>
      </c>
      <c r="K1678" t="s">
        <v>3250</v>
      </c>
      <c r="L1678">
        <v>1200</v>
      </c>
      <c r="M1678" t="s">
        <v>2368</v>
      </c>
      <c r="N1678">
        <v>1204</v>
      </c>
      <c r="O1678" t="s">
        <v>1574</v>
      </c>
      <c r="P1678" t="s">
        <v>3108</v>
      </c>
      <c r="Q1678" t="s">
        <v>3249</v>
      </c>
      <c r="R1678" t="s">
        <v>3249</v>
      </c>
      <c r="S1678" t="s">
        <v>472</v>
      </c>
      <c r="T1678" t="s">
        <v>3789</v>
      </c>
      <c r="U1678">
        <v>360</v>
      </c>
      <c r="V1678" t="s">
        <v>3790</v>
      </c>
      <c r="W1678">
        <v>360</v>
      </c>
      <c r="X1678" t="s">
        <v>601</v>
      </c>
      <c r="Y1678" t="s">
        <v>3250</v>
      </c>
      <c r="Z1678" t="s">
        <v>3250</v>
      </c>
      <c r="AA1678" t="s">
        <v>3108</v>
      </c>
      <c r="AB1678" t="s">
        <v>3108</v>
      </c>
      <c r="AC1678" t="s">
        <v>3250</v>
      </c>
      <c r="AD1678" t="s">
        <v>3250</v>
      </c>
      <c r="AE1678" t="s">
        <v>3250</v>
      </c>
      <c r="AF1678" t="s">
        <v>3250</v>
      </c>
      <c r="AG1678" t="s">
        <v>3250</v>
      </c>
      <c r="AH1678" t="s">
        <v>3250</v>
      </c>
      <c r="AI1678" t="s">
        <v>3250</v>
      </c>
      <c r="AJ1678" t="s">
        <v>3250</v>
      </c>
      <c r="AL1678">
        <v>361</v>
      </c>
      <c r="AM1678" t="s">
        <v>2523</v>
      </c>
      <c r="AN1678">
        <v>361</v>
      </c>
      <c r="AO1678" t="s">
        <v>2523</v>
      </c>
      <c r="AS1678" t="s">
        <v>3250</v>
      </c>
      <c r="AT1678" t="s">
        <v>3250</v>
      </c>
      <c r="AU1678" t="s">
        <v>3250</v>
      </c>
      <c r="AV1678" t="s">
        <v>3250</v>
      </c>
      <c r="AW1678" t="s">
        <v>3250</v>
      </c>
      <c r="AX1678" t="s">
        <v>3250</v>
      </c>
      <c r="AY1678" t="s">
        <v>3250</v>
      </c>
      <c r="AZ1678" t="s">
        <v>3250</v>
      </c>
      <c r="BA1678" t="s">
        <v>3250</v>
      </c>
      <c r="BB1678" t="s">
        <v>3250</v>
      </c>
      <c r="BC1678" t="s">
        <v>3250</v>
      </c>
      <c r="BE1678" t="s">
        <v>3250</v>
      </c>
      <c r="BF1678" t="s">
        <v>3250</v>
      </c>
      <c r="BG1678" t="s">
        <v>3250</v>
      </c>
      <c r="BH1678" t="s">
        <v>3250</v>
      </c>
      <c r="BI1678" t="s">
        <v>3250</v>
      </c>
      <c r="BK1678" t="s">
        <v>3250</v>
      </c>
      <c r="BL1678" t="s">
        <v>3250</v>
      </c>
      <c r="BM1678" t="s">
        <v>3250</v>
      </c>
      <c r="BN1678" t="s">
        <v>3250</v>
      </c>
      <c r="BP1678">
        <v>1</v>
      </c>
      <c r="BQ1678">
        <v>11</v>
      </c>
      <c r="BR1678" t="s">
        <v>1574</v>
      </c>
      <c r="BS1678" t="s">
        <v>3252</v>
      </c>
      <c r="BV1678">
        <v>0</v>
      </c>
      <c r="BW1678">
        <v>0</v>
      </c>
      <c r="BX1678">
        <v>0</v>
      </c>
      <c r="BY1678">
        <v>0</v>
      </c>
      <c r="BZ1678">
        <v>0</v>
      </c>
      <c r="CA1678">
        <v>0</v>
      </c>
      <c r="CB1678">
        <v>0</v>
      </c>
      <c r="CC1678">
        <v>0</v>
      </c>
      <c r="CD1678">
        <v>0</v>
      </c>
      <c r="CE1678" t="s">
        <v>3108</v>
      </c>
      <c r="CF1678" t="s">
        <v>3108</v>
      </c>
      <c r="CG1678" t="s">
        <v>3108</v>
      </c>
      <c r="CH1678" t="s">
        <v>3108</v>
      </c>
    </row>
    <row r="1679" spans="1:86" x14ac:dyDescent="0.2">
      <c r="A1679" t="s">
        <v>5678</v>
      </c>
      <c r="B1679" t="s">
        <v>5678</v>
      </c>
      <c r="C1679">
        <v>54796</v>
      </c>
      <c r="D1679">
        <v>1798</v>
      </c>
      <c r="E1679" t="s">
        <v>5679</v>
      </c>
      <c r="F1679" t="s">
        <v>3249</v>
      </c>
      <c r="G1679" t="s">
        <v>3249</v>
      </c>
      <c r="H1679" t="s">
        <v>3250</v>
      </c>
      <c r="I1679" t="s">
        <v>3250</v>
      </c>
      <c r="J1679" t="s">
        <v>3250</v>
      </c>
      <c r="K1679" t="s">
        <v>3250</v>
      </c>
      <c r="L1679">
        <v>1200</v>
      </c>
      <c r="M1679" t="s">
        <v>2368</v>
      </c>
      <c r="N1679">
        <v>1204</v>
      </c>
      <c r="O1679" t="s">
        <v>1574</v>
      </c>
      <c r="P1679" t="s">
        <v>3108</v>
      </c>
      <c r="Q1679" t="s">
        <v>3249</v>
      </c>
      <c r="R1679" t="s">
        <v>3249</v>
      </c>
      <c r="S1679" t="s">
        <v>472</v>
      </c>
      <c r="T1679" t="s">
        <v>3789</v>
      </c>
      <c r="U1679">
        <v>360</v>
      </c>
      <c r="V1679" t="s">
        <v>3790</v>
      </c>
      <c r="W1679">
        <v>360</v>
      </c>
      <c r="X1679" t="s">
        <v>601</v>
      </c>
      <c r="Y1679" t="s">
        <v>3250</v>
      </c>
      <c r="Z1679" t="s">
        <v>3250</v>
      </c>
      <c r="AA1679" t="s">
        <v>3108</v>
      </c>
      <c r="AB1679" t="s">
        <v>3108</v>
      </c>
      <c r="AC1679" t="s">
        <v>3250</v>
      </c>
      <c r="AD1679" t="s">
        <v>3250</v>
      </c>
      <c r="AE1679" t="s">
        <v>3250</v>
      </c>
      <c r="AF1679" t="s">
        <v>3250</v>
      </c>
      <c r="AG1679" t="s">
        <v>3250</v>
      </c>
      <c r="AH1679" t="s">
        <v>3250</v>
      </c>
      <c r="AI1679" t="s">
        <v>3250</v>
      </c>
      <c r="AJ1679" t="s">
        <v>3250</v>
      </c>
      <c r="AL1679">
        <v>361</v>
      </c>
      <c r="AM1679" t="s">
        <v>2523</v>
      </c>
      <c r="AN1679">
        <v>361</v>
      </c>
      <c r="AO1679" t="s">
        <v>2523</v>
      </c>
      <c r="AS1679" t="s">
        <v>3250</v>
      </c>
      <c r="AT1679" t="s">
        <v>3250</v>
      </c>
      <c r="AU1679" t="s">
        <v>3250</v>
      </c>
      <c r="AV1679" t="s">
        <v>3250</v>
      </c>
      <c r="AW1679" t="s">
        <v>3250</v>
      </c>
      <c r="AX1679" t="s">
        <v>3250</v>
      </c>
      <c r="AY1679" t="s">
        <v>3250</v>
      </c>
      <c r="AZ1679" t="s">
        <v>3250</v>
      </c>
      <c r="BA1679" t="s">
        <v>3250</v>
      </c>
      <c r="BB1679" t="s">
        <v>3250</v>
      </c>
      <c r="BC1679" t="s">
        <v>3250</v>
      </c>
      <c r="BE1679" t="s">
        <v>3250</v>
      </c>
      <c r="BF1679" t="s">
        <v>3250</v>
      </c>
      <c r="BG1679" t="s">
        <v>3250</v>
      </c>
      <c r="BH1679" t="s">
        <v>3250</v>
      </c>
      <c r="BI1679" t="s">
        <v>3250</v>
      </c>
      <c r="BK1679" t="s">
        <v>3250</v>
      </c>
      <c r="BL1679" t="s">
        <v>3250</v>
      </c>
      <c r="BM1679" t="s">
        <v>3250</v>
      </c>
      <c r="BN1679" t="s">
        <v>3250</v>
      </c>
      <c r="BP1679">
        <v>1</v>
      </c>
      <c r="BQ1679">
        <v>11</v>
      </c>
      <c r="BR1679" t="s">
        <v>1574</v>
      </c>
      <c r="BS1679" t="s">
        <v>3252</v>
      </c>
      <c r="BV1679">
        <v>0</v>
      </c>
      <c r="BW1679">
        <v>300000</v>
      </c>
      <c r="BX1679">
        <v>0</v>
      </c>
      <c r="BY1679">
        <v>0</v>
      </c>
      <c r="BZ1679">
        <v>0</v>
      </c>
      <c r="CA1679">
        <v>0</v>
      </c>
      <c r="CB1679">
        <v>0</v>
      </c>
      <c r="CC1679">
        <v>0</v>
      </c>
      <c r="CD1679">
        <v>0</v>
      </c>
      <c r="CE1679" t="s">
        <v>3108</v>
      </c>
      <c r="CF1679" t="s">
        <v>3108</v>
      </c>
      <c r="CG1679" t="s">
        <v>3108</v>
      </c>
      <c r="CH1679" t="s">
        <v>3108</v>
      </c>
    </row>
    <row r="1680" spans="1:86" x14ac:dyDescent="0.2">
      <c r="A1680" t="s">
        <v>5680</v>
      </c>
      <c r="B1680" t="s">
        <v>5680</v>
      </c>
      <c r="C1680">
        <v>54798</v>
      </c>
      <c r="D1680">
        <v>1799</v>
      </c>
      <c r="E1680" t="s">
        <v>5681</v>
      </c>
      <c r="F1680">
        <v>2900</v>
      </c>
      <c r="G1680" t="s">
        <v>822</v>
      </c>
      <c r="H1680" t="s">
        <v>3108</v>
      </c>
      <c r="I1680" t="s">
        <v>3108</v>
      </c>
      <c r="J1680">
        <v>2904</v>
      </c>
      <c r="K1680" t="s">
        <v>1690</v>
      </c>
      <c r="L1680">
        <v>4100</v>
      </c>
      <c r="M1680" t="s">
        <v>2365</v>
      </c>
      <c r="N1680">
        <v>4101</v>
      </c>
      <c r="O1680" t="s">
        <v>2432</v>
      </c>
      <c r="P1680" t="s">
        <v>3108</v>
      </c>
      <c r="Q1680" t="s">
        <v>3249</v>
      </c>
      <c r="R1680" t="s">
        <v>3249</v>
      </c>
      <c r="S1680" t="s">
        <v>810</v>
      </c>
      <c r="T1680" t="s">
        <v>2754</v>
      </c>
      <c r="U1680" t="s">
        <v>3250</v>
      </c>
      <c r="V1680" t="s">
        <v>3250</v>
      </c>
      <c r="W1680" t="s">
        <v>3250</v>
      </c>
      <c r="X1680" t="s">
        <v>3250</v>
      </c>
      <c r="Y1680" t="s">
        <v>3250</v>
      </c>
      <c r="Z1680" t="s">
        <v>3250</v>
      </c>
      <c r="AA1680" t="s">
        <v>3108</v>
      </c>
      <c r="AB1680" t="s">
        <v>3108</v>
      </c>
      <c r="AC1680" t="s">
        <v>3250</v>
      </c>
      <c r="AD1680" t="s">
        <v>3250</v>
      </c>
      <c r="AE1680" t="s">
        <v>3250</v>
      </c>
      <c r="AF1680" t="s">
        <v>3250</v>
      </c>
      <c r="AG1680" t="s">
        <v>3250</v>
      </c>
      <c r="AH1680" t="s">
        <v>3250</v>
      </c>
      <c r="AI1680" t="s">
        <v>3250</v>
      </c>
      <c r="AJ1680" t="s">
        <v>3250</v>
      </c>
      <c r="AL1680" t="s">
        <v>3250</v>
      </c>
      <c r="AM1680" t="s">
        <v>3250</v>
      </c>
      <c r="AN1680" t="s">
        <v>3250</v>
      </c>
      <c r="AO1680" t="s">
        <v>3250</v>
      </c>
      <c r="AS1680" t="s">
        <v>3250</v>
      </c>
      <c r="AT1680" t="s">
        <v>3250</v>
      </c>
      <c r="AU1680" t="s">
        <v>3250</v>
      </c>
      <c r="AV1680" t="s">
        <v>3250</v>
      </c>
      <c r="AW1680" t="s">
        <v>3250</v>
      </c>
      <c r="AX1680" t="s">
        <v>3250</v>
      </c>
      <c r="AY1680" t="s">
        <v>3250</v>
      </c>
      <c r="AZ1680" t="s">
        <v>3250</v>
      </c>
      <c r="BA1680" t="s">
        <v>3250</v>
      </c>
      <c r="BB1680" t="s">
        <v>3250</v>
      </c>
      <c r="BC1680" t="s">
        <v>3250</v>
      </c>
      <c r="BE1680" t="s">
        <v>3250</v>
      </c>
      <c r="BF1680" t="s">
        <v>3250</v>
      </c>
      <c r="BG1680" t="s">
        <v>3250</v>
      </c>
      <c r="BH1680" t="s">
        <v>3250</v>
      </c>
      <c r="BI1680" t="s">
        <v>3250</v>
      </c>
      <c r="BK1680" t="s">
        <v>3250</v>
      </c>
      <c r="BL1680" t="s">
        <v>3250</v>
      </c>
      <c r="BM1680" t="s">
        <v>3250</v>
      </c>
      <c r="BN1680" t="s">
        <v>3250</v>
      </c>
      <c r="BP1680">
        <v>6</v>
      </c>
      <c r="BQ1680">
        <v>61</v>
      </c>
      <c r="BR1680" t="s">
        <v>555</v>
      </c>
      <c r="BS1680" t="s">
        <v>4397</v>
      </c>
      <c r="BV1680">
        <v>0</v>
      </c>
      <c r="BW1680">
        <v>0</v>
      </c>
      <c r="BX1680">
        <v>0</v>
      </c>
      <c r="BY1680">
        <v>0</v>
      </c>
      <c r="BZ1680">
        <v>6381606</v>
      </c>
      <c r="CA1680">
        <v>0</v>
      </c>
      <c r="CB1680">
        <v>0</v>
      </c>
      <c r="CC1680">
        <v>0</v>
      </c>
      <c r="CD1680">
        <v>8915915</v>
      </c>
      <c r="CE1680" t="s">
        <v>3108</v>
      </c>
      <c r="CF1680" t="s">
        <v>3108</v>
      </c>
      <c r="CG1680" t="s">
        <v>3108</v>
      </c>
      <c r="CH1680" t="s">
        <v>3108</v>
      </c>
    </row>
    <row r="1681" spans="1:86" x14ac:dyDescent="0.2">
      <c r="A1681" t="s">
        <v>5682</v>
      </c>
      <c r="B1681" t="s">
        <v>5682</v>
      </c>
      <c r="C1681">
        <v>54799</v>
      </c>
      <c r="D1681">
        <v>1800</v>
      </c>
      <c r="E1681" t="s">
        <v>4326</v>
      </c>
      <c r="F1681">
        <v>2700</v>
      </c>
      <c r="G1681" t="s">
        <v>411</v>
      </c>
      <c r="H1681" t="s">
        <v>4004</v>
      </c>
      <c r="I1681" t="s">
        <v>2531</v>
      </c>
      <c r="J1681">
        <v>2701</v>
      </c>
      <c r="K1681" t="s">
        <v>2531</v>
      </c>
      <c r="L1681">
        <v>1100</v>
      </c>
      <c r="M1681" t="s">
        <v>119</v>
      </c>
      <c r="N1681">
        <v>1110</v>
      </c>
      <c r="O1681" t="s">
        <v>284</v>
      </c>
      <c r="P1681" t="s">
        <v>3108</v>
      </c>
      <c r="Q1681" t="s">
        <v>3249</v>
      </c>
      <c r="R1681" t="s">
        <v>3249</v>
      </c>
      <c r="S1681" t="s">
        <v>810</v>
      </c>
      <c r="T1681" t="s">
        <v>2754</v>
      </c>
      <c r="U1681" t="s">
        <v>3250</v>
      </c>
      <c r="V1681" t="s">
        <v>3250</v>
      </c>
      <c r="W1681" t="s">
        <v>3250</v>
      </c>
      <c r="X1681" t="s">
        <v>3250</v>
      </c>
      <c r="Y1681" t="s">
        <v>3250</v>
      </c>
      <c r="Z1681" t="s">
        <v>3250</v>
      </c>
      <c r="AA1681" t="s">
        <v>3108</v>
      </c>
      <c r="AB1681" t="s">
        <v>3108</v>
      </c>
      <c r="AC1681" t="s">
        <v>3250</v>
      </c>
      <c r="AD1681" t="s">
        <v>3250</v>
      </c>
      <c r="AE1681" t="s">
        <v>3250</v>
      </c>
      <c r="AF1681" t="s">
        <v>3250</v>
      </c>
      <c r="AG1681" t="s">
        <v>3250</v>
      </c>
      <c r="AH1681" t="s">
        <v>3250</v>
      </c>
      <c r="AI1681" t="s">
        <v>3250</v>
      </c>
      <c r="AJ1681" t="s">
        <v>3250</v>
      </c>
      <c r="AL1681" t="s">
        <v>3250</v>
      </c>
      <c r="AM1681" t="s">
        <v>3250</v>
      </c>
      <c r="AN1681" t="s">
        <v>3250</v>
      </c>
      <c r="AO1681" t="s">
        <v>3250</v>
      </c>
      <c r="AS1681" t="s">
        <v>3250</v>
      </c>
      <c r="AT1681" t="s">
        <v>3250</v>
      </c>
      <c r="AU1681" t="s">
        <v>3250</v>
      </c>
      <c r="AV1681" t="s">
        <v>3250</v>
      </c>
      <c r="AW1681" t="s">
        <v>3250</v>
      </c>
      <c r="AX1681" t="s">
        <v>3250</v>
      </c>
      <c r="AY1681" t="s">
        <v>3250</v>
      </c>
      <c r="AZ1681" t="s">
        <v>3250</v>
      </c>
      <c r="BA1681" t="s">
        <v>3250</v>
      </c>
      <c r="BB1681" t="s">
        <v>3250</v>
      </c>
      <c r="BC1681" t="s">
        <v>3250</v>
      </c>
      <c r="BE1681" t="s">
        <v>3250</v>
      </c>
      <c r="BF1681" t="s">
        <v>3250</v>
      </c>
      <c r="BG1681" t="s">
        <v>3250</v>
      </c>
      <c r="BH1681" t="s">
        <v>3250</v>
      </c>
      <c r="BI1681" t="s">
        <v>3250</v>
      </c>
      <c r="BK1681" t="s">
        <v>3250</v>
      </c>
      <c r="BL1681" t="s">
        <v>3250</v>
      </c>
      <c r="BM1681" t="s">
        <v>3250</v>
      </c>
      <c r="BN1681" t="s">
        <v>3250</v>
      </c>
      <c r="BP1681">
        <v>3</v>
      </c>
      <c r="BQ1681">
        <v>32</v>
      </c>
      <c r="BR1681" t="s">
        <v>284</v>
      </c>
      <c r="BS1681" t="s">
        <v>4381</v>
      </c>
      <c r="BV1681">
        <v>378000</v>
      </c>
      <c r="BW1681">
        <v>0</v>
      </c>
      <c r="BX1681">
        <v>0</v>
      </c>
      <c r="BY1681">
        <v>300000</v>
      </c>
      <c r="BZ1681">
        <v>300000</v>
      </c>
      <c r="CA1681">
        <v>311700</v>
      </c>
      <c r="CB1681">
        <v>324168</v>
      </c>
      <c r="CC1681">
        <v>337135</v>
      </c>
      <c r="CD1681">
        <v>0</v>
      </c>
      <c r="CE1681" t="s">
        <v>3108</v>
      </c>
      <c r="CF1681" t="s">
        <v>3108</v>
      </c>
      <c r="CG1681" t="s">
        <v>3108</v>
      </c>
      <c r="CH1681" t="s">
        <v>3108</v>
      </c>
    </row>
    <row r="1682" spans="1:86" x14ac:dyDescent="0.2">
      <c r="A1682" t="s">
        <v>5683</v>
      </c>
      <c r="B1682" t="s">
        <v>5683</v>
      </c>
      <c r="C1682">
        <v>54800</v>
      </c>
      <c r="D1682">
        <v>1801</v>
      </c>
      <c r="E1682" t="s">
        <v>4836</v>
      </c>
      <c r="F1682" t="s">
        <v>3249</v>
      </c>
      <c r="G1682" t="s">
        <v>3249</v>
      </c>
      <c r="H1682" t="s">
        <v>3250</v>
      </c>
      <c r="I1682" t="s">
        <v>3250</v>
      </c>
      <c r="J1682" t="s">
        <v>3250</v>
      </c>
      <c r="K1682" t="s">
        <v>3250</v>
      </c>
      <c r="L1682">
        <v>1200</v>
      </c>
      <c r="M1682" t="s">
        <v>2368</v>
      </c>
      <c r="N1682">
        <v>1204</v>
      </c>
      <c r="O1682" t="s">
        <v>1574</v>
      </c>
      <c r="P1682" t="s">
        <v>2805</v>
      </c>
      <c r="Q1682">
        <v>2080</v>
      </c>
      <c r="R1682" t="s">
        <v>423</v>
      </c>
      <c r="S1682" t="s">
        <v>427</v>
      </c>
      <c r="T1682" t="s">
        <v>3251</v>
      </c>
      <c r="U1682">
        <v>240</v>
      </c>
      <c r="V1682" t="s">
        <v>4251</v>
      </c>
      <c r="W1682">
        <v>240</v>
      </c>
      <c r="X1682" t="s">
        <v>1323</v>
      </c>
      <c r="Y1682" t="s">
        <v>3250</v>
      </c>
      <c r="Z1682" t="s">
        <v>3250</v>
      </c>
      <c r="AA1682" t="s">
        <v>3108</v>
      </c>
      <c r="AB1682" t="s">
        <v>3108</v>
      </c>
      <c r="AC1682" t="s">
        <v>3250</v>
      </c>
      <c r="AD1682" t="s">
        <v>3250</v>
      </c>
      <c r="AE1682" t="s">
        <v>3250</v>
      </c>
      <c r="AF1682" t="s">
        <v>3250</v>
      </c>
      <c r="AG1682">
        <v>1180</v>
      </c>
      <c r="AH1682" t="s">
        <v>1738</v>
      </c>
      <c r="AI1682">
        <v>1180</v>
      </c>
      <c r="AJ1682" t="s">
        <v>1738</v>
      </c>
      <c r="AL1682">
        <v>241</v>
      </c>
      <c r="AM1682" t="s">
        <v>1455</v>
      </c>
      <c r="AN1682">
        <v>241</v>
      </c>
      <c r="AO1682" t="s">
        <v>1455</v>
      </c>
      <c r="AS1682">
        <v>1200</v>
      </c>
      <c r="AT1682">
        <v>1200</v>
      </c>
      <c r="AU1682" t="s">
        <v>2310</v>
      </c>
      <c r="AV1682" t="s">
        <v>2310</v>
      </c>
      <c r="AW1682" t="s">
        <v>3250</v>
      </c>
      <c r="AX1682" t="s">
        <v>3250</v>
      </c>
      <c r="AY1682" t="s">
        <v>3250</v>
      </c>
      <c r="AZ1682" t="s">
        <v>3250</v>
      </c>
      <c r="BA1682" t="s">
        <v>3250</v>
      </c>
      <c r="BB1682" t="s">
        <v>3250</v>
      </c>
      <c r="BC1682" t="s">
        <v>3250</v>
      </c>
      <c r="BE1682" t="s">
        <v>3250</v>
      </c>
      <c r="BF1682" t="s">
        <v>3250</v>
      </c>
      <c r="BG1682" t="s">
        <v>3250</v>
      </c>
      <c r="BH1682" t="s">
        <v>3250</v>
      </c>
      <c r="BI1682" t="s">
        <v>3250</v>
      </c>
      <c r="BK1682" t="s">
        <v>3250</v>
      </c>
      <c r="BL1682" t="s">
        <v>3250</v>
      </c>
      <c r="BM1682" t="s">
        <v>3250</v>
      </c>
      <c r="BN1682" t="s">
        <v>3250</v>
      </c>
      <c r="BP1682">
        <v>1</v>
      </c>
      <c r="BQ1682">
        <v>11</v>
      </c>
      <c r="BR1682" t="s">
        <v>1574</v>
      </c>
      <c r="BS1682" t="s">
        <v>3252</v>
      </c>
      <c r="BV1682">
        <v>472275</v>
      </c>
      <c r="BW1682">
        <v>0</v>
      </c>
      <c r="BX1682">
        <v>0</v>
      </c>
      <c r="BY1682">
        <v>5000000</v>
      </c>
      <c r="BZ1682">
        <v>1521951</v>
      </c>
      <c r="CA1682">
        <v>0</v>
      </c>
      <c r="CB1682">
        <v>0</v>
      </c>
      <c r="CC1682">
        <v>0</v>
      </c>
      <c r="CD1682">
        <v>472275</v>
      </c>
      <c r="CE1682" t="s">
        <v>3108</v>
      </c>
      <c r="CF1682" t="s">
        <v>3108</v>
      </c>
      <c r="CG1682" t="s">
        <v>3108</v>
      </c>
      <c r="CH1682" t="s">
        <v>3108</v>
      </c>
    </row>
    <row r="1683" spans="1:86" x14ac:dyDescent="0.2">
      <c r="A1683" t="s">
        <v>5684</v>
      </c>
      <c r="B1683" t="s">
        <v>5684</v>
      </c>
      <c r="C1683">
        <v>54801</v>
      </c>
      <c r="D1683">
        <v>1802</v>
      </c>
      <c r="E1683" t="s">
        <v>5115</v>
      </c>
      <c r="F1683" t="s">
        <v>3249</v>
      </c>
      <c r="G1683" t="s">
        <v>3249</v>
      </c>
      <c r="H1683" t="s">
        <v>3250</v>
      </c>
      <c r="I1683" t="s">
        <v>3250</v>
      </c>
      <c r="J1683" t="s">
        <v>3250</v>
      </c>
      <c r="K1683" t="s">
        <v>3250</v>
      </c>
      <c r="L1683">
        <v>1200</v>
      </c>
      <c r="M1683" t="s">
        <v>2368</v>
      </c>
      <c r="N1683">
        <v>1204</v>
      </c>
      <c r="O1683" t="s">
        <v>1574</v>
      </c>
      <c r="P1683" t="s">
        <v>3108</v>
      </c>
      <c r="Q1683" t="s">
        <v>3249</v>
      </c>
      <c r="R1683" t="s">
        <v>3249</v>
      </c>
      <c r="S1683" t="s">
        <v>472</v>
      </c>
      <c r="T1683" t="s">
        <v>3251</v>
      </c>
      <c r="U1683">
        <v>120</v>
      </c>
      <c r="V1683" t="s">
        <v>599</v>
      </c>
      <c r="W1683">
        <v>120</v>
      </c>
      <c r="X1683" t="s">
        <v>599</v>
      </c>
      <c r="Y1683" t="s">
        <v>3250</v>
      </c>
      <c r="Z1683" t="s">
        <v>3250</v>
      </c>
      <c r="AA1683" t="s">
        <v>3108</v>
      </c>
      <c r="AB1683" t="s">
        <v>3108</v>
      </c>
      <c r="AC1683" t="s">
        <v>3250</v>
      </c>
      <c r="AD1683" t="s">
        <v>3250</v>
      </c>
      <c r="AE1683" t="s">
        <v>3250</v>
      </c>
      <c r="AF1683" t="s">
        <v>3250</v>
      </c>
      <c r="AG1683" t="s">
        <v>3250</v>
      </c>
      <c r="AH1683" t="s">
        <v>3250</v>
      </c>
      <c r="AI1683" t="s">
        <v>3250</v>
      </c>
      <c r="AJ1683" t="s">
        <v>3250</v>
      </c>
      <c r="AL1683" t="s">
        <v>3250</v>
      </c>
      <c r="AM1683" t="s">
        <v>3250</v>
      </c>
      <c r="AN1683" t="s">
        <v>3250</v>
      </c>
      <c r="AO1683" t="s">
        <v>3250</v>
      </c>
      <c r="AR1683" t="s">
        <v>472</v>
      </c>
      <c r="AS1683" t="s">
        <v>3250</v>
      </c>
      <c r="AT1683" t="s">
        <v>3250</v>
      </c>
      <c r="AU1683" t="s">
        <v>3250</v>
      </c>
      <c r="AV1683" t="s">
        <v>3250</v>
      </c>
      <c r="AW1683" t="s">
        <v>3250</v>
      </c>
      <c r="AX1683" t="s">
        <v>3250</v>
      </c>
      <c r="AY1683" t="s">
        <v>3250</v>
      </c>
      <c r="AZ1683" t="s">
        <v>3250</v>
      </c>
      <c r="BA1683" t="s">
        <v>3250</v>
      </c>
      <c r="BB1683" t="s">
        <v>3250</v>
      </c>
      <c r="BC1683" t="s">
        <v>3250</v>
      </c>
      <c r="BE1683" t="s">
        <v>3250</v>
      </c>
      <c r="BF1683" t="s">
        <v>3250</v>
      </c>
      <c r="BG1683" t="s">
        <v>3250</v>
      </c>
      <c r="BH1683" t="s">
        <v>3250</v>
      </c>
      <c r="BI1683" t="s">
        <v>3250</v>
      </c>
      <c r="BK1683" t="s">
        <v>3250</v>
      </c>
      <c r="BL1683" t="s">
        <v>3250</v>
      </c>
      <c r="BM1683" t="s">
        <v>3250</v>
      </c>
      <c r="BN1683" t="s">
        <v>3250</v>
      </c>
      <c r="BP1683">
        <v>1</v>
      </c>
      <c r="BQ1683">
        <v>11</v>
      </c>
      <c r="BR1683" t="s">
        <v>1574</v>
      </c>
      <c r="BS1683" t="s">
        <v>3252</v>
      </c>
      <c r="BV1683">
        <v>20217910</v>
      </c>
      <c r="BW1683">
        <v>0</v>
      </c>
      <c r="BX1683">
        <v>0</v>
      </c>
      <c r="BY1683">
        <v>0</v>
      </c>
      <c r="BZ1683">
        <v>0</v>
      </c>
      <c r="CA1683">
        <v>0</v>
      </c>
      <c r="CB1683">
        <v>0</v>
      </c>
      <c r="CC1683">
        <v>0</v>
      </c>
      <c r="CD1683">
        <v>13239081</v>
      </c>
      <c r="CE1683" t="s">
        <v>3108</v>
      </c>
      <c r="CF1683" t="s">
        <v>3108</v>
      </c>
      <c r="CG1683" t="s">
        <v>3108</v>
      </c>
      <c r="CH1683" t="s">
        <v>3108</v>
      </c>
    </row>
    <row r="1684" spans="1:86" x14ac:dyDescent="0.2">
      <c r="A1684" t="s">
        <v>5685</v>
      </c>
      <c r="B1684" t="s">
        <v>5685</v>
      </c>
      <c r="C1684">
        <v>54802</v>
      </c>
      <c r="D1684">
        <v>1803</v>
      </c>
      <c r="E1684" t="s">
        <v>5115</v>
      </c>
      <c r="F1684" t="s">
        <v>3249</v>
      </c>
      <c r="G1684" t="s">
        <v>3249</v>
      </c>
      <c r="H1684" t="s">
        <v>3250</v>
      </c>
      <c r="I1684" t="s">
        <v>3250</v>
      </c>
      <c r="J1684" t="s">
        <v>3250</v>
      </c>
      <c r="K1684" t="s">
        <v>3250</v>
      </c>
      <c r="L1684">
        <v>1200</v>
      </c>
      <c r="M1684" t="s">
        <v>2368</v>
      </c>
      <c r="N1684">
        <v>1204</v>
      </c>
      <c r="O1684" t="s">
        <v>1574</v>
      </c>
      <c r="P1684" t="s">
        <v>3108</v>
      </c>
      <c r="Q1684" t="s">
        <v>3249</v>
      </c>
      <c r="R1684" t="s">
        <v>3249</v>
      </c>
      <c r="S1684" t="s">
        <v>472</v>
      </c>
      <c r="T1684" t="s">
        <v>3251</v>
      </c>
      <c r="U1684">
        <v>120</v>
      </c>
      <c r="V1684" t="s">
        <v>599</v>
      </c>
      <c r="W1684">
        <v>120</v>
      </c>
      <c r="X1684" t="s">
        <v>599</v>
      </c>
      <c r="Y1684" t="s">
        <v>3250</v>
      </c>
      <c r="Z1684" t="s">
        <v>3250</v>
      </c>
      <c r="AA1684" t="s">
        <v>3108</v>
      </c>
      <c r="AB1684" t="s">
        <v>3108</v>
      </c>
      <c r="AC1684" t="s">
        <v>3250</v>
      </c>
      <c r="AD1684" t="s">
        <v>3250</v>
      </c>
      <c r="AE1684" t="s">
        <v>3250</v>
      </c>
      <c r="AF1684" t="s">
        <v>3250</v>
      </c>
      <c r="AG1684" t="s">
        <v>3250</v>
      </c>
      <c r="AH1684" t="s">
        <v>3250</v>
      </c>
      <c r="AI1684" t="s">
        <v>3250</v>
      </c>
      <c r="AJ1684" t="s">
        <v>3250</v>
      </c>
      <c r="AL1684" t="s">
        <v>3250</v>
      </c>
      <c r="AM1684" t="s">
        <v>3250</v>
      </c>
      <c r="AN1684" t="s">
        <v>3250</v>
      </c>
      <c r="AO1684" t="s">
        <v>3250</v>
      </c>
      <c r="AR1684" t="s">
        <v>472</v>
      </c>
      <c r="AS1684" t="s">
        <v>3250</v>
      </c>
      <c r="AT1684" t="s">
        <v>3250</v>
      </c>
      <c r="AU1684" t="s">
        <v>3250</v>
      </c>
      <c r="AV1684" t="s">
        <v>3250</v>
      </c>
      <c r="AW1684" t="s">
        <v>3250</v>
      </c>
      <c r="AX1684" t="s">
        <v>3250</v>
      </c>
      <c r="AY1684" t="s">
        <v>3250</v>
      </c>
      <c r="AZ1684" t="s">
        <v>3250</v>
      </c>
      <c r="BA1684" t="s">
        <v>3250</v>
      </c>
      <c r="BB1684" t="s">
        <v>3250</v>
      </c>
      <c r="BC1684" t="s">
        <v>3250</v>
      </c>
      <c r="BE1684" t="s">
        <v>3250</v>
      </c>
      <c r="BF1684" t="s">
        <v>3250</v>
      </c>
      <c r="BG1684" t="s">
        <v>3250</v>
      </c>
      <c r="BH1684" t="s">
        <v>3250</v>
      </c>
      <c r="BI1684" t="s">
        <v>3250</v>
      </c>
      <c r="BK1684" t="s">
        <v>3250</v>
      </c>
      <c r="BL1684" t="s">
        <v>3250</v>
      </c>
      <c r="BM1684" t="s">
        <v>3250</v>
      </c>
      <c r="BN1684" t="s">
        <v>3250</v>
      </c>
      <c r="BP1684">
        <v>1</v>
      </c>
      <c r="BQ1684">
        <v>11</v>
      </c>
      <c r="BR1684" t="s">
        <v>1574</v>
      </c>
      <c r="BS1684" t="s">
        <v>3252</v>
      </c>
      <c r="BV1684">
        <v>0</v>
      </c>
      <c r="BW1684">
        <v>0</v>
      </c>
      <c r="BX1684">
        <v>0</v>
      </c>
      <c r="BY1684">
        <v>0</v>
      </c>
      <c r="BZ1684">
        <v>0</v>
      </c>
      <c r="CA1684">
        <v>0</v>
      </c>
      <c r="CB1684">
        <v>0</v>
      </c>
      <c r="CC1684">
        <v>0</v>
      </c>
      <c r="CD1684">
        <v>0</v>
      </c>
      <c r="CE1684" t="s">
        <v>3108</v>
      </c>
      <c r="CF1684" t="s">
        <v>3108</v>
      </c>
      <c r="CG1684" t="s">
        <v>3108</v>
      </c>
      <c r="CH1684" t="s">
        <v>3108</v>
      </c>
    </row>
    <row r="1685" spans="1:86" x14ac:dyDescent="0.2">
      <c r="A1685" t="s">
        <v>5686</v>
      </c>
      <c r="B1685" t="s">
        <v>5686</v>
      </c>
      <c r="C1685">
        <v>54803</v>
      </c>
      <c r="D1685">
        <v>1804</v>
      </c>
      <c r="E1685" t="s">
        <v>5687</v>
      </c>
      <c r="F1685" t="s">
        <v>3249</v>
      </c>
      <c r="G1685" t="s">
        <v>3249</v>
      </c>
      <c r="H1685" t="s">
        <v>3250</v>
      </c>
      <c r="I1685" t="s">
        <v>3250</v>
      </c>
      <c r="J1685" t="s">
        <v>3250</v>
      </c>
      <c r="K1685" t="s">
        <v>3250</v>
      </c>
      <c r="L1685">
        <v>1200</v>
      </c>
      <c r="M1685" t="s">
        <v>2368</v>
      </c>
      <c r="N1685">
        <v>1204</v>
      </c>
      <c r="O1685" t="s">
        <v>1574</v>
      </c>
      <c r="P1685" t="s">
        <v>3108</v>
      </c>
      <c r="Q1685" t="s">
        <v>3249</v>
      </c>
      <c r="R1685" t="s">
        <v>3249</v>
      </c>
      <c r="S1685" t="s">
        <v>472</v>
      </c>
      <c r="T1685" t="s">
        <v>3251</v>
      </c>
      <c r="U1685">
        <v>130</v>
      </c>
      <c r="V1685" t="s">
        <v>4716</v>
      </c>
      <c r="W1685">
        <v>130</v>
      </c>
      <c r="X1685" t="s">
        <v>4716</v>
      </c>
      <c r="Y1685" t="s">
        <v>3250</v>
      </c>
      <c r="Z1685" t="s">
        <v>3250</v>
      </c>
      <c r="AA1685" t="s">
        <v>3108</v>
      </c>
      <c r="AB1685" t="s">
        <v>3108</v>
      </c>
      <c r="AC1685" t="s">
        <v>3250</v>
      </c>
      <c r="AD1685" t="s">
        <v>3250</v>
      </c>
      <c r="AE1685" t="s">
        <v>3250</v>
      </c>
      <c r="AF1685" t="s">
        <v>3250</v>
      </c>
      <c r="AG1685" t="s">
        <v>3250</v>
      </c>
      <c r="AH1685" t="s">
        <v>3250</v>
      </c>
      <c r="AI1685" t="s">
        <v>3250</v>
      </c>
      <c r="AJ1685" t="s">
        <v>3250</v>
      </c>
      <c r="AL1685" t="s">
        <v>3250</v>
      </c>
      <c r="AM1685" t="s">
        <v>3250</v>
      </c>
      <c r="AN1685" t="s">
        <v>3250</v>
      </c>
      <c r="AO1685" t="s">
        <v>3250</v>
      </c>
      <c r="AS1685" t="s">
        <v>3250</v>
      </c>
      <c r="AT1685" t="s">
        <v>3250</v>
      </c>
      <c r="AU1685" t="s">
        <v>3250</v>
      </c>
      <c r="AV1685" t="s">
        <v>3250</v>
      </c>
      <c r="AW1685" t="s">
        <v>3250</v>
      </c>
      <c r="AX1685" t="s">
        <v>3250</v>
      </c>
      <c r="AY1685" t="s">
        <v>3250</v>
      </c>
      <c r="AZ1685" t="s">
        <v>3250</v>
      </c>
      <c r="BA1685" t="s">
        <v>3250</v>
      </c>
      <c r="BB1685" t="s">
        <v>3250</v>
      </c>
      <c r="BC1685" t="s">
        <v>3250</v>
      </c>
      <c r="BE1685" t="s">
        <v>3250</v>
      </c>
      <c r="BF1685" t="s">
        <v>3250</v>
      </c>
      <c r="BG1685" t="s">
        <v>3250</v>
      </c>
      <c r="BH1685" t="s">
        <v>3250</v>
      </c>
      <c r="BI1685" t="s">
        <v>3250</v>
      </c>
      <c r="BK1685" t="s">
        <v>3250</v>
      </c>
      <c r="BL1685" t="s">
        <v>3250</v>
      </c>
      <c r="BM1685" t="s">
        <v>3250</v>
      </c>
      <c r="BN1685" t="s">
        <v>3250</v>
      </c>
      <c r="BP1685">
        <v>1</v>
      </c>
      <c r="BQ1685">
        <v>11</v>
      </c>
      <c r="BR1685" t="s">
        <v>1574</v>
      </c>
      <c r="BS1685" t="s">
        <v>3252</v>
      </c>
      <c r="BV1685">
        <v>45233789</v>
      </c>
      <c r="BW1685">
        <v>0</v>
      </c>
      <c r="BX1685">
        <v>0</v>
      </c>
      <c r="BY1685">
        <v>0</v>
      </c>
      <c r="BZ1685">
        <v>0</v>
      </c>
      <c r="CA1685">
        <v>0</v>
      </c>
      <c r="CB1685">
        <v>0</v>
      </c>
      <c r="CC1685">
        <v>0</v>
      </c>
      <c r="CD1685">
        <v>26315052</v>
      </c>
      <c r="CE1685" t="s">
        <v>3108</v>
      </c>
      <c r="CF1685" t="s">
        <v>3108</v>
      </c>
      <c r="CG1685" t="s">
        <v>3108</v>
      </c>
      <c r="CH1685" t="s">
        <v>3108</v>
      </c>
    </row>
    <row r="1686" spans="1:86" x14ac:dyDescent="0.2">
      <c r="A1686" t="s">
        <v>5688</v>
      </c>
      <c r="B1686" t="s">
        <v>5688</v>
      </c>
      <c r="C1686">
        <v>54804</v>
      </c>
      <c r="D1686">
        <v>1805</v>
      </c>
      <c r="E1686" t="s">
        <v>5689</v>
      </c>
      <c r="F1686">
        <v>2300</v>
      </c>
      <c r="G1686" t="s">
        <v>1305</v>
      </c>
      <c r="H1686" t="s">
        <v>4628</v>
      </c>
      <c r="I1686" t="s">
        <v>1386</v>
      </c>
      <c r="J1686">
        <v>2301</v>
      </c>
      <c r="K1686" t="s">
        <v>4629</v>
      </c>
      <c r="L1686">
        <v>1200</v>
      </c>
      <c r="M1686" t="s">
        <v>2368</v>
      </c>
      <c r="N1686">
        <v>1202</v>
      </c>
      <c r="O1686" t="s">
        <v>2371</v>
      </c>
      <c r="P1686" t="s">
        <v>3108</v>
      </c>
      <c r="Q1686" t="s">
        <v>3249</v>
      </c>
      <c r="R1686" t="s">
        <v>3249</v>
      </c>
      <c r="S1686" t="s">
        <v>810</v>
      </c>
      <c r="T1686" t="s">
        <v>2754</v>
      </c>
      <c r="U1686" t="s">
        <v>3250</v>
      </c>
      <c r="V1686" t="s">
        <v>3250</v>
      </c>
      <c r="W1686" t="s">
        <v>3250</v>
      </c>
      <c r="X1686" t="s">
        <v>3250</v>
      </c>
      <c r="Y1686" t="s">
        <v>3250</v>
      </c>
      <c r="Z1686" t="s">
        <v>3250</v>
      </c>
      <c r="AA1686" t="s">
        <v>3108</v>
      </c>
      <c r="AB1686" t="s">
        <v>3108</v>
      </c>
      <c r="AC1686" t="s">
        <v>3250</v>
      </c>
      <c r="AD1686" t="s">
        <v>3250</v>
      </c>
      <c r="AE1686" t="s">
        <v>3250</v>
      </c>
      <c r="AF1686" t="s">
        <v>3250</v>
      </c>
      <c r="AG1686" t="s">
        <v>3250</v>
      </c>
      <c r="AH1686" t="s">
        <v>3250</v>
      </c>
      <c r="AI1686" t="s">
        <v>3250</v>
      </c>
      <c r="AJ1686" t="s">
        <v>3250</v>
      </c>
      <c r="AL1686" t="s">
        <v>3250</v>
      </c>
      <c r="AM1686" t="s">
        <v>3250</v>
      </c>
      <c r="AN1686" t="s">
        <v>3250</v>
      </c>
      <c r="AO1686" t="s">
        <v>3250</v>
      </c>
      <c r="AS1686" t="s">
        <v>3250</v>
      </c>
      <c r="AT1686" t="s">
        <v>3250</v>
      </c>
      <c r="AU1686" t="s">
        <v>3250</v>
      </c>
      <c r="AV1686" t="s">
        <v>3250</v>
      </c>
      <c r="AW1686" t="s">
        <v>3250</v>
      </c>
      <c r="AX1686" t="s">
        <v>3250</v>
      </c>
      <c r="AY1686" t="s">
        <v>3250</v>
      </c>
      <c r="AZ1686" t="s">
        <v>3250</v>
      </c>
      <c r="BA1686" t="s">
        <v>3250</v>
      </c>
      <c r="BB1686" t="s">
        <v>3250</v>
      </c>
      <c r="BC1686" t="s">
        <v>3250</v>
      </c>
      <c r="BE1686">
        <v>1530</v>
      </c>
      <c r="BF1686" t="s">
        <v>2335</v>
      </c>
      <c r="BG1686" t="s">
        <v>3250</v>
      </c>
      <c r="BH1686">
        <v>1530</v>
      </c>
      <c r="BI1686" t="s">
        <v>2335</v>
      </c>
      <c r="BJ1686" t="s">
        <v>2821</v>
      </c>
      <c r="BK1686" t="s">
        <v>3250</v>
      </c>
      <c r="BL1686" t="s">
        <v>3250</v>
      </c>
      <c r="BM1686" t="s">
        <v>3250</v>
      </c>
      <c r="BN1686" t="s">
        <v>3250</v>
      </c>
      <c r="BP1686">
        <v>1</v>
      </c>
      <c r="BQ1686">
        <v>13</v>
      </c>
      <c r="BR1686" t="s">
        <v>2371</v>
      </c>
      <c r="BS1686" t="s">
        <v>3252</v>
      </c>
      <c r="BV1686">
        <v>745359</v>
      </c>
      <c r="BW1686">
        <v>0</v>
      </c>
      <c r="BX1686">
        <v>0</v>
      </c>
      <c r="BY1686">
        <v>926926</v>
      </c>
      <c r="BZ1686">
        <v>926926</v>
      </c>
      <c r="CA1686">
        <v>963076</v>
      </c>
      <c r="CB1686">
        <v>1001599</v>
      </c>
      <c r="CC1686">
        <v>1041663</v>
      </c>
      <c r="CD1686">
        <v>504306</v>
      </c>
      <c r="CE1686" t="s">
        <v>3108</v>
      </c>
      <c r="CF1686" t="s">
        <v>3108</v>
      </c>
      <c r="CG1686" t="s">
        <v>3108</v>
      </c>
      <c r="CH1686" t="s">
        <v>3108</v>
      </c>
    </row>
    <row r="1687" spans="1:86" x14ac:dyDescent="0.2">
      <c r="A1687" t="s">
        <v>5690</v>
      </c>
      <c r="B1687" t="s">
        <v>5690</v>
      </c>
      <c r="C1687">
        <v>54805</v>
      </c>
      <c r="D1687">
        <v>1806</v>
      </c>
      <c r="E1687" t="s">
        <v>5691</v>
      </c>
      <c r="F1687">
        <v>2300</v>
      </c>
      <c r="G1687" t="s">
        <v>1305</v>
      </c>
      <c r="H1687" t="s">
        <v>4628</v>
      </c>
      <c r="I1687" t="s">
        <v>1386</v>
      </c>
      <c r="J1687">
        <v>2302</v>
      </c>
      <c r="K1687" t="s">
        <v>5692</v>
      </c>
      <c r="L1687">
        <v>1200</v>
      </c>
      <c r="M1687" t="s">
        <v>2368</v>
      </c>
      <c r="N1687">
        <v>1202</v>
      </c>
      <c r="O1687" t="s">
        <v>2371</v>
      </c>
      <c r="P1687" t="s">
        <v>3108</v>
      </c>
      <c r="Q1687" t="s">
        <v>3249</v>
      </c>
      <c r="R1687" t="s">
        <v>3249</v>
      </c>
      <c r="S1687" t="s">
        <v>810</v>
      </c>
      <c r="T1687" t="s">
        <v>2754</v>
      </c>
      <c r="U1687" t="s">
        <v>3250</v>
      </c>
      <c r="V1687" t="s">
        <v>3250</v>
      </c>
      <c r="W1687" t="s">
        <v>3250</v>
      </c>
      <c r="X1687" t="s">
        <v>3250</v>
      </c>
      <c r="Y1687" t="s">
        <v>3250</v>
      </c>
      <c r="Z1687" t="s">
        <v>3250</v>
      </c>
      <c r="AA1687" t="s">
        <v>3108</v>
      </c>
      <c r="AB1687" t="s">
        <v>3108</v>
      </c>
      <c r="AC1687" t="s">
        <v>3250</v>
      </c>
      <c r="AD1687" t="s">
        <v>3250</v>
      </c>
      <c r="AE1687" t="s">
        <v>3250</v>
      </c>
      <c r="AF1687" t="s">
        <v>3250</v>
      </c>
      <c r="AG1687" t="s">
        <v>3250</v>
      </c>
      <c r="AH1687" t="s">
        <v>3250</v>
      </c>
      <c r="AI1687" t="s">
        <v>3250</v>
      </c>
      <c r="AJ1687" t="s">
        <v>3250</v>
      </c>
      <c r="AL1687" t="s">
        <v>3250</v>
      </c>
      <c r="AM1687" t="s">
        <v>3250</v>
      </c>
      <c r="AN1687" t="s">
        <v>3250</v>
      </c>
      <c r="AO1687" t="s">
        <v>3250</v>
      </c>
      <c r="AS1687" t="s">
        <v>3250</v>
      </c>
      <c r="AT1687" t="s">
        <v>3250</v>
      </c>
      <c r="AU1687" t="s">
        <v>3250</v>
      </c>
      <c r="AV1687" t="s">
        <v>3250</v>
      </c>
      <c r="AW1687" t="s">
        <v>3250</v>
      </c>
      <c r="AX1687" t="s">
        <v>3250</v>
      </c>
      <c r="AY1687" t="s">
        <v>3250</v>
      </c>
      <c r="AZ1687" t="s">
        <v>3250</v>
      </c>
      <c r="BA1687" t="s">
        <v>3250</v>
      </c>
      <c r="BB1687" t="s">
        <v>3250</v>
      </c>
      <c r="BC1687" t="s">
        <v>3250</v>
      </c>
      <c r="BE1687">
        <v>1430</v>
      </c>
      <c r="BF1687" t="s">
        <v>2329</v>
      </c>
      <c r="BG1687" t="s">
        <v>3250</v>
      </c>
      <c r="BH1687">
        <v>1430</v>
      </c>
      <c r="BI1687" t="s">
        <v>2329</v>
      </c>
      <c r="BJ1687" t="s">
        <v>2821</v>
      </c>
      <c r="BK1687" t="s">
        <v>3250</v>
      </c>
      <c r="BL1687" t="s">
        <v>3250</v>
      </c>
      <c r="BM1687" t="s">
        <v>3250</v>
      </c>
      <c r="BN1687" t="s">
        <v>3250</v>
      </c>
      <c r="BP1687">
        <v>1</v>
      </c>
      <c r="BQ1687">
        <v>13</v>
      </c>
      <c r="BR1687" t="s">
        <v>2371</v>
      </c>
      <c r="BS1687" t="s">
        <v>3252</v>
      </c>
      <c r="BV1687">
        <v>221717</v>
      </c>
      <c r="BW1687">
        <v>0</v>
      </c>
      <c r="BX1687">
        <v>0</v>
      </c>
      <c r="BY1687">
        <v>234628</v>
      </c>
      <c r="BZ1687">
        <v>234628</v>
      </c>
      <c r="CA1687">
        <v>243778</v>
      </c>
      <c r="CB1687">
        <v>253530</v>
      </c>
      <c r="CC1687">
        <v>263671</v>
      </c>
      <c r="CD1687">
        <v>159420</v>
      </c>
      <c r="CE1687" t="s">
        <v>3108</v>
      </c>
      <c r="CF1687" t="s">
        <v>3108</v>
      </c>
      <c r="CG1687" t="s">
        <v>3108</v>
      </c>
      <c r="CH1687" t="s">
        <v>3108</v>
      </c>
    </row>
    <row r="1688" spans="1:86" x14ac:dyDescent="0.2">
      <c r="A1688" t="s">
        <v>5693</v>
      </c>
      <c r="B1688" t="s">
        <v>5693</v>
      </c>
      <c r="C1688">
        <v>54806</v>
      </c>
      <c r="D1688">
        <v>1807</v>
      </c>
      <c r="E1688" t="s">
        <v>4832</v>
      </c>
      <c r="F1688" t="s">
        <v>3249</v>
      </c>
      <c r="G1688" t="s">
        <v>3249</v>
      </c>
      <c r="H1688" t="s">
        <v>3250</v>
      </c>
      <c r="I1688" t="s">
        <v>3250</v>
      </c>
      <c r="J1688" t="s">
        <v>3250</v>
      </c>
      <c r="K1688" t="s">
        <v>3250</v>
      </c>
      <c r="L1688">
        <v>1200</v>
      </c>
      <c r="M1688" t="s">
        <v>2368</v>
      </c>
      <c r="N1688">
        <v>1202</v>
      </c>
      <c r="O1688" t="s">
        <v>2371</v>
      </c>
      <c r="P1688" t="s">
        <v>3108</v>
      </c>
      <c r="Q1688" t="s">
        <v>3249</v>
      </c>
      <c r="R1688" t="s">
        <v>3249</v>
      </c>
      <c r="S1688" t="s">
        <v>427</v>
      </c>
      <c r="T1688" t="s">
        <v>3251</v>
      </c>
      <c r="U1688">
        <v>240</v>
      </c>
      <c r="V1688" t="s">
        <v>4251</v>
      </c>
      <c r="W1688">
        <v>240</v>
      </c>
      <c r="X1688" t="s">
        <v>1323</v>
      </c>
      <c r="Y1688" t="s">
        <v>3250</v>
      </c>
      <c r="Z1688" t="s">
        <v>3250</v>
      </c>
      <c r="AA1688" t="s">
        <v>3108</v>
      </c>
      <c r="AB1688" t="s">
        <v>3108</v>
      </c>
      <c r="AC1688" t="s">
        <v>3250</v>
      </c>
      <c r="AD1688" t="s">
        <v>3250</v>
      </c>
      <c r="AE1688" t="s">
        <v>3250</v>
      </c>
      <c r="AF1688" t="s">
        <v>3250</v>
      </c>
      <c r="AG1688">
        <v>1180</v>
      </c>
      <c r="AH1688" t="s">
        <v>1738</v>
      </c>
      <c r="AI1688">
        <v>1180</v>
      </c>
      <c r="AJ1688" t="s">
        <v>1738</v>
      </c>
      <c r="AL1688">
        <v>243</v>
      </c>
      <c r="AM1688" t="s">
        <v>700</v>
      </c>
      <c r="AN1688">
        <v>243</v>
      </c>
      <c r="AO1688" t="s">
        <v>700</v>
      </c>
      <c r="AS1688" t="s">
        <v>3250</v>
      </c>
      <c r="AT1688" t="s">
        <v>3250</v>
      </c>
      <c r="AU1688" t="s">
        <v>3250</v>
      </c>
      <c r="AV1688" t="s">
        <v>3250</v>
      </c>
      <c r="AW1688">
        <v>1430</v>
      </c>
      <c r="AX1688" t="s">
        <v>2329</v>
      </c>
      <c r="AY1688" t="s">
        <v>3250</v>
      </c>
      <c r="AZ1688" t="s">
        <v>3250</v>
      </c>
      <c r="BA1688">
        <v>1430</v>
      </c>
      <c r="BB1688" t="s">
        <v>3250</v>
      </c>
      <c r="BC1688" t="s">
        <v>3250</v>
      </c>
      <c r="BE1688" t="s">
        <v>3250</v>
      </c>
      <c r="BF1688" t="s">
        <v>3250</v>
      </c>
      <c r="BG1688" t="s">
        <v>2329</v>
      </c>
      <c r="BH1688" t="s">
        <v>3250</v>
      </c>
      <c r="BI1688" t="s">
        <v>3250</v>
      </c>
      <c r="BK1688" t="s">
        <v>3250</v>
      </c>
      <c r="BL1688" t="s">
        <v>3250</v>
      </c>
      <c r="BM1688" t="s">
        <v>3250</v>
      </c>
      <c r="BN1688" t="s">
        <v>3250</v>
      </c>
      <c r="BP1688">
        <v>1</v>
      </c>
      <c r="BQ1688">
        <v>13</v>
      </c>
      <c r="BR1688" t="s">
        <v>2371</v>
      </c>
      <c r="BS1688" t="s">
        <v>3252</v>
      </c>
      <c r="BV1688">
        <v>0</v>
      </c>
      <c r="BW1688">
        <v>0</v>
      </c>
      <c r="BX1688">
        <v>0</v>
      </c>
      <c r="BY1688">
        <v>0</v>
      </c>
      <c r="BZ1688">
        <v>0</v>
      </c>
      <c r="CA1688">
        <v>-984076</v>
      </c>
      <c r="CB1688">
        <v>-1041851</v>
      </c>
      <c r="CC1688">
        <v>-1146036</v>
      </c>
      <c r="CD1688">
        <v>0</v>
      </c>
      <c r="CE1688" t="s">
        <v>3108</v>
      </c>
      <c r="CF1688" t="s">
        <v>3108</v>
      </c>
      <c r="CG1688" t="s">
        <v>3108</v>
      </c>
      <c r="CH1688" t="s">
        <v>3108</v>
      </c>
    </row>
    <row r="1689" spans="1:86" x14ac:dyDescent="0.2">
      <c r="A1689" t="s">
        <v>5694</v>
      </c>
      <c r="B1689" t="s">
        <v>5694</v>
      </c>
      <c r="C1689">
        <v>54807</v>
      </c>
      <c r="D1689">
        <v>1812</v>
      </c>
      <c r="E1689" t="s">
        <v>4006</v>
      </c>
      <c r="F1689">
        <v>2700</v>
      </c>
      <c r="G1689" t="s">
        <v>411</v>
      </c>
      <c r="H1689" t="s">
        <v>4004</v>
      </c>
      <c r="I1689" t="s">
        <v>2531</v>
      </c>
      <c r="J1689">
        <v>2701</v>
      </c>
      <c r="K1689" t="s">
        <v>2531</v>
      </c>
      <c r="L1689">
        <v>1100</v>
      </c>
      <c r="M1689" t="s">
        <v>119</v>
      </c>
      <c r="N1689">
        <v>1120</v>
      </c>
      <c r="O1689" t="s">
        <v>2367</v>
      </c>
      <c r="P1689" t="s">
        <v>3108</v>
      </c>
      <c r="Q1689" t="s">
        <v>3249</v>
      </c>
      <c r="R1689" t="s">
        <v>3249</v>
      </c>
      <c r="S1689" t="s">
        <v>810</v>
      </c>
      <c r="T1689" t="s">
        <v>2754</v>
      </c>
      <c r="U1689" t="s">
        <v>3250</v>
      </c>
      <c r="V1689" t="s">
        <v>3250</v>
      </c>
      <c r="W1689" t="s">
        <v>3250</v>
      </c>
      <c r="X1689" t="s">
        <v>3250</v>
      </c>
      <c r="Y1689" t="s">
        <v>3250</v>
      </c>
      <c r="Z1689" t="s">
        <v>3250</v>
      </c>
      <c r="AA1689" t="s">
        <v>3108</v>
      </c>
      <c r="AB1689" t="s">
        <v>3108</v>
      </c>
      <c r="AC1689" t="s">
        <v>3250</v>
      </c>
      <c r="AD1689" t="s">
        <v>3250</v>
      </c>
      <c r="AE1689" t="s">
        <v>3250</v>
      </c>
      <c r="AF1689" t="s">
        <v>3250</v>
      </c>
      <c r="AG1689" t="s">
        <v>3250</v>
      </c>
      <c r="AH1689" t="s">
        <v>3250</v>
      </c>
      <c r="AI1689" t="s">
        <v>3250</v>
      </c>
      <c r="AJ1689" t="s">
        <v>3250</v>
      </c>
      <c r="AL1689" t="s">
        <v>3250</v>
      </c>
      <c r="AM1689" t="s">
        <v>3250</v>
      </c>
      <c r="AN1689" t="s">
        <v>3250</v>
      </c>
      <c r="AO1689" t="s">
        <v>3250</v>
      </c>
      <c r="AS1689" t="s">
        <v>3250</v>
      </c>
      <c r="AT1689" t="s">
        <v>3250</v>
      </c>
      <c r="AU1689" t="s">
        <v>3250</v>
      </c>
      <c r="AV1689" t="s">
        <v>3250</v>
      </c>
      <c r="AW1689" t="s">
        <v>3250</v>
      </c>
      <c r="AX1689" t="s">
        <v>3250</v>
      </c>
      <c r="AY1689" t="s">
        <v>3250</v>
      </c>
      <c r="AZ1689" t="s">
        <v>3250</v>
      </c>
      <c r="BA1689" t="s">
        <v>3250</v>
      </c>
      <c r="BB1689" t="s">
        <v>3250</v>
      </c>
      <c r="BC1689" t="s">
        <v>3250</v>
      </c>
      <c r="BE1689" t="s">
        <v>3250</v>
      </c>
      <c r="BF1689" t="s">
        <v>3250</v>
      </c>
      <c r="BG1689" t="s">
        <v>3250</v>
      </c>
      <c r="BH1689" t="s">
        <v>3250</v>
      </c>
      <c r="BI1689" t="s">
        <v>3250</v>
      </c>
      <c r="BK1689" t="s">
        <v>3250</v>
      </c>
      <c r="BL1689" t="s">
        <v>3250</v>
      </c>
      <c r="BM1689" t="s">
        <v>3250</v>
      </c>
      <c r="BN1689" t="s">
        <v>3250</v>
      </c>
      <c r="BP1689">
        <v>3</v>
      </c>
      <c r="BQ1689">
        <v>31</v>
      </c>
      <c r="BR1689" t="s">
        <v>2367</v>
      </c>
      <c r="BS1689" t="s">
        <v>4381</v>
      </c>
      <c r="BV1689">
        <v>0</v>
      </c>
      <c r="BW1689">
        <v>0</v>
      </c>
      <c r="BX1689">
        <v>0</v>
      </c>
      <c r="BY1689">
        <v>40000</v>
      </c>
      <c r="BZ1689">
        <v>40000</v>
      </c>
      <c r="CA1689">
        <v>41560</v>
      </c>
      <c r="CB1689">
        <v>43222</v>
      </c>
      <c r="CC1689">
        <v>44951</v>
      </c>
      <c r="CD1689">
        <v>0</v>
      </c>
      <c r="CE1689" t="s">
        <v>3108</v>
      </c>
      <c r="CF1689" t="s">
        <v>3108</v>
      </c>
      <c r="CG1689" t="s">
        <v>3108</v>
      </c>
      <c r="CH1689" t="s">
        <v>3108</v>
      </c>
    </row>
    <row r="1690" spans="1:86" x14ac:dyDescent="0.2">
      <c r="A1690" t="s">
        <v>5695</v>
      </c>
      <c r="B1690" t="s">
        <v>5695</v>
      </c>
      <c r="C1690">
        <v>54808</v>
      </c>
      <c r="D1690">
        <v>1813</v>
      </c>
      <c r="E1690" t="s">
        <v>5696</v>
      </c>
      <c r="F1690">
        <v>2900</v>
      </c>
      <c r="G1690" t="s">
        <v>822</v>
      </c>
      <c r="H1690" t="s">
        <v>3108</v>
      </c>
      <c r="I1690" t="s">
        <v>3108</v>
      </c>
      <c r="J1690">
        <v>2904</v>
      </c>
      <c r="K1690" t="s">
        <v>1690</v>
      </c>
      <c r="L1690">
        <v>1100</v>
      </c>
      <c r="M1690" t="s">
        <v>119</v>
      </c>
      <c r="N1690">
        <v>1120</v>
      </c>
      <c r="O1690" t="s">
        <v>2367</v>
      </c>
      <c r="P1690" t="s">
        <v>3108</v>
      </c>
      <c r="Q1690" t="s">
        <v>3249</v>
      </c>
      <c r="R1690" t="s">
        <v>3249</v>
      </c>
      <c r="S1690" t="s">
        <v>810</v>
      </c>
      <c r="T1690" t="s">
        <v>2754</v>
      </c>
      <c r="U1690" t="s">
        <v>3250</v>
      </c>
      <c r="V1690" t="s">
        <v>3250</v>
      </c>
      <c r="W1690" t="s">
        <v>3250</v>
      </c>
      <c r="X1690" t="s">
        <v>3250</v>
      </c>
      <c r="Y1690" t="s">
        <v>3250</v>
      </c>
      <c r="Z1690" t="s">
        <v>3250</v>
      </c>
      <c r="AA1690" t="s">
        <v>3108</v>
      </c>
      <c r="AB1690" t="s">
        <v>3108</v>
      </c>
      <c r="AC1690" t="s">
        <v>3250</v>
      </c>
      <c r="AD1690" t="s">
        <v>3250</v>
      </c>
      <c r="AE1690" t="s">
        <v>3250</v>
      </c>
      <c r="AF1690" t="s">
        <v>3250</v>
      </c>
      <c r="AG1690" t="s">
        <v>3250</v>
      </c>
      <c r="AH1690" t="s">
        <v>3250</v>
      </c>
      <c r="AI1690" t="s">
        <v>3250</v>
      </c>
      <c r="AJ1690" t="s">
        <v>3250</v>
      </c>
      <c r="AL1690" t="s">
        <v>3250</v>
      </c>
      <c r="AM1690" t="s">
        <v>3250</v>
      </c>
      <c r="AN1690" t="s">
        <v>3250</v>
      </c>
      <c r="AO1690" t="s">
        <v>3250</v>
      </c>
      <c r="AS1690" t="s">
        <v>3250</v>
      </c>
      <c r="AT1690" t="s">
        <v>3250</v>
      </c>
      <c r="AU1690" t="s">
        <v>3250</v>
      </c>
      <c r="AV1690" t="s">
        <v>3250</v>
      </c>
      <c r="AW1690" t="s">
        <v>3250</v>
      </c>
      <c r="AX1690" t="s">
        <v>3250</v>
      </c>
      <c r="AY1690" t="s">
        <v>3250</v>
      </c>
      <c r="AZ1690" t="s">
        <v>3250</v>
      </c>
      <c r="BA1690" t="s">
        <v>3250</v>
      </c>
      <c r="BB1690" t="s">
        <v>3250</v>
      </c>
      <c r="BC1690" t="s">
        <v>3250</v>
      </c>
      <c r="BE1690" t="s">
        <v>3250</v>
      </c>
      <c r="BF1690" t="s">
        <v>3250</v>
      </c>
      <c r="BG1690" t="s">
        <v>3250</v>
      </c>
      <c r="BH1690" t="s">
        <v>3250</v>
      </c>
      <c r="BI1690" t="s">
        <v>3250</v>
      </c>
      <c r="BK1690" t="s">
        <v>3250</v>
      </c>
      <c r="BL1690" t="s">
        <v>3250</v>
      </c>
      <c r="BM1690" t="s">
        <v>3250</v>
      </c>
      <c r="BN1690" t="s">
        <v>3250</v>
      </c>
      <c r="BP1690">
        <v>3</v>
      </c>
      <c r="BQ1690">
        <v>31</v>
      </c>
      <c r="BR1690" t="s">
        <v>2367</v>
      </c>
      <c r="BS1690" t="s">
        <v>4381</v>
      </c>
      <c r="BV1690">
        <v>0</v>
      </c>
      <c r="BW1690">
        <v>0</v>
      </c>
      <c r="BX1690">
        <v>0</v>
      </c>
      <c r="BY1690">
        <v>0</v>
      </c>
      <c r="BZ1690">
        <v>0</v>
      </c>
      <c r="CA1690">
        <v>0</v>
      </c>
      <c r="CB1690">
        <v>0</v>
      </c>
      <c r="CC1690">
        <v>0</v>
      </c>
      <c r="CD1690">
        <v>0</v>
      </c>
      <c r="CE1690" t="s">
        <v>3108</v>
      </c>
      <c r="CF1690" t="s">
        <v>3108</v>
      </c>
      <c r="CG1690" t="s">
        <v>3108</v>
      </c>
      <c r="CH1690" t="s">
        <v>3108</v>
      </c>
    </row>
    <row r="1691" spans="1:86" x14ac:dyDescent="0.2">
      <c r="A1691" t="s">
        <v>5697</v>
      </c>
      <c r="B1691" t="s">
        <v>5697</v>
      </c>
      <c r="C1691">
        <v>54809</v>
      </c>
      <c r="D1691">
        <v>1814</v>
      </c>
      <c r="E1691" t="s">
        <v>4520</v>
      </c>
      <c r="F1691">
        <v>2900</v>
      </c>
      <c r="G1691" t="s">
        <v>822</v>
      </c>
      <c r="H1691" t="s">
        <v>3108</v>
      </c>
      <c r="I1691" t="s">
        <v>3108</v>
      </c>
      <c r="J1691">
        <v>2904</v>
      </c>
      <c r="K1691" t="s">
        <v>1690</v>
      </c>
      <c r="L1691">
        <v>1200</v>
      </c>
      <c r="M1691" t="s">
        <v>2368</v>
      </c>
      <c r="N1691">
        <v>1207</v>
      </c>
      <c r="O1691" t="s">
        <v>286</v>
      </c>
      <c r="P1691" t="s">
        <v>3108</v>
      </c>
      <c r="Q1691" t="s">
        <v>3249</v>
      </c>
      <c r="R1691" t="s">
        <v>3249</v>
      </c>
      <c r="S1691" t="s">
        <v>810</v>
      </c>
      <c r="T1691" t="s">
        <v>2754</v>
      </c>
      <c r="U1691" t="s">
        <v>3250</v>
      </c>
      <c r="V1691" t="s">
        <v>3250</v>
      </c>
      <c r="W1691" t="s">
        <v>3250</v>
      </c>
      <c r="X1691" t="s">
        <v>3250</v>
      </c>
      <c r="Y1691" t="s">
        <v>3250</v>
      </c>
      <c r="Z1691" t="s">
        <v>3250</v>
      </c>
      <c r="AA1691" t="s">
        <v>3108</v>
      </c>
      <c r="AB1691" t="s">
        <v>3108</v>
      </c>
      <c r="AC1691" t="s">
        <v>3250</v>
      </c>
      <c r="AD1691" t="s">
        <v>3250</v>
      </c>
      <c r="AE1691" t="s">
        <v>3250</v>
      </c>
      <c r="AF1691" t="s">
        <v>3250</v>
      </c>
      <c r="AG1691" t="s">
        <v>3250</v>
      </c>
      <c r="AH1691" t="s">
        <v>3250</v>
      </c>
      <c r="AI1691" t="s">
        <v>3250</v>
      </c>
      <c r="AJ1691" t="s">
        <v>3250</v>
      </c>
      <c r="AL1691" t="s">
        <v>3250</v>
      </c>
      <c r="AM1691" t="s">
        <v>3250</v>
      </c>
      <c r="AN1691" t="s">
        <v>3250</v>
      </c>
      <c r="AO1691" t="s">
        <v>3250</v>
      </c>
      <c r="AS1691" t="s">
        <v>3250</v>
      </c>
      <c r="AT1691" t="s">
        <v>3250</v>
      </c>
      <c r="AU1691" t="s">
        <v>3250</v>
      </c>
      <c r="AV1691" t="s">
        <v>3250</v>
      </c>
      <c r="AW1691" t="s">
        <v>3250</v>
      </c>
      <c r="AX1691" t="s">
        <v>3250</v>
      </c>
      <c r="AY1691" t="s">
        <v>3250</v>
      </c>
      <c r="AZ1691" t="s">
        <v>3250</v>
      </c>
      <c r="BA1691" t="s">
        <v>3250</v>
      </c>
      <c r="BB1691" t="s">
        <v>3250</v>
      </c>
      <c r="BC1691" t="s">
        <v>3250</v>
      </c>
      <c r="BE1691" t="s">
        <v>3250</v>
      </c>
      <c r="BF1691" t="s">
        <v>3250</v>
      </c>
      <c r="BG1691" t="s">
        <v>3250</v>
      </c>
      <c r="BH1691" t="s">
        <v>3250</v>
      </c>
      <c r="BI1691" t="s">
        <v>3250</v>
      </c>
      <c r="BK1691" t="s">
        <v>3250</v>
      </c>
      <c r="BL1691" t="s">
        <v>3250</v>
      </c>
      <c r="BM1691" t="s">
        <v>3250</v>
      </c>
      <c r="BN1691" t="s">
        <v>3250</v>
      </c>
      <c r="BP1691">
        <v>1</v>
      </c>
      <c r="BQ1691">
        <v>18</v>
      </c>
      <c r="BR1691" t="s">
        <v>286</v>
      </c>
      <c r="BS1691" t="s">
        <v>3252</v>
      </c>
      <c r="BV1691">
        <v>0</v>
      </c>
      <c r="BW1691">
        <v>0</v>
      </c>
      <c r="BX1691">
        <v>0</v>
      </c>
      <c r="BY1691">
        <v>0</v>
      </c>
      <c r="BZ1691">
        <v>0</v>
      </c>
      <c r="CA1691">
        <v>0</v>
      </c>
      <c r="CB1691">
        <v>0</v>
      </c>
      <c r="CC1691">
        <v>0</v>
      </c>
      <c r="CD1691">
        <v>0</v>
      </c>
      <c r="CE1691" t="s">
        <v>3108</v>
      </c>
      <c r="CF1691" t="s">
        <v>3108</v>
      </c>
      <c r="CG1691" t="s">
        <v>3108</v>
      </c>
      <c r="CH1691" t="s">
        <v>3108</v>
      </c>
    </row>
    <row r="1692" spans="1:86" x14ac:dyDescent="0.2">
      <c r="A1692" t="s">
        <v>5698</v>
      </c>
      <c r="B1692" t="s">
        <v>5698</v>
      </c>
      <c r="C1692">
        <v>54810</v>
      </c>
      <c r="D1692">
        <v>1815</v>
      </c>
      <c r="E1692" t="s">
        <v>4357</v>
      </c>
      <c r="F1692">
        <v>2700</v>
      </c>
      <c r="G1692" t="s">
        <v>411</v>
      </c>
      <c r="H1692" t="s">
        <v>3997</v>
      </c>
      <c r="I1692" t="s">
        <v>2533</v>
      </c>
      <c r="J1692">
        <v>2703</v>
      </c>
      <c r="K1692" t="s">
        <v>2533</v>
      </c>
      <c r="L1692">
        <v>3200</v>
      </c>
      <c r="M1692" t="s">
        <v>128</v>
      </c>
      <c r="N1692">
        <v>3205</v>
      </c>
      <c r="O1692" t="s">
        <v>629</v>
      </c>
      <c r="P1692" t="s">
        <v>3108</v>
      </c>
      <c r="Q1692" t="s">
        <v>3249</v>
      </c>
      <c r="R1692" t="s">
        <v>3249</v>
      </c>
      <c r="S1692" t="s">
        <v>810</v>
      </c>
      <c r="T1692" t="s">
        <v>2754</v>
      </c>
      <c r="U1692" t="s">
        <v>3250</v>
      </c>
      <c r="V1692" t="s">
        <v>3250</v>
      </c>
      <c r="W1692" t="s">
        <v>3250</v>
      </c>
      <c r="X1692" t="s">
        <v>3250</v>
      </c>
      <c r="Y1692" t="s">
        <v>3250</v>
      </c>
      <c r="Z1692" t="s">
        <v>3250</v>
      </c>
      <c r="AA1692" t="s">
        <v>3108</v>
      </c>
      <c r="AB1692" t="s">
        <v>3108</v>
      </c>
      <c r="AC1692" t="s">
        <v>3250</v>
      </c>
      <c r="AD1692" t="s">
        <v>3250</v>
      </c>
      <c r="AE1692" t="s">
        <v>3250</v>
      </c>
      <c r="AF1692" t="s">
        <v>3250</v>
      </c>
      <c r="AG1692" t="s">
        <v>3250</v>
      </c>
      <c r="AH1692" t="s">
        <v>3250</v>
      </c>
      <c r="AI1692" t="s">
        <v>3250</v>
      </c>
      <c r="AJ1692" t="s">
        <v>3250</v>
      </c>
      <c r="AL1692" t="s">
        <v>3250</v>
      </c>
      <c r="AM1692" t="s">
        <v>3250</v>
      </c>
      <c r="AN1692" t="s">
        <v>3250</v>
      </c>
      <c r="AO1692" t="s">
        <v>3250</v>
      </c>
      <c r="AS1692" t="s">
        <v>3250</v>
      </c>
      <c r="AT1692" t="s">
        <v>3250</v>
      </c>
      <c r="AU1692" t="s">
        <v>3250</v>
      </c>
      <c r="AV1692" t="s">
        <v>3250</v>
      </c>
      <c r="AW1692" t="s">
        <v>3250</v>
      </c>
      <c r="AX1692" t="s">
        <v>3250</v>
      </c>
      <c r="AY1692">
        <v>120</v>
      </c>
      <c r="AZ1692" t="s">
        <v>629</v>
      </c>
      <c r="BA1692" t="s">
        <v>3250</v>
      </c>
      <c r="BB1692">
        <v>120</v>
      </c>
      <c r="BC1692" t="s">
        <v>629</v>
      </c>
      <c r="BD1692" t="s">
        <v>2820</v>
      </c>
      <c r="BE1692" t="s">
        <v>3250</v>
      </c>
      <c r="BF1692" t="s">
        <v>3250</v>
      </c>
      <c r="BG1692" t="s">
        <v>3250</v>
      </c>
      <c r="BH1692" t="s">
        <v>3250</v>
      </c>
      <c r="BI1692" t="s">
        <v>3250</v>
      </c>
      <c r="BK1692" t="s">
        <v>3250</v>
      </c>
      <c r="BL1692" t="s">
        <v>3250</v>
      </c>
      <c r="BM1692" t="s">
        <v>3250</v>
      </c>
      <c r="BN1692" t="s">
        <v>3250</v>
      </c>
      <c r="BP1692">
        <v>7</v>
      </c>
      <c r="BQ1692">
        <v>71</v>
      </c>
      <c r="BR1692" t="s">
        <v>629</v>
      </c>
      <c r="BS1692" t="s">
        <v>4212</v>
      </c>
      <c r="BV1692">
        <v>0</v>
      </c>
      <c r="BW1692">
        <v>0</v>
      </c>
      <c r="BX1692">
        <v>0</v>
      </c>
      <c r="BY1692">
        <v>9000000</v>
      </c>
      <c r="BZ1692">
        <v>12268512</v>
      </c>
      <c r="CA1692">
        <v>0</v>
      </c>
      <c r="CB1692">
        <v>4500000</v>
      </c>
      <c r="CC1692">
        <v>4500000</v>
      </c>
      <c r="CD1692">
        <v>13199044</v>
      </c>
      <c r="CE1692" t="s">
        <v>3108</v>
      </c>
      <c r="CF1692" t="s">
        <v>3108</v>
      </c>
      <c r="CG1692" t="s">
        <v>3108</v>
      </c>
      <c r="CH1692" t="s">
        <v>3108</v>
      </c>
    </row>
    <row r="1693" spans="1:86" x14ac:dyDescent="0.2">
      <c r="A1693" t="s">
        <v>5699</v>
      </c>
      <c r="B1693" t="s">
        <v>5699</v>
      </c>
      <c r="C1693">
        <v>54811</v>
      </c>
      <c r="D1693">
        <v>1816</v>
      </c>
      <c r="E1693" t="s">
        <v>5700</v>
      </c>
      <c r="F1693" t="s">
        <v>3249</v>
      </c>
      <c r="G1693" t="s">
        <v>3249</v>
      </c>
      <c r="H1693" t="s">
        <v>3250</v>
      </c>
      <c r="I1693" t="s">
        <v>3250</v>
      </c>
      <c r="J1693" t="s">
        <v>3250</v>
      </c>
      <c r="K1693" t="s">
        <v>3250</v>
      </c>
      <c r="L1693">
        <v>1200</v>
      </c>
      <c r="M1693" t="s">
        <v>2368</v>
      </c>
      <c r="N1693">
        <v>1204</v>
      </c>
      <c r="O1693" t="s">
        <v>1574</v>
      </c>
      <c r="P1693" t="s">
        <v>3108</v>
      </c>
      <c r="Q1693" t="s">
        <v>3249</v>
      </c>
      <c r="R1693" t="s">
        <v>3249</v>
      </c>
      <c r="S1693" t="s">
        <v>472</v>
      </c>
      <c r="T1693" t="s">
        <v>3251</v>
      </c>
      <c r="U1693">
        <v>150</v>
      </c>
      <c r="V1693" t="s">
        <v>1328</v>
      </c>
      <c r="W1693">
        <v>150</v>
      </c>
      <c r="X1693" t="s">
        <v>1328</v>
      </c>
      <c r="Y1693" t="s">
        <v>3250</v>
      </c>
      <c r="Z1693" t="s">
        <v>3250</v>
      </c>
      <c r="AA1693" t="s">
        <v>3108</v>
      </c>
      <c r="AB1693" t="s">
        <v>3108</v>
      </c>
      <c r="AC1693" t="s">
        <v>3250</v>
      </c>
      <c r="AD1693" t="s">
        <v>3250</v>
      </c>
      <c r="AE1693" t="s">
        <v>3250</v>
      </c>
      <c r="AF1693" t="s">
        <v>3250</v>
      </c>
      <c r="AG1693" t="s">
        <v>3250</v>
      </c>
      <c r="AH1693" t="s">
        <v>3250</v>
      </c>
      <c r="AI1693" t="s">
        <v>3250</v>
      </c>
      <c r="AJ1693" t="s">
        <v>3250</v>
      </c>
      <c r="AL1693" t="s">
        <v>3250</v>
      </c>
      <c r="AM1693" t="s">
        <v>3250</v>
      </c>
      <c r="AN1693" t="s">
        <v>3250</v>
      </c>
      <c r="AO1693" t="s">
        <v>3250</v>
      </c>
      <c r="AS1693" t="s">
        <v>3250</v>
      </c>
      <c r="AT1693" t="s">
        <v>3250</v>
      </c>
      <c r="AU1693" t="s">
        <v>3250</v>
      </c>
      <c r="AV1693" t="s">
        <v>3250</v>
      </c>
      <c r="AW1693" t="s">
        <v>3250</v>
      </c>
      <c r="AX1693" t="s">
        <v>3250</v>
      </c>
      <c r="AY1693" t="s">
        <v>3250</v>
      </c>
      <c r="AZ1693" t="s">
        <v>3250</v>
      </c>
      <c r="BA1693" t="s">
        <v>3250</v>
      </c>
      <c r="BB1693" t="s">
        <v>3250</v>
      </c>
      <c r="BC1693" t="s">
        <v>3250</v>
      </c>
      <c r="BE1693" t="s">
        <v>3250</v>
      </c>
      <c r="BF1693" t="s">
        <v>3250</v>
      </c>
      <c r="BG1693" t="s">
        <v>3250</v>
      </c>
      <c r="BH1693" t="s">
        <v>3250</v>
      </c>
      <c r="BI1693" t="s">
        <v>3250</v>
      </c>
      <c r="BK1693" t="s">
        <v>3250</v>
      </c>
      <c r="BL1693" t="s">
        <v>3250</v>
      </c>
      <c r="BM1693" t="s">
        <v>3250</v>
      </c>
      <c r="BN1693" t="s">
        <v>3250</v>
      </c>
      <c r="BP1693">
        <v>1</v>
      </c>
      <c r="BQ1693">
        <v>11</v>
      </c>
      <c r="BR1693" t="s">
        <v>1574</v>
      </c>
      <c r="BS1693" t="s">
        <v>3252</v>
      </c>
      <c r="BV1693">
        <v>0</v>
      </c>
      <c r="BW1693">
        <v>0</v>
      </c>
      <c r="BX1693">
        <v>0</v>
      </c>
      <c r="BY1693">
        <v>0</v>
      </c>
      <c r="BZ1693">
        <v>0</v>
      </c>
      <c r="CA1693">
        <v>0</v>
      </c>
      <c r="CB1693">
        <v>0</v>
      </c>
      <c r="CC1693">
        <v>0</v>
      </c>
      <c r="CD1693">
        <v>0</v>
      </c>
      <c r="CE1693" t="s">
        <v>3108</v>
      </c>
      <c r="CF1693" t="s">
        <v>3108</v>
      </c>
      <c r="CG1693" t="s">
        <v>3108</v>
      </c>
      <c r="CH1693" t="s">
        <v>3108</v>
      </c>
    </row>
    <row r="1694" spans="1:86" x14ac:dyDescent="0.2">
      <c r="A1694" t="s">
        <v>5701</v>
      </c>
      <c r="B1694" t="s">
        <v>5701</v>
      </c>
      <c r="C1694">
        <v>54812</v>
      </c>
      <c r="D1694">
        <v>1817</v>
      </c>
      <c r="E1694" t="s">
        <v>5700</v>
      </c>
      <c r="F1694" t="s">
        <v>3249</v>
      </c>
      <c r="G1694" t="s">
        <v>3249</v>
      </c>
      <c r="H1694" t="s">
        <v>3250</v>
      </c>
      <c r="I1694" t="s">
        <v>3250</v>
      </c>
      <c r="J1694" t="s">
        <v>3250</v>
      </c>
      <c r="K1694" t="s">
        <v>3250</v>
      </c>
      <c r="L1694">
        <v>2100</v>
      </c>
      <c r="M1694" t="s">
        <v>123</v>
      </c>
      <c r="N1694">
        <v>2106</v>
      </c>
      <c r="O1694" t="s">
        <v>2399</v>
      </c>
      <c r="P1694" t="s">
        <v>3108</v>
      </c>
      <c r="Q1694" t="s">
        <v>3249</v>
      </c>
      <c r="R1694" t="s">
        <v>3249</v>
      </c>
      <c r="S1694" t="s">
        <v>472</v>
      </c>
      <c r="T1694" t="s">
        <v>3251</v>
      </c>
      <c r="U1694">
        <v>150</v>
      </c>
      <c r="V1694" t="s">
        <v>1328</v>
      </c>
      <c r="W1694">
        <v>150</v>
      </c>
      <c r="X1694" t="s">
        <v>1328</v>
      </c>
      <c r="Y1694" t="s">
        <v>3250</v>
      </c>
      <c r="Z1694" t="s">
        <v>3250</v>
      </c>
      <c r="AA1694" t="s">
        <v>3108</v>
      </c>
      <c r="AB1694" t="s">
        <v>3108</v>
      </c>
      <c r="AC1694" t="s">
        <v>3250</v>
      </c>
      <c r="AD1694" t="s">
        <v>3250</v>
      </c>
      <c r="AE1694" t="s">
        <v>3250</v>
      </c>
      <c r="AF1694" t="s">
        <v>3250</v>
      </c>
      <c r="AG1694" t="s">
        <v>3250</v>
      </c>
      <c r="AH1694" t="s">
        <v>3250</v>
      </c>
      <c r="AI1694" t="s">
        <v>3250</v>
      </c>
      <c r="AJ1694" t="s">
        <v>3250</v>
      </c>
      <c r="AL1694" t="s">
        <v>3250</v>
      </c>
      <c r="AM1694" t="s">
        <v>3250</v>
      </c>
      <c r="AN1694" t="s">
        <v>3250</v>
      </c>
      <c r="AO1694" t="s">
        <v>3250</v>
      </c>
      <c r="AS1694" t="s">
        <v>3250</v>
      </c>
      <c r="AT1694" t="s">
        <v>3250</v>
      </c>
      <c r="AU1694" t="s">
        <v>3250</v>
      </c>
      <c r="AV1694" t="s">
        <v>3250</v>
      </c>
      <c r="AW1694" t="s">
        <v>3250</v>
      </c>
      <c r="AX1694" t="s">
        <v>3250</v>
      </c>
      <c r="AY1694" t="s">
        <v>3250</v>
      </c>
      <c r="AZ1694" t="s">
        <v>3250</v>
      </c>
      <c r="BA1694" t="s">
        <v>3250</v>
      </c>
      <c r="BB1694" t="s">
        <v>3250</v>
      </c>
      <c r="BC1694" t="s">
        <v>3250</v>
      </c>
      <c r="BE1694" t="s">
        <v>3250</v>
      </c>
      <c r="BF1694" t="s">
        <v>3250</v>
      </c>
      <c r="BG1694" t="s">
        <v>3250</v>
      </c>
      <c r="BH1694" t="s">
        <v>3250</v>
      </c>
      <c r="BI1694" t="s">
        <v>3250</v>
      </c>
      <c r="BK1694" t="s">
        <v>3250</v>
      </c>
      <c r="BL1694" t="s">
        <v>3250</v>
      </c>
      <c r="BM1694" t="s">
        <v>3250</v>
      </c>
      <c r="BN1694" t="s">
        <v>3250</v>
      </c>
      <c r="BP1694">
        <v>5</v>
      </c>
      <c r="BQ1694">
        <v>53</v>
      </c>
      <c r="BR1694" t="s">
        <v>2399</v>
      </c>
      <c r="BS1694" t="s">
        <v>4136</v>
      </c>
      <c r="BV1694">
        <v>0</v>
      </c>
      <c r="BW1694">
        <v>0</v>
      </c>
      <c r="BX1694">
        <v>0</v>
      </c>
      <c r="BY1694">
        <v>0</v>
      </c>
      <c r="BZ1694">
        <v>0</v>
      </c>
      <c r="CA1694">
        <v>0</v>
      </c>
      <c r="CB1694">
        <v>0</v>
      </c>
      <c r="CC1694">
        <v>0</v>
      </c>
      <c r="CD1694">
        <v>0</v>
      </c>
      <c r="CE1694" t="s">
        <v>3108</v>
      </c>
      <c r="CF1694" t="s">
        <v>3108</v>
      </c>
      <c r="CG1694" t="s">
        <v>3108</v>
      </c>
      <c r="CH1694" t="s">
        <v>3108</v>
      </c>
    </row>
    <row r="1695" spans="1:86" x14ac:dyDescent="0.2">
      <c r="A1695" t="s">
        <v>5702</v>
      </c>
      <c r="B1695" t="s">
        <v>5702</v>
      </c>
      <c r="C1695">
        <v>54813</v>
      </c>
      <c r="D1695">
        <v>1818</v>
      </c>
      <c r="E1695" t="s">
        <v>5703</v>
      </c>
      <c r="F1695" t="s">
        <v>3249</v>
      </c>
      <c r="G1695" t="s">
        <v>3249</v>
      </c>
      <c r="H1695" t="s">
        <v>3250</v>
      </c>
      <c r="I1695" t="s">
        <v>3250</v>
      </c>
      <c r="J1695" t="s">
        <v>3250</v>
      </c>
      <c r="K1695" t="s">
        <v>3250</v>
      </c>
      <c r="L1695">
        <v>1200</v>
      </c>
      <c r="M1695" t="s">
        <v>2368</v>
      </c>
      <c r="N1695">
        <v>1204</v>
      </c>
      <c r="O1695" t="s">
        <v>1574</v>
      </c>
      <c r="P1695" t="s">
        <v>3108</v>
      </c>
      <c r="Q1695" t="s">
        <v>3249</v>
      </c>
      <c r="R1695" t="s">
        <v>3249</v>
      </c>
      <c r="S1695" t="s">
        <v>472</v>
      </c>
      <c r="T1695" t="s">
        <v>3251</v>
      </c>
      <c r="U1695">
        <v>130</v>
      </c>
      <c r="V1695" t="s">
        <v>4716</v>
      </c>
      <c r="W1695">
        <v>130</v>
      </c>
      <c r="X1695" t="s">
        <v>4716</v>
      </c>
      <c r="Y1695" t="s">
        <v>5704</v>
      </c>
      <c r="Z1695" t="s">
        <v>292</v>
      </c>
      <c r="AA1695" t="s">
        <v>5704</v>
      </c>
      <c r="AB1695" t="s">
        <v>292</v>
      </c>
      <c r="AC1695" t="s">
        <v>3250</v>
      </c>
      <c r="AD1695" t="s">
        <v>3250</v>
      </c>
      <c r="AE1695" t="s">
        <v>3250</v>
      </c>
      <c r="AF1695" t="s">
        <v>3250</v>
      </c>
      <c r="AG1695" t="s">
        <v>3250</v>
      </c>
      <c r="AH1695" t="s">
        <v>3250</v>
      </c>
      <c r="AI1695" t="s">
        <v>3250</v>
      </c>
      <c r="AJ1695" t="s">
        <v>3250</v>
      </c>
      <c r="AL1695" t="s">
        <v>3250</v>
      </c>
      <c r="AM1695" t="s">
        <v>3250</v>
      </c>
      <c r="AN1695" t="s">
        <v>3250</v>
      </c>
      <c r="AO1695" t="s">
        <v>3250</v>
      </c>
      <c r="AS1695" t="s">
        <v>3250</v>
      </c>
      <c r="AT1695" t="s">
        <v>3250</v>
      </c>
      <c r="AU1695" t="s">
        <v>3250</v>
      </c>
      <c r="AV1695" t="s">
        <v>3250</v>
      </c>
      <c r="AW1695" t="s">
        <v>3250</v>
      </c>
      <c r="AX1695" t="s">
        <v>3250</v>
      </c>
      <c r="AY1695" t="s">
        <v>3250</v>
      </c>
      <c r="AZ1695" t="s">
        <v>3250</v>
      </c>
      <c r="BA1695" t="s">
        <v>3250</v>
      </c>
      <c r="BB1695" t="s">
        <v>3250</v>
      </c>
      <c r="BC1695" t="s">
        <v>3250</v>
      </c>
      <c r="BE1695" t="s">
        <v>3250</v>
      </c>
      <c r="BF1695" t="s">
        <v>3250</v>
      </c>
      <c r="BG1695" t="s">
        <v>3250</v>
      </c>
      <c r="BH1695" t="s">
        <v>3250</v>
      </c>
      <c r="BI1695" t="s">
        <v>3250</v>
      </c>
      <c r="BK1695" t="s">
        <v>3250</v>
      </c>
      <c r="BL1695" t="s">
        <v>3250</v>
      </c>
      <c r="BM1695" t="s">
        <v>3250</v>
      </c>
      <c r="BN1695" t="s">
        <v>3250</v>
      </c>
      <c r="BP1695">
        <v>1</v>
      </c>
      <c r="BQ1695">
        <v>11</v>
      </c>
      <c r="BR1695" t="s">
        <v>1574</v>
      </c>
      <c r="BS1695" t="s">
        <v>3252</v>
      </c>
      <c r="BV1695">
        <v>0</v>
      </c>
      <c r="BW1695">
        <v>0</v>
      </c>
      <c r="BX1695">
        <v>0</v>
      </c>
      <c r="BY1695">
        <v>0</v>
      </c>
      <c r="BZ1695">
        <v>0</v>
      </c>
      <c r="CA1695">
        <v>0</v>
      </c>
      <c r="CB1695">
        <v>0</v>
      </c>
      <c r="CC1695">
        <v>0</v>
      </c>
      <c r="CD1695">
        <v>0</v>
      </c>
      <c r="CE1695" t="s">
        <v>3108</v>
      </c>
      <c r="CF1695" t="s">
        <v>3108</v>
      </c>
      <c r="CG1695" t="s">
        <v>3108</v>
      </c>
      <c r="CH1695" t="s">
        <v>3108</v>
      </c>
    </row>
    <row r="1696" spans="1:86" x14ac:dyDescent="0.2">
      <c r="A1696" t="s">
        <v>5705</v>
      </c>
      <c r="B1696" t="s">
        <v>5705</v>
      </c>
      <c r="C1696">
        <v>54814</v>
      </c>
      <c r="D1696">
        <v>1819</v>
      </c>
      <c r="E1696" t="s">
        <v>5706</v>
      </c>
      <c r="F1696" t="s">
        <v>3249</v>
      </c>
      <c r="G1696" t="s">
        <v>3249</v>
      </c>
      <c r="H1696" t="s">
        <v>3250</v>
      </c>
      <c r="I1696" t="s">
        <v>3250</v>
      </c>
      <c r="J1696" t="s">
        <v>3250</v>
      </c>
      <c r="K1696" t="s">
        <v>3250</v>
      </c>
      <c r="L1696">
        <v>1200</v>
      </c>
      <c r="M1696" t="s">
        <v>2368</v>
      </c>
      <c r="N1696">
        <v>1204</v>
      </c>
      <c r="O1696" t="s">
        <v>1574</v>
      </c>
      <c r="P1696" t="s">
        <v>3108</v>
      </c>
      <c r="Q1696" t="s">
        <v>3249</v>
      </c>
      <c r="R1696" t="s">
        <v>3249</v>
      </c>
      <c r="S1696" t="s">
        <v>472</v>
      </c>
      <c r="T1696" t="s">
        <v>3251</v>
      </c>
      <c r="U1696">
        <v>130</v>
      </c>
      <c r="V1696" t="s">
        <v>4716</v>
      </c>
      <c r="W1696">
        <v>130</v>
      </c>
      <c r="X1696" t="s">
        <v>4716</v>
      </c>
      <c r="Y1696" t="s">
        <v>5707</v>
      </c>
      <c r="Z1696" t="s">
        <v>292</v>
      </c>
      <c r="AA1696" t="s">
        <v>5707</v>
      </c>
      <c r="AB1696" t="s">
        <v>292</v>
      </c>
      <c r="AC1696">
        <v>420</v>
      </c>
      <c r="AD1696" t="s">
        <v>827</v>
      </c>
      <c r="AE1696">
        <v>560</v>
      </c>
      <c r="AF1696" t="s">
        <v>827</v>
      </c>
      <c r="AG1696" t="s">
        <v>3250</v>
      </c>
      <c r="AH1696" t="s">
        <v>3250</v>
      </c>
      <c r="AI1696" t="s">
        <v>3250</v>
      </c>
      <c r="AJ1696" t="s">
        <v>3250</v>
      </c>
      <c r="AL1696" t="s">
        <v>3250</v>
      </c>
      <c r="AM1696" t="s">
        <v>3250</v>
      </c>
      <c r="AN1696" t="s">
        <v>3250</v>
      </c>
      <c r="AO1696" t="s">
        <v>3250</v>
      </c>
      <c r="AS1696" t="s">
        <v>3250</v>
      </c>
      <c r="AT1696" t="s">
        <v>3250</v>
      </c>
      <c r="AU1696" t="s">
        <v>3250</v>
      </c>
      <c r="AV1696" t="s">
        <v>3250</v>
      </c>
      <c r="AW1696" t="s">
        <v>3250</v>
      </c>
      <c r="AX1696" t="s">
        <v>3250</v>
      </c>
      <c r="AY1696" t="s">
        <v>3250</v>
      </c>
      <c r="AZ1696" t="s">
        <v>3250</v>
      </c>
      <c r="BA1696" t="s">
        <v>3250</v>
      </c>
      <c r="BB1696" t="s">
        <v>3250</v>
      </c>
      <c r="BC1696" t="s">
        <v>3250</v>
      </c>
      <c r="BE1696" t="s">
        <v>3250</v>
      </c>
      <c r="BF1696" t="s">
        <v>3250</v>
      </c>
      <c r="BG1696" t="s">
        <v>3250</v>
      </c>
      <c r="BH1696" t="s">
        <v>3250</v>
      </c>
      <c r="BI1696" t="s">
        <v>3250</v>
      </c>
      <c r="BK1696" t="s">
        <v>3250</v>
      </c>
      <c r="BL1696" t="s">
        <v>3250</v>
      </c>
      <c r="BM1696" t="s">
        <v>3250</v>
      </c>
      <c r="BN1696" t="s">
        <v>3250</v>
      </c>
      <c r="BP1696">
        <v>1</v>
      </c>
      <c r="BQ1696">
        <v>11</v>
      </c>
      <c r="BR1696" t="s">
        <v>1574</v>
      </c>
      <c r="BS1696" t="s">
        <v>3252</v>
      </c>
      <c r="BV1696">
        <v>0</v>
      </c>
      <c r="BW1696">
        <v>0</v>
      </c>
      <c r="BX1696">
        <v>0</v>
      </c>
      <c r="BY1696">
        <v>0</v>
      </c>
      <c r="BZ1696">
        <v>0</v>
      </c>
      <c r="CA1696">
        <v>0</v>
      </c>
      <c r="CB1696">
        <v>0</v>
      </c>
      <c r="CC1696">
        <v>0</v>
      </c>
      <c r="CD1696">
        <v>0</v>
      </c>
      <c r="CE1696" t="s">
        <v>3108</v>
      </c>
      <c r="CF1696" t="s">
        <v>3108</v>
      </c>
      <c r="CG1696" t="s">
        <v>3108</v>
      </c>
      <c r="CH1696" t="s">
        <v>3108</v>
      </c>
    </row>
    <row r="1697" spans="1:86" x14ac:dyDescent="0.2">
      <c r="A1697" t="s">
        <v>5708</v>
      </c>
      <c r="B1697" t="s">
        <v>5708</v>
      </c>
      <c r="C1697">
        <v>54815</v>
      </c>
      <c r="D1697">
        <v>1820</v>
      </c>
      <c r="E1697" t="s">
        <v>5123</v>
      </c>
      <c r="F1697" t="s">
        <v>3249</v>
      </c>
      <c r="G1697" t="s">
        <v>3249</v>
      </c>
      <c r="H1697" t="s">
        <v>3250</v>
      </c>
      <c r="I1697" t="s">
        <v>3250</v>
      </c>
      <c r="J1697" t="s">
        <v>3250</v>
      </c>
      <c r="K1697" t="s">
        <v>3250</v>
      </c>
      <c r="L1697">
        <v>1200</v>
      </c>
      <c r="M1697" t="s">
        <v>2368</v>
      </c>
      <c r="N1697">
        <v>1204</v>
      </c>
      <c r="O1697" t="s">
        <v>1574</v>
      </c>
      <c r="P1697" t="s">
        <v>3108</v>
      </c>
      <c r="Q1697" t="s">
        <v>3249</v>
      </c>
      <c r="R1697" t="s">
        <v>3249</v>
      </c>
      <c r="S1697" t="s">
        <v>472</v>
      </c>
      <c r="T1697" t="s">
        <v>3251</v>
      </c>
      <c r="U1697">
        <v>130</v>
      </c>
      <c r="V1697" t="s">
        <v>4716</v>
      </c>
      <c r="W1697">
        <v>130</v>
      </c>
      <c r="X1697" t="s">
        <v>4716</v>
      </c>
      <c r="Y1697" t="s">
        <v>5707</v>
      </c>
      <c r="Z1697" t="s">
        <v>292</v>
      </c>
      <c r="AA1697" t="s">
        <v>5707</v>
      </c>
      <c r="AB1697" t="s">
        <v>292</v>
      </c>
      <c r="AC1697" t="s">
        <v>3250</v>
      </c>
      <c r="AD1697" t="s">
        <v>3250</v>
      </c>
      <c r="AE1697" t="s">
        <v>3250</v>
      </c>
      <c r="AF1697" t="s">
        <v>3250</v>
      </c>
      <c r="AG1697" t="s">
        <v>3250</v>
      </c>
      <c r="AH1697" t="s">
        <v>3250</v>
      </c>
      <c r="AI1697" t="s">
        <v>3250</v>
      </c>
      <c r="AJ1697" t="s">
        <v>3250</v>
      </c>
      <c r="AL1697" t="s">
        <v>3250</v>
      </c>
      <c r="AM1697" t="s">
        <v>3250</v>
      </c>
      <c r="AN1697" t="s">
        <v>3250</v>
      </c>
      <c r="AO1697" t="s">
        <v>3250</v>
      </c>
      <c r="AS1697" t="s">
        <v>3250</v>
      </c>
      <c r="AT1697" t="s">
        <v>3250</v>
      </c>
      <c r="AU1697" t="s">
        <v>3250</v>
      </c>
      <c r="AV1697" t="s">
        <v>3250</v>
      </c>
      <c r="AW1697" t="s">
        <v>3250</v>
      </c>
      <c r="AX1697" t="s">
        <v>3250</v>
      </c>
      <c r="AY1697" t="s">
        <v>3250</v>
      </c>
      <c r="AZ1697" t="s">
        <v>3250</v>
      </c>
      <c r="BA1697" t="s">
        <v>3250</v>
      </c>
      <c r="BB1697" t="s">
        <v>3250</v>
      </c>
      <c r="BC1697" t="s">
        <v>3250</v>
      </c>
      <c r="BE1697" t="s">
        <v>3250</v>
      </c>
      <c r="BF1697" t="s">
        <v>3250</v>
      </c>
      <c r="BG1697" t="s">
        <v>3250</v>
      </c>
      <c r="BH1697" t="s">
        <v>3250</v>
      </c>
      <c r="BI1697" t="s">
        <v>3250</v>
      </c>
      <c r="BK1697" t="s">
        <v>3250</v>
      </c>
      <c r="BL1697" t="s">
        <v>3250</v>
      </c>
      <c r="BM1697" t="s">
        <v>3250</v>
      </c>
      <c r="BN1697" t="s">
        <v>3250</v>
      </c>
      <c r="BP1697">
        <v>1</v>
      </c>
      <c r="BQ1697">
        <v>11</v>
      </c>
      <c r="BR1697" t="s">
        <v>1574</v>
      </c>
      <c r="BS1697" t="s">
        <v>3252</v>
      </c>
      <c r="BV1697">
        <v>0</v>
      </c>
      <c r="BW1697">
        <v>0</v>
      </c>
      <c r="BX1697">
        <v>0</v>
      </c>
      <c r="BY1697">
        <v>0</v>
      </c>
      <c r="BZ1697">
        <v>0</v>
      </c>
      <c r="CA1697">
        <v>0</v>
      </c>
      <c r="CB1697">
        <v>0</v>
      </c>
      <c r="CC1697">
        <v>0</v>
      </c>
      <c r="CD1697">
        <v>0</v>
      </c>
      <c r="CE1697" t="s">
        <v>3108</v>
      </c>
      <c r="CF1697" t="s">
        <v>3108</v>
      </c>
      <c r="CG1697" t="s">
        <v>3108</v>
      </c>
      <c r="CH1697" t="s">
        <v>3108</v>
      </c>
    </row>
    <row r="1698" spans="1:86" x14ac:dyDescent="0.2">
      <c r="A1698" t="s">
        <v>5709</v>
      </c>
      <c r="B1698" t="s">
        <v>5709</v>
      </c>
      <c r="C1698">
        <v>54816</v>
      </c>
      <c r="D1698">
        <v>1821</v>
      </c>
      <c r="E1698" t="s">
        <v>5710</v>
      </c>
      <c r="F1698" t="s">
        <v>3249</v>
      </c>
      <c r="G1698" t="s">
        <v>3249</v>
      </c>
      <c r="H1698" t="s">
        <v>3250</v>
      </c>
      <c r="I1698" t="s">
        <v>3250</v>
      </c>
      <c r="J1698" t="s">
        <v>3250</v>
      </c>
      <c r="K1698" t="s">
        <v>3250</v>
      </c>
      <c r="L1698">
        <v>1200</v>
      </c>
      <c r="M1698" t="s">
        <v>2368</v>
      </c>
      <c r="N1698">
        <v>1204</v>
      </c>
      <c r="O1698" t="s">
        <v>1574</v>
      </c>
      <c r="P1698" t="s">
        <v>3108</v>
      </c>
      <c r="Q1698" t="s">
        <v>3249</v>
      </c>
      <c r="R1698" t="s">
        <v>3249</v>
      </c>
      <c r="S1698" t="s">
        <v>472</v>
      </c>
      <c r="T1698" t="s">
        <v>3251</v>
      </c>
      <c r="U1698">
        <v>130</v>
      </c>
      <c r="V1698" t="s">
        <v>4716</v>
      </c>
      <c r="W1698">
        <v>130</v>
      </c>
      <c r="X1698" t="s">
        <v>4716</v>
      </c>
      <c r="Y1698" t="s">
        <v>5707</v>
      </c>
      <c r="Z1698" t="s">
        <v>292</v>
      </c>
      <c r="AA1698" t="s">
        <v>5707</v>
      </c>
      <c r="AB1698" t="s">
        <v>292</v>
      </c>
      <c r="AC1698">
        <v>200</v>
      </c>
      <c r="AD1698" t="s">
        <v>5291</v>
      </c>
      <c r="AE1698">
        <v>480</v>
      </c>
      <c r="AF1698" t="s">
        <v>822</v>
      </c>
      <c r="AG1698" t="s">
        <v>3250</v>
      </c>
      <c r="AH1698" t="s">
        <v>3250</v>
      </c>
      <c r="AI1698" t="s">
        <v>3250</v>
      </c>
      <c r="AJ1698" t="s">
        <v>3250</v>
      </c>
      <c r="AL1698" t="s">
        <v>3250</v>
      </c>
      <c r="AM1698" t="s">
        <v>3250</v>
      </c>
      <c r="AN1698" t="s">
        <v>3250</v>
      </c>
      <c r="AO1698" t="s">
        <v>3250</v>
      </c>
      <c r="AS1698" t="s">
        <v>3250</v>
      </c>
      <c r="AT1698" t="s">
        <v>3250</v>
      </c>
      <c r="AU1698" t="s">
        <v>3250</v>
      </c>
      <c r="AV1698" t="s">
        <v>3250</v>
      </c>
      <c r="AW1698" t="s">
        <v>3250</v>
      </c>
      <c r="AX1698" t="s">
        <v>3250</v>
      </c>
      <c r="AY1698" t="s">
        <v>3250</v>
      </c>
      <c r="AZ1698" t="s">
        <v>3250</v>
      </c>
      <c r="BA1698" t="s">
        <v>3250</v>
      </c>
      <c r="BB1698" t="s">
        <v>3250</v>
      </c>
      <c r="BC1698" t="s">
        <v>3250</v>
      </c>
      <c r="BE1698" t="s">
        <v>3250</v>
      </c>
      <c r="BF1698" t="s">
        <v>3250</v>
      </c>
      <c r="BG1698" t="s">
        <v>3250</v>
      </c>
      <c r="BH1698" t="s">
        <v>3250</v>
      </c>
      <c r="BI1698" t="s">
        <v>3250</v>
      </c>
      <c r="BK1698" t="s">
        <v>3250</v>
      </c>
      <c r="BL1698" t="s">
        <v>3250</v>
      </c>
      <c r="BM1698" t="s">
        <v>3250</v>
      </c>
      <c r="BN1698" t="s">
        <v>3250</v>
      </c>
      <c r="BP1698">
        <v>1</v>
      </c>
      <c r="BQ1698">
        <v>11</v>
      </c>
      <c r="BR1698" t="s">
        <v>1574</v>
      </c>
      <c r="BS1698" t="s">
        <v>3252</v>
      </c>
      <c r="BV1698">
        <v>0</v>
      </c>
      <c r="BW1698">
        <v>0</v>
      </c>
      <c r="BX1698">
        <v>0</v>
      </c>
      <c r="BY1698">
        <v>0</v>
      </c>
      <c r="BZ1698">
        <v>0</v>
      </c>
      <c r="CA1698">
        <v>0</v>
      </c>
      <c r="CB1698">
        <v>0</v>
      </c>
      <c r="CC1698">
        <v>0</v>
      </c>
      <c r="CD1698">
        <v>0</v>
      </c>
      <c r="CE1698" t="s">
        <v>3108</v>
      </c>
      <c r="CF1698" t="s">
        <v>3108</v>
      </c>
      <c r="CG1698" t="s">
        <v>3108</v>
      </c>
      <c r="CH1698" t="s">
        <v>3108</v>
      </c>
    </row>
    <row r="1699" spans="1:86" x14ac:dyDescent="0.2">
      <c r="A1699" t="s">
        <v>5711</v>
      </c>
      <c r="B1699" t="s">
        <v>5711</v>
      </c>
      <c r="C1699">
        <v>54817</v>
      </c>
      <c r="E1699" t="s">
        <v>5712</v>
      </c>
      <c r="F1699" t="s">
        <v>3249</v>
      </c>
      <c r="G1699" t="s">
        <v>3249</v>
      </c>
      <c r="H1699" t="s">
        <v>3250</v>
      </c>
      <c r="I1699" t="s">
        <v>3250</v>
      </c>
      <c r="J1699" t="s">
        <v>3250</v>
      </c>
      <c r="K1699" t="s">
        <v>3250</v>
      </c>
      <c r="L1699">
        <v>1200</v>
      </c>
      <c r="M1699" t="s">
        <v>2368</v>
      </c>
      <c r="N1699">
        <v>1204</v>
      </c>
      <c r="O1699" t="s">
        <v>1574</v>
      </c>
      <c r="P1699" t="s">
        <v>3108</v>
      </c>
      <c r="Q1699" t="s">
        <v>3249</v>
      </c>
      <c r="R1699" t="s">
        <v>3249</v>
      </c>
      <c r="S1699" t="s">
        <v>472</v>
      </c>
      <c r="T1699" t="s">
        <v>3251</v>
      </c>
      <c r="U1699">
        <v>120</v>
      </c>
      <c r="V1699" t="s">
        <v>599</v>
      </c>
      <c r="W1699">
        <v>120</v>
      </c>
      <c r="X1699" t="s">
        <v>599</v>
      </c>
      <c r="Y1699" t="s">
        <v>2772</v>
      </c>
      <c r="Z1699" t="s">
        <v>292</v>
      </c>
      <c r="AA1699" t="s">
        <v>2772</v>
      </c>
      <c r="AB1699" t="s">
        <v>292</v>
      </c>
      <c r="AC1699" t="s">
        <v>3250</v>
      </c>
      <c r="AD1699" t="s">
        <v>3250</v>
      </c>
      <c r="AE1699" t="s">
        <v>3250</v>
      </c>
      <c r="AF1699" t="s">
        <v>3250</v>
      </c>
      <c r="AG1699" t="s">
        <v>3250</v>
      </c>
      <c r="AH1699" t="s">
        <v>3250</v>
      </c>
      <c r="AI1699" t="s">
        <v>3250</v>
      </c>
      <c r="AJ1699" t="s">
        <v>3250</v>
      </c>
      <c r="AL1699" t="s">
        <v>3250</v>
      </c>
      <c r="AM1699" t="s">
        <v>3250</v>
      </c>
      <c r="AN1699" t="s">
        <v>3250</v>
      </c>
      <c r="AO1699" t="s">
        <v>3250</v>
      </c>
      <c r="AR1699" t="s">
        <v>486</v>
      </c>
      <c r="AS1699" t="s">
        <v>3250</v>
      </c>
      <c r="AT1699" t="s">
        <v>3250</v>
      </c>
      <c r="AU1699" t="s">
        <v>3250</v>
      </c>
      <c r="AV1699" t="s">
        <v>3250</v>
      </c>
      <c r="AW1699" t="s">
        <v>3250</v>
      </c>
      <c r="AX1699" t="s">
        <v>3250</v>
      </c>
      <c r="AY1699" t="s">
        <v>3250</v>
      </c>
      <c r="AZ1699" t="s">
        <v>3250</v>
      </c>
      <c r="BA1699" t="s">
        <v>3250</v>
      </c>
      <c r="BB1699" t="s">
        <v>3250</v>
      </c>
      <c r="BC1699" t="s">
        <v>3250</v>
      </c>
      <c r="BE1699" t="s">
        <v>3250</v>
      </c>
      <c r="BF1699" t="s">
        <v>3250</v>
      </c>
      <c r="BG1699" t="s">
        <v>3250</v>
      </c>
      <c r="BH1699" t="s">
        <v>3250</v>
      </c>
      <c r="BI1699" t="s">
        <v>3250</v>
      </c>
      <c r="BK1699" t="s">
        <v>3250</v>
      </c>
      <c r="BL1699" t="s">
        <v>3250</v>
      </c>
      <c r="BM1699" t="s">
        <v>3250</v>
      </c>
      <c r="BN1699" t="s">
        <v>3250</v>
      </c>
      <c r="BP1699">
        <v>1</v>
      </c>
      <c r="BQ1699">
        <v>11</v>
      </c>
      <c r="BR1699" t="s">
        <v>1574</v>
      </c>
      <c r="BS1699" t="s">
        <v>3252</v>
      </c>
      <c r="BV1699">
        <v>0</v>
      </c>
      <c r="BW1699">
        <v>0</v>
      </c>
      <c r="BX1699">
        <v>0</v>
      </c>
      <c r="BY1699">
        <v>0</v>
      </c>
      <c r="BZ1699">
        <v>0</v>
      </c>
      <c r="CA1699">
        <v>4000000</v>
      </c>
      <c r="CB1699">
        <v>4160000</v>
      </c>
      <c r="CC1699">
        <v>4326400</v>
      </c>
      <c r="CD1699">
        <v>0</v>
      </c>
      <c r="CE1699" t="s">
        <v>3108</v>
      </c>
      <c r="CF1699" t="s">
        <v>3108</v>
      </c>
      <c r="CG1699" t="s">
        <v>3108</v>
      </c>
      <c r="CH1699" t="s">
        <v>3108</v>
      </c>
    </row>
    <row r="1700" spans="1:86" x14ac:dyDescent="0.2">
      <c r="A1700" t="s">
        <v>5713</v>
      </c>
      <c r="B1700" t="s">
        <v>5713</v>
      </c>
      <c r="C1700">
        <v>54818</v>
      </c>
      <c r="D1700">
        <v>1823</v>
      </c>
      <c r="E1700" t="s">
        <v>5115</v>
      </c>
      <c r="F1700" t="s">
        <v>3249</v>
      </c>
      <c r="G1700" t="s">
        <v>3249</v>
      </c>
      <c r="H1700" t="s">
        <v>3250</v>
      </c>
      <c r="I1700" t="s">
        <v>3250</v>
      </c>
      <c r="J1700" t="s">
        <v>3250</v>
      </c>
      <c r="K1700" t="s">
        <v>3250</v>
      </c>
      <c r="L1700">
        <v>1200</v>
      </c>
      <c r="M1700" t="s">
        <v>2368</v>
      </c>
      <c r="N1700">
        <v>1204</v>
      </c>
      <c r="O1700" t="s">
        <v>1574</v>
      </c>
      <c r="P1700" t="s">
        <v>3108</v>
      </c>
      <c r="Q1700" t="s">
        <v>3249</v>
      </c>
      <c r="R1700" t="s">
        <v>3249</v>
      </c>
      <c r="S1700" t="s">
        <v>472</v>
      </c>
      <c r="T1700" t="s">
        <v>3251</v>
      </c>
      <c r="U1700">
        <v>120</v>
      </c>
      <c r="V1700" t="s">
        <v>599</v>
      </c>
      <c r="W1700">
        <v>120</v>
      </c>
      <c r="X1700" t="s">
        <v>599</v>
      </c>
      <c r="Y1700" t="s">
        <v>2755</v>
      </c>
      <c r="Z1700" t="s">
        <v>5308</v>
      </c>
      <c r="AA1700" t="s">
        <v>2755</v>
      </c>
      <c r="AB1700" t="s">
        <v>5308</v>
      </c>
      <c r="AC1700" t="s">
        <v>3250</v>
      </c>
      <c r="AD1700" t="s">
        <v>3250</v>
      </c>
      <c r="AE1700" t="s">
        <v>3250</v>
      </c>
      <c r="AF1700" t="s">
        <v>3250</v>
      </c>
      <c r="AG1700" t="s">
        <v>3250</v>
      </c>
      <c r="AH1700" t="s">
        <v>3250</v>
      </c>
      <c r="AI1700" t="s">
        <v>3250</v>
      </c>
      <c r="AJ1700" t="s">
        <v>3250</v>
      </c>
      <c r="AL1700" t="s">
        <v>3250</v>
      </c>
      <c r="AM1700" t="s">
        <v>3250</v>
      </c>
      <c r="AN1700" t="s">
        <v>3250</v>
      </c>
      <c r="AO1700" t="s">
        <v>3250</v>
      </c>
      <c r="AR1700" t="s">
        <v>472</v>
      </c>
      <c r="AS1700" t="s">
        <v>3250</v>
      </c>
      <c r="AT1700" t="s">
        <v>3250</v>
      </c>
      <c r="AU1700" t="s">
        <v>3250</v>
      </c>
      <c r="AV1700" t="s">
        <v>3250</v>
      </c>
      <c r="AW1700" t="s">
        <v>3250</v>
      </c>
      <c r="AX1700" t="s">
        <v>3250</v>
      </c>
      <c r="AY1700" t="s">
        <v>3250</v>
      </c>
      <c r="AZ1700" t="s">
        <v>3250</v>
      </c>
      <c r="BA1700" t="s">
        <v>3250</v>
      </c>
      <c r="BB1700" t="s">
        <v>3250</v>
      </c>
      <c r="BC1700" t="s">
        <v>3250</v>
      </c>
      <c r="BE1700" t="s">
        <v>3250</v>
      </c>
      <c r="BF1700" t="s">
        <v>3250</v>
      </c>
      <c r="BG1700" t="s">
        <v>3250</v>
      </c>
      <c r="BH1700" t="s">
        <v>3250</v>
      </c>
      <c r="BI1700" t="s">
        <v>3250</v>
      </c>
      <c r="BK1700" t="s">
        <v>3250</v>
      </c>
      <c r="BL1700" t="s">
        <v>3250</v>
      </c>
      <c r="BM1700" t="s">
        <v>3250</v>
      </c>
      <c r="BN1700" t="s">
        <v>3250</v>
      </c>
      <c r="BP1700">
        <v>1</v>
      </c>
      <c r="BQ1700">
        <v>11</v>
      </c>
      <c r="BR1700" t="s">
        <v>1574</v>
      </c>
      <c r="BS1700" t="s">
        <v>3252</v>
      </c>
      <c r="BV1700">
        <v>0</v>
      </c>
      <c r="BW1700">
        <v>0</v>
      </c>
      <c r="BX1700">
        <v>0</v>
      </c>
      <c r="BY1700">
        <v>0</v>
      </c>
      <c r="BZ1700">
        <v>1143000</v>
      </c>
      <c r="CA1700">
        <v>0</v>
      </c>
      <c r="CB1700">
        <v>0</v>
      </c>
      <c r="CC1700">
        <v>0</v>
      </c>
      <c r="CD1700">
        <v>0</v>
      </c>
      <c r="CE1700" t="s">
        <v>3108</v>
      </c>
      <c r="CF1700" t="s">
        <v>3108</v>
      </c>
      <c r="CG1700" t="s">
        <v>3108</v>
      </c>
      <c r="CH1700" t="s">
        <v>3108</v>
      </c>
    </row>
    <row r="1701" spans="1:86" x14ac:dyDescent="0.2">
      <c r="A1701" t="s">
        <v>5714</v>
      </c>
      <c r="B1701" t="s">
        <v>5714</v>
      </c>
      <c r="C1701">
        <v>54819</v>
      </c>
      <c r="D1701">
        <v>1824</v>
      </c>
      <c r="E1701" t="s">
        <v>5115</v>
      </c>
      <c r="F1701" t="s">
        <v>3249</v>
      </c>
      <c r="G1701" t="s">
        <v>3249</v>
      </c>
      <c r="H1701" t="s">
        <v>3250</v>
      </c>
      <c r="I1701" t="s">
        <v>3250</v>
      </c>
      <c r="J1701" t="s">
        <v>3250</v>
      </c>
      <c r="K1701" t="s">
        <v>3250</v>
      </c>
      <c r="L1701">
        <v>1200</v>
      </c>
      <c r="M1701" t="s">
        <v>2368</v>
      </c>
      <c r="N1701">
        <v>1204</v>
      </c>
      <c r="O1701" t="s">
        <v>1574</v>
      </c>
      <c r="P1701" t="s">
        <v>3108</v>
      </c>
      <c r="Q1701" t="s">
        <v>3249</v>
      </c>
      <c r="R1701" t="s">
        <v>3249</v>
      </c>
      <c r="S1701" t="s">
        <v>472</v>
      </c>
      <c r="T1701" t="s">
        <v>3251</v>
      </c>
      <c r="U1701">
        <v>120</v>
      </c>
      <c r="V1701" t="s">
        <v>599</v>
      </c>
      <c r="W1701">
        <v>120</v>
      </c>
      <c r="X1701" t="s">
        <v>599</v>
      </c>
      <c r="Y1701" t="s">
        <v>2755</v>
      </c>
      <c r="Z1701" t="s">
        <v>5308</v>
      </c>
      <c r="AA1701" t="s">
        <v>2755</v>
      </c>
      <c r="AB1701" t="s">
        <v>5308</v>
      </c>
      <c r="AC1701" t="s">
        <v>3250</v>
      </c>
      <c r="AD1701" t="s">
        <v>3250</v>
      </c>
      <c r="AE1701" t="s">
        <v>3250</v>
      </c>
      <c r="AF1701" t="s">
        <v>3250</v>
      </c>
      <c r="AG1701" t="s">
        <v>3250</v>
      </c>
      <c r="AH1701" t="s">
        <v>3250</v>
      </c>
      <c r="AI1701" t="s">
        <v>3250</v>
      </c>
      <c r="AJ1701" t="s">
        <v>3250</v>
      </c>
      <c r="AL1701" t="s">
        <v>3250</v>
      </c>
      <c r="AM1701" t="s">
        <v>3250</v>
      </c>
      <c r="AN1701" t="s">
        <v>3250</v>
      </c>
      <c r="AO1701" t="s">
        <v>3250</v>
      </c>
      <c r="AR1701" t="s">
        <v>472</v>
      </c>
      <c r="AS1701" t="s">
        <v>3250</v>
      </c>
      <c r="AT1701" t="s">
        <v>3250</v>
      </c>
      <c r="AU1701" t="s">
        <v>3250</v>
      </c>
      <c r="AV1701" t="s">
        <v>3250</v>
      </c>
      <c r="AW1701" t="s">
        <v>3250</v>
      </c>
      <c r="AX1701" t="s">
        <v>3250</v>
      </c>
      <c r="AY1701" t="s">
        <v>3250</v>
      </c>
      <c r="AZ1701" t="s">
        <v>3250</v>
      </c>
      <c r="BA1701" t="s">
        <v>3250</v>
      </c>
      <c r="BB1701" t="s">
        <v>3250</v>
      </c>
      <c r="BC1701" t="s">
        <v>3250</v>
      </c>
      <c r="BE1701" t="s">
        <v>3250</v>
      </c>
      <c r="BF1701" t="s">
        <v>3250</v>
      </c>
      <c r="BG1701" t="s">
        <v>3250</v>
      </c>
      <c r="BH1701" t="s">
        <v>3250</v>
      </c>
      <c r="BI1701" t="s">
        <v>3250</v>
      </c>
      <c r="BK1701" t="s">
        <v>3250</v>
      </c>
      <c r="BL1701" t="s">
        <v>3250</v>
      </c>
      <c r="BM1701" t="s">
        <v>3250</v>
      </c>
      <c r="BN1701" t="s">
        <v>3250</v>
      </c>
      <c r="BP1701">
        <v>1</v>
      </c>
      <c r="BQ1701">
        <v>11</v>
      </c>
      <c r="BR1701" t="s">
        <v>1574</v>
      </c>
      <c r="BS1701" t="s">
        <v>3252</v>
      </c>
      <c r="BV1701">
        <v>0</v>
      </c>
      <c r="BW1701">
        <v>0</v>
      </c>
      <c r="BX1701">
        <v>0</v>
      </c>
      <c r="BY1701">
        <v>0</v>
      </c>
      <c r="BZ1701">
        <v>2800000</v>
      </c>
      <c r="CA1701">
        <v>2850000</v>
      </c>
      <c r="CB1701">
        <v>3000000</v>
      </c>
      <c r="CC1701">
        <v>3000000</v>
      </c>
      <c r="CD1701">
        <v>0</v>
      </c>
      <c r="CE1701" t="s">
        <v>3108</v>
      </c>
      <c r="CF1701" t="s">
        <v>3108</v>
      </c>
      <c r="CG1701" t="s">
        <v>3108</v>
      </c>
      <c r="CH1701" t="s">
        <v>3108</v>
      </c>
    </row>
    <row r="1702" spans="1:86" x14ac:dyDescent="0.2">
      <c r="A1702" t="s">
        <v>5715</v>
      </c>
      <c r="B1702" t="s">
        <v>5715</v>
      </c>
      <c r="C1702">
        <v>54820</v>
      </c>
      <c r="D1702">
        <v>1825</v>
      </c>
      <c r="E1702" t="s">
        <v>5115</v>
      </c>
      <c r="F1702" t="s">
        <v>3249</v>
      </c>
      <c r="G1702" t="s">
        <v>3249</v>
      </c>
      <c r="H1702" t="s">
        <v>3250</v>
      </c>
      <c r="I1702" t="s">
        <v>3250</v>
      </c>
      <c r="J1702" t="s">
        <v>3250</v>
      </c>
      <c r="K1702" t="s">
        <v>3250</v>
      </c>
      <c r="L1702">
        <v>1200</v>
      </c>
      <c r="M1702" t="s">
        <v>2368</v>
      </c>
      <c r="N1702">
        <v>1204</v>
      </c>
      <c r="O1702" t="s">
        <v>1574</v>
      </c>
      <c r="P1702" t="s">
        <v>3108</v>
      </c>
      <c r="Q1702" t="s">
        <v>3249</v>
      </c>
      <c r="R1702" t="s">
        <v>3249</v>
      </c>
      <c r="S1702" t="s">
        <v>472</v>
      </c>
      <c r="T1702" t="s">
        <v>3251</v>
      </c>
      <c r="U1702">
        <v>120</v>
      </c>
      <c r="V1702" t="s">
        <v>599</v>
      </c>
      <c r="W1702">
        <v>120</v>
      </c>
      <c r="X1702" t="s">
        <v>599</v>
      </c>
      <c r="Y1702" t="s">
        <v>2755</v>
      </c>
      <c r="Z1702" t="s">
        <v>5308</v>
      </c>
      <c r="AA1702" t="s">
        <v>2755</v>
      </c>
      <c r="AB1702" t="s">
        <v>5308</v>
      </c>
      <c r="AC1702" t="s">
        <v>3250</v>
      </c>
      <c r="AD1702" t="s">
        <v>3250</v>
      </c>
      <c r="AE1702" t="s">
        <v>3250</v>
      </c>
      <c r="AF1702" t="s">
        <v>3250</v>
      </c>
      <c r="AG1702" t="s">
        <v>3250</v>
      </c>
      <c r="AH1702" t="s">
        <v>3250</v>
      </c>
      <c r="AI1702" t="s">
        <v>3250</v>
      </c>
      <c r="AJ1702" t="s">
        <v>3250</v>
      </c>
      <c r="AL1702" t="s">
        <v>3250</v>
      </c>
      <c r="AM1702" t="s">
        <v>3250</v>
      </c>
      <c r="AN1702" t="s">
        <v>3250</v>
      </c>
      <c r="AO1702" t="s">
        <v>3250</v>
      </c>
      <c r="AR1702" t="s">
        <v>472</v>
      </c>
      <c r="AS1702" t="s">
        <v>3250</v>
      </c>
      <c r="AT1702" t="s">
        <v>3250</v>
      </c>
      <c r="AU1702" t="s">
        <v>3250</v>
      </c>
      <c r="AV1702" t="s">
        <v>3250</v>
      </c>
      <c r="AW1702" t="s">
        <v>3250</v>
      </c>
      <c r="AX1702" t="s">
        <v>3250</v>
      </c>
      <c r="AY1702" t="s">
        <v>3250</v>
      </c>
      <c r="AZ1702" t="s">
        <v>3250</v>
      </c>
      <c r="BA1702" t="s">
        <v>3250</v>
      </c>
      <c r="BB1702" t="s">
        <v>3250</v>
      </c>
      <c r="BC1702" t="s">
        <v>3250</v>
      </c>
      <c r="BE1702" t="s">
        <v>3250</v>
      </c>
      <c r="BF1702" t="s">
        <v>3250</v>
      </c>
      <c r="BG1702" t="s">
        <v>3250</v>
      </c>
      <c r="BH1702" t="s">
        <v>3250</v>
      </c>
      <c r="BI1702" t="s">
        <v>3250</v>
      </c>
      <c r="BK1702" t="s">
        <v>3250</v>
      </c>
      <c r="BL1702" t="s">
        <v>3250</v>
      </c>
      <c r="BM1702" t="s">
        <v>3250</v>
      </c>
      <c r="BN1702" t="s">
        <v>3250</v>
      </c>
      <c r="BP1702">
        <v>1</v>
      </c>
      <c r="BQ1702">
        <v>11</v>
      </c>
      <c r="BR1702" t="s">
        <v>1574</v>
      </c>
      <c r="BS1702" t="s">
        <v>3252</v>
      </c>
      <c r="BV1702">
        <v>0</v>
      </c>
      <c r="BW1702">
        <v>0</v>
      </c>
      <c r="BX1702">
        <v>0</v>
      </c>
      <c r="BY1702">
        <v>0</v>
      </c>
      <c r="BZ1702">
        <v>0</v>
      </c>
      <c r="CA1702">
        <v>0</v>
      </c>
      <c r="CB1702">
        <v>0</v>
      </c>
      <c r="CC1702">
        <v>0</v>
      </c>
      <c r="CD1702">
        <v>0</v>
      </c>
      <c r="CE1702" t="s">
        <v>3108</v>
      </c>
      <c r="CF1702" t="s">
        <v>3108</v>
      </c>
      <c r="CG1702" t="s">
        <v>3108</v>
      </c>
      <c r="CH1702" t="s">
        <v>3108</v>
      </c>
    </row>
    <row r="1703" spans="1:86" x14ac:dyDescent="0.2">
      <c r="A1703" t="s">
        <v>5716</v>
      </c>
      <c r="B1703" t="s">
        <v>5716</v>
      </c>
      <c r="C1703">
        <v>54821</v>
      </c>
      <c r="D1703">
        <v>1826</v>
      </c>
      <c r="E1703" t="s">
        <v>5717</v>
      </c>
      <c r="F1703" t="s">
        <v>3249</v>
      </c>
      <c r="G1703" t="s">
        <v>3249</v>
      </c>
      <c r="H1703" t="s">
        <v>3250</v>
      </c>
      <c r="I1703" t="s">
        <v>3250</v>
      </c>
      <c r="J1703" t="s">
        <v>3250</v>
      </c>
      <c r="K1703" t="s">
        <v>3250</v>
      </c>
      <c r="L1703">
        <v>1200</v>
      </c>
      <c r="M1703" t="s">
        <v>2368</v>
      </c>
      <c r="N1703">
        <v>1204</v>
      </c>
      <c r="O1703" t="s">
        <v>1574</v>
      </c>
      <c r="P1703" t="s">
        <v>3108</v>
      </c>
      <c r="Q1703" t="s">
        <v>3249</v>
      </c>
      <c r="R1703" t="s">
        <v>3249</v>
      </c>
      <c r="S1703" t="s">
        <v>472</v>
      </c>
      <c r="T1703" t="s">
        <v>3251</v>
      </c>
      <c r="U1703">
        <v>120</v>
      </c>
      <c r="V1703" t="s">
        <v>599</v>
      </c>
      <c r="W1703">
        <v>120</v>
      </c>
      <c r="X1703" t="s">
        <v>599</v>
      </c>
      <c r="Y1703" t="s">
        <v>5314</v>
      </c>
      <c r="Z1703" t="s">
        <v>5308</v>
      </c>
      <c r="AA1703" t="s">
        <v>5314</v>
      </c>
      <c r="AB1703" t="s">
        <v>5308</v>
      </c>
      <c r="AC1703" t="s">
        <v>3250</v>
      </c>
      <c r="AD1703" t="s">
        <v>3250</v>
      </c>
      <c r="AE1703" t="s">
        <v>3250</v>
      </c>
      <c r="AF1703" t="s">
        <v>3250</v>
      </c>
      <c r="AG1703" t="s">
        <v>3250</v>
      </c>
      <c r="AH1703" t="s">
        <v>3250</v>
      </c>
      <c r="AI1703" t="s">
        <v>3250</v>
      </c>
      <c r="AJ1703" t="s">
        <v>3250</v>
      </c>
      <c r="AL1703" t="s">
        <v>3250</v>
      </c>
      <c r="AM1703" t="s">
        <v>3250</v>
      </c>
      <c r="AN1703" t="s">
        <v>3250</v>
      </c>
      <c r="AO1703" t="s">
        <v>3250</v>
      </c>
      <c r="AR1703" t="s">
        <v>5718</v>
      </c>
      <c r="AS1703" t="s">
        <v>3250</v>
      </c>
      <c r="AT1703" t="s">
        <v>3250</v>
      </c>
      <c r="AU1703" t="s">
        <v>3250</v>
      </c>
      <c r="AV1703" t="s">
        <v>3250</v>
      </c>
      <c r="AW1703" t="s">
        <v>3250</v>
      </c>
      <c r="AX1703" t="s">
        <v>3250</v>
      </c>
      <c r="AY1703" t="s">
        <v>3250</v>
      </c>
      <c r="AZ1703" t="s">
        <v>3250</v>
      </c>
      <c r="BA1703" t="s">
        <v>3250</v>
      </c>
      <c r="BB1703" t="s">
        <v>3250</v>
      </c>
      <c r="BC1703" t="s">
        <v>3250</v>
      </c>
      <c r="BE1703" t="s">
        <v>3250</v>
      </c>
      <c r="BF1703" t="s">
        <v>3250</v>
      </c>
      <c r="BG1703" t="s">
        <v>3250</v>
      </c>
      <c r="BH1703" t="s">
        <v>3250</v>
      </c>
      <c r="BI1703" t="s">
        <v>3250</v>
      </c>
      <c r="BK1703" t="s">
        <v>3250</v>
      </c>
      <c r="BL1703" t="s">
        <v>3250</v>
      </c>
      <c r="BM1703" t="s">
        <v>3250</v>
      </c>
      <c r="BN1703" t="s">
        <v>3250</v>
      </c>
      <c r="BP1703">
        <v>1</v>
      </c>
      <c r="BQ1703">
        <v>11</v>
      </c>
      <c r="BR1703" t="s">
        <v>1574</v>
      </c>
      <c r="BS1703" t="s">
        <v>3252</v>
      </c>
      <c r="BV1703">
        <v>0</v>
      </c>
      <c r="BW1703">
        <v>0</v>
      </c>
      <c r="BX1703">
        <v>0</v>
      </c>
      <c r="BY1703">
        <v>0</v>
      </c>
      <c r="BZ1703">
        <v>0</v>
      </c>
      <c r="CA1703">
        <v>0</v>
      </c>
      <c r="CB1703">
        <v>0</v>
      </c>
      <c r="CC1703">
        <v>0</v>
      </c>
      <c r="CD1703">
        <v>0</v>
      </c>
      <c r="CE1703" t="s">
        <v>3108</v>
      </c>
      <c r="CF1703" t="s">
        <v>3108</v>
      </c>
      <c r="CG1703" t="s">
        <v>3108</v>
      </c>
      <c r="CH1703" t="s">
        <v>3108</v>
      </c>
    </row>
    <row r="1704" spans="1:86" x14ac:dyDescent="0.2">
      <c r="A1704" t="s">
        <v>5719</v>
      </c>
      <c r="B1704" t="s">
        <v>5719</v>
      </c>
      <c r="C1704">
        <v>54822</v>
      </c>
      <c r="D1704">
        <v>1827</v>
      </c>
      <c r="E1704" t="s">
        <v>5717</v>
      </c>
      <c r="F1704" t="s">
        <v>3249</v>
      </c>
      <c r="G1704" t="s">
        <v>3249</v>
      </c>
      <c r="H1704" t="s">
        <v>3250</v>
      </c>
      <c r="I1704" t="s">
        <v>3250</v>
      </c>
      <c r="J1704" t="s">
        <v>3250</v>
      </c>
      <c r="K1704" t="s">
        <v>3250</v>
      </c>
      <c r="L1704">
        <v>1200</v>
      </c>
      <c r="M1704" t="s">
        <v>2368</v>
      </c>
      <c r="N1704">
        <v>1204</v>
      </c>
      <c r="O1704" t="s">
        <v>1574</v>
      </c>
      <c r="P1704" t="s">
        <v>3108</v>
      </c>
      <c r="Q1704" t="s">
        <v>3249</v>
      </c>
      <c r="R1704" t="s">
        <v>3249</v>
      </c>
      <c r="S1704" t="s">
        <v>472</v>
      </c>
      <c r="T1704" t="s">
        <v>3251</v>
      </c>
      <c r="U1704">
        <v>120</v>
      </c>
      <c r="V1704" t="s">
        <v>599</v>
      </c>
      <c r="W1704">
        <v>120</v>
      </c>
      <c r="X1704" t="s">
        <v>599</v>
      </c>
      <c r="Y1704" t="s">
        <v>5314</v>
      </c>
      <c r="Z1704" t="s">
        <v>5308</v>
      </c>
      <c r="AA1704" t="s">
        <v>5314</v>
      </c>
      <c r="AB1704" t="s">
        <v>5308</v>
      </c>
      <c r="AC1704" t="s">
        <v>3250</v>
      </c>
      <c r="AD1704" t="s">
        <v>3250</v>
      </c>
      <c r="AE1704" t="s">
        <v>3250</v>
      </c>
      <c r="AF1704" t="s">
        <v>3250</v>
      </c>
      <c r="AG1704" t="s">
        <v>3250</v>
      </c>
      <c r="AH1704" t="s">
        <v>3250</v>
      </c>
      <c r="AI1704" t="s">
        <v>3250</v>
      </c>
      <c r="AJ1704" t="s">
        <v>3250</v>
      </c>
      <c r="AL1704" t="s">
        <v>3250</v>
      </c>
      <c r="AM1704" t="s">
        <v>3250</v>
      </c>
      <c r="AN1704" t="s">
        <v>3250</v>
      </c>
      <c r="AO1704" t="s">
        <v>3250</v>
      </c>
      <c r="AR1704" t="s">
        <v>5718</v>
      </c>
      <c r="AS1704" t="s">
        <v>3250</v>
      </c>
      <c r="AT1704" t="s">
        <v>3250</v>
      </c>
      <c r="AU1704" t="s">
        <v>3250</v>
      </c>
      <c r="AV1704" t="s">
        <v>3250</v>
      </c>
      <c r="AW1704" t="s">
        <v>3250</v>
      </c>
      <c r="AX1704" t="s">
        <v>3250</v>
      </c>
      <c r="AY1704" t="s">
        <v>3250</v>
      </c>
      <c r="AZ1704" t="s">
        <v>3250</v>
      </c>
      <c r="BA1704" t="s">
        <v>3250</v>
      </c>
      <c r="BB1704" t="s">
        <v>3250</v>
      </c>
      <c r="BC1704" t="s">
        <v>3250</v>
      </c>
      <c r="BE1704" t="s">
        <v>3250</v>
      </c>
      <c r="BF1704" t="s">
        <v>3250</v>
      </c>
      <c r="BG1704" t="s">
        <v>3250</v>
      </c>
      <c r="BH1704" t="s">
        <v>3250</v>
      </c>
      <c r="BI1704" t="s">
        <v>3250</v>
      </c>
      <c r="BK1704" t="s">
        <v>3250</v>
      </c>
      <c r="BL1704" t="s">
        <v>3250</v>
      </c>
      <c r="BM1704" t="s">
        <v>3250</v>
      </c>
      <c r="BN1704" t="s">
        <v>3250</v>
      </c>
      <c r="BP1704">
        <v>1</v>
      </c>
      <c r="BQ1704">
        <v>11</v>
      </c>
      <c r="BR1704" t="s">
        <v>1574</v>
      </c>
      <c r="BS1704" t="s">
        <v>3252</v>
      </c>
      <c r="BV1704">
        <v>0</v>
      </c>
      <c r="BW1704">
        <v>0</v>
      </c>
      <c r="BX1704">
        <v>0</v>
      </c>
      <c r="BY1704">
        <v>0</v>
      </c>
      <c r="BZ1704">
        <v>0</v>
      </c>
      <c r="CA1704">
        <v>0</v>
      </c>
      <c r="CB1704">
        <v>0</v>
      </c>
      <c r="CC1704">
        <v>0</v>
      </c>
      <c r="CD1704">
        <v>0</v>
      </c>
      <c r="CE1704" t="s">
        <v>3108</v>
      </c>
      <c r="CF1704" t="s">
        <v>3108</v>
      </c>
      <c r="CG1704" t="s">
        <v>3108</v>
      </c>
      <c r="CH1704" t="s">
        <v>3108</v>
      </c>
    </row>
    <row r="1705" spans="1:86" x14ac:dyDescent="0.2">
      <c r="A1705" t="s">
        <v>5720</v>
      </c>
      <c r="B1705" t="s">
        <v>5720</v>
      </c>
      <c r="C1705">
        <v>54823</v>
      </c>
      <c r="D1705">
        <v>1828</v>
      </c>
      <c r="E1705" t="s">
        <v>5717</v>
      </c>
      <c r="F1705" t="s">
        <v>3249</v>
      </c>
      <c r="G1705" t="s">
        <v>3249</v>
      </c>
      <c r="H1705" t="s">
        <v>3250</v>
      </c>
      <c r="I1705" t="s">
        <v>3250</v>
      </c>
      <c r="J1705" t="s">
        <v>3250</v>
      </c>
      <c r="K1705" t="s">
        <v>3250</v>
      </c>
      <c r="L1705">
        <v>1200</v>
      </c>
      <c r="M1705" t="s">
        <v>2368</v>
      </c>
      <c r="N1705">
        <v>1204</v>
      </c>
      <c r="O1705" t="s">
        <v>1574</v>
      </c>
      <c r="P1705" t="s">
        <v>3108</v>
      </c>
      <c r="Q1705" t="s">
        <v>3249</v>
      </c>
      <c r="R1705" t="s">
        <v>3249</v>
      </c>
      <c r="S1705" t="s">
        <v>472</v>
      </c>
      <c r="T1705" t="s">
        <v>3251</v>
      </c>
      <c r="U1705">
        <v>120</v>
      </c>
      <c r="V1705" t="s">
        <v>599</v>
      </c>
      <c r="W1705">
        <v>120</v>
      </c>
      <c r="X1705" t="s">
        <v>599</v>
      </c>
      <c r="Y1705" t="s">
        <v>5314</v>
      </c>
      <c r="Z1705" t="s">
        <v>5308</v>
      </c>
      <c r="AA1705" t="s">
        <v>5314</v>
      </c>
      <c r="AB1705" t="s">
        <v>5308</v>
      </c>
      <c r="AC1705" t="s">
        <v>3250</v>
      </c>
      <c r="AD1705" t="s">
        <v>3250</v>
      </c>
      <c r="AE1705" t="s">
        <v>3250</v>
      </c>
      <c r="AF1705" t="s">
        <v>3250</v>
      </c>
      <c r="AG1705" t="s">
        <v>3250</v>
      </c>
      <c r="AH1705" t="s">
        <v>3250</v>
      </c>
      <c r="AI1705" t="s">
        <v>3250</v>
      </c>
      <c r="AJ1705" t="s">
        <v>3250</v>
      </c>
      <c r="AL1705" t="s">
        <v>3250</v>
      </c>
      <c r="AM1705" t="s">
        <v>3250</v>
      </c>
      <c r="AN1705" t="s">
        <v>3250</v>
      </c>
      <c r="AO1705" t="s">
        <v>3250</v>
      </c>
      <c r="AR1705" t="s">
        <v>5718</v>
      </c>
      <c r="AS1705" t="s">
        <v>3250</v>
      </c>
      <c r="AT1705" t="s">
        <v>3250</v>
      </c>
      <c r="AU1705" t="s">
        <v>3250</v>
      </c>
      <c r="AV1705" t="s">
        <v>3250</v>
      </c>
      <c r="AW1705" t="s">
        <v>3250</v>
      </c>
      <c r="AX1705" t="s">
        <v>3250</v>
      </c>
      <c r="AY1705" t="s">
        <v>3250</v>
      </c>
      <c r="AZ1705" t="s">
        <v>3250</v>
      </c>
      <c r="BA1705" t="s">
        <v>3250</v>
      </c>
      <c r="BB1705" t="s">
        <v>3250</v>
      </c>
      <c r="BC1705" t="s">
        <v>3250</v>
      </c>
      <c r="BE1705" t="s">
        <v>3250</v>
      </c>
      <c r="BF1705" t="s">
        <v>3250</v>
      </c>
      <c r="BG1705" t="s">
        <v>3250</v>
      </c>
      <c r="BH1705" t="s">
        <v>3250</v>
      </c>
      <c r="BI1705" t="s">
        <v>3250</v>
      </c>
      <c r="BK1705" t="s">
        <v>3250</v>
      </c>
      <c r="BL1705" t="s">
        <v>3250</v>
      </c>
      <c r="BM1705" t="s">
        <v>3250</v>
      </c>
      <c r="BN1705" t="s">
        <v>3250</v>
      </c>
      <c r="BP1705">
        <v>1</v>
      </c>
      <c r="BQ1705">
        <v>11</v>
      </c>
      <c r="BR1705" t="s">
        <v>1574</v>
      </c>
      <c r="BS1705" t="s">
        <v>3252</v>
      </c>
      <c r="BV1705">
        <v>0</v>
      </c>
      <c r="BW1705">
        <v>0</v>
      </c>
      <c r="BX1705">
        <v>0</v>
      </c>
      <c r="BY1705">
        <v>0</v>
      </c>
      <c r="BZ1705">
        <v>0</v>
      </c>
      <c r="CA1705">
        <v>0</v>
      </c>
      <c r="CB1705">
        <v>0</v>
      </c>
      <c r="CC1705">
        <v>0</v>
      </c>
      <c r="CD1705">
        <v>0</v>
      </c>
      <c r="CE1705" t="s">
        <v>3108</v>
      </c>
      <c r="CF1705" t="s">
        <v>3108</v>
      </c>
      <c r="CG1705" t="s">
        <v>3108</v>
      </c>
      <c r="CH1705" t="s">
        <v>3108</v>
      </c>
    </row>
    <row r="1706" spans="1:86" x14ac:dyDescent="0.2">
      <c r="A1706" t="s">
        <v>5721</v>
      </c>
      <c r="B1706" t="s">
        <v>5721</v>
      </c>
      <c r="C1706">
        <v>54824</v>
      </c>
      <c r="D1706">
        <v>1829</v>
      </c>
      <c r="E1706" t="s">
        <v>5717</v>
      </c>
      <c r="F1706" t="s">
        <v>3249</v>
      </c>
      <c r="G1706" t="s">
        <v>3249</v>
      </c>
      <c r="H1706" t="s">
        <v>3250</v>
      </c>
      <c r="I1706" t="s">
        <v>3250</v>
      </c>
      <c r="J1706" t="s">
        <v>3250</v>
      </c>
      <c r="K1706" t="s">
        <v>3250</v>
      </c>
      <c r="L1706">
        <v>1200</v>
      </c>
      <c r="M1706" t="s">
        <v>2368</v>
      </c>
      <c r="N1706">
        <v>1204</v>
      </c>
      <c r="O1706" t="s">
        <v>1574</v>
      </c>
      <c r="P1706" t="s">
        <v>3108</v>
      </c>
      <c r="Q1706" t="s">
        <v>3249</v>
      </c>
      <c r="R1706" t="s">
        <v>3249</v>
      </c>
      <c r="S1706" t="s">
        <v>472</v>
      </c>
      <c r="T1706" t="s">
        <v>3251</v>
      </c>
      <c r="U1706">
        <v>120</v>
      </c>
      <c r="V1706" t="s">
        <v>599</v>
      </c>
      <c r="W1706">
        <v>120</v>
      </c>
      <c r="X1706" t="s">
        <v>599</v>
      </c>
      <c r="Y1706" t="s">
        <v>5314</v>
      </c>
      <c r="Z1706" t="s">
        <v>5308</v>
      </c>
      <c r="AA1706" t="s">
        <v>5314</v>
      </c>
      <c r="AB1706" t="s">
        <v>5308</v>
      </c>
      <c r="AC1706" t="s">
        <v>3250</v>
      </c>
      <c r="AD1706" t="s">
        <v>3250</v>
      </c>
      <c r="AE1706" t="s">
        <v>3250</v>
      </c>
      <c r="AF1706" t="s">
        <v>3250</v>
      </c>
      <c r="AG1706" t="s">
        <v>3250</v>
      </c>
      <c r="AH1706" t="s">
        <v>3250</v>
      </c>
      <c r="AI1706" t="s">
        <v>3250</v>
      </c>
      <c r="AJ1706" t="s">
        <v>3250</v>
      </c>
      <c r="AL1706" t="s">
        <v>3250</v>
      </c>
      <c r="AM1706" t="s">
        <v>3250</v>
      </c>
      <c r="AN1706" t="s">
        <v>3250</v>
      </c>
      <c r="AO1706" t="s">
        <v>3250</v>
      </c>
      <c r="AR1706" t="s">
        <v>5718</v>
      </c>
      <c r="AS1706" t="s">
        <v>3250</v>
      </c>
      <c r="AT1706" t="s">
        <v>3250</v>
      </c>
      <c r="AU1706" t="s">
        <v>3250</v>
      </c>
      <c r="AV1706" t="s">
        <v>3250</v>
      </c>
      <c r="AW1706" t="s">
        <v>3250</v>
      </c>
      <c r="AX1706" t="s">
        <v>3250</v>
      </c>
      <c r="AY1706" t="s">
        <v>3250</v>
      </c>
      <c r="AZ1706" t="s">
        <v>3250</v>
      </c>
      <c r="BA1706" t="s">
        <v>3250</v>
      </c>
      <c r="BB1706" t="s">
        <v>3250</v>
      </c>
      <c r="BC1706" t="s">
        <v>3250</v>
      </c>
      <c r="BE1706" t="s">
        <v>3250</v>
      </c>
      <c r="BF1706" t="s">
        <v>3250</v>
      </c>
      <c r="BG1706" t="s">
        <v>3250</v>
      </c>
      <c r="BH1706" t="s">
        <v>3250</v>
      </c>
      <c r="BI1706" t="s">
        <v>3250</v>
      </c>
      <c r="BK1706" t="s">
        <v>3250</v>
      </c>
      <c r="BL1706" t="s">
        <v>3250</v>
      </c>
      <c r="BM1706" t="s">
        <v>3250</v>
      </c>
      <c r="BN1706" t="s">
        <v>3250</v>
      </c>
      <c r="BP1706">
        <v>1</v>
      </c>
      <c r="BQ1706">
        <v>11</v>
      </c>
      <c r="BR1706" t="s">
        <v>1574</v>
      </c>
      <c r="BS1706" t="s">
        <v>3252</v>
      </c>
      <c r="BV1706">
        <v>0</v>
      </c>
      <c r="BW1706">
        <v>0</v>
      </c>
      <c r="BX1706">
        <v>0</v>
      </c>
      <c r="BY1706">
        <v>0</v>
      </c>
      <c r="BZ1706">
        <v>0</v>
      </c>
      <c r="CA1706">
        <v>0</v>
      </c>
      <c r="CB1706">
        <v>0</v>
      </c>
      <c r="CC1706">
        <v>0</v>
      </c>
      <c r="CD1706">
        <v>0</v>
      </c>
      <c r="CE1706" t="s">
        <v>3108</v>
      </c>
      <c r="CF1706" t="s">
        <v>3108</v>
      </c>
      <c r="CG1706" t="s">
        <v>3108</v>
      </c>
      <c r="CH1706" t="s">
        <v>3108</v>
      </c>
    </row>
    <row r="1707" spans="1:86" x14ac:dyDescent="0.2">
      <c r="A1707" t="s">
        <v>5722</v>
      </c>
      <c r="B1707" t="s">
        <v>5722</v>
      </c>
      <c r="C1707">
        <v>54825</v>
      </c>
      <c r="D1707">
        <v>1830</v>
      </c>
      <c r="E1707" t="s">
        <v>5717</v>
      </c>
      <c r="F1707" t="s">
        <v>3249</v>
      </c>
      <c r="G1707" t="s">
        <v>3249</v>
      </c>
      <c r="H1707" t="s">
        <v>3250</v>
      </c>
      <c r="I1707" t="s">
        <v>3250</v>
      </c>
      <c r="J1707" t="s">
        <v>3250</v>
      </c>
      <c r="K1707" t="s">
        <v>3250</v>
      </c>
      <c r="L1707">
        <v>1200</v>
      </c>
      <c r="M1707" t="s">
        <v>2368</v>
      </c>
      <c r="N1707">
        <v>1204</v>
      </c>
      <c r="O1707" t="s">
        <v>1574</v>
      </c>
      <c r="P1707" t="s">
        <v>3108</v>
      </c>
      <c r="Q1707" t="s">
        <v>3249</v>
      </c>
      <c r="R1707" t="s">
        <v>3249</v>
      </c>
      <c r="S1707" t="s">
        <v>472</v>
      </c>
      <c r="T1707" t="s">
        <v>3251</v>
      </c>
      <c r="U1707">
        <v>120</v>
      </c>
      <c r="V1707" t="s">
        <v>599</v>
      </c>
      <c r="W1707">
        <v>120</v>
      </c>
      <c r="X1707" t="s">
        <v>599</v>
      </c>
      <c r="Y1707" t="s">
        <v>5314</v>
      </c>
      <c r="Z1707" t="s">
        <v>5308</v>
      </c>
      <c r="AA1707" t="s">
        <v>5314</v>
      </c>
      <c r="AB1707" t="s">
        <v>5308</v>
      </c>
      <c r="AC1707" t="s">
        <v>3250</v>
      </c>
      <c r="AD1707" t="s">
        <v>3250</v>
      </c>
      <c r="AE1707" t="s">
        <v>3250</v>
      </c>
      <c r="AF1707" t="s">
        <v>3250</v>
      </c>
      <c r="AG1707" t="s">
        <v>3250</v>
      </c>
      <c r="AH1707" t="s">
        <v>3250</v>
      </c>
      <c r="AI1707" t="s">
        <v>3250</v>
      </c>
      <c r="AJ1707" t="s">
        <v>3250</v>
      </c>
      <c r="AL1707" t="s">
        <v>3250</v>
      </c>
      <c r="AM1707" t="s">
        <v>3250</v>
      </c>
      <c r="AN1707" t="s">
        <v>3250</v>
      </c>
      <c r="AO1707" t="s">
        <v>3250</v>
      </c>
      <c r="AR1707" t="s">
        <v>5718</v>
      </c>
      <c r="AS1707" t="s">
        <v>3250</v>
      </c>
      <c r="AT1707" t="s">
        <v>3250</v>
      </c>
      <c r="AU1707" t="s">
        <v>3250</v>
      </c>
      <c r="AV1707" t="s">
        <v>3250</v>
      </c>
      <c r="AW1707" t="s">
        <v>3250</v>
      </c>
      <c r="AX1707" t="s">
        <v>3250</v>
      </c>
      <c r="AY1707" t="s">
        <v>3250</v>
      </c>
      <c r="AZ1707" t="s">
        <v>3250</v>
      </c>
      <c r="BA1707" t="s">
        <v>3250</v>
      </c>
      <c r="BB1707" t="s">
        <v>3250</v>
      </c>
      <c r="BC1707" t="s">
        <v>3250</v>
      </c>
      <c r="BE1707" t="s">
        <v>3250</v>
      </c>
      <c r="BF1707" t="s">
        <v>3250</v>
      </c>
      <c r="BG1707" t="s">
        <v>3250</v>
      </c>
      <c r="BH1707" t="s">
        <v>3250</v>
      </c>
      <c r="BI1707" t="s">
        <v>3250</v>
      </c>
      <c r="BK1707" t="s">
        <v>3250</v>
      </c>
      <c r="BL1707" t="s">
        <v>3250</v>
      </c>
      <c r="BM1707" t="s">
        <v>3250</v>
      </c>
      <c r="BN1707" t="s">
        <v>3250</v>
      </c>
      <c r="BP1707">
        <v>1</v>
      </c>
      <c r="BQ1707">
        <v>11</v>
      </c>
      <c r="BR1707" t="s">
        <v>1574</v>
      </c>
      <c r="BS1707" t="s">
        <v>3252</v>
      </c>
      <c r="BV1707">
        <v>0</v>
      </c>
      <c r="BW1707">
        <v>0</v>
      </c>
      <c r="BX1707">
        <v>0</v>
      </c>
      <c r="BY1707">
        <v>0</v>
      </c>
      <c r="BZ1707">
        <v>0</v>
      </c>
      <c r="CA1707">
        <v>0</v>
      </c>
      <c r="CB1707">
        <v>0</v>
      </c>
      <c r="CC1707">
        <v>0</v>
      </c>
      <c r="CD1707">
        <v>0</v>
      </c>
      <c r="CE1707" t="s">
        <v>3108</v>
      </c>
      <c r="CF1707" t="s">
        <v>3108</v>
      </c>
      <c r="CG1707" t="s">
        <v>3108</v>
      </c>
      <c r="CH1707" t="s">
        <v>3108</v>
      </c>
    </row>
    <row r="1708" spans="1:86" x14ac:dyDescent="0.2">
      <c r="A1708" t="s">
        <v>5723</v>
      </c>
      <c r="B1708" t="s">
        <v>5723</v>
      </c>
      <c r="C1708">
        <v>54826</v>
      </c>
      <c r="D1708">
        <v>1831</v>
      </c>
      <c r="E1708" t="s">
        <v>5115</v>
      </c>
      <c r="F1708" t="s">
        <v>3249</v>
      </c>
      <c r="G1708" t="s">
        <v>3249</v>
      </c>
      <c r="H1708" t="s">
        <v>3250</v>
      </c>
      <c r="I1708" t="s">
        <v>3250</v>
      </c>
      <c r="J1708" t="s">
        <v>3250</v>
      </c>
      <c r="K1708" t="s">
        <v>3250</v>
      </c>
      <c r="L1708">
        <v>1200</v>
      </c>
      <c r="M1708" t="s">
        <v>2368</v>
      </c>
      <c r="N1708">
        <v>1204</v>
      </c>
      <c r="O1708" t="s">
        <v>1574</v>
      </c>
      <c r="P1708" t="s">
        <v>3108</v>
      </c>
      <c r="Q1708" t="s">
        <v>3249</v>
      </c>
      <c r="R1708" t="s">
        <v>3249</v>
      </c>
      <c r="S1708" t="s">
        <v>472</v>
      </c>
      <c r="T1708" t="s">
        <v>3251</v>
      </c>
      <c r="U1708">
        <v>120</v>
      </c>
      <c r="V1708" t="s">
        <v>599</v>
      </c>
      <c r="W1708">
        <v>120</v>
      </c>
      <c r="X1708" t="s">
        <v>599</v>
      </c>
      <c r="Y1708" t="s">
        <v>2755</v>
      </c>
      <c r="Z1708" t="s">
        <v>5308</v>
      </c>
      <c r="AA1708" t="s">
        <v>2755</v>
      </c>
      <c r="AB1708" t="s">
        <v>5308</v>
      </c>
      <c r="AC1708" t="s">
        <v>3250</v>
      </c>
      <c r="AD1708" t="s">
        <v>3250</v>
      </c>
      <c r="AE1708" t="s">
        <v>3250</v>
      </c>
      <c r="AF1708" t="s">
        <v>3250</v>
      </c>
      <c r="AG1708" t="s">
        <v>3250</v>
      </c>
      <c r="AH1708" t="s">
        <v>3250</v>
      </c>
      <c r="AI1708" t="s">
        <v>3250</v>
      </c>
      <c r="AJ1708" t="s">
        <v>3250</v>
      </c>
      <c r="AL1708" t="s">
        <v>3250</v>
      </c>
      <c r="AM1708" t="s">
        <v>3250</v>
      </c>
      <c r="AN1708" t="s">
        <v>3250</v>
      </c>
      <c r="AO1708" t="s">
        <v>3250</v>
      </c>
      <c r="AR1708" t="s">
        <v>472</v>
      </c>
      <c r="AS1708" t="s">
        <v>3250</v>
      </c>
      <c r="AT1708" t="s">
        <v>3250</v>
      </c>
      <c r="AU1708" t="s">
        <v>3250</v>
      </c>
      <c r="AV1708" t="s">
        <v>3250</v>
      </c>
      <c r="AW1708" t="s">
        <v>3250</v>
      </c>
      <c r="AX1708" t="s">
        <v>3250</v>
      </c>
      <c r="AY1708" t="s">
        <v>3250</v>
      </c>
      <c r="AZ1708" t="s">
        <v>3250</v>
      </c>
      <c r="BA1708" t="s">
        <v>3250</v>
      </c>
      <c r="BB1708" t="s">
        <v>3250</v>
      </c>
      <c r="BC1708" t="s">
        <v>3250</v>
      </c>
      <c r="BE1708" t="s">
        <v>3250</v>
      </c>
      <c r="BF1708" t="s">
        <v>3250</v>
      </c>
      <c r="BG1708" t="s">
        <v>3250</v>
      </c>
      <c r="BH1708" t="s">
        <v>3250</v>
      </c>
      <c r="BI1708" t="s">
        <v>3250</v>
      </c>
      <c r="BK1708" t="s">
        <v>3250</v>
      </c>
      <c r="BL1708" t="s">
        <v>3250</v>
      </c>
      <c r="BM1708" t="s">
        <v>3250</v>
      </c>
      <c r="BN1708" t="s">
        <v>3250</v>
      </c>
      <c r="BP1708">
        <v>1</v>
      </c>
      <c r="BQ1708">
        <v>11</v>
      </c>
      <c r="BR1708" t="s">
        <v>1574</v>
      </c>
      <c r="BS1708" t="s">
        <v>3252</v>
      </c>
      <c r="BV1708">
        <v>0</v>
      </c>
      <c r="BW1708">
        <v>0</v>
      </c>
      <c r="BX1708">
        <v>0</v>
      </c>
      <c r="BY1708">
        <v>0</v>
      </c>
      <c r="BZ1708">
        <v>1817000</v>
      </c>
      <c r="CA1708">
        <v>0</v>
      </c>
      <c r="CB1708">
        <v>0</v>
      </c>
      <c r="CC1708">
        <v>0</v>
      </c>
      <c r="CD1708">
        <v>0</v>
      </c>
      <c r="CE1708" t="s">
        <v>3108</v>
      </c>
      <c r="CF1708" t="s">
        <v>3108</v>
      </c>
      <c r="CG1708" t="s">
        <v>3108</v>
      </c>
      <c r="CH1708" t="s">
        <v>3108</v>
      </c>
    </row>
    <row r="1709" spans="1:86" x14ac:dyDescent="0.2">
      <c r="A1709" t="s">
        <v>5724</v>
      </c>
      <c r="B1709" t="s">
        <v>5724</v>
      </c>
      <c r="C1709">
        <v>54827</v>
      </c>
      <c r="D1709">
        <v>1832</v>
      </c>
      <c r="E1709" t="s">
        <v>5115</v>
      </c>
      <c r="F1709" t="s">
        <v>3249</v>
      </c>
      <c r="G1709" t="s">
        <v>3249</v>
      </c>
      <c r="H1709" t="s">
        <v>3250</v>
      </c>
      <c r="I1709" t="s">
        <v>3250</v>
      </c>
      <c r="J1709" t="s">
        <v>3250</v>
      </c>
      <c r="K1709" t="s">
        <v>3250</v>
      </c>
      <c r="L1709">
        <v>1200</v>
      </c>
      <c r="M1709" t="s">
        <v>2368</v>
      </c>
      <c r="N1709">
        <v>1204</v>
      </c>
      <c r="O1709" t="s">
        <v>1574</v>
      </c>
      <c r="P1709" t="s">
        <v>3108</v>
      </c>
      <c r="Q1709" t="s">
        <v>3249</v>
      </c>
      <c r="R1709" t="s">
        <v>3249</v>
      </c>
      <c r="S1709" t="s">
        <v>472</v>
      </c>
      <c r="T1709" t="s">
        <v>3251</v>
      </c>
      <c r="U1709">
        <v>120</v>
      </c>
      <c r="V1709" t="s">
        <v>599</v>
      </c>
      <c r="W1709">
        <v>120</v>
      </c>
      <c r="X1709" t="s">
        <v>599</v>
      </c>
      <c r="Y1709" t="s">
        <v>2755</v>
      </c>
      <c r="Z1709" t="s">
        <v>5308</v>
      </c>
      <c r="AA1709" t="s">
        <v>2755</v>
      </c>
      <c r="AB1709" t="s">
        <v>5308</v>
      </c>
      <c r="AC1709" t="s">
        <v>3250</v>
      </c>
      <c r="AD1709" t="s">
        <v>3250</v>
      </c>
      <c r="AE1709" t="s">
        <v>3250</v>
      </c>
      <c r="AF1709" t="s">
        <v>3250</v>
      </c>
      <c r="AG1709" t="s">
        <v>3250</v>
      </c>
      <c r="AH1709" t="s">
        <v>3250</v>
      </c>
      <c r="AI1709" t="s">
        <v>3250</v>
      </c>
      <c r="AJ1709" t="s">
        <v>3250</v>
      </c>
      <c r="AL1709" t="s">
        <v>3250</v>
      </c>
      <c r="AM1709" t="s">
        <v>3250</v>
      </c>
      <c r="AN1709" t="s">
        <v>3250</v>
      </c>
      <c r="AO1709" t="s">
        <v>3250</v>
      </c>
      <c r="AR1709" t="s">
        <v>472</v>
      </c>
      <c r="AS1709" t="s">
        <v>3250</v>
      </c>
      <c r="AT1709" t="s">
        <v>3250</v>
      </c>
      <c r="AU1709" t="s">
        <v>3250</v>
      </c>
      <c r="AV1709" t="s">
        <v>3250</v>
      </c>
      <c r="AW1709" t="s">
        <v>3250</v>
      </c>
      <c r="AX1709" t="s">
        <v>3250</v>
      </c>
      <c r="AY1709" t="s">
        <v>3250</v>
      </c>
      <c r="AZ1709" t="s">
        <v>3250</v>
      </c>
      <c r="BA1709" t="s">
        <v>3250</v>
      </c>
      <c r="BB1709" t="s">
        <v>3250</v>
      </c>
      <c r="BC1709" t="s">
        <v>3250</v>
      </c>
      <c r="BE1709" t="s">
        <v>3250</v>
      </c>
      <c r="BF1709" t="s">
        <v>3250</v>
      </c>
      <c r="BG1709" t="s">
        <v>3250</v>
      </c>
      <c r="BH1709" t="s">
        <v>3250</v>
      </c>
      <c r="BI1709" t="s">
        <v>3250</v>
      </c>
      <c r="BK1709" t="s">
        <v>3250</v>
      </c>
      <c r="BL1709" t="s">
        <v>3250</v>
      </c>
      <c r="BM1709" t="s">
        <v>3250</v>
      </c>
      <c r="BN1709" t="s">
        <v>3250</v>
      </c>
      <c r="BP1709">
        <v>1</v>
      </c>
      <c r="BQ1709">
        <v>11</v>
      </c>
      <c r="BR1709" t="s">
        <v>1574</v>
      </c>
      <c r="BS1709" t="s">
        <v>3252</v>
      </c>
      <c r="BV1709">
        <v>0</v>
      </c>
      <c r="BW1709">
        <v>0</v>
      </c>
      <c r="BX1709">
        <v>0</v>
      </c>
      <c r="BY1709">
        <v>0</v>
      </c>
      <c r="BZ1709">
        <v>0</v>
      </c>
      <c r="CA1709">
        <v>0</v>
      </c>
      <c r="CB1709">
        <v>0</v>
      </c>
      <c r="CC1709">
        <v>0</v>
      </c>
      <c r="CD1709">
        <v>0</v>
      </c>
      <c r="CE1709" t="s">
        <v>3108</v>
      </c>
      <c r="CF1709" t="s">
        <v>3108</v>
      </c>
      <c r="CG1709" t="s">
        <v>3108</v>
      </c>
      <c r="CH1709" t="s">
        <v>3108</v>
      </c>
    </row>
    <row r="1710" spans="1:86" x14ac:dyDescent="0.2">
      <c r="A1710" t="s">
        <v>5725</v>
      </c>
      <c r="B1710" t="s">
        <v>5725</v>
      </c>
      <c r="C1710">
        <v>54828</v>
      </c>
      <c r="D1710">
        <v>1833</v>
      </c>
      <c r="E1710" t="s">
        <v>5726</v>
      </c>
      <c r="F1710" t="s">
        <v>3249</v>
      </c>
      <c r="G1710" t="s">
        <v>3249</v>
      </c>
      <c r="H1710" t="s">
        <v>3250</v>
      </c>
      <c r="I1710" t="s">
        <v>3250</v>
      </c>
      <c r="J1710" t="s">
        <v>3250</v>
      </c>
      <c r="K1710" t="s">
        <v>3250</v>
      </c>
      <c r="L1710">
        <v>1200</v>
      </c>
      <c r="M1710" t="s">
        <v>2368</v>
      </c>
      <c r="N1710">
        <v>1204</v>
      </c>
      <c r="O1710" t="s">
        <v>1574</v>
      </c>
      <c r="P1710" t="s">
        <v>2805</v>
      </c>
      <c r="Q1710">
        <v>2080</v>
      </c>
      <c r="R1710" t="s">
        <v>423</v>
      </c>
      <c r="S1710" t="s">
        <v>427</v>
      </c>
      <c r="T1710" t="s">
        <v>3251</v>
      </c>
      <c r="U1710">
        <v>270</v>
      </c>
      <c r="V1710" t="s">
        <v>4826</v>
      </c>
      <c r="W1710">
        <v>270</v>
      </c>
      <c r="X1710" t="s">
        <v>814</v>
      </c>
      <c r="Y1710" t="s">
        <v>3250</v>
      </c>
      <c r="Z1710" t="s">
        <v>3250</v>
      </c>
      <c r="AA1710" t="s">
        <v>3108</v>
      </c>
      <c r="AB1710" t="s">
        <v>3108</v>
      </c>
      <c r="AC1710" t="s">
        <v>3250</v>
      </c>
      <c r="AD1710" t="s">
        <v>3250</v>
      </c>
      <c r="AE1710" t="s">
        <v>3250</v>
      </c>
      <c r="AF1710" t="s">
        <v>3250</v>
      </c>
      <c r="AG1710">
        <v>1370</v>
      </c>
      <c r="AH1710" t="s">
        <v>2325</v>
      </c>
      <c r="AI1710">
        <v>1370</v>
      </c>
      <c r="AJ1710" t="s">
        <v>2325</v>
      </c>
      <c r="AL1710" t="s">
        <v>3250</v>
      </c>
      <c r="AM1710" t="s">
        <v>3250</v>
      </c>
      <c r="AN1710" t="s">
        <v>3250</v>
      </c>
      <c r="AO1710" t="s">
        <v>3250</v>
      </c>
      <c r="AS1710">
        <v>1430</v>
      </c>
      <c r="AT1710">
        <v>1430</v>
      </c>
      <c r="AU1710" t="s">
        <v>2329</v>
      </c>
      <c r="AV1710" t="s">
        <v>2329</v>
      </c>
      <c r="AW1710" t="s">
        <v>3250</v>
      </c>
      <c r="AX1710" t="s">
        <v>3250</v>
      </c>
      <c r="AY1710" t="s">
        <v>3250</v>
      </c>
      <c r="AZ1710" t="s">
        <v>3250</v>
      </c>
      <c r="BA1710" t="s">
        <v>3250</v>
      </c>
      <c r="BB1710" t="s">
        <v>3250</v>
      </c>
      <c r="BC1710" t="s">
        <v>3250</v>
      </c>
      <c r="BE1710" t="s">
        <v>3250</v>
      </c>
      <c r="BF1710" t="s">
        <v>3250</v>
      </c>
      <c r="BG1710" t="s">
        <v>3250</v>
      </c>
      <c r="BH1710" t="s">
        <v>3250</v>
      </c>
      <c r="BI1710" t="s">
        <v>3250</v>
      </c>
      <c r="BK1710" t="s">
        <v>3250</v>
      </c>
      <c r="BL1710" t="s">
        <v>3250</v>
      </c>
      <c r="BM1710" t="s">
        <v>3250</v>
      </c>
      <c r="BN1710" t="s">
        <v>3250</v>
      </c>
      <c r="BP1710">
        <v>1</v>
      </c>
      <c r="BQ1710">
        <v>11</v>
      </c>
      <c r="BR1710" t="s">
        <v>1574</v>
      </c>
      <c r="BS1710" t="s">
        <v>3252</v>
      </c>
      <c r="BV1710">
        <v>0</v>
      </c>
      <c r="BW1710">
        <v>0</v>
      </c>
      <c r="BX1710">
        <v>0</v>
      </c>
      <c r="BY1710">
        <v>0</v>
      </c>
      <c r="BZ1710">
        <v>0</v>
      </c>
      <c r="CA1710">
        <v>0</v>
      </c>
      <c r="CB1710">
        <v>0</v>
      </c>
      <c r="CC1710">
        <v>0</v>
      </c>
      <c r="CD1710">
        <v>0</v>
      </c>
      <c r="CE1710" t="s">
        <v>3108</v>
      </c>
      <c r="CF1710" t="s">
        <v>3108</v>
      </c>
      <c r="CG1710" t="s">
        <v>3108</v>
      </c>
      <c r="CH1710" t="s">
        <v>3108</v>
      </c>
    </row>
    <row r="1711" spans="1:86" x14ac:dyDescent="0.2">
      <c r="A1711" t="s">
        <v>5727</v>
      </c>
      <c r="B1711" t="s">
        <v>5727</v>
      </c>
      <c r="C1711">
        <v>54829</v>
      </c>
      <c r="D1711">
        <v>1834</v>
      </c>
      <c r="E1711" t="s">
        <v>4250</v>
      </c>
      <c r="F1711" t="s">
        <v>3249</v>
      </c>
      <c r="G1711" t="s">
        <v>3249</v>
      </c>
      <c r="H1711" t="s">
        <v>3250</v>
      </c>
      <c r="I1711" t="s">
        <v>3250</v>
      </c>
      <c r="J1711" t="s">
        <v>3250</v>
      </c>
      <c r="K1711" t="s">
        <v>3250</v>
      </c>
      <c r="L1711">
        <v>3200</v>
      </c>
      <c r="M1711" t="s">
        <v>128</v>
      </c>
      <c r="N1711">
        <v>3205</v>
      </c>
      <c r="O1711" t="s">
        <v>629</v>
      </c>
      <c r="P1711" t="s">
        <v>2805</v>
      </c>
      <c r="Q1711">
        <v>2080</v>
      </c>
      <c r="R1711" t="s">
        <v>423</v>
      </c>
      <c r="S1711" t="s">
        <v>427</v>
      </c>
      <c r="T1711" t="s">
        <v>3251</v>
      </c>
      <c r="U1711">
        <v>240</v>
      </c>
      <c r="V1711" t="s">
        <v>4251</v>
      </c>
      <c r="W1711">
        <v>240</v>
      </c>
      <c r="X1711" t="s">
        <v>1323</v>
      </c>
      <c r="Y1711" t="s">
        <v>3250</v>
      </c>
      <c r="Z1711" t="s">
        <v>3250</v>
      </c>
      <c r="AA1711" t="s">
        <v>3108</v>
      </c>
      <c r="AB1711" t="s">
        <v>3108</v>
      </c>
      <c r="AC1711" t="s">
        <v>3250</v>
      </c>
      <c r="AD1711" t="s">
        <v>3250</v>
      </c>
      <c r="AE1711" t="s">
        <v>3250</v>
      </c>
      <c r="AF1711" t="s">
        <v>3250</v>
      </c>
      <c r="AG1711" t="s">
        <v>3250</v>
      </c>
      <c r="AH1711" t="s">
        <v>3250</v>
      </c>
      <c r="AI1711" t="s">
        <v>3250</v>
      </c>
      <c r="AJ1711" t="s">
        <v>3250</v>
      </c>
      <c r="AK1711">
        <v>110</v>
      </c>
      <c r="AL1711">
        <v>241</v>
      </c>
      <c r="AM1711" t="s">
        <v>1455</v>
      </c>
      <c r="AN1711">
        <v>241</v>
      </c>
      <c r="AO1711" t="s">
        <v>1455</v>
      </c>
      <c r="AS1711">
        <v>120</v>
      </c>
      <c r="AT1711">
        <v>120</v>
      </c>
      <c r="AU1711" t="s">
        <v>629</v>
      </c>
      <c r="AV1711" t="s">
        <v>629</v>
      </c>
      <c r="AW1711" t="s">
        <v>3250</v>
      </c>
      <c r="AX1711" t="s">
        <v>3250</v>
      </c>
      <c r="AY1711" t="s">
        <v>3250</v>
      </c>
      <c r="AZ1711" t="s">
        <v>3250</v>
      </c>
      <c r="BA1711" t="s">
        <v>3250</v>
      </c>
      <c r="BB1711" t="s">
        <v>3250</v>
      </c>
      <c r="BC1711" t="s">
        <v>3250</v>
      </c>
      <c r="BE1711" t="s">
        <v>3250</v>
      </c>
      <c r="BF1711" t="s">
        <v>3250</v>
      </c>
      <c r="BG1711" t="s">
        <v>3250</v>
      </c>
      <c r="BH1711" t="s">
        <v>3250</v>
      </c>
      <c r="BI1711" t="s">
        <v>3250</v>
      </c>
      <c r="BK1711" t="s">
        <v>3250</v>
      </c>
      <c r="BL1711" t="s">
        <v>3250</v>
      </c>
      <c r="BM1711" t="s">
        <v>3250</v>
      </c>
      <c r="BN1711" t="s">
        <v>3250</v>
      </c>
      <c r="BP1711">
        <v>7</v>
      </c>
      <c r="BQ1711">
        <v>71</v>
      </c>
      <c r="BR1711" t="s">
        <v>629</v>
      </c>
      <c r="BS1711" t="s">
        <v>4212</v>
      </c>
      <c r="BV1711">
        <v>0</v>
      </c>
      <c r="BW1711">
        <v>0</v>
      </c>
      <c r="BX1711">
        <v>0</v>
      </c>
      <c r="BY1711">
        <v>0</v>
      </c>
      <c r="BZ1711">
        <v>0</v>
      </c>
      <c r="CA1711">
        <v>0</v>
      </c>
      <c r="CB1711">
        <v>0</v>
      </c>
      <c r="CC1711">
        <v>0</v>
      </c>
      <c r="CD1711">
        <v>0</v>
      </c>
      <c r="CE1711" t="s">
        <v>3108</v>
      </c>
      <c r="CF1711" t="s">
        <v>3108</v>
      </c>
      <c r="CG1711" t="s">
        <v>3108</v>
      </c>
      <c r="CH1711" t="s">
        <v>3108</v>
      </c>
    </row>
    <row r="1712" spans="1:86" x14ac:dyDescent="0.2">
      <c r="A1712" t="s">
        <v>5728</v>
      </c>
      <c r="B1712" t="s">
        <v>5728</v>
      </c>
      <c r="C1712">
        <v>54830</v>
      </c>
      <c r="D1712">
        <v>1835</v>
      </c>
      <c r="E1712" t="s">
        <v>4208</v>
      </c>
      <c r="F1712">
        <v>2000</v>
      </c>
      <c r="G1712" t="s">
        <v>408</v>
      </c>
      <c r="H1712" t="s">
        <v>4209</v>
      </c>
      <c r="I1712" t="s">
        <v>947</v>
      </c>
      <c r="J1712">
        <v>2011</v>
      </c>
      <c r="K1712" t="s">
        <v>947</v>
      </c>
      <c r="L1712">
        <v>1200</v>
      </c>
      <c r="M1712" t="s">
        <v>2368</v>
      </c>
      <c r="N1712">
        <v>1204</v>
      </c>
      <c r="O1712" t="s">
        <v>1574</v>
      </c>
      <c r="P1712" t="s">
        <v>3108</v>
      </c>
      <c r="Q1712" t="s">
        <v>3249</v>
      </c>
      <c r="R1712" t="s">
        <v>3249</v>
      </c>
      <c r="S1712" t="s">
        <v>810</v>
      </c>
      <c r="T1712" t="s">
        <v>2754</v>
      </c>
      <c r="U1712" t="s">
        <v>3250</v>
      </c>
      <c r="V1712" t="s">
        <v>3250</v>
      </c>
      <c r="W1712" t="s">
        <v>3250</v>
      </c>
      <c r="X1712" t="s">
        <v>3250</v>
      </c>
      <c r="Y1712" t="s">
        <v>3250</v>
      </c>
      <c r="Z1712" t="s">
        <v>3250</v>
      </c>
      <c r="AA1712" t="s">
        <v>3108</v>
      </c>
      <c r="AB1712" t="s">
        <v>3108</v>
      </c>
      <c r="AC1712" t="s">
        <v>3250</v>
      </c>
      <c r="AD1712" t="s">
        <v>3250</v>
      </c>
      <c r="AE1712" t="s">
        <v>3250</v>
      </c>
      <c r="AF1712" t="s">
        <v>3250</v>
      </c>
      <c r="AG1712" t="s">
        <v>3250</v>
      </c>
      <c r="AH1712" t="s">
        <v>3250</v>
      </c>
      <c r="AI1712" t="s">
        <v>3250</v>
      </c>
      <c r="AJ1712" t="s">
        <v>3250</v>
      </c>
      <c r="AL1712" t="s">
        <v>3250</v>
      </c>
      <c r="AM1712" t="s">
        <v>3250</v>
      </c>
      <c r="AN1712" t="s">
        <v>3250</v>
      </c>
      <c r="AO1712" t="s">
        <v>3250</v>
      </c>
      <c r="AS1712" t="s">
        <v>3250</v>
      </c>
      <c r="AT1712" t="s">
        <v>3250</v>
      </c>
      <c r="AU1712" t="s">
        <v>3250</v>
      </c>
      <c r="AV1712" t="s">
        <v>3250</v>
      </c>
      <c r="AW1712" t="s">
        <v>3250</v>
      </c>
      <c r="AX1712" t="s">
        <v>3250</v>
      </c>
      <c r="AY1712" t="s">
        <v>3250</v>
      </c>
      <c r="AZ1712" t="s">
        <v>3250</v>
      </c>
      <c r="BA1712" t="s">
        <v>3250</v>
      </c>
      <c r="BB1712" t="s">
        <v>3250</v>
      </c>
      <c r="BC1712" t="s">
        <v>3250</v>
      </c>
      <c r="BE1712" t="s">
        <v>3250</v>
      </c>
      <c r="BF1712" t="s">
        <v>3250</v>
      </c>
      <c r="BG1712" t="s">
        <v>3250</v>
      </c>
      <c r="BH1712" t="s">
        <v>3250</v>
      </c>
      <c r="BI1712" t="s">
        <v>3250</v>
      </c>
      <c r="BK1712" t="s">
        <v>3250</v>
      </c>
      <c r="BL1712" t="s">
        <v>3250</v>
      </c>
      <c r="BM1712" t="s">
        <v>3250</v>
      </c>
      <c r="BN1712" t="s">
        <v>3250</v>
      </c>
      <c r="BO1712" t="s">
        <v>2916</v>
      </c>
      <c r="BP1712">
        <v>1</v>
      </c>
      <c r="BQ1712">
        <v>11</v>
      </c>
      <c r="BR1712" t="s">
        <v>1574</v>
      </c>
      <c r="BS1712" t="s">
        <v>3252</v>
      </c>
      <c r="BV1712">
        <v>10896</v>
      </c>
      <c r="BW1712">
        <v>0</v>
      </c>
      <c r="BX1712">
        <v>0</v>
      </c>
      <c r="BY1712">
        <v>0</v>
      </c>
      <c r="BZ1712">
        <v>350000</v>
      </c>
      <c r="CA1712">
        <v>374500</v>
      </c>
      <c r="CB1712">
        <v>350000</v>
      </c>
      <c r="CC1712">
        <v>374500</v>
      </c>
      <c r="CD1712">
        <v>281978</v>
      </c>
      <c r="CE1712" t="s">
        <v>3108</v>
      </c>
      <c r="CF1712" t="s">
        <v>3108</v>
      </c>
      <c r="CG1712" t="s">
        <v>3108</v>
      </c>
      <c r="CH1712" t="s">
        <v>3108</v>
      </c>
    </row>
    <row r="1713" spans="1:86" x14ac:dyDescent="0.2">
      <c r="A1713" t="s">
        <v>5729</v>
      </c>
      <c r="B1713" t="s">
        <v>5729</v>
      </c>
      <c r="C1713">
        <v>54831</v>
      </c>
      <c r="D1713">
        <v>1836</v>
      </c>
      <c r="E1713" t="s">
        <v>5542</v>
      </c>
      <c r="F1713">
        <v>2000</v>
      </c>
      <c r="G1713" t="s">
        <v>408</v>
      </c>
      <c r="H1713" t="s">
        <v>4091</v>
      </c>
      <c r="I1713" t="s">
        <v>1940</v>
      </c>
      <c r="J1713">
        <v>2006</v>
      </c>
      <c r="K1713" t="s">
        <v>1940</v>
      </c>
      <c r="L1713">
        <v>3200</v>
      </c>
      <c r="M1713" t="s">
        <v>128</v>
      </c>
      <c r="N1713">
        <v>3205</v>
      </c>
      <c r="O1713" t="s">
        <v>629</v>
      </c>
      <c r="P1713" t="s">
        <v>3108</v>
      </c>
      <c r="Q1713" t="s">
        <v>3249</v>
      </c>
      <c r="R1713" t="s">
        <v>3249</v>
      </c>
      <c r="S1713" t="s">
        <v>810</v>
      </c>
      <c r="T1713" t="s">
        <v>2754</v>
      </c>
      <c r="U1713" t="s">
        <v>3250</v>
      </c>
      <c r="V1713" t="s">
        <v>3250</v>
      </c>
      <c r="W1713" t="s">
        <v>3250</v>
      </c>
      <c r="X1713" t="s">
        <v>3250</v>
      </c>
      <c r="Y1713" t="s">
        <v>3250</v>
      </c>
      <c r="Z1713" t="s">
        <v>3250</v>
      </c>
      <c r="AA1713" t="s">
        <v>3108</v>
      </c>
      <c r="AB1713" t="s">
        <v>3108</v>
      </c>
      <c r="AC1713" t="s">
        <v>3250</v>
      </c>
      <c r="AD1713" t="s">
        <v>3250</v>
      </c>
      <c r="AE1713" t="s">
        <v>3250</v>
      </c>
      <c r="AF1713" t="s">
        <v>3250</v>
      </c>
      <c r="AG1713" t="s">
        <v>3250</v>
      </c>
      <c r="AH1713" t="s">
        <v>3250</v>
      </c>
      <c r="AI1713" t="s">
        <v>3250</v>
      </c>
      <c r="AJ1713" t="s">
        <v>3250</v>
      </c>
      <c r="AL1713" t="s">
        <v>3250</v>
      </c>
      <c r="AM1713" t="s">
        <v>3250</v>
      </c>
      <c r="AN1713" t="s">
        <v>3250</v>
      </c>
      <c r="AO1713" t="s">
        <v>3250</v>
      </c>
      <c r="AS1713" t="s">
        <v>3250</v>
      </c>
      <c r="AT1713" t="s">
        <v>3250</v>
      </c>
      <c r="AU1713" t="s">
        <v>3250</v>
      </c>
      <c r="AV1713" t="s">
        <v>3250</v>
      </c>
      <c r="AW1713" t="s">
        <v>3250</v>
      </c>
      <c r="AX1713" t="s">
        <v>3250</v>
      </c>
      <c r="AY1713" t="s">
        <v>3250</v>
      </c>
      <c r="AZ1713" t="s">
        <v>3250</v>
      </c>
      <c r="BA1713" t="s">
        <v>3250</v>
      </c>
      <c r="BB1713" t="s">
        <v>3250</v>
      </c>
      <c r="BC1713" t="s">
        <v>3250</v>
      </c>
      <c r="BE1713" t="s">
        <v>3250</v>
      </c>
      <c r="BF1713" t="s">
        <v>3250</v>
      </c>
      <c r="BG1713" t="s">
        <v>3250</v>
      </c>
      <c r="BH1713" t="s">
        <v>3250</v>
      </c>
      <c r="BI1713" t="s">
        <v>3250</v>
      </c>
      <c r="BK1713" t="s">
        <v>3250</v>
      </c>
      <c r="BL1713" t="s">
        <v>3250</v>
      </c>
      <c r="BM1713" t="s">
        <v>3250</v>
      </c>
      <c r="BN1713" t="s">
        <v>3250</v>
      </c>
      <c r="BO1713" t="s">
        <v>2917</v>
      </c>
      <c r="BP1713">
        <v>7</v>
      </c>
      <c r="BQ1713">
        <v>71</v>
      </c>
      <c r="BR1713" t="s">
        <v>629</v>
      </c>
      <c r="BS1713" t="s">
        <v>4212</v>
      </c>
      <c r="BV1713">
        <v>0</v>
      </c>
      <c r="BW1713">
        <v>0</v>
      </c>
      <c r="BX1713">
        <v>0</v>
      </c>
      <c r="BY1713">
        <v>0</v>
      </c>
      <c r="BZ1713">
        <v>0</v>
      </c>
      <c r="CA1713">
        <v>0</v>
      </c>
      <c r="CB1713">
        <v>0</v>
      </c>
      <c r="CC1713">
        <v>0</v>
      </c>
      <c r="CD1713">
        <v>0</v>
      </c>
      <c r="CE1713" t="s">
        <v>3108</v>
      </c>
      <c r="CF1713" t="s">
        <v>3108</v>
      </c>
      <c r="CG1713" t="s">
        <v>3108</v>
      </c>
      <c r="CH1713" t="s">
        <v>3108</v>
      </c>
    </row>
    <row r="1714" spans="1:86" x14ac:dyDescent="0.2">
      <c r="A1714" t="s">
        <v>5730</v>
      </c>
      <c r="B1714" t="s">
        <v>5730</v>
      </c>
      <c r="C1714">
        <v>54832</v>
      </c>
      <c r="D1714">
        <v>1837</v>
      </c>
      <c r="E1714" t="s">
        <v>4208</v>
      </c>
      <c r="F1714">
        <v>2000</v>
      </c>
      <c r="G1714" t="s">
        <v>408</v>
      </c>
      <c r="H1714" t="s">
        <v>4209</v>
      </c>
      <c r="I1714" t="s">
        <v>947</v>
      </c>
      <c r="J1714">
        <v>2011</v>
      </c>
      <c r="K1714" t="s">
        <v>947</v>
      </c>
      <c r="L1714">
        <v>1100</v>
      </c>
      <c r="M1714" t="s">
        <v>119</v>
      </c>
      <c r="N1714">
        <v>1110</v>
      </c>
      <c r="O1714" t="s">
        <v>284</v>
      </c>
      <c r="P1714" t="s">
        <v>3108</v>
      </c>
      <c r="Q1714" t="s">
        <v>3249</v>
      </c>
      <c r="R1714" t="s">
        <v>3249</v>
      </c>
      <c r="S1714" t="s">
        <v>810</v>
      </c>
      <c r="T1714" t="s">
        <v>2754</v>
      </c>
      <c r="U1714" t="s">
        <v>3250</v>
      </c>
      <c r="V1714" t="s">
        <v>3250</v>
      </c>
      <c r="W1714" t="s">
        <v>3250</v>
      </c>
      <c r="X1714" t="s">
        <v>3250</v>
      </c>
      <c r="Y1714" t="s">
        <v>3250</v>
      </c>
      <c r="Z1714" t="s">
        <v>3250</v>
      </c>
      <c r="AA1714" t="s">
        <v>3108</v>
      </c>
      <c r="AB1714" t="s">
        <v>3108</v>
      </c>
      <c r="AC1714" t="s">
        <v>3250</v>
      </c>
      <c r="AD1714" t="s">
        <v>3250</v>
      </c>
      <c r="AE1714" t="s">
        <v>3250</v>
      </c>
      <c r="AF1714" t="s">
        <v>3250</v>
      </c>
      <c r="AG1714" t="s">
        <v>3250</v>
      </c>
      <c r="AH1714" t="s">
        <v>3250</v>
      </c>
      <c r="AI1714" t="s">
        <v>3250</v>
      </c>
      <c r="AJ1714" t="s">
        <v>3250</v>
      </c>
      <c r="AL1714" t="s">
        <v>3250</v>
      </c>
      <c r="AM1714" t="s">
        <v>3250</v>
      </c>
      <c r="AN1714" t="s">
        <v>3250</v>
      </c>
      <c r="AO1714" t="s">
        <v>3250</v>
      </c>
      <c r="AS1714" t="s">
        <v>3250</v>
      </c>
      <c r="AT1714" t="s">
        <v>3250</v>
      </c>
      <c r="AU1714" t="s">
        <v>3250</v>
      </c>
      <c r="AV1714" t="s">
        <v>3250</v>
      </c>
      <c r="AW1714" t="s">
        <v>3250</v>
      </c>
      <c r="AX1714" t="s">
        <v>3250</v>
      </c>
      <c r="AY1714" t="s">
        <v>3250</v>
      </c>
      <c r="AZ1714" t="s">
        <v>3250</v>
      </c>
      <c r="BA1714" t="s">
        <v>3250</v>
      </c>
      <c r="BB1714" t="s">
        <v>3250</v>
      </c>
      <c r="BC1714" t="s">
        <v>3250</v>
      </c>
      <c r="BE1714" t="s">
        <v>3250</v>
      </c>
      <c r="BF1714" t="s">
        <v>3250</v>
      </c>
      <c r="BG1714" t="s">
        <v>3250</v>
      </c>
      <c r="BH1714" t="s">
        <v>3250</v>
      </c>
      <c r="BI1714" t="s">
        <v>3250</v>
      </c>
      <c r="BK1714" t="s">
        <v>3250</v>
      </c>
      <c r="BL1714" t="s">
        <v>3250</v>
      </c>
      <c r="BM1714" t="s">
        <v>3250</v>
      </c>
      <c r="BN1714" t="s">
        <v>3250</v>
      </c>
      <c r="BO1714" t="s">
        <v>2916</v>
      </c>
      <c r="BP1714">
        <v>3</v>
      </c>
      <c r="BQ1714">
        <v>32</v>
      </c>
      <c r="BR1714" t="s">
        <v>284</v>
      </c>
      <c r="BS1714" t="s">
        <v>4381</v>
      </c>
      <c r="BV1714">
        <v>0</v>
      </c>
      <c r="BW1714">
        <v>0</v>
      </c>
      <c r="BX1714">
        <v>0</v>
      </c>
      <c r="BY1714">
        <v>0</v>
      </c>
      <c r="BZ1714">
        <v>0</v>
      </c>
      <c r="CA1714">
        <v>0</v>
      </c>
      <c r="CB1714">
        <v>0</v>
      </c>
      <c r="CC1714">
        <v>0</v>
      </c>
      <c r="CD1714">
        <v>69982</v>
      </c>
      <c r="CE1714" t="s">
        <v>3108</v>
      </c>
      <c r="CF1714" t="s">
        <v>3108</v>
      </c>
      <c r="CG1714" t="s">
        <v>3108</v>
      </c>
      <c r="CH1714" t="s">
        <v>3108</v>
      </c>
    </row>
    <row r="1715" spans="1:86" x14ac:dyDescent="0.2">
      <c r="A1715" t="s">
        <v>5731</v>
      </c>
      <c r="B1715" t="s">
        <v>5731</v>
      </c>
      <c r="C1715">
        <v>54833</v>
      </c>
      <c r="D1715">
        <v>1838</v>
      </c>
      <c r="E1715" t="s">
        <v>4010</v>
      </c>
      <c r="F1715">
        <v>2900</v>
      </c>
      <c r="G1715" t="s">
        <v>822</v>
      </c>
      <c r="H1715" t="s">
        <v>3108</v>
      </c>
      <c r="I1715" t="s">
        <v>3108</v>
      </c>
      <c r="J1715">
        <v>2904</v>
      </c>
      <c r="K1715" t="s">
        <v>1690</v>
      </c>
      <c r="L1715">
        <v>3200</v>
      </c>
      <c r="M1715" t="s">
        <v>128</v>
      </c>
      <c r="N1715">
        <v>3205</v>
      </c>
      <c r="O1715" t="s">
        <v>629</v>
      </c>
      <c r="P1715" t="s">
        <v>3108</v>
      </c>
      <c r="Q1715" t="s">
        <v>3249</v>
      </c>
      <c r="R1715" t="s">
        <v>3249</v>
      </c>
      <c r="S1715" t="s">
        <v>810</v>
      </c>
      <c r="T1715" t="s">
        <v>2754</v>
      </c>
      <c r="U1715" t="s">
        <v>3250</v>
      </c>
      <c r="V1715" t="s">
        <v>3250</v>
      </c>
      <c r="W1715" t="s">
        <v>3250</v>
      </c>
      <c r="X1715" t="s">
        <v>3250</v>
      </c>
      <c r="Y1715" t="s">
        <v>3250</v>
      </c>
      <c r="Z1715" t="s">
        <v>3250</v>
      </c>
      <c r="AA1715" t="s">
        <v>3108</v>
      </c>
      <c r="AB1715" t="s">
        <v>3108</v>
      </c>
      <c r="AC1715" t="s">
        <v>3250</v>
      </c>
      <c r="AD1715" t="s">
        <v>3250</v>
      </c>
      <c r="AE1715" t="s">
        <v>3250</v>
      </c>
      <c r="AF1715" t="s">
        <v>3250</v>
      </c>
      <c r="AG1715" t="s">
        <v>3250</v>
      </c>
      <c r="AH1715" t="s">
        <v>3250</v>
      </c>
      <c r="AI1715" t="s">
        <v>3250</v>
      </c>
      <c r="AJ1715" t="s">
        <v>3250</v>
      </c>
      <c r="AL1715" t="s">
        <v>3250</v>
      </c>
      <c r="AM1715" t="s">
        <v>3250</v>
      </c>
      <c r="AN1715" t="s">
        <v>3250</v>
      </c>
      <c r="AO1715" t="s">
        <v>3250</v>
      </c>
      <c r="AS1715" t="s">
        <v>3250</v>
      </c>
      <c r="AT1715" t="s">
        <v>3250</v>
      </c>
      <c r="AU1715" t="s">
        <v>3250</v>
      </c>
      <c r="AV1715" t="s">
        <v>3250</v>
      </c>
      <c r="AW1715" t="s">
        <v>3250</v>
      </c>
      <c r="AX1715" t="s">
        <v>3250</v>
      </c>
      <c r="AY1715">
        <v>120</v>
      </c>
      <c r="AZ1715" t="s">
        <v>629</v>
      </c>
      <c r="BA1715" t="s">
        <v>3250</v>
      </c>
      <c r="BB1715">
        <v>120</v>
      </c>
      <c r="BC1715" t="s">
        <v>629</v>
      </c>
      <c r="BE1715" t="s">
        <v>3250</v>
      </c>
      <c r="BF1715" t="s">
        <v>3250</v>
      </c>
      <c r="BG1715" t="s">
        <v>3250</v>
      </c>
      <c r="BH1715" t="s">
        <v>3250</v>
      </c>
      <c r="BI1715" t="s">
        <v>3250</v>
      </c>
      <c r="BK1715" t="s">
        <v>3250</v>
      </c>
      <c r="BL1715" t="s">
        <v>3250</v>
      </c>
      <c r="BM1715" t="s">
        <v>3250</v>
      </c>
      <c r="BN1715" t="s">
        <v>3250</v>
      </c>
      <c r="BP1715">
        <v>7</v>
      </c>
      <c r="BQ1715">
        <v>71</v>
      </c>
      <c r="BR1715" t="s">
        <v>629</v>
      </c>
      <c r="BS1715" t="s">
        <v>4212</v>
      </c>
      <c r="BV1715">
        <v>0</v>
      </c>
      <c r="BW1715">
        <v>0</v>
      </c>
      <c r="BX1715">
        <v>0</v>
      </c>
      <c r="BY1715">
        <v>0</v>
      </c>
      <c r="BZ1715">
        <v>0</v>
      </c>
      <c r="CA1715">
        <v>0</v>
      </c>
      <c r="CB1715">
        <v>0</v>
      </c>
      <c r="CC1715">
        <v>0</v>
      </c>
      <c r="CD1715">
        <v>0</v>
      </c>
      <c r="CE1715" t="s">
        <v>3108</v>
      </c>
      <c r="CF1715" t="s">
        <v>3108</v>
      </c>
      <c r="CG1715" t="s">
        <v>3108</v>
      </c>
      <c r="CH1715" t="s">
        <v>3108</v>
      </c>
    </row>
    <row r="1716" spans="1:86" x14ac:dyDescent="0.2">
      <c r="A1716" t="s">
        <v>5732</v>
      </c>
      <c r="B1716" t="s">
        <v>5732</v>
      </c>
      <c r="C1716">
        <v>54834</v>
      </c>
      <c r="D1716">
        <v>1839</v>
      </c>
      <c r="E1716" t="s">
        <v>4003</v>
      </c>
      <c r="F1716">
        <v>2700</v>
      </c>
      <c r="G1716" t="s">
        <v>411</v>
      </c>
      <c r="H1716" t="s">
        <v>4004</v>
      </c>
      <c r="I1716" t="s">
        <v>2531</v>
      </c>
      <c r="J1716">
        <v>2701</v>
      </c>
      <c r="K1716" t="s">
        <v>2531</v>
      </c>
      <c r="L1716">
        <v>1100</v>
      </c>
      <c r="M1716" t="s">
        <v>119</v>
      </c>
      <c r="N1716">
        <v>1110</v>
      </c>
      <c r="O1716" t="s">
        <v>284</v>
      </c>
      <c r="P1716" t="s">
        <v>3108</v>
      </c>
      <c r="Q1716" t="s">
        <v>3249</v>
      </c>
      <c r="R1716" t="s">
        <v>3249</v>
      </c>
      <c r="S1716" t="s">
        <v>810</v>
      </c>
      <c r="T1716" t="s">
        <v>2754</v>
      </c>
      <c r="U1716" t="s">
        <v>3250</v>
      </c>
      <c r="V1716" t="s">
        <v>3250</v>
      </c>
      <c r="W1716" t="s">
        <v>3250</v>
      </c>
      <c r="X1716" t="s">
        <v>3250</v>
      </c>
      <c r="Y1716" t="s">
        <v>3250</v>
      </c>
      <c r="Z1716" t="s">
        <v>3250</v>
      </c>
      <c r="AA1716" t="s">
        <v>3108</v>
      </c>
      <c r="AB1716" t="s">
        <v>3108</v>
      </c>
      <c r="AC1716" t="s">
        <v>3250</v>
      </c>
      <c r="AD1716" t="s">
        <v>3250</v>
      </c>
      <c r="AE1716" t="s">
        <v>3250</v>
      </c>
      <c r="AF1716" t="s">
        <v>3250</v>
      </c>
      <c r="AG1716" t="s">
        <v>3250</v>
      </c>
      <c r="AH1716" t="s">
        <v>3250</v>
      </c>
      <c r="AI1716" t="s">
        <v>3250</v>
      </c>
      <c r="AJ1716" t="s">
        <v>3250</v>
      </c>
      <c r="AL1716" t="s">
        <v>3250</v>
      </c>
      <c r="AM1716" t="s">
        <v>3250</v>
      </c>
      <c r="AN1716" t="s">
        <v>3250</v>
      </c>
      <c r="AO1716" t="s">
        <v>3250</v>
      </c>
      <c r="AS1716" t="s">
        <v>3250</v>
      </c>
      <c r="AT1716" t="s">
        <v>3250</v>
      </c>
      <c r="AU1716" t="s">
        <v>3250</v>
      </c>
      <c r="AV1716" t="s">
        <v>3250</v>
      </c>
      <c r="AW1716" t="s">
        <v>3250</v>
      </c>
      <c r="AX1716" t="s">
        <v>3250</v>
      </c>
      <c r="AY1716" t="s">
        <v>3250</v>
      </c>
      <c r="AZ1716" t="s">
        <v>3250</v>
      </c>
      <c r="BA1716" t="s">
        <v>3250</v>
      </c>
      <c r="BB1716" t="s">
        <v>3250</v>
      </c>
      <c r="BC1716" t="s">
        <v>3250</v>
      </c>
      <c r="BE1716" t="s">
        <v>3250</v>
      </c>
      <c r="BF1716" t="s">
        <v>3250</v>
      </c>
      <c r="BG1716" t="s">
        <v>3250</v>
      </c>
      <c r="BH1716" t="s">
        <v>3250</v>
      </c>
      <c r="BI1716" t="s">
        <v>3250</v>
      </c>
      <c r="BK1716" t="s">
        <v>3250</v>
      </c>
      <c r="BL1716" t="s">
        <v>3250</v>
      </c>
      <c r="BM1716" t="s">
        <v>3250</v>
      </c>
      <c r="BN1716" t="s">
        <v>3250</v>
      </c>
      <c r="BP1716">
        <v>3</v>
      </c>
      <c r="BQ1716">
        <v>32</v>
      </c>
      <c r="BR1716" t="s">
        <v>284</v>
      </c>
      <c r="BS1716" t="s">
        <v>4381</v>
      </c>
      <c r="BV1716">
        <v>0</v>
      </c>
      <c r="BW1716">
        <v>0</v>
      </c>
      <c r="BX1716">
        <v>0</v>
      </c>
      <c r="BY1716">
        <v>0</v>
      </c>
      <c r="BZ1716">
        <v>0</v>
      </c>
      <c r="CA1716">
        <v>0</v>
      </c>
      <c r="CB1716">
        <v>0</v>
      </c>
      <c r="CC1716">
        <v>0</v>
      </c>
      <c r="CD1716">
        <v>0</v>
      </c>
      <c r="CE1716" t="s">
        <v>3108</v>
      </c>
      <c r="CF1716" t="s">
        <v>3108</v>
      </c>
      <c r="CG1716" t="s">
        <v>3108</v>
      </c>
      <c r="CH1716" t="s">
        <v>3108</v>
      </c>
    </row>
    <row r="1717" spans="1:86" x14ac:dyDescent="0.2">
      <c r="A1717" t="s">
        <v>5733</v>
      </c>
      <c r="B1717" t="s">
        <v>5733</v>
      </c>
      <c r="C1717">
        <v>54835</v>
      </c>
      <c r="D1717">
        <v>1840</v>
      </c>
      <c r="E1717" t="s">
        <v>4688</v>
      </c>
      <c r="F1717" t="s">
        <v>3249</v>
      </c>
      <c r="G1717" t="s">
        <v>3249</v>
      </c>
      <c r="H1717" t="s">
        <v>3250</v>
      </c>
      <c r="I1717" t="s">
        <v>3250</v>
      </c>
      <c r="J1717" t="s">
        <v>3250</v>
      </c>
      <c r="K1717" t="s">
        <v>3250</v>
      </c>
      <c r="L1717">
        <v>3200</v>
      </c>
      <c r="M1717" t="s">
        <v>128</v>
      </c>
      <c r="N1717">
        <v>3205</v>
      </c>
      <c r="O1717" t="s">
        <v>629</v>
      </c>
      <c r="P1717" t="s">
        <v>2805</v>
      </c>
      <c r="Q1717">
        <v>2010</v>
      </c>
      <c r="R1717" t="s">
        <v>1355</v>
      </c>
      <c r="S1717" t="s">
        <v>427</v>
      </c>
      <c r="T1717" t="s">
        <v>3251</v>
      </c>
      <c r="U1717">
        <v>240</v>
      </c>
      <c r="V1717" t="s">
        <v>4251</v>
      </c>
      <c r="W1717">
        <v>240</v>
      </c>
      <c r="X1717" t="s">
        <v>1323</v>
      </c>
      <c r="Y1717" t="s">
        <v>3250</v>
      </c>
      <c r="Z1717" t="s">
        <v>3250</v>
      </c>
      <c r="AA1717" t="s">
        <v>3108</v>
      </c>
      <c r="AB1717" t="s">
        <v>3108</v>
      </c>
      <c r="AC1717" t="s">
        <v>3250</v>
      </c>
      <c r="AD1717" t="s">
        <v>3250</v>
      </c>
      <c r="AE1717" t="s">
        <v>3250</v>
      </c>
      <c r="AF1717" t="s">
        <v>3250</v>
      </c>
      <c r="AG1717">
        <v>110</v>
      </c>
      <c r="AH1717" t="s">
        <v>2230</v>
      </c>
      <c r="AI1717">
        <v>110</v>
      </c>
      <c r="AJ1717" t="s">
        <v>2230</v>
      </c>
      <c r="AL1717">
        <v>241</v>
      </c>
      <c r="AM1717" t="s">
        <v>1455</v>
      </c>
      <c r="AN1717">
        <v>241</v>
      </c>
      <c r="AO1717" t="s">
        <v>1455</v>
      </c>
      <c r="AS1717">
        <v>120</v>
      </c>
      <c r="AT1717">
        <v>120</v>
      </c>
      <c r="AU1717" t="s">
        <v>629</v>
      </c>
      <c r="AV1717" t="s">
        <v>629</v>
      </c>
      <c r="AW1717" t="s">
        <v>3250</v>
      </c>
      <c r="AX1717" t="s">
        <v>3250</v>
      </c>
      <c r="AY1717" t="s">
        <v>3250</v>
      </c>
      <c r="AZ1717" t="s">
        <v>3250</v>
      </c>
      <c r="BA1717" t="s">
        <v>3250</v>
      </c>
      <c r="BB1717" t="s">
        <v>3250</v>
      </c>
      <c r="BC1717" t="s">
        <v>3250</v>
      </c>
      <c r="BE1717" t="s">
        <v>3250</v>
      </c>
      <c r="BF1717" t="s">
        <v>3250</v>
      </c>
      <c r="BG1717" t="s">
        <v>3250</v>
      </c>
      <c r="BH1717" t="s">
        <v>3250</v>
      </c>
      <c r="BI1717" t="s">
        <v>3250</v>
      </c>
      <c r="BK1717" t="s">
        <v>3250</v>
      </c>
      <c r="BL1717" t="s">
        <v>3250</v>
      </c>
      <c r="BM1717" t="s">
        <v>3250</v>
      </c>
      <c r="BN1717" t="s">
        <v>3250</v>
      </c>
      <c r="BP1717">
        <v>7</v>
      </c>
      <c r="BQ1717">
        <v>71</v>
      </c>
      <c r="BR1717" t="s">
        <v>629</v>
      </c>
      <c r="BS1717" t="s">
        <v>4212</v>
      </c>
      <c r="BV1717">
        <v>2597692</v>
      </c>
      <c r="BW1717">
        <v>0</v>
      </c>
      <c r="BX1717">
        <v>0</v>
      </c>
      <c r="BY1717">
        <v>6189900</v>
      </c>
      <c r="BZ1717">
        <v>6189900</v>
      </c>
      <c r="CA1717">
        <v>0</v>
      </c>
      <c r="CB1717">
        <v>0</v>
      </c>
      <c r="CC1717">
        <v>0</v>
      </c>
      <c r="CD1717">
        <v>6630721</v>
      </c>
      <c r="CE1717" t="s">
        <v>3108</v>
      </c>
      <c r="CF1717" t="s">
        <v>3108</v>
      </c>
      <c r="CG1717" t="s">
        <v>3108</v>
      </c>
      <c r="CH1717" t="s">
        <v>3108</v>
      </c>
    </row>
    <row r="1718" spans="1:86" x14ac:dyDescent="0.2">
      <c r="A1718" t="s">
        <v>5734</v>
      </c>
      <c r="B1718" t="s">
        <v>5734</v>
      </c>
      <c r="C1718">
        <v>54836</v>
      </c>
      <c r="D1718">
        <v>1841</v>
      </c>
      <c r="E1718" t="s">
        <v>5151</v>
      </c>
      <c r="F1718" t="s">
        <v>3249</v>
      </c>
      <c r="G1718" t="s">
        <v>3249</v>
      </c>
      <c r="H1718" t="s">
        <v>3250</v>
      </c>
      <c r="I1718" t="s">
        <v>3250</v>
      </c>
      <c r="J1718" t="s">
        <v>3250</v>
      </c>
      <c r="K1718" t="s">
        <v>3250</v>
      </c>
      <c r="L1718">
        <v>3200</v>
      </c>
      <c r="M1718" t="s">
        <v>128</v>
      </c>
      <c r="N1718">
        <v>3205</v>
      </c>
      <c r="O1718" t="s">
        <v>629</v>
      </c>
      <c r="P1718" t="s">
        <v>3108</v>
      </c>
      <c r="Q1718">
        <v>2010</v>
      </c>
      <c r="R1718" t="s">
        <v>1355</v>
      </c>
      <c r="S1718" t="s">
        <v>427</v>
      </c>
      <c r="T1718" t="s">
        <v>3251</v>
      </c>
      <c r="U1718">
        <v>240</v>
      </c>
      <c r="V1718" t="s">
        <v>4251</v>
      </c>
      <c r="W1718">
        <v>240</v>
      </c>
      <c r="X1718" t="s">
        <v>1323</v>
      </c>
      <c r="Y1718" t="s">
        <v>3250</v>
      </c>
      <c r="Z1718" t="s">
        <v>3250</v>
      </c>
      <c r="AA1718" t="s">
        <v>3108</v>
      </c>
      <c r="AB1718" t="s">
        <v>3108</v>
      </c>
      <c r="AC1718" t="s">
        <v>3250</v>
      </c>
      <c r="AD1718" t="s">
        <v>3250</v>
      </c>
      <c r="AE1718" t="s">
        <v>3250</v>
      </c>
      <c r="AF1718" t="s">
        <v>3250</v>
      </c>
      <c r="AG1718">
        <v>110</v>
      </c>
      <c r="AH1718" t="s">
        <v>2230</v>
      </c>
      <c r="AI1718">
        <v>110</v>
      </c>
      <c r="AJ1718" t="s">
        <v>2230</v>
      </c>
      <c r="AL1718">
        <v>243</v>
      </c>
      <c r="AM1718" t="s">
        <v>700</v>
      </c>
      <c r="AN1718">
        <v>243</v>
      </c>
      <c r="AO1718" t="s">
        <v>700</v>
      </c>
      <c r="AS1718">
        <v>120</v>
      </c>
      <c r="AT1718">
        <v>120</v>
      </c>
      <c r="AU1718" t="s">
        <v>629</v>
      </c>
      <c r="AV1718" t="s">
        <v>629</v>
      </c>
      <c r="AW1718" t="s">
        <v>3250</v>
      </c>
      <c r="AX1718" t="s">
        <v>3250</v>
      </c>
      <c r="AY1718" t="s">
        <v>3250</v>
      </c>
      <c r="AZ1718" t="s">
        <v>3250</v>
      </c>
      <c r="BA1718" t="s">
        <v>3250</v>
      </c>
      <c r="BB1718" t="s">
        <v>3250</v>
      </c>
      <c r="BC1718" t="s">
        <v>3250</v>
      </c>
      <c r="BE1718" t="s">
        <v>3250</v>
      </c>
      <c r="BF1718" t="s">
        <v>3250</v>
      </c>
      <c r="BG1718" t="s">
        <v>3250</v>
      </c>
      <c r="BH1718" t="s">
        <v>3250</v>
      </c>
      <c r="BI1718" t="s">
        <v>3250</v>
      </c>
      <c r="BK1718" t="s">
        <v>3250</v>
      </c>
      <c r="BL1718" t="s">
        <v>3250</v>
      </c>
      <c r="BM1718" t="s">
        <v>3250</v>
      </c>
      <c r="BN1718" t="s">
        <v>3250</v>
      </c>
      <c r="BP1718">
        <v>7</v>
      </c>
      <c r="BQ1718">
        <v>71</v>
      </c>
      <c r="BR1718" t="s">
        <v>629</v>
      </c>
      <c r="BS1718" t="s">
        <v>4212</v>
      </c>
      <c r="BV1718">
        <v>0</v>
      </c>
      <c r="BW1718">
        <v>0</v>
      </c>
      <c r="BX1718">
        <v>0</v>
      </c>
      <c r="BY1718">
        <v>0</v>
      </c>
      <c r="BZ1718">
        <v>0</v>
      </c>
      <c r="CA1718">
        <v>-3935316</v>
      </c>
      <c r="CB1718">
        <v>-4166360</v>
      </c>
      <c r="CC1718">
        <v>-4582996</v>
      </c>
      <c r="CD1718">
        <v>0</v>
      </c>
      <c r="CE1718" t="s">
        <v>3108</v>
      </c>
      <c r="CF1718" t="s">
        <v>3108</v>
      </c>
      <c r="CG1718" t="s">
        <v>3108</v>
      </c>
      <c r="CH1718" t="s">
        <v>3108</v>
      </c>
    </row>
    <row r="1719" spans="1:86" x14ac:dyDescent="0.2">
      <c r="A1719" t="s">
        <v>5735</v>
      </c>
      <c r="B1719" t="s">
        <v>5735</v>
      </c>
      <c r="C1719">
        <v>54837</v>
      </c>
      <c r="D1719">
        <v>1842</v>
      </c>
      <c r="E1719" t="s">
        <v>5736</v>
      </c>
      <c r="F1719">
        <v>2700</v>
      </c>
      <c r="G1719" t="s">
        <v>411</v>
      </c>
      <c r="H1719" t="s">
        <v>4004</v>
      </c>
      <c r="I1719" t="s">
        <v>2531</v>
      </c>
      <c r="J1719">
        <v>2701</v>
      </c>
      <c r="K1719" t="s">
        <v>2531</v>
      </c>
      <c r="L1719">
        <v>1100</v>
      </c>
      <c r="M1719" t="s">
        <v>119</v>
      </c>
      <c r="N1719">
        <v>1120</v>
      </c>
      <c r="O1719" t="s">
        <v>2367</v>
      </c>
      <c r="P1719" t="s">
        <v>3108</v>
      </c>
      <c r="Q1719" t="s">
        <v>3249</v>
      </c>
      <c r="R1719" t="s">
        <v>3249</v>
      </c>
      <c r="S1719" t="s">
        <v>810</v>
      </c>
      <c r="T1719" t="s">
        <v>2754</v>
      </c>
      <c r="U1719" t="s">
        <v>3250</v>
      </c>
      <c r="V1719" t="s">
        <v>3250</v>
      </c>
      <c r="W1719" t="s">
        <v>3250</v>
      </c>
      <c r="X1719" t="s">
        <v>3250</v>
      </c>
      <c r="Y1719" t="s">
        <v>3250</v>
      </c>
      <c r="Z1719" t="s">
        <v>3250</v>
      </c>
      <c r="AA1719" t="s">
        <v>3108</v>
      </c>
      <c r="AB1719" t="s">
        <v>3108</v>
      </c>
      <c r="AC1719" t="s">
        <v>3250</v>
      </c>
      <c r="AD1719" t="s">
        <v>3250</v>
      </c>
      <c r="AE1719" t="s">
        <v>3250</v>
      </c>
      <c r="AF1719" t="s">
        <v>3250</v>
      </c>
      <c r="AG1719" t="s">
        <v>3250</v>
      </c>
      <c r="AH1719" t="s">
        <v>3250</v>
      </c>
      <c r="AI1719" t="s">
        <v>3250</v>
      </c>
      <c r="AJ1719" t="s">
        <v>3250</v>
      </c>
      <c r="AL1719" t="s">
        <v>3250</v>
      </c>
      <c r="AM1719" t="s">
        <v>3250</v>
      </c>
      <c r="AN1719" t="s">
        <v>3250</v>
      </c>
      <c r="AO1719" t="s">
        <v>3250</v>
      </c>
      <c r="AS1719" t="s">
        <v>3250</v>
      </c>
      <c r="AT1719" t="s">
        <v>3250</v>
      </c>
      <c r="AU1719" t="s">
        <v>3250</v>
      </c>
      <c r="AV1719" t="s">
        <v>3250</v>
      </c>
      <c r="AW1719" t="s">
        <v>3250</v>
      </c>
      <c r="AX1719" t="s">
        <v>3250</v>
      </c>
      <c r="AY1719">
        <v>1220</v>
      </c>
      <c r="AZ1719" t="s">
        <v>2312</v>
      </c>
      <c r="BA1719" t="s">
        <v>3250</v>
      </c>
      <c r="BB1719">
        <v>1220</v>
      </c>
      <c r="BC1719" t="s">
        <v>2312</v>
      </c>
      <c r="BE1719" t="s">
        <v>3250</v>
      </c>
      <c r="BF1719" t="s">
        <v>3250</v>
      </c>
      <c r="BG1719" t="s">
        <v>3250</v>
      </c>
      <c r="BH1719" t="s">
        <v>3250</v>
      </c>
      <c r="BI1719" t="s">
        <v>3250</v>
      </c>
      <c r="BK1719" t="s">
        <v>3250</v>
      </c>
      <c r="BL1719" t="s">
        <v>3250</v>
      </c>
      <c r="BM1719" t="s">
        <v>3250</v>
      </c>
      <c r="BN1719" t="s">
        <v>3250</v>
      </c>
      <c r="BP1719">
        <v>3</v>
      </c>
      <c r="BQ1719">
        <v>31</v>
      </c>
      <c r="BR1719" t="s">
        <v>2367</v>
      </c>
      <c r="BS1719" t="s">
        <v>4381</v>
      </c>
      <c r="BV1719">
        <v>0</v>
      </c>
      <c r="BW1719">
        <v>0</v>
      </c>
      <c r="BX1719">
        <v>0</v>
      </c>
      <c r="BY1719">
        <v>700000</v>
      </c>
      <c r="BZ1719">
        <v>500000</v>
      </c>
      <c r="CA1719">
        <v>519500</v>
      </c>
      <c r="CB1719">
        <v>540280</v>
      </c>
      <c r="CC1719">
        <v>561891</v>
      </c>
      <c r="CD1719">
        <v>209742</v>
      </c>
      <c r="CE1719" t="s">
        <v>3108</v>
      </c>
      <c r="CF1719" t="s">
        <v>3108</v>
      </c>
      <c r="CG1719" t="s">
        <v>3108</v>
      </c>
      <c r="CH1719" t="s">
        <v>3108</v>
      </c>
    </row>
    <row r="1720" spans="1:86" x14ac:dyDescent="0.2">
      <c r="A1720" t="s">
        <v>5737</v>
      </c>
      <c r="B1720" t="s">
        <v>5737</v>
      </c>
      <c r="C1720">
        <v>54838</v>
      </c>
      <c r="D1720">
        <v>1843</v>
      </c>
      <c r="E1720" t="s">
        <v>3994</v>
      </c>
      <c r="F1720">
        <v>2600</v>
      </c>
      <c r="G1720" t="s">
        <v>1334</v>
      </c>
      <c r="H1720">
        <v>2600</v>
      </c>
      <c r="I1720" t="s">
        <v>1334</v>
      </c>
      <c r="J1720" t="s">
        <v>3250</v>
      </c>
      <c r="K1720" t="s">
        <v>3250</v>
      </c>
      <c r="L1720">
        <v>1100</v>
      </c>
      <c r="M1720" t="s">
        <v>119</v>
      </c>
      <c r="N1720">
        <v>1120</v>
      </c>
      <c r="O1720" t="s">
        <v>2367</v>
      </c>
      <c r="P1720" t="s">
        <v>3108</v>
      </c>
      <c r="Q1720" t="s">
        <v>3249</v>
      </c>
      <c r="R1720" t="s">
        <v>3249</v>
      </c>
      <c r="S1720" t="s">
        <v>810</v>
      </c>
      <c r="T1720" t="s">
        <v>2754</v>
      </c>
      <c r="U1720" t="s">
        <v>3250</v>
      </c>
      <c r="V1720" t="s">
        <v>3250</v>
      </c>
      <c r="W1720" t="s">
        <v>3250</v>
      </c>
      <c r="X1720" t="s">
        <v>3250</v>
      </c>
      <c r="Y1720" t="s">
        <v>3250</v>
      </c>
      <c r="Z1720" t="s">
        <v>3250</v>
      </c>
      <c r="AA1720" t="s">
        <v>3108</v>
      </c>
      <c r="AB1720" t="s">
        <v>3108</v>
      </c>
      <c r="AC1720" t="s">
        <v>3250</v>
      </c>
      <c r="AD1720" t="s">
        <v>3250</v>
      </c>
      <c r="AE1720" t="s">
        <v>3250</v>
      </c>
      <c r="AF1720" t="s">
        <v>3250</v>
      </c>
      <c r="AG1720" t="s">
        <v>3250</v>
      </c>
      <c r="AH1720" t="s">
        <v>3250</v>
      </c>
      <c r="AI1720" t="s">
        <v>3250</v>
      </c>
      <c r="AJ1720" t="s">
        <v>3250</v>
      </c>
      <c r="AL1720" t="s">
        <v>3250</v>
      </c>
      <c r="AM1720" t="s">
        <v>3250</v>
      </c>
      <c r="AN1720" t="s">
        <v>3250</v>
      </c>
      <c r="AO1720" t="s">
        <v>3250</v>
      </c>
      <c r="AS1720" t="s">
        <v>3250</v>
      </c>
      <c r="AT1720" t="s">
        <v>3250</v>
      </c>
      <c r="AU1720" t="s">
        <v>3250</v>
      </c>
      <c r="AV1720" t="s">
        <v>3250</v>
      </c>
      <c r="AW1720" t="s">
        <v>3250</v>
      </c>
      <c r="AX1720" t="s">
        <v>3250</v>
      </c>
      <c r="AY1720" t="s">
        <v>3250</v>
      </c>
      <c r="AZ1720" t="s">
        <v>3250</v>
      </c>
      <c r="BA1720" t="s">
        <v>3250</v>
      </c>
      <c r="BB1720" t="s">
        <v>3250</v>
      </c>
      <c r="BC1720" t="s">
        <v>3250</v>
      </c>
      <c r="BE1720" t="s">
        <v>3250</v>
      </c>
      <c r="BF1720" t="s">
        <v>3250</v>
      </c>
      <c r="BG1720" t="s">
        <v>3250</v>
      </c>
      <c r="BH1720" t="s">
        <v>3250</v>
      </c>
      <c r="BI1720" t="s">
        <v>3250</v>
      </c>
      <c r="BK1720" t="s">
        <v>3250</v>
      </c>
      <c r="BL1720" t="s">
        <v>3250</v>
      </c>
      <c r="BM1720" t="s">
        <v>3250</v>
      </c>
      <c r="BN1720" t="s">
        <v>3250</v>
      </c>
      <c r="BP1720">
        <v>3</v>
      </c>
      <c r="BQ1720">
        <v>31</v>
      </c>
      <c r="BR1720" t="s">
        <v>2367</v>
      </c>
      <c r="BS1720" t="s">
        <v>4381</v>
      </c>
      <c r="BV1720">
        <v>0</v>
      </c>
      <c r="BW1720">
        <v>0</v>
      </c>
      <c r="BX1720">
        <v>0</v>
      </c>
      <c r="BY1720">
        <v>150000</v>
      </c>
      <c r="BZ1720">
        <v>150000</v>
      </c>
      <c r="CA1720">
        <v>155850</v>
      </c>
      <c r="CB1720">
        <v>162084</v>
      </c>
      <c r="CC1720">
        <v>168567</v>
      </c>
      <c r="CD1720">
        <v>0</v>
      </c>
      <c r="CE1720" t="s">
        <v>3108</v>
      </c>
      <c r="CF1720" t="s">
        <v>3108</v>
      </c>
      <c r="CG1720" t="s">
        <v>3108</v>
      </c>
      <c r="CH1720" t="s">
        <v>3108</v>
      </c>
    </row>
    <row r="1721" spans="1:86" x14ac:dyDescent="0.2">
      <c r="A1721" t="s">
        <v>5738</v>
      </c>
      <c r="B1721" t="s">
        <v>5738</v>
      </c>
      <c r="C1721">
        <v>54839</v>
      </c>
      <c r="D1721">
        <v>1844</v>
      </c>
      <c r="E1721" t="s">
        <v>3994</v>
      </c>
      <c r="F1721">
        <v>2600</v>
      </c>
      <c r="G1721" t="s">
        <v>1334</v>
      </c>
      <c r="H1721">
        <v>2600</v>
      </c>
      <c r="I1721" t="s">
        <v>1334</v>
      </c>
      <c r="J1721" t="s">
        <v>3250</v>
      </c>
      <c r="K1721" t="s">
        <v>3250</v>
      </c>
      <c r="L1721">
        <v>2100</v>
      </c>
      <c r="M1721" t="s">
        <v>123</v>
      </c>
      <c r="N1721">
        <v>2109</v>
      </c>
      <c r="O1721" t="s">
        <v>2402</v>
      </c>
      <c r="P1721" t="s">
        <v>3108</v>
      </c>
      <c r="Q1721" t="s">
        <v>3249</v>
      </c>
      <c r="R1721" t="s">
        <v>3249</v>
      </c>
      <c r="S1721" t="s">
        <v>810</v>
      </c>
      <c r="T1721" t="s">
        <v>2754</v>
      </c>
      <c r="U1721" t="s">
        <v>3250</v>
      </c>
      <c r="V1721" t="s">
        <v>3250</v>
      </c>
      <c r="W1721" t="s">
        <v>3250</v>
      </c>
      <c r="X1721" t="s">
        <v>3250</v>
      </c>
      <c r="Y1721" t="s">
        <v>3250</v>
      </c>
      <c r="Z1721" t="s">
        <v>3250</v>
      </c>
      <c r="AA1721" t="s">
        <v>3108</v>
      </c>
      <c r="AB1721" t="s">
        <v>3108</v>
      </c>
      <c r="AC1721" t="s">
        <v>3250</v>
      </c>
      <c r="AD1721" t="s">
        <v>3250</v>
      </c>
      <c r="AE1721" t="s">
        <v>3250</v>
      </c>
      <c r="AF1721" t="s">
        <v>3250</v>
      </c>
      <c r="AG1721" t="s">
        <v>3250</v>
      </c>
      <c r="AH1721" t="s">
        <v>3250</v>
      </c>
      <c r="AI1721" t="s">
        <v>3250</v>
      </c>
      <c r="AJ1721" t="s">
        <v>3250</v>
      </c>
      <c r="AL1721" t="s">
        <v>3250</v>
      </c>
      <c r="AM1721" t="s">
        <v>3250</v>
      </c>
      <c r="AN1721" t="s">
        <v>3250</v>
      </c>
      <c r="AO1721" t="s">
        <v>3250</v>
      </c>
      <c r="AS1721" t="s">
        <v>3250</v>
      </c>
      <c r="AT1721" t="s">
        <v>3250</v>
      </c>
      <c r="AU1721" t="s">
        <v>3250</v>
      </c>
      <c r="AV1721" t="s">
        <v>3250</v>
      </c>
      <c r="AW1721" t="s">
        <v>3250</v>
      </c>
      <c r="AX1721" t="s">
        <v>3250</v>
      </c>
      <c r="AY1721" t="s">
        <v>3250</v>
      </c>
      <c r="AZ1721" t="s">
        <v>3250</v>
      </c>
      <c r="BA1721" t="s">
        <v>3250</v>
      </c>
      <c r="BB1721" t="s">
        <v>3250</v>
      </c>
      <c r="BC1721" t="s">
        <v>3250</v>
      </c>
      <c r="BE1721" t="s">
        <v>3250</v>
      </c>
      <c r="BF1721" t="s">
        <v>3250</v>
      </c>
      <c r="BG1721" t="s">
        <v>3250</v>
      </c>
      <c r="BH1721" t="s">
        <v>3250</v>
      </c>
      <c r="BI1721" t="s">
        <v>3250</v>
      </c>
      <c r="BK1721" t="s">
        <v>3250</v>
      </c>
      <c r="BL1721" t="s">
        <v>3250</v>
      </c>
      <c r="BM1721" t="s">
        <v>3250</v>
      </c>
      <c r="BN1721" t="s">
        <v>3250</v>
      </c>
      <c r="BP1721">
        <v>4</v>
      </c>
      <c r="BQ1721">
        <v>41</v>
      </c>
      <c r="BR1721" t="s">
        <v>2402</v>
      </c>
      <c r="BS1721" t="s">
        <v>4024</v>
      </c>
      <c r="BV1721">
        <v>0</v>
      </c>
      <c r="BW1721">
        <v>0</v>
      </c>
      <c r="BX1721">
        <v>0</v>
      </c>
      <c r="BY1721">
        <v>800000</v>
      </c>
      <c r="BZ1721">
        <v>0</v>
      </c>
      <c r="CA1721">
        <v>0</v>
      </c>
      <c r="CB1721">
        <v>0</v>
      </c>
      <c r="CC1721">
        <v>0</v>
      </c>
      <c r="CD1721">
        <v>515429</v>
      </c>
      <c r="CE1721" t="s">
        <v>3108</v>
      </c>
      <c r="CF1721" t="s">
        <v>3108</v>
      </c>
      <c r="CG1721" t="s">
        <v>3108</v>
      </c>
      <c r="CH1721" t="s">
        <v>3108</v>
      </c>
    </row>
    <row r="1722" spans="1:86" x14ac:dyDescent="0.2">
      <c r="A1722" t="s">
        <v>5739</v>
      </c>
      <c r="B1722" t="s">
        <v>5739</v>
      </c>
      <c r="C1722">
        <v>54840</v>
      </c>
      <c r="D1722">
        <v>1845</v>
      </c>
      <c r="E1722" t="s">
        <v>4047</v>
      </c>
      <c r="F1722">
        <v>2600</v>
      </c>
      <c r="G1722" t="s">
        <v>1334</v>
      </c>
      <c r="H1722">
        <v>2600</v>
      </c>
      <c r="I1722" t="s">
        <v>1334</v>
      </c>
      <c r="J1722" t="s">
        <v>3250</v>
      </c>
      <c r="K1722" t="s">
        <v>3250</v>
      </c>
      <c r="L1722">
        <v>2100</v>
      </c>
      <c r="M1722" t="s">
        <v>123</v>
      </c>
      <c r="N1722">
        <v>2109</v>
      </c>
      <c r="O1722" t="s">
        <v>2402</v>
      </c>
      <c r="P1722" t="s">
        <v>3108</v>
      </c>
      <c r="Q1722" t="s">
        <v>3249</v>
      </c>
      <c r="R1722" t="s">
        <v>3249</v>
      </c>
      <c r="S1722" t="s">
        <v>810</v>
      </c>
      <c r="T1722" t="s">
        <v>2754</v>
      </c>
      <c r="U1722" t="s">
        <v>3250</v>
      </c>
      <c r="V1722" t="s">
        <v>3250</v>
      </c>
      <c r="W1722" t="s">
        <v>3250</v>
      </c>
      <c r="X1722" t="s">
        <v>3250</v>
      </c>
      <c r="Y1722" t="s">
        <v>3250</v>
      </c>
      <c r="Z1722" t="s">
        <v>3250</v>
      </c>
      <c r="AA1722" t="s">
        <v>3108</v>
      </c>
      <c r="AB1722" t="s">
        <v>3108</v>
      </c>
      <c r="AC1722" t="s">
        <v>3250</v>
      </c>
      <c r="AD1722" t="s">
        <v>3250</v>
      </c>
      <c r="AE1722" t="s">
        <v>3250</v>
      </c>
      <c r="AF1722" t="s">
        <v>3250</v>
      </c>
      <c r="AG1722" t="s">
        <v>3250</v>
      </c>
      <c r="AH1722" t="s">
        <v>3250</v>
      </c>
      <c r="AI1722" t="s">
        <v>3250</v>
      </c>
      <c r="AJ1722" t="s">
        <v>3250</v>
      </c>
      <c r="AL1722" t="s">
        <v>3250</v>
      </c>
      <c r="AM1722" t="s">
        <v>3250</v>
      </c>
      <c r="AN1722" t="s">
        <v>3250</v>
      </c>
      <c r="AO1722" t="s">
        <v>3250</v>
      </c>
      <c r="AS1722" t="s">
        <v>3250</v>
      </c>
      <c r="AT1722" t="s">
        <v>3250</v>
      </c>
      <c r="AU1722" t="s">
        <v>3250</v>
      </c>
      <c r="AV1722" t="s">
        <v>3250</v>
      </c>
      <c r="AW1722" t="s">
        <v>3250</v>
      </c>
      <c r="AX1722" t="s">
        <v>3250</v>
      </c>
      <c r="AY1722" t="s">
        <v>3250</v>
      </c>
      <c r="AZ1722" t="s">
        <v>3250</v>
      </c>
      <c r="BA1722" t="s">
        <v>3250</v>
      </c>
      <c r="BB1722" t="s">
        <v>3250</v>
      </c>
      <c r="BC1722" t="s">
        <v>3250</v>
      </c>
      <c r="BE1722" t="s">
        <v>3250</v>
      </c>
      <c r="BF1722" t="s">
        <v>3250</v>
      </c>
      <c r="BG1722" t="s">
        <v>3250</v>
      </c>
      <c r="BH1722" t="s">
        <v>3250</v>
      </c>
      <c r="BI1722" t="s">
        <v>3250</v>
      </c>
      <c r="BK1722" t="s">
        <v>3250</v>
      </c>
      <c r="BL1722" t="s">
        <v>3250</v>
      </c>
      <c r="BM1722" t="s">
        <v>3250</v>
      </c>
      <c r="BN1722" t="s">
        <v>3250</v>
      </c>
      <c r="BP1722">
        <v>4</v>
      </c>
      <c r="BQ1722">
        <v>41</v>
      </c>
      <c r="BR1722" t="s">
        <v>2402</v>
      </c>
      <c r="BS1722" t="s">
        <v>4024</v>
      </c>
      <c r="BV1722">
        <v>0</v>
      </c>
      <c r="BW1722">
        <v>0</v>
      </c>
      <c r="BX1722">
        <v>0</v>
      </c>
      <c r="BY1722">
        <v>400000</v>
      </c>
      <c r="BZ1722">
        <v>800000</v>
      </c>
      <c r="CA1722">
        <v>0</v>
      </c>
      <c r="CB1722">
        <v>0</v>
      </c>
      <c r="CC1722">
        <v>0</v>
      </c>
      <c r="CD1722">
        <v>52442</v>
      </c>
      <c r="CE1722" t="s">
        <v>3108</v>
      </c>
      <c r="CF1722" t="s">
        <v>3108</v>
      </c>
      <c r="CG1722" t="s">
        <v>3108</v>
      </c>
      <c r="CH1722" t="s">
        <v>3108</v>
      </c>
    </row>
    <row r="1723" spans="1:86" x14ac:dyDescent="0.2">
      <c r="A1723" t="s">
        <v>5740</v>
      </c>
      <c r="B1723" t="s">
        <v>5740</v>
      </c>
      <c r="C1723">
        <v>54846</v>
      </c>
      <c r="D1723">
        <v>1846</v>
      </c>
      <c r="E1723" t="s">
        <v>5741</v>
      </c>
      <c r="F1723" t="s">
        <v>3249</v>
      </c>
      <c r="G1723" t="s">
        <v>3249</v>
      </c>
      <c r="H1723" t="s">
        <v>3250</v>
      </c>
      <c r="I1723" t="s">
        <v>3250</v>
      </c>
      <c r="J1723" t="s">
        <v>3250</v>
      </c>
      <c r="K1723" t="s">
        <v>3250</v>
      </c>
      <c r="L1723">
        <v>1200</v>
      </c>
      <c r="M1723" t="s">
        <v>2368</v>
      </c>
      <c r="N1723">
        <v>1204</v>
      </c>
      <c r="O1723" t="s">
        <v>1574</v>
      </c>
      <c r="P1723" t="s">
        <v>3108</v>
      </c>
      <c r="Q1723">
        <v>2010</v>
      </c>
      <c r="R1723" t="s">
        <v>1355</v>
      </c>
      <c r="S1723" t="s">
        <v>472</v>
      </c>
      <c r="T1723" t="s">
        <v>3251</v>
      </c>
      <c r="U1723">
        <v>120</v>
      </c>
      <c r="V1723" t="s">
        <v>599</v>
      </c>
      <c r="W1723">
        <v>120</v>
      </c>
      <c r="X1723" t="s">
        <v>599</v>
      </c>
      <c r="Y1723" t="s">
        <v>3250</v>
      </c>
      <c r="Z1723" t="s">
        <v>3250</v>
      </c>
      <c r="AA1723" t="s">
        <v>3108</v>
      </c>
      <c r="AB1723" t="s">
        <v>3108</v>
      </c>
      <c r="AC1723">
        <v>420</v>
      </c>
      <c r="AD1723" t="s">
        <v>827</v>
      </c>
      <c r="AE1723">
        <v>560</v>
      </c>
      <c r="AF1723" t="s">
        <v>827</v>
      </c>
      <c r="AG1723" t="s">
        <v>3250</v>
      </c>
      <c r="AH1723" t="s">
        <v>3250</v>
      </c>
      <c r="AI1723" t="s">
        <v>3250</v>
      </c>
      <c r="AJ1723" t="s">
        <v>3250</v>
      </c>
      <c r="AL1723" t="s">
        <v>3250</v>
      </c>
      <c r="AM1723" t="s">
        <v>3250</v>
      </c>
      <c r="AN1723" t="s">
        <v>3250</v>
      </c>
      <c r="AO1723" t="s">
        <v>3250</v>
      </c>
      <c r="AS1723" t="s">
        <v>3250</v>
      </c>
      <c r="AT1723" t="s">
        <v>3250</v>
      </c>
      <c r="AU1723" t="s">
        <v>3250</v>
      </c>
      <c r="AV1723" t="s">
        <v>3250</v>
      </c>
      <c r="AW1723" t="s">
        <v>3250</v>
      </c>
      <c r="AX1723" t="s">
        <v>3250</v>
      </c>
      <c r="AY1723" t="s">
        <v>3250</v>
      </c>
      <c r="AZ1723" t="s">
        <v>3250</v>
      </c>
      <c r="BA1723" t="s">
        <v>3250</v>
      </c>
      <c r="BB1723" t="s">
        <v>3250</v>
      </c>
      <c r="BC1723" t="s">
        <v>3250</v>
      </c>
      <c r="BE1723" t="s">
        <v>3250</v>
      </c>
      <c r="BF1723" t="s">
        <v>3250</v>
      </c>
      <c r="BG1723" t="s">
        <v>3250</v>
      </c>
      <c r="BH1723" t="s">
        <v>3250</v>
      </c>
      <c r="BI1723" t="s">
        <v>3250</v>
      </c>
      <c r="BK1723" t="s">
        <v>3250</v>
      </c>
      <c r="BL1723" t="s">
        <v>3250</v>
      </c>
      <c r="BM1723" t="s">
        <v>3250</v>
      </c>
      <c r="BN1723" t="s">
        <v>3250</v>
      </c>
      <c r="BP1723">
        <v>1</v>
      </c>
      <c r="BQ1723">
        <v>11</v>
      </c>
      <c r="BR1723" t="s">
        <v>1574</v>
      </c>
      <c r="BS1723" t="s">
        <v>3252</v>
      </c>
      <c r="BV1723">
        <v>0</v>
      </c>
      <c r="BW1723">
        <v>0</v>
      </c>
      <c r="BX1723">
        <v>0</v>
      </c>
      <c r="BY1723">
        <v>0</v>
      </c>
      <c r="BZ1723">
        <v>0</v>
      </c>
      <c r="CA1723">
        <v>0</v>
      </c>
      <c r="CB1723">
        <v>0</v>
      </c>
      <c r="CC1723">
        <v>0</v>
      </c>
      <c r="CD1723">
        <v>0</v>
      </c>
      <c r="CE1723" t="s">
        <v>3108</v>
      </c>
      <c r="CF1723" t="s">
        <v>3108</v>
      </c>
      <c r="CG1723" t="s">
        <v>3108</v>
      </c>
      <c r="CH1723" t="s">
        <v>3108</v>
      </c>
    </row>
    <row r="1724" spans="1:86" x14ac:dyDescent="0.2">
      <c r="A1724" t="s">
        <v>5742</v>
      </c>
      <c r="B1724" t="s">
        <v>5742</v>
      </c>
      <c r="C1724">
        <v>54847</v>
      </c>
      <c r="D1724">
        <v>1847</v>
      </c>
      <c r="E1724" t="s">
        <v>5717</v>
      </c>
      <c r="F1724" t="s">
        <v>3249</v>
      </c>
      <c r="G1724" t="s">
        <v>3249</v>
      </c>
      <c r="H1724" t="s">
        <v>3250</v>
      </c>
      <c r="I1724" t="s">
        <v>3250</v>
      </c>
      <c r="J1724" t="s">
        <v>3250</v>
      </c>
      <c r="K1724" t="s">
        <v>3250</v>
      </c>
      <c r="L1724">
        <v>1200</v>
      </c>
      <c r="M1724" t="s">
        <v>2368</v>
      </c>
      <c r="N1724">
        <v>1204</v>
      </c>
      <c r="O1724" t="s">
        <v>1574</v>
      </c>
      <c r="P1724" t="s">
        <v>3108</v>
      </c>
      <c r="Q1724">
        <v>2010</v>
      </c>
      <c r="R1724" t="s">
        <v>1355</v>
      </c>
      <c r="S1724" t="s">
        <v>472</v>
      </c>
      <c r="T1724" t="s">
        <v>3251</v>
      </c>
      <c r="U1724">
        <v>120</v>
      </c>
      <c r="V1724" t="s">
        <v>599</v>
      </c>
      <c r="W1724">
        <v>120</v>
      </c>
      <c r="X1724" t="s">
        <v>599</v>
      </c>
      <c r="Y1724" t="s">
        <v>5743</v>
      </c>
      <c r="Z1724" t="s">
        <v>5744</v>
      </c>
      <c r="AA1724" t="s">
        <v>5743</v>
      </c>
      <c r="AB1724" t="s">
        <v>5744</v>
      </c>
      <c r="AC1724" t="s">
        <v>3250</v>
      </c>
      <c r="AD1724" t="s">
        <v>3250</v>
      </c>
      <c r="AE1724" t="s">
        <v>3250</v>
      </c>
      <c r="AF1724" t="s">
        <v>3250</v>
      </c>
      <c r="AG1724" t="s">
        <v>3250</v>
      </c>
      <c r="AH1724" t="s">
        <v>3250</v>
      </c>
      <c r="AI1724" t="s">
        <v>3250</v>
      </c>
      <c r="AJ1724" t="s">
        <v>3250</v>
      </c>
      <c r="AL1724" t="s">
        <v>3250</v>
      </c>
      <c r="AM1724" t="s">
        <v>3250</v>
      </c>
      <c r="AN1724" t="s">
        <v>3250</v>
      </c>
      <c r="AO1724" t="s">
        <v>3250</v>
      </c>
      <c r="AR1724" t="s">
        <v>5718</v>
      </c>
      <c r="AS1724" t="s">
        <v>3250</v>
      </c>
      <c r="AT1724" t="s">
        <v>3250</v>
      </c>
      <c r="AU1724" t="s">
        <v>3250</v>
      </c>
      <c r="AV1724" t="s">
        <v>3250</v>
      </c>
      <c r="AW1724" t="s">
        <v>3250</v>
      </c>
      <c r="AX1724" t="s">
        <v>3250</v>
      </c>
      <c r="AY1724" t="s">
        <v>3250</v>
      </c>
      <c r="AZ1724" t="s">
        <v>3250</v>
      </c>
      <c r="BA1724" t="s">
        <v>3250</v>
      </c>
      <c r="BB1724" t="s">
        <v>3250</v>
      </c>
      <c r="BC1724" t="s">
        <v>3250</v>
      </c>
      <c r="BE1724" t="s">
        <v>3250</v>
      </c>
      <c r="BF1724" t="s">
        <v>3250</v>
      </c>
      <c r="BG1724" t="s">
        <v>3250</v>
      </c>
      <c r="BH1724" t="s">
        <v>3250</v>
      </c>
      <c r="BI1724" t="s">
        <v>3250</v>
      </c>
      <c r="BK1724" t="s">
        <v>3250</v>
      </c>
      <c r="BL1724" t="s">
        <v>3250</v>
      </c>
      <c r="BM1724" t="s">
        <v>3250</v>
      </c>
      <c r="BN1724" t="s">
        <v>3250</v>
      </c>
      <c r="BP1724">
        <v>1</v>
      </c>
      <c r="BQ1724">
        <v>11</v>
      </c>
      <c r="BR1724" t="s">
        <v>1574</v>
      </c>
      <c r="BS1724" t="s">
        <v>3252</v>
      </c>
      <c r="BV1724">
        <v>0</v>
      </c>
      <c r="BW1724">
        <v>0</v>
      </c>
      <c r="BX1724">
        <v>0</v>
      </c>
      <c r="BY1724">
        <v>-15996000</v>
      </c>
      <c r="BZ1724">
        <v>0</v>
      </c>
      <c r="CA1724">
        <v>-144263232</v>
      </c>
      <c r="CB1724">
        <v>-149714410</v>
      </c>
      <c r="CC1724">
        <v>-155724958</v>
      </c>
      <c r="CD1724">
        <v>0</v>
      </c>
      <c r="CE1724" t="s">
        <v>3108</v>
      </c>
      <c r="CF1724" t="s">
        <v>3108</v>
      </c>
      <c r="CG1724" t="s">
        <v>3108</v>
      </c>
      <c r="CH1724" t="s">
        <v>3108</v>
      </c>
    </row>
    <row r="1725" spans="1:86" x14ac:dyDescent="0.2">
      <c r="A1725" t="s">
        <v>5745</v>
      </c>
      <c r="B1725" t="s">
        <v>5745</v>
      </c>
      <c r="C1725">
        <v>54848</v>
      </c>
      <c r="D1725">
        <v>1848</v>
      </c>
      <c r="E1725" t="s">
        <v>5746</v>
      </c>
      <c r="F1725" t="s">
        <v>3249</v>
      </c>
      <c r="G1725" t="s">
        <v>3249</v>
      </c>
      <c r="H1725" t="s">
        <v>3250</v>
      </c>
      <c r="I1725" t="s">
        <v>3250</v>
      </c>
      <c r="J1725" t="s">
        <v>3250</v>
      </c>
      <c r="K1725" t="s">
        <v>3250</v>
      </c>
      <c r="L1725">
        <v>1200</v>
      </c>
      <c r="M1725" t="s">
        <v>2368</v>
      </c>
      <c r="N1725">
        <v>1204</v>
      </c>
      <c r="O1725" t="s">
        <v>1574</v>
      </c>
      <c r="P1725" t="s">
        <v>3108</v>
      </c>
      <c r="Q1725">
        <v>2010</v>
      </c>
      <c r="R1725" t="s">
        <v>1355</v>
      </c>
      <c r="S1725" t="s">
        <v>472</v>
      </c>
      <c r="T1725" t="s">
        <v>3251</v>
      </c>
      <c r="U1725">
        <v>120</v>
      </c>
      <c r="V1725" t="s">
        <v>599</v>
      </c>
      <c r="W1725">
        <v>120</v>
      </c>
      <c r="X1725" t="s">
        <v>599</v>
      </c>
      <c r="Y1725" t="s">
        <v>3250</v>
      </c>
      <c r="Z1725" t="s">
        <v>3250</v>
      </c>
      <c r="AA1725" t="s">
        <v>3108</v>
      </c>
      <c r="AB1725" t="s">
        <v>3108</v>
      </c>
      <c r="AC1725">
        <v>200</v>
      </c>
      <c r="AD1725" t="s">
        <v>5291</v>
      </c>
      <c r="AE1725">
        <v>480</v>
      </c>
      <c r="AF1725" t="s">
        <v>822</v>
      </c>
      <c r="AG1725" t="s">
        <v>3250</v>
      </c>
      <c r="AH1725" t="s">
        <v>3250</v>
      </c>
      <c r="AI1725" t="s">
        <v>3250</v>
      </c>
      <c r="AJ1725" t="s">
        <v>3250</v>
      </c>
      <c r="AL1725" t="s">
        <v>3250</v>
      </c>
      <c r="AM1725" t="s">
        <v>3250</v>
      </c>
      <c r="AN1725" t="s">
        <v>3250</v>
      </c>
      <c r="AO1725" t="s">
        <v>3250</v>
      </c>
      <c r="AS1725" t="s">
        <v>3250</v>
      </c>
      <c r="AT1725" t="s">
        <v>3250</v>
      </c>
      <c r="AU1725" t="s">
        <v>3250</v>
      </c>
      <c r="AV1725" t="s">
        <v>3250</v>
      </c>
      <c r="AW1725" t="s">
        <v>3250</v>
      </c>
      <c r="AX1725" t="s">
        <v>3250</v>
      </c>
      <c r="AY1725" t="s">
        <v>3250</v>
      </c>
      <c r="AZ1725" t="s">
        <v>3250</v>
      </c>
      <c r="BA1725" t="s">
        <v>3250</v>
      </c>
      <c r="BB1725" t="s">
        <v>3250</v>
      </c>
      <c r="BC1725" t="s">
        <v>3250</v>
      </c>
      <c r="BE1725" t="s">
        <v>3250</v>
      </c>
      <c r="BF1725" t="s">
        <v>3250</v>
      </c>
      <c r="BG1725" t="s">
        <v>3250</v>
      </c>
      <c r="BH1725" t="s">
        <v>3250</v>
      </c>
      <c r="BI1725" t="s">
        <v>3250</v>
      </c>
      <c r="BK1725" t="s">
        <v>3250</v>
      </c>
      <c r="BL1725" t="s">
        <v>3250</v>
      </c>
      <c r="BM1725" t="s">
        <v>3250</v>
      </c>
      <c r="BN1725" t="s">
        <v>3250</v>
      </c>
      <c r="BP1725">
        <v>1</v>
      </c>
      <c r="BQ1725">
        <v>11</v>
      </c>
      <c r="BR1725" t="s">
        <v>1574</v>
      </c>
      <c r="BS1725" t="s">
        <v>3252</v>
      </c>
      <c r="BV1725">
        <v>0</v>
      </c>
      <c r="BW1725">
        <v>0</v>
      </c>
      <c r="BX1725">
        <v>0</v>
      </c>
      <c r="BY1725">
        <v>0</v>
      </c>
      <c r="BZ1725">
        <v>0</v>
      </c>
      <c r="CA1725">
        <v>0</v>
      </c>
      <c r="CB1725">
        <v>0</v>
      </c>
      <c r="CC1725">
        <v>0</v>
      </c>
      <c r="CD1725">
        <v>0</v>
      </c>
      <c r="CE1725" t="s">
        <v>3108</v>
      </c>
      <c r="CF1725" t="s">
        <v>3108</v>
      </c>
      <c r="CG1725" t="s">
        <v>3108</v>
      </c>
      <c r="CH1725" t="s">
        <v>3108</v>
      </c>
    </row>
    <row r="1726" spans="1:86" x14ac:dyDescent="0.2">
      <c r="A1726" t="s">
        <v>5747</v>
      </c>
      <c r="B1726" t="s">
        <v>5747</v>
      </c>
      <c r="C1726">
        <v>54849</v>
      </c>
      <c r="D1726">
        <v>1849</v>
      </c>
      <c r="E1726" t="s">
        <v>5712</v>
      </c>
      <c r="F1726" t="s">
        <v>3249</v>
      </c>
      <c r="G1726" t="s">
        <v>3249</v>
      </c>
      <c r="H1726" t="s">
        <v>3250</v>
      </c>
      <c r="I1726" t="s">
        <v>3250</v>
      </c>
      <c r="J1726" t="s">
        <v>3250</v>
      </c>
      <c r="K1726" t="s">
        <v>3250</v>
      </c>
      <c r="L1726">
        <v>1200</v>
      </c>
      <c r="M1726" t="s">
        <v>2368</v>
      </c>
      <c r="N1726">
        <v>1204</v>
      </c>
      <c r="O1726" t="s">
        <v>1574</v>
      </c>
      <c r="P1726" t="s">
        <v>3108</v>
      </c>
      <c r="Q1726">
        <v>2010</v>
      </c>
      <c r="R1726" t="s">
        <v>1355</v>
      </c>
      <c r="S1726" t="s">
        <v>472</v>
      </c>
      <c r="T1726" t="s">
        <v>3251</v>
      </c>
      <c r="U1726">
        <v>120</v>
      </c>
      <c r="V1726" t="s">
        <v>599</v>
      </c>
      <c r="W1726">
        <v>120</v>
      </c>
      <c r="X1726" t="s">
        <v>599</v>
      </c>
      <c r="Y1726" t="s">
        <v>5748</v>
      </c>
      <c r="Z1726" t="s">
        <v>5744</v>
      </c>
      <c r="AA1726" t="s">
        <v>5748</v>
      </c>
      <c r="AB1726" t="s">
        <v>5744</v>
      </c>
      <c r="AC1726" t="s">
        <v>3250</v>
      </c>
      <c r="AD1726" t="s">
        <v>3250</v>
      </c>
      <c r="AE1726" t="s">
        <v>3250</v>
      </c>
      <c r="AF1726" t="s">
        <v>3250</v>
      </c>
      <c r="AG1726" t="s">
        <v>3250</v>
      </c>
      <c r="AH1726" t="s">
        <v>3250</v>
      </c>
      <c r="AI1726" t="s">
        <v>3250</v>
      </c>
      <c r="AJ1726" t="s">
        <v>3250</v>
      </c>
      <c r="AL1726" t="s">
        <v>3250</v>
      </c>
      <c r="AM1726" t="s">
        <v>3250</v>
      </c>
      <c r="AN1726" t="s">
        <v>3250</v>
      </c>
      <c r="AO1726" t="s">
        <v>3250</v>
      </c>
      <c r="AR1726" t="s">
        <v>486</v>
      </c>
      <c r="AS1726" t="s">
        <v>3250</v>
      </c>
      <c r="AT1726" t="s">
        <v>3250</v>
      </c>
      <c r="AU1726" t="s">
        <v>3250</v>
      </c>
      <c r="AV1726" t="s">
        <v>3250</v>
      </c>
      <c r="AW1726" t="s">
        <v>3250</v>
      </c>
      <c r="AX1726" t="s">
        <v>3250</v>
      </c>
      <c r="AY1726" t="s">
        <v>3250</v>
      </c>
      <c r="AZ1726" t="s">
        <v>3250</v>
      </c>
      <c r="BA1726" t="s">
        <v>3250</v>
      </c>
      <c r="BB1726" t="s">
        <v>3250</v>
      </c>
      <c r="BC1726" t="s">
        <v>3250</v>
      </c>
      <c r="BE1726" t="s">
        <v>3250</v>
      </c>
      <c r="BF1726" t="s">
        <v>3250</v>
      </c>
      <c r="BG1726" t="s">
        <v>3250</v>
      </c>
      <c r="BH1726" t="s">
        <v>3250</v>
      </c>
      <c r="BI1726" t="s">
        <v>3250</v>
      </c>
      <c r="BK1726" t="s">
        <v>3250</v>
      </c>
      <c r="BL1726" t="s">
        <v>3250</v>
      </c>
      <c r="BM1726" t="s">
        <v>3250</v>
      </c>
      <c r="BN1726" t="s">
        <v>3250</v>
      </c>
      <c r="BP1726">
        <v>1</v>
      </c>
      <c r="BQ1726">
        <v>11</v>
      </c>
      <c r="BR1726" t="s">
        <v>1574</v>
      </c>
      <c r="BS1726" t="s">
        <v>3252</v>
      </c>
      <c r="BV1726">
        <v>0</v>
      </c>
      <c r="BW1726">
        <v>0</v>
      </c>
      <c r="BX1726">
        <v>0</v>
      </c>
      <c r="BY1726">
        <v>0</v>
      </c>
      <c r="BZ1726">
        <v>0</v>
      </c>
      <c r="CA1726">
        <v>0</v>
      </c>
      <c r="CB1726">
        <v>0</v>
      </c>
      <c r="CC1726">
        <v>0</v>
      </c>
      <c r="CD1726">
        <v>0</v>
      </c>
      <c r="CE1726" t="s">
        <v>3108</v>
      </c>
      <c r="CF1726" t="s">
        <v>3108</v>
      </c>
      <c r="CG1726" t="s">
        <v>3108</v>
      </c>
      <c r="CH1726" t="s">
        <v>3108</v>
      </c>
    </row>
    <row r="1727" spans="1:86" x14ac:dyDescent="0.2">
      <c r="A1727" t="s">
        <v>5749</v>
      </c>
      <c r="B1727" t="s">
        <v>5749</v>
      </c>
      <c r="C1727">
        <v>54850</v>
      </c>
      <c r="D1727">
        <v>1850</v>
      </c>
      <c r="E1727" t="s">
        <v>5115</v>
      </c>
      <c r="F1727" t="s">
        <v>3249</v>
      </c>
      <c r="G1727" t="s">
        <v>3249</v>
      </c>
      <c r="H1727" t="s">
        <v>3250</v>
      </c>
      <c r="I1727" t="s">
        <v>3250</v>
      </c>
      <c r="J1727" t="s">
        <v>3250</v>
      </c>
      <c r="K1727" t="s">
        <v>3250</v>
      </c>
      <c r="L1727">
        <v>1200</v>
      </c>
      <c r="M1727" t="s">
        <v>2368</v>
      </c>
      <c r="N1727">
        <v>1204</v>
      </c>
      <c r="O1727" t="s">
        <v>1574</v>
      </c>
      <c r="P1727" t="s">
        <v>3108</v>
      </c>
      <c r="Q1727">
        <v>2010</v>
      </c>
      <c r="R1727" t="s">
        <v>1355</v>
      </c>
      <c r="S1727" t="s">
        <v>472</v>
      </c>
      <c r="T1727" t="s">
        <v>3251</v>
      </c>
      <c r="U1727">
        <v>120</v>
      </c>
      <c r="V1727" t="s">
        <v>599</v>
      </c>
      <c r="W1727">
        <v>120</v>
      </c>
      <c r="X1727" t="s">
        <v>599</v>
      </c>
      <c r="Y1727" t="s">
        <v>2756</v>
      </c>
      <c r="Z1727" t="s">
        <v>5744</v>
      </c>
      <c r="AA1727">
        <v>280</v>
      </c>
      <c r="AB1727" t="s">
        <v>5750</v>
      </c>
      <c r="AC1727" t="s">
        <v>3250</v>
      </c>
      <c r="AD1727" t="s">
        <v>3250</v>
      </c>
      <c r="AE1727" t="s">
        <v>3250</v>
      </c>
      <c r="AF1727" t="s">
        <v>3250</v>
      </c>
      <c r="AG1727" t="s">
        <v>3250</v>
      </c>
      <c r="AH1727" t="s">
        <v>3250</v>
      </c>
      <c r="AI1727" t="s">
        <v>3250</v>
      </c>
      <c r="AJ1727" t="s">
        <v>3250</v>
      </c>
      <c r="AL1727" t="s">
        <v>3250</v>
      </c>
      <c r="AM1727" t="s">
        <v>3250</v>
      </c>
      <c r="AN1727" t="s">
        <v>3250</v>
      </c>
      <c r="AO1727" t="s">
        <v>3250</v>
      </c>
      <c r="AR1727" t="s">
        <v>472</v>
      </c>
      <c r="AS1727" t="s">
        <v>3250</v>
      </c>
      <c r="AT1727" t="s">
        <v>3250</v>
      </c>
      <c r="AU1727" t="s">
        <v>3250</v>
      </c>
      <c r="AV1727" t="s">
        <v>3250</v>
      </c>
      <c r="AW1727" t="s">
        <v>3250</v>
      </c>
      <c r="AX1727" t="s">
        <v>3250</v>
      </c>
      <c r="AY1727" t="s">
        <v>3250</v>
      </c>
      <c r="AZ1727" t="s">
        <v>3250</v>
      </c>
      <c r="BA1727" t="s">
        <v>3250</v>
      </c>
      <c r="BB1727" t="s">
        <v>3250</v>
      </c>
      <c r="BC1727" t="s">
        <v>3250</v>
      </c>
      <c r="BE1727" t="s">
        <v>3250</v>
      </c>
      <c r="BF1727" t="s">
        <v>3250</v>
      </c>
      <c r="BG1727" t="s">
        <v>3250</v>
      </c>
      <c r="BH1727" t="s">
        <v>3250</v>
      </c>
      <c r="BI1727" t="s">
        <v>3250</v>
      </c>
      <c r="BK1727" t="s">
        <v>3250</v>
      </c>
      <c r="BL1727" t="s">
        <v>3250</v>
      </c>
      <c r="BM1727" t="s">
        <v>3250</v>
      </c>
      <c r="BN1727" t="s">
        <v>3250</v>
      </c>
      <c r="BP1727">
        <v>1</v>
      </c>
      <c r="BQ1727">
        <v>11</v>
      </c>
      <c r="BR1727" t="s">
        <v>1574</v>
      </c>
      <c r="BS1727" t="s">
        <v>3252</v>
      </c>
      <c r="BV1727">
        <v>0</v>
      </c>
      <c r="BW1727">
        <v>0</v>
      </c>
      <c r="BX1727">
        <v>0</v>
      </c>
      <c r="BY1727">
        <v>15996000</v>
      </c>
      <c r="BZ1727">
        <v>25800000</v>
      </c>
      <c r="CA1727">
        <v>24755000</v>
      </c>
      <c r="CB1727">
        <v>17027000</v>
      </c>
      <c r="CC1727">
        <v>17781000</v>
      </c>
      <c r="CD1727">
        <v>0</v>
      </c>
      <c r="CE1727" t="s">
        <v>3108</v>
      </c>
      <c r="CF1727" t="s">
        <v>3108</v>
      </c>
      <c r="CG1727" t="s">
        <v>3108</v>
      </c>
      <c r="CH1727" t="s">
        <v>3108</v>
      </c>
    </row>
    <row r="1728" spans="1:86" x14ac:dyDescent="0.2">
      <c r="A1728" t="s">
        <v>5751</v>
      </c>
      <c r="B1728" t="s">
        <v>5751</v>
      </c>
      <c r="C1728">
        <v>54851</v>
      </c>
      <c r="D1728">
        <v>1851</v>
      </c>
      <c r="E1728" t="s">
        <v>5115</v>
      </c>
      <c r="F1728" t="s">
        <v>3249</v>
      </c>
      <c r="G1728" t="s">
        <v>3249</v>
      </c>
      <c r="H1728" t="s">
        <v>3250</v>
      </c>
      <c r="I1728" t="s">
        <v>3250</v>
      </c>
      <c r="J1728" t="s">
        <v>3250</v>
      </c>
      <c r="K1728" t="s">
        <v>3250</v>
      </c>
      <c r="L1728">
        <v>1200</v>
      </c>
      <c r="M1728" t="s">
        <v>2368</v>
      </c>
      <c r="N1728">
        <v>1204</v>
      </c>
      <c r="O1728" t="s">
        <v>1574</v>
      </c>
      <c r="P1728" t="s">
        <v>3108</v>
      </c>
      <c r="Q1728" t="s">
        <v>3249</v>
      </c>
      <c r="R1728" t="s">
        <v>3249</v>
      </c>
      <c r="S1728" t="s">
        <v>472</v>
      </c>
      <c r="T1728" t="s">
        <v>3251</v>
      </c>
      <c r="U1728">
        <v>120</v>
      </c>
      <c r="V1728" t="s">
        <v>599</v>
      </c>
      <c r="W1728">
        <v>120</v>
      </c>
      <c r="X1728" t="s">
        <v>599</v>
      </c>
      <c r="Y1728" t="s">
        <v>2755</v>
      </c>
      <c r="Z1728" t="s">
        <v>5308</v>
      </c>
      <c r="AA1728" t="s">
        <v>2755</v>
      </c>
      <c r="AB1728" t="s">
        <v>5308</v>
      </c>
      <c r="AC1728" t="s">
        <v>3250</v>
      </c>
      <c r="AD1728" t="s">
        <v>3250</v>
      </c>
      <c r="AE1728" t="s">
        <v>3250</v>
      </c>
      <c r="AF1728" t="s">
        <v>3250</v>
      </c>
      <c r="AG1728" t="s">
        <v>3250</v>
      </c>
      <c r="AH1728" t="s">
        <v>3250</v>
      </c>
      <c r="AI1728" t="s">
        <v>3250</v>
      </c>
      <c r="AJ1728" t="s">
        <v>3250</v>
      </c>
      <c r="AL1728" t="s">
        <v>3250</v>
      </c>
      <c r="AM1728" t="s">
        <v>3250</v>
      </c>
      <c r="AN1728" t="s">
        <v>3250</v>
      </c>
      <c r="AO1728" t="s">
        <v>3250</v>
      </c>
      <c r="AR1728" t="s">
        <v>472</v>
      </c>
      <c r="AS1728" t="s">
        <v>3250</v>
      </c>
      <c r="AT1728" t="s">
        <v>3250</v>
      </c>
      <c r="AU1728" t="s">
        <v>3250</v>
      </c>
      <c r="AV1728" t="s">
        <v>3250</v>
      </c>
      <c r="AW1728" t="s">
        <v>3250</v>
      </c>
      <c r="AX1728" t="s">
        <v>3250</v>
      </c>
      <c r="AY1728" t="s">
        <v>3250</v>
      </c>
      <c r="AZ1728" t="s">
        <v>3250</v>
      </c>
      <c r="BA1728" t="s">
        <v>3250</v>
      </c>
      <c r="BB1728" t="s">
        <v>3250</v>
      </c>
      <c r="BC1728" t="s">
        <v>3250</v>
      </c>
      <c r="BE1728" t="s">
        <v>3250</v>
      </c>
      <c r="BF1728" t="s">
        <v>3250</v>
      </c>
      <c r="BG1728" t="s">
        <v>3250</v>
      </c>
      <c r="BH1728" t="s">
        <v>3250</v>
      </c>
      <c r="BI1728" t="s">
        <v>3250</v>
      </c>
      <c r="BK1728" t="s">
        <v>3250</v>
      </c>
      <c r="BL1728" t="s">
        <v>3250</v>
      </c>
      <c r="BM1728" t="s">
        <v>3250</v>
      </c>
      <c r="BN1728" t="s">
        <v>3250</v>
      </c>
      <c r="BP1728">
        <v>1</v>
      </c>
      <c r="BQ1728">
        <v>11</v>
      </c>
      <c r="BR1728" t="s">
        <v>1574</v>
      </c>
      <c r="BS1728" t="s">
        <v>3252</v>
      </c>
      <c r="BV1728">
        <v>0</v>
      </c>
      <c r="BW1728">
        <v>0</v>
      </c>
      <c r="BX1728">
        <v>0</v>
      </c>
      <c r="BY1728">
        <v>2800000</v>
      </c>
      <c r="BZ1728">
        <v>0</v>
      </c>
      <c r="CA1728">
        <v>0</v>
      </c>
      <c r="CB1728">
        <v>0</v>
      </c>
      <c r="CC1728">
        <v>0</v>
      </c>
      <c r="CD1728">
        <v>0</v>
      </c>
      <c r="CE1728" t="s">
        <v>3108</v>
      </c>
      <c r="CF1728" t="s">
        <v>3108</v>
      </c>
      <c r="CG1728" t="s">
        <v>3108</v>
      </c>
      <c r="CH1728" t="s">
        <v>3108</v>
      </c>
    </row>
    <row r="1729" spans="1:86" x14ac:dyDescent="0.2">
      <c r="A1729" t="s">
        <v>5752</v>
      </c>
      <c r="B1729" t="s">
        <v>5752</v>
      </c>
      <c r="C1729">
        <v>54852</v>
      </c>
      <c r="D1729">
        <v>1852</v>
      </c>
      <c r="E1729" t="s">
        <v>5717</v>
      </c>
      <c r="F1729" t="s">
        <v>3249</v>
      </c>
      <c r="G1729" t="s">
        <v>3249</v>
      </c>
      <c r="H1729" t="s">
        <v>3250</v>
      </c>
      <c r="I1729" t="s">
        <v>3250</v>
      </c>
      <c r="J1729" t="s">
        <v>3250</v>
      </c>
      <c r="K1729" t="s">
        <v>3250</v>
      </c>
      <c r="L1729">
        <v>1200</v>
      </c>
      <c r="M1729" t="s">
        <v>2368</v>
      </c>
      <c r="N1729">
        <v>1204</v>
      </c>
      <c r="O1729" t="s">
        <v>1574</v>
      </c>
      <c r="P1729" t="s">
        <v>3108</v>
      </c>
      <c r="Q1729" t="s">
        <v>3249</v>
      </c>
      <c r="R1729" t="s">
        <v>3249</v>
      </c>
      <c r="S1729" t="s">
        <v>472</v>
      </c>
      <c r="T1729" t="s">
        <v>3251</v>
      </c>
      <c r="U1729">
        <v>120</v>
      </c>
      <c r="V1729" t="s">
        <v>599</v>
      </c>
      <c r="W1729">
        <v>120</v>
      </c>
      <c r="X1729" t="s">
        <v>599</v>
      </c>
      <c r="Y1729" t="s">
        <v>5314</v>
      </c>
      <c r="Z1729" t="s">
        <v>5308</v>
      </c>
      <c r="AA1729" t="s">
        <v>5314</v>
      </c>
      <c r="AB1729" t="s">
        <v>5308</v>
      </c>
      <c r="AC1729" t="s">
        <v>3250</v>
      </c>
      <c r="AD1729" t="s">
        <v>3250</v>
      </c>
      <c r="AE1729" t="s">
        <v>3250</v>
      </c>
      <c r="AF1729" t="s">
        <v>3250</v>
      </c>
      <c r="AG1729" t="s">
        <v>3250</v>
      </c>
      <c r="AH1729" t="s">
        <v>3250</v>
      </c>
      <c r="AI1729" t="s">
        <v>3250</v>
      </c>
      <c r="AJ1729" t="s">
        <v>3250</v>
      </c>
      <c r="AL1729" t="s">
        <v>3250</v>
      </c>
      <c r="AM1729" t="s">
        <v>3250</v>
      </c>
      <c r="AN1729" t="s">
        <v>3250</v>
      </c>
      <c r="AO1729" t="s">
        <v>3250</v>
      </c>
      <c r="AR1729" t="s">
        <v>5718</v>
      </c>
      <c r="AS1729" t="s">
        <v>3250</v>
      </c>
      <c r="AT1729" t="s">
        <v>3250</v>
      </c>
      <c r="AU1729" t="s">
        <v>3250</v>
      </c>
      <c r="AV1729" t="s">
        <v>3250</v>
      </c>
      <c r="AW1729" t="s">
        <v>3250</v>
      </c>
      <c r="AX1729" t="s">
        <v>3250</v>
      </c>
      <c r="AY1729" t="s">
        <v>3250</v>
      </c>
      <c r="AZ1729" t="s">
        <v>3250</v>
      </c>
      <c r="BA1729" t="s">
        <v>3250</v>
      </c>
      <c r="BB1729" t="s">
        <v>3250</v>
      </c>
      <c r="BC1729" t="s">
        <v>3250</v>
      </c>
      <c r="BE1729" t="s">
        <v>3250</v>
      </c>
      <c r="BF1729" t="s">
        <v>3250</v>
      </c>
      <c r="BG1729" t="s">
        <v>3250</v>
      </c>
      <c r="BH1729" t="s">
        <v>3250</v>
      </c>
      <c r="BI1729" t="s">
        <v>3250</v>
      </c>
      <c r="BK1729" t="s">
        <v>3250</v>
      </c>
      <c r="BL1729" t="s">
        <v>3250</v>
      </c>
      <c r="BM1729" t="s">
        <v>3250</v>
      </c>
      <c r="BN1729" t="s">
        <v>3250</v>
      </c>
      <c r="BP1729">
        <v>1</v>
      </c>
      <c r="BQ1729">
        <v>11</v>
      </c>
      <c r="BR1729" t="s">
        <v>1574</v>
      </c>
      <c r="BS1729" t="s">
        <v>3252</v>
      </c>
      <c r="BV1729">
        <v>0</v>
      </c>
      <c r="BW1729">
        <v>0</v>
      </c>
      <c r="BX1729">
        <v>0</v>
      </c>
      <c r="BY1729">
        <v>-2800000</v>
      </c>
      <c r="BZ1729">
        <v>0</v>
      </c>
      <c r="CA1729">
        <v>0</v>
      </c>
      <c r="CB1729">
        <v>0</v>
      </c>
      <c r="CC1729">
        <v>0</v>
      </c>
      <c r="CD1729">
        <v>0</v>
      </c>
      <c r="CE1729" t="s">
        <v>3108</v>
      </c>
      <c r="CF1729" t="s">
        <v>3108</v>
      </c>
      <c r="CG1729" t="s">
        <v>3108</v>
      </c>
      <c r="CH1729" t="s">
        <v>3108</v>
      </c>
    </row>
    <row r="1730" spans="1:86" x14ac:dyDescent="0.2">
      <c r="A1730" t="s">
        <v>5753</v>
      </c>
      <c r="B1730" t="s">
        <v>5753</v>
      </c>
      <c r="C1730">
        <v>54853</v>
      </c>
      <c r="D1730">
        <v>1853</v>
      </c>
      <c r="E1730" t="s">
        <v>5746</v>
      </c>
      <c r="F1730" t="s">
        <v>3249</v>
      </c>
      <c r="G1730" t="s">
        <v>3249</v>
      </c>
      <c r="H1730" t="s">
        <v>3250</v>
      </c>
      <c r="I1730" t="s">
        <v>3250</v>
      </c>
      <c r="J1730" t="s">
        <v>3250</v>
      </c>
      <c r="K1730" t="s">
        <v>3250</v>
      </c>
      <c r="L1730">
        <v>1200</v>
      </c>
      <c r="M1730" t="s">
        <v>2368</v>
      </c>
      <c r="N1730">
        <v>1204</v>
      </c>
      <c r="O1730" t="s">
        <v>1574</v>
      </c>
      <c r="P1730" t="s">
        <v>3108</v>
      </c>
      <c r="Q1730" t="s">
        <v>3249</v>
      </c>
      <c r="R1730" t="s">
        <v>3249</v>
      </c>
      <c r="S1730" t="s">
        <v>472</v>
      </c>
      <c r="T1730" t="s">
        <v>3251</v>
      </c>
      <c r="U1730">
        <v>120</v>
      </c>
      <c r="V1730" t="s">
        <v>599</v>
      </c>
      <c r="W1730">
        <v>120</v>
      </c>
      <c r="X1730" t="s">
        <v>599</v>
      </c>
      <c r="Y1730" t="s">
        <v>3250</v>
      </c>
      <c r="Z1730" t="s">
        <v>3250</v>
      </c>
      <c r="AA1730" t="s">
        <v>3108</v>
      </c>
      <c r="AB1730" t="s">
        <v>3108</v>
      </c>
      <c r="AC1730">
        <v>200</v>
      </c>
      <c r="AD1730" t="s">
        <v>5291</v>
      </c>
      <c r="AE1730">
        <v>480</v>
      </c>
      <c r="AF1730" t="s">
        <v>822</v>
      </c>
      <c r="AG1730" t="s">
        <v>3250</v>
      </c>
      <c r="AH1730" t="s">
        <v>3250</v>
      </c>
      <c r="AI1730" t="s">
        <v>3250</v>
      </c>
      <c r="AJ1730" t="s">
        <v>3250</v>
      </c>
      <c r="AL1730" t="s">
        <v>3250</v>
      </c>
      <c r="AM1730" t="s">
        <v>3250</v>
      </c>
      <c r="AN1730" t="s">
        <v>3250</v>
      </c>
      <c r="AO1730" t="s">
        <v>3250</v>
      </c>
      <c r="AS1730" t="s">
        <v>3250</v>
      </c>
      <c r="AT1730" t="s">
        <v>3250</v>
      </c>
      <c r="AU1730" t="s">
        <v>3250</v>
      </c>
      <c r="AV1730" t="s">
        <v>3250</v>
      </c>
      <c r="AW1730" t="s">
        <v>3250</v>
      </c>
      <c r="AX1730" t="s">
        <v>3250</v>
      </c>
      <c r="AY1730" t="s">
        <v>3250</v>
      </c>
      <c r="AZ1730" t="s">
        <v>3250</v>
      </c>
      <c r="BA1730" t="s">
        <v>3250</v>
      </c>
      <c r="BB1730" t="s">
        <v>3250</v>
      </c>
      <c r="BC1730" t="s">
        <v>3250</v>
      </c>
      <c r="BE1730" t="s">
        <v>3250</v>
      </c>
      <c r="BF1730" t="s">
        <v>3250</v>
      </c>
      <c r="BG1730" t="s">
        <v>3250</v>
      </c>
      <c r="BH1730" t="s">
        <v>3250</v>
      </c>
      <c r="BI1730" t="s">
        <v>3250</v>
      </c>
      <c r="BK1730" t="s">
        <v>3250</v>
      </c>
      <c r="BL1730" t="s">
        <v>3250</v>
      </c>
      <c r="BM1730" t="s">
        <v>3250</v>
      </c>
      <c r="BN1730" t="s">
        <v>3250</v>
      </c>
      <c r="BP1730">
        <v>1</v>
      </c>
      <c r="BQ1730">
        <v>11</v>
      </c>
      <c r="BR1730" t="s">
        <v>1574</v>
      </c>
      <c r="BS1730" t="s">
        <v>3252</v>
      </c>
      <c r="BV1730">
        <v>0</v>
      </c>
      <c r="BW1730">
        <v>0</v>
      </c>
      <c r="BX1730">
        <v>0</v>
      </c>
      <c r="BY1730">
        <v>0</v>
      </c>
      <c r="BZ1730">
        <v>0</v>
      </c>
      <c r="CA1730">
        <v>0</v>
      </c>
      <c r="CB1730">
        <v>0</v>
      </c>
      <c r="CC1730">
        <v>0</v>
      </c>
      <c r="CD1730">
        <v>0</v>
      </c>
      <c r="CE1730" t="s">
        <v>3108</v>
      </c>
      <c r="CF1730" t="s">
        <v>3108</v>
      </c>
      <c r="CG1730" t="s">
        <v>3108</v>
      </c>
      <c r="CH1730" t="s">
        <v>3108</v>
      </c>
    </row>
    <row r="1731" spans="1:86" x14ac:dyDescent="0.2">
      <c r="A1731" t="s">
        <v>5754</v>
      </c>
      <c r="B1731" t="s">
        <v>5754</v>
      </c>
      <c r="C1731">
        <v>54854</v>
      </c>
      <c r="D1731">
        <v>1854</v>
      </c>
      <c r="E1731" t="s">
        <v>5712</v>
      </c>
      <c r="F1731" t="s">
        <v>3249</v>
      </c>
      <c r="G1731" t="s">
        <v>3249</v>
      </c>
      <c r="H1731" t="s">
        <v>3250</v>
      </c>
      <c r="I1731" t="s">
        <v>3250</v>
      </c>
      <c r="J1731" t="s">
        <v>3250</v>
      </c>
      <c r="K1731" t="s">
        <v>3250</v>
      </c>
      <c r="L1731">
        <v>1200</v>
      </c>
      <c r="M1731" t="s">
        <v>2368</v>
      </c>
      <c r="N1731">
        <v>1204</v>
      </c>
      <c r="O1731" t="s">
        <v>1574</v>
      </c>
      <c r="P1731" t="s">
        <v>3108</v>
      </c>
      <c r="Q1731" t="s">
        <v>3249</v>
      </c>
      <c r="R1731" t="s">
        <v>3249</v>
      </c>
      <c r="S1731" t="s">
        <v>472</v>
      </c>
      <c r="T1731" t="s">
        <v>3251</v>
      </c>
      <c r="U1731">
        <v>120</v>
      </c>
      <c r="V1731" t="s">
        <v>599</v>
      </c>
      <c r="W1731">
        <v>120</v>
      </c>
      <c r="X1731" t="s">
        <v>599</v>
      </c>
      <c r="Y1731" t="s">
        <v>5755</v>
      </c>
      <c r="Z1731" t="s">
        <v>5308</v>
      </c>
      <c r="AA1731" t="s">
        <v>5755</v>
      </c>
      <c r="AB1731" t="s">
        <v>5308</v>
      </c>
      <c r="AC1731" t="s">
        <v>3250</v>
      </c>
      <c r="AD1731" t="s">
        <v>3250</v>
      </c>
      <c r="AE1731" t="s">
        <v>3250</v>
      </c>
      <c r="AF1731" t="s">
        <v>3250</v>
      </c>
      <c r="AG1731" t="s">
        <v>3250</v>
      </c>
      <c r="AH1731" t="s">
        <v>3250</v>
      </c>
      <c r="AI1731" t="s">
        <v>3250</v>
      </c>
      <c r="AJ1731" t="s">
        <v>3250</v>
      </c>
      <c r="AL1731" t="s">
        <v>3250</v>
      </c>
      <c r="AM1731" t="s">
        <v>3250</v>
      </c>
      <c r="AN1731" t="s">
        <v>3250</v>
      </c>
      <c r="AO1731" t="s">
        <v>3250</v>
      </c>
      <c r="AR1731" t="s">
        <v>486</v>
      </c>
      <c r="AS1731" t="s">
        <v>3250</v>
      </c>
      <c r="AT1731" t="s">
        <v>3250</v>
      </c>
      <c r="AU1731" t="s">
        <v>3250</v>
      </c>
      <c r="AV1731" t="s">
        <v>3250</v>
      </c>
      <c r="AW1731" t="s">
        <v>3250</v>
      </c>
      <c r="AX1731" t="s">
        <v>3250</v>
      </c>
      <c r="AY1731" t="s">
        <v>3250</v>
      </c>
      <c r="AZ1731" t="s">
        <v>3250</v>
      </c>
      <c r="BA1731" t="s">
        <v>3250</v>
      </c>
      <c r="BB1731" t="s">
        <v>3250</v>
      </c>
      <c r="BC1731" t="s">
        <v>3250</v>
      </c>
      <c r="BE1731" t="s">
        <v>3250</v>
      </c>
      <c r="BF1731" t="s">
        <v>3250</v>
      </c>
      <c r="BG1731" t="s">
        <v>3250</v>
      </c>
      <c r="BH1731" t="s">
        <v>3250</v>
      </c>
      <c r="BI1731" t="s">
        <v>3250</v>
      </c>
      <c r="BK1731" t="s">
        <v>3250</v>
      </c>
      <c r="BL1731" t="s">
        <v>3250</v>
      </c>
      <c r="BM1731" t="s">
        <v>3250</v>
      </c>
      <c r="BN1731" t="s">
        <v>3250</v>
      </c>
      <c r="BP1731">
        <v>1</v>
      </c>
      <c r="BQ1731">
        <v>11</v>
      </c>
      <c r="BR1731" t="s">
        <v>1574</v>
      </c>
      <c r="BS1731" t="s">
        <v>3252</v>
      </c>
      <c r="BV1731">
        <v>0</v>
      </c>
      <c r="BW1731">
        <v>0</v>
      </c>
      <c r="BX1731">
        <v>0</v>
      </c>
      <c r="BY1731">
        <v>0</v>
      </c>
      <c r="BZ1731">
        <v>0</v>
      </c>
      <c r="CA1731">
        <v>0</v>
      </c>
      <c r="CB1731">
        <v>0</v>
      </c>
      <c r="CC1731">
        <v>0</v>
      </c>
      <c r="CD1731">
        <v>0</v>
      </c>
      <c r="CE1731" t="s">
        <v>3108</v>
      </c>
      <c r="CF1731" t="s">
        <v>3108</v>
      </c>
      <c r="CG1731" t="s">
        <v>3108</v>
      </c>
      <c r="CH1731" t="s">
        <v>3108</v>
      </c>
    </row>
    <row r="1732" spans="1:86" x14ac:dyDescent="0.2">
      <c r="A1732" t="s">
        <v>5756</v>
      </c>
      <c r="B1732" t="s">
        <v>5756</v>
      </c>
      <c r="C1732">
        <v>54855</v>
      </c>
      <c r="D1732">
        <v>1855</v>
      </c>
      <c r="E1732" t="s">
        <v>5741</v>
      </c>
      <c r="F1732" t="s">
        <v>3249</v>
      </c>
      <c r="G1732" t="s">
        <v>3249</v>
      </c>
      <c r="H1732" t="s">
        <v>3250</v>
      </c>
      <c r="I1732" t="s">
        <v>3250</v>
      </c>
      <c r="J1732" t="s">
        <v>3250</v>
      </c>
      <c r="K1732" t="s">
        <v>3250</v>
      </c>
      <c r="L1732">
        <v>1200</v>
      </c>
      <c r="M1732" t="s">
        <v>2368</v>
      </c>
      <c r="N1732">
        <v>1204</v>
      </c>
      <c r="O1732" t="s">
        <v>1574</v>
      </c>
      <c r="P1732" t="s">
        <v>3108</v>
      </c>
      <c r="Q1732" t="s">
        <v>3249</v>
      </c>
      <c r="R1732" t="s">
        <v>3249</v>
      </c>
      <c r="S1732" t="s">
        <v>472</v>
      </c>
      <c r="T1732" t="s">
        <v>3251</v>
      </c>
      <c r="U1732">
        <v>120</v>
      </c>
      <c r="V1732" t="s">
        <v>599</v>
      </c>
      <c r="W1732">
        <v>120</v>
      </c>
      <c r="X1732" t="s">
        <v>599</v>
      </c>
      <c r="Y1732" t="s">
        <v>3250</v>
      </c>
      <c r="Z1732" t="s">
        <v>3250</v>
      </c>
      <c r="AA1732" t="s">
        <v>3108</v>
      </c>
      <c r="AB1732" t="s">
        <v>3108</v>
      </c>
      <c r="AC1732">
        <v>420</v>
      </c>
      <c r="AD1732" t="s">
        <v>827</v>
      </c>
      <c r="AE1732">
        <v>560</v>
      </c>
      <c r="AF1732" t="s">
        <v>827</v>
      </c>
      <c r="AG1732" t="s">
        <v>3250</v>
      </c>
      <c r="AH1732" t="s">
        <v>3250</v>
      </c>
      <c r="AI1732" t="s">
        <v>3250</v>
      </c>
      <c r="AJ1732" t="s">
        <v>3250</v>
      </c>
      <c r="AL1732" t="s">
        <v>3250</v>
      </c>
      <c r="AM1732" t="s">
        <v>3250</v>
      </c>
      <c r="AN1732" t="s">
        <v>3250</v>
      </c>
      <c r="AO1732" t="s">
        <v>3250</v>
      </c>
      <c r="AS1732" t="s">
        <v>3250</v>
      </c>
      <c r="AT1732" t="s">
        <v>3250</v>
      </c>
      <c r="AU1732" t="s">
        <v>3250</v>
      </c>
      <c r="AV1732" t="s">
        <v>3250</v>
      </c>
      <c r="AW1732" t="s">
        <v>3250</v>
      </c>
      <c r="AX1732" t="s">
        <v>3250</v>
      </c>
      <c r="AY1732" t="s">
        <v>3250</v>
      </c>
      <c r="AZ1732" t="s">
        <v>3250</v>
      </c>
      <c r="BA1732" t="s">
        <v>3250</v>
      </c>
      <c r="BB1732" t="s">
        <v>3250</v>
      </c>
      <c r="BC1732" t="s">
        <v>3250</v>
      </c>
      <c r="BE1732" t="s">
        <v>3250</v>
      </c>
      <c r="BF1732" t="s">
        <v>3250</v>
      </c>
      <c r="BG1732" t="s">
        <v>3250</v>
      </c>
      <c r="BH1732" t="s">
        <v>3250</v>
      </c>
      <c r="BI1732" t="s">
        <v>3250</v>
      </c>
      <c r="BK1732" t="s">
        <v>3250</v>
      </c>
      <c r="BL1732" t="s">
        <v>3250</v>
      </c>
      <c r="BM1732" t="s">
        <v>3250</v>
      </c>
      <c r="BN1732" t="s">
        <v>3250</v>
      </c>
      <c r="BP1732">
        <v>1</v>
      </c>
      <c r="BQ1732">
        <v>11</v>
      </c>
      <c r="BR1732" t="s">
        <v>1574</v>
      </c>
      <c r="BS1732" t="s">
        <v>3252</v>
      </c>
      <c r="BV1732">
        <v>0</v>
      </c>
      <c r="BW1732">
        <v>0</v>
      </c>
      <c r="BX1732">
        <v>0</v>
      </c>
      <c r="BY1732">
        <v>0</v>
      </c>
      <c r="BZ1732">
        <v>0</v>
      </c>
      <c r="CA1732">
        <v>0</v>
      </c>
      <c r="CB1732">
        <v>0</v>
      </c>
      <c r="CC1732">
        <v>0</v>
      </c>
      <c r="CD1732">
        <v>0</v>
      </c>
      <c r="CE1732" t="s">
        <v>3108</v>
      </c>
      <c r="CF1732" t="s">
        <v>3108</v>
      </c>
      <c r="CG1732" t="s">
        <v>3108</v>
      </c>
      <c r="CH1732" t="s">
        <v>3108</v>
      </c>
    </row>
    <row r="1733" spans="1:86" x14ac:dyDescent="0.2">
      <c r="A1733" t="s">
        <v>5757</v>
      </c>
      <c r="B1733" t="s">
        <v>5757</v>
      </c>
      <c r="C1733">
        <v>54856</v>
      </c>
      <c r="D1733">
        <v>1856</v>
      </c>
      <c r="E1733" t="s">
        <v>5712</v>
      </c>
      <c r="F1733" t="s">
        <v>3249</v>
      </c>
      <c r="G1733" t="s">
        <v>3249</v>
      </c>
      <c r="H1733" t="s">
        <v>3250</v>
      </c>
      <c r="I1733" t="s">
        <v>3250</v>
      </c>
      <c r="J1733" t="s">
        <v>3250</v>
      </c>
      <c r="K1733" t="s">
        <v>3250</v>
      </c>
      <c r="L1733">
        <v>1200</v>
      </c>
      <c r="M1733" t="s">
        <v>2368</v>
      </c>
      <c r="N1733">
        <v>1204</v>
      </c>
      <c r="O1733" t="s">
        <v>1574</v>
      </c>
      <c r="P1733" t="s">
        <v>3108</v>
      </c>
      <c r="Q1733" t="s">
        <v>3249</v>
      </c>
      <c r="R1733" t="s">
        <v>3249</v>
      </c>
      <c r="S1733" t="s">
        <v>472</v>
      </c>
      <c r="T1733" t="s">
        <v>3251</v>
      </c>
      <c r="U1733">
        <v>120</v>
      </c>
      <c r="V1733" t="s">
        <v>599</v>
      </c>
      <c r="W1733">
        <v>120</v>
      </c>
      <c r="X1733" t="s">
        <v>599</v>
      </c>
      <c r="Y1733" t="s">
        <v>5755</v>
      </c>
      <c r="Z1733" t="s">
        <v>5308</v>
      </c>
      <c r="AA1733" t="s">
        <v>5755</v>
      </c>
      <c r="AB1733" t="s">
        <v>5308</v>
      </c>
      <c r="AC1733" t="s">
        <v>3250</v>
      </c>
      <c r="AD1733" t="s">
        <v>3250</v>
      </c>
      <c r="AE1733" t="s">
        <v>3250</v>
      </c>
      <c r="AF1733" t="s">
        <v>3250</v>
      </c>
      <c r="AG1733" t="s">
        <v>3250</v>
      </c>
      <c r="AH1733" t="s">
        <v>3250</v>
      </c>
      <c r="AI1733" t="s">
        <v>3250</v>
      </c>
      <c r="AJ1733" t="s">
        <v>3250</v>
      </c>
      <c r="AL1733" t="s">
        <v>3250</v>
      </c>
      <c r="AM1733" t="s">
        <v>3250</v>
      </c>
      <c r="AN1733" t="s">
        <v>3250</v>
      </c>
      <c r="AO1733" t="s">
        <v>3250</v>
      </c>
      <c r="AR1733" t="s">
        <v>486</v>
      </c>
      <c r="AS1733" t="s">
        <v>3250</v>
      </c>
      <c r="AT1733" t="s">
        <v>3250</v>
      </c>
      <c r="AU1733" t="s">
        <v>3250</v>
      </c>
      <c r="AV1733" t="s">
        <v>3250</v>
      </c>
      <c r="AW1733" t="s">
        <v>3250</v>
      </c>
      <c r="AX1733" t="s">
        <v>3250</v>
      </c>
      <c r="AY1733" t="s">
        <v>3250</v>
      </c>
      <c r="AZ1733" t="s">
        <v>3250</v>
      </c>
      <c r="BA1733" t="s">
        <v>3250</v>
      </c>
      <c r="BB1733" t="s">
        <v>3250</v>
      </c>
      <c r="BC1733" t="s">
        <v>3250</v>
      </c>
      <c r="BE1733" t="s">
        <v>3250</v>
      </c>
      <c r="BF1733" t="s">
        <v>3250</v>
      </c>
      <c r="BG1733" t="s">
        <v>3250</v>
      </c>
      <c r="BH1733" t="s">
        <v>3250</v>
      </c>
      <c r="BI1733" t="s">
        <v>3250</v>
      </c>
      <c r="BK1733" t="s">
        <v>3250</v>
      </c>
      <c r="BL1733" t="s">
        <v>3250</v>
      </c>
      <c r="BM1733" t="s">
        <v>3250</v>
      </c>
      <c r="BN1733" t="s">
        <v>3250</v>
      </c>
      <c r="BP1733">
        <v>1</v>
      </c>
      <c r="BQ1733">
        <v>11</v>
      </c>
      <c r="BR1733" t="s">
        <v>1574</v>
      </c>
      <c r="BS1733" t="s">
        <v>3252</v>
      </c>
      <c r="BV1733">
        <v>0</v>
      </c>
      <c r="BW1733">
        <v>0</v>
      </c>
      <c r="BX1733">
        <v>0</v>
      </c>
      <c r="BY1733">
        <v>0</v>
      </c>
      <c r="BZ1733">
        <v>0</v>
      </c>
      <c r="CA1733">
        <v>0</v>
      </c>
      <c r="CB1733">
        <v>0</v>
      </c>
      <c r="CC1733">
        <v>0</v>
      </c>
      <c r="CD1733">
        <v>0</v>
      </c>
      <c r="CE1733" t="s">
        <v>3108</v>
      </c>
      <c r="CF1733" t="s">
        <v>3108</v>
      </c>
      <c r="CG1733" t="s">
        <v>3108</v>
      </c>
      <c r="CH1733" t="s">
        <v>3108</v>
      </c>
    </row>
    <row r="1734" spans="1:86" x14ac:dyDescent="0.2">
      <c r="A1734" t="s">
        <v>5758</v>
      </c>
      <c r="B1734" t="s">
        <v>5758</v>
      </c>
      <c r="C1734">
        <v>54857</v>
      </c>
      <c r="D1734">
        <v>1857</v>
      </c>
      <c r="E1734" t="s">
        <v>5741</v>
      </c>
      <c r="F1734" t="s">
        <v>3249</v>
      </c>
      <c r="G1734" t="s">
        <v>3249</v>
      </c>
      <c r="H1734" t="s">
        <v>3250</v>
      </c>
      <c r="I1734" t="s">
        <v>3250</v>
      </c>
      <c r="J1734" t="s">
        <v>3250</v>
      </c>
      <c r="K1734" t="s">
        <v>3250</v>
      </c>
      <c r="L1734">
        <v>1200</v>
      </c>
      <c r="M1734" t="s">
        <v>2368</v>
      </c>
      <c r="N1734">
        <v>1204</v>
      </c>
      <c r="O1734" t="s">
        <v>1574</v>
      </c>
      <c r="P1734" t="s">
        <v>3108</v>
      </c>
      <c r="Q1734" t="s">
        <v>3249</v>
      </c>
      <c r="R1734" t="s">
        <v>3249</v>
      </c>
      <c r="S1734" t="s">
        <v>472</v>
      </c>
      <c r="T1734" t="s">
        <v>3251</v>
      </c>
      <c r="U1734">
        <v>120</v>
      </c>
      <c r="V1734" t="s">
        <v>599</v>
      </c>
      <c r="W1734">
        <v>120</v>
      </c>
      <c r="X1734" t="s">
        <v>599</v>
      </c>
      <c r="Y1734" t="s">
        <v>3250</v>
      </c>
      <c r="Z1734" t="s">
        <v>3250</v>
      </c>
      <c r="AA1734" t="s">
        <v>3108</v>
      </c>
      <c r="AB1734" t="s">
        <v>3108</v>
      </c>
      <c r="AC1734">
        <v>420</v>
      </c>
      <c r="AD1734" t="s">
        <v>827</v>
      </c>
      <c r="AE1734">
        <v>560</v>
      </c>
      <c r="AF1734" t="s">
        <v>827</v>
      </c>
      <c r="AG1734" t="s">
        <v>3250</v>
      </c>
      <c r="AH1734" t="s">
        <v>3250</v>
      </c>
      <c r="AI1734" t="s">
        <v>3250</v>
      </c>
      <c r="AJ1734" t="s">
        <v>3250</v>
      </c>
      <c r="AL1734" t="s">
        <v>3250</v>
      </c>
      <c r="AM1734" t="s">
        <v>3250</v>
      </c>
      <c r="AN1734" t="s">
        <v>3250</v>
      </c>
      <c r="AO1734" t="s">
        <v>3250</v>
      </c>
      <c r="AS1734" t="s">
        <v>3250</v>
      </c>
      <c r="AT1734" t="s">
        <v>3250</v>
      </c>
      <c r="AU1734" t="s">
        <v>3250</v>
      </c>
      <c r="AV1734" t="s">
        <v>3250</v>
      </c>
      <c r="AW1734" t="s">
        <v>3250</v>
      </c>
      <c r="AX1734" t="s">
        <v>3250</v>
      </c>
      <c r="AY1734" t="s">
        <v>3250</v>
      </c>
      <c r="AZ1734" t="s">
        <v>3250</v>
      </c>
      <c r="BA1734" t="s">
        <v>3250</v>
      </c>
      <c r="BB1734" t="s">
        <v>3250</v>
      </c>
      <c r="BC1734" t="s">
        <v>3250</v>
      </c>
      <c r="BE1734" t="s">
        <v>3250</v>
      </c>
      <c r="BF1734" t="s">
        <v>3250</v>
      </c>
      <c r="BG1734" t="s">
        <v>3250</v>
      </c>
      <c r="BH1734" t="s">
        <v>3250</v>
      </c>
      <c r="BI1734" t="s">
        <v>3250</v>
      </c>
      <c r="BK1734" t="s">
        <v>3250</v>
      </c>
      <c r="BL1734" t="s">
        <v>3250</v>
      </c>
      <c r="BM1734" t="s">
        <v>3250</v>
      </c>
      <c r="BN1734" t="s">
        <v>3250</v>
      </c>
      <c r="BP1734">
        <v>1</v>
      </c>
      <c r="BQ1734">
        <v>11</v>
      </c>
      <c r="BR1734" t="s">
        <v>1574</v>
      </c>
      <c r="BS1734" t="s">
        <v>3252</v>
      </c>
      <c r="BV1734">
        <v>0</v>
      </c>
      <c r="BW1734">
        <v>0</v>
      </c>
      <c r="BX1734">
        <v>0</v>
      </c>
      <c r="BY1734">
        <v>0</v>
      </c>
      <c r="BZ1734">
        <v>0</v>
      </c>
      <c r="CA1734">
        <v>56315652</v>
      </c>
      <c r="CB1734">
        <v>30811652</v>
      </c>
      <c r="CC1734">
        <v>9562652</v>
      </c>
      <c r="CD1734">
        <v>0</v>
      </c>
      <c r="CE1734" t="s">
        <v>3108</v>
      </c>
      <c r="CF1734" t="s">
        <v>3108</v>
      </c>
      <c r="CG1734" t="s">
        <v>3108</v>
      </c>
      <c r="CH1734" t="s">
        <v>3108</v>
      </c>
    </row>
    <row r="1735" spans="1:86" x14ac:dyDescent="0.2">
      <c r="A1735" t="s">
        <v>5759</v>
      </c>
      <c r="B1735" t="s">
        <v>5759</v>
      </c>
      <c r="C1735">
        <v>54858</v>
      </c>
      <c r="D1735">
        <v>1858</v>
      </c>
      <c r="E1735" t="s">
        <v>5746</v>
      </c>
      <c r="F1735" t="s">
        <v>3249</v>
      </c>
      <c r="G1735" t="s">
        <v>3249</v>
      </c>
      <c r="H1735" t="s">
        <v>3250</v>
      </c>
      <c r="I1735" t="s">
        <v>3250</v>
      </c>
      <c r="J1735" t="s">
        <v>3250</v>
      </c>
      <c r="K1735" t="s">
        <v>3250</v>
      </c>
      <c r="L1735">
        <v>1200</v>
      </c>
      <c r="M1735" t="s">
        <v>2368</v>
      </c>
      <c r="N1735">
        <v>1204</v>
      </c>
      <c r="O1735" t="s">
        <v>1574</v>
      </c>
      <c r="P1735" t="s">
        <v>3108</v>
      </c>
      <c r="Q1735" t="s">
        <v>3249</v>
      </c>
      <c r="R1735" t="s">
        <v>3249</v>
      </c>
      <c r="S1735" t="s">
        <v>472</v>
      </c>
      <c r="T1735" t="s">
        <v>3251</v>
      </c>
      <c r="U1735">
        <v>120</v>
      </c>
      <c r="V1735" t="s">
        <v>599</v>
      </c>
      <c r="W1735">
        <v>120</v>
      </c>
      <c r="X1735" t="s">
        <v>599</v>
      </c>
      <c r="Y1735" t="s">
        <v>3250</v>
      </c>
      <c r="Z1735" t="s">
        <v>3250</v>
      </c>
      <c r="AA1735" t="s">
        <v>3108</v>
      </c>
      <c r="AB1735" t="s">
        <v>3108</v>
      </c>
      <c r="AC1735">
        <v>200</v>
      </c>
      <c r="AD1735" t="s">
        <v>5291</v>
      </c>
      <c r="AE1735">
        <v>480</v>
      </c>
      <c r="AF1735" t="s">
        <v>822</v>
      </c>
      <c r="AG1735" t="s">
        <v>3250</v>
      </c>
      <c r="AH1735" t="s">
        <v>3250</v>
      </c>
      <c r="AI1735" t="s">
        <v>3250</v>
      </c>
      <c r="AJ1735" t="s">
        <v>3250</v>
      </c>
      <c r="AL1735" t="s">
        <v>3250</v>
      </c>
      <c r="AM1735" t="s">
        <v>3250</v>
      </c>
      <c r="AN1735" t="s">
        <v>3250</v>
      </c>
      <c r="AO1735" t="s">
        <v>3250</v>
      </c>
      <c r="AS1735" t="s">
        <v>3250</v>
      </c>
      <c r="AT1735" t="s">
        <v>3250</v>
      </c>
      <c r="AU1735" t="s">
        <v>3250</v>
      </c>
      <c r="AV1735" t="s">
        <v>3250</v>
      </c>
      <c r="AW1735" t="s">
        <v>3250</v>
      </c>
      <c r="AX1735" t="s">
        <v>3250</v>
      </c>
      <c r="AY1735" t="s">
        <v>3250</v>
      </c>
      <c r="AZ1735" t="s">
        <v>3250</v>
      </c>
      <c r="BA1735" t="s">
        <v>3250</v>
      </c>
      <c r="BB1735" t="s">
        <v>3250</v>
      </c>
      <c r="BC1735" t="s">
        <v>3250</v>
      </c>
      <c r="BE1735" t="s">
        <v>3250</v>
      </c>
      <c r="BF1735" t="s">
        <v>3250</v>
      </c>
      <c r="BG1735" t="s">
        <v>3250</v>
      </c>
      <c r="BH1735" t="s">
        <v>3250</v>
      </c>
      <c r="BI1735" t="s">
        <v>3250</v>
      </c>
      <c r="BK1735" t="s">
        <v>3250</v>
      </c>
      <c r="BL1735" t="s">
        <v>3250</v>
      </c>
      <c r="BM1735" t="s">
        <v>3250</v>
      </c>
      <c r="BN1735" t="s">
        <v>3250</v>
      </c>
      <c r="BP1735">
        <v>1</v>
      </c>
      <c r="BQ1735">
        <v>11</v>
      </c>
      <c r="BR1735" t="s">
        <v>1574</v>
      </c>
      <c r="BS1735" t="s">
        <v>3252</v>
      </c>
      <c r="BV1735">
        <v>0</v>
      </c>
      <c r="BW1735">
        <v>0</v>
      </c>
      <c r="BX1735">
        <v>0</v>
      </c>
      <c r="BY1735">
        <v>0</v>
      </c>
      <c r="BZ1735">
        <v>0</v>
      </c>
      <c r="CA1735">
        <v>0</v>
      </c>
      <c r="CB1735">
        <v>0</v>
      </c>
      <c r="CC1735">
        <v>0</v>
      </c>
      <c r="CD1735">
        <v>0</v>
      </c>
      <c r="CE1735" t="s">
        <v>3108</v>
      </c>
      <c r="CF1735" t="s">
        <v>3108</v>
      </c>
      <c r="CG1735" t="s">
        <v>3108</v>
      </c>
      <c r="CH1735" t="s">
        <v>3108</v>
      </c>
    </row>
    <row r="1736" spans="1:86" x14ac:dyDescent="0.2">
      <c r="A1736" t="s">
        <v>5760</v>
      </c>
      <c r="B1736" t="s">
        <v>5760</v>
      </c>
      <c r="C1736">
        <v>54859</v>
      </c>
      <c r="D1736">
        <v>1859</v>
      </c>
      <c r="E1736" t="s">
        <v>5717</v>
      </c>
      <c r="F1736" t="s">
        <v>3249</v>
      </c>
      <c r="G1736" t="s">
        <v>3249</v>
      </c>
      <c r="H1736" t="s">
        <v>3250</v>
      </c>
      <c r="I1736" t="s">
        <v>3250</v>
      </c>
      <c r="J1736" t="s">
        <v>3250</v>
      </c>
      <c r="K1736" t="s">
        <v>3250</v>
      </c>
      <c r="L1736">
        <v>1200</v>
      </c>
      <c r="M1736" t="s">
        <v>2368</v>
      </c>
      <c r="N1736">
        <v>1204</v>
      </c>
      <c r="O1736" t="s">
        <v>1574</v>
      </c>
      <c r="P1736" t="s">
        <v>3108</v>
      </c>
      <c r="Q1736" t="s">
        <v>3249</v>
      </c>
      <c r="R1736" t="s">
        <v>3249</v>
      </c>
      <c r="S1736" t="s">
        <v>472</v>
      </c>
      <c r="T1736" t="s">
        <v>3251</v>
      </c>
      <c r="U1736">
        <v>120</v>
      </c>
      <c r="V1736" t="s">
        <v>599</v>
      </c>
      <c r="W1736">
        <v>120</v>
      </c>
      <c r="X1736" t="s">
        <v>599</v>
      </c>
      <c r="Y1736" t="s">
        <v>5314</v>
      </c>
      <c r="Z1736" t="s">
        <v>5308</v>
      </c>
      <c r="AA1736" t="s">
        <v>5314</v>
      </c>
      <c r="AB1736" t="s">
        <v>5308</v>
      </c>
      <c r="AC1736" t="s">
        <v>3250</v>
      </c>
      <c r="AD1736" t="s">
        <v>3250</v>
      </c>
      <c r="AE1736" t="s">
        <v>3250</v>
      </c>
      <c r="AF1736" t="s">
        <v>3250</v>
      </c>
      <c r="AG1736" t="s">
        <v>3250</v>
      </c>
      <c r="AH1736" t="s">
        <v>3250</v>
      </c>
      <c r="AI1736" t="s">
        <v>3250</v>
      </c>
      <c r="AJ1736" t="s">
        <v>3250</v>
      </c>
      <c r="AL1736" t="s">
        <v>3250</v>
      </c>
      <c r="AM1736" t="s">
        <v>3250</v>
      </c>
      <c r="AN1736" t="s">
        <v>3250</v>
      </c>
      <c r="AO1736" t="s">
        <v>3250</v>
      </c>
      <c r="AR1736" t="s">
        <v>5718</v>
      </c>
      <c r="AS1736" t="s">
        <v>3250</v>
      </c>
      <c r="AT1736" t="s">
        <v>3250</v>
      </c>
      <c r="AU1736" t="s">
        <v>3250</v>
      </c>
      <c r="AV1736" t="s">
        <v>3250</v>
      </c>
      <c r="AW1736" t="s">
        <v>3250</v>
      </c>
      <c r="AX1736" t="s">
        <v>3250</v>
      </c>
      <c r="AY1736" t="s">
        <v>3250</v>
      </c>
      <c r="AZ1736" t="s">
        <v>3250</v>
      </c>
      <c r="BA1736" t="s">
        <v>3250</v>
      </c>
      <c r="BB1736" t="s">
        <v>3250</v>
      </c>
      <c r="BC1736" t="s">
        <v>3250</v>
      </c>
      <c r="BE1736" t="s">
        <v>3250</v>
      </c>
      <c r="BF1736" t="s">
        <v>3250</v>
      </c>
      <c r="BG1736" t="s">
        <v>3250</v>
      </c>
      <c r="BH1736" t="s">
        <v>3250</v>
      </c>
      <c r="BI1736" t="s">
        <v>3250</v>
      </c>
      <c r="BK1736" t="s">
        <v>3250</v>
      </c>
      <c r="BL1736" t="s">
        <v>3250</v>
      </c>
      <c r="BM1736" t="s">
        <v>3250</v>
      </c>
      <c r="BN1736" t="s">
        <v>3250</v>
      </c>
      <c r="BP1736">
        <v>1</v>
      </c>
      <c r="BQ1736">
        <v>11</v>
      </c>
      <c r="BR1736" t="s">
        <v>1574</v>
      </c>
      <c r="BS1736" t="s">
        <v>3252</v>
      </c>
      <c r="BV1736">
        <v>0</v>
      </c>
      <c r="BW1736">
        <v>0</v>
      </c>
      <c r="BX1736">
        <v>0</v>
      </c>
      <c r="BY1736">
        <v>-1143000</v>
      </c>
      <c r="BZ1736">
        <v>0</v>
      </c>
      <c r="CA1736">
        <v>0</v>
      </c>
      <c r="CB1736">
        <v>0</v>
      </c>
      <c r="CC1736">
        <v>0</v>
      </c>
      <c r="CD1736">
        <v>0</v>
      </c>
      <c r="CE1736" t="s">
        <v>3108</v>
      </c>
      <c r="CF1736" t="s">
        <v>3108</v>
      </c>
      <c r="CG1736" t="s">
        <v>3108</v>
      </c>
      <c r="CH1736" t="s">
        <v>3108</v>
      </c>
    </row>
    <row r="1737" spans="1:86" x14ac:dyDescent="0.2">
      <c r="A1737" t="s">
        <v>5761</v>
      </c>
      <c r="B1737" t="s">
        <v>5761</v>
      </c>
      <c r="C1737">
        <v>54860</v>
      </c>
      <c r="D1737">
        <v>1860</v>
      </c>
      <c r="E1737" t="s">
        <v>5115</v>
      </c>
      <c r="F1737" t="s">
        <v>3249</v>
      </c>
      <c r="G1737" t="s">
        <v>3249</v>
      </c>
      <c r="H1737" t="s">
        <v>3250</v>
      </c>
      <c r="I1737" t="s">
        <v>3250</v>
      </c>
      <c r="J1737" t="s">
        <v>3250</v>
      </c>
      <c r="K1737" t="s">
        <v>3250</v>
      </c>
      <c r="L1737">
        <v>1200</v>
      </c>
      <c r="M1737" t="s">
        <v>2368</v>
      </c>
      <c r="N1737">
        <v>1204</v>
      </c>
      <c r="O1737" t="s">
        <v>1574</v>
      </c>
      <c r="P1737" t="s">
        <v>3108</v>
      </c>
      <c r="Q1737" t="s">
        <v>3249</v>
      </c>
      <c r="R1737" t="s">
        <v>3249</v>
      </c>
      <c r="S1737" t="s">
        <v>472</v>
      </c>
      <c r="T1737" t="s">
        <v>3251</v>
      </c>
      <c r="U1737">
        <v>120</v>
      </c>
      <c r="V1737" t="s">
        <v>599</v>
      </c>
      <c r="W1737">
        <v>120</v>
      </c>
      <c r="X1737" t="s">
        <v>599</v>
      </c>
      <c r="Y1737" t="s">
        <v>2755</v>
      </c>
      <c r="Z1737" t="s">
        <v>5308</v>
      </c>
      <c r="AA1737" t="s">
        <v>2755</v>
      </c>
      <c r="AB1737" t="s">
        <v>5308</v>
      </c>
      <c r="AC1737" t="s">
        <v>3250</v>
      </c>
      <c r="AD1737" t="s">
        <v>3250</v>
      </c>
      <c r="AE1737" t="s">
        <v>3250</v>
      </c>
      <c r="AF1737" t="s">
        <v>3250</v>
      </c>
      <c r="AG1737" t="s">
        <v>3250</v>
      </c>
      <c r="AH1737" t="s">
        <v>3250</v>
      </c>
      <c r="AI1737" t="s">
        <v>3250</v>
      </c>
      <c r="AJ1737" t="s">
        <v>3250</v>
      </c>
      <c r="AL1737" t="s">
        <v>3250</v>
      </c>
      <c r="AM1737" t="s">
        <v>3250</v>
      </c>
      <c r="AN1737" t="s">
        <v>3250</v>
      </c>
      <c r="AO1737" t="s">
        <v>3250</v>
      </c>
      <c r="AR1737" t="s">
        <v>472</v>
      </c>
      <c r="AS1737" t="s">
        <v>3250</v>
      </c>
      <c r="AT1737" t="s">
        <v>3250</v>
      </c>
      <c r="AU1737" t="s">
        <v>3250</v>
      </c>
      <c r="AV1737" t="s">
        <v>3250</v>
      </c>
      <c r="AW1737" t="s">
        <v>3250</v>
      </c>
      <c r="AX1737" t="s">
        <v>3250</v>
      </c>
      <c r="AY1737" t="s">
        <v>3250</v>
      </c>
      <c r="AZ1737" t="s">
        <v>3250</v>
      </c>
      <c r="BA1737" t="s">
        <v>3250</v>
      </c>
      <c r="BB1737" t="s">
        <v>3250</v>
      </c>
      <c r="BC1737" t="s">
        <v>3250</v>
      </c>
      <c r="BE1737" t="s">
        <v>3250</v>
      </c>
      <c r="BF1737" t="s">
        <v>3250</v>
      </c>
      <c r="BG1737" t="s">
        <v>3250</v>
      </c>
      <c r="BH1737" t="s">
        <v>3250</v>
      </c>
      <c r="BI1737" t="s">
        <v>3250</v>
      </c>
      <c r="BK1737" t="s">
        <v>3250</v>
      </c>
      <c r="BL1737" t="s">
        <v>3250</v>
      </c>
      <c r="BM1737" t="s">
        <v>3250</v>
      </c>
      <c r="BN1737" t="s">
        <v>3250</v>
      </c>
      <c r="BP1737">
        <v>1</v>
      </c>
      <c r="BQ1737">
        <v>11</v>
      </c>
      <c r="BR1737" t="s">
        <v>1574</v>
      </c>
      <c r="BS1737" t="s">
        <v>3252</v>
      </c>
      <c r="BV1737">
        <v>0</v>
      </c>
      <c r="BW1737">
        <v>0</v>
      </c>
      <c r="BX1737">
        <v>0</v>
      </c>
      <c r="BY1737">
        <v>1143000</v>
      </c>
      <c r="BZ1737">
        <v>0</v>
      </c>
      <c r="CA1737">
        <v>1329000</v>
      </c>
      <c r="CB1737">
        <v>1550000</v>
      </c>
      <c r="CC1737">
        <v>1700000</v>
      </c>
      <c r="CD1737">
        <v>0</v>
      </c>
      <c r="CE1737" t="s">
        <v>3108</v>
      </c>
      <c r="CF1737" t="s">
        <v>3108</v>
      </c>
      <c r="CG1737" t="s">
        <v>3108</v>
      </c>
      <c r="CH1737" t="s">
        <v>3108</v>
      </c>
    </row>
    <row r="1738" spans="1:86" x14ac:dyDescent="0.2">
      <c r="A1738" t="s">
        <v>5762</v>
      </c>
      <c r="B1738" t="s">
        <v>5762</v>
      </c>
      <c r="C1738">
        <v>54861</v>
      </c>
      <c r="D1738">
        <v>1861</v>
      </c>
      <c r="E1738" t="s">
        <v>5717</v>
      </c>
      <c r="F1738" t="s">
        <v>3249</v>
      </c>
      <c r="G1738" t="s">
        <v>3249</v>
      </c>
      <c r="H1738" t="s">
        <v>3250</v>
      </c>
      <c r="I1738" t="s">
        <v>3250</v>
      </c>
      <c r="J1738" t="s">
        <v>3250</v>
      </c>
      <c r="K1738" t="s">
        <v>3250</v>
      </c>
      <c r="L1738">
        <v>1200</v>
      </c>
      <c r="M1738" t="s">
        <v>2368</v>
      </c>
      <c r="N1738">
        <v>1204</v>
      </c>
      <c r="O1738" t="s">
        <v>1574</v>
      </c>
      <c r="P1738" t="s">
        <v>3108</v>
      </c>
      <c r="Q1738" t="s">
        <v>3249</v>
      </c>
      <c r="R1738" t="s">
        <v>3249</v>
      </c>
      <c r="S1738" t="s">
        <v>472</v>
      </c>
      <c r="T1738" t="s">
        <v>3251</v>
      </c>
      <c r="U1738">
        <v>120</v>
      </c>
      <c r="V1738" t="s">
        <v>599</v>
      </c>
      <c r="W1738">
        <v>120</v>
      </c>
      <c r="X1738" t="s">
        <v>599</v>
      </c>
      <c r="Y1738" t="s">
        <v>5314</v>
      </c>
      <c r="Z1738" t="s">
        <v>5308</v>
      </c>
      <c r="AA1738" t="s">
        <v>5314</v>
      </c>
      <c r="AB1738" t="s">
        <v>5308</v>
      </c>
      <c r="AC1738" t="s">
        <v>3250</v>
      </c>
      <c r="AD1738" t="s">
        <v>3250</v>
      </c>
      <c r="AE1738" t="s">
        <v>3250</v>
      </c>
      <c r="AF1738" t="s">
        <v>3250</v>
      </c>
      <c r="AG1738" t="s">
        <v>3250</v>
      </c>
      <c r="AH1738" t="s">
        <v>3250</v>
      </c>
      <c r="AI1738" t="s">
        <v>3250</v>
      </c>
      <c r="AJ1738" t="s">
        <v>3250</v>
      </c>
      <c r="AL1738" t="s">
        <v>3250</v>
      </c>
      <c r="AM1738" t="s">
        <v>3250</v>
      </c>
      <c r="AN1738" t="s">
        <v>3250</v>
      </c>
      <c r="AO1738" t="s">
        <v>3250</v>
      </c>
      <c r="AR1738" t="s">
        <v>5718</v>
      </c>
      <c r="AS1738" t="s">
        <v>3250</v>
      </c>
      <c r="AT1738" t="s">
        <v>3250</v>
      </c>
      <c r="AU1738" t="s">
        <v>3250</v>
      </c>
      <c r="AV1738" t="s">
        <v>3250</v>
      </c>
      <c r="AW1738" t="s">
        <v>3250</v>
      </c>
      <c r="AX1738" t="s">
        <v>3250</v>
      </c>
      <c r="AY1738" t="s">
        <v>3250</v>
      </c>
      <c r="AZ1738" t="s">
        <v>3250</v>
      </c>
      <c r="BA1738" t="s">
        <v>3250</v>
      </c>
      <c r="BB1738" t="s">
        <v>3250</v>
      </c>
      <c r="BC1738" t="s">
        <v>3250</v>
      </c>
      <c r="BE1738" t="s">
        <v>3250</v>
      </c>
      <c r="BF1738" t="s">
        <v>3250</v>
      </c>
      <c r="BG1738" t="s">
        <v>3250</v>
      </c>
      <c r="BH1738" t="s">
        <v>3250</v>
      </c>
      <c r="BI1738" t="s">
        <v>3250</v>
      </c>
      <c r="BK1738" t="s">
        <v>3250</v>
      </c>
      <c r="BL1738" t="s">
        <v>3250</v>
      </c>
      <c r="BM1738" t="s">
        <v>3250</v>
      </c>
      <c r="BN1738" t="s">
        <v>3250</v>
      </c>
      <c r="BP1738">
        <v>1</v>
      </c>
      <c r="BQ1738">
        <v>11</v>
      </c>
      <c r="BR1738" t="s">
        <v>1574</v>
      </c>
      <c r="BS1738" t="s">
        <v>3252</v>
      </c>
      <c r="BV1738">
        <v>0</v>
      </c>
      <c r="BW1738">
        <v>0</v>
      </c>
      <c r="BX1738">
        <v>0</v>
      </c>
      <c r="BY1738">
        <v>-1817000</v>
      </c>
      <c r="BZ1738">
        <v>0</v>
      </c>
      <c r="CA1738">
        <v>0</v>
      </c>
      <c r="CB1738">
        <v>0</v>
      </c>
      <c r="CC1738">
        <v>0</v>
      </c>
      <c r="CD1738">
        <v>0</v>
      </c>
      <c r="CE1738" t="s">
        <v>3108</v>
      </c>
      <c r="CF1738" t="s">
        <v>3108</v>
      </c>
      <c r="CG1738" t="s">
        <v>3108</v>
      </c>
      <c r="CH1738" t="s">
        <v>3108</v>
      </c>
    </row>
    <row r="1739" spans="1:86" x14ac:dyDescent="0.2">
      <c r="A1739" t="s">
        <v>5763</v>
      </c>
      <c r="B1739" t="s">
        <v>5763</v>
      </c>
      <c r="C1739">
        <v>54862</v>
      </c>
      <c r="D1739">
        <v>1862</v>
      </c>
      <c r="E1739" t="s">
        <v>5115</v>
      </c>
      <c r="F1739" t="s">
        <v>3249</v>
      </c>
      <c r="G1739" t="s">
        <v>3249</v>
      </c>
      <c r="H1739" t="s">
        <v>3250</v>
      </c>
      <c r="I1739" t="s">
        <v>3250</v>
      </c>
      <c r="J1739" t="s">
        <v>3250</v>
      </c>
      <c r="K1739" t="s">
        <v>3250</v>
      </c>
      <c r="L1739">
        <v>1200</v>
      </c>
      <c r="M1739" t="s">
        <v>2368</v>
      </c>
      <c r="N1739">
        <v>1204</v>
      </c>
      <c r="O1739" t="s">
        <v>1574</v>
      </c>
      <c r="P1739" t="s">
        <v>3108</v>
      </c>
      <c r="Q1739" t="s">
        <v>3249</v>
      </c>
      <c r="R1739" t="s">
        <v>3249</v>
      </c>
      <c r="S1739" t="s">
        <v>472</v>
      </c>
      <c r="T1739" t="s">
        <v>3251</v>
      </c>
      <c r="U1739">
        <v>120</v>
      </c>
      <c r="V1739" t="s">
        <v>599</v>
      </c>
      <c r="W1739">
        <v>120</v>
      </c>
      <c r="X1739" t="s">
        <v>599</v>
      </c>
      <c r="Y1739" t="s">
        <v>2755</v>
      </c>
      <c r="Z1739" t="s">
        <v>5308</v>
      </c>
      <c r="AA1739" t="s">
        <v>2755</v>
      </c>
      <c r="AB1739" t="s">
        <v>5308</v>
      </c>
      <c r="AC1739" t="s">
        <v>3250</v>
      </c>
      <c r="AD1739" t="s">
        <v>3250</v>
      </c>
      <c r="AE1739" t="s">
        <v>3250</v>
      </c>
      <c r="AF1739" t="s">
        <v>3250</v>
      </c>
      <c r="AG1739" t="s">
        <v>3250</v>
      </c>
      <c r="AH1739" t="s">
        <v>3250</v>
      </c>
      <c r="AI1739" t="s">
        <v>3250</v>
      </c>
      <c r="AJ1739" t="s">
        <v>3250</v>
      </c>
      <c r="AL1739" t="s">
        <v>3250</v>
      </c>
      <c r="AM1739" t="s">
        <v>3250</v>
      </c>
      <c r="AN1739" t="s">
        <v>3250</v>
      </c>
      <c r="AO1739" t="s">
        <v>3250</v>
      </c>
      <c r="AR1739" t="s">
        <v>472</v>
      </c>
      <c r="AS1739" t="s">
        <v>3250</v>
      </c>
      <c r="AT1739" t="s">
        <v>3250</v>
      </c>
      <c r="AU1739" t="s">
        <v>3250</v>
      </c>
      <c r="AV1739" t="s">
        <v>3250</v>
      </c>
      <c r="AW1739" t="s">
        <v>3250</v>
      </c>
      <c r="AX1739" t="s">
        <v>3250</v>
      </c>
      <c r="AY1739" t="s">
        <v>3250</v>
      </c>
      <c r="AZ1739" t="s">
        <v>3250</v>
      </c>
      <c r="BA1739" t="s">
        <v>3250</v>
      </c>
      <c r="BB1739" t="s">
        <v>3250</v>
      </c>
      <c r="BC1739" t="s">
        <v>3250</v>
      </c>
      <c r="BE1739" t="s">
        <v>3250</v>
      </c>
      <c r="BF1739" t="s">
        <v>3250</v>
      </c>
      <c r="BG1739" t="s">
        <v>3250</v>
      </c>
      <c r="BH1739" t="s">
        <v>3250</v>
      </c>
      <c r="BI1739" t="s">
        <v>3250</v>
      </c>
      <c r="BK1739" t="s">
        <v>3250</v>
      </c>
      <c r="BL1739" t="s">
        <v>3250</v>
      </c>
      <c r="BM1739" t="s">
        <v>3250</v>
      </c>
      <c r="BN1739" t="s">
        <v>3250</v>
      </c>
      <c r="BP1739">
        <v>1</v>
      </c>
      <c r="BQ1739">
        <v>11</v>
      </c>
      <c r="BR1739" t="s">
        <v>1574</v>
      </c>
      <c r="BS1739" t="s">
        <v>3252</v>
      </c>
      <c r="BV1739">
        <v>0</v>
      </c>
      <c r="BW1739">
        <v>0</v>
      </c>
      <c r="BX1739">
        <v>0</v>
      </c>
      <c r="BY1739">
        <v>1817000</v>
      </c>
      <c r="BZ1739">
        <v>0</v>
      </c>
      <c r="CA1739">
        <v>0</v>
      </c>
      <c r="CB1739">
        <v>0</v>
      </c>
      <c r="CC1739">
        <v>0</v>
      </c>
      <c r="CD1739">
        <v>0</v>
      </c>
      <c r="CE1739" t="s">
        <v>3108</v>
      </c>
      <c r="CF1739" t="s">
        <v>3108</v>
      </c>
      <c r="CG1739" t="s">
        <v>3108</v>
      </c>
      <c r="CH1739" t="s">
        <v>3108</v>
      </c>
    </row>
    <row r="1740" spans="1:86" x14ac:dyDescent="0.2">
      <c r="A1740" t="s">
        <v>5764</v>
      </c>
      <c r="B1740" t="s">
        <v>5764</v>
      </c>
      <c r="C1740">
        <v>54863</v>
      </c>
      <c r="D1740">
        <v>1863</v>
      </c>
      <c r="E1740" t="s">
        <v>5741</v>
      </c>
      <c r="F1740" t="s">
        <v>3249</v>
      </c>
      <c r="G1740" t="s">
        <v>3249</v>
      </c>
      <c r="H1740" t="s">
        <v>3250</v>
      </c>
      <c r="I1740" t="s">
        <v>3250</v>
      </c>
      <c r="J1740" t="s">
        <v>3250</v>
      </c>
      <c r="K1740" t="s">
        <v>3250</v>
      </c>
      <c r="L1740">
        <v>1200</v>
      </c>
      <c r="M1740" t="s">
        <v>2368</v>
      </c>
      <c r="N1740">
        <v>1204</v>
      </c>
      <c r="O1740" t="s">
        <v>1574</v>
      </c>
      <c r="P1740" t="s">
        <v>3108</v>
      </c>
      <c r="Q1740" t="s">
        <v>3249</v>
      </c>
      <c r="R1740" t="s">
        <v>3249</v>
      </c>
      <c r="S1740" t="s">
        <v>472</v>
      </c>
      <c r="T1740" t="s">
        <v>3251</v>
      </c>
      <c r="U1740">
        <v>120</v>
      </c>
      <c r="V1740" t="s">
        <v>599</v>
      </c>
      <c r="W1740">
        <v>120</v>
      </c>
      <c r="X1740" t="s">
        <v>599</v>
      </c>
      <c r="Y1740" t="s">
        <v>3250</v>
      </c>
      <c r="Z1740" t="s">
        <v>3250</v>
      </c>
      <c r="AA1740" t="s">
        <v>3108</v>
      </c>
      <c r="AB1740" t="s">
        <v>3108</v>
      </c>
      <c r="AC1740">
        <v>420</v>
      </c>
      <c r="AD1740" t="s">
        <v>827</v>
      </c>
      <c r="AE1740">
        <v>560</v>
      </c>
      <c r="AF1740" t="s">
        <v>827</v>
      </c>
      <c r="AG1740" t="s">
        <v>3250</v>
      </c>
      <c r="AH1740" t="s">
        <v>3250</v>
      </c>
      <c r="AI1740" t="s">
        <v>3250</v>
      </c>
      <c r="AJ1740" t="s">
        <v>3250</v>
      </c>
      <c r="AL1740" t="s">
        <v>3250</v>
      </c>
      <c r="AM1740" t="s">
        <v>3250</v>
      </c>
      <c r="AN1740" t="s">
        <v>3250</v>
      </c>
      <c r="AO1740" t="s">
        <v>3250</v>
      </c>
      <c r="AS1740" t="s">
        <v>3250</v>
      </c>
      <c r="AT1740" t="s">
        <v>3250</v>
      </c>
      <c r="AU1740" t="s">
        <v>3250</v>
      </c>
      <c r="AV1740" t="s">
        <v>3250</v>
      </c>
      <c r="AW1740" t="s">
        <v>3250</v>
      </c>
      <c r="AX1740" t="s">
        <v>3250</v>
      </c>
      <c r="AY1740" t="s">
        <v>3250</v>
      </c>
      <c r="AZ1740" t="s">
        <v>3250</v>
      </c>
      <c r="BA1740" t="s">
        <v>3250</v>
      </c>
      <c r="BB1740" t="s">
        <v>3250</v>
      </c>
      <c r="BC1740" t="s">
        <v>3250</v>
      </c>
      <c r="BE1740" t="s">
        <v>3250</v>
      </c>
      <c r="BF1740" t="s">
        <v>3250</v>
      </c>
      <c r="BG1740" t="s">
        <v>3250</v>
      </c>
      <c r="BH1740" t="s">
        <v>3250</v>
      </c>
      <c r="BI1740" t="s">
        <v>3250</v>
      </c>
      <c r="BK1740" t="s">
        <v>3250</v>
      </c>
      <c r="BL1740" t="s">
        <v>3250</v>
      </c>
      <c r="BM1740" t="s">
        <v>3250</v>
      </c>
      <c r="BN1740" t="s">
        <v>3250</v>
      </c>
      <c r="BP1740">
        <v>1</v>
      </c>
      <c r="BQ1740">
        <v>11</v>
      </c>
      <c r="BR1740" t="s">
        <v>1574</v>
      </c>
      <c r="BS1740" t="s">
        <v>3252</v>
      </c>
      <c r="BV1740">
        <v>0</v>
      </c>
      <c r="BW1740">
        <v>0</v>
      </c>
      <c r="BX1740">
        <v>0</v>
      </c>
      <c r="BY1740">
        <v>0</v>
      </c>
      <c r="BZ1740">
        <v>0</v>
      </c>
      <c r="CA1740">
        <v>0</v>
      </c>
      <c r="CB1740">
        <v>0</v>
      </c>
      <c r="CC1740">
        <v>0</v>
      </c>
      <c r="CD1740">
        <v>0</v>
      </c>
      <c r="CE1740" t="s">
        <v>3108</v>
      </c>
      <c r="CF1740" t="s">
        <v>3108</v>
      </c>
      <c r="CG1740" t="s">
        <v>3108</v>
      </c>
      <c r="CH1740" t="s">
        <v>3108</v>
      </c>
    </row>
    <row r="1741" spans="1:86" x14ac:dyDescent="0.2">
      <c r="A1741" t="s">
        <v>5765</v>
      </c>
      <c r="B1741" t="s">
        <v>5765</v>
      </c>
      <c r="C1741">
        <v>54864</v>
      </c>
      <c r="D1741">
        <v>1864</v>
      </c>
      <c r="E1741" t="s">
        <v>5712</v>
      </c>
      <c r="F1741" t="s">
        <v>3249</v>
      </c>
      <c r="G1741" t="s">
        <v>3249</v>
      </c>
      <c r="H1741" t="s">
        <v>3250</v>
      </c>
      <c r="I1741" t="s">
        <v>3250</v>
      </c>
      <c r="J1741" t="s">
        <v>3250</v>
      </c>
      <c r="K1741" t="s">
        <v>3250</v>
      </c>
      <c r="L1741">
        <v>1200</v>
      </c>
      <c r="M1741" t="s">
        <v>2368</v>
      </c>
      <c r="N1741">
        <v>1204</v>
      </c>
      <c r="O1741" t="s">
        <v>1574</v>
      </c>
      <c r="P1741" t="s">
        <v>3108</v>
      </c>
      <c r="Q1741" t="s">
        <v>3249</v>
      </c>
      <c r="R1741" t="s">
        <v>3249</v>
      </c>
      <c r="S1741" t="s">
        <v>472</v>
      </c>
      <c r="T1741" t="s">
        <v>3251</v>
      </c>
      <c r="U1741">
        <v>120</v>
      </c>
      <c r="V1741" t="s">
        <v>599</v>
      </c>
      <c r="W1741">
        <v>120</v>
      </c>
      <c r="X1741" t="s">
        <v>599</v>
      </c>
      <c r="Y1741" t="s">
        <v>5755</v>
      </c>
      <c r="Z1741" t="s">
        <v>5308</v>
      </c>
      <c r="AA1741" t="s">
        <v>5755</v>
      </c>
      <c r="AB1741" t="s">
        <v>5308</v>
      </c>
      <c r="AC1741" t="s">
        <v>3250</v>
      </c>
      <c r="AD1741" t="s">
        <v>3250</v>
      </c>
      <c r="AE1741" t="s">
        <v>3250</v>
      </c>
      <c r="AF1741" t="s">
        <v>3250</v>
      </c>
      <c r="AG1741" t="s">
        <v>3250</v>
      </c>
      <c r="AH1741" t="s">
        <v>3250</v>
      </c>
      <c r="AI1741" t="s">
        <v>3250</v>
      </c>
      <c r="AJ1741" t="s">
        <v>3250</v>
      </c>
      <c r="AL1741" t="s">
        <v>3250</v>
      </c>
      <c r="AM1741" t="s">
        <v>3250</v>
      </c>
      <c r="AN1741" t="s">
        <v>3250</v>
      </c>
      <c r="AO1741" t="s">
        <v>3250</v>
      </c>
      <c r="AR1741" t="s">
        <v>486</v>
      </c>
      <c r="AS1741" t="s">
        <v>3250</v>
      </c>
      <c r="AT1741" t="s">
        <v>3250</v>
      </c>
      <c r="AU1741" t="s">
        <v>3250</v>
      </c>
      <c r="AV1741" t="s">
        <v>3250</v>
      </c>
      <c r="AW1741" t="s">
        <v>3250</v>
      </c>
      <c r="AX1741" t="s">
        <v>3250</v>
      </c>
      <c r="AY1741" t="s">
        <v>3250</v>
      </c>
      <c r="AZ1741" t="s">
        <v>3250</v>
      </c>
      <c r="BA1741" t="s">
        <v>3250</v>
      </c>
      <c r="BB1741" t="s">
        <v>3250</v>
      </c>
      <c r="BC1741" t="s">
        <v>3250</v>
      </c>
      <c r="BE1741" t="s">
        <v>3250</v>
      </c>
      <c r="BF1741" t="s">
        <v>3250</v>
      </c>
      <c r="BG1741" t="s">
        <v>3250</v>
      </c>
      <c r="BH1741" t="s">
        <v>3250</v>
      </c>
      <c r="BI1741" t="s">
        <v>3250</v>
      </c>
      <c r="BK1741" t="s">
        <v>3250</v>
      </c>
      <c r="BL1741" t="s">
        <v>3250</v>
      </c>
      <c r="BM1741" t="s">
        <v>3250</v>
      </c>
      <c r="BN1741" t="s">
        <v>3250</v>
      </c>
      <c r="BP1741">
        <v>1</v>
      </c>
      <c r="BQ1741">
        <v>11</v>
      </c>
      <c r="BR1741" t="s">
        <v>1574</v>
      </c>
      <c r="BS1741" t="s">
        <v>3252</v>
      </c>
      <c r="BV1741">
        <v>0</v>
      </c>
      <c r="BW1741">
        <v>0</v>
      </c>
      <c r="BX1741">
        <v>0</v>
      </c>
      <c r="BY1741">
        <v>0</v>
      </c>
      <c r="BZ1741">
        <v>0</v>
      </c>
      <c r="CA1741">
        <v>0</v>
      </c>
      <c r="CB1741">
        <v>0</v>
      </c>
      <c r="CC1741">
        <v>0</v>
      </c>
      <c r="CD1741">
        <v>0</v>
      </c>
      <c r="CE1741" t="s">
        <v>3108</v>
      </c>
      <c r="CF1741" t="s">
        <v>3108</v>
      </c>
      <c r="CG1741" t="s">
        <v>3108</v>
      </c>
      <c r="CH1741" t="s">
        <v>3108</v>
      </c>
    </row>
    <row r="1742" spans="1:86" x14ac:dyDescent="0.2">
      <c r="A1742" t="s">
        <v>5766</v>
      </c>
      <c r="B1742" t="s">
        <v>5766</v>
      </c>
      <c r="C1742">
        <v>54865</v>
      </c>
      <c r="D1742">
        <v>1865</v>
      </c>
      <c r="E1742" t="s">
        <v>5746</v>
      </c>
      <c r="F1742" t="s">
        <v>3249</v>
      </c>
      <c r="G1742" t="s">
        <v>3249</v>
      </c>
      <c r="H1742" t="s">
        <v>3250</v>
      </c>
      <c r="I1742" t="s">
        <v>3250</v>
      </c>
      <c r="J1742" t="s">
        <v>3250</v>
      </c>
      <c r="K1742" t="s">
        <v>3250</v>
      </c>
      <c r="L1742">
        <v>1200</v>
      </c>
      <c r="M1742" t="s">
        <v>2368</v>
      </c>
      <c r="N1742">
        <v>1204</v>
      </c>
      <c r="O1742" t="s">
        <v>1574</v>
      </c>
      <c r="P1742" t="s">
        <v>3108</v>
      </c>
      <c r="Q1742" t="s">
        <v>3249</v>
      </c>
      <c r="R1742" t="s">
        <v>3249</v>
      </c>
      <c r="S1742" t="s">
        <v>472</v>
      </c>
      <c r="T1742" t="s">
        <v>3251</v>
      </c>
      <c r="U1742">
        <v>120</v>
      </c>
      <c r="V1742" t="s">
        <v>599</v>
      </c>
      <c r="W1742">
        <v>120</v>
      </c>
      <c r="X1742" t="s">
        <v>599</v>
      </c>
      <c r="Y1742" t="s">
        <v>3250</v>
      </c>
      <c r="Z1742" t="s">
        <v>3250</v>
      </c>
      <c r="AA1742" t="s">
        <v>3108</v>
      </c>
      <c r="AB1742" t="s">
        <v>3108</v>
      </c>
      <c r="AC1742">
        <v>200</v>
      </c>
      <c r="AD1742" t="s">
        <v>5291</v>
      </c>
      <c r="AE1742">
        <v>480</v>
      </c>
      <c r="AF1742" t="s">
        <v>822</v>
      </c>
      <c r="AG1742" t="s">
        <v>3250</v>
      </c>
      <c r="AH1742" t="s">
        <v>3250</v>
      </c>
      <c r="AI1742" t="s">
        <v>3250</v>
      </c>
      <c r="AJ1742" t="s">
        <v>3250</v>
      </c>
      <c r="AL1742" t="s">
        <v>3250</v>
      </c>
      <c r="AM1742" t="s">
        <v>3250</v>
      </c>
      <c r="AN1742" t="s">
        <v>3250</v>
      </c>
      <c r="AO1742" t="s">
        <v>3250</v>
      </c>
      <c r="AS1742" t="s">
        <v>3250</v>
      </c>
      <c r="AT1742" t="s">
        <v>3250</v>
      </c>
      <c r="AU1742" t="s">
        <v>3250</v>
      </c>
      <c r="AV1742" t="s">
        <v>3250</v>
      </c>
      <c r="AW1742" t="s">
        <v>3250</v>
      </c>
      <c r="AX1742" t="s">
        <v>3250</v>
      </c>
      <c r="AY1742" t="s">
        <v>3250</v>
      </c>
      <c r="AZ1742" t="s">
        <v>3250</v>
      </c>
      <c r="BA1742" t="s">
        <v>3250</v>
      </c>
      <c r="BB1742" t="s">
        <v>3250</v>
      </c>
      <c r="BC1742" t="s">
        <v>3250</v>
      </c>
      <c r="BE1742" t="s">
        <v>3250</v>
      </c>
      <c r="BF1742" t="s">
        <v>3250</v>
      </c>
      <c r="BG1742" t="s">
        <v>3250</v>
      </c>
      <c r="BH1742" t="s">
        <v>3250</v>
      </c>
      <c r="BI1742" t="s">
        <v>3250</v>
      </c>
      <c r="BK1742" t="s">
        <v>3250</v>
      </c>
      <c r="BL1742" t="s">
        <v>3250</v>
      </c>
      <c r="BM1742" t="s">
        <v>3250</v>
      </c>
      <c r="BN1742" t="s">
        <v>3250</v>
      </c>
      <c r="BP1742">
        <v>1</v>
      </c>
      <c r="BQ1742">
        <v>11</v>
      </c>
      <c r="BR1742" t="s">
        <v>1574</v>
      </c>
      <c r="BS1742" t="s">
        <v>3252</v>
      </c>
      <c r="BV1742">
        <v>0</v>
      </c>
      <c r="BW1742">
        <v>0</v>
      </c>
      <c r="BX1742">
        <v>0</v>
      </c>
      <c r="BY1742">
        <v>0</v>
      </c>
      <c r="BZ1742">
        <v>0</v>
      </c>
      <c r="CA1742">
        <v>0</v>
      </c>
      <c r="CB1742">
        <v>0</v>
      </c>
      <c r="CC1742">
        <v>0</v>
      </c>
      <c r="CD1742">
        <v>0</v>
      </c>
      <c r="CE1742" t="s">
        <v>3108</v>
      </c>
      <c r="CF1742" t="s">
        <v>3108</v>
      </c>
      <c r="CG1742" t="s">
        <v>3108</v>
      </c>
      <c r="CH1742" t="s">
        <v>3108</v>
      </c>
    </row>
    <row r="1743" spans="1:86" x14ac:dyDescent="0.2">
      <c r="A1743" t="s">
        <v>5767</v>
      </c>
      <c r="B1743" t="s">
        <v>5767</v>
      </c>
      <c r="C1743">
        <v>54866</v>
      </c>
      <c r="D1743">
        <v>1866</v>
      </c>
      <c r="E1743" t="s">
        <v>5741</v>
      </c>
      <c r="F1743" t="s">
        <v>3249</v>
      </c>
      <c r="G1743" t="s">
        <v>3249</v>
      </c>
      <c r="H1743" t="s">
        <v>3250</v>
      </c>
      <c r="I1743" t="s">
        <v>3250</v>
      </c>
      <c r="J1743" t="s">
        <v>3250</v>
      </c>
      <c r="K1743" t="s">
        <v>3250</v>
      </c>
      <c r="L1743">
        <v>1200</v>
      </c>
      <c r="M1743" t="s">
        <v>2368</v>
      </c>
      <c r="N1743">
        <v>1204</v>
      </c>
      <c r="O1743" t="s">
        <v>1574</v>
      </c>
      <c r="P1743" t="s">
        <v>3108</v>
      </c>
      <c r="Q1743" t="s">
        <v>3249</v>
      </c>
      <c r="R1743" t="s">
        <v>3249</v>
      </c>
      <c r="S1743" t="s">
        <v>472</v>
      </c>
      <c r="T1743" t="s">
        <v>3251</v>
      </c>
      <c r="U1743">
        <v>120</v>
      </c>
      <c r="V1743" t="s">
        <v>599</v>
      </c>
      <c r="W1743">
        <v>120</v>
      </c>
      <c r="X1743" t="s">
        <v>599</v>
      </c>
      <c r="Y1743" t="s">
        <v>3250</v>
      </c>
      <c r="Z1743" t="s">
        <v>3250</v>
      </c>
      <c r="AA1743" t="s">
        <v>3108</v>
      </c>
      <c r="AB1743" t="s">
        <v>3108</v>
      </c>
      <c r="AC1743">
        <v>420</v>
      </c>
      <c r="AD1743" t="s">
        <v>827</v>
      </c>
      <c r="AE1743">
        <v>560</v>
      </c>
      <c r="AF1743" t="s">
        <v>827</v>
      </c>
      <c r="AG1743" t="s">
        <v>3250</v>
      </c>
      <c r="AH1743" t="s">
        <v>3250</v>
      </c>
      <c r="AI1743" t="s">
        <v>3250</v>
      </c>
      <c r="AJ1743" t="s">
        <v>3250</v>
      </c>
      <c r="AL1743" t="s">
        <v>3250</v>
      </c>
      <c r="AM1743" t="s">
        <v>3250</v>
      </c>
      <c r="AN1743" t="s">
        <v>3250</v>
      </c>
      <c r="AO1743" t="s">
        <v>3250</v>
      </c>
      <c r="AS1743" t="s">
        <v>3250</v>
      </c>
      <c r="AT1743" t="s">
        <v>3250</v>
      </c>
      <c r="AU1743" t="s">
        <v>3250</v>
      </c>
      <c r="AV1743" t="s">
        <v>3250</v>
      </c>
      <c r="AW1743" t="s">
        <v>3250</v>
      </c>
      <c r="AX1743" t="s">
        <v>3250</v>
      </c>
      <c r="AY1743" t="s">
        <v>3250</v>
      </c>
      <c r="AZ1743" t="s">
        <v>3250</v>
      </c>
      <c r="BA1743" t="s">
        <v>3250</v>
      </c>
      <c r="BB1743" t="s">
        <v>3250</v>
      </c>
      <c r="BC1743" t="s">
        <v>3250</v>
      </c>
      <c r="BE1743" t="s">
        <v>3250</v>
      </c>
      <c r="BF1743" t="s">
        <v>3250</v>
      </c>
      <c r="BG1743" t="s">
        <v>3250</v>
      </c>
      <c r="BH1743" t="s">
        <v>3250</v>
      </c>
      <c r="BI1743" t="s">
        <v>3250</v>
      </c>
      <c r="BK1743" t="s">
        <v>3250</v>
      </c>
      <c r="BL1743" t="s">
        <v>3250</v>
      </c>
      <c r="BM1743" t="s">
        <v>3250</v>
      </c>
      <c r="BN1743" t="s">
        <v>3250</v>
      </c>
      <c r="BP1743">
        <v>1</v>
      </c>
      <c r="BQ1743">
        <v>11</v>
      </c>
      <c r="BR1743" t="s">
        <v>1574</v>
      </c>
      <c r="BS1743" t="s">
        <v>3252</v>
      </c>
      <c r="BV1743">
        <v>0</v>
      </c>
      <c r="BW1743">
        <v>0</v>
      </c>
      <c r="BX1743">
        <v>0</v>
      </c>
      <c r="BY1743">
        <v>0</v>
      </c>
      <c r="BZ1743">
        <v>0</v>
      </c>
      <c r="CA1743">
        <v>0</v>
      </c>
      <c r="CB1743">
        <v>0</v>
      </c>
      <c r="CC1743">
        <v>0</v>
      </c>
      <c r="CD1743">
        <v>0</v>
      </c>
      <c r="CE1743" t="s">
        <v>3108</v>
      </c>
      <c r="CF1743" t="s">
        <v>3108</v>
      </c>
      <c r="CG1743" t="s">
        <v>3108</v>
      </c>
      <c r="CH1743" t="s">
        <v>3108</v>
      </c>
    </row>
    <row r="1744" spans="1:86" x14ac:dyDescent="0.2">
      <c r="A1744" t="s">
        <v>5768</v>
      </c>
      <c r="B1744" t="s">
        <v>5768</v>
      </c>
      <c r="C1744">
        <v>54867</v>
      </c>
      <c r="D1744">
        <v>1867</v>
      </c>
      <c r="E1744" t="s">
        <v>5712</v>
      </c>
      <c r="F1744" t="s">
        <v>3249</v>
      </c>
      <c r="G1744" t="s">
        <v>3249</v>
      </c>
      <c r="H1744" t="s">
        <v>3250</v>
      </c>
      <c r="I1744" t="s">
        <v>3250</v>
      </c>
      <c r="J1744" t="s">
        <v>3250</v>
      </c>
      <c r="K1744" t="s">
        <v>3250</v>
      </c>
      <c r="L1744">
        <v>1200</v>
      </c>
      <c r="M1744" t="s">
        <v>2368</v>
      </c>
      <c r="N1744">
        <v>1204</v>
      </c>
      <c r="O1744" t="s">
        <v>1574</v>
      </c>
      <c r="P1744" t="s">
        <v>3108</v>
      </c>
      <c r="Q1744" t="s">
        <v>3249</v>
      </c>
      <c r="R1744" t="s">
        <v>3249</v>
      </c>
      <c r="S1744" t="s">
        <v>472</v>
      </c>
      <c r="T1744" t="s">
        <v>3251</v>
      </c>
      <c r="U1744">
        <v>120</v>
      </c>
      <c r="V1744" t="s">
        <v>599</v>
      </c>
      <c r="W1744">
        <v>120</v>
      </c>
      <c r="X1744" t="s">
        <v>599</v>
      </c>
      <c r="Y1744" t="s">
        <v>5769</v>
      </c>
      <c r="Z1744" t="s">
        <v>467</v>
      </c>
      <c r="AA1744" t="s">
        <v>5769</v>
      </c>
      <c r="AB1744" t="s">
        <v>467</v>
      </c>
      <c r="AC1744" t="s">
        <v>3250</v>
      </c>
      <c r="AD1744" t="s">
        <v>3250</v>
      </c>
      <c r="AE1744" t="s">
        <v>3250</v>
      </c>
      <c r="AF1744" t="s">
        <v>3250</v>
      </c>
      <c r="AG1744" t="s">
        <v>3250</v>
      </c>
      <c r="AH1744" t="s">
        <v>3250</v>
      </c>
      <c r="AI1744" t="s">
        <v>3250</v>
      </c>
      <c r="AJ1744" t="s">
        <v>3250</v>
      </c>
      <c r="AL1744" t="s">
        <v>3250</v>
      </c>
      <c r="AM1744" t="s">
        <v>3250</v>
      </c>
      <c r="AN1744" t="s">
        <v>3250</v>
      </c>
      <c r="AO1744" t="s">
        <v>3250</v>
      </c>
      <c r="AR1744" t="s">
        <v>486</v>
      </c>
      <c r="AS1744" t="s">
        <v>3250</v>
      </c>
      <c r="AT1744" t="s">
        <v>3250</v>
      </c>
      <c r="AU1744" t="s">
        <v>3250</v>
      </c>
      <c r="AV1744" t="s">
        <v>3250</v>
      </c>
      <c r="AW1744" t="s">
        <v>3250</v>
      </c>
      <c r="AX1744" t="s">
        <v>3250</v>
      </c>
      <c r="AY1744" t="s">
        <v>3250</v>
      </c>
      <c r="AZ1744" t="s">
        <v>3250</v>
      </c>
      <c r="BA1744" t="s">
        <v>3250</v>
      </c>
      <c r="BB1744" t="s">
        <v>3250</v>
      </c>
      <c r="BC1744" t="s">
        <v>3250</v>
      </c>
      <c r="BE1744" t="s">
        <v>3250</v>
      </c>
      <c r="BF1744" t="s">
        <v>3250</v>
      </c>
      <c r="BG1744" t="s">
        <v>3250</v>
      </c>
      <c r="BH1744" t="s">
        <v>3250</v>
      </c>
      <c r="BI1744" t="s">
        <v>3250</v>
      </c>
      <c r="BK1744" t="s">
        <v>3250</v>
      </c>
      <c r="BL1744" t="s">
        <v>3250</v>
      </c>
      <c r="BM1744" t="s">
        <v>3250</v>
      </c>
      <c r="BN1744" t="s">
        <v>3250</v>
      </c>
      <c r="BP1744">
        <v>1</v>
      </c>
      <c r="BQ1744">
        <v>11</v>
      </c>
      <c r="BR1744" t="s">
        <v>1574</v>
      </c>
      <c r="BS1744" t="s">
        <v>3252</v>
      </c>
      <c r="BV1744">
        <v>0</v>
      </c>
      <c r="BW1744">
        <v>0</v>
      </c>
      <c r="BX1744">
        <v>0</v>
      </c>
      <c r="BY1744">
        <v>0</v>
      </c>
      <c r="BZ1744">
        <v>0</v>
      </c>
      <c r="CA1744">
        <v>0</v>
      </c>
      <c r="CB1744">
        <v>0</v>
      </c>
      <c r="CC1744">
        <v>0</v>
      </c>
      <c r="CD1744">
        <v>0</v>
      </c>
      <c r="CE1744" t="s">
        <v>3108</v>
      </c>
      <c r="CF1744" t="s">
        <v>3108</v>
      </c>
      <c r="CG1744" t="s">
        <v>3108</v>
      </c>
      <c r="CH1744" t="s">
        <v>3108</v>
      </c>
    </row>
    <row r="1745" spans="1:86" x14ac:dyDescent="0.2">
      <c r="A1745" t="s">
        <v>5770</v>
      </c>
      <c r="B1745" t="s">
        <v>5770</v>
      </c>
      <c r="C1745">
        <v>54868</v>
      </c>
      <c r="D1745">
        <v>1868</v>
      </c>
      <c r="E1745" t="s">
        <v>5717</v>
      </c>
      <c r="F1745" t="s">
        <v>3249</v>
      </c>
      <c r="G1745" t="s">
        <v>3249</v>
      </c>
      <c r="H1745" t="s">
        <v>3250</v>
      </c>
      <c r="I1745" t="s">
        <v>3250</v>
      </c>
      <c r="J1745" t="s">
        <v>3250</v>
      </c>
      <c r="K1745" t="s">
        <v>3250</v>
      </c>
      <c r="L1745">
        <v>1200</v>
      </c>
      <c r="M1745" t="s">
        <v>2368</v>
      </c>
      <c r="N1745">
        <v>1204</v>
      </c>
      <c r="O1745" t="s">
        <v>1574</v>
      </c>
      <c r="P1745" t="s">
        <v>3108</v>
      </c>
      <c r="Q1745" t="s">
        <v>3249</v>
      </c>
      <c r="R1745" t="s">
        <v>3249</v>
      </c>
      <c r="S1745" t="s">
        <v>472</v>
      </c>
      <c r="T1745" t="s">
        <v>3251</v>
      </c>
      <c r="U1745">
        <v>120</v>
      </c>
      <c r="V1745" t="s">
        <v>599</v>
      </c>
      <c r="W1745">
        <v>120</v>
      </c>
      <c r="X1745" t="s">
        <v>599</v>
      </c>
      <c r="Y1745" t="s">
        <v>5771</v>
      </c>
      <c r="Z1745" t="s">
        <v>467</v>
      </c>
      <c r="AA1745" t="s">
        <v>5771</v>
      </c>
      <c r="AB1745" t="s">
        <v>467</v>
      </c>
      <c r="AC1745" t="s">
        <v>3250</v>
      </c>
      <c r="AD1745" t="s">
        <v>3250</v>
      </c>
      <c r="AE1745" t="s">
        <v>3250</v>
      </c>
      <c r="AF1745" t="s">
        <v>3250</v>
      </c>
      <c r="AG1745" t="s">
        <v>3250</v>
      </c>
      <c r="AH1745" t="s">
        <v>3250</v>
      </c>
      <c r="AI1745" t="s">
        <v>3250</v>
      </c>
      <c r="AJ1745" t="s">
        <v>3250</v>
      </c>
      <c r="AL1745" t="s">
        <v>3250</v>
      </c>
      <c r="AM1745" t="s">
        <v>3250</v>
      </c>
      <c r="AN1745" t="s">
        <v>3250</v>
      </c>
      <c r="AO1745" t="s">
        <v>3250</v>
      </c>
      <c r="AR1745" t="s">
        <v>5718</v>
      </c>
      <c r="AS1745" t="s">
        <v>3250</v>
      </c>
      <c r="AT1745" t="s">
        <v>3250</v>
      </c>
      <c r="AU1745" t="s">
        <v>3250</v>
      </c>
      <c r="AV1745" t="s">
        <v>3250</v>
      </c>
      <c r="AW1745" t="s">
        <v>3250</v>
      </c>
      <c r="AX1745" t="s">
        <v>3250</v>
      </c>
      <c r="AY1745" t="s">
        <v>3250</v>
      </c>
      <c r="AZ1745" t="s">
        <v>3250</v>
      </c>
      <c r="BA1745" t="s">
        <v>3250</v>
      </c>
      <c r="BB1745" t="s">
        <v>3250</v>
      </c>
      <c r="BC1745" t="s">
        <v>3250</v>
      </c>
      <c r="BE1745" t="s">
        <v>3250</v>
      </c>
      <c r="BF1745" t="s">
        <v>3250</v>
      </c>
      <c r="BG1745" t="s">
        <v>3250</v>
      </c>
      <c r="BH1745" t="s">
        <v>3250</v>
      </c>
      <c r="BI1745" t="s">
        <v>3250</v>
      </c>
      <c r="BK1745" t="s">
        <v>3250</v>
      </c>
      <c r="BL1745" t="s">
        <v>3250</v>
      </c>
      <c r="BM1745" t="s">
        <v>3250</v>
      </c>
      <c r="BN1745" t="s">
        <v>3250</v>
      </c>
      <c r="BP1745">
        <v>1</v>
      </c>
      <c r="BQ1745">
        <v>11</v>
      </c>
      <c r="BR1745" t="s">
        <v>1574</v>
      </c>
      <c r="BS1745" t="s">
        <v>3252</v>
      </c>
      <c r="BV1745">
        <v>0</v>
      </c>
      <c r="BW1745">
        <v>0</v>
      </c>
      <c r="BX1745">
        <v>0</v>
      </c>
      <c r="BY1745">
        <v>-16814377</v>
      </c>
      <c r="BZ1745">
        <v>0</v>
      </c>
      <c r="CA1745">
        <v>0</v>
      </c>
      <c r="CB1745">
        <v>0</v>
      </c>
      <c r="CC1745">
        <v>0</v>
      </c>
      <c r="CD1745">
        <v>0</v>
      </c>
      <c r="CE1745" t="s">
        <v>3108</v>
      </c>
      <c r="CF1745" t="s">
        <v>3108</v>
      </c>
      <c r="CG1745" t="s">
        <v>3108</v>
      </c>
      <c r="CH1745" t="s">
        <v>3108</v>
      </c>
    </row>
    <row r="1746" spans="1:86" x14ac:dyDescent="0.2">
      <c r="A1746" t="s">
        <v>5772</v>
      </c>
      <c r="B1746" t="s">
        <v>5772</v>
      </c>
      <c r="C1746">
        <v>54869</v>
      </c>
      <c r="D1746">
        <v>1869</v>
      </c>
      <c r="E1746" t="s">
        <v>5746</v>
      </c>
      <c r="F1746" t="s">
        <v>3249</v>
      </c>
      <c r="G1746" t="s">
        <v>3249</v>
      </c>
      <c r="H1746" t="s">
        <v>3250</v>
      </c>
      <c r="I1746" t="s">
        <v>3250</v>
      </c>
      <c r="J1746" t="s">
        <v>3250</v>
      </c>
      <c r="K1746" t="s">
        <v>3250</v>
      </c>
      <c r="L1746">
        <v>1200</v>
      </c>
      <c r="M1746" t="s">
        <v>2368</v>
      </c>
      <c r="N1746">
        <v>1204</v>
      </c>
      <c r="O1746" t="s">
        <v>1574</v>
      </c>
      <c r="P1746" t="s">
        <v>3108</v>
      </c>
      <c r="Q1746" t="s">
        <v>3249</v>
      </c>
      <c r="R1746" t="s">
        <v>3249</v>
      </c>
      <c r="S1746" t="s">
        <v>472</v>
      </c>
      <c r="T1746" t="s">
        <v>3251</v>
      </c>
      <c r="U1746">
        <v>120</v>
      </c>
      <c r="V1746" t="s">
        <v>599</v>
      </c>
      <c r="W1746">
        <v>120</v>
      </c>
      <c r="X1746" t="s">
        <v>599</v>
      </c>
      <c r="Y1746" t="s">
        <v>3250</v>
      </c>
      <c r="Z1746" t="s">
        <v>3250</v>
      </c>
      <c r="AA1746" t="s">
        <v>3108</v>
      </c>
      <c r="AB1746" t="s">
        <v>3108</v>
      </c>
      <c r="AC1746">
        <v>200</v>
      </c>
      <c r="AD1746" t="s">
        <v>5291</v>
      </c>
      <c r="AE1746">
        <v>480</v>
      </c>
      <c r="AF1746" t="s">
        <v>822</v>
      </c>
      <c r="AG1746" t="s">
        <v>3250</v>
      </c>
      <c r="AH1746" t="s">
        <v>3250</v>
      </c>
      <c r="AI1746" t="s">
        <v>3250</v>
      </c>
      <c r="AJ1746" t="s">
        <v>3250</v>
      </c>
      <c r="AL1746" t="s">
        <v>3250</v>
      </c>
      <c r="AM1746" t="s">
        <v>3250</v>
      </c>
      <c r="AN1746" t="s">
        <v>3250</v>
      </c>
      <c r="AO1746" t="s">
        <v>3250</v>
      </c>
      <c r="AS1746" t="s">
        <v>3250</v>
      </c>
      <c r="AT1746" t="s">
        <v>3250</v>
      </c>
      <c r="AU1746" t="s">
        <v>3250</v>
      </c>
      <c r="AV1746" t="s">
        <v>3250</v>
      </c>
      <c r="AW1746" t="s">
        <v>3250</v>
      </c>
      <c r="AX1746" t="s">
        <v>3250</v>
      </c>
      <c r="AY1746" t="s">
        <v>3250</v>
      </c>
      <c r="AZ1746" t="s">
        <v>3250</v>
      </c>
      <c r="BA1746" t="s">
        <v>3250</v>
      </c>
      <c r="BB1746" t="s">
        <v>3250</v>
      </c>
      <c r="BC1746" t="s">
        <v>3250</v>
      </c>
      <c r="BE1746" t="s">
        <v>3250</v>
      </c>
      <c r="BF1746" t="s">
        <v>3250</v>
      </c>
      <c r="BG1746" t="s">
        <v>3250</v>
      </c>
      <c r="BH1746" t="s">
        <v>3250</v>
      </c>
      <c r="BI1746" t="s">
        <v>3250</v>
      </c>
      <c r="BK1746" t="s">
        <v>3250</v>
      </c>
      <c r="BL1746" t="s">
        <v>3250</v>
      </c>
      <c r="BM1746" t="s">
        <v>3250</v>
      </c>
      <c r="BN1746" t="s">
        <v>3250</v>
      </c>
      <c r="BP1746">
        <v>1</v>
      </c>
      <c r="BQ1746">
        <v>11</v>
      </c>
      <c r="BR1746" t="s">
        <v>1574</v>
      </c>
      <c r="BS1746" t="s">
        <v>3252</v>
      </c>
      <c r="BV1746">
        <v>0</v>
      </c>
      <c r="BW1746">
        <v>0</v>
      </c>
      <c r="BX1746">
        <v>0</v>
      </c>
      <c r="BY1746">
        <v>0</v>
      </c>
      <c r="BZ1746">
        <v>0</v>
      </c>
      <c r="CA1746">
        <v>0</v>
      </c>
      <c r="CB1746">
        <v>0</v>
      </c>
      <c r="CC1746">
        <v>0</v>
      </c>
      <c r="CD1746">
        <v>0</v>
      </c>
      <c r="CE1746" t="s">
        <v>3108</v>
      </c>
      <c r="CF1746" t="s">
        <v>3108</v>
      </c>
      <c r="CG1746" t="s">
        <v>3108</v>
      </c>
      <c r="CH1746" t="s">
        <v>3108</v>
      </c>
    </row>
    <row r="1747" spans="1:86" x14ac:dyDescent="0.2">
      <c r="A1747" t="s">
        <v>5773</v>
      </c>
      <c r="B1747" t="s">
        <v>5773</v>
      </c>
      <c r="C1747">
        <v>54870</v>
      </c>
      <c r="D1747">
        <v>1870</v>
      </c>
      <c r="E1747" t="s">
        <v>5115</v>
      </c>
      <c r="F1747" t="s">
        <v>3249</v>
      </c>
      <c r="G1747" t="s">
        <v>3249</v>
      </c>
      <c r="H1747" t="s">
        <v>3250</v>
      </c>
      <c r="I1747" t="s">
        <v>3250</v>
      </c>
      <c r="J1747" t="s">
        <v>3250</v>
      </c>
      <c r="K1747" t="s">
        <v>3250</v>
      </c>
      <c r="L1747">
        <v>1200</v>
      </c>
      <c r="M1747" t="s">
        <v>2368</v>
      </c>
      <c r="N1747">
        <v>1204</v>
      </c>
      <c r="O1747" t="s">
        <v>1574</v>
      </c>
      <c r="P1747" t="s">
        <v>3108</v>
      </c>
      <c r="Q1747" t="s">
        <v>3249</v>
      </c>
      <c r="R1747" t="s">
        <v>3249</v>
      </c>
      <c r="S1747" t="s">
        <v>472</v>
      </c>
      <c r="T1747" t="s">
        <v>3251</v>
      </c>
      <c r="U1747">
        <v>120</v>
      </c>
      <c r="V1747" t="s">
        <v>599</v>
      </c>
      <c r="W1747">
        <v>120</v>
      </c>
      <c r="X1747" t="s">
        <v>599</v>
      </c>
      <c r="Y1747" t="s">
        <v>2765</v>
      </c>
      <c r="Z1747" t="s">
        <v>467</v>
      </c>
      <c r="AA1747" t="s">
        <v>2765</v>
      </c>
      <c r="AB1747" t="s">
        <v>467</v>
      </c>
      <c r="AC1747" t="s">
        <v>3250</v>
      </c>
      <c r="AD1747" t="s">
        <v>3250</v>
      </c>
      <c r="AE1747" t="s">
        <v>3250</v>
      </c>
      <c r="AF1747" t="s">
        <v>3250</v>
      </c>
      <c r="AG1747" t="s">
        <v>3250</v>
      </c>
      <c r="AH1747" t="s">
        <v>3250</v>
      </c>
      <c r="AI1747" t="s">
        <v>3250</v>
      </c>
      <c r="AJ1747" t="s">
        <v>3250</v>
      </c>
      <c r="AL1747" t="s">
        <v>3250</v>
      </c>
      <c r="AM1747" t="s">
        <v>3250</v>
      </c>
      <c r="AN1747" t="s">
        <v>3250</v>
      </c>
      <c r="AO1747" t="s">
        <v>3250</v>
      </c>
      <c r="AR1747" t="s">
        <v>472</v>
      </c>
      <c r="AS1747" t="s">
        <v>3250</v>
      </c>
      <c r="AT1747" t="s">
        <v>3250</v>
      </c>
      <c r="AU1747" t="s">
        <v>3250</v>
      </c>
      <c r="AV1747" t="s">
        <v>3250</v>
      </c>
      <c r="AW1747" t="s">
        <v>3250</v>
      </c>
      <c r="AX1747" t="s">
        <v>3250</v>
      </c>
      <c r="AY1747" t="s">
        <v>3250</v>
      </c>
      <c r="AZ1747" t="s">
        <v>3250</v>
      </c>
      <c r="BA1747" t="s">
        <v>3250</v>
      </c>
      <c r="BB1747" t="s">
        <v>3250</v>
      </c>
      <c r="BC1747" t="s">
        <v>3250</v>
      </c>
      <c r="BE1747" t="s">
        <v>3250</v>
      </c>
      <c r="BF1747" t="s">
        <v>3250</v>
      </c>
      <c r="BG1747" t="s">
        <v>3250</v>
      </c>
      <c r="BH1747" t="s">
        <v>3250</v>
      </c>
      <c r="BI1747" t="s">
        <v>3250</v>
      </c>
      <c r="BK1747" t="s">
        <v>3250</v>
      </c>
      <c r="BL1747" t="s">
        <v>3250</v>
      </c>
      <c r="BM1747" t="s">
        <v>3250</v>
      </c>
      <c r="BN1747" t="s">
        <v>3250</v>
      </c>
      <c r="BP1747">
        <v>1</v>
      </c>
      <c r="BQ1747">
        <v>11</v>
      </c>
      <c r="BR1747" t="s">
        <v>1574</v>
      </c>
      <c r="BS1747" t="s">
        <v>3252</v>
      </c>
      <c r="BV1747">
        <v>0</v>
      </c>
      <c r="BW1747">
        <v>0</v>
      </c>
      <c r="BX1747">
        <v>0</v>
      </c>
      <c r="BY1747">
        <v>16814377</v>
      </c>
      <c r="BZ1747">
        <v>16814377</v>
      </c>
      <c r="CA1747">
        <v>17470140</v>
      </c>
      <c r="CB1747">
        <v>17886172</v>
      </c>
      <c r="CC1747">
        <v>19022273</v>
      </c>
      <c r="CD1747">
        <v>0</v>
      </c>
      <c r="CE1747" t="s">
        <v>3108</v>
      </c>
      <c r="CF1747" t="s">
        <v>3108</v>
      </c>
      <c r="CG1747" t="s">
        <v>3108</v>
      </c>
      <c r="CH1747" t="s">
        <v>3108</v>
      </c>
    </row>
    <row r="1748" spans="1:86" x14ac:dyDescent="0.2">
      <c r="A1748" t="s">
        <v>5774</v>
      </c>
      <c r="B1748" t="s">
        <v>5774</v>
      </c>
      <c r="C1748">
        <v>54871</v>
      </c>
      <c r="D1748">
        <v>1872</v>
      </c>
      <c r="E1748" t="s">
        <v>5717</v>
      </c>
      <c r="F1748" t="s">
        <v>3249</v>
      </c>
      <c r="G1748" t="s">
        <v>3249</v>
      </c>
      <c r="H1748" t="s">
        <v>3250</v>
      </c>
      <c r="I1748" t="s">
        <v>3250</v>
      </c>
      <c r="J1748" t="s">
        <v>3250</v>
      </c>
      <c r="K1748" t="s">
        <v>3250</v>
      </c>
      <c r="L1748">
        <v>1200</v>
      </c>
      <c r="M1748" t="s">
        <v>2368</v>
      </c>
      <c r="N1748">
        <v>1204</v>
      </c>
      <c r="O1748" t="s">
        <v>1574</v>
      </c>
      <c r="P1748" t="s">
        <v>3108</v>
      </c>
      <c r="Q1748" t="s">
        <v>3249</v>
      </c>
      <c r="R1748" t="s">
        <v>3249</v>
      </c>
      <c r="S1748" t="s">
        <v>472</v>
      </c>
      <c r="T1748" t="s">
        <v>3251</v>
      </c>
      <c r="U1748">
        <v>120</v>
      </c>
      <c r="V1748" t="s">
        <v>599</v>
      </c>
      <c r="W1748">
        <v>120</v>
      </c>
      <c r="X1748" t="s">
        <v>599</v>
      </c>
      <c r="Y1748" t="s">
        <v>5775</v>
      </c>
      <c r="Z1748" t="s">
        <v>1403</v>
      </c>
      <c r="AA1748" t="s">
        <v>5775</v>
      </c>
      <c r="AB1748" t="s">
        <v>902</v>
      </c>
      <c r="AC1748" t="s">
        <v>3250</v>
      </c>
      <c r="AD1748" t="s">
        <v>3250</v>
      </c>
      <c r="AE1748" t="s">
        <v>3250</v>
      </c>
      <c r="AF1748" t="s">
        <v>3250</v>
      </c>
      <c r="AG1748" t="s">
        <v>3250</v>
      </c>
      <c r="AH1748" t="s">
        <v>3250</v>
      </c>
      <c r="AI1748" t="s">
        <v>3250</v>
      </c>
      <c r="AJ1748" t="s">
        <v>3250</v>
      </c>
      <c r="AL1748" t="s">
        <v>3250</v>
      </c>
      <c r="AM1748" t="s">
        <v>3250</v>
      </c>
      <c r="AN1748" t="s">
        <v>3250</v>
      </c>
      <c r="AO1748" t="s">
        <v>3250</v>
      </c>
      <c r="AR1748" t="s">
        <v>5718</v>
      </c>
      <c r="AS1748" t="s">
        <v>3250</v>
      </c>
      <c r="AT1748" t="s">
        <v>3250</v>
      </c>
      <c r="AU1748" t="s">
        <v>3250</v>
      </c>
      <c r="AV1748" t="s">
        <v>3250</v>
      </c>
      <c r="AW1748" t="s">
        <v>3250</v>
      </c>
      <c r="AX1748" t="s">
        <v>3250</v>
      </c>
      <c r="AY1748" t="s">
        <v>3250</v>
      </c>
      <c r="AZ1748" t="s">
        <v>3250</v>
      </c>
      <c r="BA1748" t="s">
        <v>3250</v>
      </c>
      <c r="BB1748" t="s">
        <v>3250</v>
      </c>
      <c r="BC1748" t="s">
        <v>3250</v>
      </c>
      <c r="BE1748" t="s">
        <v>3250</v>
      </c>
      <c r="BF1748" t="s">
        <v>3250</v>
      </c>
      <c r="BG1748" t="s">
        <v>3250</v>
      </c>
      <c r="BH1748" t="s">
        <v>3250</v>
      </c>
      <c r="BI1748" t="s">
        <v>3250</v>
      </c>
      <c r="BK1748" t="s">
        <v>3250</v>
      </c>
      <c r="BL1748" t="s">
        <v>3250</v>
      </c>
      <c r="BM1748" t="s">
        <v>3250</v>
      </c>
      <c r="BN1748" t="s">
        <v>3250</v>
      </c>
      <c r="BP1748">
        <v>1</v>
      </c>
      <c r="BQ1748">
        <v>11</v>
      </c>
      <c r="BR1748" t="s">
        <v>1574</v>
      </c>
      <c r="BS1748" t="s">
        <v>3252</v>
      </c>
      <c r="BV1748">
        <v>0</v>
      </c>
      <c r="BW1748">
        <v>0</v>
      </c>
      <c r="BX1748">
        <v>0</v>
      </c>
      <c r="BY1748">
        <v>-574284</v>
      </c>
      <c r="BZ1748">
        <v>0</v>
      </c>
      <c r="CA1748">
        <v>0</v>
      </c>
      <c r="CB1748">
        <v>0</v>
      </c>
      <c r="CC1748">
        <v>0</v>
      </c>
      <c r="CD1748">
        <v>0</v>
      </c>
      <c r="CE1748" t="s">
        <v>3108</v>
      </c>
      <c r="CF1748" t="s">
        <v>3108</v>
      </c>
      <c r="CG1748" t="s">
        <v>3108</v>
      </c>
      <c r="CH1748" t="s">
        <v>3108</v>
      </c>
    </row>
    <row r="1749" spans="1:86" x14ac:dyDescent="0.2">
      <c r="A1749" t="s">
        <v>5776</v>
      </c>
      <c r="B1749" t="s">
        <v>5776</v>
      </c>
      <c r="C1749">
        <v>54872</v>
      </c>
      <c r="D1749">
        <v>1873</v>
      </c>
      <c r="E1749" t="s">
        <v>5712</v>
      </c>
      <c r="F1749" t="s">
        <v>3249</v>
      </c>
      <c r="G1749" t="s">
        <v>3249</v>
      </c>
      <c r="H1749" t="s">
        <v>3250</v>
      </c>
      <c r="I1749" t="s">
        <v>3250</v>
      </c>
      <c r="J1749" t="s">
        <v>3250</v>
      </c>
      <c r="K1749" t="s">
        <v>3250</v>
      </c>
      <c r="L1749">
        <v>1200</v>
      </c>
      <c r="M1749" t="s">
        <v>2368</v>
      </c>
      <c r="N1749">
        <v>1204</v>
      </c>
      <c r="O1749" t="s">
        <v>1574</v>
      </c>
      <c r="P1749" t="s">
        <v>3108</v>
      </c>
      <c r="Q1749" t="s">
        <v>3249</v>
      </c>
      <c r="R1749" t="s">
        <v>3249</v>
      </c>
      <c r="S1749" t="s">
        <v>472</v>
      </c>
      <c r="T1749" t="s">
        <v>3251</v>
      </c>
      <c r="U1749">
        <v>120</v>
      </c>
      <c r="V1749" t="s">
        <v>599</v>
      </c>
      <c r="W1749">
        <v>120</v>
      </c>
      <c r="X1749" t="s">
        <v>599</v>
      </c>
      <c r="Y1749" t="s">
        <v>5777</v>
      </c>
      <c r="Z1749" t="s">
        <v>1403</v>
      </c>
      <c r="AA1749" t="s">
        <v>5777</v>
      </c>
      <c r="AB1749" t="s">
        <v>902</v>
      </c>
      <c r="AC1749" t="s">
        <v>3250</v>
      </c>
      <c r="AD1749" t="s">
        <v>3250</v>
      </c>
      <c r="AE1749" t="s">
        <v>3250</v>
      </c>
      <c r="AF1749" t="s">
        <v>3250</v>
      </c>
      <c r="AG1749" t="s">
        <v>3250</v>
      </c>
      <c r="AH1749" t="s">
        <v>3250</v>
      </c>
      <c r="AI1749" t="s">
        <v>3250</v>
      </c>
      <c r="AJ1749" t="s">
        <v>3250</v>
      </c>
      <c r="AL1749" t="s">
        <v>3250</v>
      </c>
      <c r="AM1749" t="s">
        <v>3250</v>
      </c>
      <c r="AN1749" t="s">
        <v>3250</v>
      </c>
      <c r="AO1749" t="s">
        <v>3250</v>
      </c>
      <c r="AR1749" t="s">
        <v>486</v>
      </c>
      <c r="AS1749" t="s">
        <v>3250</v>
      </c>
      <c r="AT1749" t="s">
        <v>3250</v>
      </c>
      <c r="AU1749" t="s">
        <v>3250</v>
      </c>
      <c r="AV1749" t="s">
        <v>3250</v>
      </c>
      <c r="AW1749" t="s">
        <v>3250</v>
      </c>
      <c r="AX1749" t="s">
        <v>3250</v>
      </c>
      <c r="AY1749" t="s">
        <v>3250</v>
      </c>
      <c r="AZ1749" t="s">
        <v>3250</v>
      </c>
      <c r="BA1749" t="s">
        <v>3250</v>
      </c>
      <c r="BB1749" t="s">
        <v>3250</v>
      </c>
      <c r="BC1749" t="s">
        <v>3250</v>
      </c>
      <c r="BE1749" t="s">
        <v>3250</v>
      </c>
      <c r="BF1749" t="s">
        <v>3250</v>
      </c>
      <c r="BG1749" t="s">
        <v>3250</v>
      </c>
      <c r="BH1749" t="s">
        <v>3250</v>
      </c>
      <c r="BI1749" t="s">
        <v>3250</v>
      </c>
      <c r="BK1749" t="s">
        <v>3250</v>
      </c>
      <c r="BL1749" t="s">
        <v>3250</v>
      </c>
      <c r="BM1749" t="s">
        <v>3250</v>
      </c>
      <c r="BN1749" t="s">
        <v>3250</v>
      </c>
      <c r="BP1749">
        <v>1</v>
      </c>
      <c r="BQ1749">
        <v>11</v>
      </c>
      <c r="BR1749" t="s">
        <v>1574</v>
      </c>
      <c r="BS1749" t="s">
        <v>3252</v>
      </c>
      <c r="BV1749">
        <v>0</v>
      </c>
      <c r="BW1749">
        <v>0</v>
      </c>
      <c r="BX1749">
        <v>0</v>
      </c>
      <c r="BY1749">
        <v>0</v>
      </c>
      <c r="BZ1749">
        <v>0</v>
      </c>
      <c r="CA1749">
        <v>0</v>
      </c>
      <c r="CB1749">
        <v>0</v>
      </c>
      <c r="CC1749">
        <v>0</v>
      </c>
      <c r="CD1749">
        <v>0</v>
      </c>
      <c r="CE1749" t="s">
        <v>3108</v>
      </c>
      <c r="CF1749" t="s">
        <v>3108</v>
      </c>
      <c r="CG1749" t="s">
        <v>3108</v>
      </c>
      <c r="CH1749" t="s">
        <v>3108</v>
      </c>
    </row>
    <row r="1750" spans="1:86" x14ac:dyDescent="0.2">
      <c r="A1750" t="s">
        <v>5778</v>
      </c>
      <c r="B1750" t="s">
        <v>5778</v>
      </c>
      <c r="C1750">
        <v>54873</v>
      </c>
      <c r="D1750">
        <v>1874</v>
      </c>
      <c r="E1750" t="s">
        <v>5746</v>
      </c>
      <c r="F1750" t="s">
        <v>3249</v>
      </c>
      <c r="G1750" t="s">
        <v>3249</v>
      </c>
      <c r="H1750" t="s">
        <v>3250</v>
      </c>
      <c r="I1750" t="s">
        <v>3250</v>
      </c>
      <c r="J1750" t="s">
        <v>3250</v>
      </c>
      <c r="K1750" t="s">
        <v>3250</v>
      </c>
      <c r="L1750">
        <v>1200</v>
      </c>
      <c r="M1750" t="s">
        <v>2368</v>
      </c>
      <c r="N1750">
        <v>1204</v>
      </c>
      <c r="O1750" t="s">
        <v>1574</v>
      </c>
      <c r="P1750" t="s">
        <v>3108</v>
      </c>
      <c r="Q1750" t="s">
        <v>3249</v>
      </c>
      <c r="R1750" t="s">
        <v>3249</v>
      </c>
      <c r="S1750" t="s">
        <v>472</v>
      </c>
      <c r="T1750" t="s">
        <v>3251</v>
      </c>
      <c r="U1750">
        <v>120</v>
      </c>
      <c r="V1750" t="s">
        <v>599</v>
      </c>
      <c r="W1750">
        <v>120</v>
      </c>
      <c r="X1750" t="s">
        <v>599</v>
      </c>
      <c r="Y1750" t="s">
        <v>3250</v>
      </c>
      <c r="Z1750" t="s">
        <v>3250</v>
      </c>
      <c r="AA1750" t="s">
        <v>3108</v>
      </c>
      <c r="AB1750" t="s">
        <v>3108</v>
      </c>
      <c r="AC1750">
        <v>200</v>
      </c>
      <c r="AD1750" t="s">
        <v>5291</v>
      </c>
      <c r="AE1750">
        <v>480</v>
      </c>
      <c r="AF1750" t="s">
        <v>822</v>
      </c>
      <c r="AG1750" t="s">
        <v>3250</v>
      </c>
      <c r="AH1750" t="s">
        <v>3250</v>
      </c>
      <c r="AI1750" t="s">
        <v>3250</v>
      </c>
      <c r="AJ1750" t="s">
        <v>3250</v>
      </c>
      <c r="AL1750" t="s">
        <v>3250</v>
      </c>
      <c r="AM1750" t="s">
        <v>3250</v>
      </c>
      <c r="AN1750" t="s">
        <v>3250</v>
      </c>
      <c r="AO1750" t="s">
        <v>3250</v>
      </c>
      <c r="AS1750" t="s">
        <v>3250</v>
      </c>
      <c r="AT1750" t="s">
        <v>3250</v>
      </c>
      <c r="AU1750" t="s">
        <v>3250</v>
      </c>
      <c r="AV1750" t="s">
        <v>3250</v>
      </c>
      <c r="AW1750" t="s">
        <v>3250</v>
      </c>
      <c r="AX1750" t="s">
        <v>3250</v>
      </c>
      <c r="AY1750" t="s">
        <v>3250</v>
      </c>
      <c r="AZ1750" t="s">
        <v>3250</v>
      </c>
      <c r="BA1750" t="s">
        <v>3250</v>
      </c>
      <c r="BB1750" t="s">
        <v>3250</v>
      </c>
      <c r="BC1750" t="s">
        <v>3250</v>
      </c>
      <c r="BE1750" t="s">
        <v>3250</v>
      </c>
      <c r="BF1750" t="s">
        <v>3250</v>
      </c>
      <c r="BG1750" t="s">
        <v>3250</v>
      </c>
      <c r="BH1750" t="s">
        <v>3250</v>
      </c>
      <c r="BI1750" t="s">
        <v>3250</v>
      </c>
      <c r="BK1750" t="s">
        <v>3250</v>
      </c>
      <c r="BL1750" t="s">
        <v>3250</v>
      </c>
      <c r="BM1750" t="s">
        <v>3250</v>
      </c>
      <c r="BN1750" t="s">
        <v>3250</v>
      </c>
      <c r="BP1750">
        <v>1</v>
      </c>
      <c r="BQ1750">
        <v>11</v>
      </c>
      <c r="BR1750" t="s">
        <v>1574</v>
      </c>
      <c r="BS1750" t="s">
        <v>3252</v>
      </c>
      <c r="BV1750">
        <v>0</v>
      </c>
      <c r="BW1750">
        <v>0</v>
      </c>
      <c r="BX1750">
        <v>0</v>
      </c>
      <c r="BY1750">
        <v>0</v>
      </c>
      <c r="BZ1750">
        <v>0</v>
      </c>
      <c r="CA1750">
        <v>0</v>
      </c>
      <c r="CB1750">
        <v>0</v>
      </c>
      <c r="CC1750">
        <v>0</v>
      </c>
      <c r="CD1750">
        <v>0</v>
      </c>
      <c r="CE1750" t="s">
        <v>3108</v>
      </c>
      <c r="CF1750" t="s">
        <v>3108</v>
      </c>
      <c r="CG1750" t="s">
        <v>3108</v>
      </c>
      <c r="CH1750" t="s">
        <v>3108</v>
      </c>
    </row>
    <row r="1751" spans="1:86" x14ac:dyDescent="0.2">
      <c r="A1751" t="s">
        <v>5779</v>
      </c>
      <c r="B1751" t="s">
        <v>5779</v>
      </c>
      <c r="C1751">
        <v>54874</v>
      </c>
      <c r="D1751">
        <v>1875</v>
      </c>
      <c r="E1751" t="s">
        <v>5115</v>
      </c>
      <c r="F1751" t="s">
        <v>3249</v>
      </c>
      <c r="G1751" t="s">
        <v>3249</v>
      </c>
      <c r="H1751" t="s">
        <v>3250</v>
      </c>
      <c r="I1751" t="s">
        <v>3250</v>
      </c>
      <c r="J1751" t="s">
        <v>3250</v>
      </c>
      <c r="K1751" t="s">
        <v>3250</v>
      </c>
      <c r="L1751">
        <v>1200</v>
      </c>
      <c r="M1751" t="s">
        <v>2368</v>
      </c>
      <c r="N1751">
        <v>1204</v>
      </c>
      <c r="O1751" t="s">
        <v>1574</v>
      </c>
      <c r="P1751" t="s">
        <v>3108</v>
      </c>
      <c r="Q1751" t="s">
        <v>3249</v>
      </c>
      <c r="R1751" t="s">
        <v>3249</v>
      </c>
      <c r="S1751" t="s">
        <v>472</v>
      </c>
      <c r="T1751" t="s">
        <v>3251</v>
      </c>
      <c r="U1751">
        <v>120</v>
      </c>
      <c r="V1751" t="s">
        <v>599</v>
      </c>
      <c r="W1751">
        <v>120</v>
      </c>
      <c r="X1751" t="s">
        <v>599</v>
      </c>
      <c r="Y1751" t="s">
        <v>2757</v>
      </c>
      <c r="Z1751" t="s">
        <v>1403</v>
      </c>
      <c r="AA1751">
        <v>150</v>
      </c>
      <c r="AB1751" t="s">
        <v>902</v>
      </c>
      <c r="AC1751" t="s">
        <v>3250</v>
      </c>
      <c r="AD1751" t="s">
        <v>3250</v>
      </c>
      <c r="AE1751" t="s">
        <v>3250</v>
      </c>
      <c r="AF1751" t="s">
        <v>3250</v>
      </c>
      <c r="AG1751" t="s">
        <v>3250</v>
      </c>
      <c r="AH1751" t="s">
        <v>3250</v>
      </c>
      <c r="AI1751" t="s">
        <v>3250</v>
      </c>
      <c r="AJ1751" t="s">
        <v>3250</v>
      </c>
      <c r="AL1751" t="s">
        <v>3250</v>
      </c>
      <c r="AM1751" t="s">
        <v>3250</v>
      </c>
      <c r="AN1751" t="s">
        <v>3250</v>
      </c>
      <c r="AO1751" t="s">
        <v>3250</v>
      </c>
      <c r="AR1751" t="s">
        <v>472</v>
      </c>
      <c r="AS1751" t="s">
        <v>3250</v>
      </c>
      <c r="AT1751" t="s">
        <v>3250</v>
      </c>
      <c r="AU1751" t="s">
        <v>3250</v>
      </c>
      <c r="AV1751" t="s">
        <v>3250</v>
      </c>
      <c r="AW1751" t="s">
        <v>3250</v>
      </c>
      <c r="AX1751" t="s">
        <v>3250</v>
      </c>
      <c r="AY1751" t="s">
        <v>3250</v>
      </c>
      <c r="AZ1751" t="s">
        <v>3250</v>
      </c>
      <c r="BA1751" t="s">
        <v>3250</v>
      </c>
      <c r="BB1751" t="s">
        <v>3250</v>
      </c>
      <c r="BC1751" t="s">
        <v>3250</v>
      </c>
      <c r="BE1751" t="s">
        <v>3250</v>
      </c>
      <c r="BF1751" t="s">
        <v>3250</v>
      </c>
      <c r="BG1751" t="s">
        <v>3250</v>
      </c>
      <c r="BH1751" t="s">
        <v>3250</v>
      </c>
      <c r="BI1751" t="s">
        <v>3250</v>
      </c>
      <c r="BK1751" t="s">
        <v>3250</v>
      </c>
      <c r="BL1751" t="s">
        <v>3250</v>
      </c>
      <c r="BM1751" t="s">
        <v>3250</v>
      </c>
      <c r="BN1751" t="s">
        <v>3250</v>
      </c>
      <c r="BP1751">
        <v>1</v>
      </c>
      <c r="BQ1751">
        <v>11</v>
      </c>
      <c r="BR1751" t="s">
        <v>1574</v>
      </c>
      <c r="BS1751" t="s">
        <v>3252</v>
      </c>
      <c r="BV1751">
        <v>0</v>
      </c>
      <c r="BW1751">
        <v>0</v>
      </c>
      <c r="BX1751">
        <v>0</v>
      </c>
      <c r="BY1751">
        <v>574284</v>
      </c>
      <c r="BZ1751">
        <v>574284</v>
      </c>
      <c r="CA1751">
        <v>507182</v>
      </c>
      <c r="CB1751">
        <v>527469</v>
      </c>
      <c r="CC1751">
        <v>548568</v>
      </c>
      <c r="CD1751">
        <v>0</v>
      </c>
      <c r="CE1751" t="s">
        <v>3108</v>
      </c>
      <c r="CF1751" t="s">
        <v>3108</v>
      </c>
      <c r="CG1751" t="s">
        <v>3108</v>
      </c>
      <c r="CH1751" t="s">
        <v>3108</v>
      </c>
    </row>
    <row r="1752" spans="1:86" x14ac:dyDescent="0.2">
      <c r="A1752" t="s">
        <v>5780</v>
      </c>
      <c r="B1752" t="s">
        <v>5780</v>
      </c>
      <c r="C1752">
        <v>54875</v>
      </c>
      <c r="D1752">
        <v>1876</v>
      </c>
      <c r="E1752" t="s">
        <v>5741</v>
      </c>
      <c r="F1752" t="s">
        <v>3249</v>
      </c>
      <c r="G1752" t="s">
        <v>3249</v>
      </c>
      <c r="H1752" t="s">
        <v>3250</v>
      </c>
      <c r="I1752" t="s">
        <v>3250</v>
      </c>
      <c r="J1752" t="s">
        <v>3250</v>
      </c>
      <c r="K1752" t="s">
        <v>3250</v>
      </c>
      <c r="L1752">
        <v>1200</v>
      </c>
      <c r="M1752" t="s">
        <v>2368</v>
      </c>
      <c r="N1752">
        <v>1204</v>
      </c>
      <c r="O1752" t="s">
        <v>1574</v>
      </c>
      <c r="P1752" t="s">
        <v>3108</v>
      </c>
      <c r="Q1752" t="s">
        <v>3249</v>
      </c>
      <c r="R1752" t="s">
        <v>3249</v>
      </c>
      <c r="S1752" t="s">
        <v>472</v>
      </c>
      <c r="T1752" t="s">
        <v>3251</v>
      </c>
      <c r="U1752">
        <v>120</v>
      </c>
      <c r="V1752" t="s">
        <v>599</v>
      </c>
      <c r="W1752">
        <v>120</v>
      </c>
      <c r="X1752" t="s">
        <v>599</v>
      </c>
      <c r="Y1752" t="s">
        <v>3250</v>
      </c>
      <c r="Z1752" t="s">
        <v>3250</v>
      </c>
      <c r="AA1752" t="s">
        <v>3108</v>
      </c>
      <c r="AB1752" t="s">
        <v>3108</v>
      </c>
      <c r="AC1752">
        <v>420</v>
      </c>
      <c r="AD1752" t="s">
        <v>827</v>
      </c>
      <c r="AE1752">
        <v>560</v>
      </c>
      <c r="AF1752" t="s">
        <v>827</v>
      </c>
      <c r="AG1752" t="s">
        <v>3250</v>
      </c>
      <c r="AH1752" t="s">
        <v>3250</v>
      </c>
      <c r="AI1752" t="s">
        <v>3250</v>
      </c>
      <c r="AJ1752" t="s">
        <v>3250</v>
      </c>
      <c r="AL1752" t="s">
        <v>3250</v>
      </c>
      <c r="AM1752" t="s">
        <v>3250</v>
      </c>
      <c r="AN1752" t="s">
        <v>3250</v>
      </c>
      <c r="AO1752" t="s">
        <v>3250</v>
      </c>
      <c r="AS1752" t="s">
        <v>3250</v>
      </c>
      <c r="AT1752" t="s">
        <v>3250</v>
      </c>
      <c r="AU1752" t="s">
        <v>3250</v>
      </c>
      <c r="AV1752" t="s">
        <v>3250</v>
      </c>
      <c r="AW1752" t="s">
        <v>3250</v>
      </c>
      <c r="AX1752" t="s">
        <v>3250</v>
      </c>
      <c r="AY1752" t="s">
        <v>3250</v>
      </c>
      <c r="AZ1752" t="s">
        <v>3250</v>
      </c>
      <c r="BA1752" t="s">
        <v>3250</v>
      </c>
      <c r="BB1752" t="s">
        <v>3250</v>
      </c>
      <c r="BC1752" t="s">
        <v>3250</v>
      </c>
      <c r="BE1752" t="s">
        <v>3250</v>
      </c>
      <c r="BF1752" t="s">
        <v>3250</v>
      </c>
      <c r="BG1752" t="s">
        <v>3250</v>
      </c>
      <c r="BH1752" t="s">
        <v>3250</v>
      </c>
      <c r="BI1752" t="s">
        <v>3250</v>
      </c>
      <c r="BK1752" t="s">
        <v>3250</v>
      </c>
      <c r="BL1752" t="s">
        <v>3250</v>
      </c>
      <c r="BM1752" t="s">
        <v>3250</v>
      </c>
      <c r="BN1752" t="s">
        <v>3250</v>
      </c>
      <c r="BP1752">
        <v>1</v>
      </c>
      <c r="BQ1752">
        <v>11</v>
      </c>
      <c r="BR1752" t="s">
        <v>1574</v>
      </c>
      <c r="BS1752" t="s">
        <v>3252</v>
      </c>
      <c r="BV1752">
        <v>0</v>
      </c>
      <c r="BW1752">
        <v>0</v>
      </c>
      <c r="BX1752">
        <v>0</v>
      </c>
      <c r="BY1752">
        <v>0</v>
      </c>
      <c r="BZ1752">
        <v>0</v>
      </c>
      <c r="CA1752">
        <v>0</v>
      </c>
      <c r="CB1752">
        <v>0</v>
      </c>
      <c r="CC1752">
        <v>0</v>
      </c>
      <c r="CD1752">
        <v>0</v>
      </c>
      <c r="CE1752" t="s">
        <v>3108</v>
      </c>
      <c r="CF1752" t="s">
        <v>3108</v>
      </c>
      <c r="CG1752" t="s">
        <v>3108</v>
      </c>
      <c r="CH1752" t="s">
        <v>3108</v>
      </c>
    </row>
    <row r="1753" spans="1:86" x14ac:dyDescent="0.2">
      <c r="A1753" t="s">
        <v>5781</v>
      </c>
      <c r="B1753" t="s">
        <v>5781</v>
      </c>
      <c r="C1753">
        <v>54876</v>
      </c>
      <c r="D1753">
        <v>1871</v>
      </c>
      <c r="E1753" t="s">
        <v>5782</v>
      </c>
      <c r="F1753">
        <v>1500</v>
      </c>
      <c r="G1753" t="s">
        <v>2342</v>
      </c>
      <c r="H1753">
        <v>1500</v>
      </c>
      <c r="I1753" t="s">
        <v>2342</v>
      </c>
      <c r="J1753" t="s">
        <v>3250</v>
      </c>
      <c r="K1753" t="s">
        <v>3250</v>
      </c>
      <c r="L1753">
        <v>2100</v>
      </c>
      <c r="M1753" t="s">
        <v>123</v>
      </c>
      <c r="N1753">
        <v>2109</v>
      </c>
      <c r="O1753" t="s">
        <v>2402</v>
      </c>
      <c r="P1753" t="s">
        <v>3108</v>
      </c>
      <c r="Q1753" t="s">
        <v>3249</v>
      </c>
      <c r="R1753" t="s">
        <v>3249</v>
      </c>
      <c r="S1753" t="s">
        <v>472</v>
      </c>
      <c r="T1753" t="s">
        <v>2759</v>
      </c>
      <c r="U1753" t="s">
        <v>3250</v>
      </c>
      <c r="V1753" t="s">
        <v>3250</v>
      </c>
      <c r="W1753" t="s">
        <v>3250</v>
      </c>
      <c r="X1753" t="s">
        <v>3250</v>
      </c>
      <c r="Y1753" t="s">
        <v>3250</v>
      </c>
      <c r="Z1753" t="s">
        <v>3250</v>
      </c>
      <c r="AA1753" t="s">
        <v>3108</v>
      </c>
      <c r="AB1753" t="s">
        <v>3108</v>
      </c>
      <c r="AC1753" t="s">
        <v>3250</v>
      </c>
      <c r="AD1753" t="s">
        <v>3250</v>
      </c>
      <c r="AE1753" t="s">
        <v>3250</v>
      </c>
      <c r="AF1753" t="s">
        <v>3250</v>
      </c>
      <c r="AG1753" t="s">
        <v>3250</v>
      </c>
      <c r="AH1753" t="s">
        <v>3250</v>
      </c>
      <c r="AI1753" t="s">
        <v>3250</v>
      </c>
      <c r="AJ1753" t="s">
        <v>3250</v>
      </c>
      <c r="AL1753" t="s">
        <v>3250</v>
      </c>
      <c r="AM1753" t="s">
        <v>3250</v>
      </c>
      <c r="AN1753" t="s">
        <v>3250</v>
      </c>
      <c r="AO1753" t="s">
        <v>3250</v>
      </c>
      <c r="AS1753" t="s">
        <v>3250</v>
      </c>
      <c r="AT1753" t="s">
        <v>3250</v>
      </c>
      <c r="AU1753" t="s">
        <v>3250</v>
      </c>
      <c r="AV1753" t="s">
        <v>3250</v>
      </c>
      <c r="AW1753" t="s">
        <v>3250</v>
      </c>
      <c r="AX1753" t="s">
        <v>3250</v>
      </c>
      <c r="AY1753" t="s">
        <v>3250</v>
      </c>
      <c r="AZ1753" t="s">
        <v>3250</v>
      </c>
      <c r="BA1753" t="s">
        <v>3250</v>
      </c>
      <c r="BB1753" t="s">
        <v>3250</v>
      </c>
      <c r="BC1753" t="s">
        <v>3250</v>
      </c>
      <c r="BE1753" t="s">
        <v>3250</v>
      </c>
      <c r="BF1753" t="s">
        <v>3250</v>
      </c>
      <c r="BG1753" t="s">
        <v>3250</v>
      </c>
      <c r="BH1753" t="s">
        <v>3250</v>
      </c>
      <c r="BI1753" t="s">
        <v>3250</v>
      </c>
      <c r="BK1753" t="s">
        <v>3250</v>
      </c>
      <c r="BL1753" t="s">
        <v>3250</v>
      </c>
      <c r="BM1753" t="s">
        <v>3250</v>
      </c>
      <c r="BN1753" t="s">
        <v>3250</v>
      </c>
      <c r="BP1753">
        <v>4</v>
      </c>
      <c r="BQ1753">
        <v>41</v>
      </c>
      <c r="BR1753" t="s">
        <v>2402</v>
      </c>
      <c r="BS1753" t="s">
        <v>4024</v>
      </c>
      <c r="BV1753">
        <v>745000</v>
      </c>
      <c r="BW1753">
        <v>0</v>
      </c>
      <c r="BX1753">
        <v>0</v>
      </c>
      <c r="BY1753">
        <v>-372500</v>
      </c>
      <c r="BZ1753">
        <v>0</v>
      </c>
      <c r="CA1753">
        <v>0</v>
      </c>
      <c r="CB1753">
        <v>0</v>
      </c>
      <c r="CC1753">
        <v>0</v>
      </c>
      <c r="CD1753">
        <v>0</v>
      </c>
      <c r="CE1753" t="s">
        <v>3108</v>
      </c>
      <c r="CF1753" t="s">
        <v>3108</v>
      </c>
      <c r="CG1753" t="s">
        <v>3108</v>
      </c>
      <c r="CH1753" t="s">
        <v>3108</v>
      </c>
    </row>
    <row r="1754" spans="1:86" x14ac:dyDescent="0.2">
      <c r="A1754" t="s">
        <v>5783</v>
      </c>
      <c r="B1754" t="s">
        <v>5783</v>
      </c>
      <c r="C1754">
        <v>54877</v>
      </c>
      <c r="D1754">
        <v>1877</v>
      </c>
      <c r="E1754" t="s">
        <v>5746</v>
      </c>
      <c r="F1754" t="s">
        <v>3249</v>
      </c>
      <c r="G1754" t="s">
        <v>3249</v>
      </c>
      <c r="H1754" t="s">
        <v>3250</v>
      </c>
      <c r="I1754" t="s">
        <v>3250</v>
      </c>
      <c r="J1754" t="s">
        <v>3250</v>
      </c>
      <c r="K1754" t="s">
        <v>3250</v>
      </c>
      <c r="L1754">
        <v>2100</v>
      </c>
      <c r="M1754" t="s">
        <v>123</v>
      </c>
      <c r="N1754">
        <v>2109</v>
      </c>
      <c r="O1754" t="s">
        <v>2402</v>
      </c>
      <c r="P1754" t="s">
        <v>3108</v>
      </c>
      <c r="Q1754" t="s">
        <v>3249</v>
      </c>
      <c r="R1754" t="s">
        <v>3249</v>
      </c>
      <c r="S1754" t="s">
        <v>472</v>
      </c>
      <c r="T1754" t="s">
        <v>3251</v>
      </c>
      <c r="U1754">
        <v>120</v>
      </c>
      <c r="V1754" t="s">
        <v>599</v>
      </c>
      <c r="W1754">
        <v>120</v>
      </c>
      <c r="X1754" t="s">
        <v>599</v>
      </c>
      <c r="Y1754" t="s">
        <v>3250</v>
      </c>
      <c r="Z1754" t="s">
        <v>3250</v>
      </c>
      <c r="AA1754" t="s">
        <v>3108</v>
      </c>
      <c r="AB1754" t="s">
        <v>3108</v>
      </c>
      <c r="AC1754">
        <v>200</v>
      </c>
      <c r="AD1754" t="s">
        <v>5291</v>
      </c>
      <c r="AE1754">
        <v>480</v>
      </c>
      <c r="AF1754" t="s">
        <v>822</v>
      </c>
      <c r="AG1754" t="s">
        <v>3250</v>
      </c>
      <c r="AH1754" t="s">
        <v>3250</v>
      </c>
      <c r="AI1754" t="s">
        <v>3250</v>
      </c>
      <c r="AJ1754" t="s">
        <v>3250</v>
      </c>
      <c r="AL1754" t="s">
        <v>3250</v>
      </c>
      <c r="AM1754" t="s">
        <v>3250</v>
      </c>
      <c r="AN1754" t="s">
        <v>3250</v>
      </c>
      <c r="AO1754" t="s">
        <v>3250</v>
      </c>
      <c r="AS1754" t="s">
        <v>3250</v>
      </c>
      <c r="AT1754" t="s">
        <v>3250</v>
      </c>
      <c r="AU1754" t="s">
        <v>3250</v>
      </c>
      <c r="AV1754" t="s">
        <v>3250</v>
      </c>
      <c r="AW1754" t="s">
        <v>3250</v>
      </c>
      <c r="AX1754" t="s">
        <v>3250</v>
      </c>
      <c r="AY1754" t="s">
        <v>3250</v>
      </c>
      <c r="AZ1754" t="s">
        <v>3250</v>
      </c>
      <c r="BA1754" t="s">
        <v>3250</v>
      </c>
      <c r="BB1754" t="s">
        <v>3250</v>
      </c>
      <c r="BC1754" t="s">
        <v>3250</v>
      </c>
      <c r="BE1754" t="s">
        <v>3250</v>
      </c>
      <c r="BF1754" t="s">
        <v>3250</v>
      </c>
      <c r="BG1754" t="s">
        <v>3250</v>
      </c>
      <c r="BH1754" t="s">
        <v>3250</v>
      </c>
      <c r="BI1754" t="s">
        <v>3250</v>
      </c>
      <c r="BK1754" t="s">
        <v>3250</v>
      </c>
      <c r="BL1754" t="s">
        <v>3250</v>
      </c>
      <c r="BM1754" t="s">
        <v>3250</v>
      </c>
      <c r="BN1754" t="s">
        <v>3250</v>
      </c>
      <c r="BP1754">
        <v>4</v>
      </c>
      <c r="BQ1754">
        <v>41</v>
      </c>
      <c r="BR1754" t="s">
        <v>2402</v>
      </c>
      <c r="BS1754" t="s">
        <v>4024</v>
      </c>
      <c r="BV1754">
        <v>0</v>
      </c>
      <c r="BW1754">
        <v>0</v>
      </c>
      <c r="BX1754">
        <v>0</v>
      </c>
      <c r="BY1754">
        <v>0</v>
      </c>
      <c r="BZ1754">
        <v>0</v>
      </c>
      <c r="CA1754">
        <v>0</v>
      </c>
      <c r="CB1754">
        <v>0</v>
      </c>
      <c r="CC1754">
        <v>0</v>
      </c>
      <c r="CD1754">
        <v>0</v>
      </c>
      <c r="CE1754" t="s">
        <v>3108</v>
      </c>
      <c r="CF1754" t="s">
        <v>3108</v>
      </c>
      <c r="CG1754" t="s">
        <v>3108</v>
      </c>
      <c r="CH1754" t="s">
        <v>3108</v>
      </c>
    </row>
    <row r="1755" spans="1:86" x14ac:dyDescent="0.2">
      <c r="A1755" t="s">
        <v>5784</v>
      </c>
      <c r="B1755" t="s">
        <v>5784</v>
      </c>
      <c r="C1755">
        <v>54878</v>
      </c>
      <c r="D1755">
        <v>1878</v>
      </c>
      <c r="E1755" t="s">
        <v>5712</v>
      </c>
      <c r="F1755" t="s">
        <v>3249</v>
      </c>
      <c r="G1755" t="s">
        <v>3249</v>
      </c>
      <c r="H1755" t="s">
        <v>3250</v>
      </c>
      <c r="I1755" t="s">
        <v>3250</v>
      </c>
      <c r="J1755" t="s">
        <v>3250</v>
      </c>
      <c r="K1755" t="s">
        <v>3250</v>
      </c>
      <c r="L1755">
        <v>2100</v>
      </c>
      <c r="M1755" t="s">
        <v>123</v>
      </c>
      <c r="N1755">
        <v>2109</v>
      </c>
      <c r="O1755" t="s">
        <v>2402</v>
      </c>
      <c r="P1755" t="s">
        <v>3108</v>
      </c>
      <c r="Q1755" t="s">
        <v>3249</v>
      </c>
      <c r="R1755" t="s">
        <v>3249</v>
      </c>
      <c r="S1755" t="s">
        <v>472</v>
      </c>
      <c r="T1755" t="s">
        <v>3251</v>
      </c>
      <c r="U1755">
        <v>120</v>
      </c>
      <c r="V1755" t="s">
        <v>599</v>
      </c>
      <c r="W1755">
        <v>120</v>
      </c>
      <c r="X1755" t="s">
        <v>599</v>
      </c>
      <c r="Y1755" t="s">
        <v>5755</v>
      </c>
      <c r="Z1755" t="s">
        <v>5308</v>
      </c>
      <c r="AA1755" t="s">
        <v>5755</v>
      </c>
      <c r="AB1755" t="s">
        <v>5308</v>
      </c>
      <c r="AC1755" t="s">
        <v>3250</v>
      </c>
      <c r="AD1755" t="s">
        <v>3250</v>
      </c>
      <c r="AE1755" t="s">
        <v>3250</v>
      </c>
      <c r="AF1755" t="s">
        <v>3250</v>
      </c>
      <c r="AG1755" t="s">
        <v>3250</v>
      </c>
      <c r="AH1755" t="s">
        <v>3250</v>
      </c>
      <c r="AI1755" t="s">
        <v>3250</v>
      </c>
      <c r="AJ1755" t="s">
        <v>3250</v>
      </c>
      <c r="AL1755" t="s">
        <v>3250</v>
      </c>
      <c r="AM1755" t="s">
        <v>3250</v>
      </c>
      <c r="AN1755" t="s">
        <v>3250</v>
      </c>
      <c r="AO1755" t="s">
        <v>3250</v>
      </c>
      <c r="AR1755" t="s">
        <v>486</v>
      </c>
      <c r="AS1755" t="s">
        <v>3250</v>
      </c>
      <c r="AT1755" t="s">
        <v>3250</v>
      </c>
      <c r="AU1755" t="s">
        <v>3250</v>
      </c>
      <c r="AV1755" t="s">
        <v>3250</v>
      </c>
      <c r="AW1755" t="s">
        <v>3250</v>
      </c>
      <c r="AX1755" t="s">
        <v>3250</v>
      </c>
      <c r="AY1755" t="s">
        <v>3250</v>
      </c>
      <c r="AZ1755" t="s">
        <v>3250</v>
      </c>
      <c r="BA1755" t="s">
        <v>3250</v>
      </c>
      <c r="BB1755" t="s">
        <v>3250</v>
      </c>
      <c r="BC1755" t="s">
        <v>3250</v>
      </c>
      <c r="BE1755" t="s">
        <v>3250</v>
      </c>
      <c r="BF1755" t="s">
        <v>3250</v>
      </c>
      <c r="BG1755" t="s">
        <v>3250</v>
      </c>
      <c r="BH1755" t="s">
        <v>3250</v>
      </c>
      <c r="BI1755" t="s">
        <v>3250</v>
      </c>
      <c r="BK1755" t="s">
        <v>3250</v>
      </c>
      <c r="BL1755" t="s">
        <v>3250</v>
      </c>
      <c r="BM1755" t="s">
        <v>3250</v>
      </c>
      <c r="BN1755" t="s">
        <v>3250</v>
      </c>
      <c r="BP1755">
        <v>4</v>
      </c>
      <c r="BQ1755">
        <v>41</v>
      </c>
      <c r="BR1755" t="s">
        <v>2402</v>
      </c>
      <c r="BS1755" t="s">
        <v>4024</v>
      </c>
      <c r="BV1755">
        <v>0</v>
      </c>
      <c r="BW1755">
        <v>0</v>
      </c>
      <c r="BX1755">
        <v>0</v>
      </c>
      <c r="BY1755">
        <v>0</v>
      </c>
      <c r="BZ1755">
        <v>0</v>
      </c>
      <c r="CA1755">
        <v>0</v>
      </c>
      <c r="CB1755">
        <v>0</v>
      </c>
      <c r="CC1755">
        <v>0</v>
      </c>
      <c r="CD1755">
        <v>0</v>
      </c>
      <c r="CE1755" t="s">
        <v>3108</v>
      </c>
      <c r="CF1755" t="s">
        <v>3108</v>
      </c>
      <c r="CG1755" t="s">
        <v>3108</v>
      </c>
      <c r="CH1755" t="s">
        <v>3108</v>
      </c>
    </row>
    <row r="1756" spans="1:86" x14ac:dyDescent="0.2">
      <c r="A1756" t="s">
        <v>5785</v>
      </c>
      <c r="B1756" t="s">
        <v>5785</v>
      </c>
      <c r="C1756">
        <v>54879</v>
      </c>
      <c r="D1756">
        <v>1879</v>
      </c>
      <c r="E1756" t="s">
        <v>5115</v>
      </c>
      <c r="F1756" t="s">
        <v>3249</v>
      </c>
      <c r="G1756" t="s">
        <v>3249</v>
      </c>
      <c r="H1756" t="s">
        <v>3250</v>
      </c>
      <c r="I1756" t="s">
        <v>3250</v>
      </c>
      <c r="J1756" t="s">
        <v>3250</v>
      </c>
      <c r="K1756" t="s">
        <v>3250</v>
      </c>
      <c r="L1756">
        <v>2100</v>
      </c>
      <c r="M1756" t="s">
        <v>123</v>
      </c>
      <c r="N1756">
        <v>2109</v>
      </c>
      <c r="O1756" t="s">
        <v>2402</v>
      </c>
      <c r="P1756" t="s">
        <v>3108</v>
      </c>
      <c r="Q1756" t="s">
        <v>3249</v>
      </c>
      <c r="R1756" t="s">
        <v>3249</v>
      </c>
      <c r="S1756" t="s">
        <v>472</v>
      </c>
      <c r="T1756" t="s">
        <v>3251</v>
      </c>
      <c r="U1756">
        <v>120</v>
      </c>
      <c r="V1756" t="s">
        <v>599</v>
      </c>
      <c r="W1756">
        <v>120</v>
      </c>
      <c r="X1756" t="s">
        <v>599</v>
      </c>
      <c r="Y1756" t="s">
        <v>2755</v>
      </c>
      <c r="Z1756" t="s">
        <v>5308</v>
      </c>
      <c r="AA1756" t="s">
        <v>2755</v>
      </c>
      <c r="AB1756" t="s">
        <v>5308</v>
      </c>
      <c r="AC1756" t="s">
        <v>3250</v>
      </c>
      <c r="AD1756" t="s">
        <v>3250</v>
      </c>
      <c r="AE1756" t="s">
        <v>3250</v>
      </c>
      <c r="AF1756" t="s">
        <v>3250</v>
      </c>
      <c r="AG1756" t="s">
        <v>3250</v>
      </c>
      <c r="AH1756" t="s">
        <v>3250</v>
      </c>
      <c r="AI1756" t="s">
        <v>3250</v>
      </c>
      <c r="AJ1756" t="s">
        <v>3250</v>
      </c>
      <c r="AL1756" t="s">
        <v>3250</v>
      </c>
      <c r="AM1756" t="s">
        <v>3250</v>
      </c>
      <c r="AN1756" t="s">
        <v>3250</v>
      </c>
      <c r="AO1756" t="s">
        <v>3250</v>
      </c>
      <c r="AR1756" t="s">
        <v>472</v>
      </c>
      <c r="AS1756" t="s">
        <v>3250</v>
      </c>
      <c r="AT1756" t="s">
        <v>3250</v>
      </c>
      <c r="AU1756" t="s">
        <v>3250</v>
      </c>
      <c r="AV1756" t="s">
        <v>3250</v>
      </c>
      <c r="AW1756" t="s">
        <v>3250</v>
      </c>
      <c r="AX1756" t="s">
        <v>3250</v>
      </c>
      <c r="AY1756" t="s">
        <v>3250</v>
      </c>
      <c r="AZ1756" t="s">
        <v>3250</v>
      </c>
      <c r="BA1756" t="s">
        <v>3250</v>
      </c>
      <c r="BB1756" t="s">
        <v>3250</v>
      </c>
      <c r="BC1756" t="s">
        <v>3250</v>
      </c>
      <c r="BE1756" t="s">
        <v>3250</v>
      </c>
      <c r="BF1756" t="s">
        <v>3250</v>
      </c>
      <c r="BG1756" t="s">
        <v>3250</v>
      </c>
      <c r="BH1756" t="s">
        <v>3250</v>
      </c>
      <c r="BI1756" t="s">
        <v>3250</v>
      </c>
      <c r="BK1756" t="s">
        <v>3250</v>
      </c>
      <c r="BL1756" t="s">
        <v>3250</v>
      </c>
      <c r="BM1756" t="s">
        <v>3250</v>
      </c>
      <c r="BN1756" t="s">
        <v>3250</v>
      </c>
      <c r="BP1756">
        <v>4</v>
      </c>
      <c r="BQ1756">
        <v>41</v>
      </c>
      <c r="BR1756" t="s">
        <v>2402</v>
      </c>
      <c r="BS1756" t="s">
        <v>4024</v>
      </c>
      <c r="BV1756">
        <v>0</v>
      </c>
      <c r="BW1756">
        <v>0</v>
      </c>
      <c r="BX1756">
        <v>0</v>
      </c>
      <c r="BY1756">
        <v>372500</v>
      </c>
      <c r="BZ1756">
        <v>0</v>
      </c>
      <c r="CA1756">
        <v>0</v>
      </c>
      <c r="CB1756">
        <v>0</v>
      </c>
      <c r="CC1756">
        <v>0</v>
      </c>
      <c r="CD1756">
        <v>0</v>
      </c>
      <c r="CE1756" t="s">
        <v>3108</v>
      </c>
      <c r="CF1756" t="s">
        <v>3108</v>
      </c>
      <c r="CG1756" t="s">
        <v>3108</v>
      </c>
      <c r="CH1756" t="s">
        <v>3108</v>
      </c>
    </row>
    <row r="1757" spans="1:86" x14ac:dyDescent="0.2">
      <c r="A1757" t="s">
        <v>5786</v>
      </c>
      <c r="B1757" t="s">
        <v>5786</v>
      </c>
      <c r="C1757">
        <v>54880</v>
      </c>
      <c r="D1757">
        <v>1880</v>
      </c>
      <c r="E1757" t="s">
        <v>5717</v>
      </c>
      <c r="F1757" t="s">
        <v>3249</v>
      </c>
      <c r="G1757" t="s">
        <v>3249</v>
      </c>
      <c r="H1757" t="s">
        <v>3250</v>
      </c>
      <c r="I1757" t="s">
        <v>3250</v>
      </c>
      <c r="J1757" t="s">
        <v>3250</v>
      </c>
      <c r="K1757" t="s">
        <v>3250</v>
      </c>
      <c r="L1757">
        <v>2100</v>
      </c>
      <c r="M1757" t="s">
        <v>123</v>
      </c>
      <c r="N1757">
        <v>2109</v>
      </c>
      <c r="O1757" t="s">
        <v>2402</v>
      </c>
      <c r="P1757" t="s">
        <v>3108</v>
      </c>
      <c r="Q1757" t="s">
        <v>3249</v>
      </c>
      <c r="R1757" t="s">
        <v>3249</v>
      </c>
      <c r="S1757" t="s">
        <v>472</v>
      </c>
      <c r="T1757" t="s">
        <v>3251</v>
      </c>
      <c r="U1757">
        <v>120</v>
      </c>
      <c r="V1757" t="s">
        <v>599</v>
      </c>
      <c r="W1757">
        <v>120</v>
      </c>
      <c r="X1757" t="s">
        <v>599</v>
      </c>
      <c r="Y1757" t="s">
        <v>5314</v>
      </c>
      <c r="Z1757" t="s">
        <v>5308</v>
      </c>
      <c r="AA1757" t="s">
        <v>5314</v>
      </c>
      <c r="AB1757" t="s">
        <v>5308</v>
      </c>
      <c r="AC1757" t="s">
        <v>3250</v>
      </c>
      <c r="AD1757" t="s">
        <v>3250</v>
      </c>
      <c r="AE1757" t="s">
        <v>3250</v>
      </c>
      <c r="AF1757" t="s">
        <v>3250</v>
      </c>
      <c r="AG1757" t="s">
        <v>3250</v>
      </c>
      <c r="AH1757" t="s">
        <v>3250</v>
      </c>
      <c r="AI1757" t="s">
        <v>3250</v>
      </c>
      <c r="AJ1757" t="s">
        <v>3250</v>
      </c>
      <c r="AL1757" t="s">
        <v>3250</v>
      </c>
      <c r="AM1757" t="s">
        <v>3250</v>
      </c>
      <c r="AN1757" t="s">
        <v>3250</v>
      </c>
      <c r="AO1757" t="s">
        <v>3250</v>
      </c>
      <c r="AR1757" t="s">
        <v>5718</v>
      </c>
      <c r="AS1757" t="s">
        <v>3250</v>
      </c>
      <c r="AT1757" t="s">
        <v>3250</v>
      </c>
      <c r="AU1757" t="s">
        <v>3250</v>
      </c>
      <c r="AV1757" t="s">
        <v>3250</v>
      </c>
      <c r="AW1757" t="s">
        <v>3250</v>
      </c>
      <c r="AX1757" t="s">
        <v>3250</v>
      </c>
      <c r="AY1757" t="s">
        <v>3250</v>
      </c>
      <c r="AZ1757" t="s">
        <v>3250</v>
      </c>
      <c r="BA1757" t="s">
        <v>3250</v>
      </c>
      <c r="BB1757" t="s">
        <v>3250</v>
      </c>
      <c r="BC1757" t="s">
        <v>3250</v>
      </c>
      <c r="BE1757" t="s">
        <v>3250</v>
      </c>
      <c r="BF1757" t="s">
        <v>3250</v>
      </c>
      <c r="BG1757" t="s">
        <v>3250</v>
      </c>
      <c r="BH1757" t="s">
        <v>3250</v>
      </c>
      <c r="BI1757" t="s">
        <v>3250</v>
      </c>
      <c r="BK1757" t="s">
        <v>3250</v>
      </c>
      <c r="BL1757" t="s">
        <v>3250</v>
      </c>
      <c r="BM1757" t="s">
        <v>3250</v>
      </c>
      <c r="BN1757" t="s">
        <v>3250</v>
      </c>
      <c r="BP1757">
        <v>4</v>
      </c>
      <c r="BQ1757">
        <v>41</v>
      </c>
      <c r="BR1757" t="s">
        <v>2402</v>
      </c>
      <c r="BS1757" t="s">
        <v>4024</v>
      </c>
      <c r="BV1757">
        <v>0</v>
      </c>
      <c r="BW1757">
        <v>0</v>
      </c>
      <c r="BX1757">
        <v>0</v>
      </c>
      <c r="BY1757">
        <v>-372500</v>
      </c>
      <c r="BZ1757">
        <v>0</v>
      </c>
      <c r="CA1757">
        <v>0</v>
      </c>
      <c r="CB1757">
        <v>0</v>
      </c>
      <c r="CC1757">
        <v>0</v>
      </c>
      <c r="CD1757">
        <v>0</v>
      </c>
      <c r="CE1757" t="s">
        <v>3108</v>
      </c>
      <c r="CF1757" t="s">
        <v>3108</v>
      </c>
      <c r="CG1757" t="s">
        <v>3108</v>
      </c>
      <c r="CH1757" t="s">
        <v>3108</v>
      </c>
    </row>
    <row r="1758" spans="1:86" x14ac:dyDescent="0.2">
      <c r="A1758" t="s">
        <v>5787</v>
      </c>
      <c r="B1758" t="s">
        <v>5787</v>
      </c>
      <c r="C1758">
        <v>54881</v>
      </c>
      <c r="D1758">
        <v>1881</v>
      </c>
      <c r="E1758" t="s">
        <v>5741</v>
      </c>
      <c r="F1758" t="s">
        <v>3249</v>
      </c>
      <c r="G1758" t="s">
        <v>3249</v>
      </c>
      <c r="H1758" t="s">
        <v>3250</v>
      </c>
      <c r="I1758" t="s">
        <v>3250</v>
      </c>
      <c r="J1758" t="s">
        <v>3250</v>
      </c>
      <c r="K1758" t="s">
        <v>3250</v>
      </c>
      <c r="L1758">
        <v>2100</v>
      </c>
      <c r="M1758" t="s">
        <v>123</v>
      </c>
      <c r="N1758">
        <v>2109</v>
      </c>
      <c r="O1758" t="s">
        <v>2402</v>
      </c>
      <c r="P1758" t="s">
        <v>3108</v>
      </c>
      <c r="Q1758" t="s">
        <v>3249</v>
      </c>
      <c r="R1758" t="s">
        <v>3249</v>
      </c>
      <c r="S1758" t="s">
        <v>472</v>
      </c>
      <c r="T1758" t="s">
        <v>3251</v>
      </c>
      <c r="U1758">
        <v>120</v>
      </c>
      <c r="V1758" t="s">
        <v>599</v>
      </c>
      <c r="W1758">
        <v>120</v>
      </c>
      <c r="X1758" t="s">
        <v>599</v>
      </c>
      <c r="Y1758" t="s">
        <v>3250</v>
      </c>
      <c r="Z1758" t="s">
        <v>3250</v>
      </c>
      <c r="AA1758" t="s">
        <v>3108</v>
      </c>
      <c r="AB1758" t="s">
        <v>3108</v>
      </c>
      <c r="AC1758">
        <v>420</v>
      </c>
      <c r="AD1758" t="s">
        <v>827</v>
      </c>
      <c r="AE1758">
        <v>560</v>
      </c>
      <c r="AF1758" t="s">
        <v>827</v>
      </c>
      <c r="AG1758" t="s">
        <v>3250</v>
      </c>
      <c r="AH1758" t="s">
        <v>3250</v>
      </c>
      <c r="AI1758" t="s">
        <v>3250</v>
      </c>
      <c r="AJ1758" t="s">
        <v>3250</v>
      </c>
      <c r="AL1758" t="s">
        <v>3250</v>
      </c>
      <c r="AM1758" t="s">
        <v>3250</v>
      </c>
      <c r="AN1758" t="s">
        <v>3250</v>
      </c>
      <c r="AO1758" t="s">
        <v>3250</v>
      </c>
      <c r="AS1758" t="s">
        <v>3250</v>
      </c>
      <c r="AT1758" t="s">
        <v>3250</v>
      </c>
      <c r="AU1758" t="s">
        <v>3250</v>
      </c>
      <c r="AV1758" t="s">
        <v>3250</v>
      </c>
      <c r="AW1758" t="s">
        <v>3250</v>
      </c>
      <c r="AX1758" t="s">
        <v>3250</v>
      </c>
      <c r="AY1758" t="s">
        <v>3250</v>
      </c>
      <c r="AZ1758" t="s">
        <v>3250</v>
      </c>
      <c r="BA1758" t="s">
        <v>3250</v>
      </c>
      <c r="BB1758" t="s">
        <v>3250</v>
      </c>
      <c r="BC1758" t="s">
        <v>3250</v>
      </c>
      <c r="BE1758" t="s">
        <v>3250</v>
      </c>
      <c r="BF1758" t="s">
        <v>3250</v>
      </c>
      <c r="BG1758" t="s">
        <v>3250</v>
      </c>
      <c r="BH1758" t="s">
        <v>3250</v>
      </c>
      <c r="BI1758" t="s">
        <v>3250</v>
      </c>
      <c r="BK1758" t="s">
        <v>3250</v>
      </c>
      <c r="BL1758" t="s">
        <v>3250</v>
      </c>
      <c r="BM1758" t="s">
        <v>3250</v>
      </c>
      <c r="BN1758" t="s">
        <v>3250</v>
      </c>
      <c r="BP1758">
        <v>4</v>
      </c>
      <c r="BQ1758">
        <v>41</v>
      </c>
      <c r="BR1758" t="s">
        <v>2402</v>
      </c>
      <c r="BS1758" t="s">
        <v>4024</v>
      </c>
      <c r="BV1758">
        <v>0</v>
      </c>
      <c r="BW1758">
        <v>0</v>
      </c>
      <c r="BX1758">
        <v>0</v>
      </c>
      <c r="BY1758">
        <v>0</v>
      </c>
      <c r="BZ1758">
        <v>0</v>
      </c>
      <c r="CA1758">
        <v>0</v>
      </c>
      <c r="CB1758">
        <v>0</v>
      </c>
      <c r="CC1758">
        <v>0</v>
      </c>
      <c r="CD1758">
        <v>0</v>
      </c>
      <c r="CE1758" t="s">
        <v>3108</v>
      </c>
      <c r="CF1758" t="s">
        <v>3108</v>
      </c>
      <c r="CG1758" t="s">
        <v>3108</v>
      </c>
      <c r="CH1758" t="s">
        <v>3108</v>
      </c>
    </row>
    <row r="1759" spans="1:86" x14ac:dyDescent="0.2">
      <c r="A1759" t="s">
        <v>5788</v>
      </c>
      <c r="B1759" t="s">
        <v>5788</v>
      </c>
      <c r="C1759">
        <v>54882</v>
      </c>
      <c r="D1759">
        <v>1882</v>
      </c>
      <c r="E1759" t="s">
        <v>3994</v>
      </c>
      <c r="F1759">
        <v>2600</v>
      </c>
      <c r="G1759" t="s">
        <v>1334</v>
      </c>
      <c r="H1759">
        <v>2600</v>
      </c>
      <c r="I1759" t="s">
        <v>1334</v>
      </c>
      <c r="J1759" t="s">
        <v>3250</v>
      </c>
      <c r="K1759" t="s">
        <v>3250</v>
      </c>
      <c r="L1759">
        <v>1100</v>
      </c>
      <c r="M1759" t="s">
        <v>119</v>
      </c>
      <c r="N1759">
        <v>1110</v>
      </c>
      <c r="O1759" t="s">
        <v>284</v>
      </c>
      <c r="P1759" t="s">
        <v>3108</v>
      </c>
      <c r="Q1759" t="s">
        <v>3249</v>
      </c>
      <c r="R1759" t="s">
        <v>3249</v>
      </c>
      <c r="S1759" t="s">
        <v>810</v>
      </c>
      <c r="T1759" t="s">
        <v>2754</v>
      </c>
      <c r="U1759" t="s">
        <v>3250</v>
      </c>
      <c r="V1759" t="s">
        <v>3250</v>
      </c>
      <c r="W1759" t="s">
        <v>3250</v>
      </c>
      <c r="X1759" t="s">
        <v>3250</v>
      </c>
      <c r="Y1759" t="s">
        <v>3250</v>
      </c>
      <c r="Z1759" t="s">
        <v>3250</v>
      </c>
      <c r="AA1759" t="s">
        <v>3108</v>
      </c>
      <c r="AB1759" t="s">
        <v>3108</v>
      </c>
      <c r="AC1759" t="s">
        <v>3250</v>
      </c>
      <c r="AD1759" t="s">
        <v>3250</v>
      </c>
      <c r="AE1759" t="s">
        <v>3250</v>
      </c>
      <c r="AF1759" t="s">
        <v>3250</v>
      </c>
      <c r="AG1759" t="s">
        <v>3250</v>
      </c>
      <c r="AH1759" t="s">
        <v>3250</v>
      </c>
      <c r="AI1759" t="s">
        <v>3250</v>
      </c>
      <c r="AJ1759" t="s">
        <v>3250</v>
      </c>
      <c r="AL1759" t="s">
        <v>3250</v>
      </c>
      <c r="AM1759" t="s">
        <v>3250</v>
      </c>
      <c r="AN1759" t="s">
        <v>3250</v>
      </c>
      <c r="AO1759" t="s">
        <v>3250</v>
      </c>
      <c r="AS1759" t="s">
        <v>3250</v>
      </c>
      <c r="AT1759" t="s">
        <v>3250</v>
      </c>
      <c r="AU1759" t="s">
        <v>3250</v>
      </c>
      <c r="AV1759" t="s">
        <v>3250</v>
      </c>
      <c r="AW1759" t="s">
        <v>3250</v>
      </c>
      <c r="AX1759" t="s">
        <v>3250</v>
      </c>
      <c r="AY1759" t="s">
        <v>3250</v>
      </c>
      <c r="AZ1759" t="s">
        <v>3250</v>
      </c>
      <c r="BA1759" t="s">
        <v>3250</v>
      </c>
      <c r="BB1759" t="s">
        <v>3250</v>
      </c>
      <c r="BC1759" t="s">
        <v>3250</v>
      </c>
      <c r="BE1759" t="s">
        <v>3250</v>
      </c>
      <c r="BF1759" t="s">
        <v>3250</v>
      </c>
      <c r="BG1759" t="s">
        <v>3250</v>
      </c>
      <c r="BH1759" t="s">
        <v>3250</v>
      </c>
      <c r="BI1759" t="s">
        <v>3250</v>
      </c>
      <c r="BK1759" t="s">
        <v>3250</v>
      </c>
      <c r="BL1759" t="s">
        <v>3250</v>
      </c>
      <c r="BM1759" t="s">
        <v>3250</v>
      </c>
      <c r="BN1759" t="s">
        <v>3250</v>
      </c>
      <c r="BP1759">
        <v>3</v>
      </c>
      <c r="BQ1759">
        <v>32</v>
      </c>
      <c r="BR1759" t="s">
        <v>284</v>
      </c>
      <c r="BS1759" t="s">
        <v>4381</v>
      </c>
      <c r="BV1759">
        <v>0</v>
      </c>
      <c r="BW1759">
        <v>0</v>
      </c>
      <c r="BX1759">
        <v>0</v>
      </c>
      <c r="BY1759">
        <v>50000</v>
      </c>
      <c r="BZ1759">
        <v>50000</v>
      </c>
      <c r="CA1759">
        <v>51950</v>
      </c>
      <c r="CB1759">
        <v>54028</v>
      </c>
      <c r="CC1759">
        <v>56189</v>
      </c>
      <c r="CD1759">
        <v>0</v>
      </c>
      <c r="CE1759" t="s">
        <v>3108</v>
      </c>
      <c r="CF1759" t="s">
        <v>3108</v>
      </c>
      <c r="CG1759" t="s">
        <v>3108</v>
      </c>
      <c r="CH1759" t="s">
        <v>3108</v>
      </c>
    </row>
    <row r="1760" spans="1:86" x14ac:dyDescent="0.2">
      <c r="A1760" t="s">
        <v>5789</v>
      </c>
      <c r="B1760" t="s">
        <v>5789</v>
      </c>
      <c r="C1760">
        <v>54883</v>
      </c>
      <c r="D1760">
        <v>1883</v>
      </c>
      <c r="E1760" t="s">
        <v>5790</v>
      </c>
      <c r="F1760" t="s">
        <v>3249</v>
      </c>
      <c r="G1760" t="s">
        <v>3249</v>
      </c>
      <c r="H1760" t="s">
        <v>3250</v>
      </c>
      <c r="I1760" t="s">
        <v>3250</v>
      </c>
      <c r="J1760" t="s">
        <v>3250</v>
      </c>
      <c r="K1760" t="s">
        <v>3250</v>
      </c>
      <c r="L1760">
        <v>1200</v>
      </c>
      <c r="M1760" t="s">
        <v>2368</v>
      </c>
      <c r="N1760">
        <v>1204</v>
      </c>
      <c r="O1760" t="s">
        <v>1574</v>
      </c>
      <c r="P1760" t="s">
        <v>3108</v>
      </c>
      <c r="Q1760" t="s">
        <v>3249</v>
      </c>
      <c r="R1760" t="s">
        <v>3249</v>
      </c>
      <c r="S1760" t="s">
        <v>472</v>
      </c>
      <c r="T1760" t="s">
        <v>3789</v>
      </c>
      <c r="U1760">
        <v>360</v>
      </c>
      <c r="V1760" t="s">
        <v>3790</v>
      </c>
      <c r="W1760">
        <v>360</v>
      </c>
      <c r="X1760" t="s">
        <v>601</v>
      </c>
      <c r="Y1760" t="s">
        <v>3250</v>
      </c>
      <c r="Z1760" t="s">
        <v>3250</v>
      </c>
      <c r="AA1760" t="s">
        <v>3108</v>
      </c>
      <c r="AB1760" t="s">
        <v>3108</v>
      </c>
      <c r="AC1760" t="s">
        <v>3250</v>
      </c>
      <c r="AD1760" t="s">
        <v>3250</v>
      </c>
      <c r="AE1760" t="s">
        <v>3250</v>
      </c>
      <c r="AF1760" t="s">
        <v>3250</v>
      </c>
      <c r="AG1760" t="s">
        <v>3250</v>
      </c>
      <c r="AH1760" t="s">
        <v>3250</v>
      </c>
      <c r="AI1760" t="s">
        <v>3250</v>
      </c>
      <c r="AJ1760" t="s">
        <v>3250</v>
      </c>
      <c r="AL1760">
        <v>361</v>
      </c>
      <c r="AM1760" t="s">
        <v>2523</v>
      </c>
      <c r="AN1760">
        <v>361</v>
      </c>
      <c r="AO1760" t="s">
        <v>2523</v>
      </c>
      <c r="AS1760" t="s">
        <v>3250</v>
      </c>
      <c r="AT1760" t="s">
        <v>3250</v>
      </c>
      <c r="AU1760" t="s">
        <v>3250</v>
      </c>
      <c r="AV1760" t="s">
        <v>3250</v>
      </c>
      <c r="AW1760" t="s">
        <v>3250</v>
      </c>
      <c r="AX1760" t="s">
        <v>3250</v>
      </c>
      <c r="AY1760" t="s">
        <v>3250</v>
      </c>
      <c r="AZ1760" t="s">
        <v>3250</v>
      </c>
      <c r="BA1760" t="s">
        <v>3250</v>
      </c>
      <c r="BB1760" t="s">
        <v>3250</v>
      </c>
      <c r="BC1760" t="s">
        <v>3250</v>
      </c>
      <c r="BE1760" t="s">
        <v>3250</v>
      </c>
      <c r="BF1760" t="s">
        <v>3250</v>
      </c>
      <c r="BG1760" t="s">
        <v>3250</v>
      </c>
      <c r="BH1760" t="s">
        <v>3250</v>
      </c>
      <c r="BI1760" t="s">
        <v>3250</v>
      </c>
      <c r="BK1760" t="s">
        <v>3250</v>
      </c>
      <c r="BL1760" t="s">
        <v>3250</v>
      </c>
      <c r="BM1760" t="s">
        <v>3250</v>
      </c>
      <c r="BN1760" t="s">
        <v>3250</v>
      </c>
      <c r="BP1760">
        <v>1</v>
      </c>
      <c r="BQ1760">
        <v>11</v>
      </c>
      <c r="BR1760" t="s">
        <v>1574</v>
      </c>
      <c r="BS1760" t="s">
        <v>3252</v>
      </c>
      <c r="BV1760">
        <v>0</v>
      </c>
      <c r="BW1760">
        <v>0</v>
      </c>
      <c r="BX1760">
        <v>0</v>
      </c>
      <c r="BY1760">
        <v>0</v>
      </c>
      <c r="BZ1760">
        <v>0</v>
      </c>
      <c r="CA1760">
        <v>0</v>
      </c>
      <c r="CB1760">
        <v>0</v>
      </c>
      <c r="CC1760">
        <v>0</v>
      </c>
      <c r="CD1760">
        <v>0</v>
      </c>
      <c r="CE1760" t="s">
        <v>3108</v>
      </c>
      <c r="CF1760" t="s">
        <v>3108</v>
      </c>
      <c r="CG1760" t="s">
        <v>3108</v>
      </c>
      <c r="CH1760" t="s">
        <v>3108</v>
      </c>
    </row>
    <row r="1761" spans="1:86" x14ac:dyDescent="0.2">
      <c r="A1761" t="s">
        <v>5791</v>
      </c>
      <c r="B1761" t="s">
        <v>5791</v>
      </c>
      <c r="C1761">
        <v>54884</v>
      </c>
      <c r="D1761">
        <v>1884</v>
      </c>
      <c r="E1761" t="s">
        <v>5792</v>
      </c>
      <c r="F1761" t="s">
        <v>3249</v>
      </c>
      <c r="G1761" t="s">
        <v>3249</v>
      </c>
      <c r="H1761" t="s">
        <v>3250</v>
      </c>
      <c r="I1761" t="s">
        <v>3250</v>
      </c>
      <c r="J1761" t="s">
        <v>3250</v>
      </c>
      <c r="K1761" t="s">
        <v>3250</v>
      </c>
      <c r="L1761">
        <v>1200</v>
      </c>
      <c r="M1761" t="s">
        <v>2368</v>
      </c>
      <c r="N1761">
        <v>1204</v>
      </c>
      <c r="O1761" t="s">
        <v>1574</v>
      </c>
      <c r="P1761" t="s">
        <v>3108</v>
      </c>
      <c r="Q1761" t="s">
        <v>3249</v>
      </c>
      <c r="R1761" t="s">
        <v>3249</v>
      </c>
      <c r="S1761" t="s">
        <v>472</v>
      </c>
      <c r="T1761" t="s">
        <v>3789</v>
      </c>
      <c r="U1761">
        <v>360</v>
      </c>
      <c r="V1761" t="s">
        <v>3790</v>
      </c>
      <c r="W1761">
        <v>360</v>
      </c>
      <c r="X1761" t="s">
        <v>601</v>
      </c>
      <c r="Y1761" t="s">
        <v>3250</v>
      </c>
      <c r="Z1761" t="s">
        <v>3250</v>
      </c>
      <c r="AA1761" t="s">
        <v>3108</v>
      </c>
      <c r="AB1761" t="s">
        <v>3108</v>
      </c>
      <c r="AC1761" t="s">
        <v>3250</v>
      </c>
      <c r="AD1761" t="s">
        <v>3250</v>
      </c>
      <c r="AE1761" t="s">
        <v>3250</v>
      </c>
      <c r="AF1761" t="s">
        <v>3250</v>
      </c>
      <c r="AG1761" t="s">
        <v>3250</v>
      </c>
      <c r="AH1761" t="s">
        <v>3250</v>
      </c>
      <c r="AI1761" t="s">
        <v>3250</v>
      </c>
      <c r="AJ1761" t="s">
        <v>3250</v>
      </c>
      <c r="AL1761">
        <v>361</v>
      </c>
      <c r="AM1761" t="s">
        <v>2523</v>
      </c>
      <c r="AN1761">
        <v>361</v>
      </c>
      <c r="AO1761" t="s">
        <v>2523</v>
      </c>
      <c r="AS1761" t="s">
        <v>3250</v>
      </c>
      <c r="AT1761" t="s">
        <v>3250</v>
      </c>
      <c r="AU1761" t="s">
        <v>3250</v>
      </c>
      <c r="AV1761" t="s">
        <v>3250</v>
      </c>
      <c r="AW1761" t="s">
        <v>3250</v>
      </c>
      <c r="AX1761" t="s">
        <v>3250</v>
      </c>
      <c r="AY1761" t="s">
        <v>3250</v>
      </c>
      <c r="AZ1761" t="s">
        <v>3250</v>
      </c>
      <c r="BA1761" t="s">
        <v>3250</v>
      </c>
      <c r="BB1761" t="s">
        <v>3250</v>
      </c>
      <c r="BC1761" t="s">
        <v>3250</v>
      </c>
      <c r="BE1761" t="s">
        <v>3250</v>
      </c>
      <c r="BF1761" t="s">
        <v>3250</v>
      </c>
      <c r="BG1761" t="s">
        <v>3250</v>
      </c>
      <c r="BH1761" t="s">
        <v>3250</v>
      </c>
      <c r="BI1761" t="s">
        <v>3250</v>
      </c>
      <c r="BK1761" t="s">
        <v>3250</v>
      </c>
      <c r="BL1761" t="s">
        <v>3250</v>
      </c>
      <c r="BM1761" t="s">
        <v>3250</v>
      </c>
      <c r="BN1761" t="s">
        <v>3250</v>
      </c>
      <c r="BP1761">
        <v>1</v>
      </c>
      <c r="BQ1761">
        <v>11</v>
      </c>
      <c r="BR1761" t="s">
        <v>1574</v>
      </c>
      <c r="BS1761" t="s">
        <v>3252</v>
      </c>
      <c r="BV1761">
        <v>0</v>
      </c>
      <c r="BW1761">
        <v>0</v>
      </c>
      <c r="BX1761">
        <v>0</v>
      </c>
      <c r="BY1761">
        <v>0</v>
      </c>
      <c r="BZ1761">
        <v>0</v>
      </c>
      <c r="CA1761">
        <v>0</v>
      </c>
      <c r="CB1761">
        <v>0</v>
      </c>
      <c r="CC1761">
        <v>0</v>
      </c>
      <c r="CD1761">
        <v>0</v>
      </c>
      <c r="CE1761" t="s">
        <v>3108</v>
      </c>
      <c r="CF1761" t="s">
        <v>3108</v>
      </c>
      <c r="CG1761" t="s">
        <v>3108</v>
      </c>
      <c r="CH1761" t="s">
        <v>3108</v>
      </c>
    </row>
    <row r="1762" spans="1:86" x14ac:dyDescent="0.2">
      <c r="A1762" t="s">
        <v>5793</v>
      </c>
      <c r="B1762" t="s">
        <v>5793</v>
      </c>
      <c r="C1762">
        <v>54885</v>
      </c>
      <c r="D1762">
        <v>1885</v>
      </c>
      <c r="E1762" t="s">
        <v>5794</v>
      </c>
      <c r="F1762" t="s">
        <v>3249</v>
      </c>
      <c r="G1762" t="s">
        <v>3249</v>
      </c>
      <c r="H1762" t="s">
        <v>3250</v>
      </c>
      <c r="I1762" t="s">
        <v>3250</v>
      </c>
      <c r="J1762" t="s">
        <v>3250</v>
      </c>
      <c r="K1762" t="s">
        <v>3250</v>
      </c>
      <c r="L1762">
        <v>1200</v>
      </c>
      <c r="M1762" t="s">
        <v>2368</v>
      </c>
      <c r="N1762">
        <v>1204</v>
      </c>
      <c r="O1762" t="s">
        <v>1574</v>
      </c>
      <c r="P1762" t="s">
        <v>3108</v>
      </c>
      <c r="Q1762" t="s">
        <v>3249</v>
      </c>
      <c r="R1762" t="s">
        <v>3249</v>
      </c>
      <c r="S1762" t="s">
        <v>472</v>
      </c>
      <c r="T1762" t="s">
        <v>3789</v>
      </c>
      <c r="U1762">
        <v>360</v>
      </c>
      <c r="V1762" t="s">
        <v>3790</v>
      </c>
      <c r="W1762">
        <v>360</v>
      </c>
      <c r="X1762" t="s">
        <v>601</v>
      </c>
      <c r="Y1762" t="s">
        <v>3250</v>
      </c>
      <c r="Z1762" t="s">
        <v>3250</v>
      </c>
      <c r="AA1762" t="s">
        <v>3108</v>
      </c>
      <c r="AB1762" t="s">
        <v>3108</v>
      </c>
      <c r="AC1762" t="s">
        <v>3250</v>
      </c>
      <c r="AD1762" t="s">
        <v>3250</v>
      </c>
      <c r="AE1762" t="s">
        <v>3250</v>
      </c>
      <c r="AF1762" t="s">
        <v>3250</v>
      </c>
      <c r="AG1762" t="s">
        <v>3250</v>
      </c>
      <c r="AH1762" t="s">
        <v>3250</v>
      </c>
      <c r="AI1762" t="s">
        <v>3250</v>
      </c>
      <c r="AJ1762" t="s">
        <v>3250</v>
      </c>
      <c r="AL1762">
        <v>361</v>
      </c>
      <c r="AM1762" t="s">
        <v>2523</v>
      </c>
      <c r="AN1762">
        <v>361</v>
      </c>
      <c r="AO1762" t="s">
        <v>2523</v>
      </c>
      <c r="AS1762" t="s">
        <v>3250</v>
      </c>
      <c r="AT1762" t="s">
        <v>3250</v>
      </c>
      <c r="AU1762" t="s">
        <v>3250</v>
      </c>
      <c r="AV1762" t="s">
        <v>3250</v>
      </c>
      <c r="AW1762" t="s">
        <v>3250</v>
      </c>
      <c r="AX1762" t="s">
        <v>3250</v>
      </c>
      <c r="AY1762" t="s">
        <v>3250</v>
      </c>
      <c r="AZ1762" t="s">
        <v>3250</v>
      </c>
      <c r="BA1762" t="s">
        <v>3250</v>
      </c>
      <c r="BB1762" t="s">
        <v>3250</v>
      </c>
      <c r="BC1762" t="s">
        <v>3250</v>
      </c>
      <c r="BE1762" t="s">
        <v>3250</v>
      </c>
      <c r="BF1762" t="s">
        <v>3250</v>
      </c>
      <c r="BG1762" t="s">
        <v>3250</v>
      </c>
      <c r="BH1762" t="s">
        <v>3250</v>
      </c>
      <c r="BI1762" t="s">
        <v>3250</v>
      </c>
      <c r="BK1762" t="s">
        <v>3250</v>
      </c>
      <c r="BL1762" t="s">
        <v>3250</v>
      </c>
      <c r="BM1762" t="s">
        <v>3250</v>
      </c>
      <c r="BN1762" t="s">
        <v>3250</v>
      </c>
      <c r="BP1762">
        <v>1</v>
      </c>
      <c r="BQ1762">
        <v>11</v>
      </c>
      <c r="BR1762" t="s">
        <v>1574</v>
      </c>
      <c r="BS1762" t="s">
        <v>3252</v>
      </c>
      <c r="BV1762">
        <v>0</v>
      </c>
      <c r="BW1762">
        <v>0</v>
      </c>
      <c r="BX1762">
        <v>0</v>
      </c>
      <c r="BY1762">
        <v>0</v>
      </c>
      <c r="BZ1762">
        <v>0</v>
      </c>
      <c r="CA1762">
        <v>0</v>
      </c>
      <c r="CB1762">
        <v>0</v>
      </c>
      <c r="CC1762">
        <v>0</v>
      </c>
      <c r="CD1762">
        <v>0</v>
      </c>
      <c r="CE1762" t="s">
        <v>3108</v>
      </c>
      <c r="CF1762" t="s">
        <v>3108</v>
      </c>
      <c r="CG1762" t="s">
        <v>3108</v>
      </c>
      <c r="CH1762" t="s">
        <v>3108</v>
      </c>
    </row>
    <row r="1763" spans="1:86" x14ac:dyDescent="0.2">
      <c r="A1763" t="s">
        <v>5795</v>
      </c>
      <c r="B1763" t="s">
        <v>5795</v>
      </c>
      <c r="C1763">
        <v>54886</v>
      </c>
      <c r="D1763">
        <v>1886</v>
      </c>
      <c r="E1763" t="s">
        <v>5796</v>
      </c>
      <c r="F1763" t="s">
        <v>3249</v>
      </c>
      <c r="G1763" t="s">
        <v>3249</v>
      </c>
      <c r="H1763" t="s">
        <v>3250</v>
      </c>
      <c r="I1763" t="s">
        <v>3250</v>
      </c>
      <c r="J1763" t="s">
        <v>3250</v>
      </c>
      <c r="K1763" t="s">
        <v>3250</v>
      </c>
      <c r="L1763">
        <v>1200</v>
      </c>
      <c r="M1763" t="s">
        <v>2368</v>
      </c>
      <c r="N1763">
        <v>1204</v>
      </c>
      <c r="O1763" t="s">
        <v>1574</v>
      </c>
      <c r="P1763" t="s">
        <v>3108</v>
      </c>
      <c r="Q1763" t="s">
        <v>3249</v>
      </c>
      <c r="R1763" t="s">
        <v>3249</v>
      </c>
      <c r="S1763" t="s">
        <v>472</v>
      </c>
      <c r="T1763" t="s">
        <v>3789</v>
      </c>
      <c r="U1763">
        <v>360</v>
      </c>
      <c r="V1763" t="s">
        <v>3790</v>
      </c>
      <c r="W1763">
        <v>360</v>
      </c>
      <c r="X1763" t="s">
        <v>601</v>
      </c>
      <c r="Y1763" t="s">
        <v>3250</v>
      </c>
      <c r="Z1763" t="s">
        <v>3250</v>
      </c>
      <c r="AA1763" t="s">
        <v>3108</v>
      </c>
      <c r="AB1763" t="s">
        <v>3108</v>
      </c>
      <c r="AC1763" t="s">
        <v>3250</v>
      </c>
      <c r="AD1763" t="s">
        <v>3250</v>
      </c>
      <c r="AE1763" t="s">
        <v>3250</v>
      </c>
      <c r="AF1763" t="s">
        <v>3250</v>
      </c>
      <c r="AG1763" t="s">
        <v>3250</v>
      </c>
      <c r="AH1763" t="s">
        <v>3250</v>
      </c>
      <c r="AI1763" t="s">
        <v>3250</v>
      </c>
      <c r="AJ1763" t="s">
        <v>3250</v>
      </c>
      <c r="AL1763">
        <v>361</v>
      </c>
      <c r="AM1763" t="s">
        <v>2523</v>
      </c>
      <c r="AN1763">
        <v>361</v>
      </c>
      <c r="AO1763" t="s">
        <v>2523</v>
      </c>
      <c r="AS1763" t="s">
        <v>3250</v>
      </c>
      <c r="AT1763" t="s">
        <v>3250</v>
      </c>
      <c r="AU1763" t="s">
        <v>3250</v>
      </c>
      <c r="AV1763" t="s">
        <v>3250</v>
      </c>
      <c r="AW1763" t="s">
        <v>3250</v>
      </c>
      <c r="AX1763" t="s">
        <v>3250</v>
      </c>
      <c r="AY1763" t="s">
        <v>3250</v>
      </c>
      <c r="AZ1763" t="s">
        <v>3250</v>
      </c>
      <c r="BA1763" t="s">
        <v>3250</v>
      </c>
      <c r="BB1763" t="s">
        <v>3250</v>
      </c>
      <c r="BC1763" t="s">
        <v>3250</v>
      </c>
      <c r="BE1763" t="s">
        <v>3250</v>
      </c>
      <c r="BF1763" t="s">
        <v>3250</v>
      </c>
      <c r="BG1763" t="s">
        <v>3250</v>
      </c>
      <c r="BH1763" t="s">
        <v>3250</v>
      </c>
      <c r="BI1763" t="s">
        <v>3250</v>
      </c>
      <c r="BK1763" t="s">
        <v>3250</v>
      </c>
      <c r="BL1763" t="s">
        <v>3250</v>
      </c>
      <c r="BM1763" t="s">
        <v>3250</v>
      </c>
      <c r="BN1763" t="s">
        <v>3250</v>
      </c>
      <c r="BP1763">
        <v>1</v>
      </c>
      <c r="BQ1763">
        <v>11</v>
      </c>
      <c r="BR1763" t="s">
        <v>1574</v>
      </c>
      <c r="BS1763" t="s">
        <v>3252</v>
      </c>
      <c r="BV1763">
        <v>0</v>
      </c>
      <c r="BW1763">
        <v>0</v>
      </c>
      <c r="BX1763">
        <v>0</v>
      </c>
      <c r="BY1763">
        <v>0</v>
      </c>
      <c r="BZ1763">
        <v>0</v>
      </c>
      <c r="CA1763">
        <v>0</v>
      </c>
      <c r="CB1763">
        <v>0</v>
      </c>
      <c r="CC1763">
        <v>0</v>
      </c>
      <c r="CD1763">
        <v>0</v>
      </c>
      <c r="CE1763" t="s">
        <v>3108</v>
      </c>
      <c r="CF1763" t="s">
        <v>3108</v>
      </c>
      <c r="CG1763" t="s">
        <v>3108</v>
      </c>
      <c r="CH1763" t="s">
        <v>3108</v>
      </c>
    </row>
    <row r="1764" spans="1:86" x14ac:dyDescent="0.2">
      <c r="A1764" t="s">
        <v>5797</v>
      </c>
      <c r="B1764" t="s">
        <v>5797</v>
      </c>
      <c r="C1764">
        <v>54887</v>
      </c>
      <c r="D1764">
        <v>1887</v>
      </c>
      <c r="E1764" t="s">
        <v>5798</v>
      </c>
      <c r="F1764" t="s">
        <v>3249</v>
      </c>
      <c r="G1764" t="s">
        <v>3249</v>
      </c>
      <c r="H1764" t="s">
        <v>3250</v>
      </c>
      <c r="I1764" t="s">
        <v>3250</v>
      </c>
      <c r="J1764" t="s">
        <v>3250</v>
      </c>
      <c r="K1764" t="s">
        <v>3250</v>
      </c>
      <c r="L1764">
        <v>1200</v>
      </c>
      <c r="M1764" t="s">
        <v>2368</v>
      </c>
      <c r="N1764">
        <v>1204</v>
      </c>
      <c r="O1764" t="s">
        <v>1574</v>
      </c>
      <c r="P1764" t="s">
        <v>3108</v>
      </c>
      <c r="Q1764" t="s">
        <v>3249</v>
      </c>
      <c r="R1764" t="s">
        <v>3249</v>
      </c>
      <c r="S1764" t="s">
        <v>472</v>
      </c>
      <c r="T1764" t="s">
        <v>3789</v>
      </c>
      <c r="U1764">
        <v>360</v>
      </c>
      <c r="V1764" t="s">
        <v>3790</v>
      </c>
      <c r="W1764">
        <v>360</v>
      </c>
      <c r="X1764" t="s">
        <v>601</v>
      </c>
      <c r="Y1764" t="s">
        <v>3250</v>
      </c>
      <c r="Z1764" t="s">
        <v>3250</v>
      </c>
      <c r="AA1764" t="s">
        <v>3108</v>
      </c>
      <c r="AB1764" t="s">
        <v>3108</v>
      </c>
      <c r="AC1764" t="s">
        <v>3250</v>
      </c>
      <c r="AD1764" t="s">
        <v>3250</v>
      </c>
      <c r="AE1764" t="s">
        <v>3250</v>
      </c>
      <c r="AF1764" t="s">
        <v>3250</v>
      </c>
      <c r="AG1764" t="s">
        <v>3250</v>
      </c>
      <c r="AH1764" t="s">
        <v>3250</v>
      </c>
      <c r="AI1764" t="s">
        <v>3250</v>
      </c>
      <c r="AJ1764" t="s">
        <v>3250</v>
      </c>
      <c r="AL1764">
        <v>361</v>
      </c>
      <c r="AM1764" t="s">
        <v>2523</v>
      </c>
      <c r="AN1764">
        <v>361</v>
      </c>
      <c r="AO1764" t="s">
        <v>2523</v>
      </c>
      <c r="AS1764" t="s">
        <v>3250</v>
      </c>
      <c r="AT1764" t="s">
        <v>3250</v>
      </c>
      <c r="AU1764" t="s">
        <v>3250</v>
      </c>
      <c r="AV1764" t="s">
        <v>3250</v>
      </c>
      <c r="AW1764" t="s">
        <v>3250</v>
      </c>
      <c r="AX1764" t="s">
        <v>3250</v>
      </c>
      <c r="AY1764" t="s">
        <v>3250</v>
      </c>
      <c r="AZ1764" t="s">
        <v>3250</v>
      </c>
      <c r="BA1764" t="s">
        <v>3250</v>
      </c>
      <c r="BB1764" t="s">
        <v>3250</v>
      </c>
      <c r="BC1764" t="s">
        <v>3250</v>
      </c>
      <c r="BE1764" t="s">
        <v>3250</v>
      </c>
      <c r="BF1764" t="s">
        <v>3250</v>
      </c>
      <c r="BG1764" t="s">
        <v>3250</v>
      </c>
      <c r="BH1764" t="s">
        <v>3250</v>
      </c>
      <c r="BI1764" t="s">
        <v>3250</v>
      </c>
      <c r="BK1764" t="s">
        <v>3250</v>
      </c>
      <c r="BL1764" t="s">
        <v>3250</v>
      </c>
      <c r="BM1764" t="s">
        <v>3250</v>
      </c>
      <c r="BN1764" t="s">
        <v>3250</v>
      </c>
      <c r="BP1764">
        <v>1</v>
      </c>
      <c r="BQ1764">
        <v>11</v>
      </c>
      <c r="BR1764" t="s">
        <v>1574</v>
      </c>
      <c r="BS1764" t="s">
        <v>3252</v>
      </c>
      <c r="BV1764">
        <v>0</v>
      </c>
      <c r="BW1764">
        <v>0</v>
      </c>
      <c r="BX1764">
        <v>0</v>
      </c>
      <c r="BY1764">
        <v>0</v>
      </c>
      <c r="BZ1764">
        <v>-51065506</v>
      </c>
      <c r="CA1764">
        <v>0</v>
      </c>
      <c r="CB1764">
        <v>0</v>
      </c>
      <c r="CC1764">
        <v>0</v>
      </c>
      <c r="CD1764">
        <v>0</v>
      </c>
      <c r="CE1764" t="s">
        <v>3108</v>
      </c>
      <c r="CF1764" t="s">
        <v>3108</v>
      </c>
      <c r="CG1764" t="s">
        <v>3108</v>
      </c>
      <c r="CH1764" t="s">
        <v>3108</v>
      </c>
    </row>
    <row r="1765" spans="1:86" x14ac:dyDescent="0.2">
      <c r="A1765" t="s">
        <v>5799</v>
      </c>
      <c r="B1765" t="s">
        <v>5799</v>
      </c>
      <c r="C1765">
        <v>54888</v>
      </c>
      <c r="D1765">
        <v>1888</v>
      </c>
      <c r="E1765" t="s">
        <v>5800</v>
      </c>
      <c r="F1765" t="s">
        <v>3249</v>
      </c>
      <c r="G1765" t="s">
        <v>3249</v>
      </c>
      <c r="H1765" t="s">
        <v>3250</v>
      </c>
      <c r="I1765" t="s">
        <v>3250</v>
      </c>
      <c r="J1765" t="s">
        <v>3250</v>
      </c>
      <c r="K1765" t="s">
        <v>3250</v>
      </c>
      <c r="L1765">
        <v>1200</v>
      </c>
      <c r="M1765" t="s">
        <v>2368</v>
      </c>
      <c r="N1765">
        <v>1204</v>
      </c>
      <c r="O1765" t="s">
        <v>1574</v>
      </c>
      <c r="P1765" t="s">
        <v>3108</v>
      </c>
      <c r="Q1765" t="s">
        <v>3249</v>
      </c>
      <c r="R1765" t="s">
        <v>3249</v>
      </c>
      <c r="S1765" t="s">
        <v>472</v>
      </c>
      <c r="T1765" t="s">
        <v>3789</v>
      </c>
      <c r="U1765">
        <v>360</v>
      </c>
      <c r="V1765" t="s">
        <v>3790</v>
      </c>
      <c r="W1765">
        <v>360</v>
      </c>
      <c r="X1765" t="s">
        <v>601</v>
      </c>
      <c r="Y1765" t="s">
        <v>3250</v>
      </c>
      <c r="Z1765" t="s">
        <v>3250</v>
      </c>
      <c r="AA1765" t="s">
        <v>3108</v>
      </c>
      <c r="AB1765" t="s">
        <v>3108</v>
      </c>
      <c r="AC1765" t="s">
        <v>3250</v>
      </c>
      <c r="AD1765" t="s">
        <v>3250</v>
      </c>
      <c r="AE1765" t="s">
        <v>3250</v>
      </c>
      <c r="AF1765" t="s">
        <v>3250</v>
      </c>
      <c r="AG1765" t="s">
        <v>3250</v>
      </c>
      <c r="AH1765" t="s">
        <v>3250</v>
      </c>
      <c r="AI1765" t="s">
        <v>3250</v>
      </c>
      <c r="AJ1765" t="s">
        <v>3250</v>
      </c>
      <c r="AL1765">
        <v>361</v>
      </c>
      <c r="AM1765" t="s">
        <v>2523</v>
      </c>
      <c r="AN1765">
        <v>361</v>
      </c>
      <c r="AO1765" t="s">
        <v>2523</v>
      </c>
      <c r="AS1765" t="s">
        <v>3250</v>
      </c>
      <c r="AT1765" t="s">
        <v>3250</v>
      </c>
      <c r="AU1765" t="s">
        <v>3250</v>
      </c>
      <c r="AV1765" t="s">
        <v>3250</v>
      </c>
      <c r="AW1765" t="s">
        <v>3250</v>
      </c>
      <c r="AX1765" t="s">
        <v>3250</v>
      </c>
      <c r="AY1765" t="s">
        <v>3250</v>
      </c>
      <c r="AZ1765" t="s">
        <v>3250</v>
      </c>
      <c r="BA1765" t="s">
        <v>3250</v>
      </c>
      <c r="BB1765" t="s">
        <v>3250</v>
      </c>
      <c r="BC1765" t="s">
        <v>3250</v>
      </c>
      <c r="BE1765" t="s">
        <v>3250</v>
      </c>
      <c r="BF1765" t="s">
        <v>3250</v>
      </c>
      <c r="BG1765" t="s">
        <v>3250</v>
      </c>
      <c r="BH1765" t="s">
        <v>3250</v>
      </c>
      <c r="BI1765" t="s">
        <v>3250</v>
      </c>
      <c r="BK1765" t="s">
        <v>3250</v>
      </c>
      <c r="BL1765" t="s">
        <v>3250</v>
      </c>
      <c r="BM1765" t="s">
        <v>3250</v>
      </c>
      <c r="BN1765" t="s">
        <v>3250</v>
      </c>
      <c r="BP1765">
        <v>1</v>
      </c>
      <c r="BQ1765">
        <v>11</v>
      </c>
      <c r="BR1765" t="s">
        <v>1574</v>
      </c>
      <c r="BS1765" t="s">
        <v>3252</v>
      </c>
      <c r="BV1765">
        <v>0</v>
      </c>
      <c r="BW1765">
        <v>0</v>
      </c>
      <c r="BX1765">
        <v>0</v>
      </c>
      <c r="BY1765">
        <v>0</v>
      </c>
      <c r="BZ1765">
        <v>0</v>
      </c>
      <c r="CA1765">
        <v>0</v>
      </c>
      <c r="CB1765">
        <v>0</v>
      </c>
      <c r="CC1765">
        <v>0</v>
      </c>
      <c r="CD1765">
        <v>0</v>
      </c>
      <c r="CE1765" t="s">
        <v>3108</v>
      </c>
      <c r="CF1765" t="s">
        <v>3108</v>
      </c>
      <c r="CG1765" t="s">
        <v>3108</v>
      </c>
      <c r="CH1765" t="s">
        <v>3108</v>
      </c>
    </row>
    <row r="1766" spans="1:86" x14ac:dyDescent="0.2">
      <c r="A1766" t="s">
        <v>5801</v>
      </c>
      <c r="B1766" t="s">
        <v>5801</v>
      </c>
      <c r="C1766">
        <v>54889</v>
      </c>
      <c r="D1766">
        <v>1889</v>
      </c>
      <c r="E1766" t="s">
        <v>5802</v>
      </c>
      <c r="F1766" t="s">
        <v>3249</v>
      </c>
      <c r="G1766" t="s">
        <v>3249</v>
      </c>
      <c r="H1766" t="s">
        <v>3250</v>
      </c>
      <c r="I1766" t="s">
        <v>3250</v>
      </c>
      <c r="J1766" t="s">
        <v>3250</v>
      </c>
      <c r="K1766" t="s">
        <v>3250</v>
      </c>
      <c r="L1766">
        <v>1200</v>
      </c>
      <c r="M1766" t="s">
        <v>2368</v>
      </c>
      <c r="N1766">
        <v>1204</v>
      </c>
      <c r="O1766" t="s">
        <v>1574</v>
      </c>
      <c r="P1766" t="s">
        <v>3108</v>
      </c>
      <c r="Q1766" t="s">
        <v>3249</v>
      </c>
      <c r="R1766" t="s">
        <v>3249</v>
      </c>
      <c r="S1766" t="s">
        <v>472</v>
      </c>
      <c r="T1766" t="s">
        <v>3789</v>
      </c>
      <c r="U1766">
        <v>360</v>
      </c>
      <c r="V1766" t="s">
        <v>3790</v>
      </c>
      <c r="W1766">
        <v>360</v>
      </c>
      <c r="X1766" t="s">
        <v>601</v>
      </c>
      <c r="Y1766" t="s">
        <v>3250</v>
      </c>
      <c r="Z1766" t="s">
        <v>3250</v>
      </c>
      <c r="AA1766" t="s">
        <v>3108</v>
      </c>
      <c r="AB1766" t="s">
        <v>3108</v>
      </c>
      <c r="AC1766" t="s">
        <v>3250</v>
      </c>
      <c r="AD1766" t="s">
        <v>3250</v>
      </c>
      <c r="AE1766" t="s">
        <v>3250</v>
      </c>
      <c r="AF1766" t="s">
        <v>3250</v>
      </c>
      <c r="AG1766" t="s">
        <v>3250</v>
      </c>
      <c r="AH1766" t="s">
        <v>3250</v>
      </c>
      <c r="AI1766" t="s">
        <v>3250</v>
      </c>
      <c r="AJ1766" t="s">
        <v>3250</v>
      </c>
      <c r="AL1766">
        <v>361</v>
      </c>
      <c r="AM1766" t="s">
        <v>2523</v>
      </c>
      <c r="AN1766">
        <v>361</v>
      </c>
      <c r="AO1766" t="s">
        <v>2523</v>
      </c>
      <c r="AS1766" t="s">
        <v>3250</v>
      </c>
      <c r="AT1766" t="s">
        <v>3250</v>
      </c>
      <c r="AU1766" t="s">
        <v>3250</v>
      </c>
      <c r="AV1766" t="s">
        <v>3250</v>
      </c>
      <c r="AW1766" t="s">
        <v>3250</v>
      </c>
      <c r="AX1766" t="s">
        <v>3250</v>
      </c>
      <c r="AY1766" t="s">
        <v>3250</v>
      </c>
      <c r="AZ1766" t="s">
        <v>3250</v>
      </c>
      <c r="BA1766" t="s">
        <v>3250</v>
      </c>
      <c r="BB1766" t="s">
        <v>3250</v>
      </c>
      <c r="BC1766" t="s">
        <v>3250</v>
      </c>
      <c r="BE1766" t="s">
        <v>3250</v>
      </c>
      <c r="BF1766" t="s">
        <v>3250</v>
      </c>
      <c r="BG1766" t="s">
        <v>3250</v>
      </c>
      <c r="BH1766" t="s">
        <v>3250</v>
      </c>
      <c r="BI1766" t="s">
        <v>3250</v>
      </c>
      <c r="BK1766" t="s">
        <v>3250</v>
      </c>
      <c r="BL1766" t="s">
        <v>3250</v>
      </c>
      <c r="BM1766" t="s">
        <v>3250</v>
      </c>
      <c r="BN1766" t="s">
        <v>3250</v>
      </c>
      <c r="BP1766">
        <v>1</v>
      </c>
      <c r="BQ1766">
        <v>11</v>
      </c>
      <c r="BR1766" t="s">
        <v>1574</v>
      </c>
      <c r="BS1766" t="s">
        <v>3252</v>
      </c>
      <c r="BV1766">
        <v>0</v>
      </c>
      <c r="BW1766">
        <v>0</v>
      </c>
      <c r="BX1766">
        <v>0</v>
      </c>
      <c r="BY1766">
        <v>0</v>
      </c>
      <c r="BZ1766">
        <v>0</v>
      </c>
      <c r="CA1766">
        <v>0</v>
      </c>
      <c r="CB1766">
        <v>0</v>
      </c>
      <c r="CC1766">
        <v>0</v>
      </c>
      <c r="CD1766">
        <v>0</v>
      </c>
      <c r="CE1766" t="s">
        <v>3108</v>
      </c>
      <c r="CF1766" t="s">
        <v>3108</v>
      </c>
      <c r="CG1766" t="s">
        <v>3108</v>
      </c>
      <c r="CH1766" t="s">
        <v>3108</v>
      </c>
    </row>
    <row r="1767" spans="1:86" x14ac:dyDescent="0.2">
      <c r="A1767" t="s">
        <v>5803</v>
      </c>
      <c r="B1767" t="s">
        <v>5803</v>
      </c>
      <c r="C1767">
        <v>54890</v>
      </c>
      <c r="D1767">
        <v>1890</v>
      </c>
      <c r="E1767" t="s">
        <v>5804</v>
      </c>
      <c r="F1767" t="s">
        <v>3249</v>
      </c>
      <c r="G1767" t="s">
        <v>3249</v>
      </c>
      <c r="H1767" t="s">
        <v>3250</v>
      </c>
      <c r="I1767" t="s">
        <v>3250</v>
      </c>
      <c r="J1767" t="s">
        <v>3250</v>
      </c>
      <c r="K1767" t="s">
        <v>3250</v>
      </c>
      <c r="L1767">
        <v>1200</v>
      </c>
      <c r="M1767" t="s">
        <v>2368</v>
      </c>
      <c r="N1767">
        <v>1204</v>
      </c>
      <c r="O1767" t="s">
        <v>1574</v>
      </c>
      <c r="P1767" t="s">
        <v>3108</v>
      </c>
      <c r="Q1767" t="s">
        <v>3249</v>
      </c>
      <c r="R1767" t="s">
        <v>3249</v>
      </c>
      <c r="S1767" t="s">
        <v>472</v>
      </c>
      <c r="T1767" t="s">
        <v>3789</v>
      </c>
      <c r="U1767">
        <v>360</v>
      </c>
      <c r="V1767" t="s">
        <v>3790</v>
      </c>
      <c r="W1767">
        <v>360</v>
      </c>
      <c r="X1767" t="s">
        <v>601</v>
      </c>
      <c r="Y1767" t="s">
        <v>3250</v>
      </c>
      <c r="Z1767" t="s">
        <v>3250</v>
      </c>
      <c r="AA1767" t="s">
        <v>3108</v>
      </c>
      <c r="AB1767" t="s">
        <v>3108</v>
      </c>
      <c r="AC1767" t="s">
        <v>3250</v>
      </c>
      <c r="AD1767" t="s">
        <v>3250</v>
      </c>
      <c r="AE1767" t="s">
        <v>3250</v>
      </c>
      <c r="AF1767" t="s">
        <v>3250</v>
      </c>
      <c r="AG1767" t="s">
        <v>3250</v>
      </c>
      <c r="AH1767" t="s">
        <v>3250</v>
      </c>
      <c r="AI1767" t="s">
        <v>3250</v>
      </c>
      <c r="AJ1767" t="s">
        <v>3250</v>
      </c>
      <c r="AL1767">
        <v>361</v>
      </c>
      <c r="AM1767" t="s">
        <v>2523</v>
      </c>
      <c r="AN1767">
        <v>361</v>
      </c>
      <c r="AO1767" t="s">
        <v>2523</v>
      </c>
      <c r="AS1767" t="s">
        <v>3250</v>
      </c>
      <c r="AT1767" t="s">
        <v>3250</v>
      </c>
      <c r="AU1767" t="s">
        <v>3250</v>
      </c>
      <c r="AV1767" t="s">
        <v>3250</v>
      </c>
      <c r="AW1767" t="s">
        <v>3250</v>
      </c>
      <c r="AX1767" t="s">
        <v>3250</v>
      </c>
      <c r="AY1767" t="s">
        <v>3250</v>
      </c>
      <c r="AZ1767" t="s">
        <v>3250</v>
      </c>
      <c r="BA1767" t="s">
        <v>3250</v>
      </c>
      <c r="BB1767" t="s">
        <v>3250</v>
      </c>
      <c r="BC1767" t="s">
        <v>3250</v>
      </c>
      <c r="BE1767" t="s">
        <v>3250</v>
      </c>
      <c r="BF1767" t="s">
        <v>3250</v>
      </c>
      <c r="BG1767" t="s">
        <v>3250</v>
      </c>
      <c r="BH1767" t="s">
        <v>3250</v>
      </c>
      <c r="BI1767" t="s">
        <v>3250</v>
      </c>
      <c r="BK1767" t="s">
        <v>3250</v>
      </c>
      <c r="BL1767" t="s">
        <v>3250</v>
      </c>
      <c r="BM1767" t="s">
        <v>3250</v>
      </c>
      <c r="BN1767" t="s">
        <v>3250</v>
      </c>
      <c r="BP1767">
        <v>1</v>
      </c>
      <c r="BQ1767">
        <v>11</v>
      </c>
      <c r="BR1767" t="s">
        <v>1574</v>
      </c>
      <c r="BS1767" t="s">
        <v>3252</v>
      </c>
      <c r="BV1767">
        <v>0</v>
      </c>
      <c r="BW1767">
        <v>0</v>
      </c>
      <c r="BX1767">
        <v>0</v>
      </c>
      <c r="BY1767">
        <v>0</v>
      </c>
      <c r="BZ1767">
        <v>0</v>
      </c>
      <c r="CA1767">
        <v>0</v>
      </c>
      <c r="CB1767">
        <v>0</v>
      </c>
      <c r="CC1767">
        <v>0</v>
      </c>
      <c r="CD1767">
        <v>0</v>
      </c>
      <c r="CE1767" t="s">
        <v>3108</v>
      </c>
      <c r="CF1767" t="s">
        <v>3108</v>
      </c>
      <c r="CG1767" t="s">
        <v>3108</v>
      </c>
      <c r="CH1767" t="s">
        <v>3108</v>
      </c>
    </row>
    <row r="1768" spans="1:86" x14ac:dyDescent="0.2">
      <c r="A1768" t="s">
        <v>5805</v>
      </c>
      <c r="B1768" t="s">
        <v>5805</v>
      </c>
      <c r="C1768">
        <v>54891</v>
      </c>
      <c r="D1768">
        <v>1891</v>
      </c>
      <c r="E1768" t="s">
        <v>5806</v>
      </c>
      <c r="F1768" t="s">
        <v>3249</v>
      </c>
      <c r="G1768" t="s">
        <v>3249</v>
      </c>
      <c r="H1768" t="s">
        <v>3250</v>
      </c>
      <c r="I1768" t="s">
        <v>3250</v>
      </c>
      <c r="J1768" t="s">
        <v>3250</v>
      </c>
      <c r="K1768" t="s">
        <v>3250</v>
      </c>
      <c r="L1768">
        <v>1200</v>
      </c>
      <c r="M1768" t="s">
        <v>2368</v>
      </c>
      <c r="N1768">
        <v>1204</v>
      </c>
      <c r="O1768" t="s">
        <v>1574</v>
      </c>
      <c r="P1768" t="s">
        <v>3108</v>
      </c>
      <c r="Q1768" t="s">
        <v>3249</v>
      </c>
      <c r="R1768" t="s">
        <v>3249</v>
      </c>
      <c r="S1768" t="s">
        <v>472</v>
      </c>
      <c r="T1768" t="s">
        <v>3789</v>
      </c>
      <c r="U1768">
        <v>360</v>
      </c>
      <c r="V1768" t="s">
        <v>3790</v>
      </c>
      <c r="W1768">
        <v>360</v>
      </c>
      <c r="X1768" t="s">
        <v>601</v>
      </c>
      <c r="Y1768" t="s">
        <v>3250</v>
      </c>
      <c r="Z1768" t="s">
        <v>3250</v>
      </c>
      <c r="AA1768" t="s">
        <v>3108</v>
      </c>
      <c r="AB1768" t="s">
        <v>3108</v>
      </c>
      <c r="AC1768" t="s">
        <v>3250</v>
      </c>
      <c r="AD1768" t="s">
        <v>3250</v>
      </c>
      <c r="AE1768" t="s">
        <v>3250</v>
      </c>
      <c r="AF1768" t="s">
        <v>3250</v>
      </c>
      <c r="AG1768" t="s">
        <v>3250</v>
      </c>
      <c r="AH1768" t="s">
        <v>3250</v>
      </c>
      <c r="AI1768" t="s">
        <v>3250</v>
      </c>
      <c r="AJ1768" t="s">
        <v>3250</v>
      </c>
      <c r="AL1768">
        <v>361</v>
      </c>
      <c r="AM1768" t="s">
        <v>2523</v>
      </c>
      <c r="AN1768">
        <v>361</v>
      </c>
      <c r="AO1768" t="s">
        <v>2523</v>
      </c>
      <c r="AS1768" t="s">
        <v>3250</v>
      </c>
      <c r="AT1768" t="s">
        <v>3250</v>
      </c>
      <c r="AU1768" t="s">
        <v>3250</v>
      </c>
      <c r="AV1768" t="s">
        <v>3250</v>
      </c>
      <c r="AW1768" t="s">
        <v>3250</v>
      </c>
      <c r="AX1768" t="s">
        <v>3250</v>
      </c>
      <c r="AY1768" t="s">
        <v>3250</v>
      </c>
      <c r="AZ1768" t="s">
        <v>3250</v>
      </c>
      <c r="BA1768" t="s">
        <v>3250</v>
      </c>
      <c r="BB1768" t="s">
        <v>3250</v>
      </c>
      <c r="BC1768" t="s">
        <v>3250</v>
      </c>
      <c r="BE1768" t="s">
        <v>3250</v>
      </c>
      <c r="BF1768" t="s">
        <v>3250</v>
      </c>
      <c r="BG1768" t="s">
        <v>3250</v>
      </c>
      <c r="BH1768" t="s">
        <v>3250</v>
      </c>
      <c r="BI1768" t="s">
        <v>3250</v>
      </c>
      <c r="BK1768" t="s">
        <v>3250</v>
      </c>
      <c r="BL1768" t="s">
        <v>3250</v>
      </c>
      <c r="BM1768" t="s">
        <v>3250</v>
      </c>
      <c r="BN1768" t="s">
        <v>3250</v>
      </c>
      <c r="BP1768">
        <v>1</v>
      </c>
      <c r="BQ1768">
        <v>11</v>
      </c>
      <c r="BR1768" t="s">
        <v>1574</v>
      </c>
      <c r="BS1768" t="s">
        <v>3252</v>
      </c>
      <c r="BV1768">
        <v>0</v>
      </c>
      <c r="BW1768">
        <v>0</v>
      </c>
      <c r="BX1768">
        <v>0</v>
      </c>
      <c r="BY1768">
        <v>0</v>
      </c>
      <c r="BZ1768">
        <v>0</v>
      </c>
      <c r="CA1768">
        <v>0</v>
      </c>
      <c r="CB1768">
        <v>0</v>
      </c>
      <c r="CC1768">
        <v>0</v>
      </c>
      <c r="CD1768">
        <v>0</v>
      </c>
      <c r="CE1768" t="s">
        <v>3108</v>
      </c>
      <c r="CF1768" t="s">
        <v>3108</v>
      </c>
      <c r="CG1768" t="s">
        <v>3108</v>
      </c>
      <c r="CH1768" t="s">
        <v>3108</v>
      </c>
    </row>
    <row r="1769" spans="1:86" x14ac:dyDescent="0.2">
      <c r="A1769" t="s">
        <v>5807</v>
      </c>
      <c r="B1769" t="s">
        <v>5807</v>
      </c>
      <c r="C1769">
        <v>54892</v>
      </c>
      <c r="D1769">
        <v>1892</v>
      </c>
      <c r="E1769" t="s">
        <v>5808</v>
      </c>
      <c r="F1769" t="s">
        <v>3249</v>
      </c>
      <c r="G1769" t="s">
        <v>3249</v>
      </c>
      <c r="H1769" t="s">
        <v>3250</v>
      </c>
      <c r="I1769" t="s">
        <v>3250</v>
      </c>
      <c r="J1769" t="s">
        <v>3250</v>
      </c>
      <c r="K1769" t="s">
        <v>3250</v>
      </c>
      <c r="L1769">
        <v>1200</v>
      </c>
      <c r="M1769" t="s">
        <v>2368</v>
      </c>
      <c r="N1769">
        <v>1204</v>
      </c>
      <c r="O1769" t="s">
        <v>1574</v>
      </c>
      <c r="P1769" t="s">
        <v>3108</v>
      </c>
      <c r="Q1769" t="s">
        <v>3249</v>
      </c>
      <c r="R1769" t="s">
        <v>3249</v>
      </c>
      <c r="S1769" t="s">
        <v>472</v>
      </c>
      <c r="T1769" t="s">
        <v>3789</v>
      </c>
      <c r="U1769">
        <v>360</v>
      </c>
      <c r="V1769" t="s">
        <v>3790</v>
      </c>
      <c r="W1769">
        <v>360</v>
      </c>
      <c r="X1769" t="s">
        <v>601</v>
      </c>
      <c r="Y1769" t="s">
        <v>3250</v>
      </c>
      <c r="Z1769" t="s">
        <v>3250</v>
      </c>
      <c r="AA1769" t="s">
        <v>3108</v>
      </c>
      <c r="AB1769" t="s">
        <v>3108</v>
      </c>
      <c r="AC1769" t="s">
        <v>3250</v>
      </c>
      <c r="AD1769" t="s">
        <v>3250</v>
      </c>
      <c r="AE1769" t="s">
        <v>3250</v>
      </c>
      <c r="AF1769" t="s">
        <v>3250</v>
      </c>
      <c r="AG1769" t="s">
        <v>3250</v>
      </c>
      <c r="AH1769" t="s">
        <v>3250</v>
      </c>
      <c r="AI1769" t="s">
        <v>3250</v>
      </c>
      <c r="AJ1769" t="s">
        <v>3250</v>
      </c>
      <c r="AL1769">
        <v>361</v>
      </c>
      <c r="AM1769" t="s">
        <v>2523</v>
      </c>
      <c r="AN1769">
        <v>361</v>
      </c>
      <c r="AO1769" t="s">
        <v>2523</v>
      </c>
      <c r="AS1769" t="s">
        <v>3250</v>
      </c>
      <c r="AT1769" t="s">
        <v>3250</v>
      </c>
      <c r="AU1769" t="s">
        <v>3250</v>
      </c>
      <c r="AV1769" t="s">
        <v>3250</v>
      </c>
      <c r="AW1769" t="s">
        <v>3250</v>
      </c>
      <c r="AX1769" t="s">
        <v>3250</v>
      </c>
      <c r="AY1769" t="s">
        <v>3250</v>
      </c>
      <c r="AZ1769" t="s">
        <v>3250</v>
      </c>
      <c r="BA1769" t="s">
        <v>3250</v>
      </c>
      <c r="BB1769" t="s">
        <v>3250</v>
      </c>
      <c r="BC1769" t="s">
        <v>3250</v>
      </c>
      <c r="BE1769" t="s">
        <v>3250</v>
      </c>
      <c r="BF1769" t="s">
        <v>3250</v>
      </c>
      <c r="BG1769" t="s">
        <v>3250</v>
      </c>
      <c r="BH1769" t="s">
        <v>3250</v>
      </c>
      <c r="BI1769" t="s">
        <v>3250</v>
      </c>
      <c r="BK1769" t="s">
        <v>3250</v>
      </c>
      <c r="BL1769" t="s">
        <v>3250</v>
      </c>
      <c r="BM1769" t="s">
        <v>3250</v>
      </c>
      <c r="BN1769" t="s">
        <v>3250</v>
      </c>
      <c r="BP1769">
        <v>1</v>
      </c>
      <c r="BQ1769">
        <v>11</v>
      </c>
      <c r="BR1769" t="s">
        <v>1574</v>
      </c>
      <c r="BS1769" t="s">
        <v>3252</v>
      </c>
      <c r="BV1769">
        <v>0</v>
      </c>
      <c r="BW1769">
        <v>0</v>
      </c>
      <c r="BX1769">
        <v>0</v>
      </c>
      <c r="BY1769">
        <v>0</v>
      </c>
      <c r="BZ1769">
        <v>0</v>
      </c>
      <c r="CA1769">
        <v>0</v>
      </c>
      <c r="CB1769">
        <v>0</v>
      </c>
      <c r="CC1769">
        <v>0</v>
      </c>
      <c r="CD1769">
        <v>0</v>
      </c>
      <c r="CE1769" t="s">
        <v>3108</v>
      </c>
      <c r="CF1769" t="s">
        <v>3108</v>
      </c>
      <c r="CG1769" t="s">
        <v>3108</v>
      </c>
      <c r="CH1769" t="s">
        <v>3108</v>
      </c>
    </row>
    <row r="1770" spans="1:86" x14ac:dyDescent="0.2">
      <c r="A1770" t="s">
        <v>5809</v>
      </c>
      <c r="B1770" t="s">
        <v>5809</v>
      </c>
      <c r="C1770">
        <v>54893</v>
      </c>
      <c r="D1770">
        <v>1893</v>
      </c>
      <c r="E1770" t="s">
        <v>5810</v>
      </c>
      <c r="F1770" t="s">
        <v>3249</v>
      </c>
      <c r="G1770" t="s">
        <v>3249</v>
      </c>
      <c r="H1770" t="s">
        <v>3250</v>
      </c>
      <c r="I1770" t="s">
        <v>3250</v>
      </c>
      <c r="J1770" t="s">
        <v>3250</v>
      </c>
      <c r="K1770" t="s">
        <v>3250</v>
      </c>
      <c r="L1770">
        <v>1200</v>
      </c>
      <c r="M1770" t="s">
        <v>2368</v>
      </c>
      <c r="N1770">
        <v>1204</v>
      </c>
      <c r="O1770" t="s">
        <v>1574</v>
      </c>
      <c r="P1770" t="s">
        <v>3108</v>
      </c>
      <c r="Q1770" t="s">
        <v>3249</v>
      </c>
      <c r="R1770" t="s">
        <v>3249</v>
      </c>
      <c r="S1770" t="s">
        <v>472</v>
      </c>
      <c r="T1770" t="s">
        <v>3789</v>
      </c>
      <c r="U1770">
        <v>360</v>
      </c>
      <c r="V1770" t="s">
        <v>3790</v>
      </c>
      <c r="W1770">
        <v>360</v>
      </c>
      <c r="X1770" t="s">
        <v>601</v>
      </c>
      <c r="Y1770" t="s">
        <v>3250</v>
      </c>
      <c r="Z1770" t="s">
        <v>3250</v>
      </c>
      <c r="AA1770" t="s">
        <v>3108</v>
      </c>
      <c r="AB1770" t="s">
        <v>3108</v>
      </c>
      <c r="AC1770" t="s">
        <v>3250</v>
      </c>
      <c r="AD1770" t="s">
        <v>3250</v>
      </c>
      <c r="AE1770" t="s">
        <v>3250</v>
      </c>
      <c r="AF1770" t="s">
        <v>3250</v>
      </c>
      <c r="AG1770" t="s">
        <v>3250</v>
      </c>
      <c r="AH1770" t="s">
        <v>3250</v>
      </c>
      <c r="AI1770" t="s">
        <v>3250</v>
      </c>
      <c r="AJ1770" t="s">
        <v>3250</v>
      </c>
      <c r="AL1770">
        <v>361</v>
      </c>
      <c r="AM1770" t="s">
        <v>2523</v>
      </c>
      <c r="AN1770">
        <v>361</v>
      </c>
      <c r="AO1770" t="s">
        <v>2523</v>
      </c>
      <c r="AS1770" t="s">
        <v>3250</v>
      </c>
      <c r="AT1770" t="s">
        <v>3250</v>
      </c>
      <c r="AU1770" t="s">
        <v>3250</v>
      </c>
      <c r="AV1770" t="s">
        <v>3250</v>
      </c>
      <c r="AW1770" t="s">
        <v>3250</v>
      </c>
      <c r="AX1770" t="s">
        <v>3250</v>
      </c>
      <c r="AY1770" t="s">
        <v>3250</v>
      </c>
      <c r="AZ1770" t="s">
        <v>3250</v>
      </c>
      <c r="BA1770" t="s">
        <v>3250</v>
      </c>
      <c r="BB1770" t="s">
        <v>3250</v>
      </c>
      <c r="BC1770" t="s">
        <v>3250</v>
      </c>
      <c r="BE1770" t="s">
        <v>3250</v>
      </c>
      <c r="BF1770" t="s">
        <v>3250</v>
      </c>
      <c r="BG1770" t="s">
        <v>3250</v>
      </c>
      <c r="BH1770" t="s">
        <v>3250</v>
      </c>
      <c r="BI1770" t="s">
        <v>3250</v>
      </c>
      <c r="BK1770" t="s">
        <v>3250</v>
      </c>
      <c r="BL1770" t="s">
        <v>3250</v>
      </c>
      <c r="BM1770" t="s">
        <v>3250</v>
      </c>
      <c r="BN1770" t="s">
        <v>3250</v>
      </c>
      <c r="BP1770">
        <v>1</v>
      </c>
      <c r="BQ1770">
        <v>11</v>
      </c>
      <c r="BR1770" t="s">
        <v>1574</v>
      </c>
      <c r="BS1770" t="s">
        <v>3252</v>
      </c>
      <c r="BV1770">
        <v>0</v>
      </c>
      <c r="BW1770">
        <v>0</v>
      </c>
      <c r="BX1770">
        <v>0</v>
      </c>
      <c r="BY1770">
        <v>0</v>
      </c>
      <c r="BZ1770">
        <v>0</v>
      </c>
      <c r="CA1770">
        <v>0</v>
      </c>
      <c r="CB1770">
        <v>0</v>
      </c>
      <c r="CC1770">
        <v>0</v>
      </c>
      <c r="CD1770">
        <v>0</v>
      </c>
      <c r="CE1770" t="s">
        <v>3108</v>
      </c>
      <c r="CF1770" t="s">
        <v>3108</v>
      </c>
      <c r="CG1770" t="s">
        <v>3108</v>
      </c>
      <c r="CH1770" t="s">
        <v>3108</v>
      </c>
    </row>
    <row r="1771" spans="1:86" x14ac:dyDescent="0.2">
      <c r="A1771" t="s">
        <v>5811</v>
      </c>
      <c r="B1771" t="s">
        <v>5811</v>
      </c>
      <c r="C1771">
        <v>54894</v>
      </c>
      <c r="D1771">
        <v>1894</v>
      </c>
      <c r="E1771" t="s">
        <v>5812</v>
      </c>
      <c r="F1771" t="s">
        <v>3249</v>
      </c>
      <c r="G1771" t="s">
        <v>3249</v>
      </c>
      <c r="H1771" t="s">
        <v>3250</v>
      </c>
      <c r="I1771" t="s">
        <v>3250</v>
      </c>
      <c r="J1771" t="s">
        <v>3250</v>
      </c>
      <c r="K1771" t="s">
        <v>3250</v>
      </c>
      <c r="L1771">
        <v>1200</v>
      </c>
      <c r="M1771" t="s">
        <v>2368</v>
      </c>
      <c r="N1771">
        <v>1204</v>
      </c>
      <c r="O1771" t="s">
        <v>1574</v>
      </c>
      <c r="P1771" t="s">
        <v>3108</v>
      </c>
      <c r="Q1771" t="s">
        <v>3249</v>
      </c>
      <c r="R1771" t="s">
        <v>3249</v>
      </c>
      <c r="S1771" t="s">
        <v>472</v>
      </c>
      <c r="T1771" t="s">
        <v>3789</v>
      </c>
      <c r="U1771">
        <v>360</v>
      </c>
      <c r="V1771" t="s">
        <v>3790</v>
      </c>
      <c r="W1771">
        <v>360</v>
      </c>
      <c r="X1771" t="s">
        <v>601</v>
      </c>
      <c r="Y1771" t="s">
        <v>3250</v>
      </c>
      <c r="Z1771" t="s">
        <v>3250</v>
      </c>
      <c r="AA1771" t="s">
        <v>3108</v>
      </c>
      <c r="AB1771" t="s">
        <v>3108</v>
      </c>
      <c r="AC1771" t="s">
        <v>3250</v>
      </c>
      <c r="AD1771" t="s">
        <v>3250</v>
      </c>
      <c r="AE1771" t="s">
        <v>3250</v>
      </c>
      <c r="AF1771" t="s">
        <v>3250</v>
      </c>
      <c r="AG1771" t="s">
        <v>3250</v>
      </c>
      <c r="AH1771" t="s">
        <v>3250</v>
      </c>
      <c r="AI1771" t="s">
        <v>3250</v>
      </c>
      <c r="AJ1771" t="s">
        <v>3250</v>
      </c>
      <c r="AL1771">
        <v>361</v>
      </c>
      <c r="AM1771" t="s">
        <v>2523</v>
      </c>
      <c r="AN1771">
        <v>361</v>
      </c>
      <c r="AO1771" t="s">
        <v>2523</v>
      </c>
      <c r="AS1771" t="s">
        <v>3250</v>
      </c>
      <c r="AT1771" t="s">
        <v>3250</v>
      </c>
      <c r="AU1771" t="s">
        <v>3250</v>
      </c>
      <c r="AV1771" t="s">
        <v>3250</v>
      </c>
      <c r="AW1771" t="s">
        <v>3250</v>
      </c>
      <c r="AX1771" t="s">
        <v>3250</v>
      </c>
      <c r="AY1771" t="s">
        <v>3250</v>
      </c>
      <c r="AZ1771" t="s">
        <v>3250</v>
      </c>
      <c r="BA1771" t="s">
        <v>3250</v>
      </c>
      <c r="BB1771" t="s">
        <v>3250</v>
      </c>
      <c r="BC1771" t="s">
        <v>3250</v>
      </c>
      <c r="BE1771" t="s">
        <v>3250</v>
      </c>
      <c r="BF1771" t="s">
        <v>3250</v>
      </c>
      <c r="BG1771" t="s">
        <v>3250</v>
      </c>
      <c r="BH1771" t="s">
        <v>3250</v>
      </c>
      <c r="BI1771" t="s">
        <v>3250</v>
      </c>
      <c r="BK1771" t="s">
        <v>3250</v>
      </c>
      <c r="BL1771" t="s">
        <v>3250</v>
      </c>
      <c r="BM1771" t="s">
        <v>3250</v>
      </c>
      <c r="BN1771" t="s">
        <v>3250</v>
      </c>
      <c r="BP1771">
        <v>1</v>
      </c>
      <c r="BQ1771">
        <v>11</v>
      </c>
      <c r="BR1771" t="s">
        <v>1574</v>
      </c>
      <c r="BS1771" t="s">
        <v>3252</v>
      </c>
      <c r="BV1771">
        <v>0</v>
      </c>
      <c r="BW1771">
        <v>0</v>
      </c>
      <c r="BX1771">
        <v>0</v>
      </c>
      <c r="BY1771">
        <v>0</v>
      </c>
      <c r="BZ1771">
        <v>0</v>
      </c>
      <c r="CA1771">
        <v>0</v>
      </c>
      <c r="CB1771">
        <v>0</v>
      </c>
      <c r="CC1771">
        <v>0</v>
      </c>
      <c r="CD1771">
        <v>0</v>
      </c>
      <c r="CE1771" t="s">
        <v>3108</v>
      </c>
      <c r="CF1771" t="s">
        <v>3108</v>
      </c>
      <c r="CG1771" t="s">
        <v>3108</v>
      </c>
      <c r="CH1771" t="s">
        <v>3108</v>
      </c>
    </row>
    <row r="1772" spans="1:86" x14ac:dyDescent="0.2">
      <c r="A1772" t="s">
        <v>5813</v>
      </c>
      <c r="B1772" t="s">
        <v>5813</v>
      </c>
      <c r="C1772">
        <v>54895</v>
      </c>
      <c r="D1772">
        <v>1895</v>
      </c>
      <c r="E1772" t="s">
        <v>5814</v>
      </c>
      <c r="F1772" t="s">
        <v>3249</v>
      </c>
      <c r="G1772" t="s">
        <v>3249</v>
      </c>
      <c r="H1772" t="s">
        <v>3250</v>
      </c>
      <c r="I1772" t="s">
        <v>3250</v>
      </c>
      <c r="J1772" t="s">
        <v>3250</v>
      </c>
      <c r="K1772" t="s">
        <v>3250</v>
      </c>
      <c r="L1772">
        <v>1200</v>
      </c>
      <c r="M1772" t="s">
        <v>2368</v>
      </c>
      <c r="N1772">
        <v>1204</v>
      </c>
      <c r="O1772" t="s">
        <v>1574</v>
      </c>
      <c r="P1772" t="s">
        <v>3108</v>
      </c>
      <c r="Q1772" t="s">
        <v>3249</v>
      </c>
      <c r="R1772" t="s">
        <v>3249</v>
      </c>
      <c r="S1772" t="s">
        <v>472</v>
      </c>
      <c r="T1772" t="s">
        <v>3789</v>
      </c>
      <c r="U1772">
        <v>360</v>
      </c>
      <c r="V1772" t="s">
        <v>3790</v>
      </c>
      <c r="W1772">
        <v>360</v>
      </c>
      <c r="X1772" t="s">
        <v>601</v>
      </c>
      <c r="Y1772" t="s">
        <v>3250</v>
      </c>
      <c r="Z1772" t="s">
        <v>3250</v>
      </c>
      <c r="AA1772" t="s">
        <v>3108</v>
      </c>
      <c r="AB1772" t="s">
        <v>3108</v>
      </c>
      <c r="AC1772" t="s">
        <v>3250</v>
      </c>
      <c r="AD1772" t="s">
        <v>3250</v>
      </c>
      <c r="AE1772" t="s">
        <v>3250</v>
      </c>
      <c r="AF1772" t="s">
        <v>3250</v>
      </c>
      <c r="AG1772" t="s">
        <v>3250</v>
      </c>
      <c r="AH1772" t="s">
        <v>3250</v>
      </c>
      <c r="AI1772" t="s">
        <v>3250</v>
      </c>
      <c r="AJ1772" t="s">
        <v>3250</v>
      </c>
      <c r="AL1772">
        <v>361</v>
      </c>
      <c r="AM1772" t="s">
        <v>2523</v>
      </c>
      <c r="AN1772">
        <v>361</v>
      </c>
      <c r="AO1772" t="s">
        <v>2523</v>
      </c>
      <c r="AS1772" t="s">
        <v>3250</v>
      </c>
      <c r="AT1772" t="s">
        <v>3250</v>
      </c>
      <c r="AU1772" t="s">
        <v>3250</v>
      </c>
      <c r="AV1772" t="s">
        <v>3250</v>
      </c>
      <c r="AW1772" t="s">
        <v>3250</v>
      </c>
      <c r="AX1772" t="s">
        <v>3250</v>
      </c>
      <c r="AY1772" t="s">
        <v>3250</v>
      </c>
      <c r="AZ1772" t="s">
        <v>3250</v>
      </c>
      <c r="BA1772" t="s">
        <v>3250</v>
      </c>
      <c r="BB1772" t="s">
        <v>3250</v>
      </c>
      <c r="BC1772" t="s">
        <v>3250</v>
      </c>
      <c r="BE1772" t="s">
        <v>3250</v>
      </c>
      <c r="BF1772" t="s">
        <v>3250</v>
      </c>
      <c r="BG1772" t="s">
        <v>3250</v>
      </c>
      <c r="BH1772" t="s">
        <v>3250</v>
      </c>
      <c r="BI1772" t="s">
        <v>3250</v>
      </c>
      <c r="BK1772" t="s">
        <v>3250</v>
      </c>
      <c r="BL1772" t="s">
        <v>3250</v>
      </c>
      <c r="BM1772" t="s">
        <v>3250</v>
      </c>
      <c r="BN1772" t="s">
        <v>3250</v>
      </c>
      <c r="BP1772">
        <v>1</v>
      </c>
      <c r="BQ1772">
        <v>11</v>
      </c>
      <c r="BR1772" t="s">
        <v>1574</v>
      </c>
      <c r="BS1772" t="s">
        <v>3252</v>
      </c>
      <c r="BV1772">
        <v>0</v>
      </c>
      <c r="BW1772">
        <v>0</v>
      </c>
      <c r="BX1772">
        <v>0</v>
      </c>
      <c r="BY1772">
        <v>0</v>
      </c>
      <c r="BZ1772">
        <v>0</v>
      </c>
      <c r="CA1772">
        <v>0</v>
      </c>
      <c r="CB1772">
        <v>0</v>
      </c>
      <c r="CC1772">
        <v>0</v>
      </c>
      <c r="CD1772">
        <v>0</v>
      </c>
      <c r="CE1772" t="s">
        <v>3108</v>
      </c>
      <c r="CF1772" t="s">
        <v>3108</v>
      </c>
      <c r="CG1772" t="s">
        <v>3108</v>
      </c>
      <c r="CH1772" t="s">
        <v>3108</v>
      </c>
    </row>
    <row r="1773" spans="1:86" x14ac:dyDescent="0.2">
      <c r="A1773" t="s">
        <v>5815</v>
      </c>
      <c r="B1773" t="s">
        <v>5815</v>
      </c>
      <c r="C1773">
        <v>54896</v>
      </c>
      <c r="D1773">
        <v>1896</v>
      </c>
      <c r="E1773" t="s">
        <v>5816</v>
      </c>
      <c r="F1773" t="s">
        <v>3249</v>
      </c>
      <c r="G1773" t="s">
        <v>3249</v>
      </c>
      <c r="H1773" t="s">
        <v>3250</v>
      </c>
      <c r="I1773" t="s">
        <v>3250</v>
      </c>
      <c r="J1773" t="s">
        <v>3250</v>
      </c>
      <c r="K1773" t="s">
        <v>3250</v>
      </c>
      <c r="L1773">
        <v>1200</v>
      </c>
      <c r="M1773" t="s">
        <v>2368</v>
      </c>
      <c r="N1773">
        <v>1204</v>
      </c>
      <c r="O1773" t="s">
        <v>1574</v>
      </c>
      <c r="P1773" t="s">
        <v>3108</v>
      </c>
      <c r="Q1773" t="s">
        <v>3249</v>
      </c>
      <c r="R1773" t="s">
        <v>3249</v>
      </c>
      <c r="S1773" t="s">
        <v>472</v>
      </c>
      <c r="T1773" t="s">
        <v>3789</v>
      </c>
      <c r="U1773">
        <v>360</v>
      </c>
      <c r="V1773" t="s">
        <v>3790</v>
      </c>
      <c r="W1773">
        <v>360</v>
      </c>
      <c r="X1773" t="s">
        <v>601</v>
      </c>
      <c r="Y1773" t="s">
        <v>3250</v>
      </c>
      <c r="Z1773" t="s">
        <v>3250</v>
      </c>
      <c r="AA1773" t="s">
        <v>3108</v>
      </c>
      <c r="AB1773" t="s">
        <v>3108</v>
      </c>
      <c r="AC1773" t="s">
        <v>3250</v>
      </c>
      <c r="AD1773" t="s">
        <v>3250</v>
      </c>
      <c r="AE1773" t="s">
        <v>3250</v>
      </c>
      <c r="AF1773" t="s">
        <v>3250</v>
      </c>
      <c r="AG1773" t="s">
        <v>3250</v>
      </c>
      <c r="AH1773" t="s">
        <v>3250</v>
      </c>
      <c r="AI1773" t="s">
        <v>3250</v>
      </c>
      <c r="AJ1773" t="s">
        <v>3250</v>
      </c>
      <c r="AL1773">
        <v>361</v>
      </c>
      <c r="AM1773" t="s">
        <v>2523</v>
      </c>
      <c r="AN1773">
        <v>361</v>
      </c>
      <c r="AO1773" t="s">
        <v>2523</v>
      </c>
      <c r="AS1773" t="s">
        <v>3250</v>
      </c>
      <c r="AT1773" t="s">
        <v>3250</v>
      </c>
      <c r="AU1773" t="s">
        <v>3250</v>
      </c>
      <c r="AV1773" t="s">
        <v>3250</v>
      </c>
      <c r="AW1773" t="s">
        <v>3250</v>
      </c>
      <c r="AX1773" t="s">
        <v>3250</v>
      </c>
      <c r="AY1773" t="s">
        <v>3250</v>
      </c>
      <c r="AZ1773" t="s">
        <v>3250</v>
      </c>
      <c r="BA1773" t="s">
        <v>3250</v>
      </c>
      <c r="BB1773" t="s">
        <v>3250</v>
      </c>
      <c r="BC1773" t="s">
        <v>3250</v>
      </c>
      <c r="BE1773" t="s">
        <v>3250</v>
      </c>
      <c r="BF1773" t="s">
        <v>3250</v>
      </c>
      <c r="BG1773" t="s">
        <v>3250</v>
      </c>
      <c r="BH1773" t="s">
        <v>3250</v>
      </c>
      <c r="BI1773" t="s">
        <v>3250</v>
      </c>
      <c r="BK1773" t="s">
        <v>3250</v>
      </c>
      <c r="BL1773" t="s">
        <v>3250</v>
      </c>
      <c r="BM1773" t="s">
        <v>3250</v>
      </c>
      <c r="BN1773" t="s">
        <v>3250</v>
      </c>
      <c r="BP1773">
        <v>1</v>
      </c>
      <c r="BQ1773">
        <v>11</v>
      </c>
      <c r="BR1773" t="s">
        <v>1574</v>
      </c>
      <c r="BS1773" t="s">
        <v>3252</v>
      </c>
      <c r="BV1773">
        <v>0</v>
      </c>
      <c r="BW1773">
        <v>0</v>
      </c>
      <c r="BX1773">
        <v>0</v>
      </c>
      <c r="BY1773">
        <v>0</v>
      </c>
      <c r="BZ1773">
        <v>0</v>
      </c>
      <c r="CA1773">
        <v>0</v>
      </c>
      <c r="CB1773">
        <v>0</v>
      </c>
      <c r="CC1773">
        <v>0</v>
      </c>
      <c r="CD1773">
        <v>0</v>
      </c>
      <c r="CE1773" t="s">
        <v>3108</v>
      </c>
      <c r="CF1773" t="s">
        <v>3108</v>
      </c>
      <c r="CG1773" t="s">
        <v>3108</v>
      </c>
      <c r="CH1773" t="s">
        <v>3108</v>
      </c>
    </row>
    <row r="1774" spans="1:86" x14ac:dyDescent="0.2">
      <c r="A1774" t="s">
        <v>5817</v>
      </c>
      <c r="B1774" t="s">
        <v>5817</v>
      </c>
      <c r="C1774">
        <v>54897</v>
      </c>
      <c r="D1774">
        <v>1897</v>
      </c>
      <c r="E1774" t="s">
        <v>5679</v>
      </c>
      <c r="F1774" t="s">
        <v>3249</v>
      </c>
      <c r="G1774" t="s">
        <v>3249</v>
      </c>
      <c r="H1774" t="s">
        <v>3250</v>
      </c>
      <c r="I1774" t="s">
        <v>3250</v>
      </c>
      <c r="J1774" t="s">
        <v>3250</v>
      </c>
      <c r="K1774" t="s">
        <v>3250</v>
      </c>
      <c r="L1774">
        <v>1200</v>
      </c>
      <c r="M1774" t="s">
        <v>2368</v>
      </c>
      <c r="N1774">
        <v>1204</v>
      </c>
      <c r="O1774" t="s">
        <v>1574</v>
      </c>
      <c r="P1774" t="s">
        <v>3108</v>
      </c>
      <c r="Q1774" t="s">
        <v>3249</v>
      </c>
      <c r="R1774" t="s">
        <v>3249</v>
      </c>
      <c r="S1774" t="s">
        <v>472</v>
      </c>
      <c r="T1774" t="s">
        <v>3789</v>
      </c>
      <c r="U1774">
        <v>360</v>
      </c>
      <c r="V1774" t="s">
        <v>3790</v>
      </c>
      <c r="W1774">
        <v>360</v>
      </c>
      <c r="X1774" t="s">
        <v>601</v>
      </c>
      <c r="Y1774" t="s">
        <v>3250</v>
      </c>
      <c r="Z1774" t="s">
        <v>3250</v>
      </c>
      <c r="AA1774" t="s">
        <v>3108</v>
      </c>
      <c r="AB1774" t="s">
        <v>3108</v>
      </c>
      <c r="AC1774" t="s">
        <v>3250</v>
      </c>
      <c r="AD1774" t="s">
        <v>3250</v>
      </c>
      <c r="AE1774" t="s">
        <v>3250</v>
      </c>
      <c r="AF1774" t="s">
        <v>3250</v>
      </c>
      <c r="AG1774" t="s">
        <v>3250</v>
      </c>
      <c r="AH1774" t="s">
        <v>3250</v>
      </c>
      <c r="AI1774" t="s">
        <v>3250</v>
      </c>
      <c r="AJ1774" t="s">
        <v>3250</v>
      </c>
      <c r="AL1774">
        <v>361</v>
      </c>
      <c r="AM1774" t="s">
        <v>2523</v>
      </c>
      <c r="AN1774">
        <v>361</v>
      </c>
      <c r="AO1774" t="s">
        <v>2523</v>
      </c>
      <c r="AS1774" t="s">
        <v>3250</v>
      </c>
      <c r="AT1774" t="s">
        <v>3250</v>
      </c>
      <c r="AU1774" t="s">
        <v>3250</v>
      </c>
      <c r="AV1774" t="s">
        <v>3250</v>
      </c>
      <c r="AW1774" t="s">
        <v>3250</v>
      </c>
      <c r="AX1774" t="s">
        <v>3250</v>
      </c>
      <c r="AY1774" t="s">
        <v>3250</v>
      </c>
      <c r="AZ1774" t="s">
        <v>3250</v>
      </c>
      <c r="BA1774" t="s">
        <v>3250</v>
      </c>
      <c r="BB1774" t="s">
        <v>3250</v>
      </c>
      <c r="BC1774" t="s">
        <v>3250</v>
      </c>
      <c r="BE1774" t="s">
        <v>3250</v>
      </c>
      <c r="BF1774" t="s">
        <v>3250</v>
      </c>
      <c r="BG1774" t="s">
        <v>3250</v>
      </c>
      <c r="BH1774" t="s">
        <v>3250</v>
      </c>
      <c r="BI1774" t="s">
        <v>3250</v>
      </c>
      <c r="BK1774" t="s">
        <v>3250</v>
      </c>
      <c r="BL1774" t="s">
        <v>3250</v>
      </c>
      <c r="BM1774" t="s">
        <v>3250</v>
      </c>
      <c r="BN1774" t="s">
        <v>3250</v>
      </c>
      <c r="BP1774">
        <v>1</v>
      </c>
      <c r="BQ1774">
        <v>11</v>
      </c>
      <c r="BR1774" t="s">
        <v>1574</v>
      </c>
      <c r="BS1774" t="s">
        <v>3252</v>
      </c>
      <c r="BV1774">
        <v>0</v>
      </c>
      <c r="BW1774">
        <v>0</v>
      </c>
      <c r="BX1774">
        <v>0</v>
      </c>
      <c r="BY1774">
        <v>0</v>
      </c>
      <c r="BZ1774">
        <v>0</v>
      </c>
      <c r="CA1774">
        <v>0</v>
      </c>
      <c r="CB1774">
        <v>0</v>
      </c>
      <c r="CC1774">
        <v>0</v>
      </c>
      <c r="CD1774">
        <v>0</v>
      </c>
      <c r="CE1774" t="s">
        <v>3108</v>
      </c>
      <c r="CF1774" t="s">
        <v>3108</v>
      </c>
      <c r="CG1774" t="s">
        <v>3108</v>
      </c>
      <c r="CH1774" t="s">
        <v>3108</v>
      </c>
    </row>
    <row r="1775" spans="1:86" x14ac:dyDescent="0.2">
      <c r="A1775" t="s">
        <v>5818</v>
      </c>
      <c r="B1775" t="s">
        <v>5818</v>
      </c>
      <c r="C1775">
        <v>54898</v>
      </c>
      <c r="D1775">
        <v>1898</v>
      </c>
      <c r="E1775" t="s">
        <v>5819</v>
      </c>
      <c r="F1775" t="s">
        <v>3249</v>
      </c>
      <c r="G1775" t="s">
        <v>3249</v>
      </c>
      <c r="H1775" t="s">
        <v>3250</v>
      </c>
      <c r="I1775" t="s">
        <v>3250</v>
      </c>
      <c r="J1775" t="s">
        <v>3250</v>
      </c>
      <c r="K1775" t="s">
        <v>3250</v>
      </c>
      <c r="L1775">
        <v>1200</v>
      </c>
      <c r="M1775" t="s">
        <v>2368</v>
      </c>
      <c r="N1775">
        <v>1204</v>
      </c>
      <c r="O1775" t="s">
        <v>1574</v>
      </c>
      <c r="P1775" t="s">
        <v>3108</v>
      </c>
      <c r="Q1775" t="s">
        <v>3249</v>
      </c>
      <c r="R1775" t="s">
        <v>3249</v>
      </c>
      <c r="S1775" t="s">
        <v>472</v>
      </c>
      <c r="T1775" t="s">
        <v>3789</v>
      </c>
      <c r="U1775">
        <v>360</v>
      </c>
      <c r="V1775" t="s">
        <v>3790</v>
      </c>
      <c r="W1775">
        <v>360</v>
      </c>
      <c r="X1775" t="s">
        <v>601</v>
      </c>
      <c r="Y1775" t="s">
        <v>3250</v>
      </c>
      <c r="Z1775" t="s">
        <v>3250</v>
      </c>
      <c r="AA1775" t="s">
        <v>3108</v>
      </c>
      <c r="AB1775" t="s">
        <v>3108</v>
      </c>
      <c r="AC1775" t="s">
        <v>3250</v>
      </c>
      <c r="AD1775" t="s">
        <v>3250</v>
      </c>
      <c r="AE1775" t="s">
        <v>3250</v>
      </c>
      <c r="AF1775" t="s">
        <v>3250</v>
      </c>
      <c r="AG1775" t="s">
        <v>3250</v>
      </c>
      <c r="AH1775" t="s">
        <v>3250</v>
      </c>
      <c r="AI1775" t="s">
        <v>3250</v>
      </c>
      <c r="AJ1775" t="s">
        <v>3250</v>
      </c>
      <c r="AL1775">
        <v>361</v>
      </c>
      <c r="AM1775" t="s">
        <v>2523</v>
      </c>
      <c r="AN1775">
        <v>361</v>
      </c>
      <c r="AO1775" t="s">
        <v>2523</v>
      </c>
      <c r="AS1775" t="s">
        <v>3250</v>
      </c>
      <c r="AT1775" t="s">
        <v>3250</v>
      </c>
      <c r="AU1775" t="s">
        <v>3250</v>
      </c>
      <c r="AV1775" t="s">
        <v>3250</v>
      </c>
      <c r="AW1775" t="s">
        <v>3250</v>
      </c>
      <c r="AX1775" t="s">
        <v>3250</v>
      </c>
      <c r="AY1775" t="s">
        <v>3250</v>
      </c>
      <c r="AZ1775" t="s">
        <v>3250</v>
      </c>
      <c r="BA1775" t="s">
        <v>3250</v>
      </c>
      <c r="BB1775" t="s">
        <v>3250</v>
      </c>
      <c r="BC1775" t="s">
        <v>3250</v>
      </c>
      <c r="BE1775" t="s">
        <v>3250</v>
      </c>
      <c r="BF1775" t="s">
        <v>3250</v>
      </c>
      <c r="BG1775" t="s">
        <v>3250</v>
      </c>
      <c r="BH1775" t="s">
        <v>3250</v>
      </c>
      <c r="BI1775" t="s">
        <v>3250</v>
      </c>
      <c r="BK1775" t="s">
        <v>3250</v>
      </c>
      <c r="BL1775" t="s">
        <v>3250</v>
      </c>
      <c r="BM1775" t="s">
        <v>3250</v>
      </c>
      <c r="BN1775" t="s">
        <v>3250</v>
      </c>
      <c r="BP1775">
        <v>1</v>
      </c>
      <c r="BQ1775">
        <v>11</v>
      </c>
      <c r="BR1775" t="s">
        <v>1574</v>
      </c>
      <c r="BS1775" t="s">
        <v>3252</v>
      </c>
      <c r="BV1775">
        <v>0</v>
      </c>
      <c r="BW1775">
        <v>0</v>
      </c>
      <c r="BX1775">
        <v>0</v>
      </c>
      <c r="BY1775">
        <v>0</v>
      </c>
      <c r="BZ1775">
        <v>0</v>
      </c>
      <c r="CA1775">
        <v>0</v>
      </c>
      <c r="CB1775">
        <v>0</v>
      </c>
      <c r="CC1775">
        <v>0</v>
      </c>
      <c r="CD1775">
        <v>0</v>
      </c>
      <c r="CE1775" t="s">
        <v>3108</v>
      </c>
      <c r="CF1775" t="s">
        <v>3108</v>
      </c>
      <c r="CG1775" t="s">
        <v>3108</v>
      </c>
      <c r="CH1775" t="s">
        <v>3108</v>
      </c>
    </row>
    <row r="1776" spans="1:86" x14ac:dyDescent="0.2">
      <c r="A1776" t="s">
        <v>5820</v>
      </c>
      <c r="B1776" t="s">
        <v>5820</v>
      </c>
      <c r="C1776">
        <v>54899</v>
      </c>
      <c r="D1776">
        <v>1899</v>
      </c>
      <c r="E1776" t="s">
        <v>5821</v>
      </c>
      <c r="F1776" t="s">
        <v>3249</v>
      </c>
      <c r="G1776" t="s">
        <v>3249</v>
      </c>
      <c r="H1776" t="s">
        <v>3250</v>
      </c>
      <c r="I1776" t="s">
        <v>3250</v>
      </c>
      <c r="J1776" t="s">
        <v>3250</v>
      </c>
      <c r="K1776" t="s">
        <v>3250</v>
      </c>
      <c r="L1776">
        <v>1200</v>
      </c>
      <c r="M1776" t="s">
        <v>2368</v>
      </c>
      <c r="N1776">
        <v>1204</v>
      </c>
      <c r="O1776" t="s">
        <v>1574</v>
      </c>
      <c r="P1776" t="s">
        <v>3108</v>
      </c>
      <c r="Q1776" t="s">
        <v>3249</v>
      </c>
      <c r="R1776" t="s">
        <v>3249</v>
      </c>
      <c r="S1776" t="s">
        <v>472</v>
      </c>
      <c r="T1776" t="s">
        <v>3789</v>
      </c>
      <c r="U1776">
        <v>360</v>
      </c>
      <c r="V1776" t="s">
        <v>3790</v>
      </c>
      <c r="W1776">
        <v>360</v>
      </c>
      <c r="X1776" t="s">
        <v>601</v>
      </c>
      <c r="Y1776" t="s">
        <v>3250</v>
      </c>
      <c r="Z1776" t="s">
        <v>3250</v>
      </c>
      <c r="AA1776" t="s">
        <v>3108</v>
      </c>
      <c r="AB1776" t="s">
        <v>3108</v>
      </c>
      <c r="AC1776" t="s">
        <v>3250</v>
      </c>
      <c r="AD1776" t="s">
        <v>3250</v>
      </c>
      <c r="AE1776" t="s">
        <v>3250</v>
      </c>
      <c r="AF1776" t="s">
        <v>3250</v>
      </c>
      <c r="AG1776" t="s">
        <v>3250</v>
      </c>
      <c r="AH1776" t="s">
        <v>3250</v>
      </c>
      <c r="AI1776" t="s">
        <v>3250</v>
      </c>
      <c r="AJ1776" t="s">
        <v>3250</v>
      </c>
      <c r="AL1776">
        <v>361</v>
      </c>
      <c r="AM1776" t="s">
        <v>2523</v>
      </c>
      <c r="AN1776">
        <v>361</v>
      </c>
      <c r="AO1776" t="s">
        <v>2523</v>
      </c>
      <c r="AS1776" t="s">
        <v>3250</v>
      </c>
      <c r="AT1776" t="s">
        <v>3250</v>
      </c>
      <c r="AU1776" t="s">
        <v>3250</v>
      </c>
      <c r="AV1776" t="s">
        <v>3250</v>
      </c>
      <c r="AW1776" t="s">
        <v>3250</v>
      </c>
      <c r="AX1776" t="s">
        <v>3250</v>
      </c>
      <c r="AY1776" t="s">
        <v>3250</v>
      </c>
      <c r="AZ1776" t="s">
        <v>3250</v>
      </c>
      <c r="BA1776" t="s">
        <v>3250</v>
      </c>
      <c r="BB1776" t="s">
        <v>3250</v>
      </c>
      <c r="BC1776" t="s">
        <v>3250</v>
      </c>
      <c r="BE1776" t="s">
        <v>3250</v>
      </c>
      <c r="BF1776" t="s">
        <v>3250</v>
      </c>
      <c r="BG1776" t="s">
        <v>3250</v>
      </c>
      <c r="BH1776" t="s">
        <v>3250</v>
      </c>
      <c r="BI1776" t="s">
        <v>3250</v>
      </c>
      <c r="BK1776" t="s">
        <v>3250</v>
      </c>
      <c r="BL1776" t="s">
        <v>3250</v>
      </c>
      <c r="BM1776" t="s">
        <v>3250</v>
      </c>
      <c r="BN1776" t="s">
        <v>3250</v>
      </c>
      <c r="BP1776">
        <v>1</v>
      </c>
      <c r="BQ1776">
        <v>11</v>
      </c>
      <c r="BR1776" t="s">
        <v>1574</v>
      </c>
      <c r="BS1776" t="s">
        <v>3252</v>
      </c>
      <c r="BV1776">
        <v>0</v>
      </c>
      <c r="BW1776">
        <v>0</v>
      </c>
      <c r="BX1776">
        <v>0</v>
      </c>
      <c r="BY1776">
        <v>0</v>
      </c>
      <c r="BZ1776">
        <v>0</v>
      </c>
      <c r="CA1776">
        <v>0</v>
      </c>
      <c r="CB1776">
        <v>0</v>
      </c>
      <c r="CC1776">
        <v>0</v>
      </c>
      <c r="CD1776">
        <v>0</v>
      </c>
      <c r="CE1776" t="s">
        <v>3108</v>
      </c>
      <c r="CF1776" t="s">
        <v>3108</v>
      </c>
      <c r="CG1776" t="s">
        <v>3108</v>
      </c>
      <c r="CH1776" t="s">
        <v>3108</v>
      </c>
    </row>
    <row r="1777" spans="1:86" x14ac:dyDescent="0.2">
      <c r="A1777" t="s">
        <v>5822</v>
      </c>
      <c r="B1777" t="s">
        <v>5822</v>
      </c>
      <c r="C1777">
        <v>54900</v>
      </c>
      <c r="D1777">
        <v>1900</v>
      </c>
      <c r="E1777" t="s">
        <v>5823</v>
      </c>
      <c r="F1777" t="s">
        <v>3249</v>
      </c>
      <c r="G1777" t="s">
        <v>3249</v>
      </c>
      <c r="H1777" t="s">
        <v>3250</v>
      </c>
      <c r="I1777" t="s">
        <v>3250</v>
      </c>
      <c r="J1777" t="s">
        <v>3250</v>
      </c>
      <c r="K1777" t="s">
        <v>3250</v>
      </c>
      <c r="L1777">
        <v>1200</v>
      </c>
      <c r="M1777" t="s">
        <v>2368</v>
      </c>
      <c r="N1777">
        <v>1204</v>
      </c>
      <c r="O1777" t="s">
        <v>1574</v>
      </c>
      <c r="P1777" t="s">
        <v>3108</v>
      </c>
      <c r="Q1777" t="s">
        <v>3249</v>
      </c>
      <c r="R1777" t="s">
        <v>3249</v>
      </c>
      <c r="S1777" t="s">
        <v>472</v>
      </c>
      <c r="T1777" t="s">
        <v>3789</v>
      </c>
      <c r="U1777">
        <v>360</v>
      </c>
      <c r="V1777" t="s">
        <v>3790</v>
      </c>
      <c r="W1777">
        <v>360</v>
      </c>
      <c r="X1777" t="s">
        <v>601</v>
      </c>
      <c r="Y1777" t="s">
        <v>3250</v>
      </c>
      <c r="Z1777" t="s">
        <v>3250</v>
      </c>
      <c r="AA1777" t="s">
        <v>3108</v>
      </c>
      <c r="AB1777" t="s">
        <v>3108</v>
      </c>
      <c r="AC1777" t="s">
        <v>3250</v>
      </c>
      <c r="AD1777" t="s">
        <v>3250</v>
      </c>
      <c r="AE1777" t="s">
        <v>3250</v>
      </c>
      <c r="AF1777" t="s">
        <v>3250</v>
      </c>
      <c r="AG1777" t="s">
        <v>3250</v>
      </c>
      <c r="AH1777" t="s">
        <v>3250</v>
      </c>
      <c r="AI1777" t="s">
        <v>3250</v>
      </c>
      <c r="AJ1777" t="s">
        <v>3250</v>
      </c>
      <c r="AL1777">
        <v>361</v>
      </c>
      <c r="AM1777" t="s">
        <v>2523</v>
      </c>
      <c r="AN1777">
        <v>361</v>
      </c>
      <c r="AO1777" t="s">
        <v>2523</v>
      </c>
      <c r="AS1777" t="s">
        <v>3250</v>
      </c>
      <c r="AT1777" t="s">
        <v>3250</v>
      </c>
      <c r="AU1777" t="s">
        <v>3250</v>
      </c>
      <c r="AV1777" t="s">
        <v>3250</v>
      </c>
      <c r="AW1777" t="s">
        <v>3250</v>
      </c>
      <c r="AX1777" t="s">
        <v>3250</v>
      </c>
      <c r="AY1777" t="s">
        <v>3250</v>
      </c>
      <c r="AZ1777" t="s">
        <v>3250</v>
      </c>
      <c r="BA1777" t="s">
        <v>3250</v>
      </c>
      <c r="BB1777" t="s">
        <v>3250</v>
      </c>
      <c r="BC1777" t="s">
        <v>3250</v>
      </c>
      <c r="BE1777" t="s">
        <v>3250</v>
      </c>
      <c r="BF1777" t="s">
        <v>3250</v>
      </c>
      <c r="BG1777" t="s">
        <v>3250</v>
      </c>
      <c r="BH1777" t="s">
        <v>3250</v>
      </c>
      <c r="BI1777" t="s">
        <v>3250</v>
      </c>
      <c r="BK1777" t="s">
        <v>3250</v>
      </c>
      <c r="BL1777" t="s">
        <v>3250</v>
      </c>
      <c r="BM1777" t="s">
        <v>3250</v>
      </c>
      <c r="BN1777" t="s">
        <v>3250</v>
      </c>
      <c r="BP1777">
        <v>1</v>
      </c>
      <c r="BQ1777">
        <v>11</v>
      </c>
      <c r="BR1777" t="s">
        <v>1574</v>
      </c>
      <c r="BS1777" t="s">
        <v>3252</v>
      </c>
      <c r="BV1777">
        <v>0</v>
      </c>
      <c r="BW1777">
        <v>0</v>
      </c>
      <c r="BX1777">
        <v>0</v>
      </c>
      <c r="BY1777">
        <v>0</v>
      </c>
      <c r="BZ1777">
        <v>0</v>
      </c>
      <c r="CA1777">
        <v>0</v>
      </c>
      <c r="CB1777">
        <v>0</v>
      </c>
      <c r="CC1777">
        <v>0</v>
      </c>
      <c r="CD1777">
        <v>0</v>
      </c>
      <c r="CE1777" t="s">
        <v>3108</v>
      </c>
      <c r="CF1777" t="s">
        <v>3108</v>
      </c>
      <c r="CG1777" t="s">
        <v>3108</v>
      </c>
      <c r="CH1777" t="s">
        <v>3108</v>
      </c>
    </row>
    <row r="1778" spans="1:86" x14ac:dyDescent="0.2">
      <c r="A1778" t="s">
        <v>5824</v>
      </c>
      <c r="B1778" t="s">
        <v>5824</v>
      </c>
      <c r="C1778">
        <v>54901</v>
      </c>
      <c r="D1778">
        <v>1901</v>
      </c>
      <c r="E1778" t="s">
        <v>5825</v>
      </c>
      <c r="F1778" t="s">
        <v>3249</v>
      </c>
      <c r="G1778" t="s">
        <v>3249</v>
      </c>
      <c r="H1778" t="s">
        <v>3250</v>
      </c>
      <c r="I1778" t="s">
        <v>3250</v>
      </c>
      <c r="J1778" t="s">
        <v>3250</v>
      </c>
      <c r="K1778" t="s">
        <v>3250</v>
      </c>
      <c r="L1778">
        <v>1200</v>
      </c>
      <c r="M1778" t="s">
        <v>2368</v>
      </c>
      <c r="N1778">
        <v>1204</v>
      </c>
      <c r="O1778" t="s">
        <v>1574</v>
      </c>
      <c r="P1778" t="s">
        <v>3108</v>
      </c>
      <c r="Q1778" t="s">
        <v>3249</v>
      </c>
      <c r="R1778" t="s">
        <v>3249</v>
      </c>
      <c r="S1778" t="s">
        <v>472</v>
      </c>
      <c r="T1778" t="s">
        <v>3789</v>
      </c>
      <c r="U1778">
        <v>360</v>
      </c>
      <c r="V1778" t="s">
        <v>3790</v>
      </c>
      <c r="W1778">
        <v>360</v>
      </c>
      <c r="X1778" t="s">
        <v>601</v>
      </c>
      <c r="Y1778" t="s">
        <v>3250</v>
      </c>
      <c r="Z1778" t="s">
        <v>3250</v>
      </c>
      <c r="AA1778" t="s">
        <v>3108</v>
      </c>
      <c r="AB1778" t="s">
        <v>3108</v>
      </c>
      <c r="AC1778" t="s">
        <v>3250</v>
      </c>
      <c r="AD1778" t="s">
        <v>3250</v>
      </c>
      <c r="AE1778" t="s">
        <v>3250</v>
      </c>
      <c r="AF1778" t="s">
        <v>3250</v>
      </c>
      <c r="AG1778" t="s">
        <v>3250</v>
      </c>
      <c r="AH1778" t="s">
        <v>3250</v>
      </c>
      <c r="AI1778" t="s">
        <v>3250</v>
      </c>
      <c r="AJ1778" t="s">
        <v>3250</v>
      </c>
      <c r="AL1778">
        <v>361</v>
      </c>
      <c r="AM1778" t="s">
        <v>2523</v>
      </c>
      <c r="AN1778">
        <v>361</v>
      </c>
      <c r="AO1778" t="s">
        <v>2523</v>
      </c>
      <c r="AS1778" t="s">
        <v>3250</v>
      </c>
      <c r="AT1778" t="s">
        <v>3250</v>
      </c>
      <c r="AU1778" t="s">
        <v>3250</v>
      </c>
      <c r="AV1778" t="s">
        <v>3250</v>
      </c>
      <c r="AW1778" t="s">
        <v>3250</v>
      </c>
      <c r="AX1778" t="s">
        <v>3250</v>
      </c>
      <c r="AY1778" t="s">
        <v>3250</v>
      </c>
      <c r="AZ1778" t="s">
        <v>3250</v>
      </c>
      <c r="BA1778" t="s">
        <v>3250</v>
      </c>
      <c r="BB1778" t="s">
        <v>3250</v>
      </c>
      <c r="BC1778" t="s">
        <v>3250</v>
      </c>
      <c r="BE1778" t="s">
        <v>3250</v>
      </c>
      <c r="BF1778" t="s">
        <v>3250</v>
      </c>
      <c r="BG1778" t="s">
        <v>3250</v>
      </c>
      <c r="BH1778" t="s">
        <v>3250</v>
      </c>
      <c r="BI1778" t="s">
        <v>3250</v>
      </c>
      <c r="BK1778" t="s">
        <v>3250</v>
      </c>
      <c r="BL1778" t="s">
        <v>3250</v>
      </c>
      <c r="BM1778" t="s">
        <v>3250</v>
      </c>
      <c r="BN1778" t="s">
        <v>3250</v>
      </c>
      <c r="BP1778">
        <v>1</v>
      </c>
      <c r="BQ1778">
        <v>11</v>
      </c>
      <c r="BR1778" t="s">
        <v>1574</v>
      </c>
      <c r="BS1778" t="s">
        <v>3252</v>
      </c>
      <c r="BV1778">
        <v>0</v>
      </c>
      <c r="BW1778">
        <v>0</v>
      </c>
      <c r="BX1778">
        <v>0</v>
      </c>
      <c r="BY1778">
        <v>0</v>
      </c>
      <c r="BZ1778">
        <v>0</v>
      </c>
      <c r="CA1778">
        <v>0</v>
      </c>
      <c r="CB1778">
        <v>0</v>
      </c>
      <c r="CC1778">
        <v>0</v>
      </c>
      <c r="CD1778">
        <v>0</v>
      </c>
      <c r="CE1778" t="s">
        <v>3108</v>
      </c>
      <c r="CF1778" t="s">
        <v>3108</v>
      </c>
      <c r="CG1778" t="s">
        <v>3108</v>
      </c>
      <c r="CH1778" t="s">
        <v>3108</v>
      </c>
    </row>
    <row r="1779" spans="1:86" x14ac:dyDescent="0.2">
      <c r="A1779" t="s">
        <v>5826</v>
      </c>
      <c r="B1779" t="s">
        <v>5826</v>
      </c>
      <c r="C1779">
        <v>54902</v>
      </c>
      <c r="D1779">
        <v>1902</v>
      </c>
      <c r="E1779" t="s">
        <v>5827</v>
      </c>
      <c r="F1779" t="s">
        <v>3249</v>
      </c>
      <c r="G1779" t="s">
        <v>3249</v>
      </c>
      <c r="H1779" t="s">
        <v>3250</v>
      </c>
      <c r="I1779" t="s">
        <v>3250</v>
      </c>
      <c r="J1779" t="s">
        <v>3250</v>
      </c>
      <c r="K1779" t="s">
        <v>3250</v>
      </c>
      <c r="L1779">
        <v>1200</v>
      </c>
      <c r="M1779" t="s">
        <v>2368</v>
      </c>
      <c r="N1779">
        <v>1204</v>
      </c>
      <c r="O1779" t="s">
        <v>1574</v>
      </c>
      <c r="P1779" t="s">
        <v>3108</v>
      </c>
      <c r="Q1779" t="s">
        <v>3249</v>
      </c>
      <c r="R1779" t="s">
        <v>3249</v>
      </c>
      <c r="S1779" t="s">
        <v>472</v>
      </c>
      <c r="T1779" t="s">
        <v>3789</v>
      </c>
      <c r="U1779">
        <v>360</v>
      </c>
      <c r="V1779" t="s">
        <v>3790</v>
      </c>
      <c r="W1779">
        <v>360</v>
      </c>
      <c r="X1779" t="s">
        <v>601</v>
      </c>
      <c r="Y1779" t="s">
        <v>3250</v>
      </c>
      <c r="Z1779" t="s">
        <v>3250</v>
      </c>
      <c r="AA1779" t="s">
        <v>3108</v>
      </c>
      <c r="AB1779" t="s">
        <v>3108</v>
      </c>
      <c r="AC1779" t="s">
        <v>3250</v>
      </c>
      <c r="AD1779" t="s">
        <v>3250</v>
      </c>
      <c r="AE1779" t="s">
        <v>3250</v>
      </c>
      <c r="AF1779" t="s">
        <v>3250</v>
      </c>
      <c r="AG1779" t="s">
        <v>3250</v>
      </c>
      <c r="AH1779" t="s">
        <v>3250</v>
      </c>
      <c r="AI1779" t="s">
        <v>3250</v>
      </c>
      <c r="AJ1779" t="s">
        <v>3250</v>
      </c>
      <c r="AL1779">
        <v>361</v>
      </c>
      <c r="AM1779" t="s">
        <v>2523</v>
      </c>
      <c r="AN1779">
        <v>361</v>
      </c>
      <c r="AO1779" t="s">
        <v>2523</v>
      </c>
      <c r="AS1779" t="s">
        <v>3250</v>
      </c>
      <c r="AT1779" t="s">
        <v>3250</v>
      </c>
      <c r="AU1779" t="s">
        <v>3250</v>
      </c>
      <c r="AV1779" t="s">
        <v>3250</v>
      </c>
      <c r="AW1779" t="s">
        <v>3250</v>
      </c>
      <c r="AX1779" t="s">
        <v>3250</v>
      </c>
      <c r="AY1779" t="s">
        <v>3250</v>
      </c>
      <c r="AZ1779" t="s">
        <v>3250</v>
      </c>
      <c r="BA1779" t="s">
        <v>3250</v>
      </c>
      <c r="BB1779" t="s">
        <v>3250</v>
      </c>
      <c r="BC1779" t="s">
        <v>3250</v>
      </c>
      <c r="BE1779" t="s">
        <v>3250</v>
      </c>
      <c r="BF1779" t="s">
        <v>3250</v>
      </c>
      <c r="BG1779" t="s">
        <v>3250</v>
      </c>
      <c r="BH1779" t="s">
        <v>3250</v>
      </c>
      <c r="BI1779" t="s">
        <v>3250</v>
      </c>
      <c r="BK1779" t="s">
        <v>3250</v>
      </c>
      <c r="BL1779" t="s">
        <v>3250</v>
      </c>
      <c r="BM1779" t="s">
        <v>3250</v>
      </c>
      <c r="BN1779" t="s">
        <v>3250</v>
      </c>
      <c r="BP1779">
        <v>1</v>
      </c>
      <c r="BQ1779">
        <v>11</v>
      </c>
      <c r="BR1779" t="s">
        <v>1574</v>
      </c>
      <c r="BS1779" t="s">
        <v>3252</v>
      </c>
      <c r="BV1779">
        <v>0</v>
      </c>
      <c r="BW1779">
        <v>0</v>
      </c>
      <c r="BX1779">
        <v>0</v>
      </c>
      <c r="BY1779">
        <v>0</v>
      </c>
      <c r="BZ1779">
        <v>0</v>
      </c>
      <c r="CA1779">
        <v>0</v>
      </c>
      <c r="CB1779">
        <v>0</v>
      </c>
      <c r="CC1779">
        <v>0</v>
      </c>
      <c r="CD1779">
        <v>0</v>
      </c>
      <c r="CE1779" t="s">
        <v>3108</v>
      </c>
      <c r="CF1779" t="s">
        <v>3108</v>
      </c>
      <c r="CG1779" t="s">
        <v>3108</v>
      </c>
      <c r="CH1779" t="s">
        <v>3108</v>
      </c>
    </row>
    <row r="1780" spans="1:86" x14ac:dyDescent="0.2">
      <c r="A1780" t="s">
        <v>5828</v>
      </c>
      <c r="B1780" t="s">
        <v>5828</v>
      </c>
      <c r="C1780">
        <v>54903</v>
      </c>
      <c r="D1780">
        <v>1903</v>
      </c>
      <c r="E1780" t="s">
        <v>5829</v>
      </c>
      <c r="F1780" t="s">
        <v>3249</v>
      </c>
      <c r="G1780" t="s">
        <v>3249</v>
      </c>
      <c r="H1780" t="s">
        <v>3250</v>
      </c>
      <c r="I1780" t="s">
        <v>3250</v>
      </c>
      <c r="J1780" t="s">
        <v>3250</v>
      </c>
      <c r="K1780" t="s">
        <v>3250</v>
      </c>
      <c r="L1780">
        <v>1200</v>
      </c>
      <c r="M1780" t="s">
        <v>2368</v>
      </c>
      <c r="N1780">
        <v>1204</v>
      </c>
      <c r="O1780" t="s">
        <v>1574</v>
      </c>
      <c r="P1780" t="s">
        <v>3108</v>
      </c>
      <c r="Q1780" t="s">
        <v>3249</v>
      </c>
      <c r="R1780" t="s">
        <v>3249</v>
      </c>
      <c r="S1780" t="s">
        <v>472</v>
      </c>
      <c r="T1780" t="s">
        <v>3789</v>
      </c>
      <c r="U1780">
        <v>360</v>
      </c>
      <c r="V1780" t="s">
        <v>3790</v>
      </c>
      <c r="W1780">
        <v>360</v>
      </c>
      <c r="X1780" t="s">
        <v>601</v>
      </c>
      <c r="Y1780" t="s">
        <v>3250</v>
      </c>
      <c r="Z1780" t="s">
        <v>3250</v>
      </c>
      <c r="AA1780" t="s">
        <v>3108</v>
      </c>
      <c r="AB1780" t="s">
        <v>3108</v>
      </c>
      <c r="AC1780" t="s">
        <v>3250</v>
      </c>
      <c r="AD1780" t="s">
        <v>3250</v>
      </c>
      <c r="AE1780" t="s">
        <v>3250</v>
      </c>
      <c r="AF1780" t="s">
        <v>3250</v>
      </c>
      <c r="AG1780" t="s">
        <v>3250</v>
      </c>
      <c r="AH1780" t="s">
        <v>3250</v>
      </c>
      <c r="AI1780" t="s">
        <v>3250</v>
      </c>
      <c r="AJ1780" t="s">
        <v>3250</v>
      </c>
      <c r="AL1780">
        <v>361</v>
      </c>
      <c r="AM1780" t="s">
        <v>2523</v>
      </c>
      <c r="AN1780">
        <v>361</v>
      </c>
      <c r="AO1780" t="s">
        <v>2523</v>
      </c>
      <c r="AS1780" t="s">
        <v>3250</v>
      </c>
      <c r="AT1780" t="s">
        <v>3250</v>
      </c>
      <c r="AU1780" t="s">
        <v>3250</v>
      </c>
      <c r="AV1780" t="s">
        <v>3250</v>
      </c>
      <c r="AW1780" t="s">
        <v>3250</v>
      </c>
      <c r="AX1780" t="s">
        <v>3250</v>
      </c>
      <c r="AY1780" t="s">
        <v>3250</v>
      </c>
      <c r="AZ1780" t="s">
        <v>3250</v>
      </c>
      <c r="BA1780" t="s">
        <v>3250</v>
      </c>
      <c r="BB1780" t="s">
        <v>3250</v>
      </c>
      <c r="BC1780" t="s">
        <v>3250</v>
      </c>
      <c r="BE1780" t="s">
        <v>3250</v>
      </c>
      <c r="BF1780" t="s">
        <v>3250</v>
      </c>
      <c r="BG1780" t="s">
        <v>3250</v>
      </c>
      <c r="BH1780" t="s">
        <v>3250</v>
      </c>
      <c r="BI1780" t="s">
        <v>3250</v>
      </c>
      <c r="BK1780" t="s">
        <v>3250</v>
      </c>
      <c r="BL1780" t="s">
        <v>3250</v>
      </c>
      <c r="BM1780" t="s">
        <v>3250</v>
      </c>
      <c r="BN1780" t="s">
        <v>3250</v>
      </c>
      <c r="BP1780">
        <v>1</v>
      </c>
      <c r="BQ1780">
        <v>11</v>
      </c>
      <c r="BR1780" t="s">
        <v>1574</v>
      </c>
      <c r="BS1780" t="s">
        <v>3252</v>
      </c>
      <c r="BV1780">
        <v>0</v>
      </c>
      <c r="BW1780">
        <v>0</v>
      </c>
      <c r="BX1780">
        <v>0</v>
      </c>
      <c r="BY1780">
        <v>0</v>
      </c>
      <c r="BZ1780">
        <v>0</v>
      </c>
      <c r="CA1780">
        <v>0</v>
      </c>
      <c r="CB1780">
        <v>0</v>
      </c>
      <c r="CC1780">
        <v>0</v>
      </c>
      <c r="CD1780">
        <v>0</v>
      </c>
      <c r="CE1780" t="s">
        <v>3108</v>
      </c>
      <c r="CF1780" t="s">
        <v>3108</v>
      </c>
      <c r="CG1780" t="s">
        <v>3108</v>
      </c>
      <c r="CH1780" t="s">
        <v>3108</v>
      </c>
    </row>
    <row r="1781" spans="1:86" x14ac:dyDescent="0.2">
      <c r="A1781" t="s">
        <v>5830</v>
      </c>
      <c r="B1781" t="s">
        <v>5830</v>
      </c>
      <c r="C1781">
        <v>54904</v>
      </c>
      <c r="D1781">
        <v>1904</v>
      </c>
      <c r="E1781" t="s">
        <v>5831</v>
      </c>
      <c r="F1781" t="s">
        <v>3249</v>
      </c>
      <c r="G1781" t="s">
        <v>3249</v>
      </c>
      <c r="H1781" t="s">
        <v>3250</v>
      </c>
      <c r="I1781" t="s">
        <v>3250</v>
      </c>
      <c r="J1781" t="s">
        <v>3250</v>
      </c>
      <c r="K1781" t="s">
        <v>3250</v>
      </c>
      <c r="L1781">
        <v>1200</v>
      </c>
      <c r="M1781" t="s">
        <v>2368</v>
      </c>
      <c r="N1781">
        <v>1204</v>
      </c>
      <c r="O1781" t="s">
        <v>1574</v>
      </c>
      <c r="P1781" t="s">
        <v>3108</v>
      </c>
      <c r="Q1781" t="s">
        <v>3249</v>
      </c>
      <c r="R1781" t="s">
        <v>3249</v>
      </c>
      <c r="S1781" t="s">
        <v>472</v>
      </c>
      <c r="T1781" t="s">
        <v>3789</v>
      </c>
      <c r="U1781">
        <v>360</v>
      </c>
      <c r="V1781" t="s">
        <v>3790</v>
      </c>
      <c r="W1781">
        <v>360</v>
      </c>
      <c r="X1781" t="s">
        <v>601</v>
      </c>
      <c r="Y1781" t="s">
        <v>3250</v>
      </c>
      <c r="Z1781" t="s">
        <v>3250</v>
      </c>
      <c r="AA1781" t="s">
        <v>3108</v>
      </c>
      <c r="AB1781" t="s">
        <v>3108</v>
      </c>
      <c r="AC1781" t="s">
        <v>3250</v>
      </c>
      <c r="AD1781" t="s">
        <v>3250</v>
      </c>
      <c r="AE1781" t="s">
        <v>3250</v>
      </c>
      <c r="AF1781" t="s">
        <v>3250</v>
      </c>
      <c r="AG1781" t="s">
        <v>3250</v>
      </c>
      <c r="AH1781" t="s">
        <v>3250</v>
      </c>
      <c r="AI1781" t="s">
        <v>3250</v>
      </c>
      <c r="AJ1781" t="s">
        <v>3250</v>
      </c>
      <c r="AL1781">
        <v>361</v>
      </c>
      <c r="AM1781" t="s">
        <v>2523</v>
      </c>
      <c r="AN1781">
        <v>361</v>
      </c>
      <c r="AO1781" t="s">
        <v>2523</v>
      </c>
      <c r="AS1781" t="s">
        <v>3250</v>
      </c>
      <c r="AT1781" t="s">
        <v>3250</v>
      </c>
      <c r="AU1781" t="s">
        <v>3250</v>
      </c>
      <c r="AV1781" t="s">
        <v>3250</v>
      </c>
      <c r="AW1781" t="s">
        <v>3250</v>
      </c>
      <c r="AX1781" t="s">
        <v>3250</v>
      </c>
      <c r="AY1781" t="s">
        <v>3250</v>
      </c>
      <c r="AZ1781" t="s">
        <v>3250</v>
      </c>
      <c r="BA1781" t="s">
        <v>3250</v>
      </c>
      <c r="BB1781" t="s">
        <v>3250</v>
      </c>
      <c r="BC1781" t="s">
        <v>3250</v>
      </c>
      <c r="BE1781" t="s">
        <v>3250</v>
      </c>
      <c r="BF1781" t="s">
        <v>3250</v>
      </c>
      <c r="BG1781" t="s">
        <v>3250</v>
      </c>
      <c r="BH1781" t="s">
        <v>3250</v>
      </c>
      <c r="BI1781" t="s">
        <v>3250</v>
      </c>
      <c r="BK1781" t="s">
        <v>3250</v>
      </c>
      <c r="BL1781" t="s">
        <v>3250</v>
      </c>
      <c r="BM1781" t="s">
        <v>3250</v>
      </c>
      <c r="BN1781" t="s">
        <v>3250</v>
      </c>
      <c r="BP1781">
        <v>1</v>
      </c>
      <c r="BQ1781">
        <v>11</v>
      </c>
      <c r="BR1781" t="s">
        <v>1574</v>
      </c>
      <c r="BS1781" t="s">
        <v>3252</v>
      </c>
      <c r="BV1781">
        <v>0</v>
      </c>
      <c r="BW1781">
        <v>0</v>
      </c>
      <c r="BX1781">
        <v>0</v>
      </c>
      <c r="BY1781">
        <v>0</v>
      </c>
      <c r="BZ1781">
        <v>0</v>
      </c>
      <c r="CA1781">
        <v>0</v>
      </c>
      <c r="CB1781">
        <v>0</v>
      </c>
      <c r="CC1781">
        <v>0</v>
      </c>
      <c r="CD1781">
        <v>0</v>
      </c>
      <c r="CE1781" t="s">
        <v>3108</v>
      </c>
      <c r="CF1781" t="s">
        <v>3108</v>
      </c>
      <c r="CG1781" t="s">
        <v>3108</v>
      </c>
      <c r="CH1781" t="s">
        <v>3108</v>
      </c>
    </row>
    <row r="1782" spans="1:86" x14ac:dyDescent="0.2">
      <c r="A1782" t="s">
        <v>5832</v>
      </c>
      <c r="B1782" t="s">
        <v>5832</v>
      </c>
      <c r="C1782">
        <v>54905</v>
      </c>
      <c r="D1782">
        <v>1905</v>
      </c>
      <c r="E1782" t="s">
        <v>5833</v>
      </c>
      <c r="F1782" t="s">
        <v>3249</v>
      </c>
      <c r="G1782" t="s">
        <v>3249</v>
      </c>
      <c r="H1782" t="s">
        <v>3250</v>
      </c>
      <c r="I1782" t="s">
        <v>3250</v>
      </c>
      <c r="J1782" t="s">
        <v>3250</v>
      </c>
      <c r="K1782" t="s">
        <v>3250</v>
      </c>
      <c r="L1782">
        <v>1200</v>
      </c>
      <c r="M1782" t="s">
        <v>2368</v>
      </c>
      <c r="N1782">
        <v>1204</v>
      </c>
      <c r="O1782" t="s">
        <v>1574</v>
      </c>
      <c r="P1782" t="s">
        <v>3108</v>
      </c>
      <c r="Q1782" t="s">
        <v>3249</v>
      </c>
      <c r="R1782" t="s">
        <v>3249</v>
      </c>
      <c r="S1782" t="s">
        <v>472</v>
      </c>
      <c r="T1782" t="s">
        <v>3789</v>
      </c>
      <c r="U1782">
        <v>360</v>
      </c>
      <c r="V1782" t="s">
        <v>3790</v>
      </c>
      <c r="W1782">
        <v>360</v>
      </c>
      <c r="X1782" t="s">
        <v>601</v>
      </c>
      <c r="Y1782" t="s">
        <v>3250</v>
      </c>
      <c r="Z1782" t="s">
        <v>3250</v>
      </c>
      <c r="AA1782" t="s">
        <v>3108</v>
      </c>
      <c r="AB1782" t="s">
        <v>3108</v>
      </c>
      <c r="AC1782" t="s">
        <v>3250</v>
      </c>
      <c r="AD1782" t="s">
        <v>3250</v>
      </c>
      <c r="AE1782" t="s">
        <v>3250</v>
      </c>
      <c r="AF1782" t="s">
        <v>3250</v>
      </c>
      <c r="AG1782" t="s">
        <v>3250</v>
      </c>
      <c r="AH1782" t="s">
        <v>3250</v>
      </c>
      <c r="AI1782" t="s">
        <v>3250</v>
      </c>
      <c r="AJ1782" t="s">
        <v>3250</v>
      </c>
      <c r="AL1782">
        <v>361</v>
      </c>
      <c r="AM1782" t="s">
        <v>2523</v>
      </c>
      <c r="AN1782">
        <v>361</v>
      </c>
      <c r="AO1782" t="s">
        <v>2523</v>
      </c>
      <c r="AS1782" t="s">
        <v>3250</v>
      </c>
      <c r="AT1782" t="s">
        <v>3250</v>
      </c>
      <c r="AU1782" t="s">
        <v>3250</v>
      </c>
      <c r="AV1782" t="s">
        <v>3250</v>
      </c>
      <c r="AW1782" t="s">
        <v>3250</v>
      </c>
      <c r="AX1782" t="s">
        <v>3250</v>
      </c>
      <c r="AY1782" t="s">
        <v>3250</v>
      </c>
      <c r="AZ1782" t="s">
        <v>3250</v>
      </c>
      <c r="BA1782" t="s">
        <v>3250</v>
      </c>
      <c r="BB1782" t="s">
        <v>3250</v>
      </c>
      <c r="BC1782" t="s">
        <v>3250</v>
      </c>
      <c r="BE1782" t="s">
        <v>3250</v>
      </c>
      <c r="BF1782" t="s">
        <v>3250</v>
      </c>
      <c r="BG1782" t="s">
        <v>3250</v>
      </c>
      <c r="BH1782" t="s">
        <v>3250</v>
      </c>
      <c r="BI1782" t="s">
        <v>3250</v>
      </c>
      <c r="BK1782" t="s">
        <v>3250</v>
      </c>
      <c r="BL1782" t="s">
        <v>3250</v>
      </c>
      <c r="BM1782" t="s">
        <v>3250</v>
      </c>
      <c r="BN1782" t="s">
        <v>3250</v>
      </c>
      <c r="BP1782">
        <v>1</v>
      </c>
      <c r="BQ1782">
        <v>11</v>
      </c>
      <c r="BR1782" t="s">
        <v>1574</v>
      </c>
      <c r="BS1782" t="s">
        <v>3252</v>
      </c>
      <c r="BV1782">
        <v>0</v>
      </c>
      <c r="BW1782">
        <v>0</v>
      </c>
      <c r="BX1782">
        <v>0</v>
      </c>
      <c r="BY1782">
        <v>0</v>
      </c>
      <c r="BZ1782">
        <v>0</v>
      </c>
      <c r="CA1782">
        <v>0</v>
      </c>
      <c r="CB1782">
        <v>0</v>
      </c>
      <c r="CC1782">
        <v>0</v>
      </c>
      <c r="CD1782">
        <v>0</v>
      </c>
      <c r="CE1782" t="s">
        <v>3108</v>
      </c>
      <c r="CF1782" t="s">
        <v>3108</v>
      </c>
      <c r="CG1782" t="s">
        <v>3108</v>
      </c>
      <c r="CH1782" t="s">
        <v>3108</v>
      </c>
    </row>
    <row r="1783" spans="1:86" x14ac:dyDescent="0.2">
      <c r="A1783" t="s">
        <v>5834</v>
      </c>
      <c r="B1783" t="s">
        <v>5834</v>
      </c>
      <c r="C1783">
        <v>54906</v>
      </c>
      <c r="D1783">
        <v>1906</v>
      </c>
      <c r="E1783" t="s">
        <v>5835</v>
      </c>
      <c r="F1783" t="s">
        <v>3249</v>
      </c>
      <c r="G1783" t="s">
        <v>3249</v>
      </c>
      <c r="H1783" t="s">
        <v>3250</v>
      </c>
      <c r="I1783" t="s">
        <v>3250</v>
      </c>
      <c r="J1783" t="s">
        <v>3250</v>
      </c>
      <c r="K1783" t="s">
        <v>3250</v>
      </c>
      <c r="L1783">
        <v>1200</v>
      </c>
      <c r="M1783" t="s">
        <v>2368</v>
      </c>
      <c r="N1783">
        <v>1204</v>
      </c>
      <c r="O1783" t="s">
        <v>1574</v>
      </c>
      <c r="P1783" t="s">
        <v>3108</v>
      </c>
      <c r="Q1783" t="s">
        <v>3249</v>
      </c>
      <c r="R1783" t="s">
        <v>3249</v>
      </c>
      <c r="S1783" t="s">
        <v>472</v>
      </c>
      <c r="T1783" t="s">
        <v>3789</v>
      </c>
      <c r="U1783">
        <v>360</v>
      </c>
      <c r="V1783" t="s">
        <v>3790</v>
      </c>
      <c r="W1783">
        <v>360</v>
      </c>
      <c r="X1783" t="s">
        <v>601</v>
      </c>
      <c r="Y1783" t="s">
        <v>3250</v>
      </c>
      <c r="Z1783" t="s">
        <v>3250</v>
      </c>
      <c r="AA1783" t="s">
        <v>3108</v>
      </c>
      <c r="AB1783" t="s">
        <v>3108</v>
      </c>
      <c r="AC1783" t="s">
        <v>3250</v>
      </c>
      <c r="AD1783" t="s">
        <v>3250</v>
      </c>
      <c r="AE1783" t="s">
        <v>3250</v>
      </c>
      <c r="AF1783" t="s">
        <v>3250</v>
      </c>
      <c r="AG1783" t="s">
        <v>3250</v>
      </c>
      <c r="AH1783" t="s">
        <v>3250</v>
      </c>
      <c r="AI1783" t="s">
        <v>3250</v>
      </c>
      <c r="AJ1783" t="s">
        <v>3250</v>
      </c>
      <c r="AL1783">
        <v>361</v>
      </c>
      <c r="AM1783" t="s">
        <v>2523</v>
      </c>
      <c r="AN1783">
        <v>361</v>
      </c>
      <c r="AO1783" t="s">
        <v>2523</v>
      </c>
      <c r="AS1783" t="s">
        <v>3250</v>
      </c>
      <c r="AT1783" t="s">
        <v>3250</v>
      </c>
      <c r="AU1783" t="s">
        <v>3250</v>
      </c>
      <c r="AV1783" t="s">
        <v>3250</v>
      </c>
      <c r="AW1783" t="s">
        <v>3250</v>
      </c>
      <c r="AX1783" t="s">
        <v>3250</v>
      </c>
      <c r="AY1783" t="s">
        <v>3250</v>
      </c>
      <c r="AZ1783" t="s">
        <v>3250</v>
      </c>
      <c r="BA1783" t="s">
        <v>3250</v>
      </c>
      <c r="BB1783" t="s">
        <v>3250</v>
      </c>
      <c r="BC1783" t="s">
        <v>3250</v>
      </c>
      <c r="BE1783" t="s">
        <v>3250</v>
      </c>
      <c r="BF1783" t="s">
        <v>3250</v>
      </c>
      <c r="BG1783" t="s">
        <v>3250</v>
      </c>
      <c r="BH1783" t="s">
        <v>3250</v>
      </c>
      <c r="BI1783" t="s">
        <v>3250</v>
      </c>
      <c r="BK1783" t="s">
        <v>3250</v>
      </c>
      <c r="BL1783" t="s">
        <v>3250</v>
      </c>
      <c r="BM1783" t="s">
        <v>3250</v>
      </c>
      <c r="BN1783" t="s">
        <v>3250</v>
      </c>
      <c r="BP1783">
        <v>1</v>
      </c>
      <c r="BQ1783">
        <v>11</v>
      </c>
      <c r="BR1783" t="s">
        <v>1574</v>
      </c>
      <c r="BS1783" t="s">
        <v>3252</v>
      </c>
      <c r="BV1783">
        <v>0</v>
      </c>
      <c r="BW1783">
        <v>0</v>
      </c>
      <c r="BX1783">
        <v>0</v>
      </c>
      <c r="BY1783">
        <v>0</v>
      </c>
      <c r="BZ1783">
        <v>0</v>
      </c>
      <c r="CA1783">
        <v>0</v>
      </c>
      <c r="CB1783">
        <v>0</v>
      </c>
      <c r="CC1783">
        <v>0</v>
      </c>
      <c r="CD1783">
        <v>0</v>
      </c>
      <c r="CE1783" t="s">
        <v>3108</v>
      </c>
      <c r="CF1783" t="s">
        <v>3108</v>
      </c>
      <c r="CG1783" t="s">
        <v>3108</v>
      </c>
      <c r="CH1783" t="s">
        <v>3108</v>
      </c>
    </row>
    <row r="1784" spans="1:86" x14ac:dyDescent="0.2">
      <c r="A1784" t="s">
        <v>5836</v>
      </c>
      <c r="B1784" t="s">
        <v>5836</v>
      </c>
      <c r="C1784">
        <v>54907</v>
      </c>
      <c r="D1784">
        <v>1907</v>
      </c>
      <c r="E1784" t="s">
        <v>5837</v>
      </c>
      <c r="F1784" t="s">
        <v>3249</v>
      </c>
      <c r="G1784" t="s">
        <v>3249</v>
      </c>
      <c r="H1784" t="s">
        <v>3250</v>
      </c>
      <c r="I1784" t="s">
        <v>3250</v>
      </c>
      <c r="J1784" t="s">
        <v>3250</v>
      </c>
      <c r="K1784" t="s">
        <v>3250</v>
      </c>
      <c r="L1784">
        <v>1200</v>
      </c>
      <c r="M1784" t="s">
        <v>2368</v>
      </c>
      <c r="N1784">
        <v>1204</v>
      </c>
      <c r="O1784" t="s">
        <v>1574</v>
      </c>
      <c r="P1784" t="s">
        <v>3108</v>
      </c>
      <c r="Q1784" t="s">
        <v>3249</v>
      </c>
      <c r="R1784" t="s">
        <v>3249</v>
      </c>
      <c r="S1784" t="s">
        <v>472</v>
      </c>
      <c r="T1784" t="s">
        <v>3789</v>
      </c>
      <c r="U1784">
        <v>360</v>
      </c>
      <c r="V1784" t="s">
        <v>3790</v>
      </c>
      <c r="W1784">
        <v>360</v>
      </c>
      <c r="X1784" t="s">
        <v>601</v>
      </c>
      <c r="Y1784" t="s">
        <v>3250</v>
      </c>
      <c r="Z1784" t="s">
        <v>3250</v>
      </c>
      <c r="AA1784" t="s">
        <v>3108</v>
      </c>
      <c r="AB1784" t="s">
        <v>3108</v>
      </c>
      <c r="AC1784" t="s">
        <v>3250</v>
      </c>
      <c r="AD1784" t="s">
        <v>3250</v>
      </c>
      <c r="AE1784" t="s">
        <v>3250</v>
      </c>
      <c r="AF1784" t="s">
        <v>3250</v>
      </c>
      <c r="AG1784" t="s">
        <v>3250</v>
      </c>
      <c r="AH1784" t="s">
        <v>3250</v>
      </c>
      <c r="AI1784" t="s">
        <v>3250</v>
      </c>
      <c r="AJ1784" t="s">
        <v>3250</v>
      </c>
      <c r="AL1784">
        <v>361</v>
      </c>
      <c r="AM1784" t="s">
        <v>2523</v>
      </c>
      <c r="AN1784">
        <v>361</v>
      </c>
      <c r="AO1784" t="s">
        <v>2523</v>
      </c>
      <c r="AS1784" t="s">
        <v>3250</v>
      </c>
      <c r="AT1784" t="s">
        <v>3250</v>
      </c>
      <c r="AU1784" t="s">
        <v>3250</v>
      </c>
      <c r="AV1784" t="s">
        <v>3250</v>
      </c>
      <c r="AW1784" t="s">
        <v>3250</v>
      </c>
      <c r="AX1784" t="s">
        <v>3250</v>
      </c>
      <c r="AY1784" t="s">
        <v>3250</v>
      </c>
      <c r="AZ1784" t="s">
        <v>3250</v>
      </c>
      <c r="BA1784" t="s">
        <v>3250</v>
      </c>
      <c r="BB1784" t="s">
        <v>3250</v>
      </c>
      <c r="BC1784" t="s">
        <v>3250</v>
      </c>
      <c r="BE1784" t="s">
        <v>3250</v>
      </c>
      <c r="BF1784" t="s">
        <v>3250</v>
      </c>
      <c r="BG1784" t="s">
        <v>3250</v>
      </c>
      <c r="BH1784" t="s">
        <v>3250</v>
      </c>
      <c r="BI1784" t="s">
        <v>3250</v>
      </c>
      <c r="BK1784" t="s">
        <v>3250</v>
      </c>
      <c r="BL1784" t="s">
        <v>3250</v>
      </c>
      <c r="BM1784" t="s">
        <v>3250</v>
      </c>
      <c r="BN1784" t="s">
        <v>3250</v>
      </c>
      <c r="BP1784">
        <v>1</v>
      </c>
      <c r="BQ1784">
        <v>11</v>
      </c>
      <c r="BR1784" t="s">
        <v>1574</v>
      </c>
      <c r="BS1784" t="s">
        <v>3252</v>
      </c>
      <c r="BV1784">
        <v>0</v>
      </c>
      <c r="BW1784">
        <v>0</v>
      </c>
      <c r="BX1784">
        <v>0</v>
      </c>
      <c r="BY1784">
        <v>0</v>
      </c>
      <c r="BZ1784">
        <v>0</v>
      </c>
      <c r="CA1784">
        <v>0</v>
      </c>
      <c r="CB1784">
        <v>0</v>
      </c>
      <c r="CC1784">
        <v>0</v>
      </c>
      <c r="CD1784">
        <v>0</v>
      </c>
      <c r="CE1784" t="s">
        <v>3108</v>
      </c>
      <c r="CF1784" t="s">
        <v>3108</v>
      </c>
      <c r="CG1784" t="s">
        <v>3108</v>
      </c>
      <c r="CH1784" t="s">
        <v>3108</v>
      </c>
    </row>
    <row r="1785" spans="1:86" x14ac:dyDescent="0.2">
      <c r="A1785" t="s">
        <v>5838</v>
      </c>
      <c r="B1785" t="s">
        <v>5838</v>
      </c>
      <c r="C1785">
        <v>54908</v>
      </c>
      <c r="D1785">
        <v>1908</v>
      </c>
      <c r="E1785" t="s">
        <v>5839</v>
      </c>
      <c r="F1785" t="s">
        <v>3249</v>
      </c>
      <c r="G1785" t="s">
        <v>3249</v>
      </c>
      <c r="H1785" t="s">
        <v>3250</v>
      </c>
      <c r="I1785" t="s">
        <v>3250</v>
      </c>
      <c r="J1785" t="s">
        <v>3250</v>
      </c>
      <c r="K1785" t="s">
        <v>3250</v>
      </c>
      <c r="L1785">
        <v>1200</v>
      </c>
      <c r="M1785" t="s">
        <v>2368</v>
      </c>
      <c r="N1785">
        <v>1204</v>
      </c>
      <c r="O1785" t="s">
        <v>1574</v>
      </c>
      <c r="P1785" t="s">
        <v>3108</v>
      </c>
      <c r="Q1785" t="s">
        <v>3249</v>
      </c>
      <c r="R1785" t="s">
        <v>3249</v>
      </c>
      <c r="S1785" t="s">
        <v>472</v>
      </c>
      <c r="T1785" t="s">
        <v>3789</v>
      </c>
      <c r="U1785">
        <v>360</v>
      </c>
      <c r="V1785" t="s">
        <v>3790</v>
      </c>
      <c r="W1785">
        <v>360</v>
      </c>
      <c r="X1785" t="s">
        <v>601</v>
      </c>
      <c r="Y1785" t="s">
        <v>3250</v>
      </c>
      <c r="Z1785" t="s">
        <v>3250</v>
      </c>
      <c r="AA1785" t="s">
        <v>3108</v>
      </c>
      <c r="AB1785" t="s">
        <v>3108</v>
      </c>
      <c r="AC1785" t="s">
        <v>3250</v>
      </c>
      <c r="AD1785" t="s">
        <v>3250</v>
      </c>
      <c r="AE1785" t="s">
        <v>3250</v>
      </c>
      <c r="AF1785" t="s">
        <v>3250</v>
      </c>
      <c r="AG1785" t="s">
        <v>3250</v>
      </c>
      <c r="AH1785" t="s">
        <v>3250</v>
      </c>
      <c r="AI1785" t="s">
        <v>3250</v>
      </c>
      <c r="AJ1785" t="s">
        <v>3250</v>
      </c>
      <c r="AL1785">
        <v>361</v>
      </c>
      <c r="AM1785" t="s">
        <v>2523</v>
      </c>
      <c r="AN1785">
        <v>361</v>
      </c>
      <c r="AO1785" t="s">
        <v>2523</v>
      </c>
      <c r="AS1785" t="s">
        <v>3250</v>
      </c>
      <c r="AT1785" t="s">
        <v>3250</v>
      </c>
      <c r="AU1785" t="s">
        <v>3250</v>
      </c>
      <c r="AV1785" t="s">
        <v>3250</v>
      </c>
      <c r="AW1785" t="s">
        <v>3250</v>
      </c>
      <c r="AX1785" t="s">
        <v>3250</v>
      </c>
      <c r="AY1785" t="s">
        <v>3250</v>
      </c>
      <c r="AZ1785" t="s">
        <v>3250</v>
      </c>
      <c r="BA1785" t="s">
        <v>3250</v>
      </c>
      <c r="BB1785" t="s">
        <v>3250</v>
      </c>
      <c r="BC1785" t="s">
        <v>3250</v>
      </c>
      <c r="BE1785" t="s">
        <v>3250</v>
      </c>
      <c r="BF1785" t="s">
        <v>3250</v>
      </c>
      <c r="BG1785" t="s">
        <v>3250</v>
      </c>
      <c r="BH1785" t="s">
        <v>3250</v>
      </c>
      <c r="BI1785" t="s">
        <v>3250</v>
      </c>
      <c r="BK1785" t="s">
        <v>3250</v>
      </c>
      <c r="BL1785" t="s">
        <v>3250</v>
      </c>
      <c r="BM1785" t="s">
        <v>3250</v>
      </c>
      <c r="BN1785" t="s">
        <v>3250</v>
      </c>
      <c r="BP1785">
        <v>1</v>
      </c>
      <c r="BQ1785">
        <v>11</v>
      </c>
      <c r="BR1785" t="s">
        <v>1574</v>
      </c>
      <c r="BS1785" t="s">
        <v>3252</v>
      </c>
      <c r="BV1785">
        <v>0</v>
      </c>
      <c r="BW1785">
        <v>0</v>
      </c>
      <c r="BX1785">
        <v>0</v>
      </c>
      <c r="BY1785">
        <v>0</v>
      </c>
      <c r="BZ1785">
        <v>0</v>
      </c>
      <c r="CA1785">
        <v>0</v>
      </c>
      <c r="CB1785">
        <v>0</v>
      </c>
      <c r="CC1785">
        <v>0</v>
      </c>
      <c r="CD1785">
        <v>0</v>
      </c>
      <c r="CE1785" t="s">
        <v>3108</v>
      </c>
      <c r="CF1785" t="s">
        <v>3108</v>
      </c>
      <c r="CG1785" t="s">
        <v>3108</v>
      </c>
      <c r="CH1785" t="s">
        <v>3108</v>
      </c>
    </row>
    <row r="1786" spans="1:86" x14ac:dyDescent="0.2">
      <c r="A1786" t="s">
        <v>5840</v>
      </c>
      <c r="B1786" t="s">
        <v>5840</v>
      </c>
      <c r="C1786">
        <v>54909</v>
      </c>
      <c r="D1786">
        <v>1909</v>
      </c>
      <c r="E1786" t="s">
        <v>5841</v>
      </c>
      <c r="F1786" t="s">
        <v>3249</v>
      </c>
      <c r="G1786" t="s">
        <v>3249</v>
      </c>
      <c r="H1786" t="s">
        <v>3250</v>
      </c>
      <c r="I1786" t="s">
        <v>3250</v>
      </c>
      <c r="J1786" t="s">
        <v>3250</v>
      </c>
      <c r="K1786" t="s">
        <v>3250</v>
      </c>
      <c r="L1786">
        <v>1200</v>
      </c>
      <c r="M1786" t="s">
        <v>2368</v>
      </c>
      <c r="N1786">
        <v>1204</v>
      </c>
      <c r="O1786" t="s">
        <v>1574</v>
      </c>
      <c r="P1786" t="s">
        <v>3108</v>
      </c>
      <c r="Q1786" t="s">
        <v>3249</v>
      </c>
      <c r="R1786" t="s">
        <v>3249</v>
      </c>
      <c r="S1786" t="s">
        <v>472</v>
      </c>
      <c r="T1786" t="s">
        <v>3789</v>
      </c>
      <c r="U1786">
        <v>360</v>
      </c>
      <c r="V1786" t="s">
        <v>3790</v>
      </c>
      <c r="W1786">
        <v>360</v>
      </c>
      <c r="X1786" t="s">
        <v>601</v>
      </c>
      <c r="Y1786" t="s">
        <v>3250</v>
      </c>
      <c r="Z1786" t="s">
        <v>3250</v>
      </c>
      <c r="AA1786" t="s">
        <v>3108</v>
      </c>
      <c r="AB1786" t="s">
        <v>3108</v>
      </c>
      <c r="AC1786" t="s">
        <v>3250</v>
      </c>
      <c r="AD1786" t="s">
        <v>3250</v>
      </c>
      <c r="AE1786" t="s">
        <v>3250</v>
      </c>
      <c r="AF1786" t="s">
        <v>3250</v>
      </c>
      <c r="AG1786" t="s">
        <v>3250</v>
      </c>
      <c r="AH1786" t="s">
        <v>3250</v>
      </c>
      <c r="AI1786" t="s">
        <v>3250</v>
      </c>
      <c r="AJ1786" t="s">
        <v>3250</v>
      </c>
      <c r="AL1786">
        <v>361</v>
      </c>
      <c r="AM1786" t="s">
        <v>2523</v>
      </c>
      <c r="AN1786">
        <v>361</v>
      </c>
      <c r="AO1786" t="s">
        <v>2523</v>
      </c>
      <c r="AS1786" t="s">
        <v>3250</v>
      </c>
      <c r="AT1786" t="s">
        <v>3250</v>
      </c>
      <c r="AU1786" t="s">
        <v>3250</v>
      </c>
      <c r="AV1786" t="s">
        <v>3250</v>
      </c>
      <c r="AW1786" t="s">
        <v>3250</v>
      </c>
      <c r="AX1786" t="s">
        <v>3250</v>
      </c>
      <c r="AY1786" t="s">
        <v>3250</v>
      </c>
      <c r="AZ1786" t="s">
        <v>3250</v>
      </c>
      <c r="BA1786" t="s">
        <v>3250</v>
      </c>
      <c r="BB1786" t="s">
        <v>3250</v>
      </c>
      <c r="BC1786" t="s">
        <v>3250</v>
      </c>
      <c r="BE1786" t="s">
        <v>3250</v>
      </c>
      <c r="BF1786" t="s">
        <v>3250</v>
      </c>
      <c r="BG1786" t="s">
        <v>3250</v>
      </c>
      <c r="BH1786" t="s">
        <v>3250</v>
      </c>
      <c r="BI1786" t="s">
        <v>3250</v>
      </c>
      <c r="BK1786" t="s">
        <v>3250</v>
      </c>
      <c r="BL1786" t="s">
        <v>3250</v>
      </c>
      <c r="BM1786" t="s">
        <v>3250</v>
      </c>
      <c r="BN1786" t="s">
        <v>3250</v>
      </c>
      <c r="BP1786">
        <v>1</v>
      </c>
      <c r="BQ1786">
        <v>11</v>
      </c>
      <c r="BR1786" t="s">
        <v>1574</v>
      </c>
      <c r="BS1786" t="s">
        <v>3252</v>
      </c>
      <c r="BV1786">
        <v>0</v>
      </c>
      <c r="BW1786">
        <v>0</v>
      </c>
      <c r="BX1786">
        <v>0</v>
      </c>
      <c r="BY1786">
        <v>0</v>
      </c>
      <c r="BZ1786">
        <v>0</v>
      </c>
      <c r="CA1786">
        <v>0</v>
      </c>
      <c r="CB1786">
        <v>0</v>
      </c>
      <c r="CC1786">
        <v>0</v>
      </c>
      <c r="CD1786">
        <v>0</v>
      </c>
      <c r="CE1786" t="s">
        <v>3108</v>
      </c>
      <c r="CF1786" t="s">
        <v>3108</v>
      </c>
      <c r="CG1786" t="s">
        <v>3108</v>
      </c>
      <c r="CH1786" t="s">
        <v>3108</v>
      </c>
    </row>
    <row r="1787" spans="1:86" x14ac:dyDescent="0.2">
      <c r="A1787" t="s">
        <v>5842</v>
      </c>
      <c r="B1787" t="s">
        <v>5842</v>
      </c>
      <c r="C1787">
        <v>54910</v>
      </c>
      <c r="D1787">
        <v>1910</v>
      </c>
      <c r="E1787" t="s">
        <v>5843</v>
      </c>
      <c r="F1787" t="s">
        <v>3249</v>
      </c>
      <c r="G1787" t="s">
        <v>3249</v>
      </c>
      <c r="H1787" t="s">
        <v>3250</v>
      </c>
      <c r="I1787" t="s">
        <v>3250</v>
      </c>
      <c r="J1787" t="s">
        <v>3250</v>
      </c>
      <c r="K1787" t="s">
        <v>3250</v>
      </c>
      <c r="L1787">
        <v>1200</v>
      </c>
      <c r="M1787" t="s">
        <v>2368</v>
      </c>
      <c r="N1787">
        <v>1204</v>
      </c>
      <c r="O1787" t="s">
        <v>1574</v>
      </c>
      <c r="P1787" t="s">
        <v>3108</v>
      </c>
      <c r="Q1787" t="s">
        <v>3249</v>
      </c>
      <c r="R1787" t="s">
        <v>3249</v>
      </c>
      <c r="S1787" t="s">
        <v>472</v>
      </c>
      <c r="T1787" t="s">
        <v>3789</v>
      </c>
      <c r="U1787">
        <v>360</v>
      </c>
      <c r="V1787" t="s">
        <v>3790</v>
      </c>
      <c r="W1787">
        <v>360</v>
      </c>
      <c r="X1787" t="s">
        <v>601</v>
      </c>
      <c r="Y1787" t="s">
        <v>3250</v>
      </c>
      <c r="Z1787" t="s">
        <v>3250</v>
      </c>
      <c r="AA1787" t="s">
        <v>3108</v>
      </c>
      <c r="AB1787" t="s">
        <v>3108</v>
      </c>
      <c r="AC1787" t="s">
        <v>3250</v>
      </c>
      <c r="AD1787" t="s">
        <v>3250</v>
      </c>
      <c r="AE1787" t="s">
        <v>3250</v>
      </c>
      <c r="AF1787" t="s">
        <v>3250</v>
      </c>
      <c r="AG1787" t="s">
        <v>3250</v>
      </c>
      <c r="AH1787" t="s">
        <v>3250</v>
      </c>
      <c r="AI1787" t="s">
        <v>3250</v>
      </c>
      <c r="AJ1787" t="s">
        <v>3250</v>
      </c>
      <c r="AL1787">
        <v>361</v>
      </c>
      <c r="AM1787" t="s">
        <v>2523</v>
      </c>
      <c r="AN1787">
        <v>361</v>
      </c>
      <c r="AO1787" t="s">
        <v>2523</v>
      </c>
      <c r="AS1787" t="s">
        <v>3250</v>
      </c>
      <c r="AT1787" t="s">
        <v>3250</v>
      </c>
      <c r="AU1787" t="s">
        <v>3250</v>
      </c>
      <c r="AV1787" t="s">
        <v>3250</v>
      </c>
      <c r="AW1787" t="s">
        <v>3250</v>
      </c>
      <c r="AX1787" t="s">
        <v>3250</v>
      </c>
      <c r="AY1787" t="s">
        <v>3250</v>
      </c>
      <c r="AZ1787" t="s">
        <v>3250</v>
      </c>
      <c r="BA1787" t="s">
        <v>3250</v>
      </c>
      <c r="BB1787" t="s">
        <v>3250</v>
      </c>
      <c r="BC1787" t="s">
        <v>3250</v>
      </c>
      <c r="BE1787" t="s">
        <v>3250</v>
      </c>
      <c r="BF1787" t="s">
        <v>3250</v>
      </c>
      <c r="BG1787" t="s">
        <v>3250</v>
      </c>
      <c r="BH1787" t="s">
        <v>3250</v>
      </c>
      <c r="BI1787" t="s">
        <v>3250</v>
      </c>
      <c r="BK1787" t="s">
        <v>3250</v>
      </c>
      <c r="BL1787" t="s">
        <v>3250</v>
      </c>
      <c r="BM1787" t="s">
        <v>3250</v>
      </c>
      <c r="BN1787" t="s">
        <v>3250</v>
      </c>
      <c r="BP1787">
        <v>1</v>
      </c>
      <c r="BQ1787">
        <v>11</v>
      </c>
      <c r="BR1787" t="s">
        <v>1574</v>
      </c>
      <c r="BS1787" t="s">
        <v>3252</v>
      </c>
      <c r="BV1787">
        <v>0</v>
      </c>
      <c r="BW1787">
        <v>0</v>
      </c>
      <c r="BX1787">
        <v>0</v>
      </c>
      <c r="BY1787">
        <v>0</v>
      </c>
      <c r="BZ1787">
        <v>0</v>
      </c>
      <c r="CA1787">
        <v>0</v>
      </c>
      <c r="CB1787">
        <v>0</v>
      </c>
      <c r="CC1787">
        <v>0</v>
      </c>
      <c r="CD1787">
        <v>0</v>
      </c>
      <c r="CE1787" t="s">
        <v>3108</v>
      </c>
      <c r="CF1787" t="s">
        <v>3108</v>
      </c>
      <c r="CG1787" t="s">
        <v>3108</v>
      </c>
      <c r="CH1787" t="s">
        <v>3108</v>
      </c>
    </row>
    <row r="1788" spans="1:86" x14ac:dyDescent="0.2">
      <c r="A1788" t="s">
        <v>5844</v>
      </c>
      <c r="B1788" t="s">
        <v>5844</v>
      </c>
      <c r="C1788">
        <v>54911</v>
      </c>
      <c r="D1788">
        <v>1911</v>
      </c>
      <c r="E1788" t="s">
        <v>5845</v>
      </c>
      <c r="F1788" t="s">
        <v>3249</v>
      </c>
      <c r="G1788" t="s">
        <v>3249</v>
      </c>
      <c r="H1788" t="s">
        <v>3250</v>
      </c>
      <c r="I1788" t="s">
        <v>3250</v>
      </c>
      <c r="J1788" t="s">
        <v>3250</v>
      </c>
      <c r="K1788" t="s">
        <v>3250</v>
      </c>
      <c r="L1788">
        <v>1200</v>
      </c>
      <c r="M1788" t="s">
        <v>2368</v>
      </c>
      <c r="N1788">
        <v>1204</v>
      </c>
      <c r="O1788" t="s">
        <v>1574</v>
      </c>
      <c r="P1788" t="s">
        <v>3108</v>
      </c>
      <c r="Q1788" t="s">
        <v>3249</v>
      </c>
      <c r="R1788" t="s">
        <v>3249</v>
      </c>
      <c r="S1788" t="s">
        <v>472</v>
      </c>
      <c r="T1788" t="s">
        <v>3789</v>
      </c>
      <c r="U1788">
        <v>360</v>
      </c>
      <c r="V1788" t="s">
        <v>3790</v>
      </c>
      <c r="W1788">
        <v>360</v>
      </c>
      <c r="X1788" t="s">
        <v>601</v>
      </c>
      <c r="Y1788" t="s">
        <v>3250</v>
      </c>
      <c r="Z1788" t="s">
        <v>3250</v>
      </c>
      <c r="AA1788" t="s">
        <v>3108</v>
      </c>
      <c r="AB1788" t="s">
        <v>3108</v>
      </c>
      <c r="AC1788" t="s">
        <v>3250</v>
      </c>
      <c r="AD1788" t="s">
        <v>3250</v>
      </c>
      <c r="AE1788" t="s">
        <v>3250</v>
      </c>
      <c r="AF1788" t="s">
        <v>3250</v>
      </c>
      <c r="AG1788" t="s">
        <v>3250</v>
      </c>
      <c r="AH1788" t="s">
        <v>3250</v>
      </c>
      <c r="AI1788" t="s">
        <v>3250</v>
      </c>
      <c r="AJ1788" t="s">
        <v>3250</v>
      </c>
      <c r="AL1788">
        <v>361</v>
      </c>
      <c r="AM1788" t="s">
        <v>2523</v>
      </c>
      <c r="AN1788">
        <v>361</v>
      </c>
      <c r="AO1788" t="s">
        <v>2523</v>
      </c>
      <c r="AS1788" t="s">
        <v>3250</v>
      </c>
      <c r="AT1788" t="s">
        <v>3250</v>
      </c>
      <c r="AU1788" t="s">
        <v>3250</v>
      </c>
      <c r="AV1788" t="s">
        <v>3250</v>
      </c>
      <c r="AW1788" t="s">
        <v>3250</v>
      </c>
      <c r="AX1788" t="s">
        <v>3250</v>
      </c>
      <c r="AY1788" t="s">
        <v>3250</v>
      </c>
      <c r="AZ1788" t="s">
        <v>3250</v>
      </c>
      <c r="BA1788" t="s">
        <v>3250</v>
      </c>
      <c r="BB1788" t="s">
        <v>3250</v>
      </c>
      <c r="BC1788" t="s">
        <v>3250</v>
      </c>
      <c r="BE1788" t="s">
        <v>3250</v>
      </c>
      <c r="BF1788" t="s">
        <v>3250</v>
      </c>
      <c r="BG1788" t="s">
        <v>3250</v>
      </c>
      <c r="BH1788" t="s">
        <v>3250</v>
      </c>
      <c r="BI1788" t="s">
        <v>3250</v>
      </c>
      <c r="BK1788" t="s">
        <v>3250</v>
      </c>
      <c r="BL1788" t="s">
        <v>3250</v>
      </c>
      <c r="BM1788" t="s">
        <v>3250</v>
      </c>
      <c r="BN1788" t="s">
        <v>3250</v>
      </c>
      <c r="BP1788">
        <v>1</v>
      </c>
      <c r="BQ1788">
        <v>11</v>
      </c>
      <c r="BR1788" t="s">
        <v>1574</v>
      </c>
      <c r="BS1788" t="s">
        <v>3252</v>
      </c>
      <c r="BV1788">
        <v>0</v>
      </c>
      <c r="BW1788">
        <v>0</v>
      </c>
      <c r="BX1788">
        <v>0</v>
      </c>
      <c r="BY1788">
        <v>0</v>
      </c>
      <c r="BZ1788">
        <v>0</v>
      </c>
      <c r="CA1788">
        <v>0</v>
      </c>
      <c r="CB1788">
        <v>0</v>
      </c>
      <c r="CC1788">
        <v>0</v>
      </c>
      <c r="CD1788">
        <v>0</v>
      </c>
      <c r="CE1788" t="s">
        <v>3108</v>
      </c>
      <c r="CF1788" t="s">
        <v>3108</v>
      </c>
      <c r="CG1788" t="s">
        <v>3108</v>
      </c>
      <c r="CH1788" t="s">
        <v>3108</v>
      </c>
    </row>
    <row r="1789" spans="1:86" x14ac:dyDescent="0.2">
      <c r="A1789" t="s">
        <v>5846</v>
      </c>
      <c r="B1789" t="s">
        <v>5846</v>
      </c>
      <c r="C1789">
        <v>54912</v>
      </c>
      <c r="D1789">
        <v>1912</v>
      </c>
      <c r="E1789" t="s">
        <v>5741</v>
      </c>
      <c r="F1789" t="s">
        <v>3249</v>
      </c>
      <c r="G1789" t="s">
        <v>3249</v>
      </c>
      <c r="H1789" t="s">
        <v>3250</v>
      </c>
      <c r="I1789" t="s">
        <v>3250</v>
      </c>
      <c r="J1789" t="s">
        <v>3250</v>
      </c>
      <c r="K1789" t="s">
        <v>3250</v>
      </c>
      <c r="L1789">
        <v>1200</v>
      </c>
      <c r="M1789" t="s">
        <v>2368</v>
      </c>
      <c r="N1789">
        <v>1204</v>
      </c>
      <c r="O1789" t="s">
        <v>1574</v>
      </c>
      <c r="P1789" t="s">
        <v>3108</v>
      </c>
      <c r="Q1789" t="s">
        <v>3249</v>
      </c>
      <c r="R1789" t="s">
        <v>3249</v>
      </c>
      <c r="S1789" t="s">
        <v>472</v>
      </c>
      <c r="T1789" t="s">
        <v>3251</v>
      </c>
      <c r="U1789">
        <v>120</v>
      </c>
      <c r="V1789" t="s">
        <v>599</v>
      </c>
      <c r="W1789">
        <v>120</v>
      </c>
      <c r="X1789" t="s">
        <v>599</v>
      </c>
      <c r="Y1789" t="s">
        <v>3250</v>
      </c>
      <c r="Z1789" t="s">
        <v>3250</v>
      </c>
      <c r="AA1789" t="s">
        <v>3108</v>
      </c>
      <c r="AB1789" t="s">
        <v>3108</v>
      </c>
      <c r="AC1789">
        <v>420</v>
      </c>
      <c r="AD1789" t="s">
        <v>827</v>
      </c>
      <c r="AE1789">
        <v>560</v>
      </c>
      <c r="AF1789" t="s">
        <v>827</v>
      </c>
      <c r="AG1789" t="s">
        <v>3250</v>
      </c>
      <c r="AH1789" t="s">
        <v>3250</v>
      </c>
      <c r="AI1789" t="s">
        <v>3250</v>
      </c>
      <c r="AJ1789" t="s">
        <v>3250</v>
      </c>
      <c r="AL1789" t="s">
        <v>3250</v>
      </c>
      <c r="AM1789" t="s">
        <v>3250</v>
      </c>
      <c r="AN1789" t="s">
        <v>3250</v>
      </c>
      <c r="AO1789" t="s">
        <v>3250</v>
      </c>
      <c r="AS1789" t="s">
        <v>3250</v>
      </c>
      <c r="AT1789" t="s">
        <v>3250</v>
      </c>
      <c r="AU1789" t="s">
        <v>3250</v>
      </c>
      <c r="AV1789" t="s">
        <v>3250</v>
      </c>
      <c r="AW1789" t="s">
        <v>3250</v>
      </c>
      <c r="AX1789" t="s">
        <v>3250</v>
      </c>
      <c r="AY1789" t="s">
        <v>3250</v>
      </c>
      <c r="AZ1789" t="s">
        <v>3250</v>
      </c>
      <c r="BA1789" t="s">
        <v>3250</v>
      </c>
      <c r="BB1789" t="s">
        <v>3250</v>
      </c>
      <c r="BC1789" t="s">
        <v>3250</v>
      </c>
      <c r="BE1789" t="s">
        <v>3250</v>
      </c>
      <c r="BF1789" t="s">
        <v>3250</v>
      </c>
      <c r="BG1789" t="s">
        <v>3250</v>
      </c>
      <c r="BH1789" t="s">
        <v>3250</v>
      </c>
      <c r="BI1789" t="s">
        <v>3250</v>
      </c>
      <c r="BK1789" t="s">
        <v>3250</v>
      </c>
      <c r="BL1789" t="s">
        <v>3250</v>
      </c>
      <c r="BM1789" t="s">
        <v>3250</v>
      </c>
      <c r="BN1789" t="s">
        <v>3250</v>
      </c>
      <c r="BP1789">
        <v>1</v>
      </c>
      <c r="BQ1789">
        <v>11</v>
      </c>
      <c r="BR1789" t="s">
        <v>1574</v>
      </c>
      <c r="BS1789" t="s">
        <v>3252</v>
      </c>
      <c r="BV1789">
        <v>0</v>
      </c>
      <c r="BW1789">
        <v>0</v>
      </c>
      <c r="BX1789">
        <v>0</v>
      </c>
      <c r="BY1789">
        <v>0</v>
      </c>
      <c r="BZ1789">
        <v>0</v>
      </c>
      <c r="CA1789">
        <v>0</v>
      </c>
      <c r="CB1789">
        <v>0</v>
      </c>
      <c r="CC1789">
        <v>0</v>
      </c>
      <c r="CD1789">
        <v>0</v>
      </c>
      <c r="CE1789" t="s">
        <v>3108</v>
      </c>
      <c r="CF1789" t="s">
        <v>3108</v>
      </c>
      <c r="CG1789" t="s">
        <v>3108</v>
      </c>
      <c r="CH1789" t="s">
        <v>3108</v>
      </c>
    </row>
    <row r="1790" spans="1:86" x14ac:dyDescent="0.2">
      <c r="A1790" t="s">
        <v>5847</v>
      </c>
      <c r="B1790" t="s">
        <v>5847</v>
      </c>
      <c r="C1790">
        <v>54913</v>
      </c>
      <c r="D1790">
        <v>1913</v>
      </c>
      <c r="E1790" t="s">
        <v>5712</v>
      </c>
      <c r="F1790" t="s">
        <v>3249</v>
      </c>
      <c r="G1790" t="s">
        <v>3249</v>
      </c>
      <c r="H1790" t="s">
        <v>3250</v>
      </c>
      <c r="I1790" t="s">
        <v>3250</v>
      </c>
      <c r="J1790" t="s">
        <v>3250</v>
      </c>
      <c r="K1790" t="s">
        <v>3250</v>
      </c>
      <c r="L1790">
        <v>1200</v>
      </c>
      <c r="M1790" t="s">
        <v>2368</v>
      </c>
      <c r="N1790">
        <v>1204</v>
      </c>
      <c r="O1790" t="s">
        <v>1574</v>
      </c>
      <c r="P1790" t="s">
        <v>3108</v>
      </c>
      <c r="Q1790" t="s">
        <v>3249</v>
      </c>
      <c r="R1790" t="s">
        <v>3249</v>
      </c>
      <c r="S1790" t="s">
        <v>472</v>
      </c>
      <c r="T1790" t="s">
        <v>3251</v>
      </c>
      <c r="U1790">
        <v>120</v>
      </c>
      <c r="V1790" t="s">
        <v>599</v>
      </c>
      <c r="W1790">
        <v>120</v>
      </c>
      <c r="X1790" t="s">
        <v>599</v>
      </c>
      <c r="Y1790" t="s">
        <v>5848</v>
      </c>
      <c r="Z1790" t="s">
        <v>1360</v>
      </c>
      <c r="AA1790" t="s">
        <v>5848</v>
      </c>
      <c r="AB1790" t="s">
        <v>1360</v>
      </c>
      <c r="AC1790" t="s">
        <v>3250</v>
      </c>
      <c r="AD1790" t="s">
        <v>3250</v>
      </c>
      <c r="AE1790" t="s">
        <v>3250</v>
      </c>
      <c r="AF1790" t="s">
        <v>3250</v>
      </c>
      <c r="AG1790" t="s">
        <v>3250</v>
      </c>
      <c r="AH1790" t="s">
        <v>3250</v>
      </c>
      <c r="AI1790" t="s">
        <v>3250</v>
      </c>
      <c r="AJ1790" t="s">
        <v>3250</v>
      </c>
      <c r="AL1790" t="s">
        <v>3250</v>
      </c>
      <c r="AM1790" t="s">
        <v>3250</v>
      </c>
      <c r="AN1790" t="s">
        <v>3250</v>
      </c>
      <c r="AO1790" t="s">
        <v>3250</v>
      </c>
      <c r="AR1790" t="s">
        <v>486</v>
      </c>
      <c r="AS1790" t="s">
        <v>3250</v>
      </c>
      <c r="AT1790" t="s">
        <v>3250</v>
      </c>
      <c r="AU1790" t="s">
        <v>3250</v>
      </c>
      <c r="AV1790" t="s">
        <v>3250</v>
      </c>
      <c r="AW1790" t="s">
        <v>3250</v>
      </c>
      <c r="AX1790" t="s">
        <v>3250</v>
      </c>
      <c r="AY1790" t="s">
        <v>3250</v>
      </c>
      <c r="AZ1790" t="s">
        <v>3250</v>
      </c>
      <c r="BA1790" t="s">
        <v>3250</v>
      </c>
      <c r="BB1790" t="s">
        <v>3250</v>
      </c>
      <c r="BC1790" t="s">
        <v>3250</v>
      </c>
      <c r="BE1790" t="s">
        <v>3250</v>
      </c>
      <c r="BF1790" t="s">
        <v>3250</v>
      </c>
      <c r="BG1790" t="s">
        <v>3250</v>
      </c>
      <c r="BH1790" t="s">
        <v>3250</v>
      </c>
      <c r="BI1790" t="s">
        <v>3250</v>
      </c>
      <c r="BK1790" t="s">
        <v>3250</v>
      </c>
      <c r="BL1790" t="s">
        <v>3250</v>
      </c>
      <c r="BM1790" t="s">
        <v>3250</v>
      </c>
      <c r="BN1790" t="s">
        <v>3250</v>
      </c>
      <c r="BP1790">
        <v>1</v>
      </c>
      <c r="BQ1790">
        <v>11</v>
      </c>
      <c r="BR1790" t="s">
        <v>1574</v>
      </c>
      <c r="BS1790" t="s">
        <v>3252</v>
      </c>
      <c r="BV1790">
        <v>0</v>
      </c>
      <c r="BW1790">
        <v>0</v>
      </c>
      <c r="BX1790">
        <v>0</v>
      </c>
      <c r="BY1790">
        <v>0</v>
      </c>
      <c r="BZ1790">
        <v>0</v>
      </c>
      <c r="CA1790">
        <v>0</v>
      </c>
      <c r="CB1790">
        <v>0</v>
      </c>
      <c r="CC1790">
        <v>0</v>
      </c>
      <c r="CD1790">
        <v>0</v>
      </c>
      <c r="CE1790" t="s">
        <v>3108</v>
      </c>
      <c r="CF1790" t="s">
        <v>3108</v>
      </c>
      <c r="CG1790" t="s">
        <v>3108</v>
      </c>
      <c r="CH1790" t="s">
        <v>3108</v>
      </c>
    </row>
    <row r="1791" spans="1:86" x14ac:dyDescent="0.2">
      <c r="A1791" t="s">
        <v>5849</v>
      </c>
      <c r="B1791" t="s">
        <v>5849</v>
      </c>
      <c r="C1791">
        <v>54914</v>
      </c>
      <c r="D1791">
        <v>1914</v>
      </c>
      <c r="E1791" t="s">
        <v>5717</v>
      </c>
      <c r="F1791" t="s">
        <v>3249</v>
      </c>
      <c r="G1791" t="s">
        <v>3249</v>
      </c>
      <c r="H1791" t="s">
        <v>3250</v>
      </c>
      <c r="I1791" t="s">
        <v>3250</v>
      </c>
      <c r="J1791" t="s">
        <v>3250</v>
      </c>
      <c r="K1791" t="s">
        <v>3250</v>
      </c>
      <c r="L1791">
        <v>1200</v>
      </c>
      <c r="M1791" t="s">
        <v>2368</v>
      </c>
      <c r="N1791">
        <v>1204</v>
      </c>
      <c r="O1791" t="s">
        <v>1574</v>
      </c>
      <c r="P1791" t="s">
        <v>3108</v>
      </c>
      <c r="Q1791" t="s">
        <v>3249</v>
      </c>
      <c r="R1791" t="s">
        <v>3249</v>
      </c>
      <c r="S1791" t="s">
        <v>472</v>
      </c>
      <c r="T1791" t="s">
        <v>3251</v>
      </c>
      <c r="U1791">
        <v>120</v>
      </c>
      <c r="V1791" t="s">
        <v>599</v>
      </c>
      <c r="W1791">
        <v>120</v>
      </c>
      <c r="X1791" t="s">
        <v>599</v>
      </c>
      <c r="Y1791" t="s">
        <v>5850</v>
      </c>
      <c r="Z1791" t="s">
        <v>1360</v>
      </c>
      <c r="AA1791" t="s">
        <v>5850</v>
      </c>
      <c r="AB1791" t="s">
        <v>1360</v>
      </c>
      <c r="AC1791" t="s">
        <v>3250</v>
      </c>
      <c r="AD1791" t="s">
        <v>3250</v>
      </c>
      <c r="AE1791" t="s">
        <v>3250</v>
      </c>
      <c r="AF1791" t="s">
        <v>3250</v>
      </c>
      <c r="AG1791" t="s">
        <v>3250</v>
      </c>
      <c r="AH1791" t="s">
        <v>3250</v>
      </c>
      <c r="AI1791" t="s">
        <v>3250</v>
      </c>
      <c r="AJ1791" t="s">
        <v>3250</v>
      </c>
      <c r="AL1791" t="s">
        <v>3250</v>
      </c>
      <c r="AM1791" t="s">
        <v>3250</v>
      </c>
      <c r="AN1791" t="s">
        <v>3250</v>
      </c>
      <c r="AO1791" t="s">
        <v>3250</v>
      </c>
      <c r="AR1791" t="s">
        <v>5718</v>
      </c>
      <c r="AS1791" t="s">
        <v>3250</v>
      </c>
      <c r="AT1791" t="s">
        <v>3250</v>
      </c>
      <c r="AU1791" t="s">
        <v>3250</v>
      </c>
      <c r="AV1791" t="s">
        <v>3250</v>
      </c>
      <c r="AW1791" t="s">
        <v>3250</v>
      </c>
      <c r="AX1791" t="s">
        <v>3250</v>
      </c>
      <c r="AY1791" t="s">
        <v>3250</v>
      </c>
      <c r="AZ1791" t="s">
        <v>3250</v>
      </c>
      <c r="BA1791" t="s">
        <v>3250</v>
      </c>
      <c r="BB1791" t="s">
        <v>3250</v>
      </c>
      <c r="BC1791" t="s">
        <v>3250</v>
      </c>
      <c r="BE1791" t="s">
        <v>3250</v>
      </c>
      <c r="BF1791" t="s">
        <v>3250</v>
      </c>
      <c r="BG1791" t="s">
        <v>3250</v>
      </c>
      <c r="BH1791" t="s">
        <v>3250</v>
      </c>
      <c r="BI1791" t="s">
        <v>3250</v>
      </c>
      <c r="BK1791" t="s">
        <v>3250</v>
      </c>
      <c r="BL1791" t="s">
        <v>3250</v>
      </c>
      <c r="BM1791" t="s">
        <v>3250</v>
      </c>
      <c r="BN1791" t="s">
        <v>3250</v>
      </c>
      <c r="BP1791">
        <v>1</v>
      </c>
      <c r="BQ1791">
        <v>11</v>
      </c>
      <c r="BR1791" t="s">
        <v>1574</v>
      </c>
      <c r="BS1791" t="s">
        <v>3252</v>
      </c>
      <c r="BV1791">
        <v>0</v>
      </c>
      <c r="BW1791">
        <v>0</v>
      </c>
      <c r="BX1791">
        <v>0</v>
      </c>
      <c r="BY1791">
        <v>-345181</v>
      </c>
      <c r="BZ1791">
        <v>0</v>
      </c>
      <c r="CA1791">
        <v>0</v>
      </c>
      <c r="CB1791">
        <v>0</v>
      </c>
      <c r="CC1791">
        <v>0</v>
      </c>
      <c r="CD1791">
        <v>0</v>
      </c>
      <c r="CE1791" t="s">
        <v>3108</v>
      </c>
      <c r="CF1791" t="s">
        <v>3108</v>
      </c>
      <c r="CG1791" t="s">
        <v>3108</v>
      </c>
      <c r="CH1791" t="s">
        <v>3108</v>
      </c>
    </row>
    <row r="1792" spans="1:86" x14ac:dyDescent="0.2">
      <c r="A1792" t="s">
        <v>5851</v>
      </c>
      <c r="B1792" t="s">
        <v>5851</v>
      </c>
      <c r="C1792">
        <v>54915</v>
      </c>
      <c r="D1792">
        <v>1915</v>
      </c>
      <c r="E1792" t="s">
        <v>5115</v>
      </c>
      <c r="F1792" t="s">
        <v>3249</v>
      </c>
      <c r="G1792" t="s">
        <v>3249</v>
      </c>
      <c r="H1792" t="s">
        <v>3250</v>
      </c>
      <c r="I1792" t="s">
        <v>3250</v>
      </c>
      <c r="J1792" t="s">
        <v>3250</v>
      </c>
      <c r="K1792" t="s">
        <v>3250</v>
      </c>
      <c r="L1792">
        <v>1200</v>
      </c>
      <c r="M1792" t="s">
        <v>2368</v>
      </c>
      <c r="N1792">
        <v>1204</v>
      </c>
      <c r="O1792" t="s">
        <v>1574</v>
      </c>
      <c r="P1792" t="s">
        <v>3108</v>
      </c>
      <c r="Q1792" t="s">
        <v>3249</v>
      </c>
      <c r="R1792" t="s">
        <v>3249</v>
      </c>
      <c r="S1792" t="s">
        <v>472</v>
      </c>
      <c r="T1792" t="s">
        <v>3251</v>
      </c>
      <c r="U1792">
        <v>120</v>
      </c>
      <c r="V1792" t="s">
        <v>599</v>
      </c>
      <c r="W1792">
        <v>120</v>
      </c>
      <c r="X1792" t="s">
        <v>599</v>
      </c>
      <c r="Y1792" t="s">
        <v>2758</v>
      </c>
      <c r="Z1792" t="s">
        <v>1360</v>
      </c>
      <c r="AA1792">
        <v>170</v>
      </c>
      <c r="AB1792" t="s">
        <v>1404</v>
      </c>
      <c r="AC1792" t="s">
        <v>3250</v>
      </c>
      <c r="AD1792" t="s">
        <v>3250</v>
      </c>
      <c r="AE1792" t="s">
        <v>3250</v>
      </c>
      <c r="AF1792" t="s">
        <v>3250</v>
      </c>
      <c r="AG1792" t="s">
        <v>3250</v>
      </c>
      <c r="AH1792" t="s">
        <v>3250</v>
      </c>
      <c r="AI1792" t="s">
        <v>3250</v>
      </c>
      <c r="AJ1792" t="s">
        <v>3250</v>
      </c>
      <c r="AL1792" t="s">
        <v>3250</v>
      </c>
      <c r="AM1792" t="s">
        <v>3250</v>
      </c>
      <c r="AN1792" t="s">
        <v>3250</v>
      </c>
      <c r="AO1792" t="s">
        <v>3250</v>
      </c>
      <c r="AR1792" t="s">
        <v>472</v>
      </c>
      <c r="AS1792" t="s">
        <v>3250</v>
      </c>
      <c r="AT1792" t="s">
        <v>3250</v>
      </c>
      <c r="AU1792" t="s">
        <v>3250</v>
      </c>
      <c r="AV1792" t="s">
        <v>3250</v>
      </c>
      <c r="AW1792" t="s">
        <v>3250</v>
      </c>
      <c r="AX1792" t="s">
        <v>3250</v>
      </c>
      <c r="AY1792" t="s">
        <v>3250</v>
      </c>
      <c r="AZ1792" t="s">
        <v>3250</v>
      </c>
      <c r="BA1792" t="s">
        <v>3250</v>
      </c>
      <c r="BB1792" t="s">
        <v>3250</v>
      </c>
      <c r="BC1792" t="s">
        <v>3250</v>
      </c>
      <c r="BE1792" t="s">
        <v>3250</v>
      </c>
      <c r="BF1792" t="s">
        <v>3250</v>
      </c>
      <c r="BG1792" t="s">
        <v>3250</v>
      </c>
      <c r="BH1792" t="s">
        <v>3250</v>
      </c>
      <c r="BI1792" t="s">
        <v>3250</v>
      </c>
      <c r="BK1792" t="s">
        <v>3250</v>
      </c>
      <c r="BL1792" t="s">
        <v>3250</v>
      </c>
      <c r="BM1792" t="s">
        <v>3250</v>
      </c>
      <c r="BN1792" t="s">
        <v>3250</v>
      </c>
      <c r="BP1792">
        <v>1</v>
      </c>
      <c r="BQ1792">
        <v>11</v>
      </c>
      <c r="BR1792" t="s">
        <v>1574</v>
      </c>
      <c r="BS1792" t="s">
        <v>3252</v>
      </c>
      <c r="BV1792">
        <v>0</v>
      </c>
      <c r="BW1792">
        <v>0</v>
      </c>
      <c r="BX1792">
        <v>0</v>
      </c>
      <c r="BY1792">
        <v>345181</v>
      </c>
      <c r="BZ1792">
        <v>0</v>
      </c>
      <c r="CA1792">
        <v>8979185</v>
      </c>
      <c r="CB1792">
        <v>9338352</v>
      </c>
      <c r="CC1792">
        <v>9711886</v>
      </c>
      <c r="CD1792">
        <v>0</v>
      </c>
      <c r="CE1792" t="s">
        <v>3108</v>
      </c>
      <c r="CF1792" t="s">
        <v>3108</v>
      </c>
      <c r="CG1792" t="s">
        <v>3108</v>
      </c>
      <c r="CH1792" t="s">
        <v>3108</v>
      </c>
    </row>
    <row r="1793" spans="1:86" x14ac:dyDescent="0.2">
      <c r="A1793" t="s">
        <v>5852</v>
      </c>
      <c r="B1793" t="s">
        <v>5852</v>
      </c>
      <c r="C1793">
        <v>54916</v>
      </c>
      <c r="D1793">
        <v>1916</v>
      </c>
      <c r="E1793" t="s">
        <v>5712</v>
      </c>
      <c r="F1793" t="s">
        <v>3249</v>
      </c>
      <c r="G1793" t="s">
        <v>3249</v>
      </c>
      <c r="H1793" t="s">
        <v>3250</v>
      </c>
      <c r="I1793" t="s">
        <v>3250</v>
      </c>
      <c r="J1793" t="s">
        <v>3250</v>
      </c>
      <c r="K1793" t="s">
        <v>3250</v>
      </c>
      <c r="L1793">
        <v>1200</v>
      </c>
      <c r="M1793" t="s">
        <v>2368</v>
      </c>
      <c r="N1793">
        <v>1204</v>
      </c>
      <c r="O1793" t="s">
        <v>1574</v>
      </c>
      <c r="P1793" t="s">
        <v>3108</v>
      </c>
      <c r="Q1793" t="s">
        <v>3249</v>
      </c>
      <c r="R1793" t="s">
        <v>3249</v>
      </c>
      <c r="S1793" t="s">
        <v>472</v>
      </c>
      <c r="T1793" t="s">
        <v>3251</v>
      </c>
      <c r="U1793">
        <v>120</v>
      </c>
      <c r="V1793" t="s">
        <v>599</v>
      </c>
      <c r="W1793">
        <v>120</v>
      </c>
      <c r="X1793" t="s">
        <v>599</v>
      </c>
      <c r="Y1793" t="s">
        <v>3250</v>
      </c>
      <c r="Z1793" t="s">
        <v>3250</v>
      </c>
      <c r="AA1793" t="s">
        <v>3108</v>
      </c>
      <c r="AB1793" t="s">
        <v>3108</v>
      </c>
      <c r="AC1793" t="s">
        <v>3250</v>
      </c>
      <c r="AD1793" t="s">
        <v>3250</v>
      </c>
      <c r="AE1793" t="s">
        <v>3250</v>
      </c>
      <c r="AF1793" t="s">
        <v>3250</v>
      </c>
      <c r="AG1793" t="s">
        <v>3250</v>
      </c>
      <c r="AH1793" t="s">
        <v>3250</v>
      </c>
      <c r="AI1793" t="s">
        <v>3250</v>
      </c>
      <c r="AJ1793" t="s">
        <v>3250</v>
      </c>
      <c r="AL1793" t="s">
        <v>3250</v>
      </c>
      <c r="AM1793" t="s">
        <v>3250</v>
      </c>
      <c r="AN1793" t="s">
        <v>3250</v>
      </c>
      <c r="AO1793" t="s">
        <v>3250</v>
      </c>
      <c r="AR1793" t="s">
        <v>486</v>
      </c>
      <c r="AS1793" t="s">
        <v>3250</v>
      </c>
      <c r="AT1793" t="s">
        <v>3250</v>
      </c>
      <c r="AU1793" t="s">
        <v>3250</v>
      </c>
      <c r="AV1793" t="s">
        <v>3250</v>
      </c>
      <c r="AW1793" t="s">
        <v>3250</v>
      </c>
      <c r="AX1793" t="s">
        <v>3250</v>
      </c>
      <c r="AY1793" t="s">
        <v>3250</v>
      </c>
      <c r="AZ1793" t="s">
        <v>3250</v>
      </c>
      <c r="BA1793" t="s">
        <v>3250</v>
      </c>
      <c r="BB1793" t="s">
        <v>3250</v>
      </c>
      <c r="BC1793" t="s">
        <v>3250</v>
      </c>
      <c r="BE1793" t="s">
        <v>3250</v>
      </c>
      <c r="BF1793" t="s">
        <v>3250</v>
      </c>
      <c r="BG1793" t="s">
        <v>3250</v>
      </c>
      <c r="BH1793" t="s">
        <v>3250</v>
      </c>
      <c r="BI1793" t="s">
        <v>3250</v>
      </c>
      <c r="BK1793" t="s">
        <v>3250</v>
      </c>
      <c r="BL1793" t="s">
        <v>3250</v>
      </c>
      <c r="BM1793" t="s">
        <v>3250</v>
      </c>
      <c r="BN1793" t="s">
        <v>3250</v>
      </c>
      <c r="BP1793">
        <v>1</v>
      </c>
      <c r="BQ1793">
        <v>11</v>
      </c>
      <c r="BR1793" t="s">
        <v>1574</v>
      </c>
      <c r="BS1793" t="s">
        <v>3252</v>
      </c>
      <c r="BV1793">
        <v>0</v>
      </c>
      <c r="BW1793">
        <v>0</v>
      </c>
      <c r="BX1793">
        <v>0</v>
      </c>
      <c r="BY1793">
        <v>0</v>
      </c>
      <c r="BZ1793">
        <v>0</v>
      </c>
      <c r="CA1793">
        <v>0</v>
      </c>
      <c r="CB1793">
        <v>0</v>
      </c>
      <c r="CC1793">
        <v>0</v>
      </c>
      <c r="CD1793">
        <v>0</v>
      </c>
      <c r="CE1793" t="s">
        <v>3108</v>
      </c>
      <c r="CF1793" t="s">
        <v>3108</v>
      </c>
      <c r="CG1793" t="s">
        <v>3108</v>
      </c>
      <c r="CH1793" t="s">
        <v>3108</v>
      </c>
    </row>
    <row r="1794" spans="1:86" x14ac:dyDescent="0.2">
      <c r="A1794" t="s">
        <v>5853</v>
      </c>
      <c r="B1794" t="s">
        <v>5853</v>
      </c>
      <c r="C1794">
        <v>54917</v>
      </c>
      <c r="D1794">
        <v>1917</v>
      </c>
      <c r="E1794" t="s">
        <v>5717</v>
      </c>
      <c r="F1794" t="s">
        <v>3249</v>
      </c>
      <c r="G1794" t="s">
        <v>3249</v>
      </c>
      <c r="H1794" t="s">
        <v>3250</v>
      </c>
      <c r="I1794" t="s">
        <v>3250</v>
      </c>
      <c r="J1794" t="s">
        <v>3250</v>
      </c>
      <c r="K1794" t="s">
        <v>3250</v>
      </c>
      <c r="L1794">
        <v>1200</v>
      </c>
      <c r="M1794" t="s">
        <v>2368</v>
      </c>
      <c r="N1794">
        <v>1204</v>
      </c>
      <c r="O1794" t="s">
        <v>1574</v>
      </c>
      <c r="P1794" t="s">
        <v>3108</v>
      </c>
      <c r="Q1794" t="s">
        <v>3249</v>
      </c>
      <c r="R1794" t="s">
        <v>3249</v>
      </c>
      <c r="S1794" t="s">
        <v>472</v>
      </c>
      <c r="T1794" t="s">
        <v>3251</v>
      </c>
      <c r="U1794">
        <v>120</v>
      </c>
      <c r="V1794" t="s">
        <v>599</v>
      </c>
      <c r="W1794">
        <v>120</v>
      </c>
      <c r="X1794" t="s">
        <v>599</v>
      </c>
      <c r="Y1794" t="s">
        <v>3250</v>
      </c>
      <c r="Z1794" t="s">
        <v>3250</v>
      </c>
      <c r="AA1794" t="s">
        <v>3108</v>
      </c>
      <c r="AB1794" t="s">
        <v>3108</v>
      </c>
      <c r="AC1794" t="s">
        <v>3250</v>
      </c>
      <c r="AD1794" t="s">
        <v>3250</v>
      </c>
      <c r="AE1794" t="s">
        <v>3250</v>
      </c>
      <c r="AF1794" t="s">
        <v>3250</v>
      </c>
      <c r="AG1794" t="s">
        <v>3250</v>
      </c>
      <c r="AH1794" t="s">
        <v>3250</v>
      </c>
      <c r="AI1794" t="s">
        <v>3250</v>
      </c>
      <c r="AJ1794" t="s">
        <v>3250</v>
      </c>
      <c r="AL1794" t="s">
        <v>3250</v>
      </c>
      <c r="AM1794" t="s">
        <v>3250</v>
      </c>
      <c r="AN1794" t="s">
        <v>3250</v>
      </c>
      <c r="AO1794" t="s">
        <v>3250</v>
      </c>
      <c r="AR1794" t="s">
        <v>5718</v>
      </c>
      <c r="AS1794" t="s">
        <v>3250</v>
      </c>
      <c r="AT1794" t="s">
        <v>3250</v>
      </c>
      <c r="AU1794" t="s">
        <v>3250</v>
      </c>
      <c r="AV1794" t="s">
        <v>3250</v>
      </c>
      <c r="AW1794" t="s">
        <v>3250</v>
      </c>
      <c r="AX1794" t="s">
        <v>3250</v>
      </c>
      <c r="AY1794" t="s">
        <v>3250</v>
      </c>
      <c r="AZ1794" t="s">
        <v>3250</v>
      </c>
      <c r="BA1794" t="s">
        <v>3250</v>
      </c>
      <c r="BB1794" t="s">
        <v>3250</v>
      </c>
      <c r="BC1794" t="s">
        <v>3250</v>
      </c>
      <c r="BE1794" t="s">
        <v>3250</v>
      </c>
      <c r="BF1794" t="s">
        <v>3250</v>
      </c>
      <c r="BG1794" t="s">
        <v>3250</v>
      </c>
      <c r="BH1794" t="s">
        <v>3250</v>
      </c>
      <c r="BI1794" t="s">
        <v>3250</v>
      </c>
      <c r="BK1794" t="s">
        <v>3250</v>
      </c>
      <c r="BL1794" t="s">
        <v>3250</v>
      </c>
      <c r="BM1794" t="s">
        <v>3250</v>
      </c>
      <c r="BN1794" t="s">
        <v>3250</v>
      </c>
      <c r="BP1794">
        <v>1</v>
      </c>
      <c r="BQ1794">
        <v>11</v>
      </c>
      <c r="BR1794" t="s">
        <v>1574</v>
      </c>
      <c r="BS1794" t="s">
        <v>3252</v>
      </c>
      <c r="BV1794">
        <v>0</v>
      </c>
      <c r="BW1794">
        <v>0</v>
      </c>
      <c r="BX1794">
        <v>0</v>
      </c>
      <c r="BY1794">
        <v>-3850000</v>
      </c>
      <c r="BZ1794">
        <v>0</v>
      </c>
      <c r="CA1794">
        <v>0</v>
      </c>
      <c r="CB1794">
        <v>0</v>
      </c>
      <c r="CC1794">
        <v>0</v>
      </c>
      <c r="CD1794">
        <v>0</v>
      </c>
      <c r="CE1794" t="s">
        <v>3108</v>
      </c>
      <c r="CF1794" t="s">
        <v>3108</v>
      </c>
      <c r="CG1794" t="s">
        <v>3108</v>
      </c>
      <c r="CH1794" t="s">
        <v>3108</v>
      </c>
    </row>
    <row r="1795" spans="1:86" x14ac:dyDescent="0.2">
      <c r="A1795" t="s">
        <v>5854</v>
      </c>
      <c r="B1795" t="s">
        <v>5854</v>
      </c>
      <c r="C1795">
        <v>54918</v>
      </c>
      <c r="D1795">
        <v>1918</v>
      </c>
      <c r="E1795" t="s">
        <v>5746</v>
      </c>
      <c r="F1795" t="s">
        <v>3249</v>
      </c>
      <c r="G1795" t="s">
        <v>3249</v>
      </c>
      <c r="H1795" t="s">
        <v>3250</v>
      </c>
      <c r="I1795" t="s">
        <v>3250</v>
      </c>
      <c r="J1795" t="s">
        <v>3250</v>
      </c>
      <c r="K1795" t="s">
        <v>3250</v>
      </c>
      <c r="L1795">
        <v>1200</v>
      </c>
      <c r="M1795" t="s">
        <v>2368</v>
      </c>
      <c r="N1795">
        <v>1204</v>
      </c>
      <c r="O1795" t="s">
        <v>1574</v>
      </c>
      <c r="P1795" t="s">
        <v>3108</v>
      </c>
      <c r="Q1795" t="s">
        <v>3249</v>
      </c>
      <c r="R1795" t="s">
        <v>3249</v>
      </c>
      <c r="S1795" t="s">
        <v>472</v>
      </c>
      <c r="T1795" t="s">
        <v>3251</v>
      </c>
      <c r="U1795">
        <v>120</v>
      </c>
      <c r="V1795" t="s">
        <v>599</v>
      </c>
      <c r="W1795">
        <v>120</v>
      </c>
      <c r="X1795" t="s">
        <v>599</v>
      </c>
      <c r="Y1795" t="s">
        <v>3250</v>
      </c>
      <c r="Z1795" t="s">
        <v>3250</v>
      </c>
      <c r="AA1795" t="s">
        <v>3108</v>
      </c>
      <c r="AB1795" t="s">
        <v>3108</v>
      </c>
      <c r="AC1795">
        <v>200</v>
      </c>
      <c r="AD1795" t="s">
        <v>5291</v>
      </c>
      <c r="AE1795">
        <v>480</v>
      </c>
      <c r="AF1795" t="s">
        <v>822</v>
      </c>
      <c r="AG1795" t="s">
        <v>3250</v>
      </c>
      <c r="AH1795" t="s">
        <v>3250</v>
      </c>
      <c r="AI1795" t="s">
        <v>3250</v>
      </c>
      <c r="AJ1795" t="s">
        <v>3250</v>
      </c>
      <c r="AL1795" t="s">
        <v>3250</v>
      </c>
      <c r="AM1795" t="s">
        <v>3250</v>
      </c>
      <c r="AN1795" t="s">
        <v>3250</v>
      </c>
      <c r="AO1795" t="s">
        <v>3250</v>
      </c>
      <c r="AS1795" t="s">
        <v>3250</v>
      </c>
      <c r="AT1795" t="s">
        <v>3250</v>
      </c>
      <c r="AU1795" t="s">
        <v>3250</v>
      </c>
      <c r="AV1795" t="s">
        <v>3250</v>
      </c>
      <c r="AW1795" t="s">
        <v>3250</v>
      </c>
      <c r="AX1795" t="s">
        <v>3250</v>
      </c>
      <c r="AY1795" t="s">
        <v>3250</v>
      </c>
      <c r="AZ1795" t="s">
        <v>3250</v>
      </c>
      <c r="BA1795" t="s">
        <v>3250</v>
      </c>
      <c r="BB1795" t="s">
        <v>3250</v>
      </c>
      <c r="BC1795" t="s">
        <v>3250</v>
      </c>
      <c r="BE1795" t="s">
        <v>3250</v>
      </c>
      <c r="BF1795" t="s">
        <v>3250</v>
      </c>
      <c r="BG1795" t="s">
        <v>3250</v>
      </c>
      <c r="BH1795" t="s">
        <v>3250</v>
      </c>
      <c r="BI1795" t="s">
        <v>3250</v>
      </c>
      <c r="BK1795" t="s">
        <v>3250</v>
      </c>
      <c r="BL1795" t="s">
        <v>3250</v>
      </c>
      <c r="BM1795" t="s">
        <v>3250</v>
      </c>
      <c r="BN1795" t="s">
        <v>3250</v>
      </c>
      <c r="BP1795">
        <v>1</v>
      </c>
      <c r="BQ1795">
        <v>11</v>
      </c>
      <c r="BR1795" t="s">
        <v>1574</v>
      </c>
      <c r="BS1795" t="s">
        <v>3252</v>
      </c>
      <c r="BV1795">
        <v>0</v>
      </c>
      <c r="BW1795">
        <v>0</v>
      </c>
      <c r="BX1795">
        <v>0</v>
      </c>
      <c r="BY1795">
        <v>0</v>
      </c>
      <c r="BZ1795">
        <v>0</v>
      </c>
      <c r="CA1795">
        <v>0</v>
      </c>
      <c r="CB1795">
        <v>0</v>
      </c>
      <c r="CC1795">
        <v>0</v>
      </c>
      <c r="CD1795">
        <v>0</v>
      </c>
      <c r="CE1795" t="s">
        <v>3108</v>
      </c>
      <c r="CF1795" t="s">
        <v>3108</v>
      </c>
      <c r="CG1795" t="s">
        <v>3108</v>
      </c>
      <c r="CH1795" t="s">
        <v>3108</v>
      </c>
    </row>
    <row r="1796" spans="1:86" x14ac:dyDescent="0.2">
      <c r="A1796" t="s">
        <v>5855</v>
      </c>
      <c r="B1796" t="s">
        <v>5855</v>
      </c>
      <c r="C1796">
        <v>54919</v>
      </c>
      <c r="D1796">
        <v>1919</v>
      </c>
      <c r="E1796" t="s">
        <v>5717</v>
      </c>
      <c r="F1796" t="s">
        <v>3249</v>
      </c>
      <c r="G1796" t="s">
        <v>3249</v>
      </c>
      <c r="H1796" t="s">
        <v>3250</v>
      </c>
      <c r="I1796" t="s">
        <v>3250</v>
      </c>
      <c r="J1796" t="s">
        <v>3250</v>
      </c>
      <c r="K1796" t="s">
        <v>3250</v>
      </c>
      <c r="L1796">
        <v>1200</v>
      </c>
      <c r="M1796" t="s">
        <v>2368</v>
      </c>
      <c r="N1796">
        <v>1204</v>
      </c>
      <c r="O1796" t="s">
        <v>1574</v>
      </c>
      <c r="P1796" t="s">
        <v>3108</v>
      </c>
      <c r="Q1796" t="s">
        <v>3249</v>
      </c>
      <c r="R1796" t="s">
        <v>3249</v>
      </c>
      <c r="S1796" t="s">
        <v>472</v>
      </c>
      <c r="T1796" t="s">
        <v>3251</v>
      </c>
      <c r="U1796">
        <v>120</v>
      </c>
      <c r="V1796" t="s">
        <v>599</v>
      </c>
      <c r="W1796">
        <v>120</v>
      </c>
      <c r="X1796" t="s">
        <v>599</v>
      </c>
      <c r="Y1796" t="s">
        <v>5704</v>
      </c>
      <c r="Z1796" t="s">
        <v>292</v>
      </c>
      <c r="AA1796" t="s">
        <v>5704</v>
      </c>
      <c r="AB1796" t="s">
        <v>292</v>
      </c>
      <c r="AC1796" t="s">
        <v>3250</v>
      </c>
      <c r="AD1796" t="s">
        <v>3250</v>
      </c>
      <c r="AE1796" t="s">
        <v>3250</v>
      </c>
      <c r="AF1796" t="s">
        <v>3250</v>
      </c>
      <c r="AG1796" t="s">
        <v>3250</v>
      </c>
      <c r="AH1796" t="s">
        <v>3250</v>
      </c>
      <c r="AI1796" t="s">
        <v>3250</v>
      </c>
      <c r="AJ1796" t="s">
        <v>3250</v>
      </c>
      <c r="AL1796" t="s">
        <v>3250</v>
      </c>
      <c r="AM1796" t="s">
        <v>3250</v>
      </c>
      <c r="AN1796" t="s">
        <v>3250</v>
      </c>
      <c r="AO1796" t="s">
        <v>3250</v>
      </c>
      <c r="AR1796" t="s">
        <v>5718</v>
      </c>
      <c r="AS1796" t="s">
        <v>3250</v>
      </c>
      <c r="AT1796" t="s">
        <v>3250</v>
      </c>
      <c r="AU1796" t="s">
        <v>3250</v>
      </c>
      <c r="AV1796" t="s">
        <v>3250</v>
      </c>
      <c r="AW1796" t="s">
        <v>3250</v>
      </c>
      <c r="AX1796" t="s">
        <v>3250</v>
      </c>
      <c r="AY1796" t="s">
        <v>3250</v>
      </c>
      <c r="AZ1796" t="s">
        <v>3250</v>
      </c>
      <c r="BA1796" t="s">
        <v>3250</v>
      </c>
      <c r="BB1796" t="s">
        <v>3250</v>
      </c>
      <c r="BC1796" t="s">
        <v>3250</v>
      </c>
      <c r="BE1796" t="s">
        <v>3250</v>
      </c>
      <c r="BF1796" t="s">
        <v>3250</v>
      </c>
      <c r="BG1796" t="s">
        <v>3250</v>
      </c>
      <c r="BH1796" t="s">
        <v>3250</v>
      </c>
      <c r="BI1796" t="s">
        <v>3250</v>
      </c>
      <c r="BK1796" t="s">
        <v>3250</v>
      </c>
      <c r="BL1796" t="s">
        <v>3250</v>
      </c>
      <c r="BM1796" t="s">
        <v>3250</v>
      </c>
      <c r="BN1796" t="s">
        <v>3250</v>
      </c>
      <c r="BP1796">
        <v>1</v>
      </c>
      <c r="BQ1796">
        <v>11</v>
      </c>
      <c r="BR1796" t="s">
        <v>1574</v>
      </c>
      <c r="BS1796" t="s">
        <v>3252</v>
      </c>
      <c r="BV1796">
        <v>0</v>
      </c>
      <c r="BW1796">
        <v>0</v>
      </c>
      <c r="BX1796">
        <v>0</v>
      </c>
      <c r="BY1796">
        <v>-1883321</v>
      </c>
      <c r="BZ1796">
        <v>0</v>
      </c>
      <c r="CA1796">
        <v>0</v>
      </c>
      <c r="CB1796">
        <v>0</v>
      </c>
      <c r="CC1796">
        <v>0</v>
      </c>
      <c r="CD1796">
        <v>0</v>
      </c>
      <c r="CE1796" t="s">
        <v>3108</v>
      </c>
      <c r="CF1796" t="s">
        <v>3108</v>
      </c>
      <c r="CG1796" t="s">
        <v>3108</v>
      </c>
      <c r="CH1796" t="s">
        <v>3108</v>
      </c>
    </row>
    <row r="1797" spans="1:86" x14ac:dyDescent="0.2">
      <c r="A1797" t="s">
        <v>5856</v>
      </c>
      <c r="B1797" t="s">
        <v>5856</v>
      </c>
      <c r="C1797">
        <v>54920</v>
      </c>
      <c r="D1797">
        <v>1920</v>
      </c>
      <c r="E1797" t="s">
        <v>5712</v>
      </c>
      <c r="F1797" t="s">
        <v>3249</v>
      </c>
      <c r="G1797" t="s">
        <v>3249</v>
      </c>
      <c r="H1797" t="s">
        <v>3250</v>
      </c>
      <c r="I1797" t="s">
        <v>3250</v>
      </c>
      <c r="J1797" t="s">
        <v>3250</v>
      </c>
      <c r="K1797" t="s">
        <v>3250</v>
      </c>
      <c r="L1797">
        <v>1200</v>
      </c>
      <c r="M1797" t="s">
        <v>2368</v>
      </c>
      <c r="N1797">
        <v>1204</v>
      </c>
      <c r="O1797" t="s">
        <v>1574</v>
      </c>
      <c r="P1797" t="s">
        <v>3108</v>
      </c>
      <c r="Q1797" t="s">
        <v>3249</v>
      </c>
      <c r="R1797" t="s">
        <v>3249</v>
      </c>
      <c r="S1797" t="s">
        <v>472</v>
      </c>
      <c r="T1797" t="s">
        <v>3251</v>
      </c>
      <c r="U1797">
        <v>120</v>
      </c>
      <c r="V1797" t="s">
        <v>599</v>
      </c>
      <c r="W1797">
        <v>120</v>
      </c>
      <c r="X1797" t="s">
        <v>599</v>
      </c>
      <c r="Y1797" t="s">
        <v>2772</v>
      </c>
      <c r="Z1797" t="s">
        <v>292</v>
      </c>
      <c r="AA1797" t="s">
        <v>2772</v>
      </c>
      <c r="AB1797" t="s">
        <v>292</v>
      </c>
      <c r="AC1797" t="s">
        <v>3250</v>
      </c>
      <c r="AD1797" t="s">
        <v>3250</v>
      </c>
      <c r="AE1797" t="s">
        <v>3250</v>
      </c>
      <c r="AF1797" t="s">
        <v>3250</v>
      </c>
      <c r="AG1797" t="s">
        <v>3250</v>
      </c>
      <c r="AH1797" t="s">
        <v>3250</v>
      </c>
      <c r="AI1797" t="s">
        <v>3250</v>
      </c>
      <c r="AJ1797" t="s">
        <v>3250</v>
      </c>
      <c r="AL1797" t="s">
        <v>3250</v>
      </c>
      <c r="AM1797" t="s">
        <v>3250</v>
      </c>
      <c r="AN1797" t="s">
        <v>3250</v>
      </c>
      <c r="AO1797" t="s">
        <v>3250</v>
      </c>
      <c r="AR1797" t="s">
        <v>486</v>
      </c>
      <c r="AS1797" t="s">
        <v>3250</v>
      </c>
      <c r="AT1797" t="s">
        <v>3250</v>
      </c>
      <c r="AU1797" t="s">
        <v>3250</v>
      </c>
      <c r="AV1797" t="s">
        <v>3250</v>
      </c>
      <c r="AW1797" t="s">
        <v>3250</v>
      </c>
      <c r="AX1797" t="s">
        <v>3250</v>
      </c>
      <c r="AY1797" t="s">
        <v>3250</v>
      </c>
      <c r="AZ1797" t="s">
        <v>3250</v>
      </c>
      <c r="BA1797" t="s">
        <v>3250</v>
      </c>
      <c r="BB1797" t="s">
        <v>3250</v>
      </c>
      <c r="BC1797" t="s">
        <v>3250</v>
      </c>
      <c r="BE1797" t="s">
        <v>3250</v>
      </c>
      <c r="BF1797" t="s">
        <v>3250</v>
      </c>
      <c r="BG1797" t="s">
        <v>3250</v>
      </c>
      <c r="BH1797" t="s">
        <v>3250</v>
      </c>
      <c r="BI1797" t="s">
        <v>3250</v>
      </c>
      <c r="BK1797" t="s">
        <v>3250</v>
      </c>
      <c r="BL1797" t="s">
        <v>3250</v>
      </c>
      <c r="BM1797" t="s">
        <v>3250</v>
      </c>
      <c r="BN1797" t="s">
        <v>3250</v>
      </c>
      <c r="BP1797">
        <v>1</v>
      </c>
      <c r="BQ1797">
        <v>11</v>
      </c>
      <c r="BR1797" t="s">
        <v>1574</v>
      </c>
      <c r="BS1797" t="s">
        <v>3252</v>
      </c>
      <c r="BV1797">
        <v>0</v>
      </c>
      <c r="BW1797">
        <v>0</v>
      </c>
      <c r="BX1797">
        <v>0</v>
      </c>
      <c r="BY1797">
        <v>0</v>
      </c>
      <c r="BZ1797">
        <v>3408647</v>
      </c>
      <c r="CA1797">
        <v>0</v>
      </c>
      <c r="CB1797">
        <v>0</v>
      </c>
      <c r="CC1797">
        <v>0</v>
      </c>
      <c r="CD1797">
        <v>0</v>
      </c>
      <c r="CE1797" t="s">
        <v>3108</v>
      </c>
      <c r="CF1797" t="s">
        <v>3108</v>
      </c>
      <c r="CG1797" t="s">
        <v>3108</v>
      </c>
      <c r="CH1797" t="s">
        <v>3108</v>
      </c>
    </row>
    <row r="1798" spans="1:86" x14ac:dyDescent="0.2">
      <c r="A1798" t="s">
        <v>5857</v>
      </c>
      <c r="B1798" t="s">
        <v>5857</v>
      </c>
      <c r="C1798">
        <v>54921</v>
      </c>
      <c r="D1798">
        <v>1921</v>
      </c>
      <c r="E1798" t="s">
        <v>5746</v>
      </c>
      <c r="F1798" t="s">
        <v>3249</v>
      </c>
      <c r="G1798" t="s">
        <v>3249</v>
      </c>
      <c r="H1798" t="s">
        <v>3250</v>
      </c>
      <c r="I1798" t="s">
        <v>3250</v>
      </c>
      <c r="J1798" t="s">
        <v>3250</v>
      </c>
      <c r="K1798" t="s">
        <v>3250</v>
      </c>
      <c r="L1798">
        <v>1200</v>
      </c>
      <c r="M1798" t="s">
        <v>2368</v>
      </c>
      <c r="N1798">
        <v>1204</v>
      </c>
      <c r="O1798" t="s">
        <v>1574</v>
      </c>
      <c r="P1798" t="s">
        <v>3108</v>
      </c>
      <c r="Q1798" t="s">
        <v>3249</v>
      </c>
      <c r="R1798" t="s">
        <v>3249</v>
      </c>
      <c r="S1798" t="s">
        <v>472</v>
      </c>
      <c r="T1798" t="s">
        <v>3251</v>
      </c>
      <c r="U1798">
        <v>120</v>
      </c>
      <c r="V1798" t="s">
        <v>599</v>
      </c>
      <c r="W1798">
        <v>120</v>
      </c>
      <c r="X1798" t="s">
        <v>599</v>
      </c>
      <c r="Y1798" t="s">
        <v>3250</v>
      </c>
      <c r="Z1798" t="s">
        <v>3250</v>
      </c>
      <c r="AA1798" t="s">
        <v>3108</v>
      </c>
      <c r="AB1798" t="s">
        <v>3108</v>
      </c>
      <c r="AC1798">
        <v>200</v>
      </c>
      <c r="AD1798" t="s">
        <v>5291</v>
      </c>
      <c r="AE1798">
        <v>480</v>
      </c>
      <c r="AF1798" t="s">
        <v>822</v>
      </c>
      <c r="AG1798" t="s">
        <v>3250</v>
      </c>
      <c r="AH1798" t="s">
        <v>3250</v>
      </c>
      <c r="AI1798" t="s">
        <v>3250</v>
      </c>
      <c r="AJ1798" t="s">
        <v>3250</v>
      </c>
      <c r="AL1798" t="s">
        <v>3250</v>
      </c>
      <c r="AM1798" t="s">
        <v>3250</v>
      </c>
      <c r="AN1798" t="s">
        <v>3250</v>
      </c>
      <c r="AO1798" t="s">
        <v>3250</v>
      </c>
      <c r="AS1798" t="s">
        <v>3250</v>
      </c>
      <c r="AT1798" t="s">
        <v>3250</v>
      </c>
      <c r="AU1798" t="s">
        <v>3250</v>
      </c>
      <c r="AV1798" t="s">
        <v>3250</v>
      </c>
      <c r="AW1798" t="s">
        <v>3250</v>
      </c>
      <c r="AX1798" t="s">
        <v>3250</v>
      </c>
      <c r="AY1798" t="s">
        <v>3250</v>
      </c>
      <c r="AZ1798" t="s">
        <v>3250</v>
      </c>
      <c r="BA1798" t="s">
        <v>3250</v>
      </c>
      <c r="BB1798" t="s">
        <v>3250</v>
      </c>
      <c r="BC1798" t="s">
        <v>3250</v>
      </c>
      <c r="BE1798" t="s">
        <v>3250</v>
      </c>
      <c r="BF1798" t="s">
        <v>3250</v>
      </c>
      <c r="BG1798" t="s">
        <v>3250</v>
      </c>
      <c r="BH1798" t="s">
        <v>3250</v>
      </c>
      <c r="BI1798" t="s">
        <v>3250</v>
      </c>
      <c r="BK1798" t="s">
        <v>3250</v>
      </c>
      <c r="BL1798" t="s">
        <v>3250</v>
      </c>
      <c r="BM1798" t="s">
        <v>3250</v>
      </c>
      <c r="BN1798" t="s">
        <v>3250</v>
      </c>
      <c r="BP1798">
        <v>1</v>
      </c>
      <c r="BQ1798">
        <v>11</v>
      </c>
      <c r="BR1798" t="s">
        <v>1574</v>
      </c>
      <c r="BS1798" t="s">
        <v>3252</v>
      </c>
      <c r="BV1798">
        <v>0</v>
      </c>
      <c r="BW1798">
        <v>0</v>
      </c>
      <c r="BX1798">
        <v>0</v>
      </c>
      <c r="BY1798">
        <v>0</v>
      </c>
      <c r="BZ1798">
        <v>0</v>
      </c>
      <c r="CA1798">
        <v>0</v>
      </c>
      <c r="CB1798">
        <v>0</v>
      </c>
      <c r="CC1798">
        <v>0</v>
      </c>
      <c r="CD1798">
        <v>0</v>
      </c>
      <c r="CE1798" t="s">
        <v>3108</v>
      </c>
      <c r="CF1798" t="s">
        <v>3108</v>
      </c>
      <c r="CG1798" t="s">
        <v>3108</v>
      </c>
      <c r="CH1798" t="s">
        <v>3108</v>
      </c>
    </row>
    <row r="1799" spans="1:86" x14ac:dyDescent="0.2">
      <c r="A1799" t="s">
        <v>5858</v>
      </c>
      <c r="B1799" t="s">
        <v>5858</v>
      </c>
      <c r="C1799">
        <v>54922</v>
      </c>
      <c r="D1799">
        <v>1922</v>
      </c>
      <c r="E1799" t="s">
        <v>5741</v>
      </c>
      <c r="F1799" t="s">
        <v>3249</v>
      </c>
      <c r="G1799" t="s">
        <v>3249</v>
      </c>
      <c r="H1799" t="s">
        <v>3250</v>
      </c>
      <c r="I1799" t="s">
        <v>3250</v>
      </c>
      <c r="J1799" t="s">
        <v>3250</v>
      </c>
      <c r="K1799" t="s">
        <v>3250</v>
      </c>
      <c r="L1799">
        <v>1200</v>
      </c>
      <c r="M1799" t="s">
        <v>2368</v>
      </c>
      <c r="N1799">
        <v>1204</v>
      </c>
      <c r="O1799" t="s">
        <v>1574</v>
      </c>
      <c r="P1799" t="s">
        <v>3108</v>
      </c>
      <c r="Q1799" t="s">
        <v>3249</v>
      </c>
      <c r="R1799" t="s">
        <v>3249</v>
      </c>
      <c r="S1799" t="s">
        <v>472</v>
      </c>
      <c r="T1799" t="s">
        <v>3251</v>
      </c>
      <c r="U1799">
        <v>120</v>
      </c>
      <c r="V1799" t="s">
        <v>599</v>
      </c>
      <c r="W1799">
        <v>120</v>
      </c>
      <c r="X1799" t="s">
        <v>599</v>
      </c>
      <c r="Y1799" t="s">
        <v>3250</v>
      </c>
      <c r="Z1799" t="s">
        <v>3250</v>
      </c>
      <c r="AA1799" t="s">
        <v>3108</v>
      </c>
      <c r="AB1799" t="s">
        <v>3108</v>
      </c>
      <c r="AC1799">
        <v>420</v>
      </c>
      <c r="AD1799" t="s">
        <v>827</v>
      </c>
      <c r="AE1799">
        <v>560</v>
      </c>
      <c r="AF1799" t="s">
        <v>827</v>
      </c>
      <c r="AG1799" t="s">
        <v>3250</v>
      </c>
      <c r="AH1799" t="s">
        <v>3250</v>
      </c>
      <c r="AI1799" t="s">
        <v>3250</v>
      </c>
      <c r="AJ1799" t="s">
        <v>3250</v>
      </c>
      <c r="AL1799" t="s">
        <v>3250</v>
      </c>
      <c r="AM1799" t="s">
        <v>3250</v>
      </c>
      <c r="AN1799" t="s">
        <v>3250</v>
      </c>
      <c r="AO1799" t="s">
        <v>3250</v>
      </c>
      <c r="AS1799" t="s">
        <v>3250</v>
      </c>
      <c r="AT1799" t="s">
        <v>3250</v>
      </c>
      <c r="AU1799" t="s">
        <v>3250</v>
      </c>
      <c r="AV1799" t="s">
        <v>3250</v>
      </c>
      <c r="AW1799" t="s">
        <v>3250</v>
      </c>
      <c r="AX1799" t="s">
        <v>3250</v>
      </c>
      <c r="AY1799" t="s">
        <v>3250</v>
      </c>
      <c r="AZ1799" t="s">
        <v>3250</v>
      </c>
      <c r="BA1799" t="s">
        <v>3250</v>
      </c>
      <c r="BB1799" t="s">
        <v>3250</v>
      </c>
      <c r="BC1799" t="s">
        <v>3250</v>
      </c>
      <c r="BE1799" t="s">
        <v>3250</v>
      </c>
      <c r="BF1799" t="s">
        <v>3250</v>
      </c>
      <c r="BG1799" t="s">
        <v>3250</v>
      </c>
      <c r="BH1799" t="s">
        <v>3250</v>
      </c>
      <c r="BI1799" t="s">
        <v>3250</v>
      </c>
      <c r="BK1799" t="s">
        <v>3250</v>
      </c>
      <c r="BL1799" t="s">
        <v>3250</v>
      </c>
      <c r="BM1799" t="s">
        <v>3250</v>
      </c>
      <c r="BN1799" t="s">
        <v>3250</v>
      </c>
      <c r="BP1799">
        <v>1</v>
      </c>
      <c r="BQ1799">
        <v>11</v>
      </c>
      <c r="BR1799" t="s">
        <v>1574</v>
      </c>
      <c r="BS1799" t="s">
        <v>3252</v>
      </c>
      <c r="BV1799">
        <v>0</v>
      </c>
      <c r="BW1799">
        <v>0</v>
      </c>
      <c r="BX1799">
        <v>0</v>
      </c>
      <c r="BY1799">
        <v>0</v>
      </c>
      <c r="BZ1799">
        <v>0</v>
      </c>
      <c r="CA1799">
        <v>0</v>
      </c>
      <c r="CB1799">
        <v>0</v>
      </c>
      <c r="CC1799">
        <v>0</v>
      </c>
      <c r="CD1799">
        <v>0</v>
      </c>
      <c r="CE1799" t="s">
        <v>3108</v>
      </c>
      <c r="CF1799" t="s">
        <v>3108</v>
      </c>
      <c r="CG1799" t="s">
        <v>3108</v>
      </c>
      <c r="CH1799" t="s">
        <v>3108</v>
      </c>
    </row>
    <row r="1800" spans="1:86" x14ac:dyDescent="0.2">
      <c r="A1800" t="s">
        <v>5859</v>
      </c>
      <c r="B1800" t="s">
        <v>5859</v>
      </c>
      <c r="C1800">
        <v>54923</v>
      </c>
      <c r="D1800">
        <v>1923</v>
      </c>
      <c r="E1800" t="s">
        <v>5115</v>
      </c>
      <c r="F1800" t="s">
        <v>3249</v>
      </c>
      <c r="G1800" t="s">
        <v>3249</v>
      </c>
      <c r="H1800" t="s">
        <v>3250</v>
      </c>
      <c r="I1800" t="s">
        <v>3250</v>
      </c>
      <c r="J1800" t="s">
        <v>3250</v>
      </c>
      <c r="K1800" t="s">
        <v>3250</v>
      </c>
      <c r="L1800">
        <v>1200</v>
      </c>
      <c r="M1800" t="s">
        <v>2368</v>
      </c>
      <c r="N1800">
        <v>1204</v>
      </c>
      <c r="O1800" t="s">
        <v>1574</v>
      </c>
      <c r="P1800" t="s">
        <v>3108</v>
      </c>
      <c r="Q1800" t="s">
        <v>3249</v>
      </c>
      <c r="R1800" t="s">
        <v>3249</v>
      </c>
      <c r="S1800" t="s">
        <v>472</v>
      </c>
      <c r="T1800" t="s">
        <v>3251</v>
      </c>
      <c r="U1800">
        <v>120</v>
      </c>
      <c r="V1800" t="s">
        <v>599</v>
      </c>
      <c r="W1800">
        <v>120</v>
      </c>
      <c r="X1800" t="s">
        <v>599</v>
      </c>
      <c r="Y1800" t="s">
        <v>3250</v>
      </c>
      <c r="Z1800" t="s">
        <v>3250</v>
      </c>
      <c r="AA1800" t="s">
        <v>3108</v>
      </c>
      <c r="AB1800" t="s">
        <v>3108</v>
      </c>
      <c r="AC1800" t="s">
        <v>3250</v>
      </c>
      <c r="AD1800" t="s">
        <v>3250</v>
      </c>
      <c r="AE1800" t="s">
        <v>3250</v>
      </c>
      <c r="AF1800" t="s">
        <v>3250</v>
      </c>
      <c r="AG1800" t="s">
        <v>3250</v>
      </c>
      <c r="AH1800" t="s">
        <v>3250</v>
      </c>
      <c r="AI1800" t="s">
        <v>3250</v>
      </c>
      <c r="AJ1800" t="s">
        <v>3250</v>
      </c>
      <c r="AL1800" t="s">
        <v>3250</v>
      </c>
      <c r="AM1800" t="s">
        <v>3250</v>
      </c>
      <c r="AN1800" t="s">
        <v>3250</v>
      </c>
      <c r="AO1800" t="s">
        <v>3250</v>
      </c>
      <c r="AR1800" t="s">
        <v>472</v>
      </c>
      <c r="AS1800" t="s">
        <v>3250</v>
      </c>
      <c r="AT1800" t="s">
        <v>3250</v>
      </c>
      <c r="AU1800" t="s">
        <v>3250</v>
      </c>
      <c r="AV1800" t="s">
        <v>3250</v>
      </c>
      <c r="AW1800" t="s">
        <v>3250</v>
      </c>
      <c r="AX1800" t="s">
        <v>3250</v>
      </c>
      <c r="AY1800" t="s">
        <v>3250</v>
      </c>
      <c r="AZ1800" t="s">
        <v>3250</v>
      </c>
      <c r="BA1800" t="s">
        <v>3250</v>
      </c>
      <c r="BB1800" t="s">
        <v>3250</v>
      </c>
      <c r="BC1800" t="s">
        <v>3250</v>
      </c>
      <c r="BE1800" t="s">
        <v>3250</v>
      </c>
      <c r="BF1800" t="s">
        <v>3250</v>
      </c>
      <c r="BG1800" t="s">
        <v>3250</v>
      </c>
      <c r="BH1800" t="s">
        <v>3250</v>
      </c>
      <c r="BI1800" t="s">
        <v>3250</v>
      </c>
      <c r="BK1800" t="s">
        <v>3250</v>
      </c>
      <c r="BL1800" t="s">
        <v>3250</v>
      </c>
      <c r="BM1800" t="s">
        <v>3250</v>
      </c>
      <c r="BN1800" t="s">
        <v>3250</v>
      </c>
      <c r="BP1800">
        <v>1</v>
      </c>
      <c r="BQ1800">
        <v>11</v>
      </c>
      <c r="BR1800" t="s">
        <v>1574</v>
      </c>
      <c r="BS1800" t="s">
        <v>3252</v>
      </c>
      <c r="BV1800">
        <v>0</v>
      </c>
      <c r="BW1800">
        <v>0</v>
      </c>
      <c r="BX1800">
        <v>0</v>
      </c>
      <c r="BY1800">
        <v>3850000</v>
      </c>
      <c r="BZ1800">
        <v>0</v>
      </c>
      <c r="CA1800">
        <v>0</v>
      </c>
      <c r="CB1800">
        <v>0</v>
      </c>
      <c r="CC1800">
        <v>0</v>
      </c>
      <c r="CD1800">
        <v>0</v>
      </c>
      <c r="CE1800" t="s">
        <v>3108</v>
      </c>
      <c r="CF1800" t="s">
        <v>3108</v>
      </c>
      <c r="CG1800" t="s">
        <v>3108</v>
      </c>
      <c r="CH1800" t="s">
        <v>3108</v>
      </c>
    </row>
    <row r="1801" spans="1:86" x14ac:dyDescent="0.2">
      <c r="A1801" t="s">
        <v>5860</v>
      </c>
      <c r="B1801" t="s">
        <v>5860</v>
      </c>
      <c r="C1801">
        <v>54924</v>
      </c>
      <c r="D1801">
        <v>1924</v>
      </c>
      <c r="E1801" t="s">
        <v>5741</v>
      </c>
      <c r="F1801" t="s">
        <v>3249</v>
      </c>
      <c r="G1801" t="s">
        <v>3249</v>
      </c>
      <c r="H1801" t="s">
        <v>3250</v>
      </c>
      <c r="I1801" t="s">
        <v>3250</v>
      </c>
      <c r="J1801" t="s">
        <v>3250</v>
      </c>
      <c r="K1801" t="s">
        <v>3250</v>
      </c>
      <c r="L1801">
        <v>1200</v>
      </c>
      <c r="M1801" t="s">
        <v>2368</v>
      </c>
      <c r="N1801">
        <v>1204</v>
      </c>
      <c r="O1801" t="s">
        <v>1574</v>
      </c>
      <c r="P1801" t="s">
        <v>3108</v>
      </c>
      <c r="Q1801" t="s">
        <v>3249</v>
      </c>
      <c r="R1801" t="s">
        <v>3249</v>
      </c>
      <c r="S1801" t="s">
        <v>472</v>
      </c>
      <c r="T1801" t="s">
        <v>3251</v>
      </c>
      <c r="U1801">
        <v>120</v>
      </c>
      <c r="V1801" t="s">
        <v>599</v>
      </c>
      <c r="W1801">
        <v>120</v>
      </c>
      <c r="X1801" t="s">
        <v>599</v>
      </c>
      <c r="Y1801" t="s">
        <v>3250</v>
      </c>
      <c r="Z1801" t="s">
        <v>3250</v>
      </c>
      <c r="AA1801" t="s">
        <v>3108</v>
      </c>
      <c r="AB1801" t="s">
        <v>3108</v>
      </c>
      <c r="AC1801">
        <v>420</v>
      </c>
      <c r="AD1801" t="s">
        <v>827</v>
      </c>
      <c r="AE1801">
        <v>560</v>
      </c>
      <c r="AF1801" t="s">
        <v>827</v>
      </c>
      <c r="AG1801" t="s">
        <v>3250</v>
      </c>
      <c r="AH1801" t="s">
        <v>3250</v>
      </c>
      <c r="AI1801" t="s">
        <v>3250</v>
      </c>
      <c r="AJ1801" t="s">
        <v>3250</v>
      </c>
      <c r="AL1801" t="s">
        <v>3250</v>
      </c>
      <c r="AM1801" t="s">
        <v>3250</v>
      </c>
      <c r="AN1801" t="s">
        <v>3250</v>
      </c>
      <c r="AO1801" t="s">
        <v>3250</v>
      </c>
      <c r="AS1801" t="s">
        <v>3250</v>
      </c>
      <c r="AT1801" t="s">
        <v>3250</v>
      </c>
      <c r="AU1801" t="s">
        <v>3250</v>
      </c>
      <c r="AV1801" t="s">
        <v>3250</v>
      </c>
      <c r="AW1801" t="s">
        <v>3250</v>
      </c>
      <c r="AX1801" t="s">
        <v>3250</v>
      </c>
      <c r="AY1801" t="s">
        <v>3250</v>
      </c>
      <c r="AZ1801" t="s">
        <v>3250</v>
      </c>
      <c r="BA1801" t="s">
        <v>3250</v>
      </c>
      <c r="BB1801" t="s">
        <v>3250</v>
      </c>
      <c r="BC1801" t="s">
        <v>3250</v>
      </c>
      <c r="BE1801" t="s">
        <v>3250</v>
      </c>
      <c r="BF1801" t="s">
        <v>3250</v>
      </c>
      <c r="BG1801" t="s">
        <v>3250</v>
      </c>
      <c r="BH1801" t="s">
        <v>3250</v>
      </c>
      <c r="BI1801" t="s">
        <v>3250</v>
      </c>
      <c r="BK1801" t="s">
        <v>3250</v>
      </c>
      <c r="BL1801" t="s">
        <v>3250</v>
      </c>
      <c r="BM1801" t="s">
        <v>3250</v>
      </c>
      <c r="BN1801" t="s">
        <v>3250</v>
      </c>
      <c r="BP1801">
        <v>1</v>
      </c>
      <c r="BQ1801">
        <v>11</v>
      </c>
      <c r="BR1801" t="s">
        <v>1574</v>
      </c>
      <c r="BS1801" t="s">
        <v>3252</v>
      </c>
      <c r="BV1801">
        <v>0</v>
      </c>
      <c r="BW1801">
        <v>0</v>
      </c>
      <c r="BX1801">
        <v>0</v>
      </c>
      <c r="BY1801">
        <v>0</v>
      </c>
      <c r="BZ1801">
        <v>0</v>
      </c>
      <c r="CA1801">
        <v>0</v>
      </c>
      <c r="CB1801">
        <v>0</v>
      </c>
      <c r="CC1801">
        <v>0</v>
      </c>
      <c r="CD1801">
        <v>0</v>
      </c>
      <c r="CE1801" t="s">
        <v>3108</v>
      </c>
      <c r="CF1801" t="s">
        <v>3108</v>
      </c>
      <c r="CG1801" t="s">
        <v>3108</v>
      </c>
      <c r="CH1801" t="s">
        <v>3108</v>
      </c>
    </row>
    <row r="1802" spans="1:86" x14ac:dyDescent="0.2">
      <c r="A1802" t="s">
        <v>5861</v>
      </c>
      <c r="B1802" t="s">
        <v>5861</v>
      </c>
      <c r="C1802">
        <v>54925</v>
      </c>
      <c r="D1802">
        <v>1925</v>
      </c>
      <c r="E1802" t="s">
        <v>5115</v>
      </c>
      <c r="F1802" t="s">
        <v>3249</v>
      </c>
      <c r="G1802" t="s">
        <v>3249</v>
      </c>
      <c r="H1802" t="s">
        <v>3250</v>
      </c>
      <c r="I1802" t="s">
        <v>3250</v>
      </c>
      <c r="J1802" t="s">
        <v>3250</v>
      </c>
      <c r="K1802" t="s">
        <v>3250</v>
      </c>
      <c r="L1802">
        <v>1200</v>
      </c>
      <c r="M1802" t="s">
        <v>2368</v>
      </c>
      <c r="N1802">
        <v>1204</v>
      </c>
      <c r="O1802" t="s">
        <v>1574</v>
      </c>
      <c r="P1802" t="s">
        <v>3108</v>
      </c>
      <c r="Q1802" t="s">
        <v>3249</v>
      </c>
      <c r="R1802" t="s">
        <v>3249</v>
      </c>
      <c r="S1802" t="s">
        <v>472</v>
      </c>
      <c r="T1802" t="s">
        <v>3251</v>
      </c>
      <c r="U1802">
        <v>120</v>
      </c>
      <c r="V1802" t="s">
        <v>599</v>
      </c>
      <c r="W1802">
        <v>120</v>
      </c>
      <c r="X1802" t="s">
        <v>599</v>
      </c>
      <c r="Y1802" t="s">
        <v>5707</v>
      </c>
      <c r="Z1802" t="s">
        <v>292</v>
      </c>
      <c r="AA1802" t="s">
        <v>5707</v>
      </c>
      <c r="AB1802" t="s">
        <v>292</v>
      </c>
      <c r="AC1802" t="s">
        <v>3250</v>
      </c>
      <c r="AD1802" t="s">
        <v>3250</v>
      </c>
      <c r="AE1802" t="s">
        <v>3250</v>
      </c>
      <c r="AF1802" t="s">
        <v>3250</v>
      </c>
      <c r="AG1802" t="s">
        <v>3250</v>
      </c>
      <c r="AH1802" t="s">
        <v>3250</v>
      </c>
      <c r="AI1802" t="s">
        <v>3250</v>
      </c>
      <c r="AJ1802" t="s">
        <v>3250</v>
      </c>
      <c r="AL1802" t="s">
        <v>3250</v>
      </c>
      <c r="AM1802" t="s">
        <v>3250</v>
      </c>
      <c r="AN1802" t="s">
        <v>3250</v>
      </c>
      <c r="AO1802" t="s">
        <v>3250</v>
      </c>
      <c r="AR1802" t="s">
        <v>472</v>
      </c>
      <c r="AS1802" t="s">
        <v>3250</v>
      </c>
      <c r="AT1802" t="s">
        <v>3250</v>
      </c>
      <c r="AU1802" t="s">
        <v>3250</v>
      </c>
      <c r="AV1802" t="s">
        <v>3250</v>
      </c>
      <c r="AW1802" t="s">
        <v>3250</v>
      </c>
      <c r="AX1802" t="s">
        <v>3250</v>
      </c>
      <c r="AY1802" t="s">
        <v>3250</v>
      </c>
      <c r="AZ1802" t="s">
        <v>3250</v>
      </c>
      <c r="BA1802" t="s">
        <v>3250</v>
      </c>
      <c r="BB1802" t="s">
        <v>3250</v>
      </c>
      <c r="BC1802" t="s">
        <v>3250</v>
      </c>
      <c r="BE1802" t="s">
        <v>3250</v>
      </c>
      <c r="BF1802" t="s">
        <v>3250</v>
      </c>
      <c r="BG1802" t="s">
        <v>3250</v>
      </c>
      <c r="BH1802" t="s">
        <v>3250</v>
      </c>
      <c r="BI1802" t="s">
        <v>3250</v>
      </c>
      <c r="BK1802" t="s">
        <v>3250</v>
      </c>
      <c r="BL1802" t="s">
        <v>3250</v>
      </c>
      <c r="BM1802" t="s">
        <v>3250</v>
      </c>
      <c r="BN1802" t="s">
        <v>3250</v>
      </c>
      <c r="BP1802">
        <v>1</v>
      </c>
      <c r="BQ1802">
        <v>11</v>
      </c>
      <c r="BR1802" t="s">
        <v>1574</v>
      </c>
      <c r="BS1802" t="s">
        <v>3252</v>
      </c>
      <c r="BV1802">
        <v>0</v>
      </c>
      <c r="BW1802">
        <v>0</v>
      </c>
      <c r="BX1802">
        <v>0</v>
      </c>
      <c r="BY1802">
        <v>1883321</v>
      </c>
      <c r="BZ1802">
        <v>0</v>
      </c>
      <c r="CA1802">
        <v>0</v>
      </c>
      <c r="CB1802">
        <v>0</v>
      </c>
      <c r="CC1802">
        <v>0</v>
      </c>
      <c r="CD1802">
        <v>0</v>
      </c>
      <c r="CE1802" t="s">
        <v>3108</v>
      </c>
      <c r="CF1802" t="s">
        <v>3108</v>
      </c>
      <c r="CG1802" t="s">
        <v>3108</v>
      </c>
      <c r="CH1802" t="s">
        <v>3108</v>
      </c>
    </row>
    <row r="1803" spans="1:86" x14ac:dyDescent="0.2">
      <c r="A1803" t="s">
        <v>5862</v>
      </c>
      <c r="B1803" t="s">
        <v>5862</v>
      </c>
      <c r="C1803">
        <v>54926</v>
      </c>
      <c r="D1803">
        <v>1926</v>
      </c>
      <c r="E1803" t="s">
        <v>5717</v>
      </c>
      <c r="F1803" t="s">
        <v>3249</v>
      </c>
      <c r="G1803" t="s">
        <v>3249</v>
      </c>
      <c r="H1803" t="s">
        <v>3250</v>
      </c>
      <c r="I1803" t="s">
        <v>3250</v>
      </c>
      <c r="J1803" t="s">
        <v>3250</v>
      </c>
      <c r="K1803" t="s">
        <v>3250</v>
      </c>
      <c r="L1803">
        <v>1200</v>
      </c>
      <c r="M1803" t="s">
        <v>2368</v>
      </c>
      <c r="N1803">
        <v>1204</v>
      </c>
      <c r="O1803" t="s">
        <v>1574</v>
      </c>
      <c r="P1803" t="s">
        <v>3108</v>
      </c>
      <c r="Q1803" t="s">
        <v>3249</v>
      </c>
      <c r="R1803" t="s">
        <v>3249</v>
      </c>
      <c r="S1803" t="s">
        <v>472</v>
      </c>
      <c r="T1803" t="s">
        <v>3251</v>
      </c>
      <c r="U1803">
        <v>120</v>
      </c>
      <c r="V1803" t="s">
        <v>599</v>
      </c>
      <c r="W1803">
        <v>120</v>
      </c>
      <c r="X1803" t="s">
        <v>599</v>
      </c>
      <c r="Y1803" t="s">
        <v>5850</v>
      </c>
      <c r="Z1803" t="s">
        <v>1360</v>
      </c>
      <c r="AA1803" t="s">
        <v>5850</v>
      </c>
      <c r="AB1803" t="s">
        <v>1360</v>
      </c>
      <c r="AC1803" t="s">
        <v>3250</v>
      </c>
      <c r="AD1803" t="s">
        <v>3250</v>
      </c>
      <c r="AE1803" t="s">
        <v>3250</v>
      </c>
      <c r="AF1803" t="s">
        <v>3250</v>
      </c>
      <c r="AG1803" t="s">
        <v>3250</v>
      </c>
      <c r="AH1803" t="s">
        <v>3250</v>
      </c>
      <c r="AI1803" t="s">
        <v>3250</v>
      </c>
      <c r="AJ1803" t="s">
        <v>3250</v>
      </c>
      <c r="AL1803" t="s">
        <v>3250</v>
      </c>
      <c r="AM1803" t="s">
        <v>3250</v>
      </c>
      <c r="AN1803" t="s">
        <v>3250</v>
      </c>
      <c r="AO1803" t="s">
        <v>3250</v>
      </c>
      <c r="AR1803" t="s">
        <v>5718</v>
      </c>
      <c r="AS1803" t="s">
        <v>3250</v>
      </c>
      <c r="AT1803" t="s">
        <v>3250</v>
      </c>
      <c r="AU1803" t="s">
        <v>3250</v>
      </c>
      <c r="AV1803" t="s">
        <v>3250</v>
      </c>
      <c r="AW1803" t="s">
        <v>3250</v>
      </c>
      <c r="AX1803" t="s">
        <v>3250</v>
      </c>
      <c r="AY1803" t="s">
        <v>3250</v>
      </c>
      <c r="AZ1803" t="s">
        <v>3250</v>
      </c>
      <c r="BA1803" t="s">
        <v>3250</v>
      </c>
      <c r="BB1803" t="s">
        <v>3250</v>
      </c>
      <c r="BC1803" t="s">
        <v>3250</v>
      </c>
      <c r="BE1803" t="s">
        <v>3250</v>
      </c>
      <c r="BF1803" t="s">
        <v>3250</v>
      </c>
      <c r="BG1803" t="s">
        <v>3250</v>
      </c>
      <c r="BH1803" t="s">
        <v>3250</v>
      </c>
      <c r="BI1803" t="s">
        <v>3250</v>
      </c>
      <c r="BK1803" t="s">
        <v>3250</v>
      </c>
      <c r="BL1803" t="s">
        <v>3250</v>
      </c>
      <c r="BM1803" t="s">
        <v>3250</v>
      </c>
      <c r="BN1803" t="s">
        <v>3250</v>
      </c>
      <c r="BP1803">
        <v>1</v>
      </c>
      <c r="BQ1803">
        <v>11</v>
      </c>
      <c r="BR1803" t="s">
        <v>1574</v>
      </c>
      <c r="BS1803" t="s">
        <v>3252</v>
      </c>
      <c r="BV1803">
        <v>0</v>
      </c>
      <c r="BW1803">
        <v>0</v>
      </c>
      <c r="BX1803">
        <v>0</v>
      </c>
      <c r="BY1803">
        <v>-30000</v>
      </c>
      <c r="BZ1803">
        <v>-127924325</v>
      </c>
      <c r="CA1803">
        <v>0</v>
      </c>
      <c r="CB1803">
        <v>0</v>
      </c>
      <c r="CC1803">
        <v>0</v>
      </c>
      <c r="CD1803">
        <v>0</v>
      </c>
      <c r="CE1803" t="s">
        <v>3108</v>
      </c>
      <c r="CF1803" t="s">
        <v>3108</v>
      </c>
      <c r="CG1803" t="s">
        <v>3108</v>
      </c>
      <c r="CH1803" t="s">
        <v>3108</v>
      </c>
    </row>
    <row r="1804" spans="1:86" x14ac:dyDescent="0.2">
      <c r="A1804" t="s">
        <v>5863</v>
      </c>
      <c r="B1804" t="s">
        <v>5863</v>
      </c>
      <c r="C1804">
        <v>54927</v>
      </c>
      <c r="D1804">
        <v>1927</v>
      </c>
      <c r="E1804" t="s">
        <v>5741</v>
      </c>
      <c r="F1804" t="s">
        <v>3249</v>
      </c>
      <c r="G1804" t="s">
        <v>3249</v>
      </c>
      <c r="H1804" t="s">
        <v>3250</v>
      </c>
      <c r="I1804" t="s">
        <v>3250</v>
      </c>
      <c r="J1804" t="s">
        <v>3250</v>
      </c>
      <c r="K1804" t="s">
        <v>3250</v>
      </c>
      <c r="L1804">
        <v>1200</v>
      </c>
      <c r="M1804" t="s">
        <v>2368</v>
      </c>
      <c r="N1804">
        <v>1204</v>
      </c>
      <c r="O1804" t="s">
        <v>1574</v>
      </c>
      <c r="P1804" t="s">
        <v>3108</v>
      </c>
      <c r="Q1804" t="s">
        <v>3249</v>
      </c>
      <c r="R1804" t="s">
        <v>3249</v>
      </c>
      <c r="S1804" t="s">
        <v>472</v>
      </c>
      <c r="T1804" t="s">
        <v>3251</v>
      </c>
      <c r="U1804">
        <v>120</v>
      </c>
      <c r="V1804" t="s">
        <v>599</v>
      </c>
      <c r="W1804">
        <v>120</v>
      </c>
      <c r="X1804" t="s">
        <v>599</v>
      </c>
      <c r="Y1804" t="s">
        <v>3250</v>
      </c>
      <c r="Z1804" t="s">
        <v>3250</v>
      </c>
      <c r="AA1804" t="s">
        <v>3108</v>
      </c>
      <c r="AB1804" t="s">
        <v>3108</v>
      </c>
      <c r="AC1804">
        <v>420</v>
      </c>
      <c r="AD1804" t="s">
        <v>827</v>
      </c>
      <c r="AE1804">
        <v>560</v>
      </c>
      <c r="AF1804" t="s">
        <v>827</v>
      </c>
      <c r="AG1804" t="s">
        <v>3250</v>
      </c>
      <c r="AH1804" t="s">
        <v>3250</v>
      </c>
      <c r="AI1804" t="s">
        <v>3250</v>
      </c>
      <c r="AJ1804" t="s">
        <v>3250</v>
      </c>
      <c r="AL1804" t="s">
        <v>3250</v>
      </c>
      <c r="AM1804" t="s">
        <v>3250</v>
      </c>
      <c r="AN1804" t="s">
        <v>3250</v>
      </c>
      <c r="AO1804" t="s">
        <v>3250</v>
      </c>
      <c r="AS1804" t="s">
        <v>3250</v>
      </c>
      <c r="AT1804" t="s">
        <v>3250</v>
      </c>
      <c r="AU1804" t="s">
        <v>3250</v>
      </c>
      <c r="AV1804" t="s">
        <v>3250</v>
      </c>
      <c r="AW1804" t="s">
        <v>3250</v>
      </c>
      <c r="AX1804" t="s">
        <v>3250</v>
      </c>
      <c r="AY1804" t="s">
        <v>3250</v>
      </c>
      <c r="AZ1804" t="s">
        <v>3250</v>
      </c>
      <c r="BA1804" t="s">
        <v>3250</v>
      </c>
      <c r="BB1804" t="s">
        <v>3250</v>
      </c>
      <c r="BC1804" t="s">
        <v>3250</v>
      </c>
      <c r="BE1804" t="s">
        <v>3250</v>
      </c>
      <c r="BF1804" t="s">
        <v>3250</v>
      </c>
      <c r="BG1804" t="s">
        <v>3250</v>
      </c>
      <c r="BH1804" t="s">
        <v>3250</v>
      </c>
      <c r="BI1804" t="s">
        <v>3250</v>
      </c>
      <c r="BK1804" t="s">
        <v>3250</v>
      </c>
      <c r="BL1804" t="s">
        <v>3250</v>
      </c>
      <c r="BM1804" t="s">
        <v>3250</v>
      </c>
      <c r="BN1804" t="s">
        <v>3250</v>
      </c>
      <c r="BP1804">
        <v>1</v>
      </c>
      <c r="BQ1804">
        <v>11</v>
      </c>
      <c r="BR1804" t="s">
        <v>1574</v>
      </c>
      <c r="BS1804" t="s">
        <v>3252</v>
      </c>
      <c r="BV1804">
        <v>0</v>
      </c>
      <c r="BW1804">
        <v>0</v>
      </c>
      <c r="BX1804">
        <v>0</v>
      </c>
      <c r="BY1804">
        <v>0</v>
      </c>
      <c r="BZ1804">
        <v>0</v>
      </c>
      <c r="CA1804">
        <v>0</v>
      </c>
      <c r="CB1804">
        <v>0</v>
      </c>
      <c r="CC1804">
        <v>0</v>
      </c>
      <c r="CD1804">
        <v>0</v>
      </c>
      <c r="CE1804" t="s">
        <v>3108</v>
      </c>
      <c r="CF1804" t="s">
        <v>3108</v>
      </c>
      <c r="CG1804" t="s">
        <v>3108</v>
      </c>
      <c r="CH1804" t="s">
        <v>3108</v>
      </c>
    </row>
    <row r="1805" spans="1:86" x14ac:dyDescent="0.2">
      <c r="A1805" t="s">
        <v>5864</v>
      </c>
      <c r="B1805" t="s">
        <v>5864</v>
      </c>
      <c r="C1805">
        <v>54928</v>
      </c>
      <c r="D1805">
        <v>1928</v>
      </c>
      <c r="E1805" t="s">
        <v>5746</v>
      </c>
      <c r="F1805" t="s">
        <v>3249</v>
      </c>
      <c r="G1805" t="s">
        <v>3249</v>
      </c>
      <c r="H1805" t="s">
        <v>3250</v>
      </c>
      <c r="I1805" t="s">
        <v>3250</v>
      </c>
      <c r="J1805" t="s">
        <v>3250</v>
      </c>
      <c r="K1805" t="s">
        <v>3250</v>
      </c>
      <c r="L1805">
        <v>1200</v>
      </c>
      <c r="M1805" t="s">
        <v>2368</v>
      </c>
      <c r="N1805">
        <v>1204</v>
      </c>
      <c r="O1805" t="s">
        <v>1574</v>
      </c>
      <c r="P1805" t="s">
        <v>3108</v>
      </c>
      <c r="Q1805" t="s">
        <v>3249</v>
      </c>
      <c r="R1805" t="s">
        <v>3249</v>
      </c>
      <c r="S1805" t="s">
        <v>472</v>
      </c>
      <c r="T1805" t="s">
        <v>3251</v>
      </c>
      <c r="U1805">
        <v>120</v>
      </c>
      <c r="V1805" t="s">
        <v>599</v>
      </c>
      <c r="W1805">
        <v>120</v>
      </c>
      <c r="X1805" t="s">
        <v>599</v>
      </c>
      <c r="Y1805" t="s">
        <v>3250</v>
      </c>
      <c r="Z1805" t="s">
        <v>3250</v>
      </c>
      <c r="AA1805" t="s">
        <v>3108</v>
      </c>
      <c r="AB1805" t="s">
        <v>3108</v>
      </c>
      <c r="AC1805">
        <v>200</v>
      </c>
      <c r="AD1805" t="s">
        <v>5291</v>
      </c>
      <c r="AE1805">
        <v>480</v>
      </c>
      <c r="AF1805" t="s">
        <v>822</v>
      </c>
      <c r="AG1805" t="s">
        <v>3250</v>
      </c>
      <c r="AH1805" t="s">
        <v>3250</v>
      </c>
      <c r="AI1805" t="s">
        <v>3250</v>
      </c>
      <c r="AJ1805" t="s">
        <v>3250</v>
      </c>
      <c r="AL1805" t="s">
        <v>3250</v>
      </c>
      <c r="AM1805" t="s">
        <v>3250</v>
      </c>
      <c r="AN1805" t="s">
        <v>3250</v>
      </c>
      <c r="AO1805" t="s">
        <v>3250</v>
      </c>
      <c r="AS1805" t="s">
        <v>3250</v>
      </c>
      <c r="AT1805" t="s">
        <v>3250</v>
      </c>
      <c r="AU1805" t="s">
        <v>3250</v>
      </c>
      <c r="AV1805" t="s">
        <v>3250</v>
      </c>
      <c r="AW1805" t="s">
        <v>3250</v>
      </c>
      <c r="AX1805" t="s">
        <v>3250</v>
      </c>
      <c r="AY1805" t="s">
        <v>3250</v>
      </c>
      <c r="AZ1805" t="s">
        <v>3250</v>
      </c>
      <c r="BA1805" t="s">
        <v>3250</v>
      </c>
      <c r="BB1805" t="s">
        <v>3250</v>
      </c>
      <c r="BC1805" t="s">
        <v>3250</v>
      </c>
      <c r="BE1805" t="s">
        <v>3250</v>
      </c>
      <c r="BF1805" t="s">
        <v>3250</v>
      </c>
      <c r="BG1805" t="s">
        <v>3250</v>
      </c>
      <c r="BH1805" t="s">
        <v>3250</v>
      </c>
      <c r="BI1805" t="s">
        <v>3250</v>
      </c>
      <c r="BK1805" t="s">
        <v>3250</v>
      </c>
      <c r="BL1805" t="s">
        <v>3250</v>
      </c>
      <c r="BM1805" t="s">
        <v>3250</v>
      </c>
      <c r="BN1805" t="s">
        <v>3250</v>
      </c>
      <c r="BP1805">
        <v>1</v>
      </c>
      <c r="BQ1805">
        <v>11</v>
      </c>
      <c r="BR1805" t="s">
        <v>1574</v>
      </c>
      <c r="BS1805" t="s">
        <v>3252</v>
      </c>
      <c r="BV1805">
        <v>0</v>
      </c>
      <c r="BW1805">
        <v>0</v>
      </c>
      <c r="BX1805">
        <v>0</v>
      </c>
      <c r="BY1805">
        <v>0</v>
      </c>
      <c r="BZ1805">
        <v>0</v>
      </c>
      <c r="CA1805">
        <v>0</v>
      </c>
      <c r="CB1805">
        <v>0</v>
      </c>
      <c r="CC1805">
        <v>0</v>
      </c>
      <c r="CD1805">
        <v>0</v>
      </c>
      <c r="CE1805" t="s">
        <v>3108</v>
      </c>
      <c r="CF1805" t="s">
        <v>3108</v>
      </c>
      <c r="CG1805" t="s">
        <v>3108</v>
      </c>
      <c r="CH1805" t="s">
        <v>3108</v>
      </c>
    </row>
    <row r="1806" spans="1:86" x14ac:dyDescent="0.2">
      <c r="A1806" t="s">
        <v>5865</v>
      </c>
      <c r="B1806" t="s">
        <v>5865</v>
      </c>
      <c r="C1806">
        <v>54929</v>
      </c>
      <c r="D1806">
        <v>1929</v>
      </c>
      <c r="E1806" t="s">
        <v>5712</v>
      </c>
      <c r="F1806" t="s">
        <v>3249</v>
      </c>
      <c r="G1806" t="s">
        <v>3249</v>
      </c>
      <c r="H1806" t="s">
        <v>3250</v>
      </c>
      <c r="I1806" t="s">
        <v>3250</v>
      </c>
      <c r="J1806" t="s">
        <v>3250</v>
      </c>
      <c r="K1806" t="s">
        <v>3250</v>
      </c>
      <c r="L1806">
        <v>1200</v>
      </c>
      <c r="M1806" t="s">
        <v>2368</v>
      </c>
      <c r="N1806">
        <v>1204</v>
      </c>
      <c r="O1806" t="s">
        <v>1574</v>
      </c>
      <c r="P1806" t="s">
        <v>3108</v>
      </c>
      <c r="Q1806" t="s">
        <v>3249</v>
      </c>
      <c r="R1806" t="s">
        <v>3249</v>
      </c>
      <c r="S1806" t="s">
        <v>472</v>
      </c>
      <c r="T1806" t="s">
        <v>3251</v>
      </c>
      <c r="U1806">
        <v>120</v>
      </c>
      <c r="V1806" t="s">
        <v>599</v>
      </c>
      <c r="W1806">
        <v>120</v>
      </c>
      <c r="X1806" t="s">
        <v>599</v>
      </c>
      <c r="Y1806" t="s">
        <v>5848</v>
      </c>
      <c r="Z1806" t="s">
        <v>1360</v>
      </c>
      <c r="AA1806" t="s">
        <v>5848</v>
      </c>
      <c r="AB1806" t="s">
        <v>1360</v>
      </c>
      <c r="AC1806" t="s">
        <v>3250</v>
      </c>
      <c r="AD1806" t="s">
        <v>3250</v>
      </c>
      <c r="AE1806" t="s">
        <v>3250</v>
      </c>
      <c r="AF1806" t="s">
        <v>3250</v>
      </c>
      <c r="AG1806" t="s">
        <v>3250</v>
      </c>
      <c r="AH1806" t="s">
        <v>3250</v>
      </c>
      <c r="AI1806" t="s">
        <v>3250</v>
      </c>
      <c r="AJ1806" t="s">
        <v>3250</v>
      </c>
      <c r="AL1806" t="s">
        <v>3250</v>
      </c>
      <c r="AM1806" t="s">
        <v>3250</v>
      </c>
      <c r="AN1806" t="s">
        <v>3250</v>
      </c>
      <c r="AO1806" t="s">
        <v>3250</v>
      </c>
      <c r="AR1806" t="s">
        <v>486</v>
      </c>
      <c r="AS1806" t="s">
        <v>3250</v>
      </c>
      <c r="AT1806" t="s">
        <v>3250</v>
      </c>
      <c r="AU1806" t="s">
        <v>3250</v>
      </c>
      <c r="AV1806" t="s">
        <v>3250</v>
      </c>
      <c r="AW1806" t="s">
        <v>3250</v>
      </c>
      <c r="AX1806" t="s">
        <v>3250</v>
      </c>
      <c r="AY1806" t="s">
        <v>3250</v>
      </c>
      <c r="AZ1806" t="s">
        <v>3250</v>
      </c>
      <c r="BA1806" t="s">
        <v>3250</v>
      </c>
      <c r="BB1806" t="s">
        <v>3250</v>
      </c>
      <c r="BC1806" t="s">
        <v>3250</v>
      </c>
      <c r="BE1806" t="s">
        <v>3250</v>
      </c>
      <c r="BF1806" t="s">
        <v>3250</v>
      </c>
      <c r="BG1806" t="s">
        <v>3250</v>
      </c>
      <c r="BH1806" t="s">
        <v>3250</v>
      </c>
      <c r="BI1806" t="s">
        <v>3250</v>
      </c>
      <c r="BK1806" t="s">
        <v>3250</v>
      </c>
      <c r="BL1806" t="s">
        <v>3250</v>
      </c>
      <c r="BM1806" t="s">
        <v>3250</v>
      </c>
      <c r="BN1806" t="s">
        <v>3250</v>
      </c>
      <c r="BP1806">
        <v>1</v>
      </c>
      <c r="BQ1806">
        <v>11</v>
      </c>
      <c r="BR1806" t="s">
        <v>1574</v>
      </c>
      <c r="BS1806" t="s">
        <v>3252</v>
      </c>
      <c r="BV1806">
        <v>0</v>
      </c>
      <c r="BW1806">
        <v>0</v>
      </c>
      <c r="BX1806">
        <v>0</v>
      </c>
      <c r="BY1806">
        <v>0</v>
      </c>
      <c r="BZ1806">
        <v>0</v>
      </c>
      <c r="CA1806">
        <v>0</v>
      </c>
      <c r="CB1806">
        <v>0</v>
      </c>
      <c r="CC1806">
        <v>0</v>
      </c>
      <c r="CD1806">
        <v>0</v>
      </c>
      <c r="CE1806" t="s">
        <v>3108</v>
      </c>
      <c r="CF1806" t="s">
        <v>3108</v>
      </c>
      <c r="CG1806" t="s">
        <v>3108</v>
      </c>
      <c r="CH1806" t="s">
        <v>3108</v>
      </c>
    </row>
    <row r="1807" spans="1:86" x14ac:dyDescent="0.2">
      <c r="A1807" t="s">
        <v>5866</v>
      </c>
      <c r="B1807" t="s">
        <v>5866</v>
      </c>
      <c r="C1807">
        <v>54930</v>
      </c>
      <c r="D1807">
        <v>1930</v>
      </c>
      <c r="E1807" t="s">
        <v>5115</v>
      </c>
      <c r="F1807" t="s">
        <v>3249</v>
      </c>
      <c r="G1807" t="s">
        <v>3249</v>
      </c>
      <c r="H1807" t="s">
        <v>3250</v>
      </c>
      <c r="I1807" t="s">
        <v>3250</v>
      </c>
      <c r="J1807" t="s">
        <v>3250</v>
      </c>
      <c r="K1807" t="s">
        <v>3250</v>
      </c>
      <c r="L1807">
        <v>1200</v>
      </c>
      <c r="M1807" t="s">
        <v>2368</v>
      </c>
      <c r="N1807">
        <v>1204</v>
      </c>
      <c r="O1807" t="s">
        <v>1574</v>
      </c>
      <c r="P1807" t="s">
        <v>3108</v>
      </c>
      <c r="Q1807" t="s">
        <v>3249</v>
      </c>
      <c r="R1807" t="s">
        <v>3249</v>
      </c>
      <c r="S1807" t="s">
        <v>472</v>
      </c>
      <c r="T1807" t="s">
        <v>3251</v>
      </c>
      <c r="U1807">
        <v>120</v>
      </c>
      <c r="V1807" t="s">
        <v>599</v>
      </c>
      <c r="W1807">
        <v>120</v>
      </c>
      <c r="X1807" t="s">
        <v>599</v>
      </c>
      <c r="Y1807" t="s">
        <v>2758</v>
      </c>
      <c r="Z1807" t="s">
        <v>1360</v>
      </c>
      <c r="AA1807">
        <v>210</v>
      </c>
      <c r="AB1807" t="s">
        <v>2343</v>
      </c>
      <c r="AC1807" t="s">
        <v>3250</v>
      </c>
      <c r="AD1807" t="s">
        <v>3250</v>
      </c>
      <c r="AE1807" t="s">
        <v>3250</v>
      </c>
      <c r="AF1807" t="s">
        <v>3250</v>
      </c>
      <c r="AG1807" t="s">
        <v>3250</v>
      </c>
      <c r="AH1807" t="s">
        <v>3250</v>
      </c>
      <c r="AI1807" t="s">
        <v>3250</v>
      </c>
      <c r="AJ1807" t="s">
        <v>3250</v>
      </c>
      <c r="AL1807" t="s">
        <v>3250</v>
      </c>
      <c r="AM1807" t="s">
        <v>3250</v>
      </c>
      <c r="AN1807" t="s">
        <v>3250</v>
      </c>
      <c r="AO1807" t="s">
        <v>3250</v>
      </c>
      <c r="AR1807" t="s">
        <v>472</v>
      </c>
      <c r="AS1807" t="s">
        <v>3250</v>
      </c>
      <c r="AT1807" t="s">
        <v>3250</v>
      </c>
      <c r="AU1807" t="s">
        <v>3250</v>
      </c>
      <c r="AV1807" t="s">
        <v>3250</v>
      </c>
      <c r="AW1807" t="s">
        <v>3250</v>
      </c>
      <c r="AX1807" t="s">
        <v>3250</v>
      </c>
      <c r="AY1807" t="s">
        <v>3250</v>
      </c>
      <c r="AZ1807" t="s">
        <v>3250</v>
      </c>
      <c r="BA1807" t="s">
        <v>3250</v>
      </c>
      <c r="BB1807" t="s">
        <v>3250</v>
      </c>
      <c r="BC1807" t="s">
        <v>3250</v>
      </c>
      <c r="BE1807" t="s">
        <v>3250</v>
      </c>
      <c r="BF1807" t="s">
        <v>3250</v>
      </c>
      <c r="BG1807" t="s">
        <v>3250</v>
      </c>
      <c r="BH1807" t="s">
        <v>3250</v>
      </c>
      <c r="BI1807" t="s">
        <v>3250</v>
      </c>
      <c r="BK1807" t="s">
        <v>3250</v>
      </c>
      <c r="BL1807" t="s">
        <v>3250</v>
      </c>
      <c r="BM1807" t="s">
        <v>3250</v>
      </c>
      <c r="BN1807" t="s">
        <v>3250</v>
      </c>
      <c r="BP1807">
        <v>1</v>
      </c>
      <c r="BQ1807">
        <v>11</v>
      </c>
      <c r="BR1807" t="s">
        <v>1574</v>
      </c>
      <c r="BS1807" t="s">
        <v>3252</v>
      </c>
      <c r="BV1807">
        <v>0</v>
      </c>
      <c r="BW1807">
        <v>0</v>
      </c>
      <c r="BX1807">
        <v>0</v>
      </c>
      <c r="BY1807">
        <v>30000</v>
      </c>
      <c r="BZ1807">
        <v>0</v>
      </c>
      <c r="CA1807">
        <v>0</v>
      </c>
      <c r="CB1807">
        <v>0</v>
      </c>
      <c r="CC1807">
        <v>0</v>
      </c>
      <c r="CD1807">
        <v>0</v>
      </c>
      <c r="CE1807" t="s">
        <v>3108</v>
      </c>
      <c r="CF1807" t="s">
        <v>3108</v>
      </c>
      <c r="CG1807" t="s">
        <v>3108</v>
      </c>
      <c r="CH1807" t="s">
        <v>3108</v>
      </c>
    </row>
    <row r="1808" spans="1:86" x14ac:dyDescent="0.2">
      <c r="A1808" t="s">
        <v>5867</v>
      </c>
      <c r="B1808" t="s">
        <v>5867</v>
      </c>
      <c r="C1808">
        <v>54931</v>
      </c>
      <c r="D1808">
        <v>1931</v>
      </c>
      <c r="E1808" t="s">
        <v>5741</v>
      </c>
      <c r="F1808" t="s">
        <v>3249</v>
      </c>
      <c r="G1808" t="s">
        <v>3249</v>
      </c>
      <c r="H1808" t="s">
        <v>3250</v>
      </c>
      <c r="I1808" t="s">
        <v>3250</v>
      </c>
      <c r="J1808" t="s">
        <v>3250</v>
      </c>
      <c r="K1808" t="s">
        <v>3250</v>
      </c>
      <c r="L1808">
        <v>1200</v>
      </c>
      <c r="M1808" t="s">
        <v>2368</v>
      </c>
      <c r="N1808">
        <v>1204</v>
      </c>
      <c r="O1808" t="s">
        <v>1574</v>
      </c>
      <c r="P1808" t="s">
        <v>3108</v>
      </c>
      <c r="Q1808" t="s">
        <v>3249</v>
      </c>
      <c r="R1808" t="s">
        <v>3249</v>
      </c>
      <c r="S1808" t="s">
        <v>472</v>
      </c>
      <c r="T1808" t="s">
        <v>3251</v>
      </c>
      <c r="U1808">
        <v>120</v>
      </c>
      <c r="V1808" t="s">
        <v>599</v>
      </c>
      <c r="W1808">
        <v>120</v>
      </c>
      <c r="X1808" t="s">
        <v>599</v>
      </c>
      <c r="Y1808" t="s">
        <v>3250</v>
      </c>
      <c r="Z1808" t="s">
        <v>3250</v>
      </c>
      <c r="AA1808" t="s">
        <v>3108</v>
      </c>
      <c r="AB1808" t="s">
        <v>3108</v>
      </c>
      <c r="AC1808">
        <v>420</v>
      </c>
      <c r="AD1808" t="s">
        <v>827</v>
      </c>
      <c r="AE1808">
        <v>560</v>
      </c>
      <c r="AF1808" t="s">
        <v>827</v>
      </c>
      <c r="AG1808" t="s">
        <v>3250</v>
      </c>
      <c r="AH1808" t="s">
        <v>3250</v>
      </c>
      <c r="AI1808" t="s">
        <v>3250</v>
      </c>
      <c r="AJ1808" t="s">
        <v>3250</v>
      </c>
      <c r="AL1808" t="s">
        <v>3250</v>
      </c>
      <c r="AM1808" t="s">
        <v>3250</v>
      </c>
      <c r="AN1808" t="s">
        <v>3250</v>
      </c>
      <c r="AO1808" t="s">
        <v>3250</v>
      </c>
      <c r="AS1808" t="s">
        <v>3250</v>
      </c>
      <c r="AT1808" t="s">
        <v>3250</v>
      </c>
      <c r="AU1808" t="s">
        <v>3250</v>
      </c>
      <c r="AV1808" t="s">
        <v>3250</v>
      </c>
      <c r="AW1808" t="s">
        <v>3250</v>
      </c>
      <c r="AX1808" t="s">
        <v>3250</v>
      </c>
      <c r="AY1808" t="s">
        <v>3250</v>
      </c>
      <c r="AZ1808" t="s">
        <v>3250</v>
      </c>
      <c r="BA1808" t="s">
        <v>3250</v>
      </c>
      <c r="BB1808" t="s">
        <v>3250</v>
      </c>
      <c r="BC1808" t="s">
        <v>3250</v>
      </c>
      <c r="BE1808" t="s">
        <v>3250</v>
      </c>
      <c r="BF1808" t="s">
        <v>3250</v>
      </c>
      <c r="BG1808" t="s">
        <v>3250</v>
      </c>
      <c r="BH1808" t="s">
        <v>3250</v>
      </c>
      <c r="BI1808" t="s">
        <v>3250</v>
      </c>
      <c r="BK1808" t="s">
        <v>3250</v>
      </c>
      <c r="BL1808" t="s">
        <v>3250</v>
      </c>
      <c r="BM1808" t="s">
        <v>3250</v>
      </c>
      <c r="BN1808" t="s">
        <v>3250</v>
      </c>
      <c r="BP1808">
        <v>1</v>
      </c>
      <c r="BQ1808">
        <v>11</v>
      </c>
      <c r="BR1808" t="s">
        <v>1574</v>
      </c>
      <c r="BS1808" t="s">
        <v>3252</v>
      </c>
      <c r="BV1808">
        <v>0</v>
      </c>
      <c r="BW1808">
        <v>0</v>
      </c>
      <c r="BX1808">
        <v>0</v>
      </c>
      <c r="BY1808">
        <v>0</v>
      </c>
      <c r="BZ1808">
        <v>0</v>
      </c>
      <c r="CA1808">
        <v>0</v>
      </c>
      <c r="CB1808">
        <v>0</v>
      </c>
      <c r="CC1808">
        <v>0</v>
      </c>
      <c r="CD1808">
        <v>0</v>
      </c>
      <c r="CE1808" t="s">
        <v>3108</v>
      </c>
      <c r="CF1808" t="s">
        <v>3108</v>
      </c>
      <c r="CG1808" t="s">
        <v>3108</v>
      </c>
      <c r="CH1808" t="s">
        <v>3108</v>
      </c>
    </row>
    <row r="1809" spans="1:86" x14ac:dyDescent="0.2">
      <c r="A1809" t="s">
        <v>5868</v>
      </c>
      <c r="B1809" t="s">
        <v>5868</v>
      </c>
      <c r="C1809">
        <v>54932</v>
      </c>
      <c r="D1809">
        <v>1932</v>
      </c>
      <c r="E1809" t="s">
        <v>5712</v>
      </c>
      <c r="F1809" t="s">
        <v>3249</v>
      </c>
      <c r="G1809" t="s">
        <v>3249</v>
      </c>
      <c r="H1809" t="s">
        <v>3250</v>
      </c>
      <c r="I1809" t="s">
        <v>3250</v>
      </c>
      <c r="J1809" t="s">
        <v>3250</v>
      </c>
      <c r="K1809" t="s">
        <v>3250</v>
      </c>
      <c r="L1809">
        <v>1200</v>
      </c>
      <c r="M1809" t="s">
        <v>2368</v>
      </c>
      <c r="N1809">
        <v>1204</v>
      </c>
      <c r="O1809" t="s">
        <v>1574</v>
      </c>
      <c r="P1809" t="s">
        <v>3108</v>
      </c>
      <c r="Q1809" t="s">
        <v>3249</v>
      </c>
      <c r="R1809" t="s">
        <v>3249</v>
      </c>
      <c r="S1809" t="s">
        <v>472</v>
      </c>
      <c r="T1809" t="s">
        <v>3251</v>
      </c>
      <c r="U1809">
        <v>120</v>
      </c>
      <c r="V1809" t="s">
        <v>599</v>
      </c>
      <c r="W1809">
        <v>120</v>
      </c>
      <c r="X1809" t="s">
        <v>599</v>
      </c>
      <c r="Y1809" t="s">
        <v>5848</v>
      </c>
      <c r="Z1809" t="s">
        <v>1360</v>
      </c>
      <c r="AA1809" t="s">
        <v>5848</v>
      </c>
      <c r="AB1809" t="s">
        <v>1360</v>
      </c>
      <c r="AC1809" t="s">
        <v>3250</v>
      </c>
      <c r="AD1809" t="s">
        <v>3250</v>
      </c>
      <c r="AE1809" t="s">
        <v>3250</v>
      </c>
      <c r="AF1809" t="s">
        <v>3250</v>
      </c>
      <c r="AG1809" t="s">
        <v>3250</v>
      </c>
      <c r="AH1809" t="s">
        <v>3250</v>
      </c>
      <c r="AI1809" t="s">
        <v>3250</v>
      </c>
      <c r="AJ1809" t="s">
        <v>3250</v>
      </c>
      <c r="AL1809" t="s">
        <v>3250</v>
      </c>
      <c r="AM1809" t="s">
        <v>3250</v>
      </c>
      <c r="AN1809" t="s">
        <v>3250</v>
      </c>
      <c r="AO1809" t="s">
        <v>3250</v>
      </c>
      <c r="AR1809" t="s">
        <v>486</v>
      </c>
      <c r="AS1809" t="s">
        <v>3250</v>
      </c>
      <c r="AT1809" t="s">
        <v>3250</v>
      </c>
      <c r="AU1809" t="s">
        <v>3250</v>
      </c>
      <c r="AV1809" t="s">
        <v>3250</v>
      </c>
      <c r="AW1809" t="s">
        <v>3250</v>
      </c>
      <c r="AX1809" t="s">
        <v>3250</v>
      </c>
      <c r="AY1809" t="s">
        <v>3250</v>
      </c>
      <c r="AZ1809" t="s">
        <v>3250</v>
      </c>
      <c r="BA1809" t="s">
        <v>3250</v>
      </c>
      <c r="BB1809" t="s">
        <v>3250</v>
      </c>
      <c r="BC1809" t="s">
        <v>3250</v>
      </c>
      <c r="BE1809" t="s">
        <v>3250</v>
      </c>
      <c r="BF1809" t="s">
        <v>3250</v>
      </c>
      <c r="BG1809" t="s">
        <v>3250</v>
      </c>
      <c r="BH1809" t="s">
        <v>3250</v>
      </c>
      <c r="BI1809" t="s">
        <v>3250</v>
      </c>
      <c r="BK1809" t="s">
        <v>3250</v>
      </c>
      <c r="BL1809" t="s">
        <v>3250</v>
      </c>
      <c r="BM1809" t="s">
        <v>3250</v>
      </c>
      <c r="BN1809" t="s">
        <v>3250</v>
      </c>
      <c r="BP1809">
        <v>1</v>
      </c>
      <c r="BQ1809">
        <v>11</v>
      </c>
      <c r="BR1809" t="s">
        <v>1574</v>
      </c>
      <c r="BS1809" t="s">
        <v>3252</v>
      </c>
      <c r="BV1809">
        <v>0</v>
      </c>
      <c r="BW1809">
        <v>0</v>
      </c>
      <c r="BX1809">
        <v>0</v>
      </c>
      <c r="BY1809">
        <v>0</v>
      </c>
      <c r="BZ1809">
        <v>0</v>
      </c>
      <c r="CA1809">
        <v>0</v>
      </c>
      <c r="CB1809">
        <v>0</v>
      </c>
      <c r="CC1809">
        <v>0</v>
      </c>
      <c r="CD1809">
        <v>0</v>
      </c>
      <c r="CE1809" t="s">
        <v>3108</v>
      </c>
      <c r="CF1809" t="s">
        <v>3108</v>
      </c>
      <c r="CG1809" t="s">
        <v>3108</v>
      </c>
      <c r="CH1809" t="s">
        <v>3108</v>
      </c>
    </row>
    <row r="1810" spans="1:86" x14ac:dyDescent="0.2">
      <c r="A1810" t="s">
        <v>5869</v>
      </c>
      <c r="B1810" t="s">
        <v>5869</v>
      </c>
      <c r="C1810">
        <v>54933</v>
      </c>
      <c r="D1810">
        <v>1933</v>
      </c>
      <c r="E1810" t="s">
        <v>5717</v>
      </c>
      <c r="F1810" t="s">
        <v>3249</v>
      </c>
      <c r="G1810" t="s">
        <v>3249</v>
      </c>
      <c r="H1810" t="s">
        <v>3250</v>
      </c>
      <c r="I1810" t="s">
        <v>3250</v>
      </c>
      <c r="J1810" t="s">
        <v>3250</v>
      </c>
      <c r="K1810" t="s">
        <v>3250</v>
      </c>
      <c r="L1810">
        <v>1200</v>
      </c>
      <c r="M1810" t="s">
        <v>2368</v>
      </c>
      <c r="N1810">
        <v>1204</v>
      </c>
      <c r="O1810" t="s">
        <v>1574</v>
      </c>
      <c r="P1810" t="s">
        <v>3108</v>
      </c>
      <c r="Q1810" t="s">
        <v>3249</v>
      </c>
      <c r="R1810" t="s">
        <v>3249</v>
      </c>
      <c r="S1810" t="s">
        <v>472</v>
      </c>
      <c r="T1810" t="s">
        <v>3251</v>
      </c>
      <c r="U1810">
        <v>120</v>
      </c>
      <c r="V1810" t="s">
        <v>599</v>
      </c>
      <c r="W1810">
        <v>120</v>
      </c>
      <c r="X1810" t="s">
        <v>599</v>
      </c>
      <c r="Y1810" t="s">
        <v>5850</v>
      </c>
      <c r="Z1810" t="s">
        <v>1360</v>
      </c>
      <c r="AA1810" t="s">
        <v>5850</v>
      </c>
      <c r="AB1810" t="s">
        <v>1360</v>
      </c>
      <c r="AC1810" t="s">
        <v>3250</v>
      </c>
      <c r="AD1810" t="s">
        <v>3250</v>
      </c>
      <c r="AE1810" t="s">
        <v>3250</v>
      </c>
      <c r="AF1810" t="s">
        <v>3250</v>
      </c>
      <c r="AG1810" t="s">
        <v>3250</v>
      </c>
      <c r="AH1810" t="s">
        <v>3250</v>
      </c>
      <c r="AI1810" t="s">
        <v>3250</v>
      </c>
      <c r="AJ1810" t="s">
        <v>3250</v>
      </c>
      <c r="AL1810" t="s">
        <v>3250</v>
      </c>
      <c r="AM1810" t="s">
        <v>3250</v>
      </c>
      <c r="AN1810" t="s">
        <v>3250</v>
      </c>
      <c r="AO1810" t="s">
        <v>3250</v>
      </c>
      <c r="AR1810" t="s">
        <v>5718</v>
      </c>
      <c r="AS1810" t="s">
        <v>3250</v>
      </c>
      <c r="AT1810" t="s">
        <v>3250</v>
      </c>
      <c r="AU1810" t="s">
        <v>3250</v>
      </c>
      <c r="AV1810" t="s">
        <v>3250</v>
      </c>
      <c r="AW1810" t="s">
        <v>3250</v>
      </c>
      <c r="AX1810" t="s">
        <v>3250</v>
      </c>
      <c r="AY1810" t="s">
        <v>3250</v>
      </c>
      <c r="AZ1810" t="s">
        <v>3250</v>
      </c>
      <c r="BA1810" t="s">
        <v>3250</v>
      </c>
      <c r="BB1810" t="s">
        <v>3250</v>
      </c>
      <c r="BC1810" t="s">
        <v>3250</v>
      </c>
      <c r="BE1810" t="s">
        <v>3250</v>
      </c>
      <c r="BF1810" t="s">
        <v>3250</v>
      </c>
      <c r="BG1810" t="s">
        <v>3250</v>
      </c>
      <c r="BH1810" t="s">
        <v>3250</v>
      </c>
      <c r="BI1810" t="s">
        <v>3250</v>
      </c>
      <c r="BK1810" t="s">
        <v>3250</v>
      </c>
      <c r="BL1810" t="s">
        <v>3250</v>
      </c>
      <c r="BM1810" t="s">
        <v>3250</v>
      </c>
      <c r="BN1810" t="s">
        <v>3250</v>
      </c>
      <c r="BP1810">
        <v>1</v>
      </c>
      <c r="BQ1810">
        <v>11</v>
      </c>
      <c r="BR1810" t="s">
        <v>1574</v>
      </c>
      <c r="BS1810" t="s">
        <v>3252</v>
      </c>
      <c r="BV1810">
        <v>0</v>
      </c>
      <c r="BW1810">
        <v>0</v>
      </c>
      <c r="BX1810">
        <v>0</v>
      </c>
      <c r="BY1810">
        <v>-7120310</v>
      </c>
      <c r="BZ1810">
        <v>0</v>
      </c>
      <c r="CA1810">
        <v>0</v>
      </c>
      <c r="CB1810">
        <v>0</v>
      </c>
      <c r="CC1810">
        <v>0</v>
      </c>
      <c r="CD1810">
        <v>0</v>
      </c>
      <c r="CE1810" t="s">
        <v>3108</v>
      </c>
      <c r="CF1810" t="s">
        <v>3108</v>
      </c>
      <c r="CG1810" t="s">
        <v>3108</v>
      </c>
      <c r="CH1810" t="s">
        <v>3108</v>
      </c>
    </row>
    <row r="1811" spans="1:86" x14ac:dyDescent="0.2">
      <c r="A1811" t="s">
        <v>5870</v>
      </c>
      <c r="B1811" t="s">
        <v>5870</v>
      </c>
      <c r="C1811">
        <v>54934</v>
      </c>
      <c r="D1811">
        <v>1934</v>
      </c>
      <c r="E1811" t="s">
        <v>5115</v>
      </c>
      <c r="F1811" t="s">
        <v>3249</v>
      </c>
      <c r="G1811" t="s">
        <v>3249</v>
      </c>
      <c r="H1811" t="s">
        <v>3250</v>
      </c>
      <c r="I1811" t="s">
        <v>3250</v>
      </c>
      <c r="J1811" t="s">
        <v>3250</v>
      </c>
      <c r="K1811" t="s">
        <v>3250</v>
      </c>
      <c r="L1811">
        <v>1200</v>
      </c>
      <c r="M1811" t="s">
        <v>2368</v>
      </c>
      <c r="N1811">
        <v>1204</v>
      </c>
      <c r="O1811" t="s">
        <v>1574</v>
      </c>
      <c r="P1811" t="s">
        <v>3108</v>
      </c>
      <c r="Q1811" t="s">
        <v>3249</v>
      </c>
      <c r="R1811" t="s">
        <v>3249</v>
      </c>
      <c r="S1811" t="s">
        <v>472</v>
      </c>
      <c r="T1811" t="s">
        <v>3251</v>
      </c>
      <c r="U1811">
        <v>120</v>
      </c>
      <c r="V1811" t="s">
        <v>599</v>
      </c>
      <c r="W1811">
        <v>120</v>
      </c>
      <c r="X1811" t="s">
        <v>599</v>
      </c>
      <c r="Y1811" t="s">
        <v>2758</v>
      </c>
      <c r="Z1811" t="s">
        <v>1360</v>
      </c>
      <c r="AA1811">
        <v>220</v>
      </c>
      <c r="AB1811" t="s">
        <v>406</v>
      </c>
      <c r="AC1811" t="s">
        <v>3250</v>
      </c>
      <c r="AD1811" t="s">
        <v>3250</v>
      </c>
      <c r="AE1811" t="s">
        <v>3250</v>
      </c>
      <c r="AF1811" t="s">
        <v>3250</v>
      </c>
      <c r="AG1811" t="s">
        <v>3250</v>
      </c>
      <c r="AH1811" t="s">
        <v>3250</v>
      </c>
      <c r="AI1811" t="s">
        <v>3250</v>
      </c>
      <c r="AJ1811" t="s">
        <v>3250</v>
      </c>
      <c r="AL1811" t="s">
        <v>3250</v>
      </c>
      <c r="AM1811" t="s">
        <v>3250</v>
      </c>
      <c r="AN1811" t="s">
        <v>3250</v>
      </c>
      <c r="AO1811" t="s">
        <v>3250</v>
      </c>
      <c r="AR1811" t="s">
        <v>472</v>
      </c>
      <c r="AS1811" t="s">
        <v>3250</v>
      </c>
      <c r="AT1811" t="s">
        <v>3250</v>
      </c>
      <c r="AU1811" t="s">
        <v>3250</v>
      </c>
      <c r="AV1811" t="s">
        <v>3250</v>
      </c>
      <c r="AW1811" t="s">
        <v>3250</v>
      </c>
      <c r="AX1811" t="s">
        <v>3250</v>
      </c>
      <c r="AY1811" t="s">
        <v>3250</v>
      </c>
      <c r="AZ1811" t="s">
        <v>3250</v>
      </c>
      <c r="BA1811" t="s">
        <v>3250</v>
      </c>
      <c r="BB1811" t="s">
        <v>3250</v>
      </c>
      <c r="BC1811" t="s">
        <v>3250</v>
      </c>
      <c r="BE1811" t="s">
        <v>3250</v>
      </c>
      <c r="BF1811" t="s">
        <v>3250</v>
      </c>
      <c r="BG1811" t="s">
        <v>3250</v>
      </c>
      <c r="BH1811" t="s">
        <v>3250</v>
      </c>
      <c r="BI1811" t="s">
        <v>3250</v>
      </c>
      <c r="BK1811" t="s">
        <v>3250</v>
      </c>
      <c r="BL1811" t="s">
        <v>3250</v>
      </c>
      <c r="BM1811" t="s">
        <v>3250</v>
      </c>
      <c r="BN1811" t="s">
        <v>3250</v>
      </c>
      <c r="BP1811">
        <v>1</v>
      </c>
      <c r="BQ1811">
        <v>11</v>
      </c>
      <c r="BR1811" t="s">
        <v>1574</v>
      </c>
      <c r="BS1811" t="s">
        <v>3252</v>
      </c>
      <c r="BV1811">
        <v>0</v>
      </c>
      <c r="BW1811">
        <v>0</v>
      </c>
      <c r="BX1811">
        <v>0</v>
      </c>
      <c r="BY1811">
        <v>7120310</v>
      </c>
      <c r="BZ1811">
        <v>0</v>
      </c>
      <c r="CA1811">
        <v>0</v>
      </c>
      <c r="CB1811">
        <v>0</v>
      </c>
      <c r="CC1811">
        <v>0</v>
      </c>
      <c r="CD1811">
        <v>0</v>
      </c>
      <c r="CE1811" t="s">
        <v>3108</v>
      </c>
      <c r="CF1811" t="s">
        <v>3108</v>
      </c>
      <c r="CG1811" t="s">
        <v>3108</v>
      </c>
      <c r="CH1811" t="s">
        <v>3108</v>
      </c>
    </row>
    <row r="1812" spans="1:86" x14ac:dyDescent="0.2">
      <c r="A1812" t="s">
        <v>5871</v>
      </c>
      <c r="B1812" t="s">
        <v>5871</v>
      </c>
      <c r="C1812">
        <v>54935</v>
      </c>
      <c r="D1812">
        <v>1935</v>
      </c>
      <c r="E1812" t="s">
        <v>5746</v>
      </c>
      <c r="F1812" t="s">
        <v>3249</v>
      </c>
      <c r="G1812" t="s">
        <v>3249</v>
      </c>
      <c r="H1812" t="s">
        <v>3250</v>
      </c>
      <c r="I1812" t="s">
        <v>3250</v>
      </c>
      <c r="J1812" t="s">
        <v>3250</v>
      </c>
      <c r="K1812" t="s">
        <v>3250</v>
      </c>
      <c r="L1812">
        <v>1200</v>
      </c>
      <c r="M1812" t="s">
        <v>2368</v>
      </c>
      <c r="N1812">
        <v>1204</v>
      </c>
      <c r="O1812" t="s">
        <v>1574</v>
      </c>
      <c r="P1812" t="s">
        <v>3108</v>
      </c>
      <c r="Q1812" t="s">
        <v>3249</v>
      </c>
      <c r="R1812" t="s">
        <v>3249</v>
      </c>
      <c r="S1812" t="s">
        <v>472</v>
      </c>
      <c r="T1812" t="s">
        <v>3251</v>
      </c>
      <c r="U1812">
        <v>120</v>
      </c>
      <c r="V1812" t="s">
        <v>599</v>
      </c>
      <c r="W1812">
        <v>120</v>
      </c>
      <c r="X1812" t="s">
        <v>599</v>
      </c>
      <c r="Y1812" t="s">
        <v>3250</v>
      </c>
      <c r="Z1812" t="s">
        <v>3250</v>
      </c>
      <c r="AA1812" t="s">
        <v>3108</v>
      </c>
      <c r="AB1812" t="s">
        <v>3108</v>
      </c>
      <c r="AC1812">
        <v>200</v>
      </c>
      <c r="AD1812" t="s">
        <v>5291</v>
      </c>
      <c r="AE1812">
        <v>480</v>
      </c>
      <c r="AF1812" t="s">
        <v>822</v>
      </c>
      <c r="AG1812" t="s">
        <v>3250</v>
      </c>
      <c r="AH1812" t="s">
        <v>3250</v>
      </c>
      <c r="AI1812" t="s">
        <v>3250</v>
      </c>
      <c r="AJ1812" t="s">
        <v>3250</v>
      </c>
      <c r="AL1812" t="s">
        <v>3250</v>
      </c>
      <c r="AM1812" t="s">
        <v>3250</v>
      </c>
      <c r="AN1812" t="s">
        <v>3250</v>
      </c>
      <c r="AO1812" t="s">
        <v>3250</v>
      </c>
      <c r="AS1812" t="s">
        <v>3250</v>
      </c>
      <c r="AT1812" t="s">
        <v>3250</v>
      </c>
      <c r="AU1812" t="s">
        <v>3250</v>
      </c>
      <c r="AV1812" t="s">
        <v>3250</v>
      </c>
      <c r="AW1812" t="s">
        <v>3250</v>
      </c>
      <c r="AX1812" t="s">
        <v>3250</v>
      </c>
      <c r="AY1812" t="s">
        <v>3250</v>
      </c>
      <c r="AZ1812" t="s">
        <v>3250</v>
      </c>
      <c r="BA1812" t="s">
        <v>3250</v>
      </c>
      <c r="BB1812" t="s">
        <v>3250</v>
      </c>
      <c r="BC1812" t="s">
        <v>3250</v>
      </c>
      <c r="BE1812" t="s">
        <v>3250</v>
      </c>
      <c r="BF1812" t="s">
        <v>3250</v>
      </c>
      <c r="BG1812" t="s">
        <v>3250</v>
      </c>
      <c r="BH1812" t="s">
        <v>3250</v>
      </c>
      <c r="BI1812" t="s">
        <v>3250</v>
      </c>
      <c r="BK1812" t="s">
        <v>3250</v>
      </c>
      <c r="BL1812" t="s">
        <v>3250</v>
      </c>
      <c r="BM1812" t="s">
        <v>3250</v>
      </c>
      <c r="BN1812" t="s">
        <v>3250</v>
      </c>
      <c r="BP1812">
        <v>1</v>
      </c>
      <c r="BQ1812">
        <v>11</v>
      </c>
      <c r="BR1812" t="s">
        <v>1574</v>
      </c>
      <c r="BS1812" t="s">
        <v>3252</v>
      </c>
      <c r="BV1812">
        <v>0</v>
      </c>
      <c r="BW1812">
        <v>0</v>
      </c>
      <c r="BX1812">
        <v>0</v>
      </c>
      <c r="BY1812">
        <v>0</v>
      </c>
      <c r="BZ1812">
        <v>0</v>
      </c>
      <c r="CA1812">
        <v>0</v>
      </c>
      <c r="CB1812">
        <v>0</v>
      </c>
      <c r="CC1812">
        <v>0</v>
      </c>
      <c r="CD1812">
        <v>0</v>
      </c>
      <c r="CE1812" t="s">
        <v>3108</v>
      </c>
      <c r="CF1812" t="s">
        <v>3108</v>
      </c>
      <c r="CG1812" t="s">
        <v>3108</v>
      </c>
      <c r="CH1812" t="s">
        <v>3108</v>
      </c>
    </row>
    <row r="1813" spans="1:86" x14ac:dyDescent="0.2">
      <c r="A1813" t="s">
        <v>5872</v>
      </c>
      <c r="B1813" t="s">
        <v>5872</v>
      </c>
      <c r="C1813">
        <v>54936</v>
      </c>
      <c r="D1813">
        <v>1936</v>
      </c>
      <c r="E1813" t="s">
        <v>5717</v>
      </c>
      <c r="F1813" t="s">
        <v>3249</v>
      </c>
      <c r="G1813" t="s">
        <v>3249</v>
      </c>
      <c r="H1813" t="s">
        <v>3250</v>
      </c>
      <c r="I1813" t="s">
        <v>3250</v>
      </c>
      <c r="J1813" t="s">
        <v>3250</v>
      </c>
      <c r="K1813" t="s">
        <v>3250</v>
      </c>
      <c r="L1813">
        <v>1200</v>
      </c>
      <c r="M1813" t="s">
        <v>2368</v>
      </c>
      <c r="N1813">
        <v>1204</v>
      </c>
      <c r="O1813" t="s">
        <v>1574</v>
      </c>
      <c r="P1813" t="s">
        <v>3108</v>
      </c>
      <c r="Q1813" t="s">
        <v>3249</v>
      </c>
      <c r="R1813" t="s">
        <v>3249</v>
      </c>
      <c r="S1813" t="s">
        <v>472</v>
      </c>
      <c r="T1813" t="s">
        <v>3251</v>
      </c>
      <c r="U1813">
        <v>120</v>
      </c>
      <c r="V1813" t="s">
        <v>599</v>
      </c>
      <c r="W1813">
        <v>120</v>
      </c>
      <c r="X1813" t="s">
        <v>599</v>
      </c>
      <c r="Y1813" t="s">
        <v>5314</v>
      </c>
      <c r="Z1813" t="s">
        <v>5308</v>
      </c>
      <c r="AA1813" t="s">
        <v>5314</v>
      </c>
      <c r="AB1813" t="s">
        <v>5308</v>
      </c>
      <c r="AC1813" t="s">
        <v>3250</v>
      </c>
      <c r="AD1813" t="s">
        <v>3250</v>
      </c>
      <c r="AE1813" t="s">
        <v>3250</v>
      </c>
      <c r="AF1813" t="s">
        <v>3250</v>
      </c>
      <c r="AG1813" t="s">
        <v>3250</v>
      </c>
      <c r="AH1813" t="s">
        <v>3250</v>
      </c>
      <c r="AI1813" t="s">
        <v>3250</v>
      </c>
      <c r="AJ1813" t="s">
        <v>3250</v>
      </c>
      <c r="AL1813" t="s">
        <v>3250</v>
      </c>
      <c r="AM1813" t="s">
        <v>3250</v>
      </c>
      <c r="AN1813" t="s">
        <v>3250</v>
      </c>
      <c r="AO1813" t="s">
        <v>3250</v>
      </c>
      <c r="AR1813" t="s">
        <v>5718</v>
      </c>
      <c r="AS1813" t="s">
        <v>3250</v>
      </c>
      <c r="AT1813" t="s">
        <v>3250</v>
      </c>
      <c r="AU1813" t="s">
        <v>3250</v>
      </c>
      <c r="AV1813" t="s">
        <v>3250</v>
      </c>
      <c r="AW1813" t="s">
        <v>3250</v>
      </c>
      <c r="AX1813" t="s">
        <v>3250</v>
      </c>
      <c r="AY1813" t="s">
        <v>3250</v>
      </c>
      <c r="AZ1813" t="s">
        <v>3250</v>
      </c>
      <c r="BA1813" t="s">
        <v>3250</v>
      </c>
      <c r="BB1813" t="s">
        <v>3250</v>
      </c>
      <c r="BC1813" t="s">
        <v>3250</v>
      </c>
      <c r="BE1813" t="s">
        <v>3250</v>
      </c>
      <c r="BF1813" t="s">
        <v>3250</v>
      </c>
      <c r="BG1813" t="s">
        <v>3250</v>
      </c>
      <c r="BH1813" t="s">
        <v>3250</v>
      </c>
      <c r="BI1813" t="s">
        <v>3250</v>
      </c>
      <c r="BK1813" t="s">
        <v>3250</v>
      </c>
      <c r="BL1813" t="s">
        <v>3250</v>
      </c>
      <c r="BM1813" t="s">
        <v>3250</v>
      </c>
      <c r="BN1813" t="s">
        <v>3250</v>
      </c>
      <c r="BP1813">
        <v>1</v>
      </c>
      <c r="BQ1813">
        <v>11</v>
      </c>
      <c r="BR1813" t="s">
        <v>1574</v>
      </c>
      <c r="BS1813" t="s">
        <v>3252</v>
      </c>
      <c r="BV1813">
        <v>0</v>
      </c>
      <c r="BW1813">
        <v>0</v>
      </c>
      <c r="BX1813">
        <v>0</v>
      </c>
      <c r="BY1813">
        <v>-67330000</v>
      </c>
      <c r="BZ1813">
        <v>0</v>
      </c>
      <c r="CA1813">
        <v>0</v>
      </c>
      <c r="CB1813">
        <v>0</v>
      </c>
      <c r="CC1813">
        <v>0</v>
      </c>
      <c r="CD1813">
        <v>0</v>
      </c>
      <c r="CE1813" t="s">
        <v>3108</v>
      </c>
      <c r="CF1813" t="s">
        <v>3108</v>
      </c>
      <c r="CG1813" t="s">
        <v>3108</v>
      </c>
      <c r="CH1813" t="s">
        <v>3108</v>
      </c>
    </row>
    <row r="1814" spans="1:86" x14ac:dyDescent="0.2">
      <c r="A1814" t="s">
        <v>5873</v>
      </c>
      <c r="B1814" t="s">
        <v>5873</v>
      </c>
      <c r="C1814">
        <v>54937</v>
      </c>
      <c r="D1814">
        <v>1937</v>
      </c>
      <c r="E1814" t="s">
        <v>5746</v>
      </c>
      <c r="F1814" t="s">
        <v>3249</v>
      </c>
      <c r="G1814" t="s">
        <v>3249</v>
      </c>
      <c r="H1814" t="s">
        <v>3250</v>
      </c>
      <c r="I1814" t="s">
        <v>3250</v>
      </c>
      <c r="J1814" t="s">
        <v>3250</v>
      </c>
      <c r="K1814" t="s">
        <v>3250</v>
      </c>
      <c r="L1814">
        <v>1200</v>
      </c>
      <c r="M1814" t="s">
        <v>2368</v>
      </c>
      <c r="N1814">
        <v>1204</v>
      </c>
      <c r="O1814" t="s">
        <v>1574</v>
      </c>
      <c r="P1814" t="s">
        <v>3108</v>
      </c>
      <c r="Q1814" t="s">
        <v>3249</v>
      </c>
      <c r="R1814" t="s">
        <v>3249</v>
      </c>
      <c r="S1814" t="s">
        <v>472</v>
      </c>
      <c r="T1814" t="s">
        <v>3251</v>
      </c>
      <c r="U1814">
        <v>120</v>
      </c>
      <c r="V1814" t="s">
        <v>599</v>
      </c>
      <c r="W1814">
        <v>120</v>
      </c>
      <c r="X1814" t="s">
        <v>599</v>
      </c>
      <c r="Y1814" t="s">
        <v>3250</v>
      </c>
      <c r="Z1814" t="s">
        <v>3250</v>
      </c>
      <c r="AA1814" t="s">
        <v>3108</v>
      </c>
      <c r="AB1814" t="s">
        <v>3108</v>
      </c>
      <c r="AC1814">
        <v>200</v>
      </c>
      <c r="AD1814" t="s">
        <v>5291</v>
      </c>
      <c r="AE1814">
        <v>480</v>
      </c>
      <c r="AF1814" t="s">
        <v>822</v>
      </c>
      <c r="AG1814" t="s">
        <v>3250</v>
      </c>
      <c r="AH1814" t="s">
        <v>3250</v>
      </c>
      <c r="AI1814" t="s">
        <v>3250</v>
      </c>
      <c r="AJ1814" t="s">
        <v>3250</v>
      </c>
      <c r="AL1814" t="s">
        <v>3250</v>
      </c>
      <c r="AM1814" t="s">
        <v>3250</v>
      </c>
      <c r="AN1814" t="s">
        <v>3250</v>
      </c>
      <c r="AO1814" t="s">
        <v>3250</v>
      </c>
      <c r="AS1814" t="s">
        <v>3250</v>
      </c>
      <c r="AT1814" t="s">
        <v>3250</v>
      </c>
      <c r="AU1814" t="s">
        <v>3250</v>
      </c>
      <c r="AV1814" t="s">
        <v>3250</v>
      </c>
      <c r="AW1814" t="s">
        <v>3250</v>
      </c>
      <c r="AX1814" t="s">
        <v>3250</v>
      </c>
      <c r="AY1814" t="s">
        <v>3250</v>
      </c>
      <c r="AZ1814" t="s">
        <v>3250</v>
      </c>
      <c r="BA1814" t="s">
        <v>3250</v>
      </c>
      <c r="BB1814" t="s">
        <v>3250</v>
      </c>
      <c r="BC1814" t="s">
        <v>3250</v>
      </c>
      <c r="BE1814" t="s">
        <v>3250</v>
      </c>
      <c r="BF1814" t="s">
        <v>3250</v>
      </c>
      <c r="BG1814" t="s">
        <v>3250</v>
      </c>
      <c r="BH1814" t="s">
        <v>3250</v>
      </c>
      <c r="BI1814" t="s">
        <v>3250</v>
      </c>
      <c r="BK1814" t="s">
        <v>3250</v>
      </c>
      <c r="BL1814" t="s">
        <v>3250</v>
      </c>
      <c r="BM1814" t="s">
        <v>3250</v>
      </c>
      <c r="BN1814" t="s">
        <v>3250</v>
      </c>
      <c r="BP1814">
        <v>1</v>
      </c>
      <c r="BQ1814">
        <v>11</v>
      </c>
      <c r="BR1814" t="s">
        <v>1574</v>
      </c>
      <c r="BS1814" t="s">
        <v>3252</v>
      </c>
      <c r="BV1814">
        <v>0</v>
      </c>
      <c r="BW1814">
        <v>0</v>
      </c>
      <c r="BX1814">
        <v>0</v>
      </c>
      <c r="BY1814">
        <v>0</v>
      </c>
      <c r="BZ1814">
        <v>0</v>
      </c>
      <c r="CA1814">
        <v>0</v>
      </c>
      <c r="CB1814">
        <v>0</v>
      </c>
      <c r="CC1814">
        <v>0</v>
      </c>
      <c r="CD1814">
        <v>0</v>
      </c>
      <c r="CE1814" t="s">
        <v>3108</v>
      </c>
      <c r="CF1814" t="s">
        <v>3108</v>
      </c>
      <c r="CG1814" t="s">
        <v>3108</v>
      </c>
      <c r="CH1814" t="s">
        <v>3108</v>
      </c>
    </row>
    <row r="1815" spans="1:86" x14ac:dyDescent="0.2">
      <c r="A1815" t="s">
        <v>5874</v>
      </c>
      <c r="B1815" t="s">
        <v>5874</v>
      </c>
      <c r="C1815">
        <v>54938</v>
      </c>
      <c r="D1815">
        <v>1938</v>
      </c>
      <c r="E1815" t="s">
        <v>5741</v>
      </c>
      <c r="F1815" t="s">
        <v>3249</v>
      </c>
      <c r="G1815" t="s">
        <v>3249</v>
      </c>
      <c r="H1815" t="s">
        <v>3250</v>
      </c>
      <c r="I1815" t="s">
        <v>3250</v>
      </c>
      <c r="J1815" t="s">
        <v>3250</v>
      </c>
      <c r="K1815" t="s">
        <v>3250</v>
      </c>
      <c r="L1815">
        <v>1200</v>
      </c>
      <c r="M1815" t="s">
        <v>2368</v>
      </c>
      <c r="N1815">
        <v>1204</v>
      </c>
      <c r="O1815" t="s">
        <v>1574</v>
      </c>
      <c r="P1815" t="s">
        <v>3108</v>
      </c>
      <c r="Q1815" t="s">
        <v>3249</v>
      </c>
      <c r="R1815" t="s">
        <v>3249</v>
      </c>
      <c r="S1815" t="s">
        <v>472</v>
      </c>
      <c r="T1815" t="s">
        <v>3251</v>
      </c>
      <c r="U1815">
        <v>120</v>
      </c>
      <c r="V1815" t="s">
        <v>599</v>
      </c>
      <c r="W1815">
        <v>120</v>
      </c>
      <c r="X1815" t="s">
        <v>599</v>
      </c>
      <c r="Y1815" t="s">
        <v>3250</v>
      </c>
      <c r="Z1815" t="s">
        <v>3250</v>
      </c>
      <c r="AA1815" t="s">
        <v>3108</v>
      </c>
      <c r="AB1815" t="s">
        <v>3108</v>
      </c>
      <c r="AC1815">
        <v>420</v>
      </c>
      <c r="AD1815" t="s">
        <v>827</v>
      </c>
      <c r="AE1815">
        <v>560</v>
      </c>
      <c r="AF1815" t="s">
        <v>827</v>
      </c>
      <c r="AG1815" t="s">
        <v>3250</v>
      </c>
      <c r="AH1815" t="s">
        <v>3250</v>
      </c>
      <c r="AI1815" t="s">
        <v>3250</v>
      </c>
      <c r="AJ1815" t="s">
        <v>3250</v>
      </c>
      <c r="AL1815" t="s">
        <v>3250</v>
      </c>
      <c r="AM1815" t="s">
        <v>3250</v>
      </c>
      <c r="AN1815" t="s">
        <v>3250</v>
      </c>
      <c r="AO1815" t="s">
        <v>3250</v>
      </c>
      <c r="AS1815" t="s">
        <v>3250</v>
      </c>
      <c r="AT1815" t="s">
        <v>3250</v>
      </c>
      <c r="AU1815" t="s">
        <v>3250</v>
      </c>
      <c r="AV1815" t="s">
        <v>3250</v>
      </c>
      <c r="AW1815" t="s">
        <v>3250</v>
      </c>
      <c r="AX1815" t="s">
        <v>3250</v>
      </c>
      <c r="AY1815" t="s">
        <v>3250</v>
      </c>
      <c r="AZ1815" t="s">
        <v>3250</v>
      </c>
      <c r="BA1815" t="s">
        <v>3250</v>
      </c>
      <c r="BB1815" t="s">
        <v>3250</v>
      </c>
      <c r="BC1815" t="s">
        <v>3250</v>
      </c>
      <c r="BE1815" t="s">
        <v>3250</v>
      </c>
      <c r="BF1815" t="s">
        <v>3250</v>
      </c>
      <c r="BG1815" t="s">
        <v>3250</v>
      </c>
      <c r="BH1815" t="s">
        <v>3250</v>
      </c>
      <c r="BI1815" t="s">
        <v>3250</v>
      </c>
      <c r="BK1815" t="s">
        <v>3250</v>
      </c>
      <c r="BL1815" t="s">
        <v>3250</v>
      </c>
      <c r="BM1815" t="s">
        <v>3250</v>
      </c>
      <c r="BN1815" t="s">
        <v>3250</v>
      </c>
      <c r="BP1815">
        <v>1</v>
      </c>
      <c r="BQ1815">
        <v>11</v>
      </c>
      <c r="BR1815" t="s">
        <v>1574</v>
      </c>
      <c r="BS1815" t="s">
        <v>3252</v>
      </c>
      <c r="BV1815">
        <v>0</v>
      </c>
      <c r="BW1815">
        <v>0</v>
      </c>
      <c r="BX1815">
        <v>0</v>
      </c>
      <c r="BY1815">
        <v>0</v>
      </c>
      <c r="BZ1815">
        <v>0</v>
      </c>
      <c r="CA1815">
        <v>0</v>
      </c>
      <c r="CB1815">
        <v>0</v>
      </c>
      <c r="CC1815">
        <v>0</v>
      </c>
      <c r="CD1815">
        <v>0</v>
      </c>
      <c r="CE1815" t="s">
        <v>3108</v>
      </c>
      <c r="CF1815" t="s">
        <v>3108</v>
      </c>
      <c r="CG1815" t="s">
        <v>3108</v>
      </c>
      <c r="CH1815" t="s">
        <v>3108</v>
      </c>
    </row>
    <row r="1816" spans="1:86" x14ac:dyDescent="0.2">
      <c r="A1816" t="s">
        <v>5875</v>
      </c>
      <c r="B1816" t="s">
        <v>5875</v>
      </c>
      <c r="C1816">
        <v>54939</v>
      </c>
      <c r="D1816">
        <v>1939</v>
      </c>
      <c r="E1816" t="s">
        <v>5115</v>
      </c>
      <c r="F1816" t="s">
        <v>3249</v>
      </c>
      <c r="G1816" t="s">
        <v>3249</v>
      </c>
      <c r="H1816" t="s">
        <v>3250</v>
      </c>
      <c r="I1816" t="s">
        <v>3250</v>
      </c>
      <c r="J1816" t="s">
        <v>3250</v>
      </c>
      <c r="K1816" t="s">
        <v>3250</v>
      </c>
      <c r="L1816">
        <v>1200</v>
      </c>
      <c r="M1816" t="s">
        <v>2368</v>
      </c>
      <c r="N1816">
        <v>1204</v>
      </c>
      <c r="O1816" t="s">
        <v>1574</v>
      </c>
      <c r="P1816" t="s">
        <v>3108</v>
      </c>
      <c r="Q1816" t="s">
        <v>3249</v>
      </c>
      <c r="R1816" t="s">
        <v>3249</v>
      </c>
      <c r="S1816" t="s">
        <v>472</v>
      </c>
      <c r="T1816" t="s">
        <v>3251</v>
      </c>
      <c r="U1816">
        <v>120</v>
      </c>
      <c r="V1816" t="s">
        <v>599</v>
      </c>
      <c r="W1816">
        <v>120</v>
      </c>
      <c r="X1816" t="s">
        <v>599</v>
      </c>
      <c r="Y1816" t="s">
        <v>2755</v>
      </c>
      <c r="Z1816" t="s">
        <v>5308</v>
      </c>
      <c r="AA1816" t="s">
        <v>2755</v>
      </c>
      <c r="AB1816" t="s">
        <v>5308</v>
      </c>
      <c r="AC1816" t="s">
        <v>3250</v>
      </c>
      <c r="AD1816" t="s">
        <v>3250</v>
      </c>
      <c r="AE1816" t="s">
        <v>3250</v>
      </c>
      <c r="AF1816" t="s">
        <v>3250</v>
      </c>
      <c r="AG1816" t="s">
        <v>3250</v>
      </c>
      <c r="AH1816" t="s">
        <v>3250</v>
      </c>
      <c r="AI1816" t="s">
        <v>3250</v>
      </c>
      <c r="AJ1816" t="s">
        <v>3250</v>
      </c>
      <c r="AL1816" t="s">
        <v>3250</v>
      </c>
      <c r="AM1816" t="s">
        <v>3250</v>
      </c>
      <c r="AN1816" t="s">
        <v>3250</v>
      </c>
      <c r="AO1816" t="s">
        <v>3250</v>
      </c>
      <c r="AR1816" t="s">
        <v>472</v>
      </c>
      <c r="AS1816" t="s">
        <v>3250</v>
      </c>
      <c r="AT1816" t="s">
        <v>3250</v>
      </c>
      <c r="AU1816" t="s">
        <v>3250</v>
      </c>
      <c r="AV1816" t="s">
        <v>3250</v>
      </c>
      <c r="AW1816" t="s">
        <v>3250</v>
      </c>
      <c r="AX1816" t="s">
        <v>3250</v>
      </c>
      <c r="AY1816" t="s">
        <v>3250</v>
      </c>
      <c r="AZ1816" t="s">
        <v>3250</v>
      </c>
      <c r="BA1816" t="s">
        <v>3250</v>
      </c>
      <c r="BB1816" t="s">
        <v>3250</v>
      </c>
      <c r="BC1816" t="s">
        <v>3250</v>
      </c>
      <c r="BE1816" t="s">
        <v>3250</v>
      </c>
      <c r="BF1816" t="s">
        <v>3250</v>
      </c>
      <c r="BG1816" t="s">
        <v>3250</v>
      </c>
      <c r="BH1816" t="s">
        <v>3250</v>
      </c>
      <c r="BI1816" t="s">
        <v>3250</v>
      </c>
      <c r="BK1816" t="s">
        <v>3250</v>
      </c>
      <c r="BL1816" t="s">
        <v>3250</v>
      </c>
      <c r="BM1816" t="s">
        <v>3250</v>
      </c>
      <c r="BN1816" t="s">
        <v>3250</v>
      </c>
      <c r="BP1816">
        <v>1</v>
      </c>
      <c r="BQ1816">
        <v>11</v>
      </c>
      <c r="BR1816" t="s">
        <v>1574</v>
      </c>
      <c r="BS1816" t="s">
        <v>3252</v>
      </c>
      <c r="BV1816">
        <v>0</v>
      </c>
      <c r="BW1816">
        <v>0</v>
      </c>
      <c r="BX1816">
        <v>0</v>
      </c>
      <c r="BY1816">
        <v>67330000</v>
      </c>
      <c r="BZ1816">
        <v>79735000</v>
      </c>
      <c r="CA1816">
        <v>20020000</v>
      </c>
      <c r="CB1816">
        <v>10004000</v>
      </c>
      <c r="CC1816">
        <v>10004000</v>
      </c>
      <c r="CD1816">
        <v>0</v>
      </c>
      <c r="CE1816" t="s">
        <v>3108</v>
      </c>
      <c r="CF1816" t="s">
        <v>3108</v>
      </c>
      <c r="CG1816" t="s">
        <v>3108</v>
      </c>
      <c r="CH1816" t="s">
        <v>3108</v>
      </c>
    </row>
    <row r="1817" spans="1:86" x14ac:dyDescent="0.2">
      <c r="A1817" t="s">
        <v>5876</v>
      </c>
      <c r="B1817" t="s">
        <v>5876</v>
      </c>
      <c r="C1817">
        <v>54940</v>
      </c>
      <c r="D1817">
        <v>1940</v>
      </c>
      <c r="E1817" t="s">
        <v>5712</v>
      </c>
      <c r="F1817" t="s">
        <v>3249</v>
      </c>
      <c r="G1817" t="s">
        <v>3249</v>
      </c>
      <c r="H1817" t="s">
        <v>3250</v>
      </c>
      <c r="I1817" t="s">
        <v>3250</v>
      </c>
      <c r="J1817" t="s">
        <v>3250</v>
      </c>
      <c r="K1817" t="s">
        <v>3250</v>
      </c>
      <c r="L1817">
        <v>1200</v>
      </c>
      <c r="M1817" t="s">
        <v>2368</v>
      </c>
      <c r="N1817">
        <v>1204</v>
      </c>
      <c r="O1817" t="s">
        <v>1574</v>
      </c>
      <c r="P1817" t="s">
        <v>3108</v>
      </c>
      <c r="Q1817" t="s">
        <v>3249</v>
      </c>
      <c r="R1817" t="s">
        <v>3249</v>
      </c>
      <c r="S1817" t="s">
        <v>472</v>
      </c>
      <c r="T1817" t="s">
        <v>3251</v>
      </c>
      <c r="U1817">
        <v>120</v>
      </c>
      <c r="V1817" t="s">
        <v>599</v>
      </c>
      <c r="W1817">
        <v>120</v>
      </c>
      <c r="X1817" t="s">
        <v>599</v>
      </c>
      <c r="Y1817" t="s">
        <v>5755</v>
      </c>
      <c r="Z1817" t="s">
        <v>5308</v>
      </c>
      <c r="AA1817" t="s">
        <v>5755</v>
      </c>
      <c r="AB1817" t="s">
        <v>5308</v>
      </c>
      <c r="AC1817" t="s">
        <v>3250</v>
      </c>
      <c r="AD1817" t="s">
        <v>3250</v>
      </c>
      <c r="AE1817" t="s">
        <v>3250</v>
      </c>
      <c r="AF1817" t="s">
        <v>3250</v>
      </c>
      <c r="AG1817" t="s">
        <v>3250</v>
      </c>
      <c r="AH1817" t="s">
        <v>3250</v>
      </c>
      <c r="AI1817" t="s">
        <v>3250</v>
      </c>
      <c r="AJ1817" t="s">
        <v>3250</v>
      </c>
      <c r="AL1817" t="s">
        <v>3250</v>
      </c>
      <c r="AM1817" t="s">
        <v>3250</v>
      </c>
      <c r="AN1817" t="s">
        <v>3250</v>
      </c>
      <c r="AO1817" t="s">
        <v>3250</v>
      </c>
      <c r="AR1817" t="s">
        <v>486</v>
      </c>
      <c r="AS1817" t="s">
        <v>3250</v>
      </c>
      <c r="AT1817" t="s">
        <v>3250</v>
      </c>
      <c r="AU1817" t="s">
        <v>3250</v>
      </c>
      <c r="AV1817" t="s">
        <v>3250</v>
      </c>
      <c r="AW1817" t="s">
        <v>3250</v>
      </c>
      <c r="AX1817" t="s">
        <v>3250</v>
      </c>
      <c r="AY1817" t="s">
        <v>3250</v>
      </c>
      <c r="AZ1817" t="s">
        <v>3250</v>
      </c>
      <c r="BA1817" t="s">
        <v>3250</v>
      </c>
      <c r="BB1817" t="s">
        <v>3250</v>
      </c>
      <c r="BC1817" t="s">
        <v>3250</v>
      </c>
      <c r="BE1817" t="s">
        <v>3250</v>
      </c>
      <c r="BF1817" t="s">
        <v>3250</v>
      </c>
      <c r="BG1817" t="s">
        <v>3250</v>
      </c>
      <c r="BH1817" t="s">
        <v>3250</v>
      </c>
      <c r="BI1817" t="s">
        <v>3250</v>
      </c>
      <c r="BK1817" t="s">
        <v>3250</v>
      </c>
      <c r="BL1817" t="s">
        <v>3250</v>
      </c>
      <c r="BM1817" t="s">
        <v>3250</v>
      </c>
      <c r="BN1817" t="s">
        <v>3250</v>
      </c>
      <c r="BP1817">
        <v>1</v>
      </c>
      <c r="BQ1817">
        <v>11</v>
      </c>
      <c r="BR1817" t="s">
        <v>1574</v>
      </c>
      <c r="BS1817" t="s">
        <v>3252</v>
      </c>
      <c r="BV1817">
        <v>0</v>
      </c>
      <c r="BW1817">
        <v>0</v>
      </c>
      <c r="BX1817">
        <v>0</v>
      </c>
      <c r="BY1817">
        <v>0</v>
      </c>
      <c r="BZ1817">
        <v>0</v>
      </c>
      <c r="CA1817">
        <v>0</v>
      </c>
      <c r="CB1817">
        <v>0</v>
      </c>
      <c r="CC1817">
        <v>0</v>
      </c>
      <c r="CD1817">
        <v>0</v>
      </c>
      <c r="CE1817" t="s">
        <v>3108</v>
      </c>
      <c r="CF1817" t="s">
        <v>3108</v>
      </c>
      <c r="CG1817" t="s">
        <v>3108</v>
      </c>
      <c r="CH1817" t="s">
        <v>3108</v>
      </c>
    </row>
    <row r="1818" spans="1:86" x14ac:dyDescent="0.2">
      <c r="A1818" t="s">
        <v>5877</v>
      </c>
      <c r="B1818" t="s">
        <v>5877</v>
      </c>
      <c r="C1818">
        <v>54941</v>
      </c>
      <c r="D1818">
        <v>1941</v>
      </c>
      <c r="E1818" t="s">
        <v>5115</v>
      </c>
      <c r="F1818" t="s">
        <v>3249</v>
      </c>
      <c r="G1818" t="s">
        <v>3249</v>
      </c>
      <c r="H1818" t="s">
        <v>3250</v>
      </c>
      <c r="I1818" t="s">
        <v>3250</v>
      </c>
      <c r="J1818" t="s">
        <v>3250</v>
      </c>
      <c r="K1818" t="s">
        <v>3250</v>
      </c>
      <c r="L1818">
        <v>1200</v>
      </c>
      <c r="M1818" t="s">
        <v>2368</v>
      </c>
      <c r="N1818">
        <v>1204</v>
      </c>
      <c r="O1818" t="s">
        <v>1574</v>
      </c>
      <c r="P1818" t="s">
        <v>3108</v>
      </c>
      <c r="Q1818" t="s">
        <v>3249</v>
      </c>
      <c r="R1818" t="s">
        <v>3249</v>
      </c>
      <c r="S1818" t="s">
        <v>472</v>
      </c>
      <c r="T1818" t="s">
        <v>3251</v>
      </c>
      <c r="U1818">
        <v>120</v>
      </c>
      <c r="V1818" t="s">
        <v>599</v>
      </c>
      <c r="W1818">
        <v>120</v>
      </c>
      <c r="X1818" t="s">
        <v>599</v>
      </c>
      <c r="Y1818" t="s">
        <v>2758</v>
      </c>
      <c r="Z1818" t="s">
        <v>1360</v>
      </c>
      <c r="AA1818">
        <v>250</v>
      </c>
      <c r="AB1818" t="s">
        <v>1360</v>
      </c>
      <c r="AC1818" t="s">
        <v>3250</v>
      </c>
      <c r="AD1818" t="s">
        <v>3250</v>
      </c>
      <c r="AE1818" t="s">
        <v>3250</v>
      </c>
      <c r="AF1818" t="s">
        <v>3250</v>
      </c>
      <c r="AG1818" t="s">
        <v>3250</v>
      </c>
      <c r="AH1818" t="s">
        <v>3250</v>
      </c>
      <c r="AI1818" t="s">
        <v>3250</v>
      </c>
      <c r="AJ1818" t="s">
        <v>3250</v>
      </c>
      <c r="AL1818" t="s">
        <v>3250</v>
      </c>
      <c r="AM1818" t="s">
        <v>3250</v>
      </c>
      <c r="AN1818" t="s">
        <v>3250</v>
      </c>
      <c r="AO1818" t="s">
        <v>3250</v>
      </c>
      <c r="AR1818" t="s">
        <v>472</v>
      </c>
      <c r="AS1818" t="s">
        <v>3250</v>
      </c>
      <c r="AT1818" t="s">
        <v>3250</v>
      </c>
      <c r="AU1818" t="s">
        <v>3250</v>
      </c>
      <c r="AV1818" t="s">
        <v>3250</v>
      </c>
      <c r="AW1818" t="s">
        <v>3250</v>
      </c>
      <c r="AX1818" t="s">
        <v>3250</v>
      </c>
      <c r="AY1818" t="s">
        <v>3250</v>
      </c>
      <c r="AZ1818" t="s">
        <v>3250</v>
      </c>
      <c r="BA1818" t="s">
        <v>3250</v>
      </c>
      <c r="BB1818" t="s">
        <v>3250</v>
      </c>
      <c r="BC1818" t="s">
        <v>3250</v>
      </c>
      <c r="BE1818" t="s">
        <v>3250</v>
      </c>
      <c r="BF1818" t="s">
        <v>3250</v>
      </c>
      <c r="BG1818" t="s">
        <v>3250</v>
      </c>
      <c r="BH1818" t="s">
        <v>3250</v>
      </c>
      <c r="BI1818" t="s">
        <v>3250</v>
      </c>
      <c r="BK1818" t="s">
        <v>3250</v>
      </c>
      <c r="BL1818" t="s">
        <v>3250</v>
      </c>
      <c r="BM1818" t="s">
        <v>3250</v>
      </c>
      <c r="BN1818" t="s">
        <v>3250</v>
      </c>
      <c r="BP1818">
        <v>1</v>
      </c>
      <c r="BQ1818">
        <v>11</v>
      </c>
      <c r="BR1818" t="s">
        <v>1574</v>
      </c>
      <c r="BS1818" t="s">
        <v>3252</v>
      </c>
      <c r="BV1818">
        <v>0</v>
      </c>
      <c r="BW1818">
        <v>0</v>
      </c>
      <c r="BX1818">
        <v>0</v>
      </c>
      <c r="BY1818">
        <v>1179234</v>
      </c>
      <c r="BZ1818">
        <v>8675000</v>
      </c>
      <c r="CA1818">
        <v>0</v>
      </c>
      <c r="CB1818">
        <v>0</v>
      </c>
      <c r="CC1818">
        <v>0</v>
      </c>
      <c r="CD1818">
        <v>0</v>
      </c>
      <c r="CE1818" t="s">
        <v>3108</v>
      </c>
      <c r="CF1818" t="s">
        <v>3108</v>
      </c>
      <c r="CG1818" t="s">
        <v>3108</v>
      </c>
      <c r="CH1818" t="s">
        <v>3108</v>
      </c>
    </row>
    <row r="1819" spans="1:86" x14ac:dyDescent="0.2">
      <c r="A1819" t="s">
        <v>5878</v>
      </c>
      <c r="B1819" t="s">
        <v>5878</v>
      </c>
      <c r="C1819">
        <v>54942</v>
      </c>
      <c r="D1819">
        <v>1942</v>
      </c>
      <c r="E1819" t="s">
        <v>4538</v>
      </c>
      <c r="F1819">
        <v>1600</v>
      </c>
      <c r="G1819" t="s">
        <v>1360</v>
      </c>
      <c r="H1819">
        <v>1600</v>
      </c>
      <c r="I1819" t="s">
        <v>2017</v>
      </c>
      <c r="J1819" t="s">
        <v>3250</v>
      </c>
      <c r="K1819" t="s">
        <v>3250</v>
      </c>
      <c r="L1819">
        <v>1200</v>
      </c>
      <c r="M1819" t="s">
        <v>2368</v>
      </c>
      <c r="N1819">
        <v>1204</v>
      </c>
      <c r="O1819" t="s">
        <v>1574</v>
      </c>
      <c r="P1819" t="s">
        <v>3108</v>
      </c>
      <c r="Q1819" t="s">
        <v>3249</v>
      </c>
      <c r="R1819" t="s">
        <v>3249</v>
      </c>
      <c r="S1819" t="s">
        <v>472</v>
      </c>
      <c r="T1819" t="s">
        <v>2759</v>
      </c>
      <c r="U1819" t="s">
        <v>3250</v>
      </c>
      <c r="V1819" t="s">
        <v>3250</v>
      </c>
      <c r="W1819" t="s">
        <v>3250</v>
      </c>
      <c r="X1819" t="s">
        <v>3250</v>
      </c>
      <c r="Y1819" t="s">
        <v>3250</v>
      </c>
      <c r="Z1819" t="s">
        <v>3250</v>
      </c>
      <c r="AA1819" t="s">
        <v>3108</v>
      </c>
      <c r="AB1819" t="s">
        <v>3108</v>
      </c>
      <c r="AC1819" t="s">
        <v>3250</v>
      </c>
      <c r="AD1819" t="s">
        <v>3250</v>
      </c>
      <c r="AE1819" t="s">
        <v>3250</v>
      </c>
      <c r="AF1819" t="s">
        <v>3250</v>
      </c>
      <c r="AG1819" t="s">
        <v>3250</v>
      </c>
      <c r="AH1819" t="s">
        <v>3250</v>
      </c>
      <c r="AI1819" t="s">
        <v>3250</v>
      </c>
      <c r="AJ1819" t="s">
        <v>3250</v>
      </c>
      <c r="AL1819" t="s">
        <v>3250</v>
      </c>
      <c r="AM1819" t="s">
        <v>3250</v>
      </c>
      <c r="AN1819" t="s">
        <v>3250</v>
      </c>
      <c r="AO1819" t="s">
        <v>3250</v>
      </c>
      <c r="AS1819" t="s">
        <v>3250</v>
      </c>
      <c r="AT1819" t="s">
        <v>3250</v>
      </c>
      <c r="AU1819" t="s">
        <v>3250</v>
      </c>
      <c r="AV1819" t="s">
        <v>3250</v>
      </c>
      <c r="AW1819" t="s">
        <v>3250</v>
      </c>
      <c r="AX1819" t="s">
        <v>3250</v>
      </c>
      <c r="AY1819" t="s">
        <v>3250</v>
      </c>
      <c r="AZ1819" t="s">
        <v>3250</v>
      </c>
      <c r="BA1819" t="s">
        <v>3250</v>
      </c>
      <c r="BB1819" t="s">
        <v>3250</v>
      </c>
      <c r="BC1819" t="s">
        <v>3250</v>
      </c>
      <c r="BE1819" t="s">
        <v>3250</v>
      </c>
      <c r="BF1819" t="s">
        <v>3250</v>
      </c>
      <c r="BG1819" t="s">
        <v>3250</v>
      </c>
      <c r="BH1819" t="s">
        <v>3250</v>
      </c>
      <c r="BI1819" t="s">
        <v>3250</v>
      </c>
      <c r="BK1819" t="s">
        <v>3250</v>
      </c>
      <c r="BL1819" t="s">
        <v>3250</v>
      </c>
      <c r="BM1819" t="s">
        <v>3250</v>
      </c>
      <c r="BN1819" t="s">
        <v>3250</v>
      </c>
      <c r="BP1819">
        <v>1</v>
      </c>
      <c r="BQ1819">
        <v>11</v>
      </c>
      <c r="BR1819" t="s">
        <v>1574</v>
      </c>
      <c r="BS1819" t="s">
        <v>3252</v>
      </c>
      <c r="BV1819">
        <v>0</v>
      </c>
      <c r="BW1819">
        <v>0</v>
      </c>
      <c r="BX1819">
        <v>0</v>
      </c>
      <c r="BY1819">
        <v>0</v>
      </c>
      <c r="BZ1819">
        <v>0</v>
      </c>
      <c r="CA1819">
        <v>0</v>
      </c>
      <c r="CB1819">
        <v>0</v>
      </c>
      <c r="CC1819">
        <v>0</v>
      </c>
      <c r="CD1819">
        <v>0</v>
      </c>
      <c r="CE1819" t="s">
        <v>3108</v>
      </c>
      <c r="CF1819" t="s">
        <v>3108</v>
      </c>
      <c r="CG1819" t="s">
        <v>3108</v>
      </c>
      <c r="CH1819" t="s">
        <v>3108</v>
      </c>
    </row>
    <row r="1820" spans="1:86" x14ac:dyDescent="0.2">
      <c r="A1820" t="s">
        <v>5879</v>
      </c>
      <c r="B1820" t="s">
        <v>5879</v>
      </c>
      <c r="C1820">
        <v>54943</v>
      </c>
      <c r="D1820">
        <v>1943</v>
      </c>
      <c r="E1820" t="s">
        <v>4576</v>
      </c>
      <c r="F1820">
        <v>1600</v>
      </c>
      <c r="G1820" t="s">
        <v>1360</v>
      </c>
      <c r="H1820">
        <v>1600</v>
      </c>
      <c r="I1820" t="s">
        <v>2017</v>
      </c>
      <c r="J1820" t="s">
        <v>3250</v>
      </c>
      <c r="K1820" t="s">
        <v>3250</v>
      </c>
      <c r="L1820">
        <v>1200</v>
      </c>
      <c r="M1820" t="s">
        <v>2368</v>
      </c>
      <c r="N1820">
        <v>1204</v>
      </c>
      <c r="O1820" t="s">
        <v>1574</v>
      </c>
      <c r="P1820" t="s">
        <v>3108</v>
      </c>
      <c r="Q1820" t="s">
        <v>3249</v>
      </c>
      <c r="R1820" t="s">
        <v>3249</v>
      </c>
      <c r="S1820" t="s">
        <v>472</v>
      </c>
      <c r="T1820" t="s">
        <v>2759</v>
      </c>
      <c r="U1820" t="s">
        <v>3250</v>
      </c>
      <c r="V1820" t="s">
        <v>3250</v>
      </c>
      <c r="W1820" t="s">
        <v>3250</v>
      </c>
      <c r="X1820" t="s">
        <v>3250</v>
      </c>
      <c r="Y1820" t="s">
        <v>3250</v>
      </c>
      <c r="Z1820" t="s">
        <v>3250</v>
      </c>
      <c r="AA1820" t="s">
        <v>3108</v>
      </c>
      <c r="AB1820" t="s">
        <v>3108</v>
      </c>
      <c r="AC1820" t="s">
        <v>3250</v>
      </c>
      <c r="AD1820" t="s">
        <v>3250</v>
      </c>
      <c r="AE1820" t="s">
        <v>3250</v>
      </c>
      <c r="AF1820" t="s">
        <v>3250</v>
      </c>
      <c r="AG1820" t="s">
        <v>3250</v>
      </c>
      <c r="AH1820" t="s">
        <v>3250</v>
      </c>
      <c r="AI1820" t="s">
        <v>3250</v>
      </c>
      <c r="AJ1820" t="s">
        <v>3250</v>
      </c>
      <c r="AL1820" t="s">
        <v>3250</v>
      </c>
      <c r="AM1820" t="s">
        <v>3250</v>
      </c>
      <c r="AN1820" t="s">
        <v>3250</v>
      </c>
      <c r="AO1820" t="s">
        <v>3250</v>
      </c>
      <c r="AS1820" t="s">
        <v>3250</v>
      </c>
      <c r="AT1820" t="s">
        <v>3250</v>
      </c>
      <c r="AU1820" t="s">
        <v>3250</v>
      </c>
      <c r="AV1820" t="s">
        <v>3250</v>
      </c>
      <c r="AW1820" t="s">
        <v>3250</v>
      </c>
      <c r="AX1820" t="s">
        <v>3250</v>
      </c>
      <c r="AY1820" t="s">
        <v>3250</v>
      </c>
      <c r="AZ1820" t="s">
        <v>3250</v>
      </c>
      <c r="BA1820" t="s">
        <v>3250</v>
      </c>
      <c r="BB1820" t="s">
        <v>3250</v>
      </c>
      <c r="BC1820" t="s">
        <v>3250</v>
      </c>
      <c r="BE1820" t="s">
        <v>3250</v>
      </c>
      <c r="BF1820" t="s">
        <v>3250</v>
      </c>
      <c r="BG1820" t="s">
        <v>3250</v>
      </c>
      <c r="BH1820" t="s">
        <v>3250</v>
      </c>
      <c r="BI1820" t="s">
        <v>3250</v>
      </c>
      <c r="BK1820" t="s">
        <v>3250</v>
      </c>
      <c r="BL1820" t="s">
        <v>3250</v>
      </c>
      <c r="BM1820" t="s">
        <v>3250</v>
      </c>
      <c r="BN1820" t="s">
        <v>3250</v>
      </c>
      <c r="BP1820">
        <v>1</v>
      </c>
      <c r="BQ1820">
        <v>11</v>
      </c>
      <c r="BR1820" t="s">
        <v>1574</v>
      </c>
      <c r="BS1820" t="s">
        <v>3252</v>
      </c>
      <c r="BV1820">
        <v>0</v>
      </c>
      <c r="BW1820">
        <v>0</v>
      </c>
      <c r="BX1820">
        <v>0</v>
      </c>
      <c r="BY1820">
        <v>0</v>
      </c>
      <c r="BZ1820">
        <v>0</v>
      </c>
      <c r="CA1820">
        <v>0</v>
      </c>
      <c r="CB1820">
        <v>0</v>
      </c>
      <c r="CC1820">
        <v>0</v>
      </c>
      <c r="CD1820">
        <v>0</v>
      </c>
      <c r="CE1820" t="s">
        <v>3108</v>
      </c>
      <c r="CF1820" t="s">
        <v>3108</v>
      </c>
      <c r="CG1820" t="s">
        <v>3108</v>
      </c>
      <c r="CH1820" t="s">
        <v>3108</v>
      </c>
    </row>
    <row r="1821" spans="1:86" x14ac:dyDescent="0.2">
      <c r="A1821" t="s">
        <v>5880</v>
      </c>
      <c r="B1821" t="s">
        <v>5880</v>
      </c>
      <c r="C1821">
        <v>54944</v>
      </c>
      <c r="D1821">
        <v>1944</v>
      </c>
      <c r="E1821" t="s">
        <v>4570</v>
      </c>
      <c r="F1821">
        <v>1600</v>
      </c>
      <c r="G1821" t="s">
        <v>1360</v>
      </c>
      <c r="H1821">
        <v>1600</v>
      </c>
      <c r="I1821" t="s">
        <v>2017</v>
      </c>
      <c r="J1821" t="s">
        <v>3250</v>
      </c>
      <c r="K1821" t="s">
        <v>3250</v>
      </c>
      <c r="L1821">
        <v>1200</v>
      </c>
      <c r="M1821" t="s">
        <v>2368</v>
      </c>
      <c r="N1821">
        <v>1204</v>
      </c>
      <c r="O1821" t="s">
        <v>1574</v>
      </c>
      <c r="P1821" t="s">
        <v>3108</v>
      </c>
      <c r="Q1821" t="s">
        <v>3249</v>
      </c>
      <c r="R1821" t="s">
        <v>3249</v>
      </c>
      <c r="S1821" t="s">
        <v>472</v>
      </c>
      <c r="T1821" t="s">
        <v>2759</v>
      </c>
      <c r="U1821" t="s">
        <v>3250</v>
      </c>
      <c r="V1821" t="s">
        <v>3250</v>
      </c>
      <c r="W1821" t="s">
        <v>3250</v>
      </c>
      <c r="X1821" t="s">
        <v>3250</v>
      </c>
      <c r="Y1821" t="s">
        <v>3250</v>
      </c>
      <c r="Z1821" t="s">
        <v>3250</v>
      </c>
      <c r="AA1821" t="s">
        <v>3108</v>
      </c>
      <c r="AB1821" t="s">
        <v>3108</v>
      </c>
      <c r="AC1821" t="s">
        <v>3250</v>
      </c>
      <c r="AD1821" t="s">
        <v>3250</v>
      </c>
      <c r="AE1821" t="s">
        <v>3250</v>
      </c>
      <c r="AF1821" t="s">
        <v>3250</v>
      </c>
      <c r="AG1821" t="s">
        <v>3250</v>
      </c>
      <c r="AH1821" t="s">
        <v>3250</v>
      </c>
      <c r="AI1821" t="s">
        <v>3250</v>
      </c>
      <c r="AJ1821" t="s">
        <v>3250</v>
      </c>
      <c r="AL1821" t="s">
        <v>3250</v>
      </c>
      <c r="AM1821" t="s">
        <v>3250</v>
      </c>
      <c r="AN1821" t="s">
        <v>3250</v>
      </c>
      <c r="AO1821" t="s">
        <v>3250</v>
      </c>
      <c r="AS1821" t="s">
        <v>3250</v>
      </c>
      <c r="AT1821" t="s">
        <v>3250</v>
      </c>
      <c r="AU1821" t="s">
        <v>3250</v>
      </c>
      <c r="AV1821" t="s">
        <v>3250</v>
      </c>
      <c r="AW1821" t="s">
        <v>3250</v>
      </c>
      <c r="AX1821" t="s">
        <v>3250</v>
      </c>
      <c r="AY1821" t="s">
        <v>3250</v>
      </c>
      <c r="AZ1821" t="s">
        <v>3250</v>
      </c>
      <c r="BA1821" t="s">
        <v>3250</v>
      </c>
      <c r="BB1821" t="s">
        <v>3250</v>
      </c>
      <c r="BC1821" t="s">
        <v>3250</v>
      </c>
      <c r="BE1821" t="s">
        <v>3250</v>
      </c>
      <c r="BF1821" t="s">
        <v>3250</v>
      </c>
      <c r="BG1821" t="s">
        <v>3250</v>
      </c>
      <c r="BH1821" t="s">
        <v>3250</v>
      </c>
      <c r="BI1821" t="s">
        <v>3250</v>
      </c>
      <c r="BK1821" t="s">
        <v>3250</v>
      </c>
      <c r="BL1821" t="s">
        <v>3250</v>
      </c>
      <c r="BM1821" t="s">
        <v>3250</v>
      </c>
      <c r="BN1821" t="s">
        <v>3250</v>
      </c>
      <c r="BP1821">
        <v>1</v>
      </c>
      <c r="BQ1821">
        <v>11</v>
      </c>
      <c r="BR1821" t="s">
        <v>1574</v>
      </c>
      <c r="BS1821" t="s">
        <v>3252</v>
      </c>
      <c r="BV1821">
        <v>0</v>
      </c>
      <c r="BW1821">
        <v>0</v>
      </c>
      <c r="BX1821">
        <v>0</v>
      </c>
      <c r="BY1821">
        <v>0</v>
      </c>
      <c r="BZ1821">
        <v>0</v>
      </c>
      <c r="CA1821">
        <v>0</v>
      </c>
      <c r="CB1821">
        <v>0</v>
      </c>
      <c r="CC1821">
        <v>0</v>
      </c>
      <c r="CD1821">
        <v>0</v>
      </c>
      <c r="CE1821" t="s">
        <v>3108</v>
      </c>
      <c r="CF1821" t="s">
        <v>3108</v>
      </c>
      <c r="CG1821" t="s">
        <v>3108</v>
      </c>
      <c r="CH1821" t="s">
        <v>3108</v>
      </c>
    </row>
    <row r="1822" spans="1:86" x14ac:dyDescent="0.2">
      <c r="A1822" t="s">
        <v>5881</v>
      </c>
      <c r="B1822" t="s">
        <v>5881</v>
      </c>
      <c r="C1822">
        <v>54945</v>
      </c>
      <c r="D1822">
        <v>1945</v>
      </c>
      <c r="E1822" t="s">
        <v>5746</v>
      </c>
      <c r="F1822" t="s">
        <v>3249</v>
      </c>
      <c r="G1822" t="s">
        <v>3249</v>
      </c>
      <c r="H1822" t="s">
        <v>3250</v>
      </c>
      <c r="I1822" t="s">
        <v>3250</v>
      </c>
      <c r="J1822" t="s">
        <v>3250</v>
      </c>
      <c r="K1822" t="s">
        <v>3250</v>
      </c>
      <c r="L1822">
        <v>1200</v>
      </c>
      <c r="M1822" t="s">
        <v>2368</v>
      </c>
      <c r="N1822">
        <v>1204</v>
      </c>
      <c r="O1822" t="s">
        <v>1574</v>
      </c>
      <c r="P1822" t="s">
        <v>3108</v>
      </c>
      <c r="Q1822" t="s">
        <v>3249</v>
      </c>
      <c r="R1822" t="s">
        <v>3249</v>
      </c>
      <c r="S1822" t="s">
        <v>472</v>
      </c>
      <c r="T1822" t="s">
        <v>3251</v>
      </c>
      <c r="U1822">
        <v>120</v>
      </c>
      <c r="V1822" t="s">
        <v>599</v>
      </c>
      <c r="W1822">
        <v>120</v>
      </c>
      <c r="X1822" t="s">
        <v>599</v>
      </c>
      <c r="Y1822" t="s">
        <v>3250</v>
      </c>
      <c r="Z1822" t="s">
        <v>3250</v>
      </c>
      <c r="AA1822" t="s">
        <v>3108</v>
      </c>
      <c r="AB1822" t="s">
        <v>3108</v>
      </c>
      <c r="AC1822">
        <v>200</v>
      </c>
      <c r="AD1822" t="s">
        <v>5291</v>
      </c>
      <c r="AE1822">
        <v>480</v>
      </c>
      <c r="AF1822" t="s">
        <v>822</v>
      </c>
      <c r="AG1822" t="s">
        <v>3250</v>
      </c>
      <c r="AH1822" t="s">
        <v>3250</v>
      </c>
      <c r="AI1822" t="s">
        <v>3250</v>
      </c>
      <c r="AJ1822" t="s">
        <v>3250</v>
      </c>
      <c r="AL1822" t="s">
        <v>3250</v>
      </c>
      <c r="AM1822" t="s">
        <v>3250</v>
      </c>
      <c r="AN1822" t="s">
        <v>3250</v>
      </c>
      <c r="AO1822" t="s">
        <v>3250</v>
      </c>
      <c r="AS1822" t="s">
        <v>3250</v>
      </c>
      <c r="AT1822" t="s">
        <v>3250</v>
      </c>
      <c r="AU1822" t="s">
        <v>3250</v>
      </c>
      <c r="AV1822" t="s">
        <v>3250</v>
      </c>
      <c r="AW1822" t="s">
        <v>3250</v>
      </c>
      <c r="AX1822" t="s">
        <v>3250</v>
      </c>
      <c r="AY1822" t="s">
        <v>3250</v>
      </c>
      <c r="AZ1822" t="s">
        <v>3250</v>
      </c>
      <c r="BA1822" t="s">
        <v>3250</v>
      </c>
      <c r="BB1822" t="s">
        <v>3250</v>
      </c>
      <c r="BC1822" t="s">
        <v>3250</v>
      </c>
      <c r="BE1822" t="s">
        <v>3250</v>
      </c>
      <c r="BF1822" t="s">
        <v>3250</v>
      </c>
      <c r="BG1822" t="s">
        <v>3250</v>
      </c>
      <c r="BH1822" t="s">
        <v>3250</v>
      </c>
      <c r="BI1822" t="s">
        <v>3250</v>
      </c>
      <c r="BK1822" t="s">
        <v>3250</v>
      </c>
      <c r="BL1822" t="s">
        <v>3250</v>
      </c>
      <c r="BM1822" t="s">
        <v>3250</v>
      </c>
      <c r="BN1822" t="s">
        <v>3250</v>
      </c>
      <c r="BP1822">
        <v>1</v>
      </c>
      <c r="BQ1822">
        <v>11</v>
      </c>
      <c r="BR1822" t="s">
        <v>1574</v>
      </c>
      <c r="BS1822" t="s">
        <v>3252</v>
      </c>
      <c r="BV1822">
        <v>0</v>
      </c>
      <c r="BW1822">
        <v>0</v>
      </c>
      <c r="BX1822">
        <v>0</v>
      </c>
      <c r="BY1822">
        <v>0</v>
      </c>
      <c r="BZ1822">
        <v>0</v>
      </c>
      <c r="CA1822">
        <v>0</v>
      </c>
      <c r="CB1822">
        <v>0</v>
      </c>
      <c r="CC1822">
        <v>0</v>
      </c>
      <c r="CD1822">
        <v>0</v>
      </c>
      <c r="CE1822" t="s">
        <v>3108</v>
      </c>
      <c r="CF1822" t="s">
        <v>3108</v>
      </c>
      <c r="CG1822" t="s">
        <v>3108</v>
      </c>
      <c r="CH1822" t="s">
        <v>3108</v>
      </c>
    </row>
    <row r="1823" spans="1:86" x14ac:dyDescent="0.2">
      <c r="A1823" t="s">
        <v>5882</v>
      </c>
      <c r="B1823" t="s">
        <v>5882</v>
      </c>
      <c r="C1823">
        <v>54946</v>
      </c>
      <c r="D1823">
        <v>1946</v>
      </c>
      <c r="E1823" t="s">
        <v>5712</v>
      </c>
      <c r="F1823" t="s">
        <v>3249</v>
      </c>
      <c r="G1823" t="s">
        <v>3249</v>
      </c>
      <c r="H1823" t="s">
        <v>3250</v>
      </c>
      <c r="I1823" t="s">
        <v>3250</v>
      </c>
      <c r="J1823" t="s">
        <v>3250</v>
      </c>
      <c r="K1823" t="s">
        <v>3250</v>
      </c>
      <c r="L1823">
        <v>1200</v>
      </c>
      <c r="M1823" t="s">
        <v>2368</v>
      </c>
      <c r="N1823">
        <v>1204</v>
      </c>
      <c r="O1823" t="s">
        <v>1574</v>
      </c>
      <c r="P1823" t="s">
        <v>3108</v>
      </c>
      <c r="Q1823" t="s">
        <v>3249</v>
      </c>
      <c r="R1823" t="s">
        <v>3249</v>
      </c>
      <c r="S1823" t="s">
        <v>472</v>
      </c>
      <c r="T1823" t="s">
        <v>3251</v>
      </c>
      <c r="U1823">
        <v>120</v>
      </c>
      <c r="V1823" t="s">
        <v>599</v>
      </c>
      <c r="W1823">
        <v>120</v>
      </c>
      <c r="X1823" t="s">
        <v>599</v>
      </c>
      <c r="Y1823" t="s">
        <v>5848</v>
      </c>
      <c r="Z1823" t="s">
        <v>1360</v>
      </c>
      <c r="AA1823" t="s">
        <v>5848</v>
      </c>
      <c r="AB1823" t="s">
        <v>1360</v>
      </c>
      <c r="AC1823" t="s">
        <v>3250</v>
      </c>
      <c r="AD1823" t="s">
        <v>3250</v>
      </c>
      <c r="AE1823" t="s">
        <v>3250</v>
      </c>
      <c r="AF1823" t="s">
        <v>3250</v>
      </c>
      <c r="AG1823" t="s">
        <v>3250</v>
      </c>
      <c r="AH1823" t="s">
        <v>3250</v>
      </c>
      <c r="AI1823" t="s">
        <v>3250</v>
      </c>
      <c r="AJ1823" t="s">
        <v>3250</v>
      </c>
      <c r="AL1823" t="s">
        <v>3250</v>
      </c>
      <c r="AM1823" t="s">
        <v>3250</v>
      </c>
      <c r="AN1823" t="s">
        <v>3250</v>
      </c>
      <c r="AO1823" t="s">
        <v>3250</v>
      </c>
      <c r="AR1823" t="s">
        <v>486</v>
      </c>
      <c r="AS1823" t="s">
        <v>3250</v>
      </c>
      <c r="AT1823" t="s">
        <v>3250</v>
      </c>
      <c r="AU1823" t="s">
        <v>3250</v>
      </c>
      <c r="AV1823" t="s">
        <v>3250</v>
      </c>
      <c r="AW1823" t="s">
        <v>3250</v>
      </c>
      <c r="AX1823" t="s">
        <v>3250</v>
      </c>
      <c r="AY1823" t="s">
        <v>3250</v>
      </c>
      <c r="AZ1823" t="s">
        <v>3250</v>
      </c>
      <c r="BA1823" t="s">
        <v>3250</v>
      </c>
      <c r="BB1823" t="s">
        <v>3250</v>
      </c>
      <c r="BC1823" t="s">
        <v>3250</v>
      </c>
      <c r="BE1823" t="s">
        <v>3250</v>
      </c>
      <c r="BF1823" t="s">
        <v>3250</v>
      </c>
      <c r="BG1823" t="s">
        <v>3250</v>
      </c>
      <c r="BH1823" t="s">
        <v>3250</v>
      </c>
      <c r="BI1823" t="s">
        <v>3250</v>
      </c>
      <c r="BK1823" t="s">
        <v>3250</v>
      </c>
      <c r="BL1823" t="s">
        <v>3250</v>
      </c>
      <c r="BM1823" t="s">
        <v>3250</v>
      </c>
      <c r="BN1823" t="s">
        <v>3250</v>
      </c>
      <c r="BP1823">
        <v>1</v>
      </c>
      <c r="BQ1823">
        <v>11</v>
      </c>
      <c r="BR1823" t="s">
        <v>1574</v>
      </c>
      <c r="BS1823" t="s">
        <v>3252</v>
      </c>
      <c r="BV1823">
        <v>0</v>
      </c>
      <c r="BW1823">
        <v>0</v>
      </c>
      <c r="BX1823">
        <v>0</v>
      </c>
      <c r="BY1823">
        <v>0</v>
      </c>
      <c r="BZ1823">
        <v>0</v>
      </c>
      <c r="CA1823">
        <v>0</v>
      </c>
      <c r="CB1823">
        <v>0</v>
      </c>
      <c r="CC1823">
        <v>0</v>
      </c>
      <c r="CD1823">
        <v>0</v>
      </c>
      <c r="CE1823" t="s">
        <v>3108</v>
      </c>
      <c r="CF1823" t="s">
        <v>3108</v>
      </c>
      <c r="CG1823" t="s">
        <v>3108</v>
      </c>
      <c r="CH1823" t="s">
        <v>3108</v>
      </c>
    </row>
    <row r="1824" spans="1:86" x14ac:dyDescent="0.2">
      <c r="A1824" t="s">
        <v>5883</v>
      </c>
      <c r="B1824" t="s">
        <v>5883</v>
      </c>
      <c r="C1824">
        <v>54947</v>
      </c>
      <c r="D1824">
        <v>1947</v>
      </c>
      <c r="E1824" t="s">
        <v>5717</v>
      </c>
      <c r="F1824" t="s">
        <v>3249</v>
      </c>
      <c r="G1824" t="s">
        <v>3249</v>
      </c>
      <c r="H1824" t="s">
        <v>3250</v>
      </c>
      <c r="I1824" t="s">
        <v>3250</v>
      </c>
      <c r="J1824" t="s">
        <v>3250</v>
      </c>
      <c r="K1824" t="s">
        <v>3250</v>
      </c>
      <c r="L1824">
        <v>1200</v>
      </c>
      <c r="M1824" t="s">
        <v>2368</v>
      </c>
      <c r="N1824">
        <v>1204</v>
      </c>
      <c r="O1824" t="s">
        <v>1574</v>
      </c>
      <c r="P1824" t="s">
        <v>3108</v>
      </c>
      <c r="Q1824" t="s">
        <v>3249</v>
      </c>
      <c r="R1824" t="s">
        <v>3249</v>
      </c>
      <c r="S1824" t="s">
        <v>472</v>
      </c>
      <c r="T1824" t="s">
        <v>3251</v>
      </c>
      <c r="U1824">
        <v>120</v>
      </c>
      <c r="V1824" t="s">
        <v>599</v>
      </c>
      <c r="W1824">
        <v>120</v>
      </c>
      <c r="X1824" t="s">
        <v>599</v>
      </c>
      <c r="Y1824" t="s">
        <v>5850</v>
      </c>
      <c r="Z1824" t="s">
        <v>1360</v>
      </c>
      <c r="AA1824" t="s">
        <v>5850</v>
      </c>
      <c r="AB1824" t="s">
        <v>1360</v>
      </c>
      <c r="AC1824" t="s">
        <v>3250</v>
      </c>
      <c r="AD1824" t="s">
        <v>3250</v>
      </c>
      <c r="AE1824" t="s">
        <v>3250</v>
      </c>
      <c r="AF1824" t="s">
        <v>3250</v>
      </c>
      <c r="AG1824" t="s">
        <v>3250</v>
      </c>
      <c r="AH1824" t="s">
        <v>3250</v>
      </c>
      <c r="AI1824" t="s">
        <v>3250</v>
      </c>
      <c r="AJ1824" t="s">
        <v>3250</v>
      </c>
      <c r="AL1824" t="s">
        <v>3250</v>
      </c>
      <c r="AM1824" t="s">
        <v>3250</v>
      </c>
      <c r="AN1824" t="s">
        <v>3250</v>
      </c>
      <c r="AO1824" t="s">
        <v>3250</v>
      </c>
      <c r="AR1824" t="s">
        <v>5718</v>
      </c>
      <c r="AS1824" t="s">
        <v>3250</v>
      </c>
      <c r="AT1824" t="s">
        <v>3250</v>
      </c>
      <c r="AU1824" t="s">
        <v>3250</v>
      </c>
      <c r="AV1824" t="s">
        <v>3250</v>
      </c>
      <c r="AW1824" t="s">
        <v>3250</v>
      </c>
      <c r="AX1824" t="s">
        <v>3250</v>
      </c>
      <c r="AY1824" t="s">
        <v>3250</v>
      </c>
      <c r="AZ1824" t="s">
        <v>3250</v>
      </c>
      <c r="BA1824" t="s">
        <v>3250</v>
      </c>
      <c r="BB1824" t="s">
        <v>3250</v>
      </c>
      <c r="BC1824" t="s">
        <v>3250</v>
      </c>
      <c r="BE1824" t="s">
        <v>3250</v>
      </c>
      <c r="BF1824" t="s">
        <v>3250</v>
      </c>
      <c r="BG1824" t="s">
        <v>3250</v>
      </c>
      <c r="BH1824" t="s">
        <v>3250</v>
      </c>
      <c r="BI1824" t="s">
        <v>3250</v>
      </c>
      <c r="BK1824" t="s">
        <v>3250</v>
      </c>
      <c r="BL1824" t="s">
        <v>3250</v>
      </c>
      <c r="BM1824" t="s">
        <v>3250</v>
      </c>
      <c r="BN1824" t="s">
        <v>3250</v>
      </c>
      <c r="BP1824">
        <v>1</v>
      </c>
      <c r="BQ1824">
        <v>11</v>
      </c>
      <c r="BR1824" t="s">
        <v>1574</v>
      </c>
      <c r="BS1824" t="s">
        <v>3252</v>
      </c>
      <c r="BV1824">
        <v>0</v>
      </c>
      <c r="BW1824">
        <v>0</v>
      </c>
      <c r="BX1824">
        <v>0</v>
      </c>
      <c r="BY1824">
        <v>-1179234</v>
      </c>
      <c r="BZ1824">
        <v>0</v>
      </c>
      <c r="CA1824">
        <v>0</v>
      </c>
      <c r="CB1824">
        <v>0</v>
      </c>
      <c r="CC1824">
        <v>0</v>
      </c>
      <c r="CD1824">
        <v>0</v>
      </c>
      <c r="CE1824" t="s">
        <v>3108</v>
      </c>
      <c r="CF1824" t="s">
        <v>3108</v>
      </c>
      <c r="CG1824" t="s">
        <v>3108</v>
      </c>
      <c r="CH1824" t="s">
        <v>3108</v>
      </c>
    </row>
    <row r="1825" spans="1:86" x14ac:dyDescent="0.2">
      <c r="A1825" t="s">
        <v>5884</v>
      </c>
      <c r="B1825" t="s">
        <v>5884</v>
      </c>
      <c r="C1825">
        <v>54948</v>
      </c>
      <c r="D1825">
        <v>1948</v>
      </c>
      <c r="E1825" t="s">
        <v>5115</v>
      </c>
      <c r="F1825" t="s">
        <v>3249</v>
      </c>
      <c r="G1825" t="s">
        <v>3249</v>
      </c>
      <c r="H1825" t="s">
        <v>3250</v>
      </c>
      <c r="I1825" t="s">
        <v>3250</v>
      </c>
      <c r="J1825" t="s">
        <v>3250</v>
      </c>
      <c r="K1825" t="s">
        <v>3250</v>
      </c>
      <c r="L1825">
        <v>1200</v>
      </c>
      <c r="M1825" t="s">
        <v>2368</v>
      </c>
      <c r="N1825">
        <v>1204</v>
      </c>
      <c r="O1825" t="s">
        <v>1574</v>
      </c>
      <c r="P1825" t="s">
        <v>3108</v>
      </c>
      <c r="Q1825" t="s">
        <v>3249</v>
      </c>
      <c r="R1825" t="s">
        <v>3249</v>
      </c>
      <c r="S1825" t="s">
        <v>472</v>
      </c>
      <c r="T1825" t="s">
        <v>3251</v>
      </c>
      <c r="U1825">
        <v>120</v>
      </c>
      <c r="V1825" t="s">
        <v>599</v>
      </c>
      <c r="W1825">
        <v>120</v>
      </c>
      <c r="X1825" t="s">
        <v>599</v>
      </c>
      <c r="Y1825" t="s">
        <v>2758</v>
      </c>
      <c r="Z1825" t="s">
        <v>1360</v>
      </c>
      <c r="AA1825">
        <v>250</v>
      </c>
      <c r="AB1825" t="s">
        <v>1360</v>
      </c>
      <c r="AC1825" t="s">
        <v>3250</v>
      </c>
      <c r="AD1825" t="s">
        <v>3250</v>
      </c>
      <c r="AE1825" t="s">
        <v>3250</v>
      </c>
      <c r="AF1825" t="s">
        <v>3250</v>
      </c>
      <c r="AG1825" t="s">
        <v>3250</v>
      </c>
      <c r="AH1825" t="s">
        <v>3250</v>
      </c>
      <c r="AI1825" t="s">
        <v>3250</v>
      </c>
      <c r="AJ1825" t="s">
        <v>3250</v>
      </c>
      <c r="AL1825" t="s">
        <v>3250</v>
      </c>
      <c r="AM1825" t="s">
        <v>3250</v>
      </c>
      <c r="AN1825" t="s">
        <v>3250</v>
      </c>
      <c r="AO1825" t="s">
        <v>3250</v>
      </c>
      <c r="AR1825" t="s">
        <v>472</v>
      </c>
      <c r="AS1825" t="s">
        <v>3250</v>
      </c>
      <c r="AT1825" t="s">
        <v>3250</v>
      </c>
      <c r="AU1825" t="s">
        <v>3250</v>
      </c>
      <c r="AV1825" t="s">
        <v>3250</v>
      </c>
      <c r="AW1825" t="s">
        <v>3250</v>
      </c>
      <c r="AX1825" t="s">
        <v>3250</v>
      </c>
      <c r="AY1825" t="s">
        <v>3250</v>
      </c>
      <c r="AZ1825" t="s">
        <v>3250</v>
      </c>
      <c r="BA1825" t="s">
        <v>3250</v>
      </c>
      <c r="BB1825" t="s">
        <v>3250</v>
      </c>
      <c r="BC1825" t="s">
        <v>3250</v>
      </c>
      <c r="BE1825" t="s">
        <v>3250</v>
      </c>
      <c r="BF1825" t="s">
        <v>3250</v>
      </c>
      <c r="BG1825" t="s">
        <v>3250</v>
      </c>
      <c r="BH1825" t="s">
        <v>3250</v>
      </c>
      <c r="BI1825" t="s">
        <v>3250</v>
      </c>
      <c r="BK1825" t="s">
        <v>3250</v>
      </c>
      <c r="BL1825" t="s">
        <v>3250</v>
      </c>
      <c r="BM1825" t="s">
        <v>3250</v>
      </c>
      <c r="BN1825" t="s">
        <v>3250</v>
      </c>
      <c r="BP1825">
        <v>1</v>
      </c>
      <c r="BQ1825">
        <v>11</v>
      </c>
      <c r="BR1825" t="s">
        <v>1574</v>
      </c>
      <c r="BS1825" t="s">
        <v>3252</v>
      </c>
      <c r="BV1825">
        <v>0</v>
      </c>
      <c r="BW1825">
        <v>0</v>
      </c>
      <c r="BX1825">
        <v>0</v>
      </c>
      <c r="BY1825">
        <v>0</v>
      </c>
      <c r="BZ1825">
        <v>0</v>
      </c>
      <c r="CA1825">
        <v>0</v>
      </c>
      <c r="CB1825">
        <v>0</v>
      </c>
      <c r="CC1825">
        <v>0</v>
      </c>
      <c r="CD1825">
        <v>0</v>
      </c>
      <c r="CE1825" t="s">
        <v>3108</v>
      </c>
      <c r="CF1825" t="s">
        <v>3108</v>
      </c>
      <c r="CG1825" t="s">
        <v>3108</v>
      </c>
      <c r="CH1825" t="s">
        <v>3108</v>
      </c>
    </row>
    <row r="1826" spans="1:86" x14ac:dyDescent="0.2">
      <c r="A1826" t="s">
        <v>5885</v>
      </c>
      <c r="B1826" t="s">
        <v>5885</v>
      </c>
      <c r="C1826">
        <v>54949</v>
      </c>
      <c r="D1826">
        <v>1949</v>
      </c>
      <c r="E1826" t="s">
        <v>5741</v>
      </c>
      <c r="F1826" t="s">
        <v>3249</v>
      </c>
      <c r="G1826" t="s">
        <v>3249</v>
      </c>
      <c r="H1826" t="s">
        <v>3250</v>
      </c>
      <c r="I1826" t="s">
        <v>3250</v>
      </c>
      <c r="J1826" t="s">
        <v>3250</v>
      </c>
      <c r="K1826" t="s">
        <v>3250</v>
      </c>
      <c r="L1826">
        <v>1200</v>
      </c>
      <c r="M1826" t="s">
        <v>2368</v>
      </c>
      <c r="N1826">
        <v>1204</v>
      </c>
      <c r="O1826" t="s">
        <v>1574</v>
      </c>
      <c r="P1826" t="s">
        <v>3108</v>
      </c>
      <c r="Q1826" t="s">
        <v>3249</v>
      </c>
      <c r="R1826" t="s">
        <v>3249</v>
      </c>
      <c r="S1826" t="s">
        <v>472</v>
      </c>
      <c r="T1826" t="s">
        <v>3251</v>
      </c>
      <c r="U1826">
        <v>120</v>
      </c>
      <c r="V1826" t="s">
        <v>599</v>
      </c>
      <c r="W1826">
        <v>120</v>
      </c>
      <c r="X1826" t="s">
        <v>599</v>
      </c>
      <c r="Y1826" t="s">
        <v>3250</v>
      </c>
      <c r="Z1826" t="s">
        <v>3250</v>
      </c>
      <c r="AA1826" t="s">
        <v>3108</v>
      </c>
      <c r="AB1826" t="s">
        <v>3108</v>
      </c>
      <c r="AC1826">
        <v>420</v>
      </c>
      <c r="AD1826" t="s">
        <v>827</v>
      </c>
      <c r="AE1826">
        <v>560</v>
      </c>
      <c r="AF1826" t="s">
        <v>827</v>
      </c>
      <c r="AG1826" t="s">
        <v>3250</v>
      </c>
      <c r="AH1826" t="s">
        <v>3250</v>
      </c>
      <c r="AI1826" t="s">
        <v>3250</v>
      </c>
      <c r="AJ1826" t="s">
        <v>3250</v>
      </c>
      <c r="AL1826" t="s">
        <v>3250</v>
      </c>
      <c r="AM1826" t="s">
        <v>3250</v>
      </c>
      <c r="AN1826" t="s">
        <v>3250</v>
      </c>
      <c r="AO1826" t="s">
        <v>3250</v>
      </c>
      <c r="AS1826" t="s">
        <v>3250</v>
      </c>
      <c r="AT1826" t="s">
        <v>3250</v>
      </c>
      <c r="AU1826" t="s">
        <v>3250</v>
      </c>
      <c r="AV1826" t="s">
        <v>3250</v>
      </c>
      <c r="AW1826" t="s">
        <v>3250</v>
      </c>
      <c r="AX1826" t="s">
        <v>3250</v>
      </c>
      <c r="AY1826" t="s">
        <v>3250</v>
      </c>
      <c r="AZ1826" t="s">
        <v>3250</v>
      </c>
      <c r="BA1826" t="s">
        <v>3250</v>
      </c>
      <c r="BB1826" t="s">
        <v>3250</v>
      </c>
      <c r="BC1826" t="s">
        <v>3250</v>
      </c>
      <c r="BE1826" t="s">
        <v>3250</v>
      </c>
      <c r="BF1826" t="s">
        <v>3250</v>
      </c>
      <c r="BG1826" t="s">
        <v>3250</v>
      </c>
      <c r="BH1826" t="s">
        <v>3250</v>
      </c>
      <c r="BI1826" t="s">
        <v>3250</v>
      </c>
      <c r="BK1826" t="s">
        <v>3250</v>
      </c>
      <c r="BL1826" t="s">
        <v>3250</v>
      </c>
      <c r="BM1826" t="s">
        <v>3250</v>
      </c>
      <c r="BN1826" t="s">
        <v>3250</v>
      </c>
      <c r="BP1826">
        <v>1</v>
      </c>
      <c r="BQ1826">
        <v>11</v>
      </c>
      <c r="BR1826" t="s">
        <v>1574</v>
      </c>
      <c r="BS1826" t="s">
        <v>3252</v>
      </c>
      <c r="BV1826">
        <v>0</v>
      </c>
      <c r="BW1826">
        <v>0</v>
      </c>
      <c r="BX1826">
        <v>0</v>
      </c>
      <c r="BY1826">
        <v>0</v>
      </c>
      <c r="BZ1826">
        <v>0</v>
      </c>
      <c r="CA1826">
        <v>0</v>
      </c>
      <c r="CB1826">
        <v>0</v>
      </c>
      <c r="CC1826">
        <v>0</v>
      </c>
      <c r="CD1826">
        <v>0</v>
      </c>
      <c r="CE1826" t="s">
        <v>3108</v>
      </c>
      <c r="CF1826" t="s">
        <v>3108</v>
      </c>
      <c r="CG1826" t="s">
        <v>3108</v>
      </c>
      <c r="CH1826" t="s">
        <v>3108</v>
      </c>
    </row>
    <row r="1827" spans="1:86" x14ac:dyDescent="0.2">
      <c r="A1827" t="s">
        <v>5886</v>
      </c>
      <c r="B1827" t="s">
        <v>5886</v>
      </c>
      <c r="C1827">
        <v>54950</v>
      </c>
      <c r="D1827">
        <v>1977</v>
      </c>
      <c r="E1827" t="s">
        <v>5887</v>
      </c>
      <c r="F1827" t="s">
        <v>3249</v>
      </c>
      <c r="G1827" t="s">
        <v>3249</v>
      </c>
      <c r="H1827" t="s">
        <v>3250</v>
      </c>
      <c r="I1827" t="s">
        <v>3250</v>
      </c>
      <c r="J1827" t="s">
        <v>3250</v>
      </c>
      <c r="K1827" t="s">
        <v>3250</v>
      </c>
      <c r="L1827">
        <v>3200</v>
      </c>
      <c r="M1827" t="s">
        <v>128</v>
      </c>
      <c r="N1827">
        <v>3205</v>
      </c>
      <c r="O1827" t="s">
        <v>629</v>
      </c>
      <c r="P1827" t="s">
        <v>3108</v>
      </c>
      <c r="Q1827">
        <v>2010</v>
      </c>
      <c r="R1827" t="s">
        <v>1355</v>
      </c>
      <c r="S1827" t="s">
        <v>427</v>
      </c>
      <c r="T1827" t="s">
        <v>3251</v>
      </c>
      <c r="U1827">
        <v>240</v>
      </c>
      <c r="V1827" t="s">
        <v>4251</v>
      </c>
      <c r="W1827">
        <v>240</v>
      </c>
      <c r="X1827" t="s">
        <v>1323</v>
      </c>
      <c r="Y1827" t="s">
        <v>3250</v>
      </c>
      <c r="Z1827" t="s">
        <v>3250</v>
      </c>
      <c r="AA1827" t="s">
        <v>3108</v>
      </c>
      <c r="AB1827" t="s">
        <v>3108</v>
      </c>
      <c r="AC1827" t="s">
        <v>3250</v>
      </c>
      <c r="AD1827" t="s">
        <v>3250</v>
      </c>
      <c r="AE1827" t="s">
        <v>3250</v>
      </c>
      <c r="AF1827" t="s">
        <v>3250</v>
      </c>
      <c r="AG1827" t="s">
        <v>3250</v>
      </c>
      <c r="AH1827" t="s">
        <v>3250</v>
      </c>
      <c r="AI1827" t="s">
        <v>3250</v>
      </c>
      <c r="AJ1827" t="s">
        <v>3250</v>
      </c>
      <c r="AK1827">
        <v>110</v>
      </c>
      <c r="AL1827">
        <v>241</v>
      </c>
      <c r="AM1827" t="s">
        <v>1455</v>
      </c>
      <c r="AN1827">
        <v>241</v>
      </c>
      <c r="AO1827" t="s">
        <v>1455</v>
      </c>
      <c r="AS1827">
        <v>120</v>
      </c>
      <c r="AT1827">
        <v>120</v>
      </c>
      <c r="AU1827" t="s">
        <v>629</v>
      </c>
      <c r="AV1827" t="s">
        <v>629</v>
      </c>
      <c r="AW1827" t="s">
        <v>3250</v>
      </c>
      <c r="AX1827" t="s">
        <v>3250</v>
      </c>
      <c r="AY1827" t="s">
        <v>3250</v>
      </c>
      <c r="AZ1827" t="s">
        <v>3250</v>
      </c>
      <c r="BA1827" t="s">
        <v>3250</v>
      </c>
      <c r="BB1827" t="s">
        <v>3250</v>
      </c>
      <c r="BC1827" t="s">
        <v>3250</v>
      </c>
      <c r="BE1827" t="s">
        <v>3250</v>
      </c>
      <c r="BF1827" t="s">
        <v>3250</v>
      </c>
      <c r="BG1827" t="s">
        <v>3250</v>
      </c>
      <c r="BH1827" t="s">
        <v>3250</v>
      </c>
      <c r="BI1827" t="s">
        <v>3250</v>
      </c>
      <c r="BK1827" t="s">
        <v>3250</v>
      </c>
      <c r="BL1827" t="s">
        <v>3250</v>
      </c>
      <c r="BM1827" t="s">
        <v>3250</v>
      </c>
      <c r="BN1827" t="s">
        <v>3250</v>
      </c>
      <c r="BP1827">
        <v>7</v>
      </c>
      <c r="BQ1827">
        <v>71</v>
      </c>
      <c r="BR1827" t="s">
        <v>629</v>
      </c>
      <c r="BS1827" t="s">
        <v>4212</v>
      </c>
      <c r="BV1827">
        <v>0</v>
      </c>
      <c r="BW1827">
        <v>0</v>
      </c>
      <c r="BX1827">
        <v>0</v>
      </c>
      <c r="BY1827">
        <v>0</v>
      </c>
      <c r="BZ1827">
        <v>0</v>
      </c>
      <c r="CA1827">
        <v>0</v>
      </c>
      <c r="CB1827">
        <v>0</v>
      </c>
      <c r="CC1827">
        <v>0</v>
      </c>
      <c r="CD1827">
        <v>0</v>
      </c>
      <c r="CE1827" t="s">
        <v>3108</v>
      </c>
      <c r="CF1827" t="s">
        <v>3108</v>
      </c>
      <c r="CG1827" t="s">
        <v>3108</v>
      </c>
      <c r="CH1827" t="s">
        <v>3108</v>
      </c>
    </row>
    <row r="1828" spans="1:86" x14ac:dyDescent="0.2">
      <c r="A1828" t="s">
        <v>5888</v>
      </c>
      <c r="B1828" t="s">
        <v>5888</v>
      </c>
      <c r="C1828">
        <v>54951</v>
      </c>
      <c r="D1828">
        <v>1978</v>
      </c>
      <c r="E1828" t="s">
        <v>5660</v>
      </c>
      <c r="F1828" t="s">
        <v>3249</v>
      </c>
      <c r="G1828" t="s">
        <v>3249</v>
      </c>
      <c r="H1828" t="s">
        <v>3250</v>
      </c>
      <c r="I1828" t="s">
        <v>3250</v>
      </c>
      <c r="J1828" t="s">
        <v>3250</v>
      </c>
      <c r="K1828" t="s">
        <v>3250</v>
      </c>
      <c r="L1828">
        <v>3200</v>
      </c>
      <c r="M1828" t="s">
        <v>128</v>
      </c>
      <c r="N1828">
        <v>3205</v>
      </c>
      <c r="O1828" t="s">
        <v>629</v>
      </c>
      <c r="P1828" t="s">
        <v>3108</v>
      </c>
      <c r="Q1828">
        <v>2010</v>
      </c>
      <c r="R1828" t="s">
        <v>1355</v>
      </c>
      <c r="S1828" t="s">
        <v>427</v>
      </c>
      <c r="T1828" t="s">
        <v>3251</v>
      </c>
      <c r="U1828">
        <v>240</v>
      </c>
      <c r="V1828" t="s">
        <v>4251</v>
      </c>
      <c r="W1828">
        <v>240</v>
      </c>
      <c r="X1828" t="s">
        <v>1323</v>
      </c>
      <c r="Y1828" t="s">
        <v>3250</v>
      </c>
      <c r="Z1828" t="s">
        <v>3250</v>
      </c>
      <c r="AA1828" t="s">
        <v>3108</v>
      </c>
      <c r="AB1828" t="s">
        <v>3108</v>
      </c>
      <c r="AC1828" t="s">
        <v>3250</v>
      </c>
      <c r="AD1828" t="s">
        <v>3250</v>
      </c>
      <c r="AE1828" t="s">
        <v>3250</v>
      </c>
      <c r="AF1828" t="s">
        <v>3250</v>
      </c>
      <c r="AG1828" t="s">
        <v>3250</v>
      </c>
      <c r="AH1828" t="s">
        <v>3250</v>
      </c>
      <c r="AI1828" t="s">
        <v>3250</v>
      </c>
      <c r="AJ1828" t="s">
        <v>3250</v>
      </c>
      <c r="AK1828">
        <v>110</v>
      </c>
      <c r="AL1828">
        <v>241</v>
      </c>
      <c r="AM1828" t="s">
        <v>1455</v>
      </c>
      <c r="AN1828">
        <v>241</v>
      </c>
      <c r="AO1828" t="s">
        <v>1455</v>
      </c>
      <c r="AS1828">
        <v>120</v>
      </c>
      <c r="AT1828">
        <v>120</v>
      </c>
      <c r="AU1828" t="s">
        <v>629</v>
      </c>
      <c r="AV1828" t="s">
        <v>629</v>
      </c>
      <c r="AW1828" t="s">
        <v>3250</v>
      </c>
      <c r="AX1828" t="s">
        <v>3250</v>
      </c>
      <c r="AY1828" t="s">
        <v>3250</v>
      </c>
      <c r="AZ1828" t="s">
        <v>3250</v>
      </c>
      <c r="BA1828" t="s">
        <v>3250</v>
      </c>
      <c r="BB1828" t="s">
        <v>3250</v>
      </c>
      <c r="BC1828" t="s">
        <v>3250</v>
      </c>
      <c r="BE1828" t="s">
        <v>3250</v>
      </c>
      <c r="BF1828" t="s">
        <v>3250</v>
      </c>
      <c r="BG1828" t="s">
        <v>3250</v>
      </c>
      <c r="BH1828" t="s">
        <v>3250</v>
      </c>
      <c r="BI1828" t="s">
        <v>3250</v>
      </c>
      <c r="BK1828" t="s">
        <v>3250</v>
      </c>
      <c r="BL1828" t="s">
        <v>3250</v>
      </c>
      <c r="BM1828" t="s">
        <v>3250</v>
      </c>
      <c r="BN1828" t="s">
        <v>3250</v>
      </c>
      <c r="BP1828">
        <v>7</v>
      </c>
      <c r="BQ1828">
        <v>71</v>
      </c>
      <c r="BR1828" t="s">
        <v>629</v>
      </c>
      <c r="BS1828" t="s">
        <v>4212</v>
      </c>
      <c r="BV1828">
        <v>0</v>
      </c>
      <c r="BW1828">
        <v>0</v>
      </c>
      <c r="BX1828">
        <v>0</v>
      </c>
      <c r="BY1828">
        <v>0</v>
      </c>
      <c r="BZ1828">
        <v>0</v>
      </c>
      <c r="CA1828">
        <v>15584266</v>
      </c>
      <c r="CB1828">
        <v>16839735</v>
      </c>
      <c r="CC1828">
        <v>17513324</v>
      </c>
      <c r="CD1828">
        <v>0</v>
      </c>
      <c r="CE1828" t="s">
        <v>3108</v>
      </c>
      <c r="CF1828" t="s">
        <v>3108</v>
      </c>
      <c r="CG1828" t="s">
        <v>3108</v>
      </c>
      <c r="CH1828" t="s">
        <v>3107</v>
      </c>
    </row>
    <row r="1829" spans="1:86" x14ac:dyDescent="0.2">
      <c r="A1829" t="s">
        <v>5889</v>
      </c>
      <c r="B1829" t="s">
        <v>5889</v>
      </c>
      <c r="C1829">
        <v>54952</v>
      </c>
      <c r="D1829">
        <v>1979</v>
      </c>
      <c r="E1829" t="s">
        <v>5890</v>
      </c>
      <c r="F1829" t="s">
        <v>3249</v>
      </c>
      <c r="G1829" t="s">
        <v>3249</v>
      </c>
      <c r="H1829" t="s">
        <v>3250</v>
      </c>
      <c r="I1829" t="s">
        <v>3250</v>
      </c>
      <c r="J1829" t="s">
        <v>3250</v>
      </c>
      <c r="K1829" t="s">
        <v>3250</v>
      </c>
      <c r="L1829">
        <v>3200</v>
      </c>
      <c r="M1829" t="s">
        <v>128</v>
      </c>
      <c r="N1829">
        <v>3205</v>
      </c>
      <c r="O1829" t="s">
        <v>629</v>
      </c>
      <c r="P1829" t="s">
        <v>3108</v>
      </c>
      <c r="Q1829">
        <v>2010</v>
      </c>
      <c r="R1829" t="s">
        <v>1355</v>
      </c>
      <c r="S1829" t="s">
        <v>427</v>
      </c>
      <c r="T1829" t="s">
        <v>3251</v>
      </c>
      <c r="U1829">
        <v>240</v>
      </c>
      <c r="V1829" t="s">
        <v>4251</v>
      </c>
      <c r="W1829">
        <v>240</v>
      </c>
      <c r="X1829" t="s">
        <v>1323</v>
      </c>
      <c r="Y1829" t="s">
        <v>3250</v>
      </c>
      <c r="Z1829" t="s">
        <v>3250</v>
      </c>
      <c r="AA1829" t="s">
        <v>3108</v>
      </c>
      <c r="AB1829" t="s">
        <v>3108</v>
      </c>
      <c r="AC1829" t="s">
        <v>3250</v>
      </c>
      <c r="AD1829" t="s">
        <v>3250</v>
      </c>
      <c r="AE1829" t="s">
        <v>3250</v>
      </c>
      <c r="AF1829" t="s">
        <v>3250</v>
      </c>
      <c r="AG1829" t="s">
        <v>3250</v>
      </c>
      <c r="AH1829" t="s">
        <v>3250</v>
      </c>
      <c r="AI1829" t="s">
        <v>3250</v>
      </c>
      <c r="AJ1829" t="s">
        <v>3250</v>
      </c>
      <c r="AK1829">
        <v>110</v>
      </c>
      <c r="AL1829">
        <v>241</v>
      </c>
      <c r="AM1829" t="s">
        <v>1455</v>
      </c>
      <c r="AN1829">
        <v>241</v>
      </c>
      <c r="AO1829" t="s">
        <v>1455</v>
      </c>
      <c r="AS1829">
        <v>120</v>
      </c>
      <c r="AT1829">
        <v>120</v>
      </c>
      <c r="AU1829" t="s">
        <v>629</v>
      </c>
      <c r="AV1829" t="s">
        <v>629</v>
      </c>
      <c r="AW1829" t="s">
        <v>3250</v>
      </c>
      <c r="AX1829" t="s">
        <v>3250</v>
      </c>
      <c r="AY1829" t="s">
        <v>3250</v>
      </c>
      <c r="AZ1829" t="s">
        <v>3250</v>
      </c>
      <c r="BA1829" t="s">
        <v>3250</v>
      </c>
      <c r="BB1829" t="s">
        <v>3250</v>
      </c>
      <c r="BC1829" t="s">
        <v>3250</v>
      </c>
      <c r="BE1829" t="s">
        <v>3250</v>
      </c>
      <c r="BF1829" t="s">
        <v>3250</v>
      </c>
      <c r="BG1829" t="s">
        <v>3250</v>
      </c>
      <c r="BH1829" t="s">
        <v>3250</v>
      </c>
      <c r="BI1829" t="s">
        <v>3250</v>
      </c>
      <c r="BK1829" t="s">
        <v>3250</v>
      </c>
      <c r="BL1829" t="s">
        <v>3250</v>
      </c>
      <c r="BM1829" t="s">
        <v>3250</v>
      </c>
      <c r="BN1829" t="s">
        <v>3250</v>
      </c>
      <c r="BP1829">
        <v>7</v>
      </c>
      <c r="BQ1829">
        <v>71</v>
      </c>
      <c r="BR1829" t="s">
        <v>629</v>
      </c>
      <c r="BS1829" t="s">
        <v>4212</v>
      </c>
      <c r="BV1829">
        <v>0</v>
      </c>
      <c r="BW1829">
        <v>0</v>
      </c>
      <c r="BX1829">
        <v>0</v>
      </c>
      <c r="BY1829">
        <v>0</v>
      </c>
      <c r="BZ1829">
        <v>0</v>
      </c>
      <c r="CA1829">
        <v>0</v>
      </c>
      <c r="CB1829">
        <v>0</v>
      </c>
      <c r="CC1829">
        <v>0</v>
      </c>
      <c r="CD1829">
        <v>0</v>
      </c>
      <c r="CE1829" t="s">
        <v>3108</v>
      </c>
      <c r="CF1829" t="s">
        <v>3108</v>
      </c>
      <c r="CG1829" t="s">
        <v>3108</v>
      </c>
      <c r="CH1829" t="s">
        <v>3108</v>
      </c>
    </row>
    <row r="1830" spans="1:86" x14ac:dyDescent="0.2">
      <c r="A1830" t="s">
        <v>5891</v>
      </c>
      <c r="B1830" t="s">
        <v>5891</v>
      </c>
      <c r="C1830">
        <v>54953</v>
      </c>
      <c r="D1830">
        <v>1980</v>
      </c>
      <c r="E1830" t="s">
        <v>4250</v>
      </c>
      <c r="F1830" t="s">
        <v>3249</v>
      </c>
      <c r="G1830" t="s">
        <v>3249</v>
      </c>
      <c r="H1830" t="s">
        <v>3250</v>
      </c>
      <c r="I1830" t="s">
        <v>3250</v>
      </c>
      <c r="J1830" t="s">
        <v>3250</v>
      </c>
      <c r="K1830" t="s">
        <v>3250</v>
      </c>
      <c r="L1830">
        <v>3200</v>
      </c>
      <c r="M1830" t="s">
        <v>128</v>
      </c>
      <c r="N1830">
        <v>3205</v>
      </c>
      <c r="O1830" t="s">
        <v>629</v>
      </c>
      <c r="P1830" t="s">
        <v>2805</v>
      </c>
      <c r="Q1830">
        <v>2010</v>
      </c>
      <c r="R1830" t="s">
        <v>1355</v>
      </c>
      <c r="S1830" t="s">
        <v>427</v>
      </c>
      <c r="T1830" t="s">
        <v>3251</v>
      </c>
      <c r="U1830">
        <v>240</v>
      </c>
      <c r="V1830" t="s">
        <v>4251</v>
      </c>
      <c r="W1830">
        <v>240</v>
      </c>
      <c r="X1830" t="s">
        <v>1323</v>
      </c>
      <c r="Y1830" t="s">
        <v>3250</v>
      </c>
      <c r="Z1830" t="s">
        <v>3250</v>
      </c>
      <c r="AA1830" t="s">
        <v>3108</v>
      </c>
      <c r="AB1830" t="s">
        <v>3108</v>
      </c>
      <c r="AC1830" t="s">
        <v>3250</v>
      </c>
      <c r="AD1830" t="s">
        <v>3250</v>
      </c>
      <c r="AE1830" t="s">
        <v>3250</v>
      </c>
      <c r="AF1830" t="s">
        <v>3250</v>
      </c>
      <c r="AG1830" t="s">
        <v>3250</v>
      </c>
      <c r="AH1830" t="s">
        <v>3250</v>
      </c>
      <c r="AI1830" t="s">
        <v>3250</v>
      </c>
      <c r="AJ1830" t="s">
        <v>3250</v>
      </c>
      <c r="AK1830">
        <v>110</v>
      </c>
      <c r="AL1830">
        <v>241</v>
      </c>
      <c r="AM1830" t="s">
        <v>1455</v>
      </c>
      <c r="AN1830">
        <v>241</v>
      </c>
      <c r="AO1830" t="s">
        <v>1455</v>
      </c>
      <c r="AS1830">
        <v>120</v>
      </c>
      <c r="AT1830">
        <v>120</v>
      </c>
      <c r="AU1830" t="s">
        <v>629</v>
      </c>
      <c r="AV1830" t="s">
        <v>629</v>
      </c>
      <c r="AW1830" t="s">
        <v>3250</v>
      </c>
      <c r="AX1830" t="s">
        <v>3250</v>
      </c>
      <c r="AY1830" t="s">
        <v>3250</v>
      </c>
      <c r="AZ1830" t="s">
        <v>3250</v>
      </c>
      <c r="BA1830" t="s">
        <v>3250</v>
      </c>
      <c r="BB1830" t="s">
        <v>3250</v>
      </c>
      <c r="BC1830" t="s">
        <v>3250</v>
      </c>
      <c r="BE1830" t="s">
        <v>3250</v>
      </c>
      <c r="BF1830" t="s">
        <v>3250</v>
      </c>
      <c r="BG1830" t="s">
        <v>3250</v>
      </c>
      <c r="BH1830" t="s">
        <v>3250</v>
      </c>
      <c r="BI1830" t="s">
        <v>3250</v>
      </c>
      <c r="BK1830" t="s">
        <v>3250</v>
      </c>
      <c r="BL1830" t="s">
        <v>3250</v>
      </c>
      <c r="BM1830" t="s">
        <v>3250</v>
      </c>
      <c r="BN1830" t="s">
        <v>3250</v>
      </c>
      <c r="BP1830">
        <v>7</v>
      </c>
      <c r="BQ1830">
        <v>71</v>
      </c>
      <c r="BR1830" t="s">
        <v>629</v>
      </c>
      <c r="BS1830" t="s">
        <v>4212</v>
      </c>
      <c r="BV1830">
        <v>0</v>
      </c>
      <c r="BW1830">
        <v>0</v>
      </c>
      <c r="BX1830">
        <v>0</v>
      </c>
      <c r="BY1830">
        <v>3277883</v>
      </c>
      <c r="BZ1830">
        <v>3277118</v>
      </c>
      <c r="CA1830">
        <v>0</v>
      </c>
      <c r="CB1830">
        <v>0</v>
      </c>
      <c r="CC1830">
        <v>0</v>
      </c>
      <c r="CD1830">
        <v>2591932</v>
      </c>
      <c r="CE1830" t="s">
        <v>3108</v>
      </c>
      <c r="CF1830" t="s">
        <v>3108</v>
      </c>
      <c r="CG1830" t="s">
        <v>3108</v>
      </c>
      <c r="CH1830" t="s">
        <v>3108</v>
      </c>
    </row>
    <row r="1831" spans="1:86" x14ac:dyDescent="0.2">
      <c r="A1831" t="s">
        <v>5892</v>
      </c>
      <c r="B1831" t="s">
        <v>5892</v>
      </c>
      <c r="C1831">
        <v>54954</v>
      </c>
      <c r="D1831">
        <v>1981</v>
      </c>
      <c r="E1831" t="s">
        <v>5887</v>
      </c>
      <c r="F1831" t="s">
        <v>3249</v>
      </c>
      <c r="G1831" t="s">
        <v>3249</v>
      </c>
      <c r="H1831" t="s">
        <v>3250</v>
      </c>
      <c r="I1831" t="s">
        <v>3250</v>
      </c>
      <c r="J1831" t="s">
        <v>3250</v>
      </c>
      <c r="K1831" t="s">
        <v>3250</v>
      </c>
      <c r="L1831">
        <v>3200</v>
      </c>
      <c r="M1831" t="s">
        <v>128</v>
      </c>
      <c r="N1831">
        <v>3205</v>
      </c>
      <c r="O1831" t="s">
        <v>629</v>
      </c>
      <c r="P1831" t="s">
        <v>3108</v>
      </c>
      <c r="Q1831">
        <v>2010</v>
      </c>
      <c r="R1831" t="s">
        <v>1355</v>
      </c>
      <c r="S1831" t="s">
        <v>427</v>
      </c>
      <c r="T1831" t="s">
        <v>3251</v>
      </c>
      <c r="U1831">
        <v>240</v>
      </c>
      <c r="V1831" t="s">
        <v>4251</v>
      </c>
      <c r="W1831">
        <v>240</v>
      </c>
      <c r="X1831" t="s">
        <v>1323</v>
      </c>
      <c r="Y1831" t="s">
        <v>3250</v>
      </c>
      <c r="Z1831" t="s">
        <v>3250</v>
      </c>
      <c r="AA1831" t="s">
        <v>3108</v>
      </c>
      <c r="AB1831" t="s">
        <v>3108</v>
      </c>
      <c r="AC1831" t="s">
        <v>3250</v>
      </c>
      <c r="AD1831" t="s">
        <v>3250</v>
      </c>
      <c r="AE1831" t="s">
        <v>3250</v>
      </c>
      <c r="AF1831" t="s">
        <v>3250</v>
      </c>
      <c r="AG1831" t="s">
        <v>3250</v>
      </c>
      <c r="AH1831" t="s">
        <v>3250</v>
      </c>
      <c r="AI1831" t="s">
        <v>3250</v>
      </c>
      <c r="AJ1831" t="s">
        <v>3250</v>
      </c>
      <c r="AK1831">
        <v>110</v>
      </c>
      <c r="AL1831">
        <v>241</v>
      </c>
      <c r="AM1831" t="s">
        <v>1455</v>
      </c>
      <c r="AN1831">
        <v>241</v>
      </c>
      <c r="AO1831" t="s">
        <v>1455</v>
      </c>
      <c r="AS1831">
        <v>120</v>
      </c>
      <c r="AT1831">
        <v>120</v>
      </c>
      <c r="AU1831" t="s">
        <v>629</v>
      </c>
      <c r="AV1831" t="s">
        <v>629</v>
      </c>
      <c r="AW1831" t="s">
        <v>3250</v>
      </c>
      <c r="AX1831" t="s">
        <v>3250</v>
      </c>
      <c r="AY1831" t="s">
        <v>3250</v>
      </c>
      <c r="AZ1831" t="s">
        <v>3250</v>
      </c>
      <c r="BA1831" t="s">
        <v>3250</v>
      </c>
      <c r="BB1831" t="s">
        <v>3250</v>
      </c>
      <c r="BC1831" t="s">
        <v>3250</v>
      </c>
      <c r="BE1831" t="s">
        <v>3250</v>
      </c>
      <c r="BF1831" t="s">
        <v>3250</v>
      </c>
      <c r="BG1831" t="s">
        <v>3250</v>
      </c>
      <c r="BH1831" t="s">
        <v>3250</v>
      </c>
      <c r="BI1831" t="s">
        <v>3250</v>
      </c>
      <c r="BK1831" t="s">
        <v>3250</v>
      </c>
      <c r="BL1831" t="s">
        <v>3250</v>
      </c>
      <c r="BM1831" t="s">
        <v>3250</v>
      </c>
      <c r="BN1831" t="s">
        <v>3250</v>
      </c>
      <c r="BP1831">
        <v>7</v>
      </c>
      <c r="BQ1831">
        <v>71</v>
      </c>
      <c r="BR1831" t="s">
        <v>629</v>
      </c>
      <c r="BS1831" t="s">
        <v>4212</v>
      </c>
      <c r="BV1831">
        <v>0</v>
      </c>
      <c r="BW1831">
        <v>0</v>
      </c>
      <c r="BX1831">
        <v>0</v>
      </c>
      <c r="BY1831">
        <v>0</v>
      </c>
      <c r="BZ1831">
        <v>0</v>
      </c>
      <c r="CA1831">
        <v>0</v>
      </c>
      <c r="CB1831">
        <v>0</v>
      </c>
      <c r="CC1831">
        <v>0</v>
      </c>
      <c r="CD1831">
        <v>0</v>
      </c>
      <c r="CE1831" t="s">
        <v>3108</v>
      </c>
      <c r="CF1831" t="s">
        <v>3108</v>
      </c>
      <c r="CG1831" t="s">
        <v>3108</v>
      </c>
      <c r="CH1831" t="s">
        <v>3108</v>
      </c>
    </row>
    <row r="1832" spans="1:86" x14ac:dyDescent="0.2">
      <c r="A1832" t="s">
        <v>5893</v>
      </c>
      <c r="B1832" t="s">
        <v>5893</v>
      </c>
      <c r="C1832">
        <v>54955</v>
      </c>
      <c r="D1832">
        <v>1982</v>
      </c>
      <c r="E1832" t="s">
        <v>4250</v>
      </c>
      <c r="F1832" t="s">
        <v>3249</v>
      </c>
      <c r="G1832" t="s">
        <v>3249</v>
      </c>
      <c r="H1832" t="s">
        <v>3250</v>
      </c>
      <c r="I1832" t="s">
        <v>3250</v>
      </c>
      <c r="J1832" t="s">
        <v>3250</v>
      </c>
      <c r="K1832" t="s">
        <v>3250</v>
      </c>
      <c r="L1832">
        <v>3200</v>
      </c>
      <c r="M1832" t="s">
        <v>128</v>
      </c>
      <c r="N1832">
        <v>3205</v>
      </c>
      <c r="O1832" t="s">
        <v>629</v>
      </c>
      <c r="P1832" t="s">
        <v>2805</v>
      </c>
      <c r="Q1832">
        <v>2010</v>
      </c>
      <c r="R1832" t="s">
        <v>1355</v>
      </c>
      <c r="S1832" t="s">
        <v>427</v>
      </c>
      <c r="T1832" t="s">
        <v>3251</v>
      </c>
      <c r="U1832">
        <v>240</v>
      </c>
      <c r="V1832" t="s">
        <v>4251</v>
      </c>
      <c r="W1832">
        <v>240</v>
      </c>
      <c r="X1832" t="s">
        <v>1323</v>
      </c>
      <c r="Y1832" t="s">
        <v>3250</v>
      </c>
      <c r="Z1832" t="s">
        <v>3250</v>
      </c>
      <c r="AA1832" t="s">
        <v>3108</v>
      </c>
      <c r="AB1832" t="s">
        <v>3108</v>
      </c>
      <c r="AC1832" t="s">
        <v>3250</v>
      </c>
      <c r="AD1832" t="s">
        <v>3250</v>
      </c>
      <c r="AE1832" t="s">
        <v>3250</v>
      </c>
      <c r="AF1832" t="s">
        <v>3250</v>
      </c>
      <c r="AG1832" t="s">
        <v>3250</v>
      </c>
      <c r="AH1832" t="s">
        <v>3250</v>
      </c>
      <c r="AI1832" t="s">
        <v>3250</v>
      </c>
      <c r="AJ1832" t="s">
        <v>3250</v>
      </c>
      <c r="AK1832">
        <v>110</v>
      </c>
      <c r="AL1832">
        <v>241</v>
      </c>
      <c r="AM1832" t="s">
        <v>1455</v>
      </c>
      <c r="AN1832">
        <v>241</v>
      </c>
      <c r="AO1832" t="s">
        <v>1455</v>
      </c>
      <c r="AS1832">
        <v>120</v>
      </c>
      <c r="AT1832">
        <v>120</v>
      </c>
      <c r="AU1832" t="s">
        <v>629</v>
      </c>
      <c r="AV1832" t="s">
        <v>629</v>
      </c>
      <c r="AW1832" t="s">
        <v>3250</v>
      </c>
      <c r="AX1832" t="s">
        <v>3250</v>
      </c>
      <c r="AY1832" t="s">
        <v>3250</v>
      </c>
      <c r="AZ1832" t="s">
        <v>3250</v>
      </c>
      <c r="BA1832" t="s">
        <v>3250</v>
      </c>
      <c r="BB1832" t="s">
        <v>3250</v>
      </c>
      <c r="BC1832" t="s">
        <v>3250</v>
      </c>
      <c r="BE1832" t="s">
        <v>3250</v>
      </c>
      <c r="BF1832" t="s">
        <v>3250</v>
      </c>
      <c r="BG1832" t="s">
        <v>3250</v>
      </c>
      <c r="BH1832" t="s">
        <v>3250</v>
      </c>
      <c r="BI1832" t="s">
        <v>3250</v>
      </c>
      <c r="BK1832" t="s">
        <v>3250</v>
      </c>
      <c r="BL1832" t="s">
        <v>3250</v>
      </c>
      <c r="BM1832" t="s">
        <v>3250</v>
      </c>
      <c r="BN1832" t="s">
        <v>3250</v>
      </c>
      <c r="BP1832">
        <v>7</v>
      </c>
      <c r="BQ1832">
        <v>71</v>
      </c>
      <c r="BR1832" t="s">
        <v>629</v>
      </c>
      <c r="BS1832" t="s">
        <v>4212</v>
      </c>
      <c r="BV1832">
        <v>0</v>
      </c>
      <c r="BW1832">
        <v>0</v>
      </c>
      <c r="BX1832">
        <v>0</v>
      </c>
      <c r="BY1832">
        <v>0</v>
      </c>
      <c r="BZ1832">
        <v>3385763</v>
      </c>
      <c r="CA1832">
        <v>0</v>
      </c>
      <c r="CB1832">
        <v>0</v>
      </c>
      <c r="CC1832">
        <v>0</v>
      </c>
      <c r="CD1832">
        <v>1829868</v>
      </c>
      <c r="CE1832" t="s">
        <v>3108</v>
      </c>
      <c r="CF1832" t="s">
        <v>3108</v>
      </c>
      <c r="CG1832" t="s">
        <v>3108</v>
      </c>
      <c r="CH1832" t="s">
        <v>3108</v>
      </c>
    </row>
    <row r="1833" spans="1:86" x14ac:dyDescent="0.2">
      <c r="A1833" t="s">
        <v>5894</v>
      </c>
      <c r="B1833" t="s">
        <v>5894</v>
      </c>
      <c r="C1833">
        <v>54956</v>
      </c>
      <c r="D1833">
        <v>1983</v>
      </c>
      <c r="E1833" t="s">
        <v>5660</v>
      </c>
      <c r="F1833" t="s">
        <v>3249</v>
      </c>
      <c r="G1833" t="s">
        <v>3249</v>
      </c>
      <c r="H1833" t="s">
        <v>3250</v>
      </c>
      <c r="I1833" t="s">
        <v>3250</v>
      </c>
      <c r="J1833" t="s">
        <v>3250</v>
      </c>
      <c r="K1833" t="s">
        <v>3250</v>
      </c>
      <c r="L1833">
        <v>3200</v>
      </c>
      <c r="M1833" t="s">
        <v>128</v>
      </c>
      <c r="N1833">
        <v>3205</v>
      </c>
      <c r="O1833" t="s">
        <v>629</v>
      </c>
      <c r="P1833" t="s">
        <v>3108</v>
      </c>
      <c r="Q1833">
        <v>2010</v>
      </c>
      <c r="R1833" t="s">
        <v>1355</v>
      </c>
      <c r="S1833" t="s">
        <v>427</v>
      </c>
      <c r="T1833" t="s">
        <v>3251</v>
      </c>
      <c r="U1833">
        <v>240</v>
      </c>
      <c r="V1833" t="s">
        <v>4251</v>
      </c>
      <c r="W1833">
        <v>240</v>
      </c>
      <c r="X1833" t="s">
        <v>1323</v>
      </c>
      <c r="Y1833" t="s">
        <v>3250</v>
      </c>
      <c r="Z1833" t="s">
        <v>3250</v>
      </c>
      <c r="AA1833" t="s">
        <v>3108</v>
      </c>
      <c r="AB1833" t="s">
        <v>3108</v>
      </c>
      <c r="AC1833" t="s">
        <v>3250</v>
      </c>
      <c r="AD1833" t="s">
        <v>3250</v>
      </c>
      <c r="AE1833" t="s">
        <v>3250</v>
      </c>
      <c r="AF1833" t="s">
        <v>3250</v>
      </c>
      <c r="AG1833" t="s">
        <v>3250</v>
      </c>
      <c r="AH1833" t="s">
        <v>3250</v>
      </c>
      <c r="AI1833" t="s">
        <v>3250</v>
      </c>
      <c r="AJ1833" t="s">
        <v>3250</v>
      </c>
      <c r="AK1833">
        <v>110</v>
      </c>
      <c r="AL1833">
        <v>241</v>
      </c>
      <c r="AM1833" t="s">
        <v>1455</v>
      </c>
      <c r="AN1833">
        <v>241</v>
      </c>
      <c r="AO1833" t="s">
        <v>1455</v>
      </c>
      <c r="AS1833">
        <v>120</v>
      </c>
      <c r="AT1833">
        <v>120</v>
      </c>
      <c r="AU1833" t="s">
        <v>629</v>
      </c>
      <c r="AV1833" t="s">
        <v>629</v>
      </c>
      <c r="AW1833" t="s">
        <v>3250</v>
      </c>
      <c r="AX1833" t="s">
        <v>3250</v>
      </c>
      <c r="AY1833" t="s">
        <v>3250</v>
      </c>
      <c r="AZ1833" t="s">
        <v>3250</v>
      </c>
      <c r="BA1833" t="s">
        <v>3250</v>
      </c>
      <c r="BB1833" t="s">
        <v>3250</v>
      </c>
      <c r="BC1833" t="s">
        <v>3250</v>
      </c>
      <c r="BE1833" t="s">
        <v>3250</v>
      </c>
      <c r="BF1833" t="s">
        <v>3250</v>
      </c>
      <c r="BG1833" t="s">
        <v>3250</v>
      </c>
      <c r="BH1833" t="s">
        <v>3250</v>
      </c>
      <c r="BI1833" t="s">
        <v>3250</v>
      </c>
      <c r="BK1833" t="s">
        <v>3250</v>
      </c>
      <c r="BL1833" t="s">
        <v>3250</v>
      </c>
      <c r="BM1833" t="s">
        <v>3250</v>
      </c>
      <c r="BN1833" t="s">
        <v>3250</v>
      </c>
      <c r="BP1833">
        <v>7</v>
      </c>
      <c r="BQ1833">
        <v>71</v>
      </c>
      <c r="BR1833" t="s">
        <v>629</v>
      </c>
      <c r="BS1833" t="s">
        <v>4212</v>
      </c>
      <c r="BV1833">
        <v>0</v>
      </c>
      <c r="BW1833">
        <v>0</v>
      </c>
      <c r="BX1833">
        <v>0</v>
      </c>
      <c r="BY1833">
        <v>0</v>
      </c>
      <c r="BZ1833">
        <v>0</v>
      </c>
      <c r="CA1833">
        <v>0</v>
      </c>
      <c r="CB1833">
        <v>0</v>
      </c>
      <c r="CC1833">
        <v>0</v>
      </c>
      <c r="CD1833">
        <v>0</v>
      </c>
      <c r="CE1833" t="s">
        <v>3108</v>
      </c>
      <c r="CF1833" t="s">
        <v>3108</v>
      </c>
      <c r="CG1833" t="s">
        <v>3108</v>
      </c>
      <c r="CH1833" t="s">
        <v>3107</v>
      </c>
    </row>
    <row r="1834" spans="1:86" x14ac:dyDescent="0.2">
      <c r="A1834" t="s">
        <v>5895</v>
      </c>
      <c r="B1834" t="s">
        <v>5895</v>
      </c>
      <c r="C1834">
        <v>54957</v>
      </c>
      <c r="D1834">
        <v>1984</v>
      </c>
      <c r="E1834" t="s">
        <v>5890</v>
      </c>
      <c r="F1834" t="s">
        <v>3249</v>
      </c>
      <c r="G1834" t="s">
        <v>3249</v>
      </c>
      <c r="H1834" t="s">
        <v>3250</v>
      </c>
      <c r="I1834" t="s">
        <v>3250</v>
      </c>
      <c r="J1834" t="s">
        <v>3250</v>
      </c>
      <c r="K1834" t="s">
        <v>3250</v>
      </c>
      <c r="L1834">
        <v>3200</v>
      </c>
      <c r="M1834" t="s">
        <v>128</v>
      </c>
      <c r="N1834">
        <v>3205</v>
      </c>
      <c r="O1834" t="s">
        <v>629</v>
      </c>
      <c r="P1834" t="s">
        <v>3108</v>
      </c>
      <c r="Q1834">
        <v>2010</v>
      </c>
      <c r="R1834" t="s">
        <v>1355</v>
      </c>
      <c r="S1834" t="s">
        <v>427</v>
      </c>
      <c r="T1834" t="s">
        <v>3251</v>
      </c>
      <c r="U1834">
        <v>240</v>
      </c>
      <c r="V1834" t="s">
        <v>4251</v>
      </c>
      <c r="W1834">
        <v>240</v>
      </c>
      <c r="X1834" t="s">
        <v>1323</v>
      </c>
      <c r="Y1834" t="s">
        <v>3250</v>
      </c>
      <c r="Z1834" t="s">
        <v>3250</v>
      </c>
      <c r="AA1834" t="s">
        <v>3108</v>
      </c>
      <c r="AB1834" t="s">
        <v>3108</v>
      </c>
      <c r="AC1834" t="s">
        <v>3250</v>
      </c>
      <c r="AD1834" t="s">
        <v>3250</v>
      </c>
      <c r="AE1834" t="s">
        <v>3250</v>
      </c>
      <c r="AF1834" t="s">
        <v>3250</v>
      </c>
      <c r="AG1834" t="s">
        <v>3250</v>
      </c>
      <c r="AH1834" t="s">
        <v>3250</v>
      </c>
      <c r="AI1834" t="s">
        <v>3250</v>
      </c>
      <c r="AJ1834" t="s">
        <v>3250</v>
      </c>
      <c r="AK1834">
        <v>110</v>
      </c>
      <c r="AL1834">
        <v>241</v>
      </c>
      <c r="AM1834" t="s">
        <v>1455</v>
      </c>
      <c r="AN1834">
        <v>241</v>
      </c>
      <c r="AO1834" t="s">
        <v>1455</v>
      </c>
      <c r="AS1834">
        <v>120</v>
      </c>
      <c r="AT1834">
        <v>120</v>
      </c>
      <c r="AU1834" t="s">
        <v>629</v>
      </c>
      <c r="AV1834" t="s">
        <v>629</v>
      </c>
      <c r="AW1834" t="s">
        <v>3250</v>
      </c>
      <c r="AX1834" t="s">
        <v>3250</v>
      </c>
      <c r="AY1834" t="s">
        <v>3250</v>
      </c>
      <c r="AZ1834" t="s">
        <v>3250</v>
      </c>
      <c r="BA1834" t="s">
        <v>3250</v>
      </c>
      <c r="BB1834" t="s">
        <v>3250</v>
      </c>
      <c r="BC1834" t="s">
        <v>3250</v>
      </c>
      <c r="BE1834" t="s">
        <v>3250</v>
      </c>
      <c r="BF1834" t="s">
        <v>3250</v>
      </c>
      <c r="BG1834" t="s">
        <v>3250</v>
      </c>
      <c r="BH1834" t="s">
        <v>3250</v>
      </c>
      <c r="BI1834" t="s">
        <v>3250</v>
      </c>
      <c r="BK1834" t="s">
        <v>3250</v>
      </c>
      <c r="BL1834" t="s">
        <v>3250</v>
      </c>
      <c r="BM1834" t="s">
        <v>3250</v>
      </c>
      <c r="BN1834" t="s">
        <v>3250</v>
      </c>
      <c r="BP1834">
        <v>7</v>
      </c>
      <c r="BQ1834">
        <v>71</v>
      </c>
      <c r="BR1834" t="s">
        <v>629</v>
      </c>
      <c r="BS1834" t="s">
        <v>4212</v>
      </c>
      <c r="BV1834">
        <v>0</v>
      </c>
      <c r="BW1834">
        <v>0</v>
      </c>
      <c r="BX1834">
        <v>0</v>
      </c>
      <c r="BY1834">
        <v>0</v>
      </c>
      <c r="BZ1834">
        <v>0</v>
      </c>
      <c r="CA1834">
        <v>0</v>
      </c>
      <c r="CB1834">
        <v>0</v>
      </c>
      <c r="CC1834">
        <v>0</v>
      </c>
      <c r="CD1834">
        <v>0</v>
      </c>
      <c r="CE1834" t="s">
        <v>3108</v>
      </c>
      <c r="CF1834" t="s">
        <v>3108</v>
      </c>
      <c r="CG1834" t="s">
        <v>3108</v>
      </c>
      <c r="CH1834" t="s">
        <v>3108</v>
      </c>
    </row>
    <row r="1835" spans="1:86" x14ac:dyDescent="0.2">
      <c r="A1835" t="s">
        <v>5896</v>
      </c>
      <c r="B1835" t="s">
        <v>5896</v>
      </c>
      <c r="C1835">
        <v>54958</v>
      </c>
      <c r="D1835">
        <v>1985</v>
      </c>
      <c r="E1835" t="s">
        <v>5660</v>
      </c>
      <c r="F1835" t="s">
        <v>3249</v>
      </c>
      <c r="G1835" t="s">
        <v>3249</v>
      </c>
      <c r="H1835" t="s">
        <v>3250</v>
      </c>
      <c r="I1835" t="s">
        <v>3250</v>
      </c>
      <c r="J1835" t="s">
        <v>3250</v>
      </c>
      <c r="K1835" t="s">
        <v>3250</v>
      </c>
      <c r="L1835">
        <v>3200</v>
      </c>
      <c r="M1835" t="s">
        <v>128</v>
      </c>
      <c r="N1835">
        <v>3205</v>
      </c>
      <c r="O1835" t="s">
        <v>629</v>
      </c>
      <c r="P1835" t="s">
        <v>3108</v>
      </c>
      <c r="Q1835">
        <v>2010</v>
      </c>
      <c r="R1835" t="s">
        <v>1355</v>
      </c>
      <c r="S1835" t="s">
        <v>427</v>
      </c>
      <c r="T1835" t="s">
        <v>3251</v>
      </c>
      <c r="U1835">
        <v>240</v>
      </c>
      <c r="V1835" t="s">
        <v>4251</v>
      </c>
      <c r="W1835">
        <v>240</v>
      </c>
      <c r="X1835" t="s">
        <v>1323</v>
      </c>
      <c r="Y1835" t="s">
        <v>3250</v>
      </c>
      <c r="Z1835" t="s">
        <v>3250</v>
      </c>
      <c r="AA1835" t="s">
        <v>3108</v>
      </c>
      <c r="AB1835" t="s">
        <v>3108</v>
      </c>
      <c r="AC1835" t="s">
        <v>3250</v>
      </c>
      <c r="AD1835" t="s">
        <v>3250</v>
      </c>
      <c r="AE1835" t="s">
        <v>3250</v>
      </c>
      <c r="AF1835" t="s">
        <v>3250</v>
      </c>
      <c r="AG1835" t="s">
        <v>3250</v>
      </c>
      <c r="AH1835" t="s">
        <v>3250</v>
      </c>
      <c r="AI1835" t="s">
        <v>3250</v>
      </c>
      <c r="AJ1835" t="s">
        <v>3250</v>
      </c>
      <c r="AK1835">
        <v>770</v>
      </c>
      <c r="AL1835">
        <v>241</v>
      </c>
      <c r="AM1835" t="s">
        <v>1455</v>
      </c>
      <c r="AN1835">
        <v>241</v>
      </c>
      <c r="AO1835" t="s">
        <v>1455</v>
      </c>
      <c r="AS1835">
        <v>790</v>
      </c>
      <c r="AT1835">
        <v>790</v>
      </c>
      <c r="AU1835" t="s">
        <v>2284</v>
      </c>
      <c r="AV1835" t="s">
        <v>2284</v>
      </c>
      <c r="AW1835" t="s">
        <v>3250</v>
      </c>
      <c r="AX1835" t="s">
        <v>3250</v>
      </c>
      <c r="AY1835" t="s">
        <v>3250</v>
      </c>
      <c r="AZ1835" t="s">
        <v>3250</v>
      </c>
      <c r="BA1835" t="s">
        <v>3250</v>
      </c>
      <c r="BB1835" t="s">
        <v>3250</v>
      </c>
      <c r="BC1835" t="s">
        <v>3250</v>
      </c>
      <c r="BE1835" t="s">
        <v>3250</v>
      </c>
      <c r="BF1835" t="s">
        <v>3250</v>
      </c>
      <c r="BG1835" t="s">
        <v>3250</v>
      </c>
      <c r="BH1835" t="s">
        <v>3250</v>
      </c>
      <c r="BI1835" t="s">
        <v>3250</v>
      </c>
      <c r="BK1835" t="s">
        <v>3250</v>
      </c>
      <c r="BL1835" t="s">
        <v>3250</v>
      </c>
      <c r="BM1835" t="s">
        <v>3250</v>
      </c>
      <c r="BN1835" t="s">
        <v>3250</v>
      </c>
      <c r="BP1835">
        <v>7</v>
      </c>
      <c r="BQ1835">
        <v>71</v>
      </c>
      <c r="BR1835" t="s">
        <v>629</v>
      </c>
      <c r="BS1835" t="s">
        <v>4212</v>
      </c>
      <c r="BV1835">
        <v>0</v>
      </c>
      <c r="BW1835">
        <v>0</v>
      </c>
      <c r="BX1835">
        <v>0</v>
      </c>
      <c r="BY1835">
        <v>0</v>
      </c>
      <c r="BZ1835">
        <v>0</v>
      </c>
      <c r="CA1835">
        <v>0</v>
      </c>
      <c r="CB1835">
        <v>0</v>
      </c>
      <c r="CC1835">
        <v>0</v>
      </c>
      <c r="CD1835">
        <v>0</v>
      </c>
      <c r="CE1835" t="s">
        <v>3108</v>
      </c>
      <c r="CF1835" t="s">
        <v>3108</v>
      </c>
      <c r="CG1835" t="s">
        <v>3108</v>
      </c>
      <c r="CH1835" t="s">
        <v>3107</v>
      </c>
    </row>
    <row r="1836" spans="1:86" x14ac:dyDescent="0.2">
      <c r="A1836" t="s">
        <v>5897</v>
      </c>
      <c r="B1836" t="s">
        <v>5897</v>
      </c>
      <c r="C1836">
        <v>54959</v>
      </c>
      <c r="D1836">
        <v>1986</v>
      </c>
      <c r="E1836" t="s">
        <v>5890</v>
      </c>
      <c r="F1836" t="s">
        <v>3249</v>
      </c>
      <c r="G1836" t="s">
        <v>3249</v>
      </c>
      <c r="H1836" t="s">
        <v>3250</v>
      </c>
      <c r="I1836" t="s">
        <v>3250</v>
      </c>
      <c r="J1836" t="s">
        <v>3250</v>
      </c>
      <c r="K1836" t="s">
        <v>3250</v>
      </c>
      <c r="L1836">
        <v>3200</v>
      </c>
      <c r="M1836" t="s">
        <v>128</v>
      </c>
      <c r="N1836">
        <v>3205</v>
      </c>
      <c r="O1836" t="s">
        <v>629</v>
      </c>
      <c r="P1836" t="s">
        <v>3108</v>
      </c>
      <c r="Q1836">
        <v>2010</v>
      </c>
      <c r="R1836" t="s">
        <v>1355</v>
      </c>
      <c r="S1836" t="s">
        <v>427</v>
      </c>
      <c r="T1836" t="s">
        <v>3251</v>
      </c>
      <c r="U1836">
        <v>240</v>
      </c>
      <c r="V1836" t="s">
        <v>4251</v>
      </c>
      <c r="W1836">
        <v>240</v>
      </c>
      <c r="X1836" t="s">
        <v>1323</v>
      </c>
      <c r="Y1836" t="s">
        <v>3250</v>
      </c>
      <c r="Z1836" t="s">
        <v>3250</v>
      </c>
      <c r="AA1836" t="s">
        <v>3108</v>
      </c>
      <c r="AB1836" t="s">
        <v>3108</v>
      </c>
      <c r="AC1836" t="s">
        <v>3250</v>
      </c>
      <c r="AD1836" t="s">
        <v>3250</v>
      </c>
      <c r="AE1836" t="s">
        <v>3250</v>
      </c>
      <c r="AF1836" t="s">
        <v>3250</v>
      </c>
      <c r="AG1836" t="s">
        <v>3250</v>
      </c>
      <c r="AH1836" t="s">
        <v>3250</v>
      </c>
      <c r="AI1836" t="s">
        <v>3250</v>
      </c>
      <c r="AJ1836" t="s">
        <v>3250</v>
      </c>
      <c r="AK1836">
        <v>770</v>
      </c>
      <c r="AL1836">
        <v>241</v>
      </c>
      <c r="AM1836" t="s">
        <v>1455</v>
      </c>
      <c r="AN1836">
        <v>241</v>
      </c>
      <c r="AO1836" t="s">
        <v>1455</v>
      </c>
      <c r="AS1836">
        <v>790</v>
      </c>
      <c r="AT1836">
        <v>790</v>
      </c>
      <c r="AU1836" t="s">
        <v>2284</v>
      </c>
      <c r="AV1836" t="s">
        <v>2284</v>
      </c>
      <c r="AW1836" t="s">
        <v>3250</v>
      </c>
      <c r="AX1836" t="s">
        <v>3250</v>
      </c>
      <c r="AY1836" t="s">
        <v>3250</v>
      </c>
      <c r="AZ1836" t="s">
        <v>3250</v>
      </c>
      <c r="BA1836" t="s">
        <v>3250</v>
      </c>
      <c r="BB1836" t="s">
        <v>3250</v>
      </c>
      <c r="BC1836" t="s">
        <v>3250</v>
      </c>
      <c r="BE1836" t="s">
        <v>3250</v>
      </c>
      <c r="BF1836" t="s">
        <v>3250</v>
      </c>
      <c r="BG1836" t="s">
        <v>3250</v>
      </c>
      <c r="BH1836" t="s">
        <v>3250</v>
      </c>
      <c r="BI1836" t="s">
        <v>3250</v>
      </c>
      <c r="BK1836" t="s">
        <v>3250</v>
      </c>
      <c r="BL1836" t="s">
        <v>3250</v>
      </c>
      <c r="BM1836" t="s">
        <v>3250</v>
      </c>
      <c r="BN1836" t="s">
        <v>3250</v>
      </c>
      <c r="BP1836">
        <v>7</v>
      </c>
      <c r="BQ1836">
        <v>71</v>
      </c>
      <c r="BR1836" t="s">
        <v>629</v>
      </c>
      <c r="BS1836" t="s">
        <v>4212</v>
      </c>
      <c r="BV1836">
        <v>0</v>
      </c>
      <c r="BW1836">
        <v>0</v>
      </c>
      <c r="BX1836">
        <v>0</v>
      </c>
      <c r="BY1836">
        <v>0</v>
      </c>
      <c r="BZ1836">
        <v>0</v>
      </c>
      <c r="CA1836">
        <v>0</v>
      </c>
      <c r="CB1836">
        <v>0</v>
      </c>
      <c r="CC1836">
        <v>0</v>
      </c>
      <c r="CD1836">
        <v>0</v>
      </c>
      <c r="CE1836" t="s">
        <v>3108</v>
      </c>
      <c r="CF1836" t="s">
        <v>3108</v>
      </c>
      <c r="CG1836" t="s">
        <v>3108</v>
      </c>
      <c r="CH1836" t="s">
        <v>3108</v>
      </c>
    </row>
    <row r="1837" spans="1:86" x14ac:dyDescent="0.2">
      <c r="A1837" t="s">
        <v>5898</v>
      </c>
      <c r="B1837" t="s">
        <v>5898</v>
      </c>
      <c r="C1837">
        <v>54960</v>
      </c>
      <c r="D1837">
        <v>1987</v>
      </c>
      <c r="E1837" t="s">
        <v>4250</v>
      </c>
      <c r="F1837" t="s">
        <v>3249</v>
      </c>
      <c r="G1837" t="s">
        <v>3249</v>
      </c>
      <c r="H1837" t="s">
        <v>3250</v>
      </c>
      <c r="I1837" t="s">
        <v>3250</v>
      </c>
      <c r="J1837" t="s">
        <v>3250</v>
      </c>
      <c r="K1837" t="s">
        <v>3250</v>
      </c>
      <c r="L1837">
        <v>3200</v>
      </c>
      <c r="M1837" t="s">
        <v>128</v>
      </c>
      <c r="N1837">
        <v>3205</v>
      </c>
      <c r="O1837" t="s">
        <v>629</v>
      </c>
      <c r="P1837" t="s">
        <v>2805</v>
      </c>
      <c r="Q1837">
        <v>2010</v>
      </c>
      <c r="R1837" t="s">
        <v>1355</v>
      </c>
      <c r="S1837" t="s">
        <v>427</v>
      </c>
      <c r="T1837" t="s">
        <v>3251</v>
      </c>
      <c r="U1837">
        <v>240</v>
      </c>
      <c r="V1837" t="s">
        <v>4251</v>
      </c>
      <c r="W1837">
        <v>240</v>
      </c>
      <c r="X1837" t="s">
        <v>1323</v>
      </c>
      <c r="Y1837" t="s">
        <v>3250</v>
      </c>
      <c r="Z1837" t="s">
        <v>3250</v>
      </c>
      <c r="AA1837" t="s">
        <v>3108</v>
      </c>
      <c r="AB1837" t="s">
        <v>3108</v>
      </c>
      <c r="AC1837" t="s">
        <v>3250</v>
      </c>
      <c r="AD1837" t="s">
        <v>3250</v>
      </c>
      <c r="AE1837" t="s">
        <v>3250</v>
      </c>
      <c r="AF1837" t="s">
        <v>3250</v>
      </c>
      <c r="AG1837" t="s">
        <v>3250</v>
      </c>
      <c r="AH1837" t="s">
        <v>3250</v>
      </c>
      <c r="AI1837" t="s">
        <v>3250</v>
      </c>
      <c r="AJ1837" t="s">
        <v>3250</v>
      </c>
      <c r="AK1837">
        <v>770</v>
      </c>
      <c r="AL1837">
        <v>241</v>
      </c>
      <c r="AM1837" t="s">
        <v>1455</v>
      </c>
      <c r="AN1837">
        <v>241</v>
      </c>
      <c r="AO1837" t="s">
        <v>1455</v>
      </c>
      <c r="AS1837">
        <v>790</v>
      </c>
      <c r="AT1837">
        <v>790</v>
      </c>
      <c r="AU1837" t="s">
        <v>2284</v>
      </c>
      <c r="AV1837" t="s">
        <v>2284</v>
      </c>
      <c r="AW1837" t="s">
        <v>3250</v>
      </c>
      <c r="AX1837" t="s">
        <v>3250</v>
      </c>
      <c r="AY1837" t="s">
        <v>3250</v>
      </c>
      <c r="AZ1837" t="s">
        <v>3250</v>
      </c>
      <c r="BA1837" t="s">
        <v>3250</v>
      </c>
      <c r="BB1837" t="s">
        <v>3250</v>
      </c>
      <c r="BC1837" t="s">
        <v>3250</v>
      </c>
      <c r="BE1837" t="s">
        <v>3250</v>
      </c>
      <c r="BF1837" t="s">
        <v>3250</v>
      </c>
      <c r="BG1837" t="s">
        <v>3250</v>
      </c>
      <c r="BH1837" t="s">
        <v>3250</v>
      </c>
      <c r="BI1837" t="s">
        <v>3250</v>
      </c>
      <c r="BK1837" t="s">
        <v>3250</v>
      </c>
      <c r="BL1837" t="s">
        <v>3250</v>
      </c>
      <c r="BM1837" t="s">
        <v>3250</v>
      </c>
      <c r="BN1837" t="s">
        <v>3250</v>
      </c>
      <c r="BP1837">
        <v>7</v>
      </c>
      <c r="BQ1837">
        <v>71</v>
      </c>
      <c r="BR1837" t="s">
        <v>629</v>
      </c>
      <c r="BS1837" t="s">
        <v>4212</v>
      </c>
      <c r="BV1837">
        <v>0</v>
      </c>
      <c r="BW1837">
        <v>0</v>
      </c>
      <c r="BX1837">
        <v>0</v>
      </c>
      <c r="BY1837">
        <v>0</v>
      </c>
      <c r="BZ1837">
        <v>4141273</v>
      </c>
      <c r="CA1837">
        <v>0</v>
      </c>
      <c r="CB1837">
        <v>0</v>
      </c>
      <c r="CC1837">
        <v>0</v>
      </c>
      <c r="CD1837">
        <v>2110437</v>
      </c>
      <c r="CE1837" t="s">
        <v>3108</v>
      </c>
      <c r="CF1837" t="s">
        <v>3108</v>
      </c>
      <c r="CG1837" t="s">
        <v>3108</v>
      </c>
      <c r="CH1837" t="s">
        <v>3108</v>
      </c>
    </row>
    <row r="1838" spans="1:86" x14ac:dyDescent="0.2">
      <c r="A1838" t="s">
        <v>5899</v>
      </c>
      <c r="B1838" t="s">
        <v>5899</v>
      </c>
      <c r="C1838">
        <v>54961</v>
      </c>
      <c r="D1838">
        <v>1988</v>
      </c>
      <c r="E1838" t="s">
        <v>5887</v>
      </c>
      <c r="F1838" t="s">
        <v>3249</v>
      </c>
      <c r="G1838" t="s">
        <v>3249</v>
      </c>
      <c r="H1838" t="s">
        <v>3250</v>
      </c>
      <c r="I1838" t="s">
        <v>3250</v>
      </c>
      <c r="J1838" t="s">
        <v>3250</v>
      </c>
      <c r="K1838" t="s">
        <v>3250</v>
      </c>
      <c r="L1838">
        <v>3200</v>
      </c>
      <c r="M1838" t="s">
        <v>128</v>
      </c>
      <c r="N1838">
        <v>3205</v>
      </c>
      <c r="O1838" t="s">
        <v>629</v>
      </c>
      <c r="P1838" t="s">
        <v>3108</v>
      </c>
      <c r="Q1838">
        <v>2010</v>
      </c>
      <c r="R1838" t="s">
        <v>1355</v>
      </c>
      <c r="S1838" t="s">
        <v>427</v>
      </c>
      <c r="T1838" t="s">
        <v>3251</v>
      </c>
      <c r="U1838">
        <v>240</v>
      </c>
      <c r="V1838" t="s">
        <v>4251</v>
      </c>
      <c r="W1838">
        <v>240</v>
      </c>
      <c r="X1838" t="s">
        <v>1323</v>
      </c>
      <c r="Y1838" t="s">
        <v>3250</v>
      </c>
      <c r="Z1838" t="s">
        <v>3250</v>
      </c>
      <c r="AA1838" t="s">
        <v>3108</v>
      </c>
      <c r="AB1838" t="s">
        <v>3108</v>
      </c>
      <c r="AC1838" t="s">
        <v>3250</v>
      </c>
      <c r="AD1838" t="s">
        <v>3250</v>
      </c>
      <c r="AE1838" t="s">
        <v>3250</v>
      </c>
      <c r="AF1838" t="s">
        <v>3250</v>
      </c>
      <c r="AG1838" t="s">
        <v>3250</v>
      </c>
      <c r="AH1838" t="s">
        <v>3250</v>
      </c>
      <c r="AI1838" t="s">
        <v>3250</v>
      </c>
      <c r="AJ1838" t="s">
        <v>3250</v>
      </c>
      <c r="AK1838">
        <v>770</v>
      </c>
      <c r="AL1838">
        <v>241</v>
      </c>
      <c r="AM1838" t="s">
        <v>1455</v>
      </c>
      <c r="AN1838">
        <v>241</v>
      </c>
      <c r="AO1838" t="s">
        <v>1455</v>
      </c>
      <c r="AS1838">
        <v>790</v>
      </c>
      <c r="AT1838">
        <v>790</v>
      </c>
      <c r="AU1838" t="s">
        <v>2284</v>
      </c>
      <c r="AV1838" t="s">
        <v>2284</v>
      </c>
      <c r="AW1838" t="s">
        <v>3250</v>
      </c>
      <c r="AX1838" t="s">
        <v>3250</v>
      </c>
      <c r="AY1838" t="s">
        <v>3250</v>
      </c>
      <c r="AZ1838" t="s">
        <v>3250</v>
      </c>
      <c r="BA1838" t="s">
        <v>3250</v>
      </c>
      <c r="BB1838" t="s">
        <v>3250</v>
      </c>
      <c r="BC1838" t="s">
        <v>3250</v>
      </c>
      <c r="BE1838" t="s">
        <v>3250</v>
      </c>
      <c r="BF1838" t="s">
        <v>3250</v>
      </c>
      <c r="BG1838" t="s">
        <v>3250</v>
      </c>
      <c r="BH1838" t="s">
        <v>3250</v>
      </c>
      <c r="BI1838" t="s">
        <v>3250</v>
      </c>
      <c r="BK1838" t="s">
        <v>3250</v>
      </c>
      <c r="BL1838" t="s">
        <v>3250</v>
      </c>
      <c r="BM1838" t="s">
        <v>3250</v>
      </c>
      <c r="BN1838" t="s">
        <v>3250</v>
      </c>
      <c r="BP1838">
        <v>7</v>
      </c>
      <c r="BQ1838">
        <v>71</v>
      </c>
      <c r="BR1838" t="s">
        <v>629</v>
      </c>
      <c r="BS1838" t="s">
        <v>4212</v>
      </c>
      <c r="BV1838">
        <v>0</v>
      </c>
      <c r="BW1838">
        <v>0</v>
      </c>
      <c r="BX1838">
        <v>0</v>
      </c>
      <c r="BY1838">
        <v>0</v>
      </c>
      <c r="BZ1838">
        <v>0</v>
      </c>
      <c r="CA1838">
        <v>0</v>
      </c>
      <c r="CB1838">
        <v>0</v>
      </c>
      <c r="CC1838">
        <v>0</v>
      </c>
      <c r="CD1838">
        <v>0</v>
      </c>
      <c r="CE1838" t="s">
        <v>3108</v>
      </c>
      <c r="CF1838" t="s">
        <v>3108</v>
      </c>
      <c r="CG1838" t="s">
        <v>3108</v>
      </c>
      <c r="CH1838" t="s">
        <v>3108</v>
      </c>
    </row>
    <row r="1839" spans="1:86" x14ac:dyDescent="0.2">
      <c r="A1839" t="s">
        <v>5900</v>
      </c>
      <c r="B1839" t="s">
        <v>5900</v>
      </c>
      <c r="C1839">
        <v>54962</v>
      </c>
      <c r="D1839">
        <v>1989</v>
      </c>
      <c r="E1839" t="s">
        <v>4250</v>
      </c>
      <c r="F1839" t="s">
        <v>3249</v>
      </c>
      <c r="G1839" t="s">
        <v>3249</v>
      </c>
      <c r="H1839" t="s">
        <v>3250</v>
      </c>
      <c r="I1839" t="s">
        <v>3250</v>
      </c>
      <c r="J1839" t="s">
        <v>3250</v>
      </c>
      <c r="K1839" t="s">
        <v>3250</v>
      </c>
      <c r="L1839">
        <v>2100</v>
      </c>
      <c r="M1839" t="s">
        <v>123</v>
      </c>
      <c r="N1839">
        <v>2106</v>
      </c>
      <c r="O1839" t="s">
        <v>2399</v>
      </c>
      <c r="P1839" t="s">
        <v>2805</v>
      </c>
      <c r="Q1839">
        <v>2010</v>
      </c>
      <c r="R1839" t="s">
        <v>1355</v>
      </c>
      <c r="S1839" t="s">
        <v>427</v>
      </c>
      <c r="T1839" t="s">
        <v>3251</v>
      </c>
      <c r="U1839">
        <v>240</v>
      </c>
      <c r="V1839" t="s">
        <v>4251</v>
      </c>
      <c r="W1839">
        <v>240</v>
      </c>
      <c r="X1839" t="s">
        <v>1323</v>
      </c>
      <c r="Y1839" t="s">
        <v>3250</v>
      </c>
      <c r="Z1839" t="s">
        <v>3250</v>
      </c>
      <c r="AA1839" t="s">
        <v>3108</v>
      </c>
      <c r="AB1839" t="s">
        <v>3108</v>
      </c>
      <c r="AC1839" t="s">
        <v>3250</v>
      </c>
      <c r="AD1839" t="s">
        <v>3250</v>
      </c>
      <c r="AE1839" t="s">
        <v>3250</v>
      </c>
      <c r="AF1839" t="s">
        <v>3250</v>
      </c>
      <c r="AG1839" t="s">
        <v>3250</v>
      </c>
      <c r="AH1839" t="s">
        <v>3250</v>
      </c>
      <c r="AI1839" t="s">
        <v>3250</v>
      </c>
      <c r="AJ1839" t="s">
        <v>3250</v>
      </c>
      <c r="AK1839">
        <v>770</v>
      </c>
      <c r="AL1839">
        <v>241</v>
      </c>
      <c r="AM1839" t="s">
        <v>1455</v>
      </c>
      <c r="AN1839">
        <v>241</v>
      </c>
      <c r="AO1839" t="s">
        <v>1455</v>
      </c>
      <c r="AS1839">
        <v>790</v>
      </c>
      <c r="AT1839">
        <v>790</v>
      </c>
      <c r="AU1839" t="s">
        <v>2284</v>
      </c>
      <c r="AV1839" t="s">
        <v>2284</v>
      </c>
      <c r="AW1839" t="s">
        <v>3250</v>
      </c>
      <c r="AX1839" t="s">
        <v>3250</v>
      </c>
      <c r="AY1839" t="s">
        <v>3250</v>
      </c>
      <c r="AZ1839" t="s">
        <v>3250</v>
      </c>
      <c r="BA1839" t="s">
        <v>3250</v>
      </c>
      <c r="BB1839" t="s">
        <v>3250</v>
      </c>
      <c r="BC1839" t="s">
        <v>3250</v>
      </c>
      <c r="BE1839" t="s">
        <v>3250</v>
      </c>
      <c r="BF1839" t="s">
        <v>3250</v>
      </c>
      <c r="BG1839" t="s">
        <v>3250</v>
      </c>
      <c r="BH1839" t="s">
        <v>3250</v>
      </c>
      <c r="BI1839" t="s">
        <v>3250</v>
      </c>
      <c r="BK1839" t="s">
        <v>3250</v>
      </c>
      <c r="BL1839" t="s">
        <v>3250</v>
      </c>
      <c r="BM1839" t="s">
        <v>3250</v>
      </c>
      <c r="BN1839" t="s">
        <v>3250</v>
      </c>
      <c r="BP1839">
        <v>5</v>
      </c>
      <c r="BQ1839">
        <v>53</v>
      </c>
      <c r="BR1839" t="s">
        <v>2399</v>
      </c>
      <c r="BS1839" t="s">
        <v>4136</v>
      </c>
      <c r="BV1839">
        <v>0</v>
      </c>
      <c r="BW1839">
        <v>0</v>
      </c>
      <c r="BX1839">
        <v>0</v>
      </c>
      <c r="BY1839">
        <v>2953993</v>
      </c>
      <c r="BZ1839">
        <v>4482368</v>
      </c>
      <c r="CA1839">
        <v>2964575</v>
      </c>
      <c r="CB1839">
        <v>3000000</v>
      </c>
      <c r="CC1839">
        <v>3200000</v>
      </c>
      <c r="CD1839">
        <v>1388572</v>
      </c>
      <c r="CE1839" t="s">
        <v>3108</v>
      </c>
      <c r="CF1839" t="s">
        <v>3108</v>
      </c>
      <c r="CG1839" t="s">
        <v>3108</v>
      </c>
      <c r="CH1839" t="s">
        <v>3108</v>
      </c>
    </row>
    <row r="1840" spans="1:86" x14ac:dyDescent="0.2">
      <c r="A1840" t="s">
        <v>5901</v>
      </c>
      <c r="B1840" t="s">
        <v>5901</v>
      </c>
      <c r="C1840">
        <v>54963</v>
      </c>
      <c r="D1840">
        <v>1990</v>
      </c>
      <c r="E1840" t="s">
        <v>5887</v>
      </c>
      <c r="F1840" t="s">
        <v>3249</v>
      </c>
      <c r="G1840" t="s">
        <v>3249</v>
      </c>
      <c r="H1840" t="s">
        <v>3250</v>
      </c>
      <c r="I1840" t="s">
        <v>3250</v>
      </c>
      <c r="J1840" t="s">
        <v>3250</v>
      </c>
      <c r="K1840" t="s">
        <v>3250</v>
      </c>
      <c r="L1840">
        <v>2100</v>
      </c>
      <c r="M1840" t="s">
        <v>123</v>
      </c>
      <c r="N1840">
        <v>2106</v>
      </c>
      <c r="O1840" t="s">
        <v>2399</v>
      </c>
      <c r="P1840" t="s">
        <v>3108</v>
      </c>
      <c r="Q1840">
        <v>2010</v>
      </c>
      <c r="R1840" t="s">
        <v>1355</v>
      </c>
      <c r="S1840" t="s">
        <v>427</v>
      </c>
      <c r="T1840" t="s">
        <v>3251</v>
      </c>
      <c r="U1840">
        <v>240</v>
      </c>
      <c r="V1840" t="s">
        <v>4251</v>
      </c>
      <c r="W1840">
        <v>240</v>
      </c>
      <c r="X1840" t="s">
        <v>1323</v>
      </c>
      <c r="Y1840" t="s">
        <v>3250</v>
      </c>
      <c r="Z1840" t="s">
        <v>3250</v>
      </c>
      <c r="AA1840" t="s">
        <v>3108</v>
      </c>
      <c r="AB1840" t="s">
        <v>3108</v>
      </c>
      <c r="AC1840" t="s">
        <v>3250</v>
      </c>
      <c r="AD1840" t="s">
        <v>3250</v>
      </c>
      <c r="AE1840" t="s">
        <v>3250</v>
      </c>
      <c r="AF1840" t="s">
        <v>3250</v>
      </c>
      <c r="AG1840" t="s">
        <v>3250</v>
      </c>
      <c r="AH1840" t="s">
        <v>3250</v>
      </c>
      <c r="AI1840" t="s">
        <v>3250</v>
      </c>
      <c r="AJ1840" t="s">
        <v>3250</v>
      </c>
      <c r="AK1840">
        <v>770</v>
      </c>
      <c r="AL1840">
        <v>241</v>
      </c>
      <c r="AM1840" t="s">
        <v>1455</v>
      </c>
      <c r="AN1840">
        <v>241</v>
      </c>
      <c r="AO1840" t="s">
        <v>1455</v>
      </c>
      <c r="AS1840">
        <v>790</v>
      </c>
      <c r="AT1840">
        <v>790</v>
      </c>
      <c r="AU1840" t="s">
        <v>2284</v>
      </c>
      <c r="AV1840" t="s">
        <v>2284</v>
      </c>
      <c r="AW1840" t="s">
        <v>3250</v>
      </c>
      <c r="AX1840" t="s">
        <v>3250</v>
      </c>
      <c r="AY1840" t="s">
        <v>3250</v>
      </c>
      <c r="AZ1840" t="s">
        <v>3250</v>
      </c>
      <c r="BA1840" t="s">
        <v>3250</v>
      </c>
      <c r="BB1840" t="s">
        <v>3250</v>
      </c>
      <c r="BC1840" t="s">
        <v>3250</v>
      </c>
      <c r="BE1840" t="s">
        <v>3250</v>
      </c>
      <c r="BF1840" t="s">
        <v>3250</v>
      </c>
      <c r="BG1840" t="s">
        <v>3250</v>
      </c>
      <c r="BH1840" t="s">
        <v>3250</v>
      </c>
      <c r="BI1840" t="s">
        <v>3250</v>
      </c>
      <c r="BK1840" t="s">
        <v>3250</v>
      </c>
      <c r="BL1840" t="s">
        <v>3250</v>
      </c>
      <c r="BM1840" t="s">
        <v>3250</v>
      </c>
      <c r="BN1840" t="s">
        <v>3250</v>
      </c>
      <c r="BP1840">
        <v>5</v>
      </c>
      <c r="BQ1840">
        <v>53</v>
      </c>
      <c r="BR1840" t="s">
        <v>2399</v>
      </c>
      <c r="BS1840" t="s">
        <v>4136</v>
      </c>
      <c r="BV1840">
        <v>0</v>
      </c>
      <c r="BW1840">
        <v>0</v>
      </c>
      <c r="BX1840">
        <v>0</v>
      </c>
      <c r="BY1840">
        <v>0</v>
      </c>
      <c r="BZ1840">
        <v>0</v>
      </c>
      <c r="CA1840">
        <v>0</v>
      </c>
      <c r="CB1840">
        <v>0</v>
      </c>
      <c r="CC1840">
        <v>0</v>
      </c>
      <c r="CD1840">
        <v>772794</v>
      </c>
      <c r="CE1840" t="s">
        <v>3108</v>
      </c>
      <c r="CF1840" t="s">
        <v>3108</v>
      </c>
      <c r="CG1840" t="s">
        <v>3108</v>
      </c>
      <c r="CH1840" t="s">
        <v>3108</v>
      </c>
    </row>
    <row r="1841" spans="1:86" x14ac:dyDescent="0.2">
      <c r="A1841" t="s">
        <v>5902</v>
      </c>
      <c r="B1841" t="s">
        <v>5902</v>
      </c>
      <c r="C1841">
        <v>54964</v>
      </c>
      <c r="D1841">
        <v>1991</v>
      </c>
      <c r="E1841" t="s">
        <v>5660</v>
      </c>
      <c r="F1841" t="s">
        <v>3249</v>
      </c>
      <c r="G1841" t="s">
        <v>3249</v>
      </c>
      <c r="H1841" t="s">
        <v>3250</v>
      </c>
      <c r="I1841" t="s">
        <v>3250</v>
      </c>
      <c r="J1841" t="s">
        <v>3250</v>
      </c>
      <c r="K1841" t="s">
        <v>3250</v>
      </c>
      <c r="L1841">
        <v>2100</v>
      </c>
      <c r="M1841" t="s">
        <v>123</v>
      </c>
      <c r="N1841">
        <v>2106</v>
      </c>
      <c r="O1841" t="s">
        <v>2399</v>
      </c>
      <c r="P1841" t="s">
        <v>3108</v>
      </c>
      <c r="Q1841">
        <v>2010</v>
      </c>
      <c r="R1841" t="s">
        <v>1355</v>
      </c>
      <c r="S1841" t="s">
        <v>427</v>
      </c>
      <c r="T1841" t="s">
        <v>3251</v>
      </c>
      <c r="U1841">
        <v>240</v>
      </c>
      <c r="V1841" t="s">
        <v>4251</v>
      </c>
      <c r="W1841">
        <v>240</v>
      </c>
      <c r="X1841" t="s">
        <v>1323</v>
      </c>
      <c r="Y1841" t="s">
        <v>3250</v>
      </c>
      <c r="Z1841" t="s">
        <v>3250</v>
      </c>
      <c r="AA1841" t="s">
        <v>3108</v>
      </c>
      <c r="AB1841" t="s">
        <v>3108</v>
      </c>
      <c r="AC1841" t="s">
        <v>3250</v>
      </c>
      <c r="AD1841" t="s">
        <v>3250</v>
      </c>
      <c r="AE1841" t="s">
        <v>3250</v>
      </c>
      <c r="AF1841" t="s">
        <v>3250</v>
      </c>
      <c r="AG1841" t="s">
        <v>3250</v>
      </c>
      <c r="AH1841" t="s">
        <v>3250</v>
      </c>
      <c r="AI1841" t="s">
        <v>3250</v>
      </c>
      <c r="AJ1841" t="s">
        <v>3250</v>
      </c>
      <c r="AK1841">
        <v>770</v>
      </c>
      <c r="AL1841">
        <v>241</v>
      </c>
      <c r="AM1841" t="s">
        <v>1455</v>
      </c>
      <c r="AN1841">
        <v>241</v>
      </c>
      <c r="AO1841" t="s">
        <v>1455</v>
      </c>
      <c r="AS1841">
        <v>790</v>
      </c>
      <c r="AT1841">
        <v>790</v>
      </c>
      <c r="AU1841" t="s">
        <v>2284</v>
      </c>
      <c r="AV1841" t="s">
        <v>2284</v>
      </c>
      <c r="AW1841" t="s">
        <v>3250</v>
      </c>
      <c r="AX1841" t="s">
        <v>3250</v>
      </c>
      <c r="AY1841" t="s">
        <v>3250</v>
      </c>
      <c r="AZ1841" t="s">
        <v>3250</v>
      </c>
      <c r="BA1841" t="s">
        <v>3250</v>
      </c>
      <c r="BB1841" t="s">
        <v>3250</v>
      </c>
      <c r="BC1841" t="s">
        <v>3250</v>
      </c>
      <c r="BE1841" t="s">
        <v>3250</v>
      </c>
      <c r="BF1841" t="s">
        <v>3250</v>
      </c>
      <c r="BG1841" t="s">
        <v>3250</v>
      </c>
      <c r="BH1841" t="s">
        <v>3250</v>
      </c>
      <c r="BI1841" t="s">
        <v>3250</v>
      </c>
      <c r="BK1841" t="s">
        <v>3250</v>
      </c>
      <c r="BL1841" t="s">
        <v>3250</v>
      </c>
      <c r="BM1841" t="s">
        <v>3250</v>
      </c>
      <c r="BN1841" t="s">
        <v>3250</v>
      </c>
      <c r="BP1841">
        <v>5</v>
      </c>
      <c r="BQ1841">
        <v>53</v>
      </c>
      <c r="BR1841" t="s">
        <v>2399</v>
      </c>
      <c r="BS1841" t="s">
        <v>4136</v>
      </c>
      <c r="BV1841">
        <v>0</v>
      </c>
      <c r="BW1841">
        <v>0</v>
      </c>
      <c r="BX1841">
        <v>0</v>
      </c>
      <c r="BY1841">
        <v>0</v>
      </c>
      <c r="BZ1841">
        <v>0</v>
      </c>
      <c r="CA1841">
        <v>0</v>
      </c>
      <c r="CB1841">
        <v>0</v>
      </c>
      <c r="CC1841">
        <v>0</v>
      </c>
      <c r="CD1841">
        <v>0</v>
      </c>
      <c r="CE1841" t="s">
        <v>3108</v>
      </c>
      <c r="CF1841" t="s">
        <v>3108</v>
      </c>
      <c r="CG1841" t="s">
        <v>3108</v>
      </c>
      <c r="CH1841" t="s">
        <v>3107</v>
      </c>
    </row>
    <row r="1842" spans="1:86" x14ac:dyDescent="0.2">
      <c r="A1842" t="s">
        <v>5903</v>
      </c>
      <c r="B1842" t="s">
        <v>5903</v>
      </c>
      <c r="C1842">
        <v>54965</v>
      </c>
      <c r="D1842">
        <v>1992</v>
      </c>
      <c r="E1842" t="s">
        <v>5890</v>
      </c>
      <c r="F1842" t="s">
        <v>3249</v>
      </c>
      <c r="G1842" t="s">
        <v>3249</v>
      </c>
      <c r="H1842" t="s">
        <v>3250</v>
      </c>
      <c r="I1842" t="s">
        <v>3250</v>
      </c>
      <c r="J1842" t="s">
        <v>3250</v>
      </c>
      <c r="K1842" t="s">
        <v>3250</v>
      </c>
      <c r="L1842">
        <v>2100</v>
      </c>
      <c r="M1842" t="s">
        <v>123</v>
      </c>
      <c r="N1842">
        <v>2106</v>
      </c>
      <c r="O1842" t="s">
        <v>2399</v>
      </c>
      <c r="P1842" t="s">
        <v>3108</v>
      </c>
      <c r="Q1842">
        <v>2010</v>
      </c>
      <c r="R1842" t="s">
        <v>1355</v>
      </c>
      <c r="S1842" t="s">
        <v>427</v>
      </c>
      <c r="T1842" t="s">
        <v>3251</v>
      </c>
      <c r="U1842">
        <v>240</v>
      </c>
      <c r="V1842" t="s">
        <v>4251</v>
      </c>
      <c r="W1842">
        <v>240</v>
      </c>
      <c r="X1842" t="s">
        <v>1323</v>
      </c>
      <c r="Y1842" t="s">
        <v>3250</v>
      </c>
      <c r="Z1842" t="s">
        <v>3250</v>
      </c>
      <c r="AA1842" t="s">
        <v>3108</v>
      </c>
      <c r="AB1842" t="s">
        <v>3108</v>
      </c>
      <c r="AC1842" t="s">
        <v>3250</v>
      </c>
      <c r="AD1842" t="s">
        <v>3250</v>
      </c>
      <c r="AE1842" t="s">
        <v>3250</v>
      </c>
      <c r="AF1842" t="s">
        <v>3250</v>
      </c>
      <c r="AG1842" t="s">
        <v>3250</v>
      </c>
      <c r="AH1842" t="s">
        <v>3250</v>
      </c>
      <c r="AI1842" t="s">
        <v>3250</v>
      </c>
      <c r="AJ1842" t="s">
        <v>3250</v>
      </c>
      <c r="AK1842">
        <v>770</v>
      </c>
      <c r="AL1842">
        <v>241</v>
      </c>
      <c r="AM1842" t="s">
        <v>1455</v>
      </c>
      <c r="AN1842">
        <v>241</v>
      </c>
      <c r="AO1842" t="s">
        <v>1455</v>
      </c>
      <c r="AS1842">
        <v>790</v>
      </c>
      <c r="AT1842">
        <v>790</v>
      </c>
      <c r="AU1842" t="s">
        <v>2284</v>
      </c>
      <c r="AV1842" t="s">
        <v>2284</v>
      </c>
      <c r="AW1842" t="s">
        <v>3250</v>
      </c>
      <c r="AX1842" t="s">
        <v>3250</v>
      </c>
      <c r="AY1842" t="s">
        <v>3250</v>
      </c>
      <c r="AZ1842" t="s">
        <v>3250</v>
      </c>
      <c r="BA1842" t="s">
        <v>3250</v>
      </c>
      <c r="BB1842" t="s">
        <v>3250</v>
      </c>
      <c r="BC1842" t="s">
        <v>3250</v>
      </c>
      <c r="BE1842" t="s">
        <v>3250</v>
      </c>
      <c r="BF1842" t="s">
        <v>3250</v>
      </c>
      <c r="BG1842" t="s">
        <v>3250</v>
      </c>
      <c r="BH1842" t="s">
        <v>3250</v>
      </c>
      <c r="BI1842" t="s">
        <v>3250</v>
      </c>
      <c r="BK1842" t="s">
        <v>3250</v>
      </c>
      <c r="BL1842" t="s">
        <v>3250</v>
      </c>
      <c r="BM1842" t="s">
        <v>3250</v>
      </c>
      <c r="BN1842" t="s">
        <v>3250</v>
      </c>
      <c r="BP1842">
        <v>5</v>
      </c>
      <c r="BQ1842">
        <v>53</v>
      </c>
      <c r="BR1842" t="s">
        <v>2399</v>
      </c>
      <c r="BS1842" t="s">
        <v>4136</v>
      </c>
      <c r="BV1842">
        <v>0</v>
      </c>
      <c r="BW1842">
        <v>0</v>
      </c>
      <c r="BX1842">
        <v>0</v>
      </c>
      <c r="BY1842">
        <v>0</v>
      </c>
      <c r="BZ1842">
        <v>0</v>
      </c>
      <c r="CA1842">
        <v>0</v>
      </c>
      <c r="CB1842">
        <v>0</v>
      </c>
      <c r="CC1842">
        <v>0</v>
      </c>
      <c r="CD1842">
        <v>0</v>
      </c>
      <c r="CE1842" t="s">
        <v>3108</v>
      </c>
      <c r="CF1842" t="s">
        <v>3108</v>
      </c>
      <c r="CG1842" t="s">
        <v>3108</v>
      </c>
      <c r="CH1842" t="s">
        <v>3108</v>
      </c>
    </row>
    <row r="1843" spans="1:86" x14ac:dyDescent="0.2">
      <c r="A1843" t="s">
        <v>5904</v>
      </c>
      <c r="B1843" t="s">
        <v>5904</v>
      </c>
      <c r="C1843">
        <v>54966</v>
      </c>
      <c r="D1843">
        <v>1950</v>
      </c>
      <c r="E1843" t="s">
        <v>5905</v>
      </c>
      <c r="F1843" t="s">
        <v>3249</v>
      </c>
      <c r="G1843" t="s">
        <v>3249</v>
      </c>
      <c r="H1843" t="s">
        <v>3250</v>
      </c>
      <c r="I1843" t="s">
        <v>3250</v>
      </c>
      <c r="J1843" t="s">
        <v>3250</v>
      </c>
      <c r="K1843" t="s">
        <v>3250</v>
      </c>
      <c r="L1843">
        <v>1200</v>
      </c>
      <c r="M1843" t="s">
        <v>2368</v>
      </c>
      <c r="N1843">
        <v>1204</v>
      </c>
      <c r="O1843" t="s">
        <v>1574</v>
      </c>
      <c r="P1843" t="s">
        <v>3108</v>
      </c>
      <c r="Q1843" t="s">
        <v>3249</v>
      </c>
      <c r="R1843" t="s">
        <v>3249</v>
      </c>
      <c r="S1843" t="s">
        <v>472</v>
      </c>
      <c r="T1843" t="s">
        <v>3789</v>
      </c>
      <c r="U1843">
        <v>360</v>
      </c>
      <c r="V1843" t="s">
        <v>3790</v>
      </c>
      <c r="W1843">
        <v>360</v>
      </c>
      <c r="X1843" t="s">
        <v>601</v>
      </c>
      <c r="Y1843" t="s">
        <v>3250</v>
      </c>
      <c r="Z1843" t="s">
        <v>3250</v>
      </c>
      <c r="AA1843" t="s">
        <v>3108</v>
      </c>
      <c r="AB1843" t="s">
        <v>3108</v>
      </c>
      <c r="AC1843" t="s">
        <v>3250</v>
      </c>
      <c r="AD1843" t="s">
        <v>3250</v>
      </c>
      <c r="AE1843" t="s">
        <v>3250</v>
      </c>
      <c r="AF1843" t="s">
        <v>3250</v>
      </c>
      <c r="AG1843" t="s">
        <v>3250</v>
      </c>
      <c r="AH1843" t="s">
        <v>3250</v>
      </c>
      <c r="AI1843" t="s">
        <v>3250</v>
      </c>
      <c r="AJ1843" t="s">
        <v>3250</v>
      </c>
      <c r="AL1843">
        <v>361</v>
      </c>
      <c r="AM1843" t="s">
        <v>2523</v>
      </c>
      <c r="AN1843">
        <v>361</v>
      </c>
      <c r="AO1843" t="s">
        <v>2523</v>
      </c>
      <c r="AS1843" t="s">
        <v>3250</v>
      </c>
      <c r="AT1843" t="s">
        <v>3250</v>
      </c>
      <c r="AU1843" t="s">
        <v>3250</v>
      </c>
      <c r="AV1843" t="s">
        <v>3250</v>
      </c>
      <c r="AW1843" t="s">
        <v>3250</v>
      </c>
      <c r="AX1843" t="s">
        <v>3250</v>
      </c>
      <c r="AY1843" t="s">
        <v>3250</v>
      </c>
      <c r="AZ1843" t="s">
        <v>3250</v>
      </c>
      <c r="BA1843" t="s">
        <v>3250</v>
      </c>
      <c r="BB1843" t="s">
        <v>3250</v>
      </c>
      <c r="BC1843" t="s">
        <v>3250</v>
      </c>
      <c r="BE1843" t="s">
        <v>3250</v>
      </c>
      <c r="BF1843" t="s">
        <v>3250</v>
      </c>
      <c r="BG1843" t="s">
        <v>3250</v>
      </c>
      <c r="BH1843" t="s">
        <v>3250</v>
      </c>
      <c r="BI1843" t="s">
        <v>3250</v>
      </c>
      <c r="BK1843" t="s">
        <v>3250</v>
      </c>
      <c r="BL1843" t="s">
        <v>3250</v>
      </c>
      <c r="BM1843" t="s">
        <v>3250</v>
      </c>
      <c r="BN1843" t="s">
        <v>3250</v>
      </c>
      <c r="BP1843">
        <v>1</v>
      </c>
      <c r="BQ1843">
        <v>11</v>
      </c>
      <c r="BR1843" t="s">
        <v>1574</v>
      </c>
      <c r="BS1843" t="s">
        <v>3252</v>
      </c>
      <c r="BV1843">
        <v>0</v>
      </c>
      <c r="BW1843">
        <v>0</v>
      </c>
      <c r="BX1843">
        <v>0</v>
      </c>
      <c r="BY1843">
        <v>-3069600</v>
      </c>
      <c r="BZ1843">
        <v>0</v>
      </c>
      <c r="CA1843">
        <v>0</v>
      </c>
      <c r="CB1843">
        <v>0</v>
      </c>
      <c r="CC1843">
        <v>0</v>
      </c>
      <c r="CD1843">
        <v>0</v>
      </c>
      <c r="CE1843" t="s">
        <v>3108</v>
      </c>
      <c r="CF1843" t="s">
        <v>3108</v>
      </c>
      <c r="CG1843" t="s">
        <v>3108</v>
      </c>
      <c r="CH1843" t="s">
        <v>3108</v>
      </c>
    </row>
    <row r="1844" spans="1:86" x14ac:dyDescent="0.2">
      <c r="A1844" t="s">
        <v>5906</v>
      </c>
      <c r="B1844" t="s">
        <v>5906</v>
      </c>
      <c r="C1844">
        <v>54967</v>
      </c>
      <c r="E1844" t="s">
        <v>5907</v>
      </c>
      <c r="F1844" t="s">
        <v>3249</v>
      </c>
      <c r="G1844" t="s">
        <v>3249</v>
      </c>
      <c r="H1844" t="s">
        <v>3250</v>
      </c>
      <c r="I1844" t="s">
        <v>3250</v>
      </c>
      <c r="J1844" t="s">
        <v>3250</v>
      </c>
      <c r="K1844" t="s">
        <v>3250</v>
      </c>
      <c r="L1844">
        <v>1200</v>
      </c>
      <c r="M1844" t="s">
        <v>2368</v>
      </c>
      <c r="N1844">
        <v>1204</v>
      </c>
      <c r="O1844" t="s">
        <v>1574</v>
      </c>
      <c r="P1844" t="s">
        <v>3108</v>
      </c>
      <c r="Q1844" t="s">
        <v>3249</v>
      </c>
      <c r="R1844" t="s">
        <v>3249</v>
      </c>
      <c r="S1844" t="s">
        <v>472</v>
      </c>
      <c r="T1844" t="s">
        <v>3789</v>
      </c>
      <c r="U1844">
        <v>360</v>
      </c>
      <c r="V1844" t="s">
        <v>3790</v>
      </c>
      <c r="W1844">
        <v>360</v>
      </c>
      <c r="X1844" t="s">
        <v>601</v>
      </c>
      <c r="Y1844" t="s">
        <v>3250</v>
      </c>
      <c r="Z1844" t="s">
        <v>3250</v>
      </c>
      <c r="AA1844" t="s">
        <v>3108</v>
      </c>
      <c r="AB1844" t="s">
        <v>3108</v>
      </c>
      <c r="AC1844" t="s">
        <v>3250</v>
      </c>
      <c r="AD1844" t="s">
        <v>3250</v>
      </c>
      <c r="AE1844" t="s">
        <v>3250</v>
      </c>
      <c r="AF1844" t="s">
        <v>3250</v>
      </c>
      <c r="AG1844" t="s">
        <v>3250</v>
      </c>
      <c r="AH1844" t="s">
        <v>3250</v>
      </c>
      <c r="AI1844" t="s">
        <v>3250</v>
      </c>
      <c r="AJ1844" t="s">
        <v>3250</v>
      </c>
      <c r="AL1844">
        <v>361</v>
      </c>
      <c r="AM1844" t="s">
        <v>2523</v>
      </c>
      <c r="AN1844">
        <v>361</v>
      </c>
      <c r="AO1844" t="s">
        <v>2523</v>
      </c>
      <c r="AS1844" t="s">
        <v>3250</v>
      </c>
      <c r="AT1844" t="s">
        <v>3250</v>
      </c>
      <c r="AU1844" t="s">
        <v>3250</v>
      </c>
      <c r="AV1844" t="s">
        <v>3250</v>
      </c>
      <c r="AW1844" t="s">
        <v>3250</v>
      </c>
      <c r="AX1844" t="s">
        <v>3250</v>
      </c>
      <c r="AY1844" t="s">
        <v>3250</v>
      </c>
      <c r="AZ1844" t="s">
        <v>3250</v>
      </c>
      <c r="BA1844" t="s">
        <v>3250</v>
      </c>
      <c r="BB1844" t="s">
        <v>3250</v>
      </c>
      <c r="BC1844" t="s">
        <v>3250</v>
      </c>
      <c r="BE1844" t="s">
        <v>3250</v>
      </c>
      <c r="BF1844" t="s">
        <v>3250</v>
      </c>
      <c r="BG1844" t="s">
        <v>3250</v>
      </c>
      <c r="BH1844" t="s">
        <v>3250</v>
      </c>
      <c r="BI1844" t="s">
        <v>3250</v>
      </c>
      <c r="BK1844" t="s">
        <v>3250</v>
      </c>
      <c r="BL1844" t="s">
        <v>3250</v>
      </c>
      <c r="BM1844" t="s">
        <v>3250</v>
      </c>
      <c r="BN1844" t="s">
        <v>3250</v>
      </c>
      <c r="BP1844">
        <v>1</v>
      </c>
      <c r="BQ1844">
        <v>11</v>
      </c>
      <c r="BR1844" t="s">
        <v>1574</v>
      </c>
      <c r="BS1844" t="s">
        <v>3252</v>
      </c>
      <c r="BV1844">
        <v>0</v>
      </c>
      <c r="BW1844">
        <v>0</v>
      </c>
      <c r="BX1844">
        <v>0</v>
      </c>
      <c r="BY1844">
        <v>0</v>
      </c>
      <c r="BZ1844">
        <v>-76851264</v>
      </c>
      <c r="CA1844">
        <v>-138212192</v>
      </c>
      <c r="CB1844">
        <v>-144263233</v>
      </c>
      <c r="CC1844">
        <v>-144263233</v>
      </c>
      <c r="CD1844">
        <v>0</v>
      </c>
      <c r="CE1844" t="s">
        <v>3108</v>
      </c>
      <c r="CF1844" t="s">
        <v>3108</v>
      </c>
      <c r="CG1844" t="s">
        <v>3108</v>
      </c>
      <c r="CH1844" t="s">
        <v>3108</v>
      </c>
    </row>
    <row r="1845" spans="1:86" x14ac:dyDescent="0.2">
      <c r="A1845" t="s">
        <v>5908</v>
      </c>
      <c r="B1845" t="s">
        <v>5908</v>
      </c>
      <c r="C1845">
        <v>54968</v>
      </c>
      <c r="D1845">
        <v>1952</v>
      </c>
      <c r="E1845" t="s">
        <v>5909</v>
      </c>
      <c r="F1845" t="s">
        <v>3249</v>
      </c>
      <c r="G1845" t="s">
        <v>3249</v>
      </c>
      <c r="H1845" t="s">
        <v>3250</v>
      </c>
      <c r="I1845" t="s">
        <v>3250</v>
      </c>
      <c r="J1845" t="s">
        <v>3250</v>
      </c>
      <c r="K1845" t="s">
        <v>3250</v>
      </c>
      <c r="L1845">
        <v>1200</v>
      </c>
      <c r="M1845" t="s">
        <v>2368</v>
      </c>
      <c r="N1845">
        <v>1204</v>
      </c>
      <c r="O1845" t="s">
        <v>1574</v>
      </c>
      <c r="P1845" t="s">
        <v>3108</v>
      </c>
      <c r="Q1845" t="s">
        <v>3249</v>
      </c>
      <c r="R1845" t="s">
        <v>3249</v>
      </c>
      <c r="S1845" t="s">
        <v>472</v>
      </c>
      <c r="T1845" t="s">
        <v>3789</v>
      </c>
      <c r="U1845">
        <v>360</v>
      </c>
      <c r="V1845" t="s">
        <v>3790</v>
      </c>
      <c r="W1845">
        <v>360</v>
      </c>
      <c r="X1845" t="s">
        <v>601</v>
      </c>
      <c r="Y1845" t="s">
        <v>3250</v>
      </c>
      <c r="Z1845" t="s">
        <v>3250</v>
      </c>
      <c r="AA1845" t="s">
        <v>3108</v>
      </c>
      <c r="AB1845" t="s">
        <v>3108</v>
      </c>
      <c r="AC1845" t="s">
        <v>3250</v>
      </c>
      <c r="AD1845" t="s">
        <v>3250</v>
      </c>
      <c r="AE1845" t="s">
        <v>3250</v>
      </c>
      <c r="AF1845" t="s">
        <v>3250</v>
      </c>
      <c r="AG1845" t="s">
        <v>3250</v>
      </c>
      <c r="AH1845" t="s">
        <v>3250</v>
      </c>
      <c r="AI1845" t="s">
        <v>3250</v>
      </c>
      <c r="AJ1845" t="s">
        <v>3250</v>
      </c>
      <c r="AL1845">
        <v>361</v>
      </c>
      <c r="AM1845" t="s">
        <v>2523</v>
      </c>
      <c r="AN1845">
        <v>361</v>
      </c>
      <c r="AO1845" t="s">
        <v>2523</v>
      </c>
      <c r="AS1845" t="s">
        <v>3250</v>
      </c>
      <c r="AT1845" t="s">
        <v>3250</v>
      </c>
      <c r="AU1845" t="s">
        <v>3250</v>
      </c>
      <c r="AV1845" t="s">
        <v>3250</v>
      </c>
      <c r="AW1845" t="s">
        <v>3250</v>
      </c>
      <c r="AX1845" t="s">
        <v>3250</v>
      </c>
      <c r="AY1845" t="s">
        <v>3250</v>
      </c>
      <c r="AZ1845" t="s">
        <v>3250</v>
      </c>
      <c r="BA1845" t="s">
        <v>3250</v>
      </c>
      <c r="BB1845" t="s">
        <v>3250</v>
      </c>
      <c r="BC1845" t="s">
        <v>3250</v>
      </c>
      <c r="BE1845" t="s">
        <v>3250</v>
      </c>
      <c r="BF1845" t="s">
        <v>3250</v>
      </c>
      <c r="BG1845" t="s">
        <v>3250</v>
      </c>
      <c r="BH1845" t="s">
        <v>3250</v>
      </c>
      <c r="BI1845" t="s">
        <v>3250</v>
      </c>
      <c r="BK1845" t="s">
        <v>3250</v>
      </c>
      <c r="BL1845" t="s">
        <v>3250</v>
      </c>
      <c r="BM1845" t="s">
        <v>3250</v>
      </c>
      <c r="BN1845" t="s">
        <v>3250</v>
      </c>
      <c r="BP1845">
        <v>1</v>
      </c>
      <c r="BQ1845">
        <v>11</v>
      </c>
      <c r="BR1845" t="s">
        <v>1574</v>
      </c>
      <c r="BS1845" t="s">
        <v>3252</v>
      </c>
      <c r="BV1845">
        <v>0</v>
      </c>
      <c r="BW1845">
        <v>0</v>
      </c>
      <c r="BX1845">
        <v>0</v>
      </c>
      <c r="BY1845">
        <v>1932192</v>
      </c>
      <c r="BZ1845">
        <v>0</v>
      </c>
      <c r="CA1845">
        <v>0</v>
      </c>
      <c r="CB1845">
        <v>0</v>
      </c>
      <c r="CC1845">
        <v>0</v>
      </c>
      <c r="CD1845">
        <v>-1054708</v>
      </c>
      <c r="CE1845" t="s">
        <v>3108</v>
      </c>
      <c r="CF1845" t="s">
        <v>3108</v>
      </c>
      <c r="CG1845" t="s">
        <v>3108</v>
      </c>
      <c r="CH1845" t="s">
        <v>3108</v>
      </c>
    </row>
    <row r="1846" spans="1:86" x14ac:dyDescent="0.2">
      <c r="A1846" t="s">
        <v>5910</v>
      </c>
      <c r="B1846" t="s">
        <v>5910</v>
      </c>
      <c r="C1846">
        <v>54969</v>
      </c>
      <c r="D1846">
        <v>1953</v>
      </c>
      <c r="E1846" t="s">
        <v>5911</v>
      </c>
      <c r="F1846" t="s">
        <v>3249</v>
      </c>
      <c r="G1846" t="s">
        <v>3249</v>
      </c>
      <c r="H1846" t="s">
        <v>3250</v>
      </c>
      <c r="I1846" t="s">
        <v>3250</v>
      </c>
      <c r="J1846" t="s">
        <v>3250</v>
      </c>
      <c r="K1846" t="s">
        <v>3250</v>
      </c>
      <c r="L1846">
        <v>1200</v>
      </c>
      <c r="M1846" t="s">
        <v>2368</v>
      </c>
      <c r="N1846">
        <v>1204</v>
      </c>
      <c r="O1846" t="s">
        <v>1574</v>
      </c>
      <c r="P1846" t="s">
        <v>3108</v>
      </c>
      <c r="Q1846" t="s">
        <v>3249</v>
      </c>
      <c r="R1846" t="s">
        <v>3249</v>
      </c>
      <c r="S1846" t="s">
        <v>472</v>
      </c>
      <c r="T1846" t="s">
        <v>3789</v>
      </c>
      <c r="U1846">
        <v>360</v>
      </c>
      <c r="V1846" t="s">
        <v>3790</v>
      </c>
      <c r="W1846">
        <v>360</v>
      </c>
      <c r="X1846" t="s">
        <v>601</v>
      </c>
      <c r="Y1846" t="s">
        <v>3250</v>
      </c>
      <c r="Z1846" t="s">
        <v>3250</v>
      </c>
      <c r="AA1846" t="s">
        <v>3108</v>
      </c>
      <c r="AB1846" t="s">
        <v>3108</v>
      </c>
      <c r="AC1846">
        <v>200</v>
      </c>
      <c r="AD1846" t="s">
        <v>5291</v>
      </c>
      <c r="AE1846">
        <v>480</v>
      </c>
      <c r="AF1846" t="s">
        <v>822</v>
      </c>
      <c r="AG1846" t="s">
        <v>3250</v>
      </c>
      <c r="AH1846" t="s">
        <v>3250</v>
      </c>
      <c r="AI1846" t="s">
        <v>3250</v>
      </c>
      <c r="AJ1846" t="s">
        <v>3250</v>
      </c>
      <c r="AL1846">
        <v>361</v>
      </c>
      <c r="AM1846" t="s">
        <v>2523</v>
      </c>
      <c r="AN1846">
        <v>361</v>
      </c>
      <c r="AO1846" t="s">
        <v>2523</v>
      </c>
      <c r="AS1846" t="s">
        <v>3250</v>
      </c>
      <c r="AT1846" t="s">
        <v>3250</v>
      </c>
      <c r="AU1846" t="s">
        <v>3250</v>
      </c>
      <c r="AV1846" t="s">
        <v>3250</v>
      </c>
      <c r="AW1846" t="s">
        <v>3250</v>
      </c>
      <c r="AX1846" t="s">
        <v>3250</v>
      </c>
      <c r="AY1846" t="s">
        <v>3250</v>
      </c>
      <c r="AZ1846" t="s">
        <v>3250</v>
      </c>
      <c r="BA1846" t="s">
        <v>3250</v>
      </c>
      <c r="BB1846" t="s">
        <v>3250</v>
      </c>
      <c r="BC1846" t="s">
        <v>3250</v>
      </c>
      <c r="BE1846" t="s">
        <v>3250</v>
      </c>
      <c r="BF1846" t="s">
        <v>3250</v>
      </c>
      <c r="BG1846" t="s">
        <v>3250</v>
      </c>
      <c r="BH1846" t="s">
        <v>3250</v>
      </c>
      <c r="BI1846" t="s">
        <v>3250</v>
      </c>
      <c r="BK1846" t="s">
        <v>3250</v>
      </c>
      <c r="BL1846" t="s">
        <v>3250</v>
      </c>
      <c r="BM1846" t="s">
        <v>3250</v>
      </c>
      <c r="BN1846" t="s">
        <v>3250</v>
      </c>
      <c r="BP1846">
        <v>1</v>
      </c>
      <c r="BQ1846">
        <v>11</v>
      </c>
      <c r="BR1846" t="s">
        <v>1574</v>
      </c>
      <c r="BS1846" t="s">
        <v>3252</v>
      </c>
      <c r="BV1846">
        <v>0</v>
      </c>
      <c r="BW1846">
        <v>0</v>
      </c>
      <c r="BX1846">
        <v>0</v>
      </c>
      <c r="BY1846">
        <v>0</v>
      </c>
      <c r="BZ1846">
        <v>76851264</v>
      </c>
      <c r="CA1846">
        <v>41564837</v>
      </c>
      <c r="CB1846">
        <v>42893079</v>
      </c>
      <c r="CC1846">
        <v>44608802</v>
      </c>
      <c r="CD1846">
        <v>0</v>
      </c>
      <c r="CE1846" t="s">
        <v>3108</v>
      </c>
      <c r="CF1846" t="s">
        <v>3108</v>
      </c>
      <c r="CG1846" t="s">
        <v>3108</v>
      </c>
      <c r="CH1846" t="s">
        <v>3108</v>
      </c>
    </row>
    <row r="1847" spans="1:86" x14ac:dyDescent="0.2">
      <c r="A1847" t="s">
        <v>5912</v>
      </c>
      <c r="B1847" t="s">
        <v>5912</v>
      </c>
      <c r="C1847">
        <v>54970</v>
      </c>
      <c r="D1847">
        <v>1954</v>
      </c>
      <c r="E1847" t="s">
        <v>5913</v>
      </c>
      <c r="F1847" t="s">
        <v>3249</v>
      </c>
      <c r="G1847" t="s">
        <v>3249</v>
      </c>
      <c r="H1847" t="s">
        <v>3250</v>
      </c>
      <c r="I1847" t="s">
        <v>3250</v>
      </c>
      <c r="J1847" t="s">
        <v>3250</v>
      </c>
      <c r="K1847" t="s">
        <v>3250</v>
      </c>
      <c r="L1847">
        <v>1200</v>
      </c>
      <c r="M1847" t="s">
        <v>2368</v>
      </c>
      <c r="N1847">
        <v>1204</v>
      </c>
      <c r="O1847" t="s">
        <v>1574</v>
      </c>
      <c r="P1847" t="s">
        <v>3108</v>
      </c>
      <c r="Q1847" t="s">
        <v>3249</v>
      </c>
      <c r="R1847" t="s">
        <v>3249</v>
      </c>
      <c r="S1847" t="s">
        <v>472</v>
      </c>
      <c r="T1847" t="s">
        <v>3789</v>
      </c>
      <c r="U1847">
        <v>370</v>
      </c>
      <c r="V1847" t="s">
        <v>5549</v>
      </c>
      <c r="W1847">
        <v>370</v>
      </c>
      <c r="X1847" t="s">
        <v>884</v>
      </c>
      <c r="Y1847" t="s">
        <v>3250</v>
      </c>
      <c r="Z1847" t="s">
        <v>3250</v>
      </c>
      <c r="AA1847" t="s">
        <v>3108</v>
      </c>
      <c r="AB1847" t="s">
        <v>3108</v>
      </c>
      <c r="AC1847" t="s">
        <v>3250</v>
      </c>
      <c r="AD1847" t="s">
        <v>3250</v>
      </c>
      <c r="AE1847" t="s">
        <v>3250</v>
      </c>
      <c r="AF1847" t="s">
        <v>3250</v>
      </c>
      <c r="AG1847" t="s">
        <v>3250</v>
      </c>
      <c r="AH1847" t="s">
        <v>3250</v>
      </c>
      <c r="AI1847" t="s">
        <v>3250</v>
      </c>
      <c r="AJ1847" t="s">
        <v>3250</v>
      </c>
      <c r="AL1847" t="s">
        <v>3250</v>
      </c>
      <c r="AM1847" t="s">
        <v>3250</v>
      </c>
      <c r="AN1847" t="s">
        <v>3250</v>
      </c>
      <c r="AO1847" t="s">
        <v>3250</v>
      </c>
      <c r="AS1847" t="s">
        <v>3250</v>
      </c>
      <c r="AT1847" t="s">
        <v>3250</v>
      </c>
      <c r="AU1847" t="s">
        <v>3250</v>
      </c>
      <c r="AV1847" t="s">
        <v>3250</v>
      </c>
      <c r="AW1847" t="s">
        <v>3250</v>
      </c>
      <c r="AX1847" t="s">
        <v>3250</v>
      </c>
      <c r="AY1847" t="s">
        <v>3250</v>
      </c>
      <c r="AZ1847" t="s">
        <v>3250</v>
      </c>
      <c r="BA1847" t="s">
        <v>3250</v>
      </c>
      <c r="BB1847" t="s">
        <v>3250</v>
      </c>
      <c r="BC1847" t="s">
        <v>3250</v>
      </c>
      <c r="BE1847" t="s">
        <v>3250</v>
      </c>
      <c r="BF1847" t="s">
        <v>3250</v>
      </c>
      <c r="BG1847" t="s">
        <v>3250</v>
      </c>
      <c r="BH1847" t="s">
        <v>3250</v>
      </c>
      <c r="BI1847" t="s">
        <v>3250</v>
      </c>
      <c r="BK1847" t="s">
        <v>3250</v>
      </c>
      <c r="BL1847" t="s">
        <v>3250</v>
      </c>
      <c r="BM1847" t="s">
        <v>3250</v>
      </c>
      <c r="BN1847" t="s">
        <v>3250</v>
      </c>
      <c r="BP1847">
        <v>1</v>
      </c>
      <c r="BQ1847">
        <v>11</v>
      </c>
      <c r="BR1847" t="s">
        <v>1574</v>
      </c>
      <c r="BS1847" t="s">
        <v>3252</v>
      </c>
      <c r="BV1847">
        <v>0</v>
      </c>
      <c r="BW1847">
        <v>0</v>
      </c>
      <c r="BX1847">
        <v>0</v>
      </c>
      <c r="BY1847">
        <v>0</v>
      </c>
      <c r="BZ1847">
        <v>0</v>
      </c>
      <c r="CA1847">
        <v>0</v>
      </c>
      <c r="CB1847">
        <v>0</v>
      </c>
      <c r="CC1847">
        <v>0</v>
      </c>
      <c r="CD1847">
        <v>0</v>
      </c>
      <c r="CE1847" t="s">
        <v>3108</v>
      </c>
      <c r="CF1847" t="s">
        <v>3108</v>
      </c>
      <c r="CG1847" t="s">
        <v>3108</v>
      </c>
      <c r="CH1847" t="s">
        <v>3108</v>
      </c>
    </row>
    <row r="1848" spans="1:86" x14ac:dyDescent="0.2">
      <c r="A1848" t="s">
        <v>5914</v>
      </c>
      <c r="B1848" t="s">
        <v>5914</v>
      </c>
      <c r="C1848">
        <v>54971</v>
      </c>
      <c r="D1848">
        <v>1955</v>
      </c>
      <c r="E1848" t="s">
        <v>5915</v>
      </c>
      <c r="F1848" t="s">
        <v>3249</v>
      </c>
      <c r="G1848" t="s">
        <v>3249</v>
      </c>
      <c r="H1848" t="s">
        <v>3250</v>
      </c>
      <c r="I1848" t="s">
        <v>3250</v>
      </c>
      <c r="J1848" t="s">
        <v>3250</v>
      </c>
      <c r="K1848" t="s">
        <v>3250</v>
      </c>
      <c r="L1848">
        <v>1200</v>
      </c>
      <c r="M1848" t="s">
        <v>2368</v>
      </c>
      <c r="N1848">
        <v>1204</v>
      </c>
      <c r="O1848" t="s">
        <v>1574</v>
      </c>
      <c r="P1848" t="s">
        <v>3108</v>
      </c>
      <c r="Q1848" t="s">
        <v>3249</v>
      </c>
      <c r="R1848" t="s">
        <v>3249</v>
      </c>
      <c r="S1848" t="s">
        <v>472</v>
      </c>
      <c r="T1848" t="s">
        <v>3789</v>
      </c>
      <c r="U1848">
        <v>370</v>
      </c>
      <c r="V1848" t="s">
        <v>5549</v>
      </c>
      <c r="W1848">
        <v>370</v>
      </c>
      <c r="X1848" t="s">
        <v>884</v>
      </c>
      <c r="Y1848" t="s">
        <v>3250</v>
      </c>
      <c r="Z1848" t="s">
        <v>3250</v>
      </c>
      <c r="AA1848" t="s">
        <v>3108</v>
      </c>
      <c r="AB1848" t="s">
        <v>3108</v>
      </c>
      <c r="AC1848" t="s">
        <v>3250</v>
      </c>
      <c r="AD1848" t="s">
        <v>3250</v>
      </c>
      <c r="AE1848" t="s">
        <v>3250</v>
      </c>
      <c r="AF1848" t="s">
        <v>3250</v>
      </c>
      <c r="AG1848" t="s">
        <v>3250</v>
      </c>
      <c r="AH1848" t="s">
        <v>3250</v>
      </c>
      <c r="AI1848" t="s">
        <v>3250</v>
      </c>
      <c r="AJ1848" t="s">
        <v>3250</v>
      </c>
      <c r="AL1848" t="s">
        <v>3250</v>
      </c>
      <c r="AM1848" t="s">
        <v>3250</v>
      </c>
      <c r="AN1848" t="s">
        <v>3250</v>
      </c>
      <c r="AO1848" t="s">
        <v>3250</v>
      </c>
      <c r="AS1848" t="s">
        <v>3250</v>
      </c>
      <c r="AT1848" t="s">
        <v>3250</v>
      </c>
      <c r="AU1848" t="s">
        <v>3250</v>
      </c>
      <c r="AV1848" t="s">
        <v>3250</v>
      </c>
      <c r="AW1848" t="s">
        <v>3250</v>
      </c>
      <c r="AX1848" t="s">
        <v>3250</v>
      </c>
      <c r="AY1848" t="s">
        <v>3250</v>
      </c>
      <c r="AZ1848" t="s">
        <v>3250</v>
      </c>
      <c r="BA1848" t="s">
        <v>3250</v>
      </c>
      <c r="BB1848" t="s">
        <v>3250</v>
      </c>
      <c r="BC1848" t="s">
        <v>3250</v>
      </c>
      <c r="BE1848" t="s">
        <v>3250</v>
      </c>
      <c r="BF1848" t="s">
        <v>3250</v>
      </c>
      <c r="BG1848" t="s">
        <v>3250</v>
      </c>
      <c r="BH1848" t="s">
        <v>3250</v>
      </c>
      <c r="BI1848" t="s">
        <v>3250</v>
      </c>
      <c r="BK1848" t="s">
        <v>3250</v>
      </c>
      <c r="BL1848" t="s">
        <v>3250</v>
      </c>
      <c r="BM1848" t="s">
        <v>3250</v>
      </c>
      <c r="BN1848" t="s">
        <v>3250</v>
      </c>
      <c r="BP1848">
        <v>1</v>
      </c>
      <c r="BQ1848">
        <v>11</v>
      </c>
      <c r="BR1848" t="s">
        <v>1574</v>
      </c>
      <c r="BS1848" t="s">
        <v>3252</v>
      </c>
      <c r="BV1848">
        <v>0</v>
      </c>
      <c r="BW1848">
        <v>0</v>
      </c>
      <c r="BX1848">
        <v>0</v>
      </c>
      <c r="BY1848">
        <v>0</v>
      </c>
      <c r="BZ1848">
        <v>0</v>
      </c>
      <c r="CA1848">
        <v>0</v>
      </c>
      <c r="CB1848">
        <v>0</v>
      </c>
      <c r="CC1848">
        <v>0</v>
      </c>
      <c r="CD1848">
        <v>0</v>
      </c>
      <c r="CE1848" t="s">
        <v>3108</v>
      </c>
      <c r="CF1848" t="s">
        <v>3108</v>
      </c>
      <c r="CG1848" t="s">
        <v>3108</v>
      </c>
      <c r="CH1848" t="s">
        <v>3108</v>
      </c>
    </row>
    <row r="1849" spans="1:86" x14ac:dyDescent="0.2">
      <c r="A1849" t="s">
        <v>5916</v>
      </c>
      <c r="B1849" t="s">
        <v>5916</v>
      </c>
      <c r="C1849">
        <v>54972</v>
      </c>
      <c r="D1849">
        <v>1956</v>
      </c>
      <c r="E1849" t="s">
        <v>5548</v>
      </c>
      <c r="F1849" t="s">
        <v>3249</v>
      </c>
      <c r="G1849" t="s">
        <v>3249</v>
      </c>
      <c r="H1849" t="s">
        <v>3250</v>
      </c>
      <c r="I1849" t="s">
        <v>3250</v>
      </c>
      <c r="J1849" t="s">
        <v>3250</v>
      </c>
      <c r="K1849" t="s">
        <v>3250</v>
      </c>
      <c r="L1849">
        <v>1200</v>
      </c>
      <c r="M1849" t="s">
        <v>2368</v>
      </c>
      <c r="N1849">
        <v>1204</v>
      </c>
      <c r="O1849" t="s">
        <v>1574</v>
      </c>
      <c r="P1849" t="s">
        <v>3108</v>
      </c>
      <c r="Q1849" t="s">
        <v>3249</v>
      </c>
      <c r="R1849" t="s">
        <v>3249</v>
      </c>
      <c r="S1849" t="s">
        <v>472</v>
      </c>
      <c r="T1849" t="s">
        <v>3789</v>
      </c>
      <c r="U1849">
        <v>370</v>
      </c>
      <c r="V1849" t="s">
        <v>5549</v>
      </c>
      <c r="W1849">
        <v>370</v>
      </c>
      <c r="X1849" t="s">
        <v>884</v>
      </c>
      <c r="Y1849" t="s">
        <v>3250</v>
      </c>
      <c r="Z1849" t="s">
        <v>3250</v>
      </c>
      <c r="AA1849" t="s">
        <v>3108</v>
      </c>
      <c r="AB1849" t="s">
        <v>3108</v>
      </c>
      <c r="AC1849" t="s">
        <v>3250</v>
      </c>
      <c r="AD1849" t="s">
        <v>3250</v>
      </c>
      <c r="AE1849" t="s">
        <v>3250</v>
      </c>
      <c r="AF1849" t="s">
        <v>3250</v>
      </c>
      <c r="AG1849" t="s">
        <v>3250</v>
      </c>
      <c r="AH1849" t="s">
        <v>3250</v>
      </c>
      <c r="AI1849" t="s">
        <v>3250</v>
      </c>
      <c r="AJ1849" t="s">
        <v>3250</v>
      </c>
      <c r="AL1849" t="s">
        <v>3250</v>
      </c>
      <c r="AM1849" t="s">
        <v>3250</v>
      </c>
      <c r="AN1849" t="s">
        <v>3250</v>
      </c>
      <c r="AO1849" t="s">
        <v>3250</v>
      </c>
      <c r="AS1849" t="s">
        <v>3250</v>
      </c>
      <c r="AT1849" t="s">
        <v>3250</v>
      </c>
      <c r="AU1849" t="s">
        <v>3250</v>
      </c>
      <c r="AV1849" t="s">
        <v>3250</v>
      </c>
      <c r="AW1849" t="s">
        <v>3250</v>
      </c>
      <c r="AX1849" t="s">
        <v>3250</v>
      </c>
      <c r="AY1849" t="s">
        <v>3250</v>
      </c>
      <c r="AZ1849" t="s">
        <v>3250</v>
      </c>
      <c r="BA1849" t="s">
        <v>3250</v>
      </c>
      <c r="BB1849" t="s">
        <v>3250</v>
      </c>
      <c r="BC1849" t="s">
        <v>3250</v>
      </c>
      <c r="BE1849" t="s">
        <v>3250</v>
      </c>
      <c r="BF1849" t="s">
        <v>3250</v>
      </c>
      <c r="BG1849" t="s">
        <v>3250</v>
      </c>
      <c r="BH1849" t="s">
        <v>3250</v>
      </c>
      <c r="BI1849" t="s">
        <v>3250</v>
      </c>
      <c r="BK1849" t="s">
        <v>3250</v>
      </c>
      <c r="BL1849" t="s">
        <v>3250</v>
      </c>
      <c r="BM1849" t="s">
        <v>3250</v>
      </c>
      <c r="BN1849" t="s">
        <v>3250</v>
      </c>
      <c r="BP1849">
        <v>1</v>
      </c>
      <c r="BQ1849">
        <v>11</v>
      </c>
      <c r="BR1849" t="s">
        <v>1574</v>
      </c>
      <c r="BS1849" t="s">
        <v>3252</v>
      </c>
      <c r="BV1849">
        <v>0</v>
      </c>
      <c r="BW1849">
        <v>0</v>
      </c>
      <c r="BX1849">
        <v>0</v>
      </c>
      <c r="BY1849">
        <v>0</v>
      </c>
      <c r="BZ1849">
        <v>0</v>
      </c>
      <c r="CA1849">
        <v>0</v>
      </c>
      <c r="CB1849">
        <v>0</v>
      </c>
      <c r="CC1849">
        <v>0</v>
      </c>
      <c r="CD1849">
        <v>0</v>
      </c>
      <c r="CE1849" t="s">
        <v>3108</v>
      </c>
      <c r="CF1849" t="s">
        <v>3108</v>
      </c>
      <c r="CG1849" t="s">
        <v>3108</v>
      </c>
      <c r="CH1849" t="s">
        <v>3108</v>
      </c>
    </row>
    <row r="1850" spans="1:86" x14ac:dyDescent="0.2">
      <c r="A1850" t="s">
        <v>5917</v>
      </c>
      <c r="B1850" t="s">
        <v>5917</v>
      </c>
      <c r="C1850">
        <v>54973</v>
      </c>
      <c r="D1850">
        <v>1957</v>
      </c>
      <c r="E1850" t="s">
        <v>5918</v>
      </c>
      <c r="F1850" t="s">
        <v>3249</v>
      </c>
      <c r="G1850" t="s">
        <v>3249</v>
      </c>
      <c r="H1850" t="s">
        <v>3250</v>
      </c>
      <c r="I1850" t="s">
        <v>3250</v>
      </c>
      <c r="J1850" t="s">
        <v>3250</v>
      </c>
      <c r="K1850" t="s">
        <v>3250</v>
      </c>
      <c r="L1850">
        <v>1200</v>
      </c>
      <c r="M1850" t="s">
        <v>2368</v>
      </c>
      <c r="N1850">
        <v>1204</v>
      </c>
      <c r="O1850" t="s">
        <v>1574</v>
      </c>
      <c r="P1850" t="s">
        <v>3108</v>
      </c>
      <c r="Q1850" t="s">
        <v>3249</v>
      </c>
      <c r="R1850" t="s">
        <v>3249</v>
      </c>
      <c r="S1850" t="s">
        <v>472</v>
      </c>
      <c r="T1850" t="s">
        <v>3789</v>
      </c>
      <c r="U1850">
        <v>370</v>
      </c>
      <c r="V1850" t="s">
        <v>5549</v>
      </c>
      <c r="W1850">
        <v>370</v>
      </c>
      <c r="X1850" t="s">
        <v>884</v>
      </c>
      <c r="Y1850" t="s">
        <v>3250</v>
      </c>
      <c r="Z1850" t="s">
        <v>3250</v>
      </c>
      <c r="AA1850" t="s">
        <v>3108</v>
      </c>
      <c r="AB1850" t="s">
        <v>3108</v>
      </c>
      <c r="AC1850" t="s">
        <v>3250</v>
      </c>
      <c r="AD1850" t="s">
        <v>3250</v>
      </c>
      <c r="AE1850" t="s">
        <v>3250</v>
      </c>
      <c r="AF1850" t="s">
        <v>3250</v>
      </c>
      <c r="AG1850" t="s">
        <v>3250</v>
      </c>
      <c r="AH1850" t="s">
        <v>3250</v>
      </c>
      <c r="AI1850" t="s">
        <v>3250</v>
      </c>
      <c r="AJ1850" t="s">
        <v>3250</v>
      </c>
      <c r="AL1850" t="s">
        <v>3250</v>
      </c>
      <c r="AM1850" t="s">
        <v>3250</v>
      </c>
      <c r="AN1850" t="s">
        <v>3250</v>
      </c>
      <c r="AO1850" t="s">
        <v>3250</v>
      </c>
      <c r="AS1850" t="s">
        <v>3250</v>
      </c>
      <c r="AT1850" t="s">
        <v>3250</v>
      </c>
      <c r="AU1850" t="s">
        <v>3250</v>
      </c>
      <c r="AV1850" t="s">
        <v>3250</v>
      </c>
      <c r="AW1850" t="s">
        <v>3250</v>
      </c>
      <c r="AX1850" t="s">
        <v>3250</v>
      </c>
      <c r="AY1850" t="s">
        <v>3250</v>
      </c>
      <c r="AZ1850" t="s">
        <v>3250</v>
      </c>
      <c r="BA1850" t="s">
        <v>3250</v>
      </c>
      <c r="BB1850" t="s">
        <v>3250</v>
      </c>
      <c r="BC1850" t="s">
        <v>3250</v>
      </c>
      <c r="BE1850" t="s">
        <v>3250</v>
      </c>
      <c r="BF1850" t="s">
        <v>3250</v>
      </c>
      <c r="BG1850" t="s">
        <v>3250</v>
      </c>
      <c r="BH1850" t="s">
        <v>3250</v>
      </c>
      <c r="BI1850" t="s">
        <v>3250</v>
      </c>
      <c r="BK1850" t="s">
        <v>3250</v>
      </c>
      <c r="BL1850" t="s">
        <v>3250</v>
      </c>
      <c r="BM1850" t="s">
        <v>3250</v>
      </c>
      <c r="BN1850" t="s">
        <v>3250</v>
      </c>
      <c r="BP1850">
        <v>1</v>
      </c>
      <c r="BQ1850">
        <v>11</v>
      </c>
      <c r="BR1850" t="s">
        <v>1574</v>
      </c>
      <c r="BS1850" t="s">
        <v>3252</v>
      </c>
      <c r="BV1850">
        <v>0</v>
      </c>
      <c r="BW1850">
        <v>0</v>
      </c>
      <c r="BX1850">
        <v>0</v>
      </c>
      <c r="BY1850">
        <v>0</v>
      </c>
      <c r="BZ1850">
        <v>0</v>
      </c>
      <c r="CA1850">
        <v>0</v>
      </c>
      <c r="CB1850">
        <v>0</v>
      </c>
      <c r="CC1850">
        <v>0</v>
      </c>
      <c r="CD1850">
        <v>0</v>
      </c>
      <c r="CE1850" t="s">
        <v>3108</v>
      </c>
      <c r="CF1850" t="s">
        <v>3108</v>
      </c>
      <c r="CG1850" t="s">
        <v>3108</v>
      </c>
      <c r="CH1850" t="s">
        <v>3108</v>
      </c>
    </row>
    <row r="1851" spans="1:86" x14ac:dyDescent="0.2">
      <c r="A1851" t="s">
        <v>5919</v>
      </c>
      <c r="B1851" t="s">
        <v>5919</v>
      </c>
      <c r="C1851">
        <v>54974</v>
      </c>
      <c r="D1851">
        <v>1958</v>
      </c>
      <c r="E1851" t="s">
        <v>5920</v>
      </c>
      <c r="F1851" t="s">
        <v>3249</v>
      </c>
      <c r="G1851" t="s">
        <v>3249</v>
      </c>
      <c r="H1851" t="s">
        <v>3250</v>
      </c>
      <c r="I1851" t="s">
        <v>3250</v>
      </c>
      <c r="J1851" t="s">
        <v>3250</v>
      </c>
      <c r="K1851" t="s">
        <v>3250</v>
      </c>
      <c r="L1851">
        <v>1200</v>
      </c>
      <c r="M1851" t="s">
        <v>2368</v>
      </c>
      <c r="N1851">
        <v>1204</v>
      </c>
      <c r="O1851" t="s">
        <v>1574</v>
      </c>
      <c r="P1851" t="s">
        <v>3108</v>
      </c>
      <c r="Q1851" t="s">
        <v>3249</v>
      </c>
      <c r="R1851" t="s">
        <v>3249</v>
      </c>
      <c r="S1851" t="s">
        <v>472</v>
      </c>
      <c r="T1851" t="s">
        <v>3789</v>
      </c>
      <c r="U1851">
        <v>370</v>
      </c>
      <c r="V1851" t="s">
        <v>5549</v>
      </c>
      <c r="W1851">
        <v>370</v>
      </c>
      <c r="X1851" t="s">
        <v>884</v>
      </c>
      <c r="Y1851" t="s">
        <v>3250</v>
      </c>
      <c r="Z1851" t="s">
        <v>3250</v>
      </c>
      <c r="AA1851" t="s">
        <v>3108</v>
      </c>
      <c r="AB1851" t="s">
        <v>3108</v>
      </c>
      <c r="AC1851" t="s">
        <v>3250</v>
      </c>
      <c r="AD1851" t="s">
        <v>3250</v>
      </c>
      <c r="AE1851" t="s">
        <v>3250</v>
      </c>
      <c r="AF1851" t="s">
        <v>3250</v>
      </c>
      <c r="AG1851" t="s">
        <v>3250</v>
      </c>
      <c r="AH1851" t="s">
        <v>3250</v>
      </c>
      <c r="AI1851" t="s">
        <v>3250</v>
      </c>
      <c r="AJ1851" t="s">
        <v>3250</v>
      </c>
      <c r="AL1851" t="s">
        <v>3250</v>
      </c>
      <c r="AM1851" t="s">
        <v>3250</v>
      </c>
      <c r="AN1851" t="s">
        <v>3250</v>
      </c>
      <c r="AO1851" t="s">
        <v>3250</v>
      </c>
      <c r="AS1851" t="s">
        <v>3250</v>
      </c>
      <c r="AT1851" t="s">
        <v>3250</v>
      </c>
      <c r="AU1851" t="s">
        <v>3250</v>
      </c>
      <c r="AV1851" t="s">
        <v>3250</v>
      </c>
      <c r="AW1851" t="s">
        <v>3250</v>
      </c>
      <c r="AX1851" t="s">
        <v>3250</v>
      </c>
      <c r="AY1851" t="s">
        <v>3250</v>
      </c>
      <c r="AZ1851" t="s">
        <v>3250</v>
      </c>
      <c r="BA1851" t="s">
        <v>3250</v>
      </c>
      <c r="BB1851" t="s">
        <v>3250</v>
      </c>
      <c r="BC1851" t="s">
        <v>3250</v>
      </c>
      <c r="BE1851" t="s">
        <v>3250</v>
      </c>
      <c r="BF1851" t="s">
        <v>3250</v>
      </c>
      <c r="BG1851" t="s">
        <v>3250</v>
      </c>
      <c r="BH1851" t="s">
        <v>3250</v>
      </c>
      <c r="BI1851" t="s">
        <v>3250</v>
      </c>
      <c r="BK1851" t="s">
        <v>3250</v>
      </c>
      <c r="BL1851" t="s">
        <v>3250</v>
      </c>
      <c r="BM1851" t="s">
        <v>3250</v>
      </c>
      <c r="BN1851" t="s">
        <v>3250</v>
      </c>
      <c r="BP1851">
        <v>1</v>
      </c>
      <c r="BQ1851">
        <v>11</v>
      </c>
      <c r="BR1851" t="s">
        <v>1574</v>
      </c>
      <c r="BS1851" t="s">
        <v>3252</v>
      </c>
      <c r="BV1851">
        <v>0</v>
      </c>
      <c r="BW1851">
        <v>0</v>
      </c>
      <c r="BX1851">
        <v>0</v>
      </c>
      <c r="BY1851">
        <v>0</v>
      </c>
      <c r="BZ1851">
        <v>0</v>
      </c>
      <c r="CA1851">
        <v>0</v>
      </c>
      <c r="CB1851">
        <v>0</v>
      </c>
      <c r="CC1851">
        <v>0</v>
      </c>
      <c r="CD1851">
        <v>0</v>
      </c>
      <c r="CE1851" t="s">
        <v>3108</v>
      </c>
      <c r="CF1851" t="s">
        <v>3108</v>
      </c>
      <c r="CG1851" t="s">
        <v>3108</v>
      </c>
      <c r="CH1851" t="s">
        <v>3108</v>
      </c>
    </row>
    <row r="1852" spans="1:86" x14ac:dyDescent="0.2">
      <c r="A1852" t="s">
        <v>5921</v>
      </c>
      <c r="B1852" t="s">
        <v>5921</v>
      </c>
      <c r="C1852">
        <v>54975</v>
      </c>
      <c r="D1852">
        <v>1959</v>
      </c>
      <c r="E1852" t="s">
        <v>5922</v>
      </c>
      <c r="F1852" t="s">
        <v>3249</v>
      </c>
      <c r="G1852" t="s">
        <v>3249</v>
      </c>
      <c r="H1852" t="s">
        <v>3250</v>
      </c>
      <c r="I1852" t="s">
        <v>3250</v>
      </c>
      <c r="J1852" t="s">
        <v>3250</v>
      </c>
      <c r="K1852" t="s">
        <v>3250</v>
      </c>
      <c r="L1852">
        <v>1200</v>
      </c>
      <c r="M1852" t="s">
        <v>2368</v>
      </c>
      <c r="N1852">
        <v>1204</v>
      </c>
      <c r="O1852" t="s">
        <v>1574</v>
      </c>
      <c r="P1852" t="s">
        <v>3108</v>
      </c>
      <c r="Q1852" t="s">
        <v>3249</v>
      </c>
      <c r="R1852" t="s">
        <v>3249</v>
      </c>
      <c r="S1852" t="s">
        <v>472</v>
      </c>
      <c r="T1852" t="s">
        <v>3789</v>
      </c>
      <c r="U1852">
        <v>370</v>
      </c>
      <c r="V1852" t="s">
        <v>5549</v>
      </c>
      <c r="W1852">
        <v>370</v>
      </c>
      <c r="X1852" t="s">
        <v>884</v>
      </c>
      <c r="Y1852" t="s">
        <v>3250</v>
      </c>
      <c r="Z1852" t="s">
        <v>3250</v>
      </c>
      <c r="AA1852" t="s">
        <v>3108</v>
      </c>
      <c r="AB1852" t="s">
        <v>3108</v>
      </c>
      <c r="AC1852" t="s">
        <v>3250</v>
      </c>
      <c r="AD1852" t="s">
        <v>3250</v>
      </c>
      <c r="AE1852" t="s">
        <v>3250</v>
      </c>
      <c r="AF1852" t="s">
        <v>3250</v>
      </c>
      <c r="AG1852" t="s">
        <v>3250</v>
      </c>
      <c r="AH1852" t="s">
        <v>3250</v>
      </c>
      <c r="AI1852" t="s">
        <v>3250</v>
      </c>
      <c r="AJ1852" t="s">
        <v>3250</v>
      </c>
      <c r="AL1852" t="s">
        <v>3250</v>
      </c>
      <c r="AM1852" t="s">
        <v>3250</v>
      </c>
      <c r="AN1852" t="s">
        <v>3250</v>
      </c>
      <c r="AO1852" t="s">
        <v>3250</v>
      </c>
      <c r="AS1852" t="s">
        <v>3250</v>
      </c>
      <c r="AT1852" t="s">
        <v>3250</v>
      </c>
      <c r="AU1852" t="s">
        <v>3250</v>
      </c>
      <c r="AV1852" t="s">
        <v>3250</v>
      </c>
      <c r="AW1852" t="s">
        <v>3250</v>
      </c>
      <c r="AX1852" t="s">
        <v>3250</v>
      </c>
      <c r="AY1852" t="s">
        <v>3250</v>
      </c>
      <c r="AZ1852" t="s">
        <v>3250</v>
      </c>
      <c r="BA1852" t="s">
        <v>3250</v>
      </c>
      <c r="BB1852" t="s">
        <v>3250</v>
      </c>
      <c r="BC1852" t="s">
        <v>3250</v>
      </c>
      <c r="BE1852" t="s">
        <v>3250</v>
      </c>
      <c r="BF1852" t="s">
        <v>3250</v>
      </c>
      <c r="BG1852" t="s">
        <v>3250</v>
      </c>
      <c r="BH1852" t="s">
        <v>3250</v>
      </c>
      <c r="BI1852" t="s">
        <v>3250</v>
      </c>
      <c r="BK1852" t="s">
        <v>3250</v>
      </c>
      <c r="BL1852" t="s">
        <v>3250</v>
      </c>
      <c r="BM1852" t="s">
        <v>3250</v>
      </c>
      <c r="BN1852" t="s">
        <v>3250</v>
      </c>
      <c r="BP1852">
        <v>1</v>
      </c>
      <c r="BQ1852">
        <v>11</v>
      </c>
      <c r="BR1852" t="s">
        <v>1574</v>
      </c>
      <c r="BS1852" t="s">
        <v>3252</v>
      </c>
      <c r="BV1852">
        <v>0</v>
      </c>
      <c r="BW1852">
        <v>0</v>
      </c>
      <c r="BX1852">
        <v>0</v>
      </c>
      <c r="BY1852">
        <v>-2353095</v>
      </c>
      <c r="BZ1852">
        <v>-2576332</v>
      </c>
      <c r="CA1852">
        <v>-2576332</v>
      </c>
      <c r="CB1852">
        <v>-2576332</v>
      </c>
      <c r="CC1852">
        <v>-2576332</v>
      </c>
      <c r="CD1852">
        <v>0</v>
      </c>
      <c r="CE1852" t="s">
        <v>3108</v>
      </c>
      <c r="CF1852" t="s">
        <v>3108</v>
      </c>
      <c r="CG1852" t="s">
        <v>3108</v>
      </c>
      <c r="CH1852" t="s">
        <v>3108</v>
      </c>
    </row>
    <row r="1853" spans="1:86" x14ac:dyDescent="0.2">
      <c r="A1853" t="s">
        <v>5923</v>
      </c>
      <c r="B1853" t="s">
        <v>5923</v>
      </c>
      <c r="C1853">
        <v>54976</v>
      </c>
      <c r="D1853">
        <v>1960</v>
      </c>
      <c r="E1853" t="s">
        <v>5924</v>
      </c>
      <c r="F1853" t="s">
        <v>3249</v>
      </c>
      <c r="G1853" t="s">
        <v>3249</v>
      </c>
      <c r="H1853" t="s">
        <v>3250</v>
      </c>
      <c r="I1853" t="s">
        <v>3250</v>
      </c>
      <c r="J1853" t="s">
        <v>3250</v>
      </c>
      <c r="K1853" t="s">
        <v>3250</v>
      </c>
      <c r="L1853">
        <v>1200</v>
      </c>
      <c r="M1853" t="s">
        <v>2368</v>
      </c>
      <c r="N1853">
        <v>1206</v>
      </c>
      <c r="O1853" t="s">
        <v>285</v>
      </c>
      <c r="P1853" t="s">
        <v>3108</v>
      </c>
      <c r="Q1853" t="s">
        <v>3249</v>
      </c>
      <c r="R1853" t="s">
        <v>3249</v>
      </c>
      <c r="S1853" t="s">
        <v>472</v>
      </c>
      <c r="T1853" t="s">
        <v>3789</v>
      </c>
      <c r="U1853">
        <v>410</v>
      </c>
      <c r="V1853" t="s">
        <v>5193</v>
      </c>
      <c r="W1853">
        <v>410</v>
      </c>
      <c r="X1853" t="s">
        <v>884</v>
      </c>
      <c r="Y1853" t="s">
        <v>3250</v>
      </c>
      <c r="Z1853" t="s">
        <v>3250</v>
      </c>
      <c r="AA1853" t="s">
        <v>3108</v>
      </c>
      <c r="AB1853" t="s">
        <v>3108</v>
      </c>
      <c r="AC1853" t="s">
        <v>3250</v>
      </c>
      <c r="AD1853" t="s">
        <v>3250</v>
      </c>
      <c r="AE1853" t="s">
        <v>3250</v>
      </c>
      <c r="AF1853" t="s">
        <v>3250</v>
      </c>
      <c r="AG1853" t="s">
        <v>3250</v>
      </c>
      <c r="AH1853" t="s">
        <v>3250</v>
      </c>
      <c r="AI1853" t="s">
        <v>3250</v>
      </c>
      <c r="AJ1853" t="s">
        <v>3250</v>
      </c>
      <c r="AL1853">
        <v>411</v>
      </c>
      <c r="AM1853" t="s">
        <v>1172</v>
      </c>
      <c r="AN1853">
        <v>411</v>
      </c>
      <c r="AO1853" t="s">
        <v>1172</v>
      </c>
      <c r="AS1853" t="s">
        <v>3250</v>
      </c>
      <c r="AT1853" t="s">
        <v>3250</v>
      </c>
      <c r="AU1853" t="s">
        <v>3250</v>
      </c>
      <c r="AV1853" t="s">
        <v>3250</v>
      </c>
      <c r="AW1853" t="s">
        <v>3250</v>
      </c>
      <c r="AX1853" t="s">
        <v>3250</v>
      </c>
      <c r="AY1853" t="s">
        <v>3250</v>
      </c>
      <c r="AZ1853" t="s">
        <v>3250</v>
      </c>
      <c r="BA1853" t="s">
        <v>3250</v>
      </c>
      <c r="BB1853" t="s">
        <v>3250</v>
      </c>
      <c r="BC1853" t="s">
        <v>3250</v>
      </c>
      <c r="BE1853" t="s">
        <v>3250</v>
      </c>
      <c r="BF1853" t="s">
        <v>3250</v>
      </c>
      <c r="BG1853" t="s">
        <v>3250</v>
      </c>
      <c r="BH1853" t="s">
        <v>3250</v>
      </c>
      <c r="BI1853" t="s">
        <v>3250</v>
      </c>
      <c r="BK1853" t="s">
        <v>3250</v>
      </c>
      <c r="BL1853" t="s">
        <v>3250</v>
      </c>
      <c r="BM1853" t="s">
        <v>3250</v>
      </c>
      <c r="BN1853" t="s">
        <v>3250</v>
      </c>
      <c r="BP1853">
        <v>1</v>
      </c>
      <c r="BQ1853">
        <v>15</v>
      </c>
      <c r="BR1853" t="s">
        <v>285</v>
      </c>
      <c r="BS1853" t="s">
        <v>3252</v>
      </c>
      <c r="BV1853">
        <v>0</v>
      </c>
      <c r="BW1853">
        <v>0</v>
      </c>
      <c r="BX1853">
        <v>0</v>
      </c>
      <c r="BY1853">
        <v>-2590571</v>
      </c>
      <c r="BZ1853">
        <v>0</v>
      </c>
      <c r="CA1853">
        <v>0</v>
      </c>
      <c r="CB1853">
        <v>0</v>
      </c>
      <c r="CC1853">
        <v>0</v>
      </c>
      <c r="CD1853">
        <v>0</v>
      </c>
      <c r="CE1853" t="s">
        <v>3108</v>
      </c>
      <c r="CF1853" t="s">
        <v>3108</v>
      </c>
      <c r="CG1853" t="s">
        <v>3108</v>
      </c>
      <c r="CH1853" t="s">
        <v>3108</v>
      </c>
    </row>
    <row r="1854" spans="1:86" x14ac:dyDescent="0.2">
      <c r="A1854" t="s">
        <v>5925</v>
      </c>
      <c r="B1854" t="s">
        <v>5925</v>
      </c>
      <c r="C1854">
        <v>54977</v>
      </c>
      <c r="D1854">
        <v>1961</v>
      </c>
      <c r="E1854" t="s">
        <v>5926</v>
      </c>
      <c r="F1854" t="s">
        <v>3249</v>
      </c>
      <c r="G1854" t="s">
        <v>3249</v>
      </c>
      <c r="H1854" t="s">
        <v>3250</v>
      </c>
      <c r="I1854" t="s">
        <v>3250</v>
      </c>
      <c r="J1854" t="s">
        <v>3250</v>
      </c>
      <c r="K1854" t="s">
        <v>3250</v>
      </c>
      <c r="L1854">
        <v>1200</v>
      </c>
      <c r="M1854" t="s">
        <v>2368</v>
      </c>
      <c r="N1854">
        <v>1206</v>
      </c>
      <c r="O1854" t="s">
        <v>285</v>
      </c>
      <c r="P1854" t="s">
        <v>3108</v>
      </c>
      <c r="Q1854" t="s">
        <v>3249</v>
      </c>
      <c r="R1854" t="s">
        <v>3249</v>
      </c>
      <c r="S1854" t="s">
        <v>472</v>
      </c>
      <c r="T1854" t="s">
        <v>3789</v>
      </c>
      <c r="U1854">
        <v>410</v>
      </c>
      <c r="V1854" t="s">
        <v>5193</v>
      </c>
      <c r="W1854">
        <v>410</v>
      </c>
      <c r="X1854" t="s">
        <v>884</v>
      </c>
      <c r="Y1854" t="s">
        <v>3250</v>
      </c>
      <c r="Z1854" t="s">
        <v>3250</v>
      </c>
      <c r="AA1854" t="s">
        <v>3108</v>
      </c>
      <c r="AB1854" t="s">
        <v>3108</v>
      </c>
      <c r="AC1854" t="s">
        <v>3250</v>
      </c>
      <c r="AD1854" t="s">
        <v>3250</v>
      </c>
      <c r="AE1854" t="s">
        <v>3250</v>
      </c>
      <c r="AF1854" t="s">
        <v>3250</v>
      </c>
      <c r="AG1854" t="s">
        <v>3250</v>
      </c>
      <c r="AH1854" t="s">
        <v>3250</v>
      </c>
      <c r="AI1854" t="s">
        <v>3250</v>
      </c>
      <c r="AJ1854" t="s">
        <v>3250</v>
      </c>
      <c r="AL1854">
        <v>411</v>
      </c>
      <c r="AM1854" t="s">
        <v>1172</v>
      </c>
      <c r="AN1854">
        <v>411</v>
      </c>
      <c r="AO1854" t="s">
        <v>1172</v>
      </c>
      <c r="AS1854" t="s">
        <v>3250</v>
      </c>
      <c r="AT1854" t="s">
        <v>3250</v>
      </c>
      <c r="AU1854" t="s">
        <v>3250</v>
      </c>
      <c r="AV1854" t="s">
        <v>3250</v>
      </c>
      <c r="AW1854" t="s">
        <v>3250</v>
      </c>
      <c r="AX1854" t="s">
        <v>3250</v>
      </c>
      <c r="AY1854" t="s">
        <v>3250</v>
      </c>
      <c r="AZ1854" t="s">
        <v>3250</v>
      </c>
      <c r="BA1854" t="s">
        <v>3250</v>
      </c>
      <c r="BB1854" t="s">
        <v>3250</v>
      </c>
      <c r="BC1854" t="s">
        <v>3250</v>
      </c>
      <c r="BE1854" t="s">
        <v>3250</v>
      </c>
      <c r="BF1854" t="s">
        <v>3250</v>
      </c>
      <c r="BG1854" t="s">
        <v>3250</v>
      </c>
      <c r="BH1854" t="s">
        <v>3250</v>
      </c>
      <c r="BI1854" t="s">
        <v>3250</v>
      </c>
      <c r="BK1854" t="s">
        <v>3250</v>
      </c>
      <c r="BL1854" t="s">
        <v>3250</v>
      </c>
      <c r="BM1854" t="s">
        <v>3250</v>
      </c>
      <c r="BN1854" t="s">
        <v>3250</v>
      </c>
      <c r="BP1854">
        <v>1</v>
      </c>
      <c r="BQ1854">
        <v>15</v>
      </c>
      <c r="BR1854" t="s">
        <v>285</v>
      </c>
      <c r="BS1854" t="s">
        <v>3252</v>
      </c>
      <c r="BV1854">
        <v>0</v>
      </c>
      <c r="BW1854">
        <v>0</v>
      </c>
      <c r="BX1854">
        <v>0</v>
      </c>
      <c r="BY1854">
        <v>0</v>
      </c>
      <c r="BZ1854">
        <v>0</v>
      </c>
      <c r="CA1854">
        <v>0</v>
      </c>
      <c r="CB1854">
        <v>0</v>
      </c>
      <c r="CC1854">
        <v>0</v>
      </c>
      <c r="CD1854">
        <v>0</v>
      </c>
      <c r="CE1854" t="s">
        <v>3108</v>
      </c>
      <c r="CF1854" t="s">
        <v>3108</v>
      </c>
      <c r="CG1854" t="s">
        <v>3108</v>
      </c>
      <c r="CH1854" t="s">
        <v>3108</v>
      </c>
    </row>
    <row r="1855" spans="1:86" x14ac:dyDescent="0.2">
      <c r="A1855" t="s">
        <v>5927</v>
      </c>
      <c r="B1855" t="s">
        <v>5927</v>
      </c>
      <c r="C1855">
        <v>54978</v>
      </c>
      <c r="D1855">
        <v>1962</v>
      </c>
      <c r="E1855" t="s">
        <v>5928</v>
      </c>
      <c r="F1855" t="s">
        <v>3249</v>
      </c>
      <c r="G1855" t="s">
        <v>3249</v>
      </c>
      <c r="H1855" t="s">
        <v>3250</v>
      </c>
      <c r="I1855" t="s">
        <v>3250</v>
      </c>
      <c r="J1855" t="s">
        <v>3250</v>
      </c>
      <c r="K1855" t="s">
        <v>3250</v>
      </c>
      <c r="L1855">
        <v>1200</v>
      </c>
      <c r="M1855" t="s">
        <v>2368</v>
      </c>
      <c r="N1855">
        <v>1206</v>
      </c>
      <c r="O1855" t="s">
        <v>285</v>
      </c>
      <c r="P1855" t="s">
        <v>3108</v>
      </c>
      <c r="Q1855" t="s">
        <v>3249</v>
      </c>
      <c r="R1855" t="s">
        <v>3249</v>
      </c>
      <c r="S1855" t="s">
        <v>472</v>
      </c>
      <c r="T1855" t="s">
        <v>3789</v>
      </c>
      <c r="U1855">
        <v>410</v>
      </c>
      <c r="V1855" t="s">
        <v>5193</v>
      </c>
      <c r="W1855">
        <v>410</v>
      </c>
      <c r="X1855" t="s">
        <v>884</v>
      </c>
      <c r="Y1855" t="s">
        <v>3250</v>
      </c>
      <c r="Z1855" t="s">
        <v>3250</v>
      </c>
      <c r="AA1855" t="s">
        <v>3108</v>
      </c>
      <c r="AB1855" t="s">
        <v>3108</v>
      </c>
      <c r="AC1855" t="s">
        <v>3250</v>
      </c>
      <c r="AD1855" t="s">
        <v>3250</v>
      </c>
      <c r="AE1855" t="s">
        <v>3250</v>
      </c>
      <c r="AF1855" t="s">
        <v>3250</v>
      </c>
      <c r="AG1855" t="s">
        <v>3250</v>
      </c>
      <c r="AH1855" t="s">
        <v>3250</v>
      </c>
      <c r="AI1855" t="s">
        <v>3250</v>
      </c>
      <c r="AJ1855" t="s">
        <v>3250</v>
      </c>
      <c r="AL1855">
        <v>411</v>
      </c>
      <c r="AM1855" t="s">
        <v>1172</v>
      </c>
      <c r="AN1855">
        <v>411</v>
      </c>
      <c r="AO1855" t="s">
        <v>1172</v>
      </c>
      <c r="AS1855" t="s">
        <v>3250</v>
      </c>
      <c r="AT1855" t="s">
        <v>3250</v>
      </c>
      <c r="AU1855" t="s">
        <v>3250</v>
      </c>
      <c r="AV1855" t="s">
        <v>3250</v>
      </c>
      <c r="AW1855" t="s">
        <v>3250</v>
      </c>
      <c r="AX1855" t="s">
        <v>3250</v>
      </c>
      <c r="AY1855" t="s">
        <v>3250</v>
      </c>
      <c r="AZ1855" t="s">
        <v>3250</v>
      </c>
      <c r="BA1855" t="s">
        <v>3250</v>
      </c>
      <c r="BB1855" t="s">
        <v>3250</v>
      </c>
      <c r="BC1855" t="s">
        <v>3250</v>
      </c>
      <c r="BE1855" t="s">
        <v>3250</v>
      </c>
      <c r="BF1855" t="s">
        <v>3250</v>
      </c>
      <c r="BG1855" t="s">
        <v>3250</v>
      </c>
      <c r="BH1855" t="s">
        <v>3250</v>
      </c>
      <c r="BI1855" t="s">
        <v>3250</v>
      </c>
      <c r="BK1855" t="s">
        <v>3250</v>
      </c>
      <c r="BL1855" t="s">
        <v>3250</v>
      </c>
      <c r="BM1855" t="s">
        <v>3250</v>
      </c>
      <c r="BN1855" t="s">
        <v>3250</v>
      </c>
      <c r="BP1855">
        <v>1</v>
      </c>
      <c r="BQ1855">
        <v>15</v>
      </c>
      <c r="BR1855" t="s">
        <v>285</v>
      </c>
      <c r="BS1855" t="s">
        <v>3252</v>
      </c>
      <c r="BV1855">
        <v>0</v>
      </c>
      <c r="BW1855">
        <v>0</v>
      </c>
      <c r="BX1855">
        <v>0</v>
      </c>
      <c r="BY1855">
        <v>0</v>
      </c>
      <c r="BZ1855">
        <v>0</v>
      </c>
      <c r="CA1855">
        <v>0</v>
      </c>
      <c r="CB1855">
        <v>0</v>
      </c>
      <c r="CC1855">
        <v>0</v>
      </c>
      <c r="CD1855">
        <v>0</v>
      </c>
      <c r="CE1855" t="s">
        <v>3108</v>
      </c>
      <c r="CF1855" t="s">
        <v>3108</v>
      </c>
      <c r="CG1855" t="s">
        <v>3108</v>
      </c>
      <c r="CH1855" t="s">
        <v>3108</v>
      </c>
    </row>
    <row r="1856" spans="1:86" x14ac:dyDescent="0.2">
      <c r="A1856" t="s">
        <v>5929</v>
      </c>
      <c r="B1856" t="s">
        <v>5929</v>
      </c>
      <c r="C1856">
        <v>54979</v>
      </c>
      <c r="D1856">
        <v>1963</v>
      </c>
      <c r="E1856" t="s">
        <v>5930</v>
      </c>
      <c r="F1856" t="s">
        <v>3249</v>
      </c>
      <c r="G1856" t="s">
        <v>3249</v>
      </c>
      <c r="H1856" t="s">
        <v>3250</v>
      </c>
      <c r="I1856" t="s">
        <v>3250</v>
      </c>
      <c r="J1856" t="s">
        <v>3250</v>
      </c>
      <c r="K1856" t="s">
        <v>3250</v>
      </c>
      <c r="L1856">
        <v>1200</v>
      </c>
      <c r="M1856" t="s">
        <v>2368</v>
      </c>
      <c r="N1856">
        <v>1206</v>
      </c>
      <c r="O1856" t="s">
        <v>285</v>
      </c>
      <c r="P1856" t="s">
        <v>3108</v>
      </c>
      <c r="Q1856" t="s">
        <v>3249</v>
      </c>
      <c r="R1856" t="s">
        <v>3249</v>
      </c>
      <c r="S1856" t="s">
        <v>472</v>
      </c>
      <c r="T1856" t="s">
        <v>3789</v>
      </c>
      <c r="U1856">
        <v>410</v>
      </c>
      <c r="V1856" t="s">
        <v>5193</v>
      </c>
      <c r="W1856">
        <v>410</v>
      </c>
      <c r="X1856" t="s">
        <v>884</v>
      </c>
      <c r="Y1856" t="s">
        <v>3250</v>
      </c>
      <c r="Z1856" t="s">
        <v>3250</v>
      </c>
      <c r="AA1856" t="s">
        <v>3108</v>
      </c>
      <c r="AB1856" t="s">
        <v>3108</v>
      </c>
      <c r="AC1856" t="s">
        <v>3250</v>
      </c>
      <c r="AD1856" t="s">
        <v>3250</v>
      </c>
      <c r="AE1856" t="s">
        <v>3250</v>
      </c>
      <c r="AF1856" t="s">
        <v>3250</v>
      </c>
      <c r="AG1856" t="s">
        <v>3250</v>
      </c>
      <c r="AH1856" t="s">
        <v>3250</v>
      </c>
      <c r="AI1856" t="s">
        <v>3250</v>
      </c>
      <c r="AJ1856" t="s">
        <v>3250</v>
      </c>
      <c r="AL1856">
        <v>411</v>
      </c>
      <c r="AM1856" t="s">
        <v>1172</v>
      </c>
      <c r="AN1856">
        <v>411</v>
      </c>
      <c r="AO1856" t="s">
        <v>1172</v>
      </c>
      <c r="AS1856" t="s">
        <v>3250</v>
      </c>
      <c r="AT1856" t="s">
        <v>3250</v>
      </c>
      <c r="AU1856" t="s">
        <v>3250</v>
      </c>
      <c r="AV1856" t="s">
        <v>3250</v>
      </c>
      <c r="AW1856" t="s">
        <v>3250</v>
      </c>
      <c r="AX1856" t="s">
        <v>3250</v>
      </c>
      <c r="AY1856" t="s">
        <v>3250</v>
      </c>
      <c r="AZ1856" t="s">
        <v>3250</v>
      </c>
      <c r="BA1856" t="s">
        <v>3250</v>
      </c>
      <c r="BB1856" t="s">
        <v>3250</v>
      </c>
      <c r="BC1856" t="s">
        <v>3250</v>
      </c>
      <c r="BE1856" t="s">
        <v>3250</v>
      </c>
      <c r="BF1856" t="s">
        <v>3250</v>
      </c>
      <c r="BG1856" t="s">
        <v>3250</v>
      </c>
      <c r="BH1856" t="s">
        <v>3250</v>
      </c>
      <c r="BI1856" t="s">
        <v>3250</v>
      </c>
      <c r="BK1856" t="s">
        <v>3250</v>
      </c>
      <c r="BL1856" t="s">
        <v>3250</v>
      </c>
      <c r="BM1856" t="s">
        <v>3250</v>
      </c>
      <c r="BN1856" t="s">
        <v>3250</v>
      </c>
      <c r="BP1856">
        <v>1</v>
      </c>
      <c r="BQ1856">
        <v>15</v>
      </c>
      <c r="BR1856" t="s">
        <v>285</v>
      </c>
      <c r="BS1856" t="s">
        <v>3252</v>
      </c>
      <c r="BV1856">
        <v>0</v>
      </c>
      <c r="BW1856">
        <v>0</v>
      </c>
      <c r="BX1856">
        <v>0</v>
      </c>
      <c r="BY1856">
        <v>0</v>
      </c>
      <c r="BZ1856">
        <v>0</v>
      </c>
      <c r="CA1856">
        <v>0</v>
      </c>
      <c r="CB1856">
        <v>0</v>
      </c>
      <c r="CC1856">
        <v>0</v>
      </c>
      <c r="CD1856">
        <v>0</v>
      </c>
      <c r="CE1856" t="s">
        <v>3108</v>
      </c>
      <c r="CF1856" t="s">
        <v>3108</v>
      </c>
      <c r="CG1856" t="s">
        <v>3108</v>
      </c>
      <c r="CH1856" t="s">
        <v>3108</v>
      </c>
    </row>
    <row r="1857" spans="1:86" x14ac:dyDescent="0.2">
      <c r="A1857" t="s">
        <v>5931</v>
      </c>
      <c r="B1857" t="s">
        <v>5931</v>
      </c>
      <c r="C1857">
        <v>54980</v>
      </c>
      <c r="D1857">
        <v>1964</v>
      </c>
      <c r="E1857" t="s">
        <v>5192</v>
      </c>
      <c r="F1857" t="s">
        <v>3249</v>
      </c>
      <c r="G1857" t="s">
        <v>3249</v>
      </c>
      <c r="H1857" t="s">
        <v>3250</v>
      </c>
      <c r="I1857" t="s">
        <v>3250</v>
      </c>
      <c r="J1857" t="s">
        <v>3250</v>
      </c>
      <c r="K1857" t="s">
        <v>3250</v>
      </c>
      <c r="L1857">
        <v>1200</v>
      </c>
      <c r="M1857" t="s">
        <v>2368</v>
      </c>
      <c r="N1857">
        <v>1206</v>
      </c>
      <c r="O1857" t="s">
        <v>285</v>
      </c>
      <c r="P1857" t="s">
        <v>3108</v>
      </c>
      <c r="Q1857" t="s">
        <v>3249</v>
      </c>
      <c r="R1857" t="s">
        <v>3249</v>
      </c>
      <c r="S1857" t="s">
        <v>472</v>
      </c>
      <c r="T1857" t="s">
        <v>3789</v>
      </c>
      <c r="U1857">
        <v>410</v>
      </c>
      <c r="V1857" t="s">
        <v>5193</v>
      </c>
      <c r="W1857">
        <v>410</v>
      </c>
      <c r="X1857" t="s">
        <v>884</v>
      </c>
      <c r="Y1857" t="s">
        <v>3250</v>
      </c>
      <c r="Z1857" t="s">
        <v>3250</v>
      </c>
      <c r="AA1857" t="s">
        <v>3108</v>
      </c>
      <c r="AB1857" t="s">
        <v>3108</v>
      </c>
      <c r="AC1857" t="s">
        <v>3250</v>
      </c>
      <c r="AD1857" t="s">
        <v>3250</v>
      </c>
      <c r="AE1857" t="s">
        <v>3250</v>
      </c>
      <c r="AF1857" t="s">
        <v>3250</v>
      </c>
      <c r="AG1857" t="s">
        <v>3250</v>
      </c>
      <c r="AH1857" t="s">
        <v>3250</v>
      </c>
      <c r="AI1857" t="s">
        <v>3250</v>
      </c>
      <c r="AJ1857" t="s">
        <v>3250</v>
      </c>
      <c r="AL1857">
        <v>411</v>
      </c>
      <c r="AM1857" t="s">
        <v>1172</v>
      </c>
      <c r="AN1857">
        <v>411</v>
      </c>
      <c r="AO1857" t="s">
        <v>1172</v>
      </c>
      <c r="AS1857" t="s">
        <v>3250</v>
      </c>
      <c r="AT1857" t="s">
        <v>3250</v>
      </c>
      <c r="AU1857" t="s">
        <v>3250</v>
      </c>
      <c r="AV1857" t="s">
        <v>3250</v>
      </c>
      <c r="AW1857" t="s">
        <v>3250</v>
      </c>
      <c r="AX1857" t="s">
        <v>3250</v>
      </c>
      <c r="AY1857" t="s">
        <v>3250</v>
      </c>
      <c r="AZ1857" t="s">
        <v>3250</v>
      </c>
      <c r="BA1857" t="s">
        <v>3250</v>
      </c>
      <c r="BB1857" t="s">
        <v>3250</v>
      </c>
      <c r="BC1857" t="s">
        <v>3250</v>
      </c>
      <c r="BE1857" t="s">
        <v>3250</v>
      </c>
      <c r="BF1857" t="s">
        <v>3250</v>
      </c>
      <c r="BG1857" t="s">
        <v>3250</v>
      </c>
      <c r="BH1857" t="s">
        <v>3250</v>
      </c>
      <c r="BI1857" t="s">
        <v>3250</v>
      </c>
      <c r="BK1857" t="s">
        <v>3250</v>
      </c>
      <c r="BL1857" t="s">
        <v>3250</v>
      </c>
      <c r="BM1857" t="s">
        <v>3250</v>
      </c>
      <c r="BN1857" t="s">
        <v>3250</v>
      </c>
      <c r="BP1857">
        <v>1</v>
      </c>
      <c r="BQ1857">
        <v>15</v>
      </c>
      <c r="BR1857" t="s">
        <v>285</v>
      </c>
      <c r="BS1857" t="s">
        <v>3252</v>
      </c>
      <c r="BV1857">
        <v>0</v>
      </c>
      <c r="BW1857">
        <v>0</v>
      </c>
      <c r="BX1857">
        <v>0</v>
      </c>
      <c r="BY1857">
        <v>-400000</v>
      </c>
      <c r="BZ1857">
        <v>0</v>
      </c>
      <c r="CA1857">
        <v>0</v>
      </c>
      <c r="CB1857">
        <v>0</v>
      </c>
      <c r="CC1857">
        <v>0</v>
      </c>
      <c r="CD1857">
        <v>0</v>
      </c>
      <c r="CE1857" t="s">
        <v>3108</v>
      </c>
      <c r="CF1857" t="s">
        <v>3108</v>
      </c>
      <c r="CG1857" t="s">
        <v>3108</v>
      </c>
      <c r="CH1857" t="s">
        <v>3108</v>
      </c>
    </row>
    <row r="1858" spans="1:86" x14ac:dyDescent="0.2">
      <c r="A1858" t="s">
        <v>5932</v>
      </c>
      <c r="B1858" t="s">
        <v>5932</v>
      </c>
      <c r="C1858">
        <v>54981</v>
      </c>
      <c r="D1858">
        <v>1965</v>
      </c>
      <c r="E1858" t="s">
        <v>5933</v>
      </c>
      <c r="F1858" t="s">
        <v>3249</v>
      </c>
      <c r="G1858" t="s">
        <v>3249</v>
      </c>
      <c r="H1858" t="s">
        <v>3250</v>
      </c>
      <c r="I1858" t="s">
        <v>3250</v>
      </c>
      <c r="J1858" t="s">
        <v>3250</v>
      </c>
      <c r="K1858" t="s">
        <v>3250</v>
      </c>
      <c r="L1858">
        <v>1200</v>
      </c>
      <c r="M1858" t="s">
        <v>2368</v>
      </c>
      <c r="N1858">
        <v>1206</v>
      </c>
      <c r="O1858" t="s">
        <v>285</v>
      </c>
      <c r="P1858" t="s">
        <v>3108</v>
      </c>
      <c r="Q1858" t="s">
        <v>3249</v>
      </c>
      <c r="R1858" t="s">
        <v>3249</v>
      </c>
      <c r="S1858" t="s">
        <v>472</v>
      </c>
      <c r="T1858" t="s">
        <v>3789</v>
      </c>
      <c r="U1858">
        <v>410</v>
      </c>
      <c r="V1858" t="s">
        <v>5193</v>
      </c>
      <c r="W1858">
        <v>410</v>
      </c>
      <c r="X1858" t="s">
        <v>884</v>
      </c>
      <c r="Y1858" t="s">
        <v>3250</v>
      </c>
      <c r="Z1858" t="s">
        <v>3250</v>
      </c>
      <c r="AA1858" t="s">
        <v>3108</v>
      </c>
      <c r="AB1858" t="s">
        <v>3108</v>
      </c>
      <c r="AC1858" t="s">
        <v>3250</v>
      </c>
      <c r="AD1858" t="s">
        <v>3250</v>
      </c>
      <c r="AE1858" t="s">
        <v>3250</v>
      </c>
      <c r="AF1858" t="s">
        <v>3250</v>
      </c>
      <c r="AG1858" t="s">
        <v>3250</v>
      </c>
      <c r="AH1858" t="s">
        <v>3250</v>
      </c>
      <c r="AI1858" t="s">
        <v>3250</v>
      </c>
      <c r="AJ1858" t="s">
        <v>3250</v>
      </c>
      <c r="AL1858">
        <v>411</v>
      </c>
      <c r="AM1858" t="s">
        <v>1172</v>
      </c>
      <c r="AN1858">
        <v>411</v>
      </c>
      <c r="AO1858" t="s">
        <v>1172</v>
      </c>
      <c r="AS1858" t="s">
        <v>3250</v>
      </c>
      <c r="AT1858" t="s">
        <v>3250</v>
      </c>
      <c r="AU1858" t="s">
        <v>3250</v>
      </c>
      <c r="AV1858" t="s">
        <v>3250</v>
      </c>
      <c r="AW1858" t="s">
        <v>3250</v>
      </c>
      <c r="AX1858" t="s">
        <v>3250</v>
      </c>
      <c r="AY1858" t="s">
        <v>3250</v>
      </c>
      <c r="AZ1858" t="s">
        <v>3250</v>
      </c>
      <c r="BA1858" t="s">
        <v>3250</v>
      </c>
      <c r="BB1858" t="s">
        <v>3250</v>
      </c>
      <c r="BC1858" t="s">
        <v>3250</v>
      </c>
      <c r="BE1858" t="s">
        <v>3250</v>
      </c>
      <c r="BF1858" t="s">
        <v>3250</v>
      </c>
      <c r="BG1858" t="s">
        <v>3250</v>
      </c>
      <c r="BH1858" t="s">
        <v>3250</v>
      </c>
      <c r="BI1858" t="s">
        <v>3250</v>
      </c>
      <c r="BK1858" t="s">
        <v>3250</v>
      </c>
      <c r="BL1858" t="s">
        <v>3250</v>
      </c>
      <c r="BM1858" t="s">
        <v>3250</v>
      </c>
      <c r="BN1858" t="s">
        <v>3250</v>
      </c>
      <c r="BP1858">
        <v>1</v>
      </c>
      <c r="BQ1858">
        <v>15</v>
      </c>
      <c r="BR1858" t="s">
        <v>285</v>
      </c>
      <c r="BS1858" t="s">
        <v>3252</v>
      </c>
      <c r="BV1858">
        <v>0</v>
      </c>
      <c r="BW1858">
        <v>0</v>
      </c>
      <c r="BX1858">
        <v>0</v>
      </c>
      <c r="BY1858">
        <v>0</v>
      </c>
      <c r="BZ1858">
        <v>0</v>
      </c>
      <c r="CA1858">
        <v>0</v>
      </c>
      <c r="CB1858">
        <v>0</v>
      </c>
      <c r="CC1858">
        <v>0</v>
      </c>
      <c r="CD1858">
        <v>0</v>
      </c>
      <c r="CE1858" t="s">
        <v>3108</v>
      </c>
      <c r="CF1858" t="s">
        <v>3108</v>
      </c>
      <c r="CG1858" t="s">
        <v>3108</v>
      </c>
      <c r="CH1858" t="s">
        <v>3108</v>
      </c>
    </row>
    <row r="1859" spans="1:86" x14ac:dyDescent="0.2">
      <c r="A1859" t="s">
        <v>5934</v>
      </c>
      <c r="B1859" t="s">
        <v>5934</v>
      </c>
      <c r="C1859">
        <v>54982</v>
      </c>
      <c r="D1859">
        <v>1966</v>
      </c>
      <c r="E1859" t="s">
        <v>5935</v>
      </c>
      <c r="F1859" t="s">
        <v>3249</v>
      </c>
      <c r="G1859" t="s">
        <v>3249</v>
      </c>
      <c r="H1859" t="s">
        <v>3250</v>
      </c>
      <c r="I1859" t="s">
        <v>3250</v>
      </c>
      <c r="J1859" t="s">
        <v>3250</v>
      </c>
      <c r="K1859" t="s">
        <v>3250</v>
      </c>
      <c r="L1859">
        <v>1200</v>
      </c>
      <c r="M1859" t="s">
        <v>2368</v>
      </c>
      <c r="N1859">
        <v>1206</v>
      </c>
      <c r="O1859" t="s">
        <v>285</v>
      </c>
      <c r="P1859" t="s">
        <v>3108</v>
      </c>
      <c r="Q1859" t="s">
        <v>3249</v>
      </c>
      <c r="R1859" t="s">
        <v>3249</v>
      </c>
      <c r="S1859" t="s">
        <v>472</v>
      </c>
      <c r="T1859" t="s">
        <v>3789</v>
      </c>
      <c r="U1859">
        <v>410</v>
      </c>
      <c r="V1859" t="s">
        <v>5193</v>
      </c>
      <c r="W1859">
        <v>410</v>
      </c>
      <c r="X1859" t="s">
        <v>884</v>
      </c>
      <c r="Y1859" t="s">
        <v>3250</v>
      </c>
      <c r="Z1859" t="s">
        <v>3250</v>
      </c>
      <c r="AA1859" t="s">
        <v>3108</v>
      </c>
      <c r="AB1859" t="s">
        <v>3108</v>
      </c>
      <c r="AC1859" t="s">
        <v>3250</v>
      </c>
      <c r="AD1859" t="s">
        <v>3250</v>
      </c>
      <c r="AE1859" t="s">
        <v>3250</v>
      </c>
      <c r="AF1859" t="s">
        <v>3250</v>
      </c>
      <c r="AG1859" t="s">
        <v>3250</v>
      </c>
      <c r="AH1859" t="s">
        <v>3250</v>
      </c>
      <c r="AI1859" t="s">
        <v>3250</v>
      </c>
      <c r="AJ1859" t="s">
        <v>3250</v>
      </c>
      <c r="AL1859">
        <v>411</v>
      </c>
      <c r="AM1859" t="s">
        <v>1172</v>
      </c>
      <c r="AN1859">
        <v>411</v>
      </c>
      <c r="AO1859" t="s">
        <v>1172</v>
      </c>
      <c r="AS1859" t="s">
        <v>3250</v>
      </c>
      <c r="AT1859" t="s">
        <v>3250</v>
      </c>
      <c r="AU1859" t="s">
        <v>3250</v>
      </c>
      <c r="AV1859" t="s">
        <v>3250</v>
      </c>
      <c r="AW1859" t="s">
        <v>3250</v>
      </c>
      <c r="AX1859" t="s">
        <v>3250</v>
      </c>
      <c r="AY1859" t="s">
        <v>3250</v>
      </c>
      <c r="AZ1859" t="s">
        <v>3250</v>
      </c>
      <c r="BA1859" t="s">
        <v>3250</v>
      </c>
      <c r="BB1859" t="s">
        <v>3250</v>
      </c>
      <c r="BC1859" t="s">
        <v>3250</v>
      </c>
      <c r="BE1859" t="s">
        <v>3250</v>
      </c>
      <c r="BF1859" t="s">
        <v>3250</v>
      </c>
      <c r="BG1859" t="s">
        <v>3250</v>
      </c>
      <c r="BH1859" t="s">
        <v>3250</v>
      </c>
      <c r="BI1859" t="s">
        <v>3250</v>
      </c>
      <c r="BK1859" t="s">
        <v>3250</v>
      </c>
      <c r="BL1859" t="s">
        <v>3250</v>
      </c>
      <c r="BM1859" t="s">
        <v>3250</v>
      </c>
      <c r="BN1859" t="s">
        <v>3250</v>
      </c>
      <c r="BP1859">
        <v>1</v>
      </c>
      <c r="BQ1859">
        <v>15</v>
      </c>
      <c r="BR1859" t="s">
        <v>285</v>
      </c>
      <c r="BS1859" t="s">
        <v>3252</v>
      </c>
      <c r="BV1859">
        <v>0</v>
      </c>
      <c r="BW1859">
        <v>0</v>
      </c>
      <c r="BX1859">
        <v>0</v>
      </c>
      <c r="BY1859">
        <v>0</v>
      </c>
      <c r="BZ1859">
        <v>0</v>
      </c>
      <c r="CA1859">
        <v>0</v>
      </c>
      <c r="CB1859">
        <v>0</v>
      </c>
      <c r="CC1859">
        <v>0</v>
      </c>
      <c r="CD1859">
        <v>0</v>
      </c>
      <c r="CE1859" t="s">
        <v>3108</v>
      </c>
      <c r="CF1859" t="s">
        <v>3108</v>
      </c>
      <c r="CG1859" t="s">
        <v>3108</v>
      </c>
      <c r="CH1859" t="s">
        <v>3108</v>
      </c>
    </row>
    <row r="1860" spans="1:86" x14ac:dyDescent="0.2">
      <c r="A1860" t="s">
        <v>5936</v>
      </c>
      <c r="B1860" t="s">
        <v>5936</v>
      </c>
      <c r="C1860">
        <v>54983</v>
      </c>
      <c r="D1860">
        <v>1967</v>
      </c>
      <c r="E1860" t="s">
        <v>5937</v>
      </c>
      <c r="F1860" t="s">
        <v>3249</v>
      </c>
      <c r="G1860" t="s">
        <v>3249</v>
      </c>
      <c r="H1860" t="s">
        <v>3250</v>
      </c>
      <c r="I1860" t="s">
        <v>3250</v>
      </c>
      <c r="J1860" t="s">
        <v>3250</v>
      </c>
      <c r="K1860" t="s">
        <v>3250</v>
      </c>
      <c r="L1860">
        <v>1200</v>
      </c>
      <c r="M1860" t="s">
        <v>2368</v>
      </c>
      <c r="N1860">
        <v>1206</v>
      </c>
      <c r="O1860" t="s">
        <v>285</v>
      </c>
      <c r="P1860" t="s">
        <v>3108</v>
      </c>
      <c r="Q1860" t="s">
        <v>3249</v>
      </c>
      <c r="R1860" t="s">
        <v>3249</v>
      </c>
      <c r="S1860" t="s">
        <v>472</v>
      </c>
      <c r="T1860" t="s">
        <v>3789</v>
      </c>
      <c r="U1860">
        <v>410</v>
      </c>
      <c r="V1860" t="s">
        <v>5193</v>
      </c>
      <c r="W1860">
        <v>410</v>
      </c>
      <c r="X1860" t="s">
        <v>884</v>
      </c>
      <c r="Y1860" t="s">
        <v>3250</v>
      </c>
      <c r="Z1860" t="s">
        <v>3250</v>
      </c>
      <c r="AA1860" t="s">
        <v>3108</v>
      </c>
      <c r="AB1860" t="s">
        <v>3108</v>
      </c>
      <c r="AC1860" t="s">
        <v>3250</v>
      </c>
      <c r="AD1860" t="s">
        <v>3250</v>
      </c>
      <c r="AE1860" t="s">
        <v>3250</v>
      </c>
      <c r="AF1860" t="s">
        <v>3250</v>
      </c>
      <c r="AG1860" t="s">
        <v>3250</v>
      </c>
      <c r="AH1860" t="s">
        <v>3250</v>
      </c>
      <c r="AI1860" t="s">
        <v>3250</v>
      </c>
      <c r="AJ1860" t="s">
        <v>3250</v>
      </c>
      <c r="AL1860">
        <v>411</v>
      </c>
      <c r="AM1860" t="s">
        <v>1172</v>
      </c>
      <c r="AN1860">
        <v>411</v>
      </c>
      <c r="AO1860" t="s">
        <v>1172</v>
      </c>
      <c r="AS1860" t="s">
        <v>3250</v>
      </c>
      <c r="AT1860" t="s">
        <v>3250</v>
      </c>
      <c r="AU1860" t="s">
        <v>3250</v>
      </c>
      <c r="AV1860" t="s">
        <v>3250</v>
      </c>
      <c r="AW1860" t="s">
        <v>3250</v>
      </c>
      <c r="AX1860" t="s">
        <v>3250</v>
      </c>
      <c r="AY1860" t="s">
        <v>3250</v>
      </c>
      <c r="AZ1860" t="s">
        <v>3250</v>
      </c>
      <c r="BA1860" t="s">
        <v>3250</v>
      </c>
      <c r="BB1860" t="s">
        <v>3250</v>
      </c>
      <c r="BC1860" t="s">
        <v>3250</v>
      </c>
      <c r="BE1860" t="s">
        <v>3250</v>
      </c>
      <c r="BF1860" t="s">
        <v>3250</v>
      </c>
      <c r="BG1860" t="s">
        <v>3250</v>
      </c>
      <c r="BH1860" t="s">
        <v>3250</v>
      </c>
      <c r="BI1860" t="s">
        <v>3250</v>
      </c>
      <c r="BK1860" t="s">
        <v>3250</v>
      </c>
      <c r="BL1860" t="s">
        <v>3250</v>
      </c>
      <c r="BM1860" t="s">
        <v>3250</v>
      </c>
      <c r="BN1860" t="s">
        <v>3250</v>
      </c>
      <c r="BP1860">
        <v>1</v>
      </c>
      <c r="BQ1860">
        <v>15</v>
      </c>
      <c r="BR1860" t="s">
        <v>285</v>
      </c>
      <c r="BS1860" t="s">
        <v>3252</v>
      </c>
      <c r="BV1860">
        <v>0</v>
      </c>
      <c r="BW1860">
        <v>0</v>
      </c>
      <c r="BX1860">
        <v>0</v>
      </c>
      <c r="BY1860">
        <v>-500000</v>
      </c>
      <c r="BZ1860">
        <v>0</v>
      </c>
      <c r="CA1860">
        <v>0</v>
      </c>
      <c r="CB1860">
        <v>0</v>
      </c>
      <c r="CC1860">
        <v>0</v>
      </c>
      <c r="CD1860">
        <v>0</v>
      </c>
      <c r="CE1860" t="s">
        <v>3108</v>
      </c>
      <c r="CF1860" t="s">
        <v>3108</v>
      </c>
      <c r="CG1860" t="s">
        <v>3108</v>
      </c>
      <c r="CH1860" t="s">
        <v>3108</v>
      </c>
    </row>
    <row r="1861" spans="1:86" x14ac:dyDescent="0.2">
      <c r="A1861" t="s">
        <v>5938</v>
      </c>
      <c r="B1861" t="s">
        <v>5938</v>
      </c>
      <c r="C1861">
        <v>54984</v>
      </c>
      <c r="D1861">
        <v>1968</v>
      </c>
      <c r="E1861" t="s">
        <v>5939</v>
      </c>
      <c r="F1861" t="s">
        <v>3249</v>
      </c>
      <c r="G1861" t="s">
        <v>3249</v>
      </c>
      <c r="H1861" t="s">
        <v>3250</v>
      </c>
      <c r="I1861" t="s">
        <v>3250</v>
      </c>
      <c r="J1861" t="s">
        <v>3250</v>
      </c>
      <c r="K1861" t="s">
        <v>3250</v>
      </c>
      <c r="L1861">
        <v>1200</v>
      </c>
      <c r="M1861" t="s">
        <v>2368</v>
      </c>
      <c r="N1861">
        <v>1206</v>
      </c>
      <c r="O1861" t="s">
        <v>285</v>
      </c>
      <c r="P1861" t="s">
        <v>3108</v>
      </c>
      <c r="Q1861" t="s">
        <v>3249</v>
      </c>
      <c r="R1861" t="s">
        <v>3249</v>
      </c>
      <c r="S1861" t="s">
        <v>472</v>
      </c>
      <c r="T1861" t="s">
        <v>3789</v>
      </c>
      <c r="U1861">
        <v>410</v>
      </c>
      <c r="V1861" t="s">
        <v>5193</v>
      </c>
      <c r="W1861">
        <v>410</v>
      </c>
      <c r="X1861" t="s">
        <v>884</v>
      </c>
      <c r="Y1861" t="s">
        <v>3250</v>
      </c>
      <c r="Z1861" t="s">
        <v>3250</v>
      </c>
      <c r="AA1861" t="s">
        <v>3108</v>
      </c>
      <c r="AB1861" t="s">
        <v>3108</v>
      </c>
      <c r="AC1861" t="s">
        <v>3250</v>
      </c>
      <c r="AD1861" t="s">
        <v>3250</v>
      </c>
      <c r="AE1861" t="s">
        <v>3250</v>
      </c>
      <c r="AF1861" t="s">
        <v>3250</v>
      </c>
      <c r="AG1861" t="s">
        <v>3250</v>
      </c>
      <c r="AH1861" t="s">
        <v>3250</v>
      </c>
      <c r="AI1861" t="s">
        <v>3250</v>
      </c>
      <c r="AJ1861" t="s">
        <v>3250</v>
      </c>
      <c r="AL1861">
        <v>411</v>
      </c>
      <c r="AM1861" t="s">
        <v>1172</v>
      </c>
      <c r="AN1861">
        <v>411</v>
      </c>
      <c r="AO1861" t="s">
        <v>1172</v>
      </c>
      <c r="AS1861" t="s">
        <v>3250</v>
      </c>
      <c r="AT1861" t="s">
        <v>3250</v>
      </c>
      <c r="AU1861" t="s">
        <v>3250</v>
      </c>
      <c r="AV1861" t="s">
        <v>3250</v>
      </c>
      <c r="AW1861" t="s">
        <v>3250</v>
      </c>
      <c r="AX1861" t="s">
        <v>3250</v>
      </c>
      <c r="AY1861" t="s">
        <v>3250</v>
      </c>
      <c r="AZ1861" t="s">
        <v>3250</v>
      </c>
      <c r="BA1861" t="s">
        <v>3250</v>
      </c>
      <c r="BB1861" t="s">
        <v>3250</v>
      </c>
      <c r="BC1861" t="s">
        <v>3250</v>
      </c>
      <c r="BE1861" t="s">
        <v>3250</v>
      </c>
      <c r="BF1861" t="s">
        <v>3250</v>
      </c>
      <c r="BG1861" t="s">
        <v>3250</v>
      </c>
      <c r="BH1861" t="s">
        <v>3250</v>
      </c>
      <c r="BI1861" t="s">
        <v>3250</v>
      </c>
      <c r="BK1861" t="s">
        <v>3250</v>
      </c>
      <c r="BL1861" t="s">
        <v>3250</v>
      </c>
      <c r="BM1861" t="s">
        <v>3250</v>
      </c>
      <c r="BN1861" t="s">
        <v>3250</v>
      </c>
      <c r="BP1861">
        <v>1</v>
      </c>
      <c r="BQ1861">
        <v>15</v>
      </c>
      <c r="BR1861" t="s">
        <v>285</v>
      </c>
      <c r="BS1861" t="s">
        <v>3252</v>
      </c>
      <c r="BV1861">
        <v>0</v>
      </c>
      <c r="BW1861">
        <v>0</v>
      </c>
      <c r="BX1861">
        <v>0</v>
      </c>
      <c r="BY1861">
        <v>-1619624</v>
      </c>
      <c r="BZ1861">
        <v>-4158000</v>
      </c>
      <c r="CA1861">
        <v>0</v>
      </c>
      <c r="CB1861">
        <v>0</v>
      </c>
      <c r="CC1861">
        <v>0</v>
      </c>
      <c r="CD1861">
        <v>0</v>
      </c>
      <c r="CE1861" t="s">
        <v>3108</v>
      </c>
      <c r="CF1861" t="s">
        <v>3108</v>
      </c>
      <c r="CG1861" t="s">
        <v>3108</v>
      </c>
      <c r="CH1861" t="s">
        <v>3108</v>
      </c>
    </row>
    <row r="1862" spans="1:86" x14ac:dyDescent="0.2">
      <c r="A1862" t="s">
        <v>5940</v>
      </c>
      <c r="B1862" t="s">
        <v>5940</v>
      </c>
      <c r="C1862">
        <v>54985</v>
      </c>
      <c r="D1862">
        <v>1969</v>
      </c>
      <c r="E1862" t="s">
        <v>5941</v>
      </c>
      <c r="F1862" t="s">
        <v>3249</v>
      </c>
      <c r="G1862" t="s">
        <v>3249</v>
      </c>
      <c r="H1862" t="s">
        <v>3250</v>
      </c>
      <c r="I1862" t="s">
        <v>3250</v>
      </c>
      <c r="J1862" t="s">
        <v>3250</v>
      </c>
      <c r="K1862" t="s">
        <v>3250</v>
      </c>
      <c r="L1862">
        <v>1200</v>
      </c>
      <c r="M1862" t="s">
        <v>2368</v>
      </c>
      <c r="N1862">
        <v>1206</v>
      </c>
      <c r="O1862" t="s">
        <v>285</v>
      </c>
      <c r="P1862" t="s">
        <v>3108</v>
      </c>
      <c r="Q1862" t="s">
        <v>3249</v>
      </c>
      <c r="R1862" t="s">
        <v>3249</v>
      </c>
      <c r="S1862" t="s">
        <v>472</v>
      </c>
      <c r="T1862" t="s">
        <v>3789</v>
      </c>
      <c r="U1862">
        <v>410</v>
      </c>
      <c r="V1862" t="s">
        <v>5193</v>
      </c>
      <c r="W1862">
        <v>410</v>
      </c>
      <c r="X1862" t="s">
        <v>884</v>
      </c>
      <c r="Y1862" t="s">
        <v>3250</v>
      </c>
      <c r="Z1862" t="s">
        <v>3250</v>
      </c>
      <c r="AA1862" t="s">
        <v>3108</v>
      </c>
      <c r="AB1862" t="s">
        <v>3108</v>
      </c>
      <c r="AC1862" t="s">
        <v>3250</v>
      </c>
      <c r="AD1862" t="s">
        <v>3250</v>
      </c>
      <c r="AE1862" t="s">
        <v>3250</v>
      </c>
      <c r="AF1862" t="s">
        <v>3250</v>
      </c>
      <c r="AG1862" t="s">
        <v>3250</v>
      </c>
      <c r="AH1862" t="s">
        <v>3250</v>
      </c>
      <c r="AI1862" t="s">
        <v>3250</v>
      </c>
      <c r="AJ1862" t="s">
        <v>3250</v>
      </c>
      <c r="AL1862">
        <v>411</v>
      </c>
      <c r="AM1862" t="s">
        <v>1172</v>
      </c>
      <c r="AN1862">
        <v>411</v>
      </c>
      <c r="AO1862" t="s">
        <v>1172</v>
      </c>
      <c r="AS1862" t="s">
        <v>3250</v>
      </c>
      <c r="AT1862" t="s">
        <v>3250</v>
      </c>
      <c r="AU1862" t="s">
        <v>3250</v>
      </c>
      <c r="AV1862" t="s">
        <v>3250</v>
      </c>
      <c r="AW1862" t="s">
        <v>3250</v>
      </c>
      <c r="AX1862" t="s">
        <v>3250</v>
      </c>
      <c r="AY1862" t="s">
        <v>3250</v>
      </c>
      <c r="AZ1862" t="s">
        <v>3250</v>
      </c>
      <c r="BA1862" t="s">
        <v>3250</v>
      </c>
      <c r="BB1862" t="s">
        <v>3250</v>
      </c>
      <c r="BC1862" t="s">
        <v>3250</v>
      </c>
      <c r="BE1862" t="s">
        <v>3250</v>
      </c>
      <c r="BF1862" t="s">
        <v>3250</v>
      </c>
      <c r="BG1862" t="s">
        <v>3250</v>
      </c>
      <c r="BH1862" t="s">
        <v>3250</v>
      </c>
      <c r="BI1862" t="s">
        <v>3250</v>
      </c>
      <c r="BK1862" t="s">
        <v>3250</v>
      </c>
      <c r="BL1862" t="s">
        <v>3250</v>
      </c>
      <c r="BM1862" t="s">
        <v>3250</v>
      </c>
      <c r="BN1862" t="s">
        <v>3250</v>
      </c>
      <c r="BP1862">
        <v>1</v>
      </c>
      <c r="BQ1862">
        <v>15</v>
      </c>
      <c r="BR1862" t="s">
        <v>285</v>
      </c>
      <c r="BS1862" t="s">
        <v>3252</v>
      </c>
      <c r="BV1862">
        <v>0</v>
      </c>
      <c r="BW1862">
        <v>0</v>
      </c>
      <c r="BX1862">
        <v>0</v>
      </c>
      <c r="BY1862">
        <v>0</v>
      </c>
      <c r="BZ1862">
        <v>0</v>
      </c>
      <c r="CA1862">
        <v>0</v>
      </c>
      <c r="CB1862">
        <v>0</v>
      </c>
      <c r="CC1862">
        <v>0</v>
      </c>
      <c r="CD1862">
        <v>0</v>
      </c>
      <c r="CE1862" t="s">
        <v>3108</v>
      </c>
      <c r="CF1862" t="s">
        <v>3108</v>
      </c>
      <c r="CG1862" t="s">
        <v>3108</v>
      </c>
      <c r="CH1862" t="s">
        <v>3108</v>
      </c>
    </row>
    <row r="1863" spans="1:86" x14ac:dyDescent="0.2">
      <c r="A1863" t="s">
        <v>5942</v>
      </c>
      <c r="B1863" t="s">
        <v>5942</v>
      </c>
      <c r="C1863">
        <v>54986</v>
      </c>
      <c r="D1863">
        <v>1970</v>
      </c>
      <c r="E1863" t="s">
        <v>5943</v>
      </c>
      <c r="F1863" t="s">
        <v>3249</v>
      </c>
      <c r="G1863" t="s">
        <v>3249</v>
      </c>
      <c r="H1863" t="s">
        <v>3250</v>
      </c>
      <c r="I1863" t="s">
        <v>3250</v>
      </c>
      <c r="J1863" t="s">
        <v>3250</v>
      </c>
      <c r="K1863" t="s">
        <v>3250</v>
      </c>
      <c r="L1863">
        <v>1200</v>
      </c>
      <c r="M1863" t="s">
        <v>2368</v>
      </c>
      <c r="N1863">
        <v>1204</v>
      </c>
      <c r="O1863" t="s">
        <v>1574</v>
      </c>
      <c r="P1863" t="s">
        <v>3108</v>
      </c>
      <c r="Q1863" t="s">
        <v>3249</v>
      </c>
      <c r="R1863" t="s">
        <v>3249</v>
      </c>
      <c r="S1863" t="s">
        <v>472</v>
      </c>
      <c r="T1863" t="s">
        <v>3251</v>
      </c>
      <c r="U1863">
        <v>140</v>
      </c>
      <c r="V1863" t="s">
        <v>1327</v>
      </c>
      <c r="W1863">
        <v>140</v>
      </c>
      <c r="X1863" t="s">
        <v>1327</v>
      </c>
      <c r="Y1863" t="s">
        <v>3250</v>
      </c>
      <c r="Z1863" t="s">
        <v>3250</v>
      </c>
      <c r="AA1863" t="s">
        <v>3108</v>
      </c>
      <c r="AB1863" t="s">
        <v>3108</v>
      </c>
      <c r="AC1863" t="s">
        <v>3250</v>
      </c>
      <c r="AD1863" t="s">
        <v>3250</v>
      </c>
      <c r="AE1863" t="s">
        <v>3250</v>
      </c>
      <c r="AF1863" t="s">
        <v>3250</v>
      </c>
      <c r="AG1863" t="s">
        <v>3250</v>
      </c>
      <c r="AH1863" t="s">
        <v>3250</v>
      </c>
      <c r="AI1863" t="s">
        <v>3250</v>
      </c>
      <c r="AJ1863" t="s">
        <v>3250</v>
      </c>
      <c r="AL1863">
        <v>141</v>
      </c>
      <c r="AM1863" t="s">
        <v>1327</v>
      </c>
      <c r="AN1863">
        <v>141</v>
      </c>
      <c r="AO1863" t="s">
        <v>1327</v>
      </c>
      <c r="AS1863" t="s">
        <v>3250</v>
      </c>
      <c r="AT1863" t="s">
        <v>3250</v>
      </c>
      <c r="AU1863" t="s">
        <v>3250</v>
      </c>
      <c r="AV1863" t="s">
        <v>3250</v>
      </c>
      <c r="AW1863" t="s">
        <v>3250</v>
      </c>
      <c r="AX1863" t="s">
        <v>3250</v>
      </c>
      <c r="AY1863" t="s">
        <v>3250</v>
      </c>
      <c r="AZ1863" t="s">
        <v>3250</v>
      </c>
      <c r="BA1863" t="s">
        <v>3250</v>
      </c>
      <c r="BB1863" t="s">
        <v>3250</v>
      </c>
      <c r="BC1863" t="s">
        <v>3250</v>
      </c>
      <c r="BE1863" t="s">
        <v>3250</v>
      </c>
      <c r="BF1863" t="s">
        <v>3250</v>
      </c>
      <c r="BG1863" t="s">
        <v>3250</v>
      </c>
      <c r="BH1863" t="s">
        <v>3250</v>
      </c>
      <c r="BI1863" t="s">
        <v>3250</v>
      </c>
      <c r="BK1863" t="s">
        <v>3250</v>
      </c>
      <c r="BL1863" t="s">
        <v>3250</v>
      </c>
      <c r="BM1863" t="s">
        <v>3250</v>
      </c>
      <c r="BN1863" t="s">
        <v>3250</v>
      </c>
      <c r="BP1863">
        <v>1</v>
      </c>
      <c r="BQ1863">
        <v>11</v>
      </c>
      <c r="BR1863" t="s">
        <v>1574</v>
      </c>
      <c r="BS1863" t="s">
        <v>3252</v>
      </c>
      <c r="BV1863">
        <v>0</v>
      </c>
      <c r="BW1863">
        <v>0</v>
      </c>
      <c r="BX1863">
        <v>0</v>
      </c>
      <c r="BY1863">
        <v>0</v>
      </c>
      <c r="BZ1863">
        <v>19344466</v>
      </c>
      <c r="CA1863">
        <v>0</v>
      </c>
      <c r="CB1863">
        <v>0</v>
      </c>
      <c r="CC1863">
        <v>0</v>
      </c>
      <c r="CD1863">
        <v>0</v>
      </c>
      <c r="CE1863" t="s">
        <v>3108</v>
      </c>
      <c r="CF1863" t="s">
        <v>3108</v>
      </c>
      <c r="CG1863" t="s">
        <v>3108</v>
      </c>
      <c r="CH1863" t="s">
        <v>3108</v>
      </c>
    </row>
    <row r="1864" spans="1:86" x14ac:dyDescent="0.2">
      <c r="A1864" t="s">
        <v>5944</v>
      </c>
      <c r="B1864" t="s">
        <v>5944</v>
      </c>
      <c r="C1864">
        <v>54987</v>
      </c>
      <c r="D1864">
        <v>1971</v>
      </c>
      <c r="E1864" t="s">
        <v>5945</v>
      </c>
      <c r="F1864" t="s">
        <v>3249</v>
      </c>
      <c r="G1864" t="s">
        <v>3249</v>
      </c>
      <c r="H1864" t="s">
        <v>3250</v>
      </c>
      <c r="I1864" t="s">
        <v>3250</v>
      </c>
      <c r="J1864" t="s">
        <v>3250</v>
      </c>
      <c r="K1864" t="s">
        <v>3250</v>
      </c>
      <c r="L1864">
        <v>1200</v>
      </c>
      <c r="M1864" t="s">
        <v>2368</v>
      </c>
      <c r="N1864">
        <v>1204</v>
      </c>
      <c r="O1864" t="s">
        <v>1574</v>
      </c>
      <c r="P1864" t="s">
        <v>3108</v>
      </c>
      <c r="Q1864" t="s">
        <v>3249</v>
      </c>
      <c r="R1864" t="s">
        <v>3249</v>
      </c>
      <c r="S1864" t="s">
        <v>472</v>
      </c>
      <c r="T1864" t="s">
        <v>3251</v>
      </c>
      <c r="U1864">
        <v>140</v>
      </c>
      <c r="V1864" t="s">
        <v>1327</v>
      </c>
      <c r="W1864">
        <v>140</v>
      </c>
      <c r="X1864" t="s">
        <v>1327</v>
      </c>
      <c r="Y1864" t="s">
        <v>3250</v>
      </c>
      <c r="Z1864" t="s">
        <v>3250</v>
      </c>
      <c r="AA1864" t="s">
        <v>3108</v>
      </c>
      <c r="AB1864" t="s">
        <v>3108</v>
      </c>
      <c r="AC1864" t="s">
        <v>3250</v>
      </c>
      <c r="AD1864" t="s">
        <v>3250</v>
      </c>
      <c r="AE1864" t="s">
        <v>3250</v>
      </c>
      <c r="AF1864" t="s">
        <v>3250</v>
      </c>
      <c r="AG1864" t="s">
        <v>3250</v>
      </c>
      <c r="AH1864" t="s">
        <v>3250</v>
      </c>
      <c r="AI1864" t="s">
        <v>3250</v>
      </c>
      <c r="AJ1864" t="s">
        <v>3250</v>
      </c>
      <c r="AL1864">
        <v>141</v>
      </c>
      <c r="AM1864" t="s">
        <v>1327</v>
      </c>
      <c r="AN1864">
        <v>141</v>
      </c>
      <c r="AO1864" t="s">
        <v>1327</v>
      </c>
      <c r="AS1864" t="s">
        <v>3250</v>
      </c>
      <c r="AT1864" t="s">
        <v>3250</v>
      </c>
      <c r="AU1864" t="s">
        <v>3250</v>
      </c>
      <c r="AV1864" t="s">
        <v>3250</v>
      </c>
      <c r="AW1864" t="s">
        <v>3250</v>
      </c>
      <c r="AX1864" t="s">
        <v>3250</v>
      </c>
      <c r="AY1864" t="s">
        <v>3250</v>
      </c>
      <c r="AZ1864" t="s">
        <v>3250</v>
      </c>
      <c r="BA1864" t="s">
        <v>3250</v>
      </c>
      <c r="BB1864" t="s">
        <v>3250</v>
      </c>
      <c r="BC1864" t="s">
        <v>3250</v>
      </c>
      <c r="BE1864" t="s">
        <v>3250</v>
      </c>
      <c r="BF1864" t="s">
        <v>3250</v>
      </c>
      <c r="BG1864" t="s">
        <v>3250</v>
      </c>
      <c r="BH1864" t="s">
        <v>3250</v>
      </c>
      <c r="BI1864" t="s">
        <v>3250</v>
      </c>
      <c r="BK1864" t="s">
        <v>3250</v>
      </c>
      <c r="BL1864" t="s">
        <v>3250</v>
      </c>
      <c r="BM1864" t="s">
        <v>3250</v>
      </c>
      <c r="BN1864" t="s">
        <v>3250</v>
      </c>
      <c r="BP1864">
        <v>1</v>
      </c>
      <c r="BQ1864">
        <v>11</v>
      </c>
      <c r="BR1864" t="s">
        <v>1574</v>
      </c>
      <c r="BS1864" t="s">
        <v>3252</v>
      </c>
      <c r="BV1864">
        <v>0</v>
      </c>
      <c r="BW1864">
        <v>0</v>
      </c>
      <c r="BX1864">
        <v>0</v>
      </c>
      <c r="BY1864">
        <v>0</v>
      </c>
      <c r="BZ1864">
        <v>0</v>
      </c>
      <c r="CA1864">
        <v>0</v>
      </c>
      <c r="CB1864">
        <v>0</v>
      </c>
      <c r="CC1864">
        <v>0</v>
      </c>
      <c r="CD1864">
        <v>0</v>
      </c>
      <c r="CE1864" t="s">
        <v>3108</v>
      </c>
      <c r="CF1864" t="s">
        <v>3108</v>
      </c>
      <c r="CG1864" t="s">
        <v>3108</v>
      </c>
      <c r="CH1864" t="s">
        <v>3108</v>
      </c>
    </row>
    <row r="1865" spans="1:86" x14ac:dyDescent="0.2">
      <c r="A1865" t="s">
        <v>5946</v>
      </c>
      <c r="B1865" t="s">
        <v>5946</v>
      </c>
      <c r="C1865">
        <v>54988</v>
      </c>
      <c r="D1865">
        <v>1972</v>
      </c>
      <c r="E1865" t="s">
        <v>5947</v>
      </c>
      <c r="F1865" t="s">
        <v>3249</v>
      </c>
      <c r="G1865" t="s">
        <v>3249</v>
      </c>
      <c r="H1865" t="s">
        <v>3250</v>
      </c>
      <c r="I1865" t="s">
        <v>3250</v>
      </c>
      <c r="J1865" t="s">
        <v>3250</v>
      </c>
      <c r="K1865" t="s">
        <v>3250</v>
      </c>
      <c r="L1865">
        <v>1200</v>
      </c>
      <c r="M1865" t="s">
        <v>2368</v>
      </c>
      <c r="N1865">
        <v>1204</v>
      </c>
      <c r="O1865" t="s">
        <v>1574</v>
      </c>
      <c r="P1865" t="s">
        <v>3108</v>
      </c>
      <c r="Q1865" t="s">
        <v>3249</v>
      </c>
      <c r="R1865" t="s">
        <v>3249</v>
      </c>
      <c r="S1865" t="s">
        <v>472</v>
      </c>
      <c r="T1865" t="s">
        <v>3251</v>
      </c>
      <c r="U1865">
        <v>140</v>
      </c>
      <c r="V1865" t="s">
        <v>1327</v>
      </c>
      <c r="W1865">
        <v>140</v>
      </c>
      <c r="X1865" t="s">
        <v>1327</v>
      </c>
      <c r="Y1865" t="s">
        <v>3250</v>
      </c>
      <c r="Z1865" t="s">
        <v>3250</v>
      </c>
      <c r="AA1865" t="s">
        <v>3108</v>
      </c>
      <c r="AB1865" t="s">
        <v>3108</v>
      </c>
      <c r="AC1865" t="s">
        <v>3250</v>
      </c>
      <c r="AD1865" t="s">
        <v>3250</v>
      </c>
      <c r="AE1865" t="s">
        <v>3250</v>
      </c>
      <c r="AF1865" t="s">
        <v>3250</v>
      </c>
      <c r="AG1865" t="s">
        <v>3250</v>
      </c>
      <c r="AH1865" t="s">
        <v>3250</v>
      </c>
      <c r="AI1865" t="s">
        <v>3250</v>
      </c>
      <c r="AJ1865" t="s">
        <v>3250</v>
      </c>
      <c r="AL1865">
        <v>141</v>
      </c>
      <c r="AM1865" t="s">
        <v>1327</v>
      </c>
      <c r="AN1865">
        <v>141</v>
      </c>
      <c r="AO1865" t="s">
        <v>1327</v>
      </c>
      <c r="AS1865" t="s">
        <v>3250</v>
      </c>
      <c r="AT1865" t="s">
        <v>3250</v>
      </c>
      <c r="AU1865" t="s">
        <v>3250</v>
      </c>
      <c r="AV1865" t="s">
        <v>3250</v>
      </c>
      <c r="AW1865" t="s">
        <v>3250</v>
      </c>
      <c r="AX1865" t="s">
        <v>3250</v>
      </c>
      <c r="AY1865" t="s">
        <v>3250</v>
      </c>
      <c r="AZ1865" t="s">
        <v>3250</v>
      </c>
      <c r="BA1865" t="s">
        <v>3250</v>
      </c>
      <c r="BB1865" t="s">
        <v>3250</v>
      </c>
      <c r="BC1865" t="s">
        <v>3250</v>
      </c>
      <c r="BE1865" t="s">
        <v>3250</v>
      </c>
      <c r="BF1865" t="s">
        <v>3250</v>
      </c>
      <c r="BG1865" t="s">
        <v>3250</v>
      </c>
      <c r="BH1865" t="s">
        <v>3250</v>
      </c>
      <c r="BI1865" t="s">
        <v>3250</v>
      </c>
      <c r="BK1865" t="s">
        <v>3250</v>
      </c>
      <c r="BL1865" t="s">
        <v>3250</v>
      </c>
      <c r="BM1865" t="s">
        <v>3250</v>
      </c>
      <c r="BN1865" t="s">
        <v>3250</v>
      </c>
      <c r="BP1865">
        <v>1</v>
      </c>
      <c r="BQ1865">
        <v>11</v>
      </c>
      <c r="BR1865" t="s">
        <v>1574</v>
      </c>
      <c r="BS1865" t="s">
        <v>3252</v>
      </c>
      <c r="BV1865">
        <v>0</v>
      </c>
      <c r="BW1865">
        <v>0</v>
      </c>
      <c r="BX1865">
        <v>0</v>
      </c>
      <c r="BY1865">
        <v>0</v>
      </c>
      <c r="BZ1865">
        <v>0</v>
      </c>
      <c r="CA1865">
        <v>0</v>
      </c>
      <c r="CB1865">
        <v>0</v>
      </c>
      <c r="CC1865">
        <v>0</v>
      </c>
      <c r="CD1865">
        <v>0</v>
      </c>
      <c r="CE1865" t="s">
        <v>3108</v>
      </c>
      <c r="CF1865" t="s">
        <v>3108</v>
      </c>
      <c r="CG1865" t="s">
        <v>3108</v>
      </c>
      <c r="CH1865" t="s">
        <v>3108</v>
      </c>
    </row>
    <row r="1866" spans="1:86" x14ac:dyDescent="0.2">
      <c r="A1866" t="s">
        <v>5948</v>
      </c>
      <c r="B1866" t="s">
        <v>5948</v>
      </c>
      <c r="C1866">
        <v>54989</v>
      </c>
      <c r="D1866">
        <v>1973</v>
      </c>
      <c r="E1866" t="s">
        <v>5949</v>
      </c>
      <c r="F1866" t="s">
        <v>3249</v>
      </c>
      <c r="G1866" t="s">
        <v>3249</v>
      </c>
      <c r="H1866" t="s">
        <v>3250</v>
      </c>
      <c r="I1866" t="s">
        <v>3250</v>
      </c>
      <c r="J1866" t="s">
        <v>3250</v>
      </c>
      <c r="K1866" t="s">
        <v>3250</v>
      </c>
      <c r="L1866">
        <v>1200</v>
      </c>
      <c r="M1866" t="s">
        <v>2368</v>
      </c>
      <c r="N1866">
        <v>1204</v>
      </c>
      <c r="O1866" t="s">
        <v>1574</v>
      </c>
      <c r="P1866" t="s">
        <v>3108</v>
      </c>
      <c r="Q1866" t="s">
        <v>3249</v>
      </c>
      <c r="R1866" t="s">
        <v>3249</v>
      </c>
      <c r="S1866" t="s">
        <v>472</v>
      </c>
      <c r="T1866" t="s">
        <v>3251</v>
      </c>
      <c r="U1866">
        <v>140</v>
      </c>
      <c r="V1866" t="s">
        <v>1327</v>
      </c>
      <c r="W1866">
        <v>140</v>
      </c>
      <c r="X1866" t="s">
        <v>1327</v>
      </c>
      <c r="Y1866" t="s">
        <v>3250</v>
      </c>
      <c r="Z1866" t="s">
        <v>3250</v>
      </c>
      <c r="AA1866" t="s">
        <v>3108</v>
      </c>
      <c r="AB1866" t="s">
        <v>3108</v>
      </c>
      <c r="AC1866" t="s">
        <v>3250</v>
      </c>
      <c r="AD1866" t="s">
        <v>3250</v>
      </c>
      <c r="AE1866" t="s">
        <v>3250</v>
      </c>
      <c r="AF1866" t="s">
        <v>3250</v>
      </c>
      <c r="AG1866" t="s">
        <v>3250</v>
      </c>
      <c r="AH1866" t="s">
        <v>3250</v>
      </c>
      <c r="AI1866" t="s">
        <v>3250</v>
      </c>
      <c r="AJ1866" t="s">
        <v>3250</v>
      </c>
      <c r="AL1866">
        <v>141</v>
      </c>
      <c r="AM1866" t="s">
        <v>1327</v>
      </c>
      <c r="AN1866">
        <v>141</v>
      </c>
      <c r="AO1866" t="s">
        <v>1327</v>
      </c>
      <c r="AS1866" t="s">
        <v>3250</v>
      </c>
      <c r="AT1866" t="s">
        <v>3250</v>
      </c>
      <c r="AU1866" t="s">
        <v>3250</v>
      </c>
      <c r="AV1866" t="s">
        <v>3250</v>
      </c>
      <c r="AW1866" t="s">
        <v>3250</v>
      </c>
      <c r="AX1866" t="s">
        <v>3250</v>
      </c>
      <c r="AY1866" t="s">
        <v>3250</v>
      </c>
      <c r="AZ1866" t="s">
        <v>3250</v>
      </c>
      <c r="BA1866" t="s">
        <v>3250</v>
      </c>
      <c r="BB1866" t="s">
        <v>3250</v>
      </c>
      <c r="BC1866" t="s">
        <v>3250</v>
      </c>
      <c r="BE1866" t="s">
        <v>3250</v>
      </c>
      <c r="BF1866" t="s">
        <v>3250</v>
      </c>
      <c r="BG1866" t="s">
        <v>3250</v>
      </c>
      <c r="BH1866" t="s">
        <v>3250</v>
      </c>
      <c r="BI1866" t="s">
        <v>3250</v>
      </c>
      <c r="BK1866" t="s">
        <v>3250</v>
      </c>
      <c r="BL1866" t="s">
        <v>3250</v>
      </c>
      <c r="BM1866" t="s">
        <v>3250</v>
      </c>
      <c r="BN1866" t="s">
        <v>3250</v>
      </c>
      <c r="BP1866">
        <v>1</v>
      </c>
      <c r="BQ1866">
        <v>11</v>
      </c>
      <c r="BR1866" t="s">
        <v>1574</v>
      </c>
      <c r="BS1866" t="s">
        <v>3252</v>
      </c>
      <c r="BV1866">
        <v>0</v>
      </c>
      <c r="BW1866">
        <v>0</v>
      </c>
      <c r="BX1866">
        <v>0</v>
      </c>
      <c r="BY1866">
        <v>0</v>
      </c>
      <c r="BZ1866">
        <v>0</v>
      </c>
      <c r="CA1866">
        <v>0</v>
      </c>
      <c r="CB1866">
        <v>0</v>
      </c>
      <c r="CC1866">
        <v>0</v>
      </c>
      <c r="CD1866">
        <v>0</v>
      </c>
      <c r="CE1866" t="s">
        <v>3108</v>
      </c>
      <c r="CF1866" t="s">
        <v>3108</v>
      </c>
      <c r="CG1866" t="s">
        <v>3108</v>
      </c>
      <c r="CH1866" t="s">
        <v>3108</v>
      </c>
    </row>
    <row r="1867" spans="1:86" x14ac:dyDescent="0.2">
      <c r="A1867" t="s">
        <v>5950</v>
      </c>
      <c r="B1867" t="s">
        <v>5950</v>
      </c>
      <c r="C1867">
        <v>54990</v>
      </c>
      <c r="D1867">
        <v>1974</v>
      </c>
      <c r="E1867" t="s">
        <v>5951</v>
      </c>
      <c r="F1867" t="s">
        <v>3249</v>
      </c>
      <c r="G1867" t="s">
        <v>3249</v>
      </c>
      <c r="H1867" t="s">
        <v>3250</v>
      </c>
      <c r="I1867" t="s">
        <v>3250</v>
      </c>
      <c r="J1867" t="s">
        <v>3250</v>
      </c>
      <c r="K1867" t="s">
        <v>3250</v>
      </c>
      <c r="L1867">
        <v>1200</v>
      </c>
      <c r="M1867" t="s">
        <v>2368</v>
      </c>
      <c r="N1867">
        <v>1204</v>
      </c>
      <c r="O1867" t="s">
        <v>1574</v>
      </c>
      <c r="P1867" t="s">
        <v>3108</v>
      </c>
      <c r="Q1867" t="s">
        <v>3249</v>
      </c>
      <c r="R1867" t="s">
        <v>3249</v>
      </c>
      <c r="S1867" t="s">
        <v>472</v>
      </c>
      <c r="T1867" t="s">
        <v>3251</v>
      </c>
      <c r="U1867">
        <v>140</v>
      </c>
      <c r="V1867" t="s">
        <v>1327</v>
      </c>
      <c r="W1867">
        <v>140</v>
      </c>
      <c r="X1867" t="s">
        <v>1327</v>
      </c>
      <c r="Y1867" t="s">
        <v>3250</v>
      </c>
      <c r="Z1867" t="s">
        <v>3250</v>
      </c>
      <c r="AA1867" t="s">
        <v>3108</v>
      </c>
      <c r="AB1867" t="s">
        <v>3108</v>
      </c>
      <c r="AC1867" t="s">
        <v>3250</v>
      </c>
      <c r="AD1867" t="s">
        <v>3250</v>
      </c>
      <c r="AE1867" t="s">
        <v>3250</v>
      </c>
      <c r="AF1867" t="s">
        <v>3250</v>
      </c>
      <c r="AG1867" t="s">
        <v>3250</v>
      </c>
      <c r="AH1867" t="s">
        <v>3250</v>
      </c>
      <c r="AI1867" t="s">
        <v>3250</v>
      </c>
      <c r="AJ1867" t="s">
        <v>3250</v>
      </c>
      <c r="AL1867">
        <v>141</v>
      </c>
      <c r="AM1867" t="s">
        <v>1327</v>
      </c>
      <c r="AN1867">
        <v>141</v>
      </c>
      <c r="AO1867" t="s">
        <v>1327</v>
      </c>
      <c r="AS1867" t="s">
        <v>3250</v>
      </c>
      <c r="AT1867" t="s">
        <v>3250</v>
      </c>
      <c r="AU1867" t="s">
        <v>3250</v>
      </c>
      <c r="AV1867" t="s">
        <v>3250</v>
      </c>
      <c r="AW1867" t="s">
        <v>3250</v>
      </c>
      <c r="AX1867" t="s">
        <v>3250</v>
      </c>
      <c r="AY1867" t="s">
        <v>3250</v>
      </c>
      <c r="AZ1867" t="s">
        <v>3250</v>
      </c>
      <c r="BA1867" t="s">
        <v>3250</v>
      </c>
      <c r="BB1867" t="s">
        <v>3250</v>
      </c>
      <c r="BC1867" t="s">
        <v>3250</v>
      </c>
      <c r="BE1867" t="s">
        <v>3250</v>
      </c>
      <c r="BF1867" t="s">
        <v>3250</v>
      </c>
      <c r="BG1867" t="s">
        <v>3250</v>
      </c>
      <c r="BH1867" t="s">
        <v>3250</v>
      </c>
      <c r="BI1867" t="s">
        <v>3250</v>
      </c>
      <c r="BK1867" t="s">
        <v>3250</v>
      </c>
      <c r="BL1867" t="s">
        <v>3250</v>
      </c>
      <c r="BM1867" t="s">
        <v>3250</v>
      </c>
      <c r="BN1867" t="s">
        <v>3250</v>
      </c>
      <c r="BP1867">
        <v>1</v>
      </c>
      <c r="BQ1867">
        <v>11</v>
      </c>
      <c r="BR1867" t="s">
        <v>1574</v>
      </c>
      <c r="BS1867" t="s">
        <v>3252</v>
      </c>
      <c r="BV1867">
        <v>0</v>
      </c>
      <c r="BW1867">
        <v>0</v>
      </c>
      <c r="BX1867">
        <v>0</v>
      </c>
      <c r="BY1867">
        <v>0</v>
      </c>
      <c r="BZ1867">
        <v>0</v>
      </c>
      <c r="CA1867">
        <v>0</v>
      </c>
      <c r="CB1867">
        <v>0</v>
      </c>
      <c r="CC1867">
        <v>0</v>
      </c>
      <c r="CD1867">
        <v>0</v>
      </c>
      <c r="CE1867" t="s">
        <v>3108</v>
      </c>
      <c r="CF1867" t="s">
        <v>3108</v>
      </c>
      <c r="CG1867" t="s">
        <v>3108</v>
      </c>
      <c r="CH1867" t="s">
        <v>3108</v>
      </c>
    </row>
    <row r="1868" spans="1:86" x14ac:dyDescent="0.2">
      <c r="A1868" t="s">
        <v>5952</v>
      </c>
      <c r="B1868" t="s">
        <v>5952</v>
      </c>
      <c r="C1868">
        <v>54991</v>
      </c>
      <c r="D1868">
        <v>1975</v>
      </c>
      <c r="E1868" t="s">
        <v>5953</v>
      </c>
      <c r="F1868" t="s">
        <v>3249</v>
      </c>
      <c r="G1868" t="s">
        <v>3249</v>
      </c>
      <c r="H1868" t="s">
        <v>3250</v>
      </c>
      <c r="I1868" t="s">
        <v>3250</v>
      </c>
      <c r="J1868" t="s">
        <v>3250</v>
      </c>
      <c r="K1868" t="s">
        <v>3250</v>
      </c>
      <c r="L1868">
        <v>1200</v>
      </c>
      <c r="M1868" t="s">
        <v>2368</v>
      </c>
      <c r="N1868">
        <v>1204</v>
      </c>
      <c r="O1868" t="s">
        <v>1574</v>
      </c>
      <c r="P1868" t="s">
        <v>3108</v>
      </c>
      <c r="Q1868" t="s">
        <v>3249</v>
      </c>
      <c r="R1868" t="s">
        <v>3249</v>
      </c>
      <c r="S1868" t="s">
        <v>472</v>
      </c>
      <c r="T1868" t="s">
        <v>3251</v>
      </c>
      <c r="U1868">
        <v>140</v>
      </c>
      <c r="V1868" t="s">
        <v>1327</v>
      </c>
      <c r="W1868">
        <v>140</v>
      </c>
      <c r="X1868" t="s">
        <v>1327</v>
      </c>
      <c r="Y1868" t="s">
        <v>3250</v>
      </c>
      <c r="Z1868" t="s">
        <v>3250</v>
      </c>
      <c r="AA1868" t="s">
        <v>3108</v>
      </c>
      <c r="AB1868" t="s">
        <v>3108</v>
      </c>
      <c r="AC1868" t="s">
        <v>3250</v>
      </c>
      <c r="AD1868" t="s">
        <v>3250</v>
      </c>
      <c r="AE1868" t="s">
        <v>3250</v>
      </c>
      <c r="AF1868" t="s">
        <v>3250</v>
      </c>
      <c r="AG1868" t="s">
        <v>3250</v>
      </c>
      <c r="AH1868" t="s">
        <v>3250</v>
      </c>
      <c r="AI1868" t="s">
        <v>3250</v>
      </c>
      <c r="AJ1868" t="s">
        <v>3250</v>
      </c>
      <c r="AL1868">
        <v>141</v>
      </c>
      <c r="AM1868" t="s">
        <v>1327</v>
      </c>
      <c r="AN1868">
        <v>141</v>
      </c>
      <c r="AO1868" t="s">
        <v>1327</v>
      </c>
      <c r="AS1868" t="s">
        <v>3250</v>
      </c>
      <c r="AT1868" t="s">
        <v>3250</v>
      </c>
      <c r="AU1868" t="s">
        <v>3250</v>
      </c>
      <c r="AV1868" t="s">
        <v>3250</v>
      </c>
      <c r="AW1868" t="s">
        <v>3250</v>
      </c>
      <c r="AX1868" t="s">
        <v>3250</v>
      </c>
      <c r="AY1868" t="s">
        <v>3250</v>
      </c>
      <c r="AZ1868" t="s">
        <v>3250</v>
      </c>
      <c r="BA1868" t="s">
        <v>3250</v>
      </c>
      <c r="BB1868" t="s">
        <v>3250</v>
      </c>
      <c r="BC1868" t="s">
        <v>3250</v>
      </c>
      <c r="BE1868" t="s">
        <v>3250</v>
      </c>
      <c r="BF1868" t="s">
        <v>3250</v>
      </c>
      <c r="BG1868" t="s">
        <v>3250</v>
      </c>
      <c r="BH1868" t="s">
        <v>3250</v>
      </c>
      <c r="BI1868" t="s">
        <v>3250</v>
      </c>
      <c r="BK1868" t="s">
        <v>3250</v>
      </c>
      <c r="BL1868" t="s">
        <v>3250</v>
      </c>
      <c r="BM1868" t="s">
        <v>3250</v>
      </c>
      <c r="BN1868" t="s">
        <v>3250</v>
      </c>
      <c r="BP1868">
        <v>1</v>
      </c>
      <c r="BQ1868">
        <v>11</v>
      </c>
      <c r="BR1868" t="s">
        <v>1574</v>
      </c>
      <c r="BS1868" t="s">
        <v>3252</v>
      </c>
      <c r="BV1868">
        <v>0</v>
      </c>
      <c r="BW1868">
        <v>0</v>
      </c>
      <c r="BX1868">
        <v>0</v>
      </c>
      <c r="BY1868">
        <v>18359940</v>
      </c>
      <c r="BZ1868">
        <v>0</v>
      </c>
      <c r="CA1868">
        <v>21603466</v>
      </c>
      <c r="CB1868">
        <v>22467604</v>
      </c>
      <c r="CC1868">
        <v>23366308</v>
      </c>
      <c r="CD1868">
        <v>0</v>
      </c>
      <c r="CE1868" t="s">
        <v>3108</v>
      </c>
      <c r="CF1868" t="s">
        <v>3108</v>
      </c>
      <c r="CG1868" t="s">
        <v>3108</v>
      </c>
      <c r="CH1868" t="s">
        <v>3108</v>
      </c>
    </row>
    <row r="1869" spans="1:86" x14ac:dyDescent="0.2">
      <c r="A1869" t="s">
        <v>5954</v>
      </c>
      <c r="B1869" t="s">
        <v>5954</v>
      </c>
      <c r="C1869">
        <v>54992</v>
      </c>
      <c r="D1869">
        <v>1976</v>
      </c>
      <c r="E1869" t="s">
        <v>5955</v>
      </c>
      <c r="F1869" t="s">
        <v>3249</v>
      </c>
      <c r="G1869" t="s">
        <v>3249</v>
      </c>
      <c r="H1869" t="s">
        <v>3250</v>
      </c>
      <c r="I1869" t="s">
        <v>3250</v>
      </c>
      <c r="J1869" t="s">
        <v>3250</v>
      </c>
      <c r="K1869" t="s">
        <v>3250</v>
      </c>
      <c r="L1869">
        <v>4400</v>
      </c>
      <c r="M1869" t="s">
        <v>988</v>
      </c>
      <c r="N1869">
        <v>4403</v>
      </c>
      <c r="O1869" t="s">
        <v>2439</v>
      </c>
      <c r="P1869" t="s">
        <v>3108</v>
      </c>
      <c r="Q1869" t="s">
        <v>3249</v>
      </c>
      <c r="R1869" t="s">
        <v>3249</v>
      </c>
      <c r="S1869" t="s">
        <v>472</v>
      </c>
      <c r="T1869" t="s">
        <v>3251</v>
      </c>
      <c r="U1869">
        <v>140</v>
      </c>
      <c r="V1869" t="s">
        <v>1327</v>
      </c>
      <c r="W1869">
        <v>140</v>
      </c>
      <c r="X1869" t="s">
        <v>1327</v>
      </c>
      <c r="Y1869" t="s">
        <v>3250</v>
      </c>
      <c r="Z1869" t="s">
        <v>3250</v>
      </c>
      <c r="AA1869" t="s">
        <v>3108</v>
      </c>
      <c r="AB1869" t="s">
        <v>3108</v>
      </c>
      <c r="AC1869" t="s">
        <v>3250</v>
      </c>
      <c r="AD1869" t="s">
        <v>3250</v>
      </c>
      <c r="AE1869" t="s">
        <v>3250</v>
      </c>
      <c r="AF1869" t="s">
        <v>3250</v>
      </c>
      <c r="AG1869" t="s">
        <v>3250</v>
      </c>
      <c r="AH1869" t="s">
        <v>3250</v>
      </c>
      <c r="AI1869" t="s">
        <v>3250</v>
      </c>
      <c r="AJ1869" t="s">
        <v>3250</v>
      </c>
      <c r="AL1869">
        <v>141</v>
      </c>
      <c r="AM1869" t="s">
        <v>1327</v>
      </c>
      <c r="AN1869">
        <v>141</v>
      </c>
      <c r="AO1869" t="s">
        <v>1327</v>
      </c>
      <c r="AS1869" t="s">
        <v>3250</v>
      </c>
      <c r="AT1869" t="s">
        <v>3250</v>
      </c>
      <c r="AU1869" t="s">
        <v>3250</v>
      </c>
      <c r="AV1869" t="s">
        <v>3250</v>
      </c>
      <c r="AW1869" t="s">
        <v>3250</v>
      </c>
      <c r="AX1869" t="s">
        <v>3250</v>
      </c>
      <c r="AY1869" t="s">
        <v>3250</v>
      </c>
      <c r="AZ1869" t="s">
        <v>3250</v>
      </c>
      <c r="BA1869" t="s">
        <v>3250</v>
      </c>
      <c r="BB1869" t="s">
        <v>3250</v>
      </c>
      <c r="BC1869" t="s">
        <v>3250</v>
      </c>
      <c r="BE1869" t="s">
        <v>3250</v>
      </c>
      <c r="BF1869" t="s">
        <v>3250</v>
      </c>
      <c r="BG1869" t="s">
        <v>3250</v>
      </c>
      <c r="BH1869" t="s">
        <v>3250</v>
      </c>
      <c r="BI1869" t="s">
        <v>3250</v>
      </c>
      <c r="BK1869" t="s">
        <v>3250</v>
      </c>
      <c r="BL1869" t="s">
        <v>3250</v>
      </c>
      <c r="BM1869" t="s">
        <v>3250</v>
      </c>
      <c r="BN1869" t="s">
        <v>3250</v>
      </c>
      <c r="BP1869">
        <v>12</v>
      </c>
      <c r="BQ1869">
        <v>121</v>
      </c>
      <c r="BR1869" t="s">
        <v>2439</v>
      </c>
      <c r="BS1869" t="s">
        <v>941</v>
      </c>
      <c r="BV1869">
        <v>0</v>
      </c>
      <c r="BW1869">
        <v>0</v>
      </c>
      <c r="BX1869">
        <v>0</v>
      </c>
      <c r="BY1869">
        <v>415898</v>
      </c>
      <c r="BZ1869">
        <v>1642306</v>
      </c>
      <c r="CA1869">
        <v>604544</v>
      </c>
      <c r="CB1869">
        <v>449403</v>
      </c>
      <c r="CC1869">
        <v>467379</v>
      </c>
      <c r="CD1869">
        <v>0</v>
      </c>
      <c r="CE1869" t="s">
        <v>3108</v>
      </c>
      <c r="CF1869" t="s">
        <v>3108</v>
      </c>
      <c r="CG1869" t="s">
        <v>3108</v>
      </c>
      <c r="CH1869" t="s">
        <v>3108</v>
      </c>
    </row>
    <row r="1870" spans="1:86" x14ac:dyDescent="0.2">
      <c r="A1870" t="s">
        <v>5956</v>
      </c>
      <c r="B1870" t="s">
        <v>5956</v>
      </c>
      <c r="C1870">
        <v>54993</v>
      </c>
      <c r="D1870">
        <v>1993</v>
      </c>
      <c r="E1870" t="s">
        <v>5957</v>
      </c>
      <c r="F1870">
        <v>2100</v>
      </c>
      <c r="G1870" t="s">
        <v>458</v>
      </c>
      <c r="H1870">
        <v>210005</v>
      </c>
      <c r="I1870" t="s">
        <v>1793</v>
      </c>
      <c r="J1870" t="s">
        <v>3250</v>
      </c>
      <c r="K1870" t="s">
        <v>3250</v>
      </c>
      <c r="L1870">
        <v>1100</v>
      </c>
      <c r="M1870" t="s">
        <v>119</v>
      </c>
      <c r="N1870">
        <v>1110</v>
      </c>
      <c r="O1870" t="s">
        <v>284</v>
      </c>
      <c r="P1870" t="s">
        <v>3108</v>
      </c>
      <c r="Q1870" t="s">
        <v>3249</v>
      </c>
      <c r="R1870" t="s">
        <v>3249</v>
      </c>
      <c r="S1870" t="s">
        <v>810</v>
      </c>
      <c r="T1870" t="s">
        <v>2754</v>
      </c>
      <c r="U1870" t="s">
        <v>3250</v>
      </c>
      <c r="V1870" t="s">
        <v>3250</v>
      </c>
      <c r="W1870" t="s">
        <v>3250</v>
      </c>
      <c r="X1870" t="s">
        <v>3250</v>
      </c>
      <c r="Y1870" t="s">
        <v>3250</v>
      </c>
      <c r="Z1870" t="s">
        <v>3250</v>
      </c>
      <c r="AA1870" t="s">
        <v>3108</v>
      </c>
      <c r="AB1870" t="s">
        <v>3108</v>
      </c>
      <c r="AC1870" t="s">
        <v>3250</v>
      </c>
      <c r="AD1870" t="s">
        <v>3250</v>
      </c>
      <c r="AE1870" t="s">
        <v>3250</v>
      </c>
      <c r="AF1870" t="s">
        <v>3250</v>
      </c>
      <c r="AG1870" t="s">
        <v>3250</v>
      </c>
      <c r="AH1870" t="s">
        <v>3250</v>
      </c>
      <c r="AI1870" t="s">
        <v>3250</v>
      </c>
      <c r="AJ1870" t="s">
        <v>3250</v>
      </c>
      <c r="AL1870" t="s">
        <v>3250</v>
      </c>
      <c r="AM1870" t="s">
        <v>3250</v>
      </c>
      <c r="AN1870" t="s">
        <v>3250</v>
      </c>
      <c r="AO1870" t="s">
        <v>3250</v>
      </c>
      <c r="AS1870" t="s">
        <v>3250</v>
      </c>
      <c r="AT1870" t="s">
        <v>3250</v>
      </c>
      <c r="AU1870" t="s">
        <v>3250</v>
      </c>
      <c r="AV1870" t="s">
        <v>3250</v>
      </c>
      <c r="AW1870" t="s">
        <v>3250</v>
      </c>
      <c r="AX1870" t="s">
        <v>3250</v>
      </c>
      <c r="AY1870" t="s">
        <v>3250</v>
      </c>
      <c r="AZ1870" t="s">
        <v>3250</v>
      </c>
      <c r="BA1870" t="s">
        <v>3250</v>
      </c>
      <c r="BB1870" t="s">
        <v>3250</v>
      </c>
      <c r="BC1870" t="s">
        <v>3250</v>
      </c>
      <c r="BE1870" t="s">
        <v>3250</v>
      </c>
      <c r="BF1870" t="s">
        <v>3250</v>
      </c>
      <c r="BG1870" t="s">
        <v>3250</v>
      </c>
      <c r="BH1870" t="s">
        <v>3250</v>
      </c>
      <c r="BI1870" t="s">
        <v>3250</v>
      </c>
      <c r="BK1870" t="s">
        <v>3250</v>
      </c>
      <c r="BL1870" t="s">
        <v>3250</v>
      </c>
      <c r="BM1870" t="s">
        <v>3250</v>
      </c>
      <c r="BN1870" t="s">
        <v>3250</v>
      </c>
      <c r="BP1870">
        <v>3</v>
      </c>
      <c r="BQ1870">
        <v>32</v>
      </c>
      <c r="BR1870" t="s">
        <v>284</v>
      </c>
      <c r="BS1870" t="s">
        <v>4381</v>
      </c>
      <c r="BV1870">
        <v>0</v>
      </c>
      <c r="BW1870">
        <v>0</v>
      </c>
      <c r="BX1870">
        <v>0</v>
      </c>
      <c r="BY1870">
        <v>0</v>
      </c>
      <c r="BZ1870">
        <v>0</v>
      </c>
      <c r="CA1870">
        <v>0</v>
      </c>
      <c r="CB1870">
        <v>0</v>
      </c>
      <c r="CC1870">
        <v>0</v>
      </c>
      <c r="CD1870">
        <v>0</v>
      </c>
      <c r="CE1870" t="s">
        <v>3108</v>
      </c>
      <c r="CF1870" t="s">
        <v>3108</v>
      </c>
      <c r="CG1870" t="s">
        <v>3108</v>
      </c>
      <c r="CH1870" t="s">
        <v>3108</v>
      </c>
    </row>
    <row r="1871" spans="1:86" x14ac:dyDescent="0.2">
      <c r="A1871" t="s">
        <v>5958</v>
      </c>
      <c r="B1871" t="s">
        <v>5958</v>
      </c>
      <c r="C1871">
        <v>54994</v>
      </c>
      <c r="D1871">
        <v>1994</v>
      </c>
      <c r="E1871" t="s">
        <v>5687</v>
      </c>
      <c r="F1871" t="s">
        <v>3249</v>
      </c>
      <c r="G1871" t="s">
        <v>3249</v>
      </c>
      <c r="H1871" t="s">
        <v>3250</v>
      </c>
      <c r="I1871" t="s">
        <v>3250</v>
      </c>
      <c r="J1871" t="s">
        <v>3250</v>
      </c>
      <c r="K1871" t="s">
        <v>3250</v>
      </c>
      <c r="L1871">
        <v>1200</v>
      </c>
      <c r="M1871" t="s">
        <v>2368</v>
      </c>
      <c r="N1871">
        <v>1204</v>
      </c>
      <c r="O1871" t="s">
        <v>1574</v>
      </c>
      <c r="P1871" t="s">
        <v>3108</v>
      </c>
      <c r="Q1871" t="s">
        <v>3249</v>
      </c>
      <c r="R1871" t="s">
        <v>3249</v>
      </c>
      <c r="S1871" t="s">
        <v>472</v>
      </c>
      <c r="T1871" t="s">
        <v>3251</v>
      </c>
      <c r="U1871">
        <v>130</v>
      </c>
      <c r="V1871" t="s">
        <v>4716</v>
      </c>
      <c r="W1871">
        <v>130</v>
      </c>
      <c r="X1871" t="s">
        <v>4716</v>
      </c>
      <c r="Y1871" t="s">
        <v>3250</v>
      </c>
      <c r="Z1871" t="s">
        <v>3250</v>
      </c>
      <c r="AA1871" t="s">
        <v>3108</v>
      </c>
      <c r="AB1871" t="s">
        <v>3108</v>
      </c>
      <c r="AC1871" t="s">
        <v>3250</v>
      </c>
      <c r="AD1871" t="s">
        <v>3250</v>
      </c>
      <c r="AE1871" t="s">
        <v>3250</v>
      </c>
      <c r="AF1871" t="s">
        <v>3250</v>
      </c>
      <c r="AG1871" t="s">
        <v>3250</v>
      </c>
      <c r="AH1871" t="s">
        <v>3250</v>
      </c>
      <c r="AI1871" t="s">
        <v>3250</v>
      </c>
      <c r="AJ1871" t="s">
        <v>3250</v>
      </c>
      <c r="AL1871" t="s">
        <v>3250</v>
      </c>
      <c r="AM1871" t="s">
        <v>3250</v>
      </c>
      <c r="AN1871" t="s">
        <v>3250</v>
      </c>
      <c r="AO1871" t="s">
        <v>3250</v>
      </c>
      <c r="AS1871" t="s">
        <v>3250</v>
      </c>
      <c r="AT1871" t="s">
        <v>3250</v>
      </c>
      <c r="AU1871" t="s">
        <v>3250</v>
      </c>
      <c r="AV1871" t="s">
        <v>3250</v>
      </c>
      <c r="AW1871" t="s">
        <v>3250</v>
      </c>
      <c r="AX1871" t="s">
        <v>3250</v>
      </c>
      <c r="AY1871" t="s">
        <v>3250</v>
      </c>
      <c r="AZ1871" t="s">
        <v>3250</v>
      </c>
      <c r="BA1871" t="s">
        <v>3250</v>
      </c>
      <c r="BB1871" t="s">
        <v>3250</v>
      </c>
      <c r="BC1871" t="s">
        <v>3250</v>
      </c>
      <c r="BE1871" t="s">
        <v>3250</v>
      </c>
      <c r="BF1871" t="s">
        <v>3250</v>
      </c>
      <c r="BG1871" t="s">
        <v>3250</v>
      </c>
      <c r="BH1871" t="s">
        <v>3250</v>
      </c>
      <c r="BI1871" t="s">
        <v>3250</v>
      </c>
      <c r="BK1871" t="s">
        <v>3250</v>
      </c>
      <c r="BL1871" t="s">
        <v>3250</v>
      </c>
      <c r="BM1871" t="s">
        <v>3250</v>
      </c>
      <c r="BN1871" t="s">
        <v>3250</v>
      </c>
      <c r="BP1871">
        <v>1</v>
      </c>
      <c r="BQ1871">
        <v>11</v>
      </c>
      <c r="BR1871" t="s">
        <v>1574</v>
      </c>
      <c r="BS1871" t="s">
        <v>3252</v>
      </c>
      <c r="BV1871">
        <v>0</v>
      </c>
      <c r="BW1871">
        <v>0</v>
      </c>
      <c r="BX1871">
        <v>0</v>
      </c>
      <c r="BY1871">
        <v>0</v>
      </c>
      <c r="BZ1871">
        <v>0</v>
      </c>
      <c r="CA1871">
        <v>0</v>
      </c>
      <c r="CB1871">
        <v>0</v>
      </c>
      <c r="CC1871">
        <v>0</v>
      </c>
      <c r="CD1871">
        <v>0</v>
      </c>
      <c r="CE1871" t="s">
        <v>3108</v>
      </c>
      <c r="CF1871" t="s">
        <v>3108</v>
      </c>
      <c r="CG1871" t="s">
        <v>3108</v>
      </c>
      <c r="CH1871" t="s">
        <v>3108</v>
      </c>
    </row>
    <row r="1872" spans="1:86" x14ac:dyDescent="0.2">
      <c r="A1872" t="s">
        <v>5959</v>
      </c>
      <c r="B1872" t="s">
        <v>5959</v>
      </c>
      <c r="C1872">
        <v>54995</v>
      </c>
      <c r="D1872">
        <v>1995</v>
      </c>
      <c r="E1872" t="s">
        <v>5960</v>
      </c>
      <c r="F1872">
        <v>3500</v>
      </c>
      <c r="G1872" t="s">
        <v>2344</v>
      </c>
      <c r="H1872">
        <v>3500</v>
      </c>
      <c r="I1872" t="s">
        <v>2344</v>
      </c>
      <c r="J1872" t="s">
        <v>3250</v>
      </c>
      <c r="K1872" t="s">
        <v>3250</v>
      </c>
      <c r="L1872">
        <v>1200</v>
      </c>
      <c r="M1872" t="s">
        <v>2368</v>
      </c>
      <c r="N1872">
        <v>1202</v>
      </c>
      <c r="O1872" t="s">
        <v>2371</v>
      </c>
      <c r="P1872" t="s">
        <v>3108</v>
      </c>
      <c r="Q1872" t="s">
        <v>3249</v>
      </c>
      <c r="R1872" t="s">
        <v>3249</v>
      </c>
      <c r="S1872" t="s">
        <v>810</v>
      </c>
      <c r="T1872" t="s">
        <v>2759</v>
      </c>
      <c r="U1872" t="s">
        <v>3250</v>
      </c>
      <c r="V1872" t="s">
        <v>3250</v>
      </c>
      <c r="W1872" t="s">
        <v>3250</v>
      </c>
      <c r="X1872" t="s">
        <v>3250</v>
      </c>
      <c r="Y1872" t="s">
        <v>3250</v>
      </c>
      <c r="Z1872" t="s">
        <v>3250</v>
      </c>
      <c r="AA1872" t="s">
        <v>3108</v>
      </c>
      <c r="AB1872" t="s">
        <v>3108</v>
      </c>
      <c r="AC1872" t="s">
        <v>3250</v>
      </c>
      <c r="AD1872" t="s">
        <v>3250</v>
      </c>
      <c r="AE1872" t="s">
        <v>3250</v>
      </c>
      <c r="AF1872" t="s">
        <v>3250</v>
      </c>
      <c r="AG1872" t="s">
        <v>3250</v>
      </c>
      <c r="AH1872" t="s">
        <v>3250</v>
      </c>
      <c r="AI1872" t="s">
        <v>3250</v>
      </c>
      <c r="AJ1872" t="s">
        <v>3250</v>
      </c>
      <c r="AL1872" t="s">
        <v>3250</v>
      </c>
      <c r="AM1872" t="s">
        <v>3250</v>
      </c>
      <c r="AN1872" t="s">
        <v>3250</v>
      </c>
      <c r="AO1872" t="s">
        <v>3250</v>
      </c>
      <c r="AS1872" t="s">
        <v>3250</v>
      </c>
      <c r="AT1872" t="s">
        <v>3250</v>
      </c>
      <c r="AU1872" t="s">
        <v>3250</v>
      </c>
      <c r="AV1872" t="s">
        <v>3250</v>
      </c>
      <c r="AW1872" t="s">
        <v>3250</v>
      </c>
      <c r="AX1872" t="s">
        <v>3250</v>
      </c>
      <c r="AY1872" t="s">
        <v>3250</v>
      </c>
      <c r="AZ1872" t="s">
        <v>3250</v>
      </c>
      <c r="BA1872" t="s">
        <v>3250</v>
      </c>
      <c r="BB1872" t="s">
        <v>3250</v>
      </c>
      <c r="BC1872" t="s">
        <v>3250</v>
      </c>
      <c r="BE1872" t="s">
        <v>3250</v>
      </c>
      <c r="BF1872" t="s">
        <v>3250</v>
      </c>
      <c r="BG1872" t="s">
        <v>3250</v>
      </c>
      <c r="BH1872" t="s">
        <v>3250</v>
      </c>
      <c r="BI1872" t="s">
        <v>3250</v>
      </c>
      <c r="BK1872" t="s">
        <v>3250</v>
      </c>
      <c r="BL1872" t="s">
        <v>3250</v>
      </c>
      <c r="BM1872" t="s">
        <v>3250</v>
      </c>
      <c r="BN1872" t="s">
        <v>3250</v>
      </c>
      <c r="BP1872">
        <v>1</v>
      </c>
      <c r="BQ1872">
        <v>13</v>
      </c>
      <c r="BR1872" t="s">
        <v>2371</v>
      </c>
      <c r="BS1872" t="s">
        <v>3252</v>
      </c>
      <c r="BV1872">
        <v>120020</v>
      </c>
      <c r="BW1872">
        <v>0</v>
      </c>
      <c r="BX1872">
        <v>0</v>
      </c>
      <c r="BY1872">
        <v>0</v>
      </c>
      <c r="BZ1872">
        <v>0</v>
      </c>
      <c r="CA1872">
        <v>0</v>
      </c>
      <c r="CB1872">
        <v>0</v>
      </c>
      <c r="CC1872">
        <v>0</v>
      </c>
      <c r="CD1872">
        <v>10036</v>
      </c>
      <c r="CE1872" t="s">
        <v>3108</v>
      </c>
      <c r="CF1872" t="s">
        <v>3108</v>
      </c>
      <c r="CG1872" t="s">
        <v>3108</v>
      </c>
      <c r="CH1872" t="s">
        <v>3108</v>
      </c>
    </row>
    <row r="1873" spans="1:86" x14ac:dyDescent="0.2">
      <c r="A1873" t="s">
        <v>5961</v>
      </c>
      <c r="B1873" t="s">
        <v>5961</v>
      </c>
      <c r="C1873">
        <v>54996</v>
      </c>
      <c r="D1873">
        <v>1996</v>
      </c>
      <c r="E1873" t="s">
        <v>4832</v>
      </c>
      <c r="F1873" t="s">
        <v>3249</v>
      </c>
      <c r="G1873" t="s">
        <v>3249</v>
      </c>
      <c r="H1873" t="s">
        <v>3250</v>
      </c>
      <c r="I1873" t="s">
        <v>3250</v>
      </c>
      <c r="J1873" t="s">
        <v>3250</v>
      </c>
      <c r="K1873" t="s">
        <v>3250</v>
      </c>
      <c r="L1873">
        <v>1200</v>
      </c>
      <c r="M1873" t="s">
        <v>2368</v>
      </c>
      <c r="N1873">
        <v>1204</v>
      </c>
      <c r="O1873" t="s">
        <v>1574</v>
      </c>
      <c r="P1873" t="s">
        <v>3108</v>
      </c>
      <c r="Q1873" t="s">
        <v>3249</v>
      </c>
      <c r="R1873" t="s">
        <v>3249</v>
      </c>
      <c r="S1873" t="s">
        <v>472</v>
      </c>
      <c r="T1873" t="s">
        <v>3251</v>
      </c>
      <c r="U1873">
        <v>240</v>
      </c>
      <c r="V1873" t="s">
        <v>4251</v>
      </c>
      <c r="W1873">
        <v>240</v>
      </c>
      <c r="X1873" t="s">
        <v>1323</v>
      </c>
      <c r="Y1873" t="s">
        <v>3250</v>
      </c>
      <c r="Z1873" t="s">
        <v>3250</v>
      </c>
      <c r="AA1873" t="s">
        <v>3108</v>
      </c>
      <c r="AB1873" t="s">
        <v>3108</v>
      </c>
      <c r="AC1873" t="s">
        <v>3250</v>
      </c>
      <c r="AD1873" t="s">
        <v>3250</v>
      </c>
      <c r="AE1873" t="s">
        <v>3250</v>
      </c>
      <c r="AF1873" t="s">
        <v>3250</v>
      </c>
      <c r="AG1873">
        <v>1180</v>
      </c>
      <c r="AH1873" t="s">
        <v>1738</v>
      </c>
      <c r="AI1873">
        <v>1180</v>
      </c>
      <c r="AJ1873" t="s">
        <v>1738</v>
      </c>
      <c r="AL1873">
        <v>243</v>
      </c>
      <c r="AM1873" t="s">
        <v>700</v>
      </c>
      <c r="AN1873">
        <v>243</v>
      </c>
      <c r="AO1873" t="s">
        <v>700</v>
      </c>
      <c r="AS1873" t="s">
        <v>3250</v>
      </c>
      <c r="AT1873" t="s">
        <v>3250</v>
      </c>
      <c r="AU1873" t="s">
        <v>3250</v>
      </c>
      <c r="AV1873" t="s">
        <v>3250</v>
      </c>
      <c r="AW1873" t="s">
        <v>3250</v>
      </c>
      <c r="AX1873" t="s">
        <v>3250</v>
      </c>
      <c r="AY1873" t="s">
        <v>3250</v>
      </c>
      <c r="AZ1873" t="s">
        <v>3250</v>
      </c>
      <c r="BA1873" t="s">
        <v>3250</v>
      </c>
      <c r="BB1873" t="s">
        <v>3250</v>
      </c>
      <c r="BC1873" t="s">
        <v>3250</v>
      </c>
      <c r="BE1873" t="s">
        <v>3250</v>
      </c>
      <c r="BF1873" t="s">
        <v>3250</v>
      </c>
      <c r="BG1873" t="s">
        <v>3250</v>
      </c>
      <c r="BH1873" t="s">
        <v>3250</v>
      </c>
      <c r="BI1873" t="s">
        <v>3250</v>
      </c>
      <c r="BK1873" t="s">
        <v>3250</v>
      </c>
      <c r="BL1873" t="s">
        <v>3250</v>
      </c>
      <c r="BM1873" t="s">
        <v>3250</v>
      </c>
      <c r="BN1873" t="s">
        <v>3250</v>
      </c>
      <c r="BP1873">
        <v>1</v>
      </c>
      <c r="BQ1873">
        <v>11</v>
      </c>
      <c r="BR1873" t="s">
        <v>1574</v>
      </c>
      <c r="BS1873" t="s">
        <v>3252</v>
      </c>
      <c r="BV1873">
        <v>0</v>
      </c>
      <c r="BW1873">
        <v>0</v>
      </c>
      <c r="BX1873">
        <v>0</v>
      </c>
      <c r="BY1873">
        <v>0</v>
      </c>
      <c r="BZ1873">
        <v>0</v>
      </c>
      <c r="CA1873">
        <v>0</v>
      </c>
      <c r="CB1873">
        <v>0</v>
      </c>
      <c r="CC1873">
        <v>0</v>
      </c>
      <c r="CD1873">
        <v>0</v>
      </c>
      <c r="CE1873" t="s">
        <v>3108</v>
      </c>
      <c r="CF1873" t="s">
        <v>3108</v>
      </c>
      <c r="CG1873" t="s">
        <v>3108</v>
      </c>
      <c r="CH1873" t="s">
        <v>3108</v>
      </c>
    </row>
    <row r="1874" spans="1:86" x14ac:dyDescent="0.2">
      <c r="A1874" t="s">
        <v>5962</v>
      </c>
      <c r="B1874" t="s">
        <v>5962</v>
      </c>
      <c r="C1874">
        <v>54997</v>
      </c>
      <c r="D1874">
        <v>1997</v>
      </c>
      <c r="E1874" t="s">
        <v>4639</v>
      </c>
      <c r="F1874">
        <v>2300</v>
      </c>
      <c r="G1874" t="s">
        <v>1305</v>
      </c>
      <c r="H1874" t="s">
        <v>4628</v>
      </c>
      <c r="I1874" t="s">
        <v>1386</v>
      </c>
      <c r="J1874">
        <v>2301</v>
      </c>
      <c r="K1874" t="s">
        <v>4629</v>
      </c>
      <c r="L1874">
        <v>1200</v>
      </c>
      <c r="M1874" t="s">
        <v>2368</v>
      </c>
      <c r="N1874">
        <v>1204</v>
      </c>
      <c r="O1874" t="s">
        <v>1574</v>
      </c>
      <c r="P1874" t="s">
        <v>3108</v>
      </c>
      <c r="Q1874" t="s">
        <v>3249</v>
      </c>
      <c r="R1874" t="s">
        <v>3249</v>
      </c>
      <c r="S1874" t="s">
        <v>472</v>
      </c>
      <c r="T1874" t="s">
        <v>2754</v>
      </c>
      <c r="U1874" t="s">
        <v>3250</v>
      </c>
      <c r="V1874" t="s">
        <v>3250</v>
      </c>
      <c r="W1874" t="s">
        <v>3250</v>
      </c>
      <c r="X1874" t="s">
        <v>3250</v>
      </c>
      <c r="Y1874" t="s">
        <v>3250</v>
      </c>
      <c r="Z1874" t="s">
        <v>3250</v>
      </c>
      <c r="AA1874" t="s">
        <v>3108</v>
      </c>
      <c r="AB1874" t="s">
        <v>3108</v>
      </c>
      <c r="AC1874" t="s">
        <v>3250</v>
      </c>
      <c r="AD1874" t="s">
        <v>3250</v>
      </c>
      <c r="AE1874" t="s">
        <v>3250</v>
      </c>
      <c r="AF1874" t="s">
        <v>3250</v>
      </c>
      <c r="AG1874" t="s">
        <v>3250</v>
      </c>
      <c r="AH1874" t="s">
        <v>3250</v>
      </c>
      <c r="AI1874" t="s">
        <v>3250</v>
      </c>
      <c r="AJ1874" t="s">
        <v>3250</v>
      </c>
      <c r="AL1874" t="s">
        <v>3250</v>
      </c>
      <c r="AM1874" t="s">
        <v>3250</v>
      </c>
      <c r="AN1874" t="s">
        <v>3250</v>
      </c>
      <c r="AO1874" t="s">
        <v>3250</v>
      </c>
      <c r="AS1874" t="s">
        <v>3250</v>
      </c>
      <c r="AT1874" t="s">
        <v>3250</v>
      </c>
      <c r="AU1874" t="s">
        <v>3250</v>
      </c>
      <c r="AV1874" t="s">
        <v>3250</v>
      </c>
      <c r="AW1874" t="s">
        <v>3250</v>
      </c>
      <c r="AX1874" t="s">
        <v>3250</v>
      </c>
      <c r="AY1874" t="s">
        <v>3250</v>
      </c>
      <c r="AZ1874" t="s">
        <v>3250</v>
      </c>
      <c r="BA1874" t="s">
        <v>3250</v>
      </c>
      <c r="BB1874" t="s">
        <v>3250</v>
      </c>
      <c r="BC1874" t="s">
        <v>3250</v>
      </c>
      <c r="BE1874">
        <v>1200</v>
      </c>
      <c r="BF1874" t="s">
        <v>2310</v>
      </c>
      <c r="BG1874" t="s">
        <v>3250</v>
      </c>
      <c r="BH1874">
        <v>1200</v>
      </c>
      <c r="BI1874" t="s">
        <v>2310</v>
      </c>
      <c r="BJ1874" t="s">
        <v>2821</v>
      </c>
      <c r="BK1874" t="s">
        <v>3250</v>
      </c>
      <c r="BL1874" t="s">
        <v>3250</v>
      </c>
      <c r="BM1874" t="s">
        <v>3250</v>
      </c>
      <c r="BN1874" t="s">
        <v>3250</v>
      </c>
      <c r="BP1874">
        <v>1</v>
      </c>
      <c r="BQ1874">
        <v>11</v>
      </c>
      <c r="BR1874" t="s">
        <v>1574</v>
      </c>
      <c r="BS1874" t="s">
        <v>3252</v>
      </c>
      <c r="BV1874">
        <v>0</v>
      </c>
      <c r="BW1874">
        <v>0</v>
      </c>
      <c r="BX1874">
        <v>0</v>
      </c>
      <c r="BY1874">
        <v>0</v>
      </c>
      <c r="BZ1874">
        <v>0</v>
      </c>
      <c r="CA1874">
        <v>0</v>
      </c>
      <c r="CB1874">
        <v>0</v>
      </c>
      <c r="CC1874">
        <v>0</v>
      </c>
      <c r="CD1874">
        <v>0</v>
      </c>
      <c r="CE1874" t="s">
        <v>3108</v>
      </c>
      <c r="CF1874" t="s">
        <v>3108</v>
      </c>
      <c r="CG1874" t="s">
        <v>3108</v>
      </c>
      <c r="CH1874" t="s">
        <v>3108</v>
      </c>
    </row>
    <row r="1875" spans="1:86" x14ac:dyDescent="0.2">
      <c r="A1875" t="s">
        <v>5963</v>
      </c>
      <c r="B1875" t="s">
        <v>5963</v>
      </c>
      <c r="C1875">
        <v>54998</v>
      </c>
      <c r="D1875">
        <v>1998</v>
      </c>
      <c r="E1875" t="s">
        <v>5656</v>
      </c>
      <c r="F1875" t="s">
        <v>3249</v>
      </c>
      <c r="G1875" t="s">
        <v>3249</v>
      </c>
      <c r="H1875" t="s">
        <v>3250</v>
      </c>
      <c r="I1875" t="s">
        <v>3250</v>
      </c>
      <c r="J1875" t="s">
        <v>3250</v>
      </c>
      <c r="K1875" t="s">
        <v>3250</v>
      </c>
      <c r="L1875">
        <v>1200</v>
      </c>
      <c r="M1875" t="s">
        <v>2368</v>
      </c>
      <c r="N1875">
        <v>1204</v>
      </c>
      <c r="O1875" t="s">
        <v>1574</v>
      </c>
      <c r="P1875" t="s">
        <v>3108</v>
      </c>
      <c r="Q1875" t="s">
        <v>3249</v>
      </c>
      <c r="R1875" t="s">
        <v>3249</v>
      </c>
      <c r="S1875" t="s">
        <v>472</v>
      </c>
      <c r="T1875" t="s">
        <v>3251</v>
      </c>
      <c r="U1875">
        <v>240</v>
      </c>
      <c r="V1875" t="s">
        <v>4251</v>
      </c>
      <c r="W1875">
        <v>240</v>
      </c>
      <c r="X1875" t="s">
        <v>1323</v>
      </c>
      <c r="Y1875" t="s">
        <v>3250</v>
      </c>
      <c r="Z1875" t="s">
        <v>3250</v>
      </c>
      <c r="AA1875" t="s">
        <v>3108</v>
      </c>
      <c r="AB1875" t="s">
        <v>3108</v>
      </c>
      <c r="AC1875" t="s">
        <v>3250</v>
      </c>
      <c r="AD1875" t="s">
        <v>3250</v>
      </c>
      <c r="AE1875" t="s">
        <v>3250</v>
      </c>
      <c r="AF1875" t="s">
        <v>3250</v>
      </c>
      <c r="AG1875">
        <v>1180</v>
      </c>
      <c r="AH1875" t="s">
        <v>1738</v>
      </c>
      <c r="AI1875">
        <v>1180</v>
      </c>
      <c r="AJ1875" t="s">
        <v>1738</v>
      </c>
      <c r="AL1875">
        <v>243</v>
      </c>
      <c r="AM1875" t="s">
        <v>700</v>
      </c>
      <c r="AN1875">
        <v>243</v>
      </c>
      <c r="AO1875" t="s">
        <v>700</v>
      </c>
      <c r="AS1875" t="s">
        <v>3250</v>
      </c>
      <c r="AT1875" t="s">
        <v>3250</v>
      </c>
      <c r="AU1875" t="s">
        <v>3250</v>
      </c>
      <c r="AV1875" t="s">
        <v>3250</v>
      </c>
      <c r="AW1875" t="s">
        <v>3250</v>
      </c>
      <c r="AX1875" t="s">
        <v>3250</v>
      </c>
      <c r="AY1875" t="s">
        <v>3250</v>
      </c>
      <c r="AZ1875" t="s">
        <v>3250</v>
      </c>
      <c r="BA1875" t="s">
        <v>3250</v>
      </c>
      <c r="BB1875" t="s">
        <v>3250</v>
      </c>
      <c r="BC1875" t="s">
        <v>3250</v>
      </c>
      <c r="BE1875" t="s">
        <v>3250</v>
      </c>
      <c r="BF1875" t="s">
        <v>3250</v>
      </c>
      <c r="BG1875" t="s">
        <v>3250</v>
      </c>
      <c r="BH1875" t="s">
        <v>3250</v>
      </c>
      <c r="BI1875" t="s">
        <v>3250</v>
      </c>
      <c r="BK1875" t="s">
        <v>3250</v>
      </c>
      <c r="BL1875" t="s">
        <v>3250</v>
      </c>
      <c r="BM1875" t="s">
        <v>3250</v>
      </c>
      <c r="BN1875" t="s">
        <v>3250</v>
      </c>
      <c r="BP1875">
        <v>1</v>
      </c>
      <c r="BQ1875">
        <v>11</v>
      </c>
      <c r="BR1875" t="s">
        <v>1574</v>
      </c>
      <c r="BS1875" t="s">
        <v>3252</v>
      </c>
      <c r="BV1875">
        <v>0</v>
      </c>
      <c r="BW1875">
        <v>0</v>
      </c>
      <c r="BX1875">
        <v>0</v>
      </c>
      <c r="BY1875">
        <v>0</v>
      </c>
      <c r="BZ1875">
        <v>0</v>
      </c>
      <c r="CA1875">
        <v>0</v>
      </c>
      <c r="CB1875">
        <v>0</v>
      </c>
      <c r="CC1875">
        <v>0</v>
      </c>
      <c r="CD1875">
        <v>0</v>
      </c>
      <c r="CE1875" t="s">
        <v>3108</v>
      </c>
      <c r="CF1875" t="s">
        <v>3108</v>
      </c>
      <c r="CG1875" t="s">
        <v>3108</v>
      </c>
      <c r="CH1875" t="s">
        <v>3108</v>
      </c>
    </row>
    <row r="1876" spans="1:86" x14ac:dyDescent="0.2">
      <c r="A1876" t="s">
        <v>5964</v>
      </c>
      <c r="B1876" t="s">
        <v>5964</v>
      </c>
      <c r="C1876">
        <v>54999</v>
      </c>
      <c r="D1876">
        <v>1999</v>
      </c>
      <c r="E1876" t="s">
        <v>5691</v>
      </c>
      <c r="F1876">
        <v>2300</v>
      </c>
      <c r="G1876" t="s">
        <v>1305</v>
      </c>
      <c r="H1876" t="s">
        <v>4628</v>
      </c>
      <c r="I1876" t="s">
        <v>1386</v>
      </c>
      <c r="J1876">
        <v>2302</v>
      </c>
      <c r="K1876" t="s">
        <v>5692</v>
      </c>
      <c r="L1876">
        <v>1200</v>
      </c>
      <c r="M1876" t="s">
        <v>2368</v>
      </c>
      <c r="N1876">
        <v>1204</v>
      </c>
      <c r="O1876" t="s">
        <v>1574</v>
      </c>
      <c r="P1876" t="s">
        <v>3108</v>
      </c>
      <c r="Q1876" t="s">
        <v>3249</v>
      </c>
      <c r="R1876" t="s">
        <v>3249</v>
      </c>
      <c r="S1876" t="s">
        <v>472</v>
      </c>
      <c r="T1876" t="s">
        <v>2754</v>
      </c>
      <c r="U1876" t="s">
        <v>3250</v>
      </c>
      <c r="V1876" t="s">
        <v>3250</v>
      </c>
      <c r="W1876" t="s">
        <v>3250</v>
      </c>
      <c r="X1876" t="s">
        <v>3250</v>
      </c>
      <c r="Y1876" t="s">
        <v>3250</v>
      </c>
      <c r="Z1876" t="s">
        <v>3250</v>
      </c>
      <c r="AA1876" t="s">
        <v>3108</v>
      </c>
      <c r="AB1876" t="s">
        <v>3108</v>
      </c>
      <c r="AC1876" t="s">
        <v>3250</v>
      </c>
      <c r="AD1876" t="s">
        <v>3250</v>
      </c>
      <c r="AE1876" t="s">
        <v>3250</v>
      </c>
      <c r="AF1876" t="s">
        <v>3250</v>
      </c>
      <c r="AG1876" t="s">
        <v>3250</v>
      </c>
      <c r="AH1876" t="s">
        <v>3250</v>
      </c>
      <c r="AI1876" t="s">
        <v>3250</v>
      </c>
      <c r="AJ1876" t="s">
        <v>3250</v>
      </c>
      <c r="AL1876" t="s">
        <v>3250</v>
      </c>
      <c r="AM1876" t="s">
        <v>3250</v>
      </c>
      <c r="AN1876" t="s">
        <v>3250</v>
      </c>
      <c r="AO1876" t="s">
        <v>3250</v>
      </c>
      <c r="AS1876" t="s">
        <v>3250</v>
      </c>
      <c r="AT1876" t="s">
        <v>3250</v>
      </c>
      <c r="AU1876" t="s">
        <v>3250</v>
      </c>
      <c r="AV1876" t="s">
        <v>3250</v>
      </c>
      <c r="AW1876" t="s">
        <v>3250</v>
      </c>
      <c r="AX1876" t="s">
        <v>3250</v>
      </c>
      <c r="AY1876" t="s">
        <v>3250</v>
      </c>
      <c r="AZ1876" t="s">
        <v>3250</v>
      </c>
      <c r="BA1876" t="s">
        <v>3250</v>
      </c>
      <c r="BB1876" t="s">
        <v>3250</v>
      </c>
      <c r="BC1876" t="s">
        <v>3250</v>
      </c>
      <c r="BE1876">
        <v>1430</v>
      </c>
      <c r="BF1876" t="s">
        <v>2329</v>
      </c>
      <c r="BG1876" t="s">
        <v>3250</v>
      </c>
      <c r="BH1876">
        <v>1430</v>
      </c>
      <c r="BI1876" t="s">
        <v>2329</v>
      </c>
      <c r="BJ1876" t="s">
        <v>2821</v>
      </c>
      <c r="BK1876" t="s">
        <v>3250</v>
      </c>
      <c r="BL1876" t="s">
        <v>3250</v>
      </c>
      <c r="BM1876" t="s">
        <v>3250</v>
      </c>
      <c r="BN1876" t="s">
        <v>3250</v>
      </c>
      <c r="BP1876">
        <v>1</v>
      </c>
      <c r="BQ1876">
        <v>11</v>
      </c>
      <c r="BR1876" t="s">
        <v>1574</v>
      </c>
      <c r="BS1876" t="s">
        <v>3252</v>
      </c>
      <c r="BV1876">
        <v>0</v>
      </c>
      <c r="BW1876">
        <v>0</v>
      </c>
      <c r="BX1876">
        <v>0</v>
      </c>
      <c r="BY1876">
        <v>0</v>
      </c>
      <c r="BZ1876">
        <v>0</v>
      </c>
      <c r="CA1876">
        <v>0</v>
      </c>
      <c r="CB1876">
        <v>0</v>
      </c>
      <c r="CC1876">
        <v>0</v>
      </c>
      <c r="CD1876">
        <v>0</v>
      </c>
      <c r="CE1876" t="s">
        <v>3108</v>
      </c>
      <c r="CF1876" t="s">
        <v>3108</v>
      </c>
      <c r="CG1876" t="s">
        <v>3108</v>
      </c>
      <c r="CH1876" t="s">
        <v>3108</v>
      </c>
    </row>
    <row r="1877" spans="1:86" x14ac:dyDescent="0.2">
      <c r="A1877" t="s">
        <v>5965</v>
      </c>
      <c r="B1877" t="s">
        <v>5965</v>
      </c>
      <c r="C1877">
        <v>55000</v>
      </c>
      <c r="D1877">
        <v>2000</v>
      </c>
      <c r="E1877" t="s">
        <v>5662</v>
      </c>
      <c r="F1877" t="s">
        <v>3249</v>
      </c>
      <c r="G1877" t="s">
        <v>3249</v>
      </c>
      <c r="H1877" t="s">
        <v>3250</v>
      </c>
      <c r="I1877" t="s">
        <v>3250</v>
      </c>
      <c r="J1877" t="s">
        <v>3250</v>
      </c>
      <c r="K1877" t="s">
        <v>3250</v>
      </c>
      <c r="L1877">
        <v>1200</v>
      </c>
      <c r="M1877" t="s">
        <v>2368</v>
      </c>
      <c r="N1877">
        <v>1204</v>
      </c>
      <c r="O1877" t="s">
        <v>1574</v>
      </c>
      <c r="P1877" t="s">
        <v>3108</v>
      </c>
      <c r="Q1877" t="s">
        <v>3249</v>
      </c>
      <c r="R1877" t="s">
        <v>3249</v>
      </c>
      <c r="S1877" t="s">
        <v>472</v>
      </c>
      <c r="T1877" t="s">
        <v>3251</v>
      </c>
      <c r="U1877">
        <v>240</v>
      </c>
      <c r="V1877" t="s">
        <v>4251</v>
      </c>
      <c r="W1877">
        <v>240</v>
      </c>
      <c r="X1877" t="s">
        <v>1323</v>
      </c>
      <c r="Y1877" t="s">
        <v>3250</v>
      </c>
      <c r="Z1877" t="s">
        <v>3250</v>
      </c>
      <c r="AA1877" t="s">
        <v>3108</v>
      </c>
      <c r="AB1877" t="s">
        <v>3108</v>
      </c>
      <c r="AC1877" t="s">
        <v>3250</v>
      </c>
      <c r="AD1877" t="s">
        <v>3250</v>
      </c>
      <c r="AE1877" t="s">
        <v>3250</v>
      </c>
      <c r="AF1877" t="s">
        <v>3250</v>
      </c>
      <c r="AG1877">
        <v>1550</v>
      </c>
      <c r="AH1877" t="s">
        <v>2470</v>
      </c>
      <c r="AI1877">
        <v>1550</v>
      </c>
      <c r="AJ1877" t="s">
        <v>2470</v>
      </c>
      <c r="AL1877">
        <v>241</v>
      </c>
      <c r="AM1877" t="s">
        <v>1455</v>
      </c>
      <c r="AN1877">
        <v>241</v>
      </c>
      <c r="AO1877" t="s">
        <v>1455</v>
      </c>
      <c r="AS1877" t="s">
        <v>3250</v>
      </c>
      <c r="AT1877" t="s">
        <v>3250</v>
      </c>
      <c r="AU1877" t="s">
        <v>3250</v>
      </c>
      <c r="AV1877" t="s">
        <v>3250</v>
      </c>
      <c r="AW1877" t="s">
        <v>3250</v>
      </c>
      <c r="AX1877" t="s">
        <v>3250</v>
      </c>
      <c r="AY1877" t="s">
        <v>3250</v>
      </c>
      <c r="AZ1877" t="s">
        <v>3250</v>
      </c>
      <c r="BA1877" t="s">
        <v>3250</v>
      </c>
      <c r="BB1877" t="s">
        <v>3250</v>
      </c>
      <c r="BC1877" t="s">
        <v>3250</v>
      </c>
      <c r="BE1877" t="s">
        <v>3250</v>
      </c>
      <c r="BF1877" t="s">
        <v>3250</v>
      </c>
      <c r="BG1877" t="s">
        <v>3250</v>
      </c>
      <c r="BH1877" t="s">
        <v>3250</v>
      </c>
      <c r="BI1877" t="s">
        <v>3250</v>
      </c>
      <c r="BK1877" t="s">
        <v>3250</v>
      </c>
      <c r="BL1877" t="s">
        <v>3250</v>
      </c>
      <c r="BM1877" t="s">
        <v>3250</v>
      </c>
      <c r="BN1877" t="s">
        <v>3250</v>
      </c>
      <c r="BP1877">
        <v>1</v>
      </c>
      <c r="BQ1877">
        <v>11</v>
      </c>
      <c r="BR1877" t="s">
        <v>1574</v>
      </c>
      <c r="BS1877" t="s">
        <v>3252</v>
      </c>
      <c r="BV1877">
        <v>728000</v>
      </c>
      <c r="BW1877">
        <v>728000</v>
      </c>
      <c r="BX1877">
        <v>0</v>
      </c>
      <c r="BY1877">
        <v>0</v>
      </c>
      <c r="BZ1877">
        <v>0</v>
      </c>
      <c r="CA1877">
        <v>0</v>
      </c>
      <c r="CB1877">
        <v>0</v>
      </c>
      <c r="CC1877">
        <v>0</v>
      </c>
      <c r="CD1877">
        <v>728000</v>
      </c>
      <c r="CE1877" t="s">
        <v>3108</v>
      </c>
      <c r="CF1877" t="s">
        <v>3108</v>
      </c>
      <c r="CG1877" t="s">
        <v>3108</v>
      </c>
      <c r="CH1877" t="s">
        <v>3108</v>
      </c>
    </row>
    <row r="1878" spans="1:86" x14ac:dyDescent="0.2">
      <c r="A1878" t="s">
        <v>5966</v>
      </c>
      <c r="B1878" t="s">
        <v>5966</v>
      </c>
      <c r="C1878">
        <v>55001</v>
      </c>
      <c r="D1878">
        <v>2001</v>
      </c>
      <c r="E1878" t="s">
        <v>5293</v>
      </c>
      <c r="F1878">
        <v>2300</v>
      </c>
      <c r="G1878" t="s">
        <v>1305</v>
      </c>
      <c r="H1878" t="s">
        <v>4628</v>
      </c>
      <c r="I1878" t="s">
        <v>1386</v>
      </c>
      <c r="J1878">
        <v>2301</v>
      </c>
      <c r="K1878" t="s">
        <v>4629</v>
      </c>
      <c r="L1878">
        <v>1200</v>
      </c>
      <c r="M1878" t="s">
        <v>2368</v>
      </c>
      <c r="N1878">
        <v>1204</v>
      </c>
      <c r="O1878" t="s">
        <v>1574</v>
      </c>
      <c r="P1878" t="s">
        <v>3108</v>
      </c>
      <c r="Q1878" t="s">
        <v>3249</v>
      </c>
      <c r="R1878" t="s">
        <v>3249</v>
      </c>
      <c r="S1878" t="s">
        <v>472</v>
      </c>
      <c r="T1878" t="s">
        <v>2754</v>
      </c>
      <c r="U1878" t="s">
        <v>3250</v>
      </c>
      <c r="V1878" t="s">
        <v>3250</v>
      </c>
      <c r="W1878" t="s">
        <v>3250</v>
      </c>
      <c r="X1878" t="s">
        <v>3250</v>
      </c>
      <c r="Y1878" t="s">
        <v>3250</v>
      </c>
      <c r="Z1878" t="s">
        <v>3250</v>
      </c>
      <c r="AA1878" t="s">
        <v>3108</v>
      </c>
      <c r="AB1878" t="s">
        <v>3108</v>
      </c>
      <c r="AC1878" t="s">
        <v>3250</v>
      </c>
      <c r="AD1878" t="s">
        <v>3250</v>
      </c>
      <c r="AE1878" t="s">
        <v>3250</v>
      </c>
      <c r="AF1878" t="s">
        <v>3250</v>
      </c>
      <c r="AG1878" t="s">
        <v>3250</v>
      </c>
      <c r="AH1878" t="s">
        <v>3250</v>
      </c>
      <c r="AI1878" t="s">
        <v>3250</v>
      </c>
      <c r="AJ1878" t="s">
        <v>3250</v>
      </c>
      <c r="AL1878" t="s">
        <v>3250</v>
      </c>
      <c r="AM1878" t="s">
        <v>3250</v>
      </c>
      <c r="AN1878" t="s">
        <v>3250</v>
      </c>
      <c r="AO1878" t="s">
        <v>3250</v>
      </c>
      <c r="AS1878" t="s">
        <v>3250</v>
      </c>
      <c r="AT1878" t="s">
        <v>3250</v>
      </c>
      <c r="AU1878" t="s">
        <v>3250</v>
      </c>
      <c r="AV1878" t="s">
        <v>3250</v>
      </c>
      <c r="AW1878" t="s">
        <v>3250</v>
      </c>
      <c r="AX1878" t="s">
        <v>3250</v>
      </c>
      <c r="AY1878" t="s">
        <v>3250</v>
      </c>
      <c r="AZ1878" t="s">
        <v>3250</v>
      </c>
      <c r="BA1878" t="s">
        <v>3250</v>
      </c>
      <c r="BB1878" t="s">
        <v>3250</v>
      </c>
      <c r="BC1878" t="s">
        <v>3250</v>
      </c>
      <c r="BE1878">
        <v>1470</v>
      </c>
      <c r="BF1878" t="s">
        <v>2332</v>
      </c>
      <c r="BG1878" t="s">
        <v>3250</v>
      </c>
      <c r="BH1878">
        <v>1470</v>
      </c>
      <c r="BI1878" t="s">
        <v>2332</v>
      </c>
      <c r="BJ1878" t="s">
        <v>2821</v>
      </c>
      <c r="BK1878" t="s">
        <v>3250</v>
      </c>
      <c r="BL1878" t="s">
        <v>3250</v>
      </c>
      <c r="BM1878" t="s">
        <v>3250</v>
      </c>
      <c r="BN1878" t="s">
        <v>3250</v>
      </c>
      <c r="BP1878">
        <v>1</v>
      </c>
      <c r="BQ1878">
        <v>11</v>
      </c>
      <c r="BR1878" t="s">
        <v>1574</v>
      </c>
      <c r="BS1878" t="s">
        <v>3252</v>
      </c>
      <c r="BV1878">
        <v>0</v>
      </c>
      <c r="BW1878">
        <v>0</v>
      </c>
      <c r="BX1878">
        <v>0</v>
      </c>
      <c r="BY1878">
        <v>0</v>
      </c>
      <c r="BZ1878">
        <v>0</v>
      </c>
      <c r="CA1878">
        <v>0</v>
      </c>
      <c r="CB1878">
        <v>0</v>
      </c>
      <c r="CC1878">
        <v>0</v>
      </c>
      <c r="CD1878">
        <v>0</v>
      </c>
      <c r="CE1878" t="s">
        <v>3108</v>
      </c>
      <c r="CF1878" t="s">
        <v>3108</v>
      </c>
      <c r="CG1878" t="s">
        <v>3108</v>
      </c>
      <c r="CH1878" t="s">
        <v>3108</v>
      </c>
    </row>
    <row r="1879" spans="1:86" x14ac:dyDescent="0.2">
      <c r="A1879" t="s">
        <v>5967</v>
      </c>
      <c r="B1879" t="s">
        <v>5967</v>
      </c>
      <c r="C1879">
        <v>55002</v>
      </c>
      <c r="D1879">
        <v>2002</v>
      </c>
      <c r="E1879" t="s">
        <v>4637</v>
      </c>
      <c r="F1879">
        <v>2300</v>
      </c>
      <c r="G1879" t="s">
        <v>1305</v>
      </c>
      <c r="H1879" t="s">
        <v>4628</v>
      </c>
      <c r="I1879" t="s">
        <v>1386</v>
      </c>
      <c r="J1879">
        <v>2301</v>
      </c>
      <c r="K1879" t="s">
        <v>4629</v>
      </c>
      <c r="L1879">
        <v>1200</v>
      </c>
      <c r="M1879" t="s">
        <v>2368</v>
      </c>
      <c r="N1879">
        <v>1204</v>
      </c>
      <c r="O1879" t="s">
        <v>1574</v>
      </c>
      <c r="P1879" t="s">
        <v>3108</v>
      </c>
      <c r="Q1879" t="s">
        <v>3249</v>
      </c>
      <c r="R1879" t="s">
        <v>3249</v>
      </c>
      <c r="S1879" t="s">
        <v>472</v>
      </c>
      <c r="T1879" t="s">
        <v>2754</v>
      </c>
      <c r="U1879" t="s">
        <v>3250</v>
      </c>
      <c r="V1879" t="s">
        <v>3250</v>
      </c>
      <c r="W1879" t="s">
        <v>3250</v>
      </c>
      <c r="X1879" t="s">
        <v>3250</v>
      </c>
      <c r="Y1879" t="s">
        <v>3250</v>
      </c>
      <c r="Z1879" t="s">
        <v>3250</v>
      </c>
      <c r="AA1879" t="s">
        <v>3108</v>
      </c>
      <c r="AB1879" t="s">
        <v>3108</v>
      </c>
      <c r="AC1879" t="s">
        <v>3250</v>
      </c>
      <c r="AD1879" t="s">
        <v>3250</v>
      </c>
      <c r="AE1879" t="s">
        <v>3250</v>
      </c>
      <c r="AF1879" t="s">
        <v>3250</v>
      </c>
      <c r="AG1879" t="s">
        <v>3250</v>
      </c>
      <c r="AH1879" t="s">
        <v>3250</v>
      </c>
      <c r="AI1879" t="s">
        <v>3250</v>
      </c>
      <c r="AJ1879" t="s">
        <v>3250</v>
      </c>
      <c r="AL1879" t="s">
        <v>3250</v>
      </c>
      <c r="AM1879" t="s">
        <v>3250</v>
      </c>
      <c r="AN1879" t="s">
        <v>3250</v>
      </c>
      <c r="AO1879" t="s">
        <v>3250</v>
      </c>
      <c r="AS1879" t="s">
        <v>3250</v>
      </c>
      <c r="AT1879" t="s">
        <v>3250</v>
      </c>
      <c r="AU1879" t="s">
        <v>3250</v>
      </c>
      <c r="AV1879" t="s">
        <v>3250</v>
      </c>
      <c r="AW1879" t="s">
        <v>3250</v>
      </c>
      <c r="AX1879" t="s">
        <v>3250</v>
      </c>
      <c r="AY1879" t="s">
        <v>3250</v>
      </c>
      <c r="AZ1879" t="s">
        <v>3250</v>
      </c>
      <c r="BA1879" t="s">
        <v>3250</v>
      </c>
      <c r="BB1879" t="s">
        <v>3250</v>
      </c>
      <c r="BC1879" t="s">
        <v>3250</v>
      </c>
      <c r="BE1879">
        <v>1510</v>
      </c>
      <c r="BF1879" t="s">
        <v>2334</v>
      </c>
      <c r="BG1879" t="s">
        <v>3250</v>
      </c>
      <c r="BH1879">
        <v>1510</v>
      </c>
      <c r="BI1879" t="s">
        <v>2334</v>
      </c>
      <c r="BJ1879" t="s">
        <v>2821</v>
      </c>
      <c r="BK1879" t="s">
        <v>3250</v>
      </c>
      <c r="BL1879" t="s">
        <v>3250</v>
      </c>
      <c r="BM1879" t="s">
        <v>3250</v>
      </c>
      <c r="BN1879" t="s">
        <v>3250</v>
      </c>
      <c r="BP1879">
        <v>1</v>
      </c>
      <c r="BQ1879">
        <v>11</v>
      </c>
      <c r="BR1879" t="s">
        <v>1574</v>
      </c>
      <c r="BS1879" t="s">
        <v>3252</v>
      </c>
      <c r="BV1879">
        <v>0</v>
      </c>
      <c r="BW1879">
        <v>0</v>
      </c>
      <c r="BX1879">
        <v>0</v>
      </c>
      <c r="BY1879">
        <v>0</v>
      </c>
      <c r="BZ1879">
        <v>0</v>
      </c>
      <c r="CA1879">
        <v>0</v>
      </c>
      <c r="CB1879">
        <v>0</v>
      </c>
      <c r="CC1879">
        <v>0</v>
      </c>
      <c r="CD1879">
        <v>0</v>
      </c>
      <c r="CE1879" t="s">
        <v>3108</v>
      </c>
      <c r="CF1879" t="s">
        <v>3108</v>
      </c>
      <c r="CG1879" t="s">
        <v>3108</v>
      </c>
      <c r="CH1879" t="s">
        <v>3108</v>
      </c>
    </row>
    <row r="1880" spans="1:86" x14ac:dyDescent="0.2">
      <c r="A1880" t="s">
        <v>5968</v>
      </c>
      <c r="B1880" t="s">
        <v>5968</v>
      </c>
      <c r="C1880">
        <v>55003</v>
      </c>
      <c r="D1880">
        <v>2003</v>
      </c>
      <c r="E1880" t="s">
        <v>4871</v>
      </c>
      <c r="F1880" t="s">
        <v>3249</v>
      </c>
      <c r="G1880" t="s">
        <v>3249</v>
      </c>
      <c r="H1880" t="s">
        <v>3250</v>
      </c>
      <c r="I1880" t="s">
        <v>3250</v>
      </c>
      <c r="J1880" t="s">
        <v>3250</v>
      </c>
      <c r="K1880" t="s">
        <v>3250</v>
      </c>
      <c r="L1880">
        <v>1200</v>
      </c>
      <c r="M1880" t="s">
        <v>2368</v>
      </c>
      <c r="N1880">
        <v>1204</v>
      </c>
      <c r="O1880" t="s">
        <v>1574</v>
      </c>
      <c r="P1880" t="s">
        <v>3108</v>
      </c>
      <c r="Q1880" t="s">
        <v>3249</v>
      </c>
      <c r="R1880" t="s">
        <v>3249</v>
      </c>
      <c r="S1880" t="s">
        <v>472</v>
      </c>
      <c r="T1880" t="s">
        <v>3251</v>
      </c>
      <c r="U1880">
        <v>240</v>
      </c>
      <c r="V1880" t="s">
        <v>4251</v>
      </c>
      <c r="W1880">
        <v>240</v>
      </c>
      <c r="X1880" t="s">
        <v>1323</v>
      </c>
      <c r="Y1880" t="s">
        <v>3250</v>
      </c>
      <c r="Z1880" t="s">
        <v>3250</v>
      </c>
      <c r="AA1880" t="s">
        <v>3108</v>
      </c>
      <c r="AB1880" t="s">
        <v>3108</v>
      </c>
      <c r="AC1880" t="s">
        <v>3250</v>
      </c>
      <c r="AD1880" t="s">
        <v>3250</v>
      </c>
      <c r="AE1880" t="s">
        <v>3250</v>
      </c>
      <c r="AF1880" t="s">
        <v>3250</v>
      </c>
      <c r="AG1880">
        <v>1510</v>
      </c>
      <c r="AH1880" t="s">
        <v>2334</v>
      </c>
      <c r="AI1880">
        <v>1510</v>
      </c>
      <c r="AJ1880" t="s">
        <v>2334</v>
      </c>
      <c r="AL1880">
        <v>243</v>
      </c>
      <c r="AM1880" t="s">
        <v>700</v>
      </c>
      <c r="AN1880">
        <v>243</v>
      </c>
      <c r="AO1880" t="s">
        <v>700</v>
      </c>
      <c r="AS1880" t="s">
        <v>3250</v>
      </c>
      <c r="AT1880" t="s">
        <v>3250</v>
      </c>
      <c r="AU1880" t="s">
        <v>3250</v>
      </c>
      <c r="AV1880" t="s">
        <v>3250</v>
      </c>
      <c r="AW1880" t="s">
        <v>3250</v>
      </c>
      <c r="AX1880" t="s">
        <v>3250</v>
      </c>
      <c r="AY1880" t="s">
        <v>3250</v>
      </c>
      <c r="AZ1880" t="s">
        <v>3250</v>
      </c>
      <c r="BA1880" t="s">
        <v>3250</v>
      </c>
      <c r="BB1880" t="s">
        <v>3250</v>
      </c>
      <c r="BC1880" t="s">
        <v>3250</v>
      </c>
      <c r="BE1880" t="s">
        <v>3250</v>
      </c>
      <c r="BF1880" t="s">
        <v>3250</v>
      </c>
      <c r="BG1880" t="s">
        <v>3250</v>
      </c>
      <c r="BH1880" t="s">
        <v>3250</v>
      </c>
      <c r="BI1880" t="s">
        <v>3250</v>
      </c>
      <c r="BK1880" t="s">
        <v>3250</v>
      </c>
      <c r="BL1880" t="s">
        <v>3250</v>
      </c>
      <c r="BM1880" t="s">
        <v>3250</v>
      </c>
      <c r="BN1880" t="s">
        <v>3250</v>
      </c>
      <c r="BP1880">
        <v>1</v>
      </c>
      <c r="BQ1880">
        <v>11</v>
      </c>
      <c r="BR1880" t="s">
        <v>1574</v>
      </c>
      <c r="BS1880" t="s">
        <v>3252</v>
      </c>
      <c r="BV1880">
        <v>0</v>
      </c>
      <c r="BW1880">
        <v>0</v>
      </c>
      <c r="BX1880">
        <v>0</v>
      </c>
      <c r="BY1880">
        <v>0</v>
      </c>
      <c r="BZ1880">
        <v>0</v>
      </c>
      <c r="CA1880">
        <v>0</v>
      </c>
      <c r="CB1880">
        <v>0</v>
      </c>
      <c r="CC1880">
        <v>0</v>
      </c>
      <c r="CD1880">
        <v>0</v>
      </c>
      <c r="CE1880" t="s">
        <v>3108</v>
      </c>
      <c r="CF1880" t="s">
        <v>3108</v>
      </c>
      <c r="CG1880" t="s">
        <v>3108</v>
      </c>
      <c r="CH1880" t="s">
        <v>3108</v>
      </c>
    </row>
    <row r="1881" spans="1:86" x14ac:dyDescent="0.2">
      <c r="A1881" t="s">
        <v>5969</v>
      </c>
      <c r="B1881" t="s">
        <v>5969</v>
      </c>
      <c r="C1881">
        <v>55004</v>
      </c>
      <c r="D1881">
        <v>2004</v>
      </c>
      <c r="E1881" t="s">
        <v>5632</v>
      </c>
      <c r="F1881" t="s">
        <v>3249</v>
      </c>
      <c r="G1881" t="s">
        <v>3249</v>
      </c>
      <c r="H1881" t="s">
        <v>3250</v>
      </c>
      <c r="I1881" t="s">
        <v>3250</v>
      </c>
      <c r="J1881" t="s">
        <v>3250</v>
      </c>
      <c r="K1881" t="s">
        <v>3250</v>
      </c>
      <c r="L1881">
        <v>1200</v>
      </c>
      <c r="M1881" t="s">
        <v>2368</v>
      </c>
      <c r="N1881">
        <v>1204</v>
      </c>
      <c r="O1881" t="s">
        <v>1574</v>
      </c>
      <c r="P1881" t="s">
        <v>3108</v>
      </c>
      <c r="Q1881" t="s">
        <v>3249</v>
      </c>
      <c r="R1881" t="s">
        <v>3249</v>
      </c>
      <c r="S1881" t="s">
        <v>472</v>
      </c>
      <c r="T1881" t="s">
        <v>3251</v>
      </c>
      <c r="U1881">
        <v>240</v>
      </c>
      <c r="V1881" t="s">
        <v>4251</v>
      </c>
      <c r="W1881">
        <v>240</v>
      </c>
      <c r="X1881" t="s">
        <v>1323</v>
      </c>
      <c r="Y1881" t="s">
        <v>3250</v>
      </c>
      <c r="Z1881" t="s">
        <v>3250</v>
      </c>
      <c r="AA1881" t="s">
        <v>3108</v>
      </c>
      <c r="AB1881" t="s">
        <v>3108</v>
      </c>
      <c r="AC1881" t="s">
        <v>3250</v>
      </c>
      <c r="AD1881" t="s">
        <v>3250</v>
      </c>
      <c r="AE1881" t="s">
        <v>3250</v>
      </c>
      <c r="AF1881" t="s">
        <v>3250</v>
      </c>
      <c r="AG1881">
        <v>1510</v>
      </c>
      <c r="AH1881" t="s">
        <v>2334</v>
      </c>
      <c r="AI1881">
        <v>1510</v>
      </c>
      <c r="AJ1881" t="s">
        <v>2334</v>
      </c>
      <c r="AL1881">
        <v>243</v>
      </c>
      <c r="AM1881" t="s">
        <v>700</v>
      </c>
      <c r="AN1881">
        <v>243</v>
      </c>
      <c r="AO1881" t="s">
        <v>700</v>
      </c>
      <c r="AS1881" t="s">
        <v>3250</v>
      </c>
      <c r="AT1881" t="s">
        <v>3250</v>
      </c>
      <c r="AU1881" t="s">
        <v>3250</v>
      </c>
      <c r="AV1881" t="s">
        <v>3250</v>
      </c>
      <c r="AW1881" t="s">
        <v>3250</v>
      </c>
      <c r="AX1881" t="s">
        <v>3250</v>
      </c>
      <c r="AY1881" t="s">
        <v>3250</v>
      </c>
      <c r="AZ1881" t="s">
        <v>3250</v>
      </c>
      <c r="BA1881" t="s">
        <v>3250</v>
      </c>
      <c r="BB1881" t="s">
        <v>3250</v>
      </c>
      <c r="BC1881" t="s">
        <v>3250</v>
      </c>
      <c r="BE1881" t="s">
        <v>3250</v>
      </c>
      <c r="BF1881" t="s">
        <v>3250</v>
      </c>
      <c r="BG1881" t="s">
        <v>3250</v>
      </c>
      <c r="BH1881" t="s">
        <v>3250</v>
      </c>
      <c r="BI1881" t="s">
        <v>3250</v>
      </c>
      <c r="BK1881" t="s">
        <v>3250</v>
      </c>
      <c r="BL1881" t="s">
        <v>3250</v>
      </c>
      <c r="BM1881" t="s">
        <v>3250</v>
      </c>
      <c r="BN1881" t="s">
        <v>3250</v>
      </c>
      <c r="BP1881">
        <v>1</v>
      </c>
      <c r="BQ1881">
        <v>11</v>
      </c>
      <c r="BR1881" t="s">
        <v>1574</v>
      </c>
      <c r="BS1881" t="s">
        <v>3252</v>
      </c>
      <c r="BV1881">
        <v>0</v>
      </c>
      <c r="BW1881">
        <v>0</v>
      </c>
      <c r="BX1881">
        <v>0</v>
      </c>
      <c r="BY1881">
        <v>0</v>
      </c>
      <c r="BZ1881">
        <v>0</v>
      </c>
      <c r="CA1881">
        <v>0</v>
      </c>
      <c r="CB1881">
        <v>0</v>
      </c>
      <c r="CC1881">
        <v>0</v>
      </c>
      <c r="CD1881">
        <v>0</v>
      </c>
      <c r="CE1881" t="s">
        <v>3108</v>
      </c>
      <c r="CF1881" t="s">
        <v>3108</v>
      </c>
      <c r="CG1881" t="s">
        <v>3108</v>
      </c>
      <c r="CH1881" t="s">
        <v>3108</v>
      </c>
    </row>
    <row r="1882" spans="1:86" x14ac:dyDescent="0.2">
      <c r="A1882" t="s">
        <v>5970</v>
      </c>
      <c r="B1882" t="s">
        <v>5970</v>
      </c>
      <c r="C1882">
        <v>55005</v>
      </c>
      <c r="D1882">
        <v>2005</v>
      </c>
      <c r="E1882" t="s">
        <v>5638</v>
      </c>
      <c r="F1882" t="s">
        <v>3249</v>
      </c>
      <c r="G1882" t="s">
        <v>3249</v>
      </c>
      <c r="H1882" t="s">
        <v>3250</v>
      </c>
      <c r="I1882" t="s">
        <v>3250</v>
      </c>
      <c r="J1882" t="s">
        <v>3250</v>
      </c>
      <c r="K1882" t="s">
        <v>3250</v>
      </c>
      <c r="L1882">
        <v>1200</v>
      </c>
      <c r="M1882" t="s">
        <v>2368</v>
      </c>
      <c r="N1882">
        <v>1204</v>
      </c>
      <c r="O1882" t="s">
        <v>1574</v>
      </c>
      <c r="P1882" t="s">
        <v>3108</v>
      </c>
      <c r="Q1882" t="s">
        <v>3249</v>
      </c>
      <c r="R1882" t="s">
        <v>3249</v>
      </c>
      <c r="S1882" t="s">
        <v>472</v>
      </c>
      <c r="T1882" t="s">
        <v>3251</v>
      </c>
      <c r="U1882">
        <v>240</v>
      </c>
      <c r="V1882" t="s">
        <v>4251</v>
      </c>
      <c r="W1882">
        <v>240</v>
      </c>
      <c r="X1882" t="s">
        <v>1323</v>
      </c>
      <c r="Y1882" t="s">
        <v>3250</v>
      </c>
      <c r="Z1882" t="s">
        <v>3250</v>
      </c>
      <c r="AA1882" t="s">
        <v>3108</v>
      </c>
      <c r="AB1882" t="s">
        <v>3108</v>
      </c>
      <c r="AC1882" t="s">
        <v>3250</v>
      </c>
      <c r="AD1882" t="s">
        <v>3250</v>
      </c>
      <c r="AE1882" t="s">
        <v>3250</v>
      </c>
      <c r="AF1882" t="s">
        <v>3250</v>
      </c>
      <c r="AG1882">
        <v>1490</v>
      </c>
      <c r="AH1882" t="s">
        <v>2333</v>
      </c>
      <c r="AI1882">
        <v>1490</v>
      </c>
      <c r="AJ1882" t="s">
        <v>2333</v>
      </c>
      <c r="AL1882">
        <v>241</v>
      </c>
      <c r="AM1882" t="s">
        <v>1455</v>
      </c>
      <c r="AN1882">
        <v>241</v>
      </c>
      <c r="AO1882" t="s">
        <v>1455</v>
      </c>
      <c r="AS1882" t="s">
        <v>3250</v>
      </c>
      <c r="AT1882" t="s">
        <v>3250</v>
      </c>
      <c r="AU1882" t="s">
        <v>3250</v>
      </c>
      <c r="AV1882" t="s">
        <v>3250</v>
      </c>
      <c r="AW1882" t="s">
        <v>3250</v>
      </c>
      <c r="AX1882" t="s">
        <v>3250</v>
      </c>
      <c r="AY1882" t="s">
        <v>3250</v>
      </c>
      <c r="AZ1882" t="s">
        <v>3250</v>
      </c>
      <c r="BA1882" t="s">
        <v>3250</v>
      </c>
      <c r="BB1882" t="s">
        <v>3250</v>
      </c>
      <c r="BC1882" t="s">
        <v>3250</v>
      </c>
      <c r="BE1882" t="s">
        <v>3250</v>
      </c>
      <c r="BF1882" t="s">
        <v>3250</v>
      </c>
      <c r="BG1882" t="s">
        <v>3250</v>
      </c>
      <c r="BH1882" t="s">
        <v>3250</v>
      </c>
      <c r="BI1882" t="s">
        <v>3250</v>
      </c>
      <c r="BK1882" t="s">
        <v>3250</v>
      </c>
      <c r="BL1882" t="s">
        <v>3250</v>
      </c>
      <c r="BM1882" t="s">
        <v>3250</v>
      </c>
      <c r="BN1882" t="s">
        <v>3250</v>
      </c>
      <c r="BP1882">
        <v>1</v>
      </c>
      <c r="BQ1882">
        <v>11</v>
      </c>
      <c r="BR1882" t="s">
        <v>1574</v>
      </c>
      <c r="BS1882" t="s">
        <v>3252</v>
      </c>
      <c r="BV1882">
        <v>1289903</v>
      </c>
      <c r="BW1882">
        <v>464148</v>
      </c>
      <c r="BX1882">
        <v>0</v>
      </c>
      <c r="BY1882">
        <v>0</v>
      </c>
      <c r="BZ1882">
        <v>1289903</v>
      </c>
      <c r="CA1882">
        <v>12809903</v>
      </c>
      <c r="CB1882">
        <v>1393818</v>
      </c>
      <c r="CC1882">
        <v>1449570</v>
      </c>
      <c r="CD1882">
        <v>1289903</v>
      </c>
      <c r="CE1882" t="s">
        <v>3108</v>
      </c>
      <c r="CF1882" t="s">
        <v>3108</v>
      </c>
      <c r="CG1882" t="s">
        <v>3108</v>
      </c>
      <c r="CH1882" t="s">
        <v>3108</v>
      </c>
    </row>
    <row r="1883" spans="1:86" x14ac:dyDescent="0.2">
      <c r="A1883" t="s">
        <v>5971</v>
      </c>
      <c r="B1883" t="s">
        <v>5971</v>
      </c>
      <c r="C1883">
        <v>55006</v>
      </c>
      <c r="D1883">
        <v>2006</v>
      </c>
      <c r="E1883" t="s">
        <v>5634</v>
      </c>
      <c r="F1883" t="s">
        <v>3249</v>
      </c>
      <c r="G1883" t="s">
        <v>3249</v>
      </c>
      <c r="H1883" t="s">
        <v>3250</v>
      </c>
      <c r="I1883" t="s">
        <v>3250</v>
      </c>
      <c r="J1883" t="s">
        <v>3250</v>
      </c>
      <c r="K1883" t="s">
        <v>3250</v>
      </c>
      <c r="L1883">
        <v>1200</v>
      </c>
      <c r="M1883" t="s">
        <v>2368</v>
      </c>
      <c r="N1883">
        <v>1204</v>
      </c>
      <c r="O1883" t="s">
        <v>1574</v>
      </c>
      <c r="P1883" t="s">
        <v>3108</v>
      </c>
      <c r="Q1883" t="s">
        <v>3249</v>
      </c>
      <c r="R1883" t="s">
        <v>3249</v>
      </c>
      <c r="S1883" t="s">
        <v>472</v>
      </c>
      <c r="T1883" t="s">
        <v>3251</v>
      </c>
      <c r="U1883">
        <v>240</v>
      </c>
      <c r="V1883" t="s">
        <v>4251</v>
      </c>
      <c r="W1883">
        <v>240</v>
      </c>
      <c r="X1883" t="s">
        <v>1323</v>
      </c>
      <c r="Y1883" t="s">
        <v>3250</v>
      </c>
      <c r="Z1883" t="s">
        <v>3250</v>
      </c>
      <c r="AA1883" t="s">
        <v>3108</v>
      </c>
      <c r="AB1883" t="s">
        <v>3108</v>
      </c>
      <c r="AC1883" t="s">
        <v>3250</v>
      </c>
      <c r="AD1883" t="s">
        <v>3250</v>
      </c>
      <c r="AE1883" t="s">
        <v>3250</v>
      </c>
      <c r="AF1883" t="s">
        <v>3250</v>
      </c>
      <c r="AG1883">
        <v>1490</v>
      </c>
      <c r="AH1883" t="s">
        <v>2333</v>
      </c>
      <c r="AI1883">
        <v>1490</v>
      </c>
      <c r="AJ1883" t="s">
        <v>2333</v>
      </c>
      <c r="AL1883">
        <v>243</v>
      </c>
      <c r="AM1883" t="s">
        <v>700</v>
      </c>
      <c r="AN1883">
        <v>243</v>
      </c>
      <c r="AO1883" t="s">
        <v>700</v>
      </c>
      <c r="AS1883" t="s">
        <v>3250</v>
      </c>
      <c r="AT1883" t="s">
        <v>3250</v>
      </c>
      <c r="AU1883" t="s">
        <v>3250</v>
      </c>
      <c r="AV1883" t="s">
        <v>3250</v>
      </c>
      <c r="AW1883" t="s">
        <v>3250</v>
      </c>
      <c r="AX1883" t="s">
        <v>3250</v>
      </c>
      <c r="AY1883" t="s">
        <v>3250</v>
      </c>
      <c r="AZ1883" t="s">
        <v>3250</v>
      </c>
      <c r="BA1883" t="s">
        <v>3250</v>
      </c>
      <c r="BB1883" t="s">
        <v>3250</v>
      </c>
      <c r="BC1883" t="s">
        <v>3250</v>
      </c>
      <c r="BE1883" t="s">
        <v>3250</v>
      </c>
      <c r="BF1883" t="s">
        <v>3250</v>
      </c>
      <c r="BG1883" t="s">
        <v>3250</v>
      </c>
      <c r="BH1883" t="s">
        <v>3250</v>
      </c>
      <c r="BI1883" t="s">
        <v>3250</v>
      </c>
      <c r="BK1883" t="s">
        <v>3250</v>
      </c>
      <c r="BL1883" t="s">
        <v>3250</v>
      </c>
      <c r="BM1883" t="s">
        <v>3250</v>
      </c>
      <c r="BN1883" t="s">
        <v>3250</v>
      </c>
      <c r="BP1883">
        <v>1</v>
      </c>
      <c r="BQ1883">
        <v>11</v>
      </c>
      <c r="BR1883" t="s">
        <v>1574</v>
      </c>
      <c r="BS1883" t="s">
        <v>3252</v>
      </c>
      <c r="BV1883">
        <v>-3185</v>
      </c>
      <c r="BW1883">
        <v>-3185</v>
      </c>
      <c r="BX1883">
        <v>0</v>
      </c>
      <c r="BY1883">
        <v>0</v>
      </c>
      <c r="BZ1883">
        <v>-672874</v>
      </c>
      <c r="CA1883">
        <v>0</v>
      </c>
      <c r="CB1883">
        <v>0</v>
      </c>
      <c r="CC1883">
        <v>0</v>
      </c>
      <c r="CD1883">
        <v>-3185</v>
      </c>
      <c r="CE1883" t="s">
        <v>3108</v>
      </c>
      <c r="CF1883" t="s">
        <v>3108</v>
      </c>
      <c r="CG1883" t="s">
        <v>3108</v>
      </c>
      <c r="CH1883" t="s">
        <v>3108</v>
      </c>
    </row>
    <row r="1884" spans="1:86" x14ac:dyDescent="0.2">
      <c r="A1884" t="s">
        <v>5972</v>
      </c>
      <c r="B1884" t="s">
        <v>5972</v>
      </c>
      <c r="C1884">
        <v>55007</v>
      </c>
      <c r="D1884">
        <v>2007</v>
      </c>
      <c r="E1884" t="s">
        <v>4865</v>
      </c>
      <c r="F1884" t="s">
        <v>3249</v>
      </c>
      <c r="G1884" t="s">
        <v>3249</v>
      </c>
      <c r="H1884" t="s">
        <v>3250</v>
      </c>
      <c r="I1884" t="s">
        <v>3250</v>
      </c>
      <c r="J1884" t="s">
        <v>3250</v>
      </c>
      <c r="K1884" t="s">
        <v>3250</v>
      </c>
      <c r="L1884">
        <v>1200</v>
      </c>
      <c r="M1884" t="s">
        <v>2368</v>
      </c>
      <c r="N1884">
        <v>1204</v>
      </c>
      <c r="O1884" t="s">
        <v>1574</v>
      </c>
      <c r="P1884" t="s">
        <v>3108</v>
      </c>
      <c r="Q1884" t="s">
        <v>3249</v>
      </c>
      <c r="R1884" t="s">
        <v>3249</v>
      </c>
      <c r="S1884" t="s">
        <v>472</v>
      </c>
      <c r="T1884" t="s">
        <v>3251</v>
      </c>
      <c r="U1884">
        <v>240</v>
      </c>
      <c r="V1884" t="s">
        <v>4251</v>
      </c>
      <c r="W1884">
        <v>240</v>
      </c>
      <c r="X1884" t="s">
        <v>1323</v>
      </c>
      <c r="Y1884" t="s">
        <v>3250</v>
      </c>
      <c r="Z1884" t="s">
        <v>3250</v>
      </c>
      <c r="AA1884" t="s">
        <v>3108</v>
      </c>
      <c r="AB1884" t="s">
        <v>3108</v>
      </c>
      <c r="AC1884" t="s">
        <v>3250</v>
      </c>
      <c r="AD1884" t="s">
        <v>3250</v>
      </c>
      <c r="AE1884" t="s">
        <v>3250</v>
      </c>
      <c r="AF1884" t="s">
        <v>3250</v>
      </c>
      <c r="AG1884">
        <v>1490</v>
      </c>
      <c r="AH1884" t="s">
        <v>2333</v>
      </c>
      <c r="AI1884">
        <v>1490</v>
      </c>
      <c r="AJ1884" t="s">
        <v>2333</v>
      </c>
      <c r="AL1884">
        <v>243</v>
      </c>
      <c r="AM1884" t="s">
        <v>700</v>
      </c>
      <c r="AN1884">
        <v>243</v>
      </c>
      <c r="AO1884" t="s">
        <v>700</v>
      </c>
      <c r="AS1884" t="s">
        <v>3250</v>
      </c>
      <c r="AT1884" t="s">
        <v>3250</v>
      </c>
      <c r="AU1884" t="s">
        <v>3250</v>
      </c>
      <c r="AV1884" t="s">
        <v>3250</v>
      </c>
      <c r="AW1884" t="s">
        <v>3250</v>
      </c>
      <c r="AX1884" t="s">
        <v>3250</v>
      </c>
      <c r="AY1884" t="s">
        <v>3250</v>
      </c>
      <c r="AZ1884" t="s">
        <v>3250</v>
      </c>
      <c r="BA1884" t="s">
        <v>3250</v>
      </c>
      <c r="BB1884" t="s">
        <v>3250</v>
      </c>
      <c r="BC1884" t="s">
        <v>3250</v>
      </c>
      <c r="BE1884" t="s">
        <v>3250</v>
      </c>
      <c r="BF1884" t="s">
        <v>3250</v>
      </c>
      <c r="BG1884" t="s">
        <v>3250</v>
      </c>
      <c r="BH1884" t="s">
        <v>3250</v>
      </c>
      <c r="BI1884" t="s">
        <v>3250</v>
      </c>
      <c r="BK1884" t="s">
        <v>3250</v>
      </c>
      <c r="BL1884" t="s">
        <v>3250</v>
      </c>
      <c r="BM1884" t="s">
        <v>3250</v>
      </c>
      <c r="BN1884" t="s">
        <v>3250</v>
      </c>
      <c r="BP1884">
        <v>1</v>
      </c>
      <c r="BQ1884">
        <v>11</v>
      </c>
      <c r="BR1884" t="s">
        <v>1574</v>
      </c>
      <c r="BS1884" t="s">
        <v>3252</v>
      </c>
      <c r="BV1884">
        <v>0</v>
      </c>
      <c r="BW1884">
        <v>0</v>
      </c>
      <c r="BX1884">
        <v>0</v>
      </c>
      <c r="BY1884">
        <v>0</v>
      </c>
      <c r="BZ1884">
        <v>0</v>
      </c>
      <c r="CA1884">
        <v>0</v>
      </c>
      <c r="CB1884">
        <v>0</v>
      </c>
      <c r="CC1884">
        <v>0</v>
      </c>
      <c r="CD1884">
        <v>0</v>
      </c>
      <c r="CE1884" t="s">
        <v>3108</v>
      </c>
      <c r="CF1884" t="s">
        <v>3108</v>
      </c>
      <c r="CG1884" t="s">
        <v>3108</v>
      </c>
      <c r="CH1884" t="s">
        <v>3108</v>
      </c>
    </row>
    <row r="1885" spans="1:86" x14ac:dyDescent="0.2">
      <c r="A1885" t="s">
        <v>5973</v>
      </c>
      <c r="B1885" t="s">
        <v>5973</v>
      </c>
      <c r="C1885">
        <v>55008</v>
      </c>
      <c r="D1885">
        <v>2008</v>
      </c>
      <c r="E1885" t="s">
        <v>5646</v>
      </c>
      <c r="F1885" t="s">
        <v>3249</v>
      </c>
      <c r="G1885" t="s">
        <v>3249</v>
      </c>
      <c r="H1885" t="s">
        <v>3250</v>
      </c>
      <c r="I1885" t="s">
        <v>3250</v>
      </c>
      <c r="J1885" t="s">
        <v>3250</v>
      </c>
      <c r="K1885" t="s">
        <v>3250</v>
      </c>
      <c r="L1885">
        <v>1200</v>
      </c>
      <c r="M1885" t="s">
        <v>2368</v>
      </c>
      <c r="N1885">
        <v>1204</v>
      </c>
      <c r="O1885" t="s">
        <v>1574</v>
      </c>
      <c r="P1885" t="s">
        <v>3108</v>
      </c>
      <c r="Q1885" t="s">
        <v>3249</v>
      </c>
      <c r="R1885" t="s">
        <v>3249</v>
      </c>
      <c r="S1885" t="s">
        <v>472</v>
      </c>
      <c r="T1885" t="s">
        <v>3251</v>
      </c>
      <c r="U1885">
        <v>240</v>
      </c>
      <c r="V1885" t="s">
        <v>4251</v>
      </c>
      <c r="W1885">
        <v>240</v>
      </c>
      <c r="X1885" t="s">
        <v>1323</v>
      </c>
      <c r="Y1885" t="s">
        <v>3250</v>
      </c>
      <c r="Z1885" t="s">
        <v>3250</v>
      </c>
      <c r="AA1885" t="s">
        <v>3108</v>
      </c>
      <c r="AB1885" t="s">
        <v>3108</v>
      </c>
      <c r="AC1885" t="s">
        <v>3250</v>
      </c>
      <c r="AD1885" t="s">
        <v>3250</v>
      </c>
      <c r="AE1885" t="s">
        <v>3250</v>
      </c>
      <c r="AF1885" t="s">
        <v>3250</v>
      </c>
      <c r="AG1885">
        <v>1470</v>
      </c>
      <c r="AH1885" t="s">
        <v>2332</v>
      </c>
      <c r="AI1885">
        <v>1470</v>
      </c>
      <c r="AJ1885" t="s">
        <v>2332</v>
      </c>
      <c r="AL1885">
        <v>241</v>
      </c>
      <c r="AM1885" t="s">
        <v>1455</v>
      </c>
      <c r="AN1885">
        <v>241</v>
      </c>
      <c r="AO1885" t="s">
        <v>1455</v>
      </c>
      <c r="AS1885" t="s">
        <v>3250</v>
      </c>
      <c r="AT1885" t="s">
        <v>3250</v>
      </c>
      <c r="AU1885" t="s">
        <v>3250</v>
      </c>
      <c r="AV1885" t="s">
        <v>3250</v>
      </c>
      <c r="AW1885" t="s">
        <v>3250</v>
      </c>
      <c r="AX1885" t="s">
        <v>3250</v>
      </c>
      <c r="AY1885" t="s">
        <v>3250</v>
      </c>
      <c r="AZ1885" t="s">
        <v>3250</v>
      </c>
      <c r="BA1885" t="s">
        <v>3250</v>
      </c>
      <c r="BB1885" t="s">
        <v>3250</v>
      </c>
      <c r="BC1885" t="s">
        <v>3250</v>
      </c>
      <c r="BE1885" t="s">
        <v>3250</v>
      </c>
      <c r="BF1885" t="s">
        <v>3250</v>
      </c>
      <c r="BG1885" t="s">
        <v>3250</v>
      </c>
      <c r="BH1885" t="s">
        <v>3250</v>
      </c>
      <c r="BI1885" t="s">
        <v>3250</v>
      </c>
      <c r="BK1885" t="s">
        <v>3250</v>
      </c>
      <c r="BL1885" t="s">
        <v>3250</v>
      </c>
      <c r="BM1885" t="s">
        <v>3250</v>
      </c>
      <c r="BN1885" t="s">
        <v>3250</v>
      </c>
      <c r="BP1885">
        <v>1</v>
      </c>
      <c r="BQ1885">
        <v>11</v>
      </c>
      <c r="BR1885" t="s">
        <v>1574</v>
      </c>
      <c r="BS1885" t="s">
        <v>3252</v>
      </c>
      <c r="BV1885">
        <v>0</v>
      </c>
      <c r="BW1885">
        <v>0</v>
      </c>
      <c r="BX1885">
        <v>0</v>
      </c>
      <c r="BY1885">
        <v>0</v>
      </c>
      <c r="BZ1885">
        <v>0</v>
      </c>
      <c r="CA1885">
        <v>0</v>
      </c>
      <c r="CB1885">
        <v>0</v>
      </c>
      <c r="CC1885">
        <v>0</v>
      </c>
      <c r="CD1885">
        <v>0</v>
      </c>
      <c r="CE1885" t="s">
        <v>3108</v>
      </c>
      <c r="CF1885" t="s">
        <v>3108</v>
      </c>
      <c r="CG1885" t="s">
        <v>3108</v>
      </c>
      <c r="CH1885" t="s">
        <v>3108</v>
      </c>
    </row>
    <row r="1886" spans="1:86" x14ac:dyDescent="0.2">
      <c r="A1886" t="s">
        <v>5974</v>
      </c>
      <c r="B1886" t="s">
        <v>5974</v>
      </c>
      <c r="C1886">
        <v>55009</v>
      </c>
      <c r="D1886">
        <v>2009</v>
      </c>
      <c r="E1886" t="s">
        <v>5648</v>
      </c>
      <c r="F1886" t="s">
        <v>3249</v>
      </c>
      <c r="G1886" t="s">
        <v>3249</v>
      </c>
      <c r="H1886" t="s">
        <v>3250</v>
      </c>
      <c r="I1886" t="s">
        <v>3250</v>
      </c>
      <c r="J1886" t="s">
        <v>3250</v>
      </c>
      <c r="K1886" t="s">
        <v>3250</v>
      </c>
      <c r="L1886">
        <v>1200</v>
      </c>
      <c r="M1886" t="s">
        <v>2368</v>
      </c>
      <c r="N1886">
        <v>1204</v>
      </c>
      <c r="O1886" t="s">
        <v>1574</v>
      </c>
      <c r="P1886" t="s">
        <v>3108</v>
      </c>
      <c r="Q1886" t="s">
        <v>3249</v>
      </c>
      <c r="R1886" t="s">
        <v>3249</v>
      </c>
      <c r="S1886" t="s">
        <v>472</v>
      </c>
      <c r="T1886" t="s">
        <v>3251</v>
      </c>
      <c r="U1886">
        <v>240</v>
      </c>
      <c r="V1886" t="s">
        <v>4251</v>
      </c>
      <c r="W1886">
        <v>240</v>
      </c>
      <c r="X1886" t="s">
        <v>1323</v>
      </c>
      <c r="Y1886" t="s">
        <v>3250</v>
      </c>
      <c r="Z1886" t="s">
        <v>3250</v>
      </c>
      <c r="AA1886" t="s">
        <v>3108</v>
      </c>
      <c r="AB1886" t="s">
        <v>3108</v>
      </c>
      <c r="AC1886" t="s">
        <v>3250</v>
      </c>
      <c r="AD1886" t="s">
        <v>3250</v>
      </c>
      <c r="AE1886" t="s">
        <v>3250</v>
      </c>
      <c r="AF1886" t="s">
        <v>3250</v>
      </c>
      <c r="AG1886">
        <v>1470</v>
      </c>
      <c r="AH1886" t="s">
        <v>2332</v>
      </c>
      <c r="AI1886">
        <v>1470</v>
      </c>
      <c r="AJ1886" t="s">
        <v>2332</v>
      </c>
      <c r="AL1886">
        <v>243</v>
      </c>
      <c r="AM1886" t="s">
        <v>700</v>
      </c>
      <c r="AN1886">
        <v>243</v>
      </c>
      <c r="AO1886" t="s">
        <v>700</v>
      </c>
      <c r="AS1886" t="s">
        <v>3250</v>
      </c>
      <c r="AT1886" t="s">
        <v>3250</v>
      </c>
      <c r="AU1886" t="s">
        <v>3250</v>
      </c>
      <c r="AV1886" t="s">
        <v>3250</v>
      </c>
      <c r="AW1886" t="s">
        <v>3250</v>
      </c>
      <c r="AX1886" t="s">
        <v>3250</v>
      </c>
      <c r="AY1886" t="s">
        <v>3250</v>
      </c>
      <c r="AZ1886" t="s">
        <v>3250</v>
      </c>
      <c r="BA1886" t="s">
        <v>3250</v>
      </c>
      <c r="BB1886" t="s">
        <v>3250</v>
      </c>
      <c r="BC1886" t="s">
        <v>3250</v>
      </c>
      <c r="BE1886" t="s">
        <v>3250</v>
      </c>
      <c r="BF1886" t="s">
        <v>3250</v>
      </c>
      <c r="BG1886" t="s">
        <v>3250</v>
      </c>
      <c r="BH1886" t="s">
        <v>3250</v>
      </c>
      <c r="BI1886" t="s">
        <v>3250</v>
      </c>
      <c r="BK1886" t="s">
        <v>3250</v>
      </c>
      <c r="BL1886" t="s">
        <v>3250</v>
      </c>
      <c r="BM1886" t="s">
        <v>3250</v>
      </c>
      <c r="BN1886" t="s">
        <v>3250</v>
      </c>
      <c r="BP1886">
        <v>1</v>
      </c>
      <c r="BQ1886">
        <v>11</v>
      </c>
      <c r="BR1886" t="s">
        <v>1574</v>
      </c>
      <c r="BS1886" t="s">
        <v>3252</v>
      </c>
      <c r="BV1886">
        <v>572198</v>
      </c>
      <c r="BW1886">
        <v>572198</v>
      </c>
      <c r="BX1886">
        <v>0</v>
      </c>
      <c r="BY1886">
        <v>0</v>
      </c>
      <c r="BZ1886">
        <v>0</v>
      </c>
      <c r="CA1886">
        <v>0</v>
      </c>
      <c r="CB1886">
        <v>0</v>
      </c>
      <c r="CC1886">
        <v>0</v>
      </c>
      <c r="CD1886">
        <v>572198</v>
      </c>
      <c r="CE1886" t="s">
        <v>3108</v>
      </c>
      <c r="CF1886" t="s">
        <v>3108</v>
      </c>
      <c r="CG1886" t="s">
        <v>3108</v>
      </c>
      <c r="CH1886" t="s">
        <v>3108</v>
      </c>
    </row>
    <row r="1887" spans="1:86" x14ac:dyDescent="0.2">
      <c r="A1887" t="s">
        <v>5975</v>
      </c>
      <c r="B1887" t="s">
        <v>5975</v>
      </c>
      <c r="C1887">
        <v>55010</v>
      </c>
      <c r="D1887">
        <v>2010</v>
      </c>
      <c r="E1887" t="s">
        <v>4859</v>
      </c>
      <c r="F1887" t="s">
        <v>3249</v>
      </c>
      <c r="G1887" t="s">
        <v>3249</v>
      </c>
      <c r="H1887" t="s">
        <v>3250</v>
      </c>
      <c r="I1887" t="s">
        <v>3250</v>
      </c>
      <c r="J1887" t="s">
        <v>3250</v>
      </c>
      <c r="K1887" t="s">
        <v>3250</v>
      </c>
      <c r="L1887">
        <v>1200</v>
      </c>
      <c r="M1887" t="s">
        <v>2368</v>
      </c>
      <c r="N1887">
        <v>1204</v>
      </c>
      <c r="O1887" t="s">
        <v>1574</v>
      </c>
      <c r="P1887" t="s">
        <v>3108</v>
      </c>
      <c r="Q1887" t="s">
        <v>3249</v>
      </c>
      <c r="R1887" t="s">
        <v>3249</v>
      </c>
      <c r="S1887" t="s">
        <v>472</v>
      </c>
      <c r="T1887" t="s">
        <v>3251</v>
      </c>
      <c r="U1887">
        <v>240</v>
      </c>
      <c r="V1887" t="s">
        <v>4251</v>
      </c>
      <c r="W1887">
        <v>240</v>
      </c>
      <c r="X1887" t="s">
        <v>1323</v>
      </c>
      <c r="Y1887" t="s">
        <v>3250</v>
      </c>
      <c r="Z1887" t="s">
        <v>3250</v>
      </c>
      <c r="AA1887" t="s">
        <v>3108</v>
      </c>
      <c r="AB1887" t="s">
        <v>3108</v>
      </c>
      <c r="AC1887" t="s">
        <v>3250</v>
      </c>
      <c r="AD1887" t="s">
        <v>3250</v>
      </c>
      <c r="AE1887" t="s">
        <v>3250</v>
      </c>
      <c r="AF1887" t="s">
        <v>3250</v>
      </c>
      <c r="AG1887">
        <v>1470</v>
      </c>
      <c r="AH1887" t="s">
        <v>2332</v>
      </c>
      <c r="AI1887">
        <v>1470</v>
      </c>
      <c r="AJ1887" t="s">
        <v>2332</v>
      </c>
      <c r="AL1887">
        <v>243</v>
      </c>
      <c r="AM1887" t="s">
        <v>700</v>
      </c>
      <c r="AN1887">
        <v>243</v>
      </c>
      <c r="AO1887" t="s">
        <v>700</v>
      </c>
      <c r="AS1887" t="s">
        <v>3250</v>
      </c>
      <c r="AT1887" t="s">
        <v>3250</v>
      </c>
      <c r="AU1887" t="s">
        <v>3250</v>
      </c>
      <c r="AV1887" t="s">
        <v>3250</v>
      </c>
      <c r="AW1887" t="s">
        <v>3250</v>
      </c>
      <c r="AX1887" t="s">
        <v>3250</v>
      </c>
      <c r="AY1887" t="s">
        <v>3250</v>
      </c>
      <c r="AZ1887" t="s">
        <v>3250</v>
      </c>
      <c r="BA1887" t="s">
        <v>3250</v>
      </c>
      <c r="BB1887" t="s">
        <v>3250</v>
      </c>
      <c r="BC1887" t="s">
        <v>3250</v>
      </c>
      <c r="BE1887" t="s">
        <v>3250</v>
      </c>
      <c r="BF1887" t="s">
        <v>3250</v>
      </c>
      <c r="BG1887" t="s">
        <v>3250</v>
      </c>
      <c r="BH1887" t="s">
        <v>3250</v>
      </c>
      <c r="BI1887" t="s">
        <v>3250</v>
      </c>
      <c r="BK1887" t="s">
        <v>3250</v>
      </c>
      <c r="BL1887" t="s">
        <v>3250</v>
      </c>
      <c r="BM1887" t="s">
        <v>3250</v>
      </c>
      <c r="BN1887" t="s">
        <v>3250</v>
      </c>
      <c r="BP1887">
        <v>1</v>
      </c>
      <c r="BQ1887">
        <v>11</v>
      </c>
      <c r="BR1887" t="s">
        <v>1574</v>
      </c>
      <c r="BS1887" t="s">
        <v>3252</v>
      </c>
      <c r="BV1887">
        <v>0</v>
      </c>
      <c r="BW1887">
        <v>0</v>
      </c>
      <c r="BX1887">
        <v>0</v>
      </c>
      <c r="BY1887">
        <v>0</v>
      </c>
      <c r="BZ1887">
        <v>0</v>
      </c>
      <c r="CA1887">
        <v>0</v>
      </c>
      <c r="CB1887">
        <v>0</v>
      </c>
      <c r="CC1887">
        <v>0</v>
      </c>
      <c r="CD1887">
        <v>0</v>
      </c>
      <c r="CE1887" t="s">
        <v>3108</v>
      </c>
      <c r="CF1887" t="s">
        <v>3108</v>
      </c>
      <c r="CG1887" t="s">
        <v>3108</v>
      </c>
      <c r="CH1887" t="s">
        <v>3108</v>
      </c>
    </row>
    <row r="1888" spans="1:86" x14ac:dyDescent="0.2">
      <c r="A1888" t="s">
        <v>5976</v>
      </c>
      <c r="B1888" t="s">
        <v>5976</v>
      </c>
      <c r="C1888">
        <v>55011</v>
      </c>
      <c r="D1888">
        <v>2011</v>
      </c>
      <c r="E1888" t="s">
        <v>4828</v>
      </c>
      <c r="F1888" t="s">
        <v>3249</v>
      </c>
      <c r="G1888" t="s">
        <v>3249</v>
      </c>
      <c r="H1888" t="s">
        <v>3250</v>
      </c>
      <c r="I1888" t="s">
        <v>3250</v>
      </c>
      <c r="J1888" t="s">
        <v>3250</v>
      </c>
      <c r="K1888" t="s">
        <v>3250</v>
      </c>
      <c r="L1888">
        <v>1200</v>
      </c>
      <c r="M1888" t="s">
        <v>2368</v>
      </c>
      <c r="N1888">
        <v>1204</v>
      </c>
      <c r="O1888" t="s">
        <v>1574</v>
      </c>
      <c r="P1888" t="s">
        <v>3108</v>
      </c>
      <c r="Q1888" t="s">
        <v>3249</v>
      </c>
      <c r="R1888" t="s">
        <v>3249</v>
      </c>
      <c r="S1888" t="s">
        <v>472</v>
      </c>
      <c r="T1888" t="s">
        <v>3251</v>
      </c>
      <c r="U1888">
        <v>270</v>
      </c>
      <c r="V1888" t="s">
        <v>4826</v>
      </c>
      <c r="W1888">
        <v>270</v>
      </c>
      <c r="X1888" t="s">
        <v>814</v>
      </c>
      <c r="Y1888" t="s">
        <v>3250</v>
      </c>
      <c r="Z1888" t="s">
        <v>3250</v>
      </c>
      <c r="AA1888" t="s">
        <v>3108</v>
      </c>
      <c r="AB1888" t="s">
        <v>3108</v>
      </c>
      <c r="AC1888" t="s">
        <v>3250</v>
      </c>
      <c r="AD1888" t="s">
        <v>3250</v>
      </c>
      <c r="AE1888" t="s">
        <v>3250</v>
      </c>
      <c r="AF1888" t="s">
        <v>3250</v>
      </c>
      <c r="AG1888">
        <v>1370</v>
      </c>
      <c r="AH1888" t="s">
        <v>2325</v>
      </c>
      <c r="AI1888">
        <v>1370</v>
      </c>
      <c r="AJ1888" t="s">
        <v>2325</v>
      </c>
      <c r="AL1888" t="s">
        <v>3250</v>
      </c>
      <c r="AM1888" t="s">
        <v>3250</v>
      </c>
      <c r="AN1888" t="s">
        <v>3250</v>
      </c>
      <c r="AO1888" t="s">
        <v>3250</v>
      </c>
      <c r="AS1888" t="s">
        <v>3250</v>
      </c>
      <c r="AT1888" t="s">
        <v>3250</v>
      </c>
      <c r="AU1888" t="s">
        <v>3250</v>
      </c>
      <c r="AV1888" t="s">
        <v>3250</v>
      </c>
      <c r="AW1888" t="s">
        <v>3250</v>
      </c>
      <c r="AX1888" t="s">
        <v>3250</v>
      </c>
      <c r="AY1888" t="s">
        <v>3250</v>
      </c>
      <c r="AZ1888" t="s">
        <v>3250</v>
      </c>
      <c r="BA1888" t="s">
        <v>3250</v>
      </c>
      <c r="BB1888" t="s">
        <v>3250</v>
      </c>
      <c r="BC1888" t="s">
        <v>3250</v>
      </c>
      <c r="BE1888" t="s">
        <v>3250</v>
      </c>
      <c r="BF1888" t="s">
        <v>3250</v>
      </c>
      <c r="BG1888" t="s">
        <v>3250</v>
      </c>
      <c r="BH1888" t="s">
        <v>3250</v>
      </c>
      <c r="BI1888" t="s">
        <v>3250</v>
      </c>
      <c r="BK1888" t="s">
        <v>3250</v>
      </c>
      <c r="BL1888" t="s">
        <v>3250</v>
      </c>
      <c r="BM1888" t="s">
        <v>3250</v>
      </c>
      <c r="BN1888" t="s">
        <v>3250</v>
      </c>
      <c r="BP1888">
        <v>1</v>
      </c>
      <c r="BQ1888">
        <v>11</v>
      </c>
      <c r="BR1888" t="s">
        <v>1574</v>
      </c>
      <c r="BS1888" t="s">
        <v>3252</v>
      </c>
      <c r="BV1888">
        <v>0</v>
      </c>
      <c r="BW1888">
        <v>0</v>
      </c>
      <c r="BX1888">
        <v>0</v>
      </c>
      <c r="BY1888">
        <v>0</v>
      </c>
      <c r="BZ1888">
        <v>0</v>
      </c>
      <c r="CA1888">
        <v>0</v>
      </c>
      <c r="CB1888">
        <v>0</v>
      </c>
      <c r="CC1888">
        <v>0</v>
      </c>
      <c r="CD1888">
        <v>0</v>
      </c>
      <c r="CE1888" t="s">
        <v>3108</v>
      </c>
      <c r="CF1888" t="s">
        <v>3108</v>
      </c>
      <c r="CG1888" t="s">
        <v>3108</v>
      </c>
      <c r="CH1888" t="s">
        <v>3108</v>
      </c>
    </row>
    <row r="1889" spans="1:86" x14ac:dyDescent="0.2">
      <c r="A1889" t="s">
        <v>5977</v>
      </c>
      <c r="B1889" t="s">
        <v>5977</v>
      </c>
      <c r="C1889">
        <v>55012</v>
      </c>
      <c r="D1889">
        <v>2012</v>
      </c>
      <c r="E1889" t="s">
        <v>5978</v>
      </c>
      <c r="F1889" t="s">
        <v>3249</v>
      </c>
      <c r="G1889" t="s">
        <v>3249</v>
      </c>
      <c r="H1889" t="s">
        <v>3250</v>
      </c>
      <c r="I1889" t="s">
        <v>3250</v>
      </c>
      <c r="J1889" t="s">
        <v>3250</v>
      </c>
      <c r="K1889" t="s">
        <v>3250</v>
      </c>
      <c r="L1889">
        <v>1200</v>
      </c>
      <c r="M1889" t="s">
        <v>2368</v>
      </c>
      <c r="N1889">
        <v>1204</v>
      </c>
      <c r="O1889" t="s">
        <v>1574</v>
      </c>
      <c r="P1889" t="s">
        <v>3108</v>
      </c>
      <c r="Q1889" t="s">
        <v>3249</v>
      </c>
      <c r="R1889" t="s">
        <v>3249</v>
      </c>
      <c r="S1889" t="s">
        <v>472</v>
      </c>
      <c r="T1889" t="s">
        <v>3251</v>
      </c>
      <c r="U1889">
        <v>270</v>
      </c>
      <c r="V1889" t="s">
        <v>4826</v>
      </c>
      <c r="W1889">
        <v>270</v>
      </c>
      <c r="X1889" t="s">
        <v>814</v>
      </c>
      <c r="Y1889" t="s">
        <v>3250</v>
      </c>
      <c r="Z1889" t="s">
        <v>3250</v>
      </c>
      <c r="AA1889" t="s">
        <v>3108</v>
      </c>
      <c r="AB1889" t="s">
        <v>3108</v>
      </c>
      <c r="AC1889" t="s">
        <v>3250</v>
      </c>
      <c r="AD1889" t="s">
        <v>3250</v>
      </c>
      <c r="AE1889" t="s">
        <v>3250</v>
      </c>
      <c r="AF1889" t="s">
        <v>3250</v>
      </c>
      <c r="AG1889">
        <v>1370</v>
      </c>
      <c r="AH1889" t="s">
        <v>2325</v>
      </c>
      <c r="AI1889">
        <v>1370</v>
      </c>
      <c r="AJ1889" t="s">
        <v>2325</v>
      </c>
      <c r="AL1889" t="s">
        <v>3250</v>
      </c>
      <c r="AM1889" t="s">
        <v>3250</v>
      </c>
      <c r="AN1889" t="s">
        <v>3250</v>
      </c>
      <c r="AO1889" t="s">
        <v>3250</v>
      </c>
      <c r="AS1889" t="s">
        <v>3250</v>
      </c>
      <c r="AT1889" t="s">
        <v>3250</v>
      </c>
      <c r="AU1889" t="s">
        <v>3250</v>
      </c>
      <c r="AV1889" t="s">
        <v>3250</v>
      </c>
      <c r="AW1889" t="s">
        <v>3250</v>
      </c>
      <c r="AX1889" t="s">
        <v>3250</v>
      </c>
      <c r="AY1889" t="s">
        <v>3250</v>
      </c>
      <c r="AZ1889" t="s">
        <v>3250</v>
      </c>
      <c r="BA1889" t="s">
        <v>3250</v>
      </c>
      <c r="BB1889" t="s">
        <v>3250</v>
      </c>
      <c r="BC1889" t="s">
        <v>3250</v>
      </c>
      <c r="BE1889" t="s">
        <v>3250</v>
      </c>
      <c r="BF1889" t="s">
        <v>3250</v>
      </c>
      <c r="BG1889" t="s">
        <v>3250</v>
      </c>
      <c r="BH1889" t="s">
        <v>3250</v>
      </c>
      <c r="BI1889" t="s">
        <v>3250</v>
      </c>
      <c r="BK1889" t="s">
        <v>3250</v>
      </c>
      <c r="BL1889" t="s">
        <v>3250</v>
      </c>
      <c r="BM1889" t="s">
        <v>3250</v>
      </c>
      <c r="BN1889" t="s">
        <v>3250</v>
      </c>
      <c r="BP1889">
        <v>1</v>
      </c>
      <c r="BQ1889">
        <v>11</v>
      </c>
      <c r="BR1889" t="s">
        <v>1574</v>
      </c>
      <c r="BS1889" t="s">
        <v>3252</v>
      </c>
      <c r="BV1889">
        <v>0</v>
      </c>
      <c r="BW1889">
        <v>0</v>
      </c>
      <c r="BX1889">
        <v>0</v>
      </c>
      <c r="BY1889">
        <v>0</v>
      </c>
      <c r="BZ1889">
        <v>-895019</v>
      </c>
      <c r="CA1889">
        <v>-221718</v>
      </c>
      <c r="CB1889">
        <v>-967122</v>
      </c>
      <c r="CC1889">
        <v>-1005807</v>
      </c>
      <c r="CD1889">
        <v>0</v>
      </c>
      <c r="CE1889" t="s">
        <v>3108</v>
      </c>
      <c r="CF1889" t="s">
        <v>3108</v>
      </c>
      <c r="CG1889" t="s">
        <v>3108</v>
      </c>
      <c r="CH1889" t="s">
        <v>3108</v>
      </c>
    </row>
    <row r="1890" spans="1:86" x14ac:dyDescent="0.2">
      <c r="A1890" t="s">
        <v>5979</v>
      </c>
      <c r="B1890" t="s">
        <v>5979</v>
      </c>
      <c r="C1890">
        <v>55013</v>
      </c>
      <c r="D1890">
        <v>2013</v>
      </c>
      <c r="E1890" t="s">
        <v>4688</v>
      </c>
      <c r="F1890" t="s">
        <v>3249</v>
      </c>
      <c r="G1890" t="s">
        <v>3249</v>
      </c>
      <c r="H1890" t="s">
        <v>3250</v>
      </c>
      <c r="I1890" t="s">
        <v>3250</v>
      </c>
      <c r="J1890" t="s">
        <v>3250</v>
      </c>
      <c r="K1890" t="s">
        <v>3250</v>
      </c>
      <c r="L1890">
        <v>3200</v>
      </c>
      <c r="M1890" t="s">
        <v>128</v>
      </c>
      <c r="N1890">
        <v>3205</v>
      </c>
      <c r="O1890" t="s">
        <v>629</v>
      </c>
      <c r="P1890" t="s">
        <v>2805</v>
      </c>
      <c r="Q1890">
        <v>2080</v>
      </c>
      <c r="R1890" t="s">
        <v>423</v>
      </c>
      <c r="S1890" t="s">
        <v>427</v>
      </c>
      <c r="T1890" t="s">
        <v>3251</v>
      </c>
      <c r="U1890">
        <v>240</v>
      </c>
      <c r="V1890" t="s">
        <v>4251</v>
      </c>
      <c r="W1890">
        <v>240</v>
      </c>
      <c r="X1890" t="s">
        <v>1323</v>
      </c>
      <c r="Y1890" t="s">
        <v>3250</v>
      </c>
      <c r="Z1890" t="s">
        <v>3250</v>
      </c>
      <c r="AA1890" t="s">
        <v>3108</v>
      </c>
      <c r="AB1890" t="s">
        <v>3108</v>
      </c>
      <c r="AC1890" t="s">
        <v>3250</v>
      </c>
      <c r="AD1890" t="s">
        <v>3250</v>
      </c>
      <c r="AE1890" t="s">
        <v>3250</v>
      </c>
      <c r="AF1890" t="s">
        <v>3250</v>
      </c>
      <c r="AG1890">
        <v>110</v>
      </c>
      <c r="AH1890" t="s">
        <v>2230</v>
      </c>
      <c r="AI1890">
        <v>110</v>
      </c>
      <c r="AJ1890" t="s">
        <v>2230</v>
      </c>
      <c r="AL1890">
        <v>241</v>
      </c>
      <c r="AM1890" t="s">
        <v>1455</v>
      </c>
      <c r="AN1890">
        <v>241</v>
      </c>
      <c r="AO1890" t="s">
        <v>1455</v>
      </c>
      <c r="AS1890">
        <v>120</v>
      </c>
      <c r="AT1890">
        <v>120</v>
      </c>
      <c r="AU1890" t="s">
        <v>629</v>
      </c>
      <c r="AV1890" t="s">
        <v>629</v>
      </c>
      <c r="AW1890" t="s">
        <v>3250</v>
      </c>
      <c r="AX1890" t="s">
        <v>3250</v>
      </c>
      <c r="AY1890" t="s">
        <v>3250</v>
      </c>
      <c r="AZ1890" t="s">
        <v>3250</v>
      </c>
      <c r="BA1890" t="s">
        <v>3250</v>
      </c>
      <c r="BB1890" t="s">
        <v>3250</v>
      </c>
      <c r="BC1890" t="s">
        <v>3250</v>
      </c>
      <c r="BE1890" t="s">
        <v>3250</v>
      </c>
      <c r="BF1890" t="s">
        <v>3250</v>
      </c>
      <c r="BG1890" t="s">
        <v>3250</v>
      </c>
      <c r="BH1890" t="s">
        <v>3250</v>
      </c>
      <c r="BI1890" t="s">
        <v>3250</v>
      </c>
      <c r="BK1890" t="s">
        <v>3250</v>
      </c>
      <c r="BL1890" t="s">
        <v>3250</v>
      </c>
      <c r="BM1890" t="s">
        <v>3250</v>
      </c>
      <c r="BN1890" t="s">
        <v>3250</v>
      </c>
      <c r="BP1890">
        <v>7</v>
      </c>
      <c r="BQ1890">
        <v>71</v>
      </c>
      <c r="BR1890" t="s">
        <v>629</v>
      </c>
      <c r="BS1890" t="s">
        <v>4212</v>
      </c>
      <c r="BV1890">
        <v>0</v>
      </c>
      <c r="BW1890">
        <v>0</v>
      </c>
      <c r="BX1890">
        <v>0</v>
      </c>
      <c r="BY1890">
        <v>0</v>
      </c>
      <c r="BZ1890">
        <v>0</v>
      </c>
      <c r="CA1890">
        <v>0</v>
      </c>
      <c r="CB1890">
        <v>0</v>
      </c>
      <c r="CC1890">
        <v>0</v>
      </c>
      <c r="CD1890">
        <v>574550</v>
      </c>
      <c r="CE1890" t="s">
        <v>3108</v>
      </c>
      <c r="CF1890" t="s">
        <v>3108</v>
      </c>
      <c r="CG1890" t="s">
        <v>3108</v>
      </c>
      <c r="CH1890" t="s">
        <v>3108</v>
      </c>
    </row>
    <row r="1891" spans="1:86" x14ac:dyDescent="0.2">
      <c r="A1891" t="s">
        <v>5980</v>
      </c>
      <c r="B1891" t="s">
        <v>5980</v>
      </c>
      <c r="C1891">
        <v>55014</v>
      </c>
      <c r="D1891">
        <v>2014</v>
      </c>
      <c r="E1891" t="s">
        <v>4688</v>
      </c>
      <c r="F1891" t="s">
        <v>3249</v>
      </c>
      <c r="G1891" t="s">
        <v>3249</v>
      </c>
      <c r="H1891" t="s">
        <v>3250</v>
      </c>
      <c r="I1891" t="s">
        <v>3250</v>
      </c>
      <c r="J1891" t="s">
        <v>3250</v>
      </c>
      <c r="K1891" t="s">
        <v>3250</v>
      </c>
      <c r="L1891">
        <v>3200</v>
      </c>
      <c r="M1891" t="s">
        <v>128</v>
      </c>
      <c r="N1891">
        <v>3205</v>
      </c>
      <c r="O1891" t="s">
        <v>629</v>
      </c>
      <c r="P1891" t="s">
        <v>2805</v>
      </c>
      <c r="Q1891">
        <v>2080</v>
      </c>
      <c r="R1891" t="s">
        <v>423</v>
      </c>
      <c r="S1891" t="s">
        <v>427</v>
      </c>
      <c r="T1891" t="s">
        <v>3251</v>
      </c>
      <c r="U1891">
        <v>240</v>
      </c>
      <c r="V1891" t="s">
        <v>4251</v>
      </c>
      <c r="W1891">
        <v>240</v>
      </c>
      <c r="X1891" t="s">
        <v>1323</v>
      </c>
      <c r="Y1891" t="s">
        <v>3250</v>
      </c>
      <c r="Z1891" t="s">
        <v>3250</v>
      </c>
      <c r="AA1891" t="s">
        <v>3108</v>
      </c>
      <c r="AB1891" t="s">
        <v>3108</v>
      </c>
      <c r="AC1891" t="s">
        <v>3250</v>
      </c>
      <c r="AD1891" t="s">
        <v>3250</v>
      </c>
      <c r="AE1891" t="s">
        <v>3250</v>
      </c>
      <c r="AF1891" t="s">
        <v>3250</v>
      </c>
      <c r="AG1891">
        <v>110</v>
      </c>
      <c r="AH1891" t="s">
        <v>2230</v>
      </c>
      <c r="AI1891">
        <v>110</v>
      </c>
      <c r="AJ1891" t="s">
        <v>2230</v>
      </c>
      <c r="AL1891">
        <v>241</v>
      </c>
      <c r="AM1891" t="s">
        <v>1455</v>
      </c>
      <c r="AN1891">
        <v>241</v>
      </c>
      <c r="AO1891" t="s">
        <v>1455</v>
      </c>
      <c r="AS1891">
        <v>120</v>
      </c>
      <c r="AT1891">
        <v>120</v>
      </c>
      <c r="AU1891" t="s">
        <v>629</v>
      </c>
      <c r="AV1891" t="s">
        <v>629</v>
      </c>
      <c r="AW1891" t="s">
        <v>3250</v>
      </c>
      <c r="AX1891" t="s">
        <v>3250</v>
      </c>
      <c r="AY1891" t="s">
        <v>3250</v>
      </c>
      <c r="AZ1891" t="s">
        <v>3250</v>
      </c>
      <c r="BA1891" t="s">
        <v>3250</v>
      </c>
      <c r="BB1891" t="s">
        <v>3250</v>
      </c>
      <c r="BC1891" t="s">
        <v>3250</v>
      </c>
      <c r="BE1891" t="s">
        <v>3250</v>
      </c>
      <c r="BF1891" t="s">
        <v>3250</v>
      </c>
      <c r="BG1891" t="s">
        <v>3250</v>
      </c>
      <c r="BH1891" t="s">
        <v>3250</v>
      </c>
      <c r="BI1891" t="s">
        <v>3250</v>
      </c>
      <c r="BK1891" t="s">
        <v>3250</v>
      </c>
      <c r="BL1891" t="s">
        <v>3250</v>
      </c>
      <c r="BM1891" t="s">
        <v>3250</v>
      </c>
      <c r="BN1891" t="s">
        <v>3250</v>
      </c>
      <c r="BP1891">
        <v>7</v>
      </c>
      <c r="BQ1891">
        <v>71</v>
      </c>
      <c r="BR1891" t="s">
        <v>629</v>
      </c>
      <c r="BS1891" t="s">
        <v>4212</v>
      </c>
      <c r="BV1891">
        <v>0</v>
      </c>
      <c r="BW1891">
        <v>0</v>
      </c>
      <c r="BX1891">
        <v>0</v>
      </c>
      <c r="BY1891">
        <v>0</v>
      </c>
      <c r="BZ1891">
        <v>938675</v>
      </c>
      <c r="CA1891">
        <v>0</v>
      </c>
      <c r="CB1891">
        <v>0</v>
      </c>
      <c r="CC1891">
        <v>0</v>
      </c>
      <c r="CD1891">
        <v>938675</v>
      </c>
      <c r="CE1891" t="s">
        <v>3108</v>
      </c>
      <c r="CF1891" t="s">
        <v>3108</v>
      </c>
      <c r="CG1891" t="s">
        <v>3108</v>
      </c>
      <c r="CH1891" t="s">
        <v>3108</v>
      </c>
    </row>
    <row r="1892" spans="1:86" x14ac:dyDescent="0.2">
      <c r="A1892" t="s">
        <v>5981</v>
      </c>
      <c r="B1892" t="s">
        <v>5981</v>
      </c>
      <c r="C1892">
        <v>55015</v>
      </c>
      <c r="D1892">
        <v>2015</v>
      </c>
      <c r="E1892" t="s">
        <v>4688</v>
      </c>
      <c r="F1892" t="s">
        <v>3249</v>
      </c>
      <c r="G1892" t="s">
        <v>3249</v>
      </c>
      <c r="H1892" t="s">
        <v>3250</v>
      </c>
      <c r="I1892" t="s">
        <v>3250</v>
      </c>
      <c r="J1892" t="s">
        <v>3250</v>
      </c>
      <c r="K1892" t="s">
        <v>3250</v>
      </c>
      <c r="L1892">
        <v>3200</v>
      </c>
      <c r="M1892" t="s">
        <v>128</v>
      </c>
      <c r="N1892">
        <v>3205</v>
      </c>
      <c r="O1892" t="s">
        <v>629</v>
      </c>
      <c r="P1892" t="s">
        <v>2805</v>
      </c>
      <c r="Q1892">
        <v>2080</v>
      </c>
      <c r="R1892" t="s">
        <v>423</v>
      </c>
      <c r="S1892" t="s">
        <v>427</v>
      </c>
      <c r="T1892" t="s">
        <v>3251</v>
      </c>
      <c r="U1892">
        <v>240</v>
      </c>
      <c r="V1892" t="s">
        <v>4251</v>
      </c>
      <c r="W1892">
        <v>240</v>
      </c>
      <c r="X1892" t="s">
        <v>1323</v>
      </c>
      <c r="Y1892" t="s">
        <v>3250</v>
      </c>
      <c r="Z1892" t="s">
        <v>3250</v>
      </c>
      <c r="AA1892" t="s">
        <v>3108</v>
      </c>
      <c r="AB1892" t="s">
        <v>3108</v>
      </c>
      <c r="AC1892" t="s">
        <v>3250</v>
      </c>
      <c r="AD1892" t="s">
        <v>3250</v>
      </c>
      <c r="AE1892" t="s">
        <v>3250</v>
      </c>
      <c r="AF1892" t="s">
        <v>3250</v>
      </c>
      <c r="AG1892">
        <v>110</v>
      </c>
      <c r="AH1892" t="s">
        <v>2230</v>
      </c>
      <c r="AI1892">
        <v>110</v>
      </c>
      <c r="AJ1892" t="s">
        <v>2230</v>
      </c>
      <c r="AL1892">
        <v>241</v>
      </c>
      <c r="AM1892" t="s">
        <v>1455</v>
      </c>
      <c r="AN1892">
        <v>241</v>
      </c>
      <c r="AO1892" t="s">
        <v>1455</v>
      </c>
      <c r="AS1892">
        <v>120</v>
      </c>
      <c r="AT1892">
        <v>120</v>
      </c>
      <c r="AU1892" t="s">
        <v>629</v>
      </c>
      <c r="AV1892" t="s">
        <v>629</v>
      </c>
      <c r="AW1892" t="s">
        <v>3250</v>
      </c>
      <c r="AX1892" t="s">
        <v>3250</v>
      </c>
      <c r="AY1892" t="s">
        <v>3250</v>
      </c>
      <c r="AZ1892" t="s">
        <v>3250</v>
      </c>
      <c r="BA1892" t="s">
        <v>3250</v>
      </c>
      <c r="BB1892" t="s">
        <v>3250</v>
      </c>
      <c r="BC1892" t="s">
        <v>3250</v>
      </c>
      <c r="BE1892" t="s">
        <v>3250</v>
      </c>
      <c r="BF1892" t="s">
        <v>3250</v>
      </c>
      <c r="BG1892" t="s">
        <v>3250</v>
      </c>
      <c r="BH1892" t="s">
        <v>3250</v>
      </c>
      <c r="BI1892" t="s">
        <v>3250</v>
      </c>
      <c r="BK1892" t="s">
        <v>3250</v>
      </c>
      <c r="BL1892" t="s">
        <v>3250</v>
      </c>
      <c r="BM1892" t="s">
        <v>3250</v>
      </c>
      <c r="BN1892" t="s">
        <v>3250</v>
      </c>
      <c r="BP1892">
        <v>7</v>
      </c>
      <c r="BQ1892">
        <v>71</v>
      </c>
      <c r="BR1892" t="s">
        <v>629</v>
      </c>
      <c r="BS1892" t="s">
        <v>4212</v>
      </c>
      <c r="BV1892">
        <v>0</v>
      </c>
      <c r="BW1892">
        <v>0</v>
      </c>
      <c r="BX1892">
        <v>0</v>
      </c>
      <c r="BY1892">
        <v>0</v>
      </c>
      <c r="BZ1892">
        <v>911532</v>
      </c>
      <c r="CA1892">
        <v>0</v>
      </c>
      <c r="CB1892">
        <v>0</v>
      </c>
      <c r="CC1892">
        <v>0</v>
      </c>
      <c r="CD1892">
        <v>740100</v>
      </c>
      <c r="CE1892" t="s">
        <v>3108</v>
      </c>
      <c r="CF1892" t="s">
        <v>3108</v>
      </c>
      <c r="CG1892" t="s">
        <v>3108</v>
      </c>
      <c r="CH1892" t="s">
        <v>3108</v>
      </c>
    </row>
    <row r="1893" spans="1:86" x14ac:dyDescent="0.2">
      <c r="A1893" t="s">
        <v>5982</v>
      </c>
      <c r="B1893" t="s">
        <v>5982</v>
      </c>
      <c r="C1893">
        <v>55016</v>
      </c>
      <c r="D1893">
        <v>2016</v>
      </c>
      <c r="E1893" t="s">
        <v>4688</v>
      </c>
      <c r="F1893" t="s">
        <v>3249</v>
      </c>
      <c r="G1893" t="s">
        <v>3249</v>
      </c>
      <c r="H1893" t="s">
        <v>3250</v>
      </c>
      <c r="I1893" t="s">
        <v>3250</v>
      </c>
      <c r="J1893" t="s">
        <v>3250</v>
      </c>
      <c r="K1893" t="s">
        <v>3250</v>
      </c>
      <c r="L1893">
        <v>3200</v>
      </c>
      <c r="M1893" t="s">
        <v>128</v>
      </c>
      <c r="N1893">
        <v>3205</v>
      </c>
      <c r="O1893" t="s">
        <v>629</v>
      </c>
      <c r="P1893" t="s">
        <v>2805</v>
      </c>
      <c r="Q1893">
        <v>2080</v>
      </c>
      <c r="R1893" t="s">
        <v>423</v>
      </c>
      <c r="S1893" t="s">
        <v>427</v>
      </c>
      <c r="T1893" t="s">
        <v>3251</v>
      </c>
      <c r="U1893">
        <v>240</v>
      </c>
      <c r="V1893" t="s">
        <v>4251</v>
      </c>
      <c r="W1893">
        <v>240</v>
      </c>
      <c r="X1893" t="s">
        <v>1323</v>
      </c>
      <c r="Y1893" t="s">
        <v>3250</v>
      </c>
      <c r="Z1893" t="s">
        <v>3250</v>
      </c>
      <c r="AA1893" t="s">
        <v>3108</v>
      </c>
      <c r="AB1893" t="s">
        <v>3108</v>
      </c>
      <c r="AC1893" t="s">
        <v>3250</v>
      </c>
      <c r="AD1893" t="s">
        <v>3250</v>
      </c>
      <c r="AE1893" t="s">
        <v>3250</v>
      </c>
      <c r="AF1893" t="s">
        <v>3250</v>
      </c>
      <c r="AG1893">
        <v>110</v>
      </c>
      <c r="AH1893" t="s">
        <v>2230</v>
      </c>
      <c r="AI1893">
        <v>110</v>
      </c>
      <c r="AJ1893" t="s">
        <v>2230</v>
      </c>
      <c r="AL1893">
        <v>241</v>
      </c>
      <c r="AM1893" t="s">
        <v>1455</v>
      </c>
      <c r="AN1893">
        <v>241</v>
      </c>
      <c r="AO1893" t="s">
        <v>1455</v>
      </c>
      <c r="AS1893">
        <v>120</v>
      </c>
      <c r="AT1893">
        <v>120</v>
      </c>
      <c r="AU1893" t="s">
        <v>629</v>
      </c>
      <c r="AV1893" t="s">
        <v>629</v>
      </c>
      <c r="AW1893" t="s">
        <v>3250</v>
      </c>
      <c r="AX1893" t="s">
        <v>3250</v>
      </c>
      <c r="AY1893" t="s">
        <v>3250</v>
      </c>
      <c r="AZ1893" t="s">
        <v>3250</v>
      </c>
      <c r="BA1893" t="s">
        <v>3250</v>
      </c>
      <c r="BB1893" t="s">
        <v>3250</v>
      </c>
      <c r="BC1893" t="s">
        <v>3250</v>
      </c>
      <c r="BE1893" t="s">
        <v>3250</v>
      </c>
      <c r="BF1893" t="s">
        <v>3250</v>
      </c>
      <c r="BG1893" t="s">
        <v>3250</v>
      </c>
      <c r="BH1893" t="s">
        <v>3250</v>
      </c>
      <c r="BI1893" t="s">
        <v>3250</v>
      </c>
      <c r="BK1893" t="s">
        <v>3250</v>
      </c>
      <c r="BL1893" t="s">
        <v>3250</v>
      </c>
      <c r="BM1893" t="s">
        <v>3250</v>
      </c>
      <c r="BN1893" t="s">
        <v>3250</v>
      </c>
      <c r="BP1893">
        <v>7</v>
      </c>
      <c r="BQ1893">
        <v>71</v>
      </c>
      <c r="BR1893" t="s">
        <v>629</v>
      </c>
      <c r="BS1893" t="s">
        <v>4212</v>
      </c>
      <c r="BV1893">
        <v>0</v>
      </c>
      <c r="BW1893">
        <v>0</v>
      </c>
      <c r="BX1893">
        <v>0</v>
      </c>
      <c r="BY1893">
        <v>0</v>
      </c>
      <c r="BZ1893">
        <v>951232</v>
      </c>
      <c r="CA1893">
        <v>0</v>
      </c>
      <c r="CB1893">
        <v>0</v>
      </c>
      <c r="CC1893">
        <v>0</v>
      </c>
      <c r="CD1893">
        <v>779800</v>
      </c>
      <c r="CE1893" t="s">
        <v>3108</v>
      </c>
      <c r="CF1893" t="s">
        <v>3108</v>
      </c>
      <c r="CG1893" t="s">
        <v>3108</v>
      </c>
      <c r="CH1893" t="s">
        <v>3108</v>
      </c>
    </row>
    <row r="1894" spans="1:86" x14ac:dyDescent="0.2">
      <c r="A1894" t="s">
        <v>5983</v>
      </c>
      <c r="B1894" t="s">
        <v>5983</v>
      </c>
      <c r="C1894">
        <v>55017</v>
      </c>
      <c r="D1894">
        <v>2017</v>
      </c>
      <c r="E1894" t="s">
        <v>4688</v>
      </c>
      <c r="F1894" t="s">
        <v>3249</v>
      </c>
      <c r="G1894" t="s">
        <v>3249</v>
      </c>
      <c r="H1894" t="s">
        <v>3250</v>
      </c>
      <c r="I1894" t="s">
        <v>3250</v>
      </c>
      <c r="J1894" t="s">
        <v>3250</v>
      </c>
      <c r="K1894" t="s">
        <v>3250</v>
      </c>
      <c r="L1894">
        <v>3200</v>
      </c>
      <c r="M1894" t="s">
        <v>128</v>
      </c>
      <c r="N1894">
        <v>3205</v>
      </c>
      <c r="O1894" t="s">
        <v>629</v>
      </c>
      <c r="P1894" t="s">
        <v>2805</v>
      </c>
      <c r="Q1894">
        <v>2080</v>
      </c>
      <c r="R1894" t="s">
        <v>423</v>
      </c>
      <c r="S1894" t="s">
        <v>427</v>
      </c>
      <c r="T1894" t="s">
        <v>3251</v>
      </c>
      <c r="U1894">
        <v>240</v>
      </c>
      <c r="V1894" t="s">
        <v>4251</v>
      </c>
      <c r="W1894">
        <v>240</v>
      </c>
      <c r="X1894" t="s">
        <v>1323</v>
      </c>
      <c r="Y1894" t="s">
        <v>3250</v>
      </c>
      <c r="Z1894" t="s">
        <v>3250</v>
      </c>
      <c r="AA1894" t="s">
        <v>3108</v>
      </c>
      <c r="AB1894" t="s">
        <v>3108</v>
      </c>
      <c r="AC1894" t="s">
        <v>3250</v>
      </c>
      <c r="AD1894" t="s">
        <v>3250</v>
      </c>
      <c r="AE1894" t="s">
        <v>3250</v>
      </c>
      <c r="AF1894" t="s">
        <v>3250</v>
      </c>
      <c r="AG1894">
        <v>110</v>
      </c>
      <c r="AH1894" t="s">
        <v>2230</v>
      </c>
      <c r="AI1894">
        <v>110</v>
      </c>
      <c r="AJ1894" t="s">
        <v>2230</v>
      </c>
      <c r="AL1894">
        <v>241</v>
      </c>
      <c r="AM1894" t="s">
        <v>1455</v>
      </c>
      <c r="AN1894">
        <v>241</v>
      </c>
      <c r="AO1894" t="s">
        <v>1455</v>
      </c>
      <c r="AS1894">
        <v>120</v>
      </c>
      <c r="AT1894">
        <v>120</v>
      </c>
      <c r="AU1894" t="s">
        <v>629</v>
      </c>
      <c r="AV1894" t="s">
        <v>629</v>
      </c>
      <c r="AW1894" t="s">
        <v>3250</v>
      </c>
      <c r="AX1894" t="s">
        <v>3250</v>
      </c>
      <c r="AY1894" t="s">
        <v>3250</v>
      </c>
      <c r="AZ1894" t="s">
        <v>3250</v>
      </c>
      <c r="BA1894" t="s">
        <v>3250</v>
      </c>
      <c r="BB1894" t="s">
        <v>3250</v>
      </c>
      <c r="BC1894" t="s">
        <v>3250</v>
      </c>
      <c r="BE1894" t="s">
        <v>3250</v>
      </c>
      <c r="BF1894" t="s">
        <v>3250</v>
      </c>
      <c r="BG1894" t="s">
        <v>3250</v>
      </c>
      <c r="BH1894" t="s">
        <v>3250</v>
      </c>
      <c r="BI1894" t="s">
        <v>3250</v>
      </c>
      <c r="BK1894" t="s">
        <v>3250</v>
      </c>
      <c r="BL1894" t="s">
        <v>3250</v>
      </c>
      <c r="BM1894" t="s">
        <v>3250</v>
      </c>
      <c r="BN1894" t="s">
        <v>3250</v>
      </c>
      <c r="BP1894">
        <v>7</v>
      </c>
      <c r="BQ1894">
        <v>71</v>
      </c>
      <c r="BR1894" t="s">
        <v>629</v>
      </c>
      <c r="BS1894" t="s">
        <v>4212</v>
      </c>
      <c r="BV1894">
        <v>0</v>
      </c>
      <c r="BW1894">
        <v>0</v>
      </c>
      <c r="BX1894">
        <v>0</v>
      </c>
      <c r="BY1894">
        <v>0</v>
      </c>
      <c r="BZ1894">
        <v>800682</v>
      </c>
      <c r="CA1894">
        <v>0</v>
      </c>
      <c r="CB1894">
        <v>0</v>
      </c>
      <c r="CC1894">
        <v>0</v>
      </c>
      <c r="CD1894">
        <v>629250</v>
      </c>
      <c r="CE1894" t="s">
        <v>3108</v>
      </c>
      <c r="CF1894" t="s">
        <v>3108</v>
      </c>
      <c r="CG1894" t="s">
        <v>3108</v>
      </c>
      <c r="CH1894" t="s">
        <v>3108</v>
      </c>
    </row>
    <row r="1895" spans="1:86" x14ac:dyDescent="0.2">
      <c r="A1895" t="s">
        <v>5984</v>
      </c>
      <c r="B1895" t="s">
        <v>5984</v>
      </c>
      <c r="C1895">
        <v>55018</v>
      </c>
      <c r="D1895">
        <v>2018</v>
      </c>
      <c r="E1895" t="s">
        <v>4688</v>
      </c>
      <c r="F1895" t="s">
        <v>3249</v>
      </c>
      <c r="G1895" t="s">
        <v>3249</v>
      </c>
      <c r="H1895" t="s">
        <v>3250</v>
      </c>
      <c r="I1895" t="s">
        <v>3250</v>
      </c>
      <c r="J1895" t="s">
        <v>3250</v>
      </c>
      <c r="K1895" t="s">
        <v>3250</v>
      </c>
      <c r="L1895">
        <v>3200</v>
      </c>
      <c r="M1895" t="s">
        <v>128</v>
      </c>
      <c r="N1895">
        <v>3205</v>
      </c>
      <c r="O1895" t="s">
        <v>629</v>
      </c>
      <c r="P1895" t="s">
        <v>2805</v>
      </c>
      <c r="Q1895">
        <v>2080</v>
      </c>
      <c r="R1895" t="s">
        <v>423</v>
      </c>
      <c r="S1895" t="s">
        <v>427</v>
      </c>
      <c r="T1895" t="s">
        <v>3251</v>
      </c>
      <c r="U1895">
        <v>240</v>
      </c>
      <c r="V1895" t="s">
        <v>4251</v>
      </c>
      <c r="W1895">
        <v>240</v>
      </c>
      <c r="X1895" t="s">
        <v>1323</v>
      </c>
      <c r="Y1895" t="s">
        <v>3250</v>
      </c>
      <c r="Z1895" t="s">
        <v>3250</v>
      </c>
      <c r="AA1895" t="s">
        <v>3108</v>
      </c>
      <c r="AB1895" t="s">
        <v>3108</v>
      </c>
      <c r="AC1895" t="s">
        <v>3250</v>
      </c>
      <c r="AD1895" t="s">
        <v>3250</v>
      </c>
      <c r="AE1895" t="s">
        <v>3250</v>
      </c>
      <c r="AF1895" t="s">
        <v>3250</v>
      </c>
      <c r="AG1895">
        <v>110</v>
      </c>
      <c r="AH1895" t="s">
        <v>2230</v>
      </c>
      <c r="AI1895">
        <v>110</v>
      </c>
      <c r="AJ1895" t="s">
        <v>2230</v>
      </c>
      <c r="AL1895">
        <v>241</v>
      </c>
      <c r="AM1895" t="s">
        <v>1455</v>
      </c>
      <c r="AN1895">
        <v>241</v>
      </c>
      <c r="AO1895" t="s">
        <v>1455</v>
      </c>
      <c r="AS1895">
        <v>120</v>
      </c>
      <c r="AT1895">
        <v>120</v>
      </c>
      <c r="AU1895" t="s">
        <v>629</v>
      </c>
      <c r="AV1895" t="s">
        <v>629</v>
      </c>
      <c r="AW1895" t="s">
        <v>3250</v>
      </c>
      <c r="AX1895" t="s">
        <v>3250</v>
      </c>
      <c r="AY1895" t="s">
        <v>3250</v>
      </c>
      <c r="AZ1895" t="s">
        <v>3250</v>
      </c>
      <c r="BA1895" t="s">
        <v>3250</v>
      </c>
      <c r="BB1895" t="s">
        <v>3250</v>
      </c>
      <c r="BC1895" t="s">
        <v>3250</v>
      </c>
      <c r="BE1895" t="s">
        <v>3250</v>
      </c>
      <c r="BF1895" t="s">
        <v>3250</v>
      </c>
      <c r="BG1895" t="s">
        <v>3250</v>
      </c>
      <c r="BH1895" t="s">
        <v>3250</v>
      </c>
      <c r="BI1895" t="s">
        <v>3250</v>
      </c>
      <c r="BK1895" t="s">
        <v>3250</v>
      </c>
      <c r="BL1895" t="s">
        <v>3250</v>
      </c>
      <c r="BM1895" t="s">
        <v>3250</v>
      </c>
      <c r="BN1895" t="s">
        <v>3250</v>
      </c>
      <c r="BP1895">
        <v>7</v>
      </c>
      <c r="BQ1895">
        <v>71</v>
      </c>
      <c r="BR1895" t="s">
        <v>629</v>
      </c>
      <c r="BS1895" t="s">
        <v>4212</v>
      </c>
      <c r="BV1895">
        <v>0</v>
      </c>
      <c r="BW1895">
        <v>0</v>
      </c>
      <c r="BX1895">
        <v>0</v>
      </c>
      <c r="BY1895">
        <v>0</v>
      </c>
      <c r="BZ1895">
        <v>2039750</v>
      </c>
      <c r="CA1895">
        <v>0</v>
      </c>
      <c r="CB1895">
        <v>0</v>
      </c>
      <c r="CC1895">
        <v>0</v>
      </c>
      <c r="CD1895">
        <v>2039750</v>
      </c>
      <c r="CE1895" t="s">
        <v>3108</v>
      </c>
      <c r="CF1895" t="s">
        <v>3108</v>
      </c>
      <c r="CG1895" t="s">
        <v>3108</v>
      </c>
      <c r="CH1895" t="s">
        <v>3108</v>
      </c>
    </row>
    <row r="1896" spans="1:86" x14ac:dyDescent="0.2">
      <c r="A1896" t="s">
        <v>5985</v>
      </c>
      <c r="B1896" t="s">
        <v>5985</v>
      </c>
      <c r="C1896">
        <v>55019</v>
      </c>
      <c r="D1896">
        <v>2019</v>
      </c>
      <c r="E1896" t="s">
        <v>5630</v>
      </c>
      <c r="F1896" t="s">
        <v>3249</v>
      </c>
      <c r="G1896" t="s">
        <v>3249</v>
      </c>
      <c r="H1896" t="s">
        <v>3250</v>
      </c>
      <c r="I1896" t="s">
        <v>3250</v>
      </c>
      <c r="J1896" t="s">
        <v>3250</v>
      </c>
      <c r="K1896" t="s">
        <v>3250</v>
      </c>
      <c r="L1896">
        <v>1200</v>
      </c>
      <c r="M1896" t="s">
        <v>2368</v>
      </c>
      <c r="N1896">
        <v>1204</v>
      </c>
      <c r="O1896" t="s">
        <v>1574</v>
      </c>
      <c r="P1896" t="s">
        <v>3108</v>
      </c>
      <c r="Q1896" t="s">
        <v>3249</v>
      </c>
      <c r="R1896" t="s">
        <v>3249</v>
      </c>
      <c r="S1896" t="s">
        <v>472</v>
      </c>
      <c r="T1896" t="s">
        <v>3251</v>
      </c>
      <c r="U1896">
        <v>240</v>
      </c>
      <c r="V1896" t="s">
        <v>4251</v>
      </c>
      <c r="W1896">
        <v>240</v>
      </c>
      <c r="X1896" t="s">
        <v>1323</v>
      </c>
      <c r="Y1896" t="s">
        <v>3250</v>
      </c>
      <c r="Z1896" t="s">
        <v>3250</v>
      </c>
      <c r="AA1896" t="s">
        <v>3108</v>
      </c>
      <c r="AB1896" t="s">
        <v>3108</v>
      </c>
      <c r="AC1896" t="s">
        <v>3250</v>
      </c>
      <c r="AD1896" t="s">
        <v>3250</v>
      </c>
      <c r="AE1896" t="s">
        <v>3250</v>
      </c>
      <c r="AF1896" t="s">
        <v>3250</v>
      </c>
      <c r="AG1896">
        <v>1510</v>
      </c>
      <c r="AH1896" t="s">
        <v>2334</v>
      </c>
      <c r="AI1896">
        <v>1510</v>
      </c>
      <c r="AJ1896" t="s">
        <v>2334</v>
      </c>
      <c r="AL1896">
        <v>241</v>
      </c>
      <c r="AM1896" t="s">
        <v>1455</v>
      </c>
      <c r="AN1896">
        <v>241</v>
      </c>
      <c r="AO1896" t="s">
        <v>1455</v>
      </c>
      <c r="AS1896" t="s">
        <v>3250</v>
      </c>
      <c r="AT1896" t="s">
        <v>3250</v>
      </c>
      <c r="AU1896" t="s">
        <v>3250</v>
      </c>
      <c r="AV1896" t="s">
        <v>3250</v>
      </c>
      <c r="AW1896" t="s">
        <v>3250</v>
      </c>
      <c r="AX1896" t="s">
        <v>3250</v>
      </c>
      <c r="AY1896" t="s">
        <v>3250</v>
      </c>
      <c r="AZ1896" t="s">
        <v>3250</v>
      </c>
      <c r="BA1896" t="s">
        <v>3250</v>
      </c>
      <c r="BB1896" t="s">
        <v>3250</v>
      </c>
      <c r="BC1896" t="s">
        <v>3250</v>
      </c>
      <c r="BE1896" t="s">
        <v>3250</v>
      </c>
      <c r="BF1896" t="s">
        <v>3250</v>
      </c>
      <c r="BG1896" t="s">
        <v>3250</v>
      </c>
      <c r="BH1896" t="s">
        <v>3250</v>
      </c>
      <c r="BI1896" t="s">
        <v>3250</v>
      </c>
      <c r="BK1896" t="s">
        <v>3250</v>
      </c>
      <c r="BL1896" t="s">
        <v>3250</v>
      </c>
      <c r="BM1896" t="s">
        <v>3250</v>
      </c>
      <c r="BN1896" t="s">
        <v>3250</v>
      </c>
      <c r="BP1896">
        <v>1</v>
      </c>
      <c r="BQ1896">
        <v>11</v>
      </c>
      <c r="BR1896" t="s">
        <v>1574</v>
      </c>
      <c r="BS1896" t="s">
        <v>3252</v>
      </c>
      <c r="BV1896">
        <v>1057847</v>
      </c>
      <c r="BW1896">
        <v>100226</v>
      </c>
      <c r="BX1896">
        <v>0</v>
      </c>
      <c r="BY1896">
        <v>0</v>
      </c>
      <c r="BZ1896">
        <v>0</v>
      </c>
      <c r="CA1896">
        <v>0</v>
      </c>
      <c r="CB1896">
        <v>0</v>
      </c>
      <c r="CC1896">
        <v>0</v>
      </c>
      <c r="CD1896">
        <v>1057847</v>
      </c>
      <c r="CE1896" t="s">
        <v>3108</v>
      </c>
      <c r="CF1896" t="s">
        <v>3108</v>
      </c>
      <c r="CG1896" t="s">
        <v>3108</v>
      </c>
      <c r="CH1896" t="s">
        <v>3108</v>
      </c>
    </row>
    <row r="1897" spans="1:86" x14ac:dyDescent="0.2">
      <c r="A1897" t="s">
        <v>5986</v>
      </c>
      <c r="B1897" t="s">
        <v>5986</v>
      </c>
      <c r="C1897">
        <v>55020</v>
      </c>
      <c r="D1897">
        <v>2020</v>
      </c>
      <c r="E1897" t="s">
        <v>5987</v>
      </c>
      <c r="F1897">
        <v>1600</v>
      </c>
      <c r="G1897" t="s">
        <v>1360</v>
      </c>
      <c r="H1897">
        <v>1600</v>
      </c>
      <c r="I1897" t="s">
        <v>2017</v>
      </c>
      <c r="J1897" t="s">
        <v>3250</v>
      </c>
      <c r="K1897" t="s">
        <v>3250</v>
      </c>
      <c r="L1897">
        <v>1200</v>
      </c>
      <c r="M1897" t="s">
        <v>2368</v>
      </c>
      <c r="N1897">
        <v>1210</v>
      </c>
      <c r="O1897" t="s">
        <v>922</v>
      </c>
      <c r="P1897" t="s">
        <v>3108</v>
      </c>
      <c r="Q1897" t="s">
        <v>3249</v>
      </c>
      <c r="R1897" t="s">
        <v>3249</v>
      </c>
      <c r="S1897" t="s">
        <v>472</v>
      </c>
      <c r="T1897" t="s">
        <v>2759</v>
      </c>
      <c r="U1897" t="s">
        <v>3250</v>
      </c>
      <c r="V1897" t="s">
        <v>3250</v>
      </c>
      <c r="W1897" t="s">
        <v>3250</v>
      </c>
      <c r="X1897" t="s">
        <v>3250</v>
      </c>
      <c r="Y1897" t="s">
        <v>3250</v>
      </c>
      <c r="Z1897" t="s">
        <v>3250</v>
      </c>
      <c r="AA1897" t="s">
        <v>3108</v>
      </c>
      <c r="AB1897" t="s">
        <v>3108</v>
      </c>
      <c r="AC1897" t="s">
        <v>3250</v>
      </c>
      <c r="AD1897" t="s">
        <v>3250</v>
      </c>
      <c r="AE1897" t="s">
        <v>3250</v>
      </c>
      <c r="AF1897" t="s">
        <v>3250</v>
      </c>
      <c r="AG1897" t="s">
        <v>3250</v>
      </c>
      <c r="AH1897" t="s">
        <v>3250</v>
      </c>
      <c r="AI1897" t="s">
        <v>3250</v>
      </c>
      <c r="AJ1897" t="s">
        <v>3250</v>
      </c>
      <c r="AL1897" t="s">
        <v>3250</v>
      </c>
      <c r="AM1897" t="s">
        <v>3250</v>
      </c>
      <c r="AN1897" t="s">
        <v>3250</v>
      </c>
      <c r="AO1897" t="s">
        <v>3250</v>
      </c>
      <c r="AS1897" t="s">
        <v>3250</v>
      </c>
      <c r="AT1897" t="s">
        <v>3250</v>
      </c>
      <c r="AU1897" t="s">
        <v>3250</v>
      </c>
      <c r="AV1897" t="s">
        <v>3250</v>
      </c>
      <c r="AW1897" t="s">
        <v>3250</v>
      </c>
      <c r="AX1897" t="s">
        <v>3250</v>
      </c>
      <c r="AY1897" t="s">
        <v>3250</v>
      </c>
      <c r="AZ1897" t="s">
        <v>3250</v>
      </c>
      <c r="BA1897" t="s">
        <v>3250</v>
      </c>
      <c r="BB1897" t="s">
        <v>3250</v>
      </c>
      <c r="BC1897" t="s">
        <v>3250</v>
      </c>
      <c r="BE1897" t="s">
        <v>3250</v>
      </c>
      <c r="BF1897" t="s">
        <v>3250</v>
      </c>
      <c r="BG1897" t="s">
        <v>3250</v>
      </c>
      <c r="BH1897" t="s">
        <v>3250</v>
      </c>
      <c r="BI1897" t="s">
        <v>3250</v>
      </c>
      <c r="BK1897" t="s">
        <v>3250</v>
      </c>
      <c r="BL1897" t="s">
        <v>3250</v>
      </c>
      <c r="BM1897" t="s">
        <v>3250</v>
      </c>
      <c r="BN1897" t="s">
        <v>3250</v>
      </c>
      <c r="BP1897">
        <v>1</v>
      </c>
      <c r="BQ1897">
        <v>16</v>
      </c>
      <c r="BR1897" t="s">
        <v>922</v>
      </c>
      <c r="BS1897" t="s">
        <v>3252</v>
      </c>
      <c r="BV1897">
        <v>690</v>
      </c>
      <c r="BW1897">
        <v>0</v>
      </c>
      <c r="BX1897">
        <v>0</v>
      </c>
      <c r="BY1897">
        <v>0</v>
      </c>
      <c r="BZ1897">
        <v>0</v>
      </c>
      <c r="CA1897">
        <v>0</v>
      </c>
      <c r="CB1897">
        <v>0</v>
      </c>
      <c r="CC1897">
        <v>0</v>
      </c>
      <c r="CD1897">
        <v>0</v>
      </c>
      <c r="CE1897" t="s">
        <v>3108</v>
      </c>
      <c r="CF1897" t="s">
        <v>3108</v>
      </c>
      <c r="CG1897" t="s">
        <v>3108</v>
      </c>
      <c r="CH1897" t="s">
        <v>3108</v>
      </c>
    </row>
    <row r="1898" spans="1:86" x14ac:dyDescent="0.2">
      <c r="A1898" t="s">
        <v>5988</v>
      </c>
      <c r="B1898" t="s">
        <v>5988</v>
      </c>
      <c r="C1898">
        <v>55021</v>
      </c>
      <c r="D1898">
        <v>2021</v>
      </c>
      <c r="E1898" t="s">
        <v>5989</v>
      </c>
      <c r="F1898" t="s">
        <v>3249</v>
      </c>
      <c r="G1898" t="s">
        <v>3249</v>
      </c>
      <c r="H1898" t="s">
        <v>3250</v>
      </c>
      <c r="I1898" t="s">
        <v>3250</v>
      </c>
      <c r="J1898" t="s">
        <v>3250</v>
      </c>
      <c r="K1898" t="s">
        <v>3250</v>
      </c>
      <c r="L1898">
        <v>1200</v>
      </c>
      <c r="M1898" t="s">
        <v>2368</v>
      </c>
      <c r="N1898">
        <v>1202</v>
      </c>
      <c r="O1898" t="s">
        <v>2371</v>
      </c>
      <c r="P1898" t="s">
        <v>3108</v>
      </c>
      <c r="Q1898" t="s">
        <v>3249</v>
      </c>
      <c r="R1898" t="s">
        <v>3249</v>
      </c>
      <c r="S1898" t="s">
        <v>472</v>
      </c>
      <c r="T1898" t="s">
        <v>3251</v>
      </c>
      <c r="U1898">
        <v>170</v>
      </c>
      <c r="V1898" t="s">
        <v>1326</v>
      </c>
      <c r="W1898" t="s">
        <v>3021</v>
      </c>
      <c r="X1898" t="s">
        <v>5990</v>
      </c>
      <c r="Y1898" t="s">
        <v>3250</v>
      </c>
      <c r="Z1898" t="s">
        <v>3250</v>
      </c>
      <c r="AA1898" t="s">
        <v>3108</v>
      </c>
      <c r="AB1898" t="s">
        <v>3108</v>
      </c>
      <c r="AC1898" t="s">
        <v>3250</v>
      </c>
      <c r="AD1898" t="s">
        <v>3250</v>
      </c>
      <c r="AE1898" t="s">
        <v>3250</v>
      </c>
      <c r="AF1898" t="s">
        <v>3250</v>
      </c>
      <c r="AG1898" t="s">
        <v>3250</v>
      </c>
      <c r="AH1898" t="s">
        <v>3250</v>
      </c>
      <c r="AI1898" t="s">
        <v>3250</v>
      </c>
      <c r="AJ1898" t="s">
        <v>3250</v>
      </c>
      <c r="AL1898" t="s">
        <v>3250</v>
      </c>
      <c r="AM1898" t="s">
        <v>3250</v>
      </c>
      <c r="AN1898" t="s">
        <v>3250</v>
      </c>
      <c r="AO1898" t="s">
        <v>3250</v>
      </c>
      <c r="AS1898" t="s">
        <v>3250</v>
      </c>
      <c r="AT1898" t="s">
        <v>3250</v>
      </c>
      <c r="AU1898" t="s">
        <v>3250</v>
      </c>
      <c r="AV1898" t="s">
        <v>3250</v>
      </c>
      <c r="AW1898" t="s">
        <v>3250</v>
      </c>
      <c r="AX1898" t="s">
        <v>3250</v>
      </c>
      <c r="AY1898" t="s">
        <v>3250</v>
      </c>
      <c r="AZ1898" t="s">
        <v>3250</v>
      </c>
      <c r="BA1898" t="s">
        <v>3250</v>
      </c>
      <c r="BB1898" t="s">
        <v>3250</v>
      </c>
      <c r="BC1898" t="s">
        <v>3250</v>
      </c>
      <c r="BE1898" t="s">
        <v>3250</v>
      </c>
      <c r="BF1898" t="s">
        <v>3250</v>
      </c>
      <c r="BG1898" t="s">
        <v>3250</v>
      </c>
      <c r="BH1898" t="s">
        <v>3250</v>
      </c>
      <c r="BI1898" t="s">
        <v>3250</v>
      </c>
      <c r="BK1898" t="s">
        <v>3250</v>
      </c>
      <c r="BL1898" t="s">
        <v>3250</v>
      </c>
      <c r="BM1898" t="s">
        <v>3250</v>
      </c>
      <c r="BN1898" t="s">
        <v>3250</v>
      </c>
      <c r="BP1898">
        <v>1</v>
      </c>
      <c r="BQ1898">
        <v>13</v>
      </c>
      <c r="BR1898" t="s">
        <v>2371</v>
      </c>
      <c r="BS1898" t="s">
        <v>3252</v>
      </c>
      <c r="BV1898">
        <v>0</v>
      </c>
      <c r="BW1898">
        <v>0</v>
      </c>
      <c r="BX1898">
        <v>0</v>
      </c>
      <c r="BY1898">
        <v>0</v>
      </c>
      <c r="BZ1898">
        <v>0</v>
      </c>
      <c r="CA1898">
        <v>0</v>
      </c>
      <c r="CB1898">
        <v>0</v>
      </c>
      <c r="CC1898">
        <v>0</v>
      </c>
      <c r="CD1898">
        <v>0</v>
      </c>
      <c r="CE1898" t="s">
        <v>3108</v>
      </c>
      <c r="CF1898" t="s">
        <v>3108</v>
      </c>
      <c r="CG1898" t="s">
        <v>3108</v>
      </c>
      <c r="CH1898" t="s">
        <v>3108</v>
      </c>
    </row>
    <row r="1899" spans="1:86" x14ac:dyDescent="0.2">
      <c r="A1899" t="s">
        <v>5991</v>
      </c>
      <c r="B1899" t="s">
        <v>5991</v>
      </c>
      <c r="C1899">
        <v>55022</v>
      </c>
      <c r="D1899">
        <v>2022</v>
      </c>
      <c r="E1899" t="s">
        <v>5992</v>
      </c>
      <c r="F1899" t="s">
        <v>3249</v>
      </c>
      <c r="G1899" t="s">
        <v>3249</v>
      </c>
      <c r="H1899" t="s">
        <v>3250</v>
      </c>
      <c r="I1899" t="s">
        <v>3250</v>
      </c>
      <c r="J1899" t="s">
        <v>3250</v>
      </c>
      <c r="K1899" t="s">
        <v>3250</v>
      </c>
      <c r="L1899">
        <v>1200</v>
      </c>
      <c r="M1899" t="s">
        <v>2368</v>
      </c>
      <c r="N1899">
        <v>1202</v>
      </c>
      <c r="O1899" t="s">
        <v>2371</v>
      </c>
      <c r="P1899" t="s">
        <v>3108</v>
      </c>
      <c r="Q1899" t="s">
        <v>3249</v>
      </c>
      <c r="R1899" t="s">
        <v>3249</v>
      </c>
      <c r="S1899" t="s">
        <v>472</v>
      </c>
      <c r="T1899" t="s">
        <v>3251</v>
      </c>
      <c r="U1899">
        <v>170</v>
      </c>
      <c r="V1899" t="s">
        <v>1326</v>
      </c>
      <c r="W1899" t="s">
        <v>3020</v>
      </c>
      <c r="X1899" t="s">
        <v>5993</v>
      </c>
      <c r="Y1899" t="s">
        <v>3250</v>
      </c>
      <c r="Z1899" t="s">
        <v>3250</v>
      </c>
      <c r="AA1899" t="s">
        <v>3108</v>
      </c>
      <c r="AB1899" t="s">
        <v>3108</v>
      </c>
      <c r="AC1899" t="s">
        <v>3250</v>
      </c>
      <c r="AD1899" t="s">
        <v>3250</v>
      </c>
      <c r="AE1899" t="s">
        <v>3250</v>
      </c>
      <c r="AF1899" t="s">
        <v>3250</v>
      </c>
      <c r="AG1899" t="s">
        <v>3250</v>
      </c>
      <c r="AH1899" t="s">
        <v>3250</v>
      </c>
      <c r="AI1899" t="s">
        <v>3250</v>
      </c>
      <c r="AJ1899" t="s">
        <v>3250</v>
      </c>
      <c r="AL1899" t="s">
        <v>3250</v>
      </c>
      <c r="AM1899" t="s">
        <v>3250</v>
      </c>
      <c r="AN1899" t="s">
        <v>3250</v>
      </c>
      <c r="AO1899" t="s">
        <v>3250</v>
      </c>
      <c r="AS1899" t="s">
        <v>3250</v>
      </c>
      <c r="AT1899" t="s">
        <v>3250</v>
      </c>
      <c r="AU1899" t="s">
        <v>3250</v>
      </c>
      <c r="AV1899" t="s">
        <v>3250</v>
      </c>
      <c r="AW1899" t="s">
        <v>3250</v>
      </c>
      <c r="AX1899" t="s">
        <v>3250</v>
      </c>
      <c r="AY1899" t="s">
        <v>3250</v>
      </c>
      <c r="AZ1899" t="s">
        <v>3250</v>
      </c>
      <c r="BA1899" t="s">
        <v>3250</v>
      </c>
      <c r="BB1899" t="s">
        <v>3250</v>
      </c>
      <c r="BC1899" t="s">
        <v>3250</v>
      </c>
      <c r="BE1899" t="s">
        <v>3250</v>
      </c>
      <c r="BF1899" t="s">
        <v>3250</v>
      </c>
      <c r="BG1899" t="s">
        <v>3250</v>
      </c>
      <c r="BH1899" t="s">
        <v>3250</v>
      </c>
      <c r="BI1899" t="s">
        <v>3250</v>
      </c>
      <c r="BK1899" t="s">
        <v>3250</v>
      </c>
      <c r="BL1899" t="s">
        <v>3250</v>
      </c>
      <c r="BM1899" t="s">
        <v>3250</v>
      </c>
      <c r="BN1899" t="s">
        <v>3250</v>
      </c>
      <c r="BP1899">
        <v>1</v>
      </c>
      <c r="BQ1899">
        <v>13</v>
      </c>
      <c r="BR1899" t="s">
        <v>2371</v>
      </c>
      <c r="BS1899" t="s">
        <v>3252</v>
      </c>
      <c r="BV1899">
        <v>0</v>
      </c>
      <c r="BW1899">
        <v>0</v>
      </c>
      <c r="BX1899">
        <v>0</v>
      </c>
      <c r="BY1899">
        <v>0</v>
      </c>
      <c r="BZ1899">
        <v>0</v>
      </c>
      <c r="CA1899">
        <v>0</v>
      </c>
      <c r="CB1899">
        <v>0</v>
      </c>
      <c r="CC1899">
        <v>0</v>
      </c>
      <c r="CD1899">
        <v>0</v>
      </c>
      <c r="CE1899" t="s">
        <v>3108</v>
      </c>
      <c r="CF1899" t="s">
        <v>3108</v>
      </c>
      <c r="CG1899" t="s">
        <v>3108</v>
      </c>
      <c r="CH1899" t="s">
        <v>3108</v>
      </c>
    </row>
    <row r="1900" spans="1:86" x14ac:dyDescent="0.2">
      <c r="A1900" t="s">
        <v>5994</v>
      </c>
      <c r="B1900" t="s">
        <v>5994</v>
      </c>
      <c r="C1900">
        <v>55023</v>
      </c>
      <c r="D1900">
        <v>2023</v>
      </c>
      <c r="E1900" t="s">
        <v>5995</v>
      </c>
      <c r="F1900" t="s">
        <v>3249</v>
      </c>
      <c r="G1900" t="s">
        <v>3249</v>
      </c>
      <c r="H1900" t="s">
        <v>3250</v>
      </c>
      <c r="I1900" t="s">
        <v>3250</v>
      </c>
      <c r="J1900" t="s">
        <v>3250</v>
      </c>
      <c r="K1900" t="s">
        <v>3250</v>
      </c>
      <c r="L1900">
        <v>1200</v>
      </c>
      <c r="M1900" t="s">
        <v>2368</v>
      </c>
      <c r="N1900">
        <v>1202</v>
      </c>
      <c r="O1900" t="s">
        <v>2371</v>
      </c>
      <c r="P1900" t="s">
        <v>3108</v>
      </c>
      <c r="Q1900" t="s">
        <v>3249</v>
      </c>
      <c r="R1900" t="s">
        <v>3249</v>
      </c>
      <c r="S1900" t="s">
        <v>472</v>
      </c>
      <c r="T1900" t="s">
        <v>3251</v>
      </c>
      <c r="U1900">
        <v>170</v>
      </c>
      <c r="V1900" t="s">
        <v>1326</v>
      </c>
      <c r="W1900" t="s">
        <v>3019</v>
      </c>
      <c r="X1900" t="s">
        <v>5996</v>
      </c>
      <c r="Y1900" t="s">
        <v>3250</v>
      </c>
      <c r="Z1900" t="s">
        <v>3250</v>
      </c>
      <c r="AA1900" t="s">
        <v>3108</v>
      </c>
      <c r="AB1900" t="s">
        <v>3108</v>
      </c>
      <c r="AC1900" t="s">
        <v>3250</v>
      </c>
      <c r="AD1900" t="s">
        <v>3250</v>
      </c>
      <c r="AE1900" t="s">
        <v>3250</v>
      </c>
      <c r="AF1900" t="s">
        <v>3250</v>
      </c>
      <c r="AG1900" t="s">
        <v>3250</v>
      </c>
      <c r="AH1900" t="s">
        <v>3250</v>
      </c>
      <c r="AI1900" t="s">
        <v>3250</v>
      </c>
      <c r="AJ1900" t="s">
        <v>3250</v>
      </c>
      <c r="AL1900" t="s">
        <v>3250</v>
      </c>
      <c r="AM1900" t="s">
        <v>3250</v>
      </c>
      <c r="AN1900" t="s">
        <v>3250</v>
      </c>
      <c r="AO1900" t="s">
        <v>3250</v>
      </c>
      <c r="AS1900" t="s">
        <v>3250</v>
      </c>
      <c r="AT1900" t="s">
        <v>3250</v>
      </c>
      <c r="AU1900" t="s">
        <v>3250</v>
      </c>
      <c r="AV1900" t="s">
        <v>3250</v>
      </c>
      <c r="AW1900" t="s">
        <v>3250</v>
      </c>
      <c r="AX1900" t="s">
        <v>3250</v>
      </c>
      <c r="AY1900" t="s">
        <v>3250</v>
      </c>
      <c r="AZ1900" t="s">
        <v>3250</v>
      </c>
      <c r="BA1900" t="s">
        <v>3250</v>
      </c>
      <c r="BB1900" t="s">
        <v>3250</v>
      </c>
      <c r="BC1900" t="s">
        <v>3250</v>
      </c>
      <c r="BE1900" t="s">
        <v>3250</v>
      </c>
      <c r="BF1900" t="s">
        <v>3250</v>
      </c>
      <c r="BG1900" t="s">
        <v>3250</v>
      </c>
      <c r="BH1900" t="s">
        <v>3250</v>
      </c>
      <c r="BI1900" t="s">
        <v>3250</v>
      </c>
      <c r="BK1900" t="s">
        <v>3250</v>
      </c>
      <c r="BL1900" t="s">
        <v>3250</v>
      </c>
      <c r="BM1900" t="s">
        <v>3250</v>
      </c>
      <c r="BN1900" t="s">
        <v>3250</v>
      </c>
      <c r="BP1900">
        <v>1</v>
      </c>
      <c r="BQ1900">
        <v>13</v>
      </c>
      <c r="BR1900" t="s">
        <v>2371</v>
      </c>
      <c r="BS1900" t="s">
        <v>3252</v>
      </c>
      <c r="BV1900">
        <v>0</v>
      </c>
      <c r="BW1900">
        <v>0</v>
      </c>
      <c r="BX1900">
        <v>0</v>
      </c>
      <c r="BY1900">
        <v>0</v>
      </c>
      <c r="BZ1900">
        <v>-6458500</v>
      </c>
      <c r="CA1900">
        <v>-6051040</v>
      </c>
      <c r="CB1900">
        <v>-6308082</v>
      </c>
      <c r="CC1900">
        <v>-6582377</v>
      </c>
      <c r="CD1900">
        <v>81</v>
      </c>
      <c r="CE1900" t="s">
        <v>3108</v>
      </c>
      <c r="CF1900" t="s">
        <v>3108</v>
      </c>
      <c r="CG1900" t="s">
        <v>3108</v>
      </c>
      <c r="CH1900" t="s">
        <v>3108</v>
      </c>
    </row>
    <row r="1901" spans="1:86" x14ac:dyDescent="0.2">
      <c r="A1901" t="s">
        <v>5997</v>
      </c>
      <c r="B1901" t="s">
        <v>5997</v>
      </c>
      <c r="C1901">
        <v>55024</v>
      </c>
      <c r="D1901">
        <v>2024</v>
      </c>
      <c r="E1901" t="s">
        <v>5998</v>
      </c>
      <c r="F1901" t="s">
        <v>3249</v>
      </c>
      <c r="G1901" t="s">
        <v>3249</v>
      </c>
      <c r="H1901" t="s">
        <v>3250</v>
      </c>
      <c r="I1901" t="s">
        <v>3250</v>
      </c>
      <c r="J1901" t="s">
        <v>3250</v>
      </c>
      <c r="K1901" t="s">
        <v>3250</v>
      </c>
      <c r="L1901">
        <v>1200</v>
      </c>
      <c r="M1901" t="s">
        <v>2368</v>
      </c>
      <c r="N1901">
        <v>1202</v>
      </c>
      <c r="O1901" t="s">
        <v>2371</v>
      </c>
      <c r="P1901" t="s">
        <v>3108</v>
      </c>
      <c r="Q1901" t="s">
        <v>3249</v>
      </c>
      <c r="R1901" t="s">
        <v>3249</v>
      </c>
      <c r="S1901" t="s">
        <v>472</v>
      </c>
      <c r="T1901" t="s">
        <v>3251</v>
      </c>
      <c r="U1901">
        <v>170</v>
      </c>
      <c r="V1901" t="s">
        <v>1326</v>
      </c>
      <c r="W1901" t="s">
        <v>2982</v>
      </c>
      <c r="X1901" t="s">
        <v>5999</v>
      </c>
      <c r="Y1901" t="s">
        <v>3250</v>
      </c>
      <c r="Z1901" t="s">
        <v>3250</v>
      </c>
      <c r="AA1901" t="s">
        <v>3108</v>
      </c>
      <c r="AB1901" t="s">
        <v>3108</v>
      </c>
      <c r="AC1901" t="s">
        <v>3250</v>
      </c>
      <c r="AD1901" t="s">
        <v>3250</v>
      </c>
      <c r="AE1901" t="s">
        <v>3250</v>
      </c>
      <c r="AF1901" t="s">
        <v>3250</v>
      </c>
      <c r="AG1901" t="s">
        <v>3250</v>
      </c>
      <c r="AH1901" t="s">
        <v>3250</v>
      </c>
      <c r="AI1901" t="s">
        <v>3250</v>
      </c>
      <c r="AJ1901" t="s">
        <v>3250</v>
      </c>
      <c r="AL1901" t="s">
        <v>3250</v>
      </c>
      <c r="AM1901" t="s">
        <v>3250</v>
      </c>
      <c r="AN1901" t="s">
        <v>3250</v>
      </c>
      <c r="AO1901" t="s">
        <v>3250</v>
      </c>
      <c r="AS1901" t="s">
        <v>3250</v>
      </c>
      <c r="AT1901" t="s">
        <v>3250</v>
      </c>
      <c r="AU1901" t="s">
        <v>3250</v>
      </c>
      <c r="AV1901" t="s">
        <v>3250</v>
      </c>
      <c r="AW1901" t="s">
        <v>3250</v>
      </c>
      <c r="AX1901" t="s">
        <v>3250</v>
      </c>
      <c r="AY1901" t="s">
        <v>3250</v>
      </c>
      <c r="AZ1901" t="s">
        <v>3250</v>
      </c>
      <c r="BA1901" t="s">
        <v>3250</v>
      </c>
      <c r="BB1901" t="s">
        <v>3250</v>
      </c>
      <c r="BC1901" t="s">
        <v>3250</v>
      </c>
      <c r="BE1901" t="s">
        <v>3250</v>
      </c>
      <c r="BF1901" t="s">
        <v>3250</v>
      </c>
      <c r="BG1901" t="s">
        <v>3250</v>
      </c>
      <c r="BH1901" t="s">
        <v>3250</v>
      </c>
      <c r="BI1901" t="s">
        <v>3250</v>
      </c>
      <c r="BK1901" t="s">
        <v>3250</v>
      </c>
      <c r="BL1901" t="s">
        <v>3250</v>
      </c>
      <c r="BM1901" t="s">
        <v>3250</v>
      </c>
      <c r="BN1901" t="s">
        <v>3250</v>
      </c>
      <c r="BP1901">
        <v>1</v>
      </c>
      <c r="BQ1901">
        <v>13</v>
      </c>
      <c r="BR1901" t="s">
        <v>2371</v>
      </c>
      <c r="BS1901" t="s">
        <v>3252</v>
      </c>
      <c r="BV1901">
        <v>0</v>
      </c>
      <c r="BW1901">
        <v>0</v>
      </c>
      <c r="BX1901">
        <v>0</v>
      </c>
      <c r="BY1901">
        <v>0</v>
      </c>
      <c r="BZ1901">
        <v>221071</v>
      </c>
      <c r="CA1901">
        <v>221071</v>
      </c>
      <c r="CB1901">
        <v>0</v>
      </c>
      <c r="CC1901">
        <v>0</v>
      </c>
      <c r="CD1901">
        <v>0</v>
      </c>
      <c r="CE1901" t="s">
        <v>3108</v>
      </c>
      <c r="CF1901" t="s">
        <v>3108</v>
      </c>
      <c r="CG1901" t="s">
        <v>3108</v>
      </c>
      <c r="CH1901" t="s">
        <v>3108</v>
      </c>
    </row>
    <row r="1902" spans="1:86" x14ac:dyDescent="0.2">
      <c r="A1902" t="s">
        <v>6000</v>
      </c>
      <c r="B1902" t="s">
        <v>6000</v>
      </c>
      <c r="C1902">
        <v>55025</v>
      </c>
      <c r="D1902">
        <v>2025</v>
      </c>
      <c r="E1902" t="s">
        <v>5112</v>
      </c>
      <c r="F1902" t="s">
        <v>3249</v>
      </c>
      <c r="G1902" t="s">
        <v>3249</v>
      </c>
      <c r="H1902" t="s">
        <v>3250</v>
      </c>
      <c r="I1902" t="s">
        <v>3250</v>
      </c>
      <c r="J1902" t="s">
        <v>3250</v>
      </c>
      <c r="K1902" t="s">
        <v>3250</v>
      </c>
      <c r="L1902">
        <v>1200</v>
      </c>
      <c r="M1902" t="s">
        <v>2368</v>
      </c>
      <c r="N1902">
        <v>1202</v>
      </c>
      <c r="O1902" t="s">
        <v>2371</v>
      </c>
      <c r="P1902" t="s">
        <v>3108</v>
      </c>
      <c r="Q1902" t="s">
        <v>3249</v>
      </c>
      <c r="R1902" t="s">
        <v>3249</v>
      </c>
      <c r="S1902" t="s">
        <v>472</v>
      </c>
      <c r="T1902" t="s">
        <v>3251</v>
      </c>
      <c r="U1902">
        <v>170</v>
      </c>
      <c r="V1902" t="s">
        <v>1326</v>
      </c>
      <c r="W1902" t="s">
        <v>2981</v>
      </c>
      <c r="X1902" t="s">
        <v>5113</v>
      </c>
      <c r="Y1902" t="s">
        <v>3250</v>
      </c>
      <c r="Z1902" t="s">
        <v>3250</v>
      </c>
      <c r="AA1902" t="s">
        <v>3108</v>
      </c>
      <c r="AB1902" t="s">
        <v>3108</v>
      </c>
      <c r="AC1902" t="s">
        <v>3250</v>
      </c>
      <c r="AD1902" t="s">
        <v>3250</v>
      </c>
      <c r="AE1902" t="s">
        <v>3250</v>
      </c>
      <c r="AF1902" t="s">
        <v>3250</v>
      </c>
      <c r="AG1902" t="s">
        <v>3250</v>
      </c>
      <c r="AH1902" t="s">
        <v>3250</v>
      </c>
      <c r="AI1902" t="s">
        <v>3250</v>
      </c>
      <c r="AJ1902" t="s">
        <v>3250</v>
      </c>
      <c r="AL1902" t="s">
        <v>3250</v>
      </c>
      <c r="AM1902" t="s">
        <v>3250</v>
      </c>
      <c r="AN1902" t="s">
        <v>3250</v>
      </c>
      <c r="AO1902" t="s">
        <v>3250</v>
      </c>
      <c r="AS1902" t="s">
        <v>3250</v>
      </c>
      <c r="AT1902" t="s">
        <v>3250</v>
      </c>
      <c r="AU1902" t="s">
        <v>3250</v>
      </c>
      <c r="AV1902" t="s">
        <v>3250</v>
      </c>
      <c r="AW1902" t="s">
        <v>3250</v>
      </c>
      <c r="AX1902" t="s">
        <v>3250</v>
      </c>
      <c r="AY1902" t="s">
        <v>3250</v>
      </c>
      <c r="AZ1902" t="s">
        <v>3250</v>
      </c>
      <c r="BA1902" t="s">
        <v>3250</v>
      </c>
      <c r="BB1902" t="s">
        <v>3250</v>
      </c>
      <c r="BC1902" t="s">
        <v>3250</v>
      </c>
      <c r="BE1902" t="s">
        <v>3250</v>
      </c>
      <c r="BF1902" t="s">
        <v>3250</v>
      </c>
      <c r="BG1902" t="s">
        <v>3250</v>
      </c>
      <c r="BH1902" t="s">
        <v>3250</v>
      </c>
      <c r="BI1902" t="s">
        <v>3250</v>
      </c>
      <c r="BK1902" t="s">
        <v>3250</v>
      </c>
      <c r="BL1902" t="s">
        <v>3250</v>
      </c>
      <c r="BM1902" t="s">
        <v>3250</v>
      </c>
      <c r="BN1902" t="s">
        <v>3250</v>
      </c>
      <c r="BP1902">
        <v>1</v>
      </c>
      <c r="BQ1902">
        <v>13</v>
      </c>
      <c r="BR1902" t="s">
        <v>2371</v>
      </c>
      <c r="BS1902" t="s">
        <v>3252</v>
      </c>
      <c r="BV1902">
        <v>0</v>
      </c>
      <c r="BW1902">
        <v>0</v>
      </c>
      <c r="BX1902">
        <v>0</v>
      </c>
      <c r="BY1902">
        <v>0</v>
      </c>
      <c r="BZ1902">
        <v>6237429</v>
      </c>
      <c r="CA1902">
        <v>6051040</v>
      </c>
      <c r="CB1902">
        <v>6308082</v>
      </c>
      <c r="CC1902">
        <v>6582377</v>
      </c>
      <c r="CD1902">
        <v>0</v>
      </c>
      <c r="CE1902" t="s">
        <v>3108</v>
      </c>
      <c r="CF1902" t="s">
        <v>3108</v>
      </c>
      <c r="CG1902" t="s">
        <v>3108</v>
      </c>
      <c r="CH1902" t="s">
        <v>3108</v>
      </c>
    </row>
    <row r="1903" spans="1:86" x14ac:dyDescent="0.2">
      <c r="A1903" t="s">
        <v>6001</v>
      </c>
      <c r="B1903" t="s">
        <v>6001</v>
      </c>
      <c r="C1903">
        <v>55026</v>
      </c>
      <c r="D1903">
        <v>2026</v>
      </c>
      <c r="E1903" t="s">
        <v>6002</v>
      </c>
      <c r="F1903" t="s">
        <v>3249</v>
      </c>
      <c r="G1903" t="s">
        <v>3249</v>
      </c>
      <c r="H1903" t="s">
        <v>3250</v>
      </c>
      <c r="I1903" t="s">
        <v>3250</v>
      </c>
      <c r="J1903" t="s">
        <v>3250</v>
      </c>
      <c r="K1903" t="s">
        <v>3250</v>
      </c>
      <c r="L1903">
        <v>1200</v>
      </c>
      <c r="M1903" t="s">
        <v>2368</v>
      </c>
      <c r="N1903">
        <v>1201</v>
      </c>
      <c r="O1903" t="s">
        <v>2370</v>
      </c>
      <c r="P1903" t="s">
        <v>3108</v>
      </c>
      <c r="Q1903" t="s">
        <v>3249</v>
      </c>
      <c r="R1903" t="s">
        <v>3249</v>
      </c>
      <c r="S1903" t="s">
        <v>472</v>
      </c>
      <c r="T1903" t="s">
        <v>3789</v>
      </c>
      <c r="U1903">
        <v>360</v>
      </c>
      <c r="V1903" t="s">
        <v>3790</v>
      </c>
      <c r="W1903">
        <v>360</v>
      </c>
      <c r="X1903" t="s">
        <v>601</v>
      </c>
      <c r="Y1903" t="s">
        <v>3250</v>
      </c>
      <c r="Z1903" t="s">
        <v>3250</v>
      </c>
      <c r="AA1903" t="s">
        <v>3108</v>
      </c>
      <c r="AB1903" t="s">
        <v>3108</v>
      </c>
      <c r="AC1903" t="s">
        <v>3250</v>
      </c>
      <c r="AD1903" t="s">
        <v>3250</v>
      </c>
      <c r="AE1903" t="s">
        <v>3250</v>
      </c>
      <c r="AF1903" t="s">
        <v>3250</v>
      </c>
      <c r="AG1903" t="s">
        <v>3250</v>
      </c>
      <c r="AH1903" t="s">
        <v>3250</v>
      </c>
      <c r="AI1903" t="s">
        <v>3250</v>
      </c>
      <c r="AJ1903" t="s">
        <v>3250</v>
      </c>
      <c r="AL1903">
        <v>363</v>
      </c>
      <c r="AM1903" t="s">
        <v>925</v>
      </c>
      <c r="AN1903">
        <v>363</v>
      </c>
      <c r="AO1903" t="s">
        <v>925</v>
      </c>
      <c r="AS1903" t="s">
        <v>3250</v>
      </c>
      <c r="AT1903" t="s">
        <v>3250</v>
      </c>
      <c r="AU1903" t="s">
        <v>3250</v>
      </c>
      <c r="AV1903" t="s">
        <v>3250</v>
      </c>
      <c r="AW1903" t="s">
        <v>3250</v>
      </c>
      <c r="AX1903" t="s">
        <v>3250</v>
      </c>
      <c r="AY1903" t="s">
        <v>3250</v>
      </c>
      <c r="AZ1903" t="s">
        <v>3250</v>
      </c>
      <c r="BA1903" t="s">
        <v>3250</v>
      </c>
      <c r="BB1903" t="s">
        <v>3250</v>
      </c>
      <c r="BC1903" t="s">
        <v>3250</v>
      </c>
      <c r="BE1903" t="s">
        <v>3250</v>
      </c>
      <c r="BF1903" t="s">
        <v>3250</v>
      </c>
      <c r="BG1903" t="s">
        <v>3250</v>
      </c>
      <c r="BH1903" t="s">
        <v>3250</v>
      </c>
      <c r="BI1903" t="s">
        <v>3250</v>
      </c>
      <c r="BK1903" t="s">
        <v>3250</v>
      </c>
      <c r="BL1903" t="s">
        <v>3250</v>
      </c>
      <c r="BM1903" t="s">
        <v>3250</v>
      </c>
      <c r="BN1903" t="s">
        <v>3250</v>
      </c>
      <c r="BP1903">
        <v>1</v>
      </c>
      <c r="BQ1903">
        <v>14</v>
      </c>
      <c r="BR1903" t="s">
        <v>2370</v>
      </c>
      <c r="BS1903" t="s">
        <v>3252</v>
      </c>
      <c r="BV1903">
        <v>0</v>
      </c>
      <c r="BW1903">
        <v>0</v>
      </c>
      <c r="BX1903">
        <v>0</v>
      </c>
      <c r="BY1903">
        <v>0</v>
      </c>
      <c r="BZ1903">
        <v>0</v>
      </c>
      <c r="CA1903">
        <v>0</v>
      </c>
      <c r="CB1903">
        <v>0</v>
      </c>
      <c r="CC1903">
        <v>0</v>
      </c>
      <c r="CD1903">
        <v>0</v>
      </c>
      <c r="CE1903" t="s">
        <v>3108</v>
      </c>
      <c r="CF1903" t="s">
        <v>3108</v>
      </c>
      <c r="CG1903" t="s">
        <v>3108</v>
      </c>
      <c r="CH1903" t="s">
        <v>3108</v>
      </c>
    </row>
    <row r="1904" spans="1:86" x14ac:dyDescent="0.2">
      <c r="A1904" t="s">
        <v>6003</v>
      </c>
      <c r="B1904" t="s">
        <v>6003</v>
      </c>
      <c r="C1904">
        <v>55027</v>
      </c>
      <c r="D1904">
        <v>2028</v>
      </c>
      <c r="E1904" t="s">
        <v>4688</v>
      </c>
      <c r="F1904" t="s">
        <v>3249</v>
      </c>
      <c r="G1904" t="s">
        <v>3249</v>
      </c>
      <c r="H1904" t="s">
        <v>3250</v>
      </c>
      <c r="I1904" t="s">
        <v>3250</v>
      </c>
      <c r="J1904" t="s">
        <v>3250</v>
      </c>
      <c r="K1904" t="s">
        <v>3250</v>
      </c>
      <c r="L1904">
        <v>3200</v>
      </c>
      <c r="M1904" t="s">
        <v>128</v>
      </c>
      <c r="N1904">
        <v>3205</v>
      </c>
      <c r="O1904" t="s">
        <v>629</v>
      </c>
      <c r="P1904" t="s">
        <v>2805</v>
      </c>
      <c r="Q1904">
        <v>2080</v>
      </c>
      <c r="R1904" t="s">
        <v>423</v>
      </c>
      <c r="S1904" t="s">
        <v>427</v>
      </c>
      <c r="T1904" t="s">
        <v>3251</v>
      </c>
      <c r="U1904">
        <v>240</v>
      </c>
      <c r="V1904" t="s">
        <v>4251</v>
      </c>
      <c r="W1904">
        <v>240</v>
      </c>
      <c r="X1904" t="s">
        <v>1323</v>
      </c>
      <c r="Y1904" t="s">
        <v>3250</v>
      </c>
      <c r="Z1904" t="s">
        <v>3250</v>
      </c>
      <c r="AA1904" t="s">
        <v>3108</v>
      </c>
      <c r="AB1904" t="s">
        <v>3108</v>
      </c>
      <c r="AC1904" t="s">
        <v>3250</v>
      </c>
      <c r="AD1904" t="s">
        <v>3250</v>
      </c>
      <c r="AE1904" t="s">
        <v>3250</v>
      </c>
      <c r="AF1904" t="s">
        <v>3250</v>
      </c>
      <c r="AG1904">
        <v>110</v>
      </c>
      <c r="AH1904" t="s">
        <v>2230</v>
      </c>
      <c r="AI1904">
        <v>110</v>
      </c>
      <c r="AJ1904" t="s">
        <v>2230</v>
      </c>
      <c r="AL1904">
        <v>241</v>
      </c>
      <c r="AM1904" t="s">
        <v>1455</v>
      </c>
      <c r="AN1904">
        <v>241</v>
      </c>
      <c r="AO1904" t="s">
        <v>1455</v>
      </c>
      <c r="AS1904">
        <v>120</v>
      </c>
      <c r="AT1904">
        <v>120</v>
      </c>
      <c r="AU1904" t="s">
        <v>629</v>
      </c>
      <c r="AV1904" t="s">
        <v>629</v>
      </c>
      <c r="AW1904" t="s">
        <v>3250</v>
      </c>
      <c r="AX1904" t="s">
        <v>3250</v>
      </c>
      <c r="AY1904" t="s">
        <v>3250</v>
      </c>
      <c r="AZ1904" t="s">
        <v>3250</v>
      </c>
      <c r="BA1904" t="s">
        <v>3250</v>
      </c>
      <c r="BB1904" t="s">
        <v>3250</v>
      </c>
      <c r="BC1904" t="s">
        <v>3250</v>
      </c>
      <c r="BE1904" t="s">
        <v>3250</v>
      </c>
      <c r="BF1904" t="s">
        <v>3250</v>
      </c>
      <c r="BG1904" t="s">
        <v>3250</v>
      </c>
      <c r="BH1904" t="s">
        <v>3250</v>
      </c>
      <c r="BI1904" t="s">
        <v>3250</v>
      </c>
      <c r="BK1904" t="s">
        <v>3250</v>
      </c>
      <c r="BL1904" t="s">
        <v>3250</v>
      </c>
      <c r="BM1904" t="s">
        <v>3250</v>
      </c>
      <c r="BN1904" t="s">
        <v>3250</v>
      </c>
      <c r="BP1904">
        <v>7</v>
      </c>
      <c r="BQ1904">
        <v>71</v>
      </c>
      <c r="BR1904" t="s">
        <v>629</v>
      </c>
      <c r="BS1904" t="s">
        <v>4212</v>
      </c>
      <c r="BV1904">
        <v>0</v>
      </c>
      <c r="BW1904">
        <v>0</v>
      </c>
      <c r="BX1904">
        <v>0</v>
      </c>
      <c r="BY1904">
        <v>0</v>
      </c>
      <c r="BZ1904">
        <v>745982</v>
      </c>
      <c r="CA1904">
        <v>0</v>
      </c>
      <c r="CB1904">
        <v>0</v>
      </c>
      <c r="CC1904">
        <v>0</v>
      </c>
      <c r="CD1904">
        <v>0</v>
      </c>
      <c r="CE1904" t="s">
        <v>3108</v>
      </c>
      <c r="CF1904" t="s">
        <v>3108</v>
      </c>
      <c r="CG1904" t="s">
        <v>3108</v>
      </c>
      <c r="CH1904" t="s">
        <v>3108</v>
      </c>
    </row>
    <row r="1905" spans="1:86" x14ac:dyDescent="0.2">
      <c r="A1905" t="s">
        <v>6004</v>
      </c>
      <c r="B1905" t="s">
        <v>6004</v>
      </c>
      <c r="C1905">
        <v>55028</v>
      </c>
      <c r="D1905">
        <v>2027</v>
      </c>
      <c r="E1905" t="s">
        <v>5542</v>
      </c>
      <c r="F1905">
        <v>2000</v>
      </c>
      <c r="G1905" t="s">
        <v>408</v>
      </c>
      <c r="H1905" t="s">
        <v>4091</v>
      </c>
      <c r="I1905" t="s">
        <v>1940</v>
      </c>
      <c r="J1905">
        <v>2006</v>
      </c>
      <c r="K1905" t="s">
        <v>1940</v>
      </c>
      <c r="L1905">
        <v>2100</v>
      </c>
      <c r="M1905" t="s">
        <v>123</v>
      </c>
      <c r="N1905">
        <v>2106</v>
      </c>
      <c r="O1905" t="s">
        <v>2399</v>
      </c>
      <c r="P1905" t="s">
        <v>3108</v>
      </c>
      <c r="Q1905" t="s">
        <v>3249</v>
      </c>
      <c r="R1905" t="s">
        <v>3249</v>
      </c>
      <c r="S1905" t="s">
        <v>810</v>
      </c>
      <c r="T1905" t="s">
        <v>2754</v>
      </c>
      <c r="U1905" t="s">
        <v>3250</v>
      </c>
      <c r="V1905" t="s">
        <v>3250</v>
      </c>
      <c r="W1905" t="s">
        <v>3250</v>
      </c>
      <c r="X1905" t="s">
        <v>3250</v>
      </c>
      <c r="Y1905" t="s">
        <v>3250</v>
      </c>
      <c r="Z1905" t="s">
        <v>3250</v>
      </c>
      <c r="AA1905" t="s">
        <v>3108</v>
      </c>
      <c r="AB1905" t="s">
        <v>3108</v>
      </c>
      <c r="AC1905" t="s">
        <v>3250</v>
      </c>
      <c r="AD1905" t="s">
        <v>3250</v>
      </c>
      <c r="AE1905" t="s">
        <v>3250</v>
      </c>
      <c r="AF1905" t="s">
        <v>3250</v>
      </c>
      <c r="AG1905" t="s">
        <v>3250</v>
      </c>
      <c r="AH1905" t="s">
        <v>3250</v>
      </c>
      <c r="AI1905" t="s">
        <v>3250</v>
      </c>
      <c r="AJ1905" t="s">
        <v>3250</v>
      </c>
      <c r="AL1905" t="s">
        <v>3250</v>
      </c>
      <c r="AM1905" t="s">
        <v>3250</v>
      </c>
      <c r="AN1905" t="s">
        <v>3250</v>
      </c>
      <c r="AO1905" t="s">
        <v>3250</v>
      </c>
      <c r="AS1905" t="s">
        <v>3250</v>
      </c>
      <c r="AT1905" t="s">
        <v>3250</v>
      </c>
      <c r="AU1905" t="s">
        <v>3250</v>
      </c>
      <c r="AV1905" t="s">
        <v>3250</v>
      </c>
      <c r="AW1905" t="s">
        <v>3250</v>
      </c>
      <c r="AX1905" t="s">
        <v>3250</v>
      </c>
      <c r="AY1905" t="s">
        <v>3250</v>
      </c>
      <c r="AZ1905" t="s">
        <v>3250</v>
      </c>
      <c r="BA1905" t="s">
        <v>3250</v>
      </c>
      <c r="BB1905" t="s">
        <v>3250</v>
      </c>
      <c r="BC1905" t="s">
        <v>3250</v>
      </c>
      <c r="BE1905" t="s">
        <v>3250</v>
      </c>
      <c r="BF1905" t="s">
        <v>3250</v>
      </c>
      <c r="BG1905" t="s">
        <v>3250</v>
      </c>
      <c r="BH1905" t="s">
        <v>3250</v>
      </c>
      <c r="BI1905" t="s">
        <v>3250</v>
      </c>
      <c r="BK1905" t="s">
        <v>3250</v>
      </c>
      <c r="BL1905" t="s">
        <v>3250</v>
      </c>
      <c r="BM1905" t="s">
        <v>3250</v>
      </c>
      <c r="BN1905" t="s">
        <v>3250</v>
      </c>
      <c r="BO1905" t="s">
        <v>2917</v>
      </c>
      <c r="BP1905">
        <v>5</v>
      </c>
      <c r="BQ1905">
        <v>53</v>
      </c>
      <c r="BR1905" t="s">
        <v>2399</v>
      </c>
      <c r="BS1905" t="s">
        <v>4136</v>
      </c>
      <c r="BV1905">
        <v>0</v>
      </c>
      <c r="BW1905">
        <v>0</v>
      </c>
      <c r="BX1905">
        <v>0</v>
      </c>
      <c r="BY1905">
        <v>0</v>
      </c>
      <c r="BZ1905">
        <v>0</v>
      </c>
      <c r="CA1905">
        <v>0</v>
      </c>
      <c r="CB1905">
        <v>0</v>
      </c>
      <c r="CC1905">
        <v>0</v>
      </c>
      <c r="CD1905">
        <v>0</v>
      </c>
      <c r="CE1905" t="s">
        <v>3108</v>
      </c>
      <c r="CF1905" t="s">
        <v>3108</v>
      </c>
      <c r="CG1905" t="s">
        <v>3108</v>
      </c>
      <c r="CH1905" t="s">
        <v>3108</v>
      </c>
    </row>
    <row r="1906" spans="1:86" x14ac:dyDescent="0.2">
      <c r="A1906" t="s">
        <v>6005</v>
      </c>
      <c r="B1906" t="s">
        <v>6005</v>
      </c>
      <c r="C1906">
        <v>55029</v>
      </c>
      <c r="D1906">
        <v>2029</v>
      </c>
      <c r="E1906" t="s">
        <v>4250</v>
      </c>
      <c r="F1906" t="s">
        <v>3249</v>
      </c>
      <c r="G1906" t="s">
        <v>3249</v>
      </c>
      <c r="H1906" t="s">
        <v>3250</v>
      </c>
      <c r="I1906" t="s">
        <v>3250</v>
      </c>
      <c r="J1906" t="s">
        <v>3250</v>
      </c>
      <c r="K1906" t="s">
        <v>3250</v>
      </c>
      <c r="L1906">
        <v>3200</v>
      </c>
      <c r="M1906" t="s">
        <v>128</v>
      </c>
      <c r="N1906">
        <v>3205</v>
      </c>
      <c r="O1906" t="s">
        <v>629</v>
      </c>
      <c r="P1906" t="s">
        <v>2805</v>
      </c>
      <c r="Q1906">
        <v>2080</v>
      </c>
      <c r="R1906" t="s">
        <v>423</v>
      </c>
      <c r="S1906" t="s">
        <v>427</v>
      </c>
      <c r="T1906" t="s">
        <v>3251</v>
      </c>
      <c r="U1906">
        <v>240</v>
      </c>
      <c r="V1906" t="s">
        <v>4251</v>
      </c>
      <c r="W1906">
        <v>240</v>
      </c>
      <c r="X1906" t="s">
        <v>1323</v>
      </c>
      <c r="Y1906" t="s">
        <v>3250</v>
      </c>
      <c r="Z1906" t="s">
        <v>3250</v>
      </c>
      <c r="AA1906" t="s">
        <v>3108</v>
      </c>
      <c r="AB1906" t="s">
        <v>3108</v>
      </c>
      <c r="AC1906" t="s">
        <v>3250</v>
      </c>
      <c r="AD1906" t="s">
        <v>3250</v>
      </c>
      <c r="AE1906" t="s">
        <v>3250</v>
      </c>
      <c r="AF1906" t="s">
        <v>3250</v>
      </c>
      <c r="AG1906" t="s">
        <v>3250</v>
      </c>
      <c r="AH1906" t="s">
        <v>3250</v>
      </c>
      <c r="AI1906" t="s">
        <v>3250</v>
      </c>
      <c r="AJ1906" t="s">
        <v>3250</v>
      </c>
      <c r="AK1906">
        <v>110</v>
      </c>
      <c r="AL1906">
        <v>241</v>
      </c>
      <c r="AM1906" t="s">
        <v>1455</v>
      </c>
      <c r="AN1906">
        <v>241</v>
      </c>
      <c r="AO1906" t="s">
        <v>1455</v>
      </c>
      <c r="AS1906">
        <v>120</v>
      </c>
      <c r="AT1906">
        <v>120</v>
      </c>
      <c r="AU1906" t="s">
        <v>629</v>
      </c>
      <c r="AV1906" t="s">
        <v>629</v>
      </c>
      <c r="AW1906" t="s">
        <v>3250</v>
      </c>
      <c r="AX1906" t="s">
        <v>3250</v>
      </c>
      <c r="AY1906" t="s">
        <v>3250</v>
      </c>
      <c r="AZ1906" t="s">
        <v>3250</v>
      </c>
      <c r="BA1906" t="s">
        <v>3250</v>
      </c>
      <c r="BB1906" t="s">
        <v>3250</v>
      </c>
      <c r="BC1906" t="s">
        <v>3250</v>
      </c>
      <c r="BE1906" t="s">
        <v>3250</v>
      </c>
      <c r="BF1906" t="s">
        <v>3250</v>
      </c>
      <c r="BG1906" t="s">
        <v>3250</v>
      </c>
      <c r="BH1906" t="s">
        <v>3250</v>
      </c>
      <c r="BI1906" t="s">
        <v>3250</v>
      </c>
      <c r="BK1906" t="s">
        <v>3250</v>
      </c>
      <c r="BL1906" t="s">
        <v>3250</v>
      </c>
      <c r="BM1906" t="s">
        <v>3250</v>
      </c>
      <c r="BN1906" t="s">
        <v>3250</v>
      </c>
      <c r="BP1906">
        <v>7</v>
      </c>
      <c r="BQ1906">
        <v>71</v>
      </c>
      <c r="BR1906" t="s">
        <v>629</v>
      </c>
      <c r="BS1906" t="s">
        <v>4212</v>
      </c>
      <c r="BV1906">
        <v>0</v>
      </c>
      <c r="BW1906">
        <v>0</v>
      </c>
      <c r="BX1906">
        <v>0</v>
      </c>
      <c r="BY1906">
        <v>0</v>
      </c>
      <c r="BZ1906">
        <v>0</v>
      </c>
      <c r="CA1906">
        <v>0</v>
      </c>
      <c r="CB1906">
        <v>0</v>
      </c>
      <c r="CC1906">
        <v>0</v>
      </c>
      <c r="CD1906">
        <v>2022625</v>
      </c>
      <c r="CE1906" t="s">
        <v>3108</v>
      </c>
      <c r="CF1906" t="s">
        <v>3108</v>
      </c>
      <c r="CG1906" t="s">
        <v>3108</v>
      </c>
      <c r="CH1906" t="s">
        <v>3108</v>
      </c>
    </row>
    <row r="1907" spans="1:86" x14ac:dyDescent="0.2">
      <c r="A1907" t="s">
        <v>6006</v>
      </c>
      <c r="B1907" t="s">
        <v>6006</v>
      </c>
      <c r="C1907">
        <v>55030</v>
      </c>
      <c r="D1907">
        <v>2030</v>
      </c>
      <c r="E1907" t="s">
        <v>6007</v>
      </c>
      <c r="F1907" t="s">
        <v>3249</v>
      </c>
      <c r="G1907" t="s">
        <v>3249</v>
      </c>
      <c r="H1907" t="s">
        <v>3250</v>
      </c>
      <c r="I1907" t="s">
        <v>3250</v>
      </c>
      <c r="J1907" t="s">
        <v>3250</v>
      </c>
      <c r="K1907" t="s">
        <v>3250</v>
      </c>
      <c r="L1907">
        <v>1200</v>
      </c>
      <c r="M1907" t="s">
        <v>2368</v>
      </c>
      <c r="N1907">
        <v>1204</v>
      </c>
      <c r="O1907" t="s">
        <v>1574</v>
      </c>
      <c r="P1907" t="s">
        <v>3108</v>
      </c>
      <c r="Q1907" t="s">
        <v>3249</v>
      </c>
      <c r="R1907" t="s">
        <v>3249</v>
      </c>
      <c r="S1907" t="s">
        <v>472</v>
      </c>
      <c r="T1907" t="s">
        <v>3251</v>
      </c>
      <c r="U1907">
        <v>130</v>
      </c>
      <c r="V1907" t="s">
        <v>4716</v>
      </c>
      <c r="W1907">
        <v>130</v>
      </c>
      <c r="X1907" t="s">
        <v>4716</v>
      </c>
      <c r="Y1907" t="s">
        <v>3250</v>
      </c>
      <c r="Z1907" t="s">
        <v>3250</v>
      </c>
      <c r="AA1907" t="s">
        <v>3108</v>
      </c>
      <c r="AB1907" t="s">
        <v>3108</v>
      </c>
      <c r="AC1907" t="s">
        <v>3250</v>
      </c>
      <c r="AD1907" t="s">
        <v>3250</v>
      </c>
      <c r="AE1907" t="s">
        <v>3250</v>
      </c>
      <c r="AF1907" t="s">
        <v>3250</v>
      </c>
      <c r="AG1907" t="s">
        <v>3250</v>
      </c>
      <c r="AH1907" t="s">
        <v>3250</v>
      </c>
      <c r="AI1907" t="s">
        <v>3250</v>
      </c>
      <c r="AJ1907" t="s">
        <v>3250</v>
      </c>
      <c r="AL1907" t="s">
        <v>3250</v>
      </c>
      <c r="AM1907" t="s">
        <v>3250</v>
      </c>
      <c r="AN1907" t="s">
        <v>3250</v>
      </c>
      <c r="AO1907" t="s">
        <v>3250</v>
      </c>
      <c r="AS1907" t="s">
        <v>3250</v>
      </c>
      <c r="AT1907" t="s">
        <v>3250</v>
      </c>
      <c r="AU1907" t="s">
        <v>3250</v>
      </c>
      <c r="AV1907" t="s">
        <v>3250</v>
      </c>
      <c r="AW1907" t="s">
        <v>3250</v>
      </c>
      <c r="AX1907" t="s">
        <v>3250</v>
      </c>
      <c r="AY1907" t="s">
        <v>3250</v>
      </c>
      <c r="AZ1907" t="s">
        <v>3250</v>
      </c>
      <c r="BA1907" t="s">
        <v>3250</v>
      </c>
      <c r="BB1907" t="s">
        <v>3250</v>
      </c>
      <c r="BC1907" t="s">
        <v>3250</v>
      </c>
      <c r="BE1907" t="s">
        <v>3250</v>
      </c>
      <c r="BF1907" t="s">
        <v>3250</v>
      </c>
      <c r="BG1907" t="s">
        <v>3250</v>
      </c>
      <c r="BH1907" t="s">
        <v>3250</v>
      </c>
      <c r="BI1907" t="s">
        <v>3250</v>
      </c>
      <c r="BK1907" t="s">
        <v>3250</v>
      </c>
      <c r="BL1907" t="s">
        <v>3250</v>
      </c>
      <c r="BM1907" t="s">
        <v>3250</v>
      </c>
      <c r="BN1907" t="s">
        <v>3250</v>
      </c>
      <c r="BP1907">
        <v>1</v>
      </c>
      <c r="BQ1907">
        <v>11</v>
      </c>
      <c r="BR1907" t="s">
        <v>1574</v>
      </c>
      <c r="BS1907" t="s">
        <v>3252</v>
      </c>
      <c r="BT1907">
        <v>8</v>
      </c>
      <c r="BV1907">
        <v>0</v>
      </c>
      <c r="BW1907">
        <v>0</v>
      </c>
      <c r="BX1907">
        <v>0</v>
      </c>
      <c r="BY1907">
        <v>0</v>
      </c>
      <c r="BZ1907">
        <v>0</v>
      </c>
      <c r="CA1907">
        <v>0</v>
      </c>
      <c r="CB1907">
        <v>0</v>
      </c>
      <c r="CC1907">
        <v>0</v>
      </c>
      <c r="CD1907">
        <v>0</v>
      </c>
      <c r="CE1907" t="s">
        <v>3108</v>
      </c>
      <c r="CF1907" t="s">
        <v>3108</v>
      </c>
      <c r="CG1907" t="s">
        <v>3108</v>
      </c>
      <c r="CH1907" t="s">
        <v>3108</v>
      </c>
    </row>
    <row r="1908" spans="1:86" x14ac:dyDescent="0.2">
      <c r="A1908" t="s">
        <v>6008</v>
      </c>
      <c r="B1908" t="s">
        <v>6008</v>
      </c>
      <c r="C1908">
        <v>55031</v>
      </c>
      <c r="D1908">
        <v>2031</v>
      </c>
      <c r="E1908" t="s">
        <v>5706</v>
      </c>
      <c r="F1908" t="s">
        <v>3249</v>
      </c>
      <c r="G1908" t="s">
        <v>3249</v>
      </c>
      <c r="H1908" t="s">
        <v>3250</v>
      </c>
      <c r="I1908" t="s">
        <v>3250</v>
      </c>
      <c r="J1908" t="s">
        <v>3250</v>
      </c>
      <c r="K1908" t="s">
        <v>3250</v>
      </c>
      <c r="L1908">
        <v>1200</v>
      </c>
      <c r="M1908" t="s">
        <v>2368</v>
      </c>
      <c r="N1908">
        <v>1204</v>
      </c>
      <c r="O1908" t="s">
        <v>1574</v>
      </c>
      <c r="P1908" t="s">
        <v>3108</v>
      </c>
      <c r="Q1908" t="s">
        <v>3249</v>
      </c>
      <c r="R1908" t="s">
        <v>3249</v>
      </c>
      <c r="S1908" t="s">
        <v>472</v>
      </c>
      <c r="T1908" t="s">
        <v>3251</v>
      </c>
      <c r="U1908">
        <v>130</v>
      </c>
      <c r="V1908" t="s">
        <v>4716</v>
      </c>
      <c r="W1908">
        <v>130</v>
      </c>
      <c r="X1908" t="s">
        <v>4716</v>
      </c>
      <c r="Y1908" t="s">
        <v>3250</v>
      </c>
      <c r="Z1908" t="s">
        <v>3250</v>
      </c>
      <c r="AA1908" t="s">
        <v>3108</v>
      </c>
      <c r="AB1908" t="s">
        <v>3108</v>
      </c>
      <c r="AC1908" t="s">
        <v>3250</v>
      </c>
      <c r="AD1908" t="s">
        <v>3250</v>
      </c>
      <c r="AE1908" t="s">
        <v>3250</v>
      </c>
      <c r="AF1908" t="s">
        <v>3250</v>
      </c>
      <c r="AG1908" t="s">
        <v>3250</v>
      </c>
      <c r="AH1908" t="s">
        <v>3250</v>
      </c>
      <c r="AI1908" t="s">
        <v>3250</v>
      </c>
      <c r="AJ1908" t="s">
        <v>3250</v>
      </c>
      <c r="AL1908" t="s">
        <v>3250</v>
      </c>
      <c r="AM1908" t="s">
        <v>3250</v>
      </c>
      <c r="AN1908" t="s">
        <v>3250</v>
      </c>
      <c r="AO1908" t="s">
        <v>3250</v>
      </c>
      <c r="AS1908" t="s">
        <v>3250</v>
      </c>
      <c r="AT1908" t="s">
        <v>3250</v>
      </c>
      <c r="AU1908" t="s">
        <v>3250</v>
      </c>
      <c r="AV1908" t="s">
        <v>3250</v>
      </c>
      <c r="AW1908" t="s">
        <v>3250</v>
      </c>
      <c r="AX1908" t="s">
        <v>3250</v>
      </c>
      <c r="AY1908" t="s">
        <v>3250</v>
      </c>
      <c r="AZ1908" t="s">
        <v>3250</v>
      </c>
      <c r="BA1908" t="s">
        <v>3250</v>
      </c>
      <c r="BB1908" t="s">
        <v>3250</v>
      </c>
      <c r="BC1908" t="s">
        <v>3250</v>
      </c>
      <c r="BE1908" t="s">
        <v>3250</v>
      </c>
      <c r="BF1908" t="s">
        <v>3250</v>
      </c>
      <c r="BG1908" t="s">
        <v>3250</v>
      </c>
      <c r="BH1908" t="s">
        <v>3250</v>
      </c>
      <c r="BI1908" t="s">
        <v>3250</v>
      </c>
      <c r="BK1908" t="s">
        <v>3250</v>
      </c>
      <c r="BL1908" t="s">
        <v>3250</v>
      </c>
      <c r="BM1908" t="s">
        <v>3250</v>
      </c>
      <c r="BN1908" t="s">
        <v>3250</v>
      </c>
      <c r="BP1908">
        <v>1</v>
      </c>
      <c r="BQ1908">
        <v>11</v>
      </c>
      <c r="BR1908" t="s">
        <v>1574</v>
      </c>
      <c r="BS1908" t="s">
        <v>3252</v>
      </c>
      <c r="BV1908">
        <v>0</v>
      </c>
      <c r="BW1908">
        <v>0</v>
      </c>
      <c r="BX1908">
        <v>0</v>
      </c>
      <c r="BY1908">
        <v>0</v>
      </c>
      <c r="BZ1908">
        <v>0</v>
      </c>
      <c r="CA1908">
        <v>0</v>
      </c>
      <c r="CB1908">
        <v>0</v>
      </c>
      <c r="CC1908">
        <v>0</v>
      </c>
      <c r="CD1908">
        <v>0</v>
      </c>
      <c r="CE1908" t="s">
        <v>3108</v>
      </c>
      <c r="CF1908" t="s">
        <v>3108</v>
      </c>
      <c r="CG1908" t="s">
        <v>3108</v>
      </c>
      <c r="CH1908" t="s">
        <v>3108</v>
      </c>
    </row>
    <row r="1909" spans="1:86" x14ac:dyDescent="0.2">
      <c r="A1909" t="s">
        <v>6009</v>
      </c>
      <c r="B1909" t="s">
        <v>6009</v>
      </c>
      <c r="C1909">
        <v>55032</v>
      </c>
      <c r="D1909">
        <v>2032</v>
      </c>
      <c r="E1909" t="s">
        <v>5741</v>
      </c>
      <c r="F1909" t="s">
        <v>3249</v>
      </c>
      <c r="G1909" t="s">
        <v>3249</v>
      </c>
      <c r="H1909" t="s">
        <v>3250</v>
      </c>
      <c r="I1909" t="s">
        <v>3250</v>
      </c>
      <c r="J1909" t="s">
        <v>3250</v>
      </c>
      <c r="K1909" t="s">
        <v>3250</v>
      </c>
      <c r="L1909">
        <v>1200</v>
      </c>
      <c r="M1909" t="s">
        <v>2368</v>
      </c>
      <c r="N1909">
        <v>1204</v>
      </c>
      <c r="O1909" t="s">
        <v>1574</v>
      </c>
      <c r="P1909" t="s">
        <v>3108</v>
      </c>
      <c r="Q1909" t="s">
        <v>3249</v>
      </c>
      <c r="R1909" t="s">
        <v>3249</v>
      </c>
      <c r="S1909" t="s">
        <v>472</v>
      </c>
      <c r="T1909" t="s">
        <v>3251</v>
      </c>
      <c r="U1909">
        <v>120</v>
      </c>
      <c r="V1909" t="s">
        <v>599</v>
      </c>
      <c r="W1909">
        <v>120</v>
      </c>
      <c r="X1909" t="s">
        <v>599</v>
      </c>
      <c r="Y1909" t="s">
        <v>3250</v>
      </c>
      <c r="Z1909" t="s">
        <v>3250</v>
      </c>
      <c r="AA1909" t="s">
        <v>3108</v>
      </c>
      <c r="AB1909" t="s">
        <v>3108</v>
      </c>
      <c r="AC1909" t="s">
        <v>3250</v>
      </c>
      <c r="AD1909" t="s">
        <v>3250</v>
      </c>
      <c r="AE1909" t="s">
        <v>3250</v>
      </c>
      <c r="AF1909" t="s">
        <v>3250</v>
      </c>
      <c r="AG1909" t="s">
        <v>3250</v>
      </c>
      <c r="AH1909" t="s">
        <v>3250</v>
      </c>
      <c r="AI1909" t="s">
        <v>3250</v>
      </c>
      <c r="AJ1909" t="s">
        <v>3250</v>
      </c>
      <c r="AL1909" t="s">
        <v>3250</v>
      </c>
      <c r="AM1909" t="s">
        <v>3250</v>
      </c>
      <c r="AN1909" t="s">
        <v>3250</v>
      </c>
      <c r="AO1909" t="s">
        <v>3250</v>
      </c>
      <c r="AS1909" t="s">
        <v>3250</v>
      </c>
      <c r="AT1909" t="s">
        <v>3250</v>
      </c>
      <c r="AU1909" t="s">
        <v>3250</v>
      </c>
      <c r="AV1909" t="s">
        <v>3250</v>
      </c>
      <c r="AW1909" t="s">
        <v>3250</v>
      </c>
      <c r="AX1909" t="s">
        <v>3250</v>
      </c>
      <c r="AY1909" t="s">
        <v>3250</v>
      </c>
      <c r="AZ1909" t="s">
        <v>3250</v>
      </c>
      <c r="BA1909" t="s">
        <v>3250</v>
      </c>
      <c r="BB1909" t="s">
        <v>3250</v>
      </c>
      <c r="BC1909" t="s">
        <v>3250</v>
      </c>
      <c r="BE1909" t="s">
        <v>3250</v>
      </c>
      <c r="BF1909" t="s">
        <v>3250</v>
      </c>
      <c r="BG1909" t="s">
        <v>3250</v>
      </c>
      <c r="BH1909" t="s">
        <v>3250</v>
      </c>
      <c r="BI1909" t="s">
        <v>3250</v>
      </c>
      <c r="BK1909" t="s">
        <v>3250</v>
      </c>
      <c r="BL1909" t="s">
        <v>3250</v>
      </c>
      <c r="BM1909" t="s">
        <v>3250</v>
      </c>
      <c r="BN1909" t="s">
        <v>3250</v>
      </c>
      <c r="BP1909">
        <v>1</v>
      </c>
      <c r="BQ1909">
        <v>11</v>
      </c>
      <c r="BR1909" t="s">
        <v>1574</v>
      </c>
      <c r="BS1909" t="s">
        <v>3252</v>
      </c>
      <c r="BV1909">
        <v>0</v>
      </c>
      <c r="BW1909">
        <v>0</v>
      </c>
      <c r="BX1909">
        <v>0</v>
      </c>
      <c r="BY1909">
        <v>0</v>
      </c>
      <c r="BZ1909">
        <v>0</v>
      </c>
      <c r="CA1909">
        <v>0</v>
      </c>
      <c r="CB1909">
        <v>0</v>
      </c>
      <c r="CC1909">
        <v>0</v>
      </c>
      <c r="CD1909">
        <v>0</v>
      </c>
      <c r="CE1909" t="s">
        <v>3108</v>
      </c>
      <c r="CF1909" t="s">
        <v>3108</v>
      </c>
      <c r="CG1909" t="s">
        <v>3108</v>
      </c>
      <c r="CH1909" t="s">
        <v>3108</v>
      </c>
    </row>
    <row r="1910" spans="1:86" x14ac:dyDescent="0.2">
      <c r="A1910" t="s">
        <v>6010</v>
      </c>
      <c r="B1910" t="s">
        <v>6010</v>
      </c>
      <c r="C1910">
        <v>55033</v>
      </c>
      <c r="D1910">
        <v>2033</v>
      </c>
      <c r="E1910" t="s">
        <v>5741</v>
      </c>
      <c r="F1910" t="s">
        <v>3249</v>
      </c>
      <c r="G1910" t="s">
        <v>3249</v>
      </c>
      <c r="H1910" t="s">
        <v>3250</v>
      </c>
      <c r="I1910" t="s">
        <v>3250</v>
      </c>
      <c r="J1910" t="s">
        <v>3250</v>
      </c>
      <c r="K1910" t="s">
        <v>3250</v>
      </c>
      <c r="L1910">
        <v>1200</v>
      </c>
      <c r="M1910" t="s">
        <v>2368</v>
      </c>
      <c r="N1910">
        <v>1204</v>
      </c>
      <c r="O1910" t="s">
        <v>1574</v>
      </c>
      <c r="P1910" t="s">
        <v>3108</v>
      </c>
      <c r="Q1910" t="s">
        <v>3249</v>
      </c>
      <c r="R1910" t="s">
        <v>3249</v>
      </c>
      <c r="S1910" t="s">
        <v>472</v>
      </c>
      <c r="T1910" t="s">
        <v>3251</v>
      </c>
      <c r="U1910">
        <v>120</v>
      </c>
      <c r="V1910" t="s">
        <v>599</v>
      </c>
      <c r="W1910">
        <v>120</v>
      </c>
      <c r="X1910" t="s">
        <v>599</v>
      </c>
      <c r="Y1910" t="s">
        <v>3250</v>
      </c>
      <c r="Z1910" t="s">
        <v>3250</v>
      </c>
      <c r="AA1910" t="s">
        <v>3108</v>
      </c>
      <c r="AB1910" t="s">
        <v>3108</v>
      </c>
      <c r="AC1910" t="s">
        <v>3250</v>
      </c>
      <c r="AD1910" t="s">
        <v>3250</v>
      </c>
      <c r="AE1910" t="s">
        <v>3250</v>
      </c>
      <c r="AF1910" t="s">
        <v>3250</v>
      </c>
      <c r="AG1910" t="s">
        <v>3250</v>
      </c>
      <c r="AH1910" t="s">
        <v>3250</v>
      </c>
      <c r="AI1910" t="s">
        <v>3250</v>
      </c>
      <c r="AJ1910" t="s">
        <v>3250</v>
      </c>
      <c r="AL1910" t="s">
        <v>3250</v>
      </c>
      <c r="AM1910" t="s">
        <v>3250</v>
      </c>
      <c r="AN1910" t="s">
        <v>3250</v>
      </c>
      <c r="AO1910" t="s">
        <v>3250</v>
      </c>
      <c r="AS1910" t="s">
        <v>3250</v>
      </c>
      <c r="AT1910" t="s">
        <v>3250</v>
      </c>
      <c r="AU1910" t="s">
        <v>3250</v>
      </c>
      <c r="AV1910" t="s">
        <v>3250</v>
      </c>
      <c r="AW1910" t="s">
        <v>3250</v>
      </c>
      <c r="AX1910" t="s">
        <v>3250</v>
      </c>
      <c r="AY1910" t="s">
        <v>3250</v>
      </c>
      <c r="AZ1910" t="s">
        <v>3250</v>
      </c>
      <c r="BA1910" t="s">
        <v>3250</v>
      </c>
      <c r="BB1910" t="s">
        <v>3250</v>
      </c>
      <c r="BC1910" t="s">
        <v>3250</v>
      </c>
      <c r="BE1910" t="s">
        <v>3250</v>
      </c>
      <c r="BF1910" t="s">
        <v>3250</v>
      </c>
      <c r="BG1910" t="s">
        <v>3250</v>
      </c>
      <c r="BH1910" t="s">
        <v>3250</v>
      </c>
      <c r="BI1910" t="s">
        <v>3250</v>
      </c>
      <c r="BK1910" t="s">
        <v>3250</v>
      </c>
      <c r="BL1910" t="s">
        <v>3250</v>
      </c>
      <c r="BM1910" t="s">
        <v>3250</v>
      </c>
      <c r="BN1910" t="s">
        <v>3250</v>
      </c>
      <c r="BP1910">
        <v>1</v>
      </c>
      <c r="BQ1910">
        <v>11</v>
      </c>
      <c r="BR1910" t="s">
        <v>1574</v>
      </c>
      <c r="BS1910" t="s">
        <v>3252</v>
      </c>
      <c r="BV1910">
        <v>0</v>
      </c>
      <c r="BW1910">
        <v>0</v>
      </c>
      <c r="BX1910">
        <v>0</v>
      </c>
      <c r="BY1910">
        <v>0</v>
      </c>
      <c r="BZ1910">
        <v>0</v>
      </c>
      <c r="CA1910">
        <v>0</v>
      </c>
      <c r="CB1910">
        <v>0</v>
      </c>
      <c r="CC1910">
        <v>0</v>
      </c>
      <c r="CD1910">
        <v>0</v>
      </c>
      <c r="CE1910" t="s">
        <v>3108</v>
      </c>
      <c r="CF1910" t="s">
        <v>3108</v>
      </c>
      <c r="CG1910" t="s">
        <v>3108</v>
      </c>
      <c r="CH1910" t="s">
        <v>3108</v>
      </c>
    </row>
    <row r="1911" spans="1:86" x14ac:dyDescent="0.2">
      <c r="A1911" t="s">
        <v>6011</v>
      </c>
      <c r="B1911" t="s">
        <v>6011</v>
      </c>
      <c r="C1911">
        <v>55034</v>
      </c>
      <c r="D1911">
        <v>2034</v>
      </c>
      <c r="E1911" t="s">
        <v>5741</v>
      </c>
      <c r="F1911" t="s">
        <v>3249</v>
      </c>
      <c r="G1911" t="s">
        <v>3249</v>
      </c>
      <c r="H1911" t="s">
        <v>3250</v>
      </c>
      <c r="I1911" t="s">
        <v>3250</v>
      </c>
      <c r="J1911" t="s">
        <v>3250</v>
      </c>
      <c r="K1911" t="s">
        <v>3250</v>
      </c>
      <c r="L1911">
        <v>1200</v>
      </c>
      <c r="M1911" t="s">
        <v>2368</v>
      </c>
      <c r="N1911">
        <v>1204</v>
      </c>
      <c r="O1911" t="s">
        <v>1574</v>
      </c>
      <c r="P1911" t="s">
        <v>3108</v>
      </c>
      <c r="Q1911" t="s">
        <v>3249</v>
      </c>
      <c r="R1911" t="s">
        <v>3249</v>
      </c>
      <c r="S1911" t="s">
        <v>472</v>
      </c>
      <c r="T1911" t="s">
        <v>3251</v>
      </c>
      <c r="U1911">
        <v>120</v>
      </c>
      <c r="V1911" t="s">
        <v>599</v>
      </c>
      <c r="W1911">
        <v>120</v>
      </c>
      <c r="X1911" t="s">
        <v>599</v>
      </c>
      <c r="Y1911" t="s">
        <v>3250</v>
      </c>
      <c r="Z1911" t="s">
        <v>3250</v>
      </c>
      <c r="AA1911" t="s">
        <v>3108</v>
      </c>
      <c r="AB1911" t="s">
        <v>3108</v>
      </c>
      <c r="AC1911" t="s">
        <v>3250</v>
      </c>
      <c r="AD1911" t="s">
        <v>3250</v>
      </c>
      <c r="AE1911" t="s">
        <v>3250</v>
      </c>
      <c r="AF1911" t="s">
        <v>3250</v>
      </c>
      <c r="AG1911" t="s">
        <v>3250</v>
      </c>
      <c r="AH1911" t="s">
        <v>3250</v>
      </c>
      <c r="AI1911" t="s">
        <v>3250</v>
      </c>
      <c r="AJ1911" t="s">
        <v>3250</v>
      </c>
      <c r="AL1911" t="s">
        <v>3250</v>
      </c>
      <c r="AM1911" t="s">
        <v>3250</v>
      </c>
      <c r="AN1911" t="s">
        <v>3250</v>
      </c>
      <c r="AO1911" t="s">
        <v>3250</v>
      </c>
      <c r="AS1911" t="s">
        <v>3250</v>
      </c>
      <c r="AT1911" t="s">
        <v>3250</v>
      </c>
      <c r="AU1911" t="s">
        <v>3250</v>
      </c>
      <c r="AV1911" t="s">
        <v>3250</v>
      </c>
      <c r="AW1911" t="s">
        <v>3250</v>
      </c>
      <c r="AX1911" t="s">
        <v>3250</v>
      </c>
      <c r="AY1911" t="s">
        <v>3250</v>
      </c>
      <c r="AZ1911" t="s">
        <v>3250</v>
      </c>
      <c r="BA1911" t="s">
        <v>3250</v>
      </c>
      <c r="BB1911" t="s">
        <v>3250</v>
      </c>
      <c r="BC1911" t="s">
        <v>3250</v>
      </c>
      <c r="BE1911" t="s">
        <v>3250</v>
      </c>
      <c r="BF1911" t="s">
        <v>3250</v>
      </c>
      <c r="BG1911" t="s">
        <v>3250</v>
      </c>
      <c r="BH1911" t="s">
        <v>3250</v>
      </c>
      <c r="BI1911" t="s">
        <v>3250</v>
      </c>
      <c r="BK1911" t="s">
        <v>3250</v>
      </c>
      <c r="BL1911" t="s">
        <v>3250</v>
      </c>
      <c r="BM1911" t="s">
        <v>3250</v>
      </c>
      <c r="BN1911" t="s">
        <v>3250</v>
      </c>
      <c r="BP1911">
        <v>1</v>
      </c>
      <c r="BQ1911">
        <v>11</v>
      </c>
      <c r="BR1911" t="s">
        <v>1574</v>
      </c>
      <c r="BS1911" t="s">
        <v>3252</v>
      </c>
      <c r="BV1911">
        <v>0</v>
      </c>
      <c r="BW1911">
        <v>0</v>
      </c>
      <c r="BX1911">
        <v>0</v>
      </c>
      <c r="BY1911">
        <v>0</v>
      </c>
      <c r="BZ1911">
        <v>0</v>
      </c>
      <c r="CA1911">
        <v>0</v>
      </c>
      <c r="CB1911">
        <v>0</v>
      </c>
      <c r="CC1911">
        <v>0</v>
      </c>
      <c r="CD1911">
        <v>0</v>
      </c>
      <c r="CE1911" t="s">
        <v>3108</v>
      </c>
      <c r="CF1911" t="s">
        <v>3108</v>
      </c>
      <c r="CG1911" t="s">
        <v>3108</v>
      </c>
      <c r="CH1911" t="s">
        <v>3108</v>
      </c>
    </row>
    <row r="1912" spans="1:86" x14ac:dyDescent="0.2">
      <c r="A1912" t="s">
        <v>6012</v>
      </c>
      <c r="B1912" t="s">
        <v>6012</v>
      </c>
      <c r="C1912">
        <v>55035</v>
      </c>
      <c r="D1912">
        <v>2035</v>
      </c>
      <c r="E1912" t="s">
        <v>5706</v>
      </c>
      <c r="F1912" t="s">
        <v>3249</v>
      </c>
      <c r="G1912" t="s">
        <v>3249</v>
      </c>
      <c r="H1912" t="s">
        <v>3250</v>
      </c>
      <c r="I1912" t="s">
        <v>3250</v>
      </c>
      <c r="J1912" t="s">
        <v>3250</v>
      </c>
      <c r="K1912" t="s">
        <v>3250</v>
      </c>
      <c r="L1912">
        <v>1200</v>
      </c>
      <c r="M1912" t="s">
        <v>2368</v>
      </c>
      <c r="N1912">
        <v>1204</v>
      </c>
      <c r="O1912" t="s">
        <v>1574</v>
      </c>
      <c r="P1912" t="s">
        <v>3108</v>
      </c>
      <c r="Q1912" t="s">
        <v>3249</v>
      </c>
      <c r="R1912" t="s">
        <v>3249</v>
      </c>
      <c r="S1912" t="s">
        <v>472</v>
      </c>
      <c r="T1912" t="s">
        <v>3251</v>
      </c>
      <c r="U1912">
        <v>130</v>
      </c>
      <c r="V1912" t="s">
        <v>4716</v>
      </c>
      <c r="W1912">
        <v>130</v>
      </c>
      <c r="X1912" t="s">
        <v>4716</v>
      </c>
      <c r="Y1912" t="s">
        <v>3250</v>
      </c>
      <c r="Z1912" t="s">
        <v>3250</v>
      </c>
      <c r="AA1912" t="s">
        <v>3108</v>
      </c>
      <c r="AB1912" t="s">
        <v>3108</v>
      </c>
      <c r="AC1912" t="s">
        <v>3250</v>
      </c>
      <c r="AD1912" t="s">
        <v>3250</v>
      </c>
      <c r="AE1912" t="s">
        <v>3250</v>
      </c>
      <c r="AF1912" t="s">
        <v>3250</v>
      </c>
      <c r="AG1912" t="s">
        <v>3250</v>
      </c>
      <c r="AH1912" t="s">
        <v>3250</v>
      </c>
      <c r="AI1912" t="s">
        <v>3250</v>
      </c>
      <c r="AJ1912" t="s">
        <v>3250</v>
      </c>
      <c r="AL1912" t="s">
        <v>3250</v>
      </c>
      <c r="AM1912" t="s">
        <v>3250</v>
      </c>
      <c r="AN1912" t="s">
        <v>3250</v>
      </c>
      <c r="AO1912" t="s">
        <v>3250</v>
      </c>
      <c r="AS1912" t="s">
        <v>3250</v>
      </c>
      <c r="AT1912" t="s">
        <v>3250</v>
      </c>
      <c r="AU1912" t="s">
        <v>3250</v>
      </c>
      <c r="AV1912" t="s">
        <v>3250</v>
      </c>
      <c r="AW1912" t="s">
        <v>3250</v>
      </c>
      <c r="AX1912" t="s">
        <v>3250</v>
      </c>
      <c r="AY1912" t="s">
        <v>3250</v>
      </c>
      <c r="AZ1912" t="s">
        <v>3250</v>
      </c>
      <c r="BA1912" t="s">
        <v>3250</v>
      </c>
      <c r="BB1912" t="s">
        <v>3250</v>
      </c>
      <c r="BC1912" t="s">
        <v>3250</v>
      </c>
      <c r="BE1912" t="s">
        <v>3250</v>
      </c>
      <c r="BF1912" t="s">
        <v>3250</v>
      </c>
      <c r="BG1912" t="s">
        <v>3250</v>
      </c>
      <c r="BH1912" t="s">
        <v>3250</v>
      </c>
      <c r="BI1912" t="s">
        <v>3250</v>
      </c>
      <c r="BK1912" t="s">
        <v>3250</v>
      </c>
      <c r="BL1912" t="s">
        <v>3250</v>
      </c>
      <c r="BM1912" t="s">
        <v>3250</v>
      </c>
      <c r="BN1912" t="s">
        <v>3250</v>
      </c>
      <c r="BP1912">
        <v>1</v>
      </c>
      <c r="BQ1912">
        <v>11</v>
      </c>
      <c r="BR1912" t="s">
        <v>1574</v>
      </c>
      <c r="BS1912" t="s">
        <v>3252</v>
      </c>
      <c r="BV1912">
        <v>0</v>
      </c>
      <c r="BW1912">
        <v>0</v>
      </c>
      <c r="BX1912">
        <v>0</v>
      </c>
      <c r="BY1912">
        <v>0</v>
      </c>
      <c r="BZ1912">
        <v>0</v>
      </c>
      <c r="CA1912">
        <v>0</v>
      </c>
      <c r="CB1912">
        <v>0</v>
      </c>
      <c r="CC1912">
        <v>0</v>
      </c>
      <c r="CD1912">
        <v>0</v>
      </c>
      <c r="CE1912" t="s">
        <v>3108</v>
      </c>
      <c r="CF1912" t="s">
        <v>3108</v>
      </c>
      <c r="CG1912" t="s">
        <v>3108</v>
      </c>
      <c r="CH1912" t="s">
        <v>3108</v>
      </c>
    </row>
    <row r="1913" spans="1:86" x14ac:dyDescent="0.2">
      <c r="A1913" t="s">
        <v>6013</v>
      </c>
      <c r="B1913" t="s">
        <v>6013</v>
      </c>
      <c r="C1913">
        <v>55036</v>
      </c>
      <c r="D1913">
        <v>2036</v>
      </c>
      <c r="E1913" t="s">
        <v>6014</v>
      </c>
      <c r="F1913" t="s">
        <v>3249</v>
      </c>
      <c r="G1913" t="s">
        <v>3249</v>
      </c>
      <c r="H1913" t="s">
        <v>3250</v>
      </c>
      <c r="I1913" t="s">
        <v>3250</v>
      </c>
      <c r="J1913" t="s">
        <v>3250</v>
      </c>
      <c r="K1913" t="s">
        <v>3250</v>
      </c>
      <c r="L1913">
        <v>1200</v>
      </c>
      <c r="M1913" t="s">
        <v>2368</v>
      </c>
      <c r="N1913">
        <v>1204</v>
      </c>
      <c r="O1913" t="s">
        <v>1574</v>
      </c>
      <c r="P1913" t="s">
        <v>3108</v>
      </c>
      <c r="Q1913" t="s">
        <v>3249</v>
      </c>
      <c r="R1913" t="s">
        <v>3249</v>
      </c>
      <c r="S1913" t="s">
        <v>472</v>
      </c>
      <c r="T1913" t="s">
        <v>3251</v>
      </c>
      <c r="U1913">
        <v>140</v>
      </c>
      <c r="V1913" t="s">
        <v>1327</v>
      </c>
      <c r="W1913">
        <v>140</v>
      </c>
      <c r="X1913" t="s">
        <v>1327</v>
      </c>
      <c r="Y1913" t="s">
        <v>3250</v>
      </c>
      <c r="Z1913" t="s">
        <v>3250</v>
      </c>
      <c r="AA1913" t="s">
        <v>3108</v>
      </c>
      <c r="AB1913" t="s">
        <v>3108</v>
      </c>
      <c r="AC1913" t="s">
        <v>3250</v>
      </c>
      <c r="AD1913" t="s">
        <v>3250</v>
      </c>
      <c r="AE1913" t="s">
        <v>3250</v>
      </c>
      <c r="AF1913" t="s">
        <v>3250</v>
      </c>
      <c r="AG1913" t="s">
        <v>3250</v>
      </c>
      <c r="AH1913" t="s">
        <v>3250</v>
      </c>
      <c r="AI1913" t="s">
        <v>3250</v>
      </c>
      <c r="AJ1913" t="s">
        <v>3250</v>
      </c>
      <c r="AL1913">
        <v>141</v>
      </c>
      <c r="AM1913" t="s">
        <v>1327</v>
      </c>
      <c r="AN1913">
        <v>141</v>
      </c>
      <c r="AO1913" t="s">
        <v>1327</v>
      </c>
      <c r="AS1913" t="s">
        <v>3250</v>
      </c>
      <c r="AT1913" t="s">
        <v>3250</v>
      </c>
      <c r="AU1913" t="s">
        <v>3250</v>
      </c>
      <c r="AV1913" t="s">
        <v>3250</v>
      </c>
      <c r="AW1913" t="s">
        <v>3250</v>
      </c>
      <c r="AX1913" t="s">
        <v>3250</v>
      </c>
      <c r="AY1913" t="s">
        <v>3250</v>
      </c>
      <c r="AZ1913" t="s">
        <v>3250</v>
      </c>
      <c r="BA1913" t="s">
        <v>3250</v>
      </c>
      <c r="BB1913" t="s">
        <v>3250</v>
      </c>
      <c r="BC1913" t="s">
        <v>3250</v>
      </c>
      <c r="BE1913" t="s">
        <v>3250</v>
      </c>
      <c r="BF1913" t="s">
        <v>3250</v>
      </c>
      <c r="BG1913" t="s">
        <v>3250</v>
      </c>
      <c r="BH1913" t="s">
        <v>3250</v>
      </c>
      <c r="BI1913" t="s">
        <v>3250</v>
      </c>
      <c r="BK1913" t="s">
        <v>3250</v>
      </c>
      <c r="BL1913" t="s">
        <v>3250</v>
      </c>
      <c r="BM1913" t="s">
        <v>3250</v>
      </c>
      <c r="BN1913" t="s">
        <v>3250</v>
      </c>
      <c r="BP1913">
        <v>1</v>
      </c>
      <c r="BQ1913">
        <v>11</v>
      </c>
      <c r="BR1913" t="s">
        <v>1574</v>
      </c>
      <c r="BS1913" t="s">
        <v>3252</v>
      </c>
      <c r="BV1913">
        <v>0</v>
      </c>
      <c r="BW1913">
        <v>0</v>
      </c>
      <c r="BX1913">
        <v>0</v>
      </c>
      <c r="BY1913">
        <v>0</v>
      </c>
      <c r="BZ1913">
        <v>0</v>
      </c>
      <c r="CA1913">
        <v>0</v>
      </c>
      <c r="CB1913">
        <v>0</v>
      </c>
      <c r="CC1913">
        <v>0</v>
      </c>
      <c r="CD1913">
        <v>0</v>
      </c>
      <c r="CE1913" t="s">
        <v>3108</v>
      </c>
      <c r="CF1913" t="s">
        <v>3108</v>
      </c>
      <c r="CG1913" t="s">
        <v>3108</v>
      </c>
      <c r="CH1913" t="s">
        <v>3108</v>
      </c>
    </row>
    <row r="1914" spans="1:86" x14ac:dyDescent="0.2">
      <c r="A1914" t="s">
        <v>6015</v>
      </c>
      <c r="B1914" t="s">
        <v>6015</v>
      </c>
      <c r="C1914">
        <v>55037</v>
      </c>
      <c r="D1914">
        <v>2037</v>
      </c>
      <c r="E1914" t="s">
        <v>6016</v>
      </c>
      <c r="F1914" t="s">
        <v>3249</v>
      </c>
      <c r="G1914" t="s">
        <v>3249</v>
      </c>
      <c r="H1914" t="s">
        <v>3250</v>
      </c>
      <c r="I1914" t="s">
        <v>3250</v>
      </c>
      <c r="J1914" t="s">
        <v>3250</v>
      </c>
      <c r="K1914" t="s">
        <v>3250</v>
      </c>
      <c r="L1914">
        <v>1200</v>
      </c>
      <c r="M1914" t="s">
        <v>2368</v>
      </c>
      <c r="N1914">
        <v>1204</v>
      </c>
      <c r="O1914" t="s">
        <v>1574</v>
      </c>
      <c r="P1914" t="s">
        <v>3108</v>
      </c>
      <c r="Q1914" t="s">
        <v>3249</v>
      </c>
      <c r="R1914" t="s">
        <v>3249</v>
      </c>
      <c r="S1914" t="s">
        <v>472</v>
      </c>
      <c r="T1914" t="s">
        <v>3251</v>
      </c>
      <c r="U1914">
        <v>140</v>
      </c>
      <c r="V1914" t="s">
        <v>1327</v>
      </c>
      <c r="W1914">
        <v>140</v>
      </c>
      <c r="X1914" t="s">
        <v>1327</v>
      </c>
      <c r="Y1914" t="s">
        <v>3250</v>
      </c>
      <c r="Z1914" t="s">
        <v>3250</v>
      </c>
      <c r="AA1914" t="s">
        <v>3108</v>
      </c>
      <c r="AB1914" t="s">
        <v>3108</v>
      </c>
      <c r="AC1914" t="s">
        <v>3250</v>
      </c>
      <c r="AD1914" t="s">
        <v>3250</v>
      </c>
      <c r="AE1914" t="s">
        <v>3250</v>
      </c>
      <c r="AF1914" t="s">
        <v>3250</v>
      </c>
      <c r="AG1914" t="s">
        <v>3250</v>
      </c>
      <c r="AH1914" t="s">
        <v>3250</v>
      </c>
      <c r="AI1914" t="s">
        <v>3250</v>
      </c>
      <c r="AJ1914" t="s">
        <v>3250</v>
      </c>
      <c r="AL1914">
        <v>145</v>
      </c>
      <c r="AM1914" t="s">
        <v>4</v>
      </c>
      <c r="AN1914">
        <v>145</v>
      </c>
      <c r="AO1914" t="s">
        <v>4</v>
      </c>
      <c r="AS1914" t="s">
        <v>3250</v>
      </c>
      <c r="AT1914" t="s">
        <v>3250</v>
      </c>
      <c r="AU1914" t="s">
        <v>3250</v>
      </c>
      <c r="AV1914" t="s">
        <v>3250</v>
      </c>
      <c r="AW1914" t="s">
        <v>3250</v>
      </c>
      <c r="AX1914" t="s">
        <v>3250</v>
      </c>
      <c r="AY1914" t="s">
        <v>3250</v>
      </c>
      <c r="AZ1914" t="s">
        <v>3250</v>
      </c>
      <c r="BA1914" t="s">
        <v>3250</v>
      </c>
      <c r="BB1914" t="s">
        <v>3250</v>
      </c>
      <c r="BC1914" t="s">
        <v>3250</v>
      </c>
      <c r="BE1914" t="s">
        <v>3250</v>
      </c>
      <c r="BF1914" t="s">
        <v>3250</v>
      </c>
      <c r="BG1914" t="s">
        <v>3250</v>
      </c>
      <c r="BH1914" t="s">
        <v>3250</v>
      </c>
      <c r="BI1914" t="s">
        <v>3250</v>
      </c>
      <c r="BK1914" t="s">
        <v>3250</v>
      </c>
      <c r="BL1914" t="s">
        <v>3250</v>
      </c>
      <c r="BM1914" t="s">
        <v>3250</v>
      </c>
      <c r="BN1914" t="s">
        <v>3250</v>
      </c>
      <c r="BP1914">
        <v>1</v>
      </c>
      <c r="BQ1914">
        <v>11</v>
      </c>
      <c r="BR1914" t="s">
        <v>1574</v>
      </c>
      <c r="BS1914" t="s">
        <v>3252</v>
      </c>
      <c r="BV1914">
        <v>0</v>
      </c>
      <c r="BW1914">
        <v>0</v>
      </c>
      <c r="BX1914">
        <v>0</v>
      </c>
      <c r="BY1914">
        <v>0</v>
      </c>
      <c r="BZ1914">
        <v>0</v>
      </c>
      <c r="CA1914">
        <v>0</v>
      </c>
      <c r="CB1914">
        <v>0</v>
      </c>
      <c r="CC1914">
        <v>0</v>
      </c>
      <c r="CD1914">
        <v>0</v>
      </c>
      <c r="CE1914" t="s">
        <v>3108</v>
      </c>
      <c r="CF1914" t="s">
        <v>3108</v>
      </c>
      <c r="CG1914" t="s">
        <v>3108</v>
      </c>
      <c r="CH1914" t="s">
        <v>3108</v>
      </c>
    </row>
    <row r="1915" spans="1:86" x14ac:dyDescent="0.2">
      <c r="A1915" t="s">
        <v>6017</v>
      </c>
      <c r="B1915" t="s">
        <v>6017</v>
      </c>
      <c r="C1915">
        <v>55038</v>
      </c>
      <c r="D1915">
        <v>2038</v>
      </c>
      <c r="E1915" t="s">
        <v>6018</v>
      </c>
      <c r="F1915" t="s">
        <v>3249</v>
      </c>
      <c r="G1915" t="s">
        <v>3249</v>
      </c>
      <c r="H1915" t="s">
        <v>3250</v>
      </c>
      <c r="I1915" t="s">
        <v>3250</v>
      </c>
      <c r="J1915" t="s">
        <v>3250</v>
      </c>
      <c r="K1915" t="s">
        <v>3250</v>
      </c>
      <c r="L1915">
        <v>1200</v>
      </c>
      <c r="M1915" t="s">
        <v>2368</v>
      </c>
      <c r="N1915">
        <v>1204</v>
      </c>
      <c r="O1915" t="s">
        <v>1574</v>
      </c>
      <c r="P1915" t="s">
        <v>3108</v>
      </c>
      <c r="Q1915" t="s">
        <v>3249</v>
      </c>
      <c r="R1915" t="s">
        <v>3249</v>
      </c>
      <c r="S1915" t="s">
        <v>472</v>
      </c>
      <c r="T1915" t="s">
        <v>3251</v>
      </c>
      <c r="U1915">
        <v>140</v>
      </c>
      <c r="V1915" t="s">
        <v>1327</v>
      </c>
      <c r="W1915">
        <v>140</v>
      </c>
      <c r="X1915" t="s">
        <v>1327</v>
      </c>
      <c r="Y1915" t="s">
        <v>3250</v>
      </c>
      <c r="Z1915" t="s">
        <v>3250</v>
      </c>
      <c r="AA1915" t="s">
        <v>3108</v>
      </c>
      <c r="AB1915" t="s">
        <v>3108</v>
      </c>
      <c r="AC1915" t="s">
        <v>3250</v>
      </c>
      <c r="AD1915" t="s">
        <v>3250</v>
      </c>
      <c r="AE1915" t="s">
        <v>3250</v>
      </c>
      <c r="AF1915" t="s">
        <v>3250</v>
      </c>
      <c r="AG1915" t="s">
        <v>3250</v>
      </c>
      <c r="AH1915" t="s">
        <v>3250</v>
      </c>
      <c r="AI1915" t="s">
        <v>3250</v>
      </c>
      <c r="AJ1915" t="s">
        <v>3250</v>
      </c>
      <c r="AL1915">
        <v>145</v>
      </c>
      <c r="AM1915" t="s">
        <v>4</v>
      </c>
      <c r="AN1915">
        <v>145</v>
      </c>
      <c r="AO1915" t="s">
        <v>4</v>
      </c>
      <c r="AS1915" t="s">
        <v>3250</v>
      </c>
      <c r="AT1915" t="s">
        <v>3250</v>
      </c>
      <c r="AU1915" t="s">
        <v>3250</v>
      </c>
      <c r="AV1915" t="s">
        <v>3250</v>
      </c>
      <c r="AW1915" t="s">
        <v>3250</v>
      </c>
      <c r="AX1915" t="s">
        <v>3250</v>
      </c>
      <c r="AY1915" t="s">
        <v>3250</v>
      </c>
      <c r="AZ1915" t="s">
        <v>3250</v>
      </c>
      <c r="BA1915" t="s">
        <v>3250</v>
      </c>
      <c r="BB1915" t="s">
        <v>3250</v>
      </c>
      <c r="BC1915" t="s">
        <v>3250</v>
      </c>
      <c r="BE1915" t="s">
        <v>3250</v>
      </c>
      <c r="BF1915" t="s">
        <v>3250</v>
      </c>
      <c r="BG1915" t="s">
        <v>3250</v>
      </c>
      <c r="BH1915" t="s">
        <v>3250</v>
      </c>
      <c r="BI1915" t="s">
        <v>3250</v>
      </c>
      <c r="BK1915" t="s">
        <v>3250</v>
      </c>
      <c r="BL1915" t="s">
        <v>3250</v>
      </c>
      <c r="BM1915" t="s">
        <v>3250</v>
      </c>
      <c r="BN1915" t="s">
        <v>3250</v>
      </c>
      <c r="BP1915">
        <v>1</v>
      </c>
      <c r="BQ1915">
        <v>11</v>
      </c>
      <c r="BR1915" t="s">
        <v>1574</v>
      </c>
      <c r="BS1915" t="s">
        <v>3252</v>
      </c>
      <c r="BV1915">
        <v>0</v>
      </c>
      <c r="BW1915">
        <v>0</v>
      </c>
      <c r="BX1915">
        <v>0</v>
      </c>
      <c r="BY1915">
        <v>0</v>
      </c>
      <c r="BZ1915">
        <v>0</v>
      </c>
      <c r="CA1915">
        <v>0</v>
      </c>
      <c r="CB1915">
        <v>0</v>
      </c>
      <c r="CC1915">
        <v>0</v>
      </c>
      <c r="CD1915">
        <v>0</v>
      </c>
      <c r="CE1915" t="s">
        <v>3108</v>
      </c>
      <c r="CF1915" t="s">
        <v>3108</v>
      </c>
      <c r="CG1915" t="s">
        <v>3108</v>
      </c>
      <c r="CH1915" t="s">
        <v>3108</v>
      </c>
    </row>
    <row r="1916" spans="1:86" x14ac:dyDescent="0.2">
      <c r="A1916" t="s">
        <v>6019</v>
      </c>
      <c r="B1916" t="s">
        <v>6019</v>
      </c>
      <c r="C1916">
        <v>55039</v>
      </c>
      <c r="D1916">
        <v>2039</v>
      </c>
      <c r="E1916" t="s">
        <v>6020</v>
      </c>
      <c r="F1916" t="s">
        <v>3249</v>
      </c>
      <c r="G1916" t="s">
        <v>3249</v>
      </c>
      <c r="H1916" t="s">
        <v>3250</v>
      </c>
      <c r="I1916" t="s">
        <v>3250</v>
      </c>
      <c r="J1916" t="s">
        <v>3250</v>
      </c>
      <c r="K1916" t="s">
        <v>3250</v>
      </c>
      <c r="L1916">
        <v>1200</v>
      </c>
      <c r="M1916" t="s">
        <v>2368</v>
      </c>
      <c r="N1916">
        <v>1204</v>
      </c>
      <c r="O1916" t="s">
        <v>1574</v>
      </c>
      <c r="P1916" t="s">
        <v>3108</v>
      </c>
      <c r="Q1916" t="s">
        <v>3249</v>
      </c>
      <c r="R1916" t="s">
        <v>3249</v>
      </c>
      <c r="S1916" t="s">
        <v>472</v>
      </c>
      <c r="T1916" t="s">
        <v>3251</v>
      </c>
      <c r="U1916">
        <v>140</v>
      </c>
      <c r="V1916" t="s">
        <v>1327</v>
      </c>
      <c r="W1916">
        <v>140</v>
      </c>
      <c r="X1916" t="s">
        <v>1327</v>
      </c>
      <c r="Y1916" t="s">
        <v>3250</v>
      </c>
      <c r="Z1916" t="s">
        <v>3250</v>
      </c>
      <c r="AA1916" t="s">
        <v>3108</v>
      </c>
      <c r="AB1916" t="s">
        <v>3108</v>
      </c>
      <c r="AC1916" t="s">
        <v>3250</v>
      </c>
      <c r="AD1916" t="s">
        <v>3250</v>
      </c>
      <c r="AE1916" t="s">
        <v>3250</v>
      </c>
      <c r="AF1916" t="s">
        <v>3250</v>
      </c>
      <c r="AG1916" t="s">
        <v>3250</v>
      </c>
      <c r="AH1916" t="s">
        <v>3250</v>
      </c>
      <c r="AI1916" t="s">
        <v>3250</v>
      </c>
      <c r="AJ1916" t="s">
        <v>3250</v>
      </c>
      <c r="AL1916">
        <v>145</v>
      </c>
      <c r="AM1916" t="s">
        <v>4</v>
      </c>
      <c r="AN1916">
        <v>145</v>
      </c>
      <c r="AO1916" t="s">
        <v>4</v>
      </c>
      <c r="AS1916" t="s">
        <v>3250</v>
      </c>
      <c r="AT1916" t="s">
        <v>3250</v>
      </c>
      <c r="AU1916" t="s">
        <v>3250</v>
      </c>
      <c r="AV1916" t="s">
        <v>3250</v>
      </c>
      <c r="AW1916" t="s">
        <v>3250</v>
      </c>
      <c r="AX1916" t="s">
        <v>3250</v>
      </c>
      <c r="AY1916" t="s">
        <v>3250</v>
      </c>
      <c r="AZ1916" t="s">
        <v>3250</v>
      </c>
      <c r="BA1916" t="s">
        <v>3250</v>
      </c>
      <c r="BB1916" t="s">
        <v>3250</v>
      </c>
      <c r="BC1916" t="s">
        <v>3250</v>
      </c>
      <c r="BE1916" t="s">
        <v>3250</v>
      </c>
      <c r="BF1916" t="s">
        <v>3250</v>
      </c>
      <c r="BG1916" t="s">
        <v>3250</v>
      </c>
      <c r="BH1916" t="s">
        <v>3250</v>
      </c>
      <c r="BI1916" t="s">
        <v>3250</v>
      </c>
      <c r="BK1916" t="s">
        <v>3250</v>
      </c>
      <c r="BL1916" t="s">
        <v>3250</v>
      </c>
      <c r="BM1916" t="s">
        <v>3250</v>
      </c>
      <c r="BN1916" t="s">
        <v>3250</v>
      </c>
      <c r="BP1916">
        <v>1</v>
      </c>
      <c r="BQ1916">
        <v>11</v>
      </c>
      <c r="BR1916" t="s">
        <v>1574</v>
      </c>
      <c r="BS1916" t="s">
        <v>3252</v>
      </c>
      <c r="BV1916">
        <v>0</v>
      </c>
      <c r="BW1916">
        <v>0</v>
      </c>
      <c r="BX1916">
        <v>0</v>
      </c>
      <c r="BY1916">
        <v>0</v>
      </c>
      <c r="BZ1916">
        <v>0</v>
      </c>
      <c r="CA1916">
        <v>0</v>
      </c>
      <c r="CB1916">
        <v>0</v>
      </c>
      <c r="CC1916">
        <v>0</v>
      </c>
      <c r="CD1916">
        <v>0</v>
      </c>
      <c r="CE1916" t="s">
        <v>3108</v>
      </c>
      <c r="CF1916" t="s">
        <v>3108</v>
      </c>
      <c r="CG1916" t="s">
        <v>3108</v>
      </c>
      <c r="CH1916" t="s">
        <v>3108</v>
      </c>
    </row>
    <row r="1917" spans="1:86" x14ac:dyDescent="0.2">
      <c r="A1917" t="s">
        <v>6021</v>
      </c>
      <c r="B1917" t="s">
        <v>6021</v>
      </c>
      <c r="C1917">
        <v>55040</v>
      </c>
      <c r="D1917">
        <v>2040</v>
      </c>
      <c r="E1917" t="s">
        <v>6022</v>
      </c>
      <c r="F1917" t="s">
        <v>3249</v>
      </c>
      <c r="G1917" t="s">
        <v>3249</v>
      </c>
      <c r="H1917" t="s">
        <v>3250</v>
      </c>
      <c r="I1917" t="s">
        <v>3250</v>
      </c>
      <c r="J1917" t="s">
        <v>3250</v>
      </c>
      <c r="K1917" t="s">
        <v>3250</v>
      </c>
      <c r="L1917">
        <v>1200</v>
      </c>
      <c r="M1917" t="s">
        <v>2368</v>
      </c>
      <c r="N1917">
        <v>1204</v>
      </c>
      <c r="O1917" t="s">
        <v>1574</v>
      </c>
      <c r="P1917" t="s">
        <v>3108</v>
      </c>
      <c r="Q1917" t="s">
        <v>3249</v>
      </c>
      <c r="R1917" t="s">
        <v>3249</v>
      </c>
      <c r="S1917" t="s">
        <v>472</v>
      </c>
      <c r="T1917" t="s">
        <v>3251</v>
      </c>
      <c r="U1917">
        <v>150</v>
      </c>
      <c r="V1917" t="s">
        <v>1328</v>
      </c>
      <c r="W1917">
        <v>150</v>
      </c>
      <c r="X1917" t="s">
        <v>1328</v>
      </c>
      <c r="Y1917" t="s">
        <v>3250</v>
      </c>
      <c r="Z1917" t="s">
        <v>3250</v>
      </c>
      <c r="AA1917" t="s">
        <v>3108</v>
      </c>
      <c r="AB1917" t="s">
        <v>3108</v>
      </c>
      <c r="AC1917" t="s">
        <v>3250</v>
      </c>
      <c r="AD1917" t="s">
        <v>3250</v>
      </c>
      <c r="AE1917" t="s">
        <v>3250</v>
      </c>
      <c r="AF1917" t="s">
        <v>3250</v>
      </c>
      <c r="AG1917" t="s">
        <v>3250</v>
      </c>
      <c r="AH1917" t="s">
        <v>3250</v>
      </c>
      <c r="AI1917" t="s">
        <v>3250</v>
      </c>
      <c r="AJ1917" t="s">
        <v>3250</v>
      </c>
      <c r="AL1917" t="s">
        <v>3250</v>
      </c>
      <c r="AM1917" t="s">
        <v>3250</v>
      </c>
      <c r="AN1917" t="s">
        <v>3250</v>
      </c>
      <c r="AO1917" t="s">
        <v>3250</v>
      </c>
      <c r="AS1917" t="s">
        <v>3250</v>
      </c>
      <c r="AT1917" t="s">
        <v>3250</v>
      </c>
      <c r="AU1917" t="s">
        <v>3250</v>
      </c>
      <c r="AV1917" t="s">
        <v>3250</v>
      </c>
      <c r="AW1917" t="s">
        <v>3250</v>
      </c>
      <c r="AX1917" t="s">
        <v>3250</v>
      </c>
      <c r="AY1917" t="s">
        <v>3250</v>
      </c>
      <c r="AZ1917" t="s">
        <v>3250</v>
      </c>
      <c r="BA1917" t="s">
        <v>3250</v>
      </c>
      <c r="BB1917" t="s">
        <v>3250</v>
      </c>
      <c r="BC1917" t="s">
        <v>3250</v>
      </c>
      <c r="BE1917" t="s">
        <v>3250</v>
      </c>
      <c r="BF1917" t="s">
        <v>3250</v>
      </c>
      <c r="BG1917" t="s">
        <v>3250</v>
      </c>
      <c r="BH1917" t="s">
        <v>3250</v>
      </c>
      <c r="BI1917" t="s">
        <v>3250</v>
      </c>
      <c r="BK1917" t="s">
        <v>3250</v>
      </c>
      <c r="BL1917" t="s">
        <v>3250</v>
      </c>
      <c r="BM1917" t="s">
        <v>3250</v>
      </c>
      <c r="BN1917" t="s">
        <v>3250</v>
      </c>
      <c r="BP1917">
        <v>1</v>
      </c>
      <c r="BQ1917">
        <v>11</v>
      </c>
      <c r="BR1917" t="s">
        <v>1574</v>
      </c>
      <c r="BS1917" t="s">
        <v>3252</v>
      </c>
      <c r="BV1917">
        <v>0</v>
      </c>
      <c r="BW1917">
        <v>0</v>
      </c>
      <c r="BX1917">
        <v>0</v>
      </c>
      <c r="BY1917">
        <v>0</v>
      </c>
      <c r="BZ1917">
        <v>0</v>
      </c>
      <c r="CA1917">
        <v>0</v>
      </c>
      <c r="CB1917">
        <v>0</v>
      </c>
      <c r="CC1917">
        <v>0</v>
      </c>
      <c r="CD1917">
        <v>0</v>
      </c>
      <c r="CE1917" t="s">
        <v>3108</v>
      </c>
      <c r="CF1917" t="s">
        <v>3108</v>
      </c>
      <c r="CG1917" t="s">
        <v>3108</v>
      </c>
      <c r="CH1917" t="s">
        <v>3108</v>
      </c>
    </row>
    <row r="1918" spans="1:86" x14ac:dyDescent="0.2">
      <c r="A1918" t="s">
        <v>6023</v>
      </c>
      <c r="B1918" t="s">
        <v>6023</v>
      </c>
      <c r="C1918">
        <v>55041</v>
      </c>
      <c r="D1918">
        <v>2041</v>
      </c>
      <c r="E1918" t="s">
        <v>6024</v>
      </c>
      <c r="F1918" t="s">
        <v>3249</v>
      </c>
      <c r="G1918" t="s">
        <v>3249</v>
      </c>
      <c r="H1918" t="s">
        <v>3250</v>
      </c>
      <c r="I1918" t="s">
        <v>3250</v>
      </c>
      <c r="J1918" t="s">
        <v>3250</v>
      </c>
      <c r="K1918" t="s">
        <v>3250</v>
      </c>
      <c r="L1918">
        <v>1200</v>
      </c>
      <c r="M1918" t="s">
        <v>2368</v>
      </c>
      <c r="N1918">
        <v>1204</v>
      </c>
      <c r="O1918" t="s">
        <v>1574</v>
      </c>
      <c r="P1918" t="s">
        <v>3108</v>
      </c>
      <c r="Q1918" t="s">
        <v>3249</v>
      </c>
      <c r="R1918" t="s">
        <v>3249</v>
      </c>
      <c r="S1918" t="s">
        <v>472</v>
      </c>
      <c r="T1918" t="s">
        <v>3251</v>
      </c>
      <c r="U1918">
        <v>140</v>
      </c>
      <c r="V1918" t="s">
        <v>1327</v>
      </c>
      <c r="W1918">
        <v>140</v>
      </c>
      <c r="X1918" t="s">
        <v>1327</v>
      </c>
      <c r="Y1918" t="s">
        <v>3250</v>
      </c>
      <c r="Z1918" t="s">
        <v>3250</v>
      </c>
      <c r="AA1918" t="s">
        <v>3108</v>
      </c>
      <c r="AB1918" t="s">
        <v>3108</v>
      </c>
      <c r="AC1918" t="s">
        <v>3250</v>
      </c>
      <c r="AD1918" t="s">
        <v>3250</v>
      </c>
      <c r="AE1918" t="s">
        <v>3250</v>
      </c>
      <c r="AF1918" t="s">
        <v>3250</v>
      </c>
      <c r="AG1918" t="s">
        <v>3250</v>
      </c>
      <c r="AH1918" t="s">
        <v>3250</v>
      </c>
      <c r="AI1918" t="s">
        <v>3250</v>
      </c>
      <c r="AJ1918" t="s">
        <v>3250</v>
      </c>
      <c r="AL1918">
        <v>141</v>
      </c>
      <c r="AM1918" t="s">
        <v>1327</v>
      </c>
      <c r="AN1918">
        <v>141</v>
      </c>
      <c r="AO1918" t="s">
        <v>1327</v>
      </c>
      <c r="AS1918" t="s">
        <v>3250</v>
      </c>
      <c r="AT1918" t="s">
        <v>3250</v>
      </c>
      <c r="AU1918" t="s">
        <v>3250</v>
      </c>
      <c r="AV1918" t="s">
        <v>3250</v>
      </c>
      <c r="AW1918" t="s">
        <v>3250</v>
      </c>
      <c r="AX1918" t="s">
        <v>3250</v>
      </c>
      <c r="AY1918" t="s">
        <v>3250</v>
      </c>
      <c r="AZ1918" t="s">
        <v>3250</v>
      </c>
      <c r="BA1918" t="s">
        <v>3250</v>
      </c>
      <c r="BB1918" t="s">
        <v>3250</v>
      </c>
      <c r="BC1918" t="s">
        <v>3250</v>
      </c>
      <c r="BE1918" t="s">
        <v>3250</v>
      </c>
      <c r="BF1918" t="s">
        <v>3250</v>
      </c>
      <c r="BG1918" t="s">
        <v>3250</v>
      </c>
      <c r="BH1918" t="s">
        <v>3250</v>
      </c>
      <c r="BI1918" t="s">
        <v>3250</v>
      </c>
      <c r="BK1918" t="s">
        <v>3250</v>
      </c>
      <c r="BL1918" t="s">
        <v>3250</v>
      </c>
      <c r="BM1918" t="s">
        <v>3250</v>
      </c>
      <c r="BN1918" t="s">
        <v>3250</v>
      </c>
      <c r="BP1918">
        <v>1</v>
      </c>
      <c r="BQ1918">
        <v>11</v>
      </c>
      <c r="BR1918" t="s">
        <v>1574</v>
      </c>
      <c r="BS1918" t="s">
        <v>3252</v>
      </c>
      <c r="BV1918">
        <v>0</v>
      </c>
      <c r="BW1918">
        <v>0</v>
      </c>
      <c r="BX1918">
        <v>0</v>
      </c>
      <c r="BY1918">
        <v>0</v>
      </c>
      <c r="BZ1918">
        <v>0</v>
      </c>
      <c r="CA1918">
        <v>0</v>
      </c>
      <c r="CB1918">
        <v>0</v>
      </c>
      <c r="CC1918">
        <v>0</v>
      </c>
      <c r="CD1918">
        <v>0</v>
      </c>
      <c r="CE1918" t="s">
        <v>3108</v>
      </c>
      <c r="CF1918" t="s">
        <v>3108</v>
      </c>
      <c r="CG1918" t="s">
        <v>3108</v>
      </c>
      <c r="CH1918" t="s">
        <v>3108</v>
      </c>
    </row>
    <row r="1919" spans="1:86" x14ac:dyDescent="0.2">
      <c r="A1919" t="s">
        <v>6025</v>
      </c>
      <c r="B1919" t="s">
        <v>6025</v>
      </c>
      <c r="C1919">
        <v>55042</v>
      </c>
      <c r="D1919">
        <v>2042</v>
      </c>
      <c r="E1919" t="s">
        <v>6026</v>
      </c>
      <c r="F1919" t="s">
        <v>3249</v>
      </c>
      <c r="G1919" t="s">
        <v>3249</v>
      </c>
      <c r="H1919" t="s">
        <v>3250</v>
      </c>
      <c r="I1919" t="s">
        <v>3250</v>
      </c>
      <c r="J1919" t="s">
        <v>3250</v>
      </c>
      <c r="K1919" t="s">
        <v>3250</v>
      </c>
      <c r="L1919">
        <v>1200</v>
      </c>
      <c r="M1919" t="s">
        <v>2368</v>
      </c>
      <c r="N1919">
        <v>1204</v>
      </c>
      <c r="O1919" t="s">
        <v>1574</v>
      </c>
      <c r="P1919" t="s">
        <v>3108</v>
      </c>
      <c r="Q1919" t="s">
        <v>3249</v>
      </c>
      <c r="R1919" t="s">
        <v>3249</v>
      </c>
      <c r="S1919" t="s">
        <v>472</v>
      </c>
      <c r="T1919" t="s">
        <v>3251</v>
      </c>
      <c r="U1919">
        <v>140</v>
      </c>
      <c r="V1919" t="s">
        <v>1327</v>
      </c>
      <c r="W1919">
        <v>140</v>
      </c>
      <c r="X1919" t="s">
        <v>1327</v>
      </c>
      <c r="Y1919" t="s">
        <v>3250</v>
      </c>
      <c r="Z1919" t="s">
        <v>3250</v>
      </c>
      <c r="AA1919" t="s">
        <v>3108</v>
      </c>
      <c r="AB1919" t="s">
        <v>3108</v>
      </c>
      <c r="AC1919" t="s">
        <v>3250</v>
      </c>
      <c r="AD1919" t="s">
        <v>3250</v>
      </c>
      <c r="AE1919" t="s">
        <v>3250</v>
      </c>
      <c r="AF1919" t="s">
        <v>3250</v>
      </c>
      <c r="AG1919" t="s">
        <v>3250</v>
      </c>
      <c r="AH1919" t="s">
        <v>3250</v>
      </c>
      <c r="AI1919" t="s">
        <v>3250</v>
      </c>
      <c r="AJ1919" t="s">
        <v>3250</v>
      </c>
      <c r="AL1919">
        <v>145</v>
      </c>
      <c r="AM1919" t="s">
        <v>4</v>
      </c>
      <c r="AN1919">
        <v>145</v>
      </c>
      <c r="AO1919" t="s">
        <v>4</v>
      </c>
      <c r="AS1919" t="s">
        <v>3250</v>
      </c>
      <c r="AT1919" t="s">
        <v>3250</v>
      </c>
      <c r="AU1919" t="s">
        <v>3250</v>
      </c>
      <c r="AV1919" t="s">
        <v>3250</v>
      </c>
      <c r="AW1919" t="s">
        <v>3250</v>
      </c>
      <c r="AX1919" t="s">
        <v>3250</v>
      </c>
      <c r="AY1919" t="s">
        <v>3250</v>
      </c>
      <c r="AZ1919" t="s">
        <v>3250</v>
      </c>
      <c r="BA1919" t="s">
        <v>3250</v>
      </c>
      <c r="BB1919" t="s">
        <v>3250</v>
      </c>
      <c r="BC1919" t="s">
        <v>3250</v>
      </c>
      <c r="BE1919" t="s">
        <v>3250</v>
      </c>
      <c r="BF1919" t="s">
        <v>3250</v>
      </c>
      <c r="BG1919" t="s">
        <v>3250</v>
      </c>
      <c r="BH1919" t="s">
        <v>3250</v>
      </c>
      <c r="BI1919" t="s">
        <v>3250</v>
      </c>
      <c r="BK1919" t="s">
        <v>3250</v>
      </c>
      <c r="BL1919" t="s">
        <v>3250</v>
      </c>
      <c r="BM1919" t="s">
        <v>3250</v>
      </c>
      <c r="BN1919" t="s">
        <v>3250</v>
      </c>
      <c r="BP1919">
        <v>1</v>
      </c>
      <c r="BQ1919">
        <v>11</v>
      </c>
      <c r="BR1919" t="s">
        <v>1574</v>
      </c>
      <c r="BS1919" t="s">
        <v>3252</v>
      </c>
      <c r="BV1919">
        <v>0</v>
      </c>
      <c r="BW1919">
        <v>0</v>
      </c>
      <c r="BX1919">
        <v>0</v>
      </c>
      <c r="BY1919">
        <v>0</v>
      </c>
      <c r="BZ1919">
        <v>0</v>
      </c>
      <c r="CA1919">
        <v>0</v>
      </c>
      <c r="CB1919">
        <v>0</v>
      </c>
      <c r="CC1919">
        <v>0</v>
      </c>
      <c r="CD1919">
        <v>0</v>
      </c>
      <c r="CE1919" t="s">
        <v>3108</v>
      </c>
      <c r="CF1919" t="s">
        <v>3108</v>
      </c>
      <c r="CG1919" t="s">
        <v>3108</v>
      </c>
      <c r="CH1919" t="s">
        <v>3108</v>
      </c>
    </row>
    <row r="1920" spans="1:86" x14ac:dyDescent="0.2">
      <c r="A1920" t="s">
        <v>6027</v>
      </c>
      <c r="B1920" t="s">
        <v>6027</v>
      </c>
      <c r="C1920">
        <v>55043</v>
      </c>
      <c r="D1920">
        <v>2043</v>
      </c>
      <c r="E1920" t="s">
        <v>6028</v>
      </c>
      <c r="F1920" t="s">
        <v>3249</v>
      </c>
      <c r="G1920" t="s">
        <v>3249</v>
      </c>
      <c r="H1920" t="s">
        <v>3250</v>
      </c>
      <c r="I1920" t="s">
        <v>3250</v>
      </c>
      <c r="J1920" t="s">
        <v>3250</v>
      </c>
      <c r="K1920" t="s">
        <v>3250</v>
      </c>
      <c r="L1920">
        <v>1200</v>
      </c>
      <c r="M1920" t="s">
        <v>2368</v>
      </c>
      <c r="N1920">
        <v>1204</v>
      </c>
      <c r="O1920" t="s">
        <v>1574</v>
      </c>
      <c r="P1920" t="s">
        <v>3108</v>
      </c>
      <c r="Q1920" t="s">
        <v>3249</v>
      </c>
      <c r="R1920" t="s">
        <v>3249</v>
      </c>
      <c r="S1920" t="s">
        <v>472</v>
      </c>
      <c r="T1920" t="s">
        <v>3251</v>
      </c>
      <c r="U1920">
        <v>140</v>
      </c>
      <c r="V1920" t="s">
        <v>1327</v>
      </c>
      <c r="W1920">
        <v>140</v>
      </c>
      <c r="X1920" t="s">
        <v>1327</v>
      </c>
      <c r="Y1920" t="s">
        <v>3250</v>
      </c>
      <c r="Z1920" t="s">
        <v>3250</v>
      </c>
      <c r="AA1920" t="s">
        <v>3108</v>
      </c>
      <c r="AB1920" t="s">
        <v>3108</v>
      </c>
      <c r="AC1920" t="s">
        <v>3250</v>
      </c>
      <c r="AD1920" t="s">
        <v>3250</v>
      </c>
      <c r="AE1920" t="s">
        <v>3250</v>
      </c>
      <c r="AF1920" t="s">
        <v>3250</v>
      </c>
      <c r="AG1920" t="s">
        <v>3250</v>
      </c>
      <c r="AH1920" t="s">
        <v>3250</v>
      </c>
      <c r="AI1920" t="s">
        <v>3250</v>
      </c>
      <c r="AJ1920" t="s">
        <v>3250</v>
      </c>
      <c r="AL1920">
        <v>141</v>
      </c>
      <c r="AM1920" t="s">
        <v>1327</v>
      </c>
      <c r="AN1920">
        <v>141</v>
      </c>
      <c r="AO1920" t="s">
        <v>1327</v>
      </c>
      <c r="AS1920" t="s">
        <v>3250</v>
      </c>
      <c r="AT1920" t="s">
        <v>3250</v>
      </c>
      <c r="AU1920" t="s">
        <v>3250</v>
      </c>
      <c r="AV1920" t="s">
        <v>3250</v>
      </c>
      <c r="AW1920" t="s">
        <v>3250</v>
      </c>
      <c r="AX1920" t="s">
        <v>3250</v>
      </c>
      <c r="AY1920" t="s">
        <v>3250</v>
      </c>
      <c r="AZ1920" t="s">
        <v>3250</v>
      </c>
      <c r="BA1920" t="s">
        <v>3250</v>
      </c>
      <c r="BB1920" t="s">
        <v>3250</v>
      </c>
      <c r="BC1920" t="s">
        <v>3250</v>
      </c>
      <c r="BE1920" t="s">
        <v>3250</v>
      </c>
      <c r="BF1920" t="s">
        <v>3250</v>
      </c>
      <c r="BG1920" t="s">
        <v>3250</v>
      </c>
      <c r="BH1920" t="s">
        <v>3250</v>
      </c>
      <c r="BI1920" t="s">
        <v>3250</v>
      </c>
      <c r="BK1920" t="s">
        <v>3250</v>
      </c>
      <c r="BL1920" t="s">
        <v>3250</v>
      </c>
      <c r="BM1920" t="s">
        <v>3250</v>
      </c>
      <c r="BN1920" t="s">
        <v>3250</v>
      </c>
      <c r="BP1920">
        <v>1</v>
      </c>
      <c r="BQ1920">
        <v>11</v>
      </c>
      <c r="BR1920" t="s">
        <v>1574</v>
      </c>
      <c r="BS1920" t="s">
        <v>3252</v>
      </c>
      <c r="BV1920">
        <v>0</v>
      </c>
      <c r="BW1920">
        <v>0</v>
      </c>
      <c r="BX1920">
        <v>0</v>
      </c>
      <c r="BY1920">
        <v>0</v>
      </c>
      <c r="BZ1920">
        <v>0</v>
      </c>
      <c r="CA1920">
        <v>0</v>
      </c>
      <c r="CB1920">
        <v>0</v>
      </c>
      <c r="CC1920">
        <v>0</v>
      </c>
      <c r="CD1920">
        <v>0</v>
      </c>
      <c r="CE1920" t="s">
        <v>3108</v>
      </c>
      <c r="CF1920" t="s">
        <v>3108</v>
      </c>
      <c r="CG1920" t="s">
        <v>3108</v>
      </c>
      <c r="CH1920" t="s">
        <v>3108</v>
      </c>
    </row>
    <row r="1921" spans="1:86" x14ac:dyDescent="0.2">
      <c r="A1921" t="s">
        <v>6029</v>
      </c>
      <c r="B1921" t="s">
        <v>6029</v>
      </c>
      <c r="C1921">
        <v>55044</v>
      </c>
      <c r="D1921">
        <v>2044</v>
      </c>
      <c r="E1921" t="s">
        <v>6030</v>
      </c>
      <c r="F1921" t="s">
        <v>3249</v>
      </c>
      <c r="G1921" t="s">
        <v>3249</v>
      </c>
      <c r="H1921" t="s">
        <v>3250</v>
      </c>
      <c r="I1921" t="s">
        <v>3250</v>
      </c>
      <c r="J1921" t="s">
        <v>3250</v>
      </c>
      <c r="K1921" t="s">
        <v>3250</v>
      </c>
      <c r="L1921">
        <v>1200</v>
      </c>
      <c r="M1921" t="s">
        <v>2368</v>
      </c>
      <c r="N1921">
        <v>1204</v>
      </c>
      <c r="O1921" t="s">
        <v>1574</v>
      </c>
      <c r="P1921" t="s">
        <v>3108</v>
      </c>
      <c r="Q1921" t="s">
        <v>3249</v>
      </c>
      <c r="R1921" t="s">
        <v>3249</v>
      </c>
      <c r="S1921" t="s">
        <v>472</v>
      </c>
      <c r="T1921" t="s">
        <v>3251</v>
      </c>
      <c r="U1921">
        <v>140</v>
      </c>
      <c r="V1921" t="s">
        <v>1327</v>
      </c>
      <c r="W1921">
        <v>140</v>
      </c>
      <c r="X1921" t="s">
        <v>1327</v>
      </c>
      <c r="Y1921" t="s">
        <v>3250</v>
      </c>
      <c r="Z1921" t="s">
        <v>3250</v>
      </c>
      <c r="AA1921" t="s">
        <v>3108</v>
      </c>
      <c r="AB1921" t="s">
        <v>3108</v>
      </c>
      <c r="AC1921" t="s">
        <v>3250</v>
      </c>
      <c r="AD1921" t="s">
        <v>3250</v>
      </c>
      <c r="AE1921" t="s">
        <v>3250</v>
      </c>
      <c r="AF1921" t="s">
        <v>3250</v>
      </c>
      <c r="AG1921" t="s">
        <v>3250</v>
      </c>
      <c r="AH1921" t="s">
        <v>3250</v>
      </c>
      <c r="AI1921" t="s">
        <v>3250</v>
      </c>
      <c r="AJ1921" t="s">
        <v>3250</v>
      </c>
      <c r="AL1921">
        <v>145</v>
      </c>
      <c r="AM1921" t="s">
        <v>4</v>
      </c>
      <c r="AN1921">
        <v>145</v>
      </c>
      <c r="AO1921" t="s">
        <v>4</v>
      </c>
      <c r="AS1921" t="s">
        <v>3250</v>
      </c>
      <c r="AT1921" t="s">
        <v>3250</v>
      </c>
      <c r="AU1921" t="s">
        <v>3250</v>
      </c>
      <c r="AV1921" t="s">
        <v>3250</v>
      </c>
      <c r="AW1921" t="s">
        <v>3250</v>
      </c>
      <c r="AX1921" t="s">
        <v>3250</v>
      </c>
      <c r="AY1921" t="s">
        <v>3250</v>
      </c>
      <c r="AZ1921" t="s">
        <v>3250</v>
      </c>
      <c r="BA1921" t="s">
        <v>3250</v>
      </c>
      <c r="BB1921" t="s">
        <v>3250</v>
      </c>
      <c r="BC1921" t="s">
        <v>3250</v>
      </c>
      <c r="BE1921" t="s">
        <v>3250</v>
      </c>
      <c r="BF1921" t="s">
        <v>3250</v>
      </c>
      <c r="BG1921" t="s">
        <v>3250</v>
      </c>
      <c r="BH1921" t="s">
        <v>3250</v>
      </c>
      <c r="BI1921" t="s">
        <v>3250</v>
      </c>
      <c r="BK1921" t="s">
        <v>3250</v>
      </c>
      <c r="BL1921" t="s">
        <v>3250</v>
      </c>
      <c r="BM1921" t="s">
        <v>3250</v>
      </c>
      <c r="BN1921" t="s">
        <v>3250</v>
      </c>
      <c r="BP1921">
        <v>1</v>
      </c>
      <c r="BQ1921">
        <v>11</v>
      </c>
      <c r="BR1921" t="s">
        <v>1574</v>
      </c>
      <c r="BS1921" t="s">
        <v>3252</v>
      </c>
      <c r="BV1921">
        <v>0</v>
      </c>
      <c r="BW1921">
        <v>0</v>
      </c>
      <c r="BX1921">
        <v>0</v>
      </c>
      <c r="BY1921">
        <v>0</v>
      </c>
      <c r="BZ1921">
        <v>0</v>
      </c>
      <c r="CA1921">
        <v>0</v>
      </c>
      <c r="CB1921">
        <v>0</v>
      </c>
      <c r="CC1921">
        <v>0</v>
      </c>
      <c r="CD1921">
        <v>0</v>
      </c>
      <c r="CE1921" t="s">
        <v>3108</v>
      </c>
      <c r="CF1921" t="s">
        <v>3108</v>
      </c>
      <c r="CG1921" t="s">
        <v>3108</v>
      </c>
      <c r="CH1921" t="s">
        <v>3108</v>
      </c>
    </row>
    <row r="1922" spans="1:86" x14ac:dyDescent="0.2">
      <c r="A1922" t="s">
        <v>6031</v>
      </c>
      <c r="B1922" t="s">
        <v>6031</v>
      </c>
      <c r="C1922">
        <v>55045</v>
      </c>
      <c r="D1922">
        <v>2045</v>
      </c>
      <c r="E1922" t="s">
        <v>6032</v>
      </c>
      <c r="F1922" t="s">
        <v>3249</v>
      </c>
      <c r="G1922" t="s">
        <v>3249</v>
      </c>
      <c r="H1922" t="s">
        <v>3250</v>
      </c>
      <c r="I1922" t="s">
        <v>3250</v>
      </c>
      <c r="J1922" t="s">
        <v>3250</v>
      </c>
      <c r="K1922" t="s">
        <v>3250</v>
      </c>
      <c r="L1922">
        <v>1200</v>
      </c>
      <c r="M1922" t="s">
        <v>2368</v>
      </c>
      <c r="N1922">
        <v>1204</v>
      </c>
      <c r="O1922" t="s">
        <v>1574</v>
      </c>
      <c r="P1922" t="s">
        <v>3108</v>
      </c>
      <c r="Q1922" t="s">
        <v>3249</v>
      </c>
      <c r="R1922" t="s">
        <v>3249</v>
      </c>
      <c r="S1922" t="s">
        <v>472</v>
      </c>
      <c r="T1922" t="s">
        <v>3251</v>
      </c>
      <c r="U1922">
        <v>140</v>
      </c>
      <c r="V1922" t="s">
        <v>1327</v>
      </c>
      <c r="W1922">
        <v>140</v>
      </c>
      <c r="X1922" t="s">
        <v>1327</v>
      </c>
      <c r="Y1922" t="s">
        <v>3250</v>
      </c>
      <c r="Z1922" t="s">
        <v>3250</v>
      </c>
      <c r="AA1922" t="s">
        <v>3108</v>
      </c>
      <c r="AB1922" t="s">
        <v>3108</v>
      </c>
      <c r="AC1922" t="s">
        <v>3250</v>
      </c>
      <c r="AD1922" t="s">
        <v>3250</v>
      </c>
      <c r="AE1922" t="s">
        <v>3250</v>
      </c>
      <c r="AF1922" t="s">
        <v>3250</v>
      </c>
      <c r="AG1922" t="s">
        <v>3250</v>
      </c>
      <c r="AH1922" t="s">
        <v>3250</v>
      </c>
      <c r="AI1922" t="s">
        <v>3250</v>
      </c>
      <c r="AJ1922" t="s">
        <v>3250</v>
      </c>
      <c r="AL1922">
        <v>145</v>
      </c>
      <c r="AM1922" t="s">
        <v>4</v>
      </c>
      <c r="AN1922">
        <v>145</v>
      </c>
      <c r="AO1922" t="s">
        <v>4</v>
      </c>
      <c r="AS1922" t="s">
        <v>3250</v>
      </c>
      <c r="AT1922" t="s">
        <v>3250</v>
      </c>
      <c r="AU1922" t="s">
        <v>3250</v>
      </c>
      <c r="AV1922" t="s">
        <v>3250</v>
      </c>
      <c r="AW1922" t="s">
        <v>3250</v>
      </c>
      <c r="AX1922" t="s">
        <v>3250</v>
      </c>
      <c r="AY1922" t="s">
        <v>3250</v>
      </c>
      <c r="AZ1922" t="s">
        <v>3250</v>
      </c>
      <c r="BA1922" t="s">
        <v>3250</v>
      </c>
      <c r="BB1922" t="s">
        <v>3250</v>
      </c>
      <c r="BC1922" t="s">
        <v>3250</v>
      </c>
      <c r="BE1922" t="s">
        <v>3250</v>
      </c>
      <c r="BF1922" t="s">
        <v>3250</v>
      </c>
      <c r="BG1922" t="s">
        <v>3250</v>
      </c>
      <c r="BH1922" t="s">
        <v>3250</v>
      </c>
      <c r="BI1922" t="s">
        <v>3250</v>
      </c>
      <c r="BK1922" t="s">
        <v>3250</v>
      </c>
      <c r="BL1922" t="s">
        <v>3250</v>
      </c>
      <c r="BM1922" t="s">
        <v>3250</v>
      </c>
      <c r="BN1922" t="s">
        <v>3250</v>
      </c>
      <c r="BP1922">
        <v>1</v>
      </c>
      <c r="BQ1922">
        <v>11</v>
      </c>
      <c r="BR1922" t="s">
        <v>1574</v>
      </c>
      <c r="BS1922" t="s">
        <v>3252</v>
      </c>
      <c r="BV1922">
        <v>0</v>
      </c>
      <c r="BW1922">
        <v>0</v>
      </c>
      <c r="BX1922">
        <v>0</v>
      </c>
      <c r="BY1922">
        <v>0</v>
      </c>
      <c r="BZ1922">
        <v>0</v>
      </c>
      <c r="CA1922">
        <v>0</v>
      </c>
      <c r="CB1922">
        <v>0</v>
      </c>
      <c r="CC1922">
        <v>0</v>
      </c>
      <c r="CD1922">
        <v>0</v>
      </c>
      <c r="CE1922" t="s">
        <v>3108</v>
      </c>
      <c r="CF1922" t="s">
        <v>3108</v>
      </c>
      <c r="CG1922" t="s">
        <v>3108</v>
      </c>
      <c r="CH1922" t="s">
        <v>3108</v>
      </c>
    </row>
    <row r="1923" spans="1:86" x14ac:dyDescent="0.2">
      <c r="A1923" t="s">
        <v>6033</v>
      </c>
      <c r="B1923" t="s">
        <v>6033</v>
      </c>
      <c r="C1923">
        <v>55046</v>
      </c>
      <c r="D1923">
        <v>2046</v>
      </c>
      <c r="E1923" t="s">
        <v>6034</v>
      </c>
      <c r="F1923" t="s">
        <v>3249</v>
      </c>
      <c r="G1923" t="s">
        <v>3249</v>
      </c>
      <c r="H1923" t="s">
        <v>3250</v>
      </c>
      <c r="I1923" t="s">
        <v>3250</v>
      </c>
      <c r="J1923" t="s">
        <v>3250</v>
      </c>
      <c r="K1923" t="s">
        <v>3250</v>
      </c>
      <c r="L1923">
        <v>1200</v>
      </c>
      <c r="M1923" t="s">
        <v>2368</v>
      </c>
      <c r="N1923">
        <v>1204</v>
      </c>
      <c r="O1923" t="s">
        <v>1574</v>
      </c>
      <c r="P1923" t="s">
        <v>3108</v>
      </c>
      <c r="Q1923" t="s">
        <v>3249</v>
      </c>
      <c r="R1923" t="s">
        <v>3249</v>
      </c>
      <c r="S1923" t="s">
        <v>472</v>
      </c>
      <c r="T1923" t="s">
        <v>3251</v>
      </c>
      <c r="U1923">
        <v>170</v>
      </c>
      <c r="V1923" t="s">
        <v>1326</v>
      </c>
      <c r="W1923" t="s">
        <v>2986</v>
      </c>
      <c r="X1923" t="s">
        <v>6035</v>
      </c>
      <c r="Y1923" t="s">
        <v>3250</v>
      </c>
      <c r="Z1923" t="s">
        <v>3250</v>
      </c>
      <c r="AA1923" t="s">
        <v>3108</v>
      </c>
      <c r="AB1923" t="s">
        <v>3108</v>
      </c>
      <c r="AC1923" t="s">
        <v>3250</v>
      </c>
      <c r="AD1923" t="s">
        <v>3250</v>
      </c>
      <c r="AE1923" t="s">
        <v>3250</v>
      </c>
      <c r="AF1923" t="s">
        <v>3250</v>
      </c>
      <c r="AG1923" t="s">
        <v>3250</v>
      </c>
      <c r="AH1923" t="s">
        <v>3250</v>
      </c>
      <c r="AI1923" t="s">
        <v>3250</v>
      </c>
      <c r="AJ1923" t="s">
        <v>3250</v>
      </c>
      <c r="AL1923" t="s">
        <v>3250</v>
      </c>
      <c r="AM1923" t="s">
        <v>3250</v>
      </c>
      <c r="AN1923" t="s">
        <v>3250</v>
      </c>
      <c r="AO1923" t="s">
        <v>3250</v>
      </c>
      <c r="AS1923" t="s">
        <v>3250</v>
      </c>
      <c r="AT1923" t="s">
        <v>3250</v>
      </c>
      <c r="AU1923" t="s">
        <v>3250</v>
      </c>
      <c r="AV1923" t="s">
        <v>3250</v>
      </c>
      <c r="AW1923" t="s">
        <v>3250</v>
      </c>
      <c r="AX1923" t="s">
        <v>3250</v>
      </c>
      <c r="AY1923" t="s">
        <v>3250</v>
      </c>
      <c r="AZ1923" t="s">
        <v>3250</v>
      </c>
      <c r="BA1923" t="s">
        <v>3250</v>
      </c>
      <c r="BB1923" t="s">
        <v>3250</v>
      </c>
      <c r="BC1923" t="s">
        <v>3250</v>
      </c>
      <c r="BE1923" t="s">
        <v>3250</v>
      </c>
      <c r="BF1923" t="s">
        <v>3250</v>
      </c>
      <c r="BG1923" t="s">
        <v>3250</v>
      </c>
      <c r="BH1923" t="s">
        <v>3250</v>
      </c>
      <c r="BI1923" t="s">
        <v>3250</v>
      </c>
      <c r="BK1923" t="s">
        <v>3250</v>
      </c>
      <c r="BL1923" t="s">
        <v>3250</v>
      </c>
      <c r="BM1923" t="s">
        <v>3250</v>
      </c>
      <c r="BN1923" t="s">
        <v>3250</v>
      </c>
      <c r="BP1923">
        <v>1</v>
      </c>
      <c r="BQ1923">
        <v>11</v>
      </c>
      <c r="BR1923" t="s">
        <v>1574</v>
      </c>
      <c r="BS1923" t="s">
        <v>3252</v>
      </c>
      <c r="BV1923">
        <v>0</v>
      </c>
      <c r="BW1923">
        <v>0</v>
      </c>
      <c r="BX1923">
        <v>0</v>
      </c>
      <c r="BY1923">
        <v>0</v>
      </c>
      <c r="BZ1923">
        <v>0</v>
      </c>
      <c r="CA1923">
        <v>0</v>
      </c>
      <c r="CB1923">
        <v>0</v>
      </c>
      <c r="CC1923">
        <v>0</v>
      </c>
      <c r="CD1923">
        <v>0</v>
      </c>
      <c r="CE1923" t="s">
        <v>3108</v>
      </c>
      <c r="CF1923" t="s">
        <v>3108</v>
      </c>
      <c r="CG1923" t="s">
        <v>3108</v>
      </c>
      <c r="CH1923" t="s">
        <v>3108</v>
      </c>
    </row>
    <row r="1924" spans="1:86" x14ac:dyDescent="0.2">
      <c r="A1924" t="s">
        <v>6036</v>
      </c>
      <c r="B1924" t="s">
        <v>6036</v>
      </c>
      <c r="C1924">
        <v>55047</v>
      </c>
      <c r="D1924">
        <v>2047</v>
      </c>
      <c r="E1924" t="s">
        <v>6037</v>
      </c>
      <c r="F1924" t="s">
        <v>3249</v>
      </c>
      <c r="G1924" t="s">
        <v>3249</v>
      </c>
      <c r="H1924" t="s">
        <v>3250</v>
      </c>
      <c r="I1924" t="s">
        <v>3250</v>
      </c>
      <c r="J1924" t="s">
        <v>3250</v>
      </c>
      <c r="K1924" t="s">
        <v>3250</v>
      </c>
      <c r="L1924">
        <v>1200</v>
      </c>
      <c r="M1924" t="s">
        <v>2368</v>
      </c>
      <c r="N1924">
        <v>1204</v>
      </c>
      <c r="O1924" t="s">
        <v>1574</v>
      </c>
      <c r="P1924" t="s">
        <v>3108</v>
      </c>
      <c r="Q1924" t="s">
        <v>3249</v>
      </c>
      <c r="R1924" t="s">
        <v>3249</v>
      </c>
      <c r="S1924" t="s">
        <v>472</v>
      </c>
      <c r="T1924" t="s">
        <v>3251</v>
      </c>
      <c r="U1924">
        <v>170</v>
      </c>
      <c r="V1924" t="s">
        <v>1326</v>
      </c>
      <c r="W1924" t="s">
        <v>2987</v>
      </c>
      <c r="X1924" t="s">
        <v>6038</v>
      </c>
      <c r="Y1924" t="s">
        <v>3250</v>
      </c>
      <c r="Z1924" t="s">
        <v>3250</v>
      </c>
      <c r="AA1924" t="s">
        <v>3108</v>
      </c>
      <c r="AB1924" t="s">
        <v>3108</v>
      </c>
      <c r="AC1924" t="s">
        <v>3250</v>
      </c>
      <c r="AD1924" t="s">
        <v>3250</v>
      </c>
      <c r="AE1924" t="s">
        <v>3250</v>
      </c>
      <c r="AF1924" t="s">
        <v>3250</v>
      </c>
      <c r="AG1924" t="s">
        <v>3250</v>
      </c>
      <c r="AH1924" t="s">
        <v>3250</v>
      </c>
      <c r="AI1924" t="s">
        <v>3250</v>
      </c>
      <c r="AJ1924" t="s">
        <v>3250</v>
      </c>
      <c r="AL1924" t="s">
        <v>3250</v>
      </c>
      <c r="AM1924" t="s">
        <v>3250</v>
      </c>
      <c r="AN1924" t="s">
        <v>3250</v>
      </c>
      <c r="AO1924" t="s">
        <v>3250</v>
      </c>
      <c r="AS1924" t="s">
        <v>3250</v>
      </c>
      <c r="AT1924" t="s">
        <v>3250</v>
      </c>
      <c r="AU1924" t="s">
        <v>3250</v>
      </c>
      <c r="AV1924" t="s">
        <v>3250</v>
      </c>
      <c r="AW1924" t="s">
        <v>3250</v>
      </c>
      <c r="AX1924" t="s">
        <v>3250</v>
      </c>
      <c r="AY1924" t="s">
        <v>3250</v>
      </c>
      <c r="AZ1924" t="s">
        <v>3250</v>
      </c>
      <c r="BA1924" t="s">
        <v>3250</v>
      </c>
      <c r="BB1924" t="s">
        <v>3250</v>
      </c>
      <c r="BC1924" t="s">
        <v>3250</v>
      </c>
      <c r="BE1924" t="s">
        <v>3250</v>
      </c>
      <c r="BF1924" t="s">
        <v>3250</v>
      </c>
      <c r="BG1924" t="s">
        <v>3250</v>
      </c>
      <c r="BH1924" t="s">
        <v>3250</v>
      </c>
      <c r="BI1924" t="s">
        <v>3250</v>
      </c>
      <c r="BK1924" t="s">
        <v>3250</v>
      </c>
      <c r="BL1924" t="s">
        <v>3250</v>
      </c>
      <c r="BM1924" t="s">
        <v>3250</v>
      </c>
      <c r="BN1924" t="s">
        <v>3250</v>
      </c>
      <c r="BP1924">
        <v>1</v>
      </c>
      <c r="BQ1924">
        <v>11</v>
      </c>
      <c r="BR1924" t="s">
        <v>1574</v>
      </c>
      <c r="BS1924" t="s">
        <v>3252</v>
      </c>
      <c r="BV1924">
        <v>0</v>
      </c>
      <c r="BW1924">
        <v>0</v>
      </c>
      <c r="BX1924">
        <v>0</v>
      </c>
      <c r="BY1924">
        <v>0</v>
      </c>
      <c r="BZ1924">
        <v>0</v>
      </c>
      <c r="CA1924">
        <v>0</v>
      </c>
      <c r="CB1924">
        <v>0</v>
      </c>
      <c r="CC1924">
        <v>0</v>
      </c>
      <c r="CD1924">
        <v>0</v>
      </c>
      <c r="CE1924" t="s">
        <v>3108</v>
      </c>
      <c r="CF1924" t="s">
        <v>3108</v>
      </c>
      <c r="CG1924" t="s">
        <v>3108</v>
      </c>
      <c r="CH1924" t="s">
        <v>3108</v>
      </c>
    </row>
    <row r="1925" spans="1:86" x14ac:dyDescent="0.2">
      <c r="A1925" t="s">
        <v>6039</v>
      </c>
      <c r="B1925" t="s">
        <v>6039</v>
      </c>
      <c r="C1925">
        <v>55048</v>
      </c>
      <c r="D1925">
        <v>2048</v>
      </c>
      <c r="E1925" t="s">
        <v>6040</v>
      </c>
      <c r="F1925" t="s">
        <v>3249</v>
      </c>
      <c r="G1925" t="s">
        <v>3249</v>
      </c>
      <c r="H1925" t="s">
        <v>3250</v>
      </c>
      <c r="I1925" t="s">
        <v>3250</v>
      </c>
      <c r="J1925" t="s">
        <v>3250</v>
      </c>
      <c r="K1925" t="s">
        <v>3250</v>
      </c>
      <c r="L1925">
        <v>1200</v>
      </c>
      <c r="M1925" t="s">
        <v>2368</v>
      </c>
      <c r="N1925">
        <v>1204</v>
      </c>
      <c r="O1925" t="s">
        <v>1574</v>
      </c>
      <c r="P1925" t="s">
        <v>3108</v>
      </c>
      <c r="Q1925" t="s">
        <v>3249</v>
      </c>
      <c r="R1925" t="s">
        <v>3249</v>
      </c>
      <c r="S1925" t="s">
        <v>472</v>
      </c>
      <c r="T1925" t="s">
        <v>3251</v>
      </c>
      <c r="U1925">
        <v>140</v>
      </c>
      <c r="V1925" t="s">
        <v>1327</v>
      </c>
      <c r="W1925">
        <v>140</v>
      </c>
      <c r="X1925" t="s">
        <v>1327</v>
      </c>
      <c r="Y1925" t="s">
        <v>3250</v>
      </c>
      <c r="Z1925" t="s">
        <v>3250</v>
      </c>
      <c r="AA1925" t="s">
        <v>3108</v>
      </c>
      <c r="AB1925" t="s">
        <v>3108</v>
      </c>
      <c r="AC1925" t="s">
        <v>3250</v>
      </c>
      <c r="AD1925" t="s">
        <v>3250</v>
      </c>
      <c r="AE1925" t="s">
        <v>3250</v>
      </c>
      <c r="AF1925" t="s">
        <v>3250</v>
      </c>
      <c r="AG1925" t="s">
        <v>3250</v>
      </c>
      <c r="AH1925" t="s">
        <v>3250</v>
      </c>
      <c r="AI1925" t="s">
        <v>3250</v>
      </c>
      <c r="AJ1925" t="s">
        <v>3250</v>
      </c>
      <c r="AL1925">
        <v>141</v>
      </c>
      <c r="AM1925" t="s">
        <v>1327</v>
      </c>
      <c r="AN1925">
        <v>141</v>
      </c>
      <c r="AO1925" t="s">
        <v>1327</v>
      </c>
      <c r="AS1925" t="s">
        <v>3250</v>
      </c>
      <c r="AT1925" t="s">
        <v>3250</v>
      </c>
      <c r="AU1925" t="s">
        <v>3250</v>
      </c>
      <c r="AV1925" t="s">
        <v>3250</v>
      </c>
      <c r="AW1925" t="s">
        <v>3250</v>
      </c>
      <c r="AX1925" t="s">
        <v>3250</v>
      </c>
      <c r="AY1925" t="s">
        <v>3250</v>
      </c>
      <c r="AZ1925" t="s">
        <v>3250</v>
      </c>
      <c r="BA1925" t="s">
        <v>3250</v>
      </c>
      <c r="BB1925" t="s">
        <v>3250</v>
      </c>
      <c r="BC1925" t="s">
        <v>3250</v>
      </c>
      <c r="BE1925" t="s">
        <v>3250</v>
      </c>
      <c r="BF1925" t="s">
        <v>3250</v>
      </c>
      <c r="BG1925" t="s">
        <v>3250</v>
      </c>
      <c r="BH1925" t="s">
        <v>3250</v>
      </c>
      <c r="BI1925" t="s">
        <v>3250</v>
      </c>
      <c r="BK1925" t="s">
        <v>3250</v>
      </c>
      <c r="BL1925" t="s">
        <v>3250</v>
      </c>
      <c r="BM1925" t="s">
        <v>3250</v>
      </c>
      <c r="BN1925" t="s">
        <v>3250</v>
      </c>
      <c r="BP1925">
        <v>1</v>
      </c>
      <c r="BQ1925">
        <v>11</v>
      </c>
      <c r="BR1925" t="s">
        <v>1574</v>
      </c>
      <c r="BS1925" t="s">
        <v>3252</v>
      </c>
      <c r="BV1925">
        <v>0</v>
      </c>
      <c r="BW1925">
        <v>0</v>
      </c>
      <c r="BX1925">
        <v>0</v>
      </c>
      <c r="BY1925">
        <v>0</v>
      </c>
      <c r="BZ1925">
        <v>0</v>
      </c>
      <c r="CA1925">
        <v>0</v>
      </c>
      <c r="CB1925">
        <v>0</v>
      </c>
      <c r="CC1925">
        <v>0</v>
      </c>
      <c r="CD1925">
        <v>0</v>
      </c>
      <c r="CE1925" t="s">
        <v>3108</v>
      </c>
      <c r="CF1925" t="s">
        <v>3108</v>
      </c>
      <c r="CG1925" t="s">
        <v>3108</v>
      </c>
      <c r="CH1925" t="s">
        <v>3108</v>
      </c>
    </row>
    <row r="1926" spans="1:86" x14ac:dyDescent="0.2">
      <c r="A1926" t="s">
        <v>6041</v>
      </c>
      <c r="B1926" t="s">
        <v>6041</v>
      </c>
      <c r="C1926">
        <v>55049</v>
      </c>
      <c r="D1926">
        <v>2049</v>
      </c>
      <c r="E1926" t="s">
        <v>6042</v>
      </c>
      <c r="F1926" t="s">
        <v>3249</v>
      </c>
      <c r="G1926" t="s">
        <v>3249</v>
      </c>
      <c r="H1926" t="s">
        <v>3250</v>
      </c>
      <c r="I1926" t="s">
        <v>3250</v>
      </c>
      <c r="J1926" t="s">
        <v>3250</v>
      </c>
      <c r="K1926" t="s">
        <v>3250</v>
      </c>
      <c r="L1926">
        <v>1200</v>
      </c>
      <c r="M1926" t="s">
        <v>2368</v>
      </c>
      <c r="N1926">
        <v>1204</v>
      </c>
      <c r="O1926" t="s">
        <v>1574</v>
      </c>
      <c r="P1926" t="s">
        <v>3108</v>
      </c>
      <c r="Q1926" t="s">
        <v>3249</v>
      </c>
      <c r="R1926" t="s">
        <v>3249</v>
      </c>
      <c r="S1926" t="s">
        <v>472</v>
      </c>
      <c r="T1926" t="s">
        <v>3251</v>
      </c>
      <c r="U1926">
        <v>140</v>
      </c>
      <c r="V1926" t="s">
        <v>1327</v>
      </c>
      <c r="W1926">
        <v>140</v>
      </c>
      <c r="X1926" t="s">
        <v>1327</v>
      </c>
      <c r="Y1926" t="s">
        <v>3250</v>
      </c>
      <c r="Z1926" t="s">
        <v>3250</v>
      </c>
      <c r="AA1926" t="s">
        <v>3108</v>
      </c>
      <c r="AB1926" t="s">
        <v>3108</v>
      </c>
      <c r="AC1926" t="s">
        <v>3250</v>
      </c>
      <c r="AD1926" t="s">
        <v>3250</v>
      </c>
      <c r="AE1926" t="s">
        <v>3250</v>
      </c>
      <c r="AF1926" t="s">
        <v>3250</v>
      </c>
      <c r="AG1926" t="s">
        <v>3250</v>
      </c>
      <c r="AH1926" t="s">
        <v>3250</v>
      </c>
      <c r="AI1926" t="s">
        <v>3250</v>
      </c>
      <c r="AJ1926" t="s">
        <v>3250</v>
      </c>
      <c r="AL1926">
        <v>141</v>
      </c>
      <c r="AM1926" t="s">
        <v>1327</v>
      </c>
      <c r="AN1926">
        <v>141</v>
      </c>
      <c r="AO1926" t="s">
        <v>1327</v>
      </c>
      <c r="AS1926" t="s">
        <v>3250</v>
      </c>
      <c r="AT1926" t="s">
        <v>3250</v>
      </c>
      <c r="AU1926" t="s">
        <v>3250</v>
      </c>
      <c r="AV1926" t="s">
        <v>3250</v>
      </c>
      <c r="AW1926" t="s">
        <v>3250</v>
      </c>
      <c r="AX1926" t="s">
        <v>3250</v>
      </c>
      <c r="AY1926" t="s">
        <v>3250</v>
      </c>
      <c r="AZ1926" t="s">
        <v>3250</v>
      </c>
      <c r="BA1926" t="s">
        <v>3250</v>
      </c>
      <c r="BB1926" t="s">
        <v>3250</v>
      </c>
      <c r="BC1926" t="s">
        <v>3250</v>
      </c>
      <c r="BE1926" t="s">
        <v>3250</v>
      </c>
      <c r="BF1926" t="s">
        <v>3250</v>
      </c>
      <c r="BG1926" t="s">
        <v>3250</v>
      </c>
      <c r="BH1926" t="s">
        <v>3250</v>
      </c>
      <c r="BI1926" t="s">
        <v>3250</v>
      </c>
      <c r="BK1926" t="s">
        <v>3250</v>
      </c>
      <c r="BL1926" t="s">
        <v>3250</v>
      </c>
      <c r="BM1926" t="s">
        <v>3250</v>
      </c>
      <c r="BN1926" t="s">
        <v>3250</v>
      </c>
      <c r="BP1926">
        <v>1</v>
      </c>
      <c r="BQ1926">
        <v>11</v>
      </c>
      <c r="BR1926" t="s">
        <v>1574</v>
      </c>
      <c r="BS1926" t="s">
        <v>3252</v>
      </c>
      <c r="BV1926">
        <v>0</v>
      </c>
      <c r="BW1926">
        <v>0</v>
      </c>
      <c r="BX1926">
        <v>0</v>
      </c>
      <c r="BY1926">
        <v>0</v>
      </c>
      <c r="BZ1926">
        <v>0</v>
      </c>
      <c r="CA1926">
        <v>0</v>
      </c>
      <c r="CB1926">
        <v>0</v>
      </c>
      <c r="CC1926">
        <v>0</v>
      </c>
      <c r="CD1926">
        <v>0</v>
      </c>
      <c r="CE1926" t="s">
        <v>3108</v>
      </c>
      <c r="CF1926" t="s">
        <v>3108</v>
      </c>
      <c r="CG1926" t="s">
        <v>3108</v>
      </c>
      <c r="CH1926" t="s">
        <v>3108</v>
      </c>
    </row>
    <row r="1927" spans="1:86" x14ac:dyDescent="0.2">
      <c r="A1927" t="s">
        <v>6043</v>
      </c>
      <c r="B1927" t="s">
        <v>6043</v>
      </c>
      <c r="C1927">
        <v>55050</v>
      </c>
      <c r="D1927">
        <v>2050</v>
      </c>
      <c r="E1927" t="s">
        <v>6044</v>
      </c>
      <c r="F1927" t="s">
        <v>3249</v>
      </c>
      <c r="G1927" t="s">
        <v>3249</v>
      </c>
      <c r="H1927" t="s">
        <v>3250</v>
      </c>
      <c r="I1927" t="s">
        <v>3250</v>
      </c>
      <c r="J1927" t="s">
        <v>3250</v>
      </c>
      <c r="K1927" t="s">
        <v>3250</v>
      </c>
      <c r="L1927">
        <v>1200</v>
      </c>
      <c r="M1927" t="s">
        <v>2368</v>
      </c>
      <c r="N1927">
        <v>1204</v>
      </c>
      <c r="O1927" t="s">
        <v>1574</v>
      </c>
      <c r="P1927" t="s">
        <v>3108</v>
      </c>
      <c r="Q1927" t="s">
        <v>3249</v>
      </c>
      <c r="R1927" t="s">
        <v>3249</v>
      </c>
      <c r="S1927" t="s">
        <v>472</v>
      </c>
      <c r="T1927" t="s">
        <v>3251</v>
      </c>
      <c r="U1927">
        <v>150</v>
      </c>
      <c r="V1927" t="s">
        <v>1328</v>
      </c>
      <c r="W1927">
        <v>150</v>
      </c>
      <c r="X1927" t="s">
        <v>1328</v>
      </c>
      <c r="Y1927" t="s">
        <v>3250</v>
      </c>
      <c r="Z1927" t="s">
        <v>3250</v>
      </c>
      <c r="AA1927" t="s">
        <v>3108</v>
      </c>
      <c r="AB1927" t="s">
        <v>3108</v>
      </c>
      <c r="AC1927" t="s">
        <v>3250</v>
      </c>
      <c r="AD1927" t="s">
        <v>3250</v>
      </c>
      <c r="AE1927" t="s">
        <v>3250</v>
      </c>
      <c r="AF1927" t="s">
        <v>3250</v>
      </c>
      <c r="AG1927" t="s">
        <v>3250</v>
      </c>
      <c r="AH1927" t="s">
        <v>3250</v>
      </c>
      <c r="AI1927" t="s">
        <v>3250</v>
      </c>
      <c r="AJ1927" t="s">
        <v>3250</v>
      </c>
      <c r="AL1927" t="s">
        <v>3250</v>
      </c>
      <c r="AM1927" t="s">
        <v>3250</v>
      </c>
      <c r="AN1927" t="s">
        <v>3250</v>
      </c>
      <c r="AO1927" t="s">
        <v>3250</v>
      </c>
      <c r="AS1927" t="s">
        <v>3250</v>
      </c>
      <c r="AT1927" t="s">
        <v>3250</v>
      </c>
      <c r="AU1927" t="s">
        <v>3250</v>
      </c>
      <c r="AV1927" t="s">
        <v>3250</v>
      </c>
      <c r="AW1927" t="s">
        <v>3250</v>
      </c>
      <c r="AX1927" t="s">
        <v>3250</v>
      </c>
      <c r="AY1927" t="s">
        <v>3250</v>
      </c>
      <c r="AZ1927" t="s">
        <v>3250</v>
      </c>
      <c r="BA1927" t="s">
        <v>3250</v>
      </c>
      <c r="BB1927" t="s">
        <v>3250</v>
      </c>
      <c r="BC1927" t="s">
        <v>3250</v>
      </c>
      <c r="BE1927" t="s">
        <v>3250</v>
      </c>
      <c r="BF1927" t="s">
        <v>3250</v>
      </c>
      <c r="BG1927" t="s">
        <v>3250</v>
      </c>
      <c r="BH1927" t="s">
        <v>3250</v>
      </c>
      <c r="BI1927" t="s">
        <v>3250</v>
      </c>
      <c r="BK1927" t="s">
        <v>3250</v>
      </c>
      <c r="BL1927" t="s">
        <v>3250</v>
      </c>
      <c r="BM1927" t="s">
        <v>3250</v>
      </c>
      <c r="BN1927" t="s">
        <v>3250</v>
      </c>
      <c r="BP1927">
        <v>1</v>
      </c>
      <c r="BQ1927">
        <v>11</v>
      </c>
      <c r="BR1927" t="s">
        <v>1574</v>
      </c>
      <c r="BS1927" t="s">
        <v>3252</v>
      </c>
      <c r="BV1927">
        <v>0</v>
      </c>
      <c r="BW1927">
        <v>0</v>
      </c>
      <c r="BX1927">
        <v>0</v>
      </c>
      <c r="BY1927">
        <v>0</v>
      </c>
      <c r="BZ1927">
        <v>0</v>
      </c>
      <c r="CA1927">
        <v>0</v>
      </c>
      <c r="CB1927">
        <v>0</v>
      </c>
      <c r="CC1927">
        <v>0</v>
      </c>
      <c r="CD1927">
        <v>0</v>
      </c>
      <c r="CE1927" t="s">
        <v>3108</v>
      </c>
      <c r="CF1927" t="s">
        <v>3108</v>
      </c>
      <c r="CG1927" t="s">
        <v>3108</v>
      </c>
      <c r="CH1927" t="s">
        <v>3108</v>
      </c>
    </row>
    <row r="1928" spans="1:86" x14ac:dyDescent="0.2">
      <c r="A1928" t="s">
        <v>6045</v>
      </c>
      <c r="B1928" t="s">
        <v>6045</v>
      </c>
      <c r="C1928">
        <v>55051</v>
      </c>
      <c r="D1928">
        <v>2051</v>
      </c>
      <c r="E1928" t="s">
        <v>6046</v>
      </c>
      <c r="F1928" t="s">
        <v>3249</v>
      </c>
      <c r="G1928" t="s">
        <v>3249</v>
      </c>
      <c r="H1928" t="s">
        <v>3250</v>
      </c>
      <c r="I1928" t="s">
        <v>3250</v>
      </c>
      <c r="J1928" t="s">
        <v>3250</v>
      </c>
      <c r="K1928" t="s">
        <v>3250</v>
      </c>
      <c r="L1928">
        <v>1200</v>
      </c>
      <c r="M1928" t="s">
        <v>2368</v>
      </c>
      <c r="N1928">
        <v>1204</v>
      </c>
      <c r="O1928" t="s">
        <v>1574</v>
      </c>
      <c r="P1928" t="s">
        <v>3108</v>
      </c>
      <c r="Q1928" t="s">
        <v>3249</v>
      </c>
      <c r="R1928" t="s">
        <v>3249</v>
      </c>
      <c r="S1928" t="s">
        <v>472</v>
      </c>
      <c r="T1928" t="s">
        <v>3251</v>
      </c>
      <c r="U1928">
        <v>140</v>
      </c>
      <c r="V1928" t="s">
        <v>1327</v>
      </c>
      <c r="W1928">
        <v>140</v>
      </c>
      <c r="X1928" t="s">
        <v>1327</v>
      </c>
      <c r="Y1928" t="s">
        <v>3250</v>
      </c>
      <c r="Z1928" t="s">
        <v>3250</v>
      </c>
      <c r="AA1928" t="s">
        <v>3108</v>
      </c>
      <c r="AB1928" t="s">
        <v>3108</v>
      </c>
      <c r="AC1928" t="s">
        <v>3250</v>
      </c>
      <c r="AD1928" t="s">
        <v>3250</v>
      </c>
      <c r="AE1928" t="s">
        <v>3250</v>
      </c>
      <c r="AF1928" t="s">
        <v>3250</v>
      </c>
      <c r="AG1928" t="s">
        <v>3250</v>
      </c>
      <c r="AH1928" t="s">
        <v>3250</v>
      </c>
      <c r="AI1928" t="s">
        <v>3250</v>
      </c>
      <c r="AJ1928" t="s">
        <v>3250</v>
      </c>
      <c r="AL1928">
        <v>141</v>
      </c>
      <c r="AM1928" t="s">
        <v>1327</v>
      </c>
      <c r="AN1928">
        <v>141</v>
      </c>
      <c r="AO1928" t="s">
        <v>1327</v>
      </c>
      <c r="AS1928" t="s">
        <v>3250</v>
      </c>
      <c r="AT1928" t="s">
        <v>3250</v>
      </c>
      <c r="AU1928" t="s">
        <v>3250</v>
      </c>
      <c r="AV1928" t="s">
        <v>3250</v>
      </c>
      <c r="AW1928" t="s">
        <v>3250</v>
      </c>
      <c r="AX1928" t="s">
        <v>3250</v>
      </c>
      <c r="AY1928" t="s">
        <v>3250</v>
      </c>
      <c r="AZ1928" t="s">
        <v>3250</v>
      </c>
      <c r="BA1928" t="s">
        <v>3250</v>
      </c>
      <c r="BB1928" t="s">
        <v>3250</v>
      </c>
      <c r="BC1928" t="s">
        <v>3250</v>
      </c>
      <c r="BE1928" t="s">
        <v>3250</v>
      </c>
      <c r="BF1928" t="s">
        <v>3250</v>
      </c>
      <c r="BG1928" t="s">
        <v>3250</v>
      </c>
      <c r="BH1928" t="s">
        <v>3250</v>
      </c>
      <c r="BI1928" t="s">
        <v>3250</v>
      </c>
      <c r="BK1928" t="s">
        <v>3250</v>
      </c>
      <c r="BL1928" t="s">
        <v>3250</v>
      </c>
      <c r="BM1928" t="s">
        <v>3250</v>
      </c>
      <c r="BN1928" t="s">
        <v>3250</v>
      </c>
      <c r="BP1928">
        <v>1</v>
      </c>
      <c r="BQ1928">
        <v>11</v>
      </c>
      <c r="BR1928" t="s">
        <v>1574</v>
      </c>
      <c r="BS1928" t="s">
        <v>3252</v>
      </c>
      <c r="BV1928">
        <v>0</v>
      </c>
      <c r="BW1928">
        <v>0</v>
      </c>
      <c r="BX1928">
        <v>0</v>
      </c>
      <c r="BY1928">
        <v>0</v>
      </c>
      <c r="BZ1928">
        <v>0</v>
      </c>
      <c r="CA1928">
        <v>0</v>
      </c>
      <c r="CB1928">
        <v>0</v>
      </c>
      <c r="CC1928">
        <v>0</v>
      </c>
      <c r="CD1928">
        <v>0</v>
      </c>
      <c r="CE1928" t="s">
        <v>3108</v>
      </c>
      <c r="CF1928" t="s">
        <v>3108</v>
      </c>
      <c r="CG1928" t="s">
        <v>3108</v>
      </c>
      <c r="CH1928" t="s">
        <v>3108</v>
      </c>
    </row>
    <row r="1929" spans="1:86" x14ac:dyDescent="0.2">
      <c r="A1929" t="s">
        <v>6047</v>
      </c>
      <c r="B1929" t="s">
        <v>6047</v>
      </c>
      <c r="C1929">
        <v>55052</v>
      </c>
      <c r="D1929">
        <v>2052</v>
      </c>
      <c r="E1929" t="s">
        <v>6048</v>
      </c>
      <c r="F1929" t="s">
        <v>3249</v>
      </c>
      <c r="G1929" t="s">
        <v>3249</v>
      </c>
      <c r="H1929" t="s">
        <v>3250</v>
      </c>
      <c r="I1929" t="s">
        <v>3250</v>
      </c>
      <c r="J1929" t="s">
        <v>3250</v>
      </c>
      <c r="K1929" t="s">
        <v>3250</v>
      </c>
      <c r="L1929">
        <v>1200</v>
      </c>
      <c r="M1929" t="s">
        <v>2368</v>
      </c>
      <c r="N1929">
        <v>1204</v>
      </c>
      <c r="O1929" t="s">
        <v>1574</v>
      </c>
      <c r="P1929" t="s">
        <v>3108</v>
      </c>
      <c r="Q1929" t="s">
        <v>3249</v>
      </c>
      <c r="R1929" t="s">
        <v>3249</v>
      </c>
      <c r="S1929" t="s">
        <v>472</v>
      </c>
      <c r="T1929" t="s">
        <v>3251</v>
      </c>
      <c r="U1929">
        <v>140</v>
      </c>
      <c r="V1929" t="s">
        <v>1327</v>
      </c>
      <c r="W1929">
        <v>140</v>
      </c>
      <c r="X1929" t="s">
        <v>1327</v>
      </c>
      <c r="Y1929" t="s">
        <v>3250</v>
      </c>
      <c r="Z1929" t="s">
        <v>3250</v>
      </c>
      <c r="AA1929" t="s">
        <v>3108</v>
      </c>
      <c r="AB1929" t="s">
        <v>3108</v>
      </c>
      <c r="AC1929" t="s">
        <v>3250</v>
      </c>
      <c r="AD1929" t="s">
        <v>3250</v>
      </c>
      <c r="AE1929" t="s">
        <v>3250</v>
      </c>
      <c r="AF1929" t="s">
        <v>3250</v>
      </c>
      <c r="AG1929" t="s">
        <v>3250</v>
      </c>
      <c r="AH1929" t="s">
        <v>3250</v>
      </c>
      <c r="AI1929" t="s">
        <v>3250</v>
      </c>
      <c r="AJ1929" t="s">
        <v>3250</v>
      </c>
      <c r="AL1929">
        <v>145</v>
      </c>
      <c r="AM1929" t="s">
        <v>4</v>
      </c>
      <c r="AN1929">
        <v>145</v>
      </c>
      <c r="AO1929" t="s">
        <v>4</v>
      </c>
      <c r="AS1929" t="s">
        <v>3250</v>
      </c>
      <c r="AT1929" t="s">
        <v>3250</v>
      </c>
      <c r="AU1929" t="s">
        <v>3250</v>
      </c>
      <c r="AV1929" t="s">
        <v>3250</v>
      </c>
      <c r="AW1929" t="s">
        <v>3250</v>
      </c>
      <c r="AX1929" t="s">
        <v>3250</v>
      </c>
      <c r="AY1929" t="s">
        <v>3250</v>
      </c>
      <c r="AZ1929" t="s">
        <v>3250</v>
      </c>
      <c r="BA1929" t="s">
        <v>3250</v>
      </c>
      <c r="BB1929" t="s">
        <v>3250</v>
      </c>
      <c r="BC1929" t="s">
        <v>3250</v>
      </c>
      <c r="BE1929" t="s">
        <v>3250</v>
      </c>
      <c r="BF1929" t="s">
        <v>3250</v>
      </c>
      <c r="BG1929" t="s">
        <v>3250</v>
      </c>
      <c r="BH1929" t="s">
        <v>3250</v>
      </c>
      <c r="BI1929" t="s">
        <v>3250</v>
      </c>
      <c r="BK1929" t="s">
        <v>3250</v>
      </c>
      <c r="BL1929" t="s">
        <v>3250</v>
      </c>
      <c r="BM1929" t="s">
        <v>3250</v>
      </c>
      <c r="BN1929" t="s">
        <v>3250</v>
      </c>
      <c r="BP1929">
        <v>1</v>
      </c>
      <c r="BQ1929">
        <v>11</v>
      </c>
      <c r="BR1929" t="s">
        <v>1574</v>
      </c>
      <c r="BS1929" t="s">
        <v>3252</v>
      </c>
      <c r="BV1929">
        <v>0</v>
      </c>
      <c r="BW1929">
        <v>0</v>
      </c>
      <c r="BX1929">
        <v>0</v>
      </c>
      <c r="BY1929">
        <v>0</v>
      </c>
      <c r="BZ1929">
        <v>0</v>
      </c>
      <c r="CA1929">
        <v>0</v>
      </c>
      <c r="CB1929">
        <v>0</v>
      </c>
      <c r="CC1929">
        <v>0</v>
      </c>
      <c r="CD1929">
        <v>0</v>
      </c>
      <c r="CE1929" t="s">
        <v>3108</v>
      </c>
      <c r="CF1929" t="s">
        <v>3108</v>
      </c>
      <c r="CG1929" t="s">
        <v>3108</v>
      </c>
      <c r="CH1929" t="s">
        <v>3108</v>
      </c>
    </row>
    <row r="1930" spans="1:86" x14ac:dyDescent="0.2">
      <c r="A1930" t="s">
        <v>6049</v>
      </c>
      <c r="B1930" t="s">
        <v>6049</v>
      </c>
      <c r="C1930">
        <v>55053</v>
      </c>
      <c r="D1930">
        <v>2053</v>
      </c>
      <c r="E1930" t="s">
        <v>6050</v>
      </c>
      <c r="F1930" t="s">
        <v>3249</v>
      </c>
      <c r="G1930" t="s">
        <v>3249</v>
      </c>
      <c r="H1930" t="s">
        <v>3250</v>
      </c>
      <c r="I1930" t="s">
        <v>3250</v>
      </c>
      <c r="J1930" t="s">
        <v>3250</v>
      </c>
      <c r="K1930" t="s">
        <v>3250</v>
      </c>
      <c r="L1930">
        <v>1200</v>
      </c>
      <c r="M1930" t="s">
        <v>2368</v>
      </c>
      <c r="N1930">
        <v>1204</v>
      </c>
      <c r="O1930" t="s">
        <v>1574</v>
      </c>
      <c r="P1930" t="s">
        <v>3108</v>
      </c>
      <c r="Q1930" t="s">
        <v>3249</v>
      </c>
      <c r="R1930" t="s">
        <v>3249</v>
      </c>
      <c r="S1930" t="s">
        <v>472</v>
      </c>
      <c r="T1930" t="s">
        <v>3251</v>
      </c>
      <c r="U1930">
        <v>140</v>
      </c>
      <c r="V1930" t="s">
        <v>1327</v>
      </c>
      <c r="W1930">
        <v>140</v>
      </c>
      <c r="X1930" t="s">
        <v>1327</v>
      </c>
      <c r="Y1930" t="s">
        <v>3250</v>
      </c>
      <c r="Z1930" t="s">
        <v>3250</v>
      </c>
      <c r="AA1930" t="s">
        <v>3108</v>
      </c>
      <c r="AB1930" t="s">
        <v>3108</v>
      </c>
      <c r="AC1930" t="s">
        <v>3250</v>
      </c>
      <c r="AD1930" t="s">
        <v>3250</v>
      </c>
      <c r="AE1930" t="s">
        <v>3250</v>
      </c>
      <c r="AF1930" t="s">
        <v>3250</v>
      </c>
      <c r="AG1930" t="s">
        <v>3250</v>
      </c>
      <c r="AH1930" t="s">
        <v>3250</v>
      </c>
      <c r="AI1930" t="s">
        <v>3250</v>
      </c>
      <c r="AJ1930" t="s">
        <v>3250</v>
      </c>
      <c r="AL1930">
        <v>145</v>
      </c>
      <c r="AM1930" t="s">
        <v>4</v>
      </c>
      <c r="AN1930">
        <v>145</v>
      </c>
      <c r="AO1930" t="s">
        <v>4</v>
      </c>
      <c r="AS1930" t="s">
        <v>3250</v>
      </c>
      <c r="AT1930" t="s">
        <v>3250</v>
      </c>
      <c r="AU1930" t="s">
        <v>3250</v>
      </c>
      <c r="AV1930" t="s">
        <v>3250</v>
      </c>
      <c r="AW1930" t="s">
        <v>3250</v>
      </c>
      <c r="AX1930" t="s">
        <v>3250</v>
      </c>
      <c r="AY1930" t="s">
        <v>3250</v>
      </c>
      <c r="AZ1930" t="s">
        <v>3250</v>
      </c>
      <c r="BA1930" t="s">
        <v>3250</v>
      </c>
      <c r="BB1930" t="s">
        <v>3250</v>
      </c>
      <c r="BC1930" t="s">
        <v>3250</v>
      </c>
      <c r="BE1930" t="s">
        <v>3250</v>
      </c>
      <c r="BF1930" t="s">
        <v>3250</v>
      </c>
      <c r="BG1930" t="s">
        <v>3250</v>
      </c>
      <c r="BH1930" t="s">
        <v>3250</v>
      </c>
      <c r="BI1930" t="s">
        <v>3250</v>
      </c>
      <c r="BK1930" t="s">
        <v>3250</v>
      </c>
      <c r="BL1930" t="s">
        <v>3250</v>
      </c>
      <c r="BM1930" t="s">
        <v>3250</v>
      </c>
      <c r="BN1930" t="s">
        <v>3250</v>
      </c>
      <c r="BP1930">
        <v>1</v>
      </c>
      <c r="BQ1930">
        <v>11</v>
      </c>
      <c r="BR1930" t="s">
        <v>1574</v>
      </c>
      <c r="BS1930" t="s">
        <v>3252</v>
      </c>
      <c r="BV1930">
        <v>0</v>
      </c>
      <c r="BW1930">
        <v>0</v>
      </c>
      <c r="BX1930">
        <v>0</v>
      </c>
      <c r="BY1930">
        <v>0</v>
      </c>
      <c r="BZ1930">
        <v>0</v>
      </c>
      <c r="CA1930">
        <v>0</v>
      </c>
      <c r="CB1930">
        <v>0</v>
      </c>
      <c r="CC1930">
        <v>0</v>
      </c>
      <c r="CD1930">
        <v>0</v>
      </c>
      <c r="CE1930" t="s">
        <v>3108</v>
      </c>
      <c r="CF1930" t="s">
        <v>3108</v>
      </c>
      <c r="CG1930" t="s">
        <v>3108</v>
      </c>
      <c r="CH1930" t="s">
        <v>3108</v>
      </c>
    </row>
    <row r="1931" spans="1:86" x14ac:dyDescent="0.2">
      <c r="A1931" t="s">
        <v>6051</v>
      </c>
      <c r="B1931" t="s">
        <v>6051</v>
      </c>
      <c r="C1931">
        <v>55054</v>
      </c>
      <c r="D1931">
        <v>2054</v>
      </c>
      <c r="E1931" t="s">
        <v>6052</v>
      </c>
      <c r="F1931" t="s">
        <v>3249</v>
      </c>
      <c r="G1931" t="s">
        <v>3249</v>
      </c>
      <c r="H1931" t="s">
        <v>3250</v>
      </c>
      <c r="I1931" t="s">
        <v>3250</v>
      </c>
      <c r="J1931" t="s">
        <v>3250</v>
      </c>
      <c r="K1931" t="s">
        <v>3250</v>
      </c>
      <c r="L1931">
        <v>1200</v>
      </c>
      <c r="M1931" t="s">
        <v>2368</v>
      </c>
      <c r="N1931">
        <v>1204</v>
      </c>
      <c r="O1931" t="s">
        <v>1574</v>
      </c>
      <c r="P1931" t="s">
        <v>3108</v>
      </c>
      <c r="Q1931" t="s">
        <v>3249</v>
      </c>
      <c r="R1931" t="s">
        <v>3249</v>
      </c>
      <c r="S1931" t="s">
        <v>472</v>
      </c>
      <c r="T1931" t="s">
        <v>3251</v>
      </c>
      <c r="U1931">
        <v>140</v>
      </c>
      <c r="V1931" t="s">
        <v>1327</v>
      </c>
      <c r="W1931">
        <v>140</v>
      </c>
      <c r="X1931" t="s">
        <v>1327</v>
      </c>
      <c r="Y1931" t="s">
        <v>3250</v>
      </c>
      <c r="Z1931" t="s">
        <v>3250</v>
      </c>
      <c r="AA1931" t="s">
        <v>3108</v>
      </c>
      <c r="AB1931" t="s">
        <v>3108</v>
      </c>
      <c r="AC1931" t="s">
        <v>3250</v>
      </c>
      <c r="AD1931" t="s">
        <v>3250</v>
      </c>
      <c r="AE1931" t="s">
        <v>3250</v>
      </c>
      <c r="AF1931" t="s">
        <v>3250</v>
      </c>
      <c r="AG1931" t="s">
        <v>3250</v>
      </c>
      <c r="AH1931" t="s">
        <v>3250</v>
      </c>
      <c r="AI1931" t="s">
        <v>3250</v>
      </c>
      <c r="AJ1931" t="s">
        <v>3250</v>
      </c>
      <c r="AL1931">
        <v>141</v>
      </c>
      <c r="AM1931" t="s">
        <v>1327</v>
      </c>
      <c r="AN1931">
        <v>141</v>
      </c>
      <c r="AO1931" t="s">
        <v>1327</v>
      </c>
      <c r="AS1931" t="s">
        <v>3250</v>
      </c>
      <c r="AT1931" t="s">
        <v>3250</v>
      </c>
      <c r="AU1931" t="s">
        <v>3250</v>
      </c>
      <c r="AV1931" t="s">
        <v>3250</v>
      </c>
      <c r="AW1931" t="s">
        <v>3250</v>
      </c>
      <c r="AX1931" t="s">
        <v>3250</v>
      </c>
      <c r="AY1931" t="s">
        <v>3250</v>
      </c>
      <c r="AZ1931" t="s">
        <v>3250</v>
      </c>
      <c r="BA1931" t="s">
        <v>3250</v>
      </c>
      <c r="BB1931" t="s">
        <v>3250</v>
      </c>
      <c r="BC1931" t="s">
        <v>3250</v>
      </c>
      <c r="BE1931" t="s">
        <v>3250</v>
      </c>
      <c r="BF1931" t="s">
        <v>3250</v>
      </c>
      <c r="BG1931" t="s">
        <v>3250</v>
      </c>
      <c r="BH1931" t="s">
        <v>3250</v>
      </c>
      <c r="BI1931" t="s">
        <v>3250</v>
      </c>
      <c r="BK1931" t="s">
        <v>3250</v>
      </c>
      <c r="BL1931" t="s">
        <v>3250</v>
      </c>
      <c r="BM1931" t="s">
        <v>3250</v>
      </c>
      <c r="BN1931" t="s">
        <v>3250</v>
      </c>
      <c r="BP1931">
        <v>1</v>
      </c>
      <c r="BQ1931">
        <v>11</v>
      </c>
      <c r="BR1931" t="s">
        <v>1574</v>
      </c>
      <c r="BS1931" t="s">
        <v>3252</v>
      </c>
      <c r="BV1931">
        <v>0</v>
      </c>
      <c r="BW1931">
        <v>0</v>
      </c>
      <c r="BX1931">
        <v>0</v>
      </c>
      <c r="BY1931">
        <v>0</v>
      </c>
      <c r="BZ1931">
        <v>0</v>
      </c>
      <c r="CA1931">
        <v>0</v>
      </c>
      <c r="CB1931">
        <v>0</v>
      </c>
      <c r="CC1931">
        <v>0</v>
      </c>
      <c r="CD1931">
        <v>0</v>
      </c>
      <c r="CE1931" t="s">
        <v>3108</v>
      </c>
      <c r="CF1931" t="s">
        <v>3108</v>
      </c>
      <c r="CG1931" t="s">
        <v>3108</v>
      </c>
      <c r="CH1931" t="s">
        <v>3108</v>
      </c>
    </row>
    <row r="1932" spans="1:86" x14ac:dyDescent="0.2">
      <c r="A1932" t="s">
        <v>6053</v>
      </c>
      <c r="B1932" t="s">
        <v>6053</v>
      </c>
      <c r="C1932">
        <v>55055</v>
      </c>
      <c r="D1932">
        <v>2055</v>
      </c>
      <c r="E1932" t="s">
        <v>6054</v>
      </c>
      <c r="F1932" t="s">
        <v>3249</v>
      </c>
      <c r="G1932" t="s">
        <v>3249</v>
      </c>
      <c r="H1932" t="s">
        <v>3250</v>
      </c>
      <c r="I1932" t="s">
        <v>3250</v>
      </c>
      <c r="J1932" t="s">
        <v>3250</v>
      </c>
      <c r="K1932" t="s">
        <v>3250</v>
      </c>
      <c r="L1932">
        <v>1200</v>
      </c>
      <c r="M1932" t="s">
        <v>2368</v>
      </c>
      <c r="N1932">
        <v>1204</v>
      </c>
      <c r="O1932" t="s">
        <v>1574</v>
      </c>
      <c r="P1932" t="s">
        <v>3108</v>
      </c>
      <c r="Q1932" t="s">
        <v>3249</v>
      </c>
      <c r="R1932" t="s">
        <v>3249</v>
      </c>
      <c r="S1932" t="s">
        <v>472</v>
      </c>
      <c r="T1932" t="s">
        <v>3251</v>
      </c>
      <c r="U1932">
        <v>140</v>
      </c>
      <c r="V1932" t="s">
        <v>1327</v>
      </c>
      <c r="W1932">
        <v>140</v>
      </c>
      <c r="X1932" t="s">
        <v>1327</v>
      </c>
      <c r="Y1932" t="s">
        <v>3250</v>
      </c>
      <c r="Z1932" t="s">
        <v>3250</v>
      </c>
      <c r="AA1932" t="s">
        <v>3108</v>
      </c>
      <c r="AB1932" t="s">
        <v>3108</v>
      </c>
      <c r="AC1932" t="s">
        <v>3250</v>
      </c>
      <c r="AD1932" t="s">
        <v>3250</v>
      </c>
      <c r="AE1932" t="s">
        <v>3250</v>
      </c>
      <c r="AF1932" t="s">
        <v>3250</v>
      </c>
      <c r="AG1932" t="s">
        <v>3250</v>
      </c>
      <c r="AH1932" t="s">
        <v>3250</v>
      </c>
      <c r="AI1932" t="s">
        <v>3250</v>
      </c>
      <c r="AJ1932" t="s">
        <v>3250</v>
      </c>
      <c r="AL1932">
        <v>141</v>
      </c>
      <c r="AM1932" t="s">
        <v>1327</v>
      </c>
      <c r="AN1932">
        <v>141</v>
      </c>
      <c r="AO1932" t="s">
        <v>1327</v>
      </c>
      <c r="AS1932" t="s">
        <v>3250</v>
      </c>
      <c r="AT1932" t="s">
        <v>3250</v>
      </c>
      <c r="AU1932" t="s">
        <v>3250</v>
      </c>
      <c r="AV1932" t="s">
        <v>3250</v>
      </c>
      <c r="AW1932" t="s">
        <v>3250</v>
      </c>
      <c r="AX1932" t="s">
        <v>3250</v>
      </c>
      <c r="AY1932" t="s">
        <v>3250</v>
      </c>
      <c r="AZ1932" t="s">
        <v>3250</v>
      </c>
      <c r="BA1932" t="s">
        <v>3250</v>
      </c>
      <c r="BB1932" t="s">
        <v>3250</v>
      </c>
      <c r="BC1932" t="s">
        <v>3250</v>
      </c>
      <c r="BE1932" t="s">
        <v>3250</v>
      </c>
      <c r="BF1932" t="s">
        <v>3250</v>
      </c>
      <c r="BG1932" t="s">
        <v>3250</v>
      </c>
      <c r="BH1932" t="s">
        <v>3250</v>
      </c>
      <c r="BI1932" t="s">
        <v>3250</v>
      </c>
      <c r="BK1932" t="s">
        <v>3250</v>
      </c>
      <c r="BL1932" t="s">
        <v>3250</v>
      </c>
      <c r="BM1932" t="s">
        <v>3250</v>
      </c>
      <c r="BN1932" t="s">
        <v>3250</v>
      </c>
      <c r="BP1932">
        <v>1</v>
      </c>
      <c r="BQ1932">
        <v>11</v>
      </c>
      <c r="BR1932" t="s">
        <v>1574</v>
      </c>
      <c r="BS1932" t="s">
        <v>3252</v>
      </c>
      <c r="BV1932">
        <v>0</v>
      </c>
      <c r="BW1932">
        <v>0</v>
      </c>
      <c r="BX1932">
        <v>0</v>
      </c>
      <c r="BY1932">
        <v>0</v>
      </c>
      <c r="BZ1932">
        <v>0</v>
      </c>
      <c r="CA1932">
        <v>0</v>
      </c>
      <c r="CB1932">
        <v>0</v>
      </c>
      <c r="CC1932">
        <v>0</v>
      </c>
      <c r="CD1932">
        <v>0</v>
      </c>
      <c r="CE1932" t="s">
        <v>3108</v>
      </c>
      <c r="CF1932" t="s">
        <v>3108</v>
      </c>
      <c r="CG1932" t="s">
        <v>3108</v>
      </c>
      <c r="CH1932" t="s">
        <v>3108</v>
      </c>
    </row>
    <row r="1933" spans="1:86" x14ac:dyDescent="0.2">
      <c r="A1933" t="s">
        <v>6055</v>
      </c>
      <c r="B1933" t="s">
        <v>6055</v>
      </c>
      <c r="C1933">
        <v>55056</v>
      </c>
      <c r="D1933">
        <v>2056</v>
      </c>
      <c r="E1933" t="s">
        <v>6056</v>
      </c>
      <c r="F1933" t="s">
        <v>3249</v>
      </c>
      <c r="G1933" t="s">
        <v>3249</v>
      </c>
      <c r="H1933" t="s">
        <v>3250</v>
      </c>
      <c r="I1933" t="s">
        <v>3250</v>
      </c>
      <c r="J1933" t="s">
        <v>3250</v>
      </c>
      <c r="K1933" t="s">
        <v>3250</v>
      </c>
      <c r="L1933">
        <v>1200</v>
      </c>
      <c r="M1933" t="s">
        <v>2368</v>
      </c>
      <c r="N1933">
        <v>1204</v>
      </c>
      <c r="O1933" t="s">
        <v>1574</v>
      </c>
      <c r="P1933" t="s">
        <v>3108</v>
      </c>
      <c r="Q1933" t="s">
        <v>3249</v>
      </c>
      <c r="R1933" t="s">
        <v>3249</v>
      </c>
      <c r="S1933" t="s">
        <v>472</v>
      </c>
      <c r="T1933" t="s">
        <v>3251</v>
      </c>
      <c r="U1933">
        <v>140</v>
      </c>
      <c r="V1933" t="s">
        <v>1327</v>
      </c>
      <c r="W1933">
        <v>140</v>
      </c>
      <c r="X1933" t="s">
        <v>1327</v>
      </c>
      <c r="Y1933" t="s">
        <v>3250</v>
      </c>
      <c r="Z1933" t="s">
        <v>3250</v>
      </c>
      <c r="AA1933" t="s">
        <v>3108</v>
      </c>
      <c r="AB1933" t="s">
        <v>3108</v>
      </c>
      <c r="AC1933" t="s">
        <v>3250</v>
      </c>
      <c r="AD1933" t="s">
        <v>3250</v>
      </c>
      <c r="AE1933" t="s">
        <v>3250</v>
      </c>
      <c r="AF1933" t="s">
        <v>3250</v>
      </c>
      <c r="AG1933" t="s">
        <v>3250</v>
      </c>
      <c r="AH1933" t="s">
        <v>3250</v>
      </c>
      <c r="AI1933" t="s">
        <v>3250</v>
      </c>
      <c r="AJ1933" t="s">
        <v>3250</v>
      </c>
      <c r="AL1933">
        <v>145</v>
      </c>
      <c r="AM1933" t="s">
        <v>4</v>
      </c>
      <c r="AN1933">
        <v>145</v>
      </c>
      <c r="AO1933" t="s">
        <v>4</v>
      </c>
      <c r="AS1933" t="s">
        <v>3250</v>
      </c>
      <c r="AT1933" t="s">
        <v>3250</v>
      </c>
      <c r="AU1933" t="s">
        <v>3250</v>
      </c>
      <c r="AV1933" t="s">
        <v>3250</v>
      </c>
      <c r="AW1933" t="s">
        <v>3250</v>
      </c>
      <c r="AX1933" t="s">
        <v>3250</v>
      </c>
      <c r="AY1933" t="s">
        <v>3250</v>
      </c>
      <c r="AZ1933" t="s">
        <v>3250</v>
      </c>
      <c r="BA1933" t="s">
        <v>3250</v>
      </c>
      <c r="BB1933" t="s">
        <v>3250</v>
      </c>
      <c r="BC1933" t="s">
        <v>3250</v>
      </c>
      <c r="BE1933" t="s">
        <v>3250</v>
      </c>
      <c r="BF1933" t="s">
        <v>3250</v>
      </c>
      <c r="BG1933" t="s">
        <v>3250</v>
      </c>
      <c r="BH1933" t="s">
        <v>3250</v>
      </c>
      <c r="BI1933" t="s">
        <v>3250</v>
      </c>
      <c r="BK1933" t="s">
        <v>3250</v>
      </c>
      <c r="BL1933" t="s">
        <v>3250</v>
      </c>
      <c r="BM1933" t="s">
        <v>3250</v>
      </c>
      <c r="BN1933" t="s">
        <v>3250</v>
      </c>
      <c r="BP1933">
        <v>1</v>
      </c>
      <c r="BQ1933">
        <v>11</v>
      </c>
      <c r="BR1933" t="s">
        <v>1574</v>
      </c>
      <c r="BS1933" t="s">
        <v>3252</v>
      </c>
      <c r="BV1933">
        <v>0</v>
      </c>
      <c r="BW1933">
        <v>0</v>
      </c>
      <c r="BX1933">
        <v>0</v>
      </c>
      <c r="BY1933">
        <v>0</v>
      </c>
      <c r="BZ1933">
        <v>0</v>
      </c>
      <c r="CA1933">
        <v>0</v>
      </c>
      <c r="CB1933">
        <v>0</v>
      </c>
      <c r="CC1933">
        <v>0</v>
      </c>
      <c r="CD1933">
        <v>0</v>
      </c>
      <c r="CE1933" t="s">
        <v>3108</v>
      </c>
      <c r="CF1933" t="s">
        <v>3108</v>
      </c>
      <c r="CG1933" t="s">
        <v>3108</v>
      </c>
      <c r="CH1933" t="s">
        <v>3108</v>
      </c>
    </row>
    <row r="1934" spans="1:86" x14ac:dyDescent="0.2">
      <c r="A1934" t="s">
        <v>6057</v>
      </c>
      <c r="B1934" t="s">
        <v>6057</v>
      </c>
      <c r="C1934">
        <v>55057</v>
      </c>
      <c r="D1934">
        <v>2057</v>
      </c>
      <c r="E1934" t="s">
        <v>6058</v>
      </c>
      <c r="F1934" t="s">
        <v>3249</v>
      </c>
      <c r="G1934" t="s">
        <v>3249</v>
      </c>
      <c r="H1934" t="s">
        <v>3250</v>
      </c>
      <c r="I1934" t="s">
        <v>3250</v>
      </c>
      <c r="J1934" t="s">
        <v>3250</v>
      </c>
      <c r="K1934" t="s">
        <v>3250</v>
      </c>
      <c r="L1934">
        <v>1200</v>
      </c>
      <c r="M1934" t="s">
        <v>2368</v>
      </c>
      <c r="N1934">
        <v>1204</v>
      </c>
      <c r="O1934" t="s">
        <v>1574</v>
      </c>
      <c r="P1934" t="s">
        <v>3108</v>
      </c>
      <c r="Q1934" t="s">
        <v>3249</v>
      </c>
      <c r="R1934" t="s">
        <v>3249</v>
      </c>
      <c r="S1934" t="s">
        <v>472</v>
      </c>
      <c r="T1934" t="s">
        <v>3251</v>
      </c>
      <c r="U1934">
        <v>140</v>
      </c>
      <c r="V1934" t="s">
        <v>1327</v>
      </c>
      <c r="W1934">
        <v>140</v>
      </c>
      <c r="X1934" t="s">
        <v>1327</v>
      </c>
      <c r="Y1934" t="s">
        <v>3250</v>
      </c>
      <c r="Z1934" t="s">
        <v>3250</v>
      </c>
      <c r="AA1934" t="s">
        <v>3108</v>
      </c>
      <c r="AB1934" t="s">
        <v>3108</v>
      </c>
      <c r="AC1934" t="s">
        <v>3250</v>
      </c>
      <c r="AD1934" t="s">
        <v>3250</v>
      </c>
      <c r="AE1934" t="s">
        <v>3250</v>
      </c>
      <c r="AF1934" t="s">
        <v>3250</v>
      </c>
      <c r="AG1934" t="s">
        <v>3250</v>
      </c>
      <c r="AH1934" t="s">
        <v>3250</v>
      </c>
      <c r="AI1934" t="s">
        <v>3250</v>
      </c>
      <c r="AJ1934" t="s">
        <v>3250</v>
      </c>
      <c r="AL1934">
        <v>141</v>
      </c>
      <c r="AM1934" t="s">
        <v>1327</v>
      </c>
      <c r="AN1934">
        <v>141</v>
      </c>
      <c r="AO1934" t="s">
        <v>1327</v>
      </c>
      <c r="AS1934" t="s">
        <v>3250</v>
      </c>
      <c r="AT1934" t="s">
        <v>3250</v>
      </c>
      <c r="AU1934" t="s">
        <v>3250</v>
      </c>
      <c r="AV1934" t="s">
        <v>3250</v>
      </c>
      <c r="AW1934" t="s">
        <v>3250</v>
      </c>
      <c r="AX1934" t="s">
        <v>3250</v>
      </c>
      <c r="AY1934" t="s">
        <v>3250</v>
      </c>
      <c r="AZ1934" t="s">
        <v>3250</v>
      </c>
      <c r="BA1934" t="s">
        <v>3250</v>
      </c>
      <c r="BB1934" t="s">
        <v>3250</v>
      </c>
      <c r="BC1934" t="s">
        <v>3250</v>
      </c>
      <c r="BE1934" t="s">
        <v>3250</v>
      </c>
      <c r="BF1934" t="s">
        <v>3250</v>
      </c>
      <c r="BG1934" t="s">
        <v>3250</v>
      </c>
      <c r="BH1934" t="s">
        <v>3250</v>
      </c>
      <c r="BI1934" t="s">
        <v>3250</v>
      </c>
      <c r="BK1934" t="s">
        <v>3250</v>
      </c>
      <c r="BL1934" t="s">
        <v>3250</v>
      </c>
      <c r="BM1934" t="s">
        <v>3250</v>
      </c>
      <c r="BN1934" t="s">
        <v>3250</v>
      </c>
      <c r="BP1934">
        <v>1</v>
      </c>
      <c r="BQ1934">
        <v>11</v>
      </c>
      <c r="BR1934" t="s">
        <v>1574</v>
      </c>
      <c r="BS1934" t="s">
        <v>3252</v>
      </c>
      <c r="BV1934">
        <v>0</v>
      </c>
      <c r="BW1934">
        <v>0</v>
      </c>
      <c r="BX1934">
        <v>0</v>
      </c>
      <c r="BY1934">
        <v>0</v>
      </c>
      <c r="BZ1934">
        <v>0</v>
      </c>
      <c r="CA1934">
        <v>0</v>
      </c>
      <c r="CB1934">
        <v>0</v>
      </c>
      <c r="CC1934">
        <v>0</v>
      </c>
      <c r="CD1934">
        <v>0</v>
      </c>
      <c r="CE1934" t="s">
        <v>3108</v>
      </c>
      <c r="CF1934" t="s">
        <v>3108</v>
      </c>
      <c r="CG1934" t="s">
        <v>3108</v>
      </c>
      <c r="CH1934" t="s">
        <v>3108</v>
      </c>
    </row>
    <row r="1935" spans="1:86" x14ac:dyDescent="0.2">
      <c r="A1935" t="s">
        <v>6059</v>
      </c>
      <c r="B1935" t="s">
        <v>6059</v>
      </c>
      <c r="C1935">
        <v>55058</v>
      </c>
      <c r="D1935">
        <v>2058</v>
      </c>
      <c r="E1935" t="s">
        <v>6060</v>
      </c>
      <c r="F1935" t="s">
        <v>3249</v>
      </c>
      <c r="G1935" t="s">
        <v>3249</v>
      </c>
      <c r="H1935" t="s">
        <v>3250</v>
      </c>
      <c r="I1935" t="s">
        <v>3250</v>
      </c>
      <c r="J1935" t="s">
        <v>3250</v>
      </c>
      <c r="K1935" t="s">
        <v>3250</v>
      </c>
      <c r="L1935">
        <v>1200</v>
      </c>
      <c r="M1935" t="s">
        <v>2368</v>
      </c>
      <c r="N1935">
        <v>1204</v>
      </c>
      <c r="O1935" t="s">
        <v>1574</v>
      </c>
      <c r="P1935" t="s">
        <v>3108</v>
      </c>
      <c r="Q1935" t="s">
        <v>3249</v>
      </c>
      <c r="R1935" t="s">
        <v>3249</v>
      </c>
      <c r="S1935" t="s">
        <v>472</v>
      </c>
      <c r="T1935" t="s">
        <v>3251</v>
      </c>
      <c r="U1935">
        <v>140</v>
      </c>
      <c r="V1935" t="s">
        <v>1327</v>
      </c>
      <c r="W1935">
        <v>140</v>
      </c>
      <c r="X1935" t="s">
        <v>1327</v>
      </c>
      <c r="Y1935" t="s">
        <v>3250</v>
      </c>
      <c r="Z1935" t="s">
        <v>3250</v>
      </c>
      <c r="AA1935" t="s">
        <v>3108</v>
      </c>
      <c r="AB1935" t="s">
        <v>3108</v>
      </c>
      <c r="AC1935" t="s">
        <v>3250</v>
      </c>
      <c r="AD1935" t="s">
        <v>3250</v>
      </c>
      <c r="AE1935" t="s">
        <v>3250</v>
      </c>
      <c r="AF1935" t="s">
        <v>3250</v>
      </c>
      <c r="AG1935" t="s">
        <v>3250</v>
      </c>
      <c r="AH1935" t="s">
        <v>3250</v>
      </c>
      <c r="AI1935" t="s">
        <v>3250</v>
      </c>
      <c r="AJ1935" t="s">
        <v>3250</v>
      </c>
      <c r="AL1935">
        <v>145</v>
      </c>
      <c r="AM1935" t="s">
        <v>4</v>
      </c>
      <c r="AN1935">
        <v>145</v>
      </c>
      <c r="AO1935" t="s">
        <v>4</v>
      </c>
      <c r="AS1935" t="s">
        <v>3250</v>
      </c>
      <c r="AT1935" t="s">
        <v>3250</v>
      </c>
      <c r="AU1935" t="s">
        <v>3250</v>
      </c>
      <c r="AV1935" t="s">
        <v>3250</v>
      </c>
      <c r="AW1935" t="s">
        <v>3250</v>
      </c>
      <c r="AX1935" t="s">
        <v>3250</v>
      </c>
      <c r="AY1935" t="s">
        <v>3250</v>
      </c>
      <c r="AZ1935" t="s">
        <v>3250</v>
      </c>
      <c r="BA1935" t="s">
        <v>3250</v>
      </c>
      <c r="BB1935" t="s">
        <v>3250</v>
      </c>
      <c r="BC1935" t="s">
        <v>3250</v>
      </c>
      <c r="BE1935" t="s">
        <v>3250</v>
      </c>
      <c r="BF1935" t="s">
        <v>3250</v>
      </c>
      <c r="BG1935" t="s">
        <v>3250</v>
      </c>
      <c r="BH1935" t="s">
        <v>3250</v>
      </c>
      <c r="BI1935" t="s">
        <v>3250</v>
      </c>
      <c r="BK1935" t="s">
        <v>3250</v>
      </c>
      <c r="BL1935" t="s">
        <v>3250</v>
      </c>
      <c r="BM1935" t="s">
        <v>3250</v>
      </c>
      <c r="BN1935" t="s">
        <v>3250</v>
      </c>
      <c r="BP1935">
        <v>1</v>
      </c>
      <c r="BQ1935">
        <v>11</v>
      </c>
      <c r="BR1935" t="s">
        <v>1574</v>
      </c>
      <c r="BS1935" t="s">
        <v>3252</v>
      </c>
      <c r="BV1935">
        <v>0</v>
      </c>
      <c r="BW1935">
        <v>0</v>
      </c>
      <c r="BX1935">
        <v>0</v>
      </c>
      <c r="BY1935">
        <v>0</v>
      </c>
      <c r="BZ1935">
        <v>0</v>
      </c>
      <c r="CA1935">
        <v>0</v>
      </c>
      <c r="CB1935">
        <v>0</v>
      </c>
      <c r="CC1935">
        <v>0</v>
      </c>
      <c r="CD1935">
        <v>0</v>
      </c>
      <c r="CE1935" t="s">
        <v>3108</v>
      </c>
      <c r="CF1935" t="s">
        <v>3108</v>
      </c>
      <c r="CG1935" t="s">
        <v>3108</v>
      </c>
      <c r="CH1935" t="s">
        <v>3108</v>
      </c>
    </row>
    <row r="1936" spans="1:86" x14ac:dyDescent="0.2">
      <c r="A1936" t="s">
        <v>6061</v>
      </c>
      <c r="B1936" t="s">
        <v>6061</v>
      </c>
      <c r="C1936">
        <v>55059</v>
      </c>
      <c r="D1936">
        <v>2059</v>
      </c>
      <c r="E1936" t="s">
        <v>6062</v>
      </c>
      <c r="F1936" t="s">
        <v>3249</v>
      </c>
      <c r="G1936" t="s">
        <v>3249</v>
      </c>
      <c r="H1936" t="s">
        <v>3250</v>
      </c>
      <c r="I1936" t="s">
        <v>3250</v>
      </c>
      <c r="J1936" t="s">
        <v>3250</v>
      </c>
      <c r="K1936" t="s">
        <v>3250</v>
      </c>
      <c r="L1936">
        <v>1200</v>
      </c>
      <c r="M1936" t="s">
        <v>2368</v>
      </c>
      <c r="N1936">
        <v>1204</v>
      </c>
      <c r="O1936" t="s">
        <v>1574</v>
      </c>
      <c r="P1936" t="s">
        <v>3108</v>
      </c>
      <c r="Q1936" t="s">
        <v>3249</v>
      </c>
      <c r="R1936" t="s">
        <v>3249</v>
      </c>
      <c r="S1936" t="s">
        <v>472</v>
      </c>
      <c r="T1936" t="s">
        <v>3251</v>
      </c>
      <c r="U1936">
        <v>140</v>
      </c>
      <c r="V1936" t="s">
        <v>1327</v>
      </c>
      <c r="W1936">
        <v>140</v>
      </c>
      <c r="X1936" t="s">
        <v>1327</v>
      </c>
      <c r="Y1936" t="s">
        <v>3250</v>
      </c>
      <c r="Z1936" t="s">
        <v>3250</v>
      </c>
      <c r="AA1936" t="s">
        <v>3108</v>
      </c>
      <c r="AB1936" t="s">
        <v>3108</v>
      </c>
      <c r="AC1936" t="s">
        <v>3250</v>
      </c>
      <c r="AD1936" t="s">
        <v>3250</v>
      </c>
      <c r="AE1936" t="s">
        <v>3250</v>
      </c>
      <c r="AF1936" t="s">
        <v>3250</v>
      </c>
      <c r="AG1936" t="s">
        <v>3250</v>
      </c>
      <c r="AH1936" t="s">
        <v>3250</v>
      </c>
      <c r="AI1936" t="s">
        <v>3250</v>
      </c>
      <c r="AJ1936" t="s">
        <v>3250</v>
      </c>
      <c r="AL1936">
        <v>141</v>
      </c>
      <c r="AM1936" t="s">
        <v>1327</v>
      </c>
      <c r="AN1936">
        <v>141</v>
      </c>
      <c r="AO1936" t="s">
        <v>1327</v>
      </c>
      <c r="AS1936" t="s">
        <v>3250</v>
      </c>
      <c r="AT1936" t="s">
        <v>3250</v>
      </c>
      <c r="AU1936" t="s">
        <v>3250</v>
      </c>
      <c r="AV1936" t="s">
        <v>3250</v>
      </c>
      <c r="AW1936" t="s">
        <v>3250</v>
      </c>
      <c r="AX1936" t="s">
        <v>3250</v>
      </c>
      <c r="AY1936" t="s">
        <v>3250</v>
      </c>
      <c r="AZ1936" t="s">
        <v>3250</v>
      </c>
      <c r="BA1936" t="s">
        <v>3250</v>
      </c>
      <c r="BB1936" t="s">
        <v>3250</v>
      </c>
      <c r="BC1936" t="s">
        <v>3250</v>
      </c>
      <c r="BE1936" t="s">
        <v>3250</v>
      </c>
      <c r="BF1936" t="s">
        <v>3250</v>
      </c>
      <c r="BG1936" t="s">
        <v>3250</v>
      </c>
      <c r="BH1936" t="s">
        <v>3250</v>
      </c>
      <c r="BI1936" t="s">
        <v>3250</v>
      </c>
      <c r="BK1936" t="s">
        <v>3250</v>
      </c>
      <c r="BL1936" t="s">
        <v>3250</v>
      </c>
      <c r="BM1936" t="s">
        <v>3250</v>
      </c>
      <c r="BN1936" t="s">
        <v>3250</v>
      </c>
      <c r="BP1936">
        <v>1</v>
      </c>
      <c r="BQ1936">
        <v>11</v>
      </c>
      <c r="BR1936" t="s">
        <v>1574</v>
      </c>
      <c r="BS1936" t="s">
        <v>3252</v>
      </c>
      <c r="BV1936">
        <v>0</v>
      </c>
      <c r="BW1936">
        <v>0</v>
      </c>
      <c r="BX1936">
        <v>0</v>
      </c>
      <c r="BY1936">
        <v>0</v>
      </c>
      <c r="BZ1936">
        <v>0</v>
      </c>
      <c r="CA1936">
        <v>0</v>
      </c>
      <c r="CB1936">
        <v>0</v>
      </c>
      <c r="CC1936">
        <v>0</v>
      </c>
      <c r="CD1936">
        <v>0</v>
      </c>
      <c r="CE1936" t="s">
        <v>3108</v>
      </c>
      <c r="CF1936" t="s">
        <v>3108</v>
      </c>
      <c r="CG1936" t="s">
        <v>3108</v>
      </c>
      <c r="CH1936" t="s">
        <v>3108</v>
      </c>
    </row>
    <row r="1937" spans="1:86" x14ac:dyDescent="0.2">
      <c r="A1937" t="s">
        <v>6063</v>
      </c>
      <c r="B1937" t="s">
        <v>6063</v>
      </c>
      <c r="C1937">
        <v>55060</v>
      </c>
      <c r="D1937">
        <v>2060</v>
      </c>
      <c r="E1937" t="s">
        <v>6064</v>
      </c>
      <c r="F1937" t="s">
        <v>3249</v>
      </c>
      <c r="G1937" t="s">
        <v>3249</v>
      </c>
      <c r="H1937" t="s">
        <v>3250</v>
      </c>
      <c r="I1937" t="s">
        <v>3250</v>
      </c>
      <c r="J1937" t="s">
        <v>3250</v>
      </c>
      <c r="K1937" t="s">
        <v>3250</v>
      </c>
      <c r="L1937">
        <v>1200</v>
      </c>
      <c r="M1937" t="s">
        <v>2368</v>
      </c>
      <c r="N1937">
        <v>1204</v>
      </c>
      <c r="O1937" t="s">
        <v>1574</v>
      </c>
      <c r="P1937" t="s">
        <v>3108</v>
      </c>
      <c r="Q1937" t="s">
        <v>3249</v>
      </c>
      <c r="R1937" t="s">
        <v>3249</v>
      </c>
      <c r="S1937" t="s">
        <v>472</v>
      </c>
      <c r="T1937" t="s">
        <v>3251</v>
      </c>
      <c r="U1937">
        <v>140</v>
      </c>
      <c r="V1937" t="s">
        <v>1327</v>
      </c>
      <c r="W1937">
        <v>140</v>
      </c>
      <c r="X1937" t="s">
        <v>1327</v>
      </c>
      <c r="Y1937" t="s">
        <v>3250</v>
      </c>
      <c r="Z1937" t="s">
        <v>3250</v>
      </c>
      <c r="AA1937" t="s">
        <v>3108</v>
      </c>
      <c r="AB1937" t="s">
        <v>3108</v>
      </c>
      <c r="AC1937" t="s">
        <v>3250</v>
      </c>
      <c r="AD1937" t="s">
        <v>3250</v>
      </c>
      <c r="AE1937" t="s">
        <v>3250</v>
      </c>
      <c r="AF1937" t="s">
        <v>3250</v>
      </c>
      <c r="AG1937" t="s">
        <v>3250</v>
      </c>
      <c r="AH1937" t="s">
        <v>3250</v>
      </c>
      <c r="AI1937" t="s">
        <v>3250</v>
      </c>
      <c r="AJ1937" t="s">
        <v>3250</v>
      </c>
      <c r="AL1937">
        <v>145</v>
      </c>
      <c r="AM1937" t="s">
        <v>4</v>
      </c>
      <c r="AN1937">
        <v>145</v>
      </c>
      <c r="AO1937" t="s">
        <v>4</v>
      </c>
      <c r="AS1937" t="s">
        <v>3250</v>
      </c>
      <c r="AT1937" t="s">
        <v>3250</v>
      </c>
      <c r="AU1937" t="s">
        <v>3250</v>
      </c>
      <c r="AV1937" t="s">
        <v>3250</v>
      </c>
      <c r="AW1937" t="s">
        <v>3250</v>
      </c>
      <c r="AX1937" t="s">
        <v>3250</v>
      </c>
      <c r="AY1937" t="s">
        <v>3250</v>
      </c>
      <c r="AZ1937" t="s">
        <v>3250</v>
      </c>
      <c r="BA1937" t="s">
        <v>3250</v>
      </c>
      <c r="BB1937" t="s">
        <v>3250</v>
      </c>
      <c r="BC1937" t="s">
        <v>3250</v>
      </c>
      <c r="BE1937" t="s">
        <v>3250</v>
      </c>
      <c r="BF1937" t="s">
        <v>3250</v>
      </c>
      <c r="BG1937" t="s">
        <v>3250</v>
      </c>
      <c r="BH1937" t="s">
        <v>3250</v>
      </c>
      <c r="BI1937" t="s">
        <v>3250</v>
      </c>
      <c r="BK1937" t="s">
        <v>3250</v>
      </c>
      <c r="BL1937" t="s">
        <v>3250</v>
      </c>
      <c r="BM1937" t="s">
        <v>3250</v>
      </c>
      <c r="BN1937" t="s">
        <v>3250</v>
      </c>
      <c r="BP1937">
        <v>1</v>
      </c>
      <c r="BQ1937">
        <v>11</v>
      </c>
      <c r="BR1937" t="s">
        <v>1574</v>
      </c>
      <c r="BS1937" t="s">
        <v>3252</v>
      </c>
      <c r="BV1937">
        <v>0</v>
      </c>
      <c r="BW1937">
        <v>0</v>
      </c>
      <c r="BX1937">
        <v>0</v>
      </c>
      <c r="BY1937">
        <v>0</v>
      </c>
      <c r="BZ1937">
        <v>0</v>
      </c>
      <c r="CA1937">
        <v>0</v>
      </c>
      <c r="CB1937">
        <v>0</v>
      </c>
      <c r="CC1937">
        <v>0</v>
      </c>
      <c r="CD1937">
        <v>0</v>
      </c>
      <c r="CE1937" t="s">
        <v>3108</v>
      </c>
      <c r="CF1937" t="s">
        <v>3108</v>
      </c>
      <c r="CG1937" t="s">
        <v>3108</v>
      </c>
      <c r="CH1937" t="s">
        <v>3108</v>
      </c>
    </row>
    <row r="1938" spans="1:86" x14ac:dyDescent="0.2">
      <c r="A1938" t="s">
        <v>6065</v>
      </c>
      <c r="B1938" t="s">
        <v>6065</v>
      </c>
      <c r="C1938">
        <v>55061</v>
      </c>
      <c r="D1938">
        <v>2061</v>
      </c>
      <c r="E1938" t="s">
        <v>6066</v>
      </c>
      <c r="F1938" t="s">
        <v>3249</v>
      </c>
      <c r="G1938" t="s">
        <v>3249</v>
      </c>
      <c r="H1938" t="s">
        <v>3250</v>
      </c>
      <c r="I1938" t="s">
        <v>3250</v>
      </c>
      <c r="J1938" t="s">
        <v>3250</v>
      </c>
      <c r="K1938" t="s">
        <v>3250</v>
      </c>
      <c r="L1938">
        <v>1200</v>
      </c>
      <c r="M1938" t="s">
        <v>2368</v>
      </c>
      <c r="N1938">
        <v>1204</v>
      </c>
      <c r="O1938" t="s">
        <v>1574</v>
      </c>
      <c r="P1938" t="s">
        <v>3108</v>
      </c>
      <c r="Q1938" t="s">
        <v>3249</v>
      </c>
      <c r="R1938" t="s">
        <v>3249</v>
      </c>
      <c r="S1938" t="s">
        <v>472</v>
      </c>
      <c r="T1938" t="s">
        <v>3251</v>
      </c>
      <c r="U1938">
        <v>140</v>
      </c>
      <c r="V1938" t="s">
        <v>1327</v>
      </c>
      <c r="W1938">
        <v>140</v>
      </c>
      <c r="X1938" t="s">
        <v>1327</v>
      </c>
      <c r="Y1938" t="s">
        <v>3250</v>
      </c>
      <c r="Z1938" t="s">
        <v>3250</v>
      </c>
      <c r="AA1938" t="s">
        <v>3108</v>
      </c>
      <c r="AB1938" t="s">
        <v>3108</v>
      </c>
      <c r="AC1938" t="s">
        <v>3250</v>
      </c>
      <c r="AD1938" t="s">
        <v>3250</v>
      </c>
      <c r="AE1938" t="s">
        <v>3250</v>
      </c>
      <c r="AF1938" t="s">
        <v>3250</v>
      </c>
      <c r="AG1938" t="s">
        <v>3250</v>
      </c>
      <c r="AH1938" t="s">
        <v>3250</v>
      </c>
      <c r="AI1938" t="s">
        <v>3250</v>
      </c>
      <c r="AJ1938" t="s">
        <v>3250</v>
      </c>
      <c r="AL1938">
        <v>145</v>
      </c>
      <c r="AM1938" t="s">
        <v>4</v>
      </c>
      <c r="AN1938">
        <v>145</v>
      </c>
      <c r="AO1938" t="s">
        <v>4</v>
      </c>
      <c r="AS1938" t="s">
        <v>3250</v>
      </c>
      <c r="AT1938" t="s">
        <v>3250</v>
      </c>
      <c r="AU1938" t="s">
        <v>3250</v>
      </c>
      <c r="AV1938" t="s">
        <v>3250</v>
      </c>
      <c r="AW1938" t="s">
        <v>3250</v>
      </c>
      <c r="AX1938" t="s">
        <v>3250</v>
      </c>
      <c r="AY1938" t="s">
        <v>3250</v>
      </c>
      <c r="AZ1938" t="s">
        <v>3250</v>
      </c>
      <c r="BA1938" t="s">
        <v>3250</v>
      </c>
      <c r="BB1938" t="s">
        <v>3250</v>
      </c>
      <c r="BC1938" t="s">
        <v>3250</v>
      </c>
      <c r="BE1938" t="s">
        <v>3250</v>
      </c>
      <c r="BF1938" t="s">
        <v>3250</v>
      </c>
      <c r="BG1938" t="s">
        <v>3250</v>
      </c>
      <c r="BH1938" t="s">
        <v>3250</v>
      </c>
      <c r="BI1938" t="s">
        <v>3250</v>
      </c>
      <c r="BK1938" t="s">
        <v>3250</v>
      </c>
      <c r="BL1938" t="s">
        <v>3250</v>
      </c>
      <c r="BM1938" t="s">
        <v>3250</v>
      </c>
      <c r="BN1938" t="s">
        <v>3250</v>
      </c>
      <c r="BP1938">
        <v>1</v>
      </c>
      <c r="BQ1938">
        <v>11</v>
      </c>
      <c r="BR1938" t="s">
        <v>1574</v>
      </c>
      <c r="BS1938" t="s">
        <v>3252</v>
      </c>
      <c r="BV1938">
        <v>0</v>
      </c>
      <c r="BW1938">
        <v>0</v>
      </c>
      <c r="BX1938">
        <v>0</v>
      </c>
      <c r="BY1938">
        <v>0</v>
      </c>
      <c r="BZ1938">
        <v>0</v>
      </c>
      <c r="CA1938">
        <v>0</v>
      </c>
      <c r="CB1938">
        <v>0</v>
      </c>
      <c r="CC1938">
        <v>0</v>
      </c>
      <c r="CD1938">
        <v>0</v>
      </c>
      <c r="CE1938" t="s">
        <v>3108</v>
      </c>
      <c r="CF1938" t="s">
        <v>3108</v>
      </c>
      <c r="CG1938" t="s">
        <v>3108</v>
      </c>
      <c r="CH1938" t="s">
        <v>3108</v>
      </c>
    </row>
    <row r="1939" spans="1:86" x14ac:dyDescent="0.2">
      <c r="A1939" t="s">
        <v>6067</v>
      </c>
      <c r="B1939" t="s">
        <v>6067</v>
      </c>
      <c r="C1939">
        <v>55062</v>
      </c>
      <c r="D1939">
        <v>2062</v>
      </c>
      <c r="E1939" t="s">
        <v>6068</v>
      </c>
      <c r="F1939" t="s">
        <v>3249</v>
      </c>
      <c r="G1939" t="s">
        <v>3249</v>
      </c>
      <c r="H1939" t="s">
        <v>3250</v>
      </c>
      <c r="I1939" t="s">
        <v>3250</v>
      </c>
      <c r="J1939" t="s">
        <v>3250</v>
      </c>
      <c r="K1939" t="s">
        <v>3250</v>
      </c>
      <c r="L1939">
        <v>1200</v>
      </c>
      <c r="M1939" t="s">
        <v>2368</v>
      </c>
      <c r="N1939">
        <v>1204</v>
      </c>
      <c r="O1939" t="s">
        <v>1574</v>
      </c>
      <c r="P1939" t="s">
        <v>3108</v>
      </c>
      <c r="Q1939" t="s">
        <v>3249</v>
      </c>
      <c r="R1939" t="s">
        <v>3249</v>
      </c>
      <c r="S1939" t="s">
        <v>472</v>
      </c>
      <c r="T1939" t="s">
        <v>3251</v>
      </c>
      <c r="U1939">
        <v>140</v>
      </c>
      <c r="V1939" t="s">
        <v>1327</v>
      </c>
      <c r="W1939">
        <v>140</v>
      </c>
      <c r="X1939" t="s">
        <v>1327</v>
      </c>
      <c r="Y1939" t="s">
        <v>3250</v>
      </c>
      <c r="Z1939" t="s">
        <v>3250</v>
      </c>
      <c r="AA1939" t="s">
        <v>3108</v>
      </c>
      <c r="AB1939" t="s">
        <v>3108</v>
      </c>
      <c r="AC1939" t="s">
        <v>3250</v>
      </c>
      <c r="AD1939" t="s">
        <v>3250</v>
      </c>
      <c r="AE1939" t="s">
        <v>3250</v>
      </c>
      <c r="AF1939" t="s">
        <v>3250</v>
      </c>
      <c r="AG1939" t="s">
        <v>3250</v>
      </c>
      <c r="AH1939" t="s">
        <v>3250</v>
      </c>
      <c r="AI1939" t="s">
        <v>3250</v>
      </c>
      <c r="AJ1939" t="s">
        <v>3250</v>
      </c>
      <c r="AL1939">
        <v>141</v>
      </c>
      <c r="AM1939" t="s">
        <v>1327</v>
      </c>
      <c r="AN1939">
        <v>141</v>
      </c>
      <c r="AO1939" t="s">
        <v>1327</v>
      </c>
      <c r="AS1939" t="s">
        <v>3250</v>
      </c>
      <c r="AT1939" t="s">
        <v>3250</v>
      </c>
      <c r="AU1939" t="s">
        <v>3250</v>
      </c>
      <c r="AV1939" t="s">
        <v>3250</v>
      </c>
      <c r="AW1939" t="s">
        <v>3250</v>
      </c>
      <c r="AX1939" t="s">
        <v>3250</v>
      </c>
      <c r="AY1939" t="s">
        <v>3250</v>
      </c>
      <c r="AZ1939" t="s">
        <v>3250</v>
      </c>
      <c r="BA1939" t="s">
        <v>3250</v>
      </c>
      <c r="BB1939" t="s">
        <v>3250</v>
      </c>
      <c r="BC1939" t="s">
        <v>3250</v>
      </c>
      <c r="BE1939" t="s">
        <v>3250</v>
      </c>
      <c r="BF1939" t="s">
        <v>3250</v>
      </c>
      <c r="BG1939" t="s">
        <v>3250</v>
      </c>
      <c r="BH1939" t="s">
        <v>3250</v>
      </c>
      <c r="BI1939" t="s">
        <v>3250</v>
      </c>
      <c r="BK1939" t="s">
        <v>3250</v>
      </c>
      <c r="BL1939" t="s">
        <v>3250</v>
      </c>
      <c r="BM1939" t="s">
        <v>3250</v>
      </c>
      <c r="BN1939" t="s">
        <v>3250</v>
      </c>
      <c r="BP1939">
        <v>1</v>
      </c>
      <c r="BQ1939">
        <v>11</v>
      </c>
      <c r="BR1939" t="s">
        <v>1574</v>
      </c>
      <c r="BS1939" t="s">
        <v>3252</v>
      </c>
      <c r="BV1939">
        <v>0</v>
      </c>
      <c r="BW1939">
        <v>0</v>
      </c>
      <c r="BX1939">
        <v>0</v>
      </c>
      <c r="BY1939">
        <v>0</v>
      </c>
      <c r="BZ1939">
        <v>0</v>
      </c>
      <c r="CA1939">
        <v>0</v>
      </c>
      <c r="CB1939">
        <v>0</v>
      </c>
      <c r="CC1939">
        <v>0</v>
      </c>
      <c r="CD1939">
        <v>0</v>
      </c>
      <c r="CE1939" t="s">
        <v>3108</v>
      </c>
      <c r="CF1939" t="s">
        <v>3108</v>
      </c>
      <c r="CG1939" t="s">
        <v>3108</v>
      </c>
      <c r="CH1939" t="s">
        <v>3108</v>
      </c>
    </row>
    <row r="1940" spans="1:86" x14ac:dyDescent="0.2">
      <c r="A1940" t="s">
        <v>6069</v>
      </c>
      <c r="B1940" t="s">
        <v>6069</v>
      </c>
      <c r="C1940">
        <v>55063</v>
      </c>
      <c r="D1940">
        <v>2063</v>
      </c>
      <c r="E1940" t="s">
        <v>6070</v>
      </c>
      <c r="F1940" t="s">
        <v>3249</v>
      </c>
      <c r="G1940" t="s">
        <v>3249</v>
      </c>
      <c r="H1940" t="s">
        <v>3250</v>
      </c>
      <c r="I1940" t="s">
        <v>3250</v>
      </c>
      <c r="J1940" t="s">
        <v>3250</v>
      </c>
      <c r="K1940" t="s">
        <v>3250</v>
      </c>
      <c r="L1940">
        <v>1200</v>
      </c>
      <c r="M1940" t="s">
        <v>2368</v>
      </c>
      <c r="N1940">
        <v>1204</v>
      </c>
      <c r="O1940" t="s">
        <v>1574</v>
      </c>
      <c r="P1940" t="s">
        <v>3108</v>
      </c>
      <c r="Q1940" t="s">
        <v>3249</v>
      </c>
      <c r="R1940" t="s">
        <v>3249</v>
      </c>
      <c r="S1940" t="s">
        <v>472</v>
      </c>
      <c r="T1940" t="s">
        <v>3251</v>
      </c>
      <c r="U1940">
        <v>140</v>
      </c>
      <c r="V1940" t="s">
        <v>1327</v>
      </c>
      <c r="W1940">
        <v>140</v>
      </c>
      <c r="X1940" t="s">
        <v>1327</v>
      </c>
      <c r="Y1940" t="s">
        <v>3250</v>
      </c>
      <c r="Z1940" t="s">
        <v>3250</v>
      </c>
      <c r="AA1940" t="s">
        <v>3108</v>
      </c>
      <c r="AB1940" t="s">
        <v>3108</v>
      </c>
      <c r="AC1940" t="s">
        <v>3250</v>
      </c>
      <c r="AD1940" t="s">
        <v>3250</v>
      </c>
      <c r="AE1940" t="s">
        <v>3250</v>
      </c>
      <c r="AF1940" t="s">
        <v>3250</v>
      </c>
      <c r="AG1940" t="s">
        <v>3250</v>
      </c>
      <c r="AH1940" t="s">
        <v>3250</v>
      </c>
      <c r="AI1940" t="s">
        <v>3250</v>
      </c>
      <c r="AJ1940" t="s">
        <v>3250</v>
      </c>
      <c r="AL1940">
        <v>141</v>
      </c>
      <c r="AM1940" t="s">
        <v>1327</v>
      </c>
      <c r="AN1940">
        <v>141</v>
      </c>
      <c r="AO1940" t="s">
        <v>1327</v>
      </c>
      <c r="AS1940" t="s">
        <v>3250</v>
      </c>
      <c r="AT1940" t="s">
        <v>3250</v>
      </c>
      <c r="AU1940" t="s">
        <v>3250</v>
      </c>
      <c r="AV1940" t="s">
        <v>3250</v>
      </c>
      <c r="AW1940" t="s">
        <v>3250</v>
      </c>
      <c r="AX1940" t="s">
        <v>3250</v>
      </c>
      <c r="AY1940" t="s">
        <v>3250</v>
      </c>
      <c r="AZ1940" t="s">
        <v>3250</v>
      </c>
      <c r="BA1940" t="s">
        <v>3250</v>
      </c>
      <c r="BB1940" t="s">
        <v>3250</v>
      </c>
      <c r="BC1940" t="s">
        <v>3250</v>
      </c>
      <c r="BE1940" t="s">
        <v>3250</v>
      </c>
      <c r="BF1940" t="s">
        <v>3250</v>
      </c>
      <c r="BG1940" t="s">
        <v>3250</v>
      </c>
      <c r="BH1940" t="s">
        <v>3250</v>
      </c>
      <c r="BI1940" t="s">
        <v>3250</v>
      </c>
      <c r="BK1940" t="s">
        <v>3250</v>
      </c>
      <c r="BL1940" t="s">
        <v>3250</v>
      </c>
      <c r="BM1940" t="s">
        <v>3250</v>
      </c>
      <c r="BN1940" t="s">
        <v>3250</v>
      </c>
      <c r="BP1940">
        <v>1</v>
      </c>
      <c r="BQ1940">
        <v>11</v>
      </c>
      <c r="BR1940" t="s">
        <v>1574</v>
      </c>
      <c r="BS1940" t="s">
        <v>3252</v>
      </c>
      <c r="BV1940">
        <v>0</v>
      </c>
      <c r="BW1940">
        <v>0</v>
      </c>
      <c r="BX1940">
        <v>0</v>
      </c>
      <c r="BY1940">
        <v>0</v>
      </c>
      <c r="BZ1940">
        <v>0</v>
      </c>
      <c r="CA1940">
        <v>0</v>
      </c>
      <c r="CB1940">
        <v>0</v>
      </c>
      <c r="CC1940">
        <v>0</v>
      </c>
      <c r="CD1940">
        <v>0</v>
      </c>
      <c r="CE1940" t="s">
        <v>3108</v>
      </c>
      <c r="CF1940" t="s">
        <v>3108</v>
      </c>
      <c r="CG1940" t="s">
        <v>3108</v>
      </c>
      <c r="CH1940" t="s">
        <v>3108</v>
      </c>
    </row>
    <row r="1941" spans="1:86" x14ac:dyDescent="0.2">
      <c r="A1941" t="s">
        <v>6071</v>
      </c>
      <c r="B1941" t="s">
        <v>6071</v>
      </c>
      <c r="C1941">
        <v>55064</v>
      </c>
      <c r="D1941">
        <v>2064</v>
      </c>
      <c r="E1941" t="s">
        <v>6072</v>
      </c>
      <c r="F1941" t="s">
        <v>3249</v>
      </c>
      <c r="G1941" t="s">
        <v>3249</v>
      </c>
      <c r="H1941" t="s">
        <v>3250</v>
      </c>
      <c r="I1941" t="s">
        <v>3250</v>
      </c>
      <c r="J1941" t="s">
        <v>3250</v>
      </c>
      <c r="K1941" t="s">
        <v>3250</v>
      </c>
      <c r="L1941">
        <v>1200</v>
      </c>
      <c r="M1941" t="s">
        <v>2368</v>
      </c>
      <c r="N1941">
        <v>1204</v>
      </c>
      <c r="O1941" t="s">
        <v>1574</v>
      </c>
      <c r="P1941" t="s">
        <v>3108</v>
      </c>
      <c r="Q1941" t="s">
        <v>3249</v>
      </c>
      <c r="R1941" t="s">
        <v>3249</v>
      </c>
      <c r="S1941" t="s">
        <v>472</v>
      </c>
      <c r="T1941" t="s">
        <v>3251</v>
      </c>
      <c r="U1941">
        <v>140</v>
      </c>
      <c r="V1941" t="s">
        <v>1327</v>
      </c>
      <c r="W1941">
        <v>140</v>
      </c>
      <c r="X1941" t="s">
        <v>1327</v>
      </c>
      <c r="Y1941" t="s">
        <v>3250</v>
      </c>
      <c r="Z1941" t="s">
        <v>3250</v>
      </c>
      <c r="AA1941" t="s">
        <v>3108</v>
      </c>
      <c r="AB1941" t="s">
        <v>3108</v>
      </c>
      <c r="AC1941" t="s">
        <v>3250</v>
      </c>
      <c r="AD1941" t="s">
        <v>3250</v>
      </c>
      <c r="AE1941" t="s">
        <v>3250</v>
      </c>
      <c r="AF1941" t="s">
        <v>3250</v>
      </c>
      <c r="AG1941" t="s">
        <v>3250</v>
      </c>
      <c r="AH1941" t="s">
        <v>3250</v>
      </c>
      <c r="AI1941" t="s">
        <v>3250</v>
      </c>
      <c r="AJ1941" t="s">
        <v>3250</v>
      </c>
      <c r="AL1941">
        <v>145</v>
      </c>
      <c r="AM1941" t="s">
        <v>4</v>
      </c>
      <c r="AN1941">
        <v>145</v>
      </c>
      <c r="AO1941" t="s">
        <v>4</v>
      </c>
      <c r="AS1941" t="s">
        <v>3250</v>
      </c>
      <c r="AT1941" t="s">
        <v>3250</v>
      </c>
      <c r="AU1941" t="s">
        <v>3250</v>
      </c>
      <c r="AV1941" t="s">
        <v>3250</v>
      </c>
      <c r="AW1941" t="s">
        <v>3250</v>
      </c>
      <c r="AX1941" t="s">
        <v>3250</v>
      </c>
      <c r="AY1941" t="s">
        <v>3250</v>
      </c>
      <c r="AZ1941" t="s">
        <v>3250</v>
      </c>
      <c r="BA1941" t="s">
        <v>3250</v>
      </c>
      <c r="BB1941" t="s">
        <v>3250</v>
      </c>
      <c r="BC1941" t="s">
        <v>3250</v>
      </c>
      <c r="BE1941" t="s">
        <v>3250</v>
      </c>
      <c r="BF1941" t="s">
        <v>3250</v>
      </c>
      <c r="BG1941" t="s">
        <v>3250</v>
      </c>
      <c r="BH1941" t="s">
        <v>3250</v>
      </c>
      <c r="BI1941" t="s">
        <v>3250</v>
      </c>
      <c r="BK1941" t="s">
        <v>3250</v>
      </c>
      <c r="BL1941" t="s">
        <v>3250</v>
      </c>
      <c r="BM1941" t="s">
        <v>3250</v>
      </c>
      <c r="BN1941" t="s">
        <v>3250</v>
      </c>
      <c r="BP1941">
        <v>1</v>
      </c>
      <c r="BQ1941">
        <v>11</v>
      </c>
      <c r="BR1941" t="s">
        <v>1574</v>
      </c>
      <c r="BS1941" t="s">
        <v>3252</v>
      </c>
      <c r="BV1941">
        <v>0</v>
      </c>
      <c r="BW1941">
        <v>0</v>
      </c>
      <c r="BX1941">
        <v>0</v>
      </c>
      <c r="BY1941">
        <v>0</v>
      </c>
      <c r="BZ1941">
        <v>0</v>
      </c>
      <c r="CA1941">
        <v>0</v>
      </c>
      <c r="CB1941">
        <v>0</v>
      </c>
      <c r="CC1941">
        <v>0</v>
      </c>
      <c r="CD1941">
        <v>0</v>
      </c>
      <c r="CE1941" t="s">
        <v>3108</v>
      </c>
      <c r="CF1941" t="s">
        <v>3108</v>
      </c>
      <c r="CG1941" t="s">
        <v>3108</v>
      </c>
      <c r="CH1941" t="s">
        <v>3108</v>
      </c>
    </row>
    <row r="1942" spans="1:86" x14ac:dyDescent="0.2">
      <c r="A1942" t="s">
        <v>6073</v>
      </c>
      <c r="B1942" t="s">
        <v>6073</v>
      </c>
      <c r="C1942">
        <v>55065</v>
      </c>
      <c r="D1942">
        <v>2065</v>
      </c>
      <c r="E1942" t="s">
        <v>6074</v>
      </c>
      <c r="F1942" t="s">
        <v>3249</v>
      </c>
      <c r="G1942" t="s">
        <v>3249</v>
      </c>
      <c r="H1942" t="s">
        <v>3250</v>
      </c>
      <c r="I1942" t="s">
        <v>3250</v>
      </c>
      <c r="J1942" t="s">
        <v>3250</v>
      </c>
      <c r="K1942" t="s">
        <v>3250</v>
      </c>
      <c r="L1942">
        <v>1200</v>
      </c>
      <c r="M1942" t="s">
        <v>2368</v>
      </c>
      <c r="N1942">
        <v>1204</v>
      </c>
      <c r="O1942" t="s">
        <v>1574</v>
      </c>
      <c r="P1942" t="s">
        <v>3108</v>
      </c>
      <c r="Q1942" t="s">
        <v>3249</v>
      </c>
      <c r="R1942" t="s">
        <v>3249</v>
      </c>
      <c r="S1942" t="s">
        <v>472</v>
      </c>
      <c r="T1942" t="s">
        <v>3251</v>
      </c>
      <c r="U1942">
        <v>140</v>
      </c>
      <c r="V1942" t="s">
        <v>1327</v>
      </c>
      <c r="W1942">
        <v>140</v>
      </c>
      <c r="X1942" t="s">
        <v>1327</v>
      </c>
      <c r="Y1942" t="s">
        <v>3250</v>
      </c>
      <c r="Z1942" t="s">
        <v>3250</v>
      </c>
      <c r="AA1942" t="s">
        <v>3108</v>
      </c>
      <c r="AB1942" t="s">
        <v>3108</v>
      </c>
      <c r="AC1942" t="s">
        <v>3250</v>
      </c>
      <c r="AD1942" t="s">
        <v>3250</v>
      </c>
      <c r="AE1942" t="s">
        <v>3250</v>
      </c>
      <c r="AF1942" t="s">
        <v>3250</v>
      </c>
      <c r="AG1942" t="s">
        <v>3250</v>
      </c>
      <c r="AH1942" t="s">
        <v>3250</v>
      </c>
      <c r="AI1942" t="s">
        <v>3250</v>
      </c>
      <c r="AJ1942" t="s">
        <v>3250</v>
      </c>
      <c r="AL1942">
        <v>141</v>
      </c>
      <c r="AM1942" t="s">
        <v>1327</v>
      </c>
      <c r="AN1942">
        <v>141</v>
      </c>
      <c r="AO1942" t="s">
        <v>1327</v>
      </c>
      <c r="AS1942" t="s">
        <v>3250</v>
      </c>
      <c r="AT1942" t="s">
        <v>3250</v>
      </c>
      <c r="AU1942" t="s">
        <v>3250</v>
      </c>
      <c r="AV1942" t="s">
        <v>3250</v>
      </c>
      <c r="AW1942" t="s">
        <v>3250</v>
      </c>
      <c r="AX1942" t="s">
        <v>3250</v>
      </c>
      <c r="AY1942" t="s">
        <v>3250</v>
      </c>
      <c r="AZ1942" t="s">
        <v>3250</v>
      </c>
      <c r="BA1942" t="s">
        <v>3250</v>
      </c>
      <c r="BB1942" t="s">
        <v>3250</v>
      </c>
      <c r="BC1942" t="s">
        <v>3250</v>
      </c>
      <c r="BE1942" t="s">
        <v>3250</v>
      </c>
      <c r="BF1942" t="s">
        <v>3250</v>
      </c>
      <c r="BG1942" t="s">
        <v>3250</v>
      </c>
      <c r="BH1942" t="s">
        <v>3250</v>
      </c>
      <c r="BI1942" t="s">
        <v>3250</v>
      </c>
      <c r="BK1942" t="s">
        <v>3250</v>
      </c>
      <c r="BL1942" t="s">
        <v>3250</v>
      </c>
      <c r="BM1942" t="s">
        <v>3250</v>
      </c>
      <c r="BN1942" t="s">
        <v>3250</v>
      </c>
      <c r="BP1942">
        <v>1</v>
      </c>
      <c r="BQ1942">
        <v>11</v>
      </c>
      <c r="BR1942" t="s">
        <v>1574</v>
      </c>
      <c r="BS1942" t="s">
        <v>3252</v>
      </c>
      <c r="BV1942">
        <v>0</v>
      </c>
      <c r="BW1942">
        <v>0</v>
      </c>
      <c r="BX1942">
        <v>0</v>
      </c>
      <c r="BY1942">
        <v>0</v>
      </c>
      <c r="BZ1942">
        <v>0</v>
      </c>
      <c r="CA1942">
        <v>0</v>
      </c>
      <c r="CB1942">
        <v>0</v>
      </c>
      <c r="CC1942">
        <v>0</v>
      </c>
      <c r="CD1942">
        <v>0</v>
      </c>
      <c r="CE1942" t="s">
        <v>3108</v>
      </c>
      <c r="CF1942" t="s">
        <v>3108</v>
      </c>
      <c r="CG1942" t="s">
        <v>3108</v>
      </c>
      <c r="CH1942" t="s">
        <v>3108</v>
      </c>
    </row>
    <row r="1943" spans="1:86" x14ac:dyDescent="0.2">
      <c r="A1943" t="s">
        <v>6075</v>
      </c>
      <c r="B1943" t="s">
        <v>6075</v>
      </c>
      <c r="C1943">
        <v>55066</v>
      </c>
      <c r="D1943">
        <v>2066</v>
      </c>
      <c r="E1943" t="s">
        <v>6076</v>
      </c>
      <c r="F1943" t="s">
        <v>3249</v>
      </c>
      <c r="G1943" t="s">
        <v>3249</v>
      </c>
      <c r="H1943" t="s">
        <v>3250</v>
      </c>
      <c r="I1943" t="s">
        <v>3250</v>
      </c>
      <c r="J1943" t="s">
        <v>3250</v>
      </c>
      <c r="K1943" t="s">
        <v>3250</v>
      </c>
      <c r="L1943">
        <v>1200</v>
      </c>
      <c r="M1943" t="s">
        <v>2368</v>
      </c>
      <c r="N1943">
        <v>1204</v>
      </c>
      <c r="O1943" t="s">
        <v>1574</v>
      </c>
      <c r="P1943" t="s">
        <v>3108</v>
      </c>
      <c r="Q1943" t="s">
        <v>3249</v>
      </c>
      <c r="R1943" t="s">
        <v>3249</v>
      </c>
      <c r="S1943" t="s">
        <v>472</v>
      </c>
      <c r="T1943" t="s">
        <v>3251</v>
      </c>
      <c r="U1943">
        <v>140</v>
      </c>
      <c r="V1943" t="s">
        <v>1327</v>
      </c>
      <c r="W1943">
        <v>140</v>
      </c>
      <c r="X1943" t="s">
        <v>1327</v>
      </c>
      <c r="Y1943" t="s">
        <v>3250</v>
      </c>
      <c r="Z1943" t="s">
        <v>3250</v>
      </c>
      <c r="AA1943" t="s">
        <v>3108</v>
      </c>
      <c r="AB1943" t="s">
        <v>3108</v>
      </c>
      <c r="AC1943" t="s">
        <v>3250</v>
      </c>
      <c r="AD1943" t="s">
        <v>3250</v>
      </c>
      <c r="AE1943" t="s">
        <v>3250</v>
      </c>
      <c r="AF1943" t="s">
        <v>3250</v>
      </c>
      <c r="AG1943" t="s">
        <v>3250</v>
      </c>
      <c r="AH1943" t="s">
        <v>3250</v>
      </c>
      <c r="AI1943" t="s">
        <v>3250</v>
      </c>
      <c r="AJ1943" t="s">
        <v>3250</v>
      </c>
      <c r="AL1943">
        <v>145</v>
      </c>
      <c r="AM1943" t="s">
        <v>4</v>
      </c>
      <c r="AN1943">
        <v>145</v>
      </c>
      <c r="AO1943" t="s">
        <v>4</v>
      </c>
      <c r="AS1943" t="s">
        <v>3250</v>
      </c>
      <c r="AT1943" t="s">
        <v>3250</v>
      </c>
      <c r="AU1943" t="s">
        <v>3250</v>
      </c>
      <c r="AV1943" t="s">
        <v>3250</v>
      </c>
      <c r="AW1943" t="s">
        <v>3250</v>
      </c>
      <c r="AX1943" t="s">
        <v>3250</v>
      </c>
      <c r="AY1943" t="s">
        <v>3250</v>
      </c>
      <c r="AZ1943" t="s">
        <v>3250</v>
      </c>
      <c r="BA1943" t="s">
        <v>3250</v>
      </c>
      <c r="BB1943" t="s">
        <v>3250</v>
      </c>
      <c r="BC1943" t="s">
        <v>3250</v>
      </c>
      <c r="BE1943" t="s">
        <v>3250</v>
      </c>
      <c r="BF1943" t="s">
        <v>3250</v>
      </c>
      <c r="BG1943" t="s">
        <v>3250</v>
      </c>
      <c r="BH1943" t="s">
        <v>3250</v>
      </c>
      <c r="BI1943" t="s">
        <v>3250</v>
      </c>
      <c r="BK1943" t="s">
        <v>3250</v>
      </c>
      <c r="BL1943" t="s">
        <v>3250</v>
      </c>
      <c r="BM1943" t="s">
        <v>3250</v>
      </c>
      <c r="BN1943" t="s">
        <v>3250</v>
      </c>
      <c r="BP1943">
        <v>1</v>
      </c>
      <c r="BQ1943">
        <v>11</v>
      </c>
      <c r="BR1943" t="s">
        <v>1574</v>
      </c>
      <c r="BS1943" t="s">
        <v>3252</v>
      </c>
      <c r="BV1943">
        <v>0</v>
      </c>
      <c r="BW1943">
        <v>0</v>
      </c>
      <c r="BX1943">
        <v>0</v>
      </c>
      <c r="BY1943">
        <v>0</v>
      </c>
      <c r="BZ1943">
        <v>0</v>
      </c>
      <c r="CA1943">
        <v>0</v>
      </c>
      <c r="CB1943">
        <v>0</v>
      </c>
      <c r="CC1943">
        <v>0</v>
      </c>
      <c r="CD1943">
        <v>0</v>
      </c>
      <c r="CE1943" t="s">
        <v>3108</v>
      </c>
      <c r="CF1943" t="s">
        <v>3108</v>
      </c>
      <c r="CG1943" t="s">
        <v>3108</v>
      </c>
      <c r="CH1943" t="s">
        <v>3108</v>
      </c>
    </row>
    <row r="1944" spans="1:86" x14ac:dyDescent="0.2">
      <c r="A1944" t="s">
        <v>6077</v>
      </c>
      <c r="B1944" t="s">
        <v>6077</v>
      </c>
      <c r="C1944">
        <v>55067</v>
      </c>
      <c r="D1944">
        <v>2067</v>
      </c>
      <c r="E1944" t="s">
        <v>6078</v>
      </c>
      <c r="F1944" t="s">
        <v>3249</v>
      </c>
      <c r="G1944" t="s">
        <v>3249</v>
      </c>
      <c r="H1944" t="s">
        <v>3250</v>
      </c>
      <c r="I1944" t="s">
        <v>3250</v>
      </c>
      <c r="J1944" t="s">
        <v>3250</v>
      </c>
      <c r="K1944" t="s">
        <v>3250</v>
      </c>
      <c r="L1944">
        <v>1200</v>
      </c>
      <c r="M1944" t="s">
        <v>2368</v>
      </c>
      <c r="N1944">
        <v>1204</v>
      </c>
      <c r="O1944" t="s">
        <v>1574</v>
      </c>
      <c r="P1944" t="s">
        <v>3108</v>
      </c>
      <c r="Q1944" t="s">
        <v>3249</v>
      </c>
      <c r="R1944" t="s">
        <v>3249</v>
      </c>
      <c r="S1944" t="s">
        <v>472</v>
      </c>
      <c r="T1944" t="s">
        <v>3251</v>
      </c>
      <c r="U1944">
        <v>140</v>
      </c>
      <c r="V1944" t="s">
        <v>1327</v>
      </c>
      <c r="W1944">
        <v>140</v>
      </c>
      <c r="X1944" t="s">
        <v>1327</v>
      </c>
      <c r="Y1944" t="s">
        <v>3250</v>
      </c>
      <c r="Z1944" t="s">
        <v>3250</v>
      </c>
      <c r="AA1944" t="s">
        <v>3108</v>
      </c>
      <c r="AB1944" t="s">
        <v>3108</v>
      </c>
      <c r="AC1944" t="s">
        <v>3250</v>
      </c>
      <c r="AD1944" t="s">
        <v>3250</v>
      </c>
      <c r="AE1944" t="s">
        <v>3250</v>
      </c>
      <c r="AF1944" t="s">
        <v>3250</v>
      </c>
      <c r="AG1944" t="s">
        <v>3250</v>
      </c>
      <c r="AH1944" t="s">
        <v>3250</v>
      </c>
      <c r="AI1944" t="s">
        <v>3250</v>
      </c>
      <c r="AJ1944" t="s">
        <v>3250</v>
      </c>
      <c r="AL1944">
        <v>145</v>
      </c>
      <c r="AM1944" t="s">
        <v>4</v>
      </c>
      <c r="AN1944">
        <v>145</v>
      </c>
      <c r="AO1944" t="s">
        <v>4</v>
      </c>
      <c r="AS1944" t="s">
        <v>3250</v>
      </c>
      <c r="AT1944" t="s">
        <v>3250</v>
      </c>
      <c r="AU1944" t="s">
        <v>3250</v>
      </c>
      <c r="AV1944" t="s">
        <v>3250</v>
      </c>
      <c r="AW1944" t="s">
        <v>3250</v>
      </c>
      <c r="AX1944" t="s">
        <v>3250</v>
      </c>
      <c r="AY1944" t="s">
        <v>3250</v>
      </c>
      <c r="AZ1944" t="s">
        <v>3250</v>
      </c>
      <c r="BA1944" t="s">
        <v>3250</v>
      </c>
      <c r="BB1944" t="s">
        <v>3250</v>
      </c>
      <c r="BC1944" t="s">
        <v>3250</v>
      </c>
      <c r="BE1944" t="s">
        <v>3250</v>
      </c>
      <c r="BF1944" t="s">
        <v>3250</v>
      </c>
      <c r="BG1944" t="s">
        <v>3250</v>
      </c>
      <c r="BH1944" t="s">
        <v>3250</v>
      </c>
      <c r="BI1944" t="s">
        <v>3250</v>
      </c>
      <c r="BK1944" t="s">
        <v>3250</v>
      </c>
      <c r="BL1944" t="s">
        <v>3250</v>
      </c>
      <c r="BM1944" t="s">
        <v>3250</v>
      </c>
      <c r="BN1944" t="s">
        <v>3250</v>
      </c>
      <c r="BP1944">
        <v>1</v>
      </c>
      <c r="BQ1944">
        <v>11</v>
      </c>
      <c r="BR1944" t="s">
        <v>1574</v>
      </c>
      <c r="BS1944" t="s">
        <v>3252</v>
      </c>
      <c r="BV1944">
        <v>0</v>
      </c>
      <c r="BW1944">
        <v>0</v>
      </c>
      <c r="BX1944">
        <v>0</v>
      </c>
      <c r="BY1944">
        <v>0</v>
      </c>
      <c r="BZ1944">
        <v>0</v>
      </c>
      <c r="CA1944">
        <v>0</v>
      </c>
      <c r="CB1944">
        <v>0</v>
      </c>
      <c r="CC1944">
        <v>0</v>
      </c>
      <c r="CD1944">
        <v>0</v>
      </c>
      <c r="CE1944" t="s">
        <v>3108</v>
      </c>
      <c r="CF1944" t="s">
        <v>3108</v>
      </c>
      <c r="CG1944" t="s">
        <v>3108</v>
      </c>
      <c r="CH1944" t="s">
        <v>3108</v>
      </c>
    </row>
    <row r="1945" spans="1:86" x14ac:dyDescent="0.2">
      <c r="A1945" t="s">
        <v>6079</v>
      </c>
      <c r="B1945" t="s">
        <v>6079</v>
      </c>
      <c r="C1945">
        <v>55068</v>
      </c>
      <c r="D1945">
        <v>2068</v>
      </c>
      <c r="E1945" t="s">
        <v>6080</v>
      </c>
      <c r="F1945" t="s">
        <v>3249</v>
      </c>
      <c r="G1945" t="s">
        <v>3249</v>
      </c>
      <c r="H1945" t="s">
        <v>3250</v>
      </c>
      <c r="I1945" t="s">
        <v>3250</v>
      </c>
      <c r="J1945" t="s">
        <v>3250</v>
      </c>
      <c r="K1945" t="s">
        <v>3250</v>
      </c>
      <c r="L1945">
        <v>1200</v>
      </c>
      <c r="M1945" t="s">
        <v>2368</v>
      </c>
      <c r="N1945">
        <v>1204</v>
      </c>
      <c r="O1945" t="s">
        <v>1574</v>
      </c>
      <c r="P1945" t="s">
        <v>3108</v>
      </c>
      <c r="Q1945" t="s">
        <v>3249</v>
      </c>
      <c r="R1945" t="s">
        <v>3249</v>
      </c>
      <c r="S1945" t="s">
        <v>472</v>
      </c>
      <c r="T1945" t="s">
        <v>3251</v>
      </c>
      <c r="U1945">
        <v>140</v>
      </c>
      <c r="V1945" t="s">
        <v>1327</v>
      </c>
      <c r="W1945">
        <v>140</v>
      </c>
      <c r="X1945" t="s">
        <v>1327</v>
      </c>
      <c r="Y1945" t="s">
        <v>3250</v>
      </c>
      <c r="Z1945" t="s">
        <v>3250</v>
      </c>
      <c r="AA1945" t="s">
        <v>3108</v>
      </c>
      <c r="AB1945" t="s">
        <v>3108</v>
      </c>
      <c r="AC1945" t="s">
        <v>3250</v>
      </c>
      <c r="AD1945" t="s">
        <v>3250</v>
      </c>
      <c r="AE1945" t="s">
        <v>3250</v>
      </c>
      <c r="AF1945" t="s">
        <v>3250</v>
      </c>
      <c r="AG1945" t="s">
        <v>3250</v>
      </c>
      <c r="AH1945" t="s">
        <v>3250</v>
      </c>
      <c r="AI1945" t="s">
        <v>3250</v>
      </c>
      <c r="AJ1945" t="s">
        <v>3250</v>
      </c>
      <c r="AL1945">
        <v>141</v>
      </c>
      <c r="AM1945" t="s">
        <v>1327</v>
      </c>
      <c r="AN1945">
        <v>141</v>
      </c>
      <c r="AO1945" t="s">
        <v>1327</v>
      </c>
      <c r="AS1945" t="s">
        <v>3250</v>
      </c>
      <c r="AT1945" t="s">
        <v>3250</v>
      </c>
      <c r="AU1945" t="s">
        <v>3250</v>
      </c>
      <c r="AV1945" t="s">
        <v>3250</v>
      </c>
      <c r="AW1945" t="s">
        <v>3250</v>
      </c>
      <c r="AX1945" t="s">
        <v>3250</v>
      </c>
      <c r="AY1945" t="s">
        <v>3250</v>
      </c>
      <c r="AZ1945" t="s">
        <v>3250</v>
      </c>
      <c r="BA1945" t="s">
        <v>3250</v>
      </c>
      <c r="BB1945" t="s">
        <v>3250</v>
      </c>
      <c r="BC1945" t="s">
        <v>3250</v>
      </c>
      <c r="BE1945" t="s">
        <v>3250</v>
      </c>
      <c r="BF1945" t="s">
        <v>3250</v>
      </c>
      <c r="BG1945" t="s">
        <v>3250</v>
      </c>
      <c r="BH1945" t="s">
        <v>3250</v>
      </c>
      <c r="BI1945" t="s">
        <v>3250</v>
      </c>
      <c r="BK1945" t="s">
        <v>3250</v>
      </c>
      <c r="BL1945" t="s">
        <v>3250</v>
      </c>
      <c r="BM1945" t="s">
        <v>3250</v>
      </c>
      <c r="BN1945" t="s">
        <v>3250</v>
      </c>
      <c r="BP1945">
        <v>1</v>
      </c>
      <c r="BQ1945">
        <v>11</v>
      </c>
      <c r="BR1945" t="s">
        <v>1574</v>
      </c>
      <c r="BS1945" t="s">
        <v>3252</v>
      </c>
      <c r="BV1945">
        <v>0</v>
      </c>
      <c r="BW1945">
        <v>0</v>
      </c>
      <c r="BX1945">
        <v>0</v>
      </c>
      <c r="BY1945">
        <v>0</v>
      </c>
      <c r="BZ1945">
        <v>0</v>
      </c>
      <c r="CA1945">
        <v>0</v>
      </c>
      <c r="CB1945">
        <v>0</v>
      </c>
      <c r="CC1945">
        <v>0</v>
      </c>
      <c r="CD1945">
        <v>0</v>
      </c>
      <c r="CE1945" t="s">
        <v>3108</v>
      </c>
      <c r="CF1945" t="s">
        <v>3108</v>
      </c>
      <c r="CG1945" t="s">
        <v>3108</v>
      </c>
      <c r="CH1945" t="s">
        <v>3108</v>
      </c>
    </row>
    <row r="1946" spans="1:86" x14ac:dyDescent="0.2">
      <c r="A1946" t="s">
        <v>6081</v>
      </c>
      <c r="B1946" t="s">
        <v>6081</v>
      </c>
      <c r="C1946">
        <v>55069</v>
      </c>
      <c r="D1946">
        <v>2069</v>
      </c>
      <c r="E1946" t="s">
        <v>5947</v>
      </c>
      <c r="F1946" t="s">
        <v>3249</v>
      </c>
      <c r="G1946" t="s">
        <v>3249</v>
      </c>
      <c r="H1946" t="s">
        <v>3250</v>
      </c>
      <c r="I1946" t="s">
        <v>3250</v>
      </c>
      <c r="J1946" t="s">
        <v>3250</v>
      </c>
      <c r="K1946" t="s">
        <v>3250</v>
      </c>
      <c r="L1946">
        <v>1200</v>
      </c>
      <c r="M1946" t="s">
        <v>2368</v>
      </c>
      <c r="N1946">
        <v>1204</v>
      </c>
      <c r="O1946" t="s">
        <v>1574</v>
      </c>
      <c r="P1946" t="s">
        <v>3108</v>
      </c>
      <c r="Q1946" t="s">
        <v>3249</v>
      </c>
      <c r="R1946" t="s">
        <v>3249</v>
      </c>
      <c r="S1946" t="s">
        <v>472</v>
      </c>
      <c r="T1946" t="s">
        <v>3251</v>
      </c>
      <c r="U1946">
        <v>140</v>
      </c>
      <c r="V1946" t="s">
        <v>1327</v>
      </c>
      <c r="W1946">
        <v>140</v>
      </c>
      <c r="X1946" t="s">
        <v>1327</v>
      </c>
      <c r="Y1946" t="s">
        <v>3250</v>
      </c>
      <c r="Z1946" t="s">
        <v>3250</v>
      </c>
      <c r="AA1946" t="s">
        <v>3108</v>
      </c>
      <c r="AB1946" t="s">
        <v>3108</v>
      </c>
      <c r="AC1946" t="s">
        <v>3250</v>
      </c>
      <c r="AD1946" t="s">
        <v>3250</v>
      </c>
      <c r="AE1946" t="s">
        <v>3250</v>
      </c>
      <c r="AF1946" t="s">
        <v>3250</v>
      </c>
      <c r="AG1946" t="s">
        <v>3250</v>
      </c>
      <c r="AH1946" t="s">
        <v>3250</v>
      </c>
      <c r="AI1946" t="s">
        <v>3250</v>
      </c>
      <c r="AJ1946" t="s">
        <v>3250</v>
      </c>
      <c r="AL1946">
        <v>141</v>
      </c>
      <c r="AM1946" t="s">
        <v>1327</v>
      </c>
      <c r="AN1946">
        <v>141</v>
      </c>
      <c r="AO1946" t="s">
        <v>1327</v>
      </c>
      <c r="AS1946" t="s">
        <v>3250</v>
      </c>
      <c r="AT1946" t="s">
        <v>3250</v>
      </c>
      <c r="AU1946" t="s">
        <v>3250</v>
      </c>
      <c r="AV1946" t="s">
        <v>3250</v>
      </c>
      <c r="AW1946" t="s">
        <v>3250</v>
      </c>
      <c r="AX1946" t="s">
        <v>3250</v>
      </c>
      <c r="AY1946" t="s">
        <v>3250</v>
      </c>
      <c r="AZ1946" t="s">
        <v>3250</v>
      </c>
      <c r="BA1946" t="s">
        <v>3250</v>
      </c>
      <c r="BB1946" t="s">
        <v>3250</v>
      </c>
      <c r="BC1946" t="s">
        <v>3250</v>
      </c>
      <c r="BE1946" t="s">
        <v>3250</v>
      </c>
      <c r="BF1946" t="s">
        <v>3250</v>
      </c>
      <c r="BG1946" t="s">
        <v>3250</v>
      </c>
      <c r="BH1946" t="s">
        <v>3250</v>
      </c>
      <c r="BI1946" t="s">
        <v>3250</v>
      </c>
      <c r="BK1946" t="s">
        <v>3250</v>
      </c>
      <c r="BL1946" t="s">
        <v>3250</v>
      </c>
      <c r="BM1946" t="s">
        <v>3250</v>
      </c>
      <c r="BN1946" t="s">
        <v>3250</v>
      </c>
      <c r="BP1946">
        <v>1</v>
      </c>
      <c r="BQ1946">
        <v>11</v>
      </c>
      <c r="BR1946" t="s">
        <v>1574</v>
      </c>
      <c r="BS1946" t="s">
        <v>3252</v>
      </c>
      <c r="BV1946">
        <v>0</v>
      </c>
      <c r="BW1946">
        <v>0</v>
      </c>
      <c r="BX1946">
        <v>0</v>
      </c>
      <c r="BY1946">
        <v>0</v>
      </c>
      <c r="BZ1946">
        <v>0</v>
      </c>
      <c r="CA1946">
        <v>0</v>
      </c>
      <c r="CB1946">
        <v>0</v>
      </c>
      <c r="CC1946">
        <v>0</v>
      </c>
      <c r="CD1946">
        <v>0</v>
      </c>
      <c r="CE1946" t="s">
        <v>3108</v>
      </c>
      <c r="CF1946" t="s">
        <v>3108</v>
      </c>
      <c r="CG1946" t="s">
        <v>3108</v>
      </c>
      <c r="CH1946" t="s">
        <v>3108</v>
      </c>
    </row>
    <row r="1947" spans="1:86" x14ac:dyDescent="0.2">
      <c r="A1947" t="s">
        <v>6082</v>
      </c>
      <c r="B1947" t="s">
        <v>6082</v>
      </c>
      <c r="C1947">
        <v>55070</v>
      </c>
      <c r="D1947">
        <v>2070</v>
      </c>
      <c r="E1947" t="s">
        <v>6083</v>
      </c>
      <c r="F1947" t="s">
        <v>3249</v>
      </c>
      <c r="G1947" t="s">
        <v>3249</v>
      </c>
      <c r="H1947" t="s">
        <v>3250</v>
      </c>
      <c r="I1947" t="s">
        <v>3250</v>
      </c>
      <c r="J1947" t="s">
        <v>3250</v>
      </c>
      <c r="K1947" t="s">
        <v>3250</v>
      </c>
      <c r="L1947">
        <v>1200</v>
      </c>
      <c r="M1947" t="s">
        <v>2368</v>
      </c>
      <c r="N1947">
        <v>1204</v>
      </c>
      <c r="O1947" t="s">
        <v>1574</v>
      </c>
      <c r="P1947" t="s">
        <v>3108</v>
      </c>
      <c r="Q1947" t="s">
        <v>3249</v>
      </c>
      <c r="R1947" t="s">
        <v>3249</v>
      </c>
      <c r="S1947" t="s">
        <v>472</v>
      </c>
      <c r="T1947" t="s">
        <v>3251</v>
      </c>
      <c r="U1947">
        <v>140</v>
      </c>
      <c r="V1947" t="s">
        <v>1327</v>
      </c>
      <c r="W1947">
        <v>140</v>
      </c>
      <c r="X1947" t="s">
        <v>1327</v>
      </c>
      <c r="Y1947" t="s">
        <v>3250</v>
      </c>
      <c r="Z1947" t="s">
        <v>3250</v>
      </c>
      <c r="AA1947" t="s">
        <v>3108</v>
      </c>
      <c r="AB1947" t="s">
        <v>3108</v>
      </c>
      <c r="AC1947" t="s">
        <v>3250</v>
      </c>
      <c r="AD1947" t="s">
        <v>3250</v>
      </c>
      <c r="AE1947" t="s">
        <v>3250</v>
      </c>
      <c r="AF1947" t="s">
        <v>3250</v>
      </c>
      <c r="AG1947" t="s">
        <v>3250</v>
      </c>
      <c r="AH1947" t="s">
        <v>3250</v>
      </c>
      <c r="AI1947" t="s">
        <v>3250</v>
      </c>
      <c r="AJ1947" t="s">
        <v>3250</v>
      </c>
      <c r="AL1947">
        <v>145</v>
      </c>
      <c r="AM1947" t="s">
        <v>4</v>
      </c>
      <c r="AN1947">
        <v>145</v>
      </c>
      <c r="AO1947" t="s">
        <v>4</v>
      </c>
      <c r="AS1947" t="s">
        <v>3250</v>
      </c>
      <c r="AT1947" t="s">
        <v>3250</v>
      </c>
      <c r="AU1947" t="s">
        <v>3250</v>
      </c>
      <c r="AV1947" t="s">
        <v>3250</v>
      </c>
      <c r="AW1947" t="s">
        <v>3250</v>
      </c>
      <c r="AX1947" t="s">
        <v>3250</v>
      </c>
      <c r="AY1947" t="s">
        <v>3250</v>
      </c>
      <c r="AZ1947" t="s">
        <v>3250</v>
      </c>
      <c r="BA1947" t="s">
        <v>3250</v>
      </c>
      <c r="BB1947" t="s">
        <v>3250</v>
      </c>
      <c r="BC1947" t="s">
        <v>3250</v>
      </c>
      <c r="BE1947" t="s">
        <v>3250</v>
      </c>
      <c r="BF1947" t="s">
        <v>3250</v>
      </c>
      <c r="BG1947" t="s">
        <v>3250</v>
      </c>
      <c r="BH1947" t="s">
        <v>3250</v>
      </c>
      <c r="BI1947" t="s">
        <v>3250</v>
      </c>
      <c r="BK1947" t="s">
        <v>3250</v>
      </c>
      <c r="BL1947" t="s">
        <v>3250</v>
      </c>
      <c r="BM1947" t="s">
        <v>3250</v>
      </c>
      <c r="BN1947" t="s">
        <v>3250</v>
      </c>
      <c r="BP1947">
        <v>1</v>
      </c>
      <c r="BQ1947">
        <v>11</v>
      </c>
      <c r="BR1947" t="s">
        <v>1574</v>
      </c>
      <c r="BS1947" t="s">
        <v>3252</v>
      </c>
      <c r="BV1947">
        <v>0</v>
      </c>
      <c r="BW1947">
        <v>0</v>
      </c>
      <c r="BX1947">
        <v>0</v>
      </c>
      <c r="BY1947">
        <v>0</v>
      </c>
      <c r="BZ1947">
        <v>0</v>
      </c>
      <c r="CA1947">
        <v>0</v>
      </c>
      <c r="CB1947">
        <v>0</v>
      </c>
      <c r="CC1947">
        <v>0</v>
      </c>
      <c r="CD1947">
        <v>0</v>
      </c>
      <c r="CE1947" t="s">
        <v>3108</v>
      </c>
      <c r="CF1947" t="s">
        <v>3108</v>
      </c>
      <c r="CG1947" t="s">
        <v>3108</v>
      </c>
      <c r="CH1947" t="s">
        <v>3108</v>
      </c>
    </row>
    <row r="1948" spans="1:86" x14ac:dyDescent="0.2">
      <c r="A1948" t="s">
        <v>6084</v>
      </c>
      <c r="B1948" t="s">
        <v>6084</v>
      </c>
      <c r="C1948">
        <v>55071</v>
      </c>
      <c r="D1948">
        <v>2071</v>
      </c>
      <c r="E1948" t="s">
        <v>6085</v>
      </c>
      <c r="F1948" t="s">
        <v>3249</v>
      </c>
      <c r="G1948" t="s">
        <v>3249</v>
      </c>
      <c r="H1948" t="s">
        <v>3250</v>
      </c>
      <c r="I1948" t="s">
        <v>3250</v>
      </c>
      <c r="J1948" t="s">
        <v>3250</v>
      </c>
      <c r="K1948" t="s">
        <v>3250</v>
      </c>
      <c r="L1948">
        <v>1200</v>
      </c>
      <c r="M1948" t="s">
        <v>2368</v>
      </c>
      <c r="N1948">
        <v>1204</v>
      </c>
      <c r="O1948" t="s">
        <v>1574</v>
      </c>
      <c r="P1948" t="s">
        <v>3108</v>
      </c>
      <c r="Q1948" t="s">
        <v>3249</v>
      </c>
      <c r="R1948" t="s">
        <v>3249</v>
      </c>
      <c r="S1948" t="s">
        <v>472</v>
      </c>
      <c r="T1948" t="s">
        <v>3251</v>
      </c>
      <c r="U1948">
        <v>140</v>
      </c>
      <c r="V1948" t="s">
        <v>1327</v>
      </c>
      <c r="W1948">
        <v>140</v>
      </c>
      <c r="X1948" t="s">
        <v>1327</v>
      </c>
      <c r="Y1948" t="s">
        <v>3250</v>
      </c>
      <c r="Z1948" t="s">
        <v>3250</v>
      </c>
      <c r="AA1948" t="s">
        <v>3108</v>
      </c>
      <c r="AB1948" t="s">
        <v>3108</v>
      </c>
      <c r="AC1948" t="s">
        <v>3250</v>
      </c>
      <c r="AD1948" t="s">
        <v>3250</v>
      </c>
      <c r="AE1948" t="s">
        <v>3250</v>
      </c>
      <c r="AF1948" t="s">
        <v>3250</v>
      </c>
      <c r="AG1948" t="s">
        <v>3250</v>
      </c>
      <c r="AH1948" t="s">
        <v>3250</v>
      </c>
      <c r="AI1948" t="s">
        <v>3250</v>
      </c>
      <c r="AJ1948" t="s">
        <v>3250</v>
      </c>
      <c r="AL1948">
        <v>145</v>
      </c>
      <c r="AM1948" t="s">
        <v>4</v>
      </c>
      <c r="AN1948">
        <v>145</v>
      </c>
      <c r="AO1948" t="s">
        <v>4</v>
      </c>
      <c r="AS1948" t="s">
        <v>3250</v>
      </c>
      <c r="AT1948" t="s">
        <v>3250</v>
      </c>
      <c r="AU1948" t="s">
        <v>3250</v>
      </c>
      <c r="AV1948" t="s">
        <v>3250</v>
      </c>
      <c r="AW1948" t="s">
        <v>3250</v>
      </c>
      <c r="AX1948" t="s">
        <v>3250</v>
      </c>
      <c r="AY1948" t="s">
        <v>3250</v>
      </c>
      <c r="AZ1948" t="s">
        <v>3250</v>
      </c>
      <c r="BA1948" t="s">
        <v>3250</v>
      </c>
      <c r="BB1948" t="s">
        <v>3250</v>
      </c>
      <c r="BC1948" t="s">
        <v>3250</v>
      </c>
      <c r="BE1948" t="s">
        <v>3250</v>
      </c>
      <c r="BF1948" t="s">
        <v>3250</v>
      </c>
      <c r="BG1948" t="s">
        <v>3250</v>
      </c>
      <c r="BH1948" t="s">
        <v>3250</v>
      </c>
      <c r="BI1948" t="s">
        <v>3250</v>
      </c>
      <c r="BK1948" t="s">
        <v>3250</v>
      </c>
      <c r="BL1948" t="s">
        <v>3250</v>
      </c>
      <c r="BM1948" t="s">
        <v>3250</v>
      </c>
      <c r="BN1948" t="s">
        <v>3250</v>
      </c>
      <c r="BP1948">
        <v>1</v>
      </c>
      <c r="BQ1948">
        <v>11</v>
      </c>
      <c r="BR1948" t="s">
        <v>1574</v>
      </c>
      <c r="BS1948" t="s">
        <v>3252</v>
      </c>
      <c r="BV1948">
        <v>0</v>
      </c>
      <c r="BW1948">
        <v>0</v>
      </c>
      <c r="BX1948">
        <v>0</v>
      </c>
      <c r="BY1948">
        <v>0</v>
      </c>
      <c r="BZ1948">
        <v>0</v>
      </c>
      <c r="CA1948">
        <v>0</v>
      </c>
      <c r="CB1948">
        <v>0</v>
      </c>
      <c r="CC1948">
        <v>0</v>
      </c>
      <c r="CD1948">
        <v>0</v>
      </c>
      <c r="CE1948" t="s">
        <v>3108</v>
      </c>
      <c r="CF1948" t="s">
        <v>3108</v>
      </c>
      <c r="CG1948" t="s">
        <v>3108</v>
      </c>
      <c r="CH1948" t="s">
        <v>3108</v>
      </c>
    </row>
    <row r="1949" spans="1:86" x14ac:dyDescent="0.2">
      <c r="A1949" t="s">
        <v>6086</v>
      </c>
      <c r="B1949" t="s">
        <v>6086</v>
      </c>
      <c r="C1949">
        <v>55072</v>
      </c>
      <c r="D1949">
        <v>2072</v>
      </c>
      <c r="E1949" t="s">
        <v>6087</v>
      </c>
      <c r="F1949" t="s">
        <v>3249</v>
      </c>
      <c r="G1949" t="s">
        <v>3249</v>
      </c>
      <c r="H1949" t="s">
        <v>3250</v>
      </c>
      <c r="I1949" t="s">
        <v>3250</v>
      </c>
      <c r="J1949" t="s">
        <v>3250</v>
      </c>
      <c r="K1949" t="s">
        <v>3250</v>
      </c>
      <c r="L1949">
        <v>1200</v>
      </c>
      <c r="M1949" t="s">
        <v>2368</v>
      </c>
      <c r="N1949">
        <v>1204</v>
      </c>
      <c r="O1949" t="s">
        <v>1574</v>
      </c>
      <c r="P1949" t="s">
        <v>3108</v>
      </c>
      <c r="Q1949" t="s">
        <v>3249</v>
      </c>
      <c r="R1949" t="s">
        <v>3249</v>
      </c>
      <c r="S1949" t="s">
        <v>472</v>
      </c>
      <c r="T1949" t="s">
        <v>3251</v>
      </c>
      <c r="U1949">
        <v>140</v>
      </c>
      <c r="V1949" t="s">
        <v>1327</v>
      </c>
      <c r="W1949">
        <v>140</v>
      </c>
      <c r="X1949" t="s">
        <v>1327</v>
      </c>
      <c r="Y1949" t="s">
        <v>3250</v>
      </c>
      <c r="Z1949" t="s">
        <v>3250</v>
      </c>
      <c r="AA1949" t="s">
        <v>3108</v>
      </c>
      <c r="AB1949" t="s">
        <v>3108</v>
      </c>
      <c r="AC1949" t="s">
        <v>3250</v>
      </c>
      <c r="AD1949" t="s">
        <v>3250</v>
      </c>
      <c r="AE1949" t="s">
        <v>3250</v>
      </c>
      <c r="AF1949" t="s">
        <v>3250</v>
      </c>
      <c r="AG1949" t="s">
        <v>3250</v>
      </c>
      <c r="AH1949" t="s">
        <v>3250</v>
      </c>
      <c r="AI1949" t="s">
        <v>3250</v>
      </c>
      <c r="AJ1949" t="s">
        <v>3250</v>
      </c>
      <c r="AL1949">
        <v>141</v>
      </c>
      <c r="AM1949" t="s">
        <v>1327</v>
      </c>
      <c r="AN1949">
        <v>141</v>
      </c>
      <c r="AO1949" t="s">
        <v>1327</v>
      </c>
      <c r="AS1949" t="s">
        <v>3250</v>
      </c>
      <c r="AT1949" t="s">
        <v>3250</v>
      </c>
      <c r="AU1949" t="s">
        <v>3250</v>
      </c>
      <c r="AV1949" t="s">
        <v>3250</v>
      </c>
      <c r="AW1949" t="s">
        <v>3250</v>
      </c>
      <c r="AX1949" t="s">
        <v>3250</v>
      </c>
      <c r="AY1949" t="s">
        <v>3250</v>
      </c>
      <c r="AZ1949" t="s">
        <v>3250</v>
      </c>
      <c r="BA1949" t="s">
        <v>3250</v>
      </c>
      <c r="BB1949" t="s">
        <v>3250</v>
      </c>
      <c r="BC1949" t="s">
        <v>3250</v>
      </c>
      <c r="BE1949" t="s">
        <v>3250</v>
      </c>
      <c r="BF1949" t="s">
        <v>3250</v>
      </c>
      <c r="BG1949" t="s">
        <v>3250</v>
      </c>
      <c r="BH1949" t="s">
        <v>3250</v>
      </c>
      <c r="BI1949" t="s">
        <v>3250</v>
      </c>
      <c r="BK1949" t="s">
        <v>3250</v>
      </c>
      <c r="BL1949" t="s">
        <v>3250</v>
      </c>
      <c r="BM1949" t="s">
        <v>3250</v>
      </c>
      <c r="BN1949" t="s">
        <v>3250</v>
      </c>
      <c r="BP1949">
        <v>1</v>
      </c>
      <c r="BQ1949">
        <v>11</v>
      </c>
      <c r="BR1949" t="s">
        <v>1574</v>
      </c>
      <c r="BS1949" t="s">
        <v>3252</v>
      </c>
      <c r="BV1949">
        <v>0</v>
      </c>
      <c r="BW1949">
        <v>0</v>
      </c>
      <c r="BX1949">
        <v>0</v>
      </c>
      <c r="BY1949">
        <v>0</v>
      </c>
      <c r="BZ1949">
        <v>0</v>
      </c>
      <c r="CA1949">
        <v>0</v>
      </c>
      <c r="CB1949">
        <v>0</v>
      </c>
      <c r="CC1949">
        <v>0</v>
      </c>
      <c r="CD1949">
        <v>0</v>
      </c>
      <c r="CE1949" t="s">
        <v>3108</v>
      </c>
      <c r="CF1949" t="s">
        <v>3108</v>
      </c>
      <c r="CG1949" t="s">
        <v>3108</v>
      </c>
      <c r="CH1949" t="s">
        <v>3108</v>
      </c>
    </row>
    <row r="1950" spans="1:86" x14ac:dyDescent="0.2">
      <c r="A1950" t="s">
        <v>6088</v>
      </c>
      <c r="B1950" t="s">
        <v>6088</v>
      </c>
      <c r="C1950">
        <v>55073</v>
      </c>
      <c r="D1950">
        <v>2073</v>
      </c>
      <c r="E1950" t="s">
        <v>6089</v>
      </c>
      <c r="F1950" t="s">
        <v>3249</v>
      </c>
      <c r="G1950" t="s">
        <v>3249</v>
      </c>
      <c r="H1950" t="s">
        <v>3250</v>
      </c>
      <c r="I1950" t="s">
        <v>3250</v>
      </c>
      <c r="J1950" t="s">
        <v>3250</v>
      </c>
      <c r="K1950" t="s">
        <v>3250</v>
      </c>
      <c r="L1950">
        <v>1200</v>
      </c>
      <c r="M1950" t="s">
        <v>2368</v>
      </c>
      <c r="N1950">
        <v>1204</v>
      </c>
      <c r="O1950" t="s">
        <v>1574</v>
      </c>
      <c r="P1950" t="s">
        <v>3108</v>
      </c>
      <c r="Q1950" t="s">
        <v>3249</v>
      </c>
      <c r="R1950" t="s">
        <v>3249</v>
      </c>
      <c r="S1950" t="s">
        <v>472</v>
      </c>
      <c r="T1950" t="s">
        <v>3251</v>
      </c>
      <c r="U1950">
        <v>140</v>
      </c>
      <c r="V1950" t="s">
        <v>1327</v>
      </c>
      <c r="W1950">
        <v>140</v>
      </c>
      <c r="X1950" t="s">
        <v>1327</v>
      </c>
      <c r="Y1950" t="s">
        <v>3250</v>
      </c>
      <c r="Z1950" t="s">
        <v>3250</v>
      </c>
      <c r="AA1950" t="s">
        <v>3108</v>
      </c>
      <c r="AB1950" t="s">
        <v>3108</v>
      </c>
      <c r="AC1950" t="s">
        <v>3250</v>
      </c>
      <c r="AD1950" t="s">
        <v>3250</v>
      </c>
      <c r="AE1950" t="s">
        <v>3250</v>
      </c>
      <c r="AF1950" t="s">
        <v>3250</v>
      </c>
      <c r="AG1950" t="s">
        <v>3250</v>
      </c>
      <c r="AH1950" t="s">
        <v>3250</v>
      </c>
      <c r="AI1950" t="s">
        <v>3250</v>
      </c>
      <c r="AJ1950" t="s">
        <v>3250</v>
      </c>
      <c r="AL1950">
        <v>141</v>
      </c>
      <c r="AM1950" t="s">
        <v>1327</v>
      </c>
      <c r="AN1950">
        <v>141</v>
      </c>
      <c r="AO1950" t="s">
        <v>1327</v>
      </c>
      <c r="AS1950" t="s">
        <v>3250</v>
      </c>
      <c r="AT1950" t="s">
        <v>3250</v>
      </c>
      <c r="AU1950" t="s">
        <v>3250</v>
      </c>
      <c r="AV1950" t="s">
        <v>3250</v>
      </c>
      <c r="AW1950" t="s">
        <v>3250</v>
      </c>
      <c r="AX1950" t="s">
        <v>3250</v>
      </c>
      <c r="AY1950" t="s">
        <v>3250</v>
      </c>
      <c r="AZ1950" t="s">
        <v>3250</v>
      </c>
      <c r="BA1950" t="s">
        <v>3250</v>
      </c>
      <c r="BB1950" t="s">
        <v>3250</v>
      </c>
      <c r="BC1950" t="s">
        <v>3250</v>
      </c>
      <c r="BE1950" t="s">
        <v>3250</v>
      </c>
      <c r="BF1950" t="s">
        <v>3250</v>
      </c>
      <c r="BG1950" t="s">
        <v>3250</v>
      </c>
      <c r="BH1950" t="s">
        <v>3250</v>
      </c>
      <c r="BI1950" t="s">
        <v>3250</v>
      </c>
      <c r="BK1950" t="s">
        <v>3250</v>
      </c>
      <c r="BL1950" t="s">
        <v>3250</v>
      </c>
      <c r="BM1950" t="s">
        <v>3250</v>
      </c>
      <c r="BN1950" t="s">
        <v>3250</v>
      </c>
      <c r="BP1950">
        <v>1</v>
      </c>
      <c r="BQ1950">
        <v>11</v>
      </c>
      <c r="BR1950" t="s">
        <v>1574</v>
      </c>
      <c r="BS1950" t="s">
        <v>3252</v>
      </c>
      <c r="BV1950">
        <v>0</v>
      </c>
      <c r="BW1950">
        <v>0</v>
      </c>
      <c r="BX1950">
        <v>0</v>
      </c>
      <c r="BY1950">
        <v>0</v>
      </c>
      <c r="BZ1950">
        <v>0</v>
      </c>
      <c r="CA1950">
        <v>0</v>
      </c>
      <c r="CB1950">
        <v>0</v>
      </c>
      <c r="CC1950">
        <v>0</v>
      </c>
      <c r="CD1950">
        <v>0</v>
      </c>
      <c r="CE1950" t="s">
        <v>3108</v>
      </c>
      <c r="CF1950" t="s">
        <v>3108</v>
      </c>
      <c r="CG1950" t="s">
        <v>3108</v>
      </c>
      <c r="CH1950" t="s">
        <v>3108</v>
      </c>
    </row>
    <row r="1951" spans="1:86" x14ac:dyDescent="0.2">
      <c r="A1951" t="s">
        <v>6090</v>
      </c>
      <c r="B1951" t="s">
        <v>6090</v>
      </c>
      <c r="C1951">
        <v>55074</v>
      </c>
      <c r="D1951">
        <v>2074</v>
      </c>
      <c r="E1951" t="s">
        <v>6091</v>
      </c>
      <c r="F1951" t="s">
        <v>3249</v>
      </c>
      <c r="G1951" t="s">
        <v>3249</v>
      </c>
      <c r="H1951" t="s">
        <v>3250</v>
      </c>
      <c r="I1951" t="s">
        <v>3250</v>
      </c>
      <c r="J1951" t="s">
        <v>3250</v>
      </c>
      <c r="K1951" t="s">
        <v>3250</v>
      </c>
      <c r="L1951">
        <v>1200</v>
      </c>
      <c r="M1951" t="s">
        <v>2368</v>
      </c>
      <c r="N1951">
        <v>1204</v>
      </c>
      <c r="O1951" t="s">
        <v>1574</v>
      </c>
      <c r="P1951" t="s">
        <v>3108</v>
      </c>
      <c r="Q1951" t="s">
        <v>3249</v>
      </c>
      <c r="R1951" t="s">
        <v>3249</v>
      </c>
      <c r="S1951" t="s">
        <v>472</v>
      </c>
      <c r="T1951" t="s">
        <v>3251</v>
      </c>
      <c r="U1951">
        <v>140</v>
      </c>
      <c r="V1951" t="s">
        <v>1327</v>
      </c>
      <c r="W1951">
        <v>140</v>
      </c>
      <c r="X1951" t="s">
        <v>1327</v>
      </c>
      <c r="Y1951" t="s">
        <v>3250</v>
      </c>
      <c r="Z1951" t="s">
        <v>3250</v>
      </c>
      <c r="AA1951" t="s">
        <v>3108</v>
      </c>
      <c r="AB1951" t="s">
        <v>3108</v>
      </c>
      <c r="AC1951" t="s">
        <v>3250</v>
      </c>
      <c r="AD1951" t="s">
        <v>3250</v>
      </c>
      <c r="AE1951" t="s">
        <v>3250</v>
      </c>
      <c r="AF1951" t="s">
        <v>3250</v>
      </c>
      <c r="AG1951" t="s">
        <v>3250</v>
      </c>
      <c r="AH1951" t="s">
        <v>3250</v>
      </c>
      <c r="AI1951" t="s">
        <v>3250</v>
      </c>
      <c r="AJ1951" t="s">
        <v>3250</v>
      </c>
      <c r="AL1951">
        <v>141</v>
      </c>
      <c r="AM1951" t="s">
        <v>1327</v>
      </c>
      <c r="AN1951">
        <v>141</v>
      </c>
      <c r="AO1951" t="s">
        <v>1327</v>
      </c>
      <c r="AS1951" t="s">
        <v>3250</v>
      </c>
      <c r="AT1951" t="s">
        <v>3250</v>
      </c>
      <c r="AU1951" t="s">
        <v>3250</v>
      </c>
      <c r="AV1951" t="s">
        <v>3250</v>
      </c>
      <c r="AW1951" t="s">
        <v>3250</v>
      </c>
      <c r="AX1951" t="s">
        <v>3250</v>
      </c>
      <c r="AY1951" t="s">
        <v>3250</v>
      </c>
      <c r="AZ1951" t="s">
        <v>3250</v>
      </c>
      <c r="BA1951" t="s">
        <v>3250</v>
      </c>
      <c r="BB1951" t="s">
        <v>3250</v>
      </c>
      <c r="BC1951" t="s">
        <v>3250</v>
      </c>
      <c r="BE1951" t="s">
        <v>3250</v>
      </c>
      <c r="BF1951" t="s">
        <v>3250</v>
      </c>
      <c r="BG1951" t="s">
        <v>3250</v>
      </c>
      <c r="BH1951" t="s">
        <v>3250</v>
      </c>
      <c r="BI1951" t="s">
        <v>3250</v>
      </c>
      <c r="BK1951" t="s">
        <v>3250</v>
      </c>
      <c r="BL1951" t="s">
        <v>3250</v>
      </c>
      <c r="BM1951" t="s">
        <v>3250</v>
      </c>
      <c r="BN1951" t="s">
        <v>3250</v>
      </c>
      <c r="BP1951">
        <v>1</v>
      </c>
      <c r="BQ1951">
        <v>11</v>
      </c>
      <c r="BR1951" t="s">
        <v>1574</v>
      </c>
      <c r="BS1951" t="s">
        <v>3252</v>
      </c>
      <c r="BV1951">
        <v>0</v>
      </c>
      <c r="BW1951">
        <v>0</v>
      </c>
      <c r="BX1951">
        <v>0</v>
      </c>
      <c r="BY1951">
        <v>0</v>
      </c>
      <c r="BZ1951">
        <v>0</v>
      </c>
      <c r="CA1951">
        <v>0</v>
      </c>
      <c r="CB1951">
        <v>0</v>
      </c>
      <c r="CC1951">
        <v>0</v>
      </c>
      <c r="CD1951">
        <v>0</v>
      </c>
      <c r="CE1951" t="s">
        <v>3108</v>
      </c>
      <c r="CF1951" t="s">
        <v>3108</v>
      </c>
      <c r="CG1951" t="s">
        <v>3108</v>
      </c>
      <c r="CH1951" t="s">
        <v>3108</v>
      </c>
    </row>
    <row r="1952" spans="1:86" x14ac:dyDescent="0.2">
      <c r="A1952" t="s">
        <v>6092</v>
      </c>
      <c r="B1952" t="s">
        <v>6092</v>
      </c>
      <c r="C1952">
        <v>55075</v>
      </c>
      <c r="D1952">
        <v>2075</v>
      </c>
      <c r="E1952" t="s">
        <v>6093</v>
      </c>
      <c r="F1952" t="s">
        <v>3249</v>
      </c>
      <c r="G1952" t="s">
        <v>3249</v>
      </c>
      <c r="H1952" t="s">
        <v>3250</v>
      </c>
      <c r="I1952" t="s">
        <v>3250</v>
      </c>
      <c r="J1952" t="s">
        <v>3250</v>
      </c>
      <c r="K1952" t="s">
        <v>3250</v>
      </c>
      <c r="L1952">
        <v>1200</v>
      </c>
      <c r="M1952" t="s">
        <v>2368</v>
      </c>
      <c r="N1952">
        <v>1204</v>
      </c>
      <c r="O1952" t="s">
        <v>1574</v>
      </c>
      <c r="P1952" t="s">
        <v>3108</v>
      </c>
      <c r="Q1952" t="s">
        <v>3249</v>
      </c>
      <c r="R1952" t="s">
        <v>3249</v>
      </c>
      <c r="S1952" t="s">
        <v>472</v>
      </c>
      <c r="T1952" t="s">
        <v>3251</v>
      </c>
      <c r="U1952">
        <v>140</v>
      </c>
      <c r="V1952" t="s">
        <v>1327</v>
      </c>
      <c r="W1952">
        <v>140</v>
      </c>
      <c r="X1952" t="s">
        <v>1327</v>
      </c>
      <c r="Y1952" t="s">
        <v>3250</v>
      </c>
      <c r="Z1952" t="s">
        <v>3250</v>
      </c>
      <c r="AA1952" t="s">
        <v>3108</v>
      </c>
      <c r="AB1952" t="s">
        <v>3108</v>
      </c>
      <c r="AC1952" t="s">
        <v>3250</v>
      </c>
      <c r="AD1952" t="s">
        <v>3250</v>
      </c>
      <c r="AE1952" t="s">
        <v>3250</v>
      </c>
      <c r="AF1952" t="s">
        <v>3250</v>
      </c>
      <c r="AG1952" t="s">
        <v>3250</v>
      </c>
      <c r="AH1952" t="s">
        <v>3250</v>
      </c>
      <c r="AI1952" t="s">
        <v>3250</v>
      </c>
      <c r="AJ1952" t="s">
        <v>3250</v>
      </c>
      <c r="AL1952">
        <v>145</v>
      </c>
      <c r="AM1952" t="s">
        <v>4</v>
      </c>
      <c r="AN1952">
        <v>145</v>
      </c>
      <c r="AO1952" t="s">
        <v>4</v>
      </c>
      <c r="AS1952" t="s">
        <v>3250</v>
      </c>
      <c r="AT1952" t="s">
        <v>3250</v>
      </c>
      <c r="AU1952" t="s">
        <v>3250</v>
      </c>
      <c r="AV1952" t="s">
        <v>3250</v>
      </c>
      <c r="AW1952" t="s">
        <v>3250</v>
      </c>
      <c r="AX1952" t="s">
        <v>3250</v>
      </c>
      <c r="AY1952" t="s">
        <v>3250</v>
      </c>
      <c r="AZ1952" t="s">
        <v>3250</v>
      </c>
      <c r="BA1952" t="s">
        <v>3250</v>
      </c>
      <c r="BB1952" t="s">
        <v>3250</v>
      </c>
      <c r="BC1952" t="s">
        <v>3250</v>
      </c>
      <c r="BE1952" t="s">
        <v>3250</v>
      </c>
      <c r="BF1952" t="s">
        <v>3250</v>
      </c>
      <c r="BG1952" t="s">
        <v>3250</v>
      </c>
      <c r="BH1952" t="s">
        <v>3250</v>
      </c>
      <c r="BI1952" t="s">
        <v>3250</v>
      </c>
      <c r="BK1952" t="s">
        <v>3250</v>
      </c>
      <c r="BL1952" t="s">
        <v>3250</v>
      </c>
      <c r="BM1952" t="s">
        <v>3250</v>
      </c>
      <c r="BN1952" t="s">
        <v>3250</v>
      </c>
      <c r="BP1952">
        <v>1</v>
      </c>
      <c r="BQ1952">
        <v>11</v>
      </c>
      <c r="BR1952" t="s">
        <v>1574</v>
      </c>
      <c r="BS1952" t="s">
        <v>3252</v>
      </c>
      <c r="BV1952">
        <v>0</v>
      </c>
      <c r="BW1952">
        <v>0</v>
      </c>
      <c r="BX1952">
        <v>0</v>
      </c>
      <c r="BY1952">
        <v>0</v>
      </c>
      <c r="BZ1952">
        <v>0</v>
      </c>
      <c r="CA1952">
        <v>0</v>
      </c>
      <c r="CB1952">
        <v>0</v>
      </c>
      <c r="CC1952">
        <v>0</v>
      </c>
      <c r="CD1952">
        <v>0</v>
      </c>
      <c r="CE1952" t="s">
        <v>3108</v>
      </c>
      <c r="CF1952" t="s">
        <v>3108</v>
      </c>
      <c r="CG1952" t="s">
        <v>3108</v>
      </c>
      <c r="CH1952" t="s">
        <v>3108</v>
      </c>
    </row>
    <row r="1953" spans="1:86" x14ac:dyDescent="0.2">
      <c r="A1953" t="s">
        <v>6094</v>
      </c>
      <c r="B1953" t="s">
        <v>6094</v>
      </c>
      <c r="C1953">
        <v>55076</v>
      </c>
      <c r="D1953">
        <v>2076</v>
      </c>
      <c r="E1953" t="s">
        <v>6095</v>
      </c>
      <c r="F1953" t="s">
        <v>3249</v>
      </c>
      <c r="G1953" t="s">
        <v>3249</v>
      </c>
      <c r="H1953" t="s">
        <v>3250</v>
      </c>
      <c r="I1953" t="s">
        <v>3250</v>
      </c>
      <c r="J1953" t="s">
        <v>3250</v>
      </c>
      <c r="K1953" t="s">
        <v>3250</v>
      </c>
      <c r="L1953">
        <v>1200</v>
      </c>
      <c r="M1953" t="s">
        <v>2368</v>
      </c>
      <c r="N1953">
        <v>1204</v>
      </c>
      <c r="O1953" t="s">
        <v>1574</v>
      </c>
      <c r="P1953" t="s">
        <v>3108</v>
      </c>
      <c r="Q1953" t="s">
        <v>3249</v>
      </c>
      <c r="R1953" t="s">
        <v>3249</v>
      </c>
      <c r="S1953" t="s">
        <v>472</v>
      </c>
      <c r="T1953" t="s">
        <v>3251</v>
      </c>
      <c r="U1953">
        <v>140</v>
      </c>
      <c r="V1953" t="s">
        <v>1327</v>
      </c>
      <c r="W1953">
        <v>140</v>
      </c>
      <c r="X1953" t="s">
        <v>1327</v>
      </c>
      <c r="Y1953" t="s">
        <v>3250</v>
      </c>
      <c r="Z1953" t="s">
        <v>3250</v>
      </c>
      <c r="AA1953" t="s">
        <v>3108</v>
      </c>
      <c r="AB1953" t="s">
        <v>3108</v>
      </c>
      <c r="AC1953" t="s">
        <v>3250</v>
      </c>
      <c r="AD1953" t="s">
        <v>3250</v>
      </c>
      <c r="AE1953" t="s">
        <v>3250</v>
      </c>
      <c r="AF1953" t="s">
        <v>3250</v>
      </c>
      <c r="AG1953" t="s">
        <v>3250</v>
      </c>
      <c r="AH1953" t="s">
        <v>3250</v>
      </c>
      <c r="AI1953" t="s">
        <v>3250</v>
      </c>
      <c r="AJ1953" t="s">
        <v>3250</v>
      </c>
      <c r="AL1953">
        <v>145</v>
      </c>
      <c r="AM1953" t="s">
        <v>4</v>
      </c>
      <c r="AN1953">
        <v>145</v>
      </c>
      <c r="AO1953" t="s">
        <v>4</v>
      </c>
      <c r="AS1953" t="s">
        <v>3250</v>
      </c>
      <c r="AT1953" t="s">
        <v>3250</v>
      </c>
      <c r="AU1953" t="s">
        <v>3250</v>
      </c>
      <c r="AV1953" t="s">
        <v>3250</v>
      </c>
      <c r="AW1953" t="s">
        <v>3250</v>
      </c>
      <c r="AX1953" t="s">
        <v>3250</v>
      </c>
      <c r="AY1953" t="s">
        <v>3250</v>
      </c>
      <c r="AZ1953" t="s">
        <v>3250</v>
      </c>
      <c r="BA1953" t="s">
        <v>3250</v>
      </c>
      <c r="BB1953" t="s">
        <v>3250</v>
      </c>
      <c r="BC1953" t="s">
        <v>3250</v>
      </c>
      <c r="BE1953" t="s">
        <v>3250</v>
      </c>
      <c r="BF1953" t="s">
        <v>3250</v>
      </c>
      <c r="BG1953" t="s">
        <v>3250</v>
      </c>
      <c r="BH1953" t="s">
        <v>3250</v>
      </c>
      <c r="BI1953" t="s">
        <v>3250</v>
      </c>
      <c r="BK1953" t="s">
        <v>3250</v>
      </c>
      <c r="BL1953" t="s">
        <v>3250</v>
      </c>
      <c r="BM1953" t="s">
        <v>3250</v>
      </c>
      <c r="BN1953" t="s">
        <v>3250</v>
      </c>
      <c r="BP1953">
        <v>1</v>
      </c>
      <c r="BQ1953">
        <v>11</v>
      </c>
      <c r="BR1953" t="s">
        <v>1574</v>
      </c>
      <c r="BS1953" t="s">
        <v>3252</v>
      </c>
      <c r="BV1953">
        <v>0</v>
      </c>
      <c r="BW1953">
        <v>0</v>
      </c>
      <c r="BX1953">
        <v>0</v>
      </c>
      <c r="BY1953">
        <v>0</v>
      </c>
      <c r="BZ1953">
        <v>0</v>
      </c>
      <c r="CA1953">
        <v>0</v>
      </c>
      <c r="CB1953">
        <v>0</v>
      </c>
      <c r="CC1953">
        <v>0</v>
      </c>
      <c r="CD1953">
        <v>0</v>
      </c>
      <c r="CE1953" t="s">
        <v>3108</v>
      </c>
      <c r="CF1953" t="s">
        <v>3108</v>
      </c>
      <c r="CG1953" t="s">
        <v>3108</v>
      </c>
      <c r="CH1953" t="s">
        <v>3108</v>
      </c>
    </row>
    <row r="1954" spans="1:86" x14ac:dyDescent="0.2">
      <c r="A1954" t="s">
        <v>6096</v>
      </c>
      <c r="B1954" t="s">
        <v>6096</v>
      </c>
      <c r="C1954">
        <v>55077</v>
      </c>
      <c r="D1954">
        <v>2077</v>
      </c>
      <c r="E1954" t="s">
        <v>6097</v>
      </c>
      <c r="F1954" t="s">
        <v>3249</v>
      </c>
      <c r="G1954" t="s">
        <v>3249</v>
      </c>
      <c r="H1954" t="s">
        <v>3250</v>
      </c>
      <c r="I1954" t="s">
        <v>3250</v>
      </c>
      <c r="J1954" t="s">
        <v>3250</v>
      </c>
      <c r="K1954" t="s">
        <v>3250</v>
      </c>
      <c r="L1954">
        <v>1200</v>
      </c>
      <c r="M1954" t="s">
        <v>2368</v>
      </c>
      <c r="N1954">
        <v>1204</v>
      </c>
      <c r="O1954" t="s">
        <v>1574</v>
      </c>
      <c r="P1954" t="s">
        <v>3108</v>
      </c>
      <c r="Q1954" t="s">
        <v>3249</v>
      </c>
      <c r="R1954" t="s">
        <v>3249</v>
      </c>
      <c r="S1954" t="s">
        <v>472</v>
      </c>
      <c r="T1954" t="s">
        <v>3251</v>
      </c>
      <c r="U1954">
        <v>140</v>
      </c>
      <c r="V1954" t="s">
        <v>1327</v>
      </c>
      <c r="W1954">
        <v>140</v>
      </c>
      <c r="X1954" t="s">
        <v>1327</v>
      </c>
      <c r="Y1954" t="s">
        <v>3250</v>
      </c>
      <c r="Z1954" t="s">
        <v>3250</v>
      </c>
      <c r="AA1954" t="s">
        <v>3108</v>
      </c>
      <c r="AB1954" t="s">
        <v>3108</v>
      </c>
      <c r="AC1954" t="s">
        <v>3250</v>
      </c>
      <c r="AD1954" t="s">
        <v>3250</v>
      </c>
      <c r="AE1954" t="s">
        <v>3250</v>
      </c>
      <c r="AF1954" t="s">
        <v>3250</v>
      </c>
      <c r="AG1954" t="s">
        <v>3250</v>
      </c>
      <c r="AH1954" t="s">
        <v>3250</v>
      </c>
      <c r="AI1954" t="s">
        <v>3250</v>
      </c>
      <c r="AJ1954" t="s">
        <v>3250</v>
      </c>
      <c r="AL1954">
        <v>145</v>
      </c>
      <c r="AM1954" t="s">
        <v>4</v>
      </c>
      <c r="AN1954">
        <v>145</v>
      </c>
      <c r="AO1954" t="s">
        <v>4</v>
      </c>
      <c r="AS1954" t="s">
        <v>3250</v>
      </c>
      <c r="AT1954" t="s">
        <v>3250</v>
      </c>
      <c r="AU1954" t="s">
        <v>3250</v>
      </c>
      <c r="AV1954" t="s">
        <v>3250</v>
      </c>
      <c r="AW1954" t="s">
        <v>3250</v>
      </c>
      <c r="AX1954" t="s">
        <v>3250</v>
      </c>
      <c r="AY1954" t="s">
        <v>3250</v>
      </c>
      <c r="AZ1954" t="s">
        <v>3250</v>
      </c>
      <c r="BA1954" t="s">
        <v>3250</v>
      </c>
      <c r="BB1954" t="s">
        <v>3250</v>
      </c>
      <c r="BC1954" t="s">
        <v>3250</v>
      </c>
      <c r="BE1954" t="s">
        <v>3250</v>
      </c>
      <c r="BF1954" t="s">
        <v>3250</v>
      </c>
      <c r="BG1954" t="s">
        <v>3250</v>
      </c>
      <c r="BH1954" t="s">
        <v>3250</v>
      </c>
      <c r="BI1954" t="s">
        <v>3250</v>
      </c>
      <c r="BK1954" t="s">
        <v>3250</v>
      </c>
      <c r="BL1954" t="s">
        <v>3250</v>
      </c>
      <c r="BM1954" t="s">
        <v>3250</v>
      </c>
      <c r="BN1954" t="s">
        <v>3250</v>
      </c>
      <c r="BP1954">
        <v>1</v>
      </c>
      <c r="BQ1954">
        <v>11</v>
      </c>
      <c r="BR1954" t="s">
        <v>1574</v>
      </c>
      <c r="BS1954" t="s">
        <v>3252</v>
      </c>
      <c r="BV1954">
        <v>0</v>
      </c>
      <c r="BW1954">
        <v>0</v>
      </c>
      <c r="BX1954">
        <v>0</v>
      </c>
      <c r="BY1954">
        <v>0</v>
      </c>
      <c r="BZ1954">
        <v>0</v>
      </c>
      <c r="CA1954">
        <v>0</v>
      </c>
      <c r="CB1954">
        <v>0</v>
      </c>
      <c r="CC1954">
        <v>0</v>
      </c>
      <c r="CD1954">
        <v>0</v>
      </c>
      <c r="CE1954" t="s">
        <v>3108</v>
      </c>
      <c r="CF1954" t="s">
        <v>3108</v>
      </c>
      <c r="CG1954" t="s">
        <v>3108</v>
      </c>
      <c r="CH1954" t="s">
        <v>3108</v>
      </c>
    </row>
    <row r="1955" spans="1:86" x14ac:dyDescent="0.2">
      <c r="A1955" t="s">
        <v>6098</v>
      </c>
      <c r="B1955" t="s">
        <v>6098</v>
      </c>
      <c r="C1955">
        <v>55078</v>
      </c>
      <c r="D1955">
        <v>2078</v>
      </c>
      <c r="E1955" t="s">
        <v>6099</v>
      </c>
      <c r="F1955" t="s">
        <v>3249</v>
      </c>
      <c r="G1955" t="s">
        <v>3249</v>
      </c>
      <c r="H1955" t="s">
        <v>3250</v>
      </c>
      <c r="I1955" t="s">
        <v>3250</v>
      </c>
      <c r="J1955" t="s">
        <v>3250</v>
      </c>
      <c r="K1955" t="s">
        <v>3250</v>
      </c>
      <c r="L1955">
        <v>1200</v>
      </c>
      <c r="M1955" t="s">
        <v>2368</v>
      </c>
      <c r="N1955">
        <v>1204</v>
      </c>
      <c r="O1955" t="s">
        <v>1574</v>
      </c>
      <c r="P1955" t="s">
        <v>3108</v>
      </c>
      <c r="Q1955" t="s">
        <v>3249</v>
      </c>
      <c r="R1955" t="s">
        <v>3249</v>
      </c>
      <c r="S1955" t="s">
        <v>472</v>
      </c>
      <c r="T1955" t="s">
        <v>3251</v>
      </c>
      <c r="U1955">
        <v>140</v>
      </c>
      <c r="V1955" t="s">
        <v>1327</v>
      </c>
      <c r="W1955">
        <v>140</v>
      </c>
      <c r="X1955" t="s">
        <v>1327</v>
      </c>
      <c r="Y1955" t="s">
        <v>3250</v>
      </c>
      <c r="Z1955" t="s">
        <v>3250</v>
      </c>
      <c r="AA1955" t="s">
        <v>3108</v>
      </c>
      <c r="AB1955" t="s">
        <v>3108</v>
      </c>
      <c r="AC1955" t="s">
        <v>3250</v>
      </c>
      <c r="AD1955" t="s">
        <v>3250</v>
      </c>
      <c r="AE1955" t="s">
        <v>3250</v>
      </c>
      <c r="AF1955" t="s">
        <v>3250</v>
      </c>
      <c r="AG1955" t="s">
        <v>3250</v>
      </c>
      <c r="AH1955" t="s">
        <v>3250</v>
      </c>
      <c r="AI1955" t="s">
        <v>3250</v>
      </c>
      <c r="AJ1955" t="s">
        <v>3250</v>
      </c>
      <c r="AL1955">
        <v>145</v>
      </c>
      <c r="AM1955" t="s">
        <v>4</v>
      </c>
      <c r="AN1955">
        <v>145</v>
      </c>
      <c r="AO1955" t="s">
        <v>4</v>
      </c>
      <c r="AS1955" t="s">
        <v>3250</v>
      </c>
      <c r="AT1955" t="s">
        <v>3250</v>
      </c>
      <c r="AU1955" t="s">
        <v>3250</v>
      </c>
      <c r="AV1955" t="s">
        <v>3250</v>
      </c>
      <c r="AW1955" t="s">
        <v>3250</v>
      </c>
      <c r="AX1955" t="s">
        <v>3250</v>
      </c>
      <c r="AY1955" t="s">
        <v>3250</v>
      </c>
      <c r="AZ1955" t="s">
        <v>3250</v>
      </c>
      <c r="BA1955" t="s">
        <v>3250</v>
      </c>
      <c r="BB1955" t="s">
        <v>3250</v>
      </c>
      <c r="BC1955" t="s">
        <v>3250</v>
      </c>
      <c r="BE1955" t="s">
        <v>3250</v>
      </c>
      <c r="BF1955" t="s">
        <v>3250</v>
      </c>
      <c r="BG1955" t="s">
        <v>3250</v>
      </c>
      <c r="BH1955" t="s">
        <v>3250</v>
      </c>
      <c r="BI1955" t="s">
        <v>3250</v>
      </c>
      <c r="BK1955" t="s">
        <v>3250</v>
      </c>
      <c r="BL1955" t="s">
        <v>3250</v>
      </c>
      <c r="BM1955" t="s">
        <v>3250</v>
      </c>
      <c r="BN1955" t="s">
        <v>3250</v>
      </c>
      <c r="BP1955">
        <v>1</v>
      </c>
      <c r="BQ1955">
        <v>11</v>
      </c>
      <c r="BR1955" t="s">
        <v>1574</v>
      </c>
      <c r="BS1955" t="s">
        <v>3252</v>
      </c>
      <c r="BV1955">
        <v>0</v>
      </c>
      <c r="BW1955">
        <v>0</v>
      </c>
      <c r="BX1955">
        <v>0</v>
      </c>
      <c r="BY1955">
        <v>0</v>
      </c>
      <c r="BZ1955">
        <v>0</v>
      </c>
      <c r="CA1955">
        <v>0</v>
      </c>
      <c r="CB1955">
        <v>0</v>
      </c>
      <c r="CC1955">
        <v>0</v>
      </c>
      <c r="CD1955">
        <v>0</v>
      </c>
      <c r="CE1955" t="s">
        <v>3108</v>
      </c>
      <c r="CF1955" t="s">
        <v>3108</v>
      </c>
      <c r="CG1955" t="s">
        <v>3108</v>
      </c>
      <c r="CH1955" t="s">
        <v>3108</v>
      </c>
    </row>
    <row r="1956" spans="1:86" x14ac:dyDescent="0.2">
      <c r="A1956" t="s">
        <v>6100</v>
      </c>
      <c r="B1956" t="s">
        <v>6100</v>
      </c>
      <c r="C1956">
        <v>55079</v>
      </c>
      <c r="D1956">
        <v>2079</v>
      </c>
      <c r="E1956" t="s">
        <v>6101</v>
      </c>
      <c r="F1956" t="s">
        <v>3249</v>
      </c>
      <c r="G1956" t="s">
        <v>3249</v>
      </c>
      <c r="H1956" t="s">
        <v>3250</v>
      </c>
      <c r="I1956" t="s">
        <v>3250</v>
      </c>
      <c r="J1956" t="s">
        <v>3250</v>
      </c>
      <c r="K1956" t="s">
        <v>3250</v>
      </c>
      <c r="L1956">
        <v>1200</v>
      </c>
      <c r="M1956" t="s">
        <v>2368</v>
      </c>
      <c r="N1956">
        <v>1204</v>
      </c>
      <c r="O1956" t="s">
        <v>1574</v>
      </c>
      <c r="P1956" t="s">
        <v>3108</v>
      </c>
      <c r="Q1956" t="s">
        <v>3249</v>
      </c>
      <c r="R1956" t="s">
        <v>3249</v>
      </c>
      <c r="S1956" t="s">
        <v>472</v>
      </c>
      <c r="T1956" t="s">
        <v>3251</v>
      </c>
      <c r="U1956">
        <v>140</v>
      </c>
      <c r="V1956" t="s">
        <v>1327</v>
      </c>
      <c r="W1956">
        <v>140</v>
      </c>
      <c r="X1956" t="s">
        <v>1327</v>
      </c>
      <c r="Y1956" t="s">
        <v>3250</v>
      </c>
      <c r="Z1956" t="s">
        <v>3250</v>
      </c>
      <c r="AA1956" t="s">
        <v>3108</v>
      </c>
      <c r="AB1956" t="s">
        <v>3108</v>
      </c>
      <c r="AC1956" t="s">
        <v>3250</v>
      </c>
      <c r="AD1956" t="s">
        <v>3250</v>
      </c>
      <c r="AE1956" t="s">
        <v>3250</v>
      </c>
      <c r="AF1956" t="s">
        <v>3250</v>
      </c>
      <c r="AG1956" t="s">
        <v>3250</v>
      </c>
      <c r="AH1956" t="s">
        <v>3250</v>
      </c>
      <c r="AI1956" t="s">
        <v>3250</v>
      </c>
      <c r="AJ1956" t="s">
        <v>3250</v>
      </c>
      <c r="AL1956">
        <v>141</v>
      </c>
      <c r="AM1956" t="s">
        <v>1327</v>
      </c>
      <c r="AN1956">
        <v>141</v>
      </c>
      <c r="AO1956" t="s">
        <v>1327</v>
      </c>
      <c r="AS1956" t="s">
        <v>3250</v>
      </c>
      <c r="AT1956" t="s">
        <v>3250</v>
      </c>
      <c r="AU1956" t="s">
        <v>3250</v>
      </c>
      <c r="AV1956" t="s">
        <v>3250</v>
      </c>
      <c r="AW1956" t="s">
        <v>3250</v>
      </c>
      <c r="AX1956" t="s">
        <v>3250</v>
      </c>
      <c r="AY1956" t="s">
        <v>3250</v>
      </c>
      <c r="AZ1956" t="s">
        <v>3250</v>
      </c>
      <c r="BA1956" t="s">
        <v>3250</v>
      </c>
      <c r="BB1956" t="s">
        <v>3250</v>
      </c>
      <c r="BC1956" t="s">
        <v>3250</v>
      </c>
      <c r="BE1956" t="s">
        <v>3250</v>
      </c>
      <c r="BF1956" t="s">
        <v>3250</v>
      </c>
      <c r="BG1956" t="s">
        <v>3250</v>
      </c>
      <c r="BH1956" t="s">
        <v>3250</v>
      </c>
      <c r="BI1956" t="s">
        <v>3250</v>
      </c>
      <c r="BK1956" t="s">
        <v>3250</v>
      </c>
      <c r="BL1956" t="s">
        <v>3250</v>
      </c>
      <c r="BM1956" t="s">
        <v>3250</v>
      </c>
      <c r="BN1956" t="s">
        <v>3250</v>
      </c>
      <c r="BP1956">
        <v>1</v>
      </c>
      <c r="BQ1956">
        <v>11</v>
      </c>
      <c r="BR1956" t="s">
        <v>1574</v>
      </c>
      <c r="BS1956" t="s">
        <v>3252</v>
      </c>
      <c r="BV1956">
        <v>0</v>
      </c>
      <c r="BW1956">
        <v>0</v>
      </c>
      <c r="BX1956">
        <v>0</v>
      </c>
      <c r="BY1956">
        <v>0</v>
      </c>
      <c r="BZ1956">
        <v>0</v>
      </c>
      <c r="CA1956">
        <v>0</v>
      </c>
      <c r="CB1956">
        <v>0</v>
      </c>
      <c r="CC1956">
        <v>0</v>
      </c>
      <c r="CD1956">
        <v>0</v>
      </c>
      <c r="CE1956" t="s">
        <v>3108</v>
      </c>
      <c r="CF1956" t="s">
        <v>3108</v>
      </c>
      <c r="CG1956" t="s">
        <v>3108</v>
      </c>
      <c r="CH1956" t="s">
        <v>3108</v>
      </c>
    </row>
    <row r="1957" spans="1:86" x14ac:dyDescent="0.2">
      <c r="A1957" t="s">
        <v>6102</v>
      </c>
      <c r="B1957" t="s">
        <v>6102</v>
      </c>
      <c r="C1957">
        <v>55080</v>
      </c>
      <c r="D1957">
        <v>2080</v>
      </c>
      <c r="E1957" t="s">
        <v>6103</v>
      </c>
      <c r="F1957" t="s">
        <v>3249</v>
      </c>
      <c r="G1957" t="s">
        <v>3249</v>
      </c>
      <c r="H1957" t="s">
        <v>3250</v>
      </c>
      <c r="I1957" t="s">
        <v>3250</v>
      </c>
      <c r="J1957" t="s">
        <v>3250</v>
      </c>
      <c r="K1957" t="s">
        <v>3250</v>
      </c>
      <c r="L1957">
        <v>1200</v>
      </c>
      <c r="M1957" t="s">
        <v>2368</v>
      </c>
      <c r="N1957">
        <v>1204</v>
      </c>
      <c r="O1957" t="s">
        <v>1574</v>
      </c>
      <c r="P1957" t="s">
        <v>3108</v>
      </c>
      <c r="Q1957" t="s">
        <v>3249</v>
      </c>
      <c r="R1957" t="s">
        <v>3249</v>
      </c>
      <c r="S1957" t="s">
        <v>472</v>
      </c>
      <c r="T1957" t="s">
        <v>3251</v>
      </c>
      <c r="U1957">
        <v>140</v>
      </c>
      <c r="V1957" t="s">
        <v>1327</v>
      </c>
      <c r="W1957">
        <v>140</v>
      </c>
      <c r="X1957" t="s">
        <v>1327</v>
      </c>
      <c r="Y1957" t="s">
        <v>3250</v>
      </c>
      <c r="Z1957" t="s">
        <v>3250</v>
      </c>
      <c r="AA1957" t="s">
        <v>3108</v>
      </c>
      <c r="AB1957" t="s">
        <v>3108</v>
      </c>
      <c r="AC1957" t="s">
        <v>3250</v>
      </c>
      <c r="AD1957" t="s">
        <v>3250</v>
      </c>
      <c r="AE1957" t="s">
        <v>3250</v>
      </c>
      <c r="AF1957" t="s">
        <v>3250</v>
      </c>
      <c r="AG1957" t="s">
        <v>3250</v>
      </c>
      <c r="AH1957" t="s">
        <v>3250</v>
      </c>
      <c r="AI1957" t="s">
        <v>3250</v>
      </c>
      <c r="AJ1957" t="s">
        <v>3250</v>
      </c>
      <c r="AL1957">
        <v>145</v>
      </c>
      <c r="AM1957" t="s">
        <v>4</v>
      </c>
      <c r="AN1957">
        <v>145</v>
      </c>
      <c r="AO1957" t="s">
        <v>4</v>
      </c>
      <c r="AS1957" t="s">
        <v>3250</v>
      </c>
      <c r="AT1957" t="s">
        <v>3250</v>
      </c>
      <c r="AU1957" t="s">
        <v>3250</v>
      </c>
      <c r="AV1957" t="s">
        <v>3250</v>
      </c>
      <c r="AW1957" t="s">
        <v>3250</v>
      </c>
      <c r="AX1957" t="s">
        <v>3250</v>
      </c>
      <c r="AY1957" t="s">
        <v>3250</v>
      </c>
      <c r="AZ1957" t="s">
        <v>3250</v>
      </c>
      <c r="BA1957" t="s">
        <v>3250</v>
      </c>
      <c r="BB1957" t="s">
        <v>3250</v>
      </c>
      <c r="BC1957" t="s">
        <v>3250</v>
      </c>
      <c r="BE1957" t="s">
        <v>3250</v>
      </c>
      <c r="BF1957" t="s">
        <v>3250</v>
      </c>
      <c r="BG1957" t="s">
        <v>3250</v>
      </c>
      <c r="BH1957" t="s">
        <v>3250</v>
      </c>
      <c r="BI1957" t="s">
        <v>3250</v>
      </c>
      <c r="BK1957" t="s">
        <v>3250</v>
      </c>
      <c r="BL1957" t="s">
        <v>3250</v>
      </c>
      <c r="BM1957" t="s">
        <v>3250</v>
      </c>
      <c r="BN1957" t="s">
        <v>3250</v>
      </c>
      <c r="BP1957">
        <v>1</v>
      </c>
      <c r="BQ1957">
        <v>11</v>
      </c>
      <c r="BR1957" t="s">
        <v>1574</v>
      </c>
      <c r="BS1957" t="s">
        <v>3252</v>
      </c>
      <c r="BV1957">
        <v>0</v>
      </c>
      <c r="BW1957">
        <v>0</v>
      </c>
      <c r="BX1957">
        <v>0</v>
      </c>
      <c r="BY1957">
        <v>0</v>
      </c>
      <c r="BZ1957">
        <v>0</v>
      </c>
      <c r="CA1957">
        <v>0</v>
      </c>
      <c r="CB1957">
        <v>0</v>
      </c>
      <c r="CC1957">
        <v>0</v>
      </c>
      <c r="CD1957">
        <v>0</v>
      </c>
      <c r="CE1957" t="s">
        <v>3108</v>
      </c>
      <c r="CF1957" t="s">
        <v>3108</v>
      </c>
      <c r="CG1957" t="s">
        <v>3108</v>
      </c>
      <c r="CH1957" t="s">
        <v>3108</v>
      </c>
    </row>
    <row r="1958" spans="1:86" x14ac:dyDescent="0.2">
      <c r="A1958" t="s">
        <v>6104</v>
      </c>
      <c r="B1958" t="s">
        <v>6104</v>
      </c>
      <c r="C1958">
        <v>55081</v>
      </c>
      <c r="D1958">
        <v>2081</v>
      </c>
      <c r="E1958" t="s">
        <v>6105</v>
      </c>
      <c r="F1958" t="s">
        <v>3249</v>
      </c>
      <c r="G1958" t="s">
        <v>3249</v>
      </c>
      <c r="H1958" t="s">
        <v>3250</v>
      </c>
      <c r="I1958" t="s">
        <v>3250</v>
      </c>
      <c r="J1958" t="s">
        <v>3250</v>
      </c>
      <c r="K1958" t="s">
        <v>3250</v>
      </c>
      <c r="L1958">
        <v>1200</v>
      </c>
      <c r="M1958" t="s">
        <v>2368</v>
      </c>
      <c r="N1958">
        <v>1204</v>
      </c>
      <c r="O1958" t="s">
        <v>1574</v>
      </c>
      <c r="P1958" t="s">
        <v>3108</v>
      </c>
      <c r="Q1958" t="s">
        <v>3249</v>
      </c>
      <c r="R1958" t="s">
        <v>3249</v>
      </c>
      <c r="S1958" t="s">
        <v>472</v>
      </c>
      <c r="T1958" t="s">
        <v>3251</v>
      </c>
      <c r="U1958">
        <v>140</v>
      </c>
      <c r="V1958" t="s">
        <v>1327</v>
      </c>
      <c r="W1958">
        <v>140</v>
      </c>
      <c r="X1958" t="s">
        <v>1327</v>
      </c>
      <c r="Y1958" t="s">
        <v>3250</v>
      </c>
      <c r="Z1958" t="s">
        <v>3250</v>
      </c>
      <c r="AA1958" t="s">
        <v>3108</v>
      </c>
      <c r="AB1958" t="s">
        <v>3108</v>
      </c>
      <c r="AC1958" t="s">
        <v>3250</v>
      </c>
      <c r="AD1958" t="s">
        <v>3250</v>
      </c>
      <c r="AE1958" t="s">
        <v>3250</v>
      </c>
      <c r="AF1958" t="s">
        <v>3250</v>
      </c>
      <c r="AG1958" t="s">
        <v>3250</v>
      </c>
      <c r="AH1958" t="s">
        <v>3250</v>
      </c>
      <c r="AI1958" t="s">
        <v>3250</v>
      </c>
      <c r="AJ1958" t="s">
        <v>3250</v>
      </c>
      <c r="AL1958">
        <v>141</v>
      </c>
      <c r="AM1958" t="s">
        <v>1327</v>
      </c>
      <c r="AN1958">
        <v>141</v>
      </c>
      <c r="AO1958" t="s">
        <v>1327</v>
      </c>
      <c r="AS1958" t="s">
        <v>3250</v>
      </c>
      <c r="AT1958" t="s">
        <v>3250</v>
      </c>
      <c r="AU1958" t="s">
        <v>3250</v>
      </c>
      <c r="AV1958" t="s">
        <v>3250</v>
      </c>
      <c r="AW1958" t="s">
        <v>3250</v>
      </c>
      <c r="AX1958" t="s">
        <v>3250</v>
      </c>
      <c r="AY1958" t="s">
        <v>3250</v>
      </c>
      <c r="AZ1958" t="s">
        <v>3250</v>
      </c>
      <c r="BA1958" t="s">
        <v>3250</v>
      </c>
      <c r="BB1958" t="s">
        <v>3250</v>
      </c>
      <c r="BC1958" t="s">
        <v>3250</v>
      </c>
      <c r="BE1958" t="s">
        <v>3250</v>
      </c>
      <c r="BF1958" t="s">
        <v>3250</v>
      </c>
      <c r="BG1958" t="s">
        <v>3250</v>
      </c>
      <c r="BH1958" t="s">
        <v>3250</v>
      </c>
      <c r="BI1958" t="s">
        <v>3250</v>
      </c>
      <c r="BK1958" t="s">
        <v>3250</v>
      </c>
      <c r="BL1958" t="s">
        <v>3250</v>
      </c>
      <c r="BM1958" t="s">
        <v>3250</v>
      </c>
      <c r="BN1958" t="s">
        <v>3250</v>
      </c>
      <c r="BP1958">
        <v>1</v>
      </c>
      <c r="BQ1958">
        <v>11</v>
      </c>
      <c r="BR1958" t="s">
        <v>1574</v>
      </c>
      <c r="BS1958" t="s">
        <v>3252</v>
      </c>
      <c r="BV1958">
        <v>0</v>
      </c>
      <c r="BW1958">
        <v>0</v>
      </c>
      <c r="BX1958">
        <v>0</v>
      </c>
      <c r="BY1958">
        <v>0</v>
      </c>
      <c r="BZ1958">
        <v>0</v>
      </c>
      <c r="CA1958">
        <v>0</v>
      </c>
      <c r="CB1958">
        <v>0</v>
      </c>
      <c r="CC1958">
        <v>0</v>
      </c>
      <c r="CD1958">
        <v>0</v>
      </c>
      <c r="CE1958" t="s">
        <v>3108</v>
      </c>
      <c r="CF1958" t="s">
        <v>3108</v>
      </c>
      <c r="CG1958" t="s">
        <v>3108</v>
      </c>
      <c r="CH1958" t="s">
        <v>3108</v>
      </c>
    </row>
    <row r="1959" spans="1:86" x14ac:dyDescent="0.2">
      <c r="A1959" t="s">
        <v>6106</v>
      </c>
      <c r="B1959" t="s">
        <v>6106</v>
      </c>
      <c r="C1959">
        <v>55082</v>
      </c>
      <c r="D1959">
        <v>2082</v>
      </c>
      <c r="E1959" t="s">
        <v>6107</v>
      </c>
      <c r="F1959" t="s">
        <v>3249</v>
      </c>
      <c r="G1959" t="s">
        <v>3249</v>
      </c>
      <c r="H1959" t="s">
        <v>3250</v>
      </c>
      <c r="I1959" t="s">
        <v>3250</v>
      </c>
      <c r="J1959" t="s">
        <v>3250</v>
      </c>
      <c r="K1959" t="s">
        <v>3250</v>
      </c>
      <c r="L1959">
        <v>1200</v>
      </c>
      <c r="M1959" t="s">
        <v>2368</v>
      </c>
      <c r="N1959">
        <v>1204</v>
      </c>
      <c r="O1959" t="s">
        <v>1574</v>
      </c>
      <c r="P1959" t="s">
        <v>3108</v>
      </c>
      <c r="Q1959" t="s">
        <v>3249</v>
      </c>
      <c r="R1959" t="s">
        <v>3249</v>
      </c>
      <c r="S1959" t="s">
        <v>472</v>
      </c>
      <c r="T1959" t="s">
        <v>3251</v>
      </c>
      <c r="U1959">
        <v>140</v>
      </c>
      <c r="V1959" t="s">
        <v>1327</v>
      </c>
      <c r="W1959">
        <v>140</v>
      </c>
      <c r="X1959" t="s">
        <v>1327</v>
      </c>
      <c r="Y1959" t="s">
        <v>3250</v>
      </c>
      <c r="Z1959" t="s">
        <v>3250</v>
      </c>
      <c r="AA1959" t="s">
        <v>3108</v>
      </c>
      <c r="AB1959" t="s">
        <v>3108</v>
      </c>
      <c r="AC1959" t="s">
        <v>3250</v>
      </c>
      <c r="AD1959" t="s">
        <v>3250</v>
      </c>
      <c r="AE1959" t="s">
        <v>3250</v>
      </c>
      <c r="AF1959" t="s">
        <v>3250</v>
      </c>
      <c r="AG1959" t="s">
        <v>3250</v>
      </c>
      <c r="AH1959" t="s">
        <v>3250</v>
      </c>
      <c r="AI1959" t="s">
        <v>3250</v>
      </c>
      <c r="AJ1959" t="s">
        <v>3250</v>
      </c>
      <c r="AL1959">
        <v>141</v>
      </c>
      <c r="AM1959" t="s">
        <v>1327</v>
      </c>
      <c r="AN1959">
        <v>141</v>
      </c>
      <c r="AO1959" t="s">
        <v>1327</v>
      </c>
      <c r="AS1959" t="s">
        <v>3250</v>
      </c>
      <c r="AT1959" t="s">
        <v>3250</v>
      </c>
      <c r="AU1959" t="s">
        <v>3250</v>
      </c>
      <c r="AV1959" t="s">
        <v>3250</v>
      </c>
      <c r="AW1959" t="s">
        <v>3250</v>
      </c>
      <c r="AX1959" t="s">
        <v>3250</v>
      </c>
      <c r="AY1959" t="s">
        <v>3250</v>
      </c>
      <c r="AZ1959" t="s">
        <v>3250</v>
      </c>
      <c r="BA1959" t="s">
        <v>3250</v>
      </c>
      <c r="BB1959" t="s">
        <v>3250</v>
      </c>
      <c r="BC1959" t="s">
        <v>3250</v>
      </c>
      <c r="BE1959" t="s">
        <v>3250</v>
      </c>
      <c r="BF1959" t="s">
        <v>3250</v>
      </c>
      <c r="BG1959" t="s">
        <v>3250</v>
      </c>
      <c r="BH1959" t="s">
        <v>3250</v>
      </c>
      <c r="BI1959" t="s">
        <v>3250</v>
      </c>
      <c r="BK1959" t="s">
        <v>3250</v>
      </c>
      <c r="BL1959" t="s">
        <v>3250</v>
      </c>
      <c r="BM1959" t="s">
        <v>3250</v>
      </c>
      <c r="BN1959" t="s">
        <v>3250</v>
      </c>
      <c r="BP1959">
        <v>1</v>
      </c>
      <c r="BQ1959">
        <v>11</v>
      </c>
      <c r="BR1959" t="s">
        <v>1574</v>
      </c>
      <c r="BS1959" t="s">
        <v>3252</v>
      </c>
      <c r="BV1959">
        <v>0</v>
      </c>
      <c r="BW1959">
        <v>0</v>
      </c>
      <c r="BX1959">
        <v>0</v>
      </c>
      <c r="BY1959">
        <v>0</v>
      </c>
      <c r="BZ1959">
        <v>0</v>
      </c>
      <c r="CA1959">
        <v>0</v>
      </c>
      <c r="CB1959">
        <v>0</v>
      </c>
      <c r="CC1959">
        <v>0</v>
      </c>
      <c r="CD1959">
        <v>0</v>
      </c>
      <c r="CE1959" t="s">
        <v>3108</v>
      </c>
      <c r="CF1959" t="s">
        <v>3108</v>
      </c>
      <c r="CG1959" t="s">
        <v>3108</v>
      </c>
      <c r="CH1959" t="s">
        <v>3108</v>
      </c>
    </row>
    <row r="1960" spans="1:86" x14ac:dyDescent="0.2">
      <c r="A1960" t="s">
        <v>6108</v>
      </c>
      <c r="B1960" t="s">
        <v>6108</v>
      </c>
      <c r="C1960">
        <v>55083</v>
      </c>
      <c r="D1960">
        <v>2083</v>
      </c>
      <c r="E1960" t="s">
        <v>6109</v>
      </c>
      <c r="F1960" t="s">
        <v>3249</v>
      </c>
      <c r="G1960" t="s">
        <v>3249</v>
      </c>
      <c r="H1960" t="s">
        <v>3250</v>
      </c>
      <c r="I1960" t="s">
        <v>3250</v>
      </c>
      <c r="J1960" t="s">
        <v>3250</v>
      </c>
      <c r="K1960" t="s">
        <v>3250</v>
      </c>
      <c r="L1960">
        <v>1200</v>
      </c>
      <c r="M1960" t="s">
        <v>2368</v>
      </c>
      <c r="N1960">
        <v>1204</v>
      </c>
      <c r="O1960" t="s">
        <v>1574</v>
      </c>
      <c r="P1960" t="s">
        <v>3108</v>
      </c>
      <c r="Q1960" t="s">
        <v>3249</v>
      </c>
      <c r="R1960" t="s">
        <v>3249</v>
      </c>
      <c r="S1960" t="s">
        <v>472</v>
      </c>
      <c r="T1960" t="s">
        <v>3251</v>
      </c>
      <c r="U1960">
        <v>140</v>
      </c>
      <c r="V1960" t="s">
        <v>1327</v>
      </c>
      <c r="W1960">
        <v>140</v>
      </c>
      <c r="X1960" t="s">
        <v>1327</v>
      </c>
      <c r="Y1960" t="s">
        <v>3250</v>
      </c>
      <c r="Z1960" t="s">
        <v>3250</v>
      </c>
      <c r="AA1960" t="s">
        <v>3108</v>
      </c>
      <c r="AB1960" t="s">
        <v>3108</v>
      </c>
      <c r="AC1960" t="s">
        <v>3250</v>
      </c>
      <c r="AD1960" t="s">
        <v>3250</v>
      </c>
      <c r="AE1960" t="s">
        <v>3250</v>
      </c>
      <c r="AF1960" t="s">
        <v>3250</v>
      </c>
      <c r="AG1960" t="s">
        <v>3250</v>
      </c>
      <c r="AH1960" t="s">
        <v>3250</v>
      </c>
      <c r="AI1960" t="s">
        <v>3250</v>
      </c>
      <c r="AJ1960" t="s">
        <v>3250</v>
      </c>
      <c r="AL1960">
        <v>145</v>
      </c>
      <c r="AM1960" t="s">
        <v>4</v>
      </c>
      <c r="AN1960">
        <v>145</v>
      </c>
      <c r="AO1960" t="s">
        <v>4</v>
      </c>
      <c r="AS1960" t="s">
        <v>3250</v>
      </c>
      <c r="AT1960" t="s">
        <v>3250</v>
      </c>
      <c r="AU1960" t="s">
        <v>3250</v>
      </c>
      <c r="AV1960" t="s">
        <v>3250</v>
      </c>
      <c r="AW1960" t="s">
        <v>3250</v>
      </c>
      <c r="AX1960" t="s">
        <v>3250</v>
      </c>
      <c r="AY1960" t="s">
        <v>3250</v>
      </c>
      <c r="AZ1960" t="s">
        <v>3250</v>
      </c>
      <c r="BA1960" t="s">
        <v>3250</v>
      </c>
      <c r="BB1960" t="s">
        <v>3250</v>
      </c>
      <c r="BC1960" t="s">
        <v>3250</v>
      </c>
      <c r="BE1960" t="s">
        <v>3250</v>
      </c>
      <c r="BF1960" t="s">
        <v>3250</v>
      </c>
      <c r="BG1960" t="s">
        <v>3250</v>
      </c>
      <c r="BH1960" t="s">
        <v>3250</v>
      </c>
      <c r="BI1960" t="s">
        <v>3250</v>
      </c>
      <c r="BK1960" t="s">
        <v>3250</v>
      </c>
      <c r="BL1960" t="s">
        <v>3250</v>
      </c>
      <c r="BM1960" t="s">
        <v>3250</v>
      </c>
      <c r="BN1960" t="s">
        <v>3250</v>
      </c>
      <c r="BP1960">
        <v>1</v>
      </c>
      <c r="BQ1960">
        <v>11</v>
      </c>
      <c r="BR1960" t="s">
        <v>1574</v>
      </c>
      <c r="BS1960" t="s">
        <v>3252</v>
      </c>
      <c r="BV1960">
        <v>0</v>
      </c>
      <c r="BW1960">
        <v>0</v>
      </c>
      <c r="BX1960">
        <v>0</v>
      </c>
      <c r="BY1960">
        <v>0</v>
      </c>
      <c r="BZ1960">
        <v>0</v>
      </c>
      <c r="CA1960">
        <v>0</v>
      </c>
      <c r="CB1960">
        <v>0</v>
      </c>
      <c r="CC1960">
        <v>0</v>
      </c>
      <c r="CD1960">
        <v>0</v>
      </c>
      <c r="CE1960" t="s">
        <v>3108</v>
      </c>
      <c r="CF1960" t="s">
        <v>3108</v>
      </c>
      <c r="CG1960" t="s">
        <v>3108</v>
      </c>
      <c r="CH1960" t="s">
        <v>3108</v>
      </c>
    </row>
    <row r="1961" spans="1:86" x14ac:dyDescent="0.2">
      <c r="A1961" t="s">
        <v>6110</v>
      </c>
      <c r="B1961" t="s">
        <v>6110</v>
      </c>
      <c r="C1961">
        <v>55084</v>
      </c>
      <c r="D1961">
        <v>2084</v>
      </c>
      <c r="E1961" t="s">
        <v>6111</v>
      </c>
      <c r="F1961" t="s">
        <v>3249</v>
      </c>
      <c r="G1961" t="s">
        <v>3249</v>
      </c>
      <c r="H1961" t="s">
        <v>3250</v>
      </c>
      <c r="I1961" t="s">
        <v>3250</v>
      </c>
      <c r="J1961" t="s">
        <v>3250</v>
      </c>
      <c r="K1961" t="s">
        <v>3250</v>
      </c>
      <c r="L1961">
        <v>1200</v>
      </c>
      <c r="M1961" t="s">
        <v>2368</v>
      </c>
      <c r="N1961">
        <v>1204</v>
      </c>
      <c r="O1961" t="s">
        <v>1574</v>
      </c>
      <c r="P1961" t="s">
        <v>3108</v>
      </c>
      <c r="Q1961" t="s">
        <v>3249</v>
      </c>
      <c r="R1961" t="s">
        <v>3249</v>
      </c>
      <c r="S1961" t="s">
        <v>472</v>
      </c>
      <c r="T1961" t="s">
        <v>3251</v>
      </c>
      <c r="U1961">
        <v>140</v>
      </c>
      <c r="V1961" t="s">
        <v>1327</v>
      </c>
      <c r="W1961">
        <v>140</v>
      </c>
      <c r="X1961" t="s">
        <v>1327</v>
      </c>
      <c r="Y1961" t="s">
        <v>3250</v>
      </c>
      <c r="Z1961" t="s">
        <v>3250</v>
      </c>
      <c r="AA1961" t="s">
        <v>3108</v>
      </c>
      <c r="AB1961" t="s">
        <v>3108</v>
      </c>
      <c r="AC1961" t="s">
        <v>3250</v>
      </c>
      <c r="AD1961" t="s">
        <v>3250</v>
      </c>
      <c r="AE1961" t="s">
        <v>3250</v>
      </c>
      <c r="AF1961" t="s">
        <v>3250</v>
      </c>
      <c r="AG1961" t="s">
        <v>3250</v>
      </c>
      <c r="AH1961" t="s">
        <v>3250</v>
      </c>
      <c r="AI1961" t="s">
        <v>3250</v>
      </c>
      <c r="AJ1961" t="s">
        <v>3250</v>
      </c>
      <c r="AL1961">
        <v>145</v>
      </c>
      <c r="AM1961" t="s">
        <v>4</v>
      </c>
      <c r="AN1961">
        <v>145</v>
      </c>
      <c r="AO1961" t="s">
        <v>4</v>
      </c>
      <c r="AS1961" t="s">
        <v>3250</v>
      </c>
      <c r="AT1961" t="s">
        <v>3250</v>
      </c>
      <c r="AU1961" t="s">
        <v>3250</v>
      </c>
      <c r="AV1961" t="s">
        <v>3250</v>
      </c>
      <c r="AW1961" t="s">
        <v>3250</v>
      </c>
      <c r="AX1961" t="s">
        <v>3250</v>
      </c>
      <c r="AY1961" t="s">
        <v>3250</v>
      </c>
      <c r="AZ1961" t="s">
        <v>3250</v>
      </c>
      <c r="BA1961" t="s">
        <v>3250</v>
      </c>
      <c r="BB1961" t="s">
        <v>3250</v>
      </c>
      <c r="BC1961" t="s">
        <v>3250</v>
      </c>
      <c r="BE1961" t="s">
        <v>3250</v>
      </c>
      <c r="BF1961" t="s">
        <v>3250</v>
      </c>
      <c r="BG1961" t="s">
        <v>3250</v>
      </c>
      <c r="BH1961" t="s">
        <v>3250</v>
      </c>
      <c r="BI1961" t="s">
        <v>3250</v>
      </c>
      <c r="BK1961" t="s">
        <v>3250</v>
      </c>
      <c r="BL1961" t="s">
        <v>3250</v>
      </c>
      <c r="BM1961" t="s">
        <v>3250</v>
      </c>
      <c r="BN1961" t="s">
        <v>3250</v>
      </c>
      <c r="BP1961">
        <v>1</v>
      </c>
      <c r="BQ1961">
        <v>11</v>
      </c>
      <c r="BR1961" t="s">
        <v>1574</v>
      </c>
      <c r="BS1961" t="s">
        <v>3252</v>
      </c>
      <c r="BV1961">
        <v>0</v>
      </c>
      <c r="BW1961">
        <v>0</v>
      </c>
      <c r="BX1961">
        <v>0</v>
      </c>
      <c r="BY1961">
        <v>0</v>
      </c>
      <c r="BZ1961">
        <v>0</v>
      </c>
      <c r="CA1961">
        <v>0</v>
      </c>
      <c r="CB1961">
        <v>0</v>
      </c>
      <c r="CC1961">
        <v>0</v>
      </c>
      <c r="CD1961">
        <v>0</v>
      </c>
      <c r="CE1961" t="s">
        <v>3108</v>
      </c>
      <c r="CF1961" t="s">
        <v>3108</v>
      </c>
      <c r="CG1961" t="s">
        <v>3108</v>
      </c>
      <c r="CH1961" t="s">
        <v>3108</v>
      </c>
    </row>
    <row r="1962" spans="1:86" x14ac:dyDescent="0.2">
      <c r="A1962" t="s">
        <v>6112</v>
      </c>
      <c r="B1962" t="s">
        <v>6112</v>
      </c>
      <c r="C1962">
        <v>55085</v>
      </c>
      <c r="D1962">
        <v>2085</v>
      </c>
      <c r="E1962" t="s">
        <v>6113</v>
      </c>
      <c r="F1962" t="s">
        <v>3249</v>
      </c>
      <c r="G1962" t="s">
        <v>3249</v>
      </c>
      <c r="H1962" t="s">
        <v>3250</v>
      </c>
      <c r="I1962" t="s">
        <v>3250</v>
      </c>
      <c r="J1962" t="s">
        <v>3250</v>
      </c>
      <c r="K1962" t="s">
        <v>3250</v>
      </c>
      <c r="L1962">
        <v>1200</v>
      </c>
      <c r="M1962" t="s">
        <v>2368</v>
      </c>
      <c r="N1962">
        <v>1204</v>
      </c>
      <c r="O1962" t="s">
        <v>1574</v>
      </c>
      <c r="P1962" t="s">
        <v>3108</v>
      </c>
      <c r="Q1962" t="s">
        <v>3249</v>
      </c>
      <c r="R1962" t="s">
        <v>3249</v>
      </c>
      <c r="S1962" t="s">
        <v>472</v>
      </c>
      <c r="T1962" t="s">
        <v>3251</v>
      </c>
      <c r="U1962">
        <v>140</v>
      </c>
      <c r="V1962" t="s">
        <v>1327</v>
      </c>
      <c r="W1962">
        <v>140</v>
      </c>
      <c r="X1962" t="s">
        <v>1327</v>
      </c>
      <c r="Y1962" t="s">
        <v>3250</v>
      </c>
      <c r="Z1962" t="s">
        <v>3250</v>
      </c>
      <c r="AA1962" t="s">
        <v>3108</v>
      </c>
      <c r="AB1962" t="s">
        <v>3108</v>
      </c>
      <c r="AC1962" t="s">
        <v>3250</v>
      </c>
      <c r="AD1962" t="s">
        <v>3250</v>
      </c>
      <c r="AE1962" t="s">
        <v>3250</v>
      </c>
      <c r="AF1962" t="s">
        <v>3250</v>
      </c>
      <c r="AG1962" t="s">
        <v>3250</v>
      </c>
      <c r="AH1962" t="s">
        <v>3250</v>
      </c>
      <c r="AI1962" t="s">
        <v>3250</v>
      </c>
      <c r="AJ1962" t="s">
        <v>3250</v>
      </c>
      <c r="AL1962">
        <v>141</v>
      </c>
      <c r="AM1962" t="s">
        <v>1327</v>
      </c>
      <c r="AN1962">
        <v>141</v>
      </c>
      <c r="AO1962" t="s">
        <v>1327</v>
      </c>
      <c r="AS1962" t="s">
        <v>3250</v>
      </c>
      <c r="AT1962" t="s">
        <v>3250</v>
      </c>
      <c r="AU1962" t="s">
        <v>3250</v>
      </c>
      <c r="AV1962" t="s">
        <v>3250</v>
      </c>
      <c r="AW1962" t="s">
        <v>3250</v>
      </c>
      <c r="AX1962" t="s">
        <v>3250</v>
      </c>
      <c r="AY1962" t="s">
        <v>3250</v>
      </c>
      <c r="AZ1962" t="s">
        <v>3250</v>
      </c>
      <c r="BA1962" t="s">
        <v>3250</v>
      </c>
      <c r="BB1962" t="s">
        <v>3250</v>
      </c>
      <c r="BC1962" t="s">
        <v>3250</v>
      </c>
      <c r="BE1962" t="s">
        <v>3250</v>
      </c>
      <c r="BF1962" t="s">
        <v>3250</v>
      </c>
      <c r="BG1962" t="s">
        <v>3250</v>
      </c>
      <c r="BH1962" t="s">
        <v>3250</v>
      </c>
      <c r="BI1962" t="s">
        <v>3250</v>
      </c>
      <c r="BK1962" t="s">
        <v>3250</v>
      </c>
      <c r="BL1962" t="s">
        <v>3250</v>
      </c>
      <c r="BM1962" t="s">
        <v>3250</v>
      </c>
      <c r="BN1962" t="s">
        <v>3250</v>
      </c>
      <c r="BP1962">
        <v>1</v>
      </c>
      <c r="BQ1962">
        <v>11</v>
      </c>
      <c r="BR1962" t="s">
        <v>1574</v>
      </c>
      <c r="BS1962" t="s">
        <v>3252</v>
      </c>
      <c r="BV1962">
        <v>0</v>
      </c>
      <c r="BW1962">
        <v>0</v>
      </c>
      <c r="BX1962">
        <v>0</v>
      </c>
      <c r="BY1962">
        <v>0</v>
      </c>
      <c r="BZ1962">
        <v>0</v>
      </c>
      <c r="CA1962">
        <v>0</v>
      </c>
      <c r="CB1962">
        <v>0</v>
      </c>
      <c r="CC1962">
        <v>0</v>
      </c>
      <c r="CD1962">
        <v>0</v>
      </c>
      <c r="CE1962" t="s">
        <v>3108</v>
      </c>
      <c r="CF1962" t="s">
        <v>3108</v>
      </c>
      <c r="CG1962" t="s">
        <v>3108</v>
      </c>
      <c r="CH1962" t="s">
        <v>3108</v>
      </c>
    </row>
    <row r="1963" spans="1:86" x14ac:dyDescent="0.2">
      <c r="A1963" t="s">
        <v>6114</v>
      </c>
      <c r="B1963" t="s">
        <v>6114</v>
      </c>
      <c r="C1963">
        <v>55086</v>
      </c>
      <c r="D1963">
        <v>2086</v>
      </c>
      <c r="E1963" t="s">
        <v>6115</v>
      </c>
      <c r="F1963" t="s">
        <v>3249</v>
      </c>
      <c r="G1963" t="s">
        <v>3249</v>
      </c>
      <c r="H1963" t="s">
        <v>3250</v>
      </c>
      <c r="I1963" t="s">
        <v>3250</v>
      </c>
      <c r="J1963" t="s">
        <v>3250</v>
      </c>
      <c r="K1963" t="s">
        <v>3250</v>
      </c>
      <c r="L1963">
        <v>1200</v>
      </c>
      <c r="M1963" t="s">
        <v>2368</v>
      </c>
      <c r="N1963">
        <v>1204</v>
      </c>
      <c r="O1963" t="s">
        <v>1574</v>
      </c>
      <c r="P1963" t="s">
        <v>3108</v>
      </c>
      <c r="Q1963" t="s">
        <v>3249</v>
      </c>
      <c r="R1963" t="s">
        <v>3249</v>
      </c>
      <c r="S1963" t="s">
        <v>472</v>
      </c>
      <c r="T1963" t="s">
        <v>3251</v>
      </c>
      <c r="U1963">
        <v>140</v>
      </c>
      <c r="V1963" t="s">
        <v>1327</v>
      </c>
      <c r="W1963">
        <v>140</v>
      </c>
      <c r="X1963" t="s">
        <v>1327</v>
      </c>
      <c r="Y1963" t="s">
        <v>3250</v>
      </c>
      <c r="Z1963" t="s">
        <v>3250</v>
      </c>
      <c r="AA1963" t="s">
        <v>3108</v>
      </c>
      <c r="AB1963" t="s">
        <v>3108</v>
      </c>
      <c r="AC1963" t="s">
        <v>3250</v>
      </c>
      <c r="AD1963" t="s">
        <v>3250</v>
      </c>
      <c r="AE1963" t="s">
        <v>3250</v>
      </c>
      <c r="AF1963" t="s">
        <v>3250</v>
      </c>
      <c r="AG1963" t="s">
        <v>3250</v>
      </c>
      <c r="AH1963" t="s">
        <v>3250</v>
      </c>
      <c r="AI1963" t="s">
        <v>3250</v>
      </c>
      <c r="AJ1963" t="s">
        <v>3250</v>
      </c>
      <c r="AL1963">
        <v>141</v>
      </c>
      <c r="AM1963" t="s">
        <v>1327</v>
      </c>
      <c r="AN1963">
        <v>141</v>
      </c>
      <c r="AO1963" t="s">
        <v>1327</v>
      </c>
      <c r="AS1963" t="s">
        <v>3250</v>
      </c>
      <c r="AT1963" t="s">
        <v>3250</v>
      </c>
      <c r="AU1963" t="s">
        <v>3250</v>
      </c>
      <c r="AV1963" t="s">
        <v>3250</v>
      </c>
      <c r="AW1963" t="s">
        <v>3250</v>
      </c>
      <c r="AX1963" t="s">
        <v>3250</v>
      </c>
      <c r="AY1963" t="s">
        <v>3250</v>
      </c>
      <c r="AZ1963" t="s">
        <v>3250</v>
      </c>
      <c r="BA1963" t="s">
        <v>3250</v>
      </c>
      <c r="BB1963" t="s">
        <v>3250</v>
      </c>
      <c r="BC1963" t="s">
        <v>3250</v>
      </c>
      <c r="BE1963" t="s">
        <v>3250</v>
      </c>
      <c r="BF1963" t="s">
        <v>3250</v>
      </c>
      <c r="BG1963" t="s">
        <v>3250</v>
      </c>
      <c r="BH1963" t="s">
        <v>3250</v>
      </c>
      <c r="BI1963" t="s">
        <v>3250</v>
      </c>
      <c r="BK1963" t="s">
        <v>3250</v>
      </c>
      <c r="BL1963" t="s">
        <v>3250</v>
      </c>
      <c r="BM1963" t="s">
        <v>3250</v>
      </c>
      <c r="BN1963" t="s">
        <v>3250</v>
      </c>
      <c r="BP1963">
        <v>1</v>
      </c>
      <c r="BQ1963">
        <v>11</v>
      </c>
      <c r="BR1963" t="s">
        <v>1574</v>
      </c>
      <c r="BS1963" t="s">
        <v>3252</v>
      </c>
      <c r="BV1963">
        <v>0</v>
      </c>
      <c r="BW1963">
        <v>0</v>
      </c>
      <c r="BX1963">
        <v>0</v>
      </c>
      <c r="BY1963">
        <v>0</v>
      </c>
      <c r="BZ1963">
        <v>0</v>
      </c>
      <c r="CA1963">
        <v>0</v>
      </c>
      <c r="CB1963">
        <v>0</v>
      </c>
      <c r="CC1963">
        <v>0</v>
      </c>
      <c r="CD1963">
        <v>0</v>
      </c>
      <c r="CE1963" t="s">
        <v>3108</v>
      </c>
      <c r="CF1963" t="s">
        <v>3108</v>
      </c>
      <c r="CG1963" t="s">
        <v>3108</v>
      </c>
      <c r="CH1963" t="s">
        <v>3108</v>
      </c>
    </row>
    <row r="1964" spans="1:86" x14ac:dyDescent="0.2">
      <c r="A1964" t="s">
        <v>6116</v>
      </c>
      <c r="B1964" t="s">
        <v>6116</v>
      </c>
      <c r="C1964">
        <v>55087</v>
      </c>
      <c r="D1964">
        <v>2087</v>
      </c>
      <c r="E1964" t="s">
        <v>6117</v>
      </c>
      <c r="F1964" t="s">
        <v>3249</v>
      </c>
      <c r="G1964" t="s">
        <v>3249</v>
      </c>
      <c r="H1964" t="s">
        <v>3250</v>
      </c>
      <c r="I1964" t="s">
        <v>3250</v>
      </c>
      <c r="J1964" t="s">
        <v>3250</v>
      </c>
      <c r="K1964" t="s">
        <v>3250</v>
      </c>
      <c r="L1964">
        <v>1200</v>
      </c>
      <c r="M1964" t="s">
        <v>2368</v>
      </c>
      <c r="N1964">
        <v>1204</v>
      </c>
      <c r="O1964" t="s">
        <v>1574</v>
      </c>
      <c r="P1964" t="s">
        <v>3108</v>
      </c>
      <c r="Q1964" t="s">
        <v>3249</v>
      </c>
      <c r="R1964" t="s">
        <v>3249</v>
      </c>
      <c r="S1964" t="s">
        <v>472</v>
      </c>
      <c r="T1964" t="s">
        <v>3251</v>
      </c>
      <c r="U1964">
        <v>140</v>
      </c>
      <c r="V1964" t="s">
        <v>1327</v>
      </c>
      <c r="W1964">
        <v>140</v>
      </c>
      <c r="X1964" t="s">
        <v>1327</v>
      </c>
      <c r="Y1964" t="s">
        <v>3250</v>
      </c>
      <c r="Z1964" t="s">
        <v>3250</v>
      </c>
      <c r="AA1964" t="s">
        <v>3108</v>
      </c>
      <c r="AB1964" t="s">
        <v>3108</v>
      </c>
      <c r="AC1964" t="s">
        <v>3250</v>
      </c>
      <c r="AD1964" t="s">
        <v>3250</v>
      </c>
      <c r="AE1964" t="s">
        <v>3250</v>
      </c>
      <c r="AF1964" t="s">
        <v>3250</v>
      </c>
      <c r="AG1964" t="s">
        <v>3250</v>
      </c>
      <c r="AH1964" t="s">
        <v>3250</v>
      </c>
      <c r="AI1964" t="s">
        <v>3250</v>
      </c>
      <c r="AJ1964" t="s">
        <v>3250</v>
      </c>
      <c r="AL1964">
        <v>145</v>
      </c>
      <c r="AM1964" t="s">
        <v>4</v>
      </c>
      <c r="AN1964">
        <v>145</v>
      </c>
      <c r="AO1964" t="s">
        <v>4</v>
      </c>
      <c r="AS1964" t="s">
        <v>3250</v>
      </c>
      <c r="AT1964" t="s">
        <v>3250</v>
      </c>
      <c r="AU1964" t="s">
        <v>3250</v>
      </c>
      <c r="AV1964" t="s">
        <v>3250</v>
      </c>
      <c r="AW1964" t="s">
        <v>3250</v>
      </c>
      <c r="AX1964" t="s">
        <v>3250</v>
      </c>
      <c r="AY1964" t="s">
        <v>3250</v>
      </c>
      <c r="AZ1964" t="s">
        <v>3250</v>
      </c>
      <c r="BA1964" t="s">
        <v>3250</v>
      </c>
      <c r="BB1964" t="s">
        <v>3250</v>
      </c>
      <c r="BC1964" t="s">
        <v>3250</v>
      </c>
      <c r="BE1964" t="s">
        <v>3250</v>
      </c>
      <c r="BF1964" t="s">
        <v>3250</v>
      </c>
      <c r="BG1964" t="s">
        <v>3250</v>
      </c>
      <c r="BH1964" t="s">
        <v>3250</v>
      </c>
      <c r="BI1964" t="s">
        <v>3250</v>
      </c>
      <c r="BK1964" t="s">
        <v>3250</v>
      </c>
      <c r="BL1964" t="s">
        <v>3250</v>
      </c>
      <c r="BM1964" t="s">
        <v>3250</v>
      </c>
      <c r="BN1964" t="s">
        <v>3250</v>
      </c>
      <c r="BP1964">
        <v>1</v>
      </c>
      <c r="BQ1964">
        <v>11</v>
      </c>
      <c r="BR1964" t="s">
        <v>1574</v>
      </c>
      <c r="BS1964" t="s">
        <v>3252</v>
      </c>
      <c r="BV1964">
        <v>0</v>
      </c>
      <c r="BW1964">
        <v>0</v>
      </c>
      <c r="BX1964">
        <v>0</v>
      </c>
      <c r="BY1964">
        <v>0</v>
      </c>
      <c r="BZ1964">
        <v>0</v>
      </c>
      <c r="CA1964">
        <v>0</v>
      </c>
      <c r="CB1964">
        <v>0</v>
      </c>
      <c r="CC1964">
        <v>0</v>
      </c>
      <c r="CD1964">
        <v>0</v>
      </c>
      <c r="CE1964" t="s">
        <v>3108</v>
      </c>
      <c r="CF1964" t="s">
        <v>3108</v>
      </c>
      <c r="CG1964" t="s">
        <v>3108</v>
      </c>
      <c r="CH1964" t="s">
        <v>3108</v>
      </c>
    </row>
    <row r="1965" spans="1:86" x14ac:dyDescent="0.2">
      <c r="A1965" t="s">
        <v>6118</v>
      </c>
      <c r="B1965" t="s">
        <v>6118</v>
      </c>
      <c r="C1965">
        <v>55088</v>
      </c>
      <c r="D1965">
        <v>2088</v>
      </c>
      <c r="E1965" t="s">
        <v>6119</v>
      </c>
      <c r="F1965" t="s">
        <v>3249</v>
      </c>
      <c r="G1965" t="s">
        <v>3249</v>
      </c>
      <c r="H1965" t="s">
        <v>3250</v>
      </c>
      <c r="I1965" t="s">
        <v>3250</v>
      </c>
      <c r="J1965" t="s">
        <v>3250</v>
      </c>
      <c r="K1965" t="s">
        <v>3250</v>
      </c>
      <c r="L1965">
        <v>1200</v>
      </c>
      <c r="M1965" t="s">
        <v>2368</v>
      </c>
      <c r="N1965">
        <v>1204</v>
      </c>
      <c r="O1965" t="s">
        <v>1574</v>
      </c>
      <c r="P1965" t="s">
        <v>3108</v>
      </c>
      <c r="Q1965" t="s">
        <v>3249</v>
      </c>
      <c r="R1965" t="s">
        <v>3249</v>
      </c>
      <c r="S1965" t="s">
        <v>472</v>
      </c>
      <c r="T1965" t="s">
        <v>3251</v>
      </c>
      <c r="U1965">
        <v>140</v>
      </c>
      <c r="V1965" t="s">
        <v>1327</v>
      </c>
      <c r="W1965">
        <v>140</v>
      </c>
      <c r="X1965" t="s">
        <v>1327</v>
      </c>
      <c r="Y1965" t="s">
        <v>3250</v>
      </c>
      <c r="Z1965" t="s">
        <v>3250</v>
      </c>
      <c r="AA1965" t="s">
        <v>3108</v>
      </c>
      <c r="AB1965" t="s">
        <v>3108</v>
      </c>
      <c r="AC1965" t="s">
        <v>3250</v>
      </c>
      <c r="AD1965" t="s">
        <v>3250</v>
      </c>
      <c r="AE1965" t="s">
        <v>3250</v>
      </c>
      <c r="AF1965" t="s">
        <v>3250</v>
      </c>
      <c r="AG1965" t="s">
        <v>3250</v>
      </c>
      <c r="AH1965" t="s">
        <v>3250</v>
      </c>
      <c r="AI1965" t="s">
        <v>3250</v>
      </c>
      <c r="AJ1965" t="s">
        <v>3250</v>
      </c>
      <c r="AL1965">
        <v>145</v>
      </c>
      <c r="AM1965" t="s">
        <v>4</v>
      </c>
      <c r="AN1965">
        <v>145</v>
      </c>
      <c r="AO1965" t="s">
        <v>4</v>
      </c>
      <c r="AS1965" t="s">
        <v>3250</v>
      </c>
      <c r="AT1965" t="s">
        <v>3250</v>
      </c>
      <c r="AU1965" t="s">
        <v>3250</v>
      </c>
      <c r="AV1965" t="s">
        <v>3250</v>
      </c>
      <c r="AW1965" t="s">
        <v>3250</v>
      </c>
      <c r="AX1965" t="s">
        <v>3250</v>
      </c>
      <c r="AY1965" t="s">
        <v>3250</v>
      </c>
      <c r="AZ1965" t="s">
        <v>3250</v>
      </c>
      <c r="BA1965" t="s">
        <v>3250</v>
      </c>
      <c r="BB1965" t="s">
        <v>3250</v>
      </c>
      <c r="BC1965" t="s">
        <v>3250</v>
      </c>
      <c r="BE1965" t="s">
        <v>3250</v>
      </c>
      <c r="BF1965" t="s">
        <v>3250</v>
      </c>
      <c r="BG1965" t="s">
        <v>3250</v>
      </c>
      <c r="BH1965" t="s">
        <v>3250</v>
      </c>
      <c r="BI1965" t="s">
        <v>3250</v>
      </c>
      <c r="BK1965" t="s">
        <v>3250</v>
      </c>
      <c r="BL1965" t="s">
        <v>3250</v>
      </c>
      <c r="BM1965" t="s">
        <v>3250</v>
      </c>
      <c r="BN1965" t="s">
        <v>3250</v>
      </c>
      <c r="BP1965">
        <v>1</v>
      </c>
      <c r="BQ1965">
        <v>11</v>
      </c>
      <c r="BR1965" t="s">
        <v>1574</v>
      </c>
      <c r="BS1965" t="s">
        <v>3252</v>
      </c>
      <c r="BV1965">
        <v>0</v>
      </c>
      <c r="BW1965">
        <v>0</v>
      </c>
      <c r="BX1965">
        <v>0</v>
      </c>
      <c r="BY1965">
        <v>0</v>
      </c>
      <c r="BZ1965">
        <v>0</v>
      </c>
      <c r="CA1965">
        <v>0</v>
      </c>
      <c r="CB1965">
        <v>0</v>
      </c>
      <c r="CC1965">
        <v>0</v>
      </c>
      <c r="CD1965">
        <v>0</v>
      </c>
      <c r="CE1965" t="s">
        <v>3108</v>
      </c>
      <c r="CF1965" t="s">
        <v>3108</v>
      </c>
      <c r="CG1965" t="s">
        <v>3108</v>
      </c>
      <c r="CH1965" t="s">
        <v>3108</v>
      </c>
    </row>
    <row r="1966" spans="1:86" x14ac:dyDescent="0.2">
      <c r="A1966" t="s">
        <v>6120</v>
      </c>
      <c r="B1966" t="s">
        <v>6120</v>
      </c>
      <c r="C1966">
        <v>55089</v>
      </c>
      <c r="D1966">
        <v>2089</v>
      </c>
      <c r="E1966" t="s">
        <v>6121</v>
      </c>
      <c r="F1966" t="s">
        <v>3249</v>
      </c>
      <c r="G1966" t="s">
        <v>3249</v>
      </c>
      <c r="H1966" t="s">
        <v>3250</v>
      </c>
      <c r="I1966" t="s">
        <v>3250</v>
      </c>
      <c r="J1966" t="s">
        <v>3250</v>
      </c>
      <c r="K1966" t="s">
        <v>3250</v>
      </c>
      <c r="L1966">
        <v>1200</v>
      </c>
      <c r="M1966" t="s">
        <v>2368</v>
      </c>
      <c r="N1966">
        <v>1204</v>
      </c>
      <c r="O1966" t="s">
        <v>1574</v>
      </c>
      <c r="P1966" t="s">
        <v>3108</v>
      </c>
      <c r="Q1966" t="s">
        <v>3249</v>
      </c>
      <c r="R1966" t="s">
        <v>3249</v>
      </c>
      <c r="S1966" t="s">
        <v>472</v>
      </c>
      <c r="T1966" t="s">
        <v>3251</v>
      </c>
      <c r="U1966">
        <v>140</v>
      </c>
      <c r="V1966" t="s">
        <v>1327</v>
      </c>
      <c r="W1966">
        <v>140</v>
      </c>
      <c r="X1966" t="s">
        <v>1327</v>
      </c>
      <c r="Y1966" t="s">
        <v>3250</v>
      </c>
      <c r="Z1966" t="s">
        <v>3250</v>
      </c>
      <c r="AA1966" t="s">
        <v>3108</v>
      </c>
      <c r="AB1966" t="s">
        <v>3108</v>
      </c>
      <c r="AC1966" t="s">
        <v>3250</v>
      </c>
      <c r="AD1966" t="s">
        <v>3250</v>
      </c>
      <c r="AE1966" t="s">
        <v>3250</v>
      </c>
      <c r="AF1966" t="s">
        <v>3250</v>
      </c>
      <c r="AG1966" t="s">
        <v>3250</v>
      </c>
      <c r="AH1966" t="s">
        <v>3250</v>
      </c>
      <c r="AI1966" t="s">
        <v>3250</v>
      </c>
      <c r="AJ1966" t="s">
        <v>3250</v>
      </c>
      <c r="AL1966">
        <v>141</v>
      </c>
      <c r="AM1966" t="s">
        <v>1327</v>
      </c>
      <c r="AN1966">
        <v>141</v>
      </c>
      <c r="AO1966" t="s">
        <v>1327</v>
      </c>
      <c r="AS1966" t="s">
        <v>3250</v>
      </c>
      <c r="AT1966" t="s">
        <v>3250</v>
      </c>
      <c r="AU1966" t="s">
        <v>3250</v>
      </c>
      <c r="AV1966" t="s">
        <v>3250</v>
      </c>
      <c r="AW1966" t="s">
        <v>3250</v>
      </c>
      <c r="AX1966" t="s">
        <v>3250</v>
      </c>
      <c r="AY1966" t="s">
        <v>3250</v>
      </c>
      <c r="AZ1966" t="s">
        <v>3250</v>
      </c>
      <c r="BA1966" t="s">
        <v>3250</v>
      </c>
      <c r="BB1966" t="s">
        <v>3250</v>
      </c>
      <c r="BC1966" t="s">
        <v>3250</v>
      </c>
      <c r="BE1966" t="s">
        <v>3250</v>
      </c>
      <c r="BF1966" t="s">
        <v>3250</v>
      </c>
      <c r="BG1966" t="s">
        <v>3250</v>
      </c>
      <c r="BH1966" t="s">
        <v>3250</v>
      </c>
      <c r="BI1966" t="s">
        <v>3250</v>
      </c>
      <c r="BK1966" t="s">
        <v>3250</v>
      </c>
      <c r="BL1966" t="s">
        <v>3250</v>
      </c>
      <c r="BM1966" t="s">
        <v>3250</v>
      </c>
      <c r="BN1966" t="s">
        <v>3250</v>
      </c>
      <c r="BP1966">
        <v>1</v>
      </c>
      <c r="BQ1966">
        <v>11</v>
      </c>
      <c r="BR1966" t="s">
        <v>1574</v>
      </c>
      <c r="BS1966" t="s">
        <v>3252</v>
      </c>
      <c r="BV1966">
        <v>0</v>
      </c>
      <c r="BW1966">
        <v>0</v>
      </c>
      <c r="BX1966">
        <v>0</v>
      </c>
      <c r="BY1966">
        <v>0</v>
      </c>
      <c r="BZ1966">
        <v>0</v>
      </c>
      <c r="CA1966">
        <v>0</v>
      </c>
      <c r="CB1966">
        <v>0</v>
      </c>
      <c r="CC1966">
        <v>0</v>
      </c>
      <c r="CD1966">
        <v>0</v>
      </c>
      <c r="CE1966" t="s">
        <v>3108</v>
      </c>
      <c r="CF1966" t="s">
        <v>3108</v>
      </c>
      <c r="CG1966" t="s">
        <v>3108</v>
      </c>
      <c r="CH1966" t="s">
        <v>3108</v>
      </c>
    </row>
    <row r="1967" spans="1:86" x14ac:dyDescent="0.2">
      <c r="A1967" t="s">
        <v>6122</v>
      </c>
      <c r="B1967" t="s">
        <v>6122</v>
      </c>
      <c r="C1967">
        <v>55090</v>
      </c>
      <c r="D1967">
        <v>2090</v>
      </c>
      <c r="E1967" t="s">
        <v>6123</v>
      </c>
      <c r="F1967" t="s">
        <v>3249</v>
      </c>
      <c r="G1967" t="s">
        <v>3249</v>
      </c>
      <c r="H1967" t="s">
        <v>3250</v>
      </c>
      <c r="I1967" t="s">
        <v>3250</v>
      </c>
      <c r="J1967" t="s">
        <v>3250</v>
      </c>
      <c r="K1967" t="s">
        <v>3250</v>
      </c>
      <c r="L1967">
        <v>1200</v>
      </c>
      <c r="M1967" t="s">
        <v>2368</v>
      </c>
      <c r="N1967">
        <v>1204</v>
      </c>
      <c r="O1967" t="s">
        <v>1574</v>
      </c>
      <c r="P1967" t="s">
        <v>3108</v>
      </c>
      <c r="Q1967" t="s">
        <v>3249</v>
      </c>
      <c r="R1967" t="s">
        <v>3249</v>
      </c>
      <c r="S1967" t="s">
        <v>472</v>
      </c>
      <c r="T1967" t="s">
        <v>3251</v>
      </c>
      <c r="U1967">
        <v>140</v>
      </c>
      <c r="V1967" t="s">
        <v>1327</v>
      </c>
      <c r="W1967">
        <v>140</v>
      </c>
      <c r="X1967" t="s">
        <v>1327</v>
      </c>
      <c r="Y1967" t="s">
        <v>3250</v>
      </c>
      <c r="Z1967" t="s">
        <v>3250</v>
      </c>
      <c r="AA1967" t="s">
        <v>3108</v>
      </c>
      <c r="AB1967" t="s">
        <v>3108</v>
      </c>
      <c r="AC1967" t="s">
        <v>3250</v>
      </c>
      <c r="AD1967" t="s">
        <v>3250</v>
      </c>
      <c r="AE1967" t="s">
        <v>3250</v>
      </c>
      <c r="AF1967" t="s">
        <v>3250</v>
      </c>
      <c r="AG1967" t="s">
        <v>3250</v>
      </c>
      <c r="AH1967" t="s">
        <v>3250</v>
      </c>
      <c r="AI1967" t="s">
        <v>3250</v>
      </c>
      <c r="AJ1967" t="s">
        <v>3250</v>
      </c>
      <c r="AL1967">
        <v>145</v>
      </c>
      <c r="AM1967" t="s">
        <v>4</v>
      </c>
      <c r="AN1967">
        <v>145</v>
      </c>
      <c r="AO1967" t="s">
        <v>4</v>
      </c>
      <c r="AS1967" t="s">
        <v>3250</v>
      </c>
      <c r="AT1967" t="s">
        <v>3250</v>
      </c>
      <c r="AU1967" t="s">
        <v>3250</v>
      </c>
      <c r="AV1967" t="s">
        <v>3250</v>
      </c>
      <c r="AW1967" t="s">
        <v>3250</v>
      </c>
      <c r="AX1967" t="s">
        <v>3250</v>
      </c>
      <c r="AY1967" t="s">
        <v>3250</v>
      </c>
      <c r="AZ1967" t="s">
        <v>3250</v>
      </c>
      <c r="BA1967" t="s">
        <v>3250</v>
      </c>
      <c r="BB1967" t="s">
        <v>3250</v>
      </c>
      <c r="BC1967" t="s">
        <v>3250</v>
      </c>
      <c r="BE1967" t="s">
        <v>3250</v>
      </c>
      <c r="BF1967" t="s">
        <v>3250</v>
      </c>
      <c r="BG1967" t="s">
        <v>3250</v>
      </c>
      <c r="BH1967" t="s">
        <v>3250</v>
      </c>
      <c r="BI1967" t="s">
        <v>3250</v>
      </c>
      <c r="BK1967" t="s">
        <v>3250</v>
      </c>
      <c r="BL1967" t="s">
        <v>3250</v>
      </c>
      <c r="BM1967" t="s">
        <v>3250</v>
      </c>
      <c r="BN1967" t="s">
        <v>3250</v>
      </c>
      <c r="BP1967">
        <v>1</v>
      </c>
      <c r="BQ1967">
        <v>11</v>
      </c>
      <c r="BR1967" t="s">
        <v>1574</v>
      </c>
      <c r="BS1967" t="s">
        <v>3252</v>
      </c>
      <c r="BV1967">
        <v>0</v>
      </c>
      <c r="BW1967">
        <v>0</v>
      </c>
      <c r="BX1967">
        <v>0</v>
      </c>
      <c r="BY1967">
        <v>0</v>
      </c>
      <c r="BZ1967">
        <v>0</v>
      </c>
      <c r="CA1967">
        <v>0</v>
      </c>
      <c r="CB1967">
        <v>0</v>
      </c>
      <c r="CC1967">
        <v>0</v>
      </c>
      <c r="CD1967">
        <v>0</v>
      </c>
      <c r="CE1967" t="s">
        <v>3108</v>
      </c>
      <c r="CF1967" t="s">
        <v>3108</v>
      </c>
      <c r="CG1967" t="s">
        <v>3108</v>
      </c>
      <c r="CH1967" t="s">
        <v>3108</v>
      </c>
    </row>
    <row r="1968" spans="1:86" x14ac:dyDescent="0.2">
      <c r="A1968" t="s">
        <v>6124</v>
      </c>
      <c r="B1968" t="s">
        <v>6124</v>
      </c>
      <c r="C1968">
        <v>55091</v>
      </c>
      <c r="D1968">
        <v>2091</v>
      </c>
      <c r="E1968" t="s">
        <v>6125</v>
      </c>
      <c r="F1968" t="s">
        <v>3249</v>
      </c>
      <c r="G1968" t="s">
        <v>3249</v>
      </c>
      <c r="H1968" t="s">
        <v>3250</v>
      </c>
      <c r="I1968" t="s">
        <v>3250</v>
      </c>
      <c r="J1968" t="s">
        <v>3250</v>
      </c>
      <c r="K1968" t="s">
        <v>3250</v>
      </c>
      <c r="L1968">
        <v>1200</v>
      </c>
      <c r="M1968" t="s">
        <v>2368</v>
      </c>
      <c r="N1968">
        <v>1204</v>
      </c>
      <c r="O1968" t="s">
        <v>1574</v>
      </c>
      <c r="P1968" t="s">
        <v>3108</v>
      </c>
      <c r="Q1968" t="s">
        <v>3249</v>
      </c>
      <c r="R1968" t="s">
        <v>3249</v>
      </c>
      <c r="S1968" t="s">
        <v>472</v>
      </c>
      <c r="T1968" t="s">
        <v>3251</v>
      </c>
      <c r="U1968">
        <v>140</v>
      </c>
      <c r="V1968" t="s">
        <v>1327</v>
      </c>
      <c r="W1968">
        <v>140</v>
      </c>
      <c r="X1968" t="s">
        <v>1327</v>
      </c>
      <c r="Y1968" t="s">
        <v>3250</v>
      </c>
      <c r="Z1968" t="s">
        <v>3250</v>
      </c>
      <c r="AA1968" t="s">
        <v>3108</v>
      </c>
      <c r="AB1968" t="s">
        <v>3108</v>
      </c>
      <c r="AC1968" t="s">
        <v>3250</v>
      </c>
      <c r="AD1968" t="s">
        <v>3250</v>
      </c>
      <c r="AE1968" t="s">
        <v>3250</v>
      </c>
      <c r="AF1968" t="s">
        <v>3250</v>
      </c>
      <c r="AG1968" t="s">
        <v>3250</v>
      </c>
      <c r="AH1968" t="s">
        <v>3250</v>
      </c>
      <c r="AI1968" t="s">
        <v>3250</v>
      </c>
      <c r="AJ1968" t="s">
        <v>3250</v>
      </c>
      <c r="AL1968">
        <v>145</v>
      </c>
      <c r="AM1968" t="s">
        <v>4</v>
      </c>
      <c r="AN1968">
        <v>145</v>
      </c>
      <c r="AO1968" t="s">
        <v>4</v>
      </c>
      <c r="AS1968" t="s">
        <v>3250</v>
      </c>
      <c r="AT1968" t="s">
        <v>3250</v>
      </c>
      <c r="AU1968" t="s">
        <v>3250</v>
      </c>
      <c r="AV1968" t="s">
        <v>3250</v>
      </c>
      <c r="AW1968" t="s">
        <v>3250</v>
      </c>
      <c r="AX1968" t="s">
        <v>3250</v>
      </c>
      <c r="AY1968" t="s">
        <v>3250</v>
      </c>
      <c r="AZ1968" t="s">
        <v>3250</v>
      </c>
      <c r="BA1968" t="s">
        <v>3250</v>
      </c>
      <c r="BB1968" t="s">
        <v>3250</v>
      </c>
      <c r="BC1968" t="s">
        <v>3250</v>
      </c>
      <c r="BE1968" t="s">
        <v>3250</v>
      </c>
      <c r="BF1968" t="s">
        <v>3250</v>
      </c>
      <c r="BG1968" t="s">
        <v>3250</v>
      </c>
      <c r="BH1968" t="s">
        <v>3250</v>
      </c>
      <c r="BI1968" t="s">
        <v>3250</v>
      </c>
      <c r="BK1968" t="s">
        <v>3250</v>
      </c>
      <c r="BL1968" t="s">
        <v>3250</v>
      </c>
      <c r="BM1968" t="s">
        <v>3250</v>
      </c>
      <c r="BN1968" t="s">
        <v>3250</v>
      </c>
      <c r="BP1968">
        <v>1</v>
      </c>
      <c r="BQ1968">
        <v>11</v>
      </c>
      <c r="BR1968" t="s">
        <v>1574</v>
      </c>
      <c r="BS1968" t="s">
        <v>3252</v>
      </c>
      <c r="BV1968">
        <v>0</v>
      </c>
      <c r="BW1968">
        <v>0</v>
      </c>
      <c r="BX1968">
        <v>0</v>
      </c>
      <c r="BY1968">
        <v>0</v>
      </c>
      <c r="BZ1968">
        <v>0</v>
      </c>
      <c r="CA1968">
        <v>0</v>
      </c>
      <c r="CB1968">
        <v>0</v>
      </c>
      <c r="CC1968">
        <v>0</v>
      </c>
      <c r="CD1968">
        <v>0</v>
      </c>
      <c r="CE1968" t="s">
        <v>3108</v>
      </c>
      <c r="CF1968" t="s">
        <v>3108</v>
      </c>
      <c r="CG1968" t="s">
        <v>3108</v>
      </c>
      <c r="CH1968" t="s">
        <v>3108</v>
      </c>
    </row>
    <row r="1969" spans="1:86" x14ac:dyDescent="0.2">
      <c r="A1969" t="s">
        <v>6126</v>
      </c>
      <c r="B1969" t="s">
        <v>6126</v>
      </c>
      <c r="C1969">
        <v>55092</v>
      </c>
      <c r="D1969">
        <v>2092</v>
      </c>
      <c r="E1969" t="s">
        <v>6127</v>
      </c>
      <c r="F1969" t="s">
        <v>3249</v>
      </c>
      <c r="G1969" t="s">
        <v>3249</v>
      </c>
      <c r="H1969" t="s">
        <v>3250</v>
      </c>
      <c r="I1969" t="s">
        <v>3250</v>
      </c>
      <c r="J1969" t="s">
        <v>3250</v>
      </c>
      <c r="K1969" t="s">
        <v>3250</v>
      </c>
      <c r="L1969">
        <v>1200</v>
      </c>
      <c r="M1969" t="s">
        <v>2368</v>
      </c>
      <c r="N1969">
        <v>1204</v>
      </c>
      <c r="O1969" t="s">
        <v>1574</v>
      </c>
      <c r="P1969" t="s">
        <v>3108</v>
      </c>
      <c r="Q1969" t="s">
        <v>3249</v>
      </c>
      <c r="R1969" t="s">
        <v>3249</v>
      </c>
      <c r="S1969" t="s">
        <v>472</v>
      </c>
      <c r="T1969" t="s">
        <v>3251</v>
      </c>
      <c r="U1969">
        <v>140</v>
      </c>
      <c r="V1969" t="s">
        <v>1327</v>
      </c>
      <c r="W1969">
        <v>140</v>
      </c>
      <c r="X1969" t="s">
        <v>1327</v>
      </c>
      <c r="Y1969" t="s">
        <v>3250</v>
      </c>
      <c r="Z1969" t="s">
        <v>3250</v>
      </c>
      <c r="AA1969" t="s">
        <v>3108</v>
      </c>
      <c r="AB1969" t="s">
        <v>3108</v>
      </c>
      <c r="AC1969" t="s">
        <v>3250</v>
      </c>
      <c r="AD1969" t="s">
        <v>3250</v>
      </c>
      <c r="AE1969" t="s">
        <v>3250</v>
      </c>
      <c r="AF1969" t="s">
        <v>3250</v>
      </c>
      <c r="AG1969" t="s">
        <v>3250</v>
      </c>
      <c r="AH1969" t="s">
        <v>3250</v>
      </c>
      <c r="AI1969" t="s">
        <v>3250</v>
      </c>
      <c r="AJ1969" t="s">
        <v>3250</v>
      </c>
      <c r="AL1969">
        <v>141</v>
      </c>
      <c r="AM1969" t="s">
        <v>1327</v>
      </c>
      <c r="AN1969">
        <v>141</v>
      </c>
      <c r="AO1969" t="s">
        <v>1327</v>
      </c>
      <c r="AS1969" t="s">
        <v>3250</v>
      </c>
      <c r="AT1969" t="s">
        <v>3250</v>
      </c>
      <c r="AU1969" t="s">
        <v>3250</v>
      </c>
      <c r="AV1969" t="s">
        <v>3250</v>
      </c>
      <c r="AW1969" t="s">
        <v>3250</v>
      </c>
      <c r="AX1969" t="s">
        <v>3250</v>
      </c>
      <c r="AY1969" t="s">
        <v>3250</v>
      </c>
      <c r="AZ1969" t="s">
        <v>3250</v>
      </c>
      <c r="BA1969" t="s">
        <v>3250</v>
      </c>
      <c r="BB1969" t="s">
        <v>3250</v>
      </c>
      <c r="BC1969" t="s">
        <v>3250</v>
      </c>
      <c r="BE1969" t="s">
        <v>3250</v>
      </c>
      <c r="BF1969" t="s">
        <v>3250</v>
      </c>
      <c r="BG1969" t="s">
        <v>3250</v>
      </c>
      <c r="BH1969" t="s">
        <v>3250</v>
      </c>
      <c r="BI1969" t="s">
        <v>3250</v>
      </c>
      <c r="BK1969" t="s">
        <v>3250</v>
      </c>
      <c r="BL1969" t="s">
        <v>3250</v>
      </c>
      <c r="BM1969" t="s">
        <v>3250</v>
      </c>
      <c r="BN1969" t="s">
        <v>3250</v>
      </c>
      <c r="BP1969">
        <v>1</v>
      </c>
      <c r="BQ1969">
        <v>11</v>
      </c>
      <c r="BR1969" t="s">
        <v>1574</v>
      </c>
      <c r="BS1969" t="s">
        <v>3252</v>
      </c>
      <c r="BV1969">
        <v>0</v>
      </c>
      <c r="BW1969">
        <v>0</v>
      </c>
      <c r="BX1969">
        <v>0</v>
      </c>
      <c r="BY1969">
        <v>0</v>
      </c>
      <c r="BZ1969">
        <v>0</v>
      </c>
      <c r="CA1969">
        <v>0</v>
      </c>
      <c r="CB1969">
        <v>0</v>
      </c>
      <c r="CC1969">
        <v>0</v>
      </c>
      <c r="CD1969">
        <v>0</v>
      </c>
      <c r="CE1969" t="s">
        <v>3108</v>
      </c>
      <c r="CF1969" t="s">
        <v>3108</v>
      </c>
      <c r="CG1969" t="s">
        <v>3108</v>
      </c>
      <c r="CH1969" t="s">
        <v>3108</v>
      </c>
    </row>
    <row r="1970" spans="1:86" x14ac:dyDescent="0.2">
      <c r="A1970" t="s">
        <v>6128</v>
      </c>
      <c r="B1970" t="s">
        <v>6128</v>
      </c>
      <c r="C1970">
        <v>55093</v>
      </c>
      <c r="D1970">
        <v>2093</v>
      </c>
      <c r="E1970" t="s">
        <v>5949</v>
      </c>
      <c r="F1970" t="s">
        <v>3249</v>
      </c>
      <c r="G1970" t="s">
        <v>3249</v>
      </c>
      <c r="H1970" t="s">
        <v>3250</v>
      </c>
      <c r="I1970" t="s">
        <v>3250</v>
      </c>
      <c r="J1970" t="s">
        <v>3250</v>
      </c>
      <c r="K1970" t="s">
        <v>3250</v>
      </c>
      <c r="L1970">
        <v>1200</v>
      </c>
      <c r="M1970" t="s">
        <v>2368</v>
      </c>
      <c r="N1970">
        <v>1204</v>
      </c>
      <c r="O1970" t="s">
        <v>1574</v>
      </c>
      <c r="P1970" t="s">
        <v>3108</v>
      </c>
      <c r="Q1970" t="s">
        <v>3249</v>
      </c>
      <c r="R1970" t="s">
        <v>3249</v>
      </c>
      <c r="S1970" t="s">
        <v>472</v>
      </c>
      <c r="T1970" t="s">
        <v>3251</v>
      </c>
      <c r="U1970">
        <v>140</v>
      </c>
      <c r="V1970" t="s">
        <v>1327</v>
      </c>
      <c r="W1970">
        <v>140</v>
      </c>
      <c r="X1970" t="s">
        <v>1327</v>
      </c>
      <c r="Y1970" t="s">
        <v>3250</v>
      </c>
      <c r="Z1970" t="s">
        <v>3250</v>
      </c>
      <c r="AA1970" t="s">
        <v>3108</v>
      </c>
      <c r="AB1970" t="s">
        <v>3108</v>
      </c>
      <c r="AC1970" t="s">
        <v>3250</v>
      </c>
      <c r="AD1970" t="s">
        <v>3250</v>
      </c>
      <c r="AE1970" t="s">
        <v>3250</v>
      </c>
      <c r="AF1970" t="s">
        <v>3250</v>
      </c>
      <c r="AG1970" t="s">
        <v>3250</v>
      </c>
      <c r="AH1970" t="s">
        <v>3250</v>
      </c>
      <c r="AI1970" t="s">
        <v>3250</v>
      </c>
      <c r="AJ1970" t="s">
        <v>3250</v>
      </c>
      <c r="AL1970">
        <v>141</v>
      </c>
      <c r="AM1970" t="s">
        <v>1327</v>
      </c>
      <c r="AN1970">
        <v>141</v>
      </c>
      <c r="AO1970" t="s">
        <v>1327</v>
      </c>
      <c r="AS1970" t="s">
        <v>3250</v>
      </c>
      <c r="AT1970" t="s">
        <v>3250</v>
      </c>
      <c r="AU1970" t="s">
        <v>3250</v>
      </c>
      <c r="AV1970" t="s">
        <v>3250</v>
      </c>
      <c r="AW1970" t="s">
        <v>3250</v>
      </c>
      <c r="AX1970" t="s">
        <v>3250</v>
      </c>
      <c r="AY1970" t="s">
        <v>3250</v>
      </c>
      <c r="AZ1970" t="s">
        <v>3250</v>
      </c>
      <c r="BA1970" t="s">
        <v>3250</v>
      </c>
      <c r="BB1970" t="s">
        <v>3250</v>
      </c>
      <c r="BC1970" t="s">
        <v>3250</v>
      </c>
      <c r="BE1970" t="s">
        <v>3250</v>
      </c>
      <c r="BF1970" t="s">
        <v>3250</v>
      </c>
      <c r="BG1970" t="s">
        <v>3250</v>
      </c>
      <c r="BH1970" t="s">
        <v>3250</v>
      </c>
      <c r="BI1970" t="s">
        <v>3250</v>
      </c>
      <c r="BK1970" t="s">
        <v>3250</v>
      </c>
      <c r="BL1970" t="s">
        <v>3250</v>
      </c>
      <c r="BM1970" t="s">
        <v>3250</v>
      </c>
      <c r="BN1970" t="s">
        <v>3250</v>
      </c>
      <c r="BP1970">
        <v>1</v>
      </c>
      <c r="BQ1970">
        <v>11</v>
      </c>
      <c r="BR1970" t="s">
        <v>1574</v>
      </c>
      <c r="BS1970" t="s">
        <v>3252</v>
      </c>
      <c r="BV1970">
        <v>0</v>
      </c>
      <c r="BW1970">
        <v>0</v>
      </c>
      <c r="BX1970">
        <v>0</v>
      </c>
      <c r="BY1970">
        <v>0</v>
      </c>
      <c r="BZ1970">
        <v>0</v>
      </c>
      <c r="CA1970">
        <v>0</v>
      </c>
      <c r="CB1970">
        <v>0</v>
      </c>
      <c r="CC1970">
        <v>0</v>
      </c>
      <c r="CD1970">
        <v>0</v>
      </c>
      <c r="CE1970" t="s">
        <v>3108</v>
      </c>
      <c r="CF1970" t="s">
        <v>3108</v>
      </c>
      <c r="CG1970" t="s">
        <v>3108</v>
      </c>
      <c r="CH1970" t="s">
        <v>3108</v>
      </c>
    </row>
    <row r="1971" spans="1:86" x14ac:dyDescent="0.2">
      <c r="A1971" t="s">
        <v>6129</v>
      </c>
      <c r="B1971" t="s">
        <v>6129</v>
      </c>
      <c r="C1971">
        <v>55094</v>
      </c>
      <c r="D1971">
        <v>2094</v>
      </c>
      <c r="E1971" t="s">
        <v>6130</v>
      </c>
      <c r="F1971" t="s">
        <v>3249</v>
      </c>
      <c r="G1971" t="s">
        <v>3249</v>
      </c>
      <c r="H1971" t="s">
        <v>3250</v>
      </c>
      <c r="I1971" t="s">
        <v>3250</v>
      </c>
      <c r="J1971" t="s">
        <v>3250</v>
      </c>
      <c r="K1971" t="s">
        <v>3250</v>
      </c>
      <c r="L1971">
        <v>1200</v>
      </c>
      <c r="M1971" t="s">
        <v>2368</v>
      </c>
      <c r="N1971">
        <v>1204</v>
      </c>
      <c r="O1971" t="s">
        <v>1574</v>
      </c>
      <c r="P1971" t="s">
        <v>3108</v>
      </c>
      <c r="Q1971" t="s">
        <v>3249</v>
      </c>
      <c r="R1971" t="s">
        <v>3249</v>
      </c>
      <c r="S1971" t="s">
        <v>472</v>
      </c>
      <c r="T1971" t="s">
        <v>3251</v>
      </c>
      <c r="U1971">
        <v>140</v>
      </c>
      <c r="V1971" t="s">
        <v>1327</v>
      </c>
      <c r="W1971">
        <v>140</v>
      </c>
      <c r="X1971" t="s">
        <v>1327</v>
      </c>
      <c r="Y1971" t="s">
        <v>3250</v>
      </c>
      <c r="Z1971" t="s">
        <v>3250</v>
      </c>
      <c r="AA1971" t="s">
        <v>3108</v>
      </c>
      <c r="AB1971" t="s">
        <v>3108</v>
      </c>
      <c r="AC1971" t="s">
        <v>3250</v>
      </c>
      <c r="AD1971" t="s">
        <v>3250</v>
      </c>
      <c r="AE1971" t="s">
        <v>3250</v>
      </c>
      <c r="AF1971" t="s">
        <v>3250</v>
      </c>
      <c r="AG1971" t="s">
        <v>3250</v>
      </c>
      <c r="AH1971" t="s">
        <v>3250</v>
      </c>
      <c r="AI1971" t="s">
        <v>3250</v>
      </c>
      <c r="AJ1971" t="s">
        <v>3250</v>
      </c>
      <c r="AL1971">
        <v>145</v>
      </c>
      <c r="AM1971" t="s">
        <v>4</v>
      </c>
      <c r="AN1971">
        <v>145</v>
      </c>
      <c r="AO1971" t="s">
        <v>4</v>
      </c>
      <c r="AS1971" t="s">
        <v>3250</v>
      </c>
      <c r="AT1971" t="s">
        <v>3250</v>
      </c>
      <c r="AU1971" t="s">
        <v>3250</v>
      </c>
      <c r="AV1971" t="s">
        <v>3250</v>
      </c>
      <c r="AW1971" t="s">
        <v>3250</v>
      </c>
      <c r="AX1971" t="s">
        <v>3250</v>
      </c>
      <c r="AY1971" t="s">
        <v>3250</v>
      </c>
      <c r="AZ1971" t="s">
        <v>3250</v>
      </c>
      <c r="BA1971" t="s">
        <v>3250</v>
      </c>
      <c r="BB1971" t="s">
        <v>3250</v>
      </c>
      <c r="BC1971" t="s">
        <v>3250</v>
      </c>
      <c r="BE1971" t="s">
        <v>3250</v>
      </c>
      <c r="BF1971" t="s">
        <v>3250</v>
      </c>
      <c r="BG1971" t="s">
        <v>3250</v>
      </c>
      <c r="BH1971" t="s">
        <v>3250</v>
      </c>
      <c r="BI1971" t="s">
        <v>3250</v>
      </c>
      <c r="BK1971" t="s">
        <v>3250</v>
      </c>
      <c r="BL1971" t="s">
        <v>3250</v>
      </c>
      <c r="BM1971" t="s">
        <v>3250</v>
      </c>
      <c r="BN1971" t="s">
        <v>3250</v>
      </c>
      <c r="BP1971">
        <v>1</v>
      </c>
      <c r="BQ1971">
        <v>11</v>
      </c>
      <c r="BR1971" t="s">
        <v>1574</v>
      </c>
      <c r="BS1971" t="s">
        <v>3252</v>
      </c>
      <c r="BV1971">
        <v>0</v>
      </c>
      <c r="BW1971">
        <v>0</v>
      </c>
      <c r="BX1971">
        <v>0</v>
      </c>
      <c r="BY1971">
        <v>0</v>
      </c>
      <c r="BZ1971">
        <v>0</v>
      </c>
      <c r="CA1971">
        <v>0</v>
      </c>
      <c r="CB1971">
        <v>0</v>
      </c>
      <c r="CC1971">
        <v>0</v>
      </c>
      <c r="CD1971">
        <v>0</v>
      </c>
      <c r="CE1971" t="s">
        <v>3108</v>
      </c>
      <c r="CF1971" t="s">
        <v>3108</v>
      </c>
      <c r="CG1971" t="s">
        <v>3108</v>
      </c>
      <c r="CH1971" t="s">
        <v>3108</v>
      </c>
    </row>
    <row r="1972" spans="1:86" x14ac:dyDescent="0.2">
      <c r="A1972" t="s">
        <v>6131</v>
      </c>
      <c r="B1972" t="s">
        <v>6131</v>
      </c>
      <c r="C1972">
        <v>55095</v>
      </c>
      <c r="D1972">
        <v>2095</v>
      </c>
      <c r="E1972" t="s">
        <v>6132</v>
      </c>
      <c r="F1972" t="s">
        <v>3249</v>
      </c>
      <c r="G1972" t="s">
        <v>3249</v>
      </c>
      <c r="H1972" t="s">
        <v>3250</v>
      </c>
      <c r="I1972" t="s">
        <v>3250</v>
      </c>
      <c r="J1972" t="s">
        <v>3250</v>
      </c>
      <c r="K1972" t="s">
        <v>3250</v>
      </c>
      <c r="L1972">
        <v>1200</v>
      </c>
      <c r="M1972" t="s">
        <v>2368</v>
      </c>
      <c r="N1972">
        <v>1204</v>
      </c>
      <c r="O1972" t="s">
        <v>1574</v>
      </c>
      <c r="P1972" t="s">
        <v>3108</v>
      </c>
      <c r="Q1972" t="s">
        <v>3249</v>
      </c>
      <c r="R1972" t="s">
        <v>3249</v>
      </c>
      <c r="S1972" t="s">
        <v>472</v>
      </c>
      <c r="T1972" t="s">
        <v>3251</v>
      </c>
      <c r="U1972">
        <v>140</v>
      </c>
      <c r="V1972" t="s">
        <v>1327</v>
      </c>
      <c r="W1972">
        <v>140</v>
      </c>
      <c r="X1972" t="s">
        <v>1327</v>
      </c>
      <c r="Y1972" t="s">
        <v>3250</v>
      </c>
      <c r="Z1972" t="s">
        <v>3250</v>
      </c>
      <c r="AA1972" t="s">
        <v>3108</v>
      </c>
      <c r="AB1972" t="s">
        <v>3108</v>
      </c>
      <c r="AC1972" t="s">
        <v>3250</v>
      </c>
      <c r="AD1972" t="s">
        <v>3250</v>
      </c>
      <c r="AE1972" t="s">
        <v>3250</v>
      </c>
      <c r="AF1972" t="s">
        <v>3250</v>
      </c>
      <c r="AG1972" t="s">
        <v>3250</v>
      </c>
      <c r="AH1972" t="s">
        <v>3250</v>
      </c>
      <c r="AI1972" t="s">
        <v>3250</v>
      </c>
      <c r="AJ1972" t="s">
        <v>3250</v>
      </c>
      <c r="AL1972">
        <v>141</v>
      </c>
      <c r="AM1972" t="s">
        <v>1327</v>
      </c>
      <c r="AN1972">
        <v>141</v>
      </c>
      <c r="AO1972" t="s">
        <v>1327</v>
      </c>
      <c r="AS1972" t="s">
        <v>3250</v>
      </c>
      <c r="AT1972" t="s">
        <v>3250</v>
      </c>
      <c r="AU1972" t="s">
        <v>3250</v>
      </c>
      <c r="AV1972" t="s">
        <v>3250</v>
      </c>
      <c r="AW1972" t="s">
        <v>3250</v>
      </c>
      <c r="AX1972" t="s">
        <v>3250</v>
      </c>
      <c r="AY1972" t="s">
        <v>3250</v>
      </c>
      <c r="AZ1972" t="s">
        <v>3250</v>
      </c>
      <c r="BA1972" t="s">
        <v>3250</v>
      </c>
      <c r="BB1972" t="s">
        <v>3250</v>
      </c>
      <c r="BC1972" t="s">
        <v>3250</v>
      </c>
      <c r="BE1972" t="s">
        <v>3250</v>
      </c>
      <c r="BF1972" t="s">
        <v>3250</v>
      </c>
      <c r="BG1972" t="s">
        <v>3250</v>
      </c>
      <c r="BH1972" t="s">
        <v>3250</v>
      </c>
      <c r="BI1972" t="s">
        <v>3250</v>
      </c>
      <c r="BK1972" t="s">
        <v>3250</v>
      </c>
      <c r="BL1972" t="s">
        <v>3250</v>
      </c>
      <c r="BM1972" t="s">
        <v>3250</v>
      </c>
      <c r="BN1972" t="s">
        <v>3250</v>
      </c>
      <c r="BP1972">
        <v>1</v>
      </c>
      <c r="BQ1972">
        <v>11</v>
      </c>
      <c r="BR1972" t="s">
        <v>1574</v>
      </c>
      <c r="BS1972" t="s">
        <v>3252</v>
      </c>
      <c r="BV1972">
        <v>0</v>
      </c>
      <c r="BW1972">
        <v>0</v>
      </c>
      <c r="BX1972">
        <v>0</v>
      </c>
      <c r="BY1972">
        <v>0</v>
      </c>
      <c r="BZ1972">
        <v>0</v>
      </c>
      <c r="CA1972">
        <v>0</v>
      </c>
      <c r="CB1972">
        <v>0</v>
      </c>
      <c r="CC1972">
        <v>0</v>
      </c>
      <c r="CD1972">
        <v>0</v>
      </c>
      <c r="CE1972" t="s">
        <v>3108</v>
      </c>
      <c r="CF1972" t="s">
        <v>3108</v>
      </c>
      <c r="CG1972" t="s">
        <v>3108</v>
      </c>
      <c r="CH1972" t="s">
        <v>3108</v>
      </c>
    </row>
    <row r="1973" spans="1:86" x14ac:dyDescent="0.2">
      <c r="A1973" t="s">
        <v>6133</v>
      </c>
      <c r="B1973" t="s">
        <v>6133</v>
      </c>
      <c r="C1973">
        <v>55096</v>
      </c>
      <c r="D1973">
        <v>2096</v>
      </c>
      <c r="E1973" t="s">
        <v>6134</v>
      </c>
      <c r="F1973" t="s">
        <v>3249</v>
      </c>
      <c r="G1973" t="s">
        <v>3249</v>
      </c>
      <c r="H1973" t="s">
        <v>3250</v>
      </c>
      <c r="I1973" t="s">
        <v>3250</v>
      </c>
      <c r="J1973" t="s">
        <v>3250</v>
      </c>
      <c r="K1973" t="s">
        <v>3250</v>
      </c>
      <c r="L1973">
        <v>1200</v>
      </c>
      <c r="M1973" t="s">
        <v>2368</v>
      </c>
      <c r="N1973">
        <v>1204</v>
      </c>
      <c r="O1973" t="s">
        <v>1574</v>
      </c>
      <c r="P1973" t="s">
        <v>3108</v>
      </c>
      <c r="Q1973" t="s">
        <v>3249</v>
      </c>
      <c r="R1973" t="s">
        <v>3249</v>
      </c>
      <c r="S1973" t="s">
        <v>472</v>
      </c>
      <c r="T1973" t="s">
        <v>3251</v>
      </c>
      <c r="U1973">
        <v>140</v>
      </c>
      <c r="V1973" t="s">
        <v>1327</v>
      </c>
      <c r="W1973">
        <v>140</v>
      </c>
      <c r="X1973" t="s">
        <v>1327</v>
      </c>
      <c r="Y1973" t="s">
        <v>3250</v>
      </c>
      <c r="Z1973" t="s">
        <v>3250</v>
      </c>
      <c r="AA1973" t="s">
        <v>3108</v>
      </c>
      <c r="AB1973" t="s">
        <v>3108</v>
      </c>
      <c r="AC1973" t="s">
        <v>3250</v>
      </c>
      <c r="AD1973" t="s">
        <v>3250</v>
      </c>
      <c r="AE1973" t="s">
        <v>3250</v>
      </c>
      <c r="AF1973" t="s">
        <v>3250</v>
      </c>
      <c r="AG1973" t="s">
        <v>3250</v>
      </c>
      <c r="AH1973" t="s">
        <v>3250</v>
      </c>
      <c r="AI1973" t="s">
        <v>3250</v>
      </c>
      <c r="AJ1973" t="s">
        <v>3250</v>
      </c>
      <c r="AL1973">
        <v>141</v>
      </c>
      <c r="AM1973" t="s">
        <v>1327</v>
      </c>
      <c r="AN1973">
        <v>141</v>
      </c>
      <c r="AO1973" t="s">
        <v>1327</v>
      </c>
      <c r="AS1973" t="s">
        <v>3250</v>
      </c>
      <c r="AT1973" t="s">
        <v>3250</v>
      </c>
      <c r="AU1973" t="s">
        <v>3250</v>
      </c>
      <c r="AV1973" t="s">
        <v>3250</v>
      </c>
      <c r="AW1973" t="s">
        <v>3250</v>
      </c>
      <c r="AX1973" t="s">
        <v>3250</v>
      </c>
      <c r="AY1973" t="s">
        <v>3250</v>
      </c>
      <c r="AZ1973" t="s">
        <v>3250</v>
      </c>
      <c r="BA1973" t="s">
        <v>3250</v>
      </c>
      <c r="BB1973" t="s">
        <v>3250</v>
      </c>
      <c r="BC1973" t="s">
        <v>3250</v>
      </c>
      <c r="BE1973" t="s">
        <v>3250</v>
      </c>
      <c r="BF1973" t="s">
        <v>3250</v>
      </c>
      <c r="BG1973" t="s">
        <v>3250</v>
      </c>
      <c r="BH1973" t="s">
        <v>3250</v>
      </c>
      <c r="BI1973" t="s">
        <v>3250</v>
      </c>
      <c r="BK1973" t="s">
        <v>3250</v>
      </c>
      <c r="BL1973" t="s">
        <v>3250</v>
      </c>
      <c r="BM1973" t="s">
        <v>3250</v>
      </c>
      <c r="BN1973" t="s">
        <v>3250</v>
      </c>
      <c r="BP1973">
        <v>1</v>
      </c>
      <c r="BQ1973">
        <v>11</v>
      </c>
      <c r="BR1973" t="s">
        <v>1574</v>
      </c>
      <c r="BS1973" t="s">
        <v>3252</v>
      </c>
      <c r="BV1973">
        <v>0</v>
      </c>
      <c r="BW1973">
        <v>0</v>
      </c>
      <c r="BX1973">
        <v>0</v>
      </c>
      <c r="BY1973">
        <v>0</v>
      </c>
      <c r="BZ1973">
        <v>0</v>
      </c>
      <c r="CA1973">
        <v>0</v>
      </c>
      <c r="CB1973">
        <v>0</v>
      </c>
      <c r="CC1973">
        <v>0</v>
      </c>
      <c r="CD1973">
        <v>0</v>
      </c>
      <c r="CE1973" t="s">
        <v>3108</v>
      </c>
      <c r="CF1973" t="s">
        <v>3108</v>
      </c>
      <c r="CG1973" t="s">
        <v>3108</v>
      </c>
      <c r="CH1973" t="s">
        <v>3108</v>
      </c>
    </row>
    <row r="1974" spans="1:86" x14ac:dyDescent="0.2">
      <c r="A1974" t="s">
        <v>6135</v>
      </c>
      <c r="B1974" t="s">
        <v>6135</v>
      </c>
      <c r="C1974">
        <v>55097</v>
      </c>
      <c r="D1974">
        <v>2097</v>
      </c>
      <c r="E1974" t="s">
        <v>6136</v>
      </c>
      <c r="F1974" t="s">
        <v>3249</v>
      </c>
      <c r="G1974" t="s">
        <v>3249</v>
      </c>
      <c r="H1974" t="s">
        <v>3250</v>
      </c>
      <c r="I1974" t="s">
        <v>3250</v>
      </c>
      <c r="J1974" t="s">
        <v>3250</v>
      </c>
      <c r="K1974" t="s">
        <v>3250</v>
      </c>
      <c r="L1974">
        <v>1200</v>
      </c>
      <c r="M1974" t="s">
        <v>2368</v>
      </c>
      <c r="N1974">
        <v>1204</v>
      </c>
      <c r="O1974" t="s">
        <v>1574</v>
      </c>
      <c r="P1974" t="s">
        <v>3108</v>
      </c>
      <c r="Q1974" t="s">
        <v>3249</v>
      </c>
      <c r="R1974" t="s">
        <v>3249</v>
      </c>
      <c r="S1974" t="s">
        <v>472</v>
      </c>
      <c r="T1974" t="s">
        <v>3251</v>
      </c>
      <c r="U1974">
        <v>140</v>
      </c>
      <c r="V1974" t="s">
        <v>1327</v>
      </c>
      <c r="W1974">
        <v>140</v>
      </c>
      <c r="X1974" t="s">
        <v>1327</v>
      </c>
      <c r="Y1974" t="s">
        <v>3250</v>
      </c>
      <c r="Z1974" t="s">
        <v>3250</v>
      </c>
      <c r="AA1974" t="s">
        <v>3108</v>
      </c>
      <c r="AB1974" t="s">
        <v>3108</v>
      </c>
      <c r="AC1974" t="s">
        <v>3250</v>
      </c>
      <c r="AD1974" t="s">
        <v>3250</v>
      </c>
      <c r="AE1974" t="s">
        <v>3250</v>
      </c>
      <c r="AF1974" t="s">
        <v>3250</v>
      </c>
      <c r="AG1974" t="s">
        <v>3250</v>
      </c>
      <c r="AH1974" t="s">
        <v>3250</v>
      </c>
      <c r="AI1974" t="s">
        <v>3250</v>
      </c>
      <c r="AJ1974" t="s">
        <v>3250</v>
      </c>
      <c r="AL1974">
        <v>145</v>
      </c>
      <c r="AM1974" t="s">
        <v>4</v>
      </c>
      <c r="AN1974">
        <v>145</v>
      </c>
      <c r="AO1974" t="s">
        <v>4</v>
      </c>
      <c r="AS1974" t="s">
        <v>3250</v>
      </c>
      <c r="AT1974" t="s">
        <v>3250</v>
      </c>
      <c r="AU1974" t="s">
        <v>3250</v>
      </c>
      <c r="AV1974" t="s">
        <v>3250</v>
      </c>
      <c r="AW1974" t="s">
        <v>3250</v>
      </c>
      <c r="AX1974" t="s">
        <v>3250</v>
      </c>
      <c r="AY1974" t="s">
        <v>3250</v>
      </c>
      <c r="AZ1974" t="s">
        <v>3250</v>
      </c>
      <c r="BA1974" t="s">
        <v>3250</v>
      </c>
      <c r="BB1974" t="s">
        <v>3250</v>
      </c>
      <c r="BC1974" t="s">
        <v>3250</v>
      </c>
      <c r="BE1974" t="s">
        <v>3250</v>
      </c>
      <c r="BF1974" t="s">
        <v>3250</v>
      </c>
      <c r="BG1974" t="s">
        <v>3250</v>
      </c>
      <c r="BH1974" t="s">
        <v>3250</v>
      </c>
      <c r="BI1974" t="s">
        <v>3250</v>
      </c>
      <c r="BK1974" t="s">
        <v>3250</v>
      </c>
      <c r="BL1974" t="s">
        <v>3250</v>
      </c>
      <c r="BM1974" t="s">
        <v>3250</v>
      </c>
      <c r="BN1974" t="s">
        <v>3250</v>
      </c>
      <c r="BP1974">
        <v>1</v>
      </c>
      <c r="BQ1974">
        <v>11</v>
      </c>
      <c r="BR1974" t="s">
        <v>1574</v>
      </c>
      <c r="BS1974" t="s">
        <v>3252</v>
      </c>
      <c r="BV1974">
        <v>0</v>
      </c>
      <c r="BW1974">
        <v>0</v>
      </c>
      <c r="BX1974">
        <v>0</v>
      </c>
      <c r="BY1974">
        <v>0</v>
      </c>
      <c r="BZ1974">
        <v>0</v>
      </c>
      <c r="CA1974">
        <v>0</v>
      </c>
      <c r="CB1974">
        <v>0</v>
      </c>
      <c r="CC1974">
        <v>0</v>
      </c>
      <c r="CD1974">
        <v>0</v>
      </c>
      <c r="CE1974" t="s">
        <v>3108</v>
      </c>
      <c r="CF1974" t="s">
        <v>3108</v>
      </c>
      <c r="CG1974" t="s">
        <v>3108</v>
      </c>
      <c r="CH1974" t="s">
        <v>3108</v>
      </c>
    </row>
    <row r="1975" spans="1:86" x14ac:dyDescent="0.2">
      <c r="A1975" t="s">
        <v>6137</v>
      </c>
      <c r="B1975" t="s">
        <v>6137</v>
      </c>
      <c r="C1975">
        <v>55098</v>
      </c>
      <c r="D1975">
        <v>2098</v>
      </c>
      <c r="E1975" t="s">
        <v>6138</v>
      </c>
      <c r="F1975" t="s">
        <v>3249</v>
      </c>
      <c r="G1975" t="s">
        <v>3249</v>
      </c>
      <c r="H1975" t="s">
        <v>3250</v>
      </c>
      <c r="I1975" t="s">
        <v>3250</v>
      </c>
      <c r="J1975" t="s">
        <v>3250</v>
      </c>
      <c r="K1975" t="s">
        <v>3250</v>
      </c>
      <c r="L1975">
        <v>1200</v>
      </c>
      <c r="M1975" t="s">
        <v>2368</v>
      </c>
      <c r="N1975">
        <v>1204</v>
      </c>
      <c r="O1975" t="s">
        <v>1574</v>
      </c>
      <c r="P1975" t="s">
        <v>3108</v>
      </c>
      <c r="Q1975" t="s">
        <v>3249</v>
      </c>
      <c r="R1975" t="s">
        <v>3249</v>
      </c>
      <c r="S1975" t="s">
        <v>472</v>
      </c>
      <c r="T1975" t="s">
        <v>3251</v>
      </c>
      <c r="U1975">
        <v>140</v>
      </c>
      <c r="V1975" t="s">
        <v>1327</v>
      </c>
      <c r="W1975">
        <v>140</v>
      </c>
      <c r="X1975" t="s">
        <v>1327</v>
      </c>
      <c r="Y1975" t="s">
        <v>3250</v>
      </c>
      <c r="Z1975" t="s">
        <v>3250</v>
      </c>
      <c r="AA1975" t="s">
        <v>3108</v>
      </c>
      <c r="AB1975" t="s">
        <v>3108</v>
      </c>
      <c r="AC1975" t="s">
        <v>3250</v>
      </c>
      <c r="AD1975" t="s">
        <v>3250</v>
      </c>
      <c r="AE1975" t="s">
        <v>3250</v>
      </c>
      <c r="AF1975" t="s">
        <v>3250</v>
      </c>
      <c r="AG1975" t="s">
        <v>3250</v>
      </c>
      <c r="AH1975" t="s">
        <v>3250</v>
      </c>
      <c r="AI1975" t="s">
        <v>3250</v>
      </c>
      <c r="AJ1975" t="s">
        <v>3250</v>
      </c>
      <c r="AL1975">
        <v>141</v>
      </c>
      <c r="AM1975" t="s">
        <v>1327</v>
      </c>
      <c r="AN1975">
        <v>141</v>
      </c>
      <c r="AO1975" t="s">
        <v>1327</v>
      </c>
      <c r="AS1975" t="s">
        <v>3250</v>
      </c>
      <c r="AT1975" t="s">
        <v>3250</v>
      </c>
      <c r="AU1975" t="s">
        <v>3250</v>
      </c>
      <c r="AV1975" t="s">
        <v>3250</v>
      </c>
      <c r="AW1975" t="s">
        <v>3250</v>
      </c>
      <c r="AX1975" t="s">
        <v>3250</v>
      </c>
      <c r="AY1975" t="s">
        <v>3250</v>
      </c>
      <c r="AZ1975" t="s">
        <v>3250</v>
      </c>
      <c r="BA1975" t="s">
        <v>3250</v>
      </c>
      <c r="BB1975" t="s">
        <v>3250</v>
      </c>
      <c r="BC1975" t="s">
        <v>3250</v>
      </c>
      <c r="BE1975" t="s">
        <v>3250</v>
      </c>
      <c r="BF1975" t="s">
        <v>3250</v>
      </c>
      <c r="BG1975" t="s">
        <v>3250</v>
      </c>
      <c r="BH1975" t="s">
        <v>3250</v>
      </c>
      <c r="BI1975" t="s">
        <v>3250</v>
      </c>
      <c r="BK1975" t="s">
        <v>3250</v>
      </c>
      <c r="BL1975" t="s">
        <v>3250</v>
      </c>
      <c r="BM1975" t="s">
        <v>3250</v>
      </c>
      <c r="BN1975" t="s">
        <v>3250</v>
      </c>
      <c r="BP1975">
        <v>1</v>
      </c>
      <c r="BQ1975">
        <v>11</v>
      </c>
      <c r="BR1975" t="s">
        <v>1574</v>
      </c>
      <c r="BS1975" t="s">
        <v>3252</v>
      </c>
      <c r="BV1975">
        <v>0</v>
      </c>
      <c r="BW1975">
        <v>0</v>
      </c>
      <c r="BX1975">
        <v>0</v>
      </c>
      <c r="BY1975">
        <v>0</v>
      </c>
      <c r="BZ1975">
        <v>0</v>
      </c>
      <c r="CA1975">
        <v>0</v>
      </c>
      <c r="CB1975">
        <v>0</v>
      </c>
      <c r="CC1975">
        <v>0</v>
      </c>
      <c r="CD1975">
        <v>0</v>
      </c>
      <c r="CE1975" t="s">
        <v>3108</v>
      </c>
      <c r="CF1975" t="s">
        <v>3108</v>
      </c>
      <c r="CG1975" t="s">
        <v>3108</v>
      </c>
      <c r="CH1975" t="s">
        <v>3108</v>
      </c>
    </row>
    <row r="1976" spans="1:86" x14ac:dyDescent="0.2">
      <c r="A1976" t="s">
        <v>6139</v>
      </c>
      <c r="B1976" t="s">
        <v>6139</v>
      </c>
      <c r="C1976">
        <v>55099</v>
      </c>
      <c r="D1976">
        <v>2099</v>
      </c>
      <c r="E1976" t="s">
        <v>6140</v>
      </c>
      <c r="F1976" t="s">
        <v>3249</v>
      </c>
      <c r="G1976" t="s">
        <v>3249</v>
      </c>
      <c r="H1976" t="s">
        <v>3250</v>
      </c>
      <c r="I1976" t="s">
        <v>3250</v>
      </c>
      <c r="J1976" t="s">
        <v>3250</v>
      </c>
      <c r="K1976" t="s">
        <v>3250</v>
      </c>
      <c r="L1976">
        <v>1200</v>
      </c>
      <c r="M1976" t="s">
        <v>2368</v>
      </c>
      <c r="N1976">
        <v>1204</v>
      </c>
      <c r="O1976" t="s">
        <v>1574</v>
      </c>
      <c r="P1976" t="s">
        <v>3108</v>
      </c>
      <c r="Q1976" t="s">
        <v>3249</v>
      </c>
      <c r="R1976" t="s">
        <v>3249</v>
      </c>
      <c r="S1976" t="s">
        <v>472</v>
      </c>
      <c r="T1976" t="s">
        <v>3251</v>
      </c>
      <c r="U1976">
        <v>140</v>
      </c>
      <c r="V1976" t="s">
        <v>1327</v>
      </c>
      <c r="W1976">
        <v>140</v>
      </c>
      <c r="X1976" t="s">
        <v>1327</v>
      </c>
      <c r="Y1976" t="s">
        <v>3250</v>
      </c>
      <c r="Z1976" t="s">
        <v>3250</v>
      </c>
      <c r="AA1976" t="s">
        <v>3108</v>
      </c>
      <c r="AB1976" t="s">
        <v>3108</v>
      </c>
      <c r="AC1976" t="s">
        <v>3250</v>
      </c>
      <c r="AD1976" t="s">
        <v>3250</v>
      </c>
      <c r="AE1976" t="s">
        <v>3250</v>
      </c>
      <c r="AF1976" t="s">
        <v>3250</v>
      </c>
      <c r="AG1976" t="s">
        <v>3250</v>
      </c>
      <c r="AH1976" t="s">
        <v>3250</v>
      </c>
      <c r="AI1976" t="s">
        <v>3250</v>
      </c>
      <c r="AJ1976" t="s">
        <v>3250</v>
      </c>
      <c r="AL1976">
        <v>141</v>
      </c>
      <c r="AM1976" t="s">
        <v>1327</v>
      </c>
      <c r="AN1976">
        <v>141</v>
      </c>
      <c r="AO1976" t="s">
        <v>1327</v>
      </c>
      <c r="AS1976" t="s">
        <v>3250</v>
      </c>
      <c r="AT1976" t="s">
        <v>3250</v>
      </c>
      <c r="AU1976" t="s">
        <v>3250</v>
      </c>
      <c r="AV1976" t="s">
        <v>3250</v>
      </c>
      <c r="AW1976" t="s">
        <v>3250</v>
      </c>
      <c r="AX1976" t="s">
        <v>3250</v>
      </c>
      <c r="AY1976" t="s">
        <v>3250</v>
      </c>
      <c r="AZ1976" t="s">
        <v>3250</v>
      </c>
      <c r="BA1976" t="s">
        <v>3250</v>
      </c>
      <c r="BB1976" t="s">
        <v>3250</v>
      </c>
      <c r="BC1976" t="s">
        <v>3250</v>
      </c>
      <c r="BE1976" t="s">
        <v>3250</v>
      </c>
      <c r="BF1976" t="s">
        <v>3250</v>
      </c>
      <c r="BG1976" t="s">
        <v>3250</v>
      </c>
      <c r="BH1976" t="s">
        <v>3250</v>
      </c>
      <c r="BI1976" t="s">
        <v>3250</v>
      </c>
      <c r="BK1976" t="s">
        <v>3250</v>
      </c>
      <c r="BL1976" t="s">
        <v>3250</v>
      </c>
      <c r="BM1976" t="s">
        <v>3250</v>
      </c>
      <c r="BN1976" t="s">
        <v>3250</v>
      </c>
      <c r="BP1976">
        <v>1</v>
      </c>
      <c r="BQ1976">
        <v>11</v>
      </c>
      <c r="BR1976" t="s">
        <v>1574</v>
      </c>
      <c r="BS1976" t="s">
        <v>3252</v>
      </c>
      <c r="BV1976">
        <v>0</v>
      </c>
      <c r="BW1976">
        <v>0</v>
      </c>
      <c r="BX1976">
        <v>0</v>
      </c>
      <c r="BY1976">
        <v>0</v>
      </c>
      <c r="BZ1976">
        <v>0</v>
      </c>
      <c r="CA1976">
        <v>0</v>
      </c>
      <c r="CB1976">
        <v>0</v>
      </c>
      <c r="CC1976">
        <v>0</v>
      </c>
      <c r="CD1976">
        <v>0</v>
      </c>
      <c r="CE1976" t="s">
        <v>3108</v>
      </c>
      <c r="CF1976" t="s">
        <v>3108</v>
      </c>
      <c r="CG1976" t="s">
        <v>3108</v>
      </c>
      <c r="CH1976" t="s">
        <v>3108</v>
      </c>
    </row>
    <row r="1977" spans="1:86" x14ac:dyDescent="0.2">
      <c r="A1977" t="s">
        <v>6141</v>
      </c>
      <c r="B1977" t="s">
        <v>6141</v>
      </c>
      <c r="C1977">
        <v>55100</v>
      </c>
      <c r="D1977">
        <v>2100</v>
      </c>
      <c r="E1977" t="s">
        <v>6142</v>
      </c>
      <c r="F1977" t="s">
        <v>3249</v>
      </c>
      <c r="G1977" t="s">
        <v>3249</v>
      </c>
      <c r="H1977" t="s">
        <v>3250</v>
      </c>
      <c r="I1977" t="s">
        <v>3250</v>
      </c>
      <c r="J1977" t="s">
        <v>3250</v>
      </c>
      <c r="K1977" t="s">
        <v>3250</v>
      </c>
      <c r="L1977">
        <v>1200</v>
      </c>
      <c r="M1977" t="s">
        <v>2368</v>
      </c>
      <c r="N1977">
        <v>1204</v>
      </c>
      <c r="O1977" t="s">
        <v>1574</v>
      </c>
      <c r="P1977" t="s">
        <v>3108</v>
      </c>
      <c r="Q1977" t="s">
        <v>3249</v>
      </c>
      <c r="R1977" t="s">
        <v>3249</v>
      </c>
      <c r="S1977" t="s">
        <v>472</v>
      </c>
      <c r="T1977" t="s">
        <v>3251</v>
      </c>
      <c r="U1977">
        <v>140</v>
      </c>
      <c r="V1977" t="s">
        <v>1327</v>
      </c>
      <c r="W1977">
        <v>140</v>
      </c>
      <c r="X1977" t="s">
        <v>1327</v>
      </c>
      <c r="Y1977" t="s">
        <v>3250</v>
      </c>
      <c r="Z1977" t="s">
        <v>3250</v>
      </c>
      <c r="AA1977" t="s">
        <v>3108</v>
      </c>
      <c r="AB1977" t="s">
        <v>3108</v>
      </c>
      <c r="AC1977" t="s">
        <v>3250</v>
      </c>
      <c r="AD1977" t="s">
        <v>3250</v>
      </c>
      <c r="AE1977" t="s">
        <v>3250</v>
      </c>
      <c r="AF1977" t="s">
        <v>3250</v>
      </c>
      <c r="AG1977" t="s">
        <v>3250</v>
      </c>
      <c r="AH1977" t="s">
        <v>3250</v>
      </c>
      <c r="AI1977" t="s">
        <v>3250</v>
      </c>
      <c r="AJ1977" t="s">
        <v>3250</v>
      </c>
      <c r="AL1977">
        <v>145</v>
      </c>
      <c r="AM1977" t="s">
        <v>4</v>
      </c>
      <c r="AN1977">
        <v>145</v>
      </c>
      <c r="AO1977" t="s">
        <v>4</v>
      </c>
      <c r="AS1977" t="s">
        <v>3250</v>
      </c>
      <c r="AT1977" t="s">
        <v>3250</v>
      </c>
      <c r="AU1977" t="s">
        <v>3250</v>
      </c>
      <c r="AV1977" t="s">
        <v>3250</v>
      </c>
      <c r="AW1977" t="s">
        <v>3250</v>
      </c>
      <c r="AX1977" t="s">
        <v>3250</v>
      </c>
      <c r="AY1977" t="s">
        <v>3250</v>
      </c>
      <c r="AZ1977" t="s">
        <v>3250</v>
      </c>
      <c r="BA1977" t="s">
        <v>3250</v>
      </c>
      <c r="BB1977" t="s">
        <v>3250</v>
      </c>
      <c r="BC1977" t="s">
        <v>3250</v>
      </c>
      <c r="BE1977" t="s">
        <v>3250</v>
      </c>
      <c r="BF1977" t="s">
        <v>3250</v>
      </c>
      <c r="BG1977" t="s">
        <v>3250</v>
      </c>
      <c r="BH1977" t="s">
        <v>3250</v>
      </c>
      <c r="BI1977" t="s">
        <v>3250</v>
      </c>
      <c r="BK1977" t="s">
        <v>3250</v>
      </c>
      <c r="BL1977" t="s">
        <v>3250</v>
      </c>
      <c r="BM1977" t="s">
        <v>3250</v>
      </c>
      <c r="BN1977" t="s">
        <v>3250</v>
      </c>
      <c r="BP1977">
        <v>1</v>
      </c>
      <c r="BQ1977">
        <v>11</v>
      </c>
      <c r="BR1977" t="s">
        <v>1574</v>
      </c>
      <c r="BS1977" t="s">
        <v>3252</v>
      </c>
      <c r="BV1977">
        <v>0</v>
      </c>
      <c r="BW1977">
        <v>0</v>
      </c>
      <c r="BX1977">
        <v>0</v>
      </c>
      <c r="BY1977">
        <v>0</v>
      </c>
      <c r="BZ1977">
        <v>0</v>
      </c>
      <c r="CA1977">
        <v>0</v>
      </c>
      <c r="CB1977">
        <v>0</v>
      </c>
      <c r="CC1977">
        <v>0</v>
      </c>
      <c r="CD1977">
        <v>0</v>
      </c>
      <c r="CE1977" t="s">
        <v>3108</v>
      </c>
      <c r="CF1977" t="s">
        <v>3108</v>
      </c>
      <c r="CG1977" t="s">
        <v>3108</v>
      </c>
      <c r="CH1977" t="s">
        <v>3108</v>
      </c>
    </row>
    <row r="1978" spans="1:86" x14ac:dyDescent="0.2">
      <c r="A1978" t="s">
        <v>6143</v>
      </c>
      <c r="B1978" t="s">
        <v>6143</v>
      </c>
      <c r="C1978">
        <v>55101</v>
      </c>
      <c r="D1978">
        <v>2101</v>
      </c>
      <c r="E1978" t="s">
        <v>5953</v>
      </c>
      <c r="F1978" t="s">
        <v>3249</v>
      </c>
      <c r="G1978" t="s">
        <v>3249</v>
      </c>
      <c r="H1978" t="s">
        <v>3250</v>
      </c>
      <c r="I1978" t="s">
        <v>3250</v>
      </c>
      <c r="J1978" t="s">
        <v>3250</v>
      </c>
      <c r="K1978" t="s">
        <v>3250</v>
      </c>
      <c r="L1978">
        <v>1200</v>
      </c>
      <c r="M1978" t="s">
        <v>2368</v>
      </c>
      <c r="N1978">
        <v>1204</v>
      </c>
      <c r="O1978" t="s">
        <v>1574</v>
      </c>
      <c r="P1978" t="s">
        <v>3108</v>
      </c>
      <c r="Q1978" t="s">
        <v>3249</v>
      </c>
      <c r="R1978" t="s">
        <v>3249</v>
      </c>
      <c r="S1978" t="s">
        <v>472</v>
      </c>
      <c r="T1978" t="s">
        <v>3251</v>
      </c>
      <c r="U1978">
        <v>140</v>
      </c>
      <c r="V1978" t="s">
        <v>1327</v>
      </c>
      <c r="W1978">
        <v>140</v>
      </c>
      <c r="X1978" t="s">
        <v>1327</v>
      </c>
      <c r="Y1978" t="s">
        <v>3250</v>
      </c>
      <c r="Z1978" t="s">
        <v>3250</v>
      </c>
      <c r="AA1978" t="s">
        <v>3108</v>
      </c>
      <c r="AB1978" t="s">
        <v>3108</v>
      </c>
      <c r="AC1978" t="s">
        <v>3250</v>
      </c>
      <c r="AD1978" t="s">
        <v>3250</v>
      </c>
      <c r="AE1978" t="s">
        <v>3250</v>
      </c>
      <c r="AF1978" t="s">
        <v>3250</v>
      </c>
      <c r="AG1978" t="s">
        <v>3250</v>
      </c>
      <c r="AH1978" t="s">
        <v>3250</v>
      </c>
      <c r="AI1978" t="s">
        <v>3250</v>
      </c>
      <c r="AJ1978" t="s">
        <v>3250</v>
      </c>
      <c r="AL1978">
        <v>141</v>
      </c>
      <c r="AM1978" t="s">
        <v>1327</v>
      </c>
      <c r="AN1978">
        <v>141</v>
      </c>
      <c r="AO1978" t="s">
        <v>1327</v>
      </c>
      <c r="AS1978" t="s">
        <v>3250</v>
      </c>
      <c r="AT1978" t="s">
        <v>3250</v>
      </c>
      <c r="AU1978" t="s">
        <v>3250</v>
      </c>
      <c r="AV1978" t="s">
        <v>3250</v>
      </c>
      <c r="AW1978" t="s">
        <v>3250</v>
      </c>
      <c r="AX1978" t="s">
        <v>3250</v>
      </c>
      <c r="AY1978" t="s">
        <v>3250</v>
      </c>
      <c r="AZ1978" t="s">
        <v>3250</v>
      </c>
      <c r="BA1978" t="s">
        <v>3250</v>
      </c>
      <c r="BB1978" t="s">
        <v>3250</v>
      </c>
      <c r="BC1978" t="s">
        <v>3250</v>
      </c>
      <c r="BE1978" t="s">
        <v>3250</v>
      </c>
      <c r="BF1978" t="s">
        <v>3250</v>
      </c>
      <c r="BG1978" t="s">
        <v>3250</v>
      </c>
      <c r="BH1978" t="s">
        <v>3250</v>
      </c>
      <c r="BI1978" t="s">
        <v>3250</v>
      </c>
      <c r="BK1978" t="s">
        <v>3250</v>
      </c>
      <c r="BL1978" t="s">
        <v>3250</v>
      </c>
      <c r="BM1978" t="s">
        <v>3250</v>
      </c>
      <c r="BN1978" t="s">
        <v>3250</v>
      </c>
      <c r="BP1978">
        <v>1</v>
      </c>
      <c r="BQ1978">
        <v>11</v>
      </c>
      <c r="BR1978" t="s">
        <v>1574</v>
      </c>
      <c r="BS1978" t="s">
        <v>3252</v>
      </c>
      <c r="BV1978">
        <v>0</v>
      </c>
      <c r="BW1978">
        <v>0</v>
      </c>
      <c r="BX1978">
        <v>0</v>
      </c>
      <c r="BY1978">
        <v>0</v>
      </c>
      <c r="BZ1978">
        <v>0</v>
      </c>
      <c r="CA1978">
        <v>0</v>
      </c>
      <c r="CB1978">
        <v>0</v>
      </c>
      <c r="CC1978">
        <v>0</v>
      </c>
      <c r="CD1978">
        <v>0</v>
      </c>
      <c r="CE1978" t="s">
        <v>3108</v>
      </c>
      <c r="CF1978" t="s">
        <v>3108</v>
      </c>
      <c r="CG1978" t="s">
        <v>3108</v>
      </c>
      <c r="CH1978" t="s">
        <v>3108</v>
      </c>
    </row>
    <row r="1979" spans="1:86" x14ac:dyDescent="0.2">
      <c r="A1979" t="s">
        <v>6144</v>
      </c>
      <c r="B1979" t="s">
        <v>6144</v>
      </c>
      <c r="C1979">
        <v>55102</v>
      </c>
      <c r="D1979">
        <v>2102</v>
      </c>
      <c r="E1979" t="s">
        <v>6145</v>
      </c>
      <c r="F1979" t="s">
        <v>3249</v>
      </c>
      <c r="G1979" t="s">
        <v>3249</v>
      </c>
      <c r="H1979" t="s">
        <v>3250</v>
      </c>
      <c r="I1979" t="s">
        <v>3250</v>
      </c>
      <c r="J1979" t="s">
        <v>3250</v>
      </c>
      <c r="K1979" t="s">
        <v>3250</v>
      </c>
      <c r="L1979">
        <v>1200</v>
      </c>
      <c r="M1979" t="s">
        <v>2368</v>
      </c>
      <c r="N1979">
        <v>1204</v>
      </c>
      <c r="O1979" t="s">
        <v>1574</v>
      </c>
      <c r="P1979" t="s">
        <v>3108</v>
      </c>
      <c r="Q1979" t="s">
        <v>3249</v>
      </c>
      <c r="R1979" t="s">
        <v>3249</v>
      </c>
      <c r="S1979" t="s">
        <v>472</v>
      </c>
      <c r="T1979" t="s">
        <v>3251</v>
      </c>
      <c r="U1979">
        <v>140</v>
      </c>
      <c r="V1979" t="s">
        <v>1327</v>
      </c>
      <c r="W1979">
        <v>140</v>
      </c>
      <c r="X1979" t="s">
        <v>1327</v>
      </c>
      <c r="Y1979" t="s">
        <v>3250</v>
      </c>
      <c r="Z1979" t="s">
        <v>3250</v>
      </c>
      <c r="AA1979" t="s">
        <v>3108</v>
      </c>
      <c r="AB1979" t="s">
        <v>3108</v>
      </c>
      <c r="AC1979" t="s">
        <v>3250</v>
      </c>
      <c r="AD1979" t="s">
        <v>3250</v>
      </c>
      <c r="AE1979" t="s">
        <v>3250</v>
      </c>
      <c r="AF1979" t="s">
        <v>3250</v>
      </c>
      <c r="AG1979" t="s">
        <v>3250</v>
      </c>
      <c r="AH1979" t="s">
        <v>3250</v>
      </c>
      <c r="AI1979" t="s">
        <v>3250</v>
      </c>
      <c r="AJ1979" t="s">
        <v>3250</v>
      </c>
      <c r="AL1979">
        <v>145</v>
      </c>
      <c r="AM1979" t="s">
        <v>4</v>
      </c>
      <c r="AN1979">
        <v>145</v>
      </c>
      <c r="AO1979" t="s">
        <v>4</v>
      </c>
      <c r="AS1979" t="s">
        <v>3250</v>
      </c>
      <c r="AT1979" t="s">
        <v>3250</v>
      </c>
      <c r="AU1979" t="s">
        <v>3250</v>
      </c>
      <c r="AV1979" t="s">
        <v>3250</v>
      </c>
      <c r="AW1979" t="s">
        <v>3250</v>
      </c>
      <c r="AX1979" t="s">
        <v>3250</v>
      </c>
      <c r="AY1979" t="s">
        <v>3250</v>
      </c>
      <c r="AZ1979" t="s">
        <v>3250</v>
      </c>
      <c r="BA1979" t="s">
        <v>3250</v>
      </c>
      <c r="BB1979" t="s">
        <v>3250</v>
      </c>
      <c r="BC1979" t="s">
        <v>3250</v>
      </c>
      <c r="BE1979" t="s">
        <v>3250</v>
      </c>
      <c r="BF1979" t="s">
        <v>3250</v>
      </c>
      <c r="BG1979" t="s">
        <v>3250</v>
      </c>
      <c r="BH1979" t="s">
        <v>3250</v>
      </c>
      <c r="BI1979" t="s">
        <v>3250</v>
      </c>
      <c r="BK1979" t="s">
        <v>3250</v>
      </c>
      <c r="BL1979" t="s">
        <v>3250</v>
      </c>
      <c r="BM1979" t="s">
        <v>3250</v>
      </c>
      <c r="BN1979" t="s">
        <v>3250</v>
      </c>
      <c r="BP1979">
        <v>1</v>
      </c>
      <c r="BQ1979">
        <v>11</v>
      </c>
      <c r="BR1979" t="s">
        <v>1574</v>
      </c>
      <c r="BS1979" t="s">
        <v>3252</v>
      </c>
      <c r="BV1979">
        <v>0</v>
      </c>
      <c r="BW1979">
        <v>0</v>
      </c>
      <c r="BX1979">
        <v>0</v>
      </c>
      <c r="BY1979">
        <v>0</v>
      </c>
      <c r="BZ1979">
        <v>0</v>
      </c>
      <c r="CA1979">
        <v>0</v>
      </c>
      <c r="CB1979">
        <v>0</v>
      </c>
      <c r="CC1979">
        <v>0</v>
      </c>
      <c r="CD1979">
        <v>0</v>
      </c>
      <c r="CE1979" t="s">
        <v>3108</v>
      </c>
      <c r="CF1979" t="s">
        <v>3108</v>
      </c>
      <c r="CG1979" t="s">
        <v>3108</v>
      </c>
      <c r="CH1979" t="s">
        <v>3108</v>
      </c>
    </row>
    <row r="1980" spans="1:86" x14ac:dyDescent="0.2">
      <c r="A1980" t="s">
        <v>6146</v>
      </c>
      <c r="B1980" t="s">
        <v>6146</v>
      </c>
      <c r="C1980">
        <v>55103</v>
      </c>
      <c r="D1980">
        <v>2103</v>
      </c>
      <c r="E1980" t="s">
        <v>6147</v>
      </c>
      <c r="F1980" t="s">
        <v>3249</v>
      </c>
      <c r="G1980" t="s">
        <v>3249</v>
      </c>
      <c r="H1980" t="s">
        <v>3250</v>
      </c>
      <c r="I1980" t="s">
        <v>3250</v>
      </c>
      <c r="J1980" t="s">
        <v>3250</v>
      </c>
      <c r="K1980" t="s">
        <v>3250</v>
      </c>
      <c r="L1980">
        <v>1200</v>
      </c>
      <c r="M1980" t="s">
        <v>2368</v>
      </c>
      <c r="N1980">
        <v>1204</v>
      </c>
      <c r="O1980" t="s">
        <v>1574</v>
      </c>
      <c r="P1980" t="s">
        <v>3108</v>
      </c>
      <c r="Q1980" t="s">
        <v>3249</v>
      </c>
      <c r="R1980" t="s">
        <v>3249</v>
      </c>
      <c r="S1980" t="s">
        <v>472</v>
      </c>
      <c r="T1980" t="s">
        <v>3251</v>
      </c>
      <c r="U1980">
        <v>140</v>
      </c>
      <c r="V1980" t="s">
        <v>1327</v>
      </c>
      <c r="W1980">
        <v>140</v>
      </c>
      <c r="X1980" t="s">
        <v>1327</v>
      </c>
      <c r="Y1980" t="s">
        <v>3250</v>
      </c>
      <c r="Z1980" t="s">
        <v>3250</v>
      </c>
      <c r="AA1980" t="s">
        <v>3108</v>
      </c>
      <c r="AB1980" t="s">
        <v>3108</v>
      </c>
      <c r="AC1980" t="s">
        <v>3250</v>
      </c>
      <c r="AD1980" t="s">
        <v>3250</v>
      </c>
      <c r="AE1980" t="s">
        <v>3250</v>
      </c>
      <c r="AF1980" t="s">
        <v>3250</v>
      </c>
      <c r="AG1980" t="s">
        <v>3250</v>
      </c>
      <c r="AH1980" t="s">
        <v>3250</v>
      </c>
      <c r="AI1980" t="s">
        <v>3250</v>
      </c>
      <c r="AJ1980" t="s">
        <v>3250</v>
      </c>
      <c r="AL1980">
        <v>145</v>
      </c>
      <c r="AM1980" t="s">
        <v>4</v>
      </c>
      <c r="AN1980">
        <v>145</v>
      </c>
      <c r="AO1980" t="s">
        <v>4</v>
      </c>
      <c r="AS1980" t="s">
        <v>3250</v>
      </c>
      <c r="AT1980" t="s">
        <v>3250</v>
      </c>
      <c r="AU1980" t="s">
        <v>3250</v>
      </c>
      <c r="AV1980" t="s">
        <v>3250</v>
      </c>
      <c r="AW1980" t="s">
        <v>3250</v>
      </c>
      <c r="AX1980" t="s">
        <v>3250</v>
      </c>
      <c r="AY1980" t="s">
        <v>3250</v>
      </c>
      <c r="AZ1980" t="s">
        <v>3250</v>
      </c>
      <c r="BA1980" t="s">
        <v>3250</v>
      </c>
      <c r="BB1980" t="s">
        <v>3250</v>
      </c>
      <c r="BC1980" t="s">
        <v>3250</v>
      </c>
      <c r="BE1980" t="s">
        <v>3250</v>
      </c>
      <c r="BF1980" t="s">
        <v>3250</v>
      </c>
      <c r="BG1980" t="s">
        <v>3250</v>
      </c>
      <c r="BH1980" t="s">
        <v>3250</v>
      </c>
      <c r="BI1980" t="s">
        <v>3250</v>
      </c>
      <c r="BK1980" t="s">
        <v>3250</v>
      </c>
      <c r="BL1980" t="s">
        <v>3250</v>
      </c>
      <c r="BM1980" t="s">
        <v>3250</v>
      </c>
      <c r="BN1980" t="s">
        <v>3250</v>
      </c>
      <c r="BP1980">
        <v>1</v>
      </c>
      <c r="BQ1980">
        <v>11</v>
      </c>
      <c r="BR1980" t="s">
        <v>1574</v>
      </c>
      <c r="BS1980" t="s">
        <v>3252</v>
      </c>
      <c r="BV1980">
        <v>0</v>
      </c>
      <c r="BW1980">
        <v>0</v>
      </c>
      <c r="BX1980">
        <v>0</v>
      </c>
      <c r="BY1980">
        <v>0</v>
      </c>
      <c r="BZ1980">
        <v>0</v>
      </c>
      <c r="CA1980">
        <v>0</v>
      </c>
      <c r="CB1980">
        <v>0</v>
      </c>
      <c r="CC1980">
        <v>0</v>
      </c>
      <c r="CD1980">
        <v>0</v>
      </c>
      <c r="CE1980" t="s">
        <v>3108</v>
      </c>
      <c r="CF1980" t="s">
        <v>3108</v>
      </c>
      <c r="CG1980" t="s">
        <v>3108</v>
      </c>
      <c r="CH1980" t="s">
        <v>3108</v>
      </c>
    </row>
    <row r="1981" spans="1:86" x14ac:dyDescent="0.2">
      <c r="A1981" t="s">
        <v>6148</v>
      </c>
      <c r="B1981" t="s">
        <v>6148</v>
      </c>
      <c r="C1981">
        <v>55104</v>
      </c>
      <c r="D1981">
        <v>2104</v>
      </c>
      <c r="E1981" t="s">
        <v>5943</v>
      </c>
      <c r="F1981" t="s">
        <v>3249</v>
      </c>
      <c r="G1981" t="s">
        <v>3249</v>
      </c>
      <c r="H1981" t="s">
        <v>3250</v>
      </c>
      <c r="I1981" t="s">
        <v>3250</v>
      </c>
      <c r="J1981" t="s">
        <v>3250</v>
      </c>
      <c r="K1981" t="s">
        <v>3250</v>
      </c>
      <c r="L1981">
        <v>1200</v>
      </c>
      <c r="M1981" t="s">
        <v>2368</v>
      </c>
      <c r="N1981">
        <v>1204</v>
      </c>
      <c r="O1981" t="s">
        <v>1574</v>
      </c>
      <c r="P1981" t="s">
        <v>3108</v>
      </c>
      <c r="Q1981" t="s">
        <v>3249</v>
      </c>
      <c r="R1981" t="s">
        <v>3249</v>
      </c>
      <c r="S1981" t="s">
        <v>472</v>
      </c>
      <c r="T1981" t="s">
        <v>3251</v>
      </c>
      <c r="U1981">
        <v>140</v>
      </c>
      <c r="V1981" t="s">
        <v>1327</v>
      </c>
      <c r="W1981">
        <v>140</v>
      </c>
      <c r="X1981" t="s">
        <v>1327</v>
      </c>
      <c r="Y1981" t="s">
        <v>3250</v>
      </c>
      <c r="Z1981" t="s">
        <v>3250</v>
      </c>
      <c r="AA1981" t="s">
        <v>3108</v>
      </c>
      <c r="AB1981" t="s">
        <v>3108</v>
      </c>
      <c r="AC1981" t="s">
        <v>3250</v>
      </c>
      <c r="AD1981" t="s">
        <v>3250</v>
      </c>
      <c r="AE1981" t="s">
        <v>3250</v>
      </c>
      <c r="AF1981" t="s">
        <v>3250</v>
      </c>
      <c r="AG1981" t="s">
        <v>3250</v>
      </c>
      <c r="AH1981" t="s">
        <v>3250</v>
      </c>
      <c r="AI1981" t="s">
        <v>3250</v>
      </c>
      <c r="AJ1981" t="s">
        <v>3250</v>
      </c>
      <c r="AL1981">
        <v>141</v>
      </c>
      <c r="AM1981" t="s">
        <v>1327</v>
      </c>
      <c r="AN1981">
        <v>141</v>
      </c>
      <c r="AO1981" t="s">
        <v>1327</v>
      </c>
      <c r="AS1981" t="s">
        <v>3250</v>
      </c>
      <c r="AT1981" t="s">
        <v>3250</v>
      </c>
      <c r="AU1981" t="s">
        <v>3250</v>
      </c>
      <c r="AV1981" t="s">
        <v>3250</v>
      </c>
      <c r="AW1981" t="s">
        <v>3250</v>
      </c>
      <c r="AX1981" t="s">
        <v>3250</v>
      </c>
      <c r="AY1981" t="s">
        <v>3250</v>
      </c>
      <c r="AZ1981" t="s">
        <v>3250</v>
      </c>
      <c r="BA1981" t="s">
        <v>3250</v>
      </c>
      <c r="BB1981" t="s">
        <v>3250</v>
      </c>
      <c r="BC1981" t="s">
        <v>3250</v>
      </c>
      <c r="BE1981" t="s">
        <v>3250</v>
      </c>
      <c r="BF1981" t="s">
        <v>3250</v>
      </c>
      <c r="BG1981" t="s">
        <v>3250</v>
      </c>
      <c r="BH1981" t="s">
        <v>3250</v>
      </c>
      <c r="BI1981" t="s">
        <v>3250</v>
      </c>
      <c r="BK1981" t="s">
        <v>3250</v>
      </c>
      <c r="BL1981" t="s">
        <v>3250</v>
      </c>
      <c r="BM1981" t="s">
        <v>3250</v>
      </c>
      <c r="BN1981" t="s">
        <v>3250</v>
      </c>
      <c r="BP1981">
        <v>1</v>
      </c>
      <c r="BQ1981">
        <v>11</v>
      </c>
      <c r="BR1981" t="s">
        <v>1574</v>
      </c>
      <c r="BS1981" t="s">
        <v>3252</v>
      </c>
      <c r="BV1981">
        <v>0</v>
      </c>
      <c r="BW1981">
        <v>0</v>
      </c>
      <c r="BX1981">
        <v>0</v>
      </c>
      <c r="BY1981">
        <v>0</v>
      </c>
      <c r="BZ1981">
        <v>0</v>
      </c>
      <c r="CA1981">
        <v>0</v>
      </c>
      <c r="CB1981">
        <v>0</v>
      </c>
      <c r="CC1981">
        <v>0</v>
      </c>
      <c r="CD1981">
        <v>0</v>
      </c>
      <c r="CE1981" t="s">
        <v>3108</v>
      </c>
      <c r="CF1981" t="s">
        <v>3108</v>
      </c>
      <c r="CG1981" t="s">
        <v>3108</v>
      </c>
      <c r="CH1981" t="s">
        <v>3108</v>
      </c>
    </row>
    <row r="1982" spans="1:86" x14ac:dyDescent="0.2">
      <c r="A1982" t="s">
        <v>6149</v>
      </c>
      <c r="B1982" t="s">
        <v>6149</v>
      </c>
      <c r="C1982">
        <v>55105</v>
      </c>
      <c r="D1982">
        <v>2105</v>
      </c>
      <c r="E1982" t="s">
        <v>6150</v>
      </c>
      <c r="F1982" t="s">
        <v>3249</v>
      </c>
      <c r="G1982" t="s">
        <v>3249</v>
      </c>
      <c r="H1982" t="s">
        <v>3250</v>
      </c>
      <c r="I1982" t="s">
        <v>3250</v>
      </c>
      <c r="J1982" t="s">
        <v>3250</v>
      </c>
      <c r="K1982" t="s">
        <v>3250</v>
      </c>
      <c r="L1982">
        <v>1200</v>
      </c>
      <c r="M1982" t="s">
        <v>2368</v>
      </c>
      <c r="N1982">
        <v>1204</v>
      </c>
      <c r="O1982" t="s">
        <v>1574</v>
      </c>
      <c r="P1982" t="s">
        <v>3108</v>
      </c>
      <c r="Q1982" t="s">
        <v>3249</v>
      </c>
      <c r="R1982" t="s">
        <v>3249</v>
      </c>
      <c r="S1982" t="s">
        <v>472</v>
      </c>
      <c r="T1982" t="s">
        <v>3251</v>
      </c>
      <c r="U1982">
        <v>140</v>
      </c>
      <c r="V1982" t="s">
        <v>1327</v>
      </c>
      <c r="W1982">
        <v>140</v>
      </c>
      <c r="X1982" t="s">
        <v>1327</v>
      </c>
      <c r="Y1982" t="s">
        <v>3250</v>
      </c>
      <c r="Z1982" t="s">
        <v>3250</v>
      </c>
      <c r="AA1982" t="s">
        <v>3108</v>
      </c>
      <c r="AB1982" t="s">
        <v>3108</v>
      </c>
      <c r="AC1982" t="s">
        <v>3250</v>
      </c>
      <c r="AD1982" t="s">
        <v>3250</v>
      </c>
      <c r="AE1982" t="s">
        <v>3250</v>
      </c>
      <c r="AF1982" t="s">
        <v>3250</v>
      </c>
      <c r="AG1982" t="s">
        <v>3250</v>
      </c>
      <c r="AH1982" t="s">
        <v>3250</v>
      </c>
      <c r="AI1982" t="s">
        <v>3250</v>
      </c>
      <c r="AJ1982" t="s">
        <v>3250</v>
      </c>
      <c r="AL1982">
        <v>145</v>
      </c>
      <c r="AM1982" t="s">
        <v>4</v>
      </c>
      <c r="AN1982">
        <v>145</v>
      </c>
      <c r="AO1982" t="s">
        <v>4</v>
      </c>
      <c r="AS1982" t="s">
        <v>3250</v>
      </c>
      <c r="AT1982" t="s">
        <v>3250</v>
      </c>
      <c r="AU1982" t="s">
        <v>3250</v>
      </c>
      <c r="AV1982" t="s">
        <v>3250</v>
      </c>
      <c r="AW1982" t="s">
        <v>3250</v>
      </c>
      <c r="AX1982" t="s">
        <v>3250</v>
      </c>
      <c r="AY1982" t="s">
        <v>3250</v>
      </c>
      <c r="AZ1982" t="s">
        <v>3250</v>
      </c>
      <c r="BA1982" t="s">
        <v>3250</v>
      </c>
      <c r="BB1982" t="s">
        <v>3250</v>
      </c>
      <c r="BC1982" t="s">
        <v>3250</v>
      </c>
      <c r="BE1982" t="s">
        <v>3250</v>
      </c>
      <c r="BF1982" t="s">
        <v>3250</v>
      </c>
      <c r="BG1982" t="s">
        <v>3250</v>
      </c>
      <c r="BH1982" t="s">
        <v>3250</v>
      </c>
      <c r="BI1982" t="s">
        <v>3250</v>
      </c>
      <c r="BK1982" t="s">
        <v>3250</v>
      </c>
      <c r="BL1982" t="s">
        <v>3250</v>
      </c>
      <c r="BM1982" t="s">
        <v>3250</v>
      </c>
      <c r="BN1982" t="s">
        <v>3250</v>
      </c>
      <c r="BP1982">
        <v>1</v>
      </c>
      <c r="BQ1982">
        <v>11</v>
      </c>
      <c r="BR1982" t="s">
        <v>1574</v>
      </c>
      <c r="BS1982" t="s">
        <v>3252</v>
      </c>
      <c r="BV1982">
        <v>0</v>
      </c>
      <c r="BW1982">
        <v>0</v>
      </c>
      <c r="BX1982">
        <v>0</v>
      </c>
      <c r="BY1982">
        <v>0</v>
      </c>
      <c r="BZ1982">
        <v>0</v>
      </c>
      <c r="CA1982">
        <v>0</v>
      </c>
      <c r="CB1982">
        <v>0</v>
      </c>
      <c r="CC1982">
        <v>0</v>
      </c>
      <c r="CD1982">
        <v>0</v>
      </c>
      <c r="CE1982" t="s">
        <v>3108</v>
      </c>
      <c r="CF1982" t="s">
        <v>3108</v>
      </c>
      <c r="CG1982" t="s">
        <v>3108</v>
      </c>
      <c r="CH1982" t="s">
        <v>3108</v>
      </c>
    </row>
    <row r="1983" spans="1:86" x14ac:dyDescent="0.2">
      <c r="A1983" t="s">
        <v>6151</v>
      </c>
      <c r="B1983" t="s">
        <v>6151</v>
      </c>
      <c r="C1983">
        <v>55106</v>
      </c>
      <c r="D1983">
        <v>2106</v>
      </c>
      <c r="E1983" t="s">
        <v>6152</v>
      </c>
      <c r="F1983" t="s">
        <v>3249</v>
      </c>
      <c r="G1983" t="s">
        <v>3249</v>
      </c>
      <c r="H1983" t="s">
        <v>3250</v>
      </c>
      <c r="I1983" t="s">
        <v>3250</v>
      </c>
      <c r="J1983" t="s">
        <v>3250</v>
      </c>
      <c r="K1983" t="s">
        <v>3250</v>
      </c>
      <c r="L1983">
        <v>1200</v>
      </c>
      <c r="M1983" t="s">
        <v>2368</v>
      </c>
      <c r="N1983">
        <v>1204</v>
      </c>
      <c r="O1983" t="s">
        <v>1574</v>
      </c>
      <c r="P1983" t="s">
        <v>3108</v>
      </c>
      <c r="Q1983" t="s">
        <v>3249</v>
      </c>
      <c r="R1983" t="s">
        <v>3249</v>
      </c>
      <c r="S1983" t="s">
        <v>472</v>
      </c>
      <c r="T1983" t="s">
        <v>3251</v>
      </c>
      <c r="U1983">
        <v>140</v>
      </c>
      <c r="V1983" t="s">
        <v>1327</v>
      </c>
      <c r="W1983">
        <v>140</v>
      </c>
      <c r="X1983" t="s">
        <v>1327</v>
      </c>
      <c r="Y1983" t="s">
        <v>3250</v>
      </c>
      <c r="Z1983" t="s">
        <v>3250</v>
      </c>
      <c r="AA1983" t="s">
        <v>3108</v>
      </c>
      <c r="AB1983" t="s">
        <v>3108</v>
      </c>
      <c r="AC1983" t="s">
        <v>3250</v>
      </c>
      <c r="AD1983" t="s">
        <v>3250</v>
      </c>
      <c r="AE1983" t="s">
        <v>3250</v>
      </c>
      <c r="AF1983" t="s">
        <v>3250</v>
      </c>
      <c r="AG1983" t="s">
        <v>3250</v>
      </c>
      <c r="AH1983" t="s">
        <v>3250</v>
      </c>
      <c r="AI1983" t="s">
        <v>3250</v>
      </c>
      <c r="AJ1983" t="s">
        <v>3250</v>
      </c>
      <c r="AL1983">
        <v>141</v>
      </c>
      <c r="AM1983" t="s">
        <v>1327</v>
      </c>
      <c r="AN1983">
        <v>141</v>
      </c>
      <c r="AO1983" t="s">
        <v>1327</v>
      </c>
      <c r="AS1983" t="s">
        <v>3250</v>
      </c>
      <c r="AT1983" t="s">
        <v>3250</v>
      </c>
      <c r="AU1983" t="s">
        <v>3250</v>
      </c>
      <c r="AV1983" t="s">
        <v>3250</v>
      </c>
      <c r="AW1983" t="s">
        <v>3250</v>
      </c>
      <c r="AX1983" t="s">
        <v>3250</v>
      </c>
      <c r="AY1983" t="s">
        <v>3250</v>
      </c>
      <c r="AZ1983" t="s">
        <v>3250</v>
      </c>
      <c r="BA1983" t="s">
        <v>3250</v>
      </c>
      <c r="BB1983" t="s">
        <v>3250</v>
      </c>
      <c r="BC1983" t="s">
        <v>3250</v>
      </c>
      <c r="BE1983" t="s">
        <v>3250</v>
      </c>
      <c r="BF1983" t="s">
        <v>3250</v>
      </c>
      <c r="BG1983" t="s">
        <v>3250</v>
      </c>
      <c r="BH1983" t="s">
        <v>3250</v>
      </c>
      <c r="BI1983" t="s">
        <v>3250</v>
      </c>
      <c r="BK1983" t="s">
        <v>3250</v>
      </c>
      <c r="BL1983" t="s">
        <v>3250</v>
      </c>
      <c r="BM1983" t="s">
        <v>3250</v>
      </c>
      <c r="BN1983" t="s">
        <v>3250</v>
      </c>
      <c r="BP1983">
        <v>1</v>
      </c>
      <c r="BQ1983">
        <v>11</v>
      </c>
      <c r="BR1983" t="s">
        <v>1574</v>
      </c>
      <c r="BS1983" t="s">
        <v>3252</v>
      </c>
      <c r="BV1983">
        <v>0</v>
      </c>
      <c r="BW1983">
        <v>0</v>
      </c>
      <c r="BX1983">
        <v>0</v>
      </c>
      <c r="BY1983">
        <v>0</v>
      </c>
      <c r="BZ1983">
        <v>0</v>
      </c>
      <c r="CA1983">
        <v>0</v>
      </c>
      <c r="CB1983">
        <v>0</v>
      </c>
      <c r="CC1983">
        <v>0</v>
      </c>
      <c r="CD1983">
        <v>0</v>
      </c>
      <c r="CE1983" t="s">
        <v>3108</v>
      </c>
      <c r="CF1983" t="s">
        <v>3108</v>
      </c>
      <c r="CG1983" t="s">
        <v>3108</v>
      </c>
      <c r="CH1983" t="s">
        <v>3108</v>
      </c>
    </row>
    <row r="1984" spans="1:86" x14ac:dyDescent="0.2">
      <c r="A1984" t="s">
        <v>6153</v>
      </c>
      <c r="B1984" t="s">
        <v>6153</v>
      </c>
      <c r="C1984">
        <v>55107</v>
      </c>
      <c r="D1984">
        <v>2107</v>
      </c>
      <c r="E1984" t="s">
        <v>6154</v>
      </c>
      <c r="F1984" t="s">
        <v>3249</v>
      </c>
      <c r="G1984" t="s">
        <v>3249</v>
      </c>
      <c r="H1984" t="s">
        <v>3250</v>
      </c>
      <c r="I1984" t="s">
        <v>3250</v>
      </c>
      <c r="J1984" t="s">
        <v>3250</v>
      </c>
      <c r="K1984" t="s">
        <v>3250</v>
      </c>
      <c r="L1984">
        <v>1200</v>
      </c>
      <c r="M1984" t="s">
        <v>2368</v>
      </c>
      <c r="N1984">
        <v>1204</v>
      </c>
      <c r="O1984" t="s">
        <v>1574</v>
      </c>
      <c r="P1984" t="s">
        <v>3108</v>
      </c>
      <c r="Q1984" t="s">
        <v>3249</v>
      </c>
      <c r="R1984" t="s">
        <v>3249</v>
      </c>
      <c r="S1984" t="s">
        <v>472</v>
      </c>
      <c r="T1984" t="s">
        <v>3251</v>
      </c>
      <c r="U1984">
        <v>140</v>
      </c>
      <c r="V1984" t="s">
        <v>1327</v>
      </c>
      <c r="W1984">
        <v>140</v>
      </c>
      <c r="X1984" t="s">
        <v>1327</v>
      </c>
      <c r="Y1984" t="s">
        <v>3250</v>
      </c>
      <c r="Z1984" t="s">
        <v>3250</v>
      </c>
      <c r="AA1984" t="s">
        <v>3108</v>
      </c>
      <c r="AB1984" t="s">
        <v>3108</v>
      </c>
      <c r="AC1984" t="s">
        <v>3250</v>
      </c>
      <c r="AD1984" t="s">
        <v>3250</v>
      </c>
      <c r="AE1984" t="s">
        <v>3250</v>
      </c>
      <c r="AF1984" t="s">
        <v>3250</v>
      </c>
      <c r="AG1984" t="s">
        <v>3250</v>
      </c>
      <c r="AH1984" t="s">
        <v>3250</v>
      </c>
      <c r="AI1984" t="s">
        <v>3250</v>
      </c>
      <c r="AJ1984" t="s">
        <v>3250</v>
      </c>
      <c r="AL1984">
        <v>145</v>
      </c>
      <c r="AM1984" t="s">
        <v>4</v>
      </c>
      <c r="AN1984">
        <v>145</v>
      </c>
      <c r="AO1984" t="s">
        <v>4</v>
      </c>
      <c r="AS1984" t="s">
        <v>3250</v>
      </c>
      <c r="AT1984" t="s">
        <v>3250</v>
      </c>
      <c r="AU1984" t="s">
        <v>3250</v>
      </c>
      <c r="AV1984" t="s">
        <v>3250</v>
      </c>
      <c r="AW1984" t="s">
        <v>3250</v>
      </c>
      <c r="AX1984" t="s">
        <v>3250</v>
      </c>
      <c r="AY1984" t="s">
        <v>3250</v>
      </c>
      <c r="AZ1984" t="s">
        <v>3250</v>
      </c>
      <c r="BA1984" t="s">
        <v>3250</v>
      </c>
      <c r="BB1984" t="s">
        <v>3250</v>
      </c>
      <c r="BC1984" t="s">
        <v>3250</v>
      </c>
      <c r="BE1984" t="s">
        <v>3250</v>
      </c>
      <c r="BF1984" t="s">
        <v>3250</v>
      </c>
      <c r="BG1984" t="s">
        <v>3250</v>
      </c>
      <c r="BH1984" t="s">
        <v>3250</v>
      </c>
      <c r="BI1984" t="s">
        <v>3250</v>
      </c>
      <c r="BK1984" t="s">
        <v>3250</v>
      </c>
      <c r="BL1984" t="s">
        <v>3250</v>
      </c>
      <c r="BM1984" t="s">
        <v>3250</v>
      </c>
      <c r="BN1984" t="s">
        <v>3250</v>
      </c>
      <c r="BP1984">
        <v>1</v>
      </c>
      <c r="BQ1984">
        <v>11</v>
      </c>
      <c r="BR1984" t="s">
        <v>1574</v>
      </c>
      <c r="BS1984" t="s">
        <v>3252</v>
      </c>
      <c r="BV1984">
        <v>0</v>
      </c>
      <c r="BW1984">
        <v>0</v>
      </c>
      <c r="BX1984">
        <v>0</v>
      </c>
      <c r="BY1984">
        <v>0</v>
      </c>
      <c r="BZ1984">
        <v>0</v>
      </c>
      <c r="CA1984">
        <v>0</v>
      </c>
      <c r="CB1984">
        <v>0</v>
      </c>
      <c r="CC1984">
        <v>0</v>
      </c>
      <c r="CD1984">
        <v>0</v>
      </c>
      <c r="CE1984" t="s">
        <v>3108</v>
      </c>
      <c r="CF1984" t="s">
        <v>3108</v>
      </c>
      <c r="CG1984" t="s">
        <v>3108</v>
      </c>
      <c r="CH1984" t="s">
        <v>3108</v>
      </c>
    </row>
    <row r="1985" spans="1:86" x14ac:dyDescent="0.2">
      <c r="A1985" t="s">
        <v>6155</v>
      </c>
      <c r="B1985" t="s">
        <v>6155</v>
      </c>
      <c r="C1985">
        <v>55108</v>
      </c>
      <c r="D1985">
        <v>2108</v>
      </c>
      <c r="E1985" t="s">
        <v>6156</v>
      </c>
      <c r="F1985" t="s">
        <v>3249</v>
      </c>
      <c r="G1985" t="s">
        <v>3249</v>
      </c>
      <c r="H1985" t="s">
        <v>3250</v>
      </c>
      <c r="I1985" t="s">
        <v>3250</v>
      </c>
      <c r="J1985" t="s">
        <v>3250</v>
      </c>
      <c r="K1985" t="s">
        <v>3250</v>
      </c>
      <c r="L1985">
        <v>1200</v>
      </c>
      <c r="M1985" t="s">
        <v>2368</v>
      </c>
      <c r="N1985">
        <v>1204</v>
      </c>
      <c r="O1985" t="s">
        <v>1574</v>
      </c>
      <c r="P1985" t="s">
        <v>3108</v>
      </c>
      <c r="Q1985" t="s">
        <v>3249</v>
      </c>
      <c r="R1985" t="s">
        <v>3249</v>
      </c>
      <c r="S1985" t="s">
        <v>472</v>
      </c>
      <c r="T1985" t="s">
        <v>3251</v>
      </c>
      <c r="U1985">
        <v>140</v>
      </c>
      <c r="V1985" t="s">
        <v>1327</v>
      </c>
      <c r="W1985">
        <v>140</v>
      </c>
      <c r="X1985" t="s">
        <v>1327</v>
      </c>
      <c r="Y1985" t="s">
        <v>3250</v>
      </c>
      <c r="Z1985" t="s">
        <v>3250</v>
      </c>
      <c r="AA1985" t="s">
        <v>3108</v>
      </c>
      <c r="AB1985" t="s">
        <v>3108</v>
      </c>
      <c r="AC1985" t="s">
        <v>3250</v>
      </c>
      <c r="AD1985" t="s">
        <v>3250</v>
      </c>
      <c r="AE1985" t="s">
        <v>3250</v>
      </c>
      <c r="AF1985" t="s">
        <v>3250</v>
      </c>
      <c r="AG1985" t="s">
        <v>3250</v>
      </c>
      <c r="AH1985" t="s">
        <v>3250</v>
      </c>
      <c r="AI1985" t="s">
        <v>3250</v>
      </c>
      <c r="AJ1985" t="s">
        <v>3250</v>
      </c>
      <c r="AL1985">
        <v>141</v>
      </c>
      <c r="AM1985" t="s">
        <v>1327</v>
      </c>
      <c r="AN1985">
        <v>141</v>
      </c>
      <c r="AO1985" t="s">
        <v>1327</v>
      </c>
      <c r="AS1985" t="s">
        <v>3250</v>
      </c>
      <c r="AT1985" t="s">
        <v>3250</v>
      </c>
      <c r="AU1985" t="s">
        <v>3250</v>
      </c>
      <c r="AV1985" t="s">
        <v>3250</v>
      </c>
      <c r="AW1985" t="s">
        <v>3250</v>
      </c>
      <c r="AX1985" t="s">
        <v>3250</v>
      </c>
      <c r="AY1985" t="s">
        <v>3250</v>
      </c>
      <c r="AZ1985" t="s">
        <v>3250</v>
      </c>
      <c r="BA1985" t="s">
        <v>3250</v>
      </c>
      <c r="BB1985" t="s">
        <v>3250</v>
      </c>
      <c r="BC1985" t="s">
        <v>3250</v>
      </c>
      <c r="BE1985" t="s">
        <v>3250</v>
      </c>
      <c r="BF1985" t="s">
        <v>3250</v>
      </c>
      <c r="BG1985" t="s">
        <v>3250</v>
      </c>
      <c r="BH1985" t="s">
        <v>3250</v>
      </c>
      <c r="BI1985" t="s">
        <v>3250</v>
      </c>
      <c r="BK1985" t="s">
        <v>3250</v>
      </c>
      <c r="BL1985" t="s">
        <v>3250</v>
      </c>
      <c r="BM1985" t="s">
        <v>3250</v>
      </c>
      <c r="BN1985" t="s">
        <v>3250</v>
      </c>
      <c r="BP1985">
        <v>1</v>
      </c>
      <c r="BQ1985">
        <v>11</v>
      </c>
      <c r="BR1985" t="s">
        <v>1574</v>
      </c>
      <c r="BS1985" t="s">
        <v>3252</v>
      </c>
      <c r="BV1985">
        <v>0</v>
      </c>
      <c r="BW1985">
        <v>0</v>
      </c>
      <c r="BX1985">
        <v>0</v>
      </c>
      <c r="BY1985">
        <v>0</v>
      </c>
      <c r="BZ1985">
        <v>0</v>
      </c>
      <c r="CA1985">
        <v>0</v>
      </c>
      <c r="CB1985">
        <v>0</v>
      </c>
      <c r="CC1985">
        <v>0</v>
      </c>
      <c r="CD1985">
        <v>0</v>
      </c>
      <c r="CE1985" t="s">
        <v>3108</v>
      </c>
      <c r="CF1985" t="s">
        <v>3108</v>
      </c>
      <c r="CG1985" t="s">
        <v>3108</v>
      </c>
      <c r="CH1985" t="s">
        <v>3108</v>
      </c>
    </row>
    <row r="1986" spans="1:86" x14ac:dyDescent="0.2">
      <c r="A1986" t="s">
        <v>6157</v>
      </c>
      <c r="B1986" t="s">
        <v>6157</v>
      </c>
      <c r="C1986">
        <v>55109</v>
      </c>
      <c r="D1986">
        <v>2109</v>
      </c>
      <c r="E1986" t="s">
        <v>6158</v>
      </c>
      <c r="F1986" t="s">
        <v>3249</v>
      </c>
      <c r="G1986" t="s">
        <v>3249</v>
      </c>
      <c r="H1986" t="s">
        <v>3250</v>
      </c>
      <c r="I1986" t="s">
        <v>3250</v>
      </c>
      <c r="J1986" t="s">
        <v>3250</v>
      </c>
      <c r="K1986" t="s">
        <v>3250</v>
      </c>
      <c r="L1986">
        <v>1200</v>
      </c>
      <c r="M1986" t="s">
        <v>2368</v>
      </c>
      <c r="N1986">
        <v>1204</v>
      </c>
      <c r="O1986" t="s">
        <v>1574</v>
      </c>
      <c r="P1986" t="s">
        <v>3108</v>
      </c>
      <c r="Q1986" t="s">
        <v>3249</v>
      </c>
      <c r="R1986" t="s">
        <v>3249</v>
      </c>
      <c r="S1986" t="s">
        <v>472</v>
      </c>
      <c r="T1986" t="s">
        <v>3251</v>
      </c>
      <c r="U1986">
        <v>140</v>
      </c>
      <c r="V1986" t="s">
        <v>1327</v>
      </c>
      <c r="W1986">
        <v>140</v>
      </c>
      <c r="X1986" t="s">
        <v>1327</v>
      </c>
      <c r="Y1986" t="s">
        <v>3250</v>
      </c>
      <c r="Z1986" t="s">
        <v>3250</v>
      </c>
      <c r="AA1986" t="s">
        <v>3108</v>
      </c>
      <c r="AB1986" t="s">
        <v>3108</v>
      </c>
      <c r="AC1986" t="s">
        <v>3250</v>
      </c>
      <c r="AD1986" t="s">
        <v>3250</v>
      </c>
      <c r="AE1986" t="s">
        <v>3250</v>
      </c>
      <c r="AF1986" t="s">
        <v>3250</v>
      </c>
      <c r="AG1986" t="s">
        <v>3250</v>
      </c>
      <c r="AH1986" t="s">
        <v>3250</v>
      </c>
      <c r="AI1986" t="s">
        <v>3250</v>
      </c>
      <c r="AJ1986" t="s">
        <v>3250</v>
      </c>
      <c r="AL1986">
        <v>145</v>
      </c>
      <c r="AM1986" t="s">
        <v>4</v>
      </c>
      <c r="AN1986">
        <v>145</v>
      </c>
      <c r="AO1986" t="s">
        <v>4</v>
      </c>
      <c r="AS1986" t="s">
        <v>3250</v>
      </c>
      <c r="AT1986" t="s">
        <v>3250</v>
      </c>
      <c r="AU1986" t="s">
        <v>3250</v>
      </c>
      <c r="AV1986" t="s">
        <v>3250</v>
      </c>
      <c r="AW1986" t="s">
        <v>3250</v>
      </c>
      <c r="AX1986" t="s">
        <v>3250</v>
      </c>
      <c r="AY1986" t="s">
        <v>3250</v>
      </c>
      <c r="AZ1986" t="s">
        <v>3250</v>
      </c>
      <c r="BA1986" t="s">
        <v>3250</v>
      </c>
      <c r="BB1986" t="s">
        <v>3250</v>
      </c>
      <c r="BC1986" t="s">
        <v>3250</v>
      </c>
      <c r="BE1986" t="s">
        <v>3250</v>
      </c>
      <c r="BF1986" t="s">
        <v>3250</v>
      </c>
      <c r="BG1986" t="s">
        <v>3250</v>
      </c>
      <c r="BH1986" t="s">
        <v>3250</v>
      </c>
      <c r="BI1986" t="s">
        <v>3250</v>
      </c>
      <c r="BK1986" t="s">
        <v>3250</v>
      </c>
      <c r="BL1986" t="s">
        <v>3250</v>
      </c>
      <c r="BM1986" t="s">
        <v>3250</v>
      </c>
      <c r="BN1986" t="s">
        <v>3250</v>
      </c>
      <c r="BP1986">
        <v>1</v>
      </c>
      <c r="BQ1986">
        <v>11</v>
      </c>
      <c r="BR1986" t="s">
        <v>1574</v>
      </c>
      <c r="BS1986" t="s">
        <v>3252</v>
      </c>
      <c r="BV1986">
        <v>0</v>
      </c>
      <c r="BW1986">
        <v>0</v>
      </c>
      <c r="BX1986">
        <v>0</v>
      </c>
      <c r="BY1986">
        <v>0</v>
      </c>
      <c r="BZ1986">
        <v>0</v>
      </c>
      <c r="CA1986">
        <v>0</v>
      </c>
      <c r="CB1986">
        <v>0</v>
      </c>
      <c r="CC1986">
        <v>0</v>
      </c>
      <c r="CD1986">
        <v>0</v>
      </c>
      <c r="CE1986" t="s">
        <v>3108</v>
      </c>
      <c r="CF1986" t="s">
        <v>3108</v>
      </c>
      <c r="CG1986" t="s">
        <v>3108</v>
      </c>
      <c r="CH1986" t="s">
        <v>3108</v>
      </c>
    </row>
    <row r="1987" spans="1:86" x14ac:dyDescent="0.2">
      <c r="A1987" t="s">
        <v>6159</v>
      </c>
      <c r="B1987" t="s">
        <v>6159</v>
      </c>
      <c r="C1987">
        <v>55110</v>
      </c>
      <c r="D1987">
        <v>2110</v>
      </c>
      <c r="E1987" t="s">
        <v>6160</v>
      </c>
      <c r="F1987" t="s">
        <v>3249</v>
      </c>
      <c r="G1987" t="s">
        <v>3249</v>
      </c>
      <c r="H1987" t="s">
        <v>3250</v>
      </c>
      <c r="I1987" t="s">
        <v>3250</v>
      </c>
      <c r="J1987" t="s">
        <v>3250</v>
      </c>
      <c r="K1987" t="s">
        <v>3250</v>
      </c>
      <c r="L1987">
        <v>1200</v>
      </c>
      <c r="M1987" t="s">
        <v>2368</v>
      </c>
      <c r="N1987">
        <v>1204</v>
      </c>
      <c r="O1987" t="s">
        <v>1574</v>
      </c>
      <c r="P1987" t="s">
        <v>3108</v>
      </c>
      <c r="Q1987" t="s">
        <v>3249</v>
      </c>
      <c r="R1987" t="s">
        <v>3249</v>
      </c>
      <c r="S1987" t="s">
        <v>472</v>
      </c>
      <c r="T1987" t="s">
        <v>3251</v>
      </c>
      <c r="U1987">
        <v>140</v>
      </c>
      <c r="V1987" t="s">
        <v>1327</v>
      </c>
      <c r="W1987">
        <v>140</v>
      </c>
      <c r="X1987" t="s">
        <v>1327</v>
      </c>
      <c r="Y1987" t="s">
        <v>3250</v>
      </c>
      <c r="Z1987" t="s">
        <v>3250</v>
      </c>
      <c r="AA1987" t="s">
        <v>3108</v>
      </c>
      <c r="AB1987" t="s">
        <v>3108</v>
      </c>
      <c r="AC1987" t="s">
        <v>3250</v>
      </c>
      <c r="AD1987" t="s">
        <v>3250</v>
      </c>
      <c r="AE1987" t="s">
        <v>3250</v>
      </c>
      <c r="AF1987" t="s">
        <v>3250</v>
      </c>
      <c r="AG1987" t="s">
        <v>3250</v>
      </c>
      <c r="AH1987" t="s">
        <v>3250</v>
      </c>
      <c r="AI1987" t="s">
        <v>3250</v>
      </c>
      <c r="AJ1987" t="s">
        <v>3250</v>
      </c>
      <c r="AL1987">
        <v>141</v>
      </c>
      <c r="AM1987" t="s">
        <v>1327</v>
      </c>
      <c r="AN1987">
        <v>141</v>
      </c>
      <c r="AO1987" t="s">
        <v>1327</v>
      </c>
      <c r="AS1987" t="s">
        <v>3250</v>
      </c>
      <c r="AT1987" t="s">
        <v>3250</v>
      </c>
      <c r="AU1987" t="s">
        <v>3250</v>
      </c>
      <c r="AV1987" t="s">
        <v>3250</v>
      </c>
      <c r="AW1987" t="s">
        <v>3250</v>
      </c>
      <c r="AX1987" t="s">
        <v>3250</v>
      </c>
      <c r="AY1987" t="s">
        <v>3250</v>
      </c>
      <c r="AZ1987" t="s">
        <v>3250</v>
      </c>
      <c r="BA1987" t="s">
        <v>3250</v>
      </c>
      <c r="BB1987" t="s">
        <v>3250</v>
      </c>
      <c r="BC1987" t="s">
        <v>3250</v>
      </c>
      <c r="BE1987" t="s">
        <v>3250</v>
      </c>
      <c r="BF1987" t="s">
        <v>3250</v>
      </c>
      <c r="BG1987" t="s">
        <v>3250</v>
      </c>
      <c r="BH1987" t="s">
        <v>3250</v>
      </c>
      <c r="BI1987" t="s">
        <v>3250</v>
      </c>
      <c r="BK1987" t="s">
        <v>3250</v>
      </c>
      <c r="BL1987" t="s">
        <v>3250</v>
      </c>
      <c r="BM1987" t="s">
        <v>3250</v>
      </c>
      <c r="BN1987" t="s">
        <v>3250</v>
      </c>
      <c r="BP1987">
        <v>1</v>
      </c>
      <c r="BQ1987">
        <v>11</v>
      </c>
      <c r="BR1987" t="s">
        <v>1574</v>
      </c>
      <c r="BS1987" t="s">
        <v>3252</v>
      </c>
      <c r="BV1987">
        <v>0</v>
      </c>
      <c r="BW1987">
        <v>0</v>
      </c>
      <c r="BX1987">
        <v>0</v>
      </c>
      <c r="BY1987">
        <v>0</v>
      </c>
      <c r="BZ1987">
        <v>0</v>
      </c>
      <c r="CA1987">
        <v>0</v>
      </c>
      <c r="CB1987">
        <v>0</v>
      </c>
      <c r="CC1987">
        <v>0</v>
      </c>
      <c r="CD1987">
        <v>0</v>
      </c>
      <c r="CE1987" t="s">
        <v>3108</v>
      </c>
      <c r="CF1987" t="s">
        <v>3108</v>
      </c>
      <c r="CG1987" t="s">
        <v>3108</v>
      </c>
      <c r="CH1987" t="s">
        <v>3108</v>
      </c>
    </row>
    <row r="1988" spans="1:86" x14ac:dyDescent="0.2">
      <c r="A1988" t="s">
        <v>6161</v>
      </c>
      <c r="B1988" t="s">
        <v>6161</v>
      </c>
      <c r="C1988">
        <v>55111</v>
      </c>
      <c r="D1988">
        <v>2111</v>
      </c>
      <c r="E1988" t="s">
        <v>5955</v>
      </c>
      <c r="F1988" t="s">
        <v>3249</v>
      </c>
      <c r="G1988" t="s">
        <v>3249</v>
      </c>
      <c r="H1988" t="s">
        <v>3250</v>
      </c>
      <c r="I1988" t="s">
        <v>3250</v>
      </c>
      <c r="J1988" t="s">
        <v>3250</v>
      </c>
      <c r="K1988" t="s">
        <v>3250</v>
      </c>
      <c r="L1988">
        <v>1200</v>
      </c>
      <c r="M1988" t="s">
        <v>2368</v>
      </c>
      <c r="N1988">
        <v>1204</v>
      </c>
      <c r="O1988" t="s">
        <v>1574</v>
      </c>
      <c r="P1988" t="s">
        <v>3108</v>
      </c>
      <c r="Q1988" t="s">
        <v>3249</v>
      </c>
      <c r="R1988" t="s">
        <v>3249</v>
      </c>
      <c r="S1988" t="s">
        <v>472</v>
      </c>
      <c r="T1988" t="s">
        <v>3251</v>
      </c>
      <c r="U1988">
        <v>140</v>
      </c>
      <c r="V1988" t="s">
        <v>1327</v>
      </c>
      <c r="W1988">
        <v>140</v>
      </c>
      <c r="X1988" t="s">
        <v>1327</v>
      </c>
      <c r="Y1988" t="s">
        <v>3250</v>
      </c>
      <c r="Z1988" t="s">
        <v>3250</v>
      </c>
      <c r="AA1988" t="s">
        <v>3108</v>
      </c>
      <c r="AB1988" t="s">
        <v>3108</v>
      </c>
      <c r="AC1988" t="s">
        <v>3250</v>
      </c>
      <c r="AD1988" t="s">
        <v>3250</v>
      </c>
      <c r="AE1988" t="s">
        <v>3250</v>
      </c>
      <c r="AF1988" t="s">
        <v>3250</v>
      </c>
      <c r="AG1988" t="s">
        <v>3250</v>
      </c>
      <c r="AH1988" t="s">
        <v>3250</v>
      </c>
      <c r="AI1988" t="s">
        <v>3250</v>
      </c>
      <c r="AJ1988" t="s">
        <v>3250</v>
      </c>
      <c r="AL1988">
        <v>141</v>
      </c>
      <c r="AM1988" t="s">
        <v>1327</v>
      </c>
      <c r="AN1988">
        <v>141</v>
      </c>
      <c r="AO1988" t="s">
        <v>1327</v>
      </c>
      <c r="AS1988" t="s">
        <v>3250</v>
      </c>
      <c r="AT1988" t="s">
        <v>3250</v>
      </c>
      <c r="AU1988" t="s">
        <v>3250</v>
      </c>
      <c r="AV1988" t="s">
        <v>3250</v>
      </c>
      <c r="AW1988" t="s">
        <v>3250</v>
      </c>
      <c r="AX1988" t="s">
        <v>3250</v>
      </c>
      <c r="AY1988" t="s">
        <v>3250</v>
      </c>
      <c r="AZ1988" t="s">
        <v>3250</v>
      </c>
      <c r="BA1988" t="s">
        <v>3250</v>
      </c>
      <c r="BB1988" t="s">
        <v>3250</v>
      </c>
      <c r="BC1988" t="s">
        <v>3250</v>
      </c>
      <c r="BE1988" t="s">
        <v>3250</v>
      </c>
      <c r="BF1988" t="s">
        <v>3250</v>
      </c>
      <c r="BG1988" t="s">
        <v>3250</v>
      </c>
      <c r="BH1988" t="s">
        <v>3250</v>
      </c>
      <c r="BI1988" t="s">
        <v>3250</v>
      </c>
      <c r="BK1988" t="s">
        <v>3250</v>
      </c>
      <c r="BL1988" t="s">
        <v>3250</v>
      </c>
      <c r="BM1988" t="s">
        <v>3250</v>
      </c>
      <c r="BN1988" t="s">
        <v>3250</v>
      </c>
      <c r="BP1988">
        <v>1</v>
      </c>
      <c r="BQ1988">
        <v>11</v>
      </c>
      <c r="BR1988" t="s">
        <v>1574</v>
      </c>
      <c r="BS1988" t="s">
        <v>3252</v>
      </c>
      <c r="BV1988">
        <v>0</v>
      </c>
      <c r="BW1988">
        <v>0</v>
      </c>
      <c r="BX1988">
        <v>0</v>
      </c>
      <c r="BY1988">
        <v>0</v>
      </c>
      <c r="BZ1988">
        <v>0</v>
      </c>
      <c r="CA1988">
        <v>0</v>
      </c>
      <c r="CB1988">
        <v>0</v>
      </c>
      <c r="CC1988">
        <v>0</v>
      </c>
      <c r="CD1988">
        <v>0</v>
      </c>
      <c r="CE1988" t="s">
        <v>3108</v>
      </c>
      <c r="CF1988" t="s">
        <v>3108</v>
      </c>
      <c r="CG1988" t="s">
        <v>3108</v>
      </c>
      <c r="CH1988" t="s">
        <v>3108</v>
      </c>
    </row>
    <row r="1989" spans="1:86" x14ac:dyDescent="0.2">
      <c r="A1989" t="s">
        <v>6162</v>
      </c>
      <c r="B1989" t="s">
        <v>6162</v>
      </c>
      <c r="C1989">
        <v>55112</v>
      </c>
      <c r="D1989">
        <v>2112</v>
      </c>
      <c r="E1989" t="s">
        <v>6163</v>
      </c>
      <c r="F1989" t="s">
        <v>3249</v>
      </c>
      <c r="G1989" t="s">
        <v>3249</v>
      </c>
      <c r="H1989" t="s">
        <v>3250</v>
      </c>
      <c r="I1989" t="s">
        <v>3250</v>
      </c>
      <c r="J1989" t="s">
        <v>3250</v>
      </c>
      <c r="K1989" t="s">
        <v>3250</v>
      </c>
      <c r="L1989">
        <v>1200</v>
      </c>
      <c r="M1989" t="s">
        <v>2368</v>
      </c>
      <c r="N1989">
        <v>1204</v>
      </c>
      <c r="O1989" t="s">
        <v>1574</v>
      </c>
      <c r="P1989" t="s">
        <v>3108</v>
      </c>
      <c r="Q1989" t="s">
        <v>3249</v>
      </c>
      <c r="R1989" t="s">
        <v>3249</v>
      </c>
      <c r="S1989" t="s">
        <v>472</v>
      </c>
      <c r="T1989" t="s">
        <v>3251</v>
      </c>
      <c r="U1989">
        <v>140</v>
      </c>
      <c r="V1989" t="s">
        <v>1327</v>
      </c>
      <c r="W1989">
        <v>140</v>
      </c>
      <c r="X1989" t="s">
        <v>1327</v>
      </c>
      <c r="Y1989" t="s">
        <v>3250</v>
      </c>
      <c r="Z1989" t="s">
        <v>3250</v>
      </c>
      <c r="AA1989" t="s">
        <v>3108</v>
      </c>
      <c r="AB1989" t="s">
        <v>3108</v>
      </c>
      <c r="AC1989" t="s">
        <v>3250</v>
      </c>
      <c r="AD1989" t="s">
        <v>3250</v>
      </c>
      <c r="AE1989" t="s">
        <v>3250</v>
      </c>
      <c r="AF1989" t="s">
        <v>3250</v>
      </c>
      <c r="AG1989" t="s">
        <v>3250</v>
      </c>
      <c r="AH1989" t="s">
        <v>3250</v>
      </c>
      <c r="AI1989" t="s">
        <v>3250</v>
      </c>
      <c r="AJ1989" t="s">
        <v>3250</v>
      </c>
      <c r="AL1989">
        <v>145</v>
      </c>
      <c r="AM1989" t="s">
        <v>4</v>
      </c>
      <c r="AN1989">
        <v>145</v>
      </c>
      <c r="AO1989" t="s">
        <v>4</v>
      </c>
      <c r="AS1989" t="s">
        <v>3250</v>
      </c>
      <c r="AT1989" t="s">
        <v>3250</v>
      </c>
      <c r="AU1989" t="s">
        <v>3250</v>
      </c>
      <c r="AV1989" t="s">
        <v>3250</v>
      </c>
      <c r="AW1989" t="s">
        <v>3250</v>
      </c>
      <c r="AX1989" t="s">
        <v>3250</v>
      </c>
      <c r="AY1989" t="s">
        <v>3250</v>
      </c>
      <c r="AZ1989" t="s">
        <v>3250</v>
      </c>
      <c r="BA1989" t="s">
        <v>3250</v>
      </c>
      <c r="BB1989" t="s">
        <v>3250</v>
      </c>
      <c r="BC1989" t="s">
        <v>3250</v>
      </c>
      <c r="BE1989" t="s">
        <v>3250</v>
      </c>
      <c r="BF1989" t="s">
        <v>3250</v>
      </c>
      <c r="BG1989" t="s">
        <v>3250</v>
      </c>
      <c r="BH1989" t="s">
        <v>3250</v>
      </c>
      <c r="BI1989" t="s">
        <v>3250</v>
      </c>
      <c r="BK1989" t="s">
        <v>3250</v>
      </c>
      <c r="BL1989" t="s">
        <v>3250</v>
      </c>
      <c r="BM1989" t="s">
        <v>3250</v>
      </c>
      <c r="BN1989" t="s">
        <v>3250</v>
      </c>
      <c r="BP1989">
        <v>1</v>
      </c>
      <c r="BQ1989">
        <v>11</v>
      </c>
      <c r="BR1989" t="s">
        <v>1574</v>
      </c>
      <c r="BS1989" t="s">
        <v>3252</v>
      </c>
      <c r="BV1989">
        <v>0</v>
      </c>
      <c r="BW1989">
        <v>0</v>
      </c>
      <c r="BX1989">
        <v>0</v>
      </c>
      <c r="BY1989">
        <v>0</v>
      </c>
      <c r="BZ1989">
        <v>0</v>
      </c>
      <c r="CA1989">
        <v>0</v>
      </c>
      <c r="CB1989">
        <v>0</v>
      </c>
      <c r="CC1989">
        <v>0</v>
      </c>
      <c r="CD1989">
        <v>0</v>
      </c>
      <c r="CE1989" t="s">
        <v>3108</v>
      </c>
      <c r="CF1989" t="s">
        <v>3108</v>
      </c>
      <c r="CG1989" t="s">
        <v>3108</v>
      </c>
      <c r="CH1989" t="s">
        <v>3108</v>
      </c>
    </row>
    <row r="1990" spans="1:86" x14ac:dyDescent="0.2">
      <c r="A1990" t="s">
        <v>6164</v>
      </c>
      <c r="B1990" t="s">
        <v>6164</v>
      </c>
      <c r="C1990">
        <v>55113</v>
      </c>
      <c r="D1990">
        <v>2113</v>
      </c>
      <c r="E1990" t="s">
        <v>6165</v>
      </c>
      <c r="F1990" t="s">
        <v>3249</v>
      </c>
      <c r="G1990" t="s">
        <v>3249</v>
      </c>
      <c r="H1990" t="s">
        <v>3250</v>
      </c>
      <c r="I1990" t="s">
        <v>3250</v>
      </c>
      <c r="J1990" t="s">
        <v>3250</v>
      </c>
      <c r="K1990" t="s">
        <v>3250</v>
      </c>
      <c r="L1990">
        <v>1200</v>
      </c>
      <c r="M1990" t="s">
        <v>2368</v>
      </c>
      <c r="N1990">
        <v>1204</v>
      </c>
      <c r="O1990" t="s">
        <v>1574</v>
      </c>
      <c r="P1990" t="s">
        <v>3108</v>
      </c>
      <c r="Q1990" t="s">
        <v>3249</v>
      </c>
      <c r="R1990" t="s">
        <v>3249</v>
      </c>
      <c r="S1990" t="s">
        <v>472</v>
      </c>
      <c r="T1990" t="s">
        <v>3251</v>
      </c>
      <c r="U1990">
        <v>150</v>
      </c>
      <c r="V1990" t="s">
        <v>1328</v>
      </c>
      <c r="W1990">
        <v>150</v>
      </c>
      <c r="X1990" t="s">
        <v>1328</v>
      </c>
      <c r="Y1990" t="s">
        <v>3250</v>
      </c>
      <c r="Z1990" t="s">
        <v>3250</v>
      </c>
      <c r="AA1990" t="s">
        <v>3108</v>
      </c>
      <c r="AB1990" t="s">
        <v>3108</v>
      </c>
      <c r="AC1990" t="s">
        <v>3250</v>
      </c>
      <c r="AD1990" t="s">
        <v>3250</v>
      </c>
      <c r="AE1990" t="s">
        <v>3250</v>
      </c>
      <c r="AF1990" t="s">
        <v>3250</v>
      </c>
      <c r="AG1990" t="s">
        <v>3250</v>
      </c>
      <c r="AH1990" t="s">
        <v>3250</v>
      </c>
      <c r="AI1990" t="s">
        <v>3250</v>
      </c>
      <c r="AJ1990" t="s">
        <v>3250</v>
      </c>
      <c r="AL1990" t="s">
        <v>3250</v>
      </c>
      <c r="AM1990" t="s">
        <v>3250</v>
      </c>
      <c r="AN1990" t="s">
        <v>3250</v>
      </c>
      <c r="AO1990" t="s">
        <v>3250</v>
      </c>
      <c r="AS1990" t="s">
        <v>3250</v>
      </c>
      <c r="AT1990" t="s">
        <v>3250</v>
      </c>
      <c r="AU1990" t="s">
        <v>3250</v>
      </c>
      <c r="AV1990" t="s">
        <v>3250</v>
      </c>
      <c r="AW1990" t="s">
        <v>3250</v>
      </c>
      <c r="AX1990" t="s">
        <v>3250</v>
      </c>
      <c r="AY1990" t="s">
        <v>3250</v>
      </c>
      <c r="AZ1990" t="s">
        <v>3250</v>
      </c>
      <c r="BA1990" t="s">
        <v>3250</v>
      </c>
      <c r="BB1990" t="s">
        <v>3250</v>
      </c>
      <c r="BC1990" t="s">
        <v>3250</v>
      </c>
      <c r="BE1990" t="s">
        <v>3250</v>
      </c>
      <c r="BF1990" t="s">
        <v>3250</v>
      </c>
      <c r="BG1990" t="s">
        <v>3250</v>
      </c>
      <c r="BH1990" t="s">
        <v>3250</v>
      </c>
      <c r="BI1990" t="s">
        <v>3250</v>
      </c>
      <c r="BK1990" t="s">
        <v>3250</v>
      </c>
      <c r="BL1990" t="s">
        <v>3250</v>
      </c>
      <c r="BM1990" t="s">
        <v>3250</v>
      </c>
      <c r="BN1990" t="s">
        <v>3250</v>
      </c>
      <c r="BP1990">
        <v>1</v>
      </c>
      <c r="BQ1990">
        <v>11</v>
      </c>
      <c r="BR1990" t="s">
        <v>1574</v>
      </c>
      <c r="BS1990" t="s">
        <v>3252</v>
      </c>
      <c r="BV1990">
        <v>0</v>
      </c>
      <c r="BW1990">
        <v>0</v>
      </c>
      <c r="BX1990">
        <v>0</v>
      </c>
      <c r="BY1990">
        <v>0</v>
      </c>
      <c r="BZ1990">
        <v>0</v>
      </c>
      <c r="CA1990">
        <v>0</v>
      </c>
      <c r="CB1990">
        <v>0</v>
      </c>
      <c r="CC1990">
        <v>0</v>
      </c>
      <c r="CD1990">
        <v>0</v>
      </c>
      <c r="CE1990" t="s">
        <v>3108</v>
      </c>
      <c r="CF1990" t="s">
        <v>3108</v>
      </c>
      <c r="CG1990" t="s">
        <v>3108</v>
      </c>
      <c r="CH1990" t="s">
        <v>3108</v>
      </c>
    </row>
    <row r="1991" spans="1:86" x14ac:dyDescent="0.2">
      <c r="A1991" t="s">
        <v>6166</v>
      </c>
      <c r="B1991" t="s">
        <v>6166</v>
      </c>
      <c r="C1991">
        <v>55114</v>
      </c>
      <c r="D1991">
        <v>2114</v>
      </c>
      <c r="E1991" t="s">
        <v>6167</v>
      </c>
      <c r="F1991" t="s">
        <v>3249</v>
      </c>
      <c r="G1991" t="s">
        <v>3249</v>
      </c>
      <c r="H1991" t="s">
        <v>3250</v>
      </c>
      <c r="I1991" t="s">
        <v>3250</v>
      </c>
      <c r="J1991" t="s">
        <v>3250</v>
      </c>
      <c r="K1991" t="s">
        <v>3250</v>
      </c>
      <c r="L1991">
        <v>1200</v>
      </c>
      <c r="M1991" t="s">
        <v>2368</v>
      </c>
      <c r="N1991">
        <v>1204</v>
      </c>
      <c r="O1991" t="s">
        <v>1574</v>
      </c>
      <c r="P1991" t="s">
        <v>3108</v>
      </c>
      <c r="Q1991" t="s">
        <v>3249</v>
      </c>
      <c r="R1991" t="s">
        <v>3249</v>
      </c>
      <c r="S1991" t="s">
        <v>472</v>
      </c>
      <c r="T1991" t="s">
        <v>3251</v>
      </c>
      <c r="U1991">
        <v>150</v>
      </c>
      <c r="V1991" t="s">
        <v>1328</v>
      </c>
      <c r="W1991">
        <v>150</v>
      </c>
      <c r="X1991" t="s">
        <v>1328</v>
      </c>
      <c r="Y1991" t="s">
        <v>3250</v>
      </c>
      <c r="Z1991" t="s">
        <v>3250</v>
      </c>
      <c r="AA1991" t="s">
        <v>3108</v>
      </c>
      <c r="AB1991" t="s">
        <v>3108</v>
      </c>
      <c r="AC1991" t="s">
        <v>3250</v>
      </c>
      <c r="AD1991" t="s">
        <v>3250</v>
      </c>
      <c r="AE1991" t="s">
        <v>3250</v>
      </c>
      <c r="AF1991" t="s">
        <v>3250</v>
      </c>
      <c r="AG1991" t="s">
        <v>3250</v>
      </c>
      <c r="AH1991" t="s">
        <v>3250</v>
      </c>
      <c r="AI1991" t="s">
        <v>3250</v>
      </c>
      <c r="AJ1991" t="s">
        <v>3250</v>
      </c>
      <c r="AL1991" t="s">
        <v>3250</v>
      </c>
      <c r="AM1991" t="s">
        <v>3250</v>
      </c>
      <c r="AN1991" t="s">
        <v>3250</v>
      </c>
      <c r="AO1991" t="s">
        <v>3250</v>
      </c>
      <c r="AS1991" t="s">
        <v>3250</v>
      </c>
      <c r="AT1991" t="s">
        <v>3250</v>
      </c>
      <c r="AU1991" t="s">
        <v>3250</v>
      </c>
      <c r="AV1991" t="s">
        <v>3250</v>
      </c>
      <c r="AW1991" t="s">
        <v>3250</v>
      </c>
      <c r="AX1991" t="s">
        <v>3250</v>
      </c>
      <c r="AY1991" t="s">
        <v>3250</v>
      </c>
      <c r="AZ1991" t="s">
        <v>3250</v>
      </c>
      <c r="BA1991" t="s">
        <v>3250</v>
      </c>
      <c r="BB1991" t="s">
        <v>3250</v>
      </c>
      <c r="BC1991" t="s">
        <v>3250</v>
      </c>
      <c r="BE1991" t="s">
        <v>3250</v>
      </c>
      <c r="BF1991" t="s">
        <v>3250</v>
      </c>
      <c r="BG1991" t="s">
        <v>3250</v>
      </c>
      <c r="BH1991" t="s">
        <v>3250</v>
      </c>
      <c r="BI1991" t="s">
        <v>3250</v>
      </c>
      <c r="BK1991" t="s">
        <v>3250</v>
      </c>
      <c r="BL1991" t="s">
        <v>3250</v>
      </c>
      <c r="BM1991" t="s">
        <v>3250</v>
      </c>
      <c r="BN1991" t="s">
        <v>3250</v>
      </c>
      <c r="BP1991">
        <v>1</v>
      </c>
      <c r="BQ1991">
        <v>11</v>
      </c>
      <c r="BR1991" t="s">
        <v>1574</v>
      </c>
      <c r="BS1991" t="s">
        <v>3252</v>
      </c>
      <c r="BV1991">
        <v>0</v>
      </c>
      <c r="BW1991">
        <v>0</v>
      </c>
      <c r="BX1991">
        <v>0</v>
      </c>
      <c r="BY1991">
        <v>0</v>
      </c>
      <c r="BZ1991">
        <v>0</v>
      </c>
      <c r="CA1991">
        <v>0</v>
      </c>
      <c r="CB1991">
        <v>0</v>
      </c>
      <c r="CC1991">
        <v>0</v>
      </c>
      <c r="CD1991">
        <v>0</v>
      </c>
      <c r="CE1991" t="s">
        <v>3108</v>
      </c>
      <c r="CF1991" t="s">
        <v>3108</v>
      </c>
      <c r="CG1991" t="s">
        <v>3108</v>
      </c>
      <c r="CH1991" t="s">
        <v>3108</v>
      </c>
    </row>
    <row r="1992" spans="1:86" x14ac:dyDescent="0.2">
      <c r="A1992" t="s">
        <v>6168</v>
      </c>
      <c r="B1992" t="s">
        <v>6168</v>
      </c>
      <c r="C1992">
        <v>55115</v>
      </c>
      <c r="D1992">
        <v>2115</v>
      </c>
      <c r="E1992" t="s">
        <v>6169</v>
      </c>
      <c r="F1992" t="s">
        <v>3249</v>
      </c>
      <c r="G1992" t="s">
        <v>3249</v>
      </c>
      <c r="H1992" t="s">
        <v>3250</v>
      </c>
      <c r="I1992" t="s">
        <v>3250</v>
      </c>
      <c r="J1992" t="s">
        <v>3250</v>
      </c>
      <c r="K1992" t="s">
        <v>3250</v>
      </c>
      <c r="L1992">
        <v>1200</v>
      </c>
      <c r="M1992" t="s">
        <v>2368</v>
      </c>
      <c r="N1992">
        <v>1204</v>
      </c>
      <c r="O1992" t="s">
        <v>1574</v>
      </c>
      <c r="P1992" t="s">
        <v>3108</v>
      </c>
      <c r="Q1992" t="s">
        <v>3249</v>
      </c>
      <c r="R1992" t="s">
        <v>3249</v>
      </c>
      <c r="S1992" t="s">
        <v>472</v>
      </c>
      <c r="T1992" t="s">
        <v>3251</v>
      </c>
      <c r="U1992">
        <v>150</v>
      </c>
      <c r="V1992" t="s">
        <v>1328</v>
      </c>
      <c r="W1992">
        <v>150</v>
      </c>
      <c r="X1992" t="s">
        <v>1328</v>
      </c>
      <c r="Y1992" t="s">
        <v>3250</v>
      </c>
      <c r="Z1992" t="s">
        <v>3250</v>
      </c>
      <c r="AA1992" t="s">
        <v>3108</v>
      </c>
      <c r="AB1992" t="s">
        <v>3108</v>
      </c>
      <c r="AC1992" t="s">
        <v>3250</v>
      </c>
      <c r="AD1992" t="s">
        <v>3250</v>
      </c>
      <c r="AE1992" t="s">
        <v>3250</v>
      </c>
      <c r="AF1992" t="s">
        <v>3250</v>
      </c>
      <c r="AG1992" t="s">
        <v>3250</v>
      </c>
      <c r="AH1992" t="s">
        <v>3250</v>
      </c>
      <c r="AI1992" t="s">
        <v>3250</v>
      </c>
      <c r="AJ1992" t="s">
        <v>3250</v>
      </c>
      <c r="AL1992" t="s">
        <v>3250</v>
      </c>
      <c r="AM1992" t="s">
        <v>3250</v>
      </c>
      <c r="AN1992" t="s">
        <v>3250</v>
      </c>
      <c r="AO1992" t="s">
        <v>3250</v>
      </c>
      <c r="AS1992" t="s">
        <v>3250</v>
      </c>
      <c r="AT1992" t="s">
        <v>3250</v>
      </c>
      <c r="AU1992" t="s">
        <v>3250</v>
      </c>
      <c r="AV1992" t="s">
        <v>3250</v>
      </c>
      <c r="AW1992" t="s">
        <v>3250</v>
      </c>
      <c r="AX1992" t="s">
        <v>3250</v>
      </c>
      <c r="AY1992" t="s">
        <v>3250</v>
      </c>
      <c r="AZ1992" t="s">
        <v>3250</v>
      </c>
      <c r="BA1992" t="s">
        <v>3250</v>
      </c>
      <c r="BB1992" t="s">
        <v>3250</v>
      </c>
      <c r="BC1992" t="s">
        <v>3250</v>
      </c>
      <c r="BE1992" t="s">
        <v>3250</v>
      </c>
      <c r="BF1992" t="s">
        <v>3250</v>
      </c>
      <c r="BG1992" t="s">
        <v>3250</v>
      </c>
      <c r="BH1992" t="s">
        <v>3250</v>
      </c>
      <c r="BI1992" t="s">
        <v>3250</v>
      </c>
      <c r="BK1992" t="s">
        <v>3250</v>
      </c>
      <c r="BL1992" t="s">
        <v>3250</v>
      </c>
      <c r="BM1992" t="s">
        <v>3250</v>
      </c>
      <c r="BN1992" t="s">
        <v>3250</v>
      </c>
      <c r="BP1992">
        <v>1</v>
      </c>
      <c r="BQ1992">
        <v>11</v>
      </c>
      <c r="BR1992" t="s">
        <v>1574</v>
      </c>
      <c r="BS1992" t="s">
        <v>3252</v>
      </c>
      <c r="BV1992">
        <v>0</v>
      </c>
      <c r="BW1992">
        <v>0</v>
      </c>
      <c r="BX1992">
        <v>0</v>
      </c>
      <c r="BY1992">
        <v>0</v>
      </c>
      <c r="BZ1992">
        <v>0</v>
      </c>
      <c r="CA1992">
        <v>0</v>
      </c>
      <c r="CB1992">
        <v>0</v>
      </c>
      <c r="CC1992">
        <v>0</v>
      </c>
      <c r="CD1992">
        <v>0</v>
      </c>
      <c r="CE1992" t="s">
        <v>3108</v>
      </c>
      <c r="CF1992" t="s">
        <v>3108</v>
      </c>
      <c r="CG1992" t="s">
        <v>3108</v>
      </c>
      <c r="CH1992" t="s">
        <v>3108</v>
      </c>
    </row>
    <row r="1993" spans="1:86" x14ac:dyDescent="0.2">
      <c r="A1993" t="s">
        <v>6170</v>
      </c>
      <c r="B1993" t="s">
        <v>6170</v>
      </c>
      <c r="C1993">
        <v>55116</v>
      </c>
      <c r="D1993">
        <v>2116</v>
      </c>
      <c r="E1993" t="s">
        <v>6171</v>
      </c>
      <c r="F1993" t="s">
        <v>3249</v>
      </c>
      <c r="G1993" t="s">
        <v>3249</v>
      </c>
      <c r="H1993" t="s">
        <v>3250</v>
      </c>
      <c r="I1993" t="s">
        <v>3250</v>
      </c>
      <c r="J1993" t="s">
        <v>3250</v>
      </c>
      <c r="K1993" t="s">
        <v>3250</v>
      </c>
      <c r="L1993">
        <v>1200</v>
      </c>
      <c r="M1993" t="s">
        <v>2368</v>
      </c>
      <c r="N1993">
        <v>1204</v>
      </c>
      <c r="O1993" t="s">
        <v>1574</v>
      </c>
      <c r="P1993" t="s">
        <v>3108</v>
      </c>
      <c r="Q1993" t="s">
        <v>3249</v>
      </c>
      <c r="R1993" t="s">
        <v>3249</v>
      </c>
      <c r="S1993" t="s">
        <v>472</v>
      </c>
      <c r="T1993" t="s">
        <v>3251</v>
      </c>
      <c r="U1993">
        <v>260</v>
      </c>
      <c r="V1993" t="s">
        <v>5626</v>
      </c>
      <c r="W1993">
        <v>260</v>
      </c>
      <c r="X1993" t="s">
        <v>813</v>
      </c>
      <c r="Y1993" t="s">
        <v>3250</v>
      </c>
      <c r="Z1993" t="s">
        <v>3250</v>
      </c>
      <c r="AA1993" t="s">
        <v>3108</v>
      </c>
      <c r="AB1993" t="s">
        <v>3108</v>
      </c>
      <c r="AC1993" t="s">
        <v>3250</v>
      </c>
      <c r="AD1993" t="s">
        <v>3250</v>
      </c>
      <c r="AE1993" t="s">
        <v>3250</v>
      </c>
      <c r="AF1993" t="s">
        <v>3250</v>
      </c>
      <c r="AG1993">
        <v>1360</v>
      </c>
      <c r="AH1993" t="s">
        <v>2322</v>
      </c>
      <c r="AI1993">
        <v>1360</v>
      </c>
      <c r="AJ1993" t="s">
        <v>2322</v>
      </c>
      <c r="AL1993" t="s">
        <v>3250</v>
      </c>
      <c r="AM1993" t="s">
        <v>3250</v>
      </c>
      <c r="AN1993" t="s">
        <v>3250</v>
      </c>
      <c r="AO1993" t="s">
        <v>3250</v>
      </c>
      <c r="AS1993" t="s">
        <v>3250</v>
      </c>
      <c r="AT1993" t="s">
        <v>3250</v>
      </c>
      <c r="AU1993" t="s">
        <v>3250</v>
      </c>
      <c r="AV1993" t="s">
        <v>3250</v>
      </c>
      <c r="AW1993" t="s">
        <v>3250</v>
      </c>
      <c r="AX1993" t="s">
        <v>3250</v>
      </c>
      <c r="AY1993" t="s">
        <v>3250</v>
      </c>
      <c r="AZ1993" t="s">
        <v>3250</v>
      </c>
      <c r="BA1993" t="s">
        <v>3250</v>
      </c>
      <c r="BB1993" t="s">
        <v>3250</v>
      </c>
      <c r="BC1993" t="s">
        <v>3250</v>
      </c>
      <c r="BE1993" t="s">
        <v>3250</v>
      </c>
      <c r="BF1993" t="s">
        <v>3250</v>
      </c>
      <c r="BG1993" t="s">
        <v>3250</v>
      </c>
      <c r="BH1993" t="s">
        <v>3250</v>
      </c>
      <c r="BI1993" t="s">
        <v>3250</v>
      </c>
      <c r="BK1993" t="s">
        <v>3250</v>
      </c>
      <c r="BL1993" t="s">
        <v>3250</v>
      </c>
      <c r="BM1993" t="s">
        <v>3250</v>
      </c>
      <c r="BN1993" t="s">
        <v>3250</v>
      </c>
      <c r="BP1993">
        <v>1</v>
      </c>
      <c r="BQ1993">
        <v>11</v>
      </c>
      <c r="BR1993" t="s">
        <v>1574</v>
      </c>
      <c r="BS1993" t="s">
        <v>3252</v>
      </c>
      <c r="BV1993">
        <v>0</v>
      </c>
      <c r="BW1993">
        <v>0</v>
      </c>
      <c r="BX1993">
        <v>0</v>
      </c>
      <c r="BY1993">
        <v>0</v>
      </c>
      <c r="BZ1993">
        <v>0</v>
      </c>
      <c r="CA1993">
        <v>0</v>
      </c>
      <c r="CB1993">
        <v>0</v>
      </c>
      <c r="CC1993">
        <v>0</v>
      </c>
      <c r="CD1993">
        <v>0</v>
      </c>
      <c r="CE1993" t="s">
        <v>3108</v>
      </c>
      <c r="CF1993" t="s">
        <v>3108</v>
      </c>
      <c r="CG1993" t="s">
        <v>3108</v>
      </c>
      <c r="CH1993" t="s">
        <v>3108</v>
      </c>
    </row>
    <row r="1994" spans="1:86" x14ac:dyDescent="0.2">
      <c r="A1994" t="s">
        <v>6172</v>
      </c>
      <c r="B1994" t="s">
        <v>6172</v>
      </c>
      <c r="C1994">
        <v>55117</v>
      </c>
      <c r="D1994">
        <v>2117</v>
      </c>
      <c r="E1994" t="s">
        <v>6173</v>
      </c>
      <c r="F1994" t="s">
        <v>3249</v>
      </c>
      <c r="G1994" t="s">
        <v>3249</v>
      </c>
      <c r="H1994" t="s">
        <v>3250</v>
      </c>
      <c r="I1994" t="s">
        <v>3250</v>
      </c>
      <c r="J1994" t="s">
        <v>3250</v>
      </c>
      <c r="K1994" t="s">
        <v>3250</v>
      </c>
      <c r="L1994">
        <v>1200</v>
      </c>
      <c r="M1994" t="s">
        <v>2368</v>
      </c>
      <c r="N1994">
        <v>1204</v>
      </c>
      <c r="O1994" t="s">
        <v>1574</v>
      </c>
      <c r="P1994" t="s">
        <v>3108</v>
      </c>
      <c r="Q1994" t="s">
        <v>3249</v>
      </c>
      <c r="R1994" t="s">
        <v>3249</v>
      </c>
      <c r="S1994" t="s">
        <v>472</v>
      </c>
      <c r="T1994" t="s">
        <v>3251</v>
      </c>
      <c r="U1994">
        <v>240</v>
      </c>
      <c r="V1994" t="s">
        <v>4251</v>
      </c>
      <c r="W1994">
        <v>240</v>
      </c>
      <c r="X1994" t="s">
        <v>1323</v>
      </c>
      <c r="Y1994" t="s">
        <v>3250</v>
      </c>
      <c r="Z1994" t="s">
        <v>3250</v>
      </c>
      <c r="AA1994" t="s">
        <v>3108</v>
      </c>
      <c r="AB1994" t="s">
        <v>3108</v>
      </c>
      <c r="AC1994" t="s">
        <v>3250</v>
      </c>
      <c r="AD1994" t="s">
        <v>3250</v>
      </c>
      <c r="AE1994" t="s">
        <v>3250</v>
      </c>
      <c r="AF1994" t="s">
        <v>3250</v>
      </c>
      <c r="AG1994">
        <v>1470</v>
      </c>
      <c r="AH1994" t="s">
        <v>2332</v>
      </c>
      <c r="AI1994">
        <v>1470</v>
      </c>
      <c r="AJ1994" t="s">
        <v>2332</v>
      </c>
      <c r="AL1994">
        <v>241</v>
      </c>
      <c r="AM1994" t="s">
        <v>1455</v>
      </c>
      <c r="AN1994">
        <v>241</v>
      </c>
      <c r="AO1994" t="s">
        <v>1455</v>
      </c>
      <c r="AS1994" t="s">
        <v>3250</v>
      </c>
      <c r="AT1994" t="s">
        <v>3250</v>
      </c>
      <c r="AU1994" t="s">
        <v>3250</v>
      </c>
      <c r="AV1994" t="s">
        <v>3250</v>
      </c>
      <c r="AW1994" t="s">
        <v>3250</v>
      </c>
      <c r="AX1994" t="s">
        <v>3250</v>
      </c>
      <c r="AY1994" t="s">
        <v>3250</v>
      </c>
      <c r="AZ1994" t="s">
        <v>3250</v>
      </c>
      <c r="BA1994" t="s">
        <v>3250</v>
      </c>
      <c r="BB1994" t="s">
        <v>3250</v>
      </c>
      <c r="BC1994" t="s">
        <v>3250</v>
      </c>
      <c r="BE1994" t="s">
        <v>3250</v>
      </c>
      <c r="BF1994" t="s">
        <v>3250</v>
      </c>
      <c r="BG1994" t="s">
        <v>3250</v>
      </c>
      <c r="BH1994" t="s">
        <v>3250</v>
      </c>
      <c r="BI1994" t="s">
        <v>3250</v>
      </c>
      <c r="BK1994" t="s">
        <v>3250</v>
      </c>
      <c r="BL1994" t="s">
        <v>3250</v>
      </c>
      <c r="BM1994" t="s">
        <v>3250</v>
      </c>
      <c r="BN1994" t="s">
        <v>3250</v>
      </c>
      <c r="BP1994">
        <v>1</v>
      </c>
      <c r="BQ1994">
        <v>11</v>
      </c>
      <c r="BR1994" t="s">
        <v>1574</v>
      </c>
      <c r="BS1994" t="s">
        <v>3252</v>
      </c>
      <c r="BV1994">
        <v>0</v>
      </c>
      <c r="BW1994">
        <v>0</v>
      </c>
      <c r="BX1994">
        <v>0</v>
      </c>
      <c r="BY1994">
        <v>0</v>
      </c>
      <c r="BZ1994">
        <v>0</v>
      </c>
      <c r="CA1994">
        <v>0</v>
      </c>
      <c r="CB1994">
        <v>0</v>
      </c>
      <c r="CC1994">
        <v>0</v>
      </c>
      <c r="CD1994">
        <v>0</v>
      </c>
      <c r="CE1994" t="s">
        <v>3108</v>
      </c>
      <c r="CF1994" t="s">
        <v>3108</v>
      </c>
      <c r="CG1994" t="s">
        <v>3108</v>
      </c>
      <c r="CH1994" t="s">
        <v>3108</v>
      </c>
    </row>
    <row r="1995" spans="1:86" x14ac:dyDescent="0.2">
      <c r="A1995" t="s">
        <v>6174</v>
      </c>
      <c r="B1995" t="s">
        <v>6174</v>
      </c>
      <c r="C1995">
        <v>55118</v>
      </c>
      <c r="D1995">
        <v>2118</v>
      </c>
      <c r="E1995" t="s">
        <v>6175</v>
      </c>
      <c r="F1995" t="s">
        <v>3249</v>
      </c>
      <c r="G1995" t="s">
        <v>3249</v>
      </c>
      <c r="H1995" t="s">
        <v>3250</v>
      </c>
      <c r="I1995" t="s">
        <v>3250</v>
      </c>
      <c r="J1995" t="s">
        <v>3250</v>
      </c>
      <c r="K1995" t="s">
        <v>3250</v>
      </c>
      <c r="L1995">
        <v>1200</v>
      </c>
      <c r="M1995" t="s">
        <v>2368</v>
      </c>
      <c r="N1995">
        <v>1204</v>
      </c>
      <c r="O1995" t="s">
        <v>1574</v>
      </c>
      <c r="P1995" t="s">
        <v>3108</v>
      </c>
      <c r="Q1995" t="s">
        <v>3249</v>
      </c>
      <c r="R1995" t="s">
        <v>3249</v>
      </c>
      <c r="S1995" t="s">
        <v>472</v>
      </c>
      <c r="T1995" t="s">
        <v>3251</v>
      </c>
      <c r="U1995">
        <v>240</v>
      </c>
      <c r="V1995" t="s">
        <v>4251</v>
      </c>
      <c r="W1995">
        <v>240</v>
      </c>
      <c r="X1995" t="s">
        <v>1323</v>
      </c>
      <c r="Y1995" t="s">
        <v>3250</v>
      </c>
      <c r="Z1995" t="s">
        <v>3250</v>
      </c>
      <c r="AA1995" t="s">
        <v>3108</v>
      </c>
      <c r="AB1995" t="s">
        <v>3108</v>
      </c>
      <c r="AC1995" t="s">
        <v>3250</v>
      </c>
      <c r="AD1995" t="s">
        <v>3250</v>
      </c>
      <c r="AE1995" t="s">
        <v>3250</v>
      </c>
      <c r="AF1995" t="s">
        <v>3250</v>
      </c>
      <c r="AG1995">
        <v>1470</v>
      </c>
      <c r="AH1995" t="s">
        <v>2332</v>
      </c>
      <c r="AI1995">
        <v>1470</v>
      </c>
      <c r="AJ1995" t="s">
        <v>2332</v>
      </c>
      <c r="AL1995">
        <v>241</v>
      </c>
      <c r="AM1995" t="s">
        <v>1455</v>
      </c>
      <c r="AN1995">
        <v>241</v>
      </c>
      <c r="AO1995" t="s">
        <v>1455</v>
      </c>
      <c r="AS1995" t="s">
        <v>3250</v>
      </c>
      <c r="AT1995" t="s">
        <v>3250</v>
      </c>
      <c r="AU1995" t="s">
        <v>3250</v>
      </c>
      <c r="AV1995" t="s">
        <v>3250</v>
      </c>
      <c r="AW1995" t="s">
        <v>3250</v>
      </c>
      <c r="AX1995" t="s">
        <v>3250</v>
      </c>
      <c r="AY1995" t="s">
        <v>3250</v>
      </c>
      <c r="AZ1995" t="s">
        <v>3250</v>
      </c>
      <c r="BA1995" t="s">
        <v>3250</v>
      </c>
      <c r="BB1995" t="s">
        <v>3250</v>
      </c>
      <c r="BC1995" t="s">
        <v>3250</v>
      </c>
      <c r="BE1995" t="s">
        <v>3250</v>
      </c>
      <c r="BF1995" t="s">
        <v>3250</v>
      </c>
      <c r="BG1995" t="s">
        <v>3250</v>
      </c>
      <c r="BH1995" t="s">
        <v>3250</v>
      </c>
      <c r="BI1995" t="s">
        <v>3250</v>
      </c>
      <c r="BK1995" t="s">
        <v>3250</v>
      </c>
      <c r="BL1995" t="s">
        <v>3250</v>
      </c>
      <c r="BM1995" t="s">
        <v>3250</v>
      </c>
      <c r="BN1995" t="s">
        <v>3250</v>
      </c>
      <c r="BP1995">
        <v>1</v>
      </c>
      <c r="BQ1995">
        <v>11</v>
      </c>
      <c r="BR1995" t="s">
        <v>1574</v>
      </c>
      <c r="BS1995" t="s">
        <v>3252</v>
      </c>
      <c r="BV1995">
        <v>0</v>
      </c>
      <c r="BW1995">
        <v>0</v>
      </c>
      <c r="BX1995">
        <v>0</v>
      </c>
      <c r="BY1995">
        <v>0</v>
      </c>
      <c r="BZ1995">
        <v>0</v>
      </c>
      <c r="CA1995">
        <v>0</v>
      </c>
      <c r="CB1995">
        <v>0</v>
      </c>
      <c r="CC1995">
        <v>0</v>
      </c>
      <c r="CD1995">
        <v>0</v>
      </c>
      <c r="CE1995" t="s">
        <v>3108</v>
      </c>
      <c r="CF1995" t="s">
        <v>3108</v>
      </c>
      <c r="CG1995" t="s">
        <v>3108</v>
      </c>
      <c r="CH1995" t="s">
        <v>3108</v>
      </c>
    </row>
    <row r="1996" spans="1:86" x14ac:dyDescent="0.2">
      <c r="A1996" t="s">
        <v>6176</v>
      </c>
      <c r="B1996" t="s">
        <v>6176</v>
      </c>
      <c r="C1996">
        <v>55119</v>
      </c>
      <c r="D1996">
        <v>2119</v>
      </c>
      <c r="E1996" t="s">
        <v>6177</v>
      </c>
      <c r="F1996" t="s">
        <v>3249</v>
      </c>
      <c r="G1996" t="s">
        <v>3249</v>
      </c>
      <c r="H1996" t="s">
        <v>3250</v>
      </c>
      <c r="I1996" t="s">
        <v>3250</v>
      </c>
      <c r="J1996" t="s">
        <v>3250</v>
      </c>
      <c r="K1996" t="s">
        <v>3250</v>
      </c>
      <c r="L1996">
        <v>1200</v>
      </c>
      <c r="M1996" t="s">
        <v>2368</v>
      </c>
      <c r="N1996">
        <v>1204</v>
      </c>
      <c r="O1996" t="s">
        <v>1574</v>
      </c>
      <c r="P1996" t="s">
        <v>3108</v>
      </c>
      <c r="Q1996" t="s">
        <v>3249</v>
      </c>
      <c r="R1996" t="s">
        <v>3249</v>
      </c>
      <c r="S1996" t="s">
        <v>472</v>
      </c>
      <c r="T1996" t="s">
        <v>3251</v>
      </c>
      <c r="U1996">
        <v>280</v>
      </c>
      <c r="V1996" t="s">
        <v>5622</v>
      </c>
      <c r="W1996">
        <v>280</v>
      </c>
      <c r="X1996" t="s">
        <v>5623</v>
      </c>
      <c r="Y1996" t="s">
        <v>3250</v>
      </c>
      <c r="Z1996" t="s">
        <v>3250</v>
      </c>
      <c r="AA1996" t="s">
        <v>3108</v>
      </c>
      <c r="AB1996" t="s">
        <v>3108</v>
      </c>
      <c r="AC1996" t="s">
        <v>3250</v>
      </c>
      <c r="AD1996" t="s">
        <v>3250</v>
      </c>
      <c r="AE1996" t="s">
        <v>3250</v>
      </c>
      <c r="AF1996" t="s">
        <v>3250</v>
      </c>
      <c r="AG1996">
        <v>1050</v>
      </c>
      <c r="AH1996" t="s">
        <v>1733</v>
      </c>
      <c r="AI1996">
        <v>1050</v>
      </c>
      <c r="AJ1996" t="s">
        <v>1733</v>
      </c>
      <c r="AL1996" t="s">
        <v>3250</v>
      </c>
      <c r="AM1996" t="s">
        <v>3250</v>
      </c>
      <c r="AN1996" t="s">
        <v>3250</v>
      </c>
      <c r="AO1996" t="s">
        <v>3250</v>
      </c>
      <c r="AS1996" t="s">
        <v>3250</v>
      </c>
      <c r="AT1996" t="s">
        <v>3250</v>
      </c>
      <c r="AU1996" t="s">
        <v>3250</v>
      </c>
      <c r="AV1996" t="s">
        <v>3250</v>
      </c>
      <c r="AW1996" t="s">
        <v>3250</v>
      </c>
      <c r="AX1996" t="s">
        <v>3250</v>
      </c>
      <c r="AY1996" t="s">
        <v>3250</v>
      </c>
      <c r="AZ1996" t="s">
        <v>3250</v>
      </c>
      <c r="BA1996" t="s">
        <v>3250</v>
      </c>
      <c r="BB1996" t="s">
        <v>3250</v>
      </c>
      <c r="BC1996" t="s">
        <v>3250</v>
      </c>
      <c r="BE1996" t="s">
        <v>3250</v>
      </c>
      <c r="BF1996" t="s">
        <v>3250</v>
      </c>
      <c r="BG1996" t="s">
        <v>3250</v>
      </c>
      <c r="BH1996" t="s">
        <v>3250</v>
      </c>
      <c r="BI1996" t="s">
        <v>3250</v>
      </c>
      <c r="BK1996" t="s">
        <v>3250</v>
      </c>
      <c r="BL1996" t="s">
        <v>3250</v>
      </c>
      <c r="BM1996" t="s">
        <v>3250</v>
      </c>
      <c r="BN1996" t="s">
        <v>3250</v>
      </c>
      <c r="BP1996">
        <v>1</v>
      </c>
      <c r="BQ1996">
        <v>11</v>
      </c>
      <c r="BR1996" t="s">
        <v>1574</v>
      </c>
      <c r="BS1996" t="s">
        <v>3252</v>
      </c>
      <c r="BV1996">
        <v>0</v>
      </c>
      <c r="BW1996">
        <v>0</v>
      </c>
      <c r="BX1996">
        <v>0</v>
      </c>
      <c r="BY1996">
        <v>0</v>
      </c>
      <c r="BZ1996">
        <v>0</v>
      </c>
      <c r="CA1996">
        <v>0</v>
      </c>
      <c r="CB1996">
        <v>0</v>
      </c>
      <c r="CC1996">
        <v>0</v>
      </c>
      <c r="CD1996">
        <v>0</v>
      </c>
      <c r="CE1996" t="s">
        <v>3108</v>
      </c>
      <c r="CF1996" t="s">
        <v>3108</v>
      </c>
      <c r="CG1996" t="s">
        <v>3108</v>
      </c>
      <c r="CH1996" t="s">
        <v>3108</v>
      </c>
    </row>
    <row r="1997" spans="1:86" x14ac:dyDescent="0.2">
      <c r="A1997" t="s">
        <v>6178</v>
      </c>
      <c r="B1997" t="s">
        <v>6178</v>
      </c>
      <c r="C1997">
        <v>55120</v>
      </c>
      <c r="D1997">
        <v>2120</v>
      </c>
      <c r="E1997" t="s">
        <v>6179</v>
      </c>
      <c r="F1997" t="s">
        <v>3249</v>
      </c>
      <c r="G1997" t="s">
        <v>3249</v>
      </c>
      <c r="H1997" t="s">
        <v>3250</v>
      </c>
      <c r="I1997" t="s">
        <v>3250</v>
      </c>
      <c r="J1997" t="s">
        <v>3250</v>
      </c>
      <c r="K1997" t="s">
        <v>3250</v>
      </c>
      <c r="L1997">
        <v>1200</v>
      </c>
      <c r="M1997" t="s">
        <v>2368</v>
      </c>
      <c r="N1997">
        <v>1204</v>
      </c>
      <c r="O1997" t="s">
        <v>1574</v>
      </c>
      <c r="P1997" t="s">
        <v>3108</v>
      </c>
      <c r="Q1997" t="s">
        <v>3249</v>
      </c>
      <c r="R1997" t="s">
        <v>3249</v>
      </c>
      <c r="S1997" t="s">
        <v>472</v>
      </c>
      <c r="T1997" t="s">
        <v>3251</v>
      </c>
      <c r="U1997">
        <v>240</v>
      </c>
      <c r="V1997" t="s">
        <v>4251</v>
      </c>
      <c r="W1997">
        <v>240</v>
      </c>
      <c r="X1997" t="s">
        <v>1323</v>
      </c>
      <c r="Y1997" t="s">
        <v>3250</v>
      </c>
      <c r="Z1997" t="s">
        <v>3250</v>
      </c>
      <c r="AA1997" t="s">
        <v>3108</v>
      </c>
      <c r="AB1997" t="s">
        <v>3108</v>
      </c>
      <c r="AC1997" t="s">
        <v>3250</v>
      </c>
      <c r="AD1997" t="s">
        <v>3250</v>
      </c>
      <c r="AE1997" t="s">
        <v>3250</v>
      </c>
      <c r="AF1997" t="s">
        <v>3250</v>
      </c>
      <c r="AG1997">
        <v>1490</v>
      </c>
      <c r="AH1997" t="s">
        <v>2333</v>
      </c>
      <c r="AI1997">
        <v>1490</v>
      </c>
      <c r="AJ1997" t="s">
        <v>2333</v>
      </c>
      <c r="AL1997">
        <v>241</v>
      </c>
      <c r="AM1997" t="s">
        <v>1455</v>
      </c>
      <c r="AN1997">
        <v>241</v>
      </c>
      <c r="AO1997" t="s">
        <v>1455</v>
      </c>
      <c r="AS1997" t="s">
        <v>3250</v>
      </c>
      <c r="AT1997" t="s">
        <v>3250</v>
      </c>
      <c r="AU1997" t="s">
        <v>3250</v>
      </c>
      <c r="AV1997" t="s">
        <v>3250</v>
      </c>
      <c r="AW1997" t="s">
        <v>3250</v>
      </c>
      <c r="AX1997" t="s">
        <v>3250</v>
      </c>
      <c r="AY1997" t="s">
        <v>3250</v>
      </c>
      <c r="AZ1997" t="s">
        <v>3250</v>
      </c>
      <c r="BA1997" t="s">
        <v>3250</v>
      </c>
      <c r="BB1997" t="s">
        <v>3250</v>
      </c>
      <c r="BC1997" t="s">
        <v>3250</v>
      </c>
      <c r="BE1997" t="s">
        <v>3250</v>
      </c>
      <c r="BF1997" t="s">
        <v>3250</v>
      </c>
      <c r="BG1997" t="s">
        <v>3250</v>
      </c>
      <c r="BH1997" t="s">
        <v>3250</v>
      </c>
      <c r="BI1997" t="s">
        <v>3250</v>
      </c>
      <c r="BK1997" t="s">
        <v>3250</v>
      </c>
      <c r="BL1997" t="s">
        <v>3250</v>
      </c>
      <c r="BM1997" t="s">
        <v>3250</v>
      </c>
      <c r="BN1997" t="s">
        <v>3250</v>
      </c>
      <c r="BP1997">
        <v>1</v>
      </c>
      <c r="BQ1997">
        <v>11</v>
      </c>
      <c r="BR1997" t="s">
        <v>1574</v>
      </c>
      <c r="BS1997" t="s">
        <v>3252</v>
      </c>
      <c r="BV1997">
        <v>0</v>
      </c>
      <c r="BW1997">
        <v>0</v>
      </c>
      <c r="BX1997">
        <v>0</v>
      </c>
      <c r="BY1997">
        <v>0</v>
      </c>
      <c r="BZ1997">
        <v>0</v>
      </c>
      <c r="CA1997">
        <v>0</v>
      </c>
      <c r="CB1997">
        <v>0</v>
      </c>
      <c r="CC1997">
        <v>0</v>
      </c>
      <c r="CD1997">
        <v>0</v>
      </c>
      <c r="CE1997" t="s">
        <v>3108</v>
      </c>
      <c r="CF1997" t="s">
        <v>3108</v>
      </c>
      <c r="CG1997" t="s">
        <v>3108</v>
      </c>
      <c r="CH1997" t="s">
        <v>3108</v>
      </c>
    </row>
    <row r="1998" spans="1:86" x14ac:dyDescent="0.2">
      <c r="A1998" t="s">
        <v>6180</v>
      </c>
      <c r="B1998" t="s">
        <v>6180</v>
      </c>
      <c r="C1998">
        <v>55121</v>
      </c>
      <c r="D1998">
        <v>2121</v>
      </c>
      <c r="E1998" t="s">
        <v>6181</v>
      </c>
      <c r="F1998" t="s">
        <v>3249</v>
      </c>
      <c r="G1998" t="s">
        <v>3249</v>
      </c>
      <c r="H1998" t="s">
        <v>3250</v>
      </c>
      <c r="I1998" t="s">
        <v>3250</v>
      </c>
      <c r="J1998" t="s">
        <v>3250</v>
      </c>
      <c r="K1998" t="s">
        <v>3250</v>
      </c>
      <c r="L1998">
        <v>1200</v>
      </c>
      <c r="M1998" t="s">
        <v>2368</v>
      </c>
      <c r="N1998">
        <v>1204</v>
      </c>
      <c r="O1998" t="s">
        <v>1574</v>
      </c>
      <c r="P1998" t="s">
        <v>3108</v>
      </c>
      <c r="Q1998" t="s">
        <v>3249</v>
      </c>
      <c r="R1998" t="s">
        <v>3249</v>
      </c>
      <c r="S1998" t="s">
        <v>472</v>
      </c>
      <c r="T1998" t="s">
        <v>3251</v>
      </c>
      <c r="U1998">
        <v>270</v>
      </c>
      <c r="V1998" t="s">
        <v>4826</v>
      </c>
      <c r="W1998">
        <v>270</v>
      </c>
      <c r="X1998" t="s">
        <v>814</v>
      </c>
      <c r="Y1998" t="s">
        <v>3250</v>
      </c>
      <c r="Z1998" t="s">
        <v>3250</v>
      </c>
      <c r="AA1998" t="s">
        <v>3108</v>
      </c>
      <c r="AB1998" t="s">
        <v>3108</v>
      </c>
      <c r="AC1998" t="s">
        <v>3250</v>
      </c>
      <c r="AD1998" t="s">
        <v>3250</v>
      </c>
      <c r="AE1998" t="s">
        <v>3250</v>
      </c>
      <c r="AF1998" t="s">
        <v>3250</v>
      </c>
      <c r="AG1998">
        <v>1370</v>
      </c>
      <c r="AH1998" t="s">
        <v>2325</v>
      </c>
      <c r="AI1998">
        <v>1370</v>
      </c>
      <c r="AJ1998" t="s">
        <v>2325</v>
      </c>
      <c r="AL1998" t="s">
        <v>3250</v>
      </c>
      <c r="AM1998" t="s">
        <v>3250</v>
      </c>
      <c r="AN1998" t="s">
        <v>3250</v>
      </c>
      <c r="AO1998" t="s">
        <v>3250</v>
      </c>
      <c r="AS1998" t="s">
        <v>3250</v>
      </c>
      <c r="AT1998" t="s">
        <v>3250</v>
      </c>
      <c r="AU1998" t="s">
        <v>3250</v>
      </c>
      <c r="AV1998" t="s">
        <v>3250</v>
      </c>
      <c r="AW1998" t="s">
        <v>3250</v>
      </c>
      <c r="AX1998" t="s">
        <v>3250</v>
      </c>
      <c r="AY1998" t="s">
        <v>3250</v>
      </c>
      <c r="AZ1998" t="s">
        <v>3250</v>
      </c>
      <c r="BA1998" t="s">
        <v>3250</v>
      </c>
      <c r="BB1998" t="s">
        <v>3250</v>
      </c>
      <c r="BC1998" t="s">
        <v>3250</v>
      </c>
      <c r="BE1998" t="s">
        <v>3250</v>
      </c>
      <c r="BF1998" t="s">
        <v>3250</v>
      </c>
      <c r="BG1998" t="s">
        <v>3250</v>
      </c>
      <c r="BH1998" t="s">
        <v>3250</v>
      </c>
      <c r="BI1998" t="s">
        <v>3250</v>
      </c>
      <c r="BK1998" t="s">
        <v>3250</v>
      </c>
      <c r="BL1998" t="s">
        <v>3250</v>
      </c>
      <c r="BM1998" t="s">
        <v>3250</v>
      </c>
      <c r="BN1998" t="s">
        <v>3250</v>
      </c>
      <c r="BP1998">
        <v>1</v>
      </c>
      <c r="BQ1998">
        <v>11</v>
      </c>
      <c r="BR1998" t="s">
        <v>1574</v>
      </c>
      <c r="BS1998" t="s">
        <v>3252</v>
      </c>
      <c r="BV1998">
        <v>0</v>
      </c>
      <c r="BW1998">
        <v>0</v>
      </c>
      <c r="BX1998">
        <v>0</v>
      </c>
      <c r="BY1998">
        <v>0</v>
      </c>
      <c r="BZ1998">
        <v>0</v>
      </c>
      <c r="CA1998">
        <v>0</v>
      </c>
      <c r="CB1998">
        <v>0</v>
      </c>
      <c r="CC1998">
        <v>0</v>
      </c>
      <c r="CD1998">
        <v>0</v>
      </c>
      <c r="CE1998" t="s">
        <v>3108</v>
      </c>
      <c r="CF1998" t="s">
        <v>3108</v>
      </c>
      <c r="CG1998" t="s">
        <v>3108</v>
      </c>
      <c r="CH1998" t="s">
        <v>3108</v>
      </c>
    </row>
    <row r="1999" spans="1:86" x14ac:dyDescent="0.2">
      <c r="A1999" t="s">
        <v>6182</v>
      </c>
      <c r="B1999" t="s">
        <v>6182</v>
      </c>
      <c r="C1999">
        <v>55122</v>
      </c>
      <c r="D1999">
        <v>2122</v>
      </c>
      <c r="E1999" t="s">
        <v>6183</v>
      </c>
      <c r="F1999" t="s">
        <v>3249</v>
      </c>
      <c r="G1999" t="s">
        <v>3249</v>
      </c>
      <c r="H1999" t="s">
        <v>3250</v>
      </c>
      <c r="I1999" t="s">
        <v>3250</v>
      </c>
      <c r="J1999" t="s">
        <v>3250</v>
      </c>
      <c r="K1999" t="s">
        <v>3250</v>
      </c>
      <c r="L1999">
        <v>1200</v>
      </c>
      <c r="M1999" t="s">
        <v>2368</v>
      </c>
      <c r="N1999">
        <v>1204</v>
      </c>
      <c r="O1999" t="s">
        <v>1574</v>
      </c>
      <c r="P1999" t="s">
        <v>3108</v>
      </c>
      <c r="Q1999" t="s">
        <v>3249</v>
      </c>
      <c r="R1999" t="s">
        <v>3249</v>
      </c>
      <c r="S1999" t="s">
        <v>472</v>
      </c>
      <c r="T1999" t="s">
        <v>3251</v>
      </c>
      <c r="U1999">
        <v>270</v>
      </c>
      <c r="V1999" t="s">
        <v>4826</v>
      </c>
      <c r="W1999">
        <v>270</v>
      </c>
      <c r="X1999" t="s">
        <v>814</v>
      </c>
      <c r="Y1999" t="s">
        <v>3250</v>
      </c>
      <c r="Z1999" t="s">
        <v>3250</v>
      </c>
      <c r="AA1999" t="s">
        <v>3108</v>
      </c>
      <c r="AB1999" t="s">
        <v>3108</v>
      </c>
      <c r="AC1999" t="s">
        <v>3250</v>
      </c>
      <c r="AD1999" t="s">
        <v>3250</v>
      </c>
      <c r="AE1999" t="s">
        <v>3250</v>
      </c>
      <c r="AF1999" t="s">
        <v>3250</v>
      </c>
      <c r="AG1999">
        <v>1370</v>
      </c>
      <c r="AH1999" t="s">
        <v>2325</v>
      </c>
      <c r="AI1999">
        <v>1370</v>
      </c>
      <c r="AJ1999" t="s">
        <v>2325</v>
      </c>
      <c r="AL1999" t="s">
        <v>3250</v>
      </c>
      <c r="AM1999" t="s">
        <v>3250</v>
      </c>
      <c r="AN1999" t="s">
        <v>3250</v>
      </c>
      <c r="AO1999" t="s">
        <v>3250</v>
      </c>
      <c r="AS1999" t="s">
        <v>3250</v>
      </c>
      <c r="AT1999" t="s">
        <v>3250</v>
      </c>
      <c r="AU1999" t="s">
        <v>3250</v>
      </c>
      <c r="AV1999" t="s">
        <v>3250</v>
      </c>
      <c r="AW1999" t="s">
        <v>3250</v>
      </c>
      <c r="AX1999" t="s">
        <v>3250</v>
      </c>
      <c r="AY1999" t="s">
        <v>3250</v>
      </c>
      <c r="AZ1999" t="s">
        <v>3250</v>
      </c>
      <c r="BA1999" t="s">
        <v>3250</v>
      </c>
      <c r="BB1999" t="s">
        <v>3250</v>
      </c>
      <c r="BC1999" t="s">
        <v>3250</v>
      </c>
      <c r="BE1999" t="s">
        <v>3250</v>
      </c>
      <c r="BF1999" t="s">
        <v>3250</v>
      </c>
      <c r="BG1999" t="s">
        <v>3250</v>
      </c>
      <c r="BH1999" t="s">
        <v>3250</v>
      </c>
      <c r="BI1999" t="s">
        <v>3250</v>
      </c>
      <c r="BK1999" t="s">
        <v>3250</v>
      </c>
      <c r="BL1999" t="s">
        <v>3250</v>
      </c>
      <c r="BM1999" t="s">
        <v>3250</v>
      </c>
      <c r="BN1999" t="s">
        <v>3250</v>
      </c>
      <c r="BP1999">
        <v>1</v>
      </c>
      <c r="BQ1999">
        <v>11</v>
      </c>
      <c r="BR1999" t="s">
        <v>1574</v>
      </c>
      <c r="BS1999" t="s">
        <v>3252</v>
      </c>
      <c r="BV1999">
        <v>0</v>
      </c>
      <c r="BW1999">
        <v>0</v>
      </c>
      <c r="BX1999">
        <v>0</v>
      </c>
      <c r="BY1999">
        <v>0</v>
      </c>
      <c r="BZ1999">
        <v>1383449</v>
      </c>
      <c r="CA1999">
        <v>710148</v>
      </c>
      <c r="CB1999">
        <v>1494900</v>
      </c>
      <c r="CC1999">
        <v>1554696</v>
      </c>
      <c r="CD1999">
        <v>0</v>
      </c>
      <c r="CE1999" t="s">
        <v>3108</v>
      </c>
      <c r="CF1999" t="s">
        <v>3108</v>
      </c>
      <c r="CG1999" t="s">
        <v>3108</v>
      </c>
      <c r="CH1999" t="s">
        <v>3108</v>
      </c>
    </row>
    <row r="2000" spans="1:86" x14ac:dyDescent="0.2">
      <c r="A2000" t="s">
        <v>6184</v>
      </c>
      <c r="B2000" t="s">
        <v>6184</v>
      </c>
      <c r="C2000">
        <v>55123</v>
      </c>
      <c r="D2000">
        <v>2123</v>
      </c>
      <c r="E2000" t="s">
        <v>6185</v>
      </c>
      <c r="F2000" t="s">
        <v>3249</v>
      </c>
      <c r="G2000" t="s">
        <v>3249</v>
      </c>
      <c r="H2000" t="s">
        <v>3250</v>
      </c>
      <c r="I2000" t="s">
        <v>3250</v>
      </c>
      <c r="J2000" t="s">
        <v>3250</v>
      </c>
      <c r="K2000" t="s">
        <v>3250</v>
      </c>
      <c r="L2000">
        <v>1200</v>
      </c>
      <c r="M2000" t="s">
        <v>2368</v>
      </c>
      <c r="N2000">
        <v>1204</v>
      </c>
      <c r="O2000" t="s">
        <v>1574</v>
      </c>
      <c r="P2000" t="s">
        <v>3108</v>
      </c>
      <c r="Q2000" t="s">
        <v>3249</v>
      </c>
      <c r="R2000" t="s">
        <v>3249</v>
      </c>
      <c r="S2000" t="s">
        <v>472</v>
      </c>
      <c r="T2000" t="s">
        <v>3251</v>
      </c>
      <c r="U2000">
        <v>270</v>
      </c>
      <c r="V2000" t="s">
        <v>4826</v>
      </c>
      <c r="W2000">
        <v>270</v>
      </c>
      <c r="X2000" t="s">
        <v>814</v>
      </c>
      <c r="Y2000" t="s">
        <v>3250</v>
      </c>
      <c r="Z2000" t="s">
        <v>3250</v>
      </c>
      <c r="AA2000" t="s">
        <v>3108</v>
      </c>
      <c r="AB2000" t="s">
        <v>3108</v>
      </c>
      <c r="AC2000" t="s">
        <v>3250</v>
      </c>
      <c r="AD2000" t="s">
        <v>3250</v>
      </c>
      <c r="AE2000" t="s">
        <v>3250</v>
      </c>
      <c r="AF2000" t="s">
        <v>3250</v>
      </c>
      <c r="AG2000">
        <v>1370</v>
      </c>
      <c r="AH2000" t="s">
        <v>2325</v>
      </c>
      <c r="AI2000">
        <v>1370</v>
      </c>
      <c r="AJ2000" t="s">
        <v>2325</v>
      </c>
      <c r="AL2000" t="s">
        <v>3250</v>
      </c>
      <c r="AM2000" t="s">
        <v>3250</v>
      </c>
      <c r="AN2000" t="s">
        <v>3250</v>
      </c>
      <c r="AO2000" t="s">
        <v>3250</v>
      </c>
      <c r="AS2000" t="s">
        <v>3250</v>
      </c>
      <c r="AT2000" t="s">
        <v>3250</v>
      </c>
      <c r="AU2000" t="s">
        <v>3250</v>
      </c>
      <c r="AV2000" t="s">
        <v>3250</v>
      </c>
      <c r="AW2000" t="s">
        <v>3250</v>
      </c>
      <c r="AX2000" t="s">
        <v>3250</v>
      </c>
      <c r="AY2000" t="s">
        <v>3250</v>
      </c>
      <c r="AZ2000" t="s">
        <v>3250</v>
      </c>
      <c r="BA2000" t="s">
        <v>3250</v>
      </c>
      <c r="BB2000" t="s">
        <v>3250</v>
      </c>
      <c r="BC2000" t="s">
        <v>3250</v>
      </c>
      <c r="BE2000" t="s">
        <v>3250</v>
      </c>
      <c r="BF2000" t="s">
        <v>3250</v>
      </c>
      <c r="BG2000" t="s">
        <v>3250</v>
      </c>
      <c r="BH2000" t="s">
        <v>3250</v>
      </c>
      <c r="BI2000" t="s">
        <v>3250</v>
      </c>
      <c r="BK2000" t="s">
        <v>3250</v>
      </c>
      <c r="BL2000" t="s">
        <v>3250</v>
      </c>
      <c r="BM2000" t="s">
        <v>3250</v>
      </c>
      <c r="BN2000" t="s">
        <v>3250</v>
      </c>
      <c r="BP2000">
        <v>1</v>
      </c>
      <c r="BQ2000">
        <v>11</v>
      </c>
      <c r="BR2000" t="s">
        <v>1574</v>
      </c>
      <c r="BS2000" t="s">
        <v>3252</v>
      </c>
      <c r="BV2000">
        <v>0</v>
      </c>
      <c r="BW2000">
        <v>0</v>
      </c>
      <c r="BX2000">
        <v>0</v>
      </c>
      <c r="BY2000">
        <v>0</v>
      </c>
      <c r="BZ2000">
        <v>0</v>
      </c>
      <c r="CA2000">
        <v>0</v>
      </c>
      <c r="CB2000">
        <v>0</v>
      </c>
      <c r="CC2000">
        <v>0</v>
      </c>
      <c r="CD2000">
        <v>0</v>
      </c>
      <c r="CE2000" t="s">
        <v>3108</v>
      </c>
      <c r="CF2000" t="s">
        <v>3108</v>
      </c>
      <c r="CG2000" t="s">
        <v>3108</v>
      </c>
      <c r="CH2000" t="s">
        <v>3108</v>
      </c>
    </row>
    <row r="2001" spans="1:86" x14ac:dyDescent="0.2">
      <c r="A2001" t="s">
        <v>6186</v>
      </c>
      <c r="B2001" t="s">
        <v>6186</v>
      </c>
      <c r="C2001">
        <v>55124</v>
      </c>
      <c r="D2001">
        <v>2124</v>
      </c>
      <c r="E2001" t="s">
        <v>6187</v>
      </c>
      <c r="F2001" t="s">
        <v>3249</v>
      </c>
      <c r="G2001" t="s">
        <v>3249</v>
      </c>
      <c r="H2001" t="s">
        <v>3250</v>
      </c>
      <c r="I2001" t="s">
        <v>3250</v>
      </c>
      <c r="J2001" t="s">
        <v>3250</v>
      </c>
      <c r="K2001" t="s">
        <v>3250</v>
      </c>
      <c r="L2001">
        <v>1200</v>
      </c>
      <c r="M2001" t="s">
        <v>2368</v>
      </c>
      <c r="N2001">
        <v>1204</v>
      </c>
      <c r="O2001" t="s">
        <v>1574</v>
      </c>
      <c r="P2001" t="s">
        <v>3108</v>
      </c>
      <c r="Q2001" t="s">
        <v>3249</v>
      </c>
      <c r="R2001" t="s">
        <v>3249</v>
      </c>
      <c r="S2001" t="s">
        <v>472</v>
      </c>
      <c r="T2001" t="s">
        <v>3251</v>
      </c>
      <c r="U2001">
        <v>240</v>
      </c>
      <c r="V2001" t="s">
        <v>4251</v>
      </c>
      <c r="W2001">
        <v>240</v>
      </c>
      <c r="X2001" t="s">
        <v>1323</v>
      </c>
      <c r="Y2001" t="s">
        <v>3250</v>
      </c>
      <c r="Z2001" t="s">
        <v>3250</v>
      </c>
      <c r="AA2001" t="s">
        <v>3108</v>
      </c>
      <c r="AB2001" t="s">
        <v>3108</v>
      </c>
      <c r="AC2001" t="s">
        <v>3250</v>
      </c>
      <c r="AD2001" t="s">
        <v>3250</v>
      </c>
      <c r="AE2001" t="s">
        <v>3250</v>
      </c>
      <c r="AF2001" t="s">
        <v>3250</v>
      </c>
      <c r="AG2001">
        <v>770</v>
      </c>
      <c r="AH2001" t="s">
        <v>2282</v>
      </c>
      <c r="AI2001">
        <v>770</v>
      </c>
      <c r="AJ2001" t="s">
        <v>2282</v>
      </c>
      <c r="AL2001">
        <v>241</v>
      </c>
      <c r="AM2001" t="s">
        <v>1455</v>
      </c>
      <c r="AN2001">
        <v>241</v>
      </c>
      <c r="AO2001" t="s">
        <v>1455</v>
      </c>
      <c r="AS2001" t="s">
        <v>3250</v>
      </c>
      <c r="AT2001" t="s">
        <v>3250</v>
      </c>
      <c r="AU2001" t="s">
        <v>3250</v>
      </c>
      <c r="AV2001" t="s">
        <v>3250</v>
      </c>
      <c r="AW2001" t="s">
        <v>3250</v>
      </c>
      <c r="AX2001" t="s">
        <v>3250</v>
      </c>
      <c r="AY2001" t="s">
        <v>3250</v>
      </c>
      <c r="AZ2001" t="s">
        <v>3250</v>
      </c>
      <c r="BA2001" t="s">
        <v>3250</v>
      </c>
      <c r="BB2001" t="s">
        <v>3250</v>
      </c>
      <c r="BC2001" t="s">
        <v>3250</v>
      </c>
      <c r="BE2001" t="s">
        <v>3250</v>
      </c>
      <c r="BF2001" t="s">
        <v>3250</v>
      </c>
      <c r="BG2001" t="s">
        <v>3250</v>
      </c>
      <c r="BH2001" t="s">
        <v>3250</v>
      </c>
      <c r="BI2001" t="s">
        <v>3250</v>
      </c>
      <c r="BK2001" t="s">
        <v>3250</v>
      </c>
      <c r="BL2001" t="s">
        <v>3250</v>
      </c>
      <c r="BM2001" t="s">
        <v>3250</v>
      </c>
      <c r="BN2001" t="s">
        <v>3250</v>
      </c>
      <c r="BP2001">
        <v>1</v>
      </c>
      <c r="BQ2001">
        <v>11</v>
      </c>
      <c r="BR2001" t="s">
        <v>1574</v>
      </c>
      <c r="BS2001" t="s">
        <v>3252</v>
      </c>
      <c r="BV2001">
        <v>0</v>
      </c>
      <c r="BW2001">
        <v>0</v>
      </c>
      <c r="BX2001">
        <v>0</v>
      </c>
      <c r="BY2001">
        <v>0</v>
      </c>
      <c r="BZ2001">
        <v>0</v>
      </c>
      <c r="CA2001">
        <v>0</v>
      </c>
      <c r="CB2001">
        <v>0</v>
      </c>
      <c r="CC2001">
        <v>0</v>
      </c>
      <c r="CD2001">
        <v>0</v>
      </c>
      <c r="CE2001" t="s">
        <v>3108</v>
      </c>
      <c r="CF2001" t="s">
        <v>3108</v>
      </c>
      <c r="CG2001" t="s">
        <v>3108</v>
      </c>
      <c r="CH2001" t="s">
        <v>3108</v>
      </c>
    </row>
    <row r="2002" spans="1:86" x14ac:dyDescent="0.2">
      <c r="A2002" t="s">
        <v>6188</v>
      </c>
      <c r="B2002" t="s">
        <v>6188</v>
      </c>
      <c r="C2002">
        <v>55125</v>
      </c>
      <c r="D2002">
        <v>2125</v>
      </c>
      <c r="E2002" t="s">
        <v>6189</v>
      </c>
      <c r="F2002" t="s">
        <v>3249</v>
      </c>
      <c r="G2002" t="s">
        <v>3249</v>
      </c>
      <c r="H2002" t="s">
        <v>3250</v>
      </c>
      <c r="I2002" t="s">
        <v>3250</v>
      </c>
      <c r="J2002" t="s">
        <v>3250</v>
      </c>
      <c r="K2002" t="s">
        <v>3250</v>
      </c>
      <c r="L2002">
        <v>1200</v>
      </c>
      <c r="M2002" t="s">
        <v>2368</v>
      </c>
      <c r="N2002">
        <v>1204</v>
      </c>
      <c r="O2002" t="s">
        <v>1574</v>
      </c>
      <c r="P2002" t="s">
        <v>3108</v>
      </c>
      <c r="Q2002" t="s">
        <v>3249</v>
      </c>
      <c r="R2002" t="s">
        <v>3249</v>
      </c>
      <c r="S2002" t="s">
        <v>472</v>
      </c>
      <c r="T2002" t="s">
        <v>3251</v>
      </c>
      <c r="U2002">
        <v>220</v>
      </c>
      <c r="V2002" t="s">
        <v>5318</v>
      </c>
      <c r="W2002">
        <v>220</v>
      </c>
      <c r="X2002" t="s">
        <v>1324</v>
      </c>
      <c r="Y2002" t="s">
        <v>3250</v>
      </c>
      <c r="Z2002" t="s">
        <v>3250</v>
      </c>
      <c r="AA2002" t="s">
        <v>3108</v>
      </c>
      <c r="AB2002" t="s">
        <v>3108</v>
      </c>
      <c r="AC2002" t="s">
        <v>3250</v>
      </c>
      <c r="AD2002" t="s">
        <v>3250</v>
      </c>
      <c r="AE2002" t="s">
        <v>3250</v>
      </c>
      <c r="AF2002" t="s">
        <v>3250</v>
      </c>
      <c r="AG2002">
        <v>1110</v>
      </c>
      <c r="AH2002" t="s">
        <v>829</v>
      </c>
      <c r="AI2002">
        <v>1110</v>
      </c>
      <c r="AJ2002" t="s">
        <v>829</v>
      </c>
      <c r="AL2002" t="s">
        <v>3250</v>
      </c>
      <c r="AM2002" t="s">
        <v>3250</v>
      </c>
      <c r="AN2002" t="s">
        <v>3250</v>
      </c>
      <c r="AO2002" t="s">
        <v>3250</v>
      </c>
      <c r="AS2002" t="s">
        <v>3250</v>
      </c>
      <c r="AT2002" t="s">
        <v>3250</v>
      </c>
      <c r="AU2002" t="s">
        <v>3250</v>
      </c>
      <c r="AV2002" t="s">
        <v>3250</v>
      </c>
      <c r="AW2002" t="s">
        <v>3250</v>
      </c>
      <c r="AX2002" t="s">
        <v>3250</v>
      </c>
      <c r="AY2002" t="s">
        <v>3250</v>
      </c>
      <c r="AZ2002" t="s">
        <v>3250</v>
      </c>
      <c r="BA2002" t="s">
        <v>3250</v>
      </c>
      <c r="BB2002" t="s">
        <v>3250</v>
      </c>
      <c r="BC2002" t="s">
        <v>3250</v>
      </c>
      <c r="BE2002" t="s">
        <v>3250</v>
      </c>
      <c r="BF2002" t="s">
        <v>3250</v>
      </c>
      <c r="BG2002" t="s">
        <v>3250</v>
      </c>
      <c r="BH2002" t="s">
        <v>3250</v>
      </c>
      <c r="BI2002" t="s">
        <v>3250</v>
      </c>
      <c r="BK2002" t="s">
        <v>3250</v>
      </c>
      <c r="BL2002" t="s">
        <v>3250</v>
      </c>
      <c r="BM2002" t="s">
        <v>3250</v>
      </c>
      <c r="BN2002" t="s">
        <v>3250</v>
      </c>
      <c r="BP2002">
        <v>1</v>
      </c>
      <c r="BQ2002">
        <v>11</v>
      </c>
      <c r="BR2002" t="s">
        <v>1574</v>
      </c>
      <c r="BS2002" t="s">
        <v>3252</v>
      </c>
      <c r="BV2002">
        <v>0</v>
      </c>
      <c r="BW2002">
        <v>0</v>
      </c>
      <c r="BX2002">
        <v>0</v>
      </c>
      <c r="BY2002">
        <v>0</v>
      </c>
      <c r="BZ2002">
        <v>0</v>
      </c>
      <c r="CA2002">
        <v>0</v>
      </c>
      <c r="CB2002">
        <v>0</v>
      </c>
      <c r="CC2002">
        <v>0</v>
      </c>
      <c r="CD2002">
        <v>0</v>
      </c>
      <c r="CE2002" t="s">
        <v>3108</v>
      </c>
      <c r="CF2002" t="s">
        <v>3108</v>
      </c>
      <c r="CG2002" t="s">
        <v>3108</v>
      </c>
      <c r="CH2002" t="s">
        <v>3108</v>
      </c>
    </row>
    <row r="2003" spans="1:86" x14ac:dyDescent="0.2">
      <c r="A2003" t="s">
        <v>6190</v>
      </c>
      <c r="B2003" t="s">
        <v>6190</v>
      </c>
      <c r="C2003">
        <v>55126</v>
      </c>
      <c r="D2003">
        <v>2126</v>
      </c>
      <c r="E2003" t="s">
        <v>6191</v>
      </c>
      <c r="F2003" t="s">
        <v>3249</v>
      </c>
      <c r="G2003" t="s">
        <v>3249</v>
      </c>
      <c r="H2003" t="s">
        <v>3250</v>
      </c>
      <c r="I2003" t="s">
        <v>3250</v>
      </c>
      <c r="J2003" t="s">
        <v>3250</v>
      </c>
      <c r="K2003" t="s">
        <v>3250</v>
      </c>
      <c r="L2003">
        <v>1200</v>
      </c>
      <c r="M2003" t="s">
        <v>2368</v>
      </c>
      <c r="N2003">
        <v>1204</v>
      </c>
      <c r="O2003" t="s">
        <v>1574</v>
      </c>
      <c r="P2003" t="s">
        <v>3108</v>
      </c>
      <c r="Q2003" t="s">
        <v>3249</v>
      </c>
      <c r="R2003" t="s">
        <v>3249</v>
      </c>
      <c r="S2003" t="s">
        <v>472</v>
      </c>
      <c r="T2003" t="s">
        <v>3251</v>
      </c>
      <c r="U2003">
        <v>240</v>
      </c>
      <c r="V2003" t="s">
        <v>4251</v>
      </c>
      <c r="W2003">
        <v>240</v>
      </c>
      <c r="X2003" t="s">
        <v>1323</v>
      </c>
      <c r="Y2003" t="s">
        <v>3250</v>
      </c>
      <c r="Z2003" t="s">
        <v>3250</v>
      </c>
      <c r="AA2003" t="s">
        <v>3108</v>
      </c>
      <c r="AB2003" t="s">
        <v>3108</v>
      </c>
      <c r="AC2003" t="s">
        <v>3250</v>
      </c>
      <c r="AD2003" t="s">
        <v>3250</v>
      </c>
      <c r="AE2003" t="s">
        <v>3250</v>
      </c>
      <c r="AF2003" t="s">
        <v>3250</v>
      </c>
      <c r="AG2003">
        <v>1180</v>
      </c>
      <c r="AH2003" t="s">
        <v>1738</v>
      </c>
      <c r="AI2003">
        <v>1180</v>
      </c>
      <c r="AJ2003" t="s">
        <v>1738</v>
      </c>
      <c r="AL2003">
        <v>241</v>
      </c>
      <c r="AM2003" t="s">
        <v>1455</v>
      </c>
      <c r="AN2003">
        <v>241</v>
      </c>
      <c r="AO2003" t="s">
        <v>1455</v>
      </c>
      <c r="AS2003" t="s">
        <v>3250</v>
      </c>
      <c r="AT2003" t="s">
        <v>3250</v>
      </c>
      <c r="AU2003" t="s">
        <v>3250</v>
      </c>
      <c r="AV2003" t="s">
        <v>3250</v>
      </c>
      <c r="AW2003" t="s">
        <v>3250</v>
      </c>
      <c r="AX2003" t="s">
        <v>3250</v>
      </c>
      <c r="AY2003" t="s">
        <v>3250</v>
      </c>
      <c r="AZ2003" t="s">
        <v>3250</v>
      </c>
      <c r="BA2003" t="s">
        <v>3250</v>
      </c>
      <c r="BB2003" t="s">
        <v>3250</v>
      </c>
      <c r="BC2003" t="s">
        <v>3250</v>
      </c>
      <c r="BE2003" t="s">
        <v>3250</v>
      </c>
      <c r="BF2003" t="s">
        <v>3250</v>
      </c>
      <c r="BG2003" t="s">
        <v>3250</v>
      </c>
      <c r="BH2003" t="s">
        <v>3250</v>
      </c>
      <c r="BI2003" t="s">
        <v>3250</v>
      </c>
      <c r="BK2003" t="s">
        <v>3250</v>
      </c>
      <c r="BL2003" t="s">
        <v>3250</v>
      </c>
      <c r="BM2003" t="s">
        <v>3250</v>
      </c>
      <c r="BN2003" t="s">
        <v>3250</v>
      </c>
      <c r="BP2003">
        <v>1</v>
      </c>
      <c r="BQ2003">
        <v>11</v>
      </c>
      <c r="BR2003" t="s">
        <v>1574</v>
      </c>
      <c r="BS2003" t="s">
        <v>3252</v>
      </c>
      <c r="BV2003">
        <v>0</v>
      </c>
      <c r="BW2003">
        <v>0</v>
      </c>
      <c r="BX2003">
        <v>0</v>
      </c>
      <c r="BY2003">
        <v>0</v>
      </c>
      <c r="BZ2003">
        <v>0</v>
      </c>
      <c r="CA2003">
        <v>0</v>
      </c>
      <c r="CB2003">
        <v>0</v>
      </c>
      <c r="CC2003">
        <v>0</v>
      </c>
      <c r="CD2003">
        <v>0</v>
      </c>
      <c r="CE2003" t="s">
        <v>3108</v>
      </c>
      <c r="CF2003" t="s">
        <v>3108</v>
      </c>
      <c r="CG2003" t="s">
        <v>3108</v>
      </c>
      <c r="CH2003" t="s">
        <v>3108</v>
      </c>
    </row>
    <row r="2004" spans="1:86" x14ac:dyDescent="0.2">
      <c r="A2004" t="s">
        <v>6192</v>
      </c>
      <c r="B2004" t="s">
        <v>6192</v>
      </c>
      <c r="C2004">
        <v>55127</v>
      </c>
      <c r="D2004">
        <v>2127</v>
      </c>
      <c r="E2004" t="s">
        <v>6193</v>
      </c>
      <c r="F2004" t="s">
        <v>3249</v>
      </c>
      <c r="G2004" t="s">
        <v>3249</v>
      </c>
      <c r="H2004" t="s">
        <v>3250</v>
      </c>
      <c r="I2004" t="s">
        <v>3250</v>
      </c>
      <c r="J2004" t="s">
        <v>3250</v>
      </c>
      <c r="K2004" t="s">
        <v>3250</v>
      </c>
      <c r="L2004">
        <v>1200</v>
      </c>
      <c r="M2004" t="s">
        <v>2368</v>
      </c>
      <c r="N2004">
        <v>1204</v>
      </c>
      <c r="O2004" t="s">
        <v>1574</v>
      </c>
      <c r="P2004" t="s">
        <v>3108</v>
      </c>
      <c r="Q2004" t="s">
        <v>3249</v>
      </c>
      <c r="R2004" t="s">
        <v>3249</v>
      </c>
      <c r="S2004" t="s">
        <v>472</v>
      </c>
      <c r="T2004" t="s">
        <v>3251</v>
      </c>
      <c r="U2004">
        <v>240</v>
      </c>
      <c r="V2004" t="s">
        <v>4251</v>
      </c>
      <c r="W2004">
        <v>240</v>
      </c>
      <c r="X2004" t="s">
        <v>1323</v>
      </c>
      <c r="Y2004" t="s">
        <v>3250</v>
      </c>
      <c r="Z2004" t="s">
        <v>3250</v>
      </c>
      <c r="AA2004" t="s">
        <v>3108</v>
      </c>
      <c r="AB2004" t="s">
        <v>3108</v>
      </c>
      <c r="AC2004" t="s">
        <v>3250</v>
      </c>
      <c r="AD2004" t="s">
        <v>3250</v>
      </c>
      <c r="AE2004" t="s">
        <v>3250</v>
      </c>
      <c r="AF2004" t="s">
        <v>3250</v>
      </c>
      <c r="AG2004">
        <v>1510</v>
      </c>
      <c r="AH2004" t="s">
        <v>2334</v>
      </c>
      <c r="AI2004">
        <v>1510</v>
      </c>
      <c r="AJ2004" t="s">
        <v>2334</v>
      </c>
      <c r="AL2004">
        <v>241</v>
      </c>
      <c r="AM2004" t="s">
        <v>1455</v>
      </c>
      <c r="AN2004">
        <v>241</v>
      </c>
      <c r="AO2004" t="s">
        <v>1455</v>
      </c>
      <c r="AS2004" t="s">
        <v>3250</v>
      </c>
      <c r="AT2004" t="s">
        <v>3250</v>
      </c>
      <c r="AU2004" t="s">
        <v>3250</v>
      </c>
      <c r="AV2004" t="s">
        <v>3250</v>
      </c>
      <c r="AW2004" t="s">
        <v>3250</v>
      </c>
      <c r="AX2004" t="s">
        <v>3250</v>
      </c>
      <c r="AY2004" t="s">
        <v>3250</v>
      </c>
      <c r="AZ2004" t="s">
        <v>3250</v>
      </c>
      <c r="BA2004" t="s">
        <v>3250</v>
      </c>
      <c r="BB2004" t="s">
        <v>3250</v>
      </c>
      <c r="BC2004" t="s">
        <v>3250</v>
      </c>
      <c r="BE2004" t="s">
        <v>3250</v>
      </c>
      <c r="BF2004" t="s">
        <v>3250</v>
      </c>
      <c r="BG2004" t="s">
        <v>3250</v>
      </c>
      <c r="BH2004" t="s">
        <v>3250</v>
      </c>
      <c r="BI2004" t="s">
        <v>3250</v>
      </c>
      <c r="BK2004" t="s">
        <v>3250</v>
      </c>
      <c r="BL2004" t="s">
        <v>3250</v>
      </c>
      <c r="BM2004" t="s">
        <v>3250</v>
      </c>
      <c r="BN2004" t="s">
        <v>3250</v>
      </c>
      <c r="BP2004">
        <v>1</v>
      </c>
      <c r="BQ2004">
        <v>11</v>
      </c>
      <c r="BR2004" t="s">
        <v>1574</v>
      </c>
      <c r="BS2004" t="s">
        <v>3252</v>
      </c>
      <c r="BV2004">
        <v>0</v>
      </c>
      <c r="BW2004">
        <v>0</v>
      </c>
      <c r="BX2004">
        <v>0</v>
      </c>
      <c r="BY2004">
        <v>0</v>
      </c>
      <c r="BZ2004">
        <v>0</v>
      </c>
      <c r="CA2004">
        <v>0</v>
      </c>
      <c r="CB2004">
        <v>0</v>
      </c>
      <c r="CC2004">
        <v>0</v>
      </c>
      <c r="CD2004">
        <v>0</v>
      </c>
      <c r="CE2004" t="s">
        <v>3108</v>
      </c>
      <c r="CF2004" t="s">
        <v>3108</v>
      </c>
      <c r="CG2004" t="s">
        <v>3108</v>
      </c>
      <c r="CH2004" t="s">
        <v>3108</v>
      </c>
    </row>
    <row r="2005" spans="1:86" x14ac:dyDescent="0.2">
      <c r="A2005" t="s">
        <v>6194</v>
      </c>
      <c r="B2005" t="s">
        <v>6194</v>
      </c>
      <c r="C2005">
        <v>55128</v>
      </c>
      <c r="D2005">
        <v>2128</v>
      </c>
      <c r="E2005" t="s">
        <v>6195</v>
      </c>
      <c r="F2005" t="s">
        <v>3249</v>
      </c>
      <c r="G2005" t="s">
        <v>3249</v>
      </c>
      <c r="H2005" t="s">
        <v>3250</v>
      </c>
      <c r="I2005" t="s">
        <v>3250</v>
      </c>
      <c r="J2005" t="s">
        <v>3250</v>
      </c>
      <c r="K2005" t="s">
        <v>3250</v>
      </c>
      <c r="L2005">
        <v>1200</v>
      </c>
      <c r="M2005" t="s">
        <v>2368</v>
      </c>
      <c r="N2005">
        <v>1204</v>
      </c>
      <c r="O2005" t="s">
        <v>1574</v>
      </c>
      <c r="P2005" t="s">
        <v>3108</v>
      </c>
      <c r="Q2005" t="s">
        <v>3249</v>
      </c>
      <c r="R2005" t="s">
        <v>3249</v>
      </c>
      <c r="S2005" t="s">
        <v>472</v>
      </c>
      <c r="T2005" t="s">
        <v>3251</v>
      </c>
      <c r="U2005">
        <v>240</v>
      </c>
      <c r="V2005" t="s">
        <v>4251</v>
      </c>
      <c r="W2005">
        <v>240</v>
      </c>
      <c r="X2005" t="s">
        <v>1323</v>
      </c>
      <c r="Y2005" t="s">
        <v>3250</v>
      </c>
      <c r="Z2005" t="s">
        <v>3250</v>
      </c>
      <c r="AA2005" t="s">
        <v>3108</v>
      </c>
      <c r="AB2005" t="s">
        <v>3108</v>
      </c>
      <c r="AC2005" t="s">
        <v>3250</v>
      </c>
      <c r="AD2005" t="s">
        <v>3250</v>
      </c>
      <c r="AE2005" t="s">
        <v>3250</v>
      </c>
      <c r="AF2005" t="s">
        <v>3250</v>
      </c>
      <c r="AG2005">
        <v>1530</v>
      </c>
      <c r="AH2005" t="s">
        <v>2335</v>
      </c>
      <c r="AI2005">
        <v>1530</v>
      </c>
      <c r="AJ2005" t="s">
        <v>2335</v>
      </c>
      <c r="AL2005">
        <v>241</v>
      </c>
      <c r="AM2005" t="s">
        <v>1455</v>
      </c>
      <c r="AN2005">
        <v>241</v>
      </c>
      <c r="AO2005" t="s">
        <v>1455</v>
      </c>
      <c r="AS2005" t="s">
        <v>3250</v>
      </c>
      <c r="AT2005" t="s">
        <v>3250</v>
      </c>
      <c r="AU2005" t="s">
        <v>3250</v>
      </c>
      <c r="AV2005" t="s">
        <v>3250</v>
      </c>
      <c r="AW2005" t="s">
        <v>3250</v>
      </c>
      <c r="AX2005" t="s">
        <v>3250</v>
      </c>
      <c r="AY2005" t="s">
        <v>3250</v>
      </c>
      <c r="AZ2005" t="s">
        <v>3250</v>
      </c>
      <c r="BA2005" t="s">
        <v>3250</v>
      </c>
      <c r="BB2005" t="s">
        <v>3250</v>
      </c>
      <c r="BC2005" t="s">
        <v>3250</v>
      </c>
      <c r="BE2005" t="s">
        <v>3250</v>
      </c>
      <c r="BF2005" t="s">
        <v>3250</v>
      </c>
      <c r="BG2005" t="s">
        <v>3250</v>
      </c>
      <c r="BH2005" t="s">
        <v>3250</v>
      </c>
      <c r="BI2005" t="s">
        <v>3250</v>
      </c>
      <c r="BK2005" t="s">
        <v>3250</v>
      </c>
      <c r="BL2005" t="s">
        <v>3250</v>
      </c>
      <c r="BM2005" t="s">
        <v>3250</v>
      </c>
      <c r="BN2005" t="s">
        <v>3250</v>
      </c>
      <c r="BP2005">
        <v>1</v>
      </c>
      <c r="BQ2005">
        <v>11</v>
      </c>
      <c r="BR2005" t="s">
        <v>1574</v>
      </c>
      <c r="BS2005" t="s">
        <v>3252</v>
      </c>
      <c r="BV2005">
        <v>0</v>
      </c>
      <c r="BW2005">
        <v>0</v>
      </c>
      <c r="BX2005">
        <v>0</v>
      </c>
      <c r="BY2005">
        <v>0</v>
      </c>
      <c r="BZ2005">
        <v>0</v>
      </c>
      <c r="CA2005">
        <v>0</v>
      </c>
      <c r="CB2005">
        <v>0</v>
      </c>
      <c r="CC2005">
        <v>0</v>
      </c>
      <c r="CD2005">
        <v>0</v>
      </c>
      <c r="CE2005" t="s">
        <v>3108</v>
      </c>
      <c r="CF2005" t="s">
        <v>3108</v>
      </c>
      <c r="CG2005" t="s">
        <v>3108</v>
      </c>
      <c r="CH2005" t="s">
        <v>3108</v>
      </c>
    </row>
    <row r="2006" spans="1:86" x14ac:dyDescent="0.2">
      <c r="A2006" t="s">
        <v>6196</v>
      </c>
      <c r="B2006" t="s">
        <v>6196</v>
      </c>
      <c r="C2006">
        <v>55129</v>
      </c>
      <c r="D2006">
        <v>2129</v>
      </c>
      <c r="E2006" t="s">
        <v>6197</v>
      </c>
      <c r="F2006" t="s">
        <v>3249</v>
      </c>
      <c r="G2006" t="s">
        <v>3249</v>
      </c>
      <c r="H2006" t="s">
        <v>3250</v>
      </c>
      <c r="I2006" t="s">
        <v>3250</v>
      </c>
      <c r="J2006" t="s">
        <v>3250</v>
      </c>
      <c r="K2006" t="s">
        <v>3250</v>
      </c>
      <c r="L2006">
        <v>1200</v>
      </c>
      <c r="M2006" t="s">
        <v>2368</v>
      </c>
      <c r="N2006">
        <v>1204</v>
      </c>
      <c r="O2006" t="s">
        <v>1574</v>
      </c>
      <c r="P2006" t="s">
        <v>3108</v>
      </c>
      <c r="Q2006" t="s">
        <v>3249</v>
      </c>
      <c r="R2006" t="s">
        <v>3249</v>
      </c>
      <c r="S2006" t="s">
        <v>472</v>
      </c>
      <c r="T2006" t="s">
        <v>3251</v>
      </c>
      <c r="U2006">
        <v>240</v>
      </c>
      <c r="V2006" t="s">
        <v>4251</v>
      </c>
      <c r="W2006">
        <v>240</v>
      </c>
      <c r="X2006" t="s">
        <v>1323</v>
      </c>
      <c r="Y2006" t="s">
        <v>3250</v>
      </c>
      <c r="Z2006" t="s">
        <v>3250</v>
      </c>
      <c r="AA2006" t="s">
        <v>3108</v>
      </c>
      <c r="AB2006" t="s">
        <v>3108</v>
      </c>
      <c r="AC2006" t="s">
        <v>3250</v>
      </c>
      <c r="AD2006" t="s">
        <v>3250</v>
      </c>
      <c r="AE2006" t="s">
        <v>3250</v>
      </c>
      <c r="AF2006" t="s">
        <v>3250</v>
      </c>
      <c r="AG2006">
        <v>110</v>
      </c>
      <c r="AH2006" t="s">
        <v>2230</v>
      </c>
      <c r="AI2006">
        <v>110</v>
      </c>
      <c r="AJ2006" t="s">
        <v>2230</v>
      </c>
      <c r="AL2006">
        <v>241</v>
      </c>
      <c r="AM2006" t="s">
        <v>1455</v>
      </c>
      <c r="AN2006">
        <v>241</v>
      </c>
      <c r="AO2006" t="s">
        <v>1455</v>
      </c>
      <c r="AS2006" t="s">
        <v>3250</v>
      </c>
      <c r="AT2006" t="s">
        <v>3250</v>
      </c>
      <c r="AU2006" t="s">
        <v>3250</v>
      </c>
      <c r="AV2006" t="s">
        <v>3250</v>
      </c>
      <c r="AW2006" t="s">
        <v>3250</v>
      </c>
      <c r="AX2006" t="s">
        <v>3250</v>
      </c>
      <c r="AY2006" t="s">
        <v>3250</v>
      </c>
      <c r="AZ2006" t="s">
        <v>3250</v>
      </c>
      <c r="BA2006" t="s">
        <v>3250</v>
      </c>
      <c r="BB2006" t="s">
        <v>3250</v>
      </c>
      <c r="BC2006" t="s">
        <v>3250</v>
      </c>
      <c r="BE2006" t="s">
        <v>3250</v>
      </c>
      <c r="BF2006" t="s">
        <v>3250</v>
      </c>
      <c r="BG2006" t="s">
        <v>3250</v>
      </c>
      <c r="BH2006" t="s">
        <v>3250</v>
      </c>
      <c r="BI2006" t="s">
        <v>3250</v>
      </c>
      <c r="BK2006" t="s">
        <v>3250</v>
      </c>
      <c r="BL2006" t="s">
        <v>3250</v>
      </c>
      <c r="BM2006" t="s">
        <v>3250</v>
      </c>
      <c r="BN2006" t="s">
        <v>3250</v>
      </c>
      <c r="BP2006">
        <v>1</v>
      </c>
      <c r="BQ2006">
        <v>11</v>
      </c>
      <c r="BR2006" t="s">
        <v>1574</v>
      </c>
      <c r="BS2006" t="s">
        <v>3252</v>
      </c>
      <c r="BV2006">
        <v>0</v>
      </c>
      <c r="BW2006">
        <v>0</v>
      </c>
      <c r="BX2006">
        <v>0</v>
      </c>
      <c r="BY2006">
        <v>0</v>
      </c>
      <c r="BZ2006">
        <v>0</v>
      </c>
      <c r="CA2006">
        <v>-21249425</v>
      </c>
      <c r="CB2006">
        <v>-22961279</v>
      </c>
      <c r="CC2006">
        <v>-23879730</v>
      </c>
      <c r="CD2006">
        <v>0</v>
      </c>
      <c r="CE2006" t="s">
        <v>3108</v>
      </c>
      <c r="CF2006" t="s">
        <v>3108</v>
      </c>
      <c r="CG2006" t="s">
        <v>3108</v>
      </c>
      <c r="CH2006" t="s">
        <v>3108</v>
      </c>
    </row>
    <row r="2007" spans="1:86" x14ac:dyDescent="0.2">
      <c r="A2007" t="s">
        <v>6198</v>
      </c>
      <c r="B2007" t="s">
        <v>6198</v>
      </c>
      <c r="C2007">
        <v>55130</v>
      </c>
      <c r="D2007">
        <v>2130</v>
      </c>
      <c r="E2007" t="s">
        <v>6199</v>
      </c>
      <c r="F2007" t="s">
        <v>3249</v>
      </c>
      <c r="G2007" t="s">
        <v>3249</v>
      </c>
      <c r="H2007" t="s">
        <v>3250</v>
      </c>
      <c r="I2007" t="s">
        <v>3250</v>
      </c>
      <c r="J2007" t="s">
        <v>3250</v>
      </c>
      <c r="K2007" t="s">
        <v>3250</v>
      </c>
      <c r="L2007">
        <v>1200</v>
      </c>
      <c r="M2007" t="s">
        <v>2368</v>
      </c>
      <c r="N2007">
        <v>1204</v>
      </c>
      <c r="O2007" t="s">
        <v>1574</v>
      </c>
      <c r="P2007" t="s">
        <v>3108</v>
      </c>
      <c r="Q2007" t="s">
        <v>3249</v>
      </c>
      <c r="R2007" t="s">
        <v>3249</v>
      </c>
      <c r="S2007" t="s">
        <v>472</v>
      </c>
      <c r="T2007" t="s">
        <v>3251</v>
      </c>
      <c r="U2007">
        <v>240</v>
      </c>
      <c r="V2007" t="s">
        <v>4251</v>
      </c>
      <c r="W2007">
        <v>240</v>
      </c>
      <c r="X2007" t="s">
        <v>1323</v>
      </c>
      <c r="Y2007" t="s">
        <v>3250</v>
      </c>
      <c r="Z2007" t="s">
        <v>3250</v>
      </c>
      <c r="AA2007" t="s">
        <v>3108</v>
      </c>
      <c r="AB2007" t="s">
        <v>3108</v>
      </c>
      <c r="AC2007" t="s">
        <v>3250</v>
      </c>
      <c r="AD2007" t="s">
        <v>3250</v>
      </c>
      <c r="AE2007" t="s">
        <v>3250</v>
      </c>
      <c r="AF2007" t="s">
        <v>3250</v>
      </c>
      <c r="AG2007">
        <v>1530</v>
      </c>
      <c r="AH2007" t="s">
        <v>2335</v>
      </c>
      <c r="AI2007">
        <v>1530</v>
      </c>
      <c r="AJ2007" t="s">
        <v>2335</v>
      </c>
      <c r="AL2007">
        <v>241</v>
      </c>
      <c r="AM2007" t="s">
        <v>1455</v>
      </c>
      <c r="AN2007">
        <v>241</v>
      </c>
      <c r="AO2007" t="s">
        <v>1455</v>
      </c>
      <c r="AS2007" t="s">
        <v>3250</v>
      </c>
      <c r="AT2007" t="s">
        <v>3250</v>
      </c>
      <c r="AU2007" t="s">
        <v>3250</v>
      </c>
      <c r="AV2007" t="s">
        <v>3250</v>
      </c>
      <c r="AW2007" t="s">
        <v>3250</v>
      </c>
      <c r="AX2007" t="s">
        <v>3250</v>
      </c>
      <c r="AY2007" t="s">
        <v>3250</v>
      </c>
      <c r="AZ2007" t="s">
        <v>3250</v>
      </c>
      <c r="BA2007" t="s">
        <v>3250</v>
      </c>
      <c r="BB2007" t="s">
        <v>3250</v>
      </c>
      <c r="BC2007" t="s">
        <v>3250</v>
      </c>
      <c r="BE2007" t="s">
        <v>3250</v>
      </c>
      <c r="BF2007" t="s">
        <v>3250</v>
      </c>
      <c r="BG2007" t="s">
        <v>3250</v>
      </c>
      <c r="BH2007" t="s">
        <v>3250</v>
      </c>
      <c r="BI2007" t="s">
        <v>3250</v>
      </c>
      <c r="BK2007" t="s">
        <v>3250</v>
      </c>
      <c r="BL2007" t="s">
        <v>3250</v>
      </c>
      <c r="BM2007" t="s">
        <v>3250</v>
      </c>
      <c r="BN2007" t="s">
        <v>3250</v>
      </c>
      <c r="BP2007">
        <v>1</v>
      </c>
      <c r="BQ2007">
        <v>11</v>
      </c>
      <c r="BR2007" t="s">
        <v>1574</v>
      </c>
      <c r="BS2007" t="s">
        <v>3252</v>
      </c>
      <c r="BV2007">
        <v>0</v>
      </c>
      <c r="BW2007">
        <v>0</v>
      </c>
      <c r="BX2007">
        <v>0</v>
      </c>
      <c r="BY2007">
        <v>0</v>
      </c>
      <c r="BZ2007">
        <v>0</v>
      </c>
      <c r="CA2007">
        <v>0</v>
      </c>
      <c r="CB2007">
        <v>0</v>
      </c>
      <c r="CC2007">
        <v>0</v>
      </c>
      <c r="CD2007">
        <v>0</v>
      </c>
      <c r="CE2007" t="s">
        <v>3108</v>
      </c>
      <c r="CF2007" t="s">
        <v>3108</v>
      </c>
      <c r="CG2007" t="s">
        <v>3108</v>
      </c>
      <c r="CH2007" t="s">
        <v>3108</v>
      </c>
    </row>
    <row r="2008" spans="1:86" x14ac:dyDescent="0.2">
      <c r="A2008" t="s">
        <v>6200</v>
      </c>
      <c r="B2008" t="s">
        <v>6200</v>
      </c>
      <c r="C2008">
        <v>55131</v>
      </c>
      <c r="D2008">
        <v>2131</v>
      </c>
      <c r="E2008" t="s">
        <v>6201</v>
      </c>
      <c r="F2008" t="s">
        <v>3249</v>
      </c>
      <c r="G2008" t="s">
        <v>3249</v>
      </c>
      <c r="H2008" t="s">
        <v>3250</v>
      </c>
      <c r="I2008" t="s">
        <v>3250</v>
      </c>
      <c r="J2008" t="s">
        <v>3250</v>
      </c>
      <c r="K2008" t="s">
        <v>3250</v>
      </c>
      <c r="L2008">
        <v>1200</v>
      </c>
      <c r="M2008" t="s">
        <v>2368</v>
      </c>
      <c r="N2008">
        <v>1204</v>
      </c>
      <c r="O2008" t="s">
        <v>1574</v>
      </c>
      <c r="P2008" t="s">
        <v>3108</v>
      </c>
      <c r="Q2008" t="s">
        <v>3249</v>
      </c>
      <c r="R2008" t="s">
        <v>3249</v>
      </c>
      <c r="S2008" t="s">
        <v>472</v>
      </c>
      <c r="T2008" t="s">
        <v>3251</v>
      </c>
      <c r="U2008">
        <v>240</v>
      </c>
      <c r="V2008" t="s">
        <v>4251</v>
      </c>
      <c r="W2008">
        <v>240</v>
      </c>
      <c r="X2008" t="s">
        <v>1323</v>
      </c>
      <c r="Y2008" t="s">
        <v>3250</v>
      </c>
      <c r="Z2008" t="s">
        <v>3250</v>
      </c>
      <c r="AA2008" t="s">
        <v>3108</v>
      </c>
      <c r="AB2008" t="s">
        <v>3108</v>
      </c>
      <c r="AC2008" t="s">
        <v>3250</v>
      </c>
      <c r="AD2008" t="s">
        <v>3250</v>
      </c>
      <c r="AE2008" t="s">
        <v>3250</v>
      </c>
      <c r="AF2008" t="s">
        <v>3250</v>
      </c>
      <c r="AG2008">
        <v>1550</v>
      </c>
      <c r="AH2008" t="s">
        <v>2470</v>
      </c>
      <c r="AI2008">
        <v>1550</v>
      </c>
      <c r="AJ2008" t="s">
        <v>2470</v>
      </c>
      <c r="AL2008">
        <v>241</v>
      </c>
      <c r="AM2008" t="s">
        <v>1455</v>
      </c>
      <c r="AN2008">
        <v>241</v>
      </c>
      <c r="AO2008" t="s">
        <v>1455</v>
      </c>
      <c r="AS2008" t="s">
        <v>3250</v>
      </c>
      <c r="AT2008" t="s">
        <v>3250</v>
      </c>
      <c r="AU2008" t="s">
        <v>3250</v>
      </c>
      <c r="AV2008" t="s">
        <v>3250</v>
      </c>
      <c r="AW2008" t="s">
        <v>3250</v>
      </c>
      <c r="AX2008" t="s">
        <v>3250</v>
      </c>
      <c r="AY2008" t="s">
        <v>3250</v>
      </c>
      <c r="AZ2008" t="s">
        <v>3250</v>
      </c>
      <c r="BA2008" t="s">
        <v>3250</v>
      </c>
      <c r="BB2008" t="s">
        <v>3250</v>
      </c>
      <c r="BC2008" t="s">
        <v>3250</v>
      </c>
      <c r="BE2008" t="s">
        <v>3250</v>
      </c>
      <c r="BF2008" t="s">
        <v>3250</v>
      </c>
      <c r="BG2008" t="s">
        <v>3250</v>
      </c>
      <c r="BH2008" t="s">
        <v>3250</v>
      </c>
      <c r="BI2008" t="s">
        <v>3250</v>
      </c>
      <c r="BK2008" t="s">
        <v>3250</v>
      </c>
      <c r="BL2008" t="s">
        <v>3250</v>
      </c>
      <c r="BM2008" t="s">
        <v>3250</v>
      </c>
      <c r="BN2008" t="s">
        <v>3250</v>
      </c>
      <c r="BP2008">
        <v>1</v>
      </c>
      <c r="BQ2008">
        <v>11</v>
      </c>
      <c r="BR2008" t="s">
        <v>1574</v>
      </c>
      <c r="BS2008" t="s">
        <v>3252</v>
      </c>
      <c r="BV2008">
        <v>0</v>
      </c>
      <c r="BW2008">
        <v>0</v>
      </c>
      <c r="BX2008">
        <v>0</v>
      </c>
      <c r="BY2008">
        <v>0</v>
      </c>
      <c r="BZ2008">
        <v>0</v>
      </c>
      <c r="CA2008">
        <v>0</v>
      </c>
      <c r="CB2008">
        <v>0</v>
      </c>
      <c r="CC2008">
        <v>0</v>
      </c>
      <c r="CD2008">
        <v>0</v>
      </c>
      <c r="CE2008" t="s">
        <v>3108</v>
      </c>
      <c r="CF2008" t="s">
        <v>3108</v>
      </c>
      <c r="CG2008" t="s">
        <v>3108</v>
      </c>
      <c r="CH2008" t="s">
        <v>3108</v>
      </c>
    </row>
    <row r="2009" spans="1:86" x14ac:dyDescent="0.2">
      <c r="A2009" t="s">
        <v>6202</v>
      </c>
      <c r="B2009" t="s">
        <v>6202</v>
      </c>
      <c r="C2009">
        <v>55132</v>
      </c>
      <c r="D2009">
        <v>2132</v>
      </c>
      <c r="E2009" t="s">
        <v>6203</v>
      </c>
      <c r="F2009" t="s">
        <v>3249</v>
      </c>
      <c r="G2009" t="s">
        <v>3249</v>
      </c>
      <c r="H2009" t="s">
        <v>3250</v>
      </c>
      <c r="I2009" t="s">
        <v>3250</v>
      </c>
      <c r="J2009" t="s">
        <v>3250</v>
      </c>
      <c r="K2009" t="s">
        <v>3250</v>
      </c>
      <c r="L2009">
        <v>1200</v>
      </c>
      <c r="M2009" t="s">
        <v>2368</v>
      </c>
      <c r="N2009">
        <v>1204</v>
      </c>
      <c r="O2009" t="s">
        <v>1574</v>
      </c>
      <c r="P2009" t="s">
        <v>3108</v>
      </c>
      <c r="Q2009" t="s">
        <v>3249</v>
      </c>
      <c r="R2009" t="s">
        <v>3249</v>
      </c>
      <c r="S2009" t="s">
        <v>472</v>
      </c>
      <c r="T2009" t="s">
        <v>3251</v>
      </c>
      <c r="U2009">
        <v>240</v>
      </c>
      <c r="V2009" t="s">
        <v>4251</v>
      </c>
      <c r="W2009">
        <v>240</v>
      </c>
      <c r="X2009" t="s">
        <v>1323</v>
      </c>
      <c r="Y2009" t="s">
        <v>3250</v>
      </c>
      <c r="Z2009" t="s">
        <v>3250</v>
      </c>
      <c r="AA2009" t="s">
        <v>3108</v>
      </c>
      <c r="AB2009" t="s">
        <v>3108</v>
      </c>
      <c r="AC2009" t="s">
        <v>3250</v>
      </c>
      <c r="AD2009" t="s">
        <v>3250</v>
      </c>
      <c r="AE2009" t="s">
        <v>3250</v>
      </c>
      <c r="AF2009" t="s">
        <v>3250</v>
      </c>
      <c r="AG2009">
        <v>1510</v>
      </c>
      <c r="AH2009" t="s">
        <v>2334</v>
      </c>
      <c r="AI2009">
        <v>1510</v>
      </c>
      <c r="AJ2009" t="s">
        <v>2334</v>
      </c>
      <c r="AL2009">
        <v>241</v>
      </c>
      <c r="AM2009" t="s">
        <v>1455</v>
      </c>
      <c r="AN2009">
        <v>241</v>
      </c>
      <c r="AO2009" t="s">
        <v>1455</v>
      </c>
      <c r="AS2009" t="s">
        <v>3250</v>
      </c>
      <c r="AT2009" t="s">
        <v>3250</v>
      </c>
      <c r="AU2009" t="s">
        <v>3250</v>
      </c>
      <c r="AV2009" t="s">
        <v>3250</v>
      </c>
      <c r="AW2009" t="s">
        <v>3250</v>
      </c>
      <c r="AX2009" t="s">
        <v>3250</v>
      </c>
      <c r="AY2009" t="s">
        <v>3250</v>
      </c>
      <c r="AZ2009" t="s">
        <v>3250</v>
      </c>
      <c r="BA2009" t="s">
        <v>3250</v>
      </c>
      <c r="BB2009" t="s">
        <v>3250</v>
      </c>
      <c r="BC2009" t="s">
        <v>3250</v>
      </c>
      <c r="BE2009" t="s">
        <v>3250</v>
      </c>
      <c r="BF2009" t="s">
        <v>3250</v>
      </c>
      <c r="BG2009" t="s">
        <v>3250</v>
      </c>
      <c r="BH2009" t="s">
        <v>3250</v>
      </c>
      <c r="BI2009" t="s">
        <v>3250</v>
      </c>
      <c r="BK2009" t="s">
        <v>3250</v>
      </c>
      <c r="BL2009" t="s">
        <v>3250</v>
      </c>
      <c r="BM2009" t="s">
        <v>3250</v>
      </c>
      <c r="BN2009" t="s">
        <v>3250</v>
      </c>
      <c r="BP2009">
        <v>1</v>
      </c>
      <c r="BQ2009">
        <v>11</v>
      </c>
      <c r="BR2009" t="s">
        <v>1574</v>
      </c>
      <c r="BS2009" t="s">
        <v>3252</v>
      </c>
      <c r="BV2009">
        <v>0</v>
      </c>
      <c r="BW2009">
        <v>0</v>
      </c>
      <c r="BX2009">
        <v>0</v>
      </c>
      <c r="BY2009">
        <v>0</v>
      </c>
      <c r="BZ2009">
        <v>0</v>
      </c>
      <c r="CA2009">
        <v>0</v>
      </c>
      <c r="CB2009">
        <v>0</v>
      </c>
      <c r="CC2009">
        <v>0</v>
      </c>
      <c r="CD2009">
        <v>0</v>
      </c>
      <c r="CE2009" t="s">
        <v>3108</v>
      </c>
      <c r="CF2009" t="s">
        <v>3108</v>
      </c>
      <c r="CG2009" t="s">
        <v>3108</v>
      </c>
      <c r="CH2009" t="s">
        <v>3108</v>
      </c>
    </row>
    <row r="2010" spans="1:86" x14ac:dyDescent="0.2">
      <c r="A2010" t="s">
        <v>6204</v>
      </c>
      <c r="B2010" t="s">
        <v>6204</v>
      </c>
      <c r="C2010">
        <v>55133</v>
      </c>
      <c r="D2010">
        <v>2133</v>
      </c>
      <c r="E2010" t="s">
        <v>6205</v>
      </c>
      <c r="F2010" t="s">
        <v>3249</v>
      </c>
      <c r="G2010" t="s">
        <v>3249</v>
      </c>
      <c r="H2010" t="s">
        <v>3250</v>
      </c>
      <c r="I2010" t="s">
        <v>3250</v>
      </c>
      <c r="J2010" t="s">
        <v>3250</v>
      </c>
      <c r="K2010" t="s">
        <v>3250</v>
      </c>
      <c r="L2010">
        <v>1200</v>
      </c>
      <c r="M2010" t="s">
        <v>2368</v>
      </c>
      <c r="N2010">
        <v>1204</v>
      </c>
      <c r="O2010" t="s">
        <v>1574</v>
      </c>
      <c r="P2010" t="s">
        <v>3108</v>
      </c>
      <c r="Q2010" t="s">
        <v>3249</v>
      </c>
      <c r="R2010" t="s">
        <v>3249</v>
      </c>
      <c r="S2010" t="s">
        <v>472</v>
      </c>
      <c r="T2010" t="s">
        <v>3789</v>
      </c>
      <c r="U2010">
        <v>360</v>
      </c>
      <c r="V2010" t="s">
        <v>3790</v>
      </c>
      <c r="W2010">
        <v>360</v>
      </c>
      <c r="X2010" t="s">
        <v>601</v>
      </c>
      <c r="Y2010" t="s">
        <v>3250</v>
      </c>
      <c r="Z2010" t="s">
        <v>3250</v>
      </c>
      <c r="AA2010" t="s">
        <v>3108</v>
      </c>
      <c r="AB2010" t="s">
        <v>3108</v>
      </c>
      <c r="AC2010" t="s">
        <v>3250</v>
      </c>
      <c r="AD2010" t="s">
        <v>3250</v>
      </c>
      <c r="AE2010" t="s">
        <v>3250</v>
      </c>
      <c r="AF2010" t="s">
        <v>3250</v>
      </c>
      <c r="AG2010" t="s">
        <v>3250</v>
      </c>
      <c r="AH2010" t="s">
        <v>3250</v>
      </c>
      <c r="AI2010" t="s">
        <v>3250</v>
      </c>
      <c r="AJ2010" t="s">
        <v>3250</v>
      </c>
      <c r="AL2010">
        <v>361</v>
      </c>
      <c r="AM2010" t="s">
        <v>2523</v>
      </c>
      <c r="AN2010">
        <v>361</v>
      </c>
      <c r="AO2010" t="s">
        <v>2523</v>
      </c>
      <c r="AS2010" t="s">
        <v>3250</v>
      </c>
      <c r="AT2010" t="s">
        <v>3250</v>
      </c>
      <c r="AU2010" t="s">
        <v>3250</v>
      </c>
      <c r="AV2010" t="s">
        <v>3250</v>
      </c>
      <c r="AW2010" t="s">
        <v>3250</v>
      </c>
      <c r="AX2010" t="s">
        <v>3250</v>
      </c>
      <c r="AY2010" t="s">
        <v>3250</v>
      </c>
      <c r="AZ2010" t="s">
        <v>3250</v>
      </c>
      <c r="BA2010" t="s">
        <v>3250</v>
      </c>
      <c r="BB2010" t="s">
        <v>3250</v>
      </c>
      <c r="BC2010" t="s">
        <v>3250</v>
      </c>
      <c r="BE2010" t="s">
        <v>3250</v>
      </c>
      <c r="BF2010" t="s">
        <v>3250</v>
      </c>
      <c r="BG2010" t="s">
        <v>3250</v>
      </c>
      <c r="BH2010" t="s">
        <v>3250</v>
      </c>
      <c r="BI2010" t="s">
        <v>3250</v>
      </c>
      <c r="BK2010" t="s">
        <v>3250</v>
      </c>
      <c r="BL2010" t="s">
        <v>3250</v>
      </c>
      <c r="BM2010" t="s">
        <v>3250</v>
      </c>
      <c r="BN2010" t="s">
        <v>3250</v>
      </c>
      <c r="BP2010">
        <v>1</v>
      </c>
      <c r="BQ2010">
        <v>11</v>
      </c>
      <c r="BR2010" t="s">
        <v>1574</v>
      </c>
      <c r="BS2010" t="s">
        <v>3252</v>
      </c>
      <c r="BV2010">
        <v>0</v>
      </c>
      <c r="BW2010">
        <v>0</v>
      </c>
      <c r="BX2010">
        <v>0</v>
      </c>
      <c r="BY2010">
        <v>0</v>
      </c>
      <c r="BZ2010">
        <v>0</v>
      </c>
      <c r="CA2010">
        <v>0</v>
      </c>
      <c r="CB2010">
        <v>0</v>
      </c>
      <c r="CC2010">
        <v>0</v>
      </c>
      <c r="CD2010">
        <v>0</v>
      </c>
      <c r="CE2010" t="s">
        <v>3108</v>
      </c>
      <c r="CF2010" t="s">
        <v>3108</v>
      </c>
      <c r="CG2010" t="s">
        <v>3108</v>
      </c>
      <c r="CH2010" t="s">
        <v>3108</v>
      </c>
    </row>
    <row r="2011" spans="1:86" x14ac:dyDescent="0.2">
      <c r="A2011" t="s">
        <v>6206</v>
      </c>
      <c r="B2011" t="s">
        <v>6206</v>
      </c>
      <c r="C2011">
        <v>55134</v>
      </c>
      <c r="D2011">
        <v>2134</v>
      </c>
      <c r="E2011" t="s">
        <v>6207</v>
      </c>
      <c r="F2011" t="s">
        <v>3249</v>
      </c>
      <c r="G2011" t="s">
        <v>3249</v>
      </c>
      <c r="H2011" t="s">
        <v>3250</v>
      </c>
      <c r="I2011" t="s">
        <v>3250</v>
      </c>
      <c r="J2011" t="s">
        <v>3250</v>
      </c>
      <c r="K2011" t="s">
        <v>3250</v>
      </c>
      <c r="L2011">
        <v>1200</v>
      </c>
      <c r="M2011" t="s">
        <v>2368</v>
      </c>
      <c r="N2011">
        <v>1204</v>
      </c>
      <c r="O2011" t="s">
        <v>1574</v>
      </c>
      <c r="P2011" t="s">
        <v>3108</v>
      </c>
      <c r="Q2011" t="s">
        <v>3249</v>
      </c>
      <c r="R2011" t="s">
        <v>3249</v>
      </c>
      <c r="S2011" t="s">
        <v>472</v>
      </c>
      <c r="T2011" t="s">
        <v>3789</v>
      </c>
      <c r="U2011">
        <v>360</v>
      </c>
      <c r="V2011" t="s">
        <v>3790</v>
      </c>
      <c r="W2011">
        <v>360</v>
      </c>
      <c r="X2011" t="s">
        <v>601</v>
      </c>
      <c r="Y2011" t="s">
        <v>3250</v>
      </c>
      <c r="Z2011" t="s">
        <v>3250</v>
      </c>
      <c r="AA2011" t="s">
        <v>3108</v>
      </c>
      <c r="AB2011" t="s">
        <v>3108</v>
      </c>
      <c r="AC2011" t="s">
        <v>3250</v>
      </c>
      <c r="AD2011" t="s">
        <v>3250</v>
      </c>
      <c r="AE2011" t="s">
        <v>3250</v>
      </c>
      <c r="AF2011" t="s">
        <v>3250</v>
      </c>
      <c r="AG2011" t="s">
        <v>3250</v>
      </c>
      <c r="AH2011" t="s">
        <v>3250</v>
      </c>
      <c r="AI2011" t="s">
        <v>3250</v>
      </c>
      <c r="AJ2011" t="s">
        <v>3250</v>
      </c>
      <c r="AL2011">
        <v>364</v>
      </c>
      <c r="AM2011" t="s">
        <v>1321</v>
      </c>
      <c r="AN2011">
        <v>364</v>
      </c>
      <c r="AO2011" t="s">
        <v>1321</v>
      </c>
      <c r="AS2011" t="s">
        <v>3250</v>
      </c>
      <c r="AT2011" t="s">
        <v>3250</v>
      </c>
      <c r="AU2011" t="s">
        <v>3250</v>
      </c>
      <c r="AV2011" t="s">
        <v>3250</v>
      </c>
      <c r="AW2011" t="s">
        <v>3250</v>
      </c>
      <c r="AX2011" t="s">
        <v>3250</v>
      </c>
      <c r="AY2011" t="s">
        <v>3250</v>
      </c>
      <c r="AZ2011" t="s">
        <v>3250</v>
      </c>
      <c r="BA2011" t="s">
        <v>3250</v>
      </c>
      <c r="BB2011" t="s">
        <v>3250</v>
      </c>
      <c r="BC2011" t="s">
        <v>3250</v>
      </c>
      <c r="BE2011" t="s">
        <v>3250</v>
      </c>
      <c r="BF2011" t="s">
        <v>3250</v>
      </c>
      <c r="BG2011" t="s">
        <v>3250</v>
      </c>
      <c r="BH2011" t="s">
        <v>3250</v>
      </c>
      <c r="BI2011" t="s">
        <v>3250</v>
      </c>
      <c r="BK2011" t="s">
        <v>3250</v>
      </c>
      <c r="BL2011" t="s">
        <v>3250</v>
      </c>
      <c r="BM2011" t="s">
        <v>3250</v>
      </c>
      <c r="BN2011" t="s">
        <v>3250</v>
      </c>
      <c r="BP2011">
        <v>1</v>
      </c>
      <c r="BQ2011">
        <v>11</v>
      </c>
      <c r="BR2011" t="s">
        <v>1574</v>
      </c>
      <c r="BS2011" t="s">
        <v>3252</v>
      </c>
      <c r="BV2011">
        <v>0</v>
      </c>
      <c r="BW2011">
        <v>0</v>
      </c>
      <c r="BX2011">
        <v>0</v>
      </c>
      <c r="BY2011">
        <v>0</v>
      </c>
      <c r="BZ2011">
        <v>-1029409</v>
      </c>
      <c r="CA2011">
        <v>-1029409</v>
      </c>
      <c r="CB2011">
        <v>-1029409</v>
      </c>
      <c r="CC2011">
        <v>-1029409</v>
      </c>
      <c r="CD2011">
        <v>0</v>
      </c>
      <c r="CE2011" t="s">
        <v>3108</v>
      </c>
      <c r="CF2011" t="s">
        <v>3108</v>
      </c>
      <c r="CG2011" t="s">
        <v>3108</v>
      </c>
      <c r="CH2011" t="s">
        <v>3108</v>
      </c>
    </row>
    <row r="2012" spans="1:86" x14ac:dyDescent="0.2">
      <c r="A2012" t="s">
        <v>6208</v>
      </c>
      <c r="B2012" t="s">
        <v>6208</v>
      </c>
      <c r="C2012">
        <v>55135</v>
      </c>
      <c r="D2012">
        <v>2135</v>
      </c>
      <c r="E2012" t="s">
        <v>6209</v>
      </c>
      <c r="F2012" t="s">
        <v>3249</v>
      </c>
      <c r="G2012" t="s">
        <v>3249</v>
      </c>
      <c r="H2012" t="s">
        <v>3250</v>
      </c>
      <c r="I2012" t="s">
        <v>3250</v>
      </c>
      <c r="J2012" t="s">
        <v>3250</v>
      </c>
      <c r="K2012" t="s">
        <v>3250</v>
      </c>
      <c r="L2012">
        <v>1200</v>
      </c>
      <c r="M2012" t="s">
        <v>2368</v>
      </c>
      <c r="N2012">
        <v>1204</v>
      </c>
      <c r="O2012" t="s">
        <v>1574</v>
      </c>
      <c r="P2012" t="s">
        <v>3108</v>
      </c>
      <c r="Q2012" t="s">
        <v>3249</v>
      </c>
      <c r="R2012" t="s">
        <v>3249</v>
      </c>
      <c r="S2012" t="s">
        <v>472</v>
      </c>
      <c r="T2012" t="s">
        <v>3789</v>
      </c>
      <c r="U2012">
        <v>360</v>
      </c>
      <c r="V2012" t="s">
        <v>3790</v>
      </c>
      <c r="W2012">
        <v>360</v>
      </c>
      <c r="X2012" t="s">
        <v>601</v>
      </c>
      <c r="Y2012" t="s">
        <v>3250</v>
      </c>
      <c r="Z2012" t="s">
        <v>3250</v>
      </c>
      <c r="AA2012" t="s">
        <v>3108</v>
      </c>
      <c r="AB2012" t="s">
        <v>3108</v>
      </c>
      <c r="AC2012" t="s">
        <v>3250</v>
      </c>
      <c r="AD2012" t="s">
        <v>3250</v>
      </c>
      <c r="AE2012" t="s">
        <v>3250</v>
      </c>
      <c r="AF2012" t="s">
        <v>3250</v>
      </c>
      <c r="AG2012" t="s">
        <v>3250</v>
      </c>
      <c r="AH2012" t="s">
        <v>3250</v>
      </c>
      <c r="AI2012" t="s">
        <v>3250</v>
      </c>
      <c r="AJ2012" t="s">
        <v>3250</v>
      </c>
      <c r="AL2012">
        <v>361</v>
      </c>
      <c r="AM2012" t="s">
        <v>2523</v>
      </c>
      <c r="AN2012">
        <v>361</v>
      </c>
      <c r="AO2012" t="s">
        <v>2523</v>
      </c>
      <c r="AS2012" t="s">
        <v>3250</v>
      </c>
      <c r="AT2012" t="s">
        <v>3250</v>
      </c>
      <c r="AU2012" t="s">
        <v>3250</v>
      </c>
      <c r="AV2012" t="s">
        <v>3250</v>
      </c>
      <c r="AW2012" t="s">
        <v>3250</v>
      </c>
      <c r="AX2012" t="s">
        <v>3250</v>
      </c>
      <c r="AY2012" t="s">
        <v>3250</v>
      </c>
      <c r="AZ2012" t="s">
        <v>3250</v>
      </c>
      <c r="BA2012" t="s">
        <v>3250</v>
      </c>
      <c r="BB2012" t="s">
        <v>3250</v>
      </c>
      <c r="BC2012" t="s">
        <v>3250</v>
      </c>
      <c r="BE2012" t="s">
        <v>3250</v>
      </c>
      <c r="BF2012" t="s">
        <v>3250</v>
      </c>
      <c r="BG2012" t="s">
        <v>3250</v>
      </c>
      <c r="BH2012" t="s">
        <v>3250</v>
      </c>
      <c r="BI2012" t="s">
        <v>3250</v>
      </c>
      <c r="BK2012" t="s">
        <v>3250</v>
      </c>
      <c r="BL2012" t="s">
        <v>3250</v>
      </c>
      <c r="BM2012" t="s">
        <v>3250</v>
      </c>
      <c r="BN2012" t="s">
        <v>3250</v>
      </c>
      <c r="BP2012">
        <v>1</v>
      </c>
      <c r="BQ2012">
        <v>11</v>
      </c>
      <c r="BR2012" t="s">
        <v>1574</v>
      </c>
      <c r="BS2012" t="s">
        <v>3252</v>
      </c>
      <c r="BV2012">
        <v>0</v>
      </c>
      <c r="BW2012">
        <v>0</v>
      </c>
      <c r="BX2012">
        <v>0</v>
      </c>
      <c r="BY2012">
        <v>0</v>
      </c>
      <c r="BZ2012">
        <v>0</v>
      </c>
      <c r="CA2012">
        <v>0</v>
      </c>
      <c r="CB2012">
        <v>0</v>
      </c>
      <c r="CC2012">
        <v>0</v>
      </c>
      <c r="CD2012">
        <v>0</v>
      </c>
      <c r="CE2012" t="s">
        <v>3108</v>
      </c>
      <c r="CF2012" t="s">
        <v>3108</v>
      </c>
      <c r="CG2012" t="s">
        <v>3108</v>
      </c>
      <c r="CH2012" t="s">
        <v>3108</v>
      </c>
    </row>
    <row r="2013" spans="1:86" x14ac:dyDescent="0.2">
      <c r="A2013" t="s">
        <v>6210</v>
      </c>
      <c r="B2013" t="s">
        <v>6210</v>
      </c>
      <c r="C2013">
        <v>55136</v>
      </c>
      <c r="D2013">
        <v>2136</v>
      </c>
      <c r="E2013" t="s">
        <v>6211</v>
      </c>
      <c r="F2013" t="s">
        <v>3249</v>
      </c>
      <c r="G2013" t="s">
        <v>3249</v>
      </c>
      <c r="H2013" t="s">
        <v>3250</v>
      </c>
      <c r="I2013" t="s">
        <v>3250</v>
      </c>
      <c r="J2013" t="s">
        <v>3250</v>
      </c>
      <c r="K2013" t="s">
        <v>3250</v>
      </c>
      <c r="L2013">
        <v>1200</v>
      </c>
      <c r="M2013" t="s">
        <v>2368</v>
      </c>
      <c r="N2013">
        <v>1204</v>
      </c>
      <c r="O2013" t="s">
        <v>1574</v>
      </c>
      <c r="P2013" t="s">
        <v>3108</v>
      </c>
      <c r="Q2013" t="s">
        <v>3249</v>
      </c>
      <c r="R2013" t="s">
        <v>3249</v>
      </c>
      <c r="S2013" t="s">
        <v>472</v>
      </c>
      <c r="T2013" t="s">
        <v>3789</v>
      </c>
      <c r="U2013">
        <v>360</v>
      </c>
      <c r="V2013" t="s">
        <v>3790</v>
      </c>
      <c r="W2013">
        <v>360</v>
      </c>
      <c r="X2013" t="s">
        <v>601</v>
      </c>
      <c r="Y2013" t="s">
        <v>3250</v>
      </c>
      <c r="Z2013" t="s">
        <v>3250</v>
      </c>
      <c r="AA2013" t="s">
        <v>3108</v>
      </c>
      <c r="AB2013" t="s">
        <v>3108</v>
      </c>
      <c r="AC2013" t="s">
        <v>3250</v>
      </c>
      <c r="AD2013" t="s">
        <v>3250</v>
      </c>
      <c r="AE2013" t="s">
        <v>3250</v>
      </c>
      <c r="AF2013" t="s">
        <v>3250</v>
      </c>
      <c r="AG2013" t="s">
        <v>3250</v>
      </c>
      <c r="AH2013" t="s">
        <v>3250</v>
      </c>
      <c r="AI2013" t="s">
        <v>3250</v>
      </c>
      <c r="AJ2013" t="s">
        <v>3250</v>
      </c>
      <c r="AL2013">
        <v>361</v>
      </c>
      <c r="AM2013" t="s">
        <v>2523</v>
      </c>
      <c r="AN2013">
        <v>361</v>
      </c>
      <c r="AO2013" t="s">
        <v>2523</v>
      </c>
      <c r="AS2013" t="s">
        <v>3250</v>
      </c>
      <c r="AT2013" t="s">
        <v>3250</v>
      </c>
      <c r="AU2013" t="s">
        <v>3250</v>
      </c>
      <c r="AV2013" t="s">
        <v>3250</v>
      </c>
      <c r="AW2013" t="s">
        <v>3250</v>
      </c>
      <c r="AX2013" t="s">
        <v>3250</v>
      </c>
      <c r="AY2013" t="s">
        <v>3250</v>
      </c>
      <c r="AZ2013" t="s">
        <v>3250</v>
      </c>
      <c r="BA2013" t="s">
        <v>3250</v>
      </c>
      <c r="BB2013" t="s">
        <v>3250</v>
      </c>
      <c r="BC2013" t="s">
        <v>3250</v>
      </c>
      <c r="BE2013" t="s">
        <v>3250</v>
      </c>
      <c r="BF2013" t="s">
        <v>3250</v>
      </c>
      <c r="BG2013" t="s">
        <v>3250</v>
      </c>
      <c r="BH2013" t="s">
        <v>3250</v>
      </c>
      <c r="BI2013" t="s">
        <v>3250</v>
      </c>
      <c r="BK2013" t="s">
        <v>3250</v>
      </c>
      <c r="BL2013" t="s">
        <v>3250</v>
      </c>
      <c r="BM2013" t="s">
        <v>3250</v>
      </c>
      <c r="BN2013" t="s">
        <v>3250</v>
      </c>
      <c r="BP2013">
        <v>1</v>
      </c>
      <c r="BQ2013">
        <v>11</v>
      </c>
      <c r="BR2013" t="s">
        <v>1574</v>
      </c>
      <c r="BS2013" t="s">
        <v>3252</v>
      </c>
      <c r="BV2013">
        <v>0</v>
      </c>
      <c r="BW2013">
        <v>0</v>
      </c>
      <c r="BX2013">
        <v>0</v>
      </c>
      <c r="BY2013">
        <v>0</v>
      </c>
      <c r="BZ2013">
        <v>0</v>
      </c>
      <c r="CA2013">
        <v>0</v>
      </c>
      <c r="CB2013">
        <v>0</v>
      </c>
      <c r="CC2013">
        <v>0</v>
      </c>
      <c r="CD2013">
        <v>0</v>
      </c>
      <c r="CE2013" t="s">
        <v>3108</v>
      </c>
      <c r="CF2013" t="s">
        <v>3108</v>
      </c>
      <c r="CG2013" t="s">
        <v>3108</v>
      </c>
      <c r="CH2013" t="s">
        <v>3108</v>
      </c>
    </row>
    <row r="2014" spans="1:86" x14ac:dyDescent="0.2">
      <c r="A2014" t="s">
        <v>6212</v>
      </c>
      <c r="B2014" t="s">
        <v>6212</v>
      </c>
      <c r="C2014">
        <v>55137</v>
      </c>
      <c r="D2014">
        <v>2137</v>
      </c>
      <c r="E2014" t="s">
        <v>6213</v>
      </c>
      <c r="F2014" t="s">
        <v>3249</v>
      </c>
      <c r="G2014" t="s">
        <v>3249</v>
      </c>
      <c r="H2014" t="s">
        <v>3250</v>
      </c>
      <c r="I2014" t="s">
        <v>3250</v>
      </c>
      <c r="J2014" t="s">
        <v>3250</v>
      </c>
      <c r="K2014" t="s">
        <v>3250</v>
      </c>
      <c r="L2014">
        <v>1200</v>
      </c>
      <c r="M2014" t="s">
        <v>2368</v>
      </c>
      <c r="N2014">
        <v>1204</v>
      </c>
      <c r="O2014" t="s">
        <v>1574</v>
      </c>
      <c r="P2014" t="s">
        <v>3108</v>
      </c>
      <c r="Q2014" t="s">
        <v>3249</v>
      </c>
      <c r="R2014" t="s">
        <v>3249</v>
      </c>
      <c r="S2014" t="s">
        <v>472</v>
      </c>
      <c r="T2014" t="s">
        <v>3789</v>
      </c>
      <c r="U2014">
        <v>330</v>
      </c>
      <c r="V2014" t="s">
        <v>4713</v>
      </c>
      <c r="W2014">
        <v>330</v>
      </c>
      <c r="X2014" t="s">
        <v>1127</v>
      </c>
      <c r="Y2014" t="s">
        <v>3250</v>
      </c>
      <c r="Z2014" t="s">
        <v>3250</v>
      </c>
      <c r="AA2014" t="s">
        <v>3108</v>
      </c>
      <c r="AB2014" t="s">
        <v>3108</v>
      </c>
      <c r="AC2014" t="s">
        <v>3250</v>
      </c>
      <c r="AD2014" t="s">
        <v>3250</v>
      </c>
      <c r="AE2014" t="s">
        <v>3250</v>
      </c>
      <c r="AF2014" t="s">
        <v>3250</v>
      </c>
      <c r="AG2014" t="s">
        <v>3250</v>
      </c>
      <c r="AH2014" t="s">
        <v>3250</v>
      </c>
      <c r="AI2014" t="s">
        <v>3250</v>
      </c>
      <c r="AJ2014" t="s">
        <v>3250</v>
      </c>
      <c r="AL2014" t="s">
        <v>3250</v>
      </c>
      <c r="AM2014" t="s">
        <v>3250</v>
      </c>
      <c r="AN2014" t="s">
        <v>3250</v>
      </c>
      <c r="AO2014" t="s">
        <v>3250</v>
      </c>
      <c r="AS2014" t="s">
        <v>3250</v>
      </c>
      <c r="AT2014" t="s">
        <v>3250</v>
      </c>
      <c r="AU2014" t="s">
        <v>3250</v>
      </c>
      <c r="AV2014" t="s">
        <v>3250</v>
      </c>
      <c r="AW2014" t="s">
        <v>3250</v>
      </c>
      <c r="AX2014" t="s">
        <v>3250</v>
      </c>
      <c r="AY2014" t="s">
        <v>3250</v>
      </c>
      <c r="AZ2014" t="s">
        <v>3250</v>
      </c>
      <c r="BA2014" t="s">
        <v>3250</v>
      </c>
      <c r="BB2014" t="s">
        <v>3250</v>
      </c>
      <c r="BC2014" t="s">
        <v>3250</v>
      </c>
      <c r="BE2014" t="s">
        <v>3250</v>
      </c>
      <c r="BF2014" t="s">
        <v>3250</v>
      </c>
      <c r="BG2014" t="s">
        <v>3250</v>
      </c>
      <c r="BH2014" t="s">
        <v>3250</v>
      </c>
      <c r="BI2014" t="s">
        <v>3250</v>
      </c>
      <c r="BK2014" t="s">
        <v>3250</v>
      </c>
      <c r="BL2014" t="s">
        <v>3250</v>
      </c>
      <c r="BM2014" t="s">
        <v>3250</v>
      </c>
      <c r="BN2014" t="s">
        <v>3250</v>
      </c>
      <c r="BP2014">
        <v>1</v>
      </c>
      <c r="BQ2014">
        <v>11</v>
      </c>
      <c r="BR2014" t="s">
        <v>1574</v>
      </c>
      <c r="BS2014" t="s">
        <v>3252</v>
      </c>
      <c r="BV2014">
        <v>0</v>
      </c>
      <c r="BW2014">
        <v>0</v>
      </c>
      <c r="BX2014">
        <v>0</v>
      </c>
      <c r="BY2014">
        <v>0</v>
      </c>
      <c r="BZ2014">
        <v>0</v>
      </c>
      <c r="CA2014">
        <v>0</v>
      </c>
      <c r="CB2014">
        <v>0</v>
      </c>
      <c r="CC2014">
        <v>0</v>
      </c>
      <c r="CD2014">
        <v>0</v>
      </c>
      <c r="CE2014" t="s">
        <v>3108</v>
      </c>
      <c r="CF2014" t="s">
        <v>3108</v>
      </c>
      <c r="CG2014" t="s">
        <v>3108</v>
      </c>
      <c r="CH2014" t="s">
        <v>3108</v>
      </c>
    </row>
    <row r="2015" spans="1:86" x14ac:dyDescent="0.2">
      <c r="A2015" t="s">
        <v>6214</v>
      </c>
      <c r="B2015" t="s">
        <v>6214</v>
      </c>
      <c r="C2015">
        <v>55138</v>
      </c>
      <c r="D2015">
        <v>2138</v>
      </c>
      <c r="E2015" t="s">
        <v>6215</v>
      </c>
      <c r="F2015" t="s">
        <v>3249</v>
      </c>
      <c r="G2015" t="s">
        <v>3249</v>
      </c>
      <c r="H2015" t="s">
        <v>3250</v>
      </c>
      <c r="I2015" t="s">
        <v>3250</v>
      </c>
      <c r="J2015" t="s">
        <v>3250</v>
      </c>
      <c r="K2015" t="s">
        <v>3250</v>
      </c>
      <c r="L2015">
        <v>1200</v>
      </c>
      <c r="M2015" t="s">
        <v>2368</v>
      </c>
      <c r="N2015">
        <v>1204</v>
      </c>
      <c r="O2015" t="s">
        <v>1574</v>
      </c>
      <c r="P2015" t="s">
        <v>3108</v>
      </c>
      <c r="Q2015" t="s">
        <v>3249</v>
      </c>
      <c r="R2015" t="s">
        <v>3249</v>
      </c>
      <c r="S2015" t="s">
        <v>472</v>
      </c>
      <c r="T2015" t="s">
        <v>3789</v>
      </c>
      <c r="U2015">
        <v>350</v>
      </c>
      <c r="V2015" t="s">
        <v>5104</v>
      </c>
      <c r="W2015">
        <v>350</v>
      </c>
      <c r="X2015" t="s">
        <v>1320</v>
      </c>
      <c r="Y2015" t="s">
        <v>3250</v>
      </c>
      <c r="Z2015" t="s">
        <v>3250</v>
      </c>
      <c r="AA2015" t="s">
        <v>3108</v>
      </c>
      <c r="AB2015" t="s">
        <v>3108</v>
      </c>
      <c r="AC2015" t="s">
        <v>3250</v>
      </c>
      <c r="AD2015" t="s">
        <v>3250</v>
      </c>
      <c r="AE2015" t="s">
        <v>3250</v>
      </c>
      <c r="AF2015" t="s">
        <v>3250</v>
      </c>
      <c r="AG2015" t="s">
        <v>3250</v>
      </c>
      <c r="AH2015" t="s">
        <v>3250</v>
      </c>
      <c r="AI2015" t="s">
        <v>3250</v>
      </c>
      <c r="AJ2015" t="s">
        <v>3250</v>
      </c>
      <c r="AL2015" t="s">
        <v>3250</v>
      </c>
      <c r="AM2015" t="s">
        <v>3250</v>
      </c>
      <c r="AN2015" t="s">
        <v>3250</v>
      </c>
      <c r="AO2015" t="s">
        <v>3250</v>
      </c>
      <c r="AS2015" t="s">
        <v>3250</v>
      </c>
      <c r="AT2015" t="s">
        <v>3250</v>
      </c>
      <c r="AU2015" t="s">
        <v>3250</v>
      </c>
      <c r="AV2015" t="s">
        <v>3250</v>
      </c>
      <c r="AW2015" t="s">
        <v>3250</v>
      </c>
      <c r="AX2015" t="s">
        <v>3250</v>
      </c>
      <c r="AY2015" t="s">
        <v>3250</v>
      </c>
      <c r="AZ2015" t="s">
        <v>3250</v>
      </c>
      <c r="BA2015" t="s">
        <v>3250</v>
      </c>
      <c r="BB2015" t="s">
        <v>3250</v>
      </c>
      <c r="BC2015" t="s">
        <v>3250</v>
      </c>
      <c r="BE2015" t="s">
        <v>3250</v>
      </c>
      <c r="BF2015" t="s">
        <v>3250</v>
      </c>
      <c r="BG2015" t="s">
        <v>3250</v>
      </c>
      <c r="BH2015" t="s">
        <v>3250</v>
      </c>
      <c r="BI2015" t="s">
        <v>3250</v>
      </c>
      <c r="BK2015" t="s">
        <v>3250</v>
      </c>
      <c r="BL2015" t="s">
        <v>3250</v>
      </c>
      <c r="BM2015" t="s">
        <v>3250</v>
      </c>
      <c r="BN2015" t="s">
        <v>3250</v>
      </c>
      <c r="BP2015">
        <v>1</v>
      </c>
      <c r="BQ2015">
        <v>11</v>
      </c>
      <c r="BR2015" t="s">
        <v>1574</v>
      </c>
      <c r="BS2015" t="s">
        <v>3252</v>
      </c>
      <c r="BV2015">
        <v>0</v>
      </c>
      <c r="BW2015">
        <v>0</v>
      </c>
      <c r="BX2015">
        <v>0</v>
      </c>
      <c r="BY2015">
        <v>0</v>
      </c>
      <c r="BZ2015">
        <v>0</v>
      </c>
      <c r="CA2015">
        <v>0</v>
      </c>
      <c r="CB2015">
        <v>0</v>
      </c>
      <c r="CC2015">
        <v>0</v>
      </c>
      <c r="CD2015">
        <v>0</v>
      </c>
      <c r="CE2015" t="s">
        <v>3100</v>
      </c>
      <c r="CF2015" t="s">
        <v>3108</v>
      </c>
      <c r="CG2015" t="s">
        <v>3108</v>
      </c>
      <c r="CH2015" t="s">
        <v>3108</v>
      </c>
    </row>
    <row r="2016" spans="1:86" x14ac:dyDescent="0.2">
      <c r="A2016" t="s">
        <v>6216</v>
      </c>
      <c r="B2016" t="s">
        <v>6216</v>
      </c>
      <c r="C2016">
        <v>55139</v>
      </c>
      <c r="D2016">
        <v>2139</v>
      </c>
      <c r="E2016" t="s">
        <v>6217</v>
      </c>
      <c r="F2016" t="s">
        <v>3249</v>
      </c>
      <c r="G2016" t="s">
        <v>3249</v>
      </c>
      <c r="H2016" t="s">
        <v>3250</v>
      </c>
      <c r="I2016" t="s">
        <v>3250</v>
      </c>
      <c r="J2016" t="s">
        <v>3250</v>
      </c>
      <c r="K2016" t="s">
        <v>3250</v>
      </c>
      <c r="L2016">
        <v>1200</v>
      </c>
      <c r="M2016" t="s">
        <v>2368</v>
      </c>
      <c r="N2016">
        <v>1204</v>
      </c>
      <c r="O2016" t="s">
        <v>1574</v>
      </c>
      <c r="P2016" t="s">
        <v>3108</v>
      </c>
      <c r="Q2016" t="s">
        <v>3249</v>
      </c>
      <c r="R2016" t="s">
        <v>3249</v>
      </c>
      <c r="S2016" t="s">
        <v>472</v>
      </c>
      <c r="T2016" t="s">
        <v>3789</v>
      </c>
      <c r="U2016">
        <v>360</v>
      </c>
      <c r="V2016" t="s">
        <v>3790</v>
      </c>
      <c r="W2016">
        <v>360</v>
      </c>
      <c r="X2016" t="s">
        <v>601</v>
      </c>
      <c r="Y2016" t="s">
        <v>3250</v>
      </c>
      <c r="Z2016" t="s">
        <v>3250</v>
      </c>
      <c r="AA2016" t="s">
        <v>3108</v>
      </c>
      <c r="AB2016" t="s">
        <v>3108</v>
      </c>
      <c r="AC2016" t="s">
        <v>3250</v>
      </c>
      <c r="AD2016" t="s">
        <v>3250</v>
      </c>
      <c r="AE2016" t="s">
        <v>3250</v>
      </c>
      <c r="AF2016" t="s">
        <v>3250</v>
      </c>
      <c r="AG2016" t="s">
        <v>3250</v>
      </c>
      <c r="AH2016" t="s">
        <v>3250</v>
      </c>
      <c r="AI2016" t="s">
        <v>3250</v>
      </c>
      <c r="AJ2016" t="s">
        <v>3250</v>
      </c>
      <c r="AL2016">
        <v>361</v>
      </c>
      <c r="AM2016" t="s">
        <v>2523</v>
      </c>
      <c r="AN2016">
        <v>361</v>
      </c>
      <c r="AO2016" t="s">
        <v>2523</v>
      </c>
      <c r="AS2016" t="s">
        <v>3250</v>
      </c>
      <c r="AT2016" t="s">
        <v>3250</v>
      </c>
      <c r="AU2016" t="s">
        <v>3250</v>
      </c>
      <c r="AV2016" t="s">
        <v>3250</v>
      </c>
      <c r="AW2016" t="s">
        <v>3250</v>
      </c>
      <c r="AX2016" t="s">
        <v>3250</v>
      </c>
      <c r="AY2016" t="s">
        <v>3250</v>
      </c>
      <c r="AZ2016" t="s">
        <v>3250</v>
      </c>
      <c r="BA2016" t="s">
        <v>3250</v>
      </c>
      <c r="BB2016" t="s">
        <v>3250</v>
      </c>
      <c r="BC2016" t="s">
        <v>3250</v>
      </c>
      <c r="BE2016" t="s">
        <v>3250</v>
      </c>
      <c r="BF2016" t="s">
        <v>3250</v>
      </c>
      <c r="BG2016" t="s">
        <v>3250</v>
      </c>
      <c r="BH2016" t="s">
        <v>3250</v>
      </c>
      <c r="BI2016" t="s">
        <v>3250</v>
      </c>
      <c r="BK2016" t="s">
        <v>3250</v>
      </c>
      <c r="BL2016" t="s">
        <v>3250</v>
      </c>
      <c r="BM2016" t="s">
        <v>3250</v>
      </c>
      <c r="BN2016" t="s">
        <v>3250</v>
      </c>
      <c r="BP2016">
        <v>1</v>
      </c>
      <c r="BQ2016">
        <v>11</v>
      </c>
      <c r="BR2016" t="s">
        <v>1574</v>
      </c>
      <c r="BS2016" t="s">
        <v>3252</v>
      </c>
      <c r="BV2016">
        <v>0</v>
      </c>
      <c r="BW2016">
        <v>0</v>
      </c>
      <c r="BX2016">
        <v>0</v>
      </c>
      <c r="BY2016">
        <v>0</v>
      </c>
      <c r="BZ2016">
        <v>0</v>
      </c>
      <c r="CA2016">
        <v>0</v>
      </c>
      <c r="CB2016">
        <v>0</v>
      </c>
      <c r="CC2016">
        <v>0</v>
      </c>
      <c r="CD2016">
        <v>0</v>
      </c>
      <c r="CE2016" t="s">
        <v>3108</v>
      </c>
      <c r="CF2016" t="s">
        <v>3108</v>
      </c>
      <c r="CG2016" t="s">
        <v>3108</v>
      </c>
      <c r="CH2016" t="s">
        <v>3108</v>
      </c>
    </row>
    <row r="2017" spans="1:86" x14ac:dyDescent="0.2">
      <c r="A2017" t="s">
        <v>6218</v>
      </c>
      <c r="B2017" t="s">
        <v>6218</v>
      </c>
      <c r="C2017">
        <v>55140</v>
      </c>
      <c r="D2017">
        <v>2140</v>
      </c>
      <c r="E2017" t="s">
        <v>6213</v>
      </c>
      <c r="F2017" t="s">
        <v>3249</v>
      </c>
      <c r="G2017" t="s">
        <v>3249</v>
      </c>
      <c r="H2017" t="s">
        <v>3250</v>
      </c>
      <c r="I2017" t="s">
        <v>3250</v>
      </c>
      <c r="J2017" t="s">
        <v>3250</v>
      </c>
      <c r="K2017" t="s">
        <v>3250</v>
      </c>
      <c r="L2017">
        <v>1200</v>
      </c>
      <c r="M2017" t="s">
        <v>2368</v>
      </c>
      <c r="N2017">
        <v>1204</v>
      </c>
      <c r="O2017" t="s">
        <v>1574</v>
      </c>
      <c r="P2017" t="s">
        <v>3108</v>
      </c>
      <c r="Q2017" t="s">
        <v>3249</v>
      </c>
      <c r="R2017" t="s">
        <v>3249</v>
      </c>
      <c r="S2017" t="s">
        <v>472</v>
      </c>
      <c r="T2017" t="s">
        <v>3789</v>
      </c>
      <c r="U2017">
        <v>330</v>
      </c>
      <c r="V2017" t="s">
        <v>4713</v>
      </c>
      <c r="W2017">
        <v>330</v>
      </c>
      <c r="X2017" t="s">
        <v>1127</v>
      </c>
      <c r="Y2017" t="s">
        <v>3250</v>
      </c>
      <c r="Z2017" t="s">
        <v>3250</v>
      </c>
      <c r="AA2017" t="s">
        <v>3108</v>
      </c>
      <c r="AB2017" t="s">
        <v>3108</v>
      </c>
      <c r="AC2017" t="s">
        <v>3250</v>
      </c>
      <c r="AD2017" t="s">
        <v>3250</v>
      </c>
      <c r="AE2017" t="s">
        <v>3250</v>
      </c>
      <c r="AF2017" t="s">
        <v>3250</v>
      </c>
      <c r="AG2017" t="s">
        <v>3250</v>
      </c>
      <c r="AH2017" t="s">
        <v>3250</v>
      </c>
      <c r="AI2017" t="s">
        <v>3250</v>
      </c>
      <c r="AJ2017" t="s">
        <v>3250</v>
      </c>
      <c r="AL2017" t="s">
        <v>3250</v>
      </c>
      <c r="AM2017" t="s">
        <v>3250</v>
      </c>
      <c r="AN2017" t="s">
        <v>3250</v>
      </c>
      <c r="AO2017" t="s">
        <v>3250</v>
      </c>
      <c r="AS2017" t="s">
        <v>3250</v>
      </c>
      <c r="AT2017" t="s">
        <v>3250</v>
      </c>
      <c r="AU2017" t="s">
        <v>3250</v>
      </c>
      <c r="AV2017" t="s">
        <v>3250</v>
      </c>
      <c r="AW2017" t="s">
        <v>3250</v>
      </c>
      <c r="AX2017" t="s">
        <v>3250</v>
      </c>
      <c r="AY2017" t="s">
        <v>3250</v>
      </c>
      <c r="AZ2017" t="s">
        <v>3250</v>
      </c>
      <c r="BA2017" t="s">
        <v>3250</v>
      </c>
      <c r="BB2017" t="s">
        <v>3250</v>
      </c>
      <c r="BC2017" t="s">
        <v>3250</v>
      </c>
      <c r="BE2017" t="s">
        <v>3250</v>
      </c>
      <c r="BF2017" t="s">
        <v>3250</v>
      </c>
      <c r="BG2017" t="s">
        <v>3250</v>
      </c>
      <c r="BH2017" t="s">
        <v>3250</v>
      </c>
      <c r="BI2017" t="s">
        <v>3250</v>
      </c>
      <c r="BK2017" t="s">
        <v>3250</v>
      </c>
      <c r="BL2017" t="s">
        <v>3250</v>
      </c>
      <c r="BM2017" t="s">
        <v>3250</v>
      </c>
      <c r="BN2017" t="s">
        <v>3250</v>
      </c>
      <c r="BP2017">
        <v>1</v>
      </c>
      <c r="BQ2017">
        <v>11</v>
      </c>
      <c r="BR2017" t="s">
        <v>1574</v>
      </c>
      <c r="BS2017" t="s">
        <v>3252</v>
      </c>
      <c r="BV2017">
        <v>0</v>
      </c>
      <c r="BW2017">
        <v>0</v>
      </c>
      <c r="BX2017">
        <v>0</v>
      </c>
      <c r="BY2017">
        <v>0</v>
      </c>
      <c r="BZ2017">
        <v>0</v>
      </c>
      <c r="CA2017">
        <v>0</v>
      </c>
      <c r="CB2017">
        <v>0</v>
      </c>
      <c r="CC2017">
        <v>0</v>
      </c>
      <c r="CD2017">
        <v>0</v>
      </c>
      <c r="CE2017" t="s">
        <v>3108</v>
      </c>
      <c r="CF2017" t="s">
        <v>3108</v>
      </c>
      <c r="CG2017" t="s">
        <v>3108</v>
      </c>
      <c r="CH2017" t="s">
        <v>3108</v>
      </c>
    </row>
    <row r="2018" spans="1:86" x14ac:dyDescent="0.2">
      <c r="A2018" t="s">
        <v>6219</v>
      </c>
      <c r="B2018" t="s">
        <v>6219</v>
      </c>
      <c r="C2018">
        <v>55141</v>
      </c>
      <c r="D2018">
        <v>2141</v>
      </c>
      <c r="E2018" t="s">
        <v>6220</v>
      </c>
      <c r="F2018" t="s">
        <v>3249</v>
      </c>
      <c r="G2018" t="s">
        <v>3249</v>
      </c>
      <c r="H2018" t="s">
        <v>3250</v>
      </c>
      <c r="I2018" t="s">
        <v>3250</v>
      </c>
      <c r="J2018" t="s">
        <v>3250</v>
      </c>
      <c r="K2018" t="s">
        <v>3250</v>
      </c>
      <c r="L2018">
        <v>1200</v>
      </c>
      <c r="M2018" t="s">
        <v>2368</v>
      </c>
      <c r="N2018">
        <v>1204</v>
      </c>
      <c r="O2018" t="s">
        <v>1574</v>
      </c>
      <c r="P2018" t="s">
        <v>3108</v>
      </c>
      <c r="Q2018" t="s">
        <v>3249</v>
      </c>
      <c r="R2018" t="s">
        <v>3249</v>
      </c>
      <c r="S2018" t="s">
        <v>472</v>
      </c>
      <c r="T2018" t="s">
        <v>3789</v>
      </c>
      <c r="U2018">
        <v>360</v>
      </c>
      <c r="V2018" t="s">
        <v>3790</v>
      </c>
      <c r="W2018">
        <v>360</v>
      </c>
      <c r="X2018" t="s">
        <v>601</v>
      </c>
      <c r="Y2018" t="s">
        <v>3250</v>
      </c>
      <c r="Z2018" t="s">
        <v>3250</v>
      </c>
      <c r="AA2018" t="s">
        <v>3108</v>
      </c>
      <c r="AB2018" t="s">
        <v>3108</v>
      </c>
      <c r="AC2018" t="s">
        <v>3250</v>
      </c>
      <c r="AD2018" t="s">
        <v>3250</v>
      </c>
      <c r="AE2018" t="s">
        <v>3250</v>
      </c>
      <c r="AF2018" t="s">
        <v>3250</v>
      </c>
      <c r="AG2018" t="s">
        <v>3250</v>
      </c>
      <c r="AH2018" t="s">
        <v>3250</v>
      </c>
      <c r="AI2018" t="s">
        <v>3250</v>
      </c>
      <c r="AJ2018" t="s">
        <v>3250</v>
      </c>
      <c r="AL2018">
        <v>363</v>
      </c>
      <c r="AM2018" t="s">
        <v>925</v>
      </c>
      <c r="AN2018">
        <v>363</v>
      </c>
      <c r="AO2018" t="s">
        <v>925</v>
      </c>
      <c r="AS2018" t="s">
        <v>3250</v>
      </c>
      <c r="AT2018" t="s">
        <v>3250</v>
      </c>
      <c r="AU2018" t="s">
        <v>3250</v>
      </c>
      <c r="AV2018" t="s">
        <v>3250</v>
      </c>
      <c r="AW2018" t="s">
        <v>3250</v>
      </c>
      <c r="AX2018" t="s">
        <v>3250</v>
      </c>
      <c r="AY2018" t="s">
        <v>3250</v>
      </c>
      <c r="AZ2018" t="s">
        <v>3250</v>
      </c>
      <c r="BA2018" t="s">
        <v>3250</v>
      </c>
      <c r="BB2018" t="s">
        <v>3250</v>
      </c>
      <c r="BC2018" t="s">
        <v>3250</v>
      </c>
      <c r="BE2018" t="s">
        <v>3250</v>
      </c>
      <c r="BF2018" t="s">
        <v>3250</v>
      </c>
      <c r="BG2018" t="s">
        <v>3250</v>
      </c>
      <c r="BH2018" t="s">
        <v>3250</v>
      </c>
      <c r="BI2018" t="s">
        <v>3250</v>
      </c>
      <c r="BK2018" t="s">
        <v>3250</v>
      </c>
      <c r="BL2018" t="s">
        <v>3250</v>
      </c>
      <c r="BM2018" t="s">
        <v>3250</v>
      </c>
      <c r="BN2018" t="s">
        <v>3250</v>
      </c>
      <c r="BP2018">
        <v>1</v>
      </c>
      <c r="BQ2018">
        <v>11</v>
      </c>
      <c r="BR2018" t="s">
        <v>1574</v>
      </c>
      <c r="BS2018" t="s">
        <v>3252</v>
      </c>
      <c r="BV2018">
        <v>0</v>
      </c>
      <c r="BW2018">
        <v>0</v>
      </c>
      <c r="BX2018">
        <v>0</v>
      </c>
      <c r="BY2018">
        <v>0</v>
      </c>
      <c r="BZ2018">
        <v>0</v>
      </c>
      <c r="CA2018">
        <v>0</v>
      </c>
      <c r="CB2018">
        <v>0</v>
      </c>
      <c r="CC2018">
        <v>0</v>
      </c>
      <c r="CD2018">
        <v>0</v>
      </c>
      <c r="CE2018" t="s">
        <v>3108</v>
      </c>
      <c r="CF2018" t="s">
        <v>3108</v>
      </c>
      <c r="CG2018" t="s">
        <v>3108</v>
      </c>
      <c r="CH2018" t="s">
        <v>3108</v>
      </c>
    </row>
    <row r="2019" spans="1:86" x14ac:dyDescent="0.2">
      <c r="A2019" t="s">
        <v>6221</v>
      </c>
      <c r="B2019" t="s">
        <v>6221</v>
      </c>
      <c r="C2019">
        <v>55142</v>
      </c>
      <c r="D2019">
        <v>2142</v>
      </c>
      <c r="E2019" t="s">
        <v>6222</v>
      </c>
      <c r="F2019" t="s">
        <v>3249</v>
      </c>
      <c r="G2019" t="s">
        <v>3249</v>
      </c>
      <c r="H2019" t="s">
        <v>3250</v>
      </c>
      <c r="I2019" t="s">
        <v>3250</v>
      </c>
      <c r="J2019" t="s">
        <v>3250</v>
      </c>
      <c r="K2019" t="s">
        <v>3250</v>
      </c>
      <c r="L2019">
        <v>1200</v>
      </c>
      <c r="M2019" t="s">
        <v>2368</v>
      </c>
      <c r="N2019">
        <v>1204</v>
      </c>
      <c r="O2019" t="s">
        <v>1574</v>
      </c>
      <c r="P2019" t="s">
        <v>3108</v>
      </c>
      <c r="Q2019" t="s">
        <v>3249</v>
      </c>
      <c r="R2019" t="s">
        <v>3249</v>
      </c>
      <c r="S2019" t="s">
        <v>472</v>
      </c>
      <c r="T2019" t="s">
        <v>3789</v>
      </c>
      <c r="U2019">
        <v>360</v>
      </c>
      <c r="V2019" t="s">
        <v>3790</v>
      </c>
      <c r="W2019">
        <v>360</v>
      </c>
      <c r="X2019" t="s">
        <v>601</v>
      </c>
      <c r="Y2019" t="s">
        <v>3250</v>
      </c>
      <c r="Z2019" t="s">
        <v>3250</v>
      </c>
      <c r="AA2019" t="s">
        <v>3108</v>
      </c>
      <c r="AB2019" t="s">
        <v>3108</v>
      </c>
      <c r="AC2019" t="s">
        <v>3250</v>
      </c>
      <c r="AD2019" t="s">
        <v>3250</v>
      </c>
      <c r="AE2019" t="s">
        <v>3250</v>
      </c>
      <c r="AF2019" t="s">
        <v>3250</v>
      </c>
      <c r="AG2019" t="s">
        <v>3250</v>
      </c>
      <c r="AH2019" t="s">
        <v>3250</v>
      </c>
      <c r="AI2019" t="s">
        <v>3250</v>
      </c>
      <c r="AJ2019" t="s">
        <v>3250</v>
      </c>
      <c r="AL2019">
        <v>363</v>
      </c>
      <c r="AM2019" t="s">
        <v>925</v>
      </c>
      <c r="AN2019">
        <v>363</v>
      </c>
      <c r="AO2019" t="s">
        <v>925</v>
      </c>
      <c r="AS2019" t="s">
        <v>3250</v>
      </c>
      <c r="AT2019" t="s">
        <v>3250</v>
      </c>
      <c r="AU2019" t="s">
        <v>3250</v>
      </c>
      <c r="AV2019" t="s">
        <v>3250</v>
      </c>
      <c r="AW2019" t="s">
        <v>3250</v>
      </c>
      <c r="AX2019" t="s">
        <v>3250</v>
      </c>
      <c r="AY2019" t="s">
        <v>3250</v>
      </c>
      <c r="AZ2019" t="s">
        <v>3250</v>
      </c>
      <c r="BA2019" t="s">
        <v>3250</v>
      </c>
      <c r="BB2019" t="s">
        <v>3250</v>
      </c>
      <c r="BC2019" t="s">
        <v>3250</v>
      </c>
      <c r="BE2019" t="s">
        <v>3250</v>
      </c>
      <c r="BF2019" t="s">
        <v>3250</v>
      </c>
      <c r="BG2019" t="s">
        <v>3250</v>
      </c>
      <c r="BH2019" t="s">
        <v>3250</v>
      </c>
      <c r="BI2019" t="s">
        <v>3250</v>
      </c>
      <c r="BK2019" t="s">
        <v>3250</v>
      </c>
      <c r="BL2019" t="s">
        <v>3250</v>
      </c>
      <c r="BM2019" t="s">
        <v>3250</v>
      </c>
      <c r="BN2019" t="s">
        <v>3250</v>
      </c>
      <c r="BP2019">
        <v>1</v>
      </c>
      <c r="BQ2019">
        <v>11</v>
      </c>
      <c r="BR2019" t="s">
        <v>1574</v>
      </c>
      <c r="BS2019" t="s">
        <v>3252</v>
      </c>
      <c r="BV2019">
        <v>0</v>
      </c>
      <c r="BW2019">
        <v>0</v>
      </c>
      <c r="BX2019">
        <v>0</v>
      </c>
      <c r="BY2019">
        <v>0</v>
      </c>
      <c r="BZ2019">
        <v>0</v>
      </c>
      <c r="CA2019">
        <v>0</v>
      </c>
      <c r="CB2019">
        <v>0</v>
      </c>
      <c r="CC2019">
        <v>0</v>
      </c>
      <c r="CD2019">
        <v>0</v>
      </c>
      <c r="CE2019" t="s">
        <v>3108</v>
      </c>
      <c r="CF2019" t="s">
        <v>3108</v>
      </c>
      <c r="CG2019" t="s">
        <v>3108</v>
      </c>
      <c r="CH2019" t="s">
        <v>3108</v>
      </c>
    </row>
    <row r="2020" spans="1:86" x14ac:dyDescent="0.2">
      <c r="A2020" t="s">
        <v>6223</v>
      </c>
      <c r="B2020" t="s">
        <v>6223</v>
      </c>
      <c r="C2020">
        <v>55143</v>
      </c>
      <c r="D2020">
        <v>2143</v>
      </c>
      <c r="E2020" t="s">
        <v>6224</v>
      </c>
      <c r="F2020" t="s">
        <v>3249</v>
      </c>
      <c r="G2020" t="s">
        <v>3249</v>
      </c>
      <c r="H2020" t="s">
        <v>3250</v>
      </c>
      <c r="I2020" t="s">
        <v>3250</v>
      </c>
      <c r="J2020" t="s">
        <v>3250</v>
      </c>
      <c r="K2020" t="s">
        <v>3250</v>
      </c>
      <c r="L2020">
        <v>1200</v>
      </c>
      <c r="M2020" t="s">
        <v>2368</v>
      </c>
      <c r="N2020">
        <v>1204</v>
      </c>
      <c r="O2020" t="s">
        <v>1574</v>
      </c>
      <c r="P2020" t="s">
        <v>3108</v>
      </c>
      <c r="Q2020" t="s">
        <v>3249</v>
      </c>
      <c r="R2020" t="s">
        <v>3249</v>
      </c>
      <c r="S2020" t="s">
        <v>472</v>
      </c>
      <c r="T2020" t="s">
        <v>3789</v>
      </c>
      <c r="U2020">
        <v>360</v>
      </c>
      <c r="V2020" t="s">
        <v>3790</v>
      </c>
      <c r="W2020">
        <v>360</v>
      </c>
      <c r="X2020" t="s">
        <v>601</v>
      </c>
      <c r="Y2020" t="s">
        <v>3250</v>
      </c>
      <c r="Z2020" t="s">
        <v>3250</v>
      </c>
      <c r="AA2020" t="s">
        <v>3108</v>
      </c>
      <c r="AB2020" t="s">
        <v>3108</v>
      </c>
      <c r="AC2020" t="s">
        <v>3250</v>
      </c>
      <c r="AD2020" t="s">
        <v>3250</v>
      </c>
      <c r="AE2020" t="s">
        <v>3250</v>
      </c>
      <c r="AF2020" t="s">
        <v>3250</v>
      </c>
      <c r="AG2020" t="s">
        <v>3250</v>
      </c>
      <c r="AH2020" t="s">
        <v>3250</v>
      </c>
      <c r="AI2020" t="s">
        <v>3250</v>
      </c>
      <c r="AJ2020" t="s">
        <v>3250</v>
      </c>
      <c r="AL2020">
        <v>363</v>
      </c>
      <c r="AM2020" t="s">
        <v>925</v>
      </c>
      <c r="AN2020">
        <v>363</v>
      </c>
      <c r="AO2020" t="s">
        <v>925</v>
      </c>
      <c r="AS2020" t="s">
        <v>3250</v>
      </c>
      <c r="AT2020" t="s">
        <v>3250</v>
      </c>
      <c r="AU2020" t="s">
        <v>3250</v>
      </c>
      <c r="AV2020" t="s">
        <v>3250</v>
      </c>
      <c r="AW2020" t="s">
        <v>3250</v>
      </c>
      <c r="AX2020" t="s">
        <v>3250</v>
      </c>
      <c r="AY2020" t="s">
        <v>3250</v>
      </c>
      <c r="AZ2020" t="s">
        <v>3250</v>
      </c>
      <c r="BA2020" t="s">
        <v>3250</v>
      </c>
      <c r="BB2020" t="s">
        <v>3250</v>
      </c>
      <c r="BC2020" t="s">
        <v>3250</v>
      </c>
      <c r="BE2020" t="s">
        <v>3250</v>
      </c>
      <c r="BF2020" t="s">
        <v>3250</v>
      </c>
      <c r="BG2020" t="s">
        <v>3250</v>
      </c>
      <c r="BH2020" t="s">
        <v>3250</v>
      </c>
      <c r="BI2020" t="s">
        <v>3250</v>
      </c>
      <c r="BK2020" t="s">
        <v>3250</v>
      </c>
      <c r="BL2020" t="s">
        <v>3250</v>
      </c>
      <c r="BM2020" t="s">
        <v>3250</v>
      </c>
      <c r="BN2020" t="s">
        <v>3250</v>
      </c>
      <c r="BP2020">
        <v>1</v>
      </c>
      <c r="BQ2020">
        <v>11</v>
      </c>
      <c r="BR2020" t="s">
        <v>1574</v>
      </c>
      <c r="BS2020" t="s">
        <v>3252</v>
      </c>
      <c r="BV2020">
        <v>0</v>
      </c>
      <c r="BW2020">
        <v>0</v>
      </c>
      <c r="BX2020">
        <v>0</v>
      </c>
      <c r="BY2020">
        <v>0</v>
      </c>
      <c r="BZ2020">
        <v>0</v>
      </c>
      <c r="CA2020">
        <v>0</v>
      </c>
      <c r="CB2020">
        <v>0</v>
      </c>
      <c r="CC2020">
        <v>0</v>
      </c>
      <c r="CD2020">
        <v>0</v>
      </c>
      <c r="CE2020" t="s">
        <v>3108</v>
      </c>
      <c r="CF2020" t="s">
        <v>3108</v>
      </c>
      <c r="CG2020" t="s">
        <v>3108</v>
      </c>
      <c r="CH2020" t="s">
        <v>3108</v>
      </c>
    </row>
    <row r="2021" spans="1:86" x14ac:dyDescent="0.2">
      <c r="A2021" t="s">
        <v>6225</v>
      </c>
      <c r="B2021" t="s">
        <v>6225</v>
      </c>
      <c r="C2021">
        <v>55144</v>
      </c>
      <c r="D2021">
        <v>2144</v>
      </c>
      <c r="E2021" t="s">
        <v>6226</v>
      </c>
      <c r="F2021" t="s">
        <v>3249</v>
      </c>
      <c r="G2021" t="s">
        <v>3249</v>
      </c>
      <c r="H2021" t="s">
        <v>3250</v>
      </c>
      <c r="I2021" t="s">
        <v>3250</v>
      </c>
      <c r="J2021" t="s">
        <v>3250</v>
      </c>
      <c r="K2021" t="s">
        <v>3250</v>
      </c>
      <c r="L2021">
        <v>1200</v>
      </c>
      <c r="M2021" t="s">
        <v>2368</v>
      </c>
      <c r="N2021">
        <v>1204</v>
      </c>
      <c r="O2021" t="s">
        <v>1574</v>
      </c>
      <c r="P2021" t="s">
        <v>3108</v>
      </c>
      <c r="Q2021" t="s">
        <v>3249</v>
      </c>
      <c r="R2021" t="s">
        <v>3249</v>
      </c>
      <c r="S2021" t="s">
        <v>472</v>
      </c>
      <c r="T2021" t="s">
        <v>3789</v>
      </c>
      <c r="U2021">
        <v>360</v>
      </c>
      <c r="V2021" t="s">
        <v>3790</v>
      </c>
      <c r="W2021">
        <v>360</v>
      </c>
      <c r="X2021" t="s">
        <v>601</v>
      </c>
      <c r="Y2021" t="s">
        <v>3250</v>
      </c>
      <c r="Z2021" t="s">
        <v>3250</v>
      </c>
      <c r="AA2021" t="s">
        <v>3108</v>
      </c>
      <c r="AB2021" t="s">
        <v>3108</v>
      </c>
      <c r="AC2021" t="s">
        <v>3250</v>
      </c>
      <c r="AD2021" t="s">
        <v>3250</v>
      </c>
      <c r="AE2021" t="s">
        <v>3250</v>
      </c>
      <c r="AF2021" t="s">
        <v>3250</v>
      </c>
      <c r="AG2021" t="s">
        <v>3250</v>
      </c>
      <c r="AH2021" t="s">
        <v>3250</v>
      </c>
      <c r="AI2021" t="s">
        <v>3250</v>
      </c>
      <c r="AJ2021" t="s">
        <v>3250</v>
      </c>
      <c r="AL2021">
        <v>363</v>
      </c>
      <c r="AM2021" t="s">
        <v>925</v>
      </c>
      <c r="AN2021">
        <v>363</v>
      </c>
      <c r="AO2021" t="s">
        <v>925</v>
      </c>
      <c r="AS2021" t="s">
        <v>3250</v>
      </c>
      <c r="AT2021" t="s">
        <v>3250</v>
      </c>
      <c r="AU2021" t="s">
        <v>3250</v>
      </c>
      <c r="AV2021" t="s">
        <v>3250</v>
      </c>
      <c r="AW2021" t="s">
        <v>3250</v>
      </c>
      <c r="AX2021" t="s">
        <v>3250</v>
      </c>
      <c r="AY2021" t="s">
        <v>3250</v>
      </c>
      <c r="AZ2021" t="s">
        <v>3250</v>
      </c>
      <c r="BA2021" t="s">
        <v>3250</v>
      </c>
      <c r="BB2021" t="s">
        <v>3250</v>
      </c>
      <c r="BC2021" t="s">
        <v>3250</v>
      </c>
      <c r="BE2021" t="s">
        <v>3250</v>
      </c>
      <c r="BF2021" t="s">
        <v>3250</v>
      </c>
      <c r="BG2021" t="s">
        <v>3250</v>
      </c>
      <c r="BH2021" t="s">
        <v>3250</v>
      </c>
      <c r="BI2021" t="s">
        <v>3250</v>
      </c>
      <c r="BK2021" t="s">
        <v>3250</v>
      </c>
      <c r="BL2021" t="s">
        <v>3250</v>
      </c>
      <c r="BM2021" t="s">
        <v>3250</v>
      </c>
      <c r="BN2021" t="s">
        <v>3250</v>
      </c>
      <c r="BP2021">
        <v>1</v>
      </c>
      <c r="BQ2021">
        <v>11</v>
      </c>
      <c r="BR2021" t="s">
        <v>1574</v>
      </c>
      <c r="BS2021" t="s">
        <v>3252</v>
      </c>
      <c r="BV2021">
        <v>0</v>
      </c>
      <c r="BW2021">
        <v>0</v>
      </c>
      <c r="BX2021">
        <v>0</v>
      </c>
      <c r="BY2021">
        <v>0</v>
      </c>
      <c r="BZ2021">
        <v>0</v>
      </c>
      <c r="CA2021">
        <v>0</v>
      </c>
      <c r="CB2021">
        <v>0</v>
      </c>
      <c r="CC2021">
        <v>0</v>
      </c>
      <c r="CD2021">
        <v>0</v>
      </c>
      <c r="CE2021" t="s">
        <v>3108</v>
      </c>
      <c r="CF2021" t="s">
        <v>3108</v>
      </c>
      <c r="CG2021" t="s">
        <v>3108</v>
      </c>
      <c r="CH2021" t="s">
        <v>3108</v>
      </c>
    </row>
    <row r="2022" spans="1:86" x14ac:dyDescent="0.2">
      <c r="A2022" t="s">
        <v>6227</v>
      </c>
      <c r="B2022" t="s">
        <v>6227</v>
      </c>
      <c r="C2022">
        <v>55145</v>
      </c>
      <c r="D2022">
        <v>2145</v>
      </c>
      <c r="E2022" t="s">
        <v>6228</v>
      </c>
      <c r="F2022" t="s">
        <v>3249</v>
      </c>
      <c r="G2022" t="s">
        <v>3249</v>
      </c>
      <c r="H2022" t="s">
        <v>3250</v>
      </c>
      <c r="I2022" t="s">
        <v>3250</v>
      </c>
      <c r="J2022" t="s">
        <v>3250</v>
      </c>
      <c r="K2022" t="s">
        <v>3250</v>
      </c>
      <c r="L2022">
        <v>1200</v>
      </c>
      <c r="M2022" t="s">
        <v>2368</v>
      </c>
      <c r="N2022">
        <v>1204</v>
      </c>
      <c r="O2022" t="s">
        <v>1574</v>
      </c>
      <c r="P2022" t="s">
        <v>3108</v>
      </c>
      <c r="Q2022" t="s">
        <v>3249</v>
      </c>
      <c r="R2022" t="s">
        <v>3249</v>
      </c>
      <c r="S2022" t="s">
        <v>472</v>
      </c>
      <c r="T2022" t="s">
        <v>3789</v>
      </c>
      <c r="U2022">
        <v>360</v>
      </c>
      <c r="V2022" t="s">
        <v>3790</v>
      </c>
      <c r="W2022">
        <v>360</v>
      </c>
      <c r="X2022" t="s">
        <v>601</v>
      </c>
      <c r="Y2022" t="s">
        <v>3250</v>
      </c>
      <c r="Z2022" t="s">
        <v>3250</v>
      </c>
      <c r="AA2022" t="s">
        <v>3108</v>
      </c>
      <c r="AB2022" t="s">
        <v>3108</v>
      </c>
      <c r="AC2022" t="s">
        <v>3250</v>
      </c>
      <c r="AD2022" t="s">
        <v>3250</v>
      </c>
      <c r="AE2022" t="s">
        <v>3250</v>
      </c>
      <c r="AF2022" t="s">
        <v>3250</v>
      </c>
      <c r="AG2022" t="s">
        <v>3250</v>
      </c>
      <c r="AH2022" t="s">
        <v>3250</v>
      </c>
      <c r="AI2022" t="s">
        <v>3250</v>
      </c>
      <c r="AJ2022" t="s">
        <v>3250</v>
      </c>
      <c r="AL2022">
        <v>363</v>
      </c>
      <c r="AM2022" t="s">
        <v>925</v>
      </c>
      <c r="AN2022">
        <v>363</v>
      </c>
      <c r="AO2022" t="s">
        <v>925</v>
      </c>
      <c r="AS2022" t="s">
        <v>3250</v>
      </c>
      <c r="AT2022" t="s">
        <v>3250</v>
      </c>
      <c r="AU2022" t="s">
        <v>3250</v>
      </c>
      <c r="AV2022" t="s">
        <v>3250</v>
      </c>
      <c r="AW2022" t="s">
        <v>3250</v>
      </c>
      <c r="AX2022" t="s">
        <v>3250</v>
      </c>
      <c r="AY2022" t="s">
        <v>3250</v>
      </c>
      <c r="AZ2022" t="s">
        <v>3250</v>
      </c>
      <c r="BA2022" t="s">
        <v>3250</v>
      </c>
      <c r="BB2022" t="s">
        <v>3250</v>
      </c>
      <c r="BC2022" t="s">
        <v>3250</v>
      </c>
      <c r="BE2022" t="s">
        <v>3250</v>
      </c>
      <c r="BF2022" t="s">
        <v>3250</v>
      </c>
      <c r="BG2022" t="s">
        <v>3250</v>
      </c>
      <c r="BH2022" t="s">
        <v>3250</v>
      </c>
      <c r="BI2022" t="s">
        <v>3250</v>
      </c>
      <c r="BK2022" t="s">
        <v>3250</v>
      </c>
      <c r="BL2022" t="s">
        <v>3250</v>
      </c>
      <c r="BM2022" t="s">
        <v>3250</v>
      </c>
      <c r="BN2022" t="s">
        <v>3250</v>
      </c>
      <c r="BP2022">
        <v>1</v>
      </c>
      <c r="BQ2022">
        <v>11</v>
      </c>
      <c r="BR2022" t="s">
        <v>1574</v>
      </c>
      <c r="BS2022" t="s">
        <v>3252</v>
      </c>
      <c r="BV2022">
        <v>0</v>
      </c>
      <c r="BW2022">
        <v>0</v>
      </c>
      <c r="BX2022">
        <v>0</v>
      </c>
      <c r="BY2022">
        <v>0</v>
      </c>
      <c r="BZ2022">
        <v>0</v>
      </c>
      <c r="CA2022">
        <v>0</v>
      </c>
      <c r="CB2022">
        <v>0</v>
      </c>
      <c r="CC2022">
        <v>0</v>
      </c>
      <c r="CD2022">
        <v>0</v>
      </c>
      <c r="CE2022" t="s">
        <v>3108</v>
      </c>
      <c r="CF2022" t="s">
        <v>3108</v>
      </c>
      <c r="CG2022" t="s">
        <v>3108</v>
      </c>
      <c r="CH2022" t="s">
        <v>3108</v>
      </c>
    </row>
    <row r="2023" spans="1:86" x14ac:dyDescent="0.2">
      <c r="A2023" t="s">
        <v>6229</v>
      </c>
      <c r="B2023" t="s">
        <v>6229</v>
      </c>
      <c r="C2023">
        <v>55146</v>
      </c>
      <c r="D2023">
        <v>2146</v>
      </c>
      <c r="E2023" t="s">
        <v>6230</v>
      </c>
      <c r="F2023" t="s">
        <v>3249</v>
      </c>
      <c r="G2023" t="s">
        <v>3249</v>
      </c>
      <c r="H2023" t="s">
        <v>3250</v>
      </c>
      <c r="I2023" t="s">
        <v>3250</v>
      </c>
      <c r="J2023" t="s">
        <v>3250</v>
      </c>
      <c r="K2023" t="s">
        <v>3250</v>
      </c>
      <c r="L2023">
        <v>1200</v>
      </c>
      <c r="M2023" t="s">
        <v>2368</v>
      </c>
      <c r="N2023">
        <v>1204</v>
      </c>
      <c r="O2023" t="s">
        <v>1574</v>
      </c>
      <c r="P2023" t="s">
        <v>3108</v>
      </c>
      <c r="Q2023" t="s">
        <v>3249</v>
      </c>
      <c r="R2023" t="s">
        <v>3249</v>
      </c>
      <c r="S2023" t="s">
        <v>472</v>
      </c>
      <c r="T2023" t="s">
        <v>3789</v>
      </c>
      <c r="U2023">
        <v>360</v>
      </c>
      <c r="V2023" t="s">
        <v>3790</v>
      </c>
      <c r="W2023">
        <v>360</v>
      </c>
      <c r="X2023" t="s">
        <v>601</v>
      </c>
      <c r="Y2023" t="s">
        <v>3250</v>
      </c>
      <c r="Z2023" t="s">
        <v>3250</v>
      </c>
      <c r="AA2023" t="s">
        <v>3108</v>
      </c>
      <c r="AB2023" t="s">
        <v>3108</v>
      </c>
      <c r="AC2023" t="s">
        <v>3250</v>
      </c>
      <c r="AD2023" t="s">
        <v>3250</v>
      </c>
      <c r="AE2023" t="s">
        <v>3250</v>
      </c>
      <c r="AF2023" t="s">
        <v>3250</v>
      </c>
      <c r="AG2023" t="s">
        <v>3250</v>
      </c>
      <c r="AH2023" t="s">
        <v>3250</v>
      </c>
      <c r="AI2023" t="s">
        <v>3250</v>
      </c>
      <c r="AJ2023" t="s">
        <v>3250</v>
      </c>
      <c r="AL2023">
        <v>363</v>
      </c>
      <c r="AM2023" t="s">
        <v>925</v>
      </c>
      <c r="AN2023">
        <v>363</v>
      </c>
      <c r="AO2023" t="s">
        <v>925</v>
      </c>
      <c r="AS2023" t="s">
        <v>3250</v>
      </c>
      <c r="AT2023" t="s">
        <v>3250</v>
      </c>
      <c r="AU2023" t="s">
        <v>3250</v>
      </c>
      <c r="AV2023" t="s">
        <v>3250</v>
      </c>
      <c r="AW2023" t="s">
        <v>3250</v>
      </c>
      <c r="AX2023" t="s">
        <v>3250</v>
      </c>
      <c r="AY2023" t="s">
        <v>3250</v>
      </c>
      <c r="AZ2023" t="s">
        <v>3250</v>
      </c>
      <c r="BA2023" t="s">
        <v>3250</v>
      </c>
      <c r="BB2023" t="s">
        <v>3250</v>
      </c>
      <c r="BC2023" t="s">
        <v>3250</v>
      </c>
      <c r="BE2023" t="s">
        <v>3250</v>
      </c>
      <c r="BF2023" t="s">
        <v>3250</v>
      </c>
      <c r="BG2023" t="s">
        <v>3250</v>
      </c>
      <c r="BH2023" t="s">
        <v>3250</v>
      </c>
      <c r="BI2023" t="s">
        <v>3250</v>
      </c>
      <c r="BK2023" t="s">
        <v>3250</v>
      </c>
      <c r="BL2023" t="s">
        <v>3250</v>
      </c>
      <c r="BM2023" t="s">
        <v>3250</v>
      </c>
      <c r="BN2023" t="s">
        <v>3250</v>
      </c>
      <c r="BP2023">
        <v>1</v>
      </c>
      <c r="BQ2023">
        <v>11</v>
      </c>
      <c r="BR2023" t="s">
        <v>1574</v>
      </c>
      <c r="BS2023" t="s">
        <v>3252</v>
      </c>
      <c r="BV2023">
        <v>0</v>
      </c>
      <c r="BW2023">
        <v>0</v>
      </c>
      <c r="BX2023">
        <v>0</v>
      </c>
      <c r="BY2023">
        <v>0</v>
      </c>
      <c r="BZ2023">
        <v>0</v>
      </c>
      <c r="CA2023">
        <v>0</v>
      </c>
      <c r="CB2023">
        <v>0</v>
      </c>
      <c r="CC2023">
        <v>0</v>
      </c>
      <c r="CD2023">
        <v>0</v>
      </c>
      <c r="CE2023" t="s">
        <v>3108</v>
      </c>
      <c r="CF2023" t="s">
        <v>3108</v>
      </c>
      <c r="CG2023" t="s">
        <v>3108</v>
      </c>
      <c r="CH2023" t="s">
        <v>3108</v>
      </c>
    </row>
    <row r="2024" spans="1:86" x14ac:dyDescent="0.2">
      <c r="A2024" t="s">
        <v>6231</v>
      </c>
      <c r="B2024" t="s">
        <v>6231</v>
      </c>
      <c r="C2024">
        <v>55147</v>
      </c>
      <c r="D2024">
        <v>2147</v>
      </c>
      <c r="E2024" t="s">
        <v>6232</v>
      </c>
      <c r="F2024" t="s">
        <v>3249</v>
      </c>
      <c r="G2024" t="s">
        <v>3249</v>
      </c>
      <c r="H2024" t="s">
        <v>3250</v>
      </c>
      <c r="I2024" t="s">
        <v>3250</v>
      </c>
      <c r="J2024" t="s">
        <v>3250</v>
      </c>
      <c r="K2024" t="s">
        <v>3250</v>
      </c>
      <c r="L2024">
        <v>1200</v>
      </c>
      <c r="M2024" t="s">
        <v>2368</v>
      </c>
      <c r="N2024">
        <v>1204</v>
      </c>
      <c r="O2024" t="s">
        <v>1574</v>
      </c>
      <c r="P2024" t="s">
        <v>3108</v>
      </c>
      <c r="Q2024" t="s">
        <v>3249</v>
      </c>
      <c r="R2024" t="s">
        <v>3249</v>
      </c>
      <c r="S2024" t="s">
        <v>472</v>
      </c>
      <c r="T2024" t="s">
        <v>3789</v>
      </c>
      <c r="U2024">
        <v>360</v>
      </c>
      <c r="V2024" t="s">
        <v>3790</v>
      </c>
      <c r="W2024">
        <v>360</v>
      </c>
      <c r="X2024" t="s">
        <v>601</v>
      </c>
      <c r="Y2024" t="s">
        <v>3250</v>
      </c>
      <c r="Z2024" t="s">
        <v>3250</v>
      </c>
      <c r="AA2024" t="s">
        <v>3108</v>
      </c>
      <c r="AB2024" t="s">
        <v>3108</v>
      </c>
      <c r="AC2024" t="s">
        <v>3250</v>
      </c>
      <c r="AD2024" t="s">
        <v>3250</v>
      </c>
      <c r="AE2024" t="s">
        <v>3250</v>
      </c>
      <c r="AF2024" t="s">
        <v>3250</v>
      </c>
      <c r="AG2024" t="s">
        <v>3250</v>
      </c>
      <c r="AH2024" t="s">
        <v>3250</v>
      </c>
      <c r="AI2024" t="s">
        <v>3250</v>
      </c>
      <c r="AJ2024" t="s">
        <v>3250</v>
      </c>
      <c r="AL2024">
        <v>363</v>
      </c>
      <c r="AM2024" t="s">
        <v>925</v>
      </c>
      <c r="AN2024">
        <v>363</v>
      </c>
      <c r="AO2024" t="s">
        <v>925</v>
      </c>
      <c r="AS2024" t="s">
        <v>3250</v>
      </c>
      <c r="AT2024" t="s">
        <v>3250</v>
      </c>
      <c r="AU2024" t="s">
        <v>3250</v>
      </c>
      <c r="AV2024" t="s">
        <v>3250</v>
      </c>
      <c r="AW2024" t="s">
        <v>3250</v>
      </c>
      <c r="AX2024" t="s">
        <v>3250</v>
      </c>
      <c r="AY2024" t="s">
        <v>3250</v>
      </c>
      <c r="AZ2024" t="s">
        <v>3250</v>
      </c>
      <c r="BA2024" t="s">
        <v>3250</v>
      </c>
      <c r="BB2024" t="s">
        <v>3250</v>
      </c>
      <c r="BC2024" t="s">
        <v>3250</v>
      </c>
      <c r="BE2024" t="s">
        <v>3250</v>
      </c>
      <c r="BF2024" t="s">
        <v>3250</v>
      </c>
      <c r="BG2024" t="s">
        <v>3250</v>
      </c>
      <c r="BH2024" t="s">
        <v>3250</v>
      </c>
      <c r="BI2024" t="s">
        <v>3250</v>
      </c>
      <c r="BK2024" t="s">
        <v>3250</v>
      </c>
      <c r="BL2024" t="s">
        <v>3250</v>
      </c>
      <c r="BM2024" t="s">
        <v>3250</v>
      </c>
      <c r="BN2024" t="s">
        <v>3250</v>
      </c>
      <c r="BP2024">
        <v>1</v>
      </c>
      <c r="BQ2024">
        <v>11</v>
      </c>
      <c r="BR2024" t="s">
        <v>1574</v>
      </c>
      <c r="BS2024" t="s">
        <v>3252</v>
      </c>
      <c r="BV2024">
        <v>0</v>
      </c>
      <c r="BW2024">
        <v>0</v>
      </c>
      <c r="BX2024">
        <v>0</v>
      </c>
      <c r="BY2024">
        <v>0</v>
      </c>
      <c r="BZ2024">
        <v>0</v>
      </c>
      <c r="CA2024">
        <v>0</v>
      </c>
      <c r="CB2024">
        <v>0</v>
      </c>
      <c r="CC2024">
        <v>0</v>
      </c>
      <c r="CD2024">
        <v>0</v>
      </c>
      <c r="CE2024" t="s">
        <v>3108</v>
      </c>
      <c r="CF2024" t="s">
        <v>3108</v>
      </c>
      <c r="CG2024" t="s">
        <v>3108</v>
      </c>
      <c r="CH2024" t="s">
        <v>3108</v>
      </c>
    </row>
    <row r="2025" spans="1:86" x14ac:dyDescent="0.2">
      <c r="A2025" t="s">
        <v>6233</v>
      </c>
      <c r="B2025" t="s">
        <v>6233</v>
      </c>
      <c r="C2025">
        <v>55148</v>
      </c>
      <c r="D2025">
        <v>2148</v>
      </c>
      <c r="E2025" t="s">
        <v>6234</v>
      </c>
      <c r="F2025" t="s">
        <v>3249</v>
      </c>
      <c r="G2025" t="s">
        <v>3249</v>
      </c>
      <c r="H2025" t="s">
        <v>3250</v>
      </c>
      <c r="I2025" t="s">
        <v>3250</v>
      </c>
      <c r="J2025" t="s">
        <v>3250</v>
      </c>
      <c r="K2025" t="s">
        <v>3250</v>
      </c>
      <c r="L2025">
        <v>1200</v>
      </c>
      <c r="M2025" t="s">
        <v>2368</v>
      </c>
      <c r="N2025">
        <v>1204</v>
      </c>
      <c r="O2025" t="s">
        <v>1574</v>
      </c>
      <c r="P2025" t="s">
        <v>3108</v>
      </c>
      <c r="Q2025" t="s">
        <v>3249</v>
      </c>
      <c r="R2025" t="s">
        <v>3249</v>
      </c>
      <c r="S2025" t="s">
        <v>472</v>
      </c>
      <c r="T2025" t="s">
        <v>3789</v>
      </c>
      <c r="U2025">
        <v>360</v>
      </c>
      <c r="V2025" t="s">
        <v>3790</v>
      </c>
      <c r="W2025">
        <v>360</v>
      </c>
      <c r="X2025" t="s">
        <v>601</v>
      </c>
      <c r="Y2025" t="s">
        <v>3250</v>
      </c>
      <c r="Z2025" t="s">
        <v>3250</v>
      </c>
      <c r="AA2025" t="s">
        <v>3108</v>
      </c>
      <c r="AB2025" t="s">
        <v>3108</v>
      </c>
      <c r="AC2025" t="s">
        <v>3250</v>
      </c>
      <c r="AD2025" t="s">
        <v>3250</v>
      </c>
      <c r="AE2025" t="s">
        <v>3250</v>
      </c>
      <c r="AF2025" t="s">
        <v>3250</v>
      </c>
      <c r="AG2025" t="s">
        <v>3250</v>
      </c>
      <c r="AH2025" t="s">
        <v>3250</v>
      </c>
      <c r="AI2025" t="s">
        <v>3250</v>
      </c>
      <c r="AJ2025" t="s">
        <v>3250</v>
      </c>
      <c r="AL2025">
        <v>363</v>
      </c>
      <c r="AM2025" t="s">
        <v>925</v>
      </c>
      <c r="AN2025">
        <v>363</v>
      </c>
      <c r="AO2025" t="s">
        <v>925</v>
      </c>
      <c r="AS2025" t="s">
        <v>3250</v>
      </c>
      <c r="AT2025" t="s">
        <v>3250</v>
      </c>
      <c r="AU2025" t="s">
        <v>3250</v>
      </c>
      <c r="AV2025" t="s">
        <v>3250</v>
      </c>
      <c r="AW2025" t="s">
        <v>3250</v>
      </c>
      <c r="AX2025" t="s">
        <v>3250</v>
      </c>
      <c r="AY2025" t="s">
        <v>3250</v>
      </c>
      <c r="AZ2025" t="s">
        <v>3250</v>
      </c>
      <c r="BA2025" t="s">
        <v>3250</v>
      </c>
      <c r="BB2025" t="s">
        <v>3250</v>
      </c>
      <c r="BC2025" t="s">
        <v>3250</v>
      </c>
      <c r="BE2025" t="s">
        <v>3250</v>
      </c>
      <c r="BF2025" t="s">
        <v>3250</v>
      </c>
      <c r="BG2025" t="s">
        <v>3250</v>
      </c>
      <c r="BH2025" t="s">
        <v>3250</v>
      </c>
      <c r="BI2025" t="s">
        <v>3250</v>
      </c>
      <c r="BK2025" t="s">
        <v>3250</v>
      </c>
      <c r="BL2025" t="s">
        <v>3250</v>
      </c>
      <c r="BM2025" t="s">
        <v>3250</v>
      </c>
      <c r="BN2025" t="s">
        <v>3250</v>
      </c>
      <c r="BP2025">
        <v>1</v>
      </c>
      <c r="BQ2025">
        <v>11</v>
      </c>
      <c r="BR2025" t="s">
        <v>1574</v>
      </c>
      <c r="BS2025" t="s">
        <v>3252</v>
      </c>
      <c r="BV2025">
        <v>0</v>
      </c>
      <c r="BW2025">
        <v>0</v>
      </c>
      <c r="BX2025">
        <v>0</v>
      </c>
      <c r="BY2025">
        <v>0</v>
      </c>
      <c r="BZ2025">
        <v>0</v>
      </c>
      <c r="CA2025">
        <v>0</v>
      </c>
      <c r="CB2025">
        <v>0</v>
      </c>
      <c r="CC2025">
        <v>0</v>
      </c>
      <c r="CD2025">
        <v>0</v>
      </c>
      <c r="CE2025" t="s">
        <v>3108</v>
      </c>
      <c r="CF2025" t="s">
        <v>3108</v>
      </c>
      <c r="CG2025" t="s">
        <v>3108</v>
      </c>
      <c r="CH2025" t="s">
        <v>3108</v>
      </c>
    </row>
    <row r="2026" spans="1:86" x14ac:dyDescent="0.2">
      <c r="A2026" t="s">
        <v>6235</v>
      </c>
      <c r="B2026" t="s">
        <v>6235</v>
      </c>
      <c r="C2026">
        <v>55149</v>
      </c>
      <c r="D2026">
        <v>2149</v>
      </c>
      <c r="E2026" t="s">
        <v>6236</v>
      </c>
      <c r="F2026" t="s">
        <v>3249</v>
      </c>
      <c r="G2026" t="s">
        <v>3249</v>
      </c>
      <c r="H2026" t="s">
        <v>3250</v>
      </c>
      <c r="I2026" t="s">
        <v>3250</v>
      </c>
      <c r="J2026" t="s">
        <v>3250</v>
      </c>
      <c r="K2026" t="s">
        <v>3250</v>
      </c>
      <c r="L2026">
        <v>1200</v>
      </c>
      <c r="M2026" t="s">
        <v>2368</v>
      </c>
      <c r="N2026">
        <v>1204</v>
      </c>
      <c r="O2026" t="s">
        <v>1574</v>
      </c>
      <c r="P2026" t="s">
        <v>3108</v>
      </c>
      <c r="Q2026" t="s">
        <v>3249</v>
      </c>
      <c r="R2026" t="s">
        <v>3249</v>
      </c>
      <c r="S2026" t="s">
        <v>472</v>
      </c>
      <c r="T2026" t="s">
        <v>3789</v>
      </c>
      <c r="U2026">
        <v>360</v>
      </c>
      <c r="V2026" t="s">
        <v>3790</v>
      </c>
      <c r="W2026">
        <v>360</v>
      </c>
      <c r="X2026" t="s">
        <v>601</v>
      </c>
      <c r="Y2026" t="s">
        <v>3250</v>
      </c>
      <c r="Z2026" t="s">
        <v>3250</v>
      </c>
      <c r="AA2026" t="s">
        <v>3108</v>
      </c>
      <c r="AB2026" t="s">
        <v>3108</v>
      </c>
      <c r="AC2026" t="s">
        <v>3250</v>
      </c>
      <c r="AD2026" t="s">
        <v>3250</v>
      </c>
      <c r="AE2026" t="s">
        <v>3250</v>
      </c>
      <c r="AF2026" t="s">
        <v>3250</v>
      </c>
      <c r="AG2026" t="s">
        <v>3250</v>
      </c>
      <c r="AH2026" t="s">
        <v>3250</v>
      </c>
      <c r="AI2026" t="s">
        <v>3250</v>
      </c>
      <c r="AJ2026" t="s">
        <v>3250</v>
      </c>
      <c r="AL2026">
        <v>364</v>
      </c>
      <c r="AM2026" t="s">
        <v>1321</v>
      </c>
      <c r="AN2026">
        <v>364</v>
      </c>
      <c r="AO2026" t="s">
        <v>1321</v>
      </c>
      <c r="AS2026" t="s">
        <v>3250</v>
      </c>
      <c r="AT2026" t="s">
        <v>3250</v>
      </c>
      <c r="AU2026" t="s">
        <v>3250</v>
      </c>
      <c r="AV2026" t="s">
        <v>3250</v>
      </c>
      <c r="AW2026" t="s">
        <v>3250</v>
      </c>
      <c r="AX2026" t="s">
        <v>3250</v>
      </c>
      <c r="AY2026" t="s">
        <v>3250</v>
      </c>
      <c r="AZ2026" t="s">
        <v>3250</v>
      </c>
      <c r="BA2026" t="s">
        <v>3250</v>
      </c>
      <c r="BB2026" t="s">
        <v>3250</v>
      </c>
      <c r="BC2026" t="s">
        <v>3250</v>
      </c>
      <c r="BE2026" t="s">
        <v>3250</v>
      </c>
      <c r="BF2026" t="s">
        <v>3250</v>
      </c>
      <c r="BG2026" t="s">
        <v>3250</v>
      </c>
      <c r="BH2026" t="s">
        <v>3250</v>
      </c>
      <c r="BI2026" t="s">
        <v>3250</v>
      </c>
      <c r="BK2026" t="s">
        <v>3250</v>
      </c>
      <c r="BL2026" t="s">
        <v>3250</v>
      </c>
      <c r="BM2026" t="s">
        <v>3250</v>
      </c>
      <c r="BN2026" t="s">
        <v>3250</v>
      </c>
      <c r="BP2026">
        <v>1</v>
      </c>
      <c r="BQ2026">
        <v>11</v>
      </c>
      <c r="BR2026" t="s">
        <v>1574</v>
      </c>
      <c r="BS2026" t="s">
        <v>3252</v>
      </c>
      <c r="BV2026">
        <v>0</v>
      </c>
      <c r="BW2026">
        <v>0</v>
      </c>
      <c r="BX2026">
        <v>0</v>
      </c>
      <c r="BY2026">
        <v>0</v>
      </c>
      <c r="BZ2026">
        <v>0</v>
      </c>
      <c r="CA2026">
        <v>0</v>
      </c>
      <c r="CB2026">
        <v>0</v>
      </c>
      <c r="CC2026">
        <v>0</v>
      </c>
      <c r="CD2026">
        <v>0</v>
      </c>
      <c r="CE2026" t="s">
        <v>3108</v>
      </c>
      <c r="CF2026" t="s">
        <v>3108</v>
      </c>
      <c r="CG2026" t="s">
        <v>3108</v>
      </c>
      <c r="CH2026" t="s">
        <v>3108</v>
      </c>
    </row>
    <row r="2027" spans="1:86" x14ac:dyDescent="0.2">
      <c r="A2027" t="s">
        <v>6237</v>
      </c>
      <c r="B2027" t="s">
        <v>6237</v>
      </c>
      <c r="C2027">
        <v>55150</v>
      </c>
      <c r="D2027">
        <v>2150</v>
      </c>
      <c r="E2027" t="s">
        <v>6238</v>
      </c>
      <c r="F2027" t="s">
        <v>3249</v>
      </c>
      <c r="G2027" t="s">
        <v>3249</v>
      </c>
      <c r="H2027" t="s">
        <v>3250</v>
      </c>
      <c r="I2027" t="s">
        <v>3250</v>
      </c>
      <c r="J2027" t="s">
        <v>3250</v>
      </c>
      <c r="K2027" t="s">
        <v>3250</v>
      </c>
      <c r="L2027">
        <v>1200</v>
      </c>
      <c r="M2027" t="s">
        <v>2368</v>
      </c>
      <c r="N2027">
        <v>1204</v>
      </c>
      <c r="O2027" t="s">
        <v>1574</v>
      </c>
      <c r="P2027" t="s">
        <v>3108</v>
      </c>
      <c r="Q2027" t="s">
        <v>3249</v>
      </c>
      <c r="R2027" t="s">
        <v>3249</v>
      </c>
      <c r="S2027" t="s">
        <v>472</v>
      </c>
      <c r="T2027" t="s">
        <v>3789</v>
      </c>
      <c r="U2027">
        <v>410</v>
      </c>
      <c r="V2027" t="s">
        <v>5193</v>
      </c>
      <c r="W2027">
        <v>410</v>
      </c>
      <c r="X2027" t="s">
        <v>884</v>
      </c>
      <c r="Y2027" t="s">
        <v>3250</v>
      </c>
      <c r="Z2027" t="s">
        <v>3250</v>
      </c>
      <c r="AA2027" t="s">
        <v>3108</v>
      </c>
      <c r="AB2027" t="s">
        <v>3108</v>
      </c>
      <c r="AC2027" t="s">
        <v>3250</v>
      </c>
      <c r="AD2027" t="s">
        <v>3250</v>
      </c>
      <c r="AE2027" t="s">
        <v>3250</v>
      </c>
      <c r="AF2027" t="s">
        <v>3250</v>
      </c>
      <c r="AG2027" t="s">
        <v>3250</v>
      </c>
      <c r="AH2027" t="s">
        <v>3250</v>
      </c>
      <c r="AI2027" t="s">
        <v>3250</v>
      </c>
      <c r="AJ2027" t="s">
        <v>3250</v>
      </c>
      <c r="AL2027">
        <v>413</v>
      </c>
      <c r="AM2027" t="s">
        <v>245</v>
      </c>
      <c r="AN2027">
        <v>413</v>
      </c>
      <c r="AO2027" t="s">
        <v>245</v>
      </c>
      <c r="AS2027" t="s">
        <v>3250</v>
      </c>
      <c r="AT2027" t="s">
        <v>3250</v>
      </c>
      <c r="AU2027" t="s">
        <v>3250</v>
      </c>
      <c r="AV2027" t="s">
        <v>3250</v>
      </c>
      <c r="AW2027" t="s">
        <v>3250</v>
      </c>
      <c r="AX2027" t="s">
        <v>3250</v>
      </c>
      <c r="AY2027" t="s">
        <v>3250</v>
      </c>
      <c r="AZ2027" t="s">
        <v>3250</v>
      </c>
      <c r="BA2027" t="s">
        <v>3250</v>
      </c>
      <c r="BB2027" t="s">
        <v>3250</v>
      </c>
      <c r="BC2027" t="s">
        <v>3250</v>
      </c>
      <c r="BE2027" t="s">
        <v>3250</v>
      </c>
      <c r="BF2027" t="s">
        <v>3250</v>
      </c>
      <c r="BG2027" t="s">
        <v>3250</v>
      </c>
      <c r="BH2027" t="s">
        <v>3250</v>
      </c>
      <c r="BI2027" t="s">
        <v>3250</v>
      </c>
      <c r="BK2027" t="s">
        <v>3250</v>
      </c>
      <c r="BL2027" t="s">
        <v>3250</v>
      </c>
      <c r="BM2027" t="s">
        <v>3250</v>
      </c>
      <c r="BN2027" t="s">
        <v>3250</v>
      </c>
      <c r="BP2027">
        <v>1</v>
      </c>
      <c r="BQ2027">
        <v>11</v>
      </c>
      <c r="BR2027" t="s">
        <v>1574</v>
      </c>
      <c r="BS2027" t="s">
        <v>3252</v>
      </c>
      <c r="BV2027">
        <v>0</v>
      </c>
      <c r="BW2027">
        <v>0</v>
      </c>
      <c r="BX2027">
        <v>0</v>
      </c>
      <c r="BY2027">
        <v>0</v>
      </c>
      <c r="BZ2027">
        <v>0</v>
      </c>
      <c r="CA2027">
        <v>-4158000</v>
      </c>
      <c r="CB2027">
        <v>-4158000</v>
      </c>
      <c r="CC2027">
        <v>-4158000</v>
      </c>
      <c r="CD2027">
        <v>0</v>
      </c>
      <c r="CE2027" t="s">
        <v>3108</v>
      </c>
      <c r="CF2027" t="s">
        <v>3108</v>
      </c>
      <c r="CG2027" t="s">
        <v>3108</v>
      </c>
      <c r="CH2027" t="s">
        <v>3108</v>
      </c>
    </row>
    <row r="2028" spans="1:86" x14ac:dyDescent="0.2">
      <c r="A2028" t="s">
        <v>6239</v>
      </c>
      <c r="B2028" t="s">
        <v>6239</v>
      </c>
      <c r="C2028">
        <v>55151</v>
      </c>
      <c r="D2028">
        <v>2151</v>
      </c>
      <c r="E2028" t="s">
        <v>6240</v>
      </c>
      <c r="F2028" t="s">
        <v>3249</v>
      </c>
      <c r="G2028" t="s">
        <v>3249</v>
      </c>
      <c r="H2028" t="s">
        <v>3250</v>
      </c>
      <c r="I2028" t="s">
        <v>3250</v>
      </c>
      <c r="J2028" t="s">
        <v>3250</v>
      </c>
      <c r="K2028" t="s">
        <v>3250</v>
      </c>
      <c r="L2028">
        <v>1200</v>
      </c>
      <c r="M2028" t="s">
        <v>2368</v>
      </c>
      <c r="N2028">
        <v>1204</v>
      </c>
      <c r="O2028" t="s">
        <v>1574</v>
      </c>
      <c r="P2028" t="s">
        <v>3108</v>
      </c>
      <c r="Q2028" t="s">
        <v>3249</v>
      </c>
      <c r="R2028" t="s">
        <v>3249</v>
      </c>
      <c r="S2028" t="s">
        <v>472</v>
      </c>
      <c r="T2028" t="s">
        <v>3789</v>
      </c>
      <c r="U2028">
        <v>410</v>
      </c>
      <c r="V2028" t="s">
        <v>5193</v>
      </c>
      <c r="W2028">
        <v>410</v>
      </c>
      <c r="X2028" t="s">
        <v>884</v>
      </c>
      <c r="Y2028" t="s">
        <v>3250</v>
      </c>
      <c r="Z2028" t="s">
        <v>3250</v>
      </c>
      <c r="AA2028" t="s">
        <v>3108</v>
      </c>
      <c r="AB2028" t="s">
        <v>3108</v>
      </c>
      <c r="AC2028" t="s">
        <v>3250</v>
      </c>
      <c r="AD2028" t="s">
        <v>3250</v>
      </c>
      <c r="AE2028" t="s">
        <v>3250</v>
      </c>
      <c r="AF2028" t="s">
        <v>3250</v>
      </c>
      <c r="AG2028" t="s">
        <v>3250</v>
      </c>
      <c r="AH2028" t="s">
        <v>3250</v>
      </c>
      <c r="AI2028" t="s">
        <v>3250</v>
      </c>
      <c r="AJ2028" t="s">
        <v>3250</v>
      </c>
      <c r="AL2028">
        <v>413</v>
      </c>
      <c r="AM2028" t="s">
        <v>245</v>
      </c>
      <c r="AN2028">
        <v>413</v>
      </c>
      <c r="AO2028" t="s">
        <v>245</v>
      </c>
      <c r="AS2028" t="s">
        <v>3250</v>
      </c>
      <c r="AT2028" t="s">
        <v>3250</v>
      </c>
      <c r="AU2028" t="s">
        <v>3250</v>
      </c>
      <c r="AV2028" t="s">
        <v>3250</v>
      </c>
      <c r="AW2028" t="s">
        <v>3250</v>
      </c>
      <c r="AX2028" t="s">
        <v>3250</v>
      </c>
      <c r="AY2028" t="s">
        <v>3250</v>
      </c>
      <c r="AZ2028" t="s">
        <v>3250</v>
      </c>
      <c r="BA2028" t="s">
        <v>3250</v>
      </c>
      <c r="BB2028" t="s">
        <v>3250</v>
      </c>
      <c r="BC2028" t="s">
        <v>3250</v>
      </c>
      <c r="BE2028" t="s">
        <v>3250</v>
      </c>
      <c r="BF2028" t="s">
        <v>3250</v>
      </c>
      <c r="BG2028" t="s">
        <v>3250</v>
      </c>
      <c r="BH2028" t="s">
        <v>3250</v>
      </c>
      <c r="BI2028" t="s">
        <v>3250</v>
      </c>
      <c r="BK2028" t="s">
        <v>3250</v>
      </c>
      <c r="BL2028" t="s">
        <v>3250</v>
      </c>
      <c r="BM2028" t="s">
        <v>3250</v>
      </c>
      <c r="BN2028" t="s">
        <v>3250</v>
      </c>
      <c r="BP2028">
        <v>1</v>
      </c>
      <c r="BQ2028">
        <v>11</v>
      </c>
      <c r="BR2028" t="s">
        <v>1574</v>
      </c>
      <c r="BS2028" t="s">
        <v>3252</v>
      </c>
      <c r="BV2028">
        <v>0</v>
      </c>
      <c r="BW2028">
        <v>0</v>
      </c>
      <c r="BX2028">
        <v>0</v>
      </c>
      <c r="BY2028">
        <v>0</v>
      </c>
      <c r="BZ2028">
        <v>0</v>
      </c>
      <c r="CA2028">
        <v>0</v>
      </c>
      <c r="CB2028">
        <v>0</v>
      </c>
      <c r="CC2028">
        <v>0</v>
      </c>
      <c r="CD2028">
        <v>0</v>
      </c>
      <c r="CE2028" t="s">
        <v>3108</v>
      </c>
      <c r="CF2028" t="s">
        <v>3108</v>
      </c>
      <c r="CG2028" t="s">
        <v>3108</v>
      </c>
      <c r="CH2028" t="s">
        <v>3108</v>
      </c>
    </row>
    <row r="2029" spans="1:86" x14ac:dyDescent="0.2">
      <c r="A2029" t="s">
        <v>6241</v>
      </c>
      <c r="B2029" t="s">
        <v>6241</v>
      </c>
      <c r="C2029">
        <v>55152</v>
      </c>
      <c r="D2029">
        <v>2152</v>
      </c>
      <c r="E2029" t="s">
        <v>6242</v>
      </c>
      <c r="F2029" t="s">
        <v>3249</v>
      </c>
      <c r="G2029" t="s">
        <v>3249</v>
      </c>
      <c r="H2029" t="s">
        <v>3250</v>
      </c>
      <c r="I2029" t="s">
        <v>3250</v>
      </c>
      <c r="J2029" t="s">
        <v>3250</v>
      </c>
      <c r="K2029" t="s">
        <v>3250</v>
      </c>
      <c r="L2029">
        <v>1200</v>
      </c>
      <c r="M2029" t="s">
        <v>2368</v>
      </c>
      <c r="N2029">
        <v>1204</v>
      </c>
      <c r="O2029" t="s">
        <v>1574</v>
      </c>
      <c r="P2029" t="s">
        <v>3108</v>
      </c>
      <c r="Q2029" t="s">
        <v>3249</v>
      </c>
      <c r="R2029" t="s">
        <v>3249</v>
      </c>
      <c r="S2029" t="s">
        <v>472</v>
      </c>
      <c r="T2029" t="s">
        <v>5188</v>
      </c>
      <c r="U2029">
        <v>460</v>
      </c>
      <c r="V2029" t="s">
        <v>5189</v>
      </c>
      <c r="W2029">
        <v>460</v>
      </c>
      <c r="X2029" t="s">
        <v>363</v>
      </c>
      <c r="Y2029" t="s">
        <v>3250</v>
      </c>
      <c r="Z2029" t="s">
        <v>3250</v>
      </c>
      <c r="AA2029" t="s">
        <v>3108</v>
      </c>
      <c r="AB2029" t="s">
        <v>3108</v>
      </c>
      <c r="AC2029" t="s">
        <v>3250</v>
      </c>
      <c r="AD2029" t="s">
        <v>3250</v>
      </c>
      <c r="AE2029" t="s">
        <v>3250</v>
      </c>
      <c r="AF2029" t="s">
        <v>3250</v>
      </c>
      <c r="AG2029" t="s">
        <v>3250</v>
      </c>
      <c r="AH2029" t="s">
        <v>3250</v>
      </c>
      <c r="AI2029" t="s">
        <v>3250</v>
      </c>
      <c r="AJ2029" t="s">
        <v>3250</v>
      </c>
      <c r="AL2029">
        <v>461</v>
      </c>
      <c r="AM2029" t="s">
        <v>6243</v>
      </c>
      <c r="AN2029">
        <v>461</v>
      </c>
      <c r="AO2029" t="s">
        <v>6243</v>
      </c>
      <c r="AS2029" t="s">
        <v>3250</v>
      </c>
      <c r="AT2029" t="s">
        <v>3250</v>
      </c>
      <c r="AU2029" t="s">
        <v>3250</v>
      </c>
      <c r="AV2029" t="s">
        <v>3250</v>
      </c>
      <c r="AW2029" t="s">
        <v>3250</v>
      </c>
      <c r="AX2029" t="s">
        <v>3250</v>
      </c>
      <c r="AY2029" t="s">
        <v>3250</v>
      </c>
      <c r="AZ2029" t="s">
        <v>3250</v>
      </c>
      <c r="BA2029" t="s">
        <v>3250</v>
      </c>
      <c r="BB2029" t="s">
        <v>3250</v>
      </c>
      <c r="BC2029" t="s">
        <v>3250</v>
      </c>
      <c r="BE2029" t="s">
        <v>3250</v>
      </c>
      <c r="BF2029" t="s">
        <v>3250</v>
      </c>
      <c r="BG2029" t="s">
        <v>3250</v>
      </c>
      <c r="BH2029" t="s">
        <v>3250</v>
      </c>
      <c r="BI2029" t="s">
        <v>3250</v>
      </c>
      <c r="BK2029" t="s">
        <v>3250</v>
      </c>
      <c r="BL2029" t="s">
        <v>3250</v>
      </c>
      <c r="BM2029" t="s">
        <v>3250</v>
      </c>
      <c r="BN2029" t="s">
        <v>3250</v>
      </c>
      <c r="BP2029">
        <v>1</v>
      </c>
      <c r="BQ2029">
        <v>11</v>
      </c>
      <c r="BR2029" t="s">
        <v>1574</v>
      </c>
      <c r="BS2029" t="s">
        <v>3252</v>
      </c>
      <c r="BV2029">
        <v>0</v>
      </c>
      <c r="BW2029">
        <v>0</v>
      </c>
      <c r="BX2029">
        <v>0</v>
      </c>
      <c r="BY2029">
        <v>0</v>
      </c>
      <c r="BZ2029">
        <v>-234494155</v>
      </c>
      <c r="CA2029">
        <v>-248493956</v>
      </c>
      <c r="CB2029">
        <v>-169399875</v>
      </c>
      <c r="CC2029">
        <v>-163753247</v>
      </c>
      <c r="CD2029">
        <v>0</v>
      </c>
      <c r="CE2029" t="s">
        <v>3108</v>
      </c>
      <c r="CF2029" t="s">
        <v>3108</v>
      </c>
      <c r="CG2029" t="s">
        <v>3108</v>
      </c>
      <c r="CH2029" t="s">
        <v>3108</v>
      </c>
    </row>
    <row r="2030" spans="1:86" x14ac:dyDescent="0.2">
      <c r="A2030" t="s">
        <v>6244</v>
      </c>
      <c r="B2030" t="s">
        <v>6244</v>
      </c>
      <c r="C2030">
        <v>55153</v>
      </c>
      <c r="D2030">
        <v>2153</v>
      </c>
      <c r="E2030" t="s">
        <v>5670</v>
      </c>
      <c r="F2030" t="s">
        <v>3249</v>
      </c>
      <c r="G2030" t="s">
        <v>3249</v>
      </c>
      <c r="H2030" t="s">
        <v>3250</v>
      </c>
      <c r="I2030" t="s">
        <v>3250</v>
      </c>
      <c r="J2030" t="s">
        <v>3250</v>
      </c>
      <c r="K2030" t="s">
        <v>3250</v>
      </c>
      <c r="L2030">
        <v>1200</v>
      </c>
      <c r="M2030" t="s">
        <v>2368</v>
      </c>
      <c r="N2030">
        <v>1204</v>
      </c>
      <c r="O2030" t="s">
        <v>1574</v>
      </c>
      <c r="P2030" t="s">
        <v>3108</v>
      </c>
      <c r="Q2030" t="s">
        <v>3249</v>
      </c>
      <c r="R2030" t="s">
        <v>3249</v>
      </c>
      <c r="S2030" t="s">
        <v>472</v>
      </c>
      <c r="T2030" t="s">
        <v>3789</v>
      </c>
      <c r="U2030">
        <v>360</v>
      </c>
      <c r="V2030" t="s">
        <v>3790</v>
      </c>
      <c r="W2030">
        <v>360</v>
      </c>
      <c r="X2030" t="s">
        <v>601</v>
      </c>
      <c r="Y2030" t="s">
        <v>3250</v>
      </c>
      <c r="Z2030" t="s">
        <v>3250</v>
      </c>
      <c r="AA2030" t="s">
        <v>3108</v>
      </c>
      <c r="AB2030" t="s">
        <v>3108</v>
      </c>
      <c r="AC2030" t="s">
        <v>3250</v>
      </c>
      <c r="AD2030" t="s">
        <v>3250</v>
      </c>
      <c r="AE2030" t="s">
        <v>3250</v>
      </c>
      <c r="AF2030" t="s">
        <v>3250</v>
      </c>
      <c r="AG2030" t="s">
        <v>3250</v>
      </c>
      <c r="AH2030" t="s">
        <v>3250</v>
      </c>
      <c r="AI2030" t="s">
        <v>3250</v>
      </c>
      <c r="AJ2030" t="s">
        <v>3250</v>
      </c>
      <c r="AL2030">
        <v>363</v>
      </c>
      <c r="AM2030" t="s">
        <v>925</v>
      </c>
      <c r="AN2030">
        <v>363</v>
      </c>
      <c r="AO2030" t="s">
        <v>925</v>
      </c>
      <c r="AS2030" t="s">
        <v>3250</v>
      </c>
      <c r="AT2030" t="s">
        <v>3250</v>
      </c>
      <c r="AU2030" t="s">
        <v>3250</v>
      </c>
      <c r="AV2030" t="s">
        <v>3250</v>
      </c>
      <c r="AW2030" t="s">
        <v>3250</v>
      </c>
      <c r="AX2030" t="s">
        <v>3250</v>
      </c>
      <c r="AY2030" t="s">
        <v>3250</v>
      </c>
      <c r="AZ2030" t="s">
        <v>3250</v>
      </c>
      <c r="BA2030" t="s">
        <v>3250</v>
      </c>
      <c r="BB2030" t="s">
        <v>3250</v>
      </c>
      <c r="BC2030" t="s">
        <v>3250</v>
      </c>
      <c r="BE2030" t="s">
        <v>3250</v>
      </c>
      <c r="BF2030" t="s">
        <v>3250</v>
      </c>
      <c r="BG2030" t="s">
        <v>3250</v>
      </c>
      <c r="BH2030" t="s">
        <v>3250</v>
      </c>
      <c r="BI2030" t="s">
        <v>3250</v>
      </c>
      <c r="BK2030" t="s">
        <v>3250</v>
      </c>
      <c r="BL2030" t="s">
        <v>3250</v>
      </c>
      <c r="BM2030" t="s">
        <v>3250</v>
      </c>
      <c r="BN2030" t="s">
        <v>3250</v>
      </c>
      <c r="BP2030">
        <v>1</v>
      </c>
      <c r="BQ2030">
        <v>11</v>
      </c>
      <c r="BR2030" t="s">
        <v>1574</v>
      </c>
      <c r="BS2030" t="s">
        <v>3252</v>
      </c>
      <c r="BV2030">
        <v>0</v>
      </c>
      <c r="BW2030">
        <v>0</v>
      </c>
      <c r="BX2030">
        <v>0</v>
      </c>
      <c r="BY2030">
        <v>0</v>
      </c>
      <c r="BZ2030">
        <v>0</v>
      </c>
      <c r="CA2030">
        <v>0</v>
      </c>
      <c r="CB2030">
        <v>0</v>
      </c>
      <c r="CC2030">
        <v>0</v>
      </c>
      <c r="CD2030">
        <v>0</v>
      </c>
      <c r="CE2030" t="s">
        <v>3108</v>
      </c>
      <c r="CF2030" t="s">
        <v>3108</v>
      </c>
      <c r="CG2030" t="s">
        <v>3108</v>
      </c>
      <c r="CH2030" t="s">
        <v>3108</v>
      </c>
    </row>
    <row r="2031" spans="1:86" x14ac:dyDescent="0.2">
      <c r="A2031" t="s">
        <v>6245</v>
      </c>
      <c r="B2031" t="s">
        <v>6245</v>
      </c>
      <c r="C2031">
        <v>55154</v>
      </c>
      <c r="D2031">
        <v>2154</v>
      </c>
      <c r="E2031" t="s">
        <v>6246</v>
      </c>
      <c r="F2031" t="s">
        <v>3249</v>
      </c>
      <c r="G2031" t="s">
        <v>3249</v>
      </c>
      <c r="H2031" t="s">
        <v>3250</v>
      </c>
      <c r="I2031" t="s">
        <v>3250</v>
      </c>
      <c r="J2031" t="s">
        <v>3250</v>
      </c>
      <c r="K2031" t="s">
        <v>3250</v>
      </c>
      <c r="L2031">
        <v>1200</v>
      </c>
      <c r="M2031" t="s">
        <v>2368</v>
      </c>
      <c r="N2031">
        <v>1204</v>
      </c>
      <c r="O2031" t="s">
        <v>1574</v>
      </c>
      <c r="P2031" t="s">
        <v>3108</v>
      </c>
      <c r="Q2031" t="s">
        <v>3249</v>
      </c>
      <c r="R2031" t="s">
        <v>3249</v>
      </c>
      <c r="S2031" t="s">
        <v>472</v>
      </c>
      <c r="T2031" t="s">
        <v>3789</v>
      </c>
      <c r="U2031">
        <v>360</v>
      </c>
      <c r="V2031" t="s">
        <v>3790</v>
      </c>
      <c r="W2031">
        <v>360</v>
      </c>
      <c r="X2031" t="s">
        <v>601</v>
      </c>
      <c r="Y2031" t="s">
        <v>3250</v>
      </c>
      <c r="Z2031" t="s">
        <v>3250</v>
      </c>
      <c r="AA2031" t="s">
        <v>3108</v>
      </c>
      <c r="AB2031" t="s">
        <v>3108</v>
      </c>
      <c r="AC2031" t="s">
        <v>3250</v>
      </c>
      <c r="AD2031" t="s">
        <v>3250</v>
      </c>
      <c r="AE2031" t="s">
        <v>3250</v>
      </c>
      <c r="AF2031" t="s">
        <v>3250</v>
      </c>
      <c r="AG2031" t="s">
        <v>3250</v>
      </c>
      <c r="AH2031" t="s">
        <v>3250</v>
      </c>
      <c r="AI2031" t="s">
        <v>3250</v>
      </c>
      <c r="AJ2031" t="s">
        <v>3250</v>
      </c>
      <c r="AL2031">
        <v>363</v>
      </c>
      <c r="AM2031" t="s">
        <v>925</v>
      </c>
      <c r="AN2031">
        <v>363</v>
      </c>
      <c r="AO2031" t="s">
        <v>925</v>
      </c>
      <c r="AS2031" t="s">
        <v>3250</v>
      </c>
      <c r="AT2031" t="s">
        <v>3250</v>
      </c>
      <c r="AU2031" t="s">
        <v>3250</v>
      </c>
      <c r="AV2031" t="s">
        <v>3250</v>
      </c>
      <c r="AW2031" t="s">
        <v>3250</v>
      </c>
      <c r="AX2031" t="s">
        <v>3250</v>
      </c>
      <c r="AY2031" t="s">
        <v>3250</v>
      </c>
      <c r="AZ2031" t="s">
        <v>3250</v>
      </c>
      <c r="BA2031" t="s">
        <v>3250</v>
      </c>
      <c r="BB2031" t="s">
        <v>3250</v>
      </c>
      <c r="BC2031" t="s">
        <v>3250</v>
      </c>
      <c r="BE2031" t="s">
        <v>3250</v>
      </c>
      <c r="BF2031" t="s">
        <v>3250</v>
      </c>
      <c r="BG2031" t="s">
        <v>3250</v>
      </c>
      <c r="BH2031" t="s">
        <v>3250</v>
      </c>
      <c r="BI2031" t="s">
        <v>3250</v>
      </c>
      <c r="BK2031" t="s">
        <v>3250</v>
      </c>
      <c r="BL2031" t="s">
        <v>3250</v>
      </c>
      <c r="BM2031" t="s">
        <v>3250</v>
      </c>
      <c r="BN2031" t="s">
        <v>3250</v>
      </c>
      <c r="BP2031">
        <v>1</v>
      </c>
      <c r="BQ2031">
        <v>11</v>
      </c>
      <c r="BR2031" t="s">
        <v>1574</v>
      </c>
      <c r="BS2031" t="s">
        <v>3252</v>
      </c>
      <c r="BV2031">
        <v>0</v>
      </c>
      <c r="BW2031">
        <v>0</v>
      </c>
      <c r="BX2031">
        <v>0</v>
      </c>
      <c r="BY2031">
        <v>0</v>
      </c>
      <c r="BZ2031">
        <v>0</v>
      </c>
      <c r="CA2031">
        <v>0</v>
      </c>
      <c r="CB2031">
        <v>0</v>
      </c>
      <c r="CC2031">
        <v>0</v>
      </c>
      <c r="CD2031">
        <v>0</v>
      </c>
      <c r="CE2031" t="s">
        <v>3108</v>
      </c>
      <c r="CF2031" t="s">
        <v>3108</v>
      </c>
      <c r="CG2031" t="s">
        <v>3108</v>
      </c>
      <c r="CH2031" t="s">
        <v>3108</v>
      </c>
    </row>
    <row r="2032" spans="1:86" x14ac:dyDescent="0.2">
      <c r="A2032" t="s">
        <v>6247</v>
      </c>
      <c r="B2032" t="s">
        <v>6247</v>
      </c>
      <c r="C2032">
        <v>55155</v>
      </c>
      <c r="D2032">
        <v>2155</v>
      </c>
      <c r="E2032" t="s">
        <v>6246</v>
      </c>
      <c r="F2032" t="s">
        <v>3249</v>
      </c>
      <c r="G2032" t="s">
        <v>3249</v>
      </c>
      <c r="H2032" t="s">
        <v>3250</v>
      </c>
      <c r="I2032" t="s">
        <v>3250</v>
      </c>
      <c r="J2032" t="s">
        <v>3250</v>
      </c>
      <c r="K2032" t="s">
        <v>3250</v>
      </c>
      <c r="L2032">
        <v>1200</v>
      </c>
      <c r="M2032" t="s">
        <v>2368</v>
      </c>
      <c r="N2032">
        <v>1204</v>
      </c>
      <c r="O2032" t="s">
        <v>1574</v>
      </c>
      <c r="P2032" t="s">
        <v>3108</v>
      </c>
      <c r="Q2032" t="s">
        <v>3249</v>
      </c>
      <c r="R2032" t="s">
        <v>3249</v>
      </c>
      <c r="S2032" t="s">
        <v>472</v>
      </c>
      <c r="T2032" t="s">
        <v>3789</v>
      </c>
      <c r="U2032">
        <v>360</v>
      </c>
      <c r="V2032" t="s">
        <v>3790</v>
      </c>
      <c r="W2032">
        <v>360</v>
      </c>
      <c r="X2032" t="s">
        <v>601</v>
      </c>
      <c r="Y2032" t="s">
        <v>3250</v>
      </c>
      <c r="Z2032" t="s">
        <v>3250</v>
      </c>
      <c r="AA2032" t="s">
        <v>3108</v>
      </c>
      <c r="AB2032" t="s">
        <v>3108</v>
      </c>
      <c r="AC2032" t="s">
        <v>3250</v>
      </c>
      <c r="AD2032" t="s">
        <v>3250</v>
      </c>
      <c r="AE2032" t="s">
        <v>3250</v>
      </c>
      <c r="AF2032" t="s">
        <v>3250</v>
      </c>
      <c r="AG2032" t="s">
        <v>3250</v>
      </c>
      <c r="AH2032" t="s">
        <v>3250</v>
      </c>
      <c r="AI2032" t="s">
        <v>3250</v>
      </c>
      <c r="AJ2032" t="s">
        <v>3250</v>
      </c>
      <c r="AL2032">
        <v>363</v>
      </c>
      <c r="AM2032" t="s">
        <v>925</v>
      </c>
      <c r="AN2032">
        <v>363</v>
      </c>
      <c r="AO2032" t="s">
        <v>925</v>
      </c>
      <c r="AS2032" t="s">
        <v>3250</v>
      </c>
      <c r="AT2032" t="s">
        <v>3250</v>
      </c>
      <c r="AU2032" t="s">
        <v>3250</v>
      </c>
      <c r="AV2032" t="s">
        <v>3250</v>
      </c>
      <c r="AW2032" t="s">
        <v>3250</v>
      </c>
      <c r="AX2032" t="s">
        <v>3250</v>
      </c>
      <c r="AY2032" t="s">
        <v>3250</v>
      </c>
      <c r="AZ2032" t="s">
        <v>3250</v>
      </c>
      <c r="BA2032" t="s">
        <v>3250</v>
      </c>
      <c r="BB2032" t="s">
        <v>3250</v>
      </c>
      <c r="BC2032" t="s">
        <v>3250</v>
      </c>
      <c r="BE2032" t="s">
        <v>3250</v>
      </c>
      <c r="BF2032" t="s">
        <v>3250</v>
      </c>
      <c r="BG2032" t="s">
        <v>3250</v>
      </c>
      <c r="BH2032" t="s">
        <v>3250</v>
      </c>
      <c r="BI2032" t="s">
        <v>3250</v>
      </c>
      <c r="BK2032" t="s">
        <v>3250</v>
      </c>
      <c r="BL2032" t="s">
        <v>3250</v>
      </c>
      <c r="BM2032" t="s">
        <v>3250</v>
      </c>
      <c r="BN2032" t="s">
        <v>3250</v>
      </c>
      <c r="BP2032">
        <v>1</v>
      </c>
      <c r="BQ2032">
        <v>11</v>
      </c>
      <c r="BR2032" t="s">
        <v>1574</v>
      </c>
      <c r="BS2032" t="s">
        <v>3252</v>
      </c>
      <c r="BV2032">
        <v>0</v>
      </c>
      <c r="BW2032">
        <v>0</v>
      </c>
      <c r="BX2032">
        <v>0</v>
      </c>
      <c r="BY2032">
        <v>0</v>
      </c>
      <c r="BZ2032">
        <v>0</v>
      </c>
      <c r="CA2032">
        <v>0</v>
      </c>
      <c r="CB2032">
        <v>0</v>
      </c>
      <c r="CC2032">
        <v>0</v>
      </c>
      <c r="CD2032">
        <v>0</v>
      </c>
      <c r="CE2032" t="s">
        <v>3108</v>
      </c>
      <c r="CF2032" t="s">
        <v>3108</v>
      </c>
      <c r="CG2032" t="s">
        <v>3108</v>
      </c>
      <c r="CH2032" t="s">
        <v>3108</v>
      </c>
    </row>
    <row r="2033" spans="1:86" x14ac:dyDescent="0.2">
      <c r="A2033" t="s">
        <v>6248</v>
      </c>
      <c r="B2033" t="s">
        <v>6248</v>
      </c>
      <c r="C2033">
        <v>55156</v>
      </c>
      <c r="D2033">
        <v>2156</v>
      </c>
      <c r="E2033" t="s">
        <v>6246</v>
      </c>
      <c r="F2033" t="s">
        <v>3249</v>
      </c>
      <c r="G2033" t="s">
        <v>3249</v>
      </c>
      <c r="H2033" t="s">
        <v>3250</v>
      </c>
      <c r="I2033" t="s">
        <v>3250</v>
      </c>
      <c r="J2033" t="s">
        <v>3250</v>
      </c>
      <c r="K2033" t="s">
        <v>3250</v>
      </c>
      <c r="L2033">
        <v>1200</v>
      </c>
      <c r="M2033" t="s">
        <v>2368</v>
      </c>
      <c r="N2033">
        <v>1204</v>
      </c>
      <c r="O2033" t="s">
        <v>1574</v>
      </c>
      <c r="P2033" t="s">
        <v>3108</v>
      </c>
      <c r="Q2033" t="s">
        <v>3249</v>
      </c>
      <c r="R2033" t="s">
        <v>3249</v>
      </c>
      <c r="S2033" t="s">
        <v>472</v>
      </c>
      <c r="T2033" t="s">
        <v>3789</v>
      </c>
      <c r="U2033">
        <v>360</v>
      </c>
      <c r="V2033" t="s">
        <v>3790</v>
      </c>
      <c r="W2033">
        <v>360</v>
      </c>
      <c r="X2033" t="s">
        <v>601</v>
      </c>
      <c r="Y2033" t="s">
        <v>3250</v>
      </c>
      <c r="Z2033" t="s">
        <v>3250</v>
      </c>
      <c r="AA2033" t="s">
        <v>3108</v>
      </c>
      <c r="AB2033" t="s">
        <v>3108</v>
      </c>
      <c r="AC2033" t="s">
        <v>3250</v>
      </c>
      <c r="AD2033" t="s">
        <v>3250</v>
      </c>
      <c r="AE2033" t="s">
        <v>3250</v>
      </c>
      <c r="AF2033" t="s">
        <v>3250</v>
      </c>
      <c r="AG2033" t="s">
        <v>3250</v>
      </c>
      <c r="AH2033" t="s">
        <v>3250</v>
      </c>
      <c r="AI2033" t="s">
        <v>3250</v>
      </c>
      <c r="AJ2033" t="s">
        <v>3250</v>
      </c>
      <c r="AL2033">
        <v>363</v>
      </c>
      <c r="AM2033" t="s">
        <v>925</v>
      </c>
      <c r="AN2033">
        <v>363</v>
      </c>
      <c r="AO2033" t="s">
        <v>925</v>
      </c>
      <c r="AS2033" t="s">
        <v>3250</v>
      </c>
      <c r="AT2033" t="s">
        <v>3250</v>
      </c>
      <c r="AU2033" t="s">
        <v>3250</v>
      </c>
      <c r="AV2033" t="s">
        <v>3250</v>
      </c>
      <c r="AW2033" t="s">
        <v>3250</v>
      </c>
      <c r="AX2033" t="s">
        <v>3250</v>
      </c>
      <c r="AY2033" t="s">
        <v>3250</v>
      </c>
      <c r="AZ2033" t="s">
        <v>3250</v>
      </c>
      <c r="BA2033" t="s">
        <v>3250</v>
      </c>
      <c r="BB2033" t="s">
        <v>3250</v>
      </c>
      <c r="BC2033" t="s">
        <v>3250</v>
      </c>
      <c r="BE2033" t="s">
        <v>3250</v>
      </c>
      <c r="BF2033" t="s">
        <v>3250</v>
      </c>
      <c r="BG2033" t="s">
        <v>3250</v>
      </c>
      <c r="BH2033" t="s">
        <v>3250</v>
      </c>
      <c r="BI2033" t="s">
        <v>3250</v>
      </c>
      <c r="BK2033" t="s">
        <v>3250</v>
      </c>
      <c r="BL2033" t="s">
        <v>3250</v>
      </c>
      <c r="BM2033" t="s">
        <v>3250</v>
      </c>
      <c r="BN2033" t="s">
        <v>3250</v>
      </c>
      <c r="BP2033">
        <v>1</v>
      </c>
      <c r="BQ2033">
        <v>11</v>
      </c>
      <c r="BR2033" t="s">
        <v>1574</v>
      </c>
      <c r="BS2033" t="s">
        <v>3252</v>
      </c>
      <c r="BV2033">
        <v>0</v>
      </c>
      <c r="BW2033">
        <v>0</v>
      </c>
      <c r="BX2033">
        <v>0</v>
      </c>
      <c r="BY2033">
        <v>0</v>
      </c>
      <c r="BZ2033">
        <v>0</v>
      </c>
      <c r="CA2033">
        <v>0</v>
      </c>
      <c r="CB2033">
        <v>0</v>
      </c>
      <c r="CC2033">
        <v>0</v>
      </c>
      <c r="CD2033">
        <v>0</v>
      </c>
      <c r="CE2033" t="s">
        <v>3108</v>
      </c>
      <c r="CF2033" t="s">
        <v>3108</v>
      </c>
      <c r="CG2033" t="s">
        <v>3108</v>
      </c>
      <c r="CH2033" t="s">
        <v>3108</v>
      </c>
    </row>
    <row r="2034" spans="1:86" x14ac:dyDescent="0.2">
      <c r="A2034" t="s">
        <v>6249</v>
      </c>
      <c r="B2034" t="s">
        <v>6249</v>
      </c>
      <c r="C2034">
        <v>55157</v>
      </c>
      <c r="D2034">
        <v>2157</v>
      </c>
      <c r="E2034" t="s">
        <v>5670</v>
      </c>
      <c r="F2034" t="s">
        <v>3249</v>
      </c>
      <c r="G2034" t="s">
        <v>3249</v>
      </c>
      <c r="H2034" t="s">
        <v>3250</v>
      </c>
      <c r="I2034" t="s">
        <v>3250</v>
      </c>
      <c r="J2034" t="s">
        <v>3250</v>
      </c>
      <c r="K2034" t="s">
        <v>3250</v>
      </c>
      <c r="L2034">
        <v>1200</v>
      </c>
      <c r="M2034" t="s">
        <v>2368</v>
      </c>
      <c r="N2034">
        <v>1204</v>
      </c>
      <c r="O2034" t="s">
        <v>1574</v>
      </c>
      <c r="P2034" t="s">
        <v>3108</v>
      </c>
      <c r="Q2034" t="s">
        <v>3249</v>
      </c>
      <c r="R2034" t="s">
        <v>3249</v>
      </c>
      <c r="S2034" t="s">
        <v>472</v>
      </c>
      <c r="T2034" t="s">
        <v>3789</v>
      </c>
      <c r="U2034">
        <v>360</v>
      </c>
      <c r="V2034" t="s">
        <v>3790</v>
      </c>
      <c r="W2034">
        <v>360</v>
      </c>
      <c r="X2034" t="s">
        <v>601</v>
      </c>
      <c r="Y2034" t="s">
        <v>3250</v>
      </c>
      <c r="Z2034" t="s">
        <v>3250</v>
      </c>
      <c r="AA2034" t="s">
        <v>3108</v>
      </c>
      <c r="AB2034" t="s">
        <v>3108</v>
      </c>
      <c r="AC2034" t="s">
        <v>3250</v>
      </c>
      <c r="AD2034" t="s">
        <v>3250</v>
      </c>
      <c r="AE2034" t="s">
        <v>3250</v>
      </c>
      <c r="AF2034" t="s">
        <v>3250</v>
      </c>
      <c r="AG2034" t="s">
        <v>3250</v>
      </c>
      <c r="AH2034" t="s">
        <v>3250</v>
      </c>
      <c r="AI2034" t="s">
        <v>3250</v>
      </c>
      <c r="AJ2034" t="s">
        <v>3250</v>
      </c>
      <c r="AL2034">
        <v>363</v>
      </c>
      <c r="AM2034" t="s">
        <v>925</v>
      </c>
      <c r="AN2034">
        <v>363</v>
      </c>
      <c r="AO2034" t="s">
        <v>925</v>
      </c>
      <c r="AS2034" t="s">
        <v>3250</v>
      </c>
      <c r="AT2034" t="s">
        <v>3250</v>
      </c>
      <c r="AU2034" t="s">
        <v>3250</v>
      </c>
      <c r="AV2034" t="s">
        <v>3250</v>
      </c>
      <c r="AW2034" t="s">
        <v>3250</v>
      </c>
      <c r="AX2034" t="s">
        <v>3250</v>
      </c>
      <c r="AY2034" t="s">
        <v>3250</v>
      </c>
      <c r="AZ2034" t="s">
        <v>3250</v>
      </c>
      <c r="BA2034" t="s">
        <v>3250</v>
      </c>
      <c r="BB2034" t="s">
        <v>3250</v>
      </c>
      <c r="BC2034" t="s">
        <v>3250</v>
      </c>
      <c r="BE2034" t="s">
        <v>3250</v>
      </c>
      <c r="BF2034" t="s">
        <v>3250</v>
      </c>
      <c r="BG2034" t="s">
        <v>3250</v>
      </c>
      <c r="BH2034" t="s">
        <v>3250</v>
      </c>
      <c r="BI2034" t="s">
        <v>3250</v>
      </c>
      <c r="BK2034" t="s">
        <v>3250</v>
      </c>
      <c r="BL2034" t="s">
        <v>3250</v>
      </c>
      <c r="BM2034" t="s">
        <v>3250</v>
      </c>
      <c r="BN2034" t="s">
        <v>3250</v>
      </c>
      <c r="BP2034">
        <v>1</v>
      </c>
      <c r="BQ2034">
        <v>11</v>
      </c>
      <c r="BR2034" t="s">
        <v>1574</v>
      </c>
      <c r="BS2034" t="s">
        <v>3252</v>
      </c>
      <c r="BV2034">
        <v>0</v>
      </c>
      <c r="BW2034">
        <v>0</v>
      </c>
      <c r="BX2034">
        <v>0</v>
      </c>
      <c r="BY2034">
        <v>0</v>
      </c>
      <c r="BZ2034">
        <v>0</v>
      </c>
      <c r="CA2034">
        <v>0</v>
      </c>
      <c r="CB2034">
        <v>0</v>
      </c>
      <c r="CC2034">
        <v>0</v>
      </c>
      <c r="CD2034">
        <v>0</v>
      </c>
      <c r="CE2034" t="s">
        <v>3108</v>
      </c>
      <c r="CF2034" t="s">
        <v>3108</v>
      </c>
      <c r="CG2034" t="s">
        <v>3108</v>
      </c>
      <c r="CH2034" t="s">
        <v>3108</v>
      </c>
    </row>
    <row r="2035" spans="1:86" x14ac:dyDescent="0.2">
      <c r="A2035" t="s">
        <v>6250</v>
      </c>
      <c r="B2035" t="s">
        <v>6250</v>
      </c>
      <c r="C2035">
        <v>55158</v>
      </c>
      <c r="D2035">
        <v>2158</v>
      </c>
      <c r="E2035" t="s">
        <v>6007</v>
      </c>
      <c r="F2035" t="s">
        <v>3249</v>
      </c>
      <c r="G2035" t="s">
        <v>3249</v>
      </c>
      <c r="H2035" t="s">
        <v>3250</v>
      </c>
      <c r="I2035" t="s">
        <v>3250</v>
      </c>
      <c r="J2035" t="s">
        <v>3250</v>
      </c>
      <c r="K2035" t="s">
        <v>3250</v>
      </c>
      <c r="L2035">
        <v>1200</v>
      </c>
      <c r="M2035" t="s">
        <v>2368</v>
      </c>
      <c r="N2035">
        <v>1204</v>
      </c>
      <c r="O2035" t="s">
        <v>1574</v>
      </c>
      <c r="P2035" t="s">
        <v>3108</v>
      </c>
      <c r="Q2035" t="s">
        <v>3249</v>
      </c>
      <c r="R2035" t="s">
        <v>3249</v>
      </c>
      <c r="S2035" t="s">
        <v>472</v>
      </c>
      <c r="T2035" t="s">
        <v>3251</v>
      </c>
      <c r="U2035">
        <v>130</v>
      </c>
      <c r="V2035" t="s">
        <v>4716</v>
      </c>
      <c r="W2035">
        <v>130</v>
      </c>
      <c r="X2035" t="s">
        <v>4716</v>
      </c>
      <c r="Y2035" t="s">
        <v>3250</v>
      </c>
      <c r="Z2035" t="s">
        <v>3250</v>
      </c>
      <c r="AA2035" t="s">
        <v>3108</v>
      </c>
      <c r="AB2035" t="s">
        <v>3108</v>
      </c>
      <c r="AC2035" t="s">
        <v>3250</v>
      </c>
      <c r="AD2035" t="s">
        <v>3250</v>
      </c>
      <c r="AE2035" t="s">
        <v>3250</v>
      </c>
      <c r="AF2035" t="s">
        <v>3250</v>
      </c>
      <c r="AG2035" t="s">
        <v>3250</v>
      </c>
      <c r="AH2035" t="s">
        <v>3250</v>
      </c>
      <c r="AI2035" t="s">
        <v>3250</v>
      </c>
      <c r="AJ2035" t="s">
        <v>3250</v>
      </c>
      <c r="AL2035" t="s">
        <v>3250</v>
      </c>
      <c r="AM2035" t="s">
        <v>3250</v>
      </c>
      <c r="AN2035" t="s">
        <v>3250</v>
      </c>
      <c r="AO2035" t="s">
        <v>3250</v>
      </c>
      <c r="AS2035" t="s">
        <v>3250</v>
      </c>
      <c r="AT2035" t="s">
        <v>3250</v>
      </c>
      <c r="AU2035" t="s">
        <v>3250</v>
      </c>
      <c r="AV2035" t="s">
        <v>3250</v>
      </c>
      <c r="AW2035" t="s">
        <v>3250</v>
      </c>
      <c r="AX2035" t="s">
        <v>3250</v>
      </c>
      <c r="AY2035" t="s">
        <v>3250</v>
      </c>
      <c r="AZ2035" t="s">
        <v>3250</v>
      </c>
      <c r="BA2035" t="s">
        <v>3250</v>
      </c>
      <c r="BB2035" t="s">
        <v>3250</v>
      </c>
      <c r="BC2035" t="s">
        <v>3250</v>
      </c>
      <c r="BE2035" t="s">
        <v>3250</v>
      </c>
      <c r="BF2035" t="s">
        <v>3250</v>
      </c>
      <c r="BG2035" t="s">
        <v>3250</v>
      </c>
      <c r="BH2035" t="s">
        <v>3250</v>
      </c>
      <c r="BI2035" t="s">
        <v>3250</v>
      </c>
      <c r="BK2035" t="s">
        <v>3250</v>
      </c>
      <c r="BL2035" t="s">
        <v>3250</v>
      </c>
      <c r="BM2035" t="s">
        <v>3250</v>
      </c>
      <c r="BN2035" t="s">
        <v>3250</v>
      </c>
      <c r="BP2035">
        <v>1</v>
      </c>
      <c r="BQ2035">
        <v>11</v>
      </c>
      <c r="BR2035" t="s">
        <v>1574</v>
      </c>
      <c r="BS2035" t="s">
        <v>3252</v>
      </c>
      <c r="BT2035">
        <v>8</v>
      </c>
      <c r="BV2035">
        <v>0</v>
      </c>
      <c r="BW2035">
        <v>0</v>
      </c>
      <c r="BX2035">
        <v>0</v>
      </c>
      <c r="BY2035">
        <v>0</v>
      </c>
      <c r="BZ2035">
        <v>0</v>
      </c>
      <c r="CA2035">
        <v>0</v>
      </c>
      <c r="CB2035">
        <v>0</v>
      </c>
      <c r="CC2035">
        <v>0</v>
      </c>
      <c r="CD2035">
        <v>0</v>
      </c>
      <c r="CE2035" t="s">
        <v>3108</v>
      </c>
      <c r="CF2035" t="s">
        <v>3108</v>
      </c>
      <c r="CG2035" t="s">
        <v>3108</v>
      </c>
      <c r="CH2035" t="s">
        <v>3108</v>
      </c>
    </row>
    <row r="2036" spans="1:86" x14ac:dyDescent="0.2">
      <c r="A2036" t="s">
        <v>6251</v>
      </c>
      <c r="B2036" t="s">
        <v>6251</v>
      </c>
      <c r="C2036">
        <v>55159</v>
      </c>
      <c r="D2036">
        <v>2159</v>
      </c>
      <c r="E2036" t="s">
        <v>6007</v>
      </c>
      <c r="F2036" t="s">
        <v>3249</v>
      </c>
      <c r="G2036" t="s">
        <v>3249</v>
      </c>
      <c r="H2036" t="s">
        <v>3250</v>
      </c>
      <c r="I2036" t="s">
        <v>3250</v>
      </c>
      <c r="J2036" t="s">
        <v>3250</v>
      </c>
      <c r="K2036" t="s">
        <v>3250</v>
      </c>
      <c r="L2036">
        <v>1200</v>
      </c>
      <c r="M2036" t="s">
        <v>2368</v>
      </c>
      <c r="N2036">
        <v>1204</v>
      </c>
      <c r="O2036" t="s">
        <v>1574</v>
      </c>
      <c r="P2036" t="s">
        <v>3108</v>
      </c>
      <c r="Q2036" t="s">
        <v>3249</v>
      </c>
      <c r="R2036" t="s">
        <v>3249</v>
      </c>
      <c r="S2036" t="s">
        <v>472</v>
      </c>
      <c r="T2036" t="s">
        <v>3251</v>
      </c>
      <c r="U2036">
        <v>130</v>
      </c>
      <c r="V2036" t="s">
        <v>4716</v>
      </c>
      <c r="W2036">
        <v>130</v>
      </c>
      <c r="X2036" t="s">
        <v>4716</v>
      </c>
      <c r="Y2036" t="s">
        <v>3250</v>
      </c>
      <c r="Z2036" t="s">
        <v>3250</v>
      </c>
      <c r="AA2036" t="s">
        <v>3108</v>
      </c>
      <c r="AB2036" t="s">
        <v>3108</v>
      </c>
      <c r="AC2036" t="s">
        <v>3250</v>
      </c>
      <c r="AD2036" t="s">
        <v>3250</v>
      </c>
      <c r="AE2036" t="s">
        <v>3250</v>
      </c>
      <c r="AF2036" t="s">
        <v>3250</v>
      </c>
      <c r="AG2036" t="s">
        <v>3250</v>
      </c>
      <c r="AH2036" t="s">
        <v>3250</v>
      </c>
      <c r="AI2036" t="s">
        <v>3250</v>
      </c>
      <c r="AJ2036" t="s">
        <v>3250</v>
      </c>
      <c r="AL2036" t="s">
        <v>3250</v>
      </c>
      <c r="AM2036" t="s">
        <v>3250</v>
      </c>
      <c r="AN2036" t="s">
        <v>3250</v>
      </c>
      <c r="AO2036" t="s">
        <v>3250</v>
      </c>
      <c r="AS2036" t="s">
        <v>3250</v>
      </c>
      <c r="AT2036" t="s">
        <v>3250</v>
      </c>
      <c r="AU2036" t="s">
        <v>3250</v>
      </c>
      <c r="AV2036" t="s">
        <v>3250</v>
      </c>
      <c r="AW2036" t="s">
        <v>3250</v>
      </c>
      <c r="AX2036" t="s">
        <v>3250</v>
      </c>
      <c r="AY2036" t="s">
        <v>3250</v>
      </c>
      <c r="AZ2036" t="s">
        <v>3250</v>
      </c>
      <c r="BA2036" t="s">
        <v>3250</v>
      </c>
      <c r="BB2036" t="s">
        <v>3250</v>
      </c>
      <c r="BC2036" t="s">
        <v>3250</v>
      </c>
      <c r="BE2036" t="s">
        <v>3250</v>
      </c>
      <c r="BF2036" t="s">
        <v>3250</v>
      </c>
      <c r="BG2036" t="s">
        <v>3250</v>
      </c>
      <c r="BH2036" t="s">
        <v>3250</v>
      </c>
      <c r="BI2036" t="s">
        <v>3250</v>
      </c>
      <c r="BK2036" t="s">
        <v>3250</v>
      </c>
      <c r="BL2036" t="s">
        <v>3250</v>
      </c>
      <c r="BM2036" t="s">
        <v>3250</v>
      </c>
      <c r="BN2036" t="s">
        <v>3250</v>
      </c>
      <c r="BP2036">
        <v>1</v>
      </c>
      <c r="BQ2036">
        <v>11</v>
      </c>
      <c r="BR2036" t="s">
        <v>1574</v>
      </c>
      <c r="BS2036" t="s">
        <v>3252</v>
      </c>
      <c r="BT2036">
        <v>8</v>
      </c>
      <c r="BV2036">
        <v>0</v>
      </c>
      <c r="BW2036">
        <v>0</v>
      </c>
      <c r="BX2036">
        <v>0</v>
      </c>
      <c r="BY2036">
        <v>0</v>
      </c>
      <c r="BZ2036">
        <v>0</v>
      </c>
      <c r="CA2036">
        <v>0</v>
      </c>
      <c r="CB2036">
        <v>0</v>
      </c>
      <c r="CC2036">
        <v>0</v>
      </c>
      <c r="CD2036">
        <v>0</v>
      </c>
      <c r="CE2036" t="s">
        <v>3108</v>
      </c>
      <c r="CF2036" t="s">
        <v>3108</v>
      </c>
      <c r="CG2036" t="s">
        <v>3108</v>
      </c>
      <c r="CH2036" t="s">
        <v>3108</v>
      </c>
    </row>
    <row r="2037" spans="1:86" x14ac:dyDescent="0.2">
      <c r="A2037" t="s">
        <v>6252</v>
      </c>
      <c r="B2037" t="s">
        <v>6252</v>
      </c>
      <c r="C2037">
        <v>55160</v>
      </c>
      <c r="D2037">
        <v>2160</v>
      </c>
      <c r="E2037" t="s">
        <v>6007</v>
      </c>
      <c r="F2037" t="s">
        <v>3249</v>
      </c>
      <c r="G2037" t="s">
        <v>3249</v>
      </c>
      <c r="H2037" t="s">
        <v>3250</v>
      </c>
      <c r="I2037" t="s">
        <v>3250</v>
      </c>
      <c r="J2037" t="s">
        <v>3250</v>
      </c>
      <c r="K2037" t="s">
        <v>3250</v>
      </c>
      <c r="L2037">
        <v>1200</v>
      </c>
      <c r="M2037" t="s">
        <v>2368</v>
      </c>
      <c r="N2037">
        <v>1204</v>
      </c>
      <c r="O2037" t="s">
        <v>1574</v>
      </c>
      <c r="P2037" t="s">
        <v>3108</v>
      </c>
      <c r="Q2037" t="s">
        <v>3249</v>
      </c>
      <c r="R2037" t="s">
        <v>3249</v>
      </c>
      <c r="S2037" t="s">
        <v>472</v>
      </c>
      <c r="T2037" t="s">
        <v>3251</v>
      </c>
      <c r="U2037">
        <v>130</v>
      </c>
      <c r="V2037" t="s">
        <v>4716</v>
      </c>
      <c r="W2037">
        <v>130</v>
      </c>
      <c r="X2037" t="s">
        <v>4716</v>
      </c>
      <c r="Y2037" t="s">
        <v>3250</v>
      </c>
      <c r="Z2037" t="s">
        <v>3250</v>
      </c>
      <c r="AA2037" t="s">
        <v>3108</v>
      </c>
      <c r="AB2037" t="s">
        <v>3108</v>
      </c>
      <c r="AC2037" t="s">
        <v>3250</v>
      </c>
      <c r="AD2037" t="s">
        <v>3250</v>
      </c>
      <c r="AE2037" t="s">
        <v>3250</v>
      </c>
      <c r="AF2037" t="s">
        <v>3250</v>
      </c>
      <c r="AG2037" t="s">
        <v>3250</v>
      </c>
      <c r="AH2037" t="s">
        <v>3250</v>
      </c>
      <c r="AI2037" t="s">
        <v>3250</v>
      </c>
      <c r="AJ2037" t="s">
        <v>3250</v>
      </c>
      <c r="AL2037" t="s">
        <v>3250</v>
      </c>
      <c r="AM2037" t="s">
        <v>3250</v>
      </c>
      <c r="AN2037" t="s">
        <v>3250</v>
      </c>
      <c r="AO2037" t="s">
        <v>3250</v>
      </c>
      <c r="AS2037" t="s">
        <v>3250</v>
      </c>
      <c r="AT2037" t="s">
        <v>3250</v>
      </c>
      <c r="AU2037" t="s">
        <v>3250</v>
      </c>
      <c r="AV2037" t="s">
        <v>3250</v>
      </c>
      <c r="AW2037" t="s">
        <v>3250</v>
      </c>
      <c r="AX2037" t="s">
        <v>3250</v>
      </c>
      <c r="AY2037" t="s">
        <v>3250</v>
      </c>
      <c r="AZ2037" t="s">
        <v>3250</v>
      </c>
      <c r="BA2037" t="s">
        <v>3250</v>
      </c>
      <c r="BB2037" t="s">
        <v>3250</v>
      </c>
      <c r="BC2037" t="s">
        <v>3250</v>
      </c>
      <c r="BE2037" t="s">
        <v>3250</v>
      </c>
      <c r="BF2037" t="s">
        <v>3250</v>
      </c>
      <c r="BG2037" t="s">
        <v>3250</v>
      </c>
      <c r="BH2037" t="s">
        <v>3250</v>
      </c>
      <c r="BI2037" t="s">
        <v>3250</v>
      </c>
      <c r="BK2037" t="s">
        <v>3250</v>
      </c>
      <c r="BL2037" t="s">
        <v>3250</v>
      </c>
      <c r="BM2037" t="s">
        <v>3250</v>
      </c>
      <c r="BN2037" t="s">
        <v>3250</v>
      </c>
      <c r="BP2037">
        <v>1</v>
      </c>
      <c r="BQ2037">
        <v>11</v>
      </c>
      <c r="BR2037" t="s">
        <v>1574</v>
      </c>
      <c r="BS2037" t="s">
        <v>3252</v>
      </c>
      <c r="BT2037">
        <v>8</v>
      </c>
      <c r="BV2037">
        <v>0</v>
      </c>
      <c r="BW2037">
        <v>0</v>
      </c>
      <c r="BX2037">
        <v>0</v>
      </c>
      <c r="BY2037">
        <v>0</v>
      </c>
      <c r="BZ2037">
        <v>0</v>
      </c>
      <c r="CA2037">
        <v>0</v>
      </c>
      <c r="CB2037">
        <v>0</v>
      </c>
      <c r="CC2037">
        <v>0</v>
      </c>
      <c r="CD2037">
        <v>0</v>
      </c>
      <c r="CE2037" t="s">
        <v>3108</v>
      </c>
      <c r="CF2037" t="s">
        <v>3108</v>
      </c>
      <c r="CG2037" t="s">
        <v>3108</v>
      </c>
      <c r="CH2037" t="s">
        <v>3108</v>
      </c>
    </row>
    <row r="2038" spans="1:86" x14ac:dyDescent="0.2">
      <c r="A2038" t="s">
        <v>6253</v>
      </c>
      <c r="B2038" t="s">
        <v>6253</v>
      </c>
      <c r="C2038">
        <v>55161</v>
      </c>
      <c r="D2038">
        <v>2161</v>
      </c>
      <c r="E2038" t="s">
        <v>6007</v>
      </c>
      <c r="F2038" t="s">
        <v>3249</v>
      </c>
      <c r="G2038" t="s">
        <v>3249</v>
      </c>
      <c r="H2038" t="s">
        <v>3250</v>
      </c>
      <c r="I2038" t="s">
        <v>3250</v>
      </c>
      <c r="J2038" t="s">
        <v>3250</v>
      </c>
      <c r="K2038" t="s">
        <v>3250</v>
      </c>
      <c r="L2038">
        <v>1200</v>
      </c>
      <c r="M2038" t="s">
        <v>2368</v>
      </c>
      <c r="N2038">
        <v>1204</v>
      </c>
      <c r="O2038" t="s">
        <v>1574</v>
      </c>
      <c r="P2038" t="s">
        <v>3108</v>
      </c>
      <c r="Q2038" t="s">
        <v>3249</v>
      </c>
      <c r="R2038" t="s">
        <v>3249</v>
      </c>
      <c r="S2038" t="s">
        <v>472</v>
      </c>
      <c r="T2038" t="s">
        <v>3251</v>
      </c>
      <c r="U2038">
        <v>130</v>
      </c>
      <c r="V2038" t="s">
        <v>4716</v>
      </c>
      <c r="W2038">
        <v>130</v>
      </c>
      <c r="X2038" t="s">
        <v>4716</v>
      </c>
      <c r="Y2038" t="s">
        <v>3250</v>
      </c>
      <c r="Z2038" t="s">
        <v>3250</v>
      </c>
      <c r="AA2038" t="s">
        <v>3108</v>
      </c>
      <c r="AB2038" t="s">
        <v>3108</v>
      </c>
      <c r="AC2038" t="s">
        <v>3250</v>
      </c>
      <c r="AD2038" t="s">
        <v>3250</v>
      </c>
      <c r="AE2038" t="s">
        <v>3250</v>
      </c>
      <c r="AF2038" t="s">
        <v>3250</v>
      </c>
      <c r="AG2038" t="s">
        <v>3250</v>
      </c>
      <c r="AH2038" t="s">
        <v>3250</v>
      </c>
      <c r="AI2038" t="s">
        <v>3250</v>
      </c>
      <c r="AJ2038" t="s">
        <v>3250</v>
      </c>
      <c r="AL2038" t="s">
        <v>3250</v>
      </c>
      <c r="AM2038" t="s">
        <v>3250</v>
      </c>
      <c r="AN2038" t="s">
        <v>3250</v>
      </c>
      <c r="AO2038" t="s">
        <v>3250</v>
      </c>
      <c r="AS2038" t="s">
        <v>3250</v>
      </c>
      <c r="AT2038" t="s">
        <v>3250</v>
      </c>
      <c r="AU2038" t="s">
        <v>3250</v>
      </c>
      <c r="AV2038" t="s">
        <v>3250</v>
      </c>
      <c r="AW2038" t="s">
        <v>3250</v>
      </c>
      <c r="AX2038" t="s">
        <v>3250</v>
      </c>
      <c r="AY2038" t="s">
        <v>3250</v>
      </c>
      <c r="AZ2038" t="s">
        <v>3250</v>
      </c>
      <c r="BA2038" t="s">
        <v>3250</v>
      </c>
      <c r="BB2038" t="s">
        <v>3250</v>
      </c>
      <c r="BC2038" t="s">
        <v>3250</v>
      </c>
      <c r="BE2038" t="s">
        <v>3250</v>
      </c>
      <c r="BF2038" t="s">
        <v>3250</v>
      </c>
      <c r="BG2038" t="s">
        <v>3250</v>
      </c>
      <c r="BH2038" t="s">
        <v>3250</v>
      </c>
      <c r="BI2038" t="s">
        <v>3250</v>
      </c>
      <c r="BK2038" t="s">
        <v>3250</v>
      </c>
      <c r="BL2038" t="s">
        <v>3250</v>
      </c>
      <c r="BM2038" t="s">
        <v>3250</v>
      </c>
      <c r="BN2038" t="s">
        <v>3250</v>
      </c>
      <c r="BP2038">
        <v>1</v>
      </c>
      <c r="BQ2038">
        <v>11</v>
      </c>
      <c r="BR2038" t="s">
        <v>1574</v>
      </c>
      <c r="BS2038" t="s">
        <v>3252</v>
      </c>
      <c r="BT2038">
        <v>8</v>
      </c>
      <c r="BV2038">
        <v>0</v>
      </c>
      <c r="BW2038">
        <v>0</v>
      </c>
      <c r="BX2038">
        <v>0</v>
      </c>
      <c r="BY2038">
        <v>0</v>
      </c>
      <c r="BZ2038">
        <v>0</v>
      </c>
      <c r="CA2038">
        <v>0</v>
      </c>
      <c r="CB2038">
        <v>0</v>
      </c>
      <c r="CC2038">
        <v>0</v>
      </c>
      <c r="CD2038">
        <v>0</v>
      </c>
      <c r="CE2038" t="s">
        <v>3108</v>
      </c>
      <c r="CF2038" t="s">
        <v>3108</v>
      </c>
      <c r="CG2038" t="s">
        <v>3108</v>
      </c>
      <c r="CH2038" t="s">
        <v>3108</v>
      </c>
    </row>
    <row r="2039" spans="1:86" x14ac:dyDescent="0.2">
      <c r="A2039" t="s">
        <v>6254</v>
      </c>
      <c r="B2039" t="s">
        <v>6254</v>
      </c>
      <c r="C2039">
        <v>55162</v>
      </c>
      <c r="D2039">
        <v>2162</v>
      </c>
      <c r="E2039" t="s">
        <v>6007</v>
      </c>
      <c r="F2039" t="s">
        <v>3249</v>
      </c>
      <c r="G2039" t="s">
        <v>3249</v>
      </c>
      <c r="H2039" t="s">
        <v>3250</v>
      </c>
      <c r="I2039" t="s">
        <v>3250</v>
      </c>
      <c r="J2039" t="s">
        <v>3250</v>
      </c>
      <c r="K2039" t="s">
        <v>3250</v>
      </c>
      <c r="L2039">
        <v>1200</v>
      </c>
      <c r="M2039" t="s">
        <v>2368</v>
      </c>
      <c r="N2039">
        <v>1204</v>
      </c>
      <c r="O2039" t="s">
        <v>1574</v>
      </c>
      <c r="P2039" t="s">
        <v>3108</v>
      </c>
      <c r="Q2039" t="s">
        <v>3249</v>
      </c>
      <c r="R2039" t="s">
        <v>3249</v>
      </c>
      <c r="S2039" t="s">
        <v>472</v>
      </c>
      <c r="T2039" t="s">
        <v>3251</v>
      </c>
      <c r="U2039">
        <v>130</v>
      </c>
      <c r="V2039" t="s">
        <v>4716</v>
      </c>
      <c r="W2039">
        <v>130</v>
      </c>
      <c r="X2039" t="s">
        <v>4716</v>
      </c>
      <c r="Y2039" t="s">
        <v>3250</v>
      </c>
      <c r="Z2039" t="s">
        <v>3250</v>
      </c>
      <c r="AA2039" t="s">
        <v>3108</v>
      </c>
      <c r="AB2039" t="s">
        <v>3108</v>
      </c>
      <c r="AC2039" t="s">
        <v>3250</v>
      </c>
      <c r="AD2039" t="s">
        <v>3250</v>
      </c>
      <c r="AE2039" t="s">
        <v>3250</v>
      </c>
      <c r="AF2039" t="s">
        <v>3250</v>
      </c>
      <c r="AG2039" t="s">
        <v>3250</v>
      </c>
      <c r="AH2039" t="s">
        <v>3250</v>
      </c>
      <c r="AI2039" t="s">
        <v>3250</v>
      </c>
      <c r="AJ2039" t="s">
        <v>3250</v>
      </c>
      <c r="AL2039" t="s">
        <v>3250</v>
      </c>
      <c r="AM2039" t="s">
        <v>3250</v>
      </c>
      <c r="AN2039" t="s">
        <v>3250</v>
      </c>
      <c r="AO2039" t="s">
        <v>3250</v>
      </c>
      <c r="AS2039" t="s">
        <v>3250</v>
      </c>
      <c r="AT2039" t="s">
        <v>3250</v>
      </c>
      <c r="AU2039" t="s">
        <v>3250</v>
      </c>
      <c r="AV2039" t="s">
        <v>3250</v>
      </c>
      <c r="AW2039" t="s">
        <v>3250</v>
      </c>
      <c r="AX2039" t="s">
        <v>3250</v>
      </c>
      <c r="AY2039" t="s">
        <v>3250</v>
      </c>
      <c r="AZ2039" t="s">
        <v>3250</v>
      </c>
      <c r="BA2039" t="s">
        <v>3250</v>
      </c>
      <c r="BB2039" t="s">
        <v>3250</v>
      </c>
      <c r="BC2039" t="s">
        <v>3250</v>
      </c>
      <c r="BE2039" t="s">
        <v>3250</v>
      </c>
      <c r="BF2039" t="s">
        <v>3250</v>
      </c>
      <c r="BG2039" t="s">
        <v>3250</v>
      </c>
      <c r="BH2039" t="s">
        <v>3250</v>
      </c>
      <c r="BI2039" t="s">
        <v>3250</v>
      </c>
      <c r="BK2039" t="s">
        <v>3250</v>
      </c>
      <c r="BL2039" t="s">
        <v>3250</v>
      </c>
      <c r="BM2039" t="s">
        <v>3250</v>
      </c>
      <c r="BN2039" t="s">
        <v>3250</v>
      </c>
      <c r="BP2039">
        <v>1</v>
      </c>
      <c r="BQ2039">
        <v>11</v>
      </c>
      <c r="BR2039" t="s">
        <v>1574</v>
      </c>
      <c r="BS2039" t="s">
        <v>3252</v>
      </c>
      <c r="BT2039">
        <v>8</v>
      </c>
      <c r="BV2039">
        <v>0</v>
      </c>
      <c r="BW2039">
        <v>0</v>
      </c>
      <c r="BX2039">
        <v>0</v>
      </c>
      <c r="BY2039">
        <v>0</v>
      </c>
      <c r="BZ2039">
        <v>0</v>
      </c>
      <c r="CA2039">
        <v>0</v>
      </c>
      <c r="CB2039">
        <v>0</v>
      </c>
      <c r="CC2039">
        <v>0</v>
      </c>
      <c r="CD2039">
        <v>0</v>
      </c>
      <c r="CE2039" t="s">
        <v>3108</v>
      </c>
      <c r="CF2039" t="s">
        <v>3108</v>
      </c>
      <c r="CG2039" t="s">
        <v>3108</v>
      </c>
      <c r="CH2039" t="s">
        <v>3108</v>
      </c>
    </row>
    <row r="2040" spans="1:86" x14ac:dyDescent="0.2">
      <c r="A2040" t="s">
        <v>6255</v>
      </c>
      <c r="B2040" t="s">
        <v>6255</v>
      </c>
      <c r="C2040">
        <v>55163</v>
      </c>
      <c r="D2040">
        <v>2163</v>
      </c>
      <c r="E2040" t="s">
        <v>6007</v>
      </c>
      <c r="F2040" t="s">
        <v>3249</v>
      </c>
      <c r="G2040" t="s">
        <v>3249</v>
      </c>
      <c r="H2040" t="s">
        <v>3250</v>
      </c>
      <c r="I2040" t="s">
        <v>3250</v>
      </c>
      <c r="J2040" t="s">
        <v>3250</v>
      </c>
      <c r="K2040" t="s">
        <v>3250</v>
      </c>
      <c r="L2040">
        <v>1200</v>
      </c>
      <c r="M2040" t="s">
        <v>2368</v>
      </c>
      <c r="N2040">
        <v>1204</v>
      </c>
      <c r="O2040" t="s">
        <v>1574</v>
      </c>
      <c r="P2040" t="s">
        <v>3108</v>
      </c>
      <c r="Q2040" t="s">
        <v>3249</v>
      </c>
      <c r="R2040" t="s">
        <v>3249</v>
      </c>
      <c r="S2040" t="s">
        <v>472</v>
      </c>
      <c r="T2040" t="s">
        <v>3251</v>
      </c>
      <c r="U2040">
        <v>130</v>
      </c>
      <c r="V2040" t="s">
        <v>4716</v>
      </c>
      <c r="W2040">
        <v>130</v>
      </c>
      <c r="X2040" t="s">
        <v>4716</v>
      </c>
      <c r="Y2040" t="s">
        <v>3250</v>
      </c>
      <c r="Z2040" t="s">
        <v>3250</v>
      </c>
      <c r="AA2040" t="s">
        <v>3108</v>
      </c>
      <c r="AB2040" t="s">
        <v>3108</v>
      </c>
      <c r="AC2040" t="s">
        <v>3250</v>
      </c>
      <c r="AD2040" t="s">
        <v>3250</v>
      </c>
      <c r="AE2040" t="s">
        <v>3250</v>
      </c>
      <c r="AF2040" t="s">
        <v>3250</v>
      </c>
      <c r="AG2040" t="s">
        <v>3250</v>
      </c>
      <c r="AH2040" t="s">
        <v>3250</v>
      </c>
      <c r="AI2040" t="s">
        <v>3250</v>
      </c>
      <c r="AJ2040" t="s">
        <v>3250</v>
      </c>
      <c r="AL2040" t="s">
        <v>3250</v>
      </c>
      <c r="AM2040" t="s">
        <v>3250</v>
      </c>
      <c r="AN2040" t="s">
        <v>3250</v>
      </c>
      <c r="AO2040" t="s">
        <v>3250</v>
      </c>
      <c r="AS2040" t="s">
        <v>3250</v>
      </c>
      <c r="AT2040" t="s">
        <v>3250</v>
      </c>
      <c r="AU2040" t="s">
        <v>3250</v>
      </c>
      <c r="AV2040" t="s">
        <v>3250</v>
      </c>
      <c r="AW2040" t="s">
        <v>3250</v>
      </c>
      <c r="AX2040" t="s">
        <v>3250</v>
      </c>
      <c r="AY2040" t="s">
        <v>3250</v>
      </c>
      <c r="AZ2040" t="s">
        <v>3250</v>
      </c>
      <c r="BA2040" t="s">
        <v>3250</v>
      </c>
      <c r="BB2040" t="s">
        <v>3250</v>
      </c>
      <c r="BC2040" t="s">
        <v>3250</v>
      </c>
      <c r="BE2040" t="s">
        <v>3250</v>
      </c>
      <c r="BF2040" t="s">
        <v>3250</v>
      </c>
      <c r="BG2040" t="s">
        <v>3250</v>
      </c>
      <c r="BH2040" t="s">
        <v>3250</v>
      </c>
      <c r="BI2040" t="s">
        <v>3250</v>
      </c>
      <c r="BK2040" t="s">
        <v>3250</v>
      </c>
      <c r="BL2040" t="s">
        <v>3250</v>
      </c>
      <c r="BM2040" t="s">
        <v>3250</v>
      </c>
      <c r="BN2040" t="s">
        <v>3250</v>
      </c>
      <c r="BP2040">
        <v>1</v>
      </c>
      <c r="BQ2040">
        <v>11</v>
      </c>
      <c r="BR2040" t="s">
        <v>1574</v>
      </c>
      <c r="BS2040" t="s">
        <v>3252</v>
      </c>
      <c r="BT2040">
        <v>8</v>
      </c>
      <c r="BV2040">
        <v>0</v>
      </c>
      <c r="BW2040">
        <v>0</v>
      </c>
      <c r="BX2040">
        <v>0</v>
      </c>
      <c r="BY2040">
        <v>0</v>
      </c>
      <c r="BZ2040">
        <v>0</v>
      </c>
      <c r="CA2040">
        <v>0</v>
      </c>
      <c r="CB2040">
        <v>0</v>
      </c>
      <c r="CC2040">
        <v>0</v>
      </c>
      <c r="CD2040">
        <v>0</v>
      </c>
      <c r="CE2040" t="s">
        <v>3108</v>
      </c>
      <c r="CF2040" t="s">
        <v>3108</v>
      </c>
      <c r="CG2040" t="s">
        <v>3108</v>
      </c>
      <c r="CH2040" t="s">
        <v>3108</v>
      </c>
    </row>
    <row r="2041" spans="1:86" x14ac:dyDescent="0.2">
      <c r="A2041" t="s">
        <v>6256</v>
      </c>
      <c r="B2041" t="s">
        <v>6256</v>
      </c>
      <c r="C2041">
        <v>55164</v>
      </c>
      <c r="D2041">
        <v>2164</v>
      </c>
      <c r="E2041" t="s">
        <v>6007</v>
      </c>
      <c r="F2041" t="s">
        <v>3249</v>
      </c>
      <c r="G2041" t="s">
        <v>3249</v>
      </c>
      <c r="H2041" t="s">
        <v>3250</v>
      </c>
      <c r="I2041" t="s">
        <v>3250</v>
      </c>
      <c r="J2041" t="s">
        <v>3250</v>
      </c>
      <c r="K2041" t="s">
        <v>3250</v>
      </c>
      <c r="L2041">
        <v>1200</v>
      </c>
      <c r="M2041" t="s">
        <v>2368</v>
      </c>
      <c r="N2041">
        <v>1204</v>
      </c>
      <c r="O2041" t="s">
        <v>1574</v>
      </c>
      <c r="P2041" t="s">
        <v>3108</v>
      </c>
      <c r="Q2041" t="s">
        <v>3249</v>
      </c>
      <c r="R2041" t="s">
        <v>3249</v>
      </c>
      <c r="S2041" t="s">
        <v>472</v>
      </c>
      <c r="T2041" t="s">
        <v>3251</v>
      </c>
      <c r="U2041">
        <v>130</v>
      </c>
      <c r="V2041" t="s">
        <v>4716</v>
      </c>
      <c r="W2041">
        <v>130</v>
      </c>
      <c r="X2041" t="s">
        <v>4716</v>
      </c>
      <c r="Y2041" t="s">
        <v>3250</v>
      </c>
      <c r="Z2041" t="s">
        <v>3250</v>
      </c>
      <c r="AA2041" t="s">
        <v>3108</v>
      </c>
      <c r="AB2041" t="s">
        <v>3108</v>
      </c>
      <c r="AC2041" t="s">
        <v>3250</v>
      </c>
      <c r="AD2041" t="s">
        <v>3250</v>
      </c>
      <c r="AE2041" t="s">
        <v>3250</v>
      </c>
      <c r="AF2041" t="s">
        <v>3250</v>
      </c>
      <c r="AG2041" t="s">
        <v>3250</v>
      </c>
      <c r="AH2041" t="s">
        <v>3250</v>
      </c>
      <c r="AI2041" t="s">
        <v>3250</v>
      </c>
      <c r="AJ2041" t="s">
        <v>3250</v>
      </c>
      <c r="AL2041" t="s">
        <v>3250</v>
      </c>
      <c r="AM2041" t="s">
        <v>3250</v>
      </c>
      <c r="AN2041" t="s">
        <v>3250</v>
      </c>
      <c r="AO2041" t="s">
        <v>3250</v>
      </c>
      <c r="AS2041" t="s">
        <v>3250</v>
      </c>
      <c r="AT2041" t="s">
        <v>3250</v>
      </c>
      <c r="AU2041" t="s">
        <v>3250</v>
      </c>
      <c r="AV2041" t="s">
        <v>3250</v>
      </c>
      <c r="AW2041" t="s">
        <v>3250</v>
      </c>
      <c r="AX2041" t="s">
        <v>3250</v>
      </c>
      <c r="AY2041" t="s">
        <v>3250</v>
      </c>
      <c r="AZ2041" t="s">
        <v>3250</v>
      </c>
      <c r="BA2041" t="s">
        <v>3250</v>
      </c>
      <c r="BB2041" t="s">
        <v>3250</v>
      </c>
      <c r="BC2041" t="s">
        <v>3250</v>
      </c>
      <c r="BE2041" t="s">
        <v>3250</v>
      </c>
      <c r="BF2041" t="s">
        <v>3250</v>
      </c>
      <c r="BG2041" t="s">
        <v>3250</v>
      </c>
      <c r="BH2041" t="s">
        <v>3250</v>
      </c>
      <c r="BI2041" t="s">
        <v>3250</v>
      </c>
      <c r="BK2041" t="s">
        <v>3250</v>
      </c>
      <c r="BL2041" t="s">
        <v>3250</v>
      </c>
      <c r="BM2041" t="s">
        <v>3250</v>
      </c>
      <c r="BN2041" t="s">
        <v>3250</v>
      </c>
      <c r="BP2041">
        <v>1</v>
      </c>
      <c r="BQ2041">
        <v>11</v>
      </c>
      <c r="BR2041" t="s">
        <v>1574</v>
      </c>
      <c r="BS2041" t="s">
        <v>3252</v>
      </c>
      <c r="BT2041">
        <v>8</v>
      </c>
      <c r="BV2041">
        <v>0</v>
      </c>
      <c r="BW2041">
        <v>0</v>
      </c>
      <c r="BX2041">
        <v>0</v>
      </c>
      <c r="BY2041">
        <v>0</v>
      </c>
      <c r="BZ2041">
        <v>0</v>
      </c>
      <c r="CA2041">
        <v>0</v>
      </c>
      <c r="CB2041">
        <v>0</v>
      </c>
      <c r="CC2041">
        <v>0</v>
      </c>
      <c r="CD2041">
        <v>0</v>
      </c>
      <c r="CE2041" t="s">
        <v>3108</v>
      </c>
      <c r="CF2041" t="s">
        <v>3108</v>
      </c>
      <c r="CG2041" t="s">
        <v>3108</v>
      </c>
      <c r="CH2041" t="s">
        <v>3108</v>
      </c>
    </row>
    <row r="2042" spans="1:86" x14ac:dyDescent="0.2">
      <c r="A2042" t="s">
        <v>6257</v>
      </c>
      <c r="B2042" t="s">
        <v>6257</v>
      </c>
      <c r="C2042">
        <v>55165</v>
      </c>
      <c r="D2042">
        <v>2165</v>
      </c>
      <c r="E2042" t="s">
        <v>6007</v>
      </c>
      <c r="F2042" t="s">
        <v>3249</v>
      </c>
      <c r="G2042" t="s">
        <v>3249</v>
      </c>
      <c r="H2042" t="s">
        <v>3250</v>
      </c>
      <c r="I2042" t="s">
        <v>3250</v>
      </c>
      <c r="J2042" t="s">
        <v>3250</v>
      </c>
      <c r="K2042" t="s">
        <v>3250</v>
      </c>
      <c r="L2042">
        <v>1200</v>
      </c>
      <c r="M2042" t="s">
        <v>2368</v>
      </c>
      <c r="N2042">
        <v>1204</v>
      </c>
      <c r="O2042" t="s">
        <v>1574</v>
      </c>
      <c r="P2042" t="s">
        <v>3108</v>
      </c>
      <c r="Q2042" t="s">
        <v>3249</v>
      </c>
      <c r="R2042" t="s">
        <v>3249</v>
      </c>
      <c r="S2042" t="s">
        <v>472</v>
      </c>
      <c r="T2042" t="s">
        <v>3251</v>
      </c>
      <c r="U2042">
        <v>130</v>
      </c>
      <c r="V2042" t="s">
        <v>4716</v>
      </c>
      <c r="W2042">
        <v>130</v>
      </c>
      <c r="X2042" t="s">
        <v>4716</v>
      </c>
      <c r="Y2042" t="s">
        <v>3250</v>
      </c>
      <c r="Z2042" t="s">
        <v>3250</v>
      </c>
      <c r="AA2042" t="s">
        <v>3108</v>
      </c>
      <c r="AB2042" t="s">
        <v>3108</v>
      </c>
      <c r="AC2042" t="s">
        <v>3250</v>
      </c>
      <c r="AD2042" t="s">
        <v>3250</v>
      </c>
      <c r="AE2042" t="s">
        <v>3250</v>
      </c>
      <c r="AF2042" t="s">
        <v>3250</v>
      </c>
      <c r="AG2042" t="s">
        <v>3250</v>
      </c>
      <c r="AH2042" t="s">
        <v>3250</v>
      </c>
      <c r="AI2042" t="s">
        <v>3250</v>
      </c>
      <c r="AJ2042" t="s">
        <v>3250</v>
      </c>
      <c r="AL2042" t="s">
        <v>3250</v>
      </c>
      <c r="AM2042" t="s">
        <v>3250</v>
      </c>
      <c r="AN2042" t="s">
        <v>3250</v>
      </c>
      <c r="AO2042" t="s">
        <v>3250</v>
      </c>
      <c r="AS2042" t="s">
        <v>3250</v>
      </c>
      <c r="AT2042" t="s">
        <v>3250</v>
      </c>
      <c r="AU2042" t="s">
        <v>3250</v>
      </c>
      <c r="AV2042" t="s">
        <v>3250</v>
      </c>
      <c r="AW2042" t="s">
        <v>3250</v>
      </c>
      <c r="AX2042" t="s">
        <v>3250</v>
      </c>
      <c r="AY2042" t="s">
        <v>3250</v>
      </c>
      <c r="AZ2042" t="s">
        <v>3250</v>
      </c>
      <c r="BA2042" t="s">
        <v>3250</v>
      </c>
      <c r="BB2042" t="s">
        <v>3250</v>
      </c>
      <c r="BC2042" t="s">
        <v>3250</v>
      </c>
      <c r="BE2042" t="s">
        <v>3250</v>
      </c>
      <c r="BF2042" t="s">
        <v>3250</v>
      </c>
      <c r="BG2042" t="s">
        <v>3250</v>
      </c>
      <c r="BH2042" t="s">
        <v>3250</v>
      </c>
      <c r="BI2042" t="s">
        <v>3250</v>
      </c>
      <c r="BK2042" t="s">
        <v>3250</v>
      </c>
      <c r="BL2042" t="s">
        <v>3250</v>
      </c>
      <c r="BM2042" t="s">
        <v>3250</v>
      </c>
      <c r="BN2042" t="s">
        <v>3250</v>
      </c>
      <c r="BP2042">
        <v>1</v>
      </c>
      <c r="BQ2042">
        <v>11</v>
      </c>
      <c r="BR2042" t="s">
        <v>1574</v>
      </c>
      <c r="BS2042" t="s">
        <v>3252</v>
      </c>
      <c r="BT2042">
        <v>8</v>
      </c>
      <c r="BV2042">
        <v>0</v>
      </c>
      <c r="BW2042">
        <v>0</v>
      </c>
      <c r="BX2042">
        <v>0</v>
      </c>
      <c r="BY2042">
        <v>0</v>
      </c>
      <c r="BZ2042">
        <v>0</v>
      </c>
      <c r="CA2042">
        <v>0</v>
      </c>
      <c r="CB2042">
        <v>0</v>
      </c>
      <c r="CC2042">
        <v>0</v>
      </c>
      <c r="CD2042">
        <v>0</v>
      </c>
      <c r="CE2042" t="s">
        <v>3108</v>
      </c>
      <c r="CF2042" t="s">
        <v>3108</v>
      </c>
      <c r="CG2042" t="s">
        <v>3108</v>
      </c>
      <c r="CH2042" t="s">
        <v>3108</v>
      </c>
    </row>
    <row r="2043" spans="1:86" x14ac:dyDescent="0.2">
      <c r="A2043" t="s">
        <v>6258</v>
      </c>
      <c r="B2043" t="s">
        <v>6258</v>
      </c>
      <c r="C2043">
        <v>55166</v>
      </c>
      <c r="D2043">
        <v>2166</v>
      </c>
      <c r="E2043" t="s">
        <v>6007</v>
      </c>
      <c r="F2043" t="s">
        <v>3249</v>
      </c>
      <c r="G2043" t="s">
        <v>3249</v>
      </c>
      <c r="H2043" t="s">
        <v>3250</v>
      </c>
      <c r="I2043" t="s">
        <v>3250</v>
      </c>
      <c r="J2043" t="s">
        <v>3250</v>
      </c>
      <c r="K2043" t="s">
        <v>3250</v>
      </c>
      <c r="L2043">
        <v>1200</v>
      </c>
      <c r="M2043" t="s">
        <v>2368</v>
      </c>
      <c r="N2043">
        <v>1204</v>
      </c>
      <c r="O2043" t="s">
        <v>1574</v>
      </c>
      <c r="P2043" t="s">
        <v>3108</v>
      </c>
      <c r="Q2043" t="s">
        <v>3249</v>
      </c>
      <c r="R2043" t="s">
        <v>3249</v>
      </c>
      <c r="S2043" t="s">
        <v>472</v>
      </c>
      <c r="T2043" t="s">
        <v>3251</v>
      </c>
      <c r="U2043">
        <v>130</v>
      </c>
      <c r="V2043" t="s">
        <v>4716</v>
      </c>
      <c r="W2043">
        <v>130</v>
      </c>
      <c r="X2043" t="s">
        <v>4716</v>
      </c>
      <c r="Y2043" t="s">
        <v>3250</v>
      </c>
      <c r="Z2043" t="s">
        <v>3250</v>
      </c>
      <c r="AA2043" t="s">
        <v>3108</v>
      </c>
      <c r="AB2043" t="s">
        <v>3108</v>
      </c>
      <c r="AC2043" t="s">
        <v>3250</v>
      </c>
      <c r="AD2043" t="s">
        <v>3250</v>
      </c>
      <c r="AE2043" t="s">
        <v>3250</v>
      </c>
      <c r="AF2043" t="s">
        <v>3250</v>
      </c>
      <c r="AG2043" t="s">
        <v>3250</v>
      </c>
      <c r="AH2043" t="s">
        <v>3250</v>
      </c>
      <c r="AI2043" t="s">
        <v>3250</v>
      </c>
      <c r="AJ2043" t="s">
        <v>3250</v>
      </c>
      <c r="AL2043" t="s">
        <v>3250</v>
      </c>
      <c r="AM2043" t="s">
        <v>3250</v>
      </c>
      <c r="AN2043" t="s">
        <v>3250</v>
      </c>
      <c r="AO2043" t="s">
        <v>3250</v>
      </c>
      <c r="AS2043" t="s">
        <v>3250</v>
      </c>
      <c r="AT2043" t="s">
        <v>3250</v>
      </c>
      <c r="AU2043" t="s">
        <v>3250</v>
      </c>
      <c r="AV2043" t="s">
        <v>3250</v>
      </c>
      <c r="AW2043" t="s">
        <v>3250</v>
      </c>
      <c r="AX2043" t="s">
        <v>3250</v>
      </c>
      <c r="AY2043" t="s">
        <v>3250</v>
      </c>
      <c r="AZ2043" t="s">
        <v>3250</v>
      </c>
      <c r="BA2043" t="s">
        <v>3250</v>
      </c>
      <c r="BB2043" t="s">
        <v>3250</v>
      </c>
      <c r="BC2043" t="s">
        <v>3250</v>
      </c>
      <c r="BE2043" t="s">
        <v>3250</v>
      </c>
      <c r="BF2043" t="s">
        <v>3250</v>
      </c>
      <c r="BG2043" t="s">
        <v>3250</v>
      </c>
      <c r="BH2043" t="s">
        <v>3250</v>
      </c>
      <c r="BI2043" t="s">
        <v>3250</v>
      </c>
      <c r="BK2043" t="s">
        <v>3250</v>
      </c>
      <c r="BL2043" t="s">
        <v>3250</v>
      </c>
      <c r="BM2043" t="s">
        <v>3250</v>
      </c>
      <c r="BN2043" t="s">
        <v>3250</v>
      </c>
      <c r="BP2043">
        <v>1</v>
      </c>
      <c r="BQ2043">
        <v>11</v>
      </c>
      <c r="BR2043" t="s">
        <v>1574</v>
      </c>
      <c r="BS2043" t="s">
        <v>3252</v>
      </c>
      <c r="BT2043">
        <v>8</v>
      </c>
      <c r="BV2043">
        <v>0</v>
      </c>
      <c r="BW2043">
        <v>0</v>
      </c>
      <c r="BX2043">
        <v>0</v>
      </c>
      <c r="BY2043">
        <v>0</v>
      </c>
      <c r="BZ2043">
        <v>0</v>
      </c>
      <c r="CA2043">
        <v>0</v>
      </c>
      <c r="CB2043">
        <v>0</v>
      </c>
      <c r="CC2043">
        <v>0</v>
      </c>
      <c r="CD2043">
        <v>0</v>
      </c>
      <c r="CE2043" t="s">
        <v>3108</v>
      </c>
      <c r="CF2043" t="s">
        <v>3108</v>
      </c>
      <c r="CG2043" t="s">
        <v>3108</v>
      </c>
      <c r="CH2043" t="s">
        <v>3108</v>
      </c>
    </row>
    <row r="2044" spans="1:86" x14ac:dyDescent="0.2">
      <c r="A2044" t="s">
        <v>6259</v>
      </c>
      <c r="B2044" t="s">
        <v>6259</v>
      </c>
      <c r="C2044">
        <v>55167</v>
      </c>
      <c r="D2044">
        <v>2167</v>
      </c>
      <c r="E2044" t="s">
        <v>6260</v>
      </c>
      <c r="F2044" t="s">
        <v>3249</v>
      </c>
      <c r="G2044" t="s">
        <v>3249</v>
      </c>
      <c r="H2044" t="s">
        <v>3250</v>
      </c>
      <c r="I2044" t="s">
        <v>3250</v>
      </c>
      <c r="J2044" t="s">
        <v>3250</v>
      </c>
      <c r="K2044" t="s">
        <v>3250</v>
      </c>
      <c r="L2044">
        <v>1200</v>
      </c>
      <c r="M2044" t="s">
        <v>2368</v>
      </c>
      <c r="N2044">
        <v>1204</v>
      </c>
      <c r="O2044" t="s">
        <v>1574</v>
      </c>
      <c r="P2044" t="s">
        <v>3108</v>
      </c>
      <c r="Q2044" t="s">
        <v>3249</v>
      </c>
      <c r="R2044" t="s">
        <v>3249</v>
      </c>
      <c r="S2044" t="s">
        <v>472</v>
      </c>
      <c r="T2044" t="s">
        <v>3251</v>
      </c>
      <c r="U2044">
        <v>240</v>
      </c>
      <c r="V2044" t="s">
        <v>4251</v>
      </c>
      <c r="W2044">
        <v>240</v>
      </c>
      <c r="X2044" t="s">
        <v>1323</v>
      </c>
      <c r="Y2044" t="s">
        <v>3250</v>
      </c>
      <c r="Z2044" t="s">
        <v>3250</v>
      </c>
      <c r="AA2044" t="s">
        <v>3108</v>
      </c>
      <c r="AB2044" t="s">
        <v>3108</v>
      </c>
      <c r="AC2044" t="s">
        <v>3250</v>
      </c>
      <c r="AD2044" t="s">
        <v>3250</v>
      </c>
      <c r="AE2044" t="s">
        <v>3250</v>
      </c>
      <c r="AF2044" t="s">
        <v>3250</v>
      </c>
      <c r="AG2044">
        <v>1490</v>
      </c>
      <c r="AH2044" t="s">
        <v>2333</v>
      </c>
      <c r="AI2044">
        <v>1490</v>
      </c>
      <c r="AJ2044" t="s">
        <v>2333</v>
      </c>
      <c r="AL2044">
        <v>241</v>
      </c>
      <c r="AM2044" t="s">
        <v>1455</v>
      </c>
      <c r="AN2044">
        <v>241</v>
      </c>
      <c r="AO2044" t="s">
        <v>1455</v>
      </c>
      <c r="AS2044" t="s">
        <v>3250</v>
      </c>
      <c r="AT2044" t="s">
        <v>3250</v>
      </c>
      <c r="AU2044" t="s">
        <v>3250</v>
      </c>
      <c r="AV2044" t="s">
        <v>3250</v>
      </c>
      <c r="AW2044" t="s">
        <v>3250</v>
      </c>
      <c r="AX2044" t="s">
        <v>3250</v>
      </c>
      <c r="AY2044" t="s">
        <v>3250</v>
      </c>
      <c r="AZ2044" t="s">
        <v>3250</v>
      </c>
      <c r="BA2044" t="s">
        <v>3250</v>
      </c>
      <c r="BB2044" t="s">
        <v>3250</v>
      </c>
      <c r="BC2044" t="s">
        <v>3250</v>
      </c>
      <c r="BE2044" t="s">
        <v>3250</v>
      </c>
      <c r="BF2044" t="s">
        <v>3250</v>
      </c>
      <c r="BG2044" t="s">
        <v>3250</v>
      </c>
      <c r="BH2044" t="s">
        <v>3250</v>
      </c>
      <c r="BI2044" t="s">
        <v>3250</v>
      </c>
      <c r="BK2044" t="s">
        <v>3250</v>
      </c>
      <c r="BL2044" t="s">
        <v>3250</v>
      </c>
      <c r="BM2044" t="s">
        <v>3250</v>
      </c>
      <c r="BN2044" t="s">
        <v>3250</v>
      </c>
      <c r="BP2044">
        <v>1</v>
      </c>
      <c r="BQ2044">
        <v>11</v>
      </c>
      <c r="BR2044" t="s">
        <v>1574</v>
      </c>
      <c r="BS2044" t="s">
        <v>3252</v>
      </c>
      <c r="BV2044">
        <v>0</v>
      </c>
      <c r="BW2044">
        <v>0</v>
      </c>
      <c r="BX2044">
        <v>0</v>
      </c>
      <c r="BY2044">
        <v>0</v>
      </c>
      <c r="BZ2044">
        <v>0</v>
      </c>
      <c r="CA2044">
        <v>0</v>
      </c>
      <c r="CB2044">
        <v>0</v>
      </c>
      <c r="CC2044">
        <v>0</v>
      </c>
      <c r="CD2044">
        <v>0</v>
      </c>
      <c r="CE2044" t="s">
        <v>3108</v>
      </c>
      <c r="CF2044" t="s">
        <v>3108</v>
      </c>
      <c r="CG2044" t="s">
        <v>3108</v>
      </c>
      <c r="CH2044" t="s">
        <v>3108</v>
      </c>
    </row>
    <row r="2045" spans="1:86" x14ac:dyDescent="0.2">
      <c r="A2045" t="s">
        <v>6261</v>
      </c>
      <c r="B2045" t="s">
        <v>6261</v>
      </c>
      <c r="C2045">
        <v>55168</v>
      </c>
      <c r="D2045">
        <v>2168</v>
      </c>
      <c r="E2045" t="s">
        <v>4688</v>
      </c>
      <c r="F2045" t="s">
        <v>3249</v>
      </c>
      <c r="G2045" t="s">
        <v>3249</v>
      </c>
      <c r="H2045" t="s">
        <v>3250</v>
      </c>
      <c r="I2045" t="s">
        <v>3250</v>
      </c>
      <c r="J2045" t="s">
        <v>3250</v>
      </c>
      <c r="K2045" t="s">
        <v>3250</v>
      </c>
      <c r="L2045">
        <v>3200</v>
      </c>
      <c r="M2045" t="s">
        <v>128</v>
      </c>
      <c r="N2045">
        <v>3205</v>
      </c>
      <c r="O2045" t="s">
        <v>629</v>
      </c>
      <c r="P2045" t="s">
        <v>2805</v>
      </c>
      <c r="Q2045">
        <v>2080</v>
      </c>
      <c r="R2045" t="s">
        <v>423</v>
      </c>
      <c r="S2045" t="s">
        <v>427</v>
      </c>
      <c r="T2045" t="s">
        <v>3251</v>
      </c>
      <c r="U2045">
        <v>240</v>
      </c>
      <c r="V2045" t="s">
        <v>4251</v>
      </c>
      <c r="W2045">
        <v>240</v>
      </c>
      <c r="X2045" t="s">
        <v>1323</v>
      </c>
      <c r="Y2045" t="s">
        <v>3250</v>
      </c>
      <c r="Z2045" t="s">
        <v>3250</v>
      </c>
      <c r="AA2045" t="s">
        <v>3108</v>
      </c>
      <c r="AB2045" t="s">
        <v>3108</v>
      </c>
      <c r="AC2045" t="s">
        <v>3250</v>
      </c>
      <c r="AD2045" t="s">
        <v>3250</v>
      </c>
      <c r="AE2045" t="s">
        <v>3250</v>
      </c>
      <c r="AF2045" t="s">
        <v>3250</v>
      </c>
      <c r="AG2045">
        <v>110</v>
      </c>
      <c r="AH2045" t="s">
        <v>2230</v>
      </c>
      <c r="AI2045">
        <v>110</v>
      </c>
      <c r="AJ2045" t="s">
        <v>2230</v>
      </c>
      <c r="AL2045">
        <v>241</v>
      </c>
      <c r="AM2045" t="s">
        <v>1455</v>
      </c>
      <c r="AN2045">
        <v>241</v>
      </c>
      <c r="AO2045" t="s">
        <v>1455</v>
      </c>
      <c r="AS2045">
        <v>120</v>
      </c>
      <c r="AT2045">
        <v>120</v>
      </c>
      <c r="AU2045" t="s">
        <v>629</v>
      </c>
      <c r="AV2045" t="s">
        <v>629</v>
      </c>
      <c r="AW2045" t="s">
        <v>3250</v>
      </c>
      <c r="AX2045" t="s">
        <v>3250</v>
      </c>
      <c r="AY2045" t="s">
        <v>3250</v>
      </c>
      <c r="AZ2045" t="s">
        <v>3250</v>
      </c>
      <c r="BA2045" t="s">
        <v>3250</v>
      </c>
      <c r="BB2045" t="s">
        <v>3250</v>
      </c>
      <c r="BC2045" t="s">
        <v>3250</v>
      </c>
      <c r="BE2045" t="s">
        <v>3250</v>
      </c>
      <c r="BF2045" t="s">
        <v>3250</v>
      </c>
      <c r="BG2045" t="s">
        <v>3250</v>
      </c>
      <c r="BH2045" t="s">
        <v>3250</v>
      </c>
      <c r="BI2045" t="s">
        <v>3250</v>
      </c>
      <c r="BK2045" t="s">
        <v>3250</v>
      </c>
      <c r="BL2045" t="s">
        <v>3250</v>
      </c>
      <c r="BM2045" t="s">
        <v>3250</v>
      </c>
      <c r="BN2045" t="s">
        <v>3250</v>
      </c>
      <c r="BP2045">
        <v>7</v>
      </c>
      <c r="BQ2045">
        <v>71</v>
      </c>
      <c r="BR2045" t="s">
        <v>629</v>
      </c>
      <c r="BS2045" t="s">
        <v>4212</v>
      </c>
      <c r="BV2045">
        <v>0</v>
      </c>
      <c r="BW2045">
        <v>0</v>
      </c>
      <c r="BX2045">
        <v>0</v>
      </c>
      <c r="BY2045">
        <v>0</v>
      </c>
      <c r="BZ2045">
        <v>2670097</v>
      </c>
      <c r="CA2045">
        <v>0</v>
      </c>
      <c r="CB2045">
        <v>0</v>
      </c>
      <c r="CC2045">
        <v>0</v>
      </c>
      <c r="CD2045">
        <v>2670098</v>
      </c>
      <c r="CE2045" t="s">
        <v>3108</v>
      </c>
      <c r="CF2045" t="s">
        <v>3108</v>
      </c>
      <c r="CG2045" t="s">
        <v>3108</v>
      </c>
      <c r="CH2045" t="s">
        <v>3108</v>
      </c>
    </row>
    <row r="2046" spans="1:86" x14ac:dyDescent="0.2">
      <c r="A2046" t="s">
        <v>6262</v>
      </c>
      <c r="B2046" t="s">
        <v>6262</v>
      </c>
      <c r="C2046">
        <v>55193</v>
      </c>
      <c r="D2046">
        <v>2169</v>
      </c>
      <c r="E2046" t="s">
        <v>5123</v>
      </c>
      <c r="F2046" t="s">
        <v>3249</v>
      </c>
      <c r="G2046" t="s">
        <v>3249</v>
      </c>
      <c r="H2046" t="s">
        <v>3250</v>
      </c>
      <c r="I2046" t="s">
        <v>3250</v>
      </c>
      <c r="J2046" t="s">
        <v>3250</v>
      </c>
      <c r="K2046" t="s">
        <v>3250</v>
      </c>
      <c r="L2046">
        <v>1200</v>
      </c>
      <c r="M2046" t="s">
        <v>2368</v>
      </c>
      <c r="N2046">
        <v>1204</v>
      </c>
      <c r="O2046" t="s">
        <v>1574</v>
      </c>
      <c r="P2046" t="s">
        <v>3108</v>
      </c>
      <c r="Q2046" t="s">
        <v>3249</v>
      </c>
      <c r="R2046" t="s">
        <v>3249</v>
      </c>
      <c r="S2046" t="s">
        <v>472</v>
      </c>
      <c r="T2046" t="s">
        <v>3251</v>
      </c>
      <c r="U2046">
        <v>130</v>
      </c>
      <c r="V2046" t="s">
        <v>4716</v>
      </c>
      <c r="W2046">
        <v>130</v>
      </c>
      <c r="X2046" t="s">
        <v>4716</v>
      </c>
      <c r="Y2046" t="s">
        <v>2755</v>
      </c>
      <c r="Z2046" t="s">
        <v>5308</v>
      </c>
      <c r="AA2046" t="s">
        <v>2755</v>
      </c>
      <c r="AB2046" t="s">
        <v>5308</v>
      </c>
      <c r="AC2046" t="s">
        <v>3250</v>
      </c>
      <c r="AD2046" t="s">
        <v>3250</v>
      </c>
      <c r="AE2046" t="s">
        <v>3250</v>
      </c>
      <c r="AF2046" t="s">
        <v>3250</v>
      </c>
      <c r="AG2046" t="s">
        <v>3250</v>
      </c>
      <c r="AH2046" t="s">
        <v>3250</v>
      </c>
      <c r="AI2046" t="s">
        <v>3250</v>
      </c>
      <c r="AJ2046" t="s">
        <v>3250</v>
      </c>
      <c r="AL2046" t="s">
        <v>3250</v>
      </c>
      <c r="AM2046" t="s">
        <v>3250</v>
      </c>
      <c r="AN2046" t="s">
        <v>3250</v>
      </c>
      <c r="AO2046" t="s">
        <v>3250</v>
      </c>
      <c r="AS2046" t="s">
        <v>3250</v>
      </c>
      <c r="AT2046" t="s">
        <v>3250</v>
      </c>
      <c r="AU2046" t="s">
        <v>3250</v>
      </c>
      <c r="AV2046" t="s">
        <v>3250</v>
      </c>
      <c r="AW2046" t="s">
        <v>3250</v>
      </c>
      <c r="AX2046" t="s">
        <v>3250</v>
      </c>
      <c r="AY2046" t="s">
        <v>3250</v>
      </c>
      <c r="AZ2046" t="s">
        <v>3250</v>
      </c>
      <c r="BA2046" t="s">
        <v>3250</v>
      </c>
      <c r="BB2046" t="s">
        <v>3250</v>
      </c>
      <c r="BC2046" t="s">
        <v>3250</v>
      </c>
      <c r="BE2046" t="s">
        <v>3250</v>
      </c>
      <c r="BF2046" t="s">
        <v>3250</v>
      </c>
      <c r="BG2046" t="s">
        <v>3250</v>
      </c>
      <c r="BH2046" t="s">
        <v>3250</v>
      </c>
      <c r="BI2046" t="s">
        <v>3250</v>
      </c>
      <c r="BK2046" t="s">
        <v>3250</v>
      </c>
      <c r="BL2046" t="s">
        <v>3250</v>
      </c>
      <c r="BM2046" t="s">
        <v>3250</v>
      </c>
      <c r="BN2046" t="s">
        <v>3250</v>
      </c>
      <c r="BP2046">
        <v>1</v>
      </c>
      <c r="BQ2046">
        <v>11</v>
      </c>
      <c r="BR2046" t="s">
        <v>1574</v>
      </c>
      <c r="BS2046" t="s">
        <v>3252</v>
      </c>
      <c r="BV2046">
        <v>0</v>
      </c>
      <c r="BW2046">
        <v>0</v>
      </c>
      <c r="BX2046">
        <v>0</v>
      </c>
      <c r="BY2046">
        <v>0</v>
      </c>
      <c r="BZ2046">
        <v>0</v>
      </c>
      <c r="CA2046">
        <v>0</v>
      </c>
      <c r="CB2046">
        <v>0</v>
      </c>
      <c r="CC2046">
        <v>0</v>
      </c>
      <c r="CD2046">
        <v>0</v>
      </c>
      <c r="CE2046" t="s">
        <v>3108</v>
      </c>
      <c r="CF2046" t="s">
        <v>3108</v>
      </c>
      <c r="CG2046" t="s">
        <v>3108</v>
      </c>
      <c r="CH2046" t="s">
        <v>3108</v>
      </c>
    </row>
    <row r="2047" spans="1:86" x14ac:dyDescent="0.2">
      <c r="A2047" t="s">
        <v>6263</v>
      </c>
      <c r="B2047" t="s">
        <v>6263</v>
      </c>
      <c r="C2047">
        <v>55194</v>
      </c>
      <c r="D2047">
        <v>2170</v>
      </c>
      <c r="E2047" t="s">
        <v>5800</v>
      </c>
      <c r="F2047" t="s">
        <v>3249</v>
      </c>
      <c r="G2047" t="s">
        <v>3249</v>
      </c>
      <c r="H2047" t="s">
        <v>3250</v>
      </c>
      <c r="I2047" t="s">
        <v>3250</v>
      </c>
      <c r="J2047" t="s">
        <v>3250</v>
      </c>
      <c r="K2047" t="s">
        <v>3250</v>
      </c>
      <c r="L2047">
        <v>1200</v>
      </c>
      <c r="M2047" t="s">
        <v>2368</v>
      </c>
      <c r="N2047">
        <v>1204</v>
      </c>
      <c r="O2047" t="s">
        <v>1574</v>
      </c>
      <c r="P2047" t="s">
        <v>3108</v>
      </c>
      <c r="Q2047" t="s">
        <v>3249</v>
      </c>
      <c r="R2047" t="s">
        <v>3249</v>
      </c>
      <c r="S2047" t="s">
        <v>472</v>
      </c>
      <c r="T2047" t="s">
        <v>3789</v>
      </c>
      <c r="U2047">
        <v>360</v>
      </c>
      <c r="V2047" t="s">
        <v>3790</v>
      </c>
      <c r="W2047">
        <v>360</v>
      </c>
      <c r="X2047" t="s">
        <v>601</v>
      </c>
      <c r="Y2047" t="s">
        <v>3250</v>
      </c>
      <c r="Z2047" t="s">
        <v>3250</v>
      </c>
      <c r="AA2047" t="s">
        <v>3108</v>
      </c>
      <c r="AB2047" t="s">
        <v>3108</v>
      </c>
      <c r="AC2047">
        <v>200</v>
      </c>
      <c r="AD2047" t="s">
        <v>6264</v>
      </c>
      <c r="AE2047">
        <v>390</v>
      </c>
      <c r="AF2047" t="s">
        <v>408</v>
      </c>
      <c r="AG2047" t="s">
        <v>3250</v>
      </c>
      <c r="AH2047" t="s">
        <v>3250</v>
      </c>
      <c r="AI2047" t="s">
        <v>3250</v>
      </c>
      <c r="AJ2047" t="s">
        <v>3250</v>
      </c>
      <c r="AL2047">
        <v>361</v>
      </c>
      <c r="AM2047" t="s">
        <v>2523</v>
      </c>
      <c r="AN2047">
        <v>361</v>
      </c>
      <c r="AO2047" t="s">
        <v>2523</v>
      </c>
      <c r="AS2047" t="s">
        <v>3250</v>
      </c>
      <c r="AT2047" t="s">
        <v>3250</v>
      </c>
      <c r="AU2047" t="s">
        <v>3250</v>
      </c>
      <c r="AV2047" t="s">
        <v>3250</v>
      </c>
      <c r="AW2047" t="s">
        <v>3250</v>
      </c>
      <c r="AX2047" t="s">
        <v>3250</v>
      </c>
      <c r="AY2047" t="s">
        <v>3250</v>
      </c>
      <c r="AZ2047" t="s">
        <v>3250</v>
      </c>
      <c r="BA2047" t="s">
        <v>3250</v>
      </c>
      <c r="BB2047" t="s">
        <v>3250</v>
      </c>
      <c r="BC2047" t="s">
        <v>3250</v>
      </c>
      <c r="BE2047" t="s">
        <v>3250</v>
      </c>
      <c r="BF2047" t="s">
        <v>3250</v>
      </c>
      <c r="BG2047" t="s">
        <v>3250</v>
      </c>
      <c r="BH2047" t="s">
        <v>3250</v>
      </c>
      <c r="BI2047" t="s">
        <v>3250</v>
      </c>
      <c r="BK2047" t="s">
        <v>3250</v>
      </c>
      <c r="BL2047" t="s">
        <v>3250</v>
      </c>
      <c r="BM2047" t="s">
        <v>3250</v>
      </c>
      <c r="BN2047" t="s">
        <v>3250</v>
      </c>
      <c r="BP2047">
        <v>1</v>
      </c>
      <c r="BQ2047">
        <v>11</v>
      </c>
      <c r="BR2047" t="s">
        <v>1574</v>
      </c>
      <c r="BS2047" t="s">
        <v>3252</v>
      </c>
      <c r="BV2047">
        <v>0</v>
      </c>
      <c r="BW2047">
        <v>0</v>
      </c>
      <c r="BX2047">
        <v>0</v>
      </c>
      <c r="BY2047">
        <v>0</v>
      </c>
      <c r="BZ2047">
        <v>51065506</v>
      </c>
      <c r="CA2047">
        <v>55250909</v>
      </c>
      <c r="CB2047">
        <v>57460945</v>
      </c>
      <c r="CC2047">
        <v>59759383</v>
      </c>
      <c r="CD2047">
        <v>0</v>
      </c>
      <c r="CE2047" t="s">
        <v>3108</v>
      </c>
      <c r="CF2047" t="s">
        <v>3108</v>
      </c>
      <c r="CG2047" t="s">
        <v>3108</v>
      </c>
      <c r="CH2047" t="s">
        <v>3108</v>
      </c>
    </row>
    <row r="2048" spans="1:86" x14ac:dyDescent="0.2">
      <c r="A2048" t="s">
        <v>6265</v>
      </c>
      <c r="B2048" t="s">
        <v>6265</v>
      </c>
      <c r="C2048">
        <v>55195</v>
      </c>
      <c r="D2048">
        <v>2171</v>
      </c>
      <c r="E2048" t="s">
        <v>6266</v>
      </c>
      <c r="F2048" t="s">
        <v>3249</v>
      </c>
      <c r="G2048" t="s">
        <v>3249</v>
      </c>
      <c r="H2048" t="s">
        <v>3250</v>
      </c>
      <c r="I2048" t="s">
        <v>3250</v>
      </c>
      <c r="J2048" t="s">
        <v>3250</v>
      </c>
      <c r="K2048" t="s">
        <v>3250</v>
      </c>
      <c r="L2048">
        <v>1200</v>
      </c>
      <c r="M2048" t="s">
        <v>2368</v>
      </c>
      <c r="N2048">
        <v>1204</v>
      </c>
      <c r="O2048" t="s">
        <v>1574</v>
      </c>
      <c r="P2048" t="s">
        <v>3108</v>
      </c>
      <c r="Q2048" t="s">
        <v>3249</v>
      </c>
      <c r="R2048" t="s">
        <v>3249</v>
      </c>
      <c r="S2048" t="s">
        <v>472</v>
      </c>
      <c r="T2048" t="s">
        <v>3789</v>
      </c>
      <c r="U2048">
        <v>360</v>
      </c>
      <c r="V2048" t="s">
        <v>3790</v>
      </c>
      <c r="W2048">
        <v>360</v>
      </c>
      <c r="X2048" t="s">
        <v>601</v>
      </c>
      <c r="Y2048" t="s">
        <v>3250</v>
      </c>
      <c r="Z2048" t="s">
        <v>3250</v>
      </c>
      <c r="AA2048" t="s">
        <v>3108</v>
      </c>
      <c r="AB2048" t="s">
        <v>3108</v>
      </c>
      <c r="AC2048" t="s">
        <v>3250</v>
      </c>
      <c r="AD2048" t="s">
        <v>3250</v>
      </c>
      <c r="AE2048" t="s">
        <v>3250</v>
      </c>
      <c r="AF2048" t="s">
        <v>3250</v>
      </c>
      <c r="AG2048" t="s">
        <v>3250</v>
      </c>
      <c r="AH2048" t="s">
        <v>3250</v>
      </c>
      <c r="AI2048" t="s">
        <v>3250</v>
      </c>
      <c r="AJ2048" t="s">
        <v>3250</v>
      </c>
      <c r="AL2048">
        <v>361</v>
      </c>
      <c r="AM2048" t="s">
        <v>2523</v>
      </c>
      <c r="AN2048">
        <v>361</v>
      </c>
      <c r="AO2048" t="s">
        <v>2523</v>
      </c>
      <c r="AS2048" t="s">
        <v>3250</v>
      </c>
      <c r="AT2048" t="s">
        <v>3250</v>
      </c>
      <c r="AU2048" t="s">
        <v>3250</v>
      </c>
      <c r="AV2048" t="s">
        <v>3250</v>
      </c>
      <c r="AW2048" t="s">
        <v>3250</v>
      </c>
      <c r="AX2048" t="s">
        <v>3250</v>
      </c>
      <c r="AY2048" t="s">
        <v>3250</v>
      </c>
      <c r="AZ2048" t="s">
        <v>3250</v>
      </c>
      <c r="BA2048" t="s">
        <v>3250</v>
      </c>
      <c r="BB2048" t="s">
        <v>3250</v>
      </c>
      <c r="BC2048" t="s">
        <v>3250</v>
      </c>
      <c r="BE2048" t="s">
        <v>3250</v>
      </c>
      <c r="BF2048" t="s">
        <v>3250</v>
      </c>
      <c r="BG2048" t="s">
        <v>3250</v>
      </c>
      <c r="BH2048" t="s">
        <v>3250</v>
      </c>
      <c r="BI2048" t="s">
        <v>3250</v>
      </c>
      <c r="BK2048" t="s">
        <v>3250</v>
      </c>
      <c r="BL2048" t="s">
        <v>3250</v>
      </c>
      <c r="BM2048" t="s">
        <v>3250</v>
      </c>
      <c r="BN2048" t="s">
        <v>3250</v>
      </c>
      <c r="BP2048">
        <v>1</v>
      </c>
      <c r="BQ2048">
        <v>11</v>
      </c>
      <c r="BR2048" t="s">
        <v>1574</v>
      </c>
      <c r="BS2048" t="s">
        <v>3252</v>
      </c>
      <c r="BV2048">
        <v>0</v>
      </c>
      <c r="BW2048">
        <v>0</v>
      </c>
      <c r="BX2048">
        <v>0</v>
      </c>
      <c r="BY2048">
        <v>0</v>
      </c>
      <c r="BZ2048">
        <v>0</v>
      </c>
      <c r="CA2048">
        <v>0</v>
      </c>
      <c r="CB2048">
        <v>0</v>
      </c>
      <c r="CC2048">
        <v>0</v>
      </c>
      <c r="CD2048">
        <v>0</v>
      </c>
      <c r="CE2048" t="s">
        <v>3108</v>
      </c>
      <c r="CF2048" t="s">
        <v>3108</v>
      </c>
      <c r="CG2048" t="s">
        <v>3108</v>
      </c>
      <c r="CH2048" t="s">
        <v>3108</v>
      </c>
    </row>
    <row r="2049" spans="1:86" x14ac:dyDescent="0.2">
      <c r="A2049" t="s">
        <v>6267</v>
      </c>
      <c r="B2049" t="s">
        <v>6267</v>
      </c>
      <c r="C2049">
        <v>55196</v>
      </c>
      <c r="D2049">
        <v>2172</v>
      </c>
      <c r="E2049" t="s">
        <v>6268</v>
      </c>
      <c r="F2049" t="s">
        <v>3249</v>
      </c>
      <c r="G2049" t="s">
        <v>3249</v>
      </c>
      <c r="H2049" t="s">
        <v>3250</v>
      </c>
      <c r="I2049" t="s">
        <v>3250</v>
      </c>
      <c r="J2049" t="s">
        <v>3250</v>
      </c>
      <c r="K2049" t="s">
        <v>3250</v>
      </c>
      <c r="L2049">
        <v>1200</v>
      </c>
      <c r="M2049" t="s">
        <v>2368</v>
      </c>
      <c r="N2049">
        <v>1204</v>
      </c>
      <c r="O2049" t="s">
        <v>1574</v>
      </c>
      <c r="P2049" t="s">
        <v>3108</v>
      </c>
      <c r="Q2049" t="s">
        <v>3249</v>
      </c>
      <c r="R2049" t="s">
        <v>3249</v>
      </c>
      <c r="S2049" t="s">
        <v>472</v>
      </c>
      <c r="T2049" t="s">
        <v>3789</v>
      </c>
      <c r="U2049">
        <v>360</v>
      </c>
      <c r="V2049" t="s">
        <v>3790</v>
      </c>
      <c r="W2049">
        <v>360</v>
      </c>
      <c r="X2049" t="s">
        <v>601</v>
      </c>
      <c r="Y2049" t="s">
        <v>3250</v>
      </c>
      <c r="Z2049" t="s">
        <v>3250</v>
      </c>
      <c r="AA2049" t="s">
        <v>3108</v>
      </c>
      <c r="AB2049" t="s">
        <v>3108</v>
      </c>
      <c r="AC2049">
        <v>200</v>
      </c>
      <c r="AD2049" t="s">
        <v>6264</v>
      </c>
      <c r="AE2049">
        <v>390</v>
      </c>
      <c r="AF2049" t="s">
        <v>408</v>
      </c>
      <c r="AG2049" t="s">
        <v>3250</v>
      </c>
      <c r="AH2049" t="s">
        <v>3250</v>
      </c>
      <c r="AI2049" t="s">
        <v>3250</v>
      </c>
      <c r="AJ2049" t="s">
        <v>3250</v>
      </c>
      <c r="AL2049">
        <v>361</v>
      </c>
      <c r="AM2049" t="s">
        <v>2523</v>
      </c>
      <c r="AN2049">
        <v>361</v>
      </c>
      <c r="AO2049" t="s">
        <v>2523</v>
      </c>
      <c r="AS2049" t="s">
        <v>3250</v>
      </c>
      <c r="AT2049" t="s">
        <v>3250</v>
      </c>
      <c r="AU2049" t="s">
        <v>3250</v>
      </c>
      <c r="AV2049" t="s">
        <v>3250</v>
      </c>
      <c r="AW2049" t="s">
        <v>3250</v>
      </c>
      <c r="AX2049" t="s">
        <v>3250</v>
      </c>
      <c r="AY2049" t="s">
        <v>3250</v>
      </c>
      <c r="AZ2049" t="s">
        <v>3250</v>
      </c>
      <c r="BA2049" t="s">
        <v>3250</v>
      </c>
      <c r="BB2049" t="s">
        <v>3250</v>
      </c>
      <c r="BC2049" t="s">
        <v>3250</v>
      </c>
      <c r="BE2049" t="s">
        <v>3250</v>
      </c>
      <c r="BF2049" t="s">
        <v>3250</v>
      </c>
      <c r="BG2049" t="s">
        <v>3250</v>
      </c>
      <c r="BH2049" t="s">
        <v>3250</v>
      </c>
      <c r="BI2049" t="s">
        <v>3250</v>
      </c>
      <c r="BK2049" t="s">
        <v>3250</v>
      </c>
      <c r="BL2049" t="s">
        <v>3250</v>
      </c>
      <c r="BM2049" t="s">
        <v>3250</v>
      </c>
      <c r="BN2049" t="s">
        <v>3250</v>
      </c>
      <c r="BP2049">
        <v>1</v>
      </c>
      <c r="BQ2049">
        <v>11</v>
      </c>
      <c r="BR2049" t="s">
        <v>1574</v>
      </c>
      <c r="BS2049" t="s">
        <v>3252</v>
      </c>
      <c r="BV2049">
        <v>0</v>
      </c>
      <c r="BW2049">
        <v>0</v>
      </c>
      <c r="BX2049">
        <v>0</v>
      </c>
      <c r="BY2049">
        <v>0</v>
      </c>
      <c r="BZ2049">
        <v>0</v>
      </c>
      <c r="CA2049">
        <v>0</v>
      </c>
      <c r="CB2049">
        <v>0</v>
      </c>
      <c r="CC2049">
        <v>0</v>
      </c>
      <c r="CD2049">
        <v>0</v>
      </c>
      <c r="CE2049" t="s">
        <v>3108</v>
      </c>
      <c r="CF2049" t="s">
        <v>3108</v>
      </c>
      <c r="CG2049" t="s">
        <v>3108</v>
      </c>
      <c r="CH2049" t="s">
        <v>3108</v>
      </c>
    </row>
    <row r="2050" spans="1:86" x14ac:dyDescent="0.2">
      <c r="A2050" t="s">
        <v>6269</v>
      </c>
      <c r="B2050" t="s">
        <v>6269</v>
      </c>
      <c r="C2050">
        <v>55197</v>
      </c>
      <c r="D2050">
        <v>2173</v>
      </c>
      <c r="E2050" t="s">
        <v>5821</v>
      </c>
      <c r="F2050" t="s">
        <v>3249</v>
      </c>
      <c r="G2050" t="s">
        <v>3249</v>
      </c>
      <c r="H2050" t="s">
        <v>3250</v>
      </c>
      <c r="I2050" t="s">
        <v>3250</v>
      </c>
      <c r="J2050" t="s">
        <v>3250</v>
      </c>
      <c r="K2050" t="s">
        <v>3250</v>
      </c>
      <c r="L2050">
        <v>1200</v>
      </c>
      <c r="M2050" t="s">
        <v>2368</v>
      </c>
      <c r="N2050">
        <v>1204</v>
      </c>
      <c r="O2050" t="s">
        <v>1574</v>
      </c>
      <c r="P2050" t="s">
        <v>3108</v>
      </c>
      <c r="Q2050" t="s">
        <v>3249</v>
      </c>
      <c r="R2050" t="s">
        <v>3249</v>
      </c>
      <c r="S2050" t="s">
        <v>472</v>
      </c>
      <c r="T2050" t="s">
        <v>3789</v>
      </c>
      <c r="U2050">
        <v>360</v>
      </c>
      <c r="V2050" t="s">
        <v>3790</v>
      </c>
      <c r="W2050">
        <v>360</v>
      </c>
      <c r="X2050" t="s">
        <v>601</v>
      </c>
      <c r="Y2050" t="s">
        <v>3250</v>
      </c>
      <c r="Z2050" t="s">
        <v>3250</v>
      </c>
      <c r="AA2050" t="s">
        <v>3108</v>
      </c>
      <c r="AB2050" t="s">
        <v>3108</v>
      </c>
      <c r="AC2050">
        <v>200</v>
      </c>
      <c r="AD2050" t="s">
        <v>6264</v>
      </c>
      <c r="AE2050">
        <v>390</v>
      </c>
      <c r="AF2050" t="s">
        <v>408</v>
      </c>
      <c r="AG2050" t="s">
        <v>3250</v>
      </c>
      <c r="AH2050" t="s">
        <v>3250</v>
      </c>
      <c r="AI2050" t="s">
        <v>3250</v>
      </c>
      <c r="AJ2050" t="s">
        <v>3250</v>
      </c>
      <c r="AL2050">
        <v>361</v>
      </c>
      <c r="AM2050" t="s">
        <v>2523</v>
      </c>
      <c r="AN2050">
        <v>361</v>
      </c>
      <c r="AO2050" t="s">
        <v>2523</v>
      </c>
      <c r="AS2050" t="s">
        <v>3250</v>
      </c>
      <c r="AT2050" t="s">
        <v>3250</v>
      </c>
      <c r="AU2050" t="s">
        <v>3250</v>
      </c>
      <c r="AV2050" t="s">
        <v>3250</v>
      </c>
      <c r="AW2050" t="s">
        <v>3250</v>
      </c>
      <c r="AX2050" t="s">
        <v>3250</v>
      </c>
      <c r="AY2050" t="s">
        <v>3250</v>
      </c>
      <c r="AZ2050" t="s">
        <v>3250</v>
      </c>
      <c r="BA2050" t="s">
        <v>3250</v>
      </c>
      <c r="BB2050" t="s">
        <v>3250</v>
      </c>
      <c r="BC2050" t="s">
        <v>3250</v>
      </c>
      <c r="BE2050" t="s">
        <v>3250</v>
      </c>
      <c r="BF2050" t="s">
        <v>3250</v>
      </c>
      <c r="BG2050" t="s">
        <v>3250</v>
      </c>
      <c r="BH2050" t="s">
        <v>3250</v>
      </c>
      <c r="BI2050" t="s">
        <v>3250</v>
      </c>
      <c r="BK2050" t="s">
        <v>3250</v>
      </c>
      <c r="BL2050" t="s">
        <v>3250</v>
      </c>
      <c r="BM2050" t="s">
        <v>3250</v>
      </c>
      <c r="BN2050" t="s">
        <v>3250</v>
      </c>
      <c r="BP2050">
        <v>1</v>
      </c>
      <c r="BQ2050">
        <v>11</v>
      </c>
      <c r="BR2050" t="s">
        <v>1574</v>
      </c>
      <c r="BS2050" t="s">
        <v>3252</v>
      </c>
      <c r="BV2050">
        <v>0</v>
      </c>
      <c r="BW2050">
        <v>0</v>
      </c>
      <c r="BX2050">
        <v>0</v>
      </c>
      <c r="BY2050">
        <v>0</v>
      </c>
      <c r="BZ2050">
        <v>0</v>
      </c>
      <c r="CA2050">
        <v>0</v>
      </c>
      <c r="CB2050">
        <v>0</v>
      </c>
      <c r="CC2050">
        <v>0</v>
      </c>
      <c r="CD2050">
        <v>0</v>
      </c>
      <c r="CE2050" t="s">
        <v>3108</v>
      </c>
      <c r="CF2050" t="s">
        <v>3108</v>
      </c>
      <c r="CG2050" t="s">
        <v>3108</v>
      </c>
      <c r="CH2050" t="s">
        <v>3108</v>
      </c>
    </row>
    <row r="2051" spans="1:86" x14ac:dyDescent="0.2">
      <c r="A2051" t="s">
        <v>6270</v>
      </c>
      <c r="B2051" t="s">
        <v>6270</v>
      </c>
      <c r="C2051">
        <v>55198</v>
      </c>
      <c r="D2051">
        <v>2175</v>
      </c>
      <c r="E2051" t="s">
        <v>6271</v>
      </c>
      <c r="F2051" t="s">
        <v>3249</v>
      </c>
      <c r="G2051" t="s">
        <v>3249</v>
      </c>
      <c r="H2051" t="s">
        <v>3250</v>
      </c>
      <c r="I2051" t="s">
        <v>3250</v>
      </c>
      <c r="J2051" t="s">
        <v>3250</v>
      </c>
      <c r="K2051" t="s">
        <v>3250</v>
      </c>
      <c r="L2051">
        <v>1200</v>
      </c>
      <c r="M2051" t="s">
        <v>2368</v>
      </c>
      <c r="N2051">
        <v>1204</v>
      </c>
      <c r="O2051" t="s">
        <v>1574</v>
      </c>
      <c r="P2051" t="s">
        <v>3108</v>
      </c>
      <c r="Q2051" t="s">
        <v>3249</v>
      </c>
      <c r="R2051" t="s">
        <v>3249</v>
      </c>
      <c r="S2051" t="s">
        <v>472</v>
      </c>
      <c r="T2051" t="s">
        <v>3789</v>
      </c>
      <c r="U2051">
        <v>360</v>
      </c>
      <c r="V2051" t="s">
        <v>3790</v>
      </c>
      <c r="W2051">
        <v>360</v>
      </c>
      <c r="X2051" t="s">
        <v>601</v>
      </c>
      <c r="Y2051" t="s">
        <v>3250</v>
      </c>
      <c r="Z2051" t="s">
        <v>3250</v>
      </c>
      <c r="AA2051" t="s">
        <v>3108</v>
      </c>
      <c r="AB2051" t="s">
        <v>3108</v>
      </c>
      <c r="AC2051">
        <v>200</v>
      </c>
      <c r="AD2051" t="s">
        <v>6272</v>
      </c>
      <c r="AE2051">
        <v>450</v>
      </c>
      <c r="AF2051" t="s">
        <v>6272</v>
      </c>
      <c r="AG2051" t="s">
        <v>3250</v>
      </c>
      <c r="AH2051" t="s">
        <v>3250</v>
      </c>
      <c r="AI2051" t="s">
        <v>3250</v>
      </c>
      <c r="AJ2051" t="s">
        <v>3250</v>
      </c>
      <c r="AL2051">
        <v>361</v>
      </c>
      <c r="AM2051" t="s">
        <v>2523</v>
      </c>
      <c r="AN2051">
        <v>361</v>
      </c>
      <c r="AO2051" t="s">
        <v>2523</v>
      </c>
      <c r="AS2051" t="s">
        <v>3250</v>
      </c>
      <c r="AT2051" t="s">
        <v>3250</v>
      </c>
      <c r="AU2051" t="s">
        <v>3250</v>
      </c>
      <c r="AV2051" t="s">
        <v>3250</v>
      </c>
      <c r="AW2051" t="s">
        <v>3250</v>
      </c>
      <c r="AX2051" t="s">
        <v>3250</v>
      </c>
      <c r="AY2051" t="s">
        <v>3250</v>
      </c>
      <c r="AZ2051" t="s">
        <v>3250</v>
      </c>
      <c r="BA2051" t="s">
        <v>3250</v>
      </c>
      <c r="BB2051" t="s">
        <v>3250</v>
      </c>
      <c r="BC2051" t="s">
        <v>3250</v>
      </c>
      <c r="BE2051" t="s">
        <v>3250</v>
      </c>
      <c r="BF2051" t="s">
        <v>3250</v>
      </c>
      <c r="BG2051" t="s">
        <v>3250</v>
      </c>
      <c r="BH2051" t="s">
        <v>3250</v>
      </c>
      <c r="BI2051" t="s">
        <v>3250</v>
      </c>
      <c r="BK2051" t="s">
        <v>3250</v>
      </c>
      <c r="BL2051" t="s">
        <v>3250</v>
      </c>
      <c r="BM2051" t="s">
        <v>3250</v>
      </c>
      <c r="BN2051" t="s">
        <v>3250</v>
      </c>
      <c r="BP2051">
        <v>1</v>
      </c>
      <c r="BQ2051">
        <v>11</v>
      </c>
      <c r="BR2051" t="s">
        <v>1574</v>
      </c>
      <c r="BS2051" t="s">
        <v>3252</v>
      </c>
      <c r="BV2051">
        <v>0</v>
      </c>
      <c r="BW2051">
        <v>0</v>
      </c>
      <c r="BX2051">
        <v>0</v>
      </c>
      <c r="BY2051">
        <v>0</v>
      </c>
      <c r="BZ2051">
        <v>0</v>
      </c>
      <c r="CA2051">
        <v>41396446</v>
      </c>
      <c r="CB2051">
        <v>43052304</v>
      </c>
      <c r="CC2051">
        <v>44774396</v>
      </c>
      <c r="CD2051">
        <v>0</v>
      </c>
      <c r="CE2051" t="s">
        <v>3108</v>
      </c>
      <c r="CF2051" t="s">
        <v>3108</v>
      </c>
      <c r="CG2051" t="s">
        <v>3108</v>
      </c>
      <c r="CH2051" t="s">
        <v>3108</v>
      </c>
    </row>
    <row r="2052" spans="1:86" x14ac:dyDescent="0.2">
      <c r="A2052" t="s">
        <v>6273</v>
      </c>
      <c r="B2052" t="s">
        <v>6273</v>
      </c>
      <c r="C2052">
        <v>55199</v>
      </c>
      <c r="D2052">
        <v>2174</v>
      </c>
      <c r="E2052" t="s">
        <v>6274</v>
      </c>
      <c r="F2052" t="s">
        <v>3249</v>
      </c>
      <c r="G2052" t="s">
        <v>3249</v>
      </c>
      <c r="H2052" t="s">
        <v>3250</v>
      </c>
      <c r="I2052" t="s">
        <v>3250</v>
      </c>
      <c r="J2052" t="s">
        <v>3250</v>
      </c>
      <c r="K2052" t="s">
        <v>3250</v>
      </c>
      <c r="L2052">
        <v>1200</v>
      </c>
      <c r="M2052" t="s">
        <v>2368</v>
      </c>
      <c r="N2052">
        <v>1204</v>
      </c>
      <c r="O2052" t="s">
        <v>1574</v>
      </c>
      <c r="P2052" t="s">
        <v>3108</v>
      </c>
      <c r="Q2052" t="s">
        <v>3249</v>
      </c>
      <c r="R2052" t="s">
        <v>3249</v>
      </c>
      <c r="S2052" t="s">
        <v>472</v>
      </c>
      <c r="T2052" t="s">
        <v>3789</v>
      </c>
      <c r="U2052">
        <v>360</v>
      </c>
      <c r="V2052" t="s">
        <v>3790</v>
      </c>
      <c r="W2052">
        <v>360</v>
      </c>
      <c r="X2052" t="s">
        <v>601</v>
      </c>
      <c r="Y2052" t="s">
        <v>3250</v>
      </c>
      <c r="Z2052" t="s">
        <v>3250</v>
      </c>
      <c r="AA2052" t="s">
        <v>3108</v>
      </c>
      <c r="AB2052" t="s">
        <v>3108</v>
      </c>
      <c r="AC2052">
        <v>200</v>
      </c>
      <c r="AD2052" t="s">
        <v>6264</v>
      </c>
      <c r="AE2052">
        <v>390</v>
      </c>
      <c r="AF2052" t="s">
        <v>408</v>
      </c>
      <c r="AG2052" t="s">
        <v>3250</v>
      </c>
      <c r="AH2052" t="s">
        <v>3250</v>
      </c>
      <c r="AI2052" t="s">
        <v>3250</v>
      </c>
      <c r="AJ2052" t="s">
        <v>3250</v>
      </c>
      <c r="AL2052">
        <v>361</v>
      </c>
      <c r="AM2052" t="s">
        <v>2523</v>
      </c>
      <c r="AN2052">
        <v>361</v>
      </c>
      <c r="AO2052" t="s">
        <v>2523</v>
      </c>
      <c r="AS2052" t="s">
        <v>3250</v>
      </c>
      <c r="AT2052" t="s">
        <v>3250</v>
      </c>
      <c r="AU2052" t="s">
        <v>3250</v>
      </c>
      <c r="AV2052" t="s">
        <v>3250</v>
      </c>
      <c r="AW2052" t="s">
        <v>3250</v>
      </c>
      <c r="AX2052" t="s">
        <v>3250</v>
      </c>
      <c r="AY2052" t="s">
        <v>3250</v>
      </c>
      <c r="AZ2052" t="s">
        <v>3250</v>
      </c>
      <c r="BA2052" t="s">
        <v>3250</v>
      </c>
      <c r="BB2052" t="s">
        <v>3250</v>
      </c>
      <c r="BC2052" t="s">
        <v>3250</v>
      </c>
      <c r="BE2052" t="s">
        <v>3250</v>
      </c>
      <c r="BF2052" t="s">
        <v>3250</v>
      </c>
      <c r="BG2052" t="s">
        <v>3250</v>
      </c>
      <c r="BH2052" t="s">
        <v>3250</v>
      </c>
      <c r="BI2052" t="s">
        <v>3250</v>
      </c>
      <c r="BK2052" t="s">
        <v>3250</v>
      </c>
      <c r="BL2052" t="s">
        <v>3250</v>
      </c>
      <c r="BM2052" t="s">
        <v>3250</v>
      </c>
      <c r="BN2052" t="s">
        <v>3250</v>
      </c>
      <c r="BP2052">
        <v>1</v>
      </c>
      <c r="BQ2052">
        <v>11</v>
      </c>
      <c r="BR2052" t="s">
        <v>1574</v>
      </c>
      <c r="BS2052" t="s">
        <v>3252</v>
      </c>
      <c r="BV2052">
        <v>0</v>
      </c>
      <c r="BW2052">
        <v>0</v>
      </c>
      <c r="BX2052">
        <v>0</v>
      </c>
      <c r="BY2052">
        <v>0</v>
      </c>
      <c r="BZ2052">
        <v>0</v>
      </c>
      <c r="CA2052">
        <v>0</v>
      </c>
      <c r="CB2052">
        <v>0</v>
      </c>
      <c r="CC2052">
        <v>0</v>
      </c>
      <c r="CD2052">
        <v>0</v>
      </c>
      <c r="CE2052" t="s">
        <v>3108</v>
      </c>
      <c r="CF2052" t="s">
        <v>3108</v>
      </c>
      <c r="CG2052" t="s">
        <v>3108</v>
      </c>
      <c r="CH2052" t="s">
        <v>3108</v>
      </c>
    </row>
    <row r="2053" spans="1:86" x14ac:dyDescent="0.2">
      <c r="A2053" t="s">
        <v>6275</v>
      </c>
      <c r="B2053" t="s">
        <v>6275</v>
      </c>
      <c r="C2053">
        <v>55200</v>
      </c>
      <c r="D2053">
        <v>2176</v>
      </c>
      <c r="E2053" t="s">
        <v>6276</v>
      </c>
      <c r="F2053" t="s">
        <v>3249</v>
      </c>
      <c r="G2053" t="s">
        <v>3249</v>
      </c>
      <c r="H2053" t="s">
        <v>3250</v>
      </c>
      <c r="I2053" t="s">
        <v>3250</v>
      </c>
      <c r="J2053" t="s">
        <v>3250</v>
      </c>
      <c r="K2053" t="s">
        <v>3250</v>
      </c>
      <c r="L2053">
        <v>1200</v>
      </c>
      <c r="M2053" t="s">
        <v>2368</v>
      </c>
      <c r="N2053">
        <v>1204</v>
      </c>
      <c r="O2053" t="s">
        <v>1574</v>
      </c>
      <c r="P2053" t="s">
        <v>3108</v>
      </c>
      <c r="Q2053" t="s">
        <v>3249</v>
      </c>
      <c r="R2053" t="s">
        <v>3249</v>
      </c>
      <c r="S2053" t="s">
        <v>472</v>
      </c>
      <c r="T2053" t="s">
        <v>3789</v>
      </c>
      <c r="U2053">
        <v>360</v>
      </c>
      <c r="V2053" t="s">
        <v>3790</v>
      </c>
      <c r="W2053">
        <v>360</v>
      </c>
      <c r="X2053" t="s">
        <v>601</v>
      </c>
      <c r="Y2053" t="s">
        <v>3250</v>
      </c>
      <c r="Z2053" t="s">
        <v>3250</v>
      </c>
      <c r="AA2053" t="s">
        <v>3108</v>
      </c>
      <c r="AB2053" t="s">
        <v>3108</v>
      </c>
      <c r="AC2053">
        <v>200</v>
      </c>
      <c r="AD2053" t="s">
        <v>6264</v>
      </c>
      <c r="AE2053">
        <v>390</v>
      </c>
      <c r="AF2053" t="s">
        <v>408</v>
      </c>
      <c r="AG2053" t="s">
        <v>3250</v>
      </c>
      <c r="AH2053" t="s">
        <v>3250</v>
      </c>
      <c r="AI2053" t="s">
        <v>3250</v>
      </c>
      <c r="AJ2053" t="s">
        <v>3250</v>
      </c>
      <c r="AL2053">
        <v>361</v>
      </c>
      <c r="AM2053" t="s">
        <v>2523</v>
      </c>
      <c r="AN2053">
        <v>361</v>
      </c>
      <c r="AO2053" t="s">
        <v>2523</v>
      </c>
      <c r="AS2053" t="s">
        <v>3250</v>
      </c>
      <c r="AT2053" t="s">
        <v>3250</v>
      </c>
      <c r="AU2053" t="s">
        <v>3250</v>
      </c>
      <c r="AV2053" t="s">
        <v>3250</v>
      </c>
      <c r="AW2053" t="s">
        <v>3250</v>
      </c>
      <c r="AX2053" t="s">
        <v>3250</v>
      </c>
      <c r="AY2053" t="s">
        <v>3250</v>
      </c>
      <c r="AZ2053" t="s">
        <v>3250</v>
      </c>
      <c r="BA2053" t="s">
        <v>3250</v>
      </c>
      <c r="BB2053" t="s">
        <v>3250</v>
      </c>
      <c r="BC2053" t="s">
        <v>3250</v>
      </c>
      <c r="BE2053" t="s">
        <v>3250</v>
      </c>
      <c r="BF2053" t="s">
        <v>3250</v>
      </c>
      <c r="BG2053" t="s">
        <v>3250</v>
      </c>
      <c r="BH2053" t="s">
        <v>3250</v>
      </c>
      <c r="BI2053" t="s">
        <v>3250</v>
      </c>
      <c r="BK2053" t="s">
        <v>3250</v>
      </c>
      <c r="BL2053" t="s">
        <v>3250</v>
      </c>
      <c r="BM2053" t="s">
        <v>3250</v>
      </c>
      <c r="BN2053" t="s">
        <v>3250</v>
      </c>
      <c r="BP2053">
        <v>1</v>
      </c>
      <c r="BQ2053">
        <v>11</v>
      </c>
      <c r="BR2053" t="s">
        <v>1574</v>
      </c>
      <c r="BS2053" t="s">
        <v>3252</v>
      </c>
      <c r="BV2053">
        <v>0</v>
      </c>
      <c r="BW2053">
        <v>0</v>
      </c>
      <c r="BX2053">
        <v>0</v>
      </c>
      <c r="BY2053">
        <v>0</v>
      </c>
      <c r="BZ2053">
        <v>0</v>
      </c>
      <c r="CA2053">
        <v>0</v>
      </c>
      <c r="CB2053">
        <v>0</v>
      </c>
      <c r="CC2053">
        <v>0</v>
      </c>
      <c r="CD2053">
        <v>0</v>
      </c>
      <c r="CE2053" t="s">
        <v>3108</v>
      </c>
      <c r="CF2053" t="s">
        <v>3108</v>
      </c>
      <c r="CG2053" t="s">
        <v>3108</v>
      </c>
      <c r="CH2053" t="s">
        <v>3108</v>
      </c>
    </row>
    <row r="2054" spans="1:86" x14ac:dyDescent="0.2">
      <c r="A2054" t="s">
        <v>6277</v>
      </c>
      <c r="B2054" t="s">
        <v>6277</v>
      </c>
      <c r="C2054">
        <v>55201</v>
      </c>
      <c r="D2054">
        <v>2177</v>
      </c>
      <c r="E2054" t="s">
        <v>6278</v>
      </c>
      <c r="F2054" t="s">
        <v>3249</v>
      </c>
      <c r="G2054" t="s">
        <v>3249</v>
      </c>
      <c r="H2054" t="s">
        <v>3250</v>
      </c>
      <c r="I2054" t="s">
        <v>3250</v>
      </c>
      <c r="J2054" t="s">
        <v>3250</v>
      </c>
      <c r="K2054" t="s">
        <v>3250</v>
      </c>
      <c r="L2054">
        <v>1200</v>
      </c>
      <c r="M2054" t="s">
        <v>2368</v>
      </c>
      <c r="N2054">
        <v>1204</v>
      </c>
      <c r="O2054" t="s">
        <v>1574</v>
      </c>
      <c r="P2054" t="s">
        <v>3108</v>
      </c>
      <c r="Q2054" t="s">
        <v>3249</v>
      </c>
      <c r="R2054" t="s">
        <v>3249</v>
      </c>
      <c r="S2054" t="s">
        <v>472</v>
      </c>
      <c r="T2054" t="s">
        <v>3789</v>
      </c>
      <c r="U2054">
        <v>360</v>
      </c>
      <c r="V2054" t="s">
        <v>3790</v>
      </c>
      <c r="W2054">
        <v>360</v>
      </c>
      <c r="X2054" t="s">
        <v>601</v>
      </c>
      <c r="Y2054" t="s">
        <v>3250</v>
      </c>
      <c r="Z2054" t="s">
        <v>3250</v>
      </c>
      <c r="AA2054" t="s">
        <v>3108</v>
      </c>
      <c r="AB2054" t="s">
        <v>3108</v>
      </c>
      <c r="AC2054">
        <v>200</v>
      </c>
      <c r="AD2054" t="s">
        <v>6264</v>
      </c>
      <c r="AE2054">
        <v>390</v>
      </c>
      <c r="AF2054" t="s">
        <v>408</v>
      </c>
      <c r="AG2054" t="s">
        <v>3250</v>
      </c>
      <c r="AH2054" t="s">
        <v>3250</v>
      </c>
      <c r="AI2054" t="s">
        <v>3250</v>
      </c>
      <c r="AJ2054" t="s">
        <v>3250</v>
      </c>
      <c r="AL2054">
        <v>361</v>
      </c>
      <c r="AM2054" t="s">
        <v>2523</v>
      </c>
      <c r="AN2054">
        <v>361</v>
      </c>
      <c r="AO2054" t="s">
        <v>2523</v>
      </c>
      <c r="AS2054" t="s">
        <v>3250</v>
      </c>
      <c r="AT2054" t="s">
        <v>3250</v>
      </c>
      <c r="AU2054" t="s">
        <v>3250</v>
      </c>
      <c r="AV2054" t="s">
        <v>3250</v>
      </c>
      <c r="AW2054" t="s">
        <v>3250</v>
      </c>
      <c r="AX2054" t="s">
        <v>3250</v>
      </c>
      <c r="AY2054" t="s">
        <v>3250</v>
      </c>
      <c r="AZ2054" t="s">
        <v>3250</v>
      </c>
      <c r="BA2054" t="s">
        <v>3250</v>
      </c>
      <c r="BB2054" t="s">
        <v>3250</v>
      </c>
      <c r="BC2054" t="s">
        <v>3250</v>
      </c>
      <c r="BE2054" t="s">
        <v>3250</v>
      </c>
      <c r="BF2054" t="s">
        <v>3250</v>
      </c>
      <c r="BG2054" t="s">
        <v>3250</v>
      </c>
      <c r="BH2054" t="s">
        <v>3250</v>
      </c>
      <c r="BI2054" t="s">
        <v>3250</v>
      </c>
      <c r="BK2054" t="s">
        <v>3250</v>
      </c>
      <c r="BL2054" t="s">
        <v>3250</v>
      </c>
      <c r="BM2054" t="s">
        <v>3250</v>
      </c>
      <c r="BN2054" t="s">
        <v>3250</v>
      </c>
      <c r="BP2054">
        <v>1</v>
      </c>
      <c r="BQ2054">
        <v>11</v>
      </c>
      <c r="BR2054" t="s">
        <v>1574</v>
      </c>
      <c r="BS2054" t="s">
        <v>3252</v>
      </c>
      <c r="BV2054">
        <v>0</v>
      </c>
      <c r="BW2054">
        <v>0</v>
      </c>
      <c r="BX2054">
        <v>0</v>
      </c>
      <c r="BY2054">
        <v>0</v>
      </c>
      <c r="BZ2054">
        <v>0</v>
      </c>
      <c r="CA2054">
        <v>0</v>
      </c>
      <c r="CB2054">
        <v>0</v>
      </c>
      <c r="CC2054">
        <v>0</v>
      </c>
      <c r="CD2054">
        <v>0</v>
      </c>
      <c r="CE2054" t="s">
        <v>3108</v>
      </c>
      <c r="CF2054" t="s">
        <v>3108</v>
      </c>
      <c r="CG2054" t="s">
        <v>3108</v>
      </c>
      <c r="CH2054" t="s">
        <v>3108</v>
      </c>
    </row>
    <row r="2055" spans="1:86" x14ac:dyDescent="0.2">
      <c r="A2055" t="s">
        <v>6279</v>
      </c>
      <c r="B2055" t="s">
        <v>6279</v>
      </c>
      <c r="C2055">
        <v>55202</v>
      </c>
      <c r="D2055">
        <v>2178</v>
      </c>
      <c r="E2055" t="s">
        <v>5802</v>
      </c>
      <c r="F2055" t="s">
        <v>3249</v>
      </c>
      <c r="G2055" t="s">
        <v>3249</v>
      </c>
      <c r="H2055" t="s">
        <v>3250</v>
      </c>
      <c r="I2055" t="s">
        <v>3250</v>
      </c>
      <c r="J2055" t="s">
        <v>3250</v>
      </c>
      <c r="K2055" t="s">
        <v>3250</v>
      </c>
      <c r="L2055">
        <v>1200</v>
      </c>
      <c r="M2055" t="s">
        <v>2368</v>
      </c>
      <c r="N2055">
        <v>1204</v>
      </c>
      <c r="O2055" t="s">
        <v>1574</v>
      </c>
      <c r="P2055" t="s">
        <v>3108</v>
      </c>
      <c r="Q2055" t="s">
        <v>3249</v>
      </c>
      <c r="R2055" t="s">
        <v>3249</v>
      </c>
      <c r="S2055" t="s">
        <v>472</v>
      </c>
      <c r="T2055" t="s">
        <v>3789</v>
      </c>
      <c r="U2055">
        <v>360</v>
      </c>
      <c r="V2055" t="s">
        <v>3790</v>
      </c>
      <c r="W2055">
        <v>360</v>
      </c>
      <c r="X2055" t="s">
        <v>601</v>
      </c>
      <c r="Y2055" t="s">
        <v>3250</v>
      </c>
      <c r="Z2055" t="s">
        <v>3250</v>
      </c>
      <c r="AA2055" t="s">
        <v>3108</v>
      </c>
      <c r="AB2055" t="s">
        <v>3108</v>
      </c>
      <c r="AC2055">
        <v>200</v>
      </c>
      <c r="AD2055" t="s">
        <v>6264</v>
      </c>
      <c r="AE2055">
        <v>390</v>
      </c>
      <c r="AF2055" t="s">
        <v>408</v>
      </c>
      <c r="AG2055" t="s">
        <v>3250</v>
      </c>
      <c r="AH2055" t="s">
        <v>3250</v>
      </c>
      <c r="AI2055" t="s">
        <v>3250</v>
      </c>
      <c r="AJ2055" t="s">
        <v>3250</v>
      </c>
      <c r="AL2055">
        <v>361</v>
      </c>
      <c r="AM2055" t="s">
        <v>2523</v>
      </c>
      <c r="AN2055">
        <v>361</v>
      </c>
      <c r="AO2055" t="s">
        <v>2523</v>
      </c>
      <c r="AS2055" t="s">
        <v>3250</v>
      </c>
      <c r="AT2055" t="s">
        <v>3250</v>
      </c>
      <c r="AU2055" t="s">
        <v>3250</v>
      </c>
      <c r="AV2055" t="s">
        <v>3250</v>
      </c>
      <c r="AW2055" t="s">
        <v>3250</v>
      </c>
      <c r="AX2055" t="s">
        <v>3250</v>
      </c>
      <c r="AY2055" t="s">
        <v>3250</v>
      </c>
      <c r="AZ2055" t="s">
        <v>3250</v>
      </c>
      <c r="BA2055" t="s">
        <v>3250</v>
      </c>
      <c r="BB2055" t="s">
        <v>3250</v>
      </c>
      <c r="BC2055" t="s">
        <v>3250</v>
      </c>
      <c r="BE2055" t="s">
        <v>3250</v>
      </c>
      <c r="BF2055" t="s">
        <v>3250</v>
      </c>
      <c r="BG2055" t="s">
        <v>3250</v>
      </c>
      <c r="BH2055" t="s">
        <v>3250</v>
      </c>
      <c r="BI2055" t="s">
        <v>3250</v>
      </c>
      <c r="BK2055" t="s">
        <v>3250</v>
      </c>
      <c r="BL2055" t="s">
        <v>3250</v>
      </c>
      <c r="BM2055" t="s">
        <v>3250</v>
      </c>
      <c r="BN2055" t="s">
        <v>3250</v>
      </c>
      <c r="BP2055">
        <v>1</v>
      </c>
      <c r="BQ2055">
        <v>11</v>
      </c>
      <c r="BR2055" t="s">
        <v>1574</v>
      </c>
      <c r="BS2055" t="s">
        <v>3252</v>
      </c>
      <c r="BV2055">
        <v>0</v>
      </c>
      <c r="BW2055">
        <v>0</v>
      </c>
      <c r="BX2055">
        <v>0</v>
      </c>
      <c r="BY2055">
        <v>0</v>
      </c>
      <c r="BZ2055">
        <v>0</v>
      </c>
      <c r="CA2055">
        <v>0</v>
      </c>
      <c r="CB2055">
        <v>0</v>
      </c>
      <c r="CC2055">
        <v>0</v>
      </c>
      <c r="CD2055">
        <v>0</v>
      </c>
      <c r="CE2055" t="s">
        <v>3108</v>
      </c>
      <c r="CF2055" t="s">
        <v>3108</v>
      </c>
      <c r="CG2055" t="s">
        <v>3108</v>
      </c>
      <c r="CH2055" t="s">
        <v>3108</v>
      </c>
    </row>
    <row r="2056" spans="1:86" x14ac:dyDescent="0.2">
      <c r="A2056" t="s">
        <v>6280</v>
      </c>
      <c r="B2056" t="s">
        <v>6280</v>
      </c>
      <c r="C2056">
        <v>55203</v>
      </c>
      <c r="D2056">
        <v>2179</v>
      </c>
      <c r="E2056" t="s">
        <v>5816</v>
      </c>
      <c r="F2056" t="s">
        <v>3249</v>
      </c>
      <c r="G2056" t="s">
        <v>3249</v>
      </c>
      <c r="H2056" t="s">
        <v>3250</v>
      </c>
      <c r="I2056" t="s">
        <v>3250</v>
      </c>
      <c r="J2056" t="s">
        <v>3250</v>
      </c>
      <c r="K2056" t="s">
        <v>3250</v>
      </c>
      <c r="L2056">
        <v>1200</v>
      </c>
      <c r="M2056" t="s">
        <v>2368</v>
      </c>
      <c r="N2056">
        <v>1204</v>
      </c>
      <c r="O2056" t="s">
        <v>1574</v>
      </c>
      <c r="P2056" t="s">
        <v>3108</v>
      </c>
      <c r="Q2056" t="s">
        <v>3249</v>
      </c>
      <c r="R2056" t="s">
        <v>3249</v>
      </c>
      <c r="S2056" t="s">
        <v>472</v>
      </c>
      <c r="T2056" t="s">
        <v>3789</v>
      </c>
      <c r="U2056">
        <v>360</v>
      </c>
      <c r="V2056" t="s">
        <v>3790</v>
      </c>
      <c r="W2056">
        <v>360</v>
      </c>
      <c r="X2056" t="s">
        <v>601</v>
      </c>
      <c r="Y2056" t="s">
        <v>3250</v>
      </c>
      <c r="Z2056" t="s">
        <v>3250</v>
      </c>
      <c r="AA2056" t="s">
        <v>3108</v>
      </c>
      <c r="AB2056" t="s">
        <v>3108</v>
      </c>
      <c r="AC2056">
        <v>200</v>
      </c>
      <c r="AD2056" t="s">
        <v>6264</v>
      </c>
      <c r="AE2056">
        <v>390</v>
      </c>
      <c r="AF2056" t="s">
        <v>408</v>
      </c>
      <c r="AG2056" t="s">
        <v>3250</v>
      </c>
      <c r="AH2056" t="s">
        <v>3250</v>
      </c>
      <c r="AI2056" t="s">
        <v>3250</v>
      </c>
      <c r="AJ2056" t="s">
        <v>3250</v>
      </c>
      <c r="AL2056">
        <v>361</v>
      </c>
      <c r="AM2056" t="s">
        <v>2523</v>
      </c>
      <c r="AN2056">
        <v>361</v>
      </c>
      <c r="AO2056" t="s">
        <v>2523</v>
      </c>
      <c r="AS2056" t="s">
        <v>3250</v>
      </c>
      <c r="AT2056" t="s">
        <v>3250</v>
      </c>
      <c r="AU2056" t="s">
        <v>3250</v>
      </c>
      <c r="AV2056" t="s">
        <v>3250</v>
      </c>
      <c r="AW2056" t="s">
        <v>3250</v>
      </c>
      <c r="AX2056" t="s">
        <v>3250</v>
      </c>
      <c r="AY2056" t="s">
        <v>3250</v>
      </c>
      <c r="AZ2056" t="s">
        <v>3250</v>
      </c>
      <c r="BA2056" t="s">
        <v>3250</v>
      </c>
      <c r="BB2056" t="s">
        <v>3250</v>
      </c>
      <c r="BC2056" t="s">
        <v>3250</v>
      </c>
      <c r="BE2056" t="s">
        <v>3250</v>
      </c>
      <c r="BF2056" t="s">
        <v>3250</v>
      </c>
      <c r="BG2056" t="s">
        <v>3250</v>
      </c>
      <c r="BH2056" t="s">
        <v>3250</v>
      </c>
      <c r="BI2056" t="s">
        <v>3250</v>
      </c>
      <c r="BK2056" t="s">
        <v>3250</v>
      </c>
      <c r="BL2056" t="s">
        <v>3250</v>
      </c>
      <c r="BM2056" t="s">
        <v>3250</v>
      </c>
      <c r="BN2056" t="s">
        <v>3250</v>
      </c>
      <c r="BP2056">
        <v>1</v>
      </c>
      <c r="BQ2056">
        <v>11</v>
      </c>
      <c r="BR2056" t="s">
        <v>1574</v>
      </c>
      <c r="BS2056" t="s">
        <v>3252</v>
      </c>
      <c r="BV2056">
        <v>0</v>
      </c>
      <c r="BW2056">
        <v>0</v>
      </c>
      <c r="BX2056">
        <v>0</v>
      </c>
      <c r="BY2056">
        <v>0</v>
      </c>
      <c r="BZ2056">
        <v>0</v>
      </c>
      <c r="CA2056">
        <v>0</v>
      </c>
      <c r="CB2056">
        <v>0</v>
      </c>
      <c r="CC2056">
        <v>0</v>
      </c>
      <c r="CD2056">
        <v>0</v>
      </c>
      <c r="CE2056" t="s">
        <v>3108</v>
      </c>
      <c r="CF2056" t="s">
        <v>3108</v>
      </c>
      <c r="CG2056" t="s">
        <v>3108</v>
      </c>
      <c r="CH2056" t="s">
        <v>3108</v>
      </c>
    </row>
    <row r="2057" spans="1:86" x14ac:dyDescent="0.2">
      <c r="A2057" t="s">
        <v>6281</v>
      </c>
      <c r="B2057" t="s">
        <v>6281</v>
      </c>
      <c r="C2057">
        <v>55204</v>
      </c>
      <c r="D2057">
        <v>2180</v>
      </c>
      <c r="E2057" t="s">
        <v>5819</v>
      </c>
      <c r="F2057" t="s">
        <v>3249</v>
      </c>
      <c r="G2057" t="s">
        <v>3249</v>
      </c>
      <c r="H2057" t="s">
        <v>3250</v>
      </c>
      <c r="I2057" t="s">
        <v>3250</v>
      </c>
      <c r="J2057" t="s">
        <v>3250</v>
      </c>
      <c r="K2057" t="s">
        <v>3250</v>
      </c>
      <c r="L2057">
        <v>1200</v>
      </c>
      <c r="M2057" t="s">
        <v>2368</v>
      </c>
      <c r="N2057">
        <v>1204</v>
      </c>
      <c r="O2057" t="s">
        <v>1574</v>
      </c>
      <c r="P2057" t="s">
        <v>3108</v>
      </c>
      <c r="Q2057" t="s">
        <v>3249</v>
      </c>
      <c r="R2057" t="s">
        <v>3249</v>
      </c>
      <c r="S2057" t="s">
        <v>472</v>
      </c>
      <c r="T2057" t="s">
        <v>3789</v>
      </c>
      <c r="U2057">
        <v>360</v>
      </c>
      <c r="V2057" t="s">
        <v>3790</v>
      </c>
      <c r="W2057">
        <v>360</v>
      </c>
      <c r="X2057" t="s">
        <v>601</v>
      </c>
      <c r="Y2057" t="s">
        <v>3250</v>
      </c>
      <c r="Z2057" t="s">
        <v>3250</v>
      </c>
      <c r="AA2057" t="s">
        <v>3108</v>
      </c>
      <c r="AB2057" t="s">
        <v>3108</v>
      </c>
      <c r="AC2057">
        <v>200</v>
      </c>
      <c r="AD2057" t="s">
        <v>6264</v>
      </c>
      <c r="AE2057">
        <v>390</v>
      </c>
      <c r="AF2057" t="s">
        <v>408</v>
      </c>
      <c r="AG2057" t="s">
        <v>3250</v>
      </c>
      <c r="AH2057" t="s">
        <v>3250</v>
      </c>
      <c r="AI2057" t="s">
        <v>3250</v>
      </c>
      <c r="AJ2057" t="s">
        <v>3250</v>
      </c>
      <c r="AL2057">
        <v>361</v>
      </c>
      <c r="AM2057" t="s">
        <v>2523</v>
      </c>
      <c r="AN2057">
        <v>361</v>
      </c>
      <c r="AO2057" t="s">
        <v>2523</v>
      </c>
      <c r="AS2057" t="s">
        <v>3250</v>
      </c>
      <c r="AT2057" t="s">
        <v>3250</v>
      </c>
      <c r="AU2057" t="s">
        <v>3250</v>
      </c>
      <c r="AV2057" t="s">
        <v>3250</v>
      </c>
      <c r="AW2057" t="s">
        <v>3250</v>
      </c>
      <c r="AX2057" t="s">
        <v>3250</v>
      </c>
      <c r="AY2057" t="s">
        <v>3250</v>
      </c>
      <c r="AZ2057" t="s">
        <v>3250</v>
      </c>
      <c r="BA2057" t="s">
        <v>3250</v>
      </c>
      <c r="BB2057" t="s">
        <v>3250</v>
      </c>
      <c r="BC2057" t="s">
        <v>3250</v>
      </c>
      <c r="BE2057" t="s">
        <v>3250</v>
      </c>
      <c r="BF2057" t="s">
        <v>3250</v>
      </c>
      <c r="BG2057" t="s">
        <v>3250</v>
      </c>
      <c r="BH2057" t="s">
        <v>3250</v>
      </c>
      <c r="BI2057" t="s">
        <v>3250</v>
      </c>
      <c r="BK2057" t="s">
        <v>3250</v>
      </c>
      <c r="BL2057" t="s">
        <v>3250</v>
      </c>
      <c r="BM2057" t="s">
        <v>3250</v>
      </c>
      <c r="BN2057" t="s">
        <v>3250</v>
      </c>
      <c r="BP2057">
        <v>1</v>
      </c>
      <c r="BQ2057">
        <v>11</v>
      </c>
      <c r="BR2057" t="s">
        <v>1574</v>
      </c>
      <c r="BS2057" t="s">
        <v>3252</v>
      </c>
      <c r="BV2057">
        <v>0</v>
      </c>
      <c r="BW2057">
        <v>0</v>
      </c>
      <c r="BX2057">
        <v>0</v>
      </c>
      <c r="BY2057">
        <v>0</v>
      </c>
      <c r="BZ2057">
        <v>0</v>
      </c>
      <c r="CA2057">
        <v>0</v>
      </c>
      <c r="CB2057">
        <v>0</v>
      </c>
      <c r="CC2057">
        <v>0</v>
      </c>
      <c r="CD2057">
        <v>0</v>
      </c>
      <c r="CE2057" t="s">
        <v>3108</v>
      </c>
      <c r="CF2057" t="s">
        <v>3108</v>
      </c>
      <c r="CG2057" t="s">
        <v>3108</v>
      </c>
      <c r="CH2057" t="s">
        <v>3108</v>
      </c>
    </row>
    <row r="2058" spans="1:86" x14ac:dyDescent="0.2">
      <c r="A2058" t="s">
        <v>6282</v>
      </c>
      <c r="B2058" t="s">
        <v>6282</v>
      </c>
      <c r="C2058">
        <v>55205</v>
      </c>
      <c r="D2058">
        <v>2182</v>
      </c>
      <c r="E2058" t="s">
        <v>5717</v>
      </c>
      <c r="F2058" t="s">
        <v>3249</v>
      </c>
      <c r="G2058" t="s">
        <v>3249</v>
      </c>
      <c r="H2058" t="s">
        <v>3250</v>
      </c>
      <c r="I2058" t="s">
        <v>3250</v>
      </c>
      <c r="J2058" t="s">
        <v>3250</v>
      </c>
      <c r="K2058" t="s">
        <v>3250</v>
      </c>
      <c r="L2058">
        <v>1200</v>
      </c>
      <c r="M2058" t="s">
        <v>2368</v>
      </c>
      <c r="N2058">
        <v>1204</v>
      </c>
      <c r="O2058" t="s">
        <v>1574</v>
      </c>
      <c r="P2058" t="s">
        <v>3108</v>
      </c>
      <c r="Q2058">
        <v>2010</v>
      </c>
      <c r="R2058" t="s">
        <v>1355</v>
      </c>
      <c r="S2058" t="s">
        <v>472</v>
      </c>
      <c r="T2058" t="s">
        <v>3251</v>
      </c>
      <c r="U2058">
        <v>120</v>
      </c>
      <c r="V2058" t="s">
        <v>599</v>
      </c>
      <c r="W2058">
        <v>120</v>
      </c>
      <c r="X2058" t="s">
        <v>599</v>
      </c>
      <c r="Y2058" t="s">
        <v>5743</v>
      </c>
      <c r="Z2058" t="s">
        <v>5744</v>
      </c>
      <c r="AA2058" t="s">
        <v>5743</v>
      </c>
      <c r="AB2058" t="s">
        <v>5744</v>
      </c>
      <c r="AC2058" t="s">
        <v>3250</v>
      </c>
      <c r="AD2058" t="s">
        <v>3250</v>
      </c>
      <c r="AE2058" t="s">
        <v>3250</v>
      </c>
      <c r="AF2058" t="s">
        <v>3250</v>
      </c>
      <c r="AG2058" t="s">
        <v>3250</v>
      </c>
      <c r="AH2058" t="s">
        <v>3250</v>
      </c>
      <c r="AI2058" t="s">
        <v>3250</v>
      </c>
      <c r="AJ2058" t="s">
        <v>3250</v>
      </c>
      <c r="AL2058" t="s">
        <v>3250</v>
      </c>
      <c r="AM2058" t="s">
        <v>3250</v>
      </c>
      <c r="AN2058" t="s">
        <v>3250</v>
      </c>
      <c r="AO2058" t="s">
        <v>3250</v>
      </c>
      <c r="AR2058" t="s">
        <v>5718</v>
      </c>
      <c r="AS2058" t="s">
        <v>3250</v>
      </c>
      <c r="AT2058" t="s">
        <v>3250</v>
      </c>
      <c r="AU2058" t="s">
        <v>3250</v>
      </c>
      <c r="AV2058" t="s">
        <v>3250</v>
      </c>
      <c r="AW2058" t="s">
        <v>3250</v>
      </c>
      <c r="AX2058" t="s">
        <v>3250</v>
      </c>
      <c r="AY2058" t="s">
        <v>3250</v>
      </c>
      <c r="AZ2058" t="s">
        <v>3250</v>
      </c>
      <c r="BA2058" t="s">
        <v>3250</v>
      </c>
      <c r="BB2058" t="s">
        <v>3250</v>
      </c>
      <c r="BC2058" t="s">
        <v>3250</v>
      </c>
      <c r="BE2058" t="s">
        <v>3250</v>
      </c>
      <c r="BF2058" t="s">
        <v>3250</v>
      </c>
      <c r="BG2058" t="s">
        <v>3250</v>
      </c>
      <c r="BH2058" t="s">
        <v>3250</v>
      </c>
      <c r="BI2058" t="s">
        <v>3250</v>
      </c>
      <c r="BK2058" t="s">
        <v>3250</v>
      </c>
      <c r="BL2058" t="s">
        <v>3250</v>
      </c>
      <c r="BM2058" t="s">
        <v>3250</v>
      </c>
      <c r="BN2058" t="s">
        <v>3250</v>
      </c>
      <c r="BP2058">
        <v>1</v>
      </c>
      <c r="BQ2058">
        <v>11</v>
      </c>
      <c r="BR2058" t="s">
        <v>1574</v>
      </c>
      <c r="BS2058" t="s">
        <v>3252</v>
      </c>
      <c r="BV2058">
        <v>0</v>
      </c>
      <c r="BW2058">
        <v>0</v>
      </c>
      <c r="BX2058">
        <v>0</v>
      </c>
      <c r="BY2058">
        <v>0</v>
      </c>
      <c r="BZ2058">
        <v>0</v>
      </c>
      <c r="CA2058">
        <v>0</v>
      </c>
      <c r="CB2058">
        <v>0</v>
      </c>
      <c r="CC2058">
        <v>0</v>
      </c>
      <c r="CD2058">
        <v>0</v>
      </c>
      <c r="CE2058" t="s">
        <v>3108</v>
      </c>
      <c r="CF2058" t="s">
        <v>3108</v>
      </c>
      <c r="CG2058" t="s">
        <v>3108</v>
      </c>
      <c r="CH2058" t="s">
        <v>3108</v>
      </c>
    </row>
    <row r="2059" spans="1:86" x14ac:dyDescent="0.2">
      <c r="A2059" t="s">
        <v>6283</v>
      </c>
      <c r="B2059" t="s">
        <v>6283</v>
      </c>
      <c r="C2059">
        <v>55206</v>
      </c>
      <c r="D2059">
        <v>2181</v>
      </c>
      <c r="E2059" t="s">
        <v>5741</v>
      </c>
      <c r="F2059" t="s">
        <v>3249</v>
      </c>
      <c r="G2059" t="s">
        <v>3249</v>
      </c>
      <c r="H2059" t="s">
        <v>3250</v>
      </c>
      <c r="I2059" t="s">
        <v>3250</v>
      </c>
      <c r="J2059" t="s">
        <v>3250</v>
      </c>
      <c r="K2059" t="s">
        <v>3250</v>
      </c>
      <c r="L2059">
        <v>1200</v>
      </c>
      <c r="M2059" t="s">
        <v>2368</v>
      </c>
      <c r="N2059">
        <v>1204</v>
      </c>
      <c r="O2059" t="s">
        <v>1574</v>
      </c>
      <c r="P2059" t="s">
        <v>3108</v>
      </c>
      <c r="Q2059" t="s">
        <v>3249</v>
      </c>
      <c r="R2059" t="s">
        <v>3249</v>
      </c>
      <c r="S2059" t="s">
        <v>472</v>
      </c>
      <c r="T2059" t="s">
        <v>3251</v>
      </c>
      <c r="U2059">
        <v>120</v>
      </c>
      <c r="V2059" t="s">
        <v>599</v>
      </c>
      <c r="W2059">
        <v>120</v>
      </c>
      <c r="X2059" t="s">
        <v>599</v>
      </c>
      <c r="Y2059" t="s">
        <v>3250</v>
      </c>
      <c r="Z2059" t="s">
        <v>3250</v>
      </c>
      <c r="AA2059" t="s">
        <v>3108</v>
      </c>
      <c r="AB2059" t="s">
        <v>3108</v>
      </c>
      <c r="AC2059" t="s">
        <v>3250</v>
      </c>
      <c r="AD2059" t="s">
        <v>3250</v>
      </c>
      <c r="AE2059" t="s">
        <v>3250</v>
      </c>
      <c r="AF2059" t="s">
        <v>3250</v>
      </c>
      <c r="AG2059" t="s">
        <v>3250</v>
      </c>
      <c r="AH2059" t="s">
        <v>3250</v>
      </c>
      <c r="AI2059" t="s">
        <v>3250</v>
      </c>
      <c r="AJ2059" t="s">
        <v>3250</v>
      </c>
      <c r="AL2059" t="s">
        <v>3250</v>
      </c>
      <c r="AM2059" t="s">
        <v>3250</v>
      </c>
      <c r="AN2059" t="s">
        <v>3250</v>
      </c>
      <c r="AO2059" t="s">
        <v>3250</v>
      </c>
      <c r="AS2059" t="s">
        <v>3250</v>
      </c>
      <c r="AT2059" t="s">
        <v>3250</v>
      </c>
      <c r="AU2059" t="s">
        <v>3250</v>
      </c>
      <c r="AV2059" t="s">
        <v>3250</v>
      </c>
      <c r="AW2059" t="s">
        <v>3250</v>
      </c>
      <c r="AX2059" t="s">
        <v>3250</v>
      </c>
      <c r="AY2059" t="s">
        <v>3250</v>
      </c>
      <c r="AZ2059" t="s">
        <v>3250</v>
      </c>
      <c r="BA2059" t="s">
        <v>3250</v>
      </c>
      <c r="BB2059" t="s">
        <v>3250</v>
      </c>
      <c r="BC2059" t="s">
        <v>3250</v>
      </c>
      <c r="BE2059" t="s">
        <v>3250</v>
      </c>
      <c r="BF2059" t="s">
        <v>3250</v>
      </c>
      <c r="BG2059" t="s">
        <v>3250</v>
      </c>
      <c r="BH2059" t="s">
        <v>3250</v>
      </c>
      <c r="BI2059" t="s">
        <v>3250</v>
      </c>
      <c r="BK2059" t="s">
        <v>3250</v>
      </c>
      <c r="BL2059" t="s">
        <v>3250</v>
      </c>
      <c r="BM2059" t="s">
        <v>3250</v>
      </c>
      <c r="BN2059" t="s">
        <v>3250</v>
      </c>
      <c r="BP2059">
        <v>1</v>
      </c>
      <c r="BQ2059">
        <v>11</v>
      </c>
      <c r="BR2059" t="s">
        <v>1574</v>
      </c>
      <c r="BS2059" t="s">
        <v>3252</v>
      </c>
      <c r="BV2059">
        <v>0</v>
      </c>
      <c r="BW2059">
        <v>0</v>
      </c>
      <c r="BX2059">
        <v>0</v>
      </c>
      <c r="BY2059">
        <v>0</v>
      </c>
      <c r="BZ2059">
        <v>65454699</v>
      </c>
      <c r="CA2059">
        <v>0</v>
      </c>
      <c r="CB2059">
        <v>0</v>
      </c>
      <c r="CC2059">
        <v>0</v>
      </c>
      <c r="CD2059">
        <v>0</v>
      </c>
      <c r="CE2059" t="s">
        <v>3108</v>
      </c>
      <c r="CF2059" t="s">
        <v>3108</v>
      </c>
      <c r="CG2059" t="s">
        <v>3108</v>
      </c>
      <c r="CH2059" t="s">
        <v>3108</v>
      </c>
    </row>
    <row r="2060" spans="1:86" x14ac:dyDescent="0.2">
      <c r="A2060" t="s">
        <v>6284</v>
      </c>
      <c r="B2060" t="s">
        <v>6284</v>
      </c>
      <c r="C2060">
        <v>55207</v>
      </c>
      <c r="E2060" t="s">
        <v>5717</v>
      </c>
      <c r="F2060" t="s">
        <v>3249</v>
      </c>
      <c r="G2060" t="s">
        <v>3249</v>
      </c>
      <c r="H2060" t="s">
        <v>3250</v>
      </c>
      <c r="I2060" t="s">
        <v>3250</v>
      </c>
      <c r="J2060" t="s">
        <v>3250</v>
      </c>
      <c r="K2060" t="s">
        <v>3250</v>
      </c>
      <c r="L2060">
        <v>1200</v>
      </c>
      <c r="M2060" t="s">
        <v>2368</v>
      </c>
      <c r="N2060">
        <v>1204</v>
      </c>
      <c r="O2060" t="s">
        <v>1574</v>
      </c>
      <c r="P2060" t="s">
        <v>3108</v>
      </c>
      <c r="Q2060">
        <v>2010</v>
      </c>
      <c r="R2060" t="s">
        <v>1355</v>
      </c>
      <c r="S2060" t="s">
        <v>427</v>
      </c>
      <c r="T2060" t="s">
        <v>3251</v>
      </c>
      <c r="U2060">
        <v>120</v>
      </c>
      <c r="V2060" t="s">
        <v>599</v>
      </c>
      <c r="W2060">
        <v>120</v>
      </c>
      <c r="X2060" t="s">
        <v>599</v>
      </c>
      <c r="Y2060" t="s">
        <v>5743</v>
      </c>
      <c r="Z2060" t="s">
        <v>5744</v>
      </c>
      <c r="AA2060" t="s">
        <v>5743</v>
      </c>
      <c r="AB2060" t="s">
        <v>5744</v>
      </c>
      <c r="AC2060">
        <v>310</v>
      </c>
      <c r="AD2060" t="s">
        <v>6285</v>
      </c>
      <c r="AE2060">
        <v>510</v>
      </c>
      <c r="AF2060" t="s">
        <v>1295</v>
      </c>
      <c r="AG2060" t="s">
        <v>3250</v>
      </c>
      <c r="AH2060" t="s">
        <v>3250</v>
      </c>
      <c r="AI2060" t="s">
        <v>3250</v>
      </c>
      <c r="AJ2060" t="s">
        <v>3250</v>
      </c>
      <c r="AL2060" t="s">
        <v>3250</v>
      </c>
      <c r="AM2060" t="s">
        <v>3250</v>
      </c>
      <c r="AN2060" t="s">
        <v>3250</v>
      </c>
      <c r="AO2060" t="s">
        <v>3250</v>
      </c>
      <c r="AR2060" t="s">
        <v>5718</v>
      </c>
      <c r="AS2060" t="s">
        <v>3250</v>
      </c>
      <c r="AT2060" t="s">
        <v>3250</v>
      </c>
      <c r="AU2060" t="s">
        <v>3250</v>
      </c>
      <c r="AV2060" t="s">
        <v>3250</v>
      </c>
      <c r="AW2060" t="s">
        <v>3250</v>
      </c>
      <c r="AX2060" t="s">
        <v>3250</v>
      </c>
      <c r="AY2060" t="s">
        <v>3250</v>
      </c>
      <c r="AZ2060" t="s">
        <v>3250</v>
      </c>
      <c r="BA2060" t="s">
        <v>3250</v>
      </c>
      <c r="BB2060" t="s">
        <v>3250</v>
      </c>
      <c r="BC2060" t="s">
        <v>3250</v>
      </c>
      <c r="BE2060" t="s">
        <v>3250</v>
      </c>
      <c r="BF2060" t="s">
        <v>3250</v>
      </c>
      <c r="BG2060" t="s">
        <v>3250</v>
      </c>
      <c r="BH2060" t="s">
        <v>3250</v>
      </c>
      <c r="BI2060" t="s">
        <v>3250</v>
      </c>
      <c r="BK2060">
        <v>120</v>
      </c>
      <c r="BL2060" t="s">
        <v>629</v>
      </c>
      <c r="BM2060">
        <v>120</v>
      </c>
      <c r="BN2060" t="s">
        <v>629</v>
      </c>
      <c r="BP2060">
        <v>1</v>
      </c>
      <c r="BQ2060">
        <v>11</v>
      </c>
      <c r="BR2060" t="s">
        <v>1574</v>
      </c>
      <c r="BS2060" t="s">
        <v>3252</v>
      </c>
      <c r="BV2060">
        <v>0</v>
      </c>
      <c r="BW2060">
        <v>0</v>
      </c>
      <c r="BX2060">
        <v>0</v>
      </c>
      <c r="BY2060">
        <v>0</v>
      </c>
      <c r="BZ2060">
        <v>-43762488</v>
      </c>
      <c r="CA2060">
        <v>-31621000</v>
      </c>
      <c r="CB2060">
        <v>-17871000</v>
      </c>
      <c r="CC2060">
        <v>-18394000</v>
      </c>
      <c r="CD2060">
        <v>0</v>
      </c>
      <c r="CE2060" t="s">
        <v>3108</v>
      </c>
      <c r="CF2060" t="s">
        <v>3108</v>
      </c>
      <c r="CG2060" t="s">
        <v>3108</v>
      </c>
      <c r="CH2060" t="s">
        <v>3108</v>
      </c>
    </row>
    <row r="2061" spans="1:86" x14ac:dyDescent="0.2">
      <c r="A2061" t="s">
        <v>6286</v>
      </c>
      <c r="B2061" t="s">
        <v>6286</v>
      </c>
      <c r="C2061">
        <v>55208</v>
      </c>
      <c r="E2061" t="s">
        <v>4688</v>
      </c>
      <c r="F2061" t="s">
        <v>3249</v>
      </c>
      <c r="G2061" t="s">
        <v>3249</v>
      </c>
      <c r="H2061" t="s">
        <v>3250</v>
      </c>
      <c r="I2061" t="s">
        <v>3250</v>
      </c>
      <c r="J2061" t="s">
        <v>3250</v>
      </c>
      <c r="K2061" t="s">
        <v>3250</v>
      </c>
      <c r="L2061">
        <v>3200</v>
      </c>
      <c r="M2061" t="s">
        <v>128</v>
      </c>
      <c r="N2061">
        <v>3205</v>
      </c>
      <c r="O2061" t="s">
        <v>629</v>
      </c>
      <c r="P2061" t="s">
        <v>2805</v>
      </c>
      <c r="Q2061">
        <v>2010</v>
      </c>
      <c r="R2061" t="s">
        <v>1355</v>
      </c>
      <c r="S2061" t="s">
        <v>427</v>
      </c>
      <c r="T2061" t="s">
        <v>3251</v>
      </c>
      <c r="U2061">
        <v>240</v>
      </c>
      <c r="V2061" t="s">
        <v>4251</v>
      </c>
      <c r="W2061">
        <v>240</v>
      </c>
      <c r="X2061" t="s">
        <v>1323</v>
      </c>
      <c r="Y2061" t="s">
        <v>3250</v>
      </c>
      <c r="Z2061" t="s">
        <v>3250</v>
      </c>
      <c r="AA2061" t="s">
        <v>3108</v>
      </c>
      <c r="AB2061" t="s">
        <v>3108</v>
      </c>
      <c r="AC2061" t="s">
        <v>3250</v>
      </c>
      <c r="AD2061" t="s">
        <v>3250</v>
      </c>
      <c r="AE2061" t="s">
        <v>3250</v>
      </c>
      <c r="AF2061" t="s">
        <v>3250</v>
      </c>
      <c r="AG2061">
        <v>110</v>
      </c>
      <c r="AH2061" t="s">
        <v>2230</v>
      </c>
      <c r="AI2061">
        <v>110</v>
      </c>
      <c r="AJ2061" t="s">
        <v>2230</v>
      </c>
      <c r="AL2061">
        <v>241</v>
      </c>
      <c r="AM2061" t="s">
        <v>1455</v>
      </c>
      <c r="AN2061">
        <v>241</v>
      </c>
      <c r="AO2061" t="s">
        <v>1455</v>
      </c>
      <c r="AS2061">
        <v>140</v>
      </c>
      <c r="AT2061">
        <v>140</v>
      </c>
      <c r="AU2061" t="s">
        <v>2232</v>
      </c>
      <c r="AV2061" t="s">
        <v>2232</v>
      </c>
      <c r="AW2061" t="s">
        <v>3250</v>
      </c>
      <c r="AX2061" t="s">
        <v>3250</v>
      </c>
      <c r="AY2061" t="s">
        <v>3250</v>
      </c>
      <c r="AZ2061" t="s">
        <v>3250</v>
      </c>
      <c r="BA2061" t="s">
        <v>3250</v>
      </c>
      <c r="BB2061" t="s">
        <v>3250</v>
      </c>
      <c r="BC2061" t="s">
        <v>3250</v>
      </c>
      <c r="BE2061" t="s">
        <v>3250</v>
      </c>
      <c r="BF2061" t="s">
        <v>3250</v>
      </c>
      <c r="BG2061" t="s">
        <v>3250</v>
      </c>
      <c r="BH2061" t="s">
        <v>3250</v>
      </c>
      <c r="BI2061" t="s">
        <v>3250</v>
      </c>
      <c r="BK2061" t="s">
        <v>3250</v>
      </c>
      <c r="BL2061" t="s">
        <v>3250</v>
      </c>
      <c r="BM2061" t="s">
        <v>3250</v>
      </c>
      <c r="BN2061" t="s">
        <v>3250</v>
      </c>
      <c r="BP2061">
        <v>7</v>
      </c>
      <c r="BQ2061">
        <v>71</v>
      </c>
      <c r="BR2061" t="s">
        <v>629</v>
      </c>
      <c r="BS2061" t="s">
        <v>4212</v>
      </c>
      <c r="BV2061">
        <v>0</v>
      </c>
      <c r="BW2061">
        <v>0</v>
      </c>
      <c r="BX2061">
        <v>0</v>
      </c>
      <c r="BY2061">
        <v>0</v>
      </c>
      <c r="BZ2061">
        <v>0</v>
      </c>
      <c r="CA2061">
        <v>5790425</v>
      </c>
      <c r="CB2061">
        <v>0</v>
      </c>
      <c r="CC2061">
        <v>0</v>
      </c>
      <c r="CD2061">
        <v>0</v>
      </c>
      <c r="CE2061" t="s">
        <v>3108</v>
      </c>
      <c r="CF2061" t="s">
        <v>3108</v>
      </c>
      <c r="CG2061" t="s">
        <v>3108</v>
      </c>
      <c r="CH2061" t="s">
        <v>3108</v>
      </c>
    </row>
    <row r="2062" spans="1:86" x14ac:dyDescent="0.2">
      <c r="A2062" t="s">
        <v>6287</v>
      </c>
      <c r="B2062" t="s">
        <v>6287</v>
      </c>
      <c r="C2062">
        <v>55209</v>
      </c>
      <c r="D2062">
        <v>2185</v>
      </c>
      <c r="E2062" t="s">
        <v>4842</v>
      </c>
      <c r="F2062" t="s">
        <v>3249</v>
      </c>
      <c r="G2062" t="s">
        <v>3249</v>
      </c>
      <c r="H2062" t="s">
        <v>3250</v>
      </c>
      <c r="I2062" t="s">
        <v>3250</v>
      </c>
      <c r="J2062" t="s">
        <v>3250</v>
      </c>
      <c r="K2062" t="s">
        <v>3250</v>
      </c>
      <c r="L2062">
        <v>2200</v>
      </c>
      <c r="M2062" t="s">
        <v>124</v>
      </c>
      <c r="N2062">
        <v>2205</v>
      </c>
      <c r="O2062" t="s">
        <v>2390</v>
      </c>
      <c r="P2062" t="s">
        <v>2805</v>
      </c>
      <c r="Q2062">
        <v>2010</v>
      </c>
      <c r="R2062" t="s">
        <v>1355</v>
      </c>
      <c r="S2062" t="s">
        <v>427</v>
      </c>
      <c r="T2062" t="s">
        <v>3251</v>
      </c>
      <c r="U2062">
        <v>240</v>
      </c>
      <c r="V2062" t="s">
        <v>4251</v>
      </c>
      <c r="W2062">
        <v>240</v>
      </c>
      <c r="X2062" t="s">
        <v>1323</v>
      </c>
      <c r="Y2062" t="s">
        <v>3250</v>
      </c>
      <c r="Z2062" t="s">
        <v>3250</v>
      </c>
      <c r="AA2062" t="s">
        <v>3108</v>
      </c>
      <c r="AB2062" t="s">
        <v>3108</v>
      </c>
      <c r="AC2062" t="s">
        <v>3250</v>
      </c>
      <c r="AD2062" t="s">
        <v>3250</v>
      </c>
      <c r="AE2062" t="s">
        <v>3250</v>
      </c>
      <c r="AF2062" t="s">
        <v>3250</v>
      </c>
      <c r="AG2062">
        <v>770</v>
      </c>
      <c r="AH2062" t="s">
        <v>2282</v>
      </c>
      <c r="AI2062">
        <v>770</v>
      </c>
      <c r="AJ2062" t="s">
        <v>2282</v>
      </c>
      <c r="AL2062">
        <v>241</v>
      </c>
      <c r="AM2062" t="s">
        <v>1455</v>
      </c>
      <c r="AN2062">
        <v>241</v>
      </c>
      <c r="AO2062" t="s">
        <v>1455</v>
      </c>
      <c r="AS2062">
        <v>1030</v>
      </c>
      <c r="AT2062">
        <v>1030</v>
      </c>
      <c r="AU2062" t="s">
        <v>2303</v>
      </c>
      <c r="AV2062" t="s">
        <v>2303</v>
      </c>
      <c r="AW2062" t="s">
        <v>3250</v>
      </c>
      <c r="AX2062" t="s">
        <v>3250</v>
      </c>
      <c r="AY2062" t="s">
        <v>3250</v>
      </c>
      <c r="AZ2062" t="s">
        <v>3250</v>
      </c>
      <c r="BA2062" t="s">
        <v>3250</v>
      </c>
      <c r="BB2062" t="s">
        <v>3250</v>
      </c>
      <c r="BC2062" t="s">
        <v>3250</v>
      </c>
      <c r="BE2062" t="s">
        <v>3250</v>
      </c>
      <c r="BF2062" t="s">
        <v>3250</v>
      </c>
      <c r="BG2062" t="s">
        <v>3250</v>
      </c>
      <c r="BH2062" t="s">
        <v>3250</v>
      </c>
      <c r="BI2062" t="s">
        <v>3250</v>
      </c>
      <c r="BK2062" t="s">
        <v>3250</v>
      </c>
      <c r="BL2062" t="s">
        <v>3250</v>
      </c>
      <c r="BM2062" t="s">
        <v>3250</v>
      </c>
      <c r="BN2062" t="s">
        <v>3250</v>
      </c>
      <c r="BP2062">
        <v>9</v>
      </c>
      <c r="BQ2062">
        <v>91</v>
      </c>
      <c r="BR2062" t="s">
        <v>2390</v>
      </c>
      <c r="BS2062" t="s">
        <v>1675</v>
      </c>
      <c r="BV2062">
        <v>0</v>
      </c>
      <c r="BW2062">
        <v>0</v>
      </c>
      <c r="BX2062">
        <v>0</v>
      </c>
      <c r="BY2062">
        <v>0</v>
      </c>
      <c r="BZ2062">
        <v>0</v>
      </c>
      <c r="CA2062">
        <v>8000000</v>
      </c>
      <c r="CB2062">
        <v>0</v>
      </c>
      <c r="CC2062">
        <v>0</v>
      </c>
      <c r="CD2062">
        <v>0</v>
      </c>
      <c r="CE2062" t="s">
        <v>3108</v>
      </c>
      <c r="CF2062" t="s">
        <v>3108</v>
      </c>
      <c r="CG2062" t="s">
        <v>3108</v>
      </c>
      <c r="CH2062" t="s">
        <v>3108</v>
      </c>
    </row>
    <row r="2063" spans="1:86" x14ac:dyDescent="0.2">
      <c r="A2063" t="s">
        <v>6288</v>
      </c>
      <c r="B2063" t="s">
        <v>6288</v>
      </c>
      <c r="C2063">
        <v>55210</v>
      </c>
      <c r="D2063">
        <v>2186</v>
      </c>
      <c r="E2063" t="s">
        <v>5561</v>
      </c>
      <c r="F2063" t="s">
        <v>3249</v>
      </c>
      <c r="G2063" t="s">
        <v>3249</v>
      </c>
      <c r="H2063" t="s">
        <v>3250</v>
      </c>
      <c r="I2063" t="s">
        <v>3250</v>
      </c>
      <c r="J2063" t="s">
        <v>3250</v>
      </c>
      <c r="K2063" t="s">
        <v>3250</v>
      </c>
      <c r="L2063">
        <v>1200</v>
      </c>
      <c r="M2063" t="s">
        <v>2368</v>
      </c>
      <c r="N2063">
        <v>1204</v>
      </c>
      <c r="O2063" t="s">
        <v>1574</v>
      </c>
      <c r="P2063" t="s">
        <v>3108</v>
      </c>
      <c r="Q2063" t="s">
        <v>3249</v>
      </c>
      <c r="R2063" t="s">
        <v>3249</v>
      </c>
      <c r="S2063" t="s">
        <v>472</v>
      </c>
      <c r="T2063" t="s">
        <v>3789</v>
      </c>
      <c r="U2063">
        <v>360</v>
      </c>
      <c r="V2063" t="s">
        <v>3790</v>
      </c>
      <c r="W2063">
        <v>360</v>
      </c>
      <c r="X2063" t="s">
        <v>601</v>
      </c>
      <c r="Y2063" t="s">
        <v>3250</v>
      </c>
      <c r="Z2063" t="s">
        <v>3250</v>
      </c>
      <c r="AA2063" t="s">
        <v>3108</v>
      </c>
      <c r="AB2063" t="s">
        <v>3108</v>
      </c>
      <c r="AC2063" t="s">
        <v>3250</v>
      </c>
      <c r="AD2063" t="s">
        <v>3250</v>
      </c>
      <c r="AE2063" t="s">
        <v>3250</v>
      </c>
      <c r="AF2063" t="s">
        <v>3250</v>
      </c>
      <c r="AG2063" t="s">
        <v>3250</v>
      </c>
      <c r="AH2063" t="s">
        <v>3250</v>
      </c>
      <c r="AI2063" t="s">
        <v>3250</v>
      </c>
      <c r="AJ2063" t="s">
        <v>3250</v>
      </c>
      <c r="AL2063">
        <v>361</v>
      </c>
      <c r="AM2063" t="s">
        <v>2523</v>
      </c>
      <c r="AN2063">
        <v>361</v>
      </c>
      <c r="AO2063" t="s">
        <v>2523</v>
      </c>
      <c r="AS2063" t="s">
        <v>3250</v>
      </c>
      <c r="AT2063" t="s">
        <v>3250</v>
      </c>
      <c r="AU2063" t="s">
        <v>3250</v>
      </c>
      <c r="AV2063" t="s">
        <v>3250</v>
      </c>
      <c r="AW2063" t="s">
        <v>3250</v>
      </c>
      <c r="AX2063" t="s">
        <v>3250</v>
      </c>
      <c r="AY2063" t="s">
        <v>3250</v>
      </c>
      <c r="AZ2063" t="s">
        <v>3250</v>
      </c>
      <c r="BA2063" t="s">
        <v>3250</v>
      </c>
      <c r="BB2063" t="s">
        <v>3250</v>
      </c>
      <c r="BC2063" t="s">
        <v>3250</v>
      </c>
      <c r="BE2063" t="s">
        <v>3250</v>
      </c>
      <c r="BF2063" t="s">
        <v>3250</v>
      </c>
      <c r="BG2063" t="s">
        <v>3250</v>
      </c>
      <c r="BH2063" t="s">
        <v>3250</v>
      </c>
      <c r="BI2063" t="s">
        <v>3250</v>
      </c>
      <c r="BK2063" t="s">
        <v>3250</v>
      </c>
      <c r="BL2063" t="s">
        <v>3250</v>
      </c>
      <c r="BM2063" t="s">
        <v>3250</v>
      </c>
      <c r="BN2063" t="s">
        <v>3250</v>
      </c>
      <c r="BP2063">
        <v>1</v>
      </c>
      <c r="BQ2063">
        <v>11</v>
      </c>
      <c r="BR2063" t="s">
        <v>1574</v>
      </c>
      <c r="BS2063" t="s">
        <v>3252</v>
      </c>
      <c r="BV2063">
        <v>0</v>
      </c>
      <c r="BW2063">
        <v>0</v>
      </c>
      <c r="BX2063">
        <v>0</v>
      </c>
      <c r="BY2063">
        <v>0</v>
      </c>
      <c r="BZ2063">
        <v>0</v>
      </c>
      <c r="CA2063">
        <v>0</v>
      </c>
      <c r="CB2063">
        <v>0</v>
      </c>
      <c r="CC2063">
        <v>0</v>
      </c>
      <c r="CD2063">
        <v>0</v>
      </c>
      <c r="CE2063" t="s">
        <v>3108</v>
      </c>
      <c r="CF2063" t="s">
        <v>3108</v>
      </c>
      <c r="CG2063" t="s">
        <v>3108</v>
      </c>
      <c r="CH2063" t="s">
        <v>3108</v>
      </c>
    </row>
    <row r="2064" spans="1:86" x14ac:dyDescent="0.2">
      <c r="A2064" t="s">
        <v>6289</v>
      </c>
      <c r="B2064" t="s">
        <v>6289</v>
      </c>
      <c r="C2064">
        <v>55211</v>
      </c>
      <c r="E2064" t="s">
        <v>4250</v>
      </c>
      <c r="F2064" t="s">
        <v>3249</v>
      </c>
      <c r="G2064" t="s">
        <v>3249</v>
      </c>
      <c r="H2064" t="s">
        <v>3250</v>
      </c>
      <c r="I2064" t="s">
        <v>3250</v>
      </c>
      <c r="J2064" t="s">
        <v>3250</v>
      </c>
      <c r="K2064" t="s">
        <v>3250</v>
      </c>
      <c r="L2064">
        <v>2200</v>
      </c>
      <c r="M2064" t="s">
        <v>124</v>
      </c>
      <c r="N2064">
        <v>2205</v>
      </c>
      <c r="O2064" t="s">
        <v>2390</v>
      </c>
      <c r="P2064" t="s">
        <v>2805</v>
      </c>
      <c r="Q2064">
        <v>2080</v>
      </c>
      <c r="R2064" t="s">
        <v>423</v>
      </c>
      <c r="S2064" t="s">
        <v>427</v>
      </c>
      <c r="T2064" t="s">
        <v>3251</v>
      </c>
      <c r="U2064">
        <v>240</v>
      </c>
      <c r="V2064" t="s">
        <v>4251</v>
      </c>
      <c r="W2064">
        <v>240</v>
      </c>
      <c r="X2064" t="s">
        <v>1323</v>
      </c>
      <c r="Y2064" t="s">
        <v>3250</v>
      </c>
      <c r="Z2064" t="s">
        <v>3250</v>
      </c>
      <c r="AA2064" t="s">
        <v>3108</v>
      </c>
      <c r="AB2064" t="s">
        <v>3108</v>
      </c>
      <c r="AC2064" t="s">
        <v>3250</v>
      </c>
      <c r="AD2064" t="s">
        <v>3250</v>
      </c>
      <c r="AE2064" t="s">
        <v>3250</v>
      </c>
      <c r="AF2064" t="s">
        <v>3250</v>
      </c>
      <c r="AG2064" t="s">
        <v>3250</v>
      </c>
      <c r="AH2064" t="s">
        <v>3250</v>
      </c>
      <c r="AI2064" t="s">
        <v>3250</v>
      </c>
      <c r="AJ2064" t="s">
        <v>3250</v>
      </c>
      <c r="AK2064">
        <v>770</v>
      </c>
      <c r="AL2064">
        <v>241</v>
      </c>
      <c r="AM2064" t="s">
        <v>1455</v>
      </c>
      <c r="AN2064">
        <v>241</v>
      </c>
      <c r="AO2064" t="s">
        <v>1455</v>
      </c>
      <c r="AS2064" t="s">
        <v>3250</v>
      </c>
      <c r="AT2064" t="s">
        <v>3250</v>
      </c>
      <c r="AU2064" t="s">
        <v>3250</v>
      </c>
      <c r="AV2064" t="s">
        <v>3250</v>
      </c>
      <c r="AW2064" t="s">
        <v>3250</v>
      </c>
      <c r="AX2064" t="s">
        <v>3250</v>
      </c>
      <c r="AY2064" t="s">
        <v>3250</v>
      </c>
      <c r="AZ2064" t="s">
        <v>3250</v>
      </c>
      <c r="BA2064" t="s">
        <v>3250</v>
      </c>
      <c r="BB2064" t="s">
        <v>3250</v>
      </c>
      <c r="BC2064" t="s">
        <v>3250</v>
      </c>
      <c r="BE2064" t="s">
        <v>3250</v>
      </c>
      <c r="BF2064" t="s">
        <v>3250</v>
      </c>
      <c r="BG2064" t="s">
        <v>3250</v>
      </c>
      <c r="BH2064" t="s">
        <v>3250</v>
      </c>
      <c r="BI2064" t="s">
        <v>3250</v>
      </c>
      <c r="BK2064">
        <v>1030</v>
      </c>
      <c r="BL2064" t="s">
        <v>2303</v>
      </c>
      <c r="BM2064">
        <v>1030</v>
      </c>
      <c r="BN2064" t="s">
        <v>2303</v>
      </c>
      <c r="BP2064">
        <v>9</v>
      </c>
      <c r="BQ2064">
        <v>91</v>
      </c>
      <c r="BR2064" t="s">
        <v>2390</v>
      </c>
      <c r="BS2064" t="s">
        <v>1675</v>
      </c>
      <c r="BV2064">
        <v>0</v>
      </c>
      <c r="BW2064">
        <v>0</v>
      </c>
      <c r="BX2064">
        <v>0</v>
      </c>
      <c r="BY2064">
        <v>0</v>
      </c>
      <c r="BZ2064">
        <v>0</v>
      </c>
      <c r="CA2064">
        <v>5161000</v>
      </c>
      <c r="CB2064">
        <v>0</v>
      </c>
      <c r="CC2064">
        <v>0</v>
      </c>
      <c r="CD2064">
        <v>0</v>
      </c>
      <c r="CE2064" t="s">
        <v>3108</v>
      </c>
      <c r="CF2064" t="s">
        <v>3108</v>
      </c>
      <c r="CG2064" t="s">
        <v>3108</v>
      </c>
      <c r="CH2064" t="s">
        <v>3108</v>
      </c>
    </row>
    <row r="2065" spans="1:86" x14ac:dyDescent="0.2">
      <c r="A2065" t="s">
        <v>6290</v>
      </c>
      <c r="B2065" t="s">
        <v>6290</v>
      </c>
      <c r="C2065">
        <v>55212</v>
      </c>
      <c r="E2065" t="s">
        <v>4250</v>
      </c>
      <c r="F2065" t="s">
        <v>3249</v>
      </c>
      <c r="G2065" t="s">
        <v>3249</v>
      </c>
      <c r="H2065" t="s">
        <v>3250</v>
      </c>
      <c r="I2065" t="s">
        <v>3250</v>
      </c>
      <c r="J2065" t="s">
        <v>3250</v>
      </c>
      <c r="K2065" t="s">
        <v>3250</v>
      </c>
      <c r="L2065">
        <v>3200</v>
      </c>
      <c r="M2065" t="s">
        <v>128</v>
      </c>
      <c r="N2065">
        <v>3205</v>
      </c>
      <c r="O2065" t="s">
        <v>629</v>
      </c>
      <c r="P2065" t="s">
        <v>2805</v>
      </c>
      <c r="Q2065">
        <v>2010</v>
      </c>
      <c r="R2065" t="s">
        <v>1355</v>
      </c>
      <c r="S2065" t="s">
        <v>427</v>
      </c>
      <c r="T2065" t="s">
        <v>3251</v>
      </c>
      <c r="U2065">
        <v>240</v>
      </c>
      <c r="V2065" t="s">
        <v>4251</v>
      </c>
      <c r="W2065">
        <v>240</v>
      </c>
      <c r="X2065" t="s">
        <v>1323</v>
      </c>
      <c r="Y2065" t="s">
        <v>3250</v>
      </c>
      <c r="Z2065" t="s">
        <v>3250</v>
      </c>
      <c r="AA2065" t="s">
        <v>3108</v>
      </c>
      <c r="AB2065" t="s">
        <v>3108</v>
      </c>
      <c r="AC2065" t="s">
        <v>3250</v>
      </c>
      <c r="AD2065" t="s">
        <v>3250</v>
      </c>
      <c r="AE2065" t="s">
        <v>3250</v>
      </c>
      <c r="AF2065" t="s">
        <v>3250</v>
      </c>
      <c r="AG2065" t="s">
        <v>3250</v>
      </c>
      <c r="AH2065" t="s">
        <v>3250</v>
      </c>
      <c r="AI2065" t="s">
        <v>3250</v>
      </c>
      <c r="AJ2065" t="s">
        <v>3250</v>
      </c>
      <c r="AK2065">
        <v>110</v>
      </c>
      <c r="AL2065">
        <v>241</v>
      </c>
      <c r="AM2065" t="s">
        <v>1455</v>
      </c>
      <c r="AN2065">
        <v>241</v>
      </c>
      <c r="AO2065" t="s">
        <v>1455</v>
      </c>
      <c r="AS2065">
        <v>120</v>
      </c>
      <c r="AT2065">
        <v>120</v>
      </c>
      <c r="AU2065" t="s">
        <v>629</v>
      </c>
      <c r="AV2065" t="s">
        <v>629</v>
      </c>
      <c r="AW2065" t="s">
        <v>3250</v>
      </c>
      <c r="AX2065" t="s">
        <v>3250</v>
      </c>
      <c r="AY2065" t="s">
        <v>3250</v>
      </c>
      <c r="AZ2065" t="s">
        <v>3250</v>
      </c>
      <c r="BA2065" t="s">
        <v>3250</v>
      </c>
      <c r="BB2065" t="s">
        <v>3250</v>
      </c>
      <c r="BC2065" t="s">
        <v>3250</v>
      </c>
      <c r="BE2065" t="s">
        <v>3250</v>
      </c>
      <c r="BF2065" t="s">
        <v>3250</v>
      </c>
      <c r="BG2065" t="s">
        <v>3250</v>
      </c>
      <c r="BH2065" t="s">
        <v>3250</v>
      </c>
      <c r="BI2065" t="s">
        <v>3250</v>
      </c>
      <c r="BK2065" t="s">
        <v>3250</v>
      </c>
      <c r="BL2065" t="s">
        <v>3250</v>
      </c>
      <c r="BM2065" t="s">
        <v>3250</v>
      </c>
      <c r="BN2065" t="s">
        <v>3250</v>
      </c>
      <c r="BP2065">
        <v>7</v>
      </c>
      <c r="BQ2065">
        <v>71</v>
      </c>
      <c r="BR2065" t="s">
        <v>629</v>
      </c>
      <c r="BS2065" t="s">
        <v>4212</v>
      </c>
      <c r="BV2065">
        <v>0</v>
      </c>
      <c r="BW2065">
        <v>0</v>
      </c>
      <c r="BX2065">
        <v>0</v>
      </c>
      <c r="BY2065">
        <v>0</v>
      </c>
      <c r="BZ2065">
        <v>0</v>
      </c>
      <c r="CA2065">
        <v>8000000</v>
      </c>
      <c r="CB2065">
        <v>0</v>
      </c>
      <c r="CC2065">
        <v>0</v>
      </c>
      <c r="CD2065">
        <v>0</v>
      </c>
      <c r="CE2065" t="s">
        <v>3108</v>
      </c>
      <c r="CF2065" t="s">
        <v>3108</v>
      </c>
      <c r="CG2065" t="s">
        <v>3108</v>
      </c>
      <c r="CH2065" t="s">
        <v>3108</v>
      </c>
    </row>
    <row r="2066" spans="1:86" x14ac:dyDescent="0.2">
      <c r="A2066" t="s">
        <v>6291</v>
      </c>
      <c r="B2066" t="s">
        <v>6291</v>
      </c>
      <c r="C2066">
        <v>55213</v>
      </c>
      <c r="E2066" t="s">
        <v>4566</v>
      </c>
      <c r="F2066">
        <v>1500</v>
      </c>
      <c r="G2066" t="s">
        <v>2342</v>
      </c>
      <c r="H2066">
        <v>1500</v>
      </c>
      <c r="I2066" t="s">
        <v>2342</v>
      </c>
      <c r="J2066" t="s">
        <v>3250</v>
      </c>
      <c r="K2066" t="s">
        <v>3250</v>
      </c>
      <c r="L2066">
        <v>2100</v>
      </c>
      <c r="M2066" t="s">
        <v>123</v>
      </c>
      <c r="N2066">
        <v>2114</v>
      </c>
      <c r="O2066" t="s">
        <v>1444</v>
      </c>
      <c r="P2066" t="s">
        <v>3108</v>
      </c>
      <c r="Q2066" t="s">
        <v>3249</v>
      </c>
      <c r="R2066" t="s">
        <v>3249</v>
      </c>
      <c r="S2066" t="s">
        <v>472</v>
      </c>
      <c r="T2066" t="s">
        <v>2759</v>
      </c>
      <c r="U2066" t="s">
        <v>3250</v>
      </c>
      <c r="V2066" t="s">
        <v>3250</v>
      </c>
      <c r="W2066" t="s">
        <v>3250</v>
      </c>
      <c r="X2066" t="s">
        <v>3250</v>
      </c>
      <c r="Y2066" t="s">
        <v>3250</v>
      </c>
      <c r="Z2066" t="s">
        <v>3250</v>
      </c>
      <c r="AA2066" t="s">
        <v>3108</v>
      </c>
      <c r="AB2066" t="s">
        <v>3108</v>
      </c>
      <c r="AC2066" t="s">
        <v>3250</v>
      </c>
      <c r="AD2066" t="s">
        <v>3250</v>
      </c>
      <c r="AE2066" t="s">
        <v>3250</v>
      </c>
      <c r="AF2066" t="s">
        <v>3250</v>
      </c>
      <c r="AG2066" t="s">
        <v>3250</v>
      </c>
      <c r="AH2066" t="s">
        <v>3250</v>
      </c>
      <c r="AI2066" t="s">
        <v>3250</v>
      </c>
      <c r="AJ2066" t="s">
        <v>3250</v>
      </c>
      <c r="AL2066" t="s">
        <v>3250</v>
      </c>
      <c r="AM2066" t="s">
        <v>3250</v>
      </c>
      <c r="AN2066" t="s">
        <v>3250</v>
      </c>
      <c r="AO2066" t="s">
        <v>3250</v>
      </c>
      <c r="AS2066" t="s">
        <v>3250</v>
      </c>
      <c r="AT2066" t="s">
        <v>3250</v>
      </c>
      <c r="AU2066" t="s">
        <v>3250</v>
      </c>
      <c r="AV2066" t="s">
        <v>3250</v>
      </c>
      <c r="AW2066" t="s">
        <v>3250</v>
      </c>
      <c r="AX2066" t="s">
        <v>3250</v>
      </c>
      <c r="AY2066" t="s">
        <v>3250</v>
      </c>
      <c r="AZ2066" t="s">
        <v>3250</v>
      </c>
      <c r="BA2066" t="s">
        <v>3250</v>
      </c>
      <c r="BB2066" t="s">
        <v>3250</v>
      </c>
      <c r="BC2066" t="s">
        <v>3250</v>
      </c>
      <c r="BE2066" t="s">
        <v>3250</v>
      </c>
      <c r="BF2066" t="s">
        <v>3250</v>
      </c>
      <c r="BG2066" t="s">
        <v>3250</v>
      </c>
      <c r="BH2066" t="s">
        <v>3250</v>
      </c>
      <c r="BI2066" t="s">
        <v>3250</v>
      </c>
      <c r="BK2066" t="s">
        <v>3250</v>
      </c>
      <c r="BL2066" t="s">
        <v>3250</v>
      </c>
      <c r="BM2066" t="s">
        <v>3250</v>
      </c>
      <c r="BN2066" t="s">
        <v>3250</v>
      </c>
      <c r="BP2066">
        <v>4</v>
      </c>
      <c r="BQ2066">
        <v>42</v>
      </c>
      <c r="BR2066" t="s">
        <v>1444</v>
      </c>
      <c r="BS2066" t="s">
        <v>4024</v>
      </c>
      <c r="BV2066">
        <v>0</v>
      </c>
      <c r="BW2066">
        <v>0</v>
      </c>
      <c r="BX2066">
        <v>0</v>
      </c>
      <c r="BY2066">
        <v>0</v>
      </c>
      <c r="BZ2066">
        <v>0</v>
      </c>
      <c r="CA2066">
        <v>-975000</v>
      </c>
      <c r="CB2066">
        <v>-975000</v>
      </c>
      <c r="CC2066">
        <v>-975000</v>
      </c>
      <c r="CD2066">
        <v>0</v>
      </c>
      <c r="CE2066" t="s">
        <v>3108</v>
      </c>
      <c r="CF2066" t="s">
        <v>3108</v>
      </c>
      <c r="CG2066" t="s">
        <v>3108</v>
      </c>
      <c r="CH2066" t="s">
        <v>3108</v>
      </c>
    </row>
  </sheetData>
  <sheetProtection algorithmName="SHA-512" hashValue="1nZt7Ru5y2tTd1t+zxQ1dn5pNpdFAqdrTdTmmai3z1hEe2g1DE9ZLJeY9BiLyFsdazkWvLdEyB5yYaAJkndiOw==" saltValue="oeyozb4BsRf0fx+20/U0ug==" spinCount="100000" sheet="1" objects="1" scenarios="1"/>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1">
    <pageSetUpPr fitToPage="1"/>
  </sheetPr>
  <dimension ref="A1:R92"/>
  <sheetViews>
    <sheetView showGridLines="0" zoomScale="110" zoomScaleNormal="110" workbookViewId="0">
      <pane xSplit="2" ySplit="3" topLeftCell="F36" activePane="bottomRight" state="frozen"/>
      <selection pane="topRight"/>
      <selection pane="bottomLeft"/>
      <selection pane="bottomRight" activeCell="E23" sqref="E23"/>
    </sheetView>
  </sheetViews>
  <sheetFormatPr defaultColWidth="9.140625" defaultRowHeight="12.75" x14ac:dyDescent="0.25"/>
  <cols>
    <col min="1" max="1" width="30.7109375" style="58" customWidth="1"/>
    <col min="2" max="2" width="3" style="55" customWidth="1"/>
    <col min="3" max="11" width="9.28515625" style="58" customWidth="1"/>
    <col min="12" max="41" width="9.42578125" style="58" customWidth="1"/>
    <col min="42" max="16384" width="9.140625" style="58"/>
  </cols>
  <sheetData>
    <row r="1" spans="1:18" ht="13.5" x14ac:dyDescent="0.25">
      <c r="A1" s="92" t="str">
        <f>muni&amp;" - "&amp;Approve3</f>
        <v>KZN226 Mkhambathini - Table A2 Budgeted Financial Performance (revenue and expenditure by functional classification)</v>
      </c>
      <c r="B1" s="2234"/>
      <c r="C1" s="2234"/>
      <c r="D1" s="2234"/>
      <c r="E1" s="2234"/>
      <c r="F1" s="2234"/>
      <c r="G1" s="2234"/>
      <c r="H1" s="2234"/>
      <c r="I1" s="2234"/>
      <c r="J1" s="2234"/>
      <c r="K1" s="2234"/>
    </row>
    <row r="2" spans="1:18" ht="28.5" customHeight="1" x14ac:dyDescent="0.25">
      <c r="A2" s="696" t="str">
        <f>"Functional Classification "&amp;desc</f>
        <v>Functional Classification Description</v>
      </c>
      <c r="B2" s="155" t="str">
        <f>head27</f>
        <v>Ref</v>
      </c>
      <c r="C2" s="837" t="str">
        <f>head1b</f>
        <v>2017/18</v>
      </c>
      <c r="D2" s="837" t="str">
        <f>head1A</f>
        <v>2018/19</v>
      </c>
      <c r="E2" s="684" t="str">
        <f>Head1</f>
        <v>2019/20</v>
      </c>
      <c r="F2" s="2447" t="str">
        <f>Head2</f>
        <v>Current Year 2020/21</v>
      </c>
      <c r="G2" s="2448"/>
      <c r="H2" s="2449"/>
      <c r="I2" s="2450" t="str">
        <f>Head3</f>
        <v>2021/22 Medium Term Revenue &amp; Expenditure Framework</v>
      </c>
      <c r="J2" s="2451"/>
      <c r="K2" s="2452"/>
    </row>
    <row r="3" spans="1:18" ht="25.5" x14ac:dyDescent="0.25">
      <c r="A3" s="156" t="s">
        <v>568</v>
      </c>
      <c r="B3" s="690">
        <v>1</v>
      </c>
      <c r="C3" s="698" t="str">
        <f>Head5</f>
        <v>Audited Outcome</v>
      </c>
      <c r="D3" s="698" t="str">
        <f>Head5</f>
        <v>Audited Outcome</v>
      </c>
      <c r="E3" s="94" t="str">
        <f>Head5</f>
        <v>Audited Outcome</v>
      </c>
      <c r="F3" s="95" t="str">
        <f>Head6</f>
        <v>Original Budget</v>
      </c>
      <c r="G3" s="698" t="str">
        <f>Head7</f>
        <v>Adjusted Budget</v>
      </c>
      <c r="H3" s="94" t="str">
        <f>Head8</f>
        <v>Full Year Forecast</v>
      </c>
      <c r="I3" s="95" t="str">
        <f>Head9</f>
        <v>Budget Year 2021/22</v>
      </c>
      <c r="J3" s="698" t="str">
        <f>Head10</f>
        <v>Budget Year +1 2022/23</v>
      </c>
      <c r="K3" s="94" t="str">
        <f>Head11</f>
        <v>Budget Year +2 2023/24</v>
      </c>
    </row>
    <row r="4" spans="1:18" ht="11.25" customHeight="1" x14ac:dyDescent="0.25">
      <c r="A4" s="96" t="s">
        <v>2445</v>
      </c>
      <c r="B4" s="144"/>
      <c r="C4" s="159"/>
      <c r="D4" s="159"/>
      <c r="E4" s="160"/>
      <c r="F4" s="161"/>
      <c r="G4" s="159"/>
      <c r="H4" s="162"/>
      <c r="I4" s="163"/>
      <c r="J4" s="159"/>
      <c r="K4" s="160"/>
      <c r="L4" s="322"/>
    </row>
    <row r="5" spans="1:18" ht="11.25" customHeight="1" x14ac:dyDescent="0.25">
      <c r="A5" s="225" t="s">
        <v>985</v>
      </c>
      <c r="B5" s="144"/>
      <c r="C5" s="98">
        <f>SUM(C6:C8)</f>
        <v>93274925</v>
      </c>
      <c r="D5" s="98">
        <f t="shared" ref="D5:K5" si="0">SUM(D6:D8)</f>
        <v>101034797</v>
      </c>
      <c r="E5" s="291">
        <f t="shared" si="0"/>
        <v>106050185</v>
      </c>
      <c r="F5" s="102">
        <f t="shared" si="0"/>
        <v>113346009</v>
      </c>
      <c r="G5" s="98">
        <f t="shared" si="0"/>
        <v>133671688</v>
      </c>
      <c r="H5" s="292">
        <f t="shared" si="0"/>
        <v>133671688</v>
      </c>
      <c r="I5" s="293">
        <f t="shared" si="0"/>
        <v>124541239</v>
      </c>
      <c r="J5" s="98">
        <f t="shared" si="0"/>
        <v>129656413</v>
      </c>
      <c r="K5" s="292">
        <f t="shared" si="0"/>
        <v>132364708</v>
      </c>
      <c r="L5" s="322"/>
      <c r="Q5" s="2226"/>
      <c r="R5" s="2227"/>
    </row>
    <row r="6" spans="1:18" ht="11.25" customHeight="1" x14ac:dyDescent="0.25">
      <c r="A6" s="226" t="s">
        <v>119</v>
      </c>
      <c r="B6" s="144"/>
      <c r="C6" s="71">
        <f>A2A!C6</f>
        <v>0</v>
      </c>
      <c r="D6" s="71">
        <f>A2A!D6</f>
        <v>0</v>
      </c>
      <c r="E6" s="72">
        <f>A2A!E6</f>
        <v>0</v>
      </c>
      <c r="F6" s="73">
        <f>A2A!F6</f>
        <v>0</v>
      </c>
      <c r="G6" s="71">
        <f>A2A!G6</f>
        <v>0</v>
      </c>
      <c r="H6" s="74">
        <f>A2A!H6</f>
        <v>0</v>
      </c>
      <c r="I6" s="75">
        <f>A2A!I6</f>
        <v>0</v>
      </c>
      <c r="J6" s="71">
        <f>A2A!J6</f>
        <v>0</v>
      </c>
      <c r="K6" s="72">
        <f>A2A!K6</f>
        <v>0</v>
      </c>
      <c r="L6" s="322"/>
      <c r="Q6" s="2226"/>
      <c r="R6" s="2227"/>
    </row>
    <row r="7" spans="1:18" ht="11.25" customHeight="1" x14ac:dyDescent="0.25">
      <c r="A7" s="226" t="s">
        <v>2368</v>
      </c>
      <c r="B7" s="144"/>
      <c r="C7" s="323">
        <f>A2A!C9</f>
        <v>93274925</v>
      </c>
      <c r="D7" s="323">
        <f>A2A!D9</f>
        <v>101034797</v>
      </c>
      <c r="E7" s="324">
        <f>A2A!E9</f>
        <v>106050185</v>
      </c>
      <c r="F7" s="325">
        <f>A2A!F9</f>
        <v>113346009</v>
      </c>
      <c r="G7" s="323">
        <f>A2A!G9</f>
        <v>133671688</v>
      </c>
      <c r="H7" s="326">
        <f>A2A!H9</f>
        <v>133671688</v>
      </c>
      <c r="I7" s="327">
        <f>A2A!I9</f>
        <v>124541239</v>
      </c>
      <c r="J7" s="323">
        <f>A2A!J9</f>
        <v>129656413</v>
      </c>
      <c r="K7" s="324">
        <f>A2A!K9</f>
        <v>132364708</v>
      </c>
      <c r="L7" s="322"/>
      <c r="Q7" s="2226"/>
      <c r="R7" s="2227"/>
    </row>
    <row r="8" spans="1:18" ht="11.25" customHeight="1" x14ac:dyDescent="0.25">
      <c r="A8" s="226" t="s">
        <v>2364</v>
      </c>
      <c r="B8" s="144"/>
      <c r="C8" s="71">
        <f>A2A!C23</f>
        <v>0</v>
      </c>
      <c r="D8" s="71">
        <f>A2A!D23</f>
        <v>0</v>
      </c>
      <c r="E8" s="72">
        <f>A2A!E23</f>
        <v>0</v>
      </c>
      <c r="F8" s="73">
        <f>A2A!F23</f>
        <v>0</v>
      </c>
      <c r="G8" s="71">
        <f>A2A!G23</f>
        <v>0</v>
      </c>
      <c r="H8" s="74">
        <f>A2A!H23</f>
        <v>0</v>
      </c>
      <c r="I8" s="75">
        <f>A2A!I23</f>
        <v>0</v>
      </c>
      <c r="J8" s="71">
        <f>A2A!J23</f>
        <v>0</v>
      </c>
      <c r="K8" s="72">
        <f>A2A!K23</f>
        <v>0</v>
      </c>
      <c r="L8" s="322"/>
      <c r="Q8" s="2226"/>
      <c r="R8" s="2227"/>
    </row>
    <row r="9" spans="1:18" ht="11.25" customHeight="1" x14ac:dyDescent="0.25">
      <c r="A9" s="225" t="s">
        <v>122</v>
      </c>
      <c r="B9" s="144"/>
      <c r="C9" s="98">
        <f>SUM(C10:C14)</f>
        <v>1378687</v>
      </c>
      <c r="D9" s="98">
        <f t="shared" ref="D9:K9" si="1">SUM(D10:D14)</f>
        <v>2086073</v>
      </c>
      <c r="E9" s="99">
        <f t="shared" si="1"/>
        <v>2502411</v>
      </c>
      <c r="F9" s="100">
        <f t="shared" si="1"/>
        <v>2212094</v>
      </c>
      <c r="G9" s="98">
        <f t="shared" si="1"/>
        <v>1839594</v>
      </c>
      <c r="H9" s="101">
        <f t="shared" si="1"/>
        <v>1839594</v>
      </c>
      <c r="I9" s="102">
        <f t="shared" si="1"/>
        <v>1933474</v>
      </c>
      <c r="J9" s="98">
        <f t="shared" si="1"/>
        <v>1934414</v>
      </c>
      <c r="K9" s="99">
        <f t="shared" si="1"/>
        <v>1935391</v>
      </c>
      <c r="L9" s="322"/>
      <c r="Q9" s="2226"/>
      <c r="R9" s="2227"/>
    </row>
    <row r="10" spans="1:18" ht="11.25" customHeight="1" x14ac:dyDescent="0.25">
      <c r="A10" s="226" t="s">
        <v>123</v>
      </c>
      <c r="B10" s="144"/>
      <c r="C10" s="71">
        <f>A2A!C26</f>
        <v>1378687</v>
      </c>
      <c r="D10" s="71">
        <f>A2A!D26</f>
        <v>2061132</v>
      </c>
      <c r="E10" s="72">
        <f>A2A!E26</f>
        <v>2477352</v>
      </c>
      <c r="F10" s="73">
        <f>A2A!F26</f>
        <v>2212094</v>
      </c>
      <c r="G10" s="71">
        <f>A2A!G26</f>
        <v>1839594</v>
      </c>
      <c r="H10" s="74">
        <f>A2A!H26</f>
        <v>1839594</v>
      </c>
      <c r="I10" s="75">
        <f>A2A!I26</f>
        <v>1933474</v>
      </c>
      <c r="J10" s="71">
        <f>A2A!J26</f>
        <v>1934414</v>
      </c>
      <c r="K10" s="72">
        <f>A2A!K26</f>
        <v>1935391</v>
      </c>
      <c r="L10" s="322"/>
      <c r="N10" s="322"/>
      <c r="Q10" s="2226"/>
      <c r="R10" s="2227"/>
    </row>
    <row r="11" spans="1:18" ht="11.25" customHeight="1" x14ac:dyDescent="0.25">
      <c r="A11" s="226" t="s">
        <v>124</v>
      </c>
      <c r="B11" s="144"/>
      <c r="C11" s="71">
        <f>A2A!C48</f>
        <v>0</v>
      </c>
      <c r="D11" s="71">
        <f>A2A!D48</f>
        <v>24941</v>
      </c>
      <c r="E11" s="72">
        <f>A2A!E48</f>
        <v>25059</v>
      </c>
      <c r="F11" s="73">
        <f>A2A!F48</f>
        <v>0</v>
      </c>
      <c r="G11" s="71">
        <f>A2A!G48</f>
        <v>0</v>
      </c>
      <c r="H11" s="74">
        <f>A2A!H48</f>
        <v>0</v>
      </c>
      <c r="I11" s="75">
        <f>A2A!I48</f>
        <v>0</v>
      </c>
      <c r="J11" s="71">
        <f>A2A!J48</f>
        <v>0</v>
      </c>
      <c r="K11" s="72">
        <f>A2A!K48</f>
        <v>0</v>
      </c>
      <c r="L11" s="322"/>
      <c r="Q11" s="2226"/>
      <c r="R11" s="2227"/>
    </row>
    <row r="12" spans="1:18" ht="11.25" customHeight="1" x14ac:dyDescent="0.25">
      <c r="A12" s="226" t="s">
        <v>125</v>
      </c>
      <c r="B12" s="144"/>
      <c r="C12" s="71">
        <f>A2A!C54</f>
        <v>0</v>
      </c>
      <c r="D12" s="71">
        <f>A2A!D54</f>
        <v>0</v>
      </c>
      <c r="E12" s="72">
        <f>A2A!E54</f>
        <v>0</v>
      </c>
      <c r="F12" s="73">
        <f>A2A!F54</f>
        <v>0</v>
      </c>
      <c r="G12" s="71">
        <f>A2A!G54</f>
        <v>0</v>
      </c>
      <c r="H12" s="74">
        <f>A2A!H54</f>
        <v>0</v>
      </c>
      <c r="I12" s="75">
        <f>A2A!I54</f>
        <v>0</v>
      </c>
      <c r="J12" s="71">
        <f>A2A!J54</f>
        <v>0</v>
      </c>
      <c r="K12" s="72">
        <f>A2A!K54</f>
        <v>0</v>
      </c>
      <c r="L12" s="322"/>
      <c r="Q12" s="2226"/>
      <c r="R12" s="2227"/>
    </row>
    <row r="13" spans="1:18" ht="11.25" customHeight="1" x14ac:dyDescent="0.25">
      <c r="A13" s="226" t="s">
        <v>1487</v>
      </c>
      <c r="B13" s="144"/>
      <c r="C13" s="71">
        <f>A2A!C63</f>
        <v>0</v>
      </c>
      <c r="D13" s="71">
        <f>A2A!D63</f>
        <v>0</v>
      </c>
      <c r="E13" s="72">
        <f>A2A!E63</f>
        <v>0</v>
      </c>
      <c r="F13" s="73">
        <f>A2A!F63</f>
        <v>0</v>
      </c>
      <c r="G13" s="71">
        <f>A2A!G63</f>
        <v>0</v>
      </c>
      <c r="H13" s="74">
        <f>A2A!H63</f>
        <v>0</v>
      </c>
      <c r="I13" s="75">
        <f>A2A!I63</f>
        <v>0</v>
      </c>
      <c r="J13" s="71">
        <f>A2A!J63</f>
        <v>0</v>
      </c>
      <c r="K13" s="72">
        <f>A2A!K63</f>
        <v>0</v>
      </c>
      <c r="L13" s="322"/>
      <c r="Q13" s="2226"/>
      <c r="R13" s="2227"/>
    </row>
    <row r="14" spans="1:18" ht="11.25" customHeight="1" x14ac:dyDescent="0.25">
      <c r="A14" s="226" t="s">
        <v>1551</v>
      </c>
      <c r="B14" s="144"/>
      <c r="C14" s="323">
        <f>A2A!C66</f>
        <v>0</v>
      </c>
      <c r="D14" s="323">
        <f>A2A!D66</f>
        <v>0</v>
      </c>
      <c r="E14" s="324">
        <f>A2A!E66</f>
        <v>0</v>
      </c>
      <c r="F14" s="325">
        <f>A2A!F66</f>
        <v>0</v>
      </c>
      <c r="G14" s="323">
        <f>A2A!G66</f>
        <v>0</v>
      </c>
      <c r="H14" s="326">
        <f>A2A!H66</f>
        <v>0</v>
      </c>
      <c r="I14" s="327">
        <f>A2A!I66</f>
        <v>0</v>
      </c>
      <c r="J14" s="323">
        <f>A2A!J66</f>
        <v>0</v>
      </c>
      <c r="K14" s="324">
        <f>A2A!K66</f>
        <v>0</v>
      </c>
      <c r="L14" s="322"/>
      <c r="Q14" s="2226"/>
      <c r="R14" s="2227"/>
    </row>
    <row r="15" spans="1:18" ht="11.25" customHeight="1" x14ac:dyDescent="0.25">
      <c r="A15" s="225" t="s">
        <v>126</v>
      </c>
      <c r="B15" s="97"/>
      <c r="C15" s="98">
        <f>SUM(C16:C18)</f>
        <v>445261</v>
      </c>
      <c r="D15" s="98">
        <f t="shared" ref="D15:K15" si="2">SUM(D16:D18)</f>
        <v>254747</v>
      </c>
      <c r="E15" s="99">
        <f t="shared" si="2"/>
        <v>155935</v>
      </c>
      <c r="F15" s="100">
        <f t="shared" si="2"/>
        <v>968955</v>
      </c>
      <c r="G15" s="98">
        <f t="shared" si="2"/>
        <v>2495166</v>
      </c>
      <c r="H15" s="101">
        <f t="shared" si="2"/>
        <v>2495166</v>
      </c>
      <c r="I15" s="102">
        <f t="shared" si="2"/>
        <v>971644</v>
      </c>
      <c r="J15" s="98">
        <f t="shared" si="2"/>
        <v>2696177</v>
      </c>
      <c r="K15" s="99">
        <f t="shared" si="2"/>
        <v>2804023</v>
      </c>
      <c r="L15" s="322"/>
      <c r="Q15" s="2226"/>
      <c r="R15" s="2227"/>
    </row>
    <row r="16" spans="1:18" ht="11.25" customHeight="1" x14ac:dyDescent="0.25">
      <c r="A16" s="226" t="s">
        <v>127</v>
      </c>
      <c r="B16" s="144"/>
      <c r="C16" s="71">
        <f>A2A!C75</f>
        <v>419011</v>
      </c>
      <c r="D16" s="71">
        <f>A2A!D75</f>
        <v>227692</v>
      </c>
      <c r="E16" s="72">
        <f>A2A!E75</f>
        <v>132745</v>
      </c>
      <c r="F16" s="73">
        <f>A2A!F75</f>
        <v>938955</v>
      </c>
      <c r="G16" s="71">
        <f>A2A!G75</f>
        <v>2465166</v>
      </c>
      <c r="H16" s="74">
        <f>A2A!H75</f>
        <v>2465166</v>
      </c>
      <c r="I16" s="75">
        <f>A2A!I75</f>
        <v>940474</v>
      </c>
      <c r="J16" s="71">
        <f>A2A!J75</f>
        <v>2663760</v>
      </c>
      <c r="K16" s="72">
        <f>A2A!K75</f>
        <v>2770310</v>
      </c>
      <c r="L16" s="322"/>
      <c r="Q16" s="2226"/>
      <c r="R16" s="2227"/>
    </row>
    <row r="17" spans="1:18" ht="11.25" customHeight="1" x14ac:dyDescent="0.25">
      <c r="A17" s="226" t="s">
        <v>128</v>
      </c>
      <c r="B17" s="144"/>
      <c r="C17" s="71">
        <f>A2A!C86</f>
        <v>26250</v>
      </c>
      <c r="D17" s="71">
        <f>A2A!D86</f>
        <v>27055</v>
      </c>
      <c r="E17" s="72">
        <f>A2A!E86</f>
        <v>23190</v>
      </c>
      <c r="F17" s="73">
        <f>A2A!F86</f>
        <v>30000</v>
      </c>
      <c r="G17" s="71">
        <f>A2A!G86</f>
        <v>30000</v>
      </c>
      <c r="H17" s="74">
        <f>A2A!H86</f>
        <v>30000</v>
      </c>
      <c r="I17" s="75">
        <f>A2A!I86</f>
        <v>31170</v>
      </c>
      <c r="J17" s="71">
        <f>A2A!J86</f>
        <v>32417</v>
      </c>
      <c r="K17" s="72">
        <f>A2A!K86</f>
        <v>33713</v>
      </c>
      <c r="L17" s="322"/>
      <c r="Q17" s="2226"/>
      <c r="R17" s="2227"/>
    </row>
    <row r="18" spans="1:18" ht="11.25" customHeight="1" x14ac:dyDescent="0.25">
      <c r="A18" s="226" t="s">
        <v>129</v>
      </c>
      <c r="B18" s="144"/>
      <c r="C18" s="71">
        <f>A2A!C91</f>
        <v>0</v>
      </c>
      <c r="D18" s="71">
        <f>A2A!D91</f>
        <v>0</v>
      </c>
      <c r="E18" s="72">
        <f>A2A!E91</f>
        <v>0</v>
      </c>
      <c r="F18" s="73">
        <f>A2A!F91</f>
        <v>0</v>
      </c>
      <c r="G18" s="71">
        <f>A2A!G91</f>
        <v>0</v>
      </c>
      <c r="H18" s="74">
        <f>A2A!H91</f>
        <v>0</v>
      </c>
      <c r="I18" s="75">
        <f>A2A!I91</f>
        <v>0</v>
      </c>
      <c r="J18" s="71">
        <f>A2A!J91</f>
        <v>0</v>
      </c>
      <c r="K18" s="72">
        <f>A2A!K91</f>
        <v>0</v>
      </c>
      <c r="L18" s="322"/>
      <c r="Q18" s="2226"/>
      <c r="R18" s="2227"/>
    </row>
    <row r="19" spans="1:18" ht="11.25" customHeight="1" x14ac:dyDescent="0.25">
      <c r="A19" s="225" t="s">
        <v>130</v>
      </c>
      <c r="B19" s="97"/>
      <c r="C19" s="98">
        <f>SUM(C20:C23)</f>
        <v>497749</v>
      </c>
      <c r="D19" s="98">
        <f t="shared" ref="D19:K19" si="3">SUM(D20:D23)</f>
        <v>525667</v>
      </c>
      <c r="E19" s="99">
        <f t="shared" si="3"/>
        <v>528201</v>
      </c>
      <c r="F19" s="100">
        <f t="shared" si="3"/>
        <v>574287</v>
      </c>
      <c r="G19" s="98">
        <f t="shared" si="3"/>
        <v>574287</v>
      </c>
      <c r="H19" s="101">
        <f t="shared" si="3"/>
        <v>574287</v>
      </c>
      <c r="I19" s="102">
        <f t="shared" si="3"/>
        <v>596684</v>
      </c>
      <c r="J19" s="98">
        <f>SUM(J20:J23)</f>
        <v>620552</v>
      </c>
      <c r="K19" s="99">
        <f t="shared" si="3"/>
        <v>645374</v>
      </c>
      <c r="L19" s="322"/>
      <c r="Q19" s="2226"/>
      <c r="R19" s="2227"/>
    </row>
    <row r="20" spans="1:18" ht="11.25" customHeight="1" x14ac:dyDescent="0.25">
      <c r="A20" s="226" t="s">
        <v>2365</v>
      </c>
      <c r="B20" s="144"/>
      <c r="C20" s="71">
        <f>A2A!C99</f>
        <v>0</v>
      </c>
      <c r="D20" s="71">
        <f>A2A!D99</f>
        <v>0</v>
      </c>
      <c r="E20" s="72">
        <f>A2A!E99</f>
        <v>0</v>
      </c>
      <c r="F20" s="73">
        <f>A2A!F99</f>
        <v>0</v>
      </c>
      <c r="G20" s="71">
        <f>A2A!G99</f>
        <v>0</v>
      </c>
      <c r="H20" s="74">
        <f>A2A!H99</f>
        <v>0</v>
      </c>
      <c r="I20" s="75">
        <f>A2A!I99</f>
        <v>0</v>
      </c>
      <c r="J20" s="71">
        <f>A2A!J99</f>
        <v>0</v>
      </c>
      <c r="K20" s="72">
        <f>A2A!K99</f>
        <v>0</v>
      </c>
      <c r="L20" s="322"/>
      <c r="Q20" s="2226"/>
      <c r="R20" s="2227"/>
    </row>
    <row r="21" spans="1:18" ht="11.25" customHeight="1" x14ac:dyDescent="0.25">
      <c r="A21" s="226" t="s">
        <v>2366</v>
      </c>
      <c r="B21" s="144"/>
      <c r="C21" s="71">
        <f>A2A!C103</f>
        <v>0</v>
      </c>
      <c r="D21" s="71">
        <f>A2A!D103</f>
        <v>0</v>
      </c>
      <c r="E21" s="72">
        <f>A2A!E103</f>
        <v>0</v>
      </c>
      <c r="F21" s="73">
        <f>A2A!F103</f>
        <v>0</v>
      </c>
      <c r="G21" s="71">
        <f>A2A!G103</f>
        <v>0</v>
      </c>
      <c r="H21" s="74">
        <f>A2A!H103</f>
        <v>0</v>
      </c>
      <c r="I21" s="75">
        <f>A2A!I103</f>
        <v>0</v>
      </c>
      <c r="J21" s="71">
        <f>A2A!J103</f>
        <v>0</v>
      </c>
      <c r="K21" s="72">
        <f>A2A!K103</f>
        <v>0</v>
      </c>
      <c r="L21" s="322"/>
      <c r="Q21" s="2226"/>
      <c r="R21" s="2227"/>
    </row>
    <row r="22" spans="1:18" ht="11.25" customHeight="1" x14ac:dyDescent="0.25">
      <c r="A22" s="226" t="s">
        <v>987</v>
      </c>
      <c r="B22" s="144"/>
      <c r="C22" s="323">
        <f>A2A!C107</f>
        <v>0</v>
      </c>
      <c r="D22" s="323">
        <f>A2A!D107</f>
        <v>0</v>
      </c>
      <c r="E22" s="324">
        <f>A2A!E107</f>
        <v>0</v>
      </c>
      <c r="F22" s="325">
        <f>A2A!F107</f>
        <v>0</v>
      </c>
      <c r="G22" s="323">
        <f>A2A!G107</f>
        <v>0</v>
      </c>
      <c r="H22" s="326">
        <f>A2A!H107</f>
        <v>0</v>
      </c>
      <c r="I22" s="327">
        <f>A2A!I107</f>
        <v>0</v>
      </c>
      <c r="J22" s="323">
        <f>A2A!J107</f>
        <v>0</v>
      </c>
      <c r="K22" s="324">
        <f>A2A!K107</f>
        <v>0</v>
      </c>
      <c r="L22" s="322"/>
      <c r="Q22" s="2226"/>
      <c r="R22" s="2227"/>
    </row>
    <row r="23" spans="1:18" ht="11.25" customHeight="1" x14ac:dyDescent="0.25">
      <c r="A23" s="226" t="s">
        <v>988</v>
      </c>
      <c r="B23" s="144"/>
      <c r="C23" s="71">
        <f>A2A!C112</f>
        <v>497749</v>
      </c>
      <c r="D23" s="71">
        <f>A2A!D112</f>
        <v>525667</v>
      </c>
      <c r="E23" s="72">
        <f>A2A!E112</f>
        <v>528201</v>
      </c>
      <c r="F23" s="73">
        <f>A2A!F112</f>
        <v>574287</v>
      </c>
      <c r="G23" s="71">
        <f>A2A!G112</f>
        <v>574287</v>
      </c>
      <c r="H23" s="74">
        <f>A2A!H112</f>
        <v>574287</v>
      </c>
      <c r="I23" s="75">
        <f>A2A!I112</f>
        <v>596684</v>
      </c>
      <c r="J23" s="71">
        <f>A2A!J112</f>
        <v>620552</v>
      </c>
      <c r="K23" s="72">
        <f>A2A!K112</f>
        <v>645374</v>
      </c>
      <c r="L23" s="322"/>
      <c r="Q23" s="2226"/>
      <c r="R23" s="2227"/>
    </row>
    <row r="24" spans="1:18" ht="11.25" customHeight="1" x14ac:dyDescent="0.25">
      <c r="A24" s="225" t="s">
        <v>245</v>
      </c>
      <c r="B24" s="97">
        <v>4</v>
      </c>
      <c r="C24" s="98">
        <f>A2A!C117</f>
        <v>6064222</v>
      </c>
      <c r="D24" s="98">
        <f>A2A!D117</f>
        <v>6462382</v>
      </c>
      <c r="E24" s="99">
        <f>A2A!E117</f>
        <v>4704487</v>
      </c>
      <c r="F24" s="100">
        <f>A2A!F117</f>
        <v>7121110</v>
      </c>
      <c r="G24" s="98">
        <f>A2A!G117</f>
        <v>7122310</v>
      </c>
      <c r="H24" s="101">
        <f>A2A!H117</f>
        <v>7122310</v>
      </c>
      <c r="I24" s="102">
        <f>A2A!I117</f>
        <v>7400081</v>
      </c>
      <c r="J24" s="98">
        <f>A2A!J117</f>
        <v>7696084</v>
      </c>
      <c r="K24" s="99">
        <f>A2A!K117</f>
        <v>8003928</v>
      </c>
      <c r="L24" s="322"/>
      <c r="Q24" s="196"/>
      <c r="R24" s="2227"/>
    </row>
    <row r="25" spans="1:18" ht="11.25" customHeight="1" x14ac:dyDescent="0.25">
      <c r="A25" s="256" t="str">
        <f>"Total "&amp;A4</f>
        <v>Total Revenue - Functional</v>
      </c>
      <c r="B25" s="257">
        <v>2</v>
      </c>
      <c r="C25" s="243">
        <f>C5+C9+C15+C19+C24</f>
        <v>101660844</v>
      </c>
      <c r="D25" s="243">
        <f>D5+D9+D15+D19+D24</f>
        <v>110363666</v>
      </c>
      <c r="E25" s="581">
        <f t="shared" ref="E25:K25" si="4">E5+E9+E15+E19+E24</f>
        <v>113941219</v>
      </c>
      <c r="F25" s="582">
        <f t="shared" si="4"/>
        <v>124222455</v>
      </c>
      <c r="G25" s="243">
        <f t="shared" si="4"/>
        <v>145703045</v>
      </c>
      <c r="H25" s="583">
        <f t="shared" si="4"/>
        <v>145703045</v>
      </c>
      <c r="I25" s="244">
        <f>I5+I9+I15+I19+I24</f>
        <v>135443122</v>
      </c>
      <c r="J25" s="243">
        <f t="shared" si="4"/>
        <v>142603640</v>
      </c>
      <c r="K25" s="581">
        <f t="shared" si="4"/>
        <v>145753424</v>
      </c>
      <c r="L25" s="322"/>
      <c r="Q25" s="2236"/>
      <c r="R25" s="2237"/>
    </row>
    <row r="26" spans="1:18" ht="4.9000000000000004" customHeight="1" x14ac:dyDescent="0.25">
      <c r="A26" s="116"/>
      <c r="B26" s="144"/>
      <c r="C26" s="71"/>
      <c r="D26" s="71"/>
      <c r="E26" s="72"/>
      <c r="F26" s="73"/>
      <c r="G26" s="71"/>
      <c r="H26" s="74"/>
      <c r="I26" s="75"/>
      <c r="J26" s="71"/>
      <c r="K26" s="72"/>
      <c r="L26" s="322"/>
      <c r="Q26" s="196"/>
    </row>
    <row r="27" spans="1:18" ht="11.25" customHeight="1" x14ac:dyDescent="0.25">
      <c r="A27" s="96" t="s">
        <v>2446</v>
      </c>
      <c r="B27" s="146"/>
      <c r="C27" s="71"/>
      <c r="D27" s="71"/>
      <c r="E27" s="72"/>
      <c r="F27" s="73"/>
      <c r="G27" s="71"/>
      <c r="H27" s="74"/>
      <c r="I27" s="75"/>
      <c r="J27" s="71"/>
      <c r="K27" s="72"/>
      <c r="L27" s="322"/>
      <c r="Q27" s="196"/>
    </row>
    <row r="28" spans="1:18" ht="11.25" customHeight="1" x14ac:dyDescent="0.25">
      <c r="A28" s="225" t="s">
        <v>985</v>
      </c>
      <c r="B28" s="144"/>
      <c r="C28" s="98">
        <f>SUM(C29:C31)</f>
        <v>55121036</v>
      </c>
      <c r="D28" s="98">
        <f t="shared" ref="D28:K28" si="5">SUM(D29:D31)</f>
        <v>47359299</v>
      </c>
      <c r="E28" s="291">
        <f t="shared" si="5"/>
        <v>53963638</v>
      </c>
      <c r="F28" s="102">
        <f t="shared" si="5"/>
        <v>69553541</v>
      </c>
      <c r="G28" s="98">
        <f t="shared" si="5"/>
        <v>78524541</v>
      </c>
      <c r="H28" s="292">
        <f t="shared" si="5"/>
        <v>78524541</v>
      </c>
      <c r="I28" s="293">
        <f t="shared" si="5"/>
        <v>85013775</v>
      </c>
      <c r="J28" s="98">
        <f t="shared" si="5"/>
        <v>74755494</v>
      </c>
      <c r="K28" s="292">
        <f t="shared" si="5"/>
        <v>82478009</v>
      </c>
      <c r="L28" s="322"/>
    </row>
    <row r="29" spans="1:18" ht="11.25" customHeight="1" x14ac:dyDescent="0.25">
      <c r="A29" s="226" t="s">
        <v>119</v>
      </c>
      <c r="B29" s="144"/>
      <c r="C29" s="71">
        <f>A2A!C128</f>
        <v>10424627</v>
      </c>
      <c r="D29" s="71">
        <f>A2A!D128</f>
        <v>11232657</v>
      </c>
      <c r="E29" s="72">
        <f>A2A!E128</f>
        <v>12619987</v>
      </c>
      <c r="F29" s="73">
        <f>A2A!F128</f>
        <v>19001756</v>
      </c>
      <c r="G29" s="71">
        <f>A2A!G128</f>
        <v>21401756</v>
      </c>
      <c r="H29" s="74">
        <f>A2A!H128</f>
        <v>21401756</v>
      </c>
      <c r="I29" s="75">
        <f>A2A!I128</f>
        <v>22480589</v>
      </c>
      <c r="J29" s="71">
        <f>A2A!J128</f>
        <v>19014269</v>
      </c>
      <c r="K29" s="72">
        <f>A2A!K128</f>
        <v>23013871</v>
      </c>
      <c r="L29" s="322"/>
    </row>
    <row r="30" spans="1:18" ht="11.25" customHeight="1" x14ac:dyDescent="0.25">
      <c r="A30" s="226" t="s">
        <v>2368</v>
      </c>
      <c r="B30" s="144"/>
      <c r="C30" s="323">
        <f>A2A!C131</f>
        <v>44696409</v>
      </c>
      <c r="D30" s="323">
        <f>A2A!D131</f>
        <v>36126642</v>
      </c>
      <c r="E30" s="324">
        <f>A2A!E131</f>
        <v>41343651</v>
      </c>
      <c r="F30" s="325">
        <f>A2A!F131</f>
        <v>50551785</v>
      </c>
      <c r="G30" s="323">
        <f>A2A!G131</f>
        <v>57122785</v>
      </c>
      <c r="H30" s="326">
        <f>A2A!H131</f>
        <v>57122785</v>
      </c>
      <c r="I30" s="327">
        <f>A2A!I131</f>
        <v>62533186</v>
      </c>
      <c r="J30" s="323">
        <f>A2A!J131</f>
        <v>55741225</v>
      </c>
      <c r="K30" s="324">
        <f>A2A!K131</f>
        <v>59464138</v>
      </c>
      <c r="L30" s="322"/>
    </row>
    <row r="31" spans="1:18" ht="11.25" customHeight="1" x14ac:dyDescent="0.25">
      <c r="A31" s="226" t="s">
        <v>2364</v>
      </c>
      <c r="B31" s="144"/>
      <c r="C31" s="71">
        <f>A2A!C145</f>
        <v>0</v>
      </c>
      <c r="D31" s="71">
        <f>A2A!D145</f>
        <v>0</v>
      </c>
      <c r="E31" s="72">
        <f>A2A!E145</f>
        <v>0</v>
      </c>
      <c r="F31" s="73">
        <f>A2A!F145</f>
        <v>0</v>
      </c>
      <c r="G31" s="71">
        <f>A2A!G145</f>
        <v>0</v>
      </c>
      <c r="H31" s="74">
        <f>A2A!H145</f>
        <v>0</v>
      </c>
      <c r="I31" s="75">
        <f>A2A!I145</f>
        <v>0</v>
      </c>
      <c r="J31" s="71">
        <f>A2A!J145</f>
        <v>0</v>
      </c>
      <c r="K31" s="72">
        <f>A2A!K145</f>
        <v>0</v>
      </c>
      <c r="L31" s="322"/>
    </row>
    <row r="32" spans="1:18" ht="11.25" customHeight="1" x14ac:dyDescent="0.25">
      <c r="A32" s="225" t="s">
        <v>122</v>
      </c>
      <c r="B32" s="144"/>
      <c r="C32" s="98">
        <f>SUM(C33:C37)</f>
        <v>12437521</v>
      </c>
      <c r="D32" s="98">
        <f t="shared" ref="D32:K32" si="6">SUM(D33:D37)</f>
        <v>15101035</v>
      </c>
      <c r="E32" s="99">
        <f t="shared" si="6"/>
        <v>18243367</v>
      </c>
      <c r="F32" s="100">
        <f t="shared" si="6"/>
        <v>24955232</v>
      </c>
      <c r="G32" s="98">
        <f t="shared" si="6"/>
        <v>26576228</v>
      </c>
      <c r="H32" s="101">
        <f t="shared" si="6"/>
        <v>26576228</v>
      </c>
      <c r="I32" s="102">
        <f t="shared" si="6"/>
        <v>30946887</v>
      </c>
      <c r="J32" s="98">
        <f t="shared" si="6"/>
        <v>29142365</v>
      </c>
      <c r="K32" s="99">
        <f t="shared" si="6"/>
        <v>30845633</v>
      </c>
      <c r="L32" s="322"/>
    </row>
    <row r="33" spans="1:17" ht="11.25" customHeight="1" x14ac:dyDescent="0.25">
      <c r="A33" s="226" t="s">
        <v>123</v>
      </c>
      <c r="B33" s="144"/>
      <c r="C33" s="71">
        <f>A2A!C148</f>
        <v>11191043</v>
      </c>
      <c r="D33" s="71">
        <f>A2A!D148</f>
        <v>12311420</v>
      </c>
      <c r="E33" s="72">
        <f>A2A!E148</f>
        <v>14039866</v>
      </c>
      <c r="F33" s="73">
        <f>A2A!F148</f>
        <v>21370232</v>
      </c>
      <c r="G33" s="71">
        <f>A2A!G148</f>
        <v>24028843</v>
      </c>
      <c r="H33" s="74">
        <f>A2A!H148</f>
        <v>24028843</v>
      </c>
      <c r="I33" s="75">
        <f>A2A!I148</f>
        <v>27136887</v>
      </c>
      <c r="J33" s="71">
        <f>A2A!J148</f>
        <v>25550498</v>
      </c>
      <c r="K33" s="72">
        <f>A2A!K148</f>
        <v>27061093</v>
      </c>
      <c r="L33" s="322"/>
    </row>
    <row r="34" spans="1:17" ht="11.25" customHeight="1" x14ac:dyDescent="0.25">
      <c r="A34" s="226" t="s">
        <v>124</v>
      </c>
      <c r="B34" s="144"/>
      <c r="C34" s="71">
        <f>A2A!C170</f>
        <v>1120508</v>
      </c>
      <c r="D34" s="71">
        <f>A2A!D170</f>
        <v>2629597</v>
      </c>
      <c r="E34" s="72">
        <f>A2A!E170</f>
        <v>4086381</v>
      </c>
      <c r="F34" s="73">
        <f>A2A!F170</f>
        <v>3300000</v>
      </c>
      <c r="G34" s="71">
        <f>A2A!G170</f>
        <v>2357500</v>
      </c>
      <c r="H34" s="74">
        <f>A2A!H170</f>
        <v>2357500</v>
      </c>
      <c r="I34" s="75">
        <f>A2A!I170</f>
        <v>3470000</v>
      </c>
      <c r="J34" s="71">
        <f>A2A!J170</f>
        <v>3282800</v>
      </c>
      <c r="K34" s="72">
        <f>A2A!K170</f>
        <v>3463112</v>
      </c>
      <c r="L34" s="322"/>
    </row>
    <row r="35" spans="1:17" ht="11.25" customHeight="1" x14ac:dyDescent="0.25">
      <c r="A35" s="226" t="s">
        <v>125</v>
      </c>
      <c r="B35" s="144"/>
      <c r="C35" s="71">
        <f>A2A!C176</f>
        <v>0</v>
      </c>
      <c r="D35" s="71">
        <f>A2A!D176</f>
        <v>0</v>
      </c>
      <c r="E35" s="72">
        <f>A2A!E176</f>
        <v>1704</v>
      </c>
      <c r="F35" s="73">
        <f>A2A!F176</f>
        <v>15000</v>
      </c>
      <c r="G35" s="71">
        <f>A2A!G176</f>
        <v>0</v>
      </c>
      <c r="H35" s="74">
        <f>A2A!H176</f>
        <v>0</v>
      </c>
      <c r="I35" s="75">
        <f>A2A!I176</f>
        <v>0</v>
      </c>
      <c r="J35" s="71">
        <f>A2A!J176</f>
        <v>0</v>
      </c>
      <c r="K35" s="72">
        <f>A2A!K176</f>
        <v>0</v>
      </c>
      <c r="L35" s="322"/>
    </row>
    <row r="36" spans="1:17" ht="11.25" customHeight="1" x14ac:dyDescent="0.25">
      <c r="A36" s="226" t="s">
        <v>1487</v>
      </c>
      <c r="B36" s="144"/>
      <c r="C36" s="71">
        <f>A2A!C185</f>
        <v>100</v>
      </c>
      <c r="D36" s="71">
        <f>A2A!D185</f>
        <v>0</v>
      </c>
      <c r="E36" s="72">
        <f>A2A!E185</f>
        <v>0</v>
      </c>
      <c r="F36" s="73">
        <f>A2A!F185</f>
        <v>0</v>
      </c>
      <c r="G36" s="71">
        <f>A2A!G185</f>
        <v>0</v>
      </c>
      <c r="H36" s="74">
        <f>A2A!H185</f>
        <v>0</v>
      </c>
      <c r="I36" s="75">
        <f>A2A!I185</f>
        <v>0</v>
      </c>
      <c r="J36" s="71">
        <f>A2A!J185</f>
        <v>0</v>
      </c>
      <c r="K36" s="72">
        <f>A2A!K185</f>
        <v>0</v>
      </c>
      <c r="L36" s="322"/>
    </row>
    <row r="37" spans="1:17" ht="11.25" customHeight="1" x14ac:dyDescent="0.25">
      <c r="A37" s="226" t="s">
        <v>1551</v>
      </c>
      <c r="B37" s="144"/>
      <c r="C37" s="323">
        <f>A2A!C188</f>
        <v>125870</v>
      </c>
      <c r="D37" s="323">
        <f>A2A!D188</f>
        <v>160018</v>
      </c>
      <c r="E37" s="324">
        <f>A2A!E188</f>
        <v>115416</v>
      </c>
      <c r="F37" s="325">
        <f>A2A!F188</f>
        <v>270000</v>
      </c>
      <c r="G37" s="323">
        <f>A2A!G188</f>
        <v>189885</v>
      </c>
      <c r="H37" s="326">
        <f>A2A!H188</f>
        <v>189885</v>
      </c>
      <c r="I37" s="327">
        <f>A2A!I188</f>
        <v>340000</v>
      </c>
      <c r="J37" s="323">
        <f>A2A!J188</f>
        <v>309067</v>
      </c>
      <c r="K37" s="324">
        <f>A2A!K188</f>
        <v>321428</v>
      </c>
      <c r="L37" s="322"/>
    </row>
    <row r="38" spans="1:17" ht="11.25" customHeight="1" x14ac:dyDescent="0.25">
      <c r="A38" s="225" t="s">
        <v>126</v>
      </c>
      <c r="B38" s="97"/>
      <c r="C38" s="98">
        <f>SUM(C39:C41)</f>
        <v>7031473</v>
      </c>
      <c r="D38" s="98">
        <f t="shared" ref="D38:K38" si="7">SUM(D39:D41)</f>
        <v>10855256</v>
      </c>
      <c r="E38" s="99">
        <f t="shared" si="7"/>
        <v>11984020</v>
      </c>
      <c r="F38" s="100">
        <f t="shared" si="7"/>
        <v>17956674</v>
      </c>
      <c r="G38" s="98">
        <f t="shared" si="7"/>
        <v>22486139</v>
      </c>
      <c r="H38" s="101">
        <f t="shared" si="7"/>
        <v>22486139</v>
      </c>
      <c r="I38" s="102">
        <f t="shared" si="7"/>
        <v>17331701</v>
      </c>
      <c r="J38" s="98">
        <f t="shared" si="7"/>
        <v>22463573</v>
      </c>
      <c r="K38" s="99">
        <f t="shared" si="7"/>
        <v>23390292</v>
      </c>
      <c r="L38" s="322"/>
    </row>
    <row r="39" spans="1:17" ht="11.25" customHeight="1" x14ac:dyDescent="0.25">
      <c r="A39" s="226" t="s">
        <v>127</v>
      </c>
      <c r="B39" s="144"/>
      <c r="C39" s="71">
        <f>A2A!C197</f>
        <v>867081</v>
      </c>
      <c r="D39" s="71">
        <f>A2A!D197</f>
        <v>2810520</v>
      </c>
      <c r="E39" s="72">
        <f>A2A!E197</f>
        <v>1694782</v>
      </c>
      <c r="F39" s="73">
        <f>A2A!F197</f>
        <v>580000</v>
      </c>
      <c r="G39" s="71">
        <f>A2A!G197</f>
        <v>430220</v>
      </c>
      <c r="H39" s="74">
        <f>A2A!H197</f>
        <v>430220</v>
      </c>
      <c r="I39" s="75">
        <f>A2A!I197</f>
        <v>571700</v>
      </c>
      <c r="J39" s="71">
        <f>A2A!J197</f>
        <v>594568</v>
      </c>
      <c r="K39" s="72">
        <f>A2A!K197</f>
        <v>611216</v>
      </c>
      <c r="L39" s="322"/>
    </row>
    <row r="40" spans="1:17" ht="11.25" customHeight="1" x14ac:dyDescent="0.25">
      <c r="A40" s="226" t="s">
        <v>128</v>
      </c>
      <c r="B40" s="144"/>
      <c r="C40" s="71">
        <f>A2A!C208</f>
        <v>6164392</v>
      </c>
      <c r="D40" s="71">
        <f>A2A!D208</f>
        <v>8044736</v>
      </c>
      <c r="E40" s="72">
        <f>A2A!E208</f>
        <v>10289238</v>
      </c>
      <c r="F40" s="73">
        <f>A2A!F208</f>
        <v>17376674</v>
      </c>
      <c r="G40" s="71">
        <f>A2A!G208</f>
        <v>22055919</v>
      </c>
      <c r="H40" s="74">
        <f>A2A!H208</f>
        <v>22055919</v>
      </c>
      <c r="I40" s="75">
        <f>A2A!I208</f>
        <v>16760001</v>
      </c>
      <c r="J40" s="71">
        <f>A2A!J208</f>
        <v>21869005</v>
      </c>
      <c r="K40" s="72">
        <f>A2A!K208</f>
        <v>22779076</v>
      </c>
      <c r="L40" s="322"/>
    </row>
    <row r="41" spans="1:17" ht="11.25" customHeight="1" x14ac:dyDescent="0.25">
      <c r="A41" s="226" t="s">
        <v>129</v>
      </c>
      <c r="B41" s="144"/>
      <c r="C41" s="71">
        <f>A2A!C213</f>
        <v>0</v>
      </c>
      <c r="D41" s="71">
        <f>A2A!D213</f>
        <v>0</v>
      </c>
      <c r="E41" s="72">
        <f>A2A!E213</f>
        <v>0</v>
      </c>
      <c r="F41" s="73">
        <f>A2A!F213</f>
        <v>0</v>
      </c>
      <c r="G41" s="71">
        <f>A2A!G213</f>
        <v>0</v>
      </c>
      <c r="H41" s="74">
        <f>A2A!H213</f>
        <v>0</v>
      </c>
      <c r="I41" s="75">
        <f>A2A!I213</f>
        <v>0</v>
      </c>
      <c r="J41" s="71">
        <f>A2A!J213</f>
        <v>0</v>
      </c>
      <c r="K41" s="72">
        <f>A2A!K213</f>
        <v>0</v>
      </c>
      <c r="L41" s="322"/>
    </row>
    <row r="42" spans="1:17" ht="11.25" customHeight="1" x14ac:dyDescent="0.25">
      <c r="A42" s="225" t="s">
        <v>130</v>
      </c>
      <c r="B42" s="97"/>
      <c r="C42" s="98">
        <f>SUM(C43:C46)</f>
        <v>1653294</v>
      </c>
      <c r="D42" s="98">
        <f t="shared" ref="D42:J42" si="8">SUM(D43:D46)</f>
        <v>4927215</v>
      </c>
      <c r="E42" s="99">
        <f t="shared" si="8"/>
        <v>8849063</v>
      </c>
      <c r="F42" s="100">
        <f>SUM(F43:F46)</f>
        <v>2558000</v>
      </c>
      <c r="G42" s="98">
        <f t="shared" si="8"/>
        <v>8439606</v>
      </c>
      <c r="H42" s="101">
        <f t="shared" si="8"/>
        <v>8439606</v>
      </c>
      <c r="I42" s="102">
        <f t="shared" si="8"/>
        <v>2685000</v>
      </c>
      <c r="J42" s="98">
        <f t="shared" si="8"/>
        <v>1961300</v>
      </c>
      <c r="K42" s="99">
        <f>SUM(K43:K46)</f>
        <v>2074099</v>
      </c>
      <c r="L42" s="322"/>
    </row>
    <row r="43" spans="1:17" ht="11.25" customHeight="1" x14ac:dyDescent="0.25">
      <c r="A43" s="226" t="s">
        <v>2365</v>
      </c>
      <c r="B43" s="144"/>
      <c r="C43" s="71">
        <f>A2A!C221</f>
        <v>0</v>
      </c>
      <c r="D43" s="71">
        <f>A2A!D221</f>
        <v>3222602</v>
      </c>
      <c r="E43" s="72">
        <f>A2A!E221</f>
        <v>6223503</v>
      </c>
      <c r="F43" s="73">
        <f>A2A!F221</f>
        <v>0</v>
      </c>
      <c r="G43" s="71">
        <f>A2A!G221</f>
        <v>6381606</v>
      </c>
      <c r="H43" s="74">
        <f>A2A!H221</f>
        <v>6381606</v>
      </c>
      <c r="I43" s="75">
        <f>A2A!I221</f>
        <v>0</v>
      </c>
      <c r="J43" s="71">
        <f>A2A!J221</f>
        <v>0</v>
      </c>
      <c r="K43" s="72">
        <f>A2A!K221</f>
        <v>0</v>
      </c>
      <c r="L43" s="322"/>
    </row>
    <row r="44" spans="1:17" ht="11.25" customHeight="1" x14ac:dyDescent="0.25">
      <c r="A44" s="226" t="s">
        <v>2366</v>
      </c>
      <c r="B44" s="144"/>
      <c r="C44" s="71">
        <f>A2A!C225</f>
        <v>0</v>
      </c>
      <c r="D44" s="71">
        <f>A2A!D225</f>
        <v>0</v>
      </c>
      <c r="E44" s="72">
        <f>A2A!E225</f>
        <v>0</v>
      </c>
      <c r="F44" s="73">
        <f>A2A!F225</f>
        <v>0</v>
      </c>
      <c r="G44" s="71">
        <f>A2A!G225</f>
        <v>0</v>
      </c>
      <c r="H44" s="74">
        <f>A2A!H225</f>
        <v>0</v>
      </c>
      <c r="I44" s="75">
        <f>A2A!I225</f>
        <v>0</v>
      </c>
      <c r="J44" s="71">
        <f>A2A!J225</f>
        <v>0</v>
      </c>
      <c r="K44" s="72">
        <f>A2A!K225</f>
        <v>0</v>
      </c>
      <c r="L44" s="322"/>
    </row>
    <row r="45" spans="1:17" ht="11.25" customHeight="1" x14ac:dyDescent="0.25">
      <c r="A45" s="226" t="s">
        <v>987</v>
      </c>
      <c r="B45" s="144"/>
      <c r="C45" s="323">
        <f>A2A!C229</f>
        <v>0</v>
      </c>
      <c r="D45" s="323">
        <f>A2A!D229</f>
        <v>129</v>
      </c>
      <c r="E45" s="324">
        <f>A2A!E229</f>
        <v>0</v>
      </c>
      <c r="F45" s="325">
        <f>A2A!F229</f>
        <v>0</v>
      </c>
      <c r="G45" s="323">
        <f>A2A!G229</f>
        <v>0</v>
      </c>
      <c r="H45" s="326">
        <f>A2A!H229</f>
        <v>0</v>
      </c>
      <c r="I45" s="327">
        <f>A2A!I229</f>
        <v>0</v>
      </c>
      <c r="J45" s="323">
        <f>A2A!J229</f>
        <v>0</v>
      </c>
      <c r="K45" s="324">
        <f>A2A!K229</f>
        <v>0</v>
      </c>
      <c r="L45" s="322"/>
    </row>
    <row r="46" spans="1:17" ht="11.25" customHeight="1" x14ac:dyDescent="0.25">
      <c r="A46" s="226" t="s">
        <v>988</v>
      </c>
      <c r="B46" s="144"/>
      <c r="C46" s="71">
        <f>A2A!C234</f>
        <v>1653294</v>
      </c>
      <c r="D46" s="71">
        <f>A2A!D234</f>
        <v>1704484</v>
      </c>
      <c r="E46" s="72">
        <f>A2A!E234</f>
        <v>2625560</v>
      </c>
      <c r="F46" s="73">
        <f>A2A!F234</f>
        <v>2558000</v>
      </c>
      <c r="G46" s="71">
        <f>A2A!G234</f>
        <v>2058000</v>
      </c>
      <c r="H46" s="74">
        <f>A2A!H234</f>
        <v>2058000</v>
      </c>
      <c r="I46" s="75">
        <f>A2A!I234</f>
        <v>2685000</v>
      </c>
      <c r="J46" s="71">
        <f>A2A!J234</f>
        <v>1961300</v>
      </c>
      <c r="K46" s="72">
        <f>A2A!K234</f>
        <v>2074099</v>
      </c>
      <c r="L46" s="322"/>
    </row>
    <row r="47" spans="1:17" ht="11.25" customHeight="1" x14ac:dyDescent="0.25">
      <c r="A47" s="225" t="s">
        <v>245</v>
      </c>
      <c r="B47" s="97">
        <v>4</v>
      </c>
      <c r="C47" s="98">
        <f>A2A!C239</f>
        <v>5224647</v>
      </c>
      <c r="D47" s="98">
        <f>A2A!D239</f>
        <v>5291114</v>
      </c>
      <c r="E47" s="99">
        <f>A2A!E239</f>
        <v>3826636</v>
      </c>
      <c r="F47" s="100">
        <f>A2A!F239</f>
        <v>6513455</v>
      </c>
      <c r="G47" s="98">
        <f>A2A!G239</f>
        <v>6513455</v>
      </c>
      <c r="H47" s="101">
        <f>A2A!H239</f>
        <v>6513455</v>
      </c>
      <c r="I47" s="102">
        <f>A2A!I239</f>
        <v>6925101</v>
      </c>
      <c r="J47" s="98">
        <f>A2A!J239</f>
        <v>7365318</v>
      </c>
      <c r="K47" s="99">
        <f>A2A!K239</f>
        <v>7834575</v>
      </c>
      <c r="L47" s="322"/>
    </row>
    <row r="48" spans="1:17" ht="11.25" customHeight="1" x14ac:dyDescent="0.25">
      <c r="A48" s="256" t="str">
        <f>"Total "&amp;A27</f>
        <v>Total Expenditure - Functional</v>
      </c>
      <c r="B48" s="257">
        <v>3</v>
      </c>
      <c r="C48" s="243">
        <f>C28+C32+C38+C42+C47</f>
        <v>81467971</v>
      </c>
      <c r="D48" s="243">
        <f>D28+D32+D38+D42+D47</f>
        <v>83533919</v>
      </c>
      <c r="E48" s="581">
        <f>E28+E32+E38+E42+E47</f>
        <v>96866724</v>
      </c>
      <c r="F48" s="582">
        <f t="shared" ref="F48:K48" si="9">F28+F32+F38+F42+F47</f>
        <v>121536902</v>
      </c>
      <c r="G48" s="243">
        <f t="shared" si="9"/>
        <v>142539969</v>
      </c>
      <c r="H48" s="583">
        <f t="shared" si="9"/>
        <v>142539969</v>
      </c>
      <c r="I48" s="244">
        <f t="shared" si="9"/>
        <v>142902464</v>
      </c>
      <c r="J48" s="243">
        <f t="shared" si="9"/>
        <v>135688050</v>
      </c>
      <c r="K48" s="581">
        <f t="shared" si="9"/>
        <v>146622608</v>
      </c>
      <c r="L48" s="322"/>
      <c r="Q48" s="2238"/>
    </row>
    <row r="49" spans="1:12" x14ac:dyDescent="0.25">
      <c r="A49" s="147" t="str">
        <f>result</f>
        <v>Surplus/(Deficit) for the year</v>
      </c>
      <c r="B49" s="148"/>
      <c r="C49" s="549">
        <f>C25-C48</f>
        <v>20192873</v>
      </c>
      <c r="D49" s="549">
        <f t="shared" ref="D49:K49" si="10">D25-D48</f>
        <v>26829747</v>
      </c>
      <c r="E49" s="817">
        <f t="shared" si="10"/>
        <v>17074495</v>
      </c>
      <c r="F49" s="2384">
        <f t="shared" si="10"/>
        <v>2685553</v>
      </c>
      <c r="G49" s="2385">
        <f t="shared" si="10"/>
        <v>3163076</v>
      </c>
      <c r="H49" s="2386">
        <f t="shared" si="10"/>
        <v>3163076</v>
      </c>
      <c r="I49" s="2387">
        <f t="shared" si="10"/>
        <v>-7459342</v>
      </c>
      <c r="J49" s="549">
        <f t="shared" si="10"/>
        <v>6915590</v>
      </c>
      <c r="K49" s="817">
        <f t="shared" si="10"/>
        <v>-869184</v>
      </c>
      <c r="L49" s="322"/>
    </row>
    <row r="50" spans="1:12" x14ac:dyDescent="0.25">
      <c r="A50" s="149" t="str">
        <f>head27a</f>
        <v>References</v>
      </c>
      <c r="B50" s="150"/>
      <c r="C50" s="153"/>
      <c r="D50" s="153"/>
      <c r="E50" s="153"/>
      <c r="F50" s="153"/>
      <c r="G50" s="153"/>
      <c r="H50" s="153"/>
      <c r="I50" s="153"/>
      <c r="J50" s="153"/>
      <c r="K50" s="153"/>
    </row>
    <row r="51" spans="1:12" ht="11.25" customHeight="1" x14ac:dyDescent="0.25">
      <c r="A51" s="151" t="s">
        <v>986</v>
      </c>
      <c r="B51" s="150"/>
      <c r="C51" s="152"/>
      <c r="D51" s="152"/>
      <c r="E51" s="153"/>
      <c r="F51" s="153"/>
      <c r="G51" s="153"/>
      <c r="H51" s="153"/>
      <c r="I51" s="153"/>
      <c r="J51" s="153"/>
      <c r="K51" s="153"/>
    </row>
    <row r="52" spans="1:12" ht="11.25" customHeight="1" x14ac:dyDescent="0.25">
      <c r="A52" s="154" t="s">
        <v>2453</v>
      </c>
      <c r="B52" s="150"/>
      <c r="C52" s="152"/>
      <c r="D52" s="152"/>
      <c r="E52" s="153"/>
      <c r="F52" s="153"/>
      <c r="G52" s="153"/>
      <c r="H52" s="153"/>
      <c r="I52" s="153"/>
      <c r="J52" s="153"/>
      <c r="K52" s="153"/>
    </row>
    <row r="53" spans="1:12" ht="11.25" customHeight="1" x14ac:dyDescent="0.25">
      <c r="A53" s="151" t="s">
        <v>2451</v>
      </c>
      <c r="B53" s="150"/>
      <c r="C53" s="152"/>
      <c r="D53" s="152"/>
      <c r="E53" s="153"/>
      <c r="F53" s="153"/>
      <c r="G53" s="153"/>
      <c r="H53" s="153"/>
      <c r="I53" s="153"/>
      <c r="J53" s="153"/>
      <c r="K53" s="153"/>
    </row>
    <row r="54" spans="1:12" ht="25.5" customHeight="1" x14ac:dyDescent="0.25">
      <c r="A54" s="2446" t="s">
        <v>2452</v>
      </c>
      <c r="B54" s="2446"/>
      <c r="C54" s="2446"/>
      <c r="D54" s="2446"/>
      <c r="E54" s="2446"/>
      <c r="F54" s="2446"/>
      <c r="G54" s="2446"/>
      <c r="H54" s="2446"/>
      <c r="I54" s="2446"/>
      <c r="J54" s="2446"/>
      <c r="K54" s="2446"/>
    </row>
    <row r="55" spans="1:12" ht="11.25" customHeight="1" x14ac:dyDescent="0.25">
      <c r="A55" s="220"/>
      <c r="B55" s="189"/>
      <c r="C55" s="192"/>
      <c r="D55" s="192"/>
      <c r="E55" s="193"/>
      <c r="F55" s="193"/>
      <c r="G55" s="193"/>
      <c r="H55" s="193"/>
      <c r="I55" s="193"/>
      <c r="J55" s="193"/>
      <c r="K55" s="193"/>
    </row>
    <row r="56" spans="1:12" ht="11.25" customHeight="1" x14ac:dyDescent="0.25">
      <c r="A56" s="220"/>
      <c r="B56" s="189"/>
      <c r="C56" s="192"/>
      <c r="D56" s="192"/>
      <c r="E56" s="193"/>
      <c r="F56" s="193"/>
      <c r="G56" s="193"/>
      <c r="H56" s="193"/>
      <c r="I56" s="193"/>
      <c r="J56" s="193"/>
      <c r="K56" s="193"/>
    </row>
    <row r="57" spans="1:12" ht="11.25" customHeight="1" x14ac:dyDescent="0.25">
      <c r="A57" s="219" t="s">
        <v>131</v>
      </c>
      <c r="B57" s="150"/>
      <c r="C57" s="2239">
        <f>C25-'A4-FinPerf RE'!C59</f>
        <v>-3070740</v>
      </c>
      <c r="D57" s="2239">
        <f>D25-'A4-FinPerf RE'!D59</f>
        <v>-3188632</v>
      </c>
      <c r="E57" s="2240">
        <f>E25-'A4-FinPerf RE'!E59</f>
        <v>-4481704</v>
      </c>
      <c r="F57" s="2239">
        <f>F25-'A4-FinPerf RE'!F59</f>
        <v>0</v>
      </c>
      <c r="G57" s="2239">
        <f>G25-'A4-FinPerf RE'!G59</f>
        <v>0</v>
      </c>
      <c r="H57" s="2239">
        <f>H25-'A4-FinPerf RE'!H59</f>
        <v>0</v>
      </c>
      <c r="I57" s="2239">
        <f>I25-'A4-FinPerf RE'!J59</f>
        <v>0</v>
      </c>
      <c r="J57" s="2239">
        <f>J25-'A4-FinPerf RE'!K59</f>
        <v>0</v>
      </c>
      <c r="K57" s="2239">
        <f>K25-'A4-FinPerf RE'!L59</f>
        <v>0</v>
      </c>
    </row>
    <row r="58" spans="1:12" ht="11.25" customHeight="1" x14ac:dyDescent="0.25">
      <c r="A58" s="219" t="s">
        <v>749</v>
      </c>
      <c r="B58" s="150"/>
      <c r="C58" s="2239">
        <f>C48-'A4-FinPerf RE'!C35</f>
        <v>1851685</v>
      </c>
      <c r="D58" s="2239">
        <f>D48-'A4-FinPerf RE'!D35</f>
        <v>2476986</v>
      </c>
      <c r="E58" s="2240">
        <f>E48-'A4-FinPerf RE'!E35</f>
        <v>3045445</v>
      </c>
      <c r="F58" s="2239">
        <f>F48-'A4-FinPerf RE'!F35</f>
        <v>0</v>
      </c>
      <c r="G58" s="2239">
        <f>G48-'A4-FinPerf RE'!G35</f>
        <v>0</v>
      </c>
      <c r="H58" s="2239">
        <f>H48-'A4-FinPerf RE'!H35</f>
        <v>0</v>
      </c>
      <c r="I58" s="2239">
        <f>I48-'A4-FinPerf RE'!J35</f>
        <v>0</v>
      </c>
      <c r="J58" s="2239">
        <f>J48-'A4-FinPerf RE'!K35</f>
        <v>0</v>
      </c>
      <c r="K58" s="2239">
        <f>K48-'A4-FinPerf RE'!L35</f>
        <v>-1</v>
      </c>
    </row>
    <row r="59" spans="1:12" ht="11.25" customHeight="1" x14ac:dyDescent="0.25"/>
    <row r="60" spans="1:12" ht="11.25" customHeight="1" x14ac:dyDescent="0.25"/>
    <row r="61" spans="1:12" ht="11.25" customHeight="1" x14ac:dyDescent="0.25"/>
    <row r="62" spans="1:12" ht="11.25" customHeight="1" x14ac:dyDescent="0.25">
      <c r="E62" s="982"/>
    </row>
    <row r="63" spans="1:12" ht="11.25" customHeight="1" x14ac:dyDescent="0.25"/>
    <row r="64" spans="1:12" ht="11.25" customHeight="1" x14ac:dyDescent="0.25"/>
    <row r="65" ht="11.25" customHeight="1" x14ac:dyDescent="0.25"/>
    <row r="66" ht="11.25" customHeight="1" x14ac:dyDescent="0.25"/>
    <row r="67" ht="11.25" customHeight="1" x14ac:dyDescent="0.25"/>
    <row r="68" ht="11.25" customHeight="1" x14ac:dyDescent="0.25"/>
    <row r="69" ht="11.25" customHeight="1" x14ac:dyDescent="0.25"/>
    <row r="70" ht="11.25" customHeight="1" x14ac:dyDescent="0.25"/>
    <row r="71" ht="11.25" customHeight="1" x14ac:dyDescent="0.25"/>
    <row r="72" ht="11.25" customHeight="1" x14ac:dyDescent="0.25"/>
    <row r="73" ht="11.25" customHeight="1" x14ac:dyDescent="0.25"/>
    <row r="74" ht="11.25" customHeight="1" x14ac:dyDescent="0.25"/>
    <row r="75" ht="11.25" customHeight="1" x14ac:dyDescent="0.25"/>
    <row r="76" ht="11.25" customHeight="1" x14ac:dyDescent="0.25"/>
    <row r="77" ht="11.25" customHeight="1" x14ac:dyDescent="0.25"/>
    <row r="78" ht="11.25" customHeight="1" x14ac:dyDescent="0.25"/>
    <row r="79" ht="11.25" customHeight="1" x14ac:dyDescent="0.25"/>
    <row r="80" ht="11.25" customHeight="1" x14ac:dyDescent="0.25"/>
    <row r="81" ht="11.25" customHeight="1" x14ac:dyDescent="0.25"/>
    <row r="82" ht="11.25" customHeight="1" x14ac:dyDescent="0.25"/>
    <row r="83" ht="11.25" customHeight="1" x14ac:dyDescent="0.25"/>
    <row r="84" ht="11.25" customHeight="1" x14ac:dyDescent="0.25"/>
    <row r="85" ht="11.25" customHeight="1" x14ac:dyDescent="0.25"/>
    <row r="86" ht="11.25" customHeight="1" x14ac:dyDescent="0.25"/>
    <row r="87" ht="11.25" customHeight="1" x14ac:dyDescent="0.25"/>
    <row r="88" ht="11.25" customHeight="1" x14ac:dyDescent="0.25"/>
    <row r="89" ht="11.25" customHeight="1" x14ac:dyDescent="0.25"/>
    <row r="90" ht="11.25" customHeight="1" x14ac:dyDescent="0.25"/>
    <row r="91" ht="11.25" customHeight="1" x14ac:dyDescent="0.25"/>
    <row r="92" ht="11.25" customHeight="1" x14ac:dyDescent="0.25"/>
  </sheetData>
  <sheetProtection algorithmName="SHA-512" hashValue="50F/m94QI2cgaT4YQaz+U6lEr99+AqYdwia6gxDpXKvmb3bk0vbhLFF+fzVS0HI07L8o4EXe/wkAHvwgMBceCw==" saltValue="xJjkZojV5BnJN/55d7l9FQ==" spinCount="100000" sheet="1" objects="1" scenarios="1"/>
  <mergeCells count="3">
    <mergeCell ref="A54:K54"/>
    <mergeCell ref="F2:H2"/>
    <mergeCell ref="I2:K2"/>
  </mergeCells>
  <phoneticPr fontId="7" type="noConversion"/>
  <printOptions horizontalCentered="1"/>
  <pageMargins left="0" right="0" top="0.78740157480314965" bottom="0.59055118110236227" header="0.51181102362204722" footer="0.39370078740157483"/>
  <pageSetup paperSize="9" scale="87"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40"/>
  <dimension ref="A1:AD290"/>
  <sheetViews>
    <sheetView showGridLines="0" topLeftCell="A16" zoomScale="110" zoomScaleNormal="110" zoomScaleSheetLayoutView="80" workbookViewId="0">
      <selection activeCell="F230" sqref="F230"/>
    </sheetView>
  </sheetViews>
  <sheetFormatPr defaultColWidth="9.140625" defaultRowHeight="12.75" x14ac:dyDescent="0.25"/>
  <cols>
    <col min="1" max="1" width="49.7109375" style="58" customWidth="1"/>
    <col min="2" max="2" width="3" style="55" customWidth="1"/>
    <col min="3" max="11" width="9.28515625" style="58" customWidth="1"/>
    <col min="12" max="41" width="9.42578125" style="58" customWidth="1"/>
    <col min="42" max="16384" width="9.140625" style="58"/>
  </cols>
  <sheetData>
    <row r="1" spans="1:30" ht="13.5" x14ac:dyDescent="0.25">
      <c r="A1" s="92" t="str">
        <f>muni&amp;" - "&amp;Approve3</f>
        <v>KZN226 Mkhambathini - Table A2 Budgeted Financial Performance (revenue and expenditure by functional classification)</v>
      </c>
      <c r="B1" s="2234"/>
      <c r="C1" s="2234"/>
      <c r="D1" s="2234"/>
      <c r="E1" s="2234"/>
      <c r="F1" s="2234"/>
      <c r="G1" s="2234"/>
      <c r="H1" s="2234"/>
      <c r="I1" s="2234"/>
      <c r="J1" s="2234"/>
      <c r="K1" s="2234"/>
      <c r="AC1" s="2309"/>
      <c r="AD1" s="2309"/>
    </row>
    <row r="2" spans="1:30" ht="28.5" customHeight="1" x14ac:dyDescent="0.25">
      <c r="A2" s="696" t="str">
        <f>"Functional Classification "&amp;desc</f>
        <v>Functional Classification Description</v>
      </c>
      <c r="B2" s="155" t="str">
        <f>head27</f>
        <v>Ref</v>
      </c>
      <c r="C2" s="837" t="str">
        <f>head1b</f>
        <v>2017/18</v>
      </c>
      <c r="D2" s="837" t="str">
        <f>head1A</f>
        <v>2018/19</v>
      </c>
      <c r="E2" s="838" t="str">
        <f>Head1</f>
        <v>2019/20</v>
      </c>
      <c r="F2" s="2453" t="str">
        <f>Head2</f>
        <v>Current Year 2020/21</v>
      </c>
      <c r="G2" s="2454"/>
      <c r="H2" s="2455"/>
      <c r="I2" s="2450" t="str">
        <f>Head3</f>
        <v>2021/22 Medium Term Revenue &amp; Expenditure Framework</v>
      </c>
      <c r="J2" s="2451"/>
      <c r="K2" s="2452"/>
      <c r="AC2" s="2309"/>
      <c r="AD2" s="2309"/>
    </row>
    <row r="3" spans="1:30" ht="25.5" x14ac:dyDescent="0.25">
      <c r="A3" s="156" t="s">
        <v>568</v>
      </c>
      <c r="B3" s="690">
        <v>1</v>
      </c>
      <c r="C3" s="698" t="str">
        <f>Head5</f>
        <v>Audited Outcome</v>
      </c>
      <c r="D3" s="698" t="str">
        <f>Head5</f>
        <v>Audited Outcome</v>
      </c>
      <c r="E3" s="699" t="str">
        <f>Head5</f>
        <v>Audited Outcome</v>
      </c>
      <c r="F3" s="839" t="str">
        <f>Head6</f>
        <v>Original Budget</v>
      </c>
      <c r="G3" s="698" t="str">
        <f>Head7</f>
        <v>Adjusted Budget</v>
      </c>
      <c r="H3" s="699" t="str">
        <f>Head8</f>
        <v>Full Year Forecast</v>
      </c>
      <c r="I3" s="95" t="str">
        <f>Head9</f>
        <v>Budget Year 2021/22</v>
      </c>
      <c r="J3" s="698" t="str">
        <f>Head10</f>
        <v>Budget Year +1 2022/23</v>
      </c>
      <c r="K3" s="94" t="str">
        <f>Head11</f>
        <v>Budget Year +2 2023/24</v>
      </c>
      <c r="AC3" s="2309"/>
      <c r="AD3" s="2309"/>
    </row>
    <row r="4" spans="1:30" ht="11.25" customHeight="1" x14ac:dyDescent="0.25">
      <c r="A4" s="96" t="s">
        <v>2445</v>
      </c>
      <c r="B4" s="144"/>
      <c r="C4" s="159"/>
      <c r="D4" s="159"/>
      <c r="E4" s="386"/>
      <c r="F4" s="163"/>
      <c r="G4" s="159"/>
      <c r="H4" s="386"/>
      <c r="I4" s="163"/>
      <c r="J4" s="159"/>
      <c r="K4" s="386"/>
      <c r="L4" s="322"/>
      <c r="AC4" s="2309"/>
      <c r="AD4" s="2309"/>
    </row>
    <row r="5" spans="1:30" ht="11.25" customHeight="1" x14ac:dyDescent="0.25">
      <c r="A5" s="225" t="s">
        <v>118</v>
      </c>
      <c r="B5" s="144"/>
      <c r="C5" s="243">
        <f t="shared" ref="C5:K5" si="0">C6+C9+C23</f>
        <v>93274925</v>
      </c>
      <c r="D5" s="243">
        <f t="shared" si="0"/>
        <v>101034797</v>
      </c>
      <c r="E5" s="358">
        <f t="shared" si="0"/>
        <v>106050185</v>
      </c>
      <c r="F5" s="244">
        <f t="shared" si="0"/>
        <v>113346009</v>
      </c>
      <c r="G5" s="243">
        <f t="shared" si="0"/>
        <v>133671688</v>
      </c>
      <c r="H5" s="358">
        <f t="shared" si="0"/>
        <v>133671688</v>
      </c>
      <c r="I5" s="244">
        <f t="shared" si="0"/>
        <v>124541239</v>
      </c>
      <c r="J5" s="243">
        <f t="shared" si="0"/>
        <v>129656413</v>
      </c>
      <c r="K5" s="358">
        <f t="shared" si="0"/>
        <v>132364708</v>
      </c>
      <c r="L5" s="322"/>
      <c r="Q5" s="2226"/>
      <c r="R5" s="2227"/>
      <c r="AC5" s="2309"/>
      <c r="AD5" s="2309"/>
    </row>
    <row r="6" spans="1:30" ht="11.25" customHeight="1" x14ac:dyDescent="0.25">
      <c r="A6" s="241" t="s">
        <v>119</v>
      </c>
      <c r="B6" s="144"/>
      <c r="C6" s="82">
        <f>SUM(C7:C8)</f>
        <v>0</v>
      </c>
      <c r="D6" s="82">
        <f t="shared" ref="D6:K6" si="1">SUM(D7:D8)</f>
        <v>0</v>
      </c>
      <c r="E6" s="115">
        <f t="shared" si="1"/>
        <v>0</v>
      </c>
      <c r="F6" s="83">
        <f t="shared" si="1"/>
        <v>0</v>
      </c>
      <c r="G6" s="82">
        <f t="shared" si="1"/>
        <v>0</v>
      </c>
      <c r="H6" s="115">
        <f t="shared" si="1"/>
        <v>0</v>
      </c>
      <c r="I6" s="83">
        <f t="shared" si="1"/>
        <v>0</v>
      </c>
      <c r="J6" s="82">
        <f t="shared" si="1"/>
        <v>0</v>
      </c>
      <c r="K6" s="115">
        <f t="shared" si="1"/>
        <v>0</v>
      </c>
      <c r="L6" s="322"/>
      <c r="Q6" s="2226"/>
      <c r="R6" s="2227"/>
      <c r="AC6" s="2309"/>
      <c r="AD6" s="2309"/>
    </row>
    <row r="7" spans="1:30" ht="11.25" customHeight="1" x14ac:dyDescent="0.25">
      <c r="A7" s="2235" t="s">
        <v>284</v>
      </c>
      <c r="B7" s="144"/>
      <c r="C7" s="712">
        <f>SUMIFS(Sheet1!S71_PPPYearAmount,Sheet1!S71_A2SubCode,$AC:$AC,Sheet1!S71_ItemType,$AD:$AD)</f>
        <v>0</v>
      </c>
      <c r="D7" s="712">
        <f>SUMIFS(Sheet1!S71_PPYearAmount,Sheet1!S71_A2SubCode,$AC:$AC,Sheet1!S71_ItemType,$AD:$AD)</f>
        <v>0</v>
      </c>
      <c r="E7" s="712">
        <f>SUMIFS(Sheet1!S71_PYearAmount,Sheet1!S71_A2SubCode,$AC:$AC,Sheet1!S71_ItemType,$AD:$AD)</f>
        <v>0</v>
      </c>
      <c r="F7" s="725">
        <f>-SUMIFS(Sheet1!S71_OriginalBudAmnt,Sheet1!S71_A2SubCode,$AC:$AC,Sheet1!S71_ItemType,$AD:$AD)</f>
        <v>0</v>
      </c>
      <c r="G7" s="712">
        <f>-SUMIFS(Sheet1!S71_AdjustmentBudAmnt,Sheet1!S71_A2SubCode,$AC:$AC,Sheet1!S71_ItemType,$AD:$AD)</f>
        <v>0</v>
      </c>
      <c r="H7" s="713">
        <f>-SUMIFS(Sheet1!S71_AdjustmentBudAmnt,Sheet1!S71_A2SubCode,$AC:$AC,Sheet1!S71_ItemType,$AD:$AD)</f>
        <v>0</v>
      </c>
      <c r="I7" s="725">
        <f>-SUMIFS(Sheet1!S71_ASBudgetAmount,Sheet1!S71_A2SubCode,$AC:$AC,Sheet1!S71_ItemType,$AD:$AD)</f>
        <v>0</v>
      </c>
      <c r="J7" s="712">
        <f>-SUMIFS(Sheet1!S71_OY1BudgetAmount,Sheet1!S71_A2SubCode,$AC:$AC,Sheet1!S71_ItemType,$AD:$AD)</f>
        <v>0</v>
      </c>
      <c r="K7" s="713">
        <f>-SUMIFS(Sheet1!S71_OY2BudgetAmount,Sheet1!S71_A2SubCode,$AC:$AC,Sheet1!S71_ItemType,$AD:$AD)</f>
        <v>0</v>
      </c>
      <c r="L7" s="322"/>
      <c r="Q7" s="2226"/>
      <c r="R7" s="2227"/>
      <c r="AC7" s="2310">
        <v>1110</v>
      </c>
      <c r="AD7" s="2310" t="s">
        <v>2759</v>
      </c>
    </row>
    <row r="8" spans="1:30" ht="11.25" customHeight="1" x14ac:dyDescent="0.25">
      <c r="A8" s="2235" t="s">
        <v>2367</v>
      </c>
      <c r="B8" s="144"/>
      <c r="C8" s="712">
        <f>SUMIFS(Sheet1!S71_PPPYearAmount,Sheet1!S71_A2SubCode,$AC:$AC,Sheet1!S71_ItemType,$AD:$AD)</f>
        <v>0</v>
      </c>
      <c r="D8" s="712">
        <f>SUMIFS(Sheet1!S71_PPYearAmount,Sheet1!S71_A2SubCode,$AC:$AC,Sheet1!S71_ItemType,$AD:$AD)</f>
        <v>0</v>
      </c>
      <c r="E8" s="712">
        <f>SUMIFS(Sheet1!S71_PYearAmount,Sheet1!S71_A2SubCode,$AC:$AC,Sheet1!S71_ItemType,$AD:$AD)</f>
        <v>0</v>
      </c>
      <c r="F8" s="725">
        <f>-SUMIFS(Sheet1!S71_OriginalBudAmnt,Sheet1!S71_A2SubCode,$AC:$AC,Sheet1!S71_ItemType,$AD:$AD)</f>
        <v>0</v>
      </c>
      <c r="G8" s="712">
        <f>-SUMIFS(Sheet1!S71_AdjustmentBudAmnt,Sheet1!S71_A2SubCode,$AC:$AC,Sheet1!S71_ItemType,$AD:$AD)</f>
        <v>0</v>
      </c>
      <c r="H8" s="713">
        <f>-SUMIFS(Sheet1!S71_AdjustmentBudAmnt,Sheet1!S71_A2SubCode,$AC:$AC,Sheet1!S71_ItemType,$AD:$AD)</f>
        <v>0</v>
      </c>
      <c r="I8" s="725">
        <f>-SUMIFS(Sheet1!S71_ASBudgetAmount,Sheet1!S71_A2SubCode,$AC:$AC,Sheet1!S71_ItemType,$AD:$AD)</f>
        <v>0</v>
      </c>
      <c r="J8" s="712">
        <f>-SUMIFS(Sheet1!S71_OY1BudgetAmount,Sheet1!S71_A2SubCode,$AC:$AC,Sheet1!S71_ItemType,$AD:$AD)</f>
        <v>0</v>
      </c>
      <c r="K8" s="713">
        <f>-SUMIFS(Sheet1!S71_OY2BudgetAmount,Sheet1!S71_A2SubCode,$AC:$AC,Sheet1!S71_ItemType,$AD:$AD)</f>
        <v>0</v>
      </c>
      <c r="L8" s="322"/>
      <c r="Q8" s="2226"/>
      <c r="R8" s="2227"/>
      <c r="AC8" s="2310">
        <v>1120</v>
      </c>
      <c r="AD8" s="2310" t="s">
        <v>2759</v>
      </c>
    </row>
    <row r="9" spans="1:30" ht="11.25" customHeight="1" x14ac:dyDescent="0.25">
      <c r="A9" s="241" t="s">
        <v>2368</v>
      </c>
      <c r="B9" s="144"/>
      <c r="C9" s="82">
        <f t="shared" ref="C9:K9" si="2">SUM(C10:C22)</f>
        <v>93274925</v>
      </c>
      <c r="D9" s="82">
        <f t="shared" si="2"/>
        <v>101034797</v>
      </c>
      <c r="E9" s="115">
        <f t="shared" si="2"/>
        <v>106050185</v>
      </c>
      <c r="F9" s="83">
        <f t="shared" si="2"/>
        <v>113346009</v>
      </c>
      <c r="G9" s="82">
        <f t="shared" si="2"/>
        <v>133671688</v>
      </c>
      <c r="H9" s="115">
        <f t="shared" si="2"/>
        <v>133671688</v>
      </c>
      <c r="I9" s="83">
        <f t="shared" si="2"/>
        <v>124541239</v>
      </c>
      <c r="J9" s="82">
        <f t="shared" si="2"/>
        <v>129656413</v>
      </c>
      <c r="K9" s="115">
        <f t="shared" si="2"/>
        <v>132364708</v>
      </c>
      <c r="L9" s="322"/>
      <c r="Q9" s="2226"/>
      <c r="R9" s="2227"/>
      <c r="AC9" s="2309"/>
      <c r="AD9" s="2309"/>
    </row>
    <row r="10" spans="1:30" ht="11.25" customHeight="1" x14ac:dyDescent="0.25">
      <c r="A10" s="2235" t="s">
        <v>2370</v>
      </c>
      <c r="B10" s="144"/>
      <c r="C10" s="712">
        <f>SUMIFS(Sheet1!S71_PPPYearAmount,Sheet1!S71_A2SubCode,$AC:$AC,Sheet1!S71_ItemType,$AD:$AD)</f>
        <v>23280</v>
      </c>
      <c r="D10" s="712">
        <f>SUMIFS(Sheet1!S71_PPYearAmount,Sheet1!S71_A2SubCode,$AC:$AC,Sheet1!S71_ItemType,$AD:$AD)</f>
        <v>103105</v>
      </c>
      <c r="E10" s="712">
        <f>SUMIFS(Sheet1!S71_PYearAmount,Sheet1!S71_A2SubCode,$AC:$AC,Sheet1!S71_ItemType,$AD:$AD)</f>
        <v>40121</v>
      </c>
      <c r="F10" s="725">
        <f>-SUMIFS(Sheet1!S71_OriginalBudAmnt,Sheet1!S71_A2SubCode,$AC:$AC,Sheet1!S71_ItemType,$AD:$AD)</f>
        <v>62000</v>
      </c>
      <c r="G10" s="712">
        <f>-SUMIFS(Sheet1!S71_AdjustmentBudAmnt,Sheet1!S71_A2SubCode,$AC:$AC,Sheet1!S71_ItemType,$AD:$AD)</f>
        <v>62000</v>
      </c>
      <c r="H10" s="713">
        <f>-SUMIFS(Sheet1!S71_AdjustmentBudAmnt,Sheet1!S71_A2SubCode,$AC:$AC,Sheet1!S71_ItemType,$AD:$AD)</f>
        <v>62000</v>
      </c>
      <c r="I10" s="725">
        <f>-SUMIFS(Sheet1!S71_ASBudgetAmount,Sheet1!S71_A2SubCode,$AC:$AC,Sheet1!S71_ItemType,$AD:$AD)</f>
        <v>64418</v>
      </c>
      <c r="J10" s="712">
        <f>-SUMIFS(Sheet1!S71_OY1BudgetAmount,Sheet1!S71_A2SubCode,$AC:$AC,Sheet1!S71_ItemType,$AD:$AD)</f>
        <v>66995</v>
      </c>
      <c r="K10" s="713">
        <f>-SUMIFS(Sheet1!S71_OY2BudgetAmount,Sheet1!S71_A2SubCode,$AC:$AC,Sheet1!S71_ItemType,$AD:$AD)</f>
        <v>69675</v>
      </c>
      <c r="L10" s="322"/>
      <c r="Q10" s="2226"/>
      <c r="R10" s="2227"/>
      <c r="AC10" s="2310">
        <v>1201</v>
      </c>
      <c r="AD10" s="2310" t="s">
        <v>2759</v>
      </c>
    </row>
    <row r="11" spans="1:30" ht="11.25" customHeight="1" x14ac:dyDescent="0.25">
      <c r="A11" s="2235" t="s">
        <v>2371</v>
      </c>
      <c r="B11" s="144"/>
      <c r="C11" s="712">
        <f>SUMIFS(Sheet1!S71_PPPYearAmount,Sheet1!S71_A2SubCode,$AC:$AC,Sheet1!S71_ItemType,$AD:$AD)</f>
        <v>0</v>
      </c>
      <c r="D11" s="712">
        <f>SUMIFS(Sheet1!S71_PPYearAmount,Sheet1!S71_A2SubCode,$AC:$AC,Sheet1!S71_ItemType,$AD:$AD)</f>
        <v>0</v>
      </c>
      <c r="E11" s="712">
        <f>SUMIFS(Sheet1!S71_PYearAmount,Sheet1!S71_A2SubCode,$AC:$AC,Sheet1!S71_ItemType,$AD:$AD)</f>
        <v>120020</v>
      </c>
      <c r="F11" s="725">
        <f>-SUMIFS(Sheet1!S71_OriginalBudAmnt,Sheet1!S71_A2SubCode,$AC:$AC,Sheet1!S71_ItemType,$AD:$AD)</f>
        <v>0</v>
      </c>
      <c r="G11" s="712">
        <f>-SUMIFS(Sheet1!S71_AdjustmentBudAmnt,Sheet1!S71_A2SubCode,$AC:$AC,Sheet1!S71_ItemType,$AD:$AD)</f>
        <v>0</v>
      </c>
      <c r="H11" s="713">
        <f>-SUMIFS(Sheet1!S71_AdjustmentBudAmnt,Sheet1!S71_A2SubCode,$AC:$AC,Sheet1!S71_ItemType,$AD:$AD)</f>
        <v>0</v>
      </c>
      <c r="I11" s="725">
        <f>-SUMIFS(Sheet1!S71_ASBudgetAmount,Sheet1!S71_A2SubCode,$AC:$AC,Sheet1!S71_ItemType,$AD:$AD)</f>
        <v>0</v>
      </c>
      <c r="J11" s="712">
        <f>-SUMIFS(Sheet1!S71_OY1BudgetAmount,Sheet1!S71_A2SubCode,$AC:$AC,Sheet1!S71_ItemType,$AD:$AD)</f>
        <v>0</v>
      </c>
      <c r="K11" s="713">
        <f>-SUMIFS(Sheet1!S71_OY2BudgetAmount,Sheet1!S71_A2SubCode,$AC:$AC,Sheet1!S71_ItemType,$AD:$AD)</f>
        <v>0</v>
      </c>
      <c r="L11" s="322"/>
      <c r="Q11" s="2226"/>
      <c r="R11" s="2227"/>
      <c r="AC11" s="2310">
        <v>1202</v>
      </c>
      <c r="AD11" s="2310" t="s">
        <v>2759</v>
      </c>
    </row>
    <row r="12" spans="1:30" ht="11.25" customHeight="1" x14ac:dyDescent="0.25">
      <c r="A12" s="2235" t="s">
        <v>1574</v>
      </c>
      <c r="B12" s="144"/>
      <c r="C12" s="712">
        <f>SUMIFS(Sheet1!S71_PPPYearAmount,Sheet1!S71_A2SubCode,$AC:$AC,Sheet1!S71_ItemType,$AD:$AD)</f>
        <v>42078645</v>
      </c>
      <c r="D12" s="712">
        <f>SUMIFS(Sheet1!S71_PPYearAmount,Sheet1!S71_A2SubCode,$AC:$AC,Sheet1!S71_ItemType,$AD:$AD)</f>
        <v>45385692</v>
      </c>
      <c r="E12" s="712">
        <f>SUMIFS(Sheet1!S71_PYearAmount,Sheet1!S71_A2SubCode,$AC:$AC,Sheet1!S71_ItemType,$AD:$AD)</f>
        <v>43156354</v>
      </c>
      <c r="F12" s="725">
        <f>-SUMIFS(Sheet1!S71_OriginalBudAmnt,Sheet1!S71_A2SubCode,$AC:$AC,Sheet1!S71_ItemType,$AD:$AD)</f>
        <v>45954009</v>
      </c>
      <c r="G12" s="712">
        <f>-SUMIFS(Sheet1!S71_AdjustmentBudAmnt,Sheet1!S71_A2SubCode,$AC:$AC,Sheet1!S71_ItemType,$AD:$AD)</f>
        <v>53874688</v>
      </c>
      <c r="H12" s="713">
        <f>-SUMIFS(Sheet1!S71_AdjustmentBudAmnt,Sheet1!S71_A2SubCode,$AC:$AC,Sheet1!S71_ItemType,$AD:$AD)</f>
        <v>53874688</v>
      </c>
      <c r="I12" s="725">
        <f>-SUMIFS(Sheet1!S71_ASBudgetAmount,Sheet1!S71_A2SubCode,$AC:$AC,Sheet1!S71_ItemType,$AD:$AD)</f>
        <v>54006821</v>
      </c>
      <c r="J12" s="712">
        <f>-SUMIFS(Sheet1!S71_OY1BudgetAmount,Sheet1!S71_A2SubCode,$AC:$AC,Sheet1!S71_ItemType,$AD:$AD)</f>
        <v>48746418</v>
      </c>
      <c r="K12" s="713">
        <f>-SUMIFS(Sheet1!S71_OY2BudgetAmount,Sheet1!S71_A2SubCode,$AC:$AC,Sheet1!S71_ItemType,$AD:$AD)</f>
        <v>50478033</v>
      </c>
      <c r="L12" s="322"/>
      <c r="Q12" s="2226"/>
      <c r="R12" s="2227"/>
      <c r="AC12" s="2310">
        <v>1204</v>
      </c>
      <c r="AD12" s="2310" t="s">
        <v>2759</v>
      </c>
    </row>
    <row r="13" spans="1:30" ht="11.25" customHeight="1" x14ac:dyDescent="0.25">
      <c r="A13" s="2235" t="s">
        <v>2372</v>
      </c>
      <c r="B13" s="144"/>
      <c r="C13" s="712">
        <f>SUMIFS(Sheet1!S71_PPPYearAmount,Sheet1!S71_A2SubCode,$AC:$AC,Sheet1!S71_ItemType,$AD:$AD)</f>
        <v>0</v>
      </c>
      <c r="D13" s="712">
        <f>SUMIFS(Sheet1!S71_PPYearAmount,Sheet1!S71_A2SubCode,$AC:$AC,Sheet1!S71_ItemType,$AD:$AD)</f>
        <v>0</v>
      </c>
      <c r="E13" s="712">
        <f>SUMIFS(Sheet1!S71_PYearAmount,Sheet1!S71_A2SubCode,$AC:$AC,Sheet1!S71_ItemType,$AD:$AD)</f>
        <v>0</v>
      </c>
      <c r="F13" s="725">
        <f>-SUMIFS(Sheet1!S71_OriginalBudAmnt,Sheet1!S71_A2SubCode,$AC:$AC,Sheet1!S71_ItemType,$AD:$AD)</f>
        <v>0</v>
      </c>
      <c r="G13" s="712">
        <f>-SUMIFS(Sheet1!S71_AdjustmentBudAmnt,Sheet1!S71_A2SubCode,$AC:$AC,Sheet1!S71_ItemType,$AD:$AD)</f>
        <v>0</v>
      </c>
      <c r="H13" s="713">
        <f>-SUMIFS(Sheet1!S71_AdjustmentBudAmnt,Sheet1!S71_A2SubCode,$AC:$AC,Sheet1!S71_ItemType,$AD:$AD)</f>
        <v>0</v>
      </c>
      <c r="I13" s="725">
        <f>-SUMIFS(Sheet1!S71_ASBudgetAmount,Sheet1!S71_A2SubCode,$AC:$AC,Sheet1!S71_ItemType,$AD:$AD)</f>
        <v>0</v>
      </c>
      <c r="J13" s="712">
        <f>-SUMIFS(Sheet1!S71_OY1BudgetAmount,Sheet1!S71_A2SubCode,$AC:$AC,Sheet1!S71_ItemType,$AD:$AD)</f>
        <v>0</v>
      </c>
      <c r="K13" s="713">
        <f>-SUMIFS(Sheet1!S71_OY2BudgetAmount,Sheet1!S71_A2SubCode,$AC:$AC,Sheet1!S71_ItemType,$AD:$AD)</f>
        <v>0</v>
      </c>
      <c r="L13" s="322"/>
      <c r="Q13" s="2226"/>
      <c r="R13" s="2227"/>
      <c r="AC13" s="2310">
        <v>1205</v>
      </c>
      <c r="AD13" s="2310" t="s">
        <v>2759</v>
      </c>
    </row>
    <row r="14" spans="1:30" ht="11.25" customHeight="1" x14ac:dyDescent="0.25">
      <c r="A14" s="2235" t="s">
        <v>285</v>
      </c>
      <c r="B14" s="144"/>
      <c r="C14" s="712">
        <f>SUMIFS(Sheet1!S71_PPPYearAmount,Sheet1!S71_A2SubCode,$AC:$AC,Sheet1!S71_ItemType,$AD:$AD)</f>
        <v>0</v>
      </c>
      <c r="D14" s="712">
        <f>SUMIFS(Sheet1!S71_PPYearAmount,Sheet1!S71_A2SubCode,$AC:$AC,Sheet1!S71_ItemType,$AD:$AD)</f>
        <v>0</v>
      </c>
      <c r="E14" s="712">
        <f>SUMIFS(Sheet1!S71_PYearAmount,Sheet1!S71_A2SubCode,$AC:$AC,Sheet1!S71_ItemType,$AD:$AD)</f>
        <v>0</v>
      </c>
      <c r="F14" s="725">
        <f>-SUMIFS(Sheet1!S71_OriginalBudAmnt,Sheet1!S71_A2SubCode,$AC:$AC,Sheet1!S71_ItemType,$AD:$AD)</f>
        <v>0</v>
      </c>
      <c r="G14" s="712">
        <f>-SUMIFS(Sheet1!S71_AdjustmentBudAmnt,Sheet1!S71_A2SubCode,$AC:$AC,Sheet1!S71_ItemType,$AD:$AD)</f>
        <v>0</v>
      </c>
      <c r="H14" s="713">
        <f>-SUMIFS(Sheet1!S71_AdjustmentBudAmnt,Sheet1!S71_A2SubCode,$AC:$AC,Sheet1!S71_ItemType,$AD:$AD)</f>
        <v>0</v>
      </c>
      <c r="I14" s="725">
        <f>-SUMIFS(Sheet1!S71_ASBudgetAmount,Sheet1!S71_A2SubCode,$AC:$AC,Sheet1!S71_ItemType,$AD:$AD)</f>
        <v>0</v>
      </c>
      <c r="J14" s="712">
        <f>-SUMIFS(Sheet1!S71_OY1BudgetAmount,Sheet1!S71_A2SubCode,$AC:$AC,Sheet1!S71_ItemType,$AD:$AD)</f>
        <v>0</v>
      </c>
      <c r="K14" s="713">
        <f>-SUMIFS(Sheet1!S71_OY2BudgetAmount,Sheet1!S71_A2SubCode,$AC:$AC,Sheet1!S71_ItemType,$AD:$AD)</f>
        <v>0</v>
      </c>
      <c r="L14" s="322"/>
      <c r="Q14" s="2226"/>
      <c r="R14" s="2227"/>
      <c r="AC14" s="2310">
        <v>1206</v>
      </c>
      <c r="AD14" s="2310" t="s">
        <v>2759</v>
      </c>
    </row>
    <row r="15" spans="1:30" ht="11.25" customHeight="1" x14ac:dyDescent="0.25">
      <c r="A15" s="2235" t="s">
        <v>286</v>
      </c>
      <c r="B15" s="144"/>
      <c r="C15" s="712">
        <f>SUMIFS(Sheet1!S71_PPPYearAmount,Sheet1!S71_A2SubCode,$AC:$AC,Sheet1!S71_ItemType,$AD:$AD)</f>
        <v>0</v>
      </c>
      <c r="D15" s="712">
        <f>SUMIFS(Sheet1!S71_PPYearAmount,Sheet1!S71_A2SubCode,$AC:$AC,Sheet1!S71_ItemType,$AD:$AD)</f>
        <v>0</v>
      </c>
      <c r="E15" s="712">
        <f>SUMIFS(Sheet1!S71_PYearAmount,Sheet1!S71_A2SubCode,$AC:$AC,Sheet1!S71_ItemType,$AD:$AD)</f>
        <v>0</v>
      </c>
      <c r="F15" s="725">
        <f>-SUMIFS(Sheet1!S71_OriginalBudAmnt,Sheet1!S71_A2SubCode,$AC:$AC,Sheet1!S71_ItemType,$AD:$AD)</f>
        <v>0</v>
      </c>
      <c r="G15" s="712">
        <f>-SUMIFS(Sheet1!S71_AdjustmentBudAmnt,Sheet1!S71_A2SubCode,$AC:$AC,Sheet1!S71_ItemType,$AD:$AD)</f>
        <v>0</v>
      </c>
      <c r="H15" s="713">
        <f>-SUMIFS(Sheet1!S71_AdjustmentBudAmnt,Sheet1!S71_A2SubCode,$AC:$AC,Sheet1!S71_ItemType,$AD:$AD)</f>
        <v>0</v>
      </c>
      <c r="I15" s="725">
        <f>-SUMIFS(Sheet1!S71_ASBudgetAmount,Sheet1!S71_A2SubCode,$AC:$AC,Sheet1!S71_ItemType,$AD:$AD)</f>
        <v>0</v>
      </c>
      <c r="J15" s="712">
        <f>-SUMIFS(Sheet1!S71_OY1BudgetAmount,Sheet1!S71_A2SubCode,$AC:$AC,Sheet1!S71_ItemType,$AD:$AD)</f>
        <v>0</v>
      </c>
      <c r="K15" s="713">
        <f>-SUMIFS(Sheet1!S71_OY2BudgetAmount,Sheet1!S71_A2SubCode,$AC:$AC,Sheet1!S71_ItemType,$AD:$AD)</f>
        <v>0</v>
      </c>
      <c r="L15" s="322"/>
      <c r="Q15" s="2226"/>
      <c r="R15" s="2227"/>
      <c r="AC15" s="2310">
        <v>1207</v>
      </c>
      <c r="AD15" s="2310" t="s">
        <v>2759</v>
      </c>
    </row>
    <row r="16" spans="1:30" ht="11.25" customHeight="1" x14ac:dyDescent="0.25">
      <c r="A16" s="2235" t="s">
        <v>2373</v>
      </c>
      <c r="B16" s="144"/>
      <c r="C16" s="712">
        <f>SUMIFS(Sheet1!S71_PPPYearAmount,Sheet1!S71_A2SubCode,$AC:$AC,Sheet1!S71_ItemType,$AD:$AD)</f>
        <v>0</v>
      </c>
      <c r="D16" s="712">
        <f>SUMIFS(Sheet1!S71_PPYearAmount,Sheet1!S71_A2SubCode,$AC:$AC,Sheet1!S71_ItemType,$AD:$AD)</f>
        <v>0</v>
      </c>
      <c r="E16" s="712">
        <f>SUMIFS(Sheet1!S71_PYearAmount,Sheet1!S71_A2SubCode,$AC:$AC,Sheet1!S71_ItemType,$AD:$AD)</f>
        <v>0</v>
      </c>
      <c r="F16" s="725">
        <f>-SUMIFS(Sheet1!S71_OriginalBudAmnt,Sheet1!S71_A2SubCode,$AC:$AC,Sheet1!S71_ItemType,$AD:$AD)</f>
        <v>0</v>
      </c>
      <c r="G16" s="712">
        <f>-SUMIFS(Sheet1!S71_AdjustmentBudAmnt,Sheet1!S71_A2SubCode,$AC:$AC,Sheet1!S71_ItemType,$AD:$AD)</f>
        <v>0</v>
      </c>
      <c r="H16" s="713">
        <f>-SUMIFS(Sheet1!S71_AdjustmentBudAmnt,Sheet1!S71_A2SubCode,$AC:$AC,Sheet1!S71_ItemType,$AD:$AD)</f>
        <v>0</v>
      </c>
      <c r="I16" s="725">
        <f>-SUMIFS(Sheet1!S71_ASBudgetAmount,Sheet1!S71_A2SubCode,$AC:$AC,Sheet1!S71_ItemType,$AD:$AD)</f>
        <v>0</v>
      </c>
      <c r="J16" s="712">
        <f>-SUMIFS(Sheet1!S71_OY1BudgetAmount,Sheet1!S71_A2SubCode,$AC:$AC,Sheet1!S71_ItemType,$AD:$AD)</f>
        <v>0</v>
      </c>
      <c r="K16" s="713">
        <f>-SUMIFS(Sheet1!S71_OY2BudgetAmount,Sheet1!S71_A2SubCode,$AC:$AC,Sheet1!S71_ItemType,$AD:$AD)</f>
        <v>0</v>
      </c>
      <c r="L16" s="322"/>
      <c r="Q16" s="2226"/>
      <c r="R16" s="2227"/>
      <c r="AC16" s="2310">
        <v>1208</v>
      </c>
      <c r="AD16" s="2310" t="s">
        <v>2759</v>
      </c>
    </row>
    <row r="17" spans="1:30" ht="11.25" customHeight="1" x14ac:dyDescent="0.25">
      <c r="A17" s="2235" t="s">
        <v>2374</v>
      </c>
      <c r="B17" s="144"/>
      <c r="C17" s="712">
        <f>SUMIFS(Sheet1!S71_PPPYearAmount,Sheet1!S71_A2SubCode,$AC:$AC,Sheet1!S71_ItemType,$AD:$AD)</f>
        <v>0</v>
      </c>
      <c r="D17" s="712">
        <f>SUMIFS(Sheet1!S71_PPYearAmount,Sheet1!S71_A2SubCode,$AC:$AC,Sheet1!S71_ItemType,$AD:$AD)</f>
        <v>0</v>
      </c>
      <c r="E17" s="712">
        <f>SUMIFS(Sheet1!S71_PYearAmount,Sheet1!S71_A2SubCode,$AC:$AC,Sheet1!S71_ItemType,$AD:$AD)</f>
        <v>0</v>
      </c>
      <c r="F17" s="725">
        <f>-SUMIFS(Sheet1!S71_OriginalBudAmnt,Sheet1!S71_A2SubCode,$AC:$AC,Sheet1!S71_ItemType,$AD:$AD)</f>
        <v>0</v>
      </c>
      <c r="G17" s="712">
        <f>-SUMIFS(Sheet1!S71_AdjustmentBudAmnt,Sheet1!S71_A2SubCode,$AC:$AC,Sheet1!S71_ItemType,$AD:$AD)</f>
        <v>0</v>
      </c>
      <c r="H17" s="713">
        <f>-SUMIFS(Sheet1!S71_AdjustmentBudAmnt,Sheet1!S71_A2SubCode,$AC:$AC,Sheet1!S71_ItemType,$AD:$AD)</f>
        <v>0</v>
      </c>
      <c r="I17" s="725">
        <f>-SUMIFS(Sheet1!S71_ASBudgetAmount,Sheet1!S71_A2SubCode,$AC:$AC,Sheet1!S71_ItemType,$AD:$AD)</f>
        <v>0</v>
      </c>
      <c r="J17" s="712">
        <f>-SUMIFS(Sheet1!S71_OY1BudgetAmount,Sheet1!S71_A2SubCode,$AC:$AC,Sheet1!S71_ItemType,$AD:$AD)</f>
        <v>0</v>
      </c>
      <c r="K17" s="713">
        <f>-SUMIFS(Sheet1!S71_OY2BudgetAmount,Sheet1!S71_A2SubCode,$AC:$AC,Sheet1!S71_ItemType,$AD:$AD)</f>
        <v>0</v>
      </c>
      <c r="L17" s="322"/>
      <c r="Q17" s="2226"/>
      <c r="R17" s="2227"/>
      <c r="AC17" s="2310">
        <v>1209</v>
      </c>
      <c r="AD17" s="2310" t="s">
        <v>2759</v>
      </c>
    </row>
    <row r="18" spans="1:30" ht="11.25" customHeight="1" x14ac:dyDescent="0.25">
      <c r="A18" s="2235" t="s">
        <v>922</v>
      </c>
      <c r="B18" s="144"/>
      <c r="C18" s="712">
        <f>SUMIFS(Sheet1!S71_PPPYearAmount,Sheet1!S71_A2SubCode,$AC:$AC,Sheet1!S71_ItemType,$AD:$AD)</f>
        <v>51173000</v>
      </c>
      <c r="D18" s="712">
        <f>SUMIFS(Sheet1!S71_PPYearAmount,Sheet1!S71_A2SubCode,$AC:$AC,Sheet1!S71_ItemType,$AD:$AD)</f>
        <v>55546000</v>
      </c>
      <c r="E18" s="712">
        <f>SUMIFS(Sheet1!S71_PYearAmount,Sheet1!S71_A2SubCode,$AC:$AC,Sheet1!S71_ItemType,$AD:$AD)</f>
        <v>62733690</v>
      </c>
      <c r="F18" s="725">
        <f>-SUMIFS(Sheet1!S71_OriginalBudAmnt,Sheet1!S71_A2SubCode,$AC:$AC,Sheet1!S71_ItemType,$AD:$AD)</f>
        <v>67330000</v>
      </c>
      <c r="G18" s="712">
        <f>-SUMIFS(Sheet1!S71_AdjustmentBudAmnt,Sheet1!S71_A2SubCode,$AC:$AC,Sheet1!S71_ItemType,$AD:$AD)</f>
        <v>79735000</v>
      </c>
      <c r="H18" s="713">
        <f>-SUMIFS(Sheet1!S71_AdjustmentBudAmnt,Sheet1!S71_A2SubCode,$AC:$AC,Sheet1!S71_ItemType,$AD:$AD)</f>
        <v>79735000</v>
      </c>
      <c r="I18" s="725">
        <f>-SUMIFS(Sheet1!S71_ASBudgetAmount,Sheet1!S71_A2SubCode,$AC:$AC,Sheet1!S71_ItemType,$AD:$AD)</f>
        <v>70470000</v>
      </c>
      <c r="J18" s="712">
        <f>-SUMIFS(Sheet1!S71_OY1BudgetAmount,Sheet1!S71_A2SubCode,$AC:$AC,Sheet1!S71_ItemType,$AD:$AD)</f>
        <v>80843000</v>
      </c>
      <c r="K18" s="713">
        <f>-SUMIFS(Sheet1!S71_OY2BudgetAmount,Sheet1!S71_A2SubCode,$AC:$AC,Sheet1!S71_ItemType,$AD:$AD)</f>
        <v>81817000</v>
      </c>
      <c r="L18" s="322"/>
      <c r="Q18" s="2226"/>
      <c r="R18" s="2227"/>
      <c r="AC18" s="2310">
        <v>1210</v>
      </c>
      <c r="AD18" s="2310" t="s">
        <v>2759</v>
      </c>
    </row>
    <row r="19" spans="1:30" ht="11.25" customHeight="1" x14ac:dyDescent="0.25">
      <c r="A19" s="2235" t="s">
        <v>2375</v>
      </c>
      <c r="B19" s="144"/>
      <c r="C19" s="712">
        <f>SUMIFS(Sheet1!S71_PPPYearAmount,Sheet1!S71_A2SubCode,$AC:$AC,Sheet1!S71_ItemType,$AD:$AD)</f>
        <v>0</v>
      </c>
      <c r="D19" s="712">
        <f>SUMIFS(Sheet1!S71_PPYearAmount,Sheet1!S71_A2SubCode,$AC:$AC,Sheet1!S71_ItemType,$AD:$AD)</f>
        <v>0</v>
      </c>
      <c r="E19" s="712">
        <f>SUMIFS(Sheet1!S71_PYearAmount,Sheet1!S71_A2SubCode,$AC:$AC,Sheet1!S71_ItemType,$AD:$AD)</f>
        <v>0</v>
      </c>
      <c r="F19" s="725">
        <f>-SUMIFS(Sheet1!S71_OriginalBudAmnt,Sheet1!S71_A2SubCode,$AC:$AC,Sheet1!S71_ItemType,$AD:$AD)</f>
        <v>0</v>
      </c>
      <c r="G19" s="712">
        <f>-SUMIFS(Sheet1!S71_AdjustmentBudAmnt,Sheet1!S71_A2SubCode,$AC:$AC,Sheet1!S71_ItemType,$AD:$AD)</f>
        <v>0</v>
      </c>
      <c r="H19" s="713">
        <f>-SUMIFS(Sheet1!S71_AdjustmentBudAmnt,Sheet1!S71_A2SubCode,$AC:$AC,Sheet1!S71_ItemType,$AD:$AD)</f>
        <v>0</v>
      </c>
      <c r="I19" s="725">
        <f>-SUMIFS(Sheet1!S71_ASBudgetAmount,Sheet1!S71_A2SubCode,$AC:$AC,Sheet1!S71_ItemType,$AD:$AD)</f>
        <v>0</v>
      </c>
      <c r="J19" s="712">
        <f>-SUMIFS(Sheet1!S71_OY1BudgetAmount,Sheet1!S71_A2SubCode,$AC:$AC,Sheet1!S71_ItemType,$AD:$AD)</f>
        <v>0</v>
      </c>
      <c r="K19" s="713">
        <f>-SUMIFS(Sheet1!S71_OY2BudgetAmount,Sheet1!S71_A2SubCode,$AC:$AC,Sheet1!S71_ItemType,$AD:$AD)</f>
        <v>0</v>
      </c>
      <c r="L19" s="322"/>
      <c r="Q19" s="2226"/>
      <c r="R19" s="2227"/>
      <c r="AC19" s="2310">
        <v>1211</v>
      </c>
      <c r="AD19" s="2310" t="s">
        <v>2759</v>
      </c>
    </row>
    <row r="20" spans="1:30" ht="11.25" customHeight="1" x14ac:dyDescent="0.25">
      <c r="A20" s="2235" t="s">
        <v>2376</v>
      </c>
      <c r="B20" s="144"/>
      <c r="C20" s="712">
        <f>SUMIFS(Sheet1!S71_PPPYearAmount,Sheet1!S71_A2SubCode,$AC:$AC,Sheet1!S71_ItemType,$AD:$AD)</f>
        <v>0</v>
      </c>
      <c r="D20" s="712">
        <f>SUMIFS(Sheet1!S71_PPYearAmount,Sheet1!S71_A2SubCode,$AC:$AC,Sheet1!S71_ItemType,$AD:$AD)</f>
        <v>0</v>
      </c>
      <c r="E20" s="712">
        <f>SUMIFS(Sheet1!S71_PYearAmount,Sheet1!S71_A2SubCode,$AC:$AC,Sheet1!S71_ItemType,$AD:$AD)</f>
        <v>0</v>
      </c>
      <c r="F20" s="725">
        <f>-SUMIFS(Sheet1!S71_OriginalBudAmnt,Sheet1!S71_A2SubCode,$AC:$AC,Sheet1!S71_ItemType,$AD:$AD)</f>
        <v>0</v>
      </c>
      <c r="G20" s="712">
        <f>-SUMIFS(Sheet1!S71_AdjustmentBudAmnt,Sheet1!S71_A2SubCode,$AC:$AC,Sheet1!S71_ItemType,$AD:$AD)</f>
        <v>0</v>
      </c>
      <c r="H20" s="713">
        <f>-SUMIFS(Sheet1!S71_AdjustmentBudAmnt,Sheet1!S71_A2SubCode,$AC:$AC,Sheet1!S71_ItemType,$AD:$AD)</f>
        <v>0</v>
      </c>
      <c r="I20" s="725">
        <f>-SUMIFS(Sheet1!S71_ASBudgetAmount,Sheet1!S71_A2SubCode,$AC:$AC,Sheet1!S71_ItemType,$AD:$AD)</f>
        <v>0</v>
      </c>
      <c r="J20" s="712">
        <f>-SUMIFS(Sheet1!S71_OY1BudgetAmount,Sheet1!S71_A2SubCode,$AC:$AC,Sheet1!S71_ItemType,$AD:$AD)</f>
        <v>0</v>
      </c>
      <c r="K20" s="713">
        <f>-SUMIFS(Sheet1!S71_OY2BudgetAmount,Sheet1!S71_A2SubCode,$AC:$AC,Sheet1!S71_ItemType,$AD:$AD)</f>
        <v>0</v>
      </c>
      <c r="L20" s="322"/>
      <c r="Q20" s="2226"/>
      <c r="R20" s="2227"/>
      <c r="AC20" s="2310">
        <v>1212</v>
      </c>
      <c r="AD20" s="2310" t="s">
        <v>2759</v>
      </c>
    </row>
    <row r="21" spans="1:30" ht="11.25" customHeight="1" x14ac:dyDescent="0.25">
      <c r="A21" s="2235" t="s">
        <v>2377</v>
      </c>
      <c r="B21" s="144"/>
      <c r="C21" s="712">
        <f>SUMIFS(Sheet1!S71_PPPYearAmount,Sheet1!S71_A2SubCode,$AC:$AC,Sheet1!S71_ItemType,$AD:$AD)</f>
        <v>0</v>
      </c>
      <c r="D21" s="712">
        <f>SUMIFS(Sheet1!S71_PPYearAmount,Sheet1!S71_A2SubCode,$AC:$AC,Sheet1!S71_ItemType,$AD:$AD)</f>
        <v>0</v>
      </c>
      <c r="E21" s="712">
        <f>SUMIFS(Sheet1!S71_PYearAmount,Sheet1!S71_A2SubCode,$AC:$AC,Sheet1!S71_ItemType,$AD:$AD)</f>
        <v>0</v>
      </c>
      <c r="F21" s="725">
        <f>-SUMIFS(Sheet1!S71_OriginalBudAmnt,Sheet1!S71_A2SubCode,$AC:$AC,Sheet1!S71_ItemType,$AD:$AD)</f>
        <v>0</v>
      </c>
      <c r="G21" s="712">
        <f>-SUMIFS(Sheet1!S71_AdjustmentBudAmnt,Sheet1!S71_A2SubCode,$AC:$AC,Sheet1!S71_ItemType,$AD:$AD)</f>
        <v>0</v>
      </c>
      <c r="H21" s="713">
        <f>-SUMIFS(Sheet1!S71_AdjustmentBudAmnt,Sheet1!S71_A2SubCode,$AC:$AC,Sheet1!S71_ItemType,$AD:$AD)</f>
        <v>0</v>
      </c>
      <c r="I21" s="725">
        <f>-SUMIFS(Sheet1!S71_ASBudgetAmount,Sheet1!S71_A2SubCode,$AC:$AC,Sheet1!S71_ItemType,$AD:$AD)</f>
        <v>0</v>
      </c>
      <c r="J21" s="712">
        <f>-SUMIFS(Sheet1!S71_OY1BudgetAmount,Sheet1!S71_A2SubCode,$AC:$AC,Sheet1!S71_ItemType,$AD:$AD)</f>
        <v>0</v>
      </c>
      <c r="K21" s="713">
        <f>-SUMIFS(Sheet1!S71_OY2BudgetAmount,Sheet1!S71_A2SubCode,$AC:$AC,Sheet1!S71_ItemType,$AD:$AD)</f>
        <v>0</v>
      </c>
      <c r="L21" s="322"/>
      <c r="Q21" s="2226"/>
      <c r="R21" s="2227"/>
      <c r="AC21" s="2310">
        <v>1213</v>
      </c>
      <c r="AD21" s="2310" t="s">
        <v>2759</v>
      </c>
    </row>
    <row r="22" spans="1:30" ht="11.25" customHeight="1" x14ac:dyDescent="0.25">
      <c r="A22" s="2235" t="s">
        <v>2378</v>
      </c>
      <c r="B22" s="144"/>
      <c r="C22" s="712">
        <f>SUMIFS(Sheet1!S71_PPPYearAmount,Sheet1!S71_A2SubCode,$AC:$AC,Sheet1!S71_ItemType,$AD:$AD)</f>
        <v>0</v>
      </c>
      <c r="D22" s="712">
        <f>SUMIFS(Sheet1!S71_PPYearAmount,Sheet1!S71_A2SubCode,$AC:$AC,Sheet1!S71_ItemType,$AD:$AD)</f>
        <v>0</v>
      </c>
      <c r="E22" s="712">
        <f>SUMIFS(Sheet1!S71_PYearAmount,Sheet1!S71_A2SubCode,$AC:$AC,Sheet1!S71_ItemType,$AD:$AD)</f>
        <v>0</v>
      </c>
      <c r="F22" s="725">
        <f>-SUMIFS(Sheet1!S71_OriginalBudAmnt,Sheet1!S71_A2SubCode,$AC:$AC,Sheet1!S71_ItemType,$AD:$AD)</f>
        <v>0</v>
      </c>
      <c r="G22" s="712">
        <f>-SUMIFS(Sheet1!S71_AdjustmentBudAmnt,Sheet1!S71_A2SubCode,$AC:$AC,Sheet1!S71_ItemType,$AD:$AD)</f>
        <v>0</v>
      </c>
      <c r="H22" s="713">
        <f>-SUMIFS(Sheet1!S71_AdjustmentBudAmnt,Sheet1!S71_A2SubCode,$AC:$AC,Sheet1!S71_ItemType,$AD:$AD)</f>
        <v>0</v>
      </c>
      <c r="I22" s="725">
        <f>-SUMIFS(Sheet1!S71_ASBudgetAmount,Sheet1!S71_A2SubCode,$AC:$AC,Sheet1!S71_ItemType,$AD:$AD)</f>
        <v>0</v>
      </c>
      <c r="J22" s="712">
        <f>-SUMIFS(Sheet1!S71_OY1BudgetAmount,Sheet1!S71_A2SubCode,$AC:$AC,Sheet1!S71_ItemType,$AD:$AD)</f>
        <v>0</v>
      </c>
      <c r="K22" s="713">
        <f>-SUMIFS(Sheet1!S71_OY2BudgetAmount,Sheet1!S71_A2SubCode,$AC:$AC,Sheet1!S71_ItemType,$AD:$AD)</f>
        <v>0</v>
      </c>
      <c r="L22" s="322"/>
      <c r="Q22" s="2226"/>
      <c r="R22" s="2227"/>
      <c r="AC22" s="2310">
        <v>1214</v>
      </c>
      <c r="AD22" s="2310" t="s">
        <v>2759</v>
      </c>
    </row>
    <row r="23" spans="1:30" ht="11.25" customHeight="1" x14ac:dyDescent="0.25">
      <c r="A23" s="241" t="s">
        <v>2364</v>
      </c>
      <c r="B23" s="144"/>
      <c r="C23" s="82">
        <f t="shared" ref="C23:K23" si="3">SUM(C24:C24)</f>
        <v>0</v>
      </c>
      <c r="D23" s="82">
        <f t="shared" si="3"/>
        <v>0</v>
      </c>
      <c r="E23" s="115">
        <f t="shared" si="3"/>
        <v>0</v>
      </c>
      <c r="F23" s="83">
        <f t="shared" si="3"/>
        <v>0</v>
      </c>
      <c r="G23" s="82">
        <f t="shared" si="3"/>
        <v>0</v>
      </c>
      <c r="H23" s="115">
        <f t="shared" si="3"/>
        <v>0</v>
      </c>
      <c r="I23" s="83">
        <f t="shared" si="3"/>
        <v>0</v>
      </c>
      <c r="J23" s="82">
        <f t="shared" si="3"/>
        <v>0</v>
      </c>
      <c r="K23" s="115">
        <f t="shared" si="3"/>
        <v>0</v>
      </c>
      <c r="L23" s="322"/>
      <c r="Q23" s="2226"/>
      <c r="R23" s="2227"/>
      <c r="AC23" s="2309"/>
      <c r="AD23" s="2309"/>
    </row>
    <row r="24" spans="1:30" ht="11.25" customHeight="1" x14ac:dyDescent="0.25">
      <c r="A24" s="2235" t="s">
        <v>2369</v>
      </c>
      <c r="B24" s="144"/>
      <c r="C24" s="712">
        <f>SUMIFS(Sheet1!S71_PPPYearAmount,Sheet1!S71_A2SubCode,$AC:$AC,Sheet1!S71_ItemType,$AD:$AD)</f>
        <v>0</v>
      </c>
      <c r="D24" s="712">
        <f>SUMIFS(Sheet1!S71_PPYearAmount,Sheet1!S71_A2SubCode,$AC:$AC,Sheet1!S71_ItemType,$AD:$AD)</f>
        <v>0</v>
      </c>
      <c r="E24" s="712">
        <f>SUMIFS(Sheet1!S71_PYearAmount,Sheet1!S71_A2SubCode,$AC:$AC,Sheet1!S71_ItemType,$AD:$AD)</f>
        <v>0</v>
      </c>
      <c r="F24" s="725">
        <f>-SUMIFS(Sheet1!S71_OriginalBudAmnt,Sheet1!S71_A2SubCode,$AC:$AC,Sheet1!S71_ItemType,$AD:$AD)</f>
        <v>0</v>
      </c>
      <c r="G24" s="712">
        <f>-SUMIFS(Sheet1!S71_AdjustmentBudAmnt,Sheet1!S71_A2SubCode,$AC:$AC,Sheet1!S71_ItemType,$AD:$AD)</f>
        <v>0</v>
      </c>
      <c r="H24" s="713">
        <f>-SUMIFS(Sheet1!S71_AdjustmentBudAmnt,Sheet1!S71_A2SubCode,$AC:$AC,Sheet1!S71_ItemType,$AD:$AD)</f>
        <v>0</v>
      </c>
      <c r="I24" s="725">
        <f>-SUMIFS(Sheet1!S71_ASBudgetAmount,Sheet1!S71_A2SubCode,$AC:$AC,Sheet1!S71_ItemType,$AD:$AD)</f>
        <v>0</v>
      </c>
      <c r="J24" s="712">
        <f>-SUMIFS(Sheet1!S71_OY1BudgetAmount,Sheet1!S71_A2SubCode,$AC:$AC,Sheet1!S71_ItemType,$AD:$AD)</f>
        <v>0</v>
      </c>
      <c r="K24" s="713">
        <f>-SUMIFS(Sheet1!S71_OY2BudgetAmount,Sheet1!S71_A2SubCode,$AC:$AC,Sheet1!S71_ItemType,$AD:$AD)</f>
        <v>0</v>
      </c>
      <c r="L24" s="322"/>
      <c r="Q24" s="2226"/>
      <c r="R24" s="2227"/>
      <c r="AC24" s="2310">
        <v>1301</v>
      </c>
      <c r="AD24" s="2310" t="s">
        <v>2759</v>
      </c>
    </row>
    <row r="25" spans="1:30" ht="11.25" customHeight="1" x14ac:dyDescent="0.25">
      <c r="A25" s="225" t="s">
        <v>122</v>
      </c>
      <c r="B25" s="144"/>
      <c r="C25" s="243">
        <f t="shared" ref="C25:K25" si="4">C26+C48+C54+C63+C66</f>
        <v>1378687</v>
      </c>
      <c r="D25" s="243">
        <f t="shared" si="4"/>
        <v>2086073</v>
      </c>
      <c r="E25" s="358">
        <f t="shared" si="4"/>
        <v>2502411</v>
      </c>
      <c r="F25" s="244">
        <f t="shared" si="4"/>
        <v>2212094</v>
      </c>
      <c r="G25" s="243">
        <f t="shared" si="4"/>
        <v>1839594</v>
      </c>
      <c r="H25" s="358">
        <f t="shared" si="4"/>
        <v>1839594</v>
      </c>
      <c r="I25" s="244">
        <f t="shared" si="4"/>
        <v>1933474</v>
      </c>
      <c r="J25" s="243">
        <f t="shared" si="4"/>
        <v>1934414</v>
      </c>
      <c r="K25" s="358">
        <f t="shared" si="4"/>
        <v>1935391</v>
      </c>
      <c r="L25" s="322"/>
      <c r="Q25" s="2226"/>
      <c r="R25" s="2227"/>
      <c r="AC25" s="2309"/>
      <c r="AD25" s="2309"/>
    </row>
    <row r="26" spans="1:30" ht="11.25" customHeight="1" x14ac:dyDescent="0.25">
      <c r="A26" s="241" t="s">
        <v>123</v>
      </c>
      <c r="B26" s="144"/>
      <c r="C26" s="106">
        <f>SUM(C27:C47)</f>
        <v>1378687</v>
      </c>
      <c r="D26" s="106">
        <f t="shared" ref="D26:K26" si="5">SUM(D27:D47)</f>
        <v>2061132</v>
      </c>
      <c r="E26" s="359">
        <f t="shared" si="5"/>
        <v>2477352</v>
      </c>
      <c r="F26" s="107">
        <f t="shared" si="5"/>
        <v>2212094</v>
      </c>
      <c r="G26" s="106">
        <f t="shared" si="5"/>
        <v>1839594</v>
      </c>
      <c r="H26" s="359">
        <f t="shared" si="5"/>
        <v>1839594</v>
      </c>
      <c r="I26" s="107">
        <f t="shared" si="5"/>
        <v>1933474</v>
      </c>
      <c r="J26" s="106">
        <f t="shared" si="5"/>
        <v>1934414</v>
      </c>
      <c r="K26" s="359">
        <f t="shared" si="5"/>
        <v>1935391</v>
      </c>
      <c r="L26" s="322"/>
      <c r="Q26" s="2226"/>
      <c r="R26" s="2227"/>
      <c r="AC26" s="2309"/>
      <c r="AD26" s="2309"/>
    </row>
    <row r="27" spans="1:30" ht="11.25" customHeight="1" x14ac:dyDescent="0.25">
      <c r="A27" s="2235" t="s">
        <v>1445</v>
      </c>
      <c r="B27" s="144"/>
      <c r="C27" s="712">
        <f>SUMIFS(Sheet1!S71_PPPYearAmount,Sheet1!S71_A2SubCode,$AC:$AC,Sheet1!S71_ItemType,$AD:$AD)</f>
        <v>0</v>
      </c>
      <c r="D27" s="712">
        <f>SUMIFS(Sheet1!S71_PPYearAmount,Sheet1!S71_A2SubCode,$AC:$AC,Sheet1!S71_ItemType,$AD:$AD)</f>
        <v>0</v>
      </c>
      <c r="E27" s="712">
        <f>SUMIFS(Sheet1!S71_PYearAmount,Sheet1!S71_A2SubCode,$AC:$AC,Sheet1!S71_ItemType,$AD:$AD)</f>
        <v>0</v>
      </c>
      <c r="F27" s="725">
        <f>-SUMIFS(Sheet1!S71_OriginalBudAmnt,Sheet1!S71_A2SubCode,$AC:$AC,Sheet1!S71_ItemType,$AD:$AD)</f>
        <v>0</v>
      </c>
      <c r="G27" s="712">
        <f>-SUMIFS(Sheet1!S71_AdjustmentBudAmnt,Sheet1!S71_A2SubCode,$AC:$AC,Sheet1!S71_ItemType,$AD:$AD)</f>
        <v>0</v>
      </c>
      <c r="H27" s="713">
        <f>-SUMIFS(Sheet1!S71_AdjustmentBudAmnt,Sheet1!S71_A2SubCode,$AC:$AC,Sheet1!S71_ItemType,$AD:$AD)</f>
        <v>0</v>
      </c>
      <c r="I27" s="725">
        <f>-SUMIFS(Sheet1!S71_ASBudgetAmount,Sheet1!S71_A2SubCode,$AC:$AC,Sheet1!S71_ItemType,$AD:$AD)</f>
        <v>0</v>
      </c>
      <c r="J27" s="712">
        <f>-SUMIFS(Sheet1!S71_OY1BudgetAmount,Sheet1!S71_A2SubCode,$AC:$AC,Sheet1!S71_ItemType,$AD:$AD)</f>
        <v>0</v>
      </c>
      <c r="K27" s="713">
        <f>-SUMIFS(Sheet1!S71_OY2BudgetAmount,Sheet1!S71_A2SubCode,$AC:$AC,Sheet1!S71_ItemType,$AD:$AD)</f>
        <v>0</v>
      </c>
      <c r="L27" s="322"/>
      <c r="Q27" s="2226"/>
      <c r="R27" s="2227"/>
      <c r="AC27" s="2310">
        <v>2101</v>
      </c>
      <c r="AD27" s="2310" t="s">
        <v>2759</v>
      </c>
    </row>
    <row r="28" spans="1:30" ht="11.25" customHeight="1" x14ac:dyDescent="0.25">
      <c r="A28" s="2235" t="s">
        <v>812</v>
      </c>
      <c r="B28" s="144"/>
      <c r="C28" s="712">
        <f>SUMIFS(Sheet1!S71_PPPYearAmount,Sheet1!S71_A2SubCode,$AC:$AC,Sheet1!S71_ItemType,$AD:$AD)</f>
        <v>0</v>
      </c>
      <c r="D28" s="712">
        <f>SUMIFS(Sheet1!S71_PPYearAmount,Sheet1!S71_A2SubCode,$AC:$AC,Sheet1!S71_ItemType,$AD:$AD)</f>
        <v>0</v>
      </c>
      <c r="E28" s="712">
        <f>SUMIFS(Sheet1!S71_PYearAmount,Sheet1!S71_A2SubCode,$AC:$AC,Sheet1!S71_ItemType,$AD:$AD)</f>
        <v>0</v>
      </c>
      <c r="F28" s="725">
        <f>-SUMIFS(Sheet1!S71_OriginalBudAmnt,Sheet1!S71_A2SubCode,$AC:$AC,Sheet1!S71_ItemType,$AD:$AD)</f>
        <v>0</v>
      </c>
      <c r="G28" s="712">
        <f>-SUMIFS(Sheet1!S71_AdjustmentBudAmnt,Sheet1!S71_A2SubCode,$AC:$AC,Sheet1!S71_ItemType,$AD:$AD)</f>
        <v>0</v>
      </c>
      <c r="H28" s="713">
        <f>-SUMIFS(Sheet1!S71_AdjustmentBudAmnt,Sheet1!S71_A2SubCode,$AC:$AC,Sheet1!S71_ItemType,$AD:$AD)</f>
        <v>0</v>
      </c>
      <c r="I28" s="725">
        <f>-SUMIFS(Sheet1!S71_ASBudgetAmount,Sheet1!S71_A2SubCode,$AC:$AC,Sheet1!S71_ItemType,$AD:$AD)</f>
        <v>0</v>
      </c>
      <c r="J28" s="712">
        <f>-SUMIFS(Sheet1!S71_OY1BudgetAmount,Sheet1!S71_A2SubCode,$AC:$AC,Sheet1!S71_ItemType,$AD:$AD)</f>
        <v>0</v>
      </c>
      <c r="K28" s="713">
        <f>-SUMIFS(Sheet1!S71_OY2BudgetAmount,Sheet1!S71_A2SubCode,$AC:$AC,Sheet1!S71_ItemType,$AD:$AD)</f>
        <v>0</v>
      </c>
      <c r="L28" s="322"/>
      <c r="Q28" s="2226"/>
      <c r="R28" s="2227"/>
      <c r="AC28" s="2310">
        <v>2102</v>
      </c>
      <c r="AD28" s="2310" t="s">
        <v>2759</v>
      </c>
    </row>
    <row r="29" spans="1:30" ht="11.25" customHeight="1" x14ac:dyDescent="0.25">
      <c r="A29" s="2235" t="s">
        <v>2396</v>
      </c>
      <c r="B29" s="144"/>
      <c r="C29" s="712">
        <f>SUMIFS(Sheet1!S71_PPPYearAmount,Sheet1!S71_A2SubCode,$AC:$AC,Sheet1!S71_ItemType,$AD:$AD)</f>
        <v>0</v>
      </c>
      <c r="D29" s="712">
        <f>SUMIFS(Sheet1!S71_PPYearAmount,Sheet1!S71_A2SubCode,$AC:$AC,Sheet1!S71_ItemType,$AD:$AD)</f>
        <v>0</v>
      </c>
      <c r="E29" s="712">
        <f>SUMIFS(Sheet1!S71_PYearAmount,Sheet1!S71_A2SubCode,$AC:$AC,Sheet1!S71_ItemType,$AD:$AD)</f>
        <v>0</v>
      </c>
      <c r="F29" s="725">
        <f>-SUMIFS(Sheet1!S71_OriginalBudAmnt,Sheet1!S71_A2SubCode,$AC:$AC,Sheet1!S71_ItemType,$AD:$AD)</f>
        <v>0</v>
      </c>
      <c r="G29" s="712">
        <f>-SUMIFS(Sheet1!S71_AdjustmentBudAmnt,Sheet1!S71_A2SubCode,$AC:$AC,Sheet1!S71_ItemType,$AD:$AD)</f>
        <v>0</v>
      </c>
      <c r="H29" s="713">
        <f>-SUMIFS(Sheet1!S71_AdjustmentBudAmnt,Sheet1!S71_A2SubCode,$AC:$AC,Sheet1!S71_ItemType,$AD:$AD)</f>
        <v>0</v>
      </c>
      <c r="I29" s="725">
        <f>-SUMIFS(Sheet1!S71_ASBudgetAmount,Sheet1!S71_A2SubCode,$AC:$AC,Sheet1!S71_ItemType,$AD:$AD)</f>
        <v>0</v>
      </c>
      <c r="J29" s="712">
        <f>-SUMIFS(Sheet1!S71_OY1BudgetAmount,Sheet1!S71_A2SubCode,$AC:$AC,Sheet1!S71_ItemType,$AD:$AD)</f>
        <v>0</v>
      </c>
      <c r="K29" s="713">
        <f>-SUMIFS(Sheet1!S71_OY2BudgetAmount,Sheet1!S71_A2SubCode,$AC:$AC,Sheet1!S71_ItemType,$AD:$AD)</f>
        <v>0</v>
      </c>
      <c r="L29" s="322"/>
      <c r="Q29" s="2226"/>
      <c r="R29" s="2227"/>
      <c r="AC29" s="2310">
        <v>2103</v>
      </c>
      <c r="AD29" s="2310" t="s">
        <v>2759</v>
      </c>
    </row>
    <row r="30" spans="1:30" ht="11.25" customHeight="1" x14ac:dyDescent="0.25">
      <c r="A30" s="2235" t="s">
        <v>2397</v>
      </c>
      <c r="B30" s="144"/>
      <c r="C30" s="712">
        <f>SUMIFS(Sheet1!S71_PPPYearAmount,Sheet1!S71_A2SubCode,$AC:$AC,Sheet1!S71_ItemType,$AD:$AD)</f>
        <v>0</v>
      </c>
      <c r="D30" s="712">
        <f>SUMIFS(Sheet1!S71_PPYearAmount,Sheet1!S71_A2SubCode,$AC:$AC,Sheet1!S71_ItemType,$AD:$AD)</f>
        <v>0</v>
      </c>
      <c r="E30" s="712">
        <f>SUMIFS(Sheet1!S71_PYearAmount,Sheet1!S71_A2SubCode,$AC:$AC,Sheet1!S71_ItemType,$AD:$AD)</f>
        <v>0</v>
      </c>
      <c r="F30" s="725">
        <f>-SUMIFS(Sheet1!S71_OriginalBudAmnt,Sheet1!S71_A2SubCode,$AC:$AC,Sheet1!S71_ItemType,$AD:$AD)</f>
        <v>0</v>
      </c>
      <c r="G30" s="712">
        <f>-SUMIFS(Sheet1!S71_AdjustmentBudAmnt,Sheet1!S71_A2SubCode,$AC:$AC,Sheet1!S71_ItemType,$AD:$AD)</f>
        <v>0</v>
      </c>
      <c r="H30" s="713">
        <f>-SUMIFS(Sheet1!S71_AdjustmentBudAmnt,Sheet1!S71_A2SubCode,$AC:$AC,Sheet1!S71_ItemType,$AD:$AD)</f>
        <v>0</v>
      </c>
      <c r="I30" s="725">
        <f>-SUMIFS(Sheet1!S71_ASBudgetAmount,Sheet1!S71_A2SubCode,$AC:$AC,Sheet1!S71_ItemType,$AD:$AD)</f>
        <v>0</v>
      </c>
      <c r="J30" s="712">
        <f>-SUMIFS(Sheet1!S71_OY1BudgetAmount,Sheet1!S71_A2SubCode,$AC:$AC,Sheet1!S71_ItemType,$AD:$AD)</f>
        <v>0</v>
      </c>
      <c r="K30" s="713">
        <f>-SUMIFS(Sheet1!S71_OY2BudgetAmount,Sheet1!S71_A2SubCode,$AC:$AC,Sheet1!S71_ItemType,$AD:$AD)</f>
        <v>0</v>
      </c>
      <c r="L30" s="322"/>
      <c r="Q30" s="2226"/>
      <c r="R30" s="2227"/>
      <c r="AC30" s="2310">
        <v>2104</v>
      </c>
      <c r="AD30" s="2310" t="s">
        <v>2759</v>
      </c>
    </row>
    <row r="31" spans="1:30" ht="11.25" customHeight="1" x14ac:dyDescent="0.25">
      <c r="A31" s="2235" t="s">
        <v>2398</v>
      </c>
      <c r="B31" s="144"/>
      <c r="C31" s="712">
        <f>SUMIFS(Sheet1!S71_PPPYearAmount,Sheet1!S71_A2SubCode,$AC:$AC,Sheet1!S71_ItemType,$AD:$AD)</f>
        <v>0</v>
      </c>
      <c r="D31" s="712">
        <f>SUMIFS(Sheet1!S71_PPYearAmount,Sheet1!S71_A2SubCode,$AC:$AC,Sheet1!S71_ItemType,$AD:$AD)</f>
        <v>0</v>
      </c>
      <c r="E31" s="712">
        <f>SUMIFS(Sheet1!S71_PYearAmount,Sheet1!S71_A2SubCode,$AC:$AC,Sheet1!S71_ItemType,$AD:$AD)</f>
        <v>0</v>
      </c>
      <c r="F31" s="725">
        <f>-SUMIFS(Sheet1!S71_OriginalBudAmnt,Sheet1!S71_A2SubCode,$AC:$AC,Sheet1!S71_ItemType,$AD:$AD)</f>
        <v>0</v>
      </c>
      <c r="G31" s="712">
        <f>-SUMIFS(Sheet1!S71_AdjustmentBudAmnt,Sheet1!S71_A2SubCode,$AC:$AC,Sheet1!S71_ItemType,$AD:$AD)</f>
        <v>0</v>
      </c>
      <c r="H31" s="713">
        <f>-SUMIFS(Sheet1!S71_AdjustmentBudAmnt,Sheet1!S71_A2SubCode,$AC:$AC,Sheet1!S71_ItemType,$AD:$AD)</f>
        <v>0</v>
      </c>
      <c r="I31" s="725">
        <f>-SUMIFS(Sheet1!S71_ASBudgetAmount,Sheet1!S71_A2SubCode,$AC:$AC,Sheet1!S71_ItemType,$AD:$AD)</f>
        <v>0</v>
      </c>
      <c r="J31" s="712">
        <f>-SUMIFS(Sheet1!S71_OY1BudgetAmount,Sheet1!S71_A2SubCode,$AC:$AC,Sheet1!S71_ItemType,$AD:$AD)</f>
        <v>0</v>
      </c>
      <c r="K31" s="713">
        <f>-SUMIFS(Sheet1!S71_OY2BudgetAmount,Sheet1!S71_A2SubCode,$AC:$AC,Sheet1!S71_ItemType,$AD:$AD)</f>
        <v>0</v>
      </c>
      <c r="L31" s="322"/>
      <c r="Q31" s="2226"/>
      <c r="R31" s="2227"/>
      <c r="AC31" s="2310">
        <v>2105</v>
      </c>
      <c r="AD31" s="2310" t="s">
        <v>2759</v>
      </c>
    </row>
    <row r="32" spans="1:30" ht="11.25" customHeight="1" x14ac:dyDescent="0.25">
      <c r="A32" s="2235" t="s">
        <v>2399</v>
      </c>
      <c r="B32" s="144"/>
      <c r="C32" s="712">
        <f>SUMIFS(Sheet1!S71_PPPYearAmount,Sheet1!S71_A2SubCode,$AC:$AC,Sheet1!S71_ItemType,$AD:$AD)</f>
        <v>0</v>
      </c>
      <c r="D32" s="712">
        <f>SUMIFS(Sheet1!S71_PPYearAmount,Sheet1!S71_A2SubCode,$AC:$AC,Sheet1!S71_ItemType,$AD:$AD)</f>
        <v>0</v>
      </c>
      <c r="E32" s="712">
        <f>SUMIFS(Sheet1!S71_PYearAmount,Sheet1!S71_A2SubCode,$AC:$AC,Sheet1!S71_ItemType,$AD:$AD)</f>
        <v>0</v>
      </c>
      <c r="F32" s="725">
        <f>-SUMIFS(Sheet1!S71_OriginalBudAmnt,Sheet1!S71_A2SubCode,$AC:$AC,Sheet1!S71_ItemType,$AD:$AD)</f>
        <v>0</v>
      </c>
      <c r="G32" s="712">
        <f>-SUMIFS(Sheet1!S71_AdjustmentBudAmnt,Sheet1!S71_A2SubCode,$AC:$AC,Sheet1!S71_ItemType,$AD:$AD)</f>
        <v>0</v>
      </c>
      <c r="H32" s="713">
        <f>-SUMIFS(Sheet1!S71_AdjustmentBudAmnt,Sheet1!S71_A2SubCode,$AC:$AC,Sheet1!S71_ItemType,$AD:$AD)</f>
        <v>0</v>
      </c>
      <c r="I32" s="725">
        <f>-SUMIFS(Sheet1!S71_ASBudgetAmount,Sheet1!S71_A2SubCode,$AC:$AC,Sheet1!S71_ItemType,$AD:$AD)</f>
        <v>0</v>
      </c>
      <c r="J32" s="712">
        <f>-SUMIFS(Sheet1!S71_OY1BudgetAmount,Sheet1!S71_A2SubCode,$AC:$AC,Sheet1!S71_ItemType,$AD:$AD)</f>
        <v>0</v>
      </c>
      <c r="K32" s="713">
        <f>-SUMIFS(Sheet1!S71_OY2BudgetAmount,Sheet1!S71_A2SubCode,$AC:$AC,Sheet1!S71_ItemType,$AD:$AD)</f>
        <v>0</v>
      </c>
      <c r="L32" s="322"/>
      <c r="Q32" s="2226"/>
      <c r="R32" s="2227"/>
      <c r="AC32" s="2310">
        <v>2106</v>
      </c>
      <c r="AD32" s="2310" t="s">
        <v>2759</v>
      </c>
    </row>
    <row r="33" spans="1:30" ht="11.25" customHeight="1" x14ac:dyDescent="0.25">
      <c r="A33" s="2235" t="s">
        <v>2400</v>
      </c>
      <c r="B33" s="144"/>
      <c r="C33" s="712">
        <f>SUMIFS(Sheet1!S71_PPPYearAmount,Sheet1!S71_A2SubCode,$AC:$AC,Sheet1!S71_ItemType,$AD:$AD)</f>
        <v>0</v>
      </c>
      <c r="D33" s="712">
        <f>SUMIFS(Sheet1!S71_PPYearAmount,Sheet1!S71_A2SubCode,$AC:$AC,Sheet1!S71_ItemType,$AD:$AD)</f>
        <v>0</v>
      </c>
      <c r="E33" s="712">
        <f>SUMIFS(Sheet1!S71_PYearAmount,Sheet1!S71_A2SubCode,$AC:$AC,Sheet1!S71_ItemType,$AD:$AD)</f>
        <v>0</v>
      </c>
      <c r="F33" s="725">
        <f>-SUMIFS(Sheet1!S71_OriginalBudAmnt,Sheet1!S71_A2SubCode,$AC:$AC,Sheet1!S71_ItemType,$AD:$AD)</f>
        <v>0</v>
      </c>
      <c r="G33" s="712">
        <f>-SUMIFS(Sheet1!S71_AdjustmentBudAmnt,Sheet1!S71_A2SubCode,$AC:$AC,Sheet1!S71_ItemType,$AD:$AD)</f>
        <v>0</v>
      </c>
      <c r="H33" s="713">
        <f>-SUMIFS(Sheet1!S71_AdjustmentBudAmnt,Sheet1!S71_A2SubCode,$AC:$AC,Sheet1!S71_ItemType,$AD:$AD)</f>
        <v>0</v>
      </c>
      <c r="I33" s="725">
        <f>-SUMIFS(Sheet1!S71_ASBudgetAmount,Sheet1!S71_A2SubCode,$AC:$AC,Sheet1!S71_ItemType,$AD:$AD)</f>
        <v>0</v>
      </c>
      <c r="J33" s="712">
        <f>-SUMIFS(Sheet1!S71_OY1BudgetAmount,Sheet1!S71_A2SubCode,$AC:$AC,Sheet1!S71_ItemType,$AD:$AD)</f>
        <v>0</v>
      </c>
      <c r="K33" s="713">
        <f>-SUMIFS(Sheet1!S71_OY2BudgetAmount,Sheet1!S71_A2SubCode,$AC:$AC,Sheet1!S71_ItemType,$AD:$AD)</f>
        <v>0</v>
      </c>
      <c r="L33" s="322"/>
      <c r="Q33" s="2226"/>
      <c r="R33" s="2227"/>
      <c r="AC33" s="2310">
        <v>2107</v>
      </c>
      <c r="AD33" s="2310" t="s">
        <v>2759</v>
      </c>
    </row>
    <row r="34" spans="1:30" ht="11.25" customHeight="1" x14ac:dyDescent="0.25">
      <c r="A34" s="2235" t="s">
        <v>2401</v>
      </c>
      <c r="B34" s="144"/>
      <c r="C34" s="712">
        <f>SUMIFS(Sheet1!S71_PPPYearAmount,Sheet1!S71_A2SubCode,$AC:$AC,Sheet1!S71_ItemType,$AD:$AD)</f>
        <v>0</v>
      </c>
      <c r="D34" s="712">
        <f>SUMIFS(Sheet1!S71_PPYearAmount,Sheet1!S71_A2SubCode,$AC:$AC,Sheet1!S71_ItemType,$AD:$AD)</f>
        <v>0</v>
      </c>
      <c r="E34" s="712">
        <f>SUMIFS(Sheet1!S71_PYearAmount,Sheet1!S71_A2SubCode,$AC:$AC,Sheet1!S71_ItemType,$AD:$AD)</f>
        <v>0</v>
      </c>
      <c r="F34" s="725">
        <f>-SUMIFS(Sheet1!S71_OriginalBudAmnt,Sheet1!S71_A2SubCode,$AC:$AC,Sheet1!S71_ItemType,$AD:$AD)</f>
        <v>0</v>
      </c>
      <c r="G34" s="712">
        <f>-SUMIFS(Sheet1!S71_AdjustmentBudAmnt,Sheet1!S71_A2SubCode,$AC:$AC,Sheet1!S71_ItemType,$AD:$AD)</f>
        <v>0</v>
      </c>
      <c r="H34" s="713">
        <f>-SUMIFS(Sheet1!S71_AdjustmentBudAmnt,Sheet1!S71_A2SubCode,$AC:$AC,Sheet1!S71_ItemType,$AD:$AD)</f>
        <v>0</v>
      </c>
      <c r="I34" s="725">
        <f>-SUMIFS(Sheet1!S71_ASBudgetAmount,Sheet1!S71_A2SubCode,$AC:$AC,Sheet1!S71_ItemType,$AD:$AD)</f>
        <v>0</v>
      </c>
      <c r="J34" s="712">
        <f>-SUMIFS(Sheet1!S71_OY1BudgetAmount,Sheet1!S71_A2SubCode,$AC:$AC,Sheet1!S71_ItemType,$AD:$AD)</f>
        <v>0</v>
      </c>
      <c r="K34" s="713">
        <f>-SUMIFS(Sheet1!S71_OY2BudgetAmount,Sheet1!S71_A2SubCode,$AC:$AC,Sheet1!S71_ItemType,$AD:$AD)</f>
        <v>0</v>
      </c>
      <c r="L34" s="322"/>
      <c r="Q34" s="2226"/>
      <c r="R34" s="2227"/>
      <c r="AC34" s="2310">
        <v>2108</v>
      </c>
      <c r="AD34" s="2310" t="s">
        <v>2759</v>
      </c>
    </row>
    <row r="35" spans="1:30" ht="11.25" customHeight="1" x14ac:dyDescent="0.25">
      <c r="A35" s="2235" t="s">
        <v>2402</v>
      </c>
      <c r="B35" s="144"/>
      <c r="C35" s="712">
        <f>SUMIFS(Sheet1!S71_PPPYearAmount,Sheet1!S71_A2SubCode,$AC:$AC,Sheet1!S71_ItemType,$AD:$AD)</f>
        <v>0</v>
      </c>
      <c r="D35" s="712">
        <f>SUMIFS(Sheet1!S71_PPYearAmount,Sheet1!S71_A2SubCode,$AC:$AC,Sheet1!S71_ItemType,$AD:$AD)</f>
        <v>0</v>
      </c>
      <c r="E35" s="712">
        <f>SUMIFS(Sheet1!S71_PYearAmount,Sheet1!S71_A2SubCode,$AC:$AC,Sheet1!S71_ItemType,$AD:$AD)</f>
        <v>745000</v>
      </c>
      <c r="F35" s="725">
        <f>-SUMIFS(Sheet1!S71_OriginalBudAmnt,Sheet1!S71_A2SubCode,$AC:$AC,Sheet1!S71_ItemType,$AD:$AD)</f>
        <v>372500</v>
      </c>
      <c r="G35" s="712">
        <f>-SUMIFS(Sheet1!S71_AdjustmentBudAmnt,Sheet1!S71_A2SubCode,$AC:$AC,Sheet1!S71_ItemType,$AD:$AD)</f>
        <v>0</v>
      </c>
      <c r="H35" s="713">
        <f>-SUMIFS(Sheet1!S71_AdjustmentBudAmnt,Sheet1!S71_A2SubCode,$AC:$AC,Sheet1!S71_ItemType,$AD:$AD)</f>
        <v>0</v>
      </c>
      <c r="I35" s="725">
        <f>-SUMIFS(Sheet1!S71_ASBudgetAmount,Sheet1!S71_A2SubCode,$AC:$AC,Sheet1!S71_ItemType,$AD:$AD)</f>
        <v>0</v>
      </c>
      <c r="J35" s="712">
        <f>-SUMIFS(Sheet1!S71_OY1BudgetAmount,Sheet1!S71_A2SubCode,$AC:$AC,Sheet1!S71_ItemType,$AD:$AD)</f>
        <v>0</v>
      </c>
      <c r="K35" s="713">
        <f>-SUMIFS(Sheet1!S71_OY2BudgetAmount,Sheet1!S71_A2SubCode,$AC:$AC,Sheet1!S71_ItemType,$AD:$AD)</f>
        <v>0</v>
      </c>
      <c r="L35" s="322"/>
      <c r="Q35" s="2226"/>
      <c r="R35" s="2227"/>
      <c r="AC35" s="2310">
        <v>2109</v>
      </c>
      <c r="AD35" s="2310" t="s">
        <v>2759</v>
      </c>
    </row>
    <row r="36" spans="1:30" ht="11.25" customHeight="1" x14ac:dyDescent="0.25">
      <c r="A36" s="2235" t="s">
        <v>1671</v>
      </c>
      <c r="B36" s="144"/>
      <c r="C36" s="712">
        <f>SUMIFS(Sheet1!S71_PPPYearAmount,Sheet1!S71_A2SubCode,$AC:$AC,Sheet1!S71_ItemType,$AD:$AD)</f>
        <v>0</v>
      </c>
      <c r="D36" s="712">
        <f>SUMIFS(Sheet1!S71_PPYearAmount,Sheet1!S71_A2SubCode,$AC:$AC,Sheet1!S71_ItemType,$AD:$AD)</f>
        <v>0</v>
      </c>
      <c r="E36" s="712">
        <f>SUMIFS(Sheet1!S71_PYearAmount,Sheet1!S71_A2SubCode,$AC:$AC,Sheet1!S71_ItemType,$AD:$AD)</f>
        <v>0</v>
      </c>
      <c r="F36" s="725">
        <f>-SUMIFS(Sheet1!S71_OriginalBudAmnt,Sheet1!S71_A2SubCode,$AC:$AC,Sheet1!S71_ItemType,$AD:$AD)</f>
        <v>0</v>
      </c>
      <c r="G36" s="712">
        <f>-SUMIFS(Sheet1!S71_AdjustmentBudAmnt,Sheet1!S71_A2SubCode,$AC:$AC,Sheet1!S71_ItemType,$AD:$AD)</f>
        <v>0</v>
      </c>
      <c r="H36" s="713">
        <f>-SUMIFS(Sheet1!S71_AdjustmentBudAmnt,Sheet1!S71_A2SubCode,$AC:$AC,Sheet1!S71_ItemType,$AD:$AD)</f>
        <v>0</v>
      </c>
      <c r="I36" s="725">
        <f>-SUMIFS(Sheet1!S71_ASBudgetAmount,Sheet1!S71_A2SubCode,$AC:$AC,Sheet1!S71_ItemType,$AD:$AD)</f>
        <v>0</v>
      </c>
      <c r="J36" s="712">
        <f>-SUMIFS(Sheet1!S71_OY1BudgetAmount,Sheet1!S71_A2SubCode,$AC:$AC,Sheet1!S71_ItemType,$AD:$AD)</f>
        <v>0</v>
      </c>
      <c r="K36" s="713">
        <f>-SUMIFS(Sheet1!S71_OY2BudgetAmount,Sheet1!S71_A2SubCode,$AC:$AC,Sheet1!S71_ItemType,$AD:$AD)</f>
        <v>0</v>
      </c>
      <c r="L36" s="322"/>
      <c r="Q36" s="2226"/>
      <c r="R36" s="2227"/>
      <c r="AC36" s="2310">
        <v>2110</v>
      </c>
      <c r="AD36" s="2310" t="s">
        <v>2759</v>
      </c>
    </row>
    <row r="37" spans="1:30" ht="11.25" customHeight="1" x14ac:dyDescent="0.25">
      <c r="A37" s="2235" t="s">
        <v>2403</v>
      </c>
      <c r="B37" s="144"/>
      <c r="C37" s="712">
        <f>SUMIFS(Sheet1!S71_PPPYearAmount,Sheet1!S71_A2SubCode,$AC:$AC,Sheet1!S71_ItemType,$AD:$AD)</f>
        <v>0</v>
      </c>
      <c r="D37" s="712">
        <f>SUMIFS(Sheet1!S71_PPYearAmount,Sheet1!S71_A2SubCode,$AC:$AC,Sheet1!S71_ItemType,$AD:$AD)</f>
        <v>0</v>
      </c>
      <c r="E37" s="712">
        <f>SUMIFS(Sheet1!S71_PYearAmount,Sheet1!S71_A2SubCode,$AC:$AC,Sheet1!S71_ItemType,$AD:$AD)</f>
        <v>0</v>
      </c>
      <c r="F37" s="725">
        <f>-SUMIFS(Sheet1!S71_OriginalBudAmnt,Sheet1!S71_A2SubCode,$AC:$AC,Sheet1!S71_ItemType,$AD:$AD)</f>
        <v>0</v>
      </c>
      <c r="G37" s="712">
        <f>-SUMIFS(Sheet1!S71_AdjustmentBudAmnt,Sheet1!S71_A2SubCode,$AC:$AC,Sheet1!S71_ItemType,$AD:$AD)</f>
        <v>0</v>
      </c>
      <c r="H37" s="713">
        <f>-SUMIFS(Sheet1!S71_AdjustmentBudAmnt,Sheet1!S71_A2SubCode,$AC:$AC,Sheet1!S71_ItemType,$AD:$AD)</f>
        <v>0</v>
      </c>
      <c r="I37" s="725">
        <f>-SUMIFS(Sheet1!S71_ASBudgetAmount,Sheet1!S71_A2SubCode,$AC:$AC,Sheet1!S71_ItemType,$AD:$AD)</f>
        <v>0</v>
      </c>
      <c r="J37" s="712">
        <f>-SUMIFS(Sheet1!S71_OY1BudgetAmount,Sheet1!S71_A2SubCode,$AC:$AC,Sheet1!S71_ItemType,$AD:$AD)</f>
        <v>0</v>
      </c>
      <c r="K37" s="713">
        <f>-SUMIFS(Sheet1!S71_OY2BudgetAmount,Sheet1!S71_A2SubCode,$AC:$AC,Sheet1!S71_ItemType,$AD:$AD)</f>
        <v>0</v>
      </c>
      <c r="L37" s="322"/>
      <c r="Q37" s="2226"/>
      <c r="R37" s="2227"/>
      <c r="AC37" s="2310">
        <v>2111</v>
      </c>
      <c r="AD37" s="2310" t="s">
        <v>2759</v>
      </c>
    </row>
    <row r="38" spans="1:30" ht="11.25" customHeight="1" x14ac:dyDescent="0.25">
      <c r="A38" s="2235" t="s">
        <v>2404</v>
      </c>
      <c r="B38" s="144"/>
      <c r="C38" s="712">
        <f>SUMIFS(Sheet1!S71_PPPYearAmount,Sheet1!S71_A2SubCode,$AC:$AC,Sheet1!S71_ItemType,$AD:$AD)</f>
        <v>0</v>
      </c>
      <c r="D38" s="712">
        <f>SUMIFS(Sheet1!S71_PPYearAmount,Sheet1!S71_A2SubCode,$AC:$AC,Sheet1!S71_ItemType,$AD:$AD)</f>
        <v>0</v>
      </c>
      <c r="E38" s="712">
        <f>SUMIFS(Sheet1!S71_PYearAmount,Sheet1!S71_A2SubCode,$AC:$AC,Sheet1!S71_ItemType,$AD:$AD)</f>
        <v>0</v>
      </c>
      <c r="F38" s="725">
        <f>-SUMIFS(Sheet1!S71_OriginalBudAmnt,Sheet1!S71_A2SubCode,$AC:$AC,Sheet1!S71_ItemType,$AD:$AD)</f>
        <v>0</v>
      </c>
      <c r="G38" s="712">
        <f>-SUMIFS(Sheet1!S71_AdjustmentBudAmnt,Sheet1!S71_A2SubCode,$AC:$AC,Sheet1!S71_ItemType,$AD:$AD)</f>
        <v>0</v>
      </c>
      <c r="H38" s="713">
        <f>-SUMIFS(Sheet1!S71_AdjustmentBudAmnt,Sheet1!S71_A2SubCode,$AC:$AC,Sheet1!S71_ItemType,$AD:$AD)</f>
        <v>0</v>
      </c>
      <c r="I38" s="725">
        <f>-SUMIFS(Sheet1!S71_ASBudgetAmount,Sheet1!S71_A2SubCode,$AC:$AC,Sheet1!S71_ItemType,$AD:$AD)</f>
        <v>0</v>
      </c>
      <c r="J38" s="712">
        <f>-SUMIFS(Sheet1!S71_OY1BudgetAmount,Sheet1!S71_A2SubCode,$AC:$AC,Sheet1!S71_ItemType,$AD:$AD)</f>
        <v>0</v>
      </c>
      <c r="K38" s="713">
        <f>-SUMIFS(Sheet1!S71_OY2BudgetAmount,Sheet1!S71_A2SubCode,$AC:$AC,Sheet1!S71_ItemType,$AD:$AD)</f>
        <v>0</v>
      </c>
      <c r="L38" s="322"/>
      <c r="Q38" s="2226"/>
      <c r="R38" s="2227"/>
      <c r="AC38" s="2310">
        <v>2112</v>
      </c>
      <c r="AD38" s="2310" t="s">
        <v>2759</v>
      </c>
    </row>
    <row r="39" spans="1:30" ht="11.25" customHeight="1" x14ac:dyDescent="0.25">
      <c r="A39" s="2235" t="s">
        <v>2405</v>
      </c>
      <c r="B39" s="144"/>
      <c r="C39" s="712">
        <f>SUMIFS(Sheet1!S71_PPPYearAmount,Sheet1!S71_A2SubCode,$AC:$AC,Sheet1!S71_ItemType,$AD:$AD)</f>
        <v>0</v>
      </c>
      <c r="D39" s="712">
        <f>SUMIFS(Sheet1!S71_PPYearAmount,Sheet1!S71_A2SubCode,$AC:$AC,Sheet1!S71_ItemType,$AD:$AD)</f>
        <v>0</v>
      </c>
      <c r="E39" s="712">
        <f>SUMIFS(Sheet1!S71_PYearAmount,Sheet1!S71_A2SubCode,$AC:$AC,Sheet1!S71_ItemType,$AD:$AD)</f>
        <v>0</v>
      </c>
      <c r="F39" s="725">
        <f>-SUMIFS(Sheet1!S71_OriginalBudAmnt,Sheet1!S71_A2SubCode,$AC:$AC,Sheet1!S71_ItemType,$AD:$AD)</f>
        <v>0</v>
      </c>
      <c r="G39" s="712">
        <f>-SUMIFS(Sheet1!S71_AdjustmentBudAmnt,Sheet1!S71_A2SubCode,$AC:$AC,Sheet1!S71_ItemType,$AD:$AD)</f>
        <v>0</v>
      </c>
      <c r="H39" s="713">
        <f>-SUMIFS(Sheet1!S71_AdjustmentBudAmnt,Sheet1!S71_A2SubCode,$AC:$AC,Sheet1!S71_ItemType,$AD:$AD)</f>
        <v>0</v>
      </c>
      <c r="I39" s="725">
        <f>-SUMIFS(Sheet1!S71_ASBudgetAmount,Sheet1!S71_A2SubCode,$AC:$AC,Sheet1!S71_ItemType,$AD:$AD)</f>
        <v>0</v>
      </c>
      <c r="J39" s="712">
        <f>-SUMIFS(Sheet1!S71_OY1BudgetAmount,Sheet1!S71_A2SubCode,$AC:$AC,Sheet1!S71_ItemType,$AD:$AD)</f>
        <v>0</v>
      </c>
      <c r="K39" s="713">
        <f>-SUMIFS(Sheet1!S71_OY2BudgetAmount,Sheet1!S71_A2SubCode,$AC:$AC,Sheet1!S71_ItemType,$AD:$AD)</f>
        <v>0</v>
      </c>
      <c r="L39" s="322"/>
      <c r="Q39" s="2226"/>
      <c r="R39" s="2227"/>
      <c r="AC39" s="2310">
        <v>2113</v>
      </c>
      <c r="AD39" s="2310" t="s">
        <v>2759</v>
      </c>
    </row>
    <row r="40" spans="1:30" ht="11.25" customHeight="1" x14ac:dyDescent="0.25">
      <c r="A40" s="2235" t="s">
        <v>1444</v>
      </c>
      <c r="B40" s="144"/>
      <c r="C40" s="712">
        <f>SUMIFS(Sheet1!S71_PPPYearAmount,Sheet1!S71_A2SubCode,$AC:$AC,Sheet1!S71_ItemType,$AD:$AD)</f>
        <v>1378687</v>
      </c>
      <c r="D40" s="712">
        <f>SUMIFS(Sheet1!S71_PPYearAmount,Sheet1!S71_A2SubCode,$AC:$AC,Sheet1!S71_ItemType,$AD:$AD)</f>
        <v>2061132</v>
      </c>
      <c r="E40" s="712">
        <f>SUMIFS(Sheet1!S71_PYearAmount,Sheet1!S71_A2SubCode,$AC:$AC,Sheet1!S71_ItemType,$AD:$AD)</f>
        <v>1732352</v>
      </c>
      <c r="F40" s="725">
        <f>-SUMIFS(Sheet1!S71_OriginalBudAmnt,Sheet1!S71_A2SubCode,$AC:$AC,Sheet1!S71_ItemType,$AD:$AD)</f>
        <v>1839594</v>
      </c>
      <c r="G40" s="712">
        <f>-SUMIFS(Sheet1!S71_AdjustmentBudAmnt,Sheet1!S71_A2SubCode,$AC:$AC,Sheet1!S71_ItemType,$AD:$AD)</f>
        <v>1839594</v>
      </c>
      <c r="H40" s="713">
        <f>-SUMIFS(Sheet1!S71_AdjustmentBudAmnt,Sheet1!S71_A2SubCode,$AC:$AC,Sheet1!S71_ItemType,$AD:$AD)</f>
        <v>1839594</v>
      </c>
      <c r="I40" s="725">
        <f>-SUMIFS(Sheet1!S71_ASBudgetAmount,Sheet1!S71_A2SubCode,$AC:$AC,Sheet1!S71_ItemType,$AD:$AD)</f>
        <v>1933474</v>
      </c>
      <c r="J40" s="712">
        <f>-SUMIFS(Sheet1!S71_OY1BudgetAmount,Sheet1!S71_A2SubCode,$AC:$AC,Sheet1!S71_ItemType,$AD:$AD)</f>
        <v>1934414</v>
      </c>
      <c r="K40" s="713">
        <f>-SUMIFS(Sheet1!S71_OY2BudgetAmount,Sheet1!S71_A2SubCode,$AC:$AC,Sheet1!S71_ItemType,$AD:$AD)</f>
        <v>1935391</v>
      </c>
      <c r="L40" s="322"/>
      <c r="Q40" s="2226"/>
      <c r="R40" s="2227"/>
      <c r="AC40" s="2310">
        <v>2114</v>
      </c>
      <c r="AD40" s="2310" t="s">
        <v>2759</v>
      </c>
    </row>
    <row r="41" spans="1:30" ht="11.25" customHeight="1" x14ac:dyDescent="0.25">
      <c r="A41" s="2235" t="s">
        <v>2406</v>
      </c>
      <c r="B41" s="144"/>
      <c r="C41" s="712">
        <f>SUMIFS(Sheet1!S71_PPPYearAmount,Sheet1!S71_A2SubCode,$AC:$AC,Sheet1!S71_ItemType,$AD:$AD)</f>
        <v>0</v>
      </c>
      <c r="D41" s="712">
        <f>SUMIFS(Sheet1!S71_PPYearAmount,Sheet1!S71_A2SubCode,$AC:$AC,Sheet1!S71_ItemType,$AD:$AD)</f>
        <v>0</v>
      </c>
      <c r="E41" s="712">
        <f>SUMIFS(Sheet1!S71_PYearAmount,Sheet1!S71_A2SubCode,$AC:$AC,Sheet1!S71_ItemType,$AD:$AD)</f>
        <v>0</v>
      </c>
      <c r="F41" s="725">
        <f>-SUMIFS(Sheet1!S71_OriginalBudAmnt,Sheet1!S71_A2SubCode,$AC:$AC,Sheet1!S71_ItemType,$AD:$AD)</f>
        <v>0</v>
      </c>
      <c r="G41" s="712">
        <f>-SUMIFS(Sheet1!S71_AdjustmentBudAmnt,Sheet1!S71_A2SubCode,$AC:$AC,Sheet1!S71_ItemType,$AD:$AD)</f>
        <v>0</v>
      </c>
      <c r="H41" s="713">
        <f>-SUMIFS(Sheet1!S71_AdjustmentBudAmnt,Sheet1!S71_A2SubCode,$AC:$AC,Sheet1!S71_ItemType,$AD:$AD)</f>
        <v>0</v>
      </c>
      <c r="I41" s="725">
        <f>-SUMIFS(Sheet1!S71_ASBudgetAmount,Sheet1!S71_A2SubCode,$AC:$AC,Sheet1!S71_ItemType,$AD:$AD)</f>
        <v>0</v>
      </c>
      <c r="J41" s="712">
        <f>-SUMIFS(Sheet1!S71_OY1BudgetAmount,Sheet1!S71_A2SubCode,$AC:$AC,Sheet1!S71_ItemType,$AD:$AD)</f>
        <v>0</v>
      </c>
      <c r="K41" s="713">
        <f>-SUMIFS(Sheet1!S71_OY2BudgetAmount,Sheet1!S71_A2SubCode,$AC:$AC,Sheet1!S71_ItemType,$AD:$AD)</f>
        <v>0</v>
      </c>
      <c r="L41" s="322"/>
      <c r="Q41" s="2226"/>
      <c r="R41" s="2227"/>
      <c r="AC41" s="2310">
        <v>2115</v>
      </c>
      <c r="AD41" s="2310" t="s">
        <v>2759</v>
      </c>
    </row>
    <row r="42" spans="1:30" ht="11.25" customHeight="1" x14ac:dyDescent="0.25">
      <c r="A42" s="2235" t="s">
        <v>2407</v>
      </c>
      <c r="B42" s="144"/>
      <c r="C42" s="712">
        <f>SUMIFS(Sheet1!S71_PPPYearAmount,Sheet1!S71_A2SubCode,$AC:$AC,Sheet1!S71_ItemType,$AD:$AD)</f>
        <v>0</v>
      </c>
      <c r="D42" s="712">
        <f>SUMIFS(Sheet1!S71_PPYearAmount,Sheet1!S71_A2SubCode,$AC:$AC,Sheet1!S71_ItemType,$AD:$AD)</f>
        <v>0</v>
      </c>
      <c r="E42" s="712">
        <f>SUMIFS(Sheet1!S71_PYearAmount,Sheet1!S71_A2SubCode,$AC:$AC,Sheet1!S71_ItemType,$AD:$AD)</f>
        <v>0</v>
      </c>
      <c r="F42" s="725">
        <f>-SUMIFS(Sheet1!S71_OriginalBudAmnt,Sheet1!S71_A2SubCode,$AC:$AC,Sheet1!S71_ItemType,$AD:$AD)</f>
        <v>0</v>
      </c>
      <c r="G42" s="712">
        <f>-SUMIFS(Sheet1!S71_AdjustmentBudAmnt,Sheet1!S71_A2SubCode,$AC:$AC,Sheet1!S71_ItemType,$AD:$AD)</f>
        <v>0</v>
      </c>
      <c r="H42" s="713">
        <f>-SUMIFS(Sheet1!S71_AdjustmentBudAmnt,Sheet1!S71_A2SubCode,$AC:$AC,Sheet1!S71_ItemType,$AD:$AD)</f>
        <v>0</v>
      </c>
      <c r="I42" s="725">
        <f>-SUMIFS(Sheet1!S71_ASBudgetAmount,Sheet1!S71_A2SubCode,$AC:$AC,Sheet1!S71_ItemType,$AD:$AD)</f>
        <v>0</v>
      </c>
      <c r="J42" s="712">
        <f>-SUMIFS(Sheet1!S71_OY1BudgetAmount,Sheet1!S71_A2SubCode,$AC:$AC,Sheet1!S71_ItemType,$AD:$AD)</f>
        <v>0</v>
      </c>
      <c r="K42" s="713">
        <f>-SUMIFS(Sheet1!S71_OY2BudgetAmount,Sheet1!S71_A2SubCode,$AC:$AC,Sheet1!S71_ItemType,$AD:$AD)</f>
        <v>0</v>
      </c>
      <c r="L42" s="322"/>
      <c r="Q42" s="2226"/>
      <c r="R42" s="2227"/>
      <c r="AC42" s="2310">
        <v>2116</v>
      </c>
      <c r="AD42" s="2310" t="s">
        <v>2759</v>
      </c>
    </row>
    <row r="43" spans="1:30" ht="11.25" customHeight="1" x14ac:dyDescent="0.25">
      <c r="A43" s="2235" t="s">
        <v>2408</v>
      </c>
      <c r="B43" s="144"/>
      <c r="C43" s="712">
        <f>SUMIFS(Sheet1!S71_PPPYearAmount,Sheet1!S71_A2SubCode,$AC:$AC,Sheet1!S71_ItemType,$AD:$AD)</f>
        <v>0</v>
      </c>
      <c r="D43" s="712">
        <f>SUMIFS(Sheet1!S71_PPYearAmount,Sheet1!S71_A2SubCode,$AC:$AC,Sheet1!S71_ItemType,$AD:$AD)</f>
        <v>0</v>
      </c>
      <c r="E43" s="712">
        <f>SUMIFS(Sheet1!S71_PYearAmount,Sheet1!S71_A2SubCode,$AC:$AC,Sheet1!S71_ItemType,$AD:$AD)</f>
        <v>0</v>
      </c>
      <c r="F43" s="725">
        <f>-SUMIFS(Sheet1!S71_OriginalBudAmnt,Sheet1!S71_A2SubCode,$AC:$AC,Sheet1!S71_ItemType,$AD:$AD)</f>
        <v>0</v>
      </c>
      <c r="G43" s="712">
        <f>-SUMIFS(Sheet1!S71_AdjustmentBudAmnt,Sheet1!S71_A2SubCode,$AC:$AC,Sheet1!S71_ItemType,$AD:$AD)</f>
        <v>0</v>
      </c>
      <c r="H43" s="713">
        <f>-SUMIFS(Sheet1!S71_AdjustmentBudAmnt,Sheet1!S71_A2SubCode,$AC:$AC,Sheet1!S71_ItemType,$AD:$AD)</f>
        <v>0</v>
      </c>
      <c r="I43" s="725">
        <f>-SUMIFS(Sheet1!S71_ASBudgetAmount,Sheet1!S71_A2SubCode,$AC:$AC,Sheet1!S71_ItemType,$AD:$AD)</f>
        <v>0</v>
      </c>
      <c r="J43" s="712">
        <f>-SUMIFS(Sheet1!S71_OY1BudgetAmount,Sheet1!S71_A2SubCode,$AC:$AC,Sheet1!S71_ItemType,$AD:$AD)</f>
        <v>0</v>
      </c>
      <c r="K43" s="713">
        <f>-SUMIFS(Sheet1!S71_OY2BudgetAmount,Sheet1!S71_A2SubCode,$AC:$AC,Sheet1!S71_ItemType,$AD:$AD)</f>
        <v>0</v>
      </c>
      <c r="L43" s="322"/>
      <c r="Q43" s="2226"/>
      <c r="R43" s="2227"/>
      <c r="AC43" s="2310">
        <v>2117</v>
      </c>
      <c r="AD43" s="2310" t="s">
        <v>2759</v>
      </c>
    </row>
    <row r="44" spans="1:30" ht="11.25" customHeight="1" x14ac:dyDescent="0.25">
      <c r="A44" s="2235" t="s">
        <v>2409</v>
      </c>
      <c r="B44" s="144"/>
      <c r="C44" s="712">
        <f>SUMIFS(Sheet1!S71_PPPYearAmount,Sheet1!S71_A2SubCode,$AC:$AC,Sheet1!S71_ItemType,$AD:$AD)</f>
        <v>0</v>
      </c>
      <c r="D44" s="712">
        <f>SUMIFS(Sheet1!S71_PPYearAmount,Sheet1!S71_A2SubCode,$AC:$AC,Sheet1!S71_ItemType,$AD:$AD)</f>
        <v>0</v>
      </c>
      <c r="E44" s="712">
        <f>SUMIFS(Sheet1!S71_PYearAmount,Sheet1!S71_A2SubCode,$AC:$AC,Sheet1!S71_ItemType,$AD:$AD)</f>
        <v>0</v>
      </c>
      <c r="F44" s="725">
        <f>-SUMIFS(Sheet1!S71_OriginalBudAmnt,Sheet1!S71_A2SubCode,$AC:$AC,Sheet1!S71_ItemType,$AD:$AD)</f>
        <v>0</v>
      </c>
      <c r="G44" s="712">
        <f>-SUMIFS(Sheet1!S71_AdjustmentBudAmnt,Sheet1!S71_A2SubCode,$AC:$AC,Sheet1!S71_ItemType,$AD:$AD)</f>
        <v>0</v>
      </c>
      <c r="H44" s="713">
        <f>-SUMIFS(Sheet1!S71_AdjustmentBudAmnt,Sheet1!S71_A2SubCode,$AC:$AC,Sheet1!S71_ItemType,$AD:$AD)</f>
        <v>0</v>
      </c>
      <c r="I44" s="725">
        <f>-SUMIFS(Sheet1!S71_ASBudgetAmount,Sheet1!S71_A2SubCode,$AC:$AC,Sheet1!S71_ItemType,$AD:$AD)</f>
        <v>0</v>
      </c>
      <c r="J44" s="712">
        <f>-SUMIFS(Sheet1!S71_OY1BudgetAmount,Sheet1!S71_A2SubCode,$AC:$AC,Sheet1!S71_ItemType,$AD:$AD)</f>
        <v>0</v>
      </c>
      <c r="K44" s="713">
        <f>-SUMIFS(Sheet1!S71_OY2BudgetAmount,Sheet1!S71_A2SubCode,$AC:$AC,Sheet1!S71_ItemType,$AD:$AD)</f>
        <v>0</v>
      </c>
      <c r="L44" s="322"/>
      <c r="Q44" s="2226"/>
      <c r="R44" s="2227"/>
      <c r="AC44" s="2310">
        <v>2118</v>
      </c>
      <c r="AD44" s="2310" t="s">
        <v>2759</v>
      </c>
    </row>
    <row r="45" spans="1:30" ht="11.25" customHeight="1" x14ac:dyDescent="0.25">
      <c r="A45" s="2235" t="s">
        <v>2410</v>
      </c>
      <c r="B45" s="144"/>
      <c r="C45" s="712">
        <f>SUMIFS(Sheet1!S71_PPPYearAmount,Sheet1!S71_A2SubCode,$AC:$AC,Sheet1!S71_ItemType,$AD:$AD)</f>
        <v>0</v>
      </c>
      <c r="D45" s="712">
        <f>SUMIFS(Sheet1!S71_PPYearAmount,Sheet1!S71_A2SubCode,$AC:$AC,Sheet1!S71_ItemType,$AD:$AD)</f>
        <v>0</v>
      </c>
      <c r="E45" s="712">
        <f>SUMIFS(Sheet1!S71_PYearAmount,Sheet1!S71_A2SubCode,$AC:$AC,Sheet1!S71_ItemType,$AD:$AD)</f>
        <v>0</v>
      </c>
      <c r="F45" s="725">
        <f>-SUMIFS(Sheet1!S71_OriginalBudAmnt,Sheet1!S71_A2SubCode,$AC:$AC,Sheet1!S71_ItemType,$AD:$AD)</f>
        <v>0</v>
      </c>
      <c r="G45" s="712">
        <f>-SUMIFS(Sheet1!S71_AdjustmentBudAmnt,Sheet1!S71_A2SubCode,$AC:$AC,Sheet1!S71_ItemType,$AD:$AD)</f>
        <v>0</v>
      </c>
      <c r="H45" s="713">
        <f>-SUMIFS(Sheet1!S71_AdjustmentBudAmnt,Sheet1!S71_A2SubCode,$AC:$AC,Sheet1!S71_ItemType,$AD:$AD)</f>
        <v>0</v>
      </c>
      <c r="I45" s="725">
        <f>-SUMIFS(Sheet1!S71_ASBudgetAmount,Sheet1!S71_A2SubCode,$AC:$AC,Sheet1!S71_ItemType,$AD:$AD)</f>
        <v>0</v>
      </c>
      <c r="J45" s="712">
        <f>-SUMIFS(Sheet1!S71_OY1BudgetAmount,Sheet1!S71_A2SubCode,$AC:$AC,Sheet1!S71_ItemType,$AD:$AD)</f>
        <v>0</v>
      </c>
      <c r="K45" s="713">
        <f>-SUMIFS(Sheet1!S71_OY2BudgetAmount,Sheet1!S71_A2SubCode,$AC:$AC,Sheet1!S71_ItemType,$AD:$AD)</f>
        <v>0</v>
      </c>
      <c r="L45" s="322"/>
      <c r="Q45" s="2226"/>
      <c r="R45" s="2227"/>
      <c r="AC45" s="2310">
        <v>2119</v>
      </c>
      <c r="AD45" s="2310" t="s">
        <v>2759</v>
      </c>
    </row>
    <row r="46" spans="1:30" ht="11.25" customHeight="1" x14ac:dyDescent="0.25">
      <c r="A46" s="2235" t="s">
        <v>2292</v>
      </c>
      <c r="B46" s="144"/>
      <c r="C46" s="712">
        <f>SUMIFS(Sheet1!S71_PPPYearAmount,Sheet1!S71_A2SubCode,$AC:$AC,Sheet1!S71_ItemType,$AD:$AD)</f>
        <v>0</v>
      </c>
      <c r="D46" s="712">
        <f>SUMIFS(Sheet1!S71_PPYearAmount,Sheet1!S71_A2SubCode,$AC:$AC,Sheet1!S71_ItemType,$AD:$AD)</f>
        <v>0</v>
      </c>
      <c r="E46" s="712">
        <f>SUMIFS(Sheet1!S71_PYearAmount,Sheet1!S71_A2SubCode,$AC:$AC,Sheet1!S71_ItemType,$AD:$AD)</f>
        <v>0</v>
      </c>
      <c r="F46" s="725">
        <f>-SUMIFS(Sheet1!S71_OriginalBudAmnt,Sheet1!S71_A2SubCode,$AC:$AC,Sheet1!S71_ItemType,$AD:$AD)</f>
        <v>0</v>
      </c>
      <c r="G46" s="712">
        <f>-SUMIFS(Sheet1!S71_AdjustmentBudAmnt,Sheet1!S71_A2SubCode,$AC:$AC,Sheet1!S71_ItemType,$AD:$AD)</f>
        <v>0</v>
      </c>
      <c r="H46" s="713">
        <f>-SUMIFS(Sheet1!S71_AdjustmentBudAmnt,Sheet1!S71_A2SubCode,$AC:$AC,Sheet1!S71_ItemType,$AD:$AD)</f>
        <v>0</v>
      </c>
      <c r="I46" s="725">
        <f>-SUMIFS(Sheet1!S71_ASBudgetAmount,Sheet1!S71_A2SubCode,$AC:$AC,Sheet1!S71_ItemType,$AD:$AD)</f>
        <v>0</v>
      </c>
      <c r="J46" s="712">
        <f>-SUMIFS(Sheet1!S71_OY1BudgetAmount,Sheet1!S71_A2SubCode,$AC:$AC,Sheet1!S71_ItemType,$AD:$AD)</f>
        <v>0</v>
      </c>
      <c r="K46" s="713">
        <f>-SUMIFS(Sheet1!S71_OY2BudgetAmount,Sheet1!S71_A2SubCode,$AC:$AC,Sheet1!S71_ItemType,$AD:$AD)</f>
        <v>0</v>
      </c>
      <c r="L46" s="322"/>
      <c r="Q46" s="2226"/>
      <c r="R46" s="2227"/>
      <c r="AC46" s="2310">
        <v>2120</v>
      </c>
      <c r="AD46" s="2310" t="s">
        <v>2759</v>
      </c>
    </row>
    <row r="47" spans="1:30" ht="11.25" customHeight="1" x14ac:dyDescent="0.25">
      <c r="A47" s="2235" t="s">
        <v>2411</v>
      </c>
      <c r="B47" s="144"/>
      <c r="C47" s="712">
        <f>SUMIFS(Sheet1!S71_PPPYearAmount,Sheet1!S71_A2SubCode,$AC:$AC,Sheet1!S71_ItemType,$AD:$AD)</f>
        <v>0</v>
      </c>
      <c r="D47" s="712">
        <f>SUMIFS(Sheet1!S71_PPYearAmount,Sheet1!S71_A2SubCode,$AC:$AC,Sheet1!S71_ItemType,$AD:$AD)</f>
        <v>0</v>
      </c>
      <c r="E47" s="712">
        <f>SUMIFS(Sheet1!S71_PYearAmount,Sheet1!S71_A2SubCode,$AC:$AC,Sheet1!S71_ItemType,$AD:$AD)</f>
        <v>0</v>
      </c>
      <c r="F47" s="725">
        <f>-SUMIFS(Sheet1!S71_OriginalBudAmnt,Sheet1!S71_A2SubCode,$AC:$AC,Sheet1!S71_ItemType,$AD:$AD)</f>
        <v>0</v>
      </c>
      <c r="G47" s="712">
        <f>-SUMIFS(Sheet1!S71_AdjustmentBudAmnt,Sheet1!S71_A2SubCode,$AC:$AC,Sheet1!S71_ItemType,$AD:$AD)</f>
        <v>0</v>
      </c>
      <c r="H47" s="713">
        <f>-SUMIFS(Sheet1!S71_AdjustmentBudAmnt,Sheet1!S71_A2SubCode,$AC:$AC,Sheet1!S71_ItemType,$AD:$AD)</f>
        <v>0</v>
      </c>
      <c r="I47" s="725">
        <f>-SUMIFS(Sheet1!S71_ASBudgetAmount,Sheet1!S71_A2SubCode,$AC:$AC,Sheet1!S71_ItemType,$AD:$AD)</f>
        <v>0</v>
      </c>
      <c r="J47" s="712">
        <f>-SUMIFS(Sheet1!S71_OY1BudgetAmount,Sheet1!S71_A2SubCode,$AC:$AC,Sheet1!S71_ItemType,$AD:$AD)</f>
        <v>0</v>
      </c>
      <c r="K47" s="713">
        <f>-SUMIFS(Sheet1!S71_OY2BudgetAmount,Sheet1!S71_A2SubCode,$AC:$AC,Sheet1!S71_ItemType,$AD:$AD)</f>
        <v>0</v>
      </c>
      <c r="L47" s="322"/>
      <c r="Q47" s="2226"/>
      <c r="R47" s="2227"/>
      <c r="AC47" s="2310">
        <v>2121</v>
      </c>
      <c r="AD47" s="2310" t="s">
        <v>2759</v>
      </c>
    </row>
    <row r="48" spans="1:30" ht="11.25" customHeight="1" x14ac:dyDescent="0.25">
      <c r="A48" s="241" t="s">
        <v>124</v>
      </c>
      <c r="B48" s="144"/>
      <c r="C48" s="106">
        <f>SUM(C49:C53)</f>
        <v>0</v>
      </c>
      <c r="D48" s="106">
        <f t="shared" ref="D48:K48" si="6">SUM(D49:D53)</f>
        <v>24941</v>
      </c>
      <c r="E48" s="359">
        <f t="shared" si="6"/>
        <v>25059</v>
      </c>
      <c r="F48" s="107">
        <f t="shared" si="6"/>
        <v>0</v>
      </c>
      <c r="G48" s="106">
        <f t="shared" si="6"/>
        <v>0</v>
      </c>
      <c r="H48" s="359">
        <f t="shared" si="6"/>
        <v>0</v>
      </c>
      <c r="I48" s="107">
        <f t="shared" si="6"/>
        <v>0</v>
      </c>
      <c r="J48" s="106">
        <f t="shared" si="6"/>
        <v>0</v>
      </c>
      <c r="K48" s="359">
        <f t="shared" si="6"/>
        <v>0</v>
      </c>
      <c r="L48" s="322"/>
      <c r="Q48" s="2226"/>
      <c r="R48" s="2227"/>
      <c r="AC48" s="2309"/>
      <c r="AD48" s="2309"/>
    </row>
    <row r="49" spans="1:30" ht="11.25" customHeight="1" x14ac:dyDescent="0.25">
      <c r="A49" s="2235" t="s">
        <v>2386</v>
      </c>
      <c r="B49" s="144"/>
      <c r="C49" s="712">
        <f>SUMIFS(Sheet1!S71_PPPYearAmount,Sheet1!S71_A2SubCode,$AC:$AC,Sheet1!S71_ItemType,$AD:$AD)</f>
        <v>0</v>
      </c>
      <c r="D49" s="712">
        <f>SUMIFS(Sheet1!S71_PPYearAmount,Sheet1!S71_A2SubCode,$AC:$AC,Sheet1!S71_ItemType,$AD:$AD)</f>
        <v>0</v>
      </c>
      <c r="E49" s="712">
        <f>SUMIFS(Sheet1!S71_PYearAmount,Sheet1!S71_A2SubCode,$AC:$AC,Sheet1!S71_ItemType,$AD:$AD)</f>
        <v>0</v>
      </c>
      <c r="F49" s="725">
        <f>-SUMIFS(Sheet1!S71_OriginalBudAmnt,Sheet1!S71_A2SubCode,$AC:$AC,Sheet1!S71_ItemType,$AD:$AD)</f>
        <v>0</v>
      </c>
      <c r="G49" s="712">
        <f>-SUMIFS(Sheet1!S71_AdjustmentBudAmnt,Sheet1!S71_A2SubCode,$AC:$AC,Sheet1!S71_ItemType,$AD:$AD)</f>
        <v>0</v>
      </c>
      <c r="H49" s="713">
        <f>-SUMIFS(Sheet1!S71_AdjustmentBudAmnt,Sheet1!S71_A2SubCode,$AC:$AC,Sheet1!S71_ItemType,$AD:$AD)</f>
        <v>0</v>
      </c>
      <c r="I49" s="725">
        <f>-SUMIFS(Sheet1!S71_ASBudgetAmount,Sheet1!S71_A2SubCode,$AC:$AC,Sheet1!S71_ItemType,$AD:$AD)</f>
        <v>0</v>
      </c>
      <c r="J49" s="712">
        <f>-SUMIFS(Sheet1!S71_OY1BudgetAmount,Sheet1!S71_A2SubCode,$AC:$AC,Sheet1!S71_ItemType,$AD:$AD)</f>
        <v>0</v>
      </c>
      <c r="K49" s="713">
        <f>-SUMIFS(Sheet1!S71_OY2BudgetAmount,Sheet1!S71_A2SubCode,$AC:$AC,Sheet1!S71_ItemType,$AD:$AD)</f>
        <v>0</v>
      </c>
      <c r="L49" s="322"/>
      <c r="Q49" s="2226"/>
      <c r="R49" s="2227"/>
      <c r="AC49" s="2310">
        <v>2201</v>
      </c>
      <c r="AD49" s="2310" t="s">
        <v>2759</v>
      </c>
    </row>
    <row r="50" spans="1:30" ht="11.25" customHeight="1" x14ac:dyDescent="0.25">
      <c r="A50" s="2235" t="s">
        <v>2387</v>
      </c>
      <c r="B50" s="144"/>
      <c r="C50" s="712">
        <f>SUMIFS(Sheet1!S71_PPPYearAmount,Sheet1!S71_A2SubCode,$AC:$AC,Sheet1!S71_ItemType,$AD:$AD)</f>
        <v>0</v>
      </c>
      <c r="D50" s="712">
        <f>SUMIFS(Sheet1!S71_PPYearAmount,Sheet1!S71_A2SubCode,$AC:$AC,Sheet1!S71_ItemType,$AD:$AD)</f>
        <v>0</v>
      </c>
      <c r="E50" s="712">
        <f>SUMIFS(Sheet1!S71_PYearAmount,Sheet1!S71_A2SubCode,$AC:$AC,Sheet1!S71_ItemType,$AD:$AD)</f>
        <v>0</v>
      </c>
      <c r="F50" s="725">
        <f>-SUMIFS(Sheet1!S71_OriginalBudAmnt,Sheet1!S71_A2SubCode,$AC:$AC,Sheet1!S71_ItemType,$AD:$AD)</f>
        <v>0</v>
      </c>
      <c r="G50" s="712">
        <f>-SUMIFS(Sheet1!S71_AdjustmentBudAmnt,Sheet1!S71_A2SubCode,$AC:$AC,Sheet1!S71_ItemType,$AD:$AD)</f>
        <v>0</v>
      </c>
      <c r="H50" s="713">
        <f>-SUMIFS(Sheet1!S71_AdjustmentBudAmnt,Sheet1!S71_A2SubCode,$AC:$AC,Sheet1!S71_ItemType,$AD:$AD)</f>
        <v>0</v>
      </c>
      <c r="I50" s="725">
        <f>-SUMIFS(Sheet1!S71_ASBudgetAmount,Sheet1!S71_A2SubCode,$AC:$AC,Sheet1!S71_ItemType,$AD:$AD)</f>
        <v>0</v>
      </c>
      <c r="J50" s="712">
        <f>-SUMIFS(Sheet1!S71_OY1BudgetAmount,Sheet1!S71_A2SubCode,$AC:$AC,Sheet1!S71_ItemType,$AD:$AD)</f>
        <v>0</v>
      </c>
      <c r="K50" s="713">
        <f>-SUMIFS(Sheet1!S71_OY2BudgetAmount,Sheet1!S71_A2SubCode,$AC:$AC,Sheet1!S71_ItemType,$AD:$AD)</f>
        <v>0</v>
      </c>
      <c r="L50" s="322"/>
      <c r="Q50" s="2226"/>
      <c r="R50" s="2227"/>
      <c r="AC50" s="2310">
        <v>2202</v>
      </c>
      <c r="AD50" s="2310" t="s">
        <v>2759</v>
      </c>
    </row>
    <row r="51" spans="1:30" ht="11.25" customHeight="1" x14ac:dyDescent="0.25">
      <c r="A51" s="2235" t="s">
        <v>2388</v>
      </c>
      <c r="B51" s="144"/>
      <c r="C51" s="712">
        <f>SUMIFS(Sheet1!S71_PPPYearAmount,Sheet1!S71_A2SubCode,$AC:$AC,Sheet1!S71_ItemType,$AD:$AD)</f>
        <v>0</v>
      </c>
      <c r="D51" s="712">
        <f>SUMIFS(Sheet1!S71_PPYearAmount,Sheet1!S71_A2SubCode,$AC:$AC,Sheet1!S71_ItemType,$AD:$AD)</f>
        <v>0</v>
      </c>
      <c r="E51" s="712">
        <f>SUMIFS(Sheet1!S71_PYearAmount,Sheet1!S71_A2SubCode,$AC:$AC,Sheet1!S71_ItemType,$AD:$AD)</f>
        <v>0</v>
      </c>
      <c r="F51" s="725">
        <f>-SUMIFS(Sheet1!S71_OriginalBudAmnt,Sheet1!S71_A2SubCode,$AC:$AC,Sheet1!S71_ItemType,$AD:$AD)</f>
        <v>0</v>
      </c>
      <c r="G51" s="712">
        <f>-SUMIFS(Sheet1!S71_AdjustmentBudAmnt,Sheet1!S71_A2SubCode,$AC:$AC,Sheet1!S71_ItemType,$AD:$AD)</f>
        <v>0</v>
      </c>
      <c r="H51" s="713">
        <f>-SUMIFS(Sheet1!S71_AdjustmentBudAmnt,Sheet1!S71_A2SubCode,$AC:$AC,Sheet1!S71_ItemType,$AD:$AD)</f>
        <v>0</v>
      </c>
      <c r="I51" s="725">
        <f>-SUMIFS(Sheet1!S71_ASBudgetAmount,Sheet1!S71_A2SubCode,$AC:$AC,Sheet1!S71_ItemType,$AD:$AD)</f>
        <v>0</v>
      </c>
      <c r="J51" s="712">
        <f>-SUMIFS(Sheet1!S71_OY1BudgetAmount,Sheet1!S71_A2SubCode,$AC:$AC,Sheet1!S71_ItemType,$AD:$AD)</f>
        <v>0</v>
      </c>
      <c r="K51" s="713">
        <f>-SUMIFS(Sheet1!S71_OY2BudgetAmount,Sheet1!S71_A2SubCode,$AC:$AC,Sheet1!S71_ItemType,$AD:$AD)</f>
        <v>0</v>
      </c>
      <c r="L51" s="322"/>
      <c r="Q51" s="2226"/>
      <c r="R51" s="2227"/>
      <c r="AC51" s="2310">
        <v>2203</v>
      </c>
      <c r="AD51" s="2310" t="s">
        <v>2759</v>
      </c>
    </row>
    <row r="52" spans="1:30" ht="11.25" customHeight="1" x14ac:dyDescent="0.25">
      <c r="A52" s="2235" t="s">
        <v>2389</v>
      </c>
      <c r="B52" s="144"/>
      <c r="C52" s="712">
        <f>SUMIFS(Sheet1!S71_PPPYearAmount,Sheet1!S71_A2SubCode,$AC:$AC,Sheet1!S71_ItemType,$AD:$AD)</f>
        <v>0</v>
      </c>
      <c r="D52" s="712">
        <f>SUMIFS(Sheet1!S71_PPYearAmount,Sheet1!S71_A2SubCode,$AC:$AC,Sheet1!S71_ItemType,$AD:$AD)</f>
        <v>0</v>
      </c>
      <c r="E52" s="712">
        <f>SUMIFS(Sheet1!S71_PYearAmount,Sheet1!S71_A2SubCode,$AC:$AC,Sheet1!S71_ItemType,$AD:$AD)</f>
        <v>0</v>
      </c>
      <c r="F52" s="725">
        <f>-SUMIFS(Sheet1!S71_OriginalBudAmnt,Sheet1!S71_A2SubCode,$AC:$AC,Sheet1!S71_ItemType,$AD:$AD)</f>
        <v>0</v>
      </c>
      <c r="G52" s="712">
        <f>-SUMIFS(Sheet1!S71_AdjustmentBudAmnt,Sheet1!S71_A2SubCode,$AC:$AC,Sheet1!S71_ItemType,$AD:$AD)</f>
        <v>0</v>
      </c>
      <c r="H52" s="713">
        <f>-SUMIFS(Sheet1!S71_AdjustmentBudAmnt,Sheet1!S71_A2SubCode,$AC:$AC,Sheet1!S71_ItemType,$AD:$AD)</f>
        <v>0</v>
      </c>
      <c r="I52" s="725">
        <f>-SUMIFS(Sheet1!S71_ASBudgetAmount,Sheet1!S71_A2SubCode,$AC:$AC,Sheet1!S71_ItemType,$AD:$AD)</f>
        <v>0</v>
      </c>
      <c r="J52" s="712">
        <f>-SUMIFS(Sheet1!S71_OY1BudgetAmount,Sheet1!S71_A2SubCode,$AC:$AC,Sheet1!S71_ItemType,$AD:$AD)</f>
        <v>0</v>
      </c>
      <c r="K52" s="713">
        <f>-SUMIFS(Sheet1!S71_OY2BudgetAmount,Sheet1!S71_A2SubCode,$AC:$AC,Sheet1!S71_ItemType,$AD:$AD)</f>
        <v>0</v>
      </c>
      <c r="L52" s="322"/>
      <c r="Q52" s="2226"/>
      <c r="R52" s="2227"/>
      <c r="AC52" s="2310">
        <v>2204</v>
      </c>
      <c r="AD52" s="2310" t="s">
        <v>2759</v>
      </c>
    </row>
    <row r="53" spans="1:30" ht="11.25" customHeight="1" x14ac:dyDescent="0.25">
      <c r="A53" s="2235" t="s">
        <v>2390</v>
      </c>
      <c r="B53" s="144"/>
      <c r="C53" s="712">
        <f>SUMIFS(Sheet1!S71_PPPYearAmount,Sheet1!S71_A2SubCode,$AC:$AC,Sheet1!S71_ItemType,$AD:$AD)</f>
        <v>0</v>
      </c>
      <c r="D53" s="712">
        <f>SUMIFS(Sheet1!S71_PPYearAmount,Sheet1!S71_A2SubCode,$AC:$AC,Sheet1!S71_ItemType,$AD:$AD)</f>
        <v>24941</v>
      </c>
      <c r="E53" s="712">
        <f>SUMIFS(Sheet1!S71_PYearAmount,Sheet1!S71_A2SubCode,$AC:$AC,Sheet1!S71_ItemType,$AD:$AD)</f>
        <v>25059</v>
      </c>
      <c r="F53" s="725">
        <f>-SUMIFS(Sheet1!S71_OriginalBudAmnt,Sheet1!S71_A2SubCode,$AC:$AC,Sheet1!S71_ItemType,$AD:$AD)</f>
        <v>0</v>
      </c>
      <c r="G53" s="712">
        <f>-SUMIFS(Sheet1!S71_AdjustmentBudAmnt,Sheet1!S71_A2SubCode,$AC:$AC,Sheet1!S71_ItemType,$AD:$AD)</f>
        <v>0</v>
      </c>
      <c r="H53" s="713">
        <f>-SUMIFS(Sheet1!S71_AdjustmentBudAmnt,Sheet1!S71_A2SubCode,$AC:$AC,Sheet1!S71_ItemType,$AD:$AD)</f>
        <v>0</v>
      </c>
      <c r="I53" s="725">
        <f>-SUMIFS(Sheet1!S71_ASBudgetAmount,Sheet1!S71_A2SubCode,$AC:$AC,Sheet1!S71_ItemType,$AD:$AD)</f>
        <v>0</v>
      </c>
      <c r="J53" s="712">
        <f>-SUMIFS(Sheet1!S71_OY1BudgetAmount,Sheet1!S71_A2SubCode,$AC:$AC,Sheet1!S71_ItemType,$AD:$AD)</f>
        <v>0</v>
      </c>
      <c r="K53" s="713">
        <f>-SUMIFS(Sheet1!S71_OY2BudgetAmount,Sheet1!S71_A2SubCode,$AC:$AC,Sheet1!S71_ItemType,$AD:$AD)</f>
        <v>0</v>
      </c>
      <c r="L53" s="322"/>
      <c r="Q53" s="2226"/>
      <c r="R53" s="2227"/>
      <c r="AC53" s="2310">
        <v>2205</v>
      </c>
      <c r="AD53" s="2310" t="s">
        <v>2759</v>
      </c>
    </row>
    <row r="54" spans="1:30" ht="11.25" customHeight="1" x14ac:dyDescent="0.25">
      <c r="A54" s="241" t="s">
        <v>125</v>
      </c>
      <c r="B54" s="144"/>
      <c r="C54" s="106">
        <f t="shared" ref="C54:K54" si="7">SUM(C55:C62)</f>
        <v>0</v>
      </c>
      <c r="D54" s="106">
        <f t="shared" si="7"/>
        <v>0</v>
      </c>
      <c r="E54" s="359">
        <f t="shared" si="7"/>
        <v>0</v>
      </c>
      <c r="F54" s="107">
        <f t="shared" si="7"/>
        <v>0</v>
      </c>
      <c r="G54" s="106">
        <f t="shared" si="7"/>
        <v>0</v>
      </c>
      <c r="H54" s="359">
        <f t="shared" si="7"/>
        <v>0</v>
      </c>
      <c r="I54" s="107">
        <f t="shared" si="7"/>
        <v>0</v>
      </c>
      <c r="J54" s="106">
        <f t="shared" si="7"/>
        <v>0</v>
      </c>
      <c r="K54" s="359">
        <f t="shared" si="7"/>
        <v>0</v>
      </c>
      <c r="L54" s="322"/>
      <c r="Q54" s="2226"/>
      <c r="R54" s="2227"/>
      <c r="AC54" s="2309"/>
      <c r="AD54" s="2309"/>
    </row>
    <row r="55" spans="1:30" ht="11.25" customHeight="1" x14ac:dyDescent="0.25">
      <c r="A55" s="2235" t="s">
        <v>680</v>
      </c>
      <c r="B55" s="144"/>
      <c r="C55" s="712">
        <f>SUMIFS(Sheet1!S71_PPPYearAmount,Sheet1!S71_A2SubCode,$AC:$AC,Sheet1!S71_ItemType,$AD:$AD)</f>
        <v>0</v>
      </c>
      <c r="D55" s="712">
        <f>SUMIFS(Sheet1!S71_PPYearAmount,Sheet1!S71_A2SubCode,$AC:$AC,Sheet1!S71_ItemType,$AD:$AD)</f>
        <v>0</v>
      </c>
      <c r="E55" s="712">
        <f>SUMIFS(Sheet1!S71_PYearAmount,Sheet1!S71_A2SubCode,$AC:$AC,Sheet1!S71_ItemType,$AD:$AD)</f>
        <v>0</v>
      </c>
      <c r="F55" s="725">
        <f>-SUMIFS(Sheet1!S71_OriginalBudAmnt,Sheet1!S71_A2SubCode,$AC:$AC,Sheet1!S71_ItemType,$AD:$AD)</f>
        <v>0</v>
      </c>
      <c r="G55" s="712">
        <f>-SUMIFS(Sheet1!S71_AdjustmentBudAmnt,Sheet1!S71_A2SubCode,$AC:$AC,Sheet1!S71_ItemType,$AD:$AD)</f>
        <v>0</v>
      </c>
      <c r="H55" s="713">
        <f>-SUMIFS(Sheet1!S71_AdjustmentBudAmnt,Sheet1!S71_A2SubCode,$AC:$AC,Sheet1!S71_ItemType,$AD:$AD)</f>
        <v>0</v>
      </c>
      <c r="I55" s="725">
        <f>-SUMIFS(Sheet1!S71_ASBudgetAmount,Sheet1!S71_A2SubCode,$AC:$AC,Sheet1!S71_ItemType,$AD:$AD)</f>
        <v>0</v>
      </c>
      <c r="J55" s="712">
        <f>-SUMIFS(Sheet1!S71_OY1BudgetAmount,Sheet1!S71_A2SubCode,$AC:$AC,Sheet1!S71_ItemType,$AD:$AD)</f>
        <v>0</v>
      </c>
      <c r="K55" s="713">
        <f>-SUMIFS(Sheet1!S71_OY2BudgetAmount,Sheet1!S71_A2SubCode,$AC:$AC,Sheet1!S71_ItemType,$AD:$AD)</f>
        <v>0</v>
      </c>
      <c r="L55" s="322"/>
      <c r="Q55" s="2226"/>
      <c r="R55" s="2227"/>
      <c r="AC55" s="2310">
        <v>2301</v>
      </c>
      <c r="AD55" s="2310" t="s">
        <v>2759</v>
      </c>
    </row>
    <row r="56" spans="1:30" ht="11.25" customHeight="1" x14ac:dyDescent="0.25">
      <c r="A56" s="2235" t="s">
        <v>2391</v>
      </c>
      <c r="B56" s="144"/>
      <c r="C56" s="712">
        <f>SUMIFS(Sheet1!S71_PPPYearAmount,Sheet1!S71_A2SubCode,$AC:$AC,Sheet1!S71_ItemType,$AD:$AD)</f>
        <v>0</v>
      </c>
      <c r="D56" s="712">
        <f>SUMIFS(Sheet1!S71_PPYearAmount,Sheet1!S71_A2SubCode,$AC:$AC,Sheet1!S71_ItemType,$AD:$AD)</f>
        <v>0</v>
      </c>
      <c r="E56" s="712">
        <f>SUMIFS(Sheet1!S71_PYearAmount,Sheet1!S71_A2SubCode,$AC:$AC,Sheet1!S71_ItemType,$AD:$AD)</f>
        <v>0</v>
      </c>
      <c r="F56" s="725">
        <f>-SUMIFS(Sheet1!S71_OriginalBudAmnt,Sheet1!S71_A2SubCode,$AC:$AC,Sheet1!S71_ItemType,$AD:$AD)</f>
        <v>0</v>
      </c>
      <c r="G56" s="712">
        <f>-SUMIFS(Sheet1!S71_AdjustmentBudAmnt,Sheet1!S71_A2SubCode,$AC:$AC,Sheet1!S71_ItemType,$AD:$AD)</f>
        <v>0</v>
      </c>
      <c r="H56" s="713">
        <f>-SUMIFS(Sheet1!S71_AdjustmentBudAmnt,Sheet1!S71_A2SubCode,$AC:$AC,Sheet1!S71_ItemType,$AD:$AD)</f>
        <v>0</v>
      </c>
      <c r="I56" s="725">
        <f>-SUMIFS(Sheet1!S71_ASBudgetAmount,Sheet1!S71_A2SubCode,$AC:$AC,Sheet1!S71_ItemType,$AD:$AD)</f>
        <v>0</v>
      </c>
      <c r="J56" s="712">
        <f>-SUMIFS(Sheet1!S71_OY1BudgetAmount,Sheet1!S71_A2SubCode,$AC:$AC,Sheet1!S71_ItemType,$AD:$AD)</f>
        <v>0</v>
      </c>
      <c r="K56" s="713">
        <f>-SUMIFS(Sheet1!S71_OY2BudgetAmount,Sheet1!S71_A2SubCode,$AC:$AC,Sheet1!S71_ItemType,$AD:$AD)</f>
        <v>0</v>
      </c>
      <c r="L56" s="322"/>
      <c r="Q56" s="2226"/>
      <c r="R56" s="2227"/>
      <c r="AC56" s="2310">
        <v>2302</v>
      </c>
      <c r="AD56" s="2310" t="s">
        <v>2759</v>
      </c>
    </row>
    <row r="57" spans="1:30" ht="11.25" customHeight="1" x14ac:dyDescent="0.25">
      <c r="A57" s="2235" t="s">
        <v>2392</v>
      </c>
      <c r="B57" s="144"/>
      <c r="C57" s="712">
        <f>SUMIFS(Sheet1!S71_PPPYearAmount,Sheet1!S71_A2SubCode,$AC:$AC,Sheet1!S71_ItemType,$AD:$AD)</f>
        <v>0</v>
      </c>
      <c r="D57" s="712">
        <f>SUMIFS(Sheet1!S71_PPYearAmount,Sheet1!S71_A2SubCode,$AC:$AC,Sheet1!S71_ItemType,$AD:$AD)</f>
        <v>0</v>
      </c>
      <c r="E57" s="712">
        <f>SUMIFS(Sheet1!S71_PYearAmount,Sheet1!S71_A2SubCode,$AC:$AC,Sheet1!S71_ItemType,$AD:$AD)</f>
        <v>0</v>
      </c>
      <c r="F57" s="725">
        <f>-SUMIFS(Sheet1!S71_OriginalBudAmnt,Sheet1!S71_A2SubCode,$AC:$AC,Sheet1!S71_ItemType,$AD:$AD)</f>
        <v>0</v>
      </c>
      <c r="G57" s="712">
        <f>-SUMIFS(Sheet1!S71_AdjustmentBudAmnt,Sheet1!S71_A2SubCode,$AC:$AC,Sheet1!S71_ItemType,$AD:$AD)</f>
        <v>0</v>
      </c>
      <c r="H57" s="713">
        <f>-SUMIFS(Sheet1!S71_AdjustmentBudAmnt,Sheet1!S71_A2SubCode,$AC:$AC,Sheet1!S71_ItemType,$AD:$AD)</f>
        <v>0</v>
      </c>
      <c r="I57" s="725">
        <f>-SUMIFS(Sheet1!S71_ASBudgetAmount,Sheet1!S71_A2SubCode,$AC:$AC,Sheet1!S71_ItemType,$AD:$AD)</f>
        <v>0</v>
      </c>
      <c r="J57" s="712">
        <f>-SUMIFS(Sheet1!S71_OY1BudgetAmount,Sheet1!S71_A2SubCode,$AC:$AC,Sheet1!S71_ItemType,$AD:$AD)</f>
        <v>0</v>
      </c>
      <c r="K57" s="713">
        <f>-SUMIFS(Sheet1!S71_OY2BudgetAmount,Sheet1!S71_A2SubCode,$AC:$AC,Sheet1!S71_ItemType,$AD:$AD)</f>
        <v>0</v>
      </c>
      <c r="L57" s="322"/>
      <c r="Q57" s="2226"/>
      <c r="R57" s="2227"/>
      <c r="AC57" s="2310">
        <v>2303</v>
      </c>
      <c r="AD57" s="2310" t="s">
        <v>2759</v>
      </c>
    </row>
    <row r="58" spans="1:30" ht="11.25" customHeight="1" x14ac:dyDescent="0.25">
      <c r="A58" s="2235" t="s">
        <v>2393</v>
      </c>
      <c r="B58" s="144"/>
      <c r="C58" s="712">
        <f>SUMIFS(Sheet1!S71_PPPYearAmount,Sheet1!S71_A2SubCode,$AC:$AC,Sheet1!S71_ItemType,$AD:$AD)</f>
        <v>0</v>
      </c>
      <c r="D58" s="712">
        <f>SUMIFS(Sheet1!S71_PPYearAmount,Sheet1!S71_A2SubCode,$AC:$AC,Sheet1!S71_ItemType,$AD:$AD)</f>
        <v>0</v>
      </c>
      <c r="E58" s="712">
        <f>SUMIFS(Sheet1!S71_PYearAmount,Sheet1!S71_A2SubCode,$AC:$AC,Sheet1!S71_ItemType,$AD:$AD)</f>
        <v>0</v>
      </c>
      <c r="F58" s="725">
        <f>-SUMIFS(Sheet1!S71_OriginalBudAmnt,Sheet1!S71_A2SubCode,$AC:$AC,Sheet1!S71_ItemType,$AD:$AD)</f>
        <v>0</v>
      </c>
      <c r="G58" s="712">
        <f>-SUMIFS(Sheet1!S71_AdjustmentBudAmnt,Sheet1!S71_A2SubCode,$AC:$AC,Sheet1!S71_ItemType,$AD:$AD)</f>
        <v>0</v>
      </c>
      <c r="H58" s="713">
        <f>-SUMIFS(Sheet1!S71_AdjustmentBudAmnt,Sheet1!S71_A2SubCode,$AC:$AC,Sheet1!S71_ItemType,$AD:$AD)</f>
        <v>0</v>
      </c>
      <c r="I58" s="725">
        <f>-SUMIFS(Sheet1!S71_ASBudgetAmount,Sheet1!S71_A2SubCode,$AC:$AC,Sheet1!S71_ItemType,$AD:$AD)</f>
        <v>0</v>
      </c>
      <c r="J58" s="712">
        <f>-SUMIFS(Sheet1!S71_OY1BudgetAmount,Sheet1!S71_A2SubCode,$AC:$AC,Sheet1!S71_ItemType,$AD:$AD)</f>
        <v>0</v>
      </c>
      <c r="K58" s="713">
        <f>-SUMIFS(Sheet1!S71_OY2BudgetAmount,Sheet1!S71_A2SubCode,$AC:$AC,Sheet1!S71_ItemType,$AD:$AD)</f>
        <v>0</v>
      </c>
      <c r="L58" s="322"/>
      <c r="Q58" s="2226"/>
      <c r="R58" s="2227"/>
      <c r="AC58" s="2310">
        <v>2304</v>
      </c>
      <c r="AD58" s="2310" t="s">
        <v>2759</v>
      </c>
    </row>
    <row r="59" spans="1:30" ht="11.25" customHeight="1" x14ac:dyDescent="0.25">
      <c r="A59" s="2235" t="s">
        <v>2394</v>
      </c>
      <c r="B59" s="144"/>
      <c r="C59" s="712">
        <f>SUMIFS(Sheet1!S71_PPPYearAmount,Sheet1!S71_A2SubCode,$AC:$AC,Sheet1!S71_ItemType,$AD:$AD)</f>
        <v>0</v>
      </c>
      <c r="D59" s="712">
        <f>SUMIFS(Sheet1!S71_PPYearAmount,Sheet1!S71_A2SubCode,$AC:$AC,Sheet1!S71_ItemType,$AD:$AD)</f>
        <v>0</v>
      </c>
      <c r="E59" s="712">
        <f>SUMIFS(Sheet1!S71_PYearAmount,Sheet1!S71_A2SubCode,$AC:$AC,Sheet1!S71_ItemType,$AD:$AD)</f>
        <v>0</v>
      </c>
      <c r="F59" s="725">
        <f>-SUMIFS(Sheet1!S71_OriginalBudAmnt,Sheet1!S71_A2SubCode,$AC:$AC,Sheet1!S71_ItemType,$AD:$AD)</f>
        <v>0</v>
      </c>
      <c r="G59" s="712">
        <f>-SUMIFS(Sheet1!S71_AdjustmentBudAmnt,Sheet1!S71_A2SubCode,$AC:$AC,Sheet1!S71_ItemType,$AD:$AD)</f>
        <v>0</v>
      </c>
      <c r="H59" s="713">
        <f>-SUMIFS(Sheet1!S71_AdjustmentBudAmnt,Sheet1!S71_A2SubCode,$AC:$AC,Sheet1!S71_ItemType,$AD:$AD)</f>
        <v>0</v>
      </c>
      <c r="I59" s="725">
        <f>-SUMIFS(Sheet1!S71_ASBudgetAmount,Sheet1!S71_A2SubCode,$AC:$AC,Sheet1!S71_ItemType,$AD:$AD)</f>
        <v>0</v>
      </c>
      <c r="J59" s="712">
        <f>-SUMIFS(Sheet1!S71_OY1BudgetAmount,Sheet1!S71_A2SubCode,$AC:$AC,Sheet1!S71_ItemType,$AD:$AD)</f>
        <v>0</v>
      </c>
      <c r="K59" s="713">
        <f>-SUMIFS(Sheet1!S71_OY2BudgetAmount,Sheet1!S71_A2SubCode,$AC:$AC,Sheet1!S71_ItemType,$AD:$AD)</f>
        <v>0</v>
      </c>
      <c r="L59" s="322"/>
      <c r="Q59" s="2226"/>
      <c r="R59" s="2227"/>
      <c r="AC59" s="2310">
        <v>2305</v>
      </c>
      <c r="AD59" s="2310" t="s">
        <v>2759</v>
      </c>
    </row>
    <row r="60" spans="1:30" ht="11.25" customHeight="1" x14ac:dyDescent="0.25">
      <c r="A60" s="2235" t="s">
        <v>2395</v>
      </c>
      <c r="B60" s="144"/>
      <c r="C60" s="712">
        <f>SUMIFS(Sheet1!S71_PPPYearAmount,Sheet1!S71_A2SubCode,$AC:$AC,Sheet1!S71_ItemType,$AD:$AD)</f>
        <v>0</v>
      </c>
      <c r="D60" s="712">
        <f>SUMIFS(Sheet1!S71_PPYearAmount,Sheet1!S71_A2SubCode,$AC:$AC,Sheet1!S71_ItemType,$AD:$AD)</f>
        <v>0</v>
      </c>
      <c r="E60" s="712">
        <f>SUMIFS(Sheet1!S71_PYearAmount,Sheet1!S71_A2SubCode,$AC:$AC,Sheet1!S71_ItemType,$AD:$AD)</f>
        <v>0</v>
      </c>
      <c r="F60" s="725">
        <f>-SUMIFS(Sheet1!S71_OriginalBudAmnt,Sheet1!S71_A2SubCode,$AC:$AC,Sheet1!S71_ItemType,$AD:$AD)</f>
        <v>0</v>
      </c>
      <c r="G60" s="712">
        <f>-SUMIFS(Sheet1!S71_AdjustmentBudAmnt,Sheet1!S71_A2SubCode,$AC:$AC,Sheet1!S71_ItemType,$AD:$AD)</f>
        <v>0</v>
      </c>
      <c r="H60" s="713">
        <f>-SUMIFS(Sheet1!S71_AdjustmentBudAmnt,Sheet1!S71_A2SubCode,$AC:$AC,Sheet1!S71_ItemType,$AD:$AD)</f>
        <v>0</v>
      </c>
      <c r="I60" s="725">
        <f>-SUMIFS(Sheet1!S71_ASBudgetAmount,Sheet1!S71_A2SubCode,$AC:$AC,Sheet1!S71_ItemType,$AD:$AD)</f>
        <v>0</v>
      </c>
      <c r="J60" s="712">
        <f>-SUMIFS(Sheet1!S71_OY1BudgetAmount,Sheet1!S71_A2SubCode,$AC:$AC,Sheet1!S71_ItemType,$AD:$AD)</f>
        <v>0</v>
      </c>
      <c r="K60" s="713">
        <f>-SUMIFS(Sheet1!S71_OY2BudgetAmount,Sheet1!S71_A2SubCode,$AC:$AC,Sheet1!S71_ItemType,$AD:$AD)</f>
        <v>0</v>
      </c>
      <c r="L60" s="322"/>
      <c r="Q60" s="2226"/>
      <c r="R60" s="2227"/>
      <c r="AC60" s="2310">
        <v>2306</v>
      </c>
      <c r="AD60" s="2310" t="s">
        <v>2759</v>
      </c>
    </row>
    <row r="61" spans="1:30" ht="11.25" customHeight="1" x14ac:dyDescent="0.25">
      <c r="A61" s="2235" t="s">
        <v>2422</v>
      </c>
      <c r="B61" s="144"/>
      <c r="C61" s="712">
        <f>SUMIFS(Sheet1!S71_PPPYearAmount,Sheet1!S71_A2SubCode,$AC:$AC,Sheet1!S71_ItemType,$AD:$AD)</f>
        <v>0</v>
      </c>
      <c r="D61" s="712">
        <f>SUMIFS(Sheet1!S71_PPYearAmount,Sheet1!S71_A2SubCode,$AC:$AC,Sheet1!S71_ItemType,$AD:$AD)</f>
        <v>0</v>
      </c>
      <c r="E61" s="712">
        <f>SUMIFS(Sheet1!S71_PYearAmount,Sheet1!S71_A2SubCode,$AC:$AC,Sheet1!S71_ItemType,$AD:$AD)</f>
        <v>0</v>
      </c>
      <c r="F61" s="725">
        <f>-SUMIFS(Sheet1!S71_OriginalBudAmnt,Sheet1!S71_A2SubCode,$AC:$AC,Sheet1!S71_ItemType,$AD:$AD)</f>
        <v>0</v>
      </c>
      <c r="G61" s="712">
        <f>-SUMIFS(Sheet1!S71_AdjustmentBudAmnt,Sheet1!S71_A2SubCode,$AC:$AC,Sheet1!S71_ItemType,$AD:$AD)</f>
        <v>0</v>
      </c>
      <c r="H61" s="713">
        <f>-SUMIFS(Sheet1!S71_AdjustmentBudAmnt,Sheet1!S71_A2SubCode,$AC:$AC,Sheet1!S71_ItemType,$AD:$AD)</f>
        <v>0</v>
      </c>
      <c r="I61" s="725">
        <f>-SUMIFS(Sheet1!S71_ASBudgetAmount,Sheet1!S71_A2SubCode,$AC:$AC,Sheet1!S71_ItemType,$AD:$AD)</f>
        <v>0</v>
      </c>
      <c r="J61" s="712">
        <f>-SUMIFS(Sheet1!S71_OY1BudgetAmount,Sheet1!S71_A2SubCode,$AC:$AC,Sheet1!S71_ItemType,$AD:$AD)</f>
        <v>0</v>
      </c>
      <c r="K61" s="713">
        <f>-SUMIFS(Sheet1!S71_OY2BudgetAmount,Sheet1!S71_A2SubCode,$AC:$AC,Sheet1!S71_ItemType,$AD:$AD)</f>
        <v>0</v>
      </c>
      <c r="L61" s="322"/>
      <c r="Q61" s="2226"/>
      <c r="R61" s="2227"/>
      <c r="AC61" s="2310">
        <v>2307</v>
      </c>
      <c r="AD61" s="2310" t="s">
        <v>2759</v>
      </c>
    </row>
    <row r="62" spans="1:30" ht="11.25" customHeight="1" x14ac:dyDescent="0.25">
      <c r="A62" s="2235" t="s">
        <v>2423</v>
      </c>
      <c r="B62" s="144"/>
      <c r="C62" s="712">
        <f>SUMIFS(Sheet1!S71_PPPYearAmount,Sheet1!S71_A2SubCode,$AC:$AC,Sheet1!S71_ItemType,$AD:$AD)</f>
        <v>0</v>
      </c>
      <c r="D62" s="712">
        <f>SUMIFS(Sheet1!S71_PPYearAmount,Sheet1!S71_A2SubCode,$AC:$AC,Sheet1!S71_ItemType,$AD:$AD)</f>
        <v>0</v>
      </c>
      <c r="E62" s="712">
        <f>SUMIFS(Sheet1!S71_PYearAmount,Sheet1!S71_A2SubCode,$AC:$AC,Sheet1!S71_ItemType,$AD:$AD)</f>
        <v>0</v>
      </c>
      <c r="F62" s="725">
        <f>-SUMIFS(Sheet1!S71_OriginalBudAmnt,Sheet1!S71_A2SubCode,$AC:$AC,Sheet1!S71_ItemType,$AD:$AD)</f>
        <v>0</v>
      </c>
      <c r="G62" s="712">
        <f>-SUMIFS(Sheet1!S71_AdjustmentBudAmnt,Sheet1!S71_A2SubCode,$AC:$AC,Sheet1!S71_ItemType,$AD:$AD)</f>
        <v>0</v>
      </c>
      <c r="H62" s="713">
        <f>-SUMIFS(Sheet1!S71_AdjustmentBudAmnt,Sheet1!S71_A2SubCode,$AC:$AC,Sheet1!S71_ItemType,$AD:$AD)</f>
        <v>0</v>
      </c>
      <c r="I62" s="725">
        <f>-SUMIFS(Sheet1!S71_ASBudgetAmount,Sheet1!S71_A2SubCode,$AC:$AC,Sheet1!S71_ItemType,$AD:$AD)</f>
        <v>0</v>
      </c>
      <c r="J62" s="712">
        <f>-SUMIFS(Sheet1!S71_OY1BudgetAmount,Sheet1!S71_A2SubCode,$AC:$AC,Sheet1!S71_ItemType,$AD:$AD)</f>
        <v>0</v>
      </c>
      <c r="K62" s="713">
        <f>-SUMIFS(Sheet1!S71_OY2BudgetAmount,Sheet1!S71_A2SubCode,$AC:$AC,Sheet1!S71_ItemType,$AD:$AD)</f>
        <v>0</v>
      </c>
      <c r="L62" s="322"/>
      <c r="Q62" s="2226"/>
      <c r="R62" s="2227"/>
      <c r="AC62" s="2310">
        <v>2308</v>
      </c>
      <c r="AD62" s="2310" t="s">
        <v>2759</v>
      </c>
    </row>
    <row r="63" spans="1:30" ht="11.25" customHeight="1" x14ac:dyDescent="0.25">
      <c r="A63" s="241" t="s">
        <v>1487</v>
      </c>
      <c r="B63" s="144"/>
      <c r="C63" s="106">
        <f>SUM(C64:C65)</f>
        <v>0</v>
      </c>
      <c r="D63" s="106">
        <f t="shared" ref="D63:K63" si="8">SUM(D64:D65)</f>
        <v>0</v>
      </c>
      <c r="E63" s="359">
        <f t="shared" si="8"/>
        <v>0</v>
      </c>
      <c r="F63" s="107">
        <f t="shared" si="8"/>
        <v>0</v>
      </c>
      <c r="G63" s="106">
        <f t="shared" si="8"/>
        <v>0</v>
      </c>
      <c r="H63" s="359">
        <f t="shared" si="8"/>
        <v>0</v>
      </c>
      <c r="I63" s="107">
        <f t="shared" si="8"/>
        <v>0</v>
      </c>
      <c r="J63" s="106">
        <f t="shared" si="8"/>
        <v>0</v>
      </c>
      <c r="K63" s="359">
        <f t="shared" si="8"/>
        <v>0</v>
      </c>
      <c r="L63" s="322"/>
      <c r="Q63" s="2226"/>
      <c r="R63" s="2227"/>
      <c r="AC63" s="2309"/>
      <c r="AD63" s="2309"/>
    </row>
    <row r="64" spans="1:30" ht="11.25" customHeight="1" x14ac:dyDescent="0.25">
      <c r="A64" s="2235" t="s">
        <v>1487</v>
      </c>
      <c r="B64" s="144"/>
      <c r="C64" s="712">
        <f>SUMIFS(Sheet1!S71_PPPYearAmount,Sheet1!S71_A2SubCode,$AC:$AC,Sheet1!S71_ItemType,$AD:$AD)</f>
        <v>0</v>
      </c>
      <c r="D64" s="712">
        <f>SUMIFS(Sheet1!S71_PPYearAmount,Sheet1!S71_A2SubCode,$AC:$AC,Sheet1!S71_ItemType,$AD:$AD)</f>
        <v>0</v>
      </c>
      <c r="E64" s="712">
        <f>SUMIFS(Sheet1!S71_PYearAmount,Sheet1!S71_A2SubCode,$AC:$AC,Sheet1!S71_ItemType,$AD:$AD)</f>
        <v>0</v>
      </c>
      <c r="F64" s="725">
        <f>-SUMIFS(Sheet1!S71_OriginalBudAmnt,Sheet1!S71_A2SubCode,$AC:$AC,Sheet1!S71_ItemType,$AD:$AD)</f>
        <v>0</v>
      </c>
      <c r="G64" s="712">
        <f>-SUMIFS(Sheet1!S71_AdjustmentBudAmnt,Sheet1!S71_A2SubCode,$AC:$AC,Sheet1!S71_ItemType,$AD:$AD)</f>
        <v>0</v>
      </c>
      <c r="H64" s="713">
        <f>-SUMIFS(Sheet1!S71_AdjustmentBudAmnt,Sheet1!S71_A2SubCode,$AC:$AC,Sheet1!S71_ItemType,$AD:$AD)</f>
        <v>0</v>
      </c>
      <c r="I64" s="725">
        <f>-SUMIFS(Sheet1!S71_ASBudgetAmount,Sheet1!S71_A2SubCode,$AC:$AC,Sheet1!S71_ItemType,$AD:$AD)</f>
        <v>0</v>
      </c>
      <c r="J64" s="712">
        <f>-SUMIFS(Sheet1!S71_OY1BudgetAmount,Sheet1!S71_A2SubCode,$AC:$AC,Sheet1!S71_ItemType,$AD:$AD)</f>
        <v>0</v>
      </c>
      <c r="K64" s="713">
        <f>-SUMIFS(Sheet1!S71_OY2BudgetAmount,Sheet1!S71_A2SubCode,$AC:$AC,Sheet1!S71_ItemType,$AD:$AD)</f>
        <v>0</v>
      </c>
      <c r="L64" s="322"/>
      <c r="Q64" s="2226"/>
      <c r="R64" s="2227"/>
      <c r="AC64" s="2310">
        <v>2401</v>
      </c>
      <c r="AD64" s="2310" t="s">
        <v>2759</v>
      </c>
    </row>
    <row r="65" spans="1:30" ht="11.25" customHeight="1" x14ac:dyDescent="0.25">
      <c r="A65" s="2235" t="s">
        <v>2385</v>
      </c>
      <c r="B65" s="144"/>
      <c r="C65" s="712">
        <f>SUMIFS(Sheet1!S71_PPPYearAmount,Sheet1!S71_A2SubCode,$AC:$AC,Sheet1!S71_ItemType,$AD:$AD)</f>
        <v>0</v>
      </c>
      <c r="D65" s="712">
        <f>SUMIFS(Sheet1!S71_PPYearAmount,Sheet1!S71_A2SubCode,$AC:$AC,Sheet1!S71_ItemType,$AD:$AD)</f>
        <v>0</v>
      </c>
      <c r="E65" s="712">
        <f>SUMIFS(Sheet1!S71_PYearAmount,Sheet1!S71_A2SubCode,$AC:$AC,Sheet1!S71_ItemType,$AD:$AD)</f>
        <v>0</v>
      </c>
      <c r="F65" s="725">
        <f>-SUMIFS(Sheet1!S71_OriginalBudAmnt,Sheet1!S71_A2SubCode,$AC:$AC,Sheet1!S71_ItemType,$AD:$AD)</f>
        <v>0</v>
      </c>
      <c r="G65" s="712">
        <f>-SUMIFS(Sheet1!S71_AdjustmentBudAmnt,Sheet1!S71_A2SubCode,$AC:$AC,Sheet1!S71_ItemType,$AD:$AD)</f>
        <v>0</v>
      </c>
      <c r="H65" s="713">
        <f>-SUMIFS(Sheet1!S71_AdjustmentBudAmnt,Sheet1!S71_A2SubCode,$AC:$AC,Sheet1!S71_ItemType,$AD:$AD)</f>
        <v>0</v>
      </c>
      <c r="I65" s="725">
        <f>-SUMIFS(Sheet1!S71_ASBudgetAmount,Sheet1!S71_A2SubCode,$AC:$AC,Sheet1!S71_ItemType,$AD:$AD)</f>
        <v>0</v>
      </c>
      <c r="J65" s="712">
        <f>-SUMIFS(Sheet1!S71_OY1BudgetAmount,Sheet1!S71_A2SubCode,$AC:$AC,Sheet1!S71_ItemType,$AD:$AD)</f>
        <v>0</v>
      </c>
      <c r="K65" s="713">
        <f>-SUMIFS(Sheet1!S71_OY2BudgetAmount,Sheet1!S71_A2SubCode,$AC:$AC,Sheet1!S71_ItemType,$AD:$AD)</f>
        <v>0</v>
      </c>
      <c r="L65" s="322"/>
      <c r="Q65" s="2226"/>
      <c r="R65" s="2227"/>
      <c r="AC65" s="2310">
        <v>2402</v>
      </c>
      <c r="AD65" s="2310" t="s">
        <v>2759</v>
      </c>
    </row>
    <row r="66" spans="1:30" ht="11.25" customHeight="1" x14ac:dyDescent="0.25">
      <c r="A66" s="241" t="s">
        <v>1551</v>
      </c>
      <c r="B66" s="144"/>
      <c r="C66" s="106">
        <f>SUM(C67:C73)</f>
        <v>0</v>
      </c>
      <c r="D66" s="106">
        <f t="shared" ref="D66:K66" si="9">SUM(D67:D73)</f>
        <v>0</v>
      </c>
      <c r="E66" s="359">
        <f t="shared" si="9"/>
        <v>0</v>
      </c>
      <c r="F66" s="107">
        <f t="shared" si="9"/>
        <v>0</v>
      </c>
      <c r="G66" s="106">
        <f t="shared" si="9"/>
        <v>0</v>
      </c>
      <c r="H66" s="359">
        <f t="shared" si="9"/>
        <v>0</v>
      </c>
      <c r="I66" s="107">
        <f t="shared" si="9"/>
        <v>0</v>
      </c>
      <c r="J66" s="106">
        <f t="shared" si="9"/>
        <v>0</v>
      </c>
      <c r="K66" s="359">
        <f t="shared" si="9"/>
        <v>0</v>
      </c>
      <c r="L66" s="322"/>
      <c r="Q66" s="2226"/>
      <c r="R66" s="2227"/>
      <c r="AC66" s="2309"/>
      <c r="AD66" s="2309"/>
    </row>
    <row r="67" spans="1:30" ht="11.25" customHeight="1" x14ac:dyDescent="0.25">
      <c r="A67" s="2235" t="s">
        <v>534</v>
      </c>
      <c r="B67" s="144"/>
      <c r="C67" s="712">
        <f>SUMIFS(Sheet1!S71_PPPYearAmount,Sheet1!S71_A2SubCode,$AC:$AC,Sheet1!S71_ItemType,$AD:$AD)</f>
        <v>0</v>
      </c>
      <c r="D67" s="712">
        <f>SUMIFS(Sheet1!S71_PPYearAmount,Sheet1!S71_A2SubCode,$AC:$AC,Sheet1!S71_ItemType,$AD:$AD)</f>
        <v>0</v>
      </c>
      <c r="E67" s="712">
        <f>SUMIFS(Sheet1!S71_PYearAmount,Sheet1!S71_A2SubCode,$AC:$AC,Sheet1!S71_ItemType,$AD:$AD)</f>
        <v>0</v>
      </c>
      <c r="F67" s="725">
        <f>-SUMIFS(Sheet1!S71_OriginalBudAmnt,Sheet1!S71_A2SubCode,$AC:$AC,Sheet1!S71_ItemType,$AD:$AD)</f>
        <v>0</v>
      </c>
      <c r="G67" s="712">
        <f>-SUMIFS(Sheet1!S71_AdjustmentBudAmnt,Sheet1!S71_A2SubCode,$AC:$AC,Sheet1!S71_ItemType,$AD:$AD)</f>
        <v>0</v>
      </c>
      <c r="H67" s="713">
        <f>-SUMIFS(Sheet1!S71_AdjustmentBudAmnt,Sheet1!S71_A2SubCode,$AC:$AC,Sheet1!S71_ItemType,$AD:$AD)</f>
        <v>0</v>
      </c>
      <c r="I67" s="725">
        <f>-SUMIFS(Sheet1!S71_ASBudgetAmount,Sheet1!S71_A2SubCode,$AC:$AC,Sheet1!S71_ItemType,$AD:$AD)</f>
        <v>0</v>
      </c>
      <c r="J67" s="712">
        <f>-SUMIFS(Sheet1!S71_OY1BudgetAmount,Sheet1!S71_A2SubCode,$AC:$AC,Sheet1!S71_ItemType,$AD:$AD)</f>
        <v>0</v>
      </c>
      <c r="K67" s="713">
        <f>-SUMIFS(Sheet1!S71_OY2BudgetAmount,Sheet1!S71_A2SubCode,$AC:$AC,Sheet1!S71_ItemType,$AD:$AD)</f>
        <v>0</v>
      </c>
      <c r="L67" s="322"/>
      <c r="Q67" s="2226"/>
      <c r="R67" s="2227"/>
      <c r="AC67" s="2310">
        <v>2501</v>
      </c>
      <c r="AD67" s="2310" t="s">
        <v>2759</v>
      </c>
    </row>
    <row r="68" spans="1:30" ht="11.25" customHeight="1" x14ac:dyDescent="0.25">
      <c r="A68" s="2235" t="s">
        <v>2379</v>
      </c>
      <c r="B68" s="144"/>
      <c r="C68" s="712">
        <f>SUMIFS(Sheet1!S71_PPPYearAmount,Sheet1!S71_A2SubCode,$AC:$AC,Sheet1!S71_ItemType,$AD:$AD)</f>
        <v>0</v>
      </c>
      <c r="D68" s="712">
        <f>SUMIFS(Sheet1!S71_PPYearAmount,Sheet1!S71_A2SubCode,$AC:$AC,Sheet1!S71_ItemType,$AD:$AD)</f>
        <v>0</v>
      </c>
      <c r="E68" s="712">
        <f>SUMIFS(Sheet1!S71_PYearAmount,Sheet1!S71_A2SubCode,$AC:$AC,Sheet1!S71_ItemType,$AD:$AD)</f>
        <v>0</v>
      </c>
      <c r="F68" s="725">
        <f>-SUMIFS(Sheet1!S71_OriginalBudAmnt,Sheet1!S71_A2SubCode,$AC:$AC,Sheet1!S71_ItemType,$AD:$AD)</f>
        <v>0</v>
      </c>
      <c r="G68" s="712">
        <f>-SUMIFS(Sheet1!S71_AdjustmentBudAmnt,Sheet1!S71_A2SubCode,$AC:$AC,Sheet1!S71_ItemType,$AD:$AD)</f>
        <v>0</v>
      </c>
      <c r="H68" s="713">
        <f>-SUMIFS(Sheet1!S71_AdjustmentBudAmnt,Sheet1!S71_A2SubCode,$AC:$AC,Sheet1!S71_ItemType,$AD:$AD)</f>
        <v>0</v>
      </c>
      <c r="I68" s="725">
        <f>-SUMIFS(Sheet1!S71_ASBudgetAmount,Sheet1!S71_A2SubCode,$AC:$AC,Sheet1!S71_ItemType,$AD:$AD)</f>
        <v>0</v>
      </c>
      <c r="J68" s="712">
        <f>-SUMIFS(Sheet1!S71_OY1BudgetAmount,Sheet1!S71_A2SubCode,$AC:$AC,Sheet1!S71_ItemType,$AD:$AD)</f>
        <v>0</v>
      </c>
      <c r="K68" s="713">
        <f>-SUMIFS(Sheet1!S71_OY2BudgetAmount,Sheet1!S71_A2SubCode,$AC:$AC,Sheet1!S71_ItemType,$AD:$AD)</f>
        <v>0</v>
      </c>
      <c r="L68" s="322"/>
      <c r="Q68" s="2226"/>
      <c r="R68" s="2227"/>
      <c r="AC68" s="2310">
        <v>2502</v>
      </c>
      <c r="AD68" s="2310" t="s">
        <v>2759</v>
      </c>
    </row>
    <row r="69" spans="1:30" ht="11.25" customHeight="1" x14ac:dyDescent="0.25">
      <c r="A69" s="2235" t="s">
        <v>2380</v>
      </c>
      <c r="B69" s="144"/>
      <c r="C69" s="712">
        <f>SUMIFS(Sheet1!S71_PPPYearAmount,Sheet1!S71_A2SubCode,$AC:$AC,Sheet1!S71_ItemType,$AD:$AD)</f>
        <v>0</v>
      </c>
      <c r="D69" s="712">
        <f>SUMIFS(Sheet1!S71_PPYearAmount,Sheet1!S71_A2SubCode,$AC:$AC,Sheet1!S71_ItemType,$AD:$AD)</f>
        <v>0</v>
      </c>
      <c r="E69" s="712">
        <f>SUMIFS(Sheet1!S71_PYearAmount,Sheet1!S71_A2SubCode,$AC:$AC,Sheet1!S71_ItemType,$AD:$AD)</f>
        <v>0</v>
      </c>
      <c r="F69" s="725">
        <f>-SUMIFS(Sheet1!S71_OriginalBudAmnt,Sheet1!S71_A2SubCode,$AC:$AC,Sheet1!S71_ItemType,$AD:$AD)</f>
        <v>0</v>
      </c>
      <c r="G69" s="712">
        <f>-SUMIFS(Sheet1!S71_AdjustmentBudAmnt,Sheet1!S71_A2SubCode,$AC:$AC,Sheet1!S71_ItemType,$AD:$AD)</f>
        <v>0</v>
      </c>
      <c r="H69" s="713">
        <f>-SUMIFS(Sheet1!S71_AdjustmentBudAmnt,Sheet1!S71_A2SubCode,$AC:$AC,Sheet1!S71_ItemType,$AD:$AD)</f>
        <v>0</v>
      </c>
      <c r="I69" s="725">
        <f>-SUMIFS(Sheet1!S71_ASBudgetAmount,Sheet1!S71_A2SubCode,$AC:$AC,Sheet1!S71_ItemType,$AD:$AD)</f>
        <v>0</v>
      </c>
      <c r="J69" s="712">
        <f>-SUMIFS(Sheet1!S71_OY1BudgetAmount,Sheet1!S71_A2SubCode,$AC:$AC,Sheet1!S71_ItemType,$AD:$AD)</f>
        <v>0</v>
      </c>
      <c r="K69" s="713">
        <f>-SUMIFS(Sheet1!S71_OY2BudgetAmount,Sheet1!S71_A2SubCode,$AC:$AC,Sheet1!S71_ItemType,$AD:$AD)</f>
        <v>0</v>
      </c>
      <c r="L69" s="322"/>
      <c r="Q69" s="2226"/>
      <c r="R69" s="2227"/>
      <c r="AC69" s="2310">
        <v>2503</v>
      </c>
      <c r="AD69" s="2310" t="s">
        <v>2759</v>
      </c>
    </row>
    <row r="70" spans="1:30" ht="11.25" customHeight="1" x14ac:dyDescent="0.25">
      <c r="A70" s="2235" t="s">
        <v>2381</v>
      </c>
      <c r="B70" s="144"/>
      <c r="C70" s="712">
        <f>SUMIFS(Sheet1!S71_PPPYearAmount,Sheet1!S71_A2SubCode,$AC:$AC,Sheet1!S71_ItemType,$AD:$AD)</f>
        <v>0</v>
      </c>
      <c r="D70" s="712">
        <f>SUMIFS(Sheet1!S71_PPYearAmount,Sheet1!S71_A2SubCode,$AC:$AC,Sheet1!S71_ItemType,$AD:$AD)</f>
        <v>0</v>
      </c>
      <c r="E70" s="712">
        <f>SUMIFS(Sheet1!S71_PYearAmount,Sheet1!S71_A2SubCode,$AC:$AC,Sheet1!S71_ItemType,$AD:$AD)</f>
        <v>0</v>
      </c>
      <c r="F70" s="725">
        <f>-SUMIFS(Sheet1!S71_OriginalBudAmnt,Sheet1!S71_A2SubCode,$AC:$AC,Sheet1!S71_ItemType,$AD:$AD)</f>
        <v>0</v>
      </c>
      <c r="G70" s="712">
        <f>-SUMIFS(Sheet1!S71_AdjustmentBudAmnt,Sheet1!S71_A2SubCode,$AC:$AC,Sheet1!S71_ItemType,$AD:$AD)</f>
        <v>0</v>
      </c>
      <c r="H70" s="713">
        <f>-SUMIFS(Sheet1!S71_AdjustmentBudAmnt,Sheet1!S71_A2SubCode,$AC:$AC,Sheet1!S71_ItemType,$AD:$AD)</f>
        <v>0</v>
      </c>
      <c r="I70" s="725">
        <f>-SUMIFS(Sheet1!S71_ASBudgetAmount,Sheet1!S71_A2SubCode,$AC:$AC,Sheet1!S71_ItemType,$AD:$AD)</f>
        <v>0</v>
      </c>
      <c r="J70" s="712">
        <f>-SUMIFS(Sheet1!S71_OY1BudgetAmount,Sheet1!S71_A2SubCode,$AC:$AC,Sheet1!S71_ItemType,$AD:$AD)</f>
        <v>0</v>
      </c>
      <c r="K70" s="713">
        <f>-SUMIFS(Sheet1!S71_OY2BudgetAmount,Sheet1!S71_A2SubCode,$AC:$AC,Sheet1!S71_ItemType,$AD:$AD)</f>
        <v>0</v>
      </c>
      <c r="L70" s="322"/>
      <c r="Q70" s="2226"/>
      <c r="R70" s="2227"/>
      <c r="AC70" s="2310">
        <v>2504</v>
      </c>
      <c r="AD70" s="2310" t="s">
        <v>2759</v>
      </c>
    </row>
    <row r="71" spans="1:30" ht="11.25" customHeight="1" x14ac:dyDescent="0.25">
      <c r="A71" s="2235" t="s">
        <v>2382</v>
      </c>
      <c r="B71" s="144"/>
      <c r="C71" s="712">
        <f>SUMIFS(Sheet1!S71_PPPYearAmount,Sheet1!S71_A2SubCode,$AC:$AC,Sheet1!S71_ItemType,$AD:$AD)</f>
        <v>0</v>
      </c>
      <c r="D71" s="712">
        <f>SUMIFS(Sheet1!S71_PPYearAmount,Sheet1!S71_A2SubCode,$AC:$AC,Sheet1!S71_ItemType,$AD:$AD)</f>
        <v>0</v>
      </c>
      <c r="E71" s="712">
        <f>SUMIFS(Sheet1!S71_PYearAmount,Sheet1!S71_A2SubCode,$AC:$AC,Sheet1!S71_ItemType,$AD:$AD)</f>
        <v>0</v>
      </c>
      <c r="F71" s="725">
        <f>-SUMIFS(Sheet1!S71_OriginalBudAmnt,Sheet1!S71_A2SubCode,$AC:$AC,Sheet1!S71_ItemType,$AD:$AD)</f>
        <v>0</v>
      </c>
      <c r="G71" s="712">
        <f>-SUMIFS(Sheet1!S71_AdjustmentBudAmnt,Sheet1!S71_A2SubCode,$AC:$AC,Sheet1!S71_ItemType,$AD:$AD)</f>
        <v>0</v>
      </c>
      <c r="H71" s="713">
        <f>-SUMIFS(Sheet1!S71_AdjustmentBudAmnt,Sheet1!S71_A2SubCode,$AC:$AC,Sheet1!S71_ItemType,$AD:$AD)</f>
        <v>0</v>
      </c>
      <c r="I71" s="725">
        <f>-SUMIFS(Sheet1!S71_ASBudgetAmount,Sheet1!S71_A2SubCode,$AC:$AC,Sheet1!S71_ItemType,$AD:$AD)</f>
        <v>0</v>
      </c>
      <c r="J71" s="712">
        <f>-SUMIFS(Sheet1!S71_OY1BudgetAmount,Sheet1!S71_A2SubCode,$AC:$AC,Sheet1!S71_ItemType,$AD:$AD)</f>
        <v>0</v>
      </c>
      <c r="K71" s="713">
        <f>-SUMIFS(Sheet1!S71_OY2BudgetAmount,Sheet1!S71_A2SubCode,$AC:$AC,Sheet1!S71_ItemType,$AD:$AD)</f>
        <v>0</v>
      </c>
      <c r="L71" s="322"/>
      <c r="Q71" s="2226"/>
      <c r="R71" s="2227"/>
      <c r="AC71" s="2310">
        <v>2505</v>
      </c>
      <c r="AD71" s="2310" t="s">
        <v>2759</v>
      </c>
    </row>
    <row r="72" spans="1:30" ht="11.25" customHeight="1" x14ac:dyDescent="0.25">
      <c r="A72" s="2235" t="s">
        <v>2383</v>
      </c>
      <c r="B72" s="144"/>
      <c r="C72" s="712">
        <f>SUMIFS(Sheet1!S71_PPPYearAmount,Sheet1!S71_A2SubCode,$AC:$AC,Sheet1!S71_ItemType,$AD:$AD)</f>
        <v>0</v>
      </c>
      <c r="D72" s="712">
        <f>SUMIFS(Sheet1!S71_PPYearAmount,Sheet1!S71_A2SubCode,$AC:$AC,Sheet1!S71_ItemType,$AD:$AD)</f>
        <v>0</v>
      </c>
      <c r="E72" s="712">
        <f>SUMIFS(Sheet1!S71_PYearAmount,Sheet1!S71_A2SubCode,$AC:$AC,Sheet1!S71_ItemType,$AD:$AD)</f>
        <v>0</v>
      </c>
      <c r="F72" s="725">
        <f>-SUMIFS(Sheet1!S71_OriginalBudAmnt,Sheet1!S71_A2SubCode,$AC:$AC,Sheet1!S71_ItemType,$AD:$AD)</f>
        <v>0</v>
      </c>
      <c r="G72" s="712">
        <f>-SUMIFS(Sheet1!S71_AdjustmentBudAmnt,Sheet1!S71_A2SubCode,$AC:$AC,Sheet1!S71_ItemType,$AD:$AD)</f>
        <v>0</v>
      </c>
      <c r="H72" s="713">
        <f>-SUMIFS(Sheet1!S71_AdjustmentBudAmnt,Sheet1!S71_A2SubCode,$AC:$AC,Sheet1!S71_ItemType,$AD:$AD)</f>
        <v>0</v>
      </c>
      <c r="I72" s="725">
        <f>-SUMIFS(Sheet1!S71_ASBudgetAmount,Sheet1!S71_A2SubCode,$AC:$AC,Sheet1!S71_ItemType,$AD:$AD)</f>
        <v>0</v>
      </c>
      <c r="J72" s="712">
        <f>-SUMIFS(Sheet1!S71_OY1BudgetAmount,Sheet1!S71_A2SubCode,$AC:$AC,Sheet1!S71_ItemType,$AD:$AD)</f>
        <v>0</v>
      </c>
      <c r="K72" s="713">
        <f>-SUMIFS(Sheet1!S71_OY2BudgetAmount,Sheet1!S71_A2SubCode,$AC:$AC,Sheet1!S71_ItemType,$AD:$AD)</f>
        <v>0</v>
      </c>
      <c r="L72" s="322"/>
      <c r="Q72" s="2226"/>
      <c r="R72" s="2227"/>
      <c r="AC72" s="2310">
        <v>2506</v>
      </c>
      <c r="AD72" s="2310" t="s">
        <v>2759</v>
      </c>
    </row>
    <row r="73" spans="1:30" ht="11.25" customHeight="1" x14ac:dyDescent="0.25">
      <c r="A73" s="2235" t="s">
        <v>2384</v>
      </c>
      <c r="B73" s="144"/>
      <c r="C73" s="712">
        <f>SUMIFS(Sheet1!S71_PPPYearAmount,Sheet1!S71_A2SubCode,$AC:$AC,Sheet1!S71_ItemType,$AD:$AD)</f>
        <v>0</v>
      </c>
      <c r="D73" s="712">
        <f>SUMIFS(Sheet1!S71_PPYearAmount,Sheet1!S71_A2SubCode,$AC:$AC,Sheet1!S71_ItemType,$AD:$AD)</f>
        <v>0</v>
      </c>
      <c r="E73" s="712">
        <f>SUMIFS(Sheet1!S71_PYearAmount,Sheet1!S71_A2SubCode,$AC:$AC,Sheet1!S71_ItemType,$AD:$AD)</f>
        <v>0</v>
      </c>
      <c r="F73" s="725">
        <f>-SUMIFS(Sheet1!S71_OriginalBudAmnt,Sheet1!S71_A2SubCode,$AC:$AC,Sheet1!S71_ItemType,$AD:$AD)</f>
        <v>0</v>
      </c>
      <c r="G73" s="712">
        <f>-SUMIFS(Sheet1!S71_AdjustmentBudAmnt,Sheet1!S71_A2SubCode,$AC:$AC,Sheet1!S71_ItemType,$AD:$AD)</f>
        <v>0</v>
      </c>
      <c r="H73" s="713">
        <f>-SUMIFS(Sheet1!S71_AdjustmentBudAmnt,Sheet1!S71_A2SubCode,$AC:$AC,Sheet1!S71_ItemType,$AD:$AD)</f>
        <v>0</v>
      </c>
      <c r="I73" s="725">
        <f>-SUMIFS(Sheet1!S71_ASBudgetAmount,Sheet1!S71_A2SubCode,$AC:$AC,Sheet1!S71_ItemType,$AD:$AD)</f>
        <v>0</v>
      </c>
      <c r="J73" s="712">
        <f>-SUMIFS(Sheet1!S71_OY1BudgetAmount,Sheet1!S71_A2SubCode,$AC:$AC,Sheet1!S71_ItemType,$AD:$AD)</f>
        <v>0</v>
      </c>
      <c r="K73" s="713">
        <f>-SUMIFS(Sheet1!S71_OY2BudgetAmount,Sheet1!S71_A2SubCode,$AC:$AC,Sheet1!S71_ItemType,$AD:$AD)</f>
        <v>0</v>
      </c>
      <c r="L73" s="322"/>
      <c r="Q73" s="2226"/>
      <c r="R73" s="2227"/>
      <c r="AC73" s="2310">
        <v>2507</v>
      </c>
      <c r="AD73" s="2310" t="s">
        <v>2759</v>
      </c>
    </row>
    <row r="74" spans="1:30" ht="11.25" customHeight="1" x14ac:dyDescent="0.25">
      <c r="A74" s="225" t="s">
        <v>126</v>
      </c>
      <c r="B74" s="97"/>
      <c r="C74" s="243">
        <f t="shared" ref="C74:K74" si="10">C75+C86+C91</f>
        <v>445261</v>
      </c>
      <c r="D74" s="243">
        <f t="shared" si="10"/>
        <v>254747</v>
      </c>
      <c r="E74" s="358">
        <f t="shared" si="10"/>
        <v>155935</v>
      </c>
      <c r="F74" s="244">
        <f t="shared" si="10"/>
        <v>968955</v>
      </c>
      <c r="G74" s="243">
        <f t="shared" si="10"/>
        <v>2495166</v>
      </c>
      <c r="H74" s="358">
        <f t="shared" si="10"/>
        <v>2495166</v>
      </c>
      <c r="I74" s="244">
        <f t="shared" si="10"/>
        <v>971644</v>
      </c>
      <c r="J74" s="243">
        <f t="shared" si="10"/>
        <v>2696177</v>
      </c>
      <c r="K74" s="358">
        <f t="shared" si="10"/>
        <v>2804023</v>
      </c>
      <c r="L74" s="322"/>
      <c r="Q74" s="2226"/>
      <c r="R74" s="2227"/>
      <c r="AC74" s="2309"/>
      <c r="AD74" s="2309"/>
    </row>
    <row r="75" spans="1:30" ht="11.25" customHeight="1" x14ac:dyDescent="0.25">
      <c r="A75" s="241" t="s">
        <v>127</v>
      </c>
      <c r="B75" s="97"/>
      <c r="C75" s="106">
        <f>SUM(C76:C85)</f>
        <v>419011</v>
      </c>
      <c r="D75" s="106">
        <f t="shared" ref="D75:K75" si="11">SUM(D76:D85)</f>
        <v>227692</v>
      </c>
      <c r="E75" s="359">
        <f t="shared" si="11"/>
        <v>132745</v>
      </c>
      <c r="F75" s="107">
        <f t="shared" si="11"/>
        <v>938955</v>
      </c>
      <c r="G75" s="106">
        <f t="shared" si="11"/>
        <v>2465166</v>
      </c>
      <c r="H75" s="359">
        <f t="shared" si="11"/>
        <v>2465166</v>
      </c>
      <c r="I75" s="107">
        <f t="shared" si="11"/>
        <v>940474</v>
      </c>
      <c r="J75" s="106">
        <f t="shared" si="11"/>
        <v>2663760</v>
      </c>
      <c r="K75" s="359">
        <f t="shared" si="11"/>
        <v>2770310</v>
      </c>
      <c r="L75" s="322"/>
      <c r="Q75" s="2226"/>
      <c r="R75" s="2227"/>
      <c r="AC75" s="2309"/>
      <c r="AD75" s="2309"/>
    </row>
    <row r="76" spans="1:30" ht="11.25" customHeight="1" x14ac:dyDescent="0.25">
      <c r="A76" s="2235" t="s">
        <v>2412</v>
      </c>
      <c r="B76" s="97"/>
      <c r="C76" s="712">
        <f>SUMIFS(Sheet1!S71_PPPYearAmount,Sheet1!S71_A2SubCode,$AC:$AC,Sheet1!S71_ItemType,$AD:$AD)</f>
        <v>0</v>
      </c>
      <c r="D76" s="712">
        <f>SUMIFS(Sheet1!S71_PPYearAmount,Sheet1!S71_A2SubCode,$AC:$AC,Sheet1!S71_ItemType,$AD:$AD)</f>
        <v>0</v>
      </c>
      <c r="E76" s="712">
        <f>SUMIFS(Sheet1!S71_PYearAmount,Sheet1!S71_A2SubCode,$AC:$AC,Sheet1!S71_ItemType,$AD:$AD)</f>
        <v>0</v>
      </c>
      <c r="F76" s="725">
        <f>-SUMIFS(Sheet1!S71_OriginalBudAmnt,Sheet1!S71_A2SubCode,$AC:$AC,Sheet1!S71_ItemType,$AD:$AD)</f>
        <v>0</v>
      </c>
      <c r="G76" s="712">
        <f>-SUMIFS(Sheet1!S71_AdjustmentBudAmnt,Sheet1!S71_A2SubCode,$AC:$AC,Sheet1!S71_ItemType,$AD:$AD)</f>
        <v>0</v>
      </c>
      <c r="H76" s="713">
        <f>-SUMIFS(Sheet1!S71_AdjustmentBudAmnt,Sheet1!S71_A2SubCode,$AC:$AC,Sheet1!S71_ItemType,$AD:$AD)</f>
        <v>0</v>
      </c>
      <c r="I76" s="725">
        <f>-SUMIFS(Sheet1!S71_ASBudgetAmount,Sheet1!S71_A2SubCode,$AC:$AC,Sheet1!S71_ItemType,$AD:$AD)</f>
        <v>0</v>
      </c>
      <c r="J76" s="712">
        <f>-SUMIFS(Sheet1!S71_OY1BudgetAmount,Sheet1!S71_A2SubCode,$AC:$AC,Sheet1!S71_ItemType,$AD:$AD)</f>
        <v>0</v>
      </c>
      <c r="K76" s="713">
        <f>-SUMIFS(Sheet1!S71_OY2BudgetAmount,Sheet1!S71_A2SubCode,$AC:$AC,Sheet1!S71_ItemType,$AD:$AD)</f>
        <v>0</v>
      </c>
      <c r="L76" s="322"/>
      <c r="Q76" s="2226"/>
      <c r="R76" s="2227"/>
      <c r="AC76" s="2310">
        <v>3101</v>
      </c>
      <c r="AD76" s="2310" t="s">
        <v>2759</v>
      </c>
    </row>
    <row r="77" spans="1:30" ht="11.25" customHeight="1" x14ac:dyDescent="0.25">
      <c r="A77" s="2235" t="s">
        <v>2413</v>
      </c>
      <c r="B77" s="97"/>
      <c r="C77" s="712">
        <f>SUMIFS(Sheet1!S71_PPPYearAmount,Sheet1!S71_A2SubCode,$AC:$AC,Sheet1!S71_ItemType,$AD:$AD)</f>
        <v>0</v>
      </c>
      <c r="D77" s="712">
        <f>SUMIFS(Sheet1!S71_PPYearAmount,Sheet1!S71_A2SubCode,$AC:$AC,Sheet1!S71_ItemType,$AD:$AD)</f>
        <v>0</v>
      </c>
      <c r="E77" s="712">
        <f>SUMIFS(Sheet1!S71_PYearAmount,Sheet1!S71_A2SubCode,$AC:$AC,Sheet1!S71_ItemType,$AD:$AD)</f>
        <v>0</v>
      </c>
      <c r="F77" s="725">
        <f>-SUMIFS(Sheet1!S71_OriginalBudAmnt,Sheet1!S71_A2SubCode,$AC:$AC,Sheet1!S71_ItemType,$AD:$AD)</f>
        <v>0</v>
      </c>
      <c r="G77" s="712">
        <f>-SUMIFS(Sheet1!S71_AdjustmentBudAmnt,Sheet1!S71_A2SubCode,$AC:$AC,Sheet1!S71_ItemType,$AD:$AD)</f>
        <v>0</v>
      </c>
      <c r="H77" s="713">
        <f>-SUMIFS(Sheet1!S71_AdjustmentBudAmnt,Sheet1!S71_A2SubCode,$AC:$AC,Sheet1!S71_ItemType,$AD:$AD)</f>
        <v>0</v>
      </c>
      <c r="I77" s="725">
        <f>-SUMIFS(Sheet1!S71_ASBudgetAmount,Sheet1!S71_A2SubCode,$AC:$AC,Sheet1!S71_ItemType,$AD:$AD)</f>
        <v>0</v>
      </c>
      <c r="J77" s="712">
        <f>-SUMIFS(Sheet1!S71_OY1BudgetAmount,Sheet1!S71_A2SubCode,$AC:$AC,Sheet1!S71_ItemType,$AD:$AD)</f>
        <v>0</v>
      </c>
      <c r="K77" s="713">
        <f>-SUMIFS(Sheet1!S71_OY2BudgetAmount,Sheet1!S71_A2SubCode,$AC:$AC,Sheet1!S71_ItemType,$AD:$AD)</f>
        <v>0</v>
      </c>
      <c r="L77" s="322"/>
      <c r="Q77" s="2226"/>
      <c r="R77" s="2227"/>
      <c r="AC77" s="2310">
        <v>3102</v>
      </c>
      <c r="AD77" s="2310" t="s">
        <v>2759</v>
      </c>
    </row>
    <row r="78" spans="1:30" ht="11.25" customHeight="1" x14ac:dyDescent="0.25">
      <c r="A78" s="2235" t="s">
        <v>2414</v>
      </c>
      <c r="B78" s="97"/>
      <c r="C78" s="712">
        <f>SUMIFS(Sheet1!S71_PPPYearAmount,Sheet1!S71_A2SubCode,$AC:$AC,Sheet1!S71_ItemType,$AD:$AD)</f>
        <v>0</v>
      </c>
      <c r="D78" s="712">
        <f>SUMIFS(Sheet1!S71_PPYearAmount,Sheet1!S71_A2SubCode,$AC:$AC,Sheet1!S71_ItemType,$AD:$AD)</f>
        <v>0</v>
      </c>
      <c r="E78" s="712">
        <f>SUMIFS(Sheet1!S71_PYearAmount,Sheet1!S71_A2SubCode,$AC:$AC,Sheet1!S71_ItemType,$AD:$AD)</f>
        <v>0</v>
      </c>
      <c r="F78" s="725">
        <f>-SUMIFS(Sheet1!S71_OriginalBudAmnt,Sheet1!S71_A2SubCode,$AC:$AC,Sheet1!S71_ItemType,$AD:$AD)</f>
        <v>0</v>
      </c>
      <c r="G78" s="712">
        <f>-SUMIFS(Sheet1!S71_AdjustmentBudAmnt,Sheet1!S71_A2SubCode,$AC:$AC,Sheet1!S71_ItemType,$AD:$AD)</f>
        <v>0</v>
      </c>
      <c r="H78" s="713">
        <f>-SUMIFS(Sheet1!S71_AdjustmentBudAmnt,Sheet1!S71_A2SubCode,$AC:$AC,Sheet1!S71_ItemType,$AD:$AD)</f>
        <v>0</v>
      </c>
      <c r="I78" s="725">
        <f>-SUMIFS(Sheet1!S71_ASBudgetAmount,Sheet1!S71_A2SubCode,$AC:$AC,Sheet1!S71_ItemType,$AD:$AD)</f>
        <v>0</v>
      </c>
      <c r="J78" s="712">
        <f>-SUMIFS(Sheet1!S71_OY1BudgetAmount,Sheet1!S71_A2SubCode,$AC:$AC,Sheet1!S71_ItemType,$AD:$AD)</f>
        <v>0</v>
      </c>
      <c r="K78" s="713">
        <f>-SUMIFS(Sheet1!S71_OY2BudgetAmount,Sheet1!S71_A2SubCode,$AC:$AC,Sheet1!S71_ItemType,$AD:$AD)</f>
        <v>0</v>
      </c>
      <c r="L78" s="322"/>
      <c r="Q78" s="2226"/>
      <c r="R78" s="2227"/>
      <c r="AC78" s="2310">
        <v>3103</v>
      </c>
      <c r="AD78" s="2310" t="s">
        <v>2759</v>
      </c>
    </row>
    <row r="79" spans="1:30" ht="11.25" customHeight="1" x14ac:dyDescent="0.25">
      <c r="A79" s="2235" t="s">
        <v>2415</v>
      </c>
      <c r="B79" s="97"/>
      <c r="C79" s="712">
        <f>SUMIFS(Sheet1!S71_PPPYearAmount,Sheet1!S71_A2SubCode,$AC:$AC,Sheet1!S71_ItemType,$AD:$AD)</f>
        <v>0</v>
      </c>
      <c r="D79" s="712">
        <f>SUMIFS(Sheet1!S71_PPYearAmount,Sheet1!S71_A2SubCode,$AC:$AC,Sheet1!S71_ItemType,$AD:$AD)</f>
        <v>0</v>
      </c>
      <c r="E79" s="712">
        <f>SUMIFS(Sheet1!S71_PYearAmount,Sheet1!S71_A2SubCode,$AC:$AC,Sheet1!S71_ItemType,$AD:$AD)</f>
        <v>0</v>
      </c>
      <c r="F79" s="725">
        <f>-SUMIFS(Sheet1!S71_OriginalBudAmnt,Sheet1!S71_A2SubCode,$AC:$AC,Sheet1!S71_ItemType,$AD:$AD)</f>
        <v>0</v>
      </c>
      <c r="G79" s="712">
        <f>-SUMIFS(Sheet1!S71_AdjustmentBudAmnt,Sheet1!S71_A2SubCode,$AC:$AC,Sheet1!S71_ItemType,$AD:$AD)</f>
        <v>0</v>
      </c>
      <c r="H79" s="713">
        <f>-SUMIFS(Sheet1!S71_AdjustmentBudAmnt,Sheet1!S71_A2SubCode,$AC:$AC,Sheet1!S71_ItemType,$AD:$AD)</f>
        <v>0</v>
      </c>
      <c r="I79" s="725">
        <f>-SUMIFS(Sheet1!S71_ASBudgetAmount,Sheet1!S71_A2SubCode,$AC:$AC,Sheet1!S71_ItemType,$AD:$AD)</f>
        <v>0</v>
      </c>
      <c r="J79" s="712">
        <f>-SUMIFS(Sheet1!S71_OY1BudgetAmount,Sheet1!S71_A2SubCode,$AC:$AC,Sheet1!S71_ItemType,$AD:$AD)</f>
        <v>0</v>
      </c>
      <c r="K79" s="713">
        <f>-SUMIFS(Sheet1!S71_OY2BudgetAmount,Sheet1!S71_A2SubCode,$AC:$AC,Sheet1!S71_ItemType,$AD:$AD)</f>
        <v>0</v>
      </c>
      <c r="L79" s="322"/>
      <c r="Q79" s="2226"/>
      <c r="R79" s="2227"/>
      <c r="AC79" s="2310">
        <v>3104</v>
      </c>
      <c r="AD79" s="2310" t="s">
        <v>2759</v>
      </c>
    </row>
    <row r="80" spans="1:30" ht="11.25" customHeight="1" x14ac:dyDescent="0.25">
      <c r="A80" s="2235" t="s">
        <v>2416</v>
      </c>
      <c r="B80" s="97"/>
      <c r="C80" s="712">
        <f>SUMIFS(Sheet1!S71_PPPYearAmount,Sheet1!S71_A2SubCode,$AC:$AC,Sheet1!S71_ItemType,$AD:$AD)</f>
        <v>0</v>
      </c>
      <c r="D80" s="712">
        <f>SUMIFS(Sheet1!S71_PPYearAmount,Sheet1!S71_A2SubCode,$AC:$AC,Sheet1!S71_ItemType,$AD:$AD)</f>
        <v>0</v>
      </c>
      <c r="E80" s="712">
        <f>SUMIFS(Sheet1!S71_PYearAmount,Sheet1!S71_A2SubCode,$AC:$AC,Sheet1!S71_ItemType,$AD:$AD)</f>
        <v>0</v>
      </c>
      <c r="F80" s="725">
        <f>-SUMIFS(Sheet1!S71_OriginalBudAmnt,Sheet1!S71_A2SubCode,$AC:$AC,Sheet1!S71_ItemType,$AD:$AD)</f>
        <v>0</v>
      </c>
      <c r="G80" s="712">
        <f>-SUMIFS(Sheet1!S71_AdjustmentBudAmnt,Sheet1!S71_A2SubCode,$AC:$AC,Sheet1!S71_ItemType,$AD:$AD)</f>
        <v>0</v>
      </c>
      <c r="H80" s="713">
        <f>-SUMIFS(Sheet1!S71_AdjustmentBudAmnt,Sheet1!S71_A2SubCode,$AC:$AC,Sheet1!S71_ItemType,$AD:$AD)</f>
        <v>0</v>
      </c>
      <c r="I80" s="725">
        <f>-SUMIFS(Sheet1!S71_ASBudgetAmount,Sheet1!S71_A2SubCode,$AC:$AC,Sheet1!S71_ItemType,$AD:$AD)</f>
        <v>0</v>
      </c>
      <c r="J80" s="712">
        <f>-SUMIFS(Sheet1!S71_OY1BudgetAmount,Sheet1!S71_A2SubCode,$AC:$AC,Sheet1!S71_ItemType,$AD:$AD)</f>
        <v>0</v>
      </c>
      <c r="K80" s="713">
        <f>-SUMIFS(Sheet1!S71_OY2BudgetAmount,Sheet1!S71_A2SubCode,$AC:$AC,Sheet1!S71_ItemType,$AD:$AD)</f>
        <v>0</v>
      </c>
      <c r="L80" s="322"/>
      <c r="Q80" s="2226"/>
      <c r="R80" s="2227"/>
      <c r="AC80" s="2310">
        <v>3105</v>
      </c>
      <c r="AD80" s="2310" t="s">
        <v>2759</v>
      </c>
    </row>
    <row r="81" spans="1:30" ht="11.25" customHeight="1" x14ac:dyDescent="0.25">
      <c r="A81" s="2235" t="s">
        <v>2417</v>
      </c>
      <c r="B81" s="97"/>
      <c r="C81" s="712">
        <f>SUMIFS(Sheet1!S71_PPPYearAmount,Sheet1!S71_A2SubCode,$AC:$AC,Sheet1!S71_ItemType,$AD:$AD)</f>
        <v>0</v>
      </c>
      <c r="D81" s="712">
        <f>SUMIFS(Sheet1!S71_PPYearAmount,Sheet1!S71_A2SubCode,$AC:$AC,Sheet1!S71_ItemType,$AD:$AD)</f>
        <v>0</v>
      </c>
      <c r="E81" s="712">
        <f>SUMIFS(Sheet1!S71_PYearAmount,Sheet1!S71_A2SubCode,$AC:$AC,Sheet1!S71_ItemType,$AD:$AD)</f>
        <v>0</v>
      </c>
      <c r="F81" s="725">
        <f>-SUMIFS(Sheet1!S71_OriginalBudAmnt,Sheet1!S71_A2SubCode,$AC:$AC,Sheet1!S71_ItemType,$AD:$AD)</f>
        <v>0</v>
      </c>
      <c r="G81" s="712">
        <f>-SUMIFS(Sheet1!S71_AdjustmentBudAmnt,Sheet1!S71_A2SubCode,$AC:$AC,Sheet1!S71_ItemType,$AD:$AD)</f>
        <v>0</v>
      </c>
      <c r="H81" s="713">
        <f>-SUMIFS(Sheet1!S71_AdjustmentBudAmnt,Sheet1!S71_A2SubCode,$AC:$AC,Sheet1!S71_ItemType,$AD:$AD)</f>
        <v>0</v>
      </c>
      <c r="I81" s="725">
        <f>-SUMIFS(Sheet1!S71_ASBudgetAmount,Sheet1!S71_A2SubCode,$AC:$AC,Sheet1!S71_ItemType,$AD:$AD)</f>
        <v>0</v>
      </c>
      <c r="J81" s="712">
        <f>-SUMIFS(Sheet1!S71_OY1BudgetAmount,Sheet1!S71_A2SubCode,$AC:$AC,Sheet1!S71_ItemType,$AD:$AD)</f>
        <v>0</v>
      </c>
      <c r="K81" s="713">
        <f>-SUMIFS(Sheet1!S71_OY2BudgetAmount,Sheet1!S71_A2SubCode,$AC:$AC,Sheet1!S71_ItemType,$AD:$AD)</f>
        <v>0</v>
      </c>
      <c r="L81" s="322"/>
      <c r="Q81" s="2226"/>
      <c r="R81" s="2227"/>
      <c r="AC81" s="2310">
        <v>3106</v>
      </c>
      <c r="AD81" s="2310" t="s">
        <v>2759</v>
      </c>
    </row>
    <row r="82" spans="1:30" ht="11.25" customHeight="1" x14ac:dyDescent="0.25">
      <c r="A82" s="2235" t="s">
        <v>2418</v>
      </c>
      <c r="B82" s="97"/>
      <c r="C82" s="712">
        <f>SUMIFS(Sheet1!S71_PPPYearAmount,Sheet1!S71_A2SubCode,$AC:$AC,Sheet1!S71_ItemType,$AD:$AD)</f>
        <v>419011</v>
      </c>
      <c r="D82" s="712">
        <f>SUMIFS(Sheet1!S71_PPYearAmount,Sheet1!S71_A2SubCode,$AC:$AC,Sheet1!S71_ItemType,$AD:$AD)</f>
        <v>227692</v>
      </c>
      <c r="E82" s="712">
        <f>SUMIFS(Sheet1!S71_PYearAmount,Sheet1!S71_A2SubCode,$AC:$AC,Sheet1!S71_ItemType,$AD:$AD)</f>
        <v>132745</v>
      </c>
      <c r="F82" s="725">
        <f>-SUMIFS(Sheet1!S71_OriginalBudAmnt,Sheet1!S71_A2SubCode,$AC:$AC,Sheet1!S71_ItemType,$AD:$AD)</f>
        <v>938955</v>
      </c>
      <c r="G82" s="712">
        <f>-SUMIFS(Sheet1!S71_AdjustmentBudAmnt,Sheet1!S71_A2SubCode,$AC:$AC,Sheet1!S71_ItemType,$AD:$AD)</f>
        <v>2465166</v>
      </c>
      <c r="H82" s="713">
        <f>-SUMIFS(Sheet1!S71_AdjustmentBudAmnt,Sheet1!S71_A2SubCode,$AC:$AC,Sheet1!S71_ItemType,$AD:$AD)</f>
        <v>2465166</v>
      </c>
      <c r="I82" s="725">
        <f>-SUMIFS(Sheet1!S71_ASBudgetAmount,Sheet1!S71_A2SubCode,$AC:$AC,Sheet1!S71_ItemType,$AD:$AD)</f>
        <v>940474</v>
      </c>
      <c r="J82" s="712">
        <f>-SUMIFS(Sheet1!S71_OY1BudgetAmount,Sheet1!S71_A2SubCode,$AC:$AC,Sheet1!S71_ItemType,$AD:$AD)</f>
        <v>2663760</v>
      </c>
      <c r="K82" s="713">
        <f>-SUMIFS(Sheet1!S71_OY2BudgetAmount,Sheet1!S71_A2SubCode,$AC:$AC,Sheet1!S71_ItemType,$AD:$AD)</f>
        <v>2770310</v>
      </c>
      <c r="L82" s="322"/>
      <c r="Q82" s="2226"/>
      <c r="R82" s="2227"/>
      <c r="AC82" s="2310">
        <v>3107</v>
      </c>
      <c r="AD82" s="2310" t="s">
        <v>2759</v>
      </c>
    </row>
    <row r="83" spans="1:30" ht="11.25" customHeight="1" x14ac:dyDescent="0.25">
      <c r="A83" s="2235" t="s">
        <v>2419</v>
      </c>
      <c r="B83" s="97"/>
      <c r="C83" s="712">
        <f>SUMIFS(Sheet1!S71_PPPYearAmount,Sheet1!S71_A2SubCode,$AC:$AC,Sheet1!S71_ItemType,$AD:$AD)</f>
        <v>0</v>
      </c>
      <c r="D83" s="712">
        <f>SUMIFS(Sheet1!S71_PPYearAmount,Sheet1!S71_A2SubCode,$AC:$AC,Sheet1!S71_ItemType,$AD:$AD)</f>
        <v>0</v>
      </c>
      <c r="E83" s="712">
        <f>SUMIFS(Sheet1!S71_PYearAmount,Sheet1!S71_A2SubCode,$AC:$AC,Sheet1!S71_ItemType,$AD:$AD)</f>
        <v>0</v>
      </c>
      <c r="F83" s="725">
        <f>-SUMIFS(Sheet1!S71_OriginalBudAmnt,Sheet1!S71_A2SubCode,$AC:$AC,Sheet1!S71_ItemType,$AD:$AD)</f>
        <v>0</v>
      </c>
      <c r="G83" s="712">
        <f>-SUMIFS(Sheet1!S71_AdjustmentBudAmnt,Sheet1!S71_A2SubCode,$AC:$AC,Sheet1!S71_ItemType,$AD:$AD)</f>
        <v>0</v>
      </c>
      <c r="H83" s="713">
        <f>-SUMIFS(Sheet1!S71_AdjustmentBudAmnt,Sheet1!S71_A2SubCode,$AC:$AC,Sheet1!S71_ItemType,$AD:$AD)</f>
        <v>0</v>
      </c>
      <c r="I83" s="725">
        <f>-SUMIFS(Sheet1!S71_ASBudgetAmount,Sheet1!S71_A2SubCode,$AC:$AC,Sheet1!S71_ItemType,$AD:$AD)</f>
        <v>0</v>
      </c>
      <c r="J83" s="712">
        <f>-SUMIFS(Sheet1!S71_OY1BudgetAmount,Sheet1!S71_A2SubCode,$AC:$AC,Sheet1!S71_ItemType,$AD:$AD)</f>
        <v>0</v>
      </c>
      <c r="K83" s="713">
        <f>-SUMIFS(Sheet1!S71_OY2BudgetAmount,Sheet1!S71_A2SubCode,$AC:$AC,Sheet1!S71_ItemType,$AD:$AD)</f>
        <v>0</v>
      </c>
      <c r="L83" s="322"/>
      <c r="Q83" s="2226"/>
      <c r="R83" s="2227"/>
      <c r="AC83" s="2310">
        <v>3108</v>
      </c>
      <c r="AD83" s="2310" t="s">
        <v>2759</v>
      </c>
    </row>
    <row r="84" spans="1:30" ht="11.25" customHeight="1" x14ac:dyDescent="0.25">
      <c r="A84" s="2235" t="s">
        <v>2420</v>
      </c>
      <c r="B84" s="97"/>
      <c r="C84" s="712">
        <f>SUMIFS(Sheet1!S71_PPPYearAmount,Sheet1!S71_A2SubCode,$AC:$AC,Sheet1!S71_ItemType,$AD:$AD)</f>
        <v>0</v>
      </c>
      <c r="D84" s="712">
        <f>SUMIFS(Sheet1!S71_PPYearAmount,Sheet1!S71_A2SubCode,$AC:$AC,Sheet1!S71_ItemType,$AD:$AD)</f>
        <v>0</v>
      </c>
      <c r="E84" s="712">
        <f>SUMIFS(Sheet1!S71_PYearAmount,Sheet1!S71_A2SubCode,$AC:$AC,Sheet1!S71_ItemType,$AD:$AD)</f>
        <v>0</v>
      </c>
      <c r="F84" s="725">
        <f>-SUMIFS(Sheet1!S71_OriginalBudAmnt,Sheet1!S71_A2SubCode,$AC:$AC,Sheet1!S71_ItemType,$AD:$AD)</f>
        <v>0</v>
      </c>
      <c r="G84" s="712">
        <f>-SUMIFS(Sheet1!S71_AdjustmentBudAmnt,Sheet1!S71_A2SubCode,$AC:$AC,Sheet1!S71_ItemType,$AD:$AD)</f>
        <v>0</v>
      </c>
      <c r="H84" s="713">
        <f>-SUMIFS(Sheet1!S71_AdjustmentBudAmnt,Sheet1!S71_A2SubCode,$AC:$AC,Sheet1!S71_ItemType,$AD:$AD)</f>
        <v>0</v>
      </c>
      <c r="I84" s="725">
        <f>-SUMIFS(Sheet1!S71_ASBudgetAmount,Sheet1!S71_A2SubCode,$AC:$AC,Sheet1!S71_ItemType,$AD:$AD)</f>
        <v>0</v>
      </c>
      <c r="J84" s="712">
        <f>-SUMIFS(Sheet1!S71_OY1BudgetAmount,Sheet1!S71_A2SubCode,$AC:$AC,Sheet1!S71_ItemType,$AD:$AD)</f>
        <v>0</v>
      </c>
      <c r="K84" s="713">
        <f>-SUMIFS(Sheet1!S71_OY2BudgetAmount,Sheet1!S71_A2SubCode,$AC:$AC,Sheet1!S71_ItemType,$AD:$AD)</f>
        <v>0</v>
      </c>
      <c r="L84" s="322"/>
      <c r="Q84" s="2226"/>
      <c r="R84" s="2227"/>
      <c r="AC84" s="2310">
        <v>3109</v>
      </c>
      <c r="AD84" s="2310" t="s">
        <v>2759</v>
      </c>
    </row>
    <row r="85" spans="1:30" ht="11.25" customHeight="1" x14ac:dyDescent="0.25">
      <c r="A85" s="2235" t="s">
        <v>2421</v>
      </c>
      <c r="B85" s="97"/>
      <c r="C85" s="712">
        <f>SUMIFS(Sheet1!S71_PPPYearAmount,Sheet1!S71_A2SubCode,$AC:$AC,Sheet1!S71_ItemType,$AD:$AD)</f>
        <v>0</v>
      </c>
      <c r="D85" s="712">
        <f>SUMIFS(Sheet1!S71_PPYearAmount,Sheet1!S71_A2SubCode,$AC:$AC,Sheet1!S71_ItemType,$AD:$AD)</f>
        <v>0</v>
      </c>
      <c r="E85" s="712">
        <f>SUMIFS(Sheet1!S71_PYearAmount,Sheet1!S71_A2SubCode,$AC:$AC,Sheet1!S71_ItemType,$AD:$AD)</f>
        <v>0</v>
      </c>
      <c r="F85" s="725">
        <f>-SUMIFS(Sheet1!S71_OriginalBudAmnt,Sheet1!S71_A2SubCode,$AC:$AC,Sheet1!S71_ItemType,$AD:$AD)</f>
        <v>0</v>
      </c>
      <c r="G85" s="712">
        <f>-SUMIFS(Sheet1!S71_AdjustmentBudAmnt,Sheet1!S71_A2SubCode,$AC:$AC,Sheet1!S71_ItemType,$AD:$AD)</f>
        <v>0</v>
      </c>
      <c r="H85" s="713">
        <f>-SUMIFS(Sheet1!S71_AdjustmentBudAmnt,Sheet1!S71_A2SubCode,$AC:$AC,Sheet1!S71_ItemType,$AD:$AD)</f>
        <v>0</v>
      </c>
      <c r="I85" s="725">
        <f>-SUMIFS(Sheet1!S71_ASBudgetAmount,Sheet1!S71_A2SubCode,$AC:$AC,Sheet1!S71_ItemType,$AD:$AD)</f>
        <v>0</v>
      </c>
      <c r="J85" s="712">
        <f>-SUMIFS(Sheet1!S71_OY1BudgetAmount,Sheet1!S71_A2SubCode,$AC:$AC,Sheet1!S71_ItemType,$AD:$AD)</f>
        <v>0</v>
      </c>
      <c r="K85" s="713">
        <f>-SUMIFS(Sheet1!S71_OY2BudgetAmount,Sheet1!S71_A2SubCode,$AC:$AC,Sheet1!S71_ItemType,$AD:$AD)</f>
        <v>0</v>
      </c>
      <c r="L85" s="322"/>
      <c r="Q85" s="2226"/>
      <c r="R85" s="2227"/>
      <c r="AC85" s="2310">
        <v>3110</v>
      </c>
      <c r="AD85" s="2310" t="s">
        <v>2759</v>
      </c>
    </row>
    <row r="86" spans="1:30" ht="11.25" customHeight="1" x14ac:dyDescent="0.25">
      <c r="A86" s="241" t="s">
        <v>128</v>
      </c>
      <c r="B86" s="97"/>
      <c r="C86" s="106">
        <f t="shared" ref="C86:K86" si="12">SUM(C87:C90)</f>
        <v>26250</v>
      </c>
      <c r="D86" s="106">
        <f t="shared" si="12"/>
        <v>27055</v>
      </c>
      <c r="E86" s="359">
        <f t="shared" si="12"/>
        <v>23190</v>
      </c>
      <c r="F86" s="107">
        <f t="shared" si="12"/>
        <v>30000</v>
      </c>
      <c r="G86" s="106">
        <f t="shared" si="12"/>
        <v>30000</v>
      </c>
      <c r="H86" s="359">
        <f t="shared" si="12"/>
        <v>30000</v>
      </c>
      <c r="I86" s="107">
        <f t="shared" si="12"/>
        <v>31170</v>
      </c>
      <c r="J86" s="106">
        <f t="shared" si="12"/>
        <v>32417</v>
      </c>
      <c r="K86" s="359">
        <f t="shared" si="12"/>
        <v>33713</v>
      </c>
      <c r="L86" s="322"/>
      <c r="Q86" s="2226"/>
      <c r="R86" s="2227"/>
      <c r="AC86" s="2309"/>
      <c r="AD86" s="2309"/>
    </row>
    <row r="87" spans="1:30" ht="11.25" customHeight="1" x14ac:dyDescent="0.25">
      <c r="A87" s="2235" t="s">
        <v>2424</v>
      </c>
      <c r="B87" s="97"/>
      <c r="C87" s="712">
        <f>SUMIFS(Sheet1!S71_PPPYearAmount,Sheet1!S71_A2SubCode,$AC:$AC,Sheet1!S71_ItemType,$AD:$AD)</f>
        <v>0</v>
      </c>
      <c r="D87" s="712">
        <f>SUMIFS(Sheet1!S71_PPYearAmount,Sheet1!S71_A2SubCode,$AC:$AC,Sheet1!S71_ItemType,$AD:$AD)</f>
        <v>0</v>
      </c>
      <c r="E87" s="712">
        <f>SUMIFS(Sheet1!S71_PYearAmount,Sheet1!S71_A2SubCode,$AC:$AC,Sheet1!S71_ItemType,$AD:$AD)</f>
        <v>0</v>
      </c>
      <c r="F87" s="725">
        <f>-SUMIFS(Sheet1!S71_OriginalBudAmnt,Sheet1!S71_A2SubCode,$AC:$AC,Sheet1!S71_ItemType,$AD:$AD)</f>
        <v>0</v>
      </c>
      <c r="G87" s="712">
        <f>-SUMIFS(Sheet1!S71_AdjustmentBudAmnt,Sheet1!S71_A2SubCode,$AC:$AC,Sheet1!S71_ItemType,$AD:$AD)</f>
        <v>0</v>
      </c>
      <c r="H87" s="713">
        <f>-SUMIFS(Sheet1!S71_AdjustmentBudAmnt,Sheet1!S71_A2SubCode,$AC:$AC,Sheet1!S71_ItemType,$AD:$AD)</f>
        <v>0</v>
      </c>
      <c r="I87" s="725">
        <f>-SUMIFS(Sheet1!S71_ASBudgetAmount,Sheet1!S71_A2SubCode,$AC:$AC,Sheet1!S71_ItemType,$AD:$AD)</f>
        <v>0</v>
      </c>
      <c r="J87" s="712">
        <f>-SUMIFS(Sheet1!S71_OY1BudgetAmount,Sheet1!S71_A2SubCode,$AC:$AC,Sheet1!S71_ItemType,$AD:$AD)</f>
        <v>0</v>
      </c>
      <c r="K87" s="713">
        <f>-SUMIFS(Sheet1!S71_OY2BudgetAmount,Sheet1!S71_A2SubCode,$AC:$AC,Sheet1!S71_ItemType,$AD:$AD)</f>
        <v>0</v>
      </c>
      <c r="L87" s="322"/>
      <c r="Q87" s="2226"/>
      <c r="R87" s="2227"/>
      <c r="AC87" s="2310" t="s">
        <v>2761</v>
      </c>
      <c r="AD87" s="2310" t="s">
        <v>2759</v>
      </c>
    </row>
    <row r="88" spans="1:30" ht="11.25" customHeight="1" x14ac:dyDescent="0.25">
      <c r="A88" s="2235" t="s">
        <v>2425</v>
      </c>
      <c r="B88" s="97"/>
      <c r="C88" s="712">
        <f>SUMIFS(Sheet1!S71_PPPYearAmount,Sheet1!S71_A2SubCode,$AC:$AC,Sheet1!S71_ItemType,$AD:$AD)</f>
        <v>0</v>
      </c>
      <c r="D88" s="712">
        <f>SUMIFS(Sheet1!S71_PPYearAmount,Sheet1!S71_A2SubCode,$AC:$AC,Sheet1!S71_ItemType,$AD:$AD)</f>
        <v>0</v>
      </c>
      <c r="E88" s="712">
        <f>SUMIFS(Sheet1!S71_PYearAmount,Sheet1!S71_A2SubCode,$AC:$AC,Sheet1!S71_ItemType,$AD:$AD)</f>
        <v>0</v>
      </c>
      <c r="F88" s="725">
        <f>-SUMIFS(Sheet1!S71_OriginalBudAmnt,Sheet1!S71_A2SubCode,$AC:$AC,Sheet1!S71_ItemType,$AD:$AD)</f>
        <v>0</v>
      </c>
      <c r="G88" s="712">
        <f>-SUMIFS(Sheet1!S71_AdjustmentBudAmnt,Sheet1!S71_A2SubCode,$AC:$AC,Sheet1!S71_ItemType,$AD:$AD)</f>
        <v>0</v>
      </c>
      <c r="H88" s="713">
        <f>-SUMIFS(Sheet1!S71_AdjustmentBudAmnt,Sheet1!S71_A2SubCode,$AC:$AC,Sheet1!S71_ItemType,$AD:$AD)</f>
        <v>0</v>
      </c>
      <c r="I88" s="725">
        <f>-SUMIFS(Sheet1!S71_ASBudgetAmount,Sheet1!S71_A2SubCode,$AC:$AC,Sheet1!S71_ItemType,$AD:$AD)</f>
        <v>0</v>
      </c>
      <c r="J88" s="712">
        <f>-SUMIFS(Sheet1!S71_OY1BudgetAmount,Sheet1!S71_A2SubCode,$AC:$AC,Sheet1!S71_ItemType,$AD:$AD)</f>
        <v>0</v>
      </c>
      <c r="K88" s="713">
        <f>-SUMIFS(Sheet1!S71_OY2BudgetAmount,Sheet1!S71_A2SubCode,$AC:$AC,Sheet1!S71_ItemType,$AD:$AD)</f>
        <v>0</v>
      </c>
      <c r="L88" s="322"/>
      <c r="Q88" s="2226"/>
      <c r="R88" s="2227"/>
      <c r="AC88" s="2310" t="s">
        <v>2762</v>
      </c>
      <c r="AD88" s="2310" t="s">
        <v>2759</v>
      </c>
    </row>
    <row r="89" spans="1:30" ht="11.25" customHeight="1" x14ac:dyDescent="0.25">
      <c r="A89" s="2235" t="s">
        <v>629</v>
      </c>
      <c r="B89" s="97"/>
      <c r="C89" s="712">
        <f>SUMIFS(Sheet1!S71_PPPYearAmount,Sheet1!S71_A2SubCode,$AC:$AC,Sheet1!S71_ItemType,$AD:$AD)</f>
        <v>26250</v>
      </c>
      <c r="D89" s="712">
        <f>SUMIFS(Sheet1!S71_PPYearAmount,Sheet1!S71_A2SubCode,$AC:$AC,Sheet1!S71_ItemType,$AD:$AD)</f>
        <v>27055</v>
      </c>
      <c r="E89" s="712">
        <f>SUMIFS(Sheet1!S71_PYearAmount,Sheet1!S71_A2SubCode,$AC:$AC,Sheet1!S71_ItemType,$AD:$AD)</f>
        <v>23190</v>
      </c>
      <c r="F89" s="725">
        <f>-SUMIFS(Sheet1!S71_OriginalBudAmnt,Sheet1!S71_A2SubCode,$AC:$AC,Sheet1!S71_ItemType,$AD:$AD)</f>
        <v>30000</v>
      </c>
      <c r="G89" s="712">
        <f>-SUMIFS(Sheet1!S71_AdjustmentBudAmnt,Sheet1!S71_A2SubCode,$AC:$AC,Sheet1!S71_ItemType,$AD:$AD)</f>
        <v>30000</v>
      </c>
      <c r="H89" s="713">
        <f>-SUMIFS(Sheet1!S71_AdjustmentBudAmnt,Sheet1!S71_A2SubCode,$AC:$AC,Sheet1!S71_ItemType,$AD:$AD)</f>
        <v>30000</v>
      </c>
      <c r="I89" s="725">
        <f>-SUMIFS(Sheet1!S71_ASBudgetAmount,Sheet1!S71_A2SubCode,$AC:$AC,Sheet1!S71_ItemType,$AD:$AD)</f>
        <v>31170</v>
      </c>
      <c r="J89" s="712">
        <f>-SUMIFS(Sheet1!S71_OY1BudgetAmount,Sheet1!S71_A2SubCode,$AC:$AC,Sheet1!S71_ItemType,$AD:$AD)</f>
        <v>32417</v>
      </c>
      <c r="K89" s="713">
        <f>-SUMIFS(Sheet1!S71_OY2BudgetAmount,Sheet1!S71_A2SubCode,$AC:$AC,Sheet1!S71_ItemType,$AD:$AD)</f>
        <v>33713</v>
      </c>
      <c r="L89" s="322"/>
      <c r="Q89" s="2226"/>
      <c r="R89" s="2227"/>
      <c r="AC89" s="2310" t="s">
        <v>2763</v>
      </c>
      <c r="AD89" s="2310" t="s">
        <v>2759</v>
      </c>
    </row>
    <row r="90" spans="1:30" ht="11.25" customHeight="1" x14ac:dyDescent="0.25">
      <c r="A90" s="2235" t="s">
        <v>2426</v>
      </c>
      <c r="B90" s="97"/>
      <c r="C90" s="712">
        <f>SUMIFS(Sheet1!S71_PPPYearAmount,Sheet1!S71_A2SubCode,$AC:$AC,Sheet1!S71_ItemType,$AD:$AD)</f>
        <v>0</v>
      </c>
      <c r="D90" s="712">
        <f>SUMIFS(Sheet1!S71_PPYearAmount,Sheet1!S71_A2SubCode,$AC:$AC,Sheet1!S71_ItemType,$AD:$AD)</f>
        <v>0</v>
      </c>
      <c r="E90" s="712">
        <f>SUMIFS(Sheet1!S71_PYearAmount,Sheet1!S71_A2SubCode,$AC:$AC,Sheet1!S71_ItemType,$AD:$AD)</f>
        <v>0</v>
      </c>
      <c r="F90" s="725">
        <f>-SUMIFS(Sheet1!S71_OriginalBudAmnt,Sheet1!S71_A2SubCode,$AC:$AC,Sheet1!S71_ItemType,$AD:$AD)</f>
        <v>0</v>
      </c>
      <c r="G90" s="712">
        <f>-SUMIFS(Sheet1!S71_AdjustmentBudAmnt,Sheet1!S71_A2SubCode,$AC:$AC,Sheet1!S71_ItemType,$AD:$AD)</f>
        <v>0</v>
      </c>
      <c r="H90" s="713">
        <f>-SUMIFS(Sheet1!S71_AdjustmentBudAmnt,Sheet1!S71_A2SubCode,$AC:$AC,Sheet1!S71_ItemType,$AD:$AD)</f>
        <v>0</v>
      </c>
      <c r="I90" s="725">
        <f>-SUMIFS(Sheet1!S71_ASBudgetAmount,Sheet1!S71_A2SubCode,$AC:$AC,Sheet1!S71_ItemType,$AD:$AD)</f>
        <v>0</v>
      </c>
      <c r="J90" s="712">
        <f>-SUMIFS(Sheet1!S71_OY1BudgetAmount,Sheet1!S71_A2SubCode,$AC:$AC,Sheet1!S71_ItemType,$AD:$AD)</f>
        <v>0</v>
      </c>
      <c r="K90" s="713">
        <f>-SUMIFS(Sheet1!S71_OY2BudgetAmount,Sheet1!S71_A2SubCode,$AC:$AC,Sheet1!S71_ItemType,$AD:$AD)</f>
        <v>0</v>
      </c>
      <c r="L90" s="322"/>
      <c r="Q90" s="2226"/>
      <c r="R90" s="2227"/>
      <c r="AC90" s="2310" t="s">
        <v>2764</v>
      </c>
      <c r="AD90" s="2310" t="s">
        <v>2759</v>
      </c>
    </row>
    <row r="91" spans="1:30" ht="11.25" customHeight="1" x14ac:dyDescent="0.25">
      <c r="A91" s="241" t="s">
        <v>129</v>
      </c>
      <c r="B91" s="97"/>
      <c r="C91" s="106">
        <f>SUM(C92:C97)</f>
        <v>0</v>
      </c>
      <c r="D91" s="106">
        <f t="shared" ref="D91:K91" si="13">SUM(D92:D97)</f>
        <v>0</v>
      </c>
      <c r="E91" s="359">
        <f t="shared" si="13"/>
        <v>0</v>
      </c>
      <c r="F91" s="107">
        <f t="shared" si="13"/>
        <v>0</v>
      </c>
      <c r="G91" s="106">
        <f t="shared" si="13"/>
        <v>0</v>
      </c>
      <c r="H91" s="359">
        <f t="shared" si="13"/>
        <v>0</v>
      </c>
      <c r="I91" s="107">
        <f t="shared" si="13"/>
        <v>0</v>
      </c>
      <c r="J91" s="106">
        <f t="shared" si="13"/>
        <v>0</v>
      </c>
      <c r="K91" s="359">
        <f t="shared" si="13"/>
        <v>0</v>
      </c>
      <c r="L91" s="322"/>
      <c r="Q91" s="2226"/>
      <c r="R91" s="2227"/>
      <c r="AC91" s="2309"/>
      <c r="AD91" s="2309"/>
    </row>
    <row r="92" spans="1:30" ht="11.25" customHeight="1" x14ac:dyDescent="0.25">
      <c r="A92" s="2235" t="s">
        <v>2427</v>
      </c>
      <c r="B92" s="97"/>
      <c r="C92" s="712">
        <f>SUMIFS(Sheet1!S71_PPPYearAmount,Sheet1!S71_A2SubCode,$AC:$AC,Sheet1!S71_ItemType,$AD:$AD)</f>
        <v>0</v>
      </c>
      <c r="D92" s="712">
        <f>SUMIFS(Sheet1!S71_PPYearAmount,Sheet1!S71_A2SubCode,$AC:$AC,Sheet1!S71_ItemType,$AD:$AD)</f>
        <v>0</v>
      </c>
      <c r="E92" s="712">
        <f>SUMIFS(Sheet1!S71_PYearAmount,Sheet1!S71_A2SubCode,$AC:$AC,Sheet1!S71_ItemType,$AD:$AD)</f>
        <v>0</v>
      </c>
      <c r="F92" s="725">
        <f>-SUMIFS(Sheet1!S71_OriginalBudAmnt,Sheet1!S71_A2SubCode,$AC:$AC,Sheet1!S71_ItemType,$AD:$AD)</f>
        <v>0</v>
      </c>
      <c r="G92" s="712">
        <f>-SUMIFS(Sheet1!S71_AdjustmentBudAmnt,Sheet1!S71_A2SubCode,$AC:$AC,Sheet1!S71_ItemType,$AD:$AD)</f>
        <v>0</v>
      </c>
      <c r="H92" s="713">
        <f>-SUMIFS(Sheet1!S71_AdjustmentBudAmnt,Sheet1!S71_A2SubCode,$AC:$AC,Sheet1!S71_ItemType,$AD:$AD)</f>
        <v>0</v>
      </c>
      <c r="I92" s="725">
        <f>-SUMIFS(Sheet1!S71_ASBudgetAmount,Sheet1!S71_A2SubCode,$AC:$AC,Sheet1!S71_ItemType,$AD:$AD)</f>
        <v>0</v>
      </c>
      <c r="J92" s="712">
        <f>-SUMIFS(Sheet1!S71_OY1BudgetAmount,Sheet1!S71_A2SubCode,$AC:$AC,Sheet1!S71_ItemType,$AD:$AD)</f>
        <v>0</v>
      </c>
      <c r="K92" s="713">
        <f>-SUMIFS(Sheet1!S71_OY2BudgetAmount,Sheet1!S71_A2SubCode,$AC:$AC,Sheet1!S71_ItemType,$AD:$AD)</f>
        <v>0</v>
      </c>
      <c r="L92" s="322"/>
      <c r="Q92" s="2226"/>
      <c r="R92" s="2227"/>
      <c r="AC92" s="2310">
        <v>3301</v>
      </c>
      <c r="AD92" s="2310" t="s">
        <v>2759</v>
      </c>
    </row>
    <row r="93" spans="1:30" ht="11.25" customHeight="1" x14ac:dyDescent="0.25">
      <c r="A93" s="2235" t="s">
        <v>2428</v>
      </c>
      <c r="B93" s="97"/>
      <c r="C93" s="712">
        <f>SUMIFS(Sheet1!S71_PPPYearAmount,Sheet1!S71_A2SubCode,$AC:$AC,Sheet1!S71_ItemType,$AD:$AD)</f>
        <v>0</v>
      </c>
      <c r="D93" s="712">
        <f>SUMIFS(Sheet1!S71_PPYearAmount,Sheet1!S71_A2SubCode,$AC:$AC,Sheet1!S71_ItemType,$AD:$AD)</f>
        <v>0</v>
      </c>
      <c r="E93" s="712">
        <f>SUMIFS(Sheet1!S71_PYearAmount,Sheet1!S71_A2SubCode,$AC:$AC,Sheet1!S71_ItemType,$AD:$AD)</f>
        <v>0</v>
      </c>
      <c r="F93" s="725">
        <f>-SUMIFS(Sheet1!S71_OriginalBudAmnt,Sheet1!S71_A2SubCode,$AC:$AC,Sheet1!S71_ItemType,$AD:$AD)</f>
        <v>0</v>
      </c>
      <c r="G93" s="712">
        <f>-SUMIFS(Sheet1!S71_AdjustmentBudAmnt,Sheet1!S71_A2SubCode,$AC:$AC,Sheet1!S71_ItemType,$AD:$AD)</f>
        <v>0</v>
      </c>
      <c r="H93" s="713">
        <f>-SUMIFS(Sheet1!S71_AdjustmentBudAmnt,Sheet1!S71_A2SubCode,$AC:$AC,Sheet1!S71_ItemType,$AD:$AD)</f>
        <v>0</v>
      </c>
      <c r="I93" s="725">
        <f>-SUMIFS(Sheet1!S71_ASBudgetAmount,Sheet1!S71_A2SubCode,$AC:$AC,Sheet1!S71_ItemType,$AD:$AD)</f>
        <v>0</v>
      </c>
      <c r="J93" s="712">
        <f>-SUMIFS(Sheet1!S71_OY1BudgetAmount,Sheet1!S71_A2SubCode,$AC:$AC,Sheet1!S71_ItemType,$AD:$AD)</f>
        <v>0</v>
      </c>
      <c r="K93" s="713">
        <f>-SUMIFS(Sheet1!S71_OY2BudgetAmount,Sheet1!S71_A2SubCode,$AC:$AC,Sheet1!S71_ItemType,$AD:$AD)</f>
        <v>0</v>
      </c>
      <c r="L93" s="322"/>
      <c r="Q93" s="2226"/>
      <c r="R93" s="2227"/>
      <c r="AC93" s="2310">
        <v>3302</v>
      </c>
      <c r="AD93" s="2310" t="s">
        <v>2759</v>
      </c>
    </row>
    <row r="94" spans="1:30" ht="11.25" customHeight="1" x14ac:dyDescent="0.25">
      <c r="A94" s="2235" t="s">
        <v>2429</v>
      </c>
      <c r="B94" s="97"/>
      <c r="C94" s="712">
        <f>SUMIFS(Sheet1!S71_PPPYearAmount,Sheet1!S71_A2SubCode,$AC:$AC,Sheet1!S71_ItemType,$AD:$AD)</f>
        <v>0</v>
      </c>
      <c r="D94" s="712">
        <f>SUMIFS(Sheet1!S71_PPYearAmount,Sheet1!S71_A2SubCode,$AC:$AC,Sheet1!S71_ItemType,$AD:$AD)</f>
        <v>0</v>
      </c>
      <c r="E94" s="712">
        <f>SUMIFS(Sheet1!S71_PYearAmount,Sheet1!S71_A2SubCode,$AC:$AC,Sheet1!S71_ItemType,$AD:$AD)</f>
        <v>0</v>
      </c>
      <c r="F94" s="725">
        <f>-SUMIFS(Sheet1!S71_OriginalBudAmnt,Sheet1!S71_A2SubCode,$AC:$AC,Sheet1!S71_ItemType,$AD:$AD)</f>
        <v>0</v>
      </c>
      <c r="G94" s="712">
        <f>-SUMIFS(Sheet1!S71_AdjustmentBudAmnt,Sheet1!S71_A2SubCode,$AC:$AC,Sheet1!S71_ItemType,$AD:$AD)</f>
        <v>0</v>
      </c>
      <c r="H94" s="713">
        <f>-SUMIFS(Sheet1!S71_AdjustmentBudAmnt,Sheet1!S71_A2SubCode,$AC:$AC,Sheet1!S71_ItemType,$AD:$AD)</f>
        <v>0</v>
      </c>
      <c r="I94" s="725">
        <f>-SUMIFS(Sheet1!S71_ASBudgetAmount,Sheet1!S71_A2SubCode,$AC:$AC,Sheet1!S71_ItemType,$AD:$AD)</f>
        <v>0</v>
      </c>
      <c r="J94" s="712">
        <f>-SUMIFS(Sheet1!S71_OY1BudgetAmount,Sheet1!S71_A2SubCode,$AC:$AC,Sheet1!S71_ItemType,$AD:$AD)</f>
        <v>0</v>
      </c>
      <c r="K94" s="713">
        <f>-SUMIFS(Sheet1!S71_OY2BudgetAmount,Sheet1!S71_A2SubCode,$AC:$AC,Sheet1!S71_ItemType,$AD:$AD)</f>
        <v>0</v>
      </c>
      <c r="L94" s="322"/>
      <c r="Q94" s="2226"/>
      <c r="R94" s="2227"/>
      <c r="AC94" s="2310">
        <v>3303</v>
      </c>
      <c r="AD94" s="2310" t="s">
        <v>2759</v>
      </c>
    </row>
    <row r="95" spans="1:30" ht="11.25" customHeight="1" x14ac:dyDescent="0.25">
      <c r="A95" s="2235" t="s">
        <v>2430</v>
      </c>
      <c r="B95" s="97"/>
      <c r="C95" s="712">
        <f>SUMIFS(Sheet1!S71_PPPYearAmount,Sheet1!S71_A2SubCode,$AC:$AC,Sheet1!S71_ItemType,$AD:$AD)</f>
        <v>0</v>
      </c>
      <c r="D95" s="712">
        <f>SUMIFS(Sheet1!S71_PPYearAmount,Sheet1!S71_A2SubCode,$AC:$AC,Sheet1!S71_ItemType,$AD:$AD)</f>
        <v>0</v>
      </c>
      <c r="E95" s="712">
        <f>SUMIFS(Sheet1!S71_PYearAmount,Sheet1!S71_A2SubCode,$AC:$AC,Sheet1!S71_ItemType,$AD:$AD)</f>
        <v>0</v>
      </c>
      <c r="F95" s="725">
        <f>-SUMIFS(Sheet1!S71_OriginalBudAmnt,Sheet1!S71_A2SubCode,$AC:$AC,Sheet1!S71_ItemType,$AD:$AD)</f>
        <v>0</v>
      </c>
      <c r="G95" s="712">
        <f>-SUMIFS(Sheet1!S71_AdjustmentBudAmnt,Sheet1!S71_A2SubCode,$AC:$AC,Sheet1!S71_ItemType,$AD:$AD)</f>
        <v>0</v>
      </c>
      <c r="H95" s="713">
        <f>-SUMIFS(Sheet1!S71_AdjustmentBudAmnt,Sheet1!S71_A2SubCode,$AC:$AC,Sheet1!S71_ItemType,$AD:$AD)</f>
        <v>0</v>
      </c>
      <c r="I95" s="725">
        <f>-SUMIFS(Sheet1!S71_ASBudgetAmount,Sheet1!S71_A2SubCode,$AC:$AC,Sheet1!S71_ItemType,$AD:$AD)</f>
        <v>0</v>
      </c>
      <c r="J95" s="712">
        <f>-SUMIFS(Sheet1!S71_OY1BudgetAmount,Sheet1!S71_A2SubCode,$AC:$AC,Sheet1!S71_ItemType,$AD:$AD)</f>
        <v>0</v>
      </c>
      <c r="K95" s="713">
        <f>-SUMIFS(Sheet1!S71_OY2BudgetAmount,Sheet1!S71_A2SubCode,$AC:$AC,Sheet1!S71_ItemType,$AD:$AD)</f>
        <v>0</v>
      </c>
      <c r="L95" s="322"/>
      <c r="Q95" s="2226"/>
      <c r="R95" s="2227"/>
      <c r="AC95" s="2310">
        <v>3304</v>
      </c>
      <c r="AD95" s="2310" t="s">
        <v>2759</v>
      </c>
    </row>
    <row r="96" spans="1:30" ht="11.25" customHeight="1" x14ac:dyDescent="0.25">
      <c r="A96" s="2235" t="s">
        <v>625</v>
      </c>
      <c r="B96" s="97"/>
      <c r="C96" s="712">
        <f>SUMIFS(Sheet1!S71_PPPYearAmount,Sheet1!S71_A2SubCode,$AC:$AC,Sheet1!S71_ItemType,$AD:$AD)</f>
        <v>0</v>
      </c>
      <c r="D96" s="712">
        <f>SUMIFS(Sheet1!S71_PPYearAmount,Sheet1!S71_A2SubCode,$AC:$AC,Sheet1!S71_ItemType,$AD:$AD)</f>
        <v>0</v>
      </c>
      <c r="E96" s="712">
        <f>SUMIFS(Sheet1!S71_PYearAmount,Sheet1!S71_A2SubCode,$AC:$AC,Sheet1!S71_ItemType,$AD:$AD)</f>
        <v>0</v>
      </c>
      <c r="F96" s="725">
        <f>-SUMIFS(Sheet1!S71_OriginalBudAmnt,Sheet1!S71_A2SubCode,$AC:$AC,Sheet1!S71_ItemType,$AD:$AD)</f>
        <v>0</v>
      </c>
      <c r="G96" s="712">
        <f>-SUMIFS(Sheet1!S71_AdjustmentBudAmnt,Sheet1!S71_A2SubCode,$AC:$AC,Sheet1!S71_ItemType,$AD:$AD)</f>
        <v>0</v>
      </c>
      <c r="H96" s="713">
        <f>-SUMIFS(Sheet1!S71_AdjustmentBudAmnt,Sheet1!S71_A2SubCode,$AC:$AC,Sheet1!S71_ItemType,$AD:$AD)</f>
        <v>0</v>
      </c>
      <c r="I96" s="725">
        <f>-SUMIFS(Sheet1!S71_ASBudgetAmount,Sheet1!S71_A2SubCode,$AC:$AC,Sheet1!S71_ItemType,$AD:$AD)</f>
        <v>0</v>
      </c>
      <c r="J96" s="712">
        <f>-SUMIFS(Sheet1!S71_OY1BudgetAmount,Sheet1!S71_A2SubCode,$AC:$AC,Sheet1!S71_ItemType,$AD:$AD)</f>
        <v>0</v>
      </c>
      <c r="K96" s="713">
        <f>-SUMIFS(Sheet1!S71_OY2BudgetAmount,Sheet1!S71_A2SubCode,$AC:$AC,Sheet1!S71_ItemType,$AD:$AD)</f>
        <v>0</v>
      </c>
      <c r="L96" s="322"/>
      <c r="Q96" s="2226"/>
      <c r="R96" s="2227"/>
      <c r="AC96" s="2310">
        <v>3305</v>
      </c>
      <c r="AD96" s="2310" t="s">
        <v>2759</v>
      </c>
    </row>
    <row r="97" spans="1:30" ht="11.25" customHeight="1" x14ac:dyDescent="0.25">
      <c r="A97" s="2235" t="s">
        <v>2431</v>
      </c>
      <c r="B97" s="97"/>
      <c r="C97" s="712">
        <f>SUMIFS(Sheet1!S71_PPPYearAmount,Sheet1!S71_A2SubCode,$AC:$AC,Sheet1!S71_ItemType,$AD:$AD)</f>
        <v>0</v>
      </c>
      <c r="D97" s="712">
        <f>SUMIFS(Sheet1!S71_PPYearAmount,Sheet1!S71_A2SubCode,$AC:$AC,Sheet1!S71_ItemType,$AD:$AD)</f>
        <v>0</v>
      </c>
      <c r="E97" s="712">
        <f>SUMIFS(Sheet1!S71_PYearAmount,Sheet1!S71_A2SubCode,$AC:$AC,Sheet1!S71_ItemType,$AD:$AD)</f>
        <v>0</v>
      </c>
      <c r="F97" s="725">
        <f>-SUMIFS(Sheet1!S71_OriginalBudAmnt,Sheet1!S71_A2SubCode,$AC:$AC,Sheet1!S71_ItemType,$AD:$AD)</f>
        <v>0</v>
      </c>
      <c r="G97" s="712">
        <f>-SUMIFS(Sheet1!S71_AdjustmentBudAmnt,Sheet1!S71_A2SubCode,$AC:$AC,Sheet1!S71_ItemType,$AD:$AD)</f>
        <v>0</v>
      </c>
      <c r="H97" s="713">
        <f>-SUMIFS(Sheet1!S71_AdjustmentBudAmnt,Sheet1!S71_A2SubCode,$AC:$AC,Sheet1!S71_ItemType,$AD:$AD)</f>
        <v>0</v>
      </c>
      <c r="I97" s="725">
        <f>-SUMIFS(Sheet1!S71_ASBudgetAmount,Sheet1!S71_A2SubCode,$AC:$AC,Sheet1!S71_ItemType,$AD:$AD)</f>
        <v>0</v>
      </c>
      <c r="J97" s="712">
        <f>-SUMIFS(Sheet1!S71_OY1BudgetAmount,Sheet1!S71_A2SubCode,$AC:$AC,Sheet1!S71_ItemType,$AD:$AD)</f>
        <v>0</v>
      </c>
      <c r="K97" s="713">
        <f>-SUMIFS(Sheet1!S71_OY2BudgetAmount,Sheet1!S71_A2SubCode,$AC:$AC,Sheet1!S71_ItemType,$AD:$AD)</f>
        <v>0</v>
      </c>
      <c r="L97" s="322"/>
      <c r="Q97" s="2226"/>
      <c r="R97" s="2227"/>
      <c r="AC97" s="2310">
        <v>3306</v>
      </c>
      <c r="AD97" s="2310" t="s">
        <v>2759</v>
      </c>
    </row>
    <row r="98" spans="1:30" ht="11.25" customHeight="1" x14ac:dyDescent="0.25">
      <c r="A98" s="225" t="s">
        <v>130</v>
      </c>
      <c r="B98" s="97"/>
      <c r="C98" s="243">
        <f>C99+C103+C107+C112</f>
        <v>497749</v>
      </c>
      <c r="D98" s="243">
        <f t="shared" ref="D98:J98" si="14">D99+D103+D107+D112</f>
        <v>525667</v>
      </c>
      <c r="E98" s="358">
        <f t="shared" si="14"/>
        <v>528201</v>
      </c>
      <c r="F98" s="244">
        <f t="shared" si="14"/>
        <v>574287</v>
      </c>
      <c r="G98" s="243">
        <f t="shared" si="14"/>
        <v>574287</v>
      </c>
      <c r="H98" s="358">
        <f t="shared" si="14"/>
        <v>574287</v>
      </c>
      <c r="I98" s="244">
        <f t="shared" si="14"/>
        <v>596684</v>
      </c>
      <c r="J98" s="243">
        <f t="shared" si="14"/>
        <v>620552</v>
      </c>
      <c r="K98" s="358">
        <f>K99+K103+K107+K112</f>
        <v>645374</v>
      </c>
      <c r="L98" s="322"/>
      <c r="Q98" s="2226"/>
      <c r="R98" s="2227"/>
      <c r="AC98" s="2309"/>
      <c r="AD98" s="2309"/>
    </row>
    <row r="99" spans="1:30" ht="11.25" customHeight="1" x14ac:dyDescent="0.25">
      <c r="A99" s="241" t="s">
        <v>2365</v>
      </c>
      <c r="B99" s="97"/>
      <c r="C99" s="106">
        <f>SUM(C100:C102)</f>
        <v>0</v>
      </c>
      <c r="D99" s="106">
        <f t="shared" ref="D99:K99" si="15">SUM(D100:D102)</f>
        <v>0</v>
      </c>
      <c r="E99" s="359">
        <f t="shared" si="15"/>
        <v>0</v>
      </c>
      <c r="F99" s="107">
        <f t="shared" si="15"/>
        <v>0</v>
      </c>
      <c r="G99" s="106">
        <f t="shared" si="15"/>
        <v>0</v>
      </c>
      <c r="H99" s="359">
        <f t="shared" si="15"/>
        <v>0</v>
      </c>
      <c r="I99" s="107">
        <f t="shared" si="15"/>
        <v>0</v>
      </c>
      <c r="J99" s="106">
        <f t="shared" si="15"/>
        <v>0</v>
      </c>
      <c r="K99" s="359">
        <f t="shared" si="15"/>
        <v>0</v>
      </c>
      <c r="L99" s="322"/>
      <c r="Q99" s="2226"/>
      <c r="R99" s="2227"/>
      <c r="AC99" s="2309"/>
      <c r="AD99" s="2309"/>
    </row>
    <row r="100" spans="1:30" ht="11.25" customHeight="1" x14ac:dyDescent="0.25">
      <c r="A100" s="2235" t="s">
        <v>2432</v>
      </c>
      <c r="B100" s="97"/>
      <c r="C100" s="712">
        <f>SUMIFS(Sheet1!S71_PPPYearAmount,Sheet1!S71_A2SubCode,$AC:$AC,Sheet1!S71_ItemType,$AD:$AD)</f>
        <v>0</v>
      </c>
      <c r="D100" s="712">
        <f>SUMIFS(Sheet1!S71_PPYearAmount,Sheet1!S71_A2SubCode,$AC:$AC,Sheet1!S71_ItemType,$AD:$AD)</f>
        <v>0</v>
      </c>
      <c r="E100" s="712">
        <f>SUMIFS(Sheet1!S71_PYearAmount,Sheet1!S71_A2SubCode,$AC:$AC,Sheet1!S71_ItemType,$AD:$AD)</f>
        <v>0</v>
      </c>
      <c r="F100" s="725">
        <f>-SUMIFS(Sheet1!S71_OriginalBudAmnt,Sheet1!S71_A2SubCode,$AC:$AC,Sheet1!S71_ItemType,$AD:$AD)</f>
        <v>0</v>
      </c>
      <c r="G100" s="712">
        <f>-SUMIFS(Sheet1!S71_AdjustmentBudAmnt,Sheet1!S71_A2SubCode,$AC:$AC,Sheet1!S71_ItemType,$AD:$AD)</f>
        <v>0</v>
      </c>
      <c r="H100" s="713">
        <f>-SUMIFS(Sheet1!S71_AdjustmentBudAmnt,Sheet1!S71_A2SubCode,$AC:$AC,Sheet1!S71_ItemType,$AD:$AD)</f>
        <v>0</v>
      </c>
      <c r="I100" s="725">
        <f>-SUMIFS(Sheet1!S71_ASBudgetAmount,Sheet1!S71_A2SubCode,$AC:$AC,Sheet1!S71_ItemType,$AD:$AD)</f>
        <v>0</v>
      </c>
      <c r="J100" s="712">
        <f>-SUMIFS(Sheet1!S71_OY1BudgetAmount,Sheet1!S71_A2SubCode,$AC:$AC,Sheet1!S71_ItemType,$AD:$AD)</f>
        <v>0</v>
      </c>
      <c r="K100" s="713">
        <f>-SUMIFS(Sheet1!S71_OY2BudgetAmount,Sheet1!S71_A2SubCode,$AC:$AC,Sheet1!S71_ItemType,$AD:$AD)</f>
        <v>0</v>
      </c>
      <c r="L100" s="322"/>
      <c r="Q100" s="2226"/>
      <c r="R100" s="2227"/>
      <c r="AC100" s="2310">
        <v>4101</v>
      </c>
      <c r="AD100" s="2310" t="s">
        <v>2759</v>
      </c>
    </row>
    <row r="101" spans="1:30" ht="11.25" customHeight="1" x14ac:dyDescent="0.25">
      <c r="A101" s="2235" t="s">
        <v>2433</v>
      </c>
      <c r="B101" s="97"/>
      <c r="C101" s="712">
        <f>SUMIFS(Sheet1!S71_PPPYearAmount,Sheet1!S71_A2SubCode,$AC:$AC,Sheet1!S71_ItemType,$AD:$AD)</f>
        <v>0</v>
      </c>
      <c r="D101" s="712">
        <f>SUMIFS(Sheet1!S71_PPYearAmount,Sheet1!S71_A2SubCode,$AC:$AC,Sheet1!S71_ItemType,$AD:$AD)</f>
        <v>0</v>
      </c>
      <c r="E101" s="712">
        <f>SUMIFS(Sheet1!S71_PYearAmount,Sheet1!S71_A2SubCode,$AC:$AC,Sheet1!S71_ItemType,$AD:$AD)</f>
        <v>0</v>
      </c>
      <c r="F101" s="725">
        <f>-SUMIFS(Sheet1!S71_OriginalBudAmnt,Sheet1!S71_A2SubCode,$AC:$AC,Sheet1!S71_ItemType,$AD:$AD)</f>
        <v>0</v>
      </c>
      <c r="G101" s="712">
        <f>-SUMIFS(Sheet1!S71_AdjustmentBudAmnt,Sheet1!S71_A2SubCode,$AC:$AC,Sheet1!S71_ItemType,$AD:$AD)</f>
        <v>0</v>
      </c>
      <c r="H101" s="713">
        <f>-SUMIFS(Sheet1!S71_AdjustmentBudAmnt,Sheet1!S71_A2SubCode,$AC:$AC,Sheet1!S71_ItemType,$AD:$AD)</f>
        <v>0</v>
      </c>
      <c r="I101" s="725">
        <f>-SUMIFS(Sheet1!S71_ASBudgetAmount,Sheet1!S71_A2SubCode,$AC:$AC,Sheet1!S71_ItemType,$AD:$AD)</f>
        <v>0</v>
      </c>
      <c r="J101" s="712">
        <f>-SUMIFS(Sheet1!S71_OY1BudgetAmount,Sheet1!S71_A2SubCode,$AC:$AC,Sheet1!S71_ItemType,$AD:$AD)</f>
        <v>0</v>
      </c>
      <c r="K101" s="713">
        <f>-SUMIFS(Sheet1!S71_OY2BudgetAmount,Sheet1!S71_A2SubCode,$AC:$AC,Sheet1!S71_ItemType,$AD:$AD)</f>
        <v>0</v>
      </c>
      <c r="L101" s="322"/>
      <c r="Q101" s="2226"/>
      <c r="R101" s="2227"/>
      <c r="AC101" s="2310">
        <v>4102</v>
      </c>
      <c r="AD101" s="2310" t="s">
        <v>2759</v>
      </c>
    </row>
    <row r="102" spans="1:30" ht="11.25" customHeight="1" x14ac:dyDescent="0.25">
      <c r="A102" s="2235" t="s">
        <v>2434</v>
      </c>
      <c r="B102" s="97"/>
      <c r="C102" s="712">
        <f>SUMIFS(Sheet1!S71_PPPYearAmount,Sheet1!S71_A2SubCode,$AC:$AC,Sheet1!S71_ItemType,$AD:$AD)</f>
        <v>0</v>
      </c>
      <c r="D102" s="712">
        <f>SUMIFS(Sheet1!S71_PPYearAmount,Sheet1!S71_A2SubCode,$AC:$AC,Sheet1!S71_ItemType,$AD:$AD)</f>
        <v>0</v>
      </c>
      <c r="E102" s="712">
        <f>SUMIFS(Sheet1!S71_PYearAmount,Sheet1!S71_A2SubCode,$AC:$AC,Sheet1!S71_ItemType,$AD:$AD)</f>
        <v>0</v>
      </c>
      <c r="F102" s="725">
        <f>-SUMIFS(Sheet1!S71_OriginalBudAmnt,Sheet1!S71_A2SubCode,$AC:$AC,Sheet1!S71_ItemType,$AD:$AD)</f>
        <v>0</v>
      </c>
      <c r="G102" s="712">
        <f>-SUMIFS(Sheet1!S71_AdjustmentBudAmnt,Sheet1!S71_A2SubCode,$AC:$AC,Sheet1!S71_ItemType,$AD:$AD)</f>
        <v>0</v>
      </c>
      <c r="H102" s="713">
        <f>-SUMIFS(Sheet1!S71_AdjustmentBudAmnt,Sheet1!S71_A2SubCode,$AC:$AC,Sheet1!S71_ItemType,$AD:$AD)</f>
        <v>0</v>
      </c>
      <c r="I102" s="725">
        <f>-SUMIFS(Sheet1!S71_ASBudgetAmount,Sheet1!S71_A2SubCode,$AC:$AC,Sheet1!S71_ItemType,$AD:$AD)</f>
        <v>0</v>
      </c>
      <c r="J102" s="712">
        <f>-SUMIFS(Sheet1!S71_OY1BudgetAmount,Sheet1!S71_A2SubCode,$AC:$AC,Sheet1!S71_ItemType,$AD:$AD)</f>
        <v>0</v>
      </c>
      <c r="K102" s="713">
        <f>-SUMIFS(Sheet1!S71_OY2BudgetAmount,Sheet1!S71_A2SubCode,$AC:$AC,Sheet1!S71_ItemType,$AD:$AD)</f>
        <v>0</v>
      </c>
      <c r="L102" s="322"/>
      <c r="Q102" s="2226"/>
      <c r="R102" s="2227"/>
      <c r="AC102" s="2310">
        <v>4103</v>
      </c>
      <c r="AD102" s="2310" t="s">
        <v>2759</v>
      </c>
    </row>
    <row r="103" spans="1:30" ht="11.25" customHeight="1" x14ac:dyDescent="0.25">
      <c r="A103" s="241" t="s">
        <v>2366</v>
      </c>
      <c r="B103" s="97"/>
      <c r="C103" s="106">
        <f>SUM(C104:C106)</f>
        <v>0</v>
      </c>
      <c r="D103" s="106">
        <f t="shared" ref="D103:K103" si="16">SUM(D104:D106)</f>
        <v>0</v>
      </c>
      <c r="E103" s="359">
        <f t="shared" si="16"/>
        <v>0</v>
      </c>
      <c r="F103" s="107">
        <f t="shared" si="16"/>
        <v>0</v>
      </c>
      <c r="G103" s="106">
        <f t="shared" si="16"/>
        <v>0</v>
      </c>
      <c r="H103" s="359">
        <f t="shared" si="16"/>
        <v>0</v>
      </c>
      <c r="I103" s="107">
        <f t="shared" si="16"/>
        <v>0</v>
      </c>
      <c r="J103" s="106">
        <f t="shared" si="16"/>
        <v>0</v>
      </c>
      <c r="K103" s="359">
        <f t="shared" si="16"/>
        <v>0</v>
      </c>
      <c r="L103" s="322"/>
      <c r="Q103" s="2226"/>
      <c r="R103" s="2227"/>
      <c r="AC103" s="2309"/>
      <c r="AD103" s="2309"/>
    </row>
    <row r="104" spans="1:30" ht="11.25" customHeight="1" x14ac:dyDescent="0.25">
      <c r="A104" s="2235" t="s">
        <v>2435</v>
      </c>
      <c r="B104" s="97"/>
      <c r="C104" s="712">
        <f>SUMIFS(Sheet1!S71_PPPYearAmount,Sheet1!S71_A2SubCode,$AC:$AC,Sheet1!S71_ItemType,$AD:$AD)</f>
        <v>0</v>
      </c>
      <c r="D104" s="712">
        <f>SUMIFS(Sheet1!S71_PPYearAmount,Sheet1!S71_A2SubCode,$AC:$AC,Sheet1!S71_ItemType,$AD:$AD)</f>
        <v>0</v>
      </c>
      <c r="E104" s="712">
        <f>SUMIFS(Sheet1!S71_PYearAmount,Sheet1!S71_A2SubCode,$AC:$AC,Sheet1!S71_ItemType,$AD:$AD)</f>
        <v>0</v>
      </c>
      <c r="F104" s="725">
        <f>-SUMIFS(Sheet1!S71_OriginalBudAmnt,Sheet1!S71_A2SubCode,$AC:$AC,Sheet1!S71_ItemType,$AD:$AD)</f>
        <v>0</v>
      </c>
      <c r="G104" s="712">
        <f>-SUMIFS(Sheet1!S71_AdjustmentBudAmnt,Sheet1!S71_A2SubCode,$AC:$AC,Sheet1!S71_ItemType,$AD:$AD)</f>
        <v>0</v>
      </c>
      <c r="H104" s="713">
        <f>-SUMIFS(Sheet1!S71_AdjustmentBudAmnt,Sheet1!S71_A2SubCode,$AC:$AC,Sheet1!S71_ItemType,$AD:$AD)</f>
        <v>0</v>
      </c>
      <c r="I104" s="725">
        <f>-SUMIFS(Sheet1!S71_ASBudgetAmount,Sheet1!S71_A2SubCode,$AC:$AC,Sheet1!S71_ItemType,$AD:$AD)</f>
        <v>0</v>
      </c>
      <c r="J104" s="712">
        <f>-SUMIFS(Sheet1!S71_OY1BudgetAmount,Sheet1!S71_A2SubCode,$AC:$AC,Sheet1!S71_ItemType,$AD:$AD)</f>
        <v>0</v>
      </c>
      <c r="K104" s="713">
        <f>-SUMIFS(Sheet1!S71_OY2BudgetAmount,Sheet1!S71_A2SubCode,$AC:$AC,Sheet1!S71_ItemType,$AD:$AD)</f>
        <v>0</v>
      </c>
      <c r="L104" s="322"/>
      <c r="Q104" s="2226"/>
      <c r="R104" s="2227"/>
      <c r="AC104" s="2310">
        <v>4201</v>
      </c>
      <c r="AD104" s="2310" t="s">
        <v>2759</v>
      </c>
    </row>
    <row r="105" spans="1:30" ht="11.25" customHeight="1" x14ac:dyDescent="0.25">
      <c r="A105" s="2235" t="s">
        <v>630</v>
      </c>
      <c r="B105" s="97"/>
      <c r="C105" s="712">
        <f>SUMIFS(Sheet1!S71_PPPYearAmount,Sheet1!S71_A2SubCode,$AC:$AC,Sheet1!S71_ItemType,$AD:$AD)</f>
        <v>0</v>
      </c>
      <c r="D105" s="712">
        <f>SUMIFS(Sheet1!S71_PPYearAmount,Sheet1!S71_A2SubCode,$AC:$AC,Sheet1!S71_ItemType,$AD:$AD)</f>
        <v>0</v>
      </c>
      <c r="E105" s="712">
        <f>SUMIFS(Sheet1!S71_PYearAmount,Sheet1!S71_A2SubCode,$AC:$AC,Sheet1!S71_ItemType,$AD:$AD)</f>
        <v>0</v>
      </c>
      <c r="F105" s="725">
        <f>-SUMIFS(Sheet1!S71_OriginalBudAmnt,Sheet1!S71_A2SubCode,$AC:$AC,Sheet1!S71_ItemType,$AD:$AD)</f>
        <v>0</v>
      </c>
      <c r="G105" s="712">
        <f>-SUMIFS(Sheet1!S71_AdjustmentBudAmnt,Sheet1!S71_A2SubCode,$AC:$AC,Sheet1!S71_ItemType,$AD:$AD)</f>
        <v>0</v>
      </c>
      <c r="H105" s="713">
        <f>-SUMIFS(Sheet1!S71_AdjustmentBudAmnt,Sheet1!S71_A2SubCode,$AC:$AC,Sheet1!S71_ItemType,$AD:$AD)</f>
        <v>0</v>
      </c>
      <c r="I105" s="725">
        <f>-SUMIFS(Sheet1!S71_ASBudgetAmount,Sheet1!S71_A2SubCode,$AC:$AC,Sheet1!S71_ItemType,$AD:$AD)</f>
        <v>0</v>
      </c>
      <c r="J105" s="712">
        <f>-SUMIFS(Sheet1!S71_OY1BudgetAmount,Sheet1!S71_A2SubCode,$AC:$AC,Sheet1!S71_ItemType,$AD:$AD)</f>
        <v>0</v>
      </c>
      <c r="K105" s="713">
        <f>-SUMIFS(Sheet1!S71_OY2BudgetAmount,Sheet1!S71_A2SubCode,$AC:$AC,Sheet1!S71_ItemType,$AD:$AD)</f>
        <v>0</v>
      </c>
      <c r="L105" s="322"/>
      <c r="Q105" s="2226"/>
      <c r="R105" s="2227"/>
      <c r="AC105" s="2310">
        <v>4202</v>
      </c>
      <c r="AD105" s="2310" t="s">
        <v>2759</v>
      </c>
    </row>
    <row r="106" spans="1:30" ht="11.25" customHeight="1" x14ac:dyDescent="0.25">
      <c r="A106" s="2235" t="s">
        <v>631</v>
      </c>
      <c r="B106" s="97"/>
      <c r="C106" s="712">
        <f>SUMIFS(Sheet1!S71_PPPYearAmount,Sheet1!S71_A2SubCode,$AC:$AC,Sheet1!S71_ItemType,$AD:$AD)</f>
        <v>0</v>
      </c>
      <c r="D106" s="712">
        <f>SUMIFS(Sheet1!S71_PPYearAmount,Sheet1!S71_A2SubCode,$AC:$AC,Sheet1!S71_ItemType,$AD:$AD)</f>
        <v>0</v>
      </c>
      <c r="E106" s="712">
        <f>SUMIFS(Sheet1!S71_PYearAmount,Sheet1!S71_A2SubCode,$AC:$AC,Sheet1!S71_ItemType,$AD:$AD)</f>
        <v>0</v>
      </c>
      <c r="F106" s="725">
        <f>-SUMIFS(Sheet1!S71_OriginalBudAmnt,Sheet1!S71_A2SubCode,$AC:$AC,Sheet1!S71_ItemType,$AD:$AD)</f>
        <v>0</v>
      </c>
      <c r="G106" s="712">
        <f>-SUMIFS(Sheet1!S71_AdjustmentBudAmnt,Sheet1!S71_A2SubCode,$AC:$AC,Sheet1!S71_ItemType,$AD:$AD)</f>
        <v>0</v>
      </c>
      <c r="H106" s="713">
        <f>-SUMIFS(Sheet1!S71_AdjustmentBudAmnt,Sheet1!S71_A2SubCode,$AC:$AC,Sheet1!S71_ItemType,$AD:$AD)</f>
        <v>0</v>
      </c>
      <c r="I106" s="725">
        <f>-SUMIFS(Sheet1!S71_ASBudgetAmount,Sheet1!S71_A2SubCode,$AC:$AC,Sheet1!S71_ItemType,$AD:$AD)</f>
        <v>0</v>
      </c>
      <c r="J106" s="712">
        <f>-SUMIFS(Sheet1!S71_OY1BudgetAmount,Sheet1!S71_A2SubCode,$AC:$AC,Sheet1!S71_ItemType,$AD:$AD)</f>
        <v>0</v>
      </c>
      <c r="K106" s="713">
        <f>-SUMIFS(Sheet1!S71_OY2BudgetAmount,Sheet1!S71_A2SubCode,$AC:$AC,Sheet1!S71_ItemType,$AD:$AD)</f>
        <v>0</v>
      </c>
      <c r="L106" s="322"/>
      <c r="Q106" s="2226"/>
      <c r="R106" s="2227"/>
      <c r="AC106" s="2310">
        <v>4203</v>
      </c>
      <c r="AD106" s="2310" t="s">
        <v>2759</v>
      </c>
    </row>
    <row r="107" spans="1:30" ht="11.25" customHeight="1" x14ac:dyDescent="0.25">
      <c r="A107" s="241" t="s">
        <v>987</v>
      </c>
      <c r="B107" s="97"/>
      <c r="C107" s="106">
        <f>SUM(C108:C111)</f>
        <v>0</v>
      </c>
      <c r="D107" s="106">
        <f t="shared" ref="D107:K107" si="17">SUM(D108:D111)</f>
        <v>0</v>
      </c>
      <c r="E107" s="359">
        <f t="shared" si="17"/>
        <v>0</v>
      </c>
      <c r="F107" s="107">
        <f t="shared" si="17"/>
        <v>0</v>
      </c>
      <c r="G107" s="106">
        <f t="shared" si="17"/>
        <v>0</v>
      </c>
      <c r="H107" s="359">
        <f t="shared" si="17"/>
        <v>0</v>
      </c>
      <c r="I107" s="107">
        <f t="shared" si="17"/>
        <v>0</v>
      </c>
      <c r="J107" s="106">
        <f t="shared" si="17"/>
        <v>0</v>
      </c>
      <c r="K107" s="359">
        <f t="shared" si="17"/>
        <v>0</v>
      </c>
      <c r="L107" s="322"/>
      <c r="Q107" s="2226"/>
      <c r="R107" s="2227"/>
      <c r="AC107" s="2309"/>
      <c r="AD107" s="2309"/>
    </row>
    <row r="108" spans="1:30" ht="11.25" customHeight="1" x14ac:dyDescent="0.25">
      <c r="A108" s="2235" t="s">
        <v>628</v>
      </c>
      <c r="B108" s="97"/>
      <c r="C108" s="712">
        <f>SUMIFS(Sheet1!S71_PPPYearAmount,Sheet1!S71_A2SubCode,$AC:$AC,Sheet1!S71_ItemType,$AD:$AD)</f>
        <v>0</v>
      </c>
      <c r="D108" s="712">
        <f>SUMIFS(Sheet1!S71_PPYearAmount,Sheet1!S71_A2SubCode,$AC:$AC,Sheet1!S71_ItemType,$AD:$AD)</f>
        <v>0</v>
      </c>
      <c r="E108" s="712">
        <f>SUMIFS(Sheet1!S71_PYearAmount,Sheet1!S71_A2SubCode,$AC:$AC,Sheet1!S71_ItemType,$AD:$AD)</f>
        <v>0</v>
      </c>
      <c r="F108" s="725">
        <f>-SUMIFS(Sheet1!S71_OriginalBudAmnt,Sheet1!S71_A2SubCode,$AC:$AC,Sheet1!S71_ItemType,$AD:$AD)</f>
        <v>0</v>
      </c>
      <c r="G108" s="712">
        <f>-SUMIFS(Sheet1!S71_AdjustmentBudAmnt,Sheet1!S71_A2SubCode,$AC:$AC,Sheet1!S71_ItemType,$AD:$AD)</f>
        <v>0</v>
      </c>
      <c r="H108" s="713">
        <f>-SUMIFS(Sheet1!S71_AdjustmentBudAmnt,Sheet1!S71_A2SubCode,$AC:$AC,Sheet1!S71_ItemType,$AD:$AD)</f>
        <v>0</v>
      </c>
      <c r="I108" s="725">
        <f>-SUMIFS(Sheet1!S71_ASBudgetAmount,Sheet1!S71_A2SubCode,$AC:$AC,Sheet1!S71_ItemType,$AD:$AD)</f>
        <v>0</v>
      </c>
      <c r="J108" s="712">
        <f>-SUMIFS(Sheet1!S71_OY1BudgetAmount,Sheet1!S71_A2SubCode,$AC:$AC,Sheet1!S71_ItemType,$AD:$AD)</f>
        <v>0</v>
      </c>
      <c r="K108" s="713">
        <f>-SUMIFS(Sheet1!S71_OY2BudgetAmount,Sheet1!S71_A2SubCode,$AC:$AC,Sheet1!S71_ItemType,$AD:$AD)</f>
        <v>0</v>
      </c>
      <c r="L108" s="322"/>
      <c r="Q108" s="2226"/>
      <c r="R108" s="2227"/>
      <c r="AC108" s="2310">
        <v>4301</v>
      </c>
      <c r="AD108" s="2310" t="s">
        <v>2759</v>
      </c>
    </row>
    <row r="109" spans="1:30" ht="11.25" customHeight="1" x14ac:dyDescent="0.25">
      <c r="A109" s="2235" t="s">
        <v>626</v>
      </c>
      <c r="B109" s="97"/>
      <c r="C109" s="712">
        <f>SUMIFS(Sheet1!S71_PPPYearAmount,Sheet1!S71_A2SubCode,$AC:$AC,Sheet1!S71_ItemType,$AD:$AD)</f>
        <v>0</v>
      </c>
      <c r="D109" s="712">
        <f>SUMIFS(Sheet1!S71_PPYearAmount,Sheet1!S71_A2SubCode,$AC:$AC,Sheet1!S71_ItemType,$AD:$AD)</f>
        <v>0</v>
      </c>
      <c r="E109" s="712">
        <f>SUMIFS(Sheet1!S71_PYearAmount,Sheet1!S71_A2SubCode,$AC:$AC,Sheet1!S71_ItemType,$AD:$AD)</f>
        <v>0</v>
      </c>
      <c r="F109" s="725">
        <f>-SUMIFS(Sheet1!S71_OriginalBudAmnt,Sheet1!S71_A2SubCode,$AC:$AC,Sheet1!S71_ItemType,$AD:$AD)</f>
        <v>0</v>
      </c>
      <c r="G109" s="712">
        <f>-SUMIFS(Sheet1!S71_AdjustmentBudAmnt,Sheet1!S71_A2SubCode,$AC:$AC,Sheet1!S71_ItemType,$AD:$AD)</f>
        <v>0</v>
      </c>
      <c r="H109" s="713">
        <f>-SUMIFS(Sheet1!S71_AdjustmentBudAmnt,Sheet1!S71_A2SubCode,$AC:$AC,Sheet1!S71_ItemType,$AD:$AD)</f>
        <v>0</v>
      </c>
      <c r="I109" s="725">
        <f>-SUMIFS(Sheet1!S71_ASBudgetAmount,Sheet1!S71_A2SubCode,$AC:$AC,Sheet1!S71_ItemType,$AD:$AD)</f>
        <v>0</v>
      </c>
      <c r="J109" s="712">
        <f>-SUMIFS(Sheet1!S71_OY1BudgetAmount,Sheet1!S71_A2SubCode,$AC:$AC,Sheet1!S71_ItemType,$AD:$AD)</f>
        <v>0</v>
      </c>
      <c r="K109" s="713">
        <f>-SUMIFS(Sheet1!S71_OY2BudgetAmount,Sheet1!S71_A2SubCode,$AC:$AC,Sheet1!S71_ItemType,$AD:$AD)</f>
        <v>0</v>
      </c>
      <c r="L109" s="322"/>
      <c r="Q109" s="2226"/>
      <c r="R109" s="2227"/>
      <c r="AC109" s="2310">
        <v>4302</v>
      </c>
      <c r="AD109" s="2310" t="s">
        <v>2759</v>
      </c>
    </row>
    <row r="110" spans="1:30" ht="11.25" customHeight="1" x14ac:dyDescent="0.25">
      <c r="A110" s="2235" t="s">
        <v>627</v>
      </c>
      <c r="B110" s="97"/>
      <c r="C110" s="712">
        <f>SUMIFS(Sheet1!S71_PPPYearAmount,Sheet1!S71_A2SubCode,$AC:$AC,Sheet1!S71_ItemType,$AD:$AD)</f>
        <v>0</v>
      </c>
      <c r="D110" s="712">
        <f>SUMIFS(Sheet1!S71_PPYearAmount,Sheet1!S71_A2SubCode,$AC:$AC,Sheet1!S71_ItemType,$AD:$AD)</f>
        <v>0</v>
      </c>
      <c r="E110" s="712">
        <f>SUMIFS(Sheet1!S71_PYearAmount,Sheet1!S71_A2SubCode,$AC:$AC,Sheet1!S71_ItemType,$AD:$AD)</f>
        <v>0</v>
      </c>
      <c r="F110" s="725">
        <f>-SUMIFS(Sheet1!S71_OriginalBudAmnt,Sheet1!S71_A2SubCode,$AC:$AC,Sheet1!S71_ItemType,$AD:$AD)</f>
        <v>0</v>
      </c>
      <c r="G110" s="712">
        <f>-SUMIFS(Sheet1!S71_AdjustmentBudAmnt,Sheet1!S71_A2SubCode,$AC:$AC,Sheet1!S71_ItemType,$AD:$AD)</f>
        <v>0</v>
      </c>
      <c r="H110" s="713">
        <f>-SUMIFS(Sheet1!S71_AdjustmentBudAmnt,Sheet1!S71_A2SubCode,$AC:$AC,Sheet1!S71_ItemType,$AD:$AD)</f>
        <v>0</v>
      </c>
      <c r="I110" s="725">
        <f>-SUMIFS(Sheet1!S71_ASBudgetAmount,Sheet1!S71_A2SubCode,$AC:$AC,Sheet1!S71_ItemType,$AD:$AD)</f>
        <v>0</v>
      </c>
      <c r="J110" s="712">
        <f>-SUMIFS(Sheet1!S71_OY1BudgetAmount,Sheet1!S71_A2SubCode,$AC:$AC,Sheet1!S71_ItemType,$AD:$AD)</f>
        <v>0</v>
      </c>
      <c r="K110" s="713">
        <f>-SUMIFS(Sheet1!S71_OY2BudgetAmount,Sheet1!S71_A2SubCode,$AC:$AC,Sheet1!S71_ItemType,$AD:$AD)</f>
        <v>0</v>
      </c>
      <c r="L110" s="322"/>
      <c r="Q110" s="2226"/>
      <c r="R110" s="2227"/>
      <c r="AC110" s="2310">
        <v>4303</v>
      </c>
      <c r="AD110" s="2310" t="s">
        <v>2759</v>
      </c>
    </row>
    <row r="111" spans="1:30" ht="11.25" customHeight="1" x14ac:dyDescent="0.25">
      <c r="A111" s="2235" t="s">
        <v>2436</v>
      </c>
      <c r="B111" s="97"/>
      <c r="C111" s="712">
        <f>SUMIFS(Sheet1!S71_PPPYearAmount,Sheet1!S71_A2SubCode,$AC:$AC,Sheet1!S71_ItemType,$AD:$AD)</f>
        <v>0</v>
      </c>
      <c r="D111" s="712">
        <f>SUMIFS(Sheet1!S71_PPYearAmount,Sheet1!S71_A2SubCode,$AC:$AC,Sheet1!S71_ItemType,$AD:$AD)</f>
        <v>0</v>
      </c>
      <c r="E111" s="712">
        <f>SUMIFS(Sheet1!S71_PYearAmount,Sheet1!S71_A2SubCode,$AC:$AC,Sheet1!S71_ItemType,$AD:$AD)</f>
        <v>0</v>
      </c>
      <c r="F111" s="725">
        <f>-SUMIFS(Sheet1!S71_OriginalBudAmnt,Sheet1!S71_A2SubCode,$AC:$AC,Sheet1!S71_ItemType,$AD:$AD)</f>
        <v>0</v>
      </c>
      <c r="G111" s="712">
        <f>-SUMIFS(Sheet1!S71_AdjustmentBudAmnt,Sheet1!S71_A2SubCode,$AC:$AC,Sheet1!S71_ItemType,$AD:$AD)</f>
        <v>0</v>
      </c>
      <c r="H111" s="713">
        <f>-SUMIFS(Sheet1!S71_AdjustmentBudAmnt,Sheet1!S71_A2SubCode,$AC:$AC,Sheet1!S71_ItemType,$AD:$AD)</f>
        <v>0</v>
      </c>
      <c r="I111" s="725">
        <f>-SUMIFS(Sheet1!S71_ASBudgetAmount,Sheet1!S71_A2SubCode,$AC:$AC,Sheet1!S71_ItemType,$AD:$AD)</f>
        <v>0</v>
      </c>
      <c r="J111" s="712">
        <f>-SUMIFS(Sheet1!S71_OY1BudgetAmount,Sheet1!S71_A2SubCode,$AC:$AC,Sheet1!S71_ItemType,$AD:$AD)</f>
        <v>0</v>
      </c>
      <c r="K111" s="713">
        <f>-SUMIFS(Sheet1!S71_OY2BudgetAmount,Sheet1!S71_A2SubCode,$AC:$AC,Sheet1!S71_ItemType,$AD:$AD)</f>
        <v>0</v>
      </c>
      <c r="L111" s="322"/>
      <c r="Q111" s="2226"/>
      <c r="R111" s="2227"/>
      <c r="AC111" s="2310">
        <v>4304</v>
      </c>
      <c r="AD111" s="2310" t="s">
        <v>2759</v>
      </c>
    </row>
    <row r="112" spans="1:30" ht="11.25" customHeight="1" x14ac:dyDescent="0.25">
      <c r="A112" s="241" t="s">
        <v>988</v>
      </c>
      <c r="B112" s="97"/>
      <c r="C112" s="106">
        <f>SUM(C113:C116)</f>
        <v>497749</v>
      </c>
      <c r="D112" s="106">
        <f t="shared" ref="D112:K112" si="18">SUM(D113:D116)</f>
        <v>525667</v>
      </c>
      <c r="E112" s="359">
        <f t="shared" si="18"/>
        <v>528201</v>
      </c>
      <c r="F112" s="107">
        <f t="shared" si="18"/>
        <v>574287</v>
      </c>
      <c r="G112" s="106">
        <f t="shared" si="18"/>
        <v>574287</v>
      </c>
      <c r="H112" s="359">
        <f t="shared" si="18"/>
        <v>574287</v>
      </c>
      <c r="I112" s="107">
        <f t="shared" si="18"/>
        <v>596684</v>
      </c>
      <c r="J112" s="106">
        <f t="shared" si="18"/>
        <v>620552</v>
      </c>
      <c r="K112" s="359">
        <f t="shared" si="18"/>
        <v>645374</v>
      </c>
      <c r="L112" s="322"/>
      <c r="Q112" s="2226"/>
      <c r="R112" s="2227"/>
      <c r="AC112" s="2309"/>
      <c r="AD112" s="2309"/>
    </row>
    <row r="113" spans="1:30" ht="11.25" customHeight="1" x14ac:dyDescent="0.25">
      <c r="A113" s="2235" t="s">
        <v>2437</v>
      </c>
      <c r="B113" s="97"/>
      <c r="C113" s="712">
        <f>SUMIFS(Sheet1!S71_PPPYearAmount,Sheet1!S71_A2SubCode,$AC:$AC,Sheet1!S71_ItemType,$AD:$AD)</f>
        <v>0</v>
      </c>
      <c r="D113" s="712">
        <f>SUMIFS(Sheet1!S71_PPYearAmount,Sheet1!S71_A2SubCode,$AC:$AC,Sheet1!S71_ItemType,$AD:$AD)</f>
        <v>0</v>
      </c>
      <c r="E113" s="712">
        <f>SUMIFS(Sheet1!S71_PYearAmount,Sheet1!S71_A2SubCode,$AC:$AC,Sheet1!S71_ItemType,$AD:$AD)</f>
        <v>0</v>
      </c>
      <c r="F113" s="725">
        <f>-SUMIFS(Sheet1!S71_OriginalBudAmnt,Sheet1!S71_A2SubCode,$AC:$AC,Sheet1!S71_ItemType,$AD:$AD)</f>
        <v>0</v>
      </c>
      <c r="G113" s="712">
        <f>-SUMIFS(Sheet1!S71_AdjustmentBudAmnt,Sheet1!S71_A2SubCode,$AC:$AC,Sheet1!S71_ItemType,$AD:$AD)</f>
        <v>0</v>
      </c>
      <c r="H113" s="713">
        <f>-SUMIFS(Sheet1!S71_AdjustmentBudAmnt,Sheet1!S71_A2SubCode,$AC:$AC,Sheet1!S71_ItemType,$AD:$AD)</f>
        <v>0</v>
      </c>
      <c r="I113" s="725">
        <f>-SUMIFS(Sheet1!S71_ASBudgetAmount,Sheet1!S71_A2SubCode,$AC:$AC,Sheet1!S71_ItemType,$AD:$AD)</f>
        <v>0</v>
      </c>
      <c r="J113" s="712">
        <f>-SUMIFS(Sheet1!S71_OY1BudgetAmount,Sheet1!S71_A2SubCode,$AC:$AC,Sheet1!S71_ItemType,$AD:$AD)</f>
        <v>0</v>
      </c>
      <c r="K113" s="713">
        <f>-SUMIFS(Sheet1!S71_OY2BudgetAmount,Sheet1!S71_A2SubCode,$AC:$AC,Sheet1!S71_ItemType,$AD:$AD)</f>
        <v>0</v>
      </c>
      <c r="L113" s="322"/>
      <c r="Q113" s="2226"/>
      <c r="R113" s="2227"/>
      <c r="AC113" s="2310">
        <v>4401</v>
      </c>
      <c r="AD113" s="2310" t="s">
        <v>2759</v>
      </c>
    </row>
    <row r="114" spans="1:30" ht="11.25" customHeight="1" x14ac:dyDescent="0.25">
      <c r="A114" s="2235" t="s">
        <v>2438</v>
      </c>
      <c r="B114" s="97"/>
      <c r="C114" s="712">
        <f>SUMIFS(Sheet1!S71_PPPYearAmount,Sheet1!S71_A2SubCode,$AC:$AC,Sheet1!S71_ItemType,$AD:$AD)</f>
        <v>0</v>
      </c>
      <c r="D114" s="712">
        <f>SUMIFS(Sheet1!S71_PPYearAmount,Sheet1!S71_A2SubCode,$AC:$AC,Sheet1!S71_ItemType,$AD:$AD)</f>
        <v>0</v>
      </c>
      <c r="E114" s="712">
        <f>SUMIFS(Sheet1!S71_PYearAmount,Sheet1!S71_A2SubCode,$AC:$AC,Sheet1!S71_ItemType,$AD:$AD)</f>
        <v>0</v>
      </c>
      <c r="F114" s="725">
        <f>-SUMIFS(Sheet1!S71_OriginalBudAmnt,Sheet1!S71_A2SubCode,$AC:$AC,Sheet1!S71_ItemType,$AD:$AD)</f>
        <v>0</v>
      </c>
      <c r="G114" s="712">
        <f>-SUMIFS(Sheet1!S71_AdjustmentBudAmnt,Sheet1!S71_A2SubCode,$AC:$AC,Sheet1!S71_ItemType,$AD:$AD)</f>
        <v>0</v>
      </c>
      <c r="H114" s="713">
        <f>-SUMIFS(Sheet1!S71_AdjustmentBudAmnt,Sheet1!S71_A2SubCode,$AC:$AC,Sheet1!S71_ItemType,$AD:$AD)</f>
        <v>0</v>
      </c>
      <c r="I114" s="725">
        <f>-SUMIFS(Sheet1!S71_ASBudgetAmount,Sheet1!S71_A2SubCode,$AC:$AC,Sheet1!S71_ItemType,$AD:$AD)</f>
        <v>0</v>
      </c>
      <c r="J114" s="712">
        <f>-SUMIFS(Sheet1!S71_OY1BudgetAmount,Sheet1!S71_A2SubCode,$AC:$AC,Sheet1!S71_ItemType,$AD:$AD)</f>
        <v>0</v>
      </c>
      <c r="K114" s="713">
        <f>-SUMIFS(Sheet1!S71_OY2BudgetAmount,Sheet1!S71_A2SubCode,$AC:$AC,Sheet1!S71_ItemType,$AD:$AD)</f>
        <v>0</v>
      </c>
      <c r="L114" s="322"/>
      <c r="Q114" s="2226"/>
      <c r="R114" s="2227"/>
      <c r="AC114" s="2310">
        <v>4402</v>
      </c>
      <c r="AD114" s="2310" t="s">
        <v>2759</v>
      </c>
    </row>
    <row r="115" spans="1:30" ht="11.25" customHeight="1" x14ac:dyDescent="0.25">
      <c r="A115" s="2235" t="s">
        <v>2439</v>
      </c>
      <c r="B115" s="97"/>
      <c r="C115" s="712">
        <f>SUMIFS(Sheet1!S71_PPPYearAmount,Sheet1!S71_A2SubCode,$AC:$AC,Sheet1!S71_ItemType,$AD:$AD)</f>
        <v>497749</v>
      </c>
      <c r="D115" s="712">
        <f>SUMIFS(Sheet1!S71_PPYearAmount,Sheet1!S71_A2SubCode,$AC:$AC,Sheet1!S71_ItemType,$AD:$AD)</f>
        <v>525667</v>
      </c>
      <c r="E115" s="712">
        <f>SUMIFS(Sheet1!S71_PYearAmount,Sheet1!S71_A2SubCode,$AC:$AC,Sheet1!S71_ItemType,$AD:$AD)</f>
        <v>528201</v>
      </c>
      <c r="F115" s="725">
        <f>-SUMIFS(Sheet1!S71_OriginalBudAmnt,Sheet1!S71_A2SubCode,$AC:$AC,Sheet1!S71_ItemType,$AD:$AD)</f>
        <v>574287</v>
      </c>
      <c r="G115" s="712">
        <f>-SUMIFS(Sheet1!S71_AdjustmentBudAmnt,Sheet1!S71_A2SubCode,$AC:$AC,Sheet1!S71_ItemType,$AD:$AD)</f>
        <v>574287</v>
      </c>
      <c r="H115" s="713">
        <f>-SUMIFS(Sheet1!S71_AdjustmentBudAmnt,Sheet1!S71_A2SubCode,$AC:$AC,Sheet1!S71_ItemType,$AD:$AD)</f>
        <v>574287</v>
      </c>
      <c r="I115" s="725">
        <f>-SUMIFS(Sheet1!S71_ASBudgetAmount,Sheet1!S71_A2SubCode,$AC:$AC,Sheet1!S71_ItemType,$AD:$AD)</f>
        <v>596684</v>
      </c>
      <c r="J115" s="712">
        <f>-SUMIFS(Sheet1!S71_OY1BudgetAmount,Sheet1!S71_A2SubCode,$AC:$AC,Sheet1!S71_ItemType,$AD:$AD)</f>
        <v>620552</v>
      </c>
      <c r="K115" s="713">
        <f>-SUMIFS(Sheet1!S71_OY2BudgetAmount,Sheet1!S71_A2SubCode,$AC:$AC,Sheet1!S71_ItemType,$AD:$AD)</f>
        <v>645374</v>
      </c>
      <c r="L115" s="322"/>
      <c r="Q115" s="2226"/>
      <c r="R115" s="2227"/>
      <c r="AC115" s="2310">
        <v>4403</v>
      </c>
      <c r="AD115" s="2310" t="s">
        <v>2759</v>
      </c>
    </row>
    <row r="116" spans="1:30" ht="11.25" customHeight="1" x14ac:dyDescent="0.25">
      <c r="A116" s="2235" t="s">
        <v>2440</v>
      </c>
      <c r="B116" s="97"/>
      <c r="C116" s="712">
        <f>SUMIFS(Sheet1!S71_PPPYearAmount,Sheet1!S71_A2SubCode,$AC:$AC,Sheet1!S71_ItemType,$AD:$AD)</f>
        <v>0</v>
      </c>
      <c r="D116" s="712">
        <f>SUMIFS(Sheet1!S71_PPYearAmount,Sheet1!S71_A2SubCode,$AC:$AC,Sheet1!S71_ItemType,$AD:$AD)</f>
        <v>0</v>
      </c>
      <c r="E116" s="712">
        <f>SUMIFS(Sheet1!S71_PYearAmount,Sheet1!S71_A2SubCode,$AC:$AC,Sheet1!S71_ItemType,$AD:$AD)</f>
        <v>0</v>
      </c>
      <c r="F116" s="725">
        <f>-SUMIFS(Sheet1!S71_OriginalBudAmnt,Sheet1!S71_A2SubCode,$AC:$AC,Sheet1!S71_ItemType,$AD:$AD)</f>
        <v>0</v>
      </c>
      <c r="G116" s="712">
        <f>-SUMIFS(Sheet1!S71_AdjustmentBudAmnt,Sheet1!S71_A2SubCode,$AC:$AC,Sheet1!S71_ItemType,$AD:$AD)</f>
        <v>0</v>
      </c>
      <c r="H116" s="713">
        <f>-SUMIFS(Sheet1!S71_AdjustmentBudAmnt,Sheet1!S71_A2SubCode,$AC:$AC,Sheet1!S71_ItemType,$AD:$AD)</f>
        <v>0</v>
      </c>
      <c r="I116" s="725">
        <f>-SUMIFS(Sheet1!S71_ASBudgetAmount,Sheet1!S71_A2SubCode,$AC:$AC,Sheet1!S71_ItemType,$AD:$AD)</f>
        <v>0</v>
      </c>
      <c r="J116" s="712">
        <f>-SUMIFS(Sheet1!S71_OY1BudgetAmount,Sheet1!S71_A2SubCode,$AC:$AC,Sheet1!S71_ItemType,$AD:$AD)</f>
        <v>0</v>
      </c>
      <c r="K116" s="713">
        <f>-SUMIFS(Sheet1!S71_OY2BudgetAmount,Sheet1!S71_A2SubCode,$AC:$AC,Sheet1!S71_ItemType,$AD:$AD)</f>
        <v>0</v>
      </c>
      <c r="L116" s="322"/>
      <c r="Q116" s="2226"/>
      <c r="R116" s="2227"/>
      <c r="AC116" s="2310">
        <v>4404</v>
      </c>
      <c r="AD116" s="2310" t="s">
        <v>2759</v>
      </c>
    </row>
    <row r="117" spans="1:30" ht="11.25" customHeight="1" x14ac:dyDescent="0.25">
      <c r="A117" s="225" t="s">
        <v>245</v>
      </c>
      <c r="B117" s="97"/>
      <c r="C117" s="243">
        <f>SUM(C118:C123)</f>
        <v>6064222</v>
      </c>
      <c r="D117" s="243">
        <f t="shared" ref="D117:K117" si="19">SUM(D118:D123)</f>
        <v>6462382</v>
      </c>
      <c r="E117" s="358">
        <f t="shared" si="19"/>
        <v>4704487</v>
      </c>
      <c r="F117" s="244">
        <f t="shared" si="19"/>
        <v>7121110</v>
      </c>
      <c r="G117" s="243">
        <f t="shared" si="19"/>
        <v>7122310</v>
      </c>
      <c r="H117" s="358">
        <f t="shared" si="19"/>
        <v>7122310</v>
      </c>
      <c r="I117" s="244">
        <f t="shared" si="19"/>
        <v>7400081</v>
      </c>
      <c r="J117" s="243">
        <f t="shared" si="19"/>
        <v>7696084</v>
      </c>
      <c r="K117" s="358">
        <f t="shared" si="19"/>
        <v>8003928</v>
      </c>
      <c r="L117" s="322"/>
      <c r="Q117" s="2226"/>
      <c r="R117" s="2227"/>
      <c r="AC117" s="2309"/>
      <c r="AD117" s="2309"/>
    </row>
    <row r="118" spans="1:30" ht="11.25" customHeight="1" x14ac:dyDescent="0.25">
      <c r="A118" s="241" t="s">
        <v>1079</v>
      </c>
      <c r="B118" s="97"/>
      <c r="C118" s="712">
        <f>SUMIFS(Sheet1!S71_PPPYearAmount,Sheet1!S71_A2SubCode,$AC:$AC,Sheet1!S71_ItemType,$AD:$AD)</f>
        <v>0</v>
      </c>
      <c r="D118" s="712">
        <f>SUMIFS(Sheet1!S71_PPYearAmount,Sheet1!S71_A2SubCode,$AC:$AC,Sheet1!S71_ItemType,$AD:$AD)</f>
        <v>0</v>
      </c>
      <c r="E118" s="712">
        <f>SUMIFS(Sheet1!S71_PYearAmount,Sheet1!S71_A2SubCode,$AC:$AC,Sheet1!S71_ItemType,$AD:$AD)</f>
        <v>0</v>
      </c>
      <c r="F118" s="725">
        <f>-SUMIFS(Sheet1!S71_OriginalBudAmnt,Sheet1!S71_A2SubCode,$AC:$AC,Sheet1!S71_ItemType,$AD:$AD)</f>
        <v>0</v>
      </c>
      <c r="G118" s="712">
        <f>-SUMIFS(Sheet1!S71_AdjustmentBudAmnt,Sheet1!S71_A2SubCode,$AC:$AC,Sheet1!S71_ItemType,$AD:$AD)</f>
        <v>0</v>
      </c>
      <c r="H118" s="713">
        <f>-SUMIFS(Sheet1!S71_AdjustmentBudAmnt,Sheet1!S71_A2SubCode,$AC:$AC,Sheet1!S71_ItemType,$AD:$AD)</f>
        <v>0</v>
      </c>
      <c r="I118" s="725">
        <f>-SUMIFS(Sheet1!S71_ASBudgetAmount,Sheet1!S71_A2SubCode,$AC:$AC,Sheet1!S71_ItemType,$AD:$AD)</f>
        <v>0</v>
      </c>
      <c r="J118" s="712">
        <f>-SUMIFS(Sheet1!S71_OY1BudgetAmount,Sheet1!S71_A2SubCode,$AC:$AC,Sheet1!S71_ItemType,$AD:$AD)</f>
        <v>0</v>
      </c>
      <c r="K118" s="713">
        <f>-SUMIFS(Sheet1!S71_OY2BudgetAmount,Sheet1!S71_A2SubCode,$AC:$AC,Sheet1!S71_ItemType,$AD:$AD)</f>
        <v>0</v>
      </c>
      <c r="L118" s="322"/>
      <c r="Q118" s="2226"/>
      <c r="R118" s="2227"/>
      <c r="AC118" s="2310">
        <v>5001</v>
      </c>
      <c r="AD118" s="2310" t="s">
        <v>2759</v>
      </c>
    </row>
    <row r="119" spans="1:30" ht="11.25" customHeight="1" x14ac:dyDescent="0.25">
      <c r="A119" s="241" t="s">
        <v>77</v>
      </c>
      <c r="B119" s="97"/>
      <c r="C119" s="712">
        <f>SUMIFS(Sheet1!S71_PPPYearAmount,Sheet1!S71_A2SubCode,$AC:$AC,Sheet1!S71_ItemType,$AD:$AD)</f>
        <v>0</v>
      </c>
      <c r="D119" s="712">
        <f>SUMIFS(Sheet1!S71_PPYearAmount,Sheet1!S71_A2SubCode,$AC:$AC,Sheet1!S71_ItemType,$AD:$AD)</f>
        <v>0</v>
      </c>
      <c r="E119" s="712">
        <f>SUMIFS(Sheet1!S71_PYearAmount,Sheet1!S71_A2SubCode,$AC:$AC,Sheet1!S71_ItemType,$AD:$AD)</f>
        <v>0</v>
      </c>
      <c r="F119" s="725">
        <f>-SUMIFS(Sheet1!S71_OriginalBudAmnt,Sheet1!S71_A2SubCode,$AC:$AC,Sheet1!S71_ItemType,$AD:$AD)</f>
        <v>0</v>
      </c>
      <c r="G119" s="712">
        <f>-SUMIFS(Sheet1!S71_AdjustmentBudAmnt,Sheet1!S71_A2SubCode,$AC:$AC,Sheet1!S71_ItemType,$AD:$AD)</f>
        <v>0</v>
      </c>
      <c r="H119" s="713">
        <f>-SUMIFS(Sheet1!S71_AdjustmentBudAmnt,Sheet1!S71_A2SubCode,$AC:$AC,Sheet1!S71_ItemType,$AD:$AD)</f>
        <v>0</v>
      </c>
      <c r="I119" s="725">
        <f>-SUMIFS(Sheet1!S71_ASBudgetAmount,Sheet1!S71_A2SubCode,$AC:$AC,Sheet1!S71_ItemType,$AD:$AD)</f>
        <v>0</v>
      </c>
      <c r="J119" s="712">
        <f>-SUMIFS(Sheet1!S71_OY1BudgetAmount,Sheet1!S71_A2SubCode,$AC:$AC,Sheet1!S71_ItemType,$AD:$AD)</f>
        <v>0</v>
      </c>
      <c r="K119" s="713">
        <f>-SUMIFS(Sheet1!S71_OY2BudgetAmount,Sheet1!S71_A2SubCode,$AC:$AC,Sheet1!S71_ItemType,$AD:$AD)</f>
        <v>0</v>
      </c>
      <c r="L119" s="322"/>
      <c r="Q119" s="2226"/>
      <c r="R119" s="2227"/>
      <c r="AC119" s="2310">
        <v>5002</v>
      </c>
      <c r="AD119" s="2310" t="s">
        <v>2759</v>
      </c>
    </row>
    <row r="120" spans="1:30" ht="11.25" customHeight="1" x14ac:dyDescent="0.25">
      <c r="A120" s="241" t="s">
        <v>2441</v>
      </c>
      <c r="B120" s="144"/>
      <c r="C120" s="712">
        <f>SUMIFS(Sheet1!S71_PPPYearAmount,Sheet1!S71_A2SubCode,$AC:$AC,Sheet1!S71_ItemType,$AD:$AD)</f>
        <v>0</v>
      </c>
      <c r="D120" s="712">
        <f>SUMIFS(Sheet1!S71_PPYearAmount,Sheet1!S71_A2SubCode,$AC:$AC,Sheet1!S71_ItemType,$AD:$AD)</f>
        <v>0</v>
      </c>
      <c r="E120" s="712">
        <f>SUMIFS(Sheet1!S71_PYearAmount,Sheet1!S71_A2SubCode,$AC:$AC,Sheet1!S71_ItemType,$AD:$AD)</f>
        <v>0</v>
      </c>
      <c r="F120" s="725">
        <f>-SUMIFS(Sheet1!S71_OriginalBudAmnt,Sheet1!S71_A2SubCode,$AC:$AC,Sheet1!S71_ItemType,$AD:$AD)</f>
        <v>0</v>
      </c>
      <c r="G120" s="712">
        <f>-SUMIFS(Sheet1!S71_AdjustmentBudAmnt,Sheet1!S71_A2SubCode,$AC:$AC,Sheet1!S71_ItemType,$AD:$AD)</f>
        <v>0</v>
      </c>
      <c r="H120" s="713">
        <f>-SUMIFS(Sheet1!S71_AdjustmentBudAmnt,Sheet1!S71_A2SubCode,$AC:$AC,Sheet1!S71_ItemType,$AD:$AD)</f>
        <v>0</v>
      </c>
      <c r="I120" s="725">
        <f>-SUMIFS(Sheet1!S71_ASBudgetAmount,Sheet1!S71_A2SubCode,$AC:$AC,Sheet1!S71_ItemType,$AD:$AD)</f>
        <v>0</v>
      </c>
      <c r="J120" s="712">
        <f>-SUMIFS(Sheet1!S71_OY1BudgetAmount,Sheet1!S71_A2SubCode,$AC:$AC,Sheet1!S71_ItemType,$AD:$AD)</f>
        <v>0</v>
      </c>
      <c r="K120" s="713">
        <f>-SUMIFS(Sheet1!S71_OY2BudgetAmount,Sheet1!S71_A2SubCode,$AC:$AC,Sheet1!S71_ItemType,$AD:$AD)</f>
        <v>0</v>
      </c>
      <c r="L120" s="322"/>
      <c r="Q120" s="2226"/>
      <c r="R120" s="2227"/>
      <c r="AC120" s="2310">
        <v>5003</v>
      </c>
      <c r="AD120" s="2310" t="s">
        <v>2759</v>
      </c>
    </row>
    <row r="121" spans="1:30" ht="11.25" customHeight="1" x14ac:dyDescent="0.25">
      <c r="A121" s="241" t="s">
        <v>2442</v>
      </c>
      <c r="B121" s="97"/>
      <c r="C121" s="712">
        <f>SUMIFS(Sheet1!S71_PPPYearAmount,Sheet1!S71_A2SubCode,$AC:$AC,Sheet1!S71_ItemType,$AD:$AD)</f>
        <v>6064222</v>
      </c>
      <c r="D121" s="712">
        <f>SUMIFS(Sheet1!S71_PPYearAmount,Sheet1!S71_A2SubCode,$AC:$AC,Sheet1!S71_ItemType,$AD:$AD)</f>
        <v>6462382</v>
      </c>
      <c r="E121" s="712">
        <f>SUMIFS(Sheet1!S71_PYearAmount,Sheet1!S71_A2SubCode,$AC:$AC,Sheet1!S71_ItemType,$AD:$AD)</f>
        <v>4704487</v>
      </c>
      <c r="F121" s="725">
        <f>-SUMIFS(Sheet1!S71_OriginalBudAmnt,Sheet1!S71_A2SubCode,$AC:$AC,Sheet1!S71_ItemType,$AD:$AD)</f>
        <v>7121110</v>
      </c>
      <c r="G121" s="712">
        <f>-SUMIFS(Sheet1!S71_AdjustmentBudAmnt,Sheet1!S71_A2SubCode,$AC:$AC,Sheet1!S71_ItemType,$AD:$AD)</f>
        <v>7122310</v>
      </c>
      <c r="H121" s="713">
        <f>-SUMIFS(Sheet1!S71_AdjustmentBudAmnt,Sheet1!S71_A2SubCode,$AC:$AC,Sheet1!S71_ItemType,$AD:$AD)</f>
        <v>7122310</v>
      </c>
      <c r="I121" s="725">
        <f>-SUMIFS(Sheet1!S71_ASBudgetAmount,Sheet1!S71_A2SubCode,$AC:$AC,Sheet1!S71_ItemType,$AD:$AD)</f>
        <v>7400081</v>
      </c>
      <c r="J121" s="712">
        <f>-SUMIFS(Sheet1!S71_OY1BudgetAmount,Sheet1!S71_A2SubCode,$AC:$AC,Sheet1!S71_ItemType,$AD:$AD)</f>
        <v>7696084</v>
      </c>
      <c r="K121" s="713">
        <f>-SUMIFS(Sheet1!S71_OY2BudgetAmount,Sheet1!S71_A2SubCode,$AC:$AC,Sheet1!S71_ItemType,$AD:$AD)</f>
        <v>8003928</v>
      </c>
      <c r="L121" s="322"/>
      <c r="Q121" s="2226"/>
      <c r="R121" s="2227"/>
      <c r="AC121" s="2310">
        <v>5004</v>
      </c>
      <c r="AD121" s="2310" t="s">
        <v>2759</v>
      </c>
    </row>
    <row r="122" spans="1:30" ht="11.25" customHeight="1" x14ac:dyDescent="0.25">
      <c r="A122" s="241" t="s">
        <v>1080</v>
      </c>
      <c r="B122" s="144"/>
      <c r="C122" s="712">
        <f>SUMIFS(Sheet1!S71_PPPYearAmount,Sheet1!S71_A2SubCode,$AC:$AC,Sheet1!S71_ItemType,$AD:$AD)</f>
        <v>0</v>
      </c>
      <c r="D122" s="712">
        <f>SUMIFS(Sheet1!S71_PPYearAmount,Sheet1!S71_A2SubCode,$AC:$AC,Sheet1!S71_ItemType,$AD:$AD)</f>
        <v>0</v>
      </c>
      <c r="E122" s="712">
        <f>SUMIFS(Sheet1!S71_PYearAmount,Sheet1!S71_A2SubCode,$AC:$AC,Sheet1!S71_ItemType,$AD:$AD)</f>
        <v>0</v>
      </c>
      <c r="F122" s="725">
        <f>-SUMIFS(Sheet1!S71_OriginalBudAmnt,Sheet1!S71_A2SubCode,$AC:$AC,Sheet1!S71_ItemType,$AD:$AD)</f>
        <v>0</v>
      </c>
      <c r="G122" s="712">
        <f>-SUMIFS(Sheet1!S71_AdjustmentBudAmnt,Sheet1!S71_A2SubCode,$AC:$AC,Sheet1!S71_ItemType,$AD:$AD)</f>
        <v>0</v>
      </c>
      <c r="H122" s="713">
        <f>-SUMIFS(Sheet1!S71_AdjustmentBudAmnt,Sheet1!S71_A2SubCode,$AC:$AC,Sheet1!S71_ItemType,$AD:$AD)</f>
        <v>0</v>
      </c>
      <c r="I122" s="725">
        <f>-SUMIFS(Sheet1!S71_ASBudgetAmount,Sheet1!S71_A2SubCode,$AC:$AC,Sheet1!S71_ItemType,$AD:$AD)</f>
        <v>0</v>
      </c>
      <c r="J122" s="712">
        <f>-SUMIFS(Sheet1!S71_OY1BudgetAmount,Sheet1!S71_A2SubCode,$AC:$AC,Sheet1!S71_ItemType,$AD:$AD)</f>
        <v>0</v>
      </c>
      <c r="K122" s="713">
        <f>-SUMIFS(Sheet1!S71_OY2BudgetAmount,Sheet1!S71_A2SubCode,$AC:$AC,Sheet1!S71_ItemType,$AD:$AD)</f>
        <v>0</v>
      </c>
      <c r="L122" s="322"/>
      <c r="Q122" s="2226"/>
      <c r="R122" s="2227"/>
      <c r="AC122" s="2310">
        <v>5005</v>
      </c>
      <c r="AD122" s="2310" t="s">
        <v>2759</v>
      </c>
    </row>
    <row r="123" spans="1:30" ht="11.25" customHeight="1" x14ac:dyDescent="0.25">
      <c r="A123" s="241" t="s">
        <v>533</v>
      </c>
      <c r="B123" s="144"/>
      <c r="C123" s="712">
        <f>SUMIFS(Sheet1!S71_PPPYearAmount,Sheet1!S71_A2SubCode,$AC:$AC,Sheet1!S71_ItemType,$AD:$AD)</f>
        <v>0</v>
      </c>
      <c r="D123" s="712">
        <f>SUMIFS(Sheet1!S71_PPYearAmount,Sheet1!S71_A2SubCode,$AC:$AC,Sheet1!S71_ItemType,$AD:$AD)</f>
        <v>0</v>
      </c>
      <c r="E123" s="712">
        <f>SUMIFS(Sheet1!S71_PYearAmount,Sheet1!S71_A2SubCode,$AC:$AC,Sheet1!S71_ItemType,$AD:$AD)</f>
        <v>0</v>
      </c>
      <c r="F123" s="725">
        <f>-SUMIFS(Sheet1!S71_OriginalBudAmnt,Sheet1!S71_A2SubCode,$AC:$AC,Sheet1!S71_ItemType,$AD:$AD)</f>
        <v>0</v>
      </c>
      <c r="G123" s="712">
        <f>-SUMIFS(Sheet1!S71_AdjustmentBudAmnt,Sheet1!S71_A2SubCode,$AC:$AC,Sheet1!S71_ItemType,$AD:$AD)</f>
        <v>0</v>
      </c>
      <c r="H123" s="713">
        <f>-SUMIFS(Sheet1!S71_AdjustmentBudAmnt,Sheet1!S71_A2SubCode,$AC:$AC,Sheet1!S71_ItemType,$AD:$AD)</f>
        <v>0</v>
      </c>
      <c r="I123" s="725">
        <f>-SUMIFS(Sheet1!S71_ASBudgetAmount,Sheet1!S71_A2SubCode,$AC:$AC,Sheet1!S71_ItemType,$AD:$AD)</f>
        <v>0</v>
      </c>
      <c r="J123" s="712">
        <f>-SUMIFS(Sheet1!S71_OY1BudgetAmount,Sheet1!S71_A2SubCode,$AC:$AC,Sheet1!S71_ItemType,$AD:$AD)</f>
        <v>0</v>
      </c>
      <c r="K123" s="713">
        <f>-SUMIFS(Sheet1!S71_OY2BudgetAmount,Sheet1!S71_A2SubCode,$AC:$AC,Sheet1!S71_ItemType,$AD:$AD)</f>
        <v>0</v>
      </c>
      <c r="L123" s="322"/>
      <c r="Q123" s="2226"/>
      <c r="R123" s="2227"/>
      <c r="AC123" s="2310">
        <v>5006</v>
      </c>
      <c r="AD123" s="2310" t="s">
        <v>2759</v>
      </c>
    </row>
    <row r="124" spans="1:30" ht="11.25" customHeight="1" x14ac:dyDescent="0.25">
      <c r="A124" s="145" t="str">
        <f>"Total "&amp;A4</f>
        <v>Total Revenue - Functional</v>
      </c>
      <c r="B124" s="144">
        <v>2</v>
      </c>
      <c r="C124" s="106">
        <f t="shared" ref="C124:K124" si="20">C5+C25+C74+C98+C117</f>
        <v>101660844</v>
      </c>
      <c r="D124" s="106">
        <f t="shared" si="20"/>
        <v>110363666</v>
      </c>
      <c r="E124" s="359">
        <f t="shared" si="20"/>
        <v>113941219</v>
      </c>
      <c r="F124" s="107">
        <f t="shared" si="20"/>
        <v>124222455</v>
      </c>
      <c r="G124" s="106">
        <f t="shared" si="20"/>
        <v>145703045</v>
      </c>
      <c r="H124" s="359">
        <f t="shared" si="20"/>
        <v>145703045</v>
      </c>
      <c r="I124" s="107">
        <f t="shared" si="20"/>
        <v>135443122</v>
      </c>
      <c r="J124" s="106">
        <f t="shared" si="20"/>
        <v>142603640</v>
      </c>
      <c r="K124" s="359">
        <f t="shared" si="20"/>
        <v>145753424</v>
      </c>
      <c r="L124" s="322"/>
      <c r="Q124" s="2236"/>
      <c r="R124" s="2237"/>
      <c r="AC124" s="2309"/>
      <c r="AD124" s="2309"/>
    </row>
    <row r="125" spans="1:30" ht="4.9000000000000004" customHeight="1" x14ac:dyDescent="0.25">
      <c r="A125" s="116"/>
      <c r="B125" s="144"/>
      <c r="C125" s="177"/>
      <c r="D125" s="177"/>
      <c r="E125" s="388"/>
      <c r="F125" s="181"/>
      <c r="G125" s="177"/>
      <c r="H125" s="388"/>
      <c r="I125" s="181"/>
      <c r="J125" s="177"/>
      <c r="K125" s="388"/>
      <c r="L125" s="322"/>
      <c r="Q125" s="196"/>
      <c r="AC125" s="2309"/>
      <c r="AD125" s="2309"/>
    </row>
    <row r="126" spans="1:30" ht="11.25" customHeight="1" x14ac:dyDescent="0.25">
      <c r="A126" s="96" t="s">
        <v>2446</v>
      </c>
      <c r="B126" s="146"/>
      <c r="C126" s="177"/>
      <c r="D126" s="177"/>
      <c r="E126" s="388"/>
      <c r="F126" s="181"/>
      <c r="G126" s="177"/>
      <c r="H126" s="388"/>
      <c r="I126" s="181"/>
      <c r="J126" s="177"/>
      <c r="K126" s="388"/>
      <c r="L126" s="322"/>
      <c r="Q126" s="196"/>
      <c r="AC126" s="2309"/>
      <c r="AD126" s="2309"/>
    </row>
    <row r="127" spans="1:30" ht="11.25" customHeight="1" x14ac:dyDescent="0.25">
      <c r="A127" s="225" t="str">
        <f t="shared" ref="A127:A158" si="21">A5</f>
        <v>Municipal governance and administration</v>
      </c>
      <c r="B127" s="146"/>
      <c r="C127" s="243">
        <f t="shared" ref="C127:K127" si="22">C128+C131+C145</f>
        <v>55121036</v>
      </c>
      <c r="D127" s="243">
        <f t="shared" si="22"/>
        <v>47359299</v>
      </c>
      <c r="E127" s="358">
        <f t="shared" si="22"/>
        <v>53963638</v>
      </c>
      <c r="F127" s="244">
        <f t="shared" si="22"/>
        <v>69553541</v>
      </c>
      <c r="G127" s="243">
        <f t="shared" si="22"/>
        <v>78524541</v>
      </c>
      <c r="H127" s="358">
        <f t="shared" si="22"/>
        <v>78524541</v>
      </c>
      <c r="I127" s="244">
        <f t="shared" si="22"/>
        <v>85013775</v>
      </c>
      <c r="J127" s="243">
        <f t="shared" si="22"/>
        <v>74755494</v>
      </c>
      <c r="K127" s="358">
        <f t="shared" si="22"/>
        <v>82478009</v>
      </c>
      <c r="L127" s="322"/>
      <c r="Q127" s="196"/>
      <c r="AC127" s="2309"/>
      <c r="AD127" s="2309"/>
    </row>
    <row r="128" spans="1:30" ht="11.25" customHeight="1" x14ac:dyDescent="0.25">
      <c r="A128" s="241" t="str">
        <f t="shared" si="21"/>
        <v>Executive and council</v>
      </c>
      <c r="B128" s="146"/>
      <c r="C128" s="82">
        <f t="shared" ref="C128:K128" si="23">SUM(C129:C130)</f>
        <v>10424627</v>
      </c>
      <c r="D128" s="82">
        <f t="shared" si="23"/>
        <v>11232657</v>
      </c>
      <c r="E128" s="115">
        <f t="shared" si="23"/>
        <v>12619987</v>
      </c>
      <c r="F128" s="83">
        <f t="shared" si="23"/>
        <v>19001756</v>
      </c>
      <c r="G128" s="82">
        <f t="shared" si="23"/>
        <v>21401756</v>
      </c>
      <c r="H128" s="115">
        <f t="shared" si="23"/>
        <v>21401756</v>
      </c>
      <c r="I128" s="83">
        <f t="shared" si="23"/>
        <v>22480589</v>
      </c>
      <c r="J128" s="82">
        <f t="shared" si="23"/>
        <v>19014269</v>
      </c>
      <c r="K128" s="115">
        <f t="shared" si="23"/>
        <v>23013871</v>
      </c>
      <c r="L128" s="322"/>
      <c r="Q128" s="196"/>
      <c r="AC128" s="2309"/>
      <c r="AD128" s="2309"/>
    </row>
    <row r="129" spans="1:30" ht="11.25" customHeight="1" x14ac:dyDescent="0.25">
      <c r="A129" s="2235" t="str">
        <f t="shared" si="21"/>
        <v>Mayor and Council</v>
      </c>
      <c r="B129" s="146"/>
      <c r="C129" s="712">
        <f>SUMIFS(Sheet1!S71_PPPYearAmount,Sheet1!S71_A2SubCode,$AC:$AC,Sheet1!S71_ItemType,$AD:$AD)</f>
        <v>6891373</v>
      </c>
      <c r="D129" s="712">
        <f>SUMIFS(Sheet1!S71_PPYearAmount,Sheet1!S71_A2SubCode,$AC:$AC,Sheet1!S71_ItemType,$AD:$AD)</f>
        <v>8495880</v>
      </c>
      <c r="E129" s="712">
        <f>SUMIFS(Sheet1!S71_PYearAmount,Sheet1!S71_A2SubCode,$AC:$AC,Sheet1!S71_ItemType,$AD:$AD)</f>
        <v>8980145</v>
      </c>
      <c r="F129" s="725">
        <f>SUMIFS(Sheet1!S71_OriginalBudAmnt,Sheet1!S71_A2SubCode,$AC:$AC,Sheet1!S71_ItemType,$AD:$AD)</f>
        <v>7456921</v>
      </c>
      <c r="G129" s="712">
        <f>SUMIFS(Sheet1!S71_AdjustmentBudAmnt,Sheet1!S71_A2SubCode,$AC:$AC,Sheet1!S71_ItemType,$AD:$AD)</f>
        <v>7756921</v>
      </c>
      <c r="H129" s="713">
        <f>SUMIFS(Sheet1!S71_AdjustmentBudAmnt,Sheet1!S71_A2SubCode,$AC:$AC,Sheet1!S71_ItemType,$AD:$AD)</f>
        <v>7756921</v>
      </c>
      <c r="I129" s="725">
        <f>SUMIFS(Sheet1!S71_ASBudgetAmount,Sheet1!S71_A2SubCode,$AC:$AC,Sheet1!S71_ItemType,$AD:$AD)</f>
        <v>8129552</v>
      </c>
      <c r="J129" s="712">
        <f>SUMIFS(Sheet1!S71_OY1BudgetAmount,Sheet1!S71_A2SubCode,$AC:$AC,Sheet1!S71_ItemType,$AD:$AD)</f>
        <v>5533856</v>
      </c>
      <c r="K129" s="713">
        <f>SUMIFS(Sheet1!S71_OY2BudgetAmount,Sheet1!S71_A2SubCode,$AC:$AC,Sheet1!S71_ItemType,$AD:$AD)</f>
        <v>8801400</v>
      </c>
      <c r="L129" s="322"/>
      <c r="Q129" s="196"/>
      <c r="AC129" s="2310">
        <v>1110</v>
      </c>
      <c r="AD129" s="2310" t="s">
        <v>2754</v>
      </c>
    </row>
    <row r="130" spans="1:30" ht="11.25" customHeight="1" x14ac:dyDescent="0.25">
      <c r="A130" s="2235" t="str">
        <f t="shared" si="21"/>
        <v>Municipal Manager, Town Secretary and Chief Executive</v>
      </c>
      <c r="B130" s="146"/>
      <c r="C130" s="712">
        <f>SUMIFS(Sheet1!S71_PPPYearAmount,Sheet1!S71_A2SubCode,$AC:$AC,Sheet1!S71_ItemType,$AD:$AD)</f>
        <v>3533254</v>
      </c>
      <c r="D130" s="712">
        <f>SUMIFS(Sheet1!S71_PPYearAmount,Sheet1!S71_A2SubCode,$AC:$AC,Sheet1!S71_ItemType,$AD:$AD)</f>
        <v>2736777</v>
      </c>
      <c r="E130" s="712">
        <f>SUMIFS(Sheet1!S71_PYearAmount,Sheet1!S71_A2SubCode,$AC:$AC,Sheet1!S71_ItemType,$AD:$AD)</f>
        <v>3639842</v>
      </c>
      <c r="F130" s="725">
        <f>SUMIFS(Sheet1!S71_OriginalBudAmnt,Sheet1!S71_A2SubCode,$AC:$AC,Sheet1!S71_ItemType,$AD:$AD)</f>
        <v>11544835</v>
      </c>
      <c r="G130" s="712">
        <f>SUMIFS(Sheet1!S71_AdjustmentBudAmnt,Sheet1!S71_A2SubCode,$AC:$AC,Sheet1!S71_ItemType,$AD:$AD)</f>
        <v>13644835</v>
      </c>
      <c r="H130" s="713">
        <f>SUMIFS(Sheet1!S71_AdjustmentBudAmnt,Sheet1!S71_A2SubCode,$AC:$AC,Sheet1!S71_ItemType,$AD:$AD)</f>
        <v>13644835</v>
      </c>
      <c r="I130" s="725">
        <f>SUMIFS(Sheet1!S71_ASBudgetAmount,Sheet1!S71_A2SubCode,$AC:$AC,Sheet1!S71_ItemType,$AD:$AD)</f>
        <v>14351037</v>
      </c>
      <c r="J130" s="712">
        <f>SUMIFS(Sheet1!S71_OY1BudgetAmount,Sheet1!S71_A2SubCode,$AC:$AC,Sheet1!S71_ItemType,$AD:$AD)</f>
        <v>13480413</v>
      </c>
      <c r="K130" s="713">
        <f>SUMIFS(Sheet1!S71_OY2BudgetAmount,Sheet1!S71_A2SubCode,$AC:$AC,Sheet1!S71_ItemType,$AD:$AD)</f>
        <v>14212471</v>
      </c>
      <c r="L130" s="322"/>
      <c r="Q130" s="196"/>
      <c r="AC130" s="2310">
        <v>1120</v>
      </c>
      <c r="AD130" s="2310" t="s">
        <v>2754</v>
      </c>
    </row>
    <row r="131" spans="1:30" ht="11.25" customHeight="1" x14ac:dyDescent="0.25">
      <c r="A131" s="241" t="str">
        <f t="shared" si="21"/>
        <v>Finance and administration</v>
      </c>
      <c r="B131" s="146"/>
      <c r="C131" s="82">
        <f t="shared" ref="C131:K131" si="24">SUM(C132:C144)</f>
        <v>44696409</v>
      </c>
      <c r="D131" s="82">
        <f t="shared" si="24"/>
        <v>36126642</v>
      </c>
      <c r="E131" s="115">
        <f t="shared" si="24"/>
        <v>41343651</v>
      </c>
      <c r="F131" s="83">
        <f t="shared" si="24"/>
        <v>50551785</v>
      </c>
      <c r="G131" s="82">
        <f t="shared" si="24"/>
        <v>57122785</v>
      </c>
      <c r="H131" s="115">
        <f t="shared" si="24"/>
        <v>57122785</v>
      </c>
      <c r="I131" s="83">
        <f t="shared" si="24"/>
        <v>62533186</v>
      </c>
      <c r="J131" s="82">
        <f t="shared" si="24"/>
        <v>55741225</v>
      </c>
      <c r="K131" s="115">
        <f t="shared" si="24"/>
        <v>59464138</v>
      </c>
      <c r="L131" s="322"/>
      <c r="Q131" s="196"/>
      <c r="AC131" s="2309"/>
      <c r="AD131" s="2309"/>
    </row>
    <row r="132" spans="1:30" ht="11.25" customHeight="1" x14ac:dyDescent="0.25">
      <c r="A132" s="2235" t="str">
        <f t="shared" si="21"/>
        <v>Administrative and Corporate Support</v>
      </c>
      <c r="B132" s="146"/>
      <c r="C132" s="712">
        <f>SUMIFS(Sheet1!S71_PPPYearAmount,Sheet1!S71_A2SubCode,$AC:$AC,Sheet1!S71_ItemType,$AD:$AD)</f>
        <v>8623430</v>
      </c>
      <c r="D132" s="712">
        <f>SUMIFS(Sheet1!S71_PPYearAmount,Sheet1!S71_A2SubCode,$AC:$AC,Sheet1!S71_ItemType,$AD:$AD)</f>
        <v>10413406</v>
      </c>
      <c r="E132" s="712">
        <f>SUMIFS(Sheet1!S71_PYearAmount,Sheet1!S71_A2SubCode,$AC:$AC,Sheet1!S71_ItemType,$AD:$AD)</f>
        <v>10731235</v>
      </c>
      <c r="F132" s="725">
        <f>SUMIFS(Sheet1!S71_OriginalBudAmnt,Sheet1!S71_A2SubCode,$AC:$AC,Sheet1!S71_ItemType,$AD:$AD)</f>
        <v>11894526</v>
      </c>
      <c r="G132" s="712">
        <f>SUMIFS(Sheet1!S71_AdjustmentBudAmnt,Sheet1!S71_A2SubCode,$AC:$AC,Sheet1!S71_ItemType,$AD:$AD)</f>
        <v>11726026</v>
      </c>
      <c r="H132" s="713">
        <f>SUMIFS(Sheet1!S71_AdjustmentBudAmnt,Sheet1!S71_A2SubCode,$AC:$AC,Sheet1!S71_ItemType,$AD:$AD)</f>
        <v>11726026</v>
      </c>
      <c r="I132" s="725">
        <f>SUMIFS(Sheet1!S71_ASBudgetAmount,Sheet1!S71_A2SubCode,$AC:$AC,Sheet1!S71_ItemType,$AD:$AD)</f>
        <v>12403289</v>
      </c>
      <c r="J132" s="712">
        <f>SUMIFS(Sheet1!S71_OY1BudgetAmount,Sheet1!S71_A2SubCode,$AC:$AC,Sheet1!S71_ItemType,$AD:$AD)</f>
        <v>13113107</v>
      </c>
      <c r="K132" s="713">
        <f>SUMIFS(Sheet1!S71_OY2BudgetAmount,Sheet1!S71_A2SubCode,$AC:$AC,Sheet1!S71_ItemType,$AD:$AD)</f>
        <v>13868622</v>
      </c>
      <c r="L132" s="322"/>
      <c r="Q132" s="196"/>
      <c r="AC132" s="2310">
        <v>1201</v>
      </c>
      <c r="AD132" s="2310" t="s">
        <v>2754</v>
      </c>
    </row>
    <row r="133" spans="1:30" ht="11.25" customHeight="1" x14ac:dyDescent="0.25">
      <c r="A133" s="2235" t="str">
        <f t="shared" si="21"/>
        <v>Asset Management</v>
      </c>
      <c r="B133" s="146"/>
      <c r="C133" s="712">
        <f>SUMIFS(Sheet1!S71_PPPYearAmount,Sheet1!S71_A2SubCode,$AC:$AC,Sheet1!S71_ItemType,$AD:$AD)</f>
        <v>11721675</v>
      </c>
      <c r="D133" s="712">
        <f>SUMIFS(Sheet1!S71_PPYearAmount,Sheet1!S71_A2SubCode,$AC:$AC,Sheet1!S71_ItemType,$AD:$AD)</f>
        <v>8986365</v>
      </c>
      <c r="E133" s="712">
        <f>SUMIFS(Sheet1!S71_PYearAmount,Sheet1!S71_A2SubCode,$AC:$AC,Sheet1!S71_ItemType,$AD:$AD)</f>
        <v>10383094</v>
      </c>
      <c r="F133" s="725">
        <f>SUMIFS(Sheet1!S71_OriginalBudAmnt,Sheet1!S71_A2SubCode,$AC:$AC,Sheet1!S71_ItemType,$AD:$AD)</f>
        <v>13173339</v>
      </c>
      <c r="G133" s="712">
        <f>SUMIFS(Sheet1!S71_AdjustmentBudAmnt,Sheet1!S71_A2SubCode,$AC:$AC,Sheet1!S71_ItemType,$AD:$AD)</f>
        <v>18992839</v>
      </c>
      <c r="H133" s="713">
        <f>SUMIFS(Sheet1!S71_AdjustmentBudAmnt,Sheet1!S71_A2SubCode,$AC:$AC,Sheet1!S71_ItemType,$AD:$AD)</f>
        <v>18992839</v>
      </c>
      <c r="I133" s="725">
        <f>SUMIFS(Sheet1!S71_ASBudgetAmount,Sheet1!S71_A2SubCode,$AC:$AC,Sheet1!S71_ItemType,$AD:$AD)</f>
        <v>22109097</v>
      </c>
      <c r="J133" s="712">
        <f>SUMIFS(Sheet1!S71_OY1BudgetAmount,Sheet1!S71_A2SubCode,$AC:$AC,Sheet1!S71_ItemType,$AD:$AD)</f>
        <v>14273463</v>
      </c>
      <c r="K133" s="713">
        <f>SUMIFS(Sheet1!S71_OY2BudgetAmount,Sheet1!S71_A2SubCode,$AC:$AC,Sheet1!S71_ItemType,$AD:$AD)</f>
        <v>14976402</v>
      </c>
      <c r="L133" s="322"/>
      <c r="Q133" s="196"/>
      <c r="AC133" s="2310">
        <v>1202</v>
      </c>
      <c r="AD133" s="2310" t="s">
        <v>2754</v>
      </c>
    </row>
    <row r="134" spans="1:30" ht="11.25" customHeight="1" x14ac:dyDescent="0.25">
      <c r="A134" s="2235" t="str">
        <f t="shared" si="21"/>
        <v>Finance</v>
      </c>
      <c r="B134" s="146"/>
      <c r="C134" s="712">
        <f>SUMIFS(Sheet1!S71_PPPYearAmount,Sheet1!S71_A2SubCode,$AC:$AC,Sheet1!S71_ItemType,$AD:$AD)</f>
        <v>18851375</v>
      </c>
      <c r="D134" s="712">
        <f>SUMIFS(Sheet1!S71_PPYearAmount,Sheet1!S71_A2SubCode,$AC:$AC,Sheet1!S71_ItemType,$AD:$AD)</f>
        <v>11959227</v>
      </c>
      <c r="E134" s="712">
        <f>SUMIFS(Sheet1!S71_PYearAmount,Sheet1!S71_A2SubCode,$AC:$AC,Sheet1!S71_ItemType,$AD:$AD)</f>
        <v>12173182</v>
      </c>
      <c r="F134" s="725">
        <f>SUMIFS(Sheet1!S71_OriginalBudAmnt,Sheet1!S71_A2SubCode,$AC:$AC,Sheet1!S71_ItemType,$AD:$AD)</f>
        <v>18094080</v>
      </c>
      <c r="G134" s="712">
        <f>SUMIFS(Sheet1!S71_AdjustmentBudAmnt,Sheet1!S71_A2SubCode,$AC:$AC,Sheet1!S71_ItemType,$AD:$AD)</f>
        <v>18294080</v>
      </c>
      <c r="H134" s="713">
        <f>SUMIFS(Sheet1!S71_AdjustmentBudAmnt,Sheet1!S71_A2SubCode,$AC:$AC,Sheet1!S71_ItemType,$AD:$AD)</f>
        <v>18294080</v>
      </c>
      <c r="I134" s="725">
        <f>SUMIFS(Sheet1!S71_ASBudgetAmount,Sheet1!S71_A2SubCode,$AC:$AC,Sheet1!S71_ItemType,$AD:$AD)</f>
        <v>19044900</v>
      </c>
      <c r="J134" s="712">
        <f>SUMIFS(Sheet1!S71_OY1BudgetAmount,Sheet1!S71_A2SubCode,$AC:$AC,Sheet1!S71_ItemType,$AD:$AD)</f>
        <v>19748918</v>
      </c>
      <c r="K134" s="713">
        <f>SUMIFS(Sheet1!S71_OY2BudgetAmount,Sheet1!S71_A2SubCode,$AC:$AC,Sheet1!S71_ItemType,$AD:$AD)</f>
        <v>21146983</v>
      </c>
      <c r="L134" s="322"/>
      <c r="Q134" s="196"/>
      <c r="AC134" s="2310">
        <v>1204</v>
      </c>
      <c r="AD134" s="2310" t="s">
        <v>2754</v>
      </c>
    </row>
    <row r="135" spans="1:30" ht="11.25" customHeight="1" x14ac:dyDescent="0.25">
      <c r="A135" s="2235" t="str">
        <f t="shared" si="21"/>
        <v>Fleet Management</v>
      </c>
      <c r="B135" s="146"/>
      <c r="C135" s="712">
        <f>SUMIFS(Sheet1!S71_PPPYearAmount,Sheet1!S71_A2SubCode,$AC:$AC,Sheet1!S71_ItemType,$AD:$AD)</f>
        <v>795624</v>
      </c>
      <c r="D135" s="712">
        <f>SUMIFS(Sheet1!S71_PPYearAmount,Sheet1!S71_A2SubCode,$AC:$AC,Sheet1!S71_ItemType,$AD:$AD)</f>
        <v>1034324</v>
      </c>
      <c r="E135" s="712">
        <f>SUMIFS(Sheet1!S71_PYearAmount,Sheet1!S71_A2SubCode,$AC:$AC,Sheet1!S71_ItemType,$AD:$AD)</f>
        <v>1206406</v>
      </c>
      <c r="F135" s="725">
        <f>SUMIFS(Sheet1!S71_OriginalBudAmnt,Sheet1!S71_A2SubCode,$AC:$AC,Sheet1!S71_ItemType,$AD:$AD)</f>
        <v>910000</v>
      </c>
      <c r="G135" s="712">
        <f>SUMIFS(Sheet1!S71_AdjustmentBudAmnt,Sheet1!S71_A2SubCode,$AC:$AC,Sheet1!S71_ItemType,$AD:$AD)</f>
        <v>1570000</v>
      </c>
      <c r="H135" s="713">
        <f>SUMIFS(Sheet1!S71_AdjustmentBudAmnt,Sheet1!S71_A2SubCode,$AC:$AC,Sheet1!S71_ItemType,$AD:$AD)</f>
        <v>1570000</v>
      </c>
      <c r="I135" s="725">
        <f>SUMIFS(Sheet1!S71_ASBudgetAmount,Sheet1!S71_A2SubCode,$AC:$AC,Sheet1!S71_ItemType,$AD:$AD)</f>
        <v>1831730</v>
      </c>
      <c r="J135" s="712">
        <f>SUMIFS(Sheet1!S71_OY1BudgetAmount,Sheet1!S71_A2SubCode,$AC:$AC,Sheet1!S71_ItemType,$AD:$AD)</f>
        <v>1686199</v>
      </c>
      <c r="K135" s="713">
        <f>SUMIFS(Sheet1!S71_OY2BudgetAmount,Sheet1!S71_A2SubCode,$AC:$AC,Sheet1!S71_ItemType,$AD:$AD)</f>
        <v>1764247</v>
      </c>
      <c r="L135" s="322"/>
      <c r="Q135" s="196"/>
      <c r="AC135" s="2310">
        <v>1205</v>
      </c>
      <c r="AD135" s="2310" t="s">
        <v>2754</v>
      </c>
    </row>
    <row r="136" spans="1:30" ht="11.25" customHeight="1" x14ac:dyDescent="0.25">
      <c r="A136" s="2235" t="str">
        <f t="shared" si="21"/>
        <v>Human Resources</v>
      </c>
      <c r="B136" s="146"/>
      <c r="C136" s="712">
        <f>SUMIFS(Sheet1!S71_PPPYearAmount,Sheet1!S71_A2SubCode,$AC:$AC,Sheet1!S71_ItemType,$AD:$AD)</f>
        <v>298987</v>
      </c>
      <c r="D136" s="712">
        <f>SUMIFS(Sheet1!S71_PPYearAmount,Sheet1!S71_A2SubCode,$AC:$AC,Sheet1!S71_ItemType,$AD:$AD)</f>
        <v>293573</v>
      </c>
      <c r="E136" s="712">
        <f>SUMIFS(Sheet1!S71_PYearAmount,Sheet1!S71_A2SubCode,$AC:$AC,Sheet1!S71_ItemType,$AD:$AD)</f>
        <v>734652</v>
      </c>
      <c r="F136" s="725">
        <f>SUMIFS(Sheet1!S71_OriginalBudAmnt,Sheet1!S71_A2SubCode,$AC:$AC,Sheet1!S71_ItemType,$AD:$AD)</f>
        <v>1099190</v>
      </c>
      <c r="G136" s="712">
        <f>SUMIFS(Sheet1!S71_AdjustmentBudAmnt,Sheet1!S71_A2SubCode,$AC:$AC,Sheet1!S71_ItemType,$AD:$AD)</f>
        <v>939190</v>
      </c>
      <c r="H136" s="713">
        <f>SUMIFS(Sheet1!S71_AdjustmentBudAmnt,Sheet1!S71_A2SubCode,$AC:$AC,Sheet1!S71_ItemType,$AD:$AD)</f>
        <v>939190</v>
      </c>
      <c r="I136" s="725">
        <f>SUMIFS(Sheet1!S71_ASBudgetAmount,Sheet1!S71_A2SubCode,$AC:$AC,Sheet1!S71_ItemType,$AD:$AD)</f>
        <v>1214945</v>
      </c>
      <c r="J136" s="712">
        <f>SUMIFS(Sheet1!S71_OY1BudgetAmount,Sheet1!S71_A2SubCode,$AC:$AC,Sheet1!S71_ItemType,$AD:$AD)</f>
        <v>701784</v>
      </c>
      <c r="K136" s="713">
        <f>SUMIFS(Sheet1!S71_OY2BudgetAmount,Sheet1!S71_A2SubCode,$AC:$AC,Sheet1!S71_ItemType,$AD:$AD)</f>
        <v>1223860</v>
      </c>
      <c r="L136" s="322"/>
      <c r="Q136" s="196"/>
      <c r="AC136" s="2310">
        <v>1206</v>
      </c>
      <c r="AD136" s="2310" t="s">
        <v>2754</v>
      </c>
    </row>
    <row r="137" spans="1:30" ht="11.25" customHeight="1" x14ac:dyDescent="0.25">
      <c r="A137" s="2235" t="str">
        <f t="shared" si="21"/>
        <v>Information Technology</v>
      </c>
      <c r="B137" s="146"/>
      <c r="C137" s="712">
        <f>SUMIFS(Sheet1!S71_PPPYearAmount,Sheet1!S71_A2SubCode,$AC:$AC,Sheet1!S71_ItemType,$AD:$AD)</f>
        <v>1550729</v>
      </c>
      <c r="D137" s="712">
        <f>SUMIFS(Sheet1!S71_PPYearAmount,Sheet1!S71_A2SubCode,$AC:$AC,Sheet1!S71_ItemType,$AD:$AD)</f>
        <v>1112465</v>
      </c>
      <c r="E137" s="712">
        <f>SUMIFS(Sheet1!S71_PYearAmount,Sheet1!S71_A2SubCode,$AC:$AC,Sheet1!S71_ItemType,$AD:$AD)</f>
        <v>3460653</v>
      </c>
      <c r="F137" s="725">
        <f>SUMIFS(Sheet1!S71_OriginalBudAmnt,Sheet1!S71_A2SubCode,$AC:$AC,Sheet1!S71_ItemType,$AD:$AD)</f>
        <v>1595000</v>
      </c>
      <c r="G137" s="712">
        <f>SUMIFS(Sheet1!S71_AdjustmentBudAmnt,Sheet1!S71_A2SubCode,$AC:$AC,Sheet1!S71_ItemType,$AD:$AD)</f>
        <v>2315000</v>
      </c>
      <c r="H137" s="713">
        <f>SUMIFS(Sheet1!S71_AdjustmentBudAmnt,Sheet1!S71_A2SubCode,$AC:$AC,Sheet1!S71_ItemType,$AD:$AD)</f>
        <v>2315000</v>
      </c>
      <c r="I137" s="725">
        <f>SUMIFS(Sheet1!S71_ASBudgetAmount,Sheet1!S71_A2SubCode,$AC:$AC,Sheet1!S71_ItemType,$AD:$AD)</f>
        <v>2421285</v>
      </c>
      <c r="J137" s="712">
        <f>SUMIFS(Sheet1!S71_OY1BudgetAmount,Sheet1!S71_A2SubCode,$AC:$AC,Sheet1!S71_ItemType,$AD:$AD)</f>
        <v>2554496</v>
      </c>
      <c r="K137" s="713">
        <f>SUMIFS(Sheet1!S71_OY2BudgetAmount,Sheet1!S71_A2SubCode,$AC:$AC,Sheet1!S71_ItemType,$AD:$AD)</f>
        <v>2657736</v>
      </c>
      <c r="L137" s="322"/>
      <c r="Q137" s="196"/>
      <c r="AC137" s="2310">
        <v>1207</v>
      </c>
      <c r="AD137" s="2310" t="s">
        <v>2754</v>
      </c>
    </row>
    <row r="138" spans="1:30" ht="11.25" customHeight="1" x14ac:dyDescent="0.25">
      <c r="A138" s="2235" t="str">
        <f t="shared" si="21"/>
        <v>Legal Services</v>
      </c>
      <c r="B138" s="146"/>
      <c r="C138" s="712">
        <f>SUMIFS(Sheet1!S71_PPPYearAmount,Sheet1!S71_A2SubCode,$AC:$AC,Sheet1!S71_ItemType,$AD:$AD)</f>
        <v>792169</v>
      </c>
      <c r="D138" s="712">
        <f>SUMIFS(Sheet1!S71_PPYearAmount,Sheet1!S71_A2SubCode,$AC:$AC,Sheet1!S71_ItemType,$AD:$AD)</f>
        <v>69507</v>
      </c>
      <c r="E138" s="712">
        <f>SUMIFS(Sheet1!S71_PYearAmount,Sheet1!S71_A2SubCode,$AC:$AC,Sheet1!S71_ItemType,$AD:$AD)</f>
        <v>333462</v>
      </c>
      <c r="F138" s="725">
        <f>SUMIFS(Sheet1!S71_OriginalBudAmnt,Sheet1!S71_A2SubCode,$AC:$AC,Sheet1!S71_ItemType,$AD:$AD)</f>
        <v>500000</v>
      </c>
      <c r="G138" s="712">
        <f>SUMIFS(Sheet1!S71_AdjustmentBudAmnt,Sheet1!S71_A2SubCode,$AC:$AC,Sheet1!S71_ItemType,$AD:$AD)</f>
        <v>500000</v>
      </c>
      <c r="H138" s="713">
        <f>SUMIFS(Sheet1!S71_AdjustmentBudAmnt,Sheet1!S71_A2SubCode,$AC:$AC,Sheet1!S71_ItemType,$AD:$AD)</f>
        <v>500000</v>
      </c>
      <c r="I138" s="725">
        <f>SUMIFS(Sheet1!S71_ASBudgetAmount,Sheet1!S71_A2SubCode,$AC:$AC,Sheet1!S71_ItemType,$AD:$AD)</f>
        <v>519500</v>
      </c>
      <c r="J138" s="712">
        <f>SUMIFS(Sheet1!S71_OY1BudgetAmount,Sheet1!S71_A2SubCode,$AC:$AC,Sheet1!S71_ItemType,$AD:$AD)</f>
        <v>540280</v>
      </c>
      <c r="K138" s="713">
        <f>SUMIFS(Sheet1!S71_OY2BudgetAmount,Sheet1!S71_A2SubCode,$AC:$AC,Sheet1!S71_ItemType,$AD:$AD)</f>
        <v>561891</v>
      </c>
      <c r="L138" s="322"/>
      <c r="Q138" s="196"/>
      <c r="AC138" s="2310">
        <v>1208</v>
      </c>
      <c r="AD138" s="2310" t="s">
        <v>2754</v>
      </c>
    </row>
    <row r="139" spans="1:30" ht="11.25" customHeight="1" x14ac:dyDescent="0.25">
      <c r="A139" s="2235" t="str">
        <f t="shared" si="21"/>
        <v>Marketing, Customer Relations, Publicity and Media Co-ordination</v>
      </c>
      <c r="B139" s="146"/>
      <c r="C139" s="712">
        <f>SUMIFS(Sheet1!S71_PPPYearAmount,Sheet1!S71_A2SubCode,$AC:$AC,Sheet1!S71_ItemType,$AD:$AD)</f>
        <v>646223</v>
      </c>
      <c r="D139" s="712">
        <f>SUMIFS(Sheet1!S71_PPYearAmount,Sheet1!S71_A2SubCode,$AC:$AC,Sheet1!S71_ItemType,$AD:$AD)</f>
        <v>0</v>
      </c>
      <c r="E139" s="712">
        <f>SUMIFS(Sheet1!S71_PYearAmount,Sheet1!S71_A2SubCode,$AC:$AC,Sheet1!S71_ItemType,$AD:$AD)</f>
        <v>0</v>
      </c>
      <c r="F139" s="725">
        <f>SUMIFS(Sheet1!S71_OriginalBudAmnt,Sheet1!S71_A2SubCode,$AC:$AC,Sheet1!S71_ItemType,$AD:$AD)</f>
        <v>0</v>
      </c>
      <c r="G139" s="712">
        <f>SUMIFS(Sheet1!S71_AdjustmentBudAmnt,Sheet1!S71_A2SubCode,$AC:$AC,Sheet1!S71_ItemType,$AD:$AD)</f>
        <v>0</v>
      </c>
      <c r="H139" s="713">
        <f>SUMIFS(Sheet1!S71_AdjustmentBudAmnt,Sheet1!S71_A2SubCode,$AC:$AC,Sheet1!S71_ItemType,$AD:$AD)</f>
        <v>0</v>
      </c>
      <c r="I139" s="725">
        <f>SUMIFS(Sheet1!S71_ASBudgetAmount,Sheet1!S71_A2SubCode,$AC:$AC,Sheet1!S71_ItemType,$AD:$AD)</f>
        <v>0</v>
      </c>
      <c r="J139" s="712">
        <f>SUMIFS(Sheet1!S71_OY1BudgetAmount,Sheet1!S71_A2SubCode,$AC:$AC,Sheet1!S71_ItemType,$AD:$AD)</f>
        <v>0</v>
      </c>
      <c r="K139" s="713">
        <f>SUMIFS(Sheet1!S71_OY2BudgetAmount,Sheet1!S71_A2SubCode,$AC:$AC,Sheet1!S71_ItemType,$AD:$AD)</f>
        <v>0</v>
      </c>
      <c r="L139" s="322"/>
      <c r="Q139" s="196"/>
      <c r="AC139" s="2310">
        <v>1209</v>
      </c>
      <c r="AD139" s="2310" t="s">
        <v>2754</v>
      </c>
    </row>
    <row r="140" spans="1:30" ht="11.25" customHeight="1" x14ac:dyDescent="0.25">
      <c r="A140" s="2235" t="str">
        <f t="shared" si="21"/>
        <v>Property Services</v>
      </c>
      <c r="B140" s="146"/>
      <c r="C140" s="712">
        <f>SUMIFS(Sheet1!S71_PPPYearAmount,Sheet1!S71_A2SubCode,$AC:$AC,Sheet1!S71_ItemType,$AD:$AD)</f>
        <v>1398647</v>
      </c>
      <c r="D140" s="712">
        <f>SUMIFS(Sheet1!S71_PPYearAmount,Sheet1!S71_A2SubCode,$AC:$AC,Sheet1!S71_ItemType,$AD:$AD)</f>
        <v>2255310</v>
      </c>
      <c r="E140" s="712">
        <f>SUMIFS(Sheet1!S71_PYearAmount,Sheet1!S71_A2SubCode,$AC:$AC,Sheet1!S71_ItemType,$AD:$AD)</f>
        <v>2250153</v>
      </c>
      <c r="F140" s="725">
        <f>SUMIFS(Sheet1!S71_OriginalBudAmnt,Sheet1!S71_A2SubCode,$AC:$AC,Sheet1!S71_ItemType,$AD:$AD)</f>
        <v>2635650</v>
      </c>
      <c r="G140" s="712">
        <f>SUMIFS(Sheet1!S71_AdjustmentBudAmnt,Sheet1!S71_A2SubCode,$AC:$AC,Sheet1!S71_ItemType,$AD:$AD)</f>
        <v>2635650</v>
      </c>
      <c r="H140" s="713">
        <f>SUMIFS(Sheet1!S71_AdjustmentBudAmnt,Sheet1!S71_A2SubCode,$AC:$AC,Sheet1!S71_ItemType,$AD:$AD)</f>
        <v>2635650</v>
      </c>
      <c r="I140" s="725">
        <f>SUMIFS(Sheet1!S71_ASBudgetAmount,Sheet1!S71_A2SubCode,$AC:$AC,Sheet1!S71_ItemType,$AD:$AD)</f>
        <v>2738440</v>
      </c>
      <c r="J140" s="712">
        <f>SUMIFS(Sheet1!S71_OY1BudgetAmount,Sheet1!S71_A2SubCode,$AC:$AC,Sheet1!S71_ItemType,$AD:$AD)</f>
        <v>2847978</v>
      </c>
      <c r="K140" s="713">
        <f>SUMIFS(Sheet1!S71_OY2BudgetAmount,Sheet1!S71_A2SubCode,$AC:$AC,Sheet1!S71_ItemType,$AD:$AD)</f>
        <v>2961897</v>
      </c>
      <c r="L140" s="322"/>
      <c r="Q140" s="196"/>
      <c r="AC140" s="2310">
        <v>1210</v>
      </c>
      <c r="AD140" s="2310" t="s">
        <v>2754</v>
      </c>
    </row>
    <row r="141" spans="1:30" ht="11.25" customHeight="1" x14ac:dyDescent="0.25">
      <c r="A141" s="2235" t="str">
        <f t="shared" si="21"/>
        <v>Risk Management</v>
      </c>
      <c r="B141" s="146"/>
      <c r="C141" s="712">
        <f>SUMIFS(Sheet1!S71_PPPYearAmount,Sheet1!S71_A2SubCode,$AC:$AC,Sheet1!S71_ItemType,$AD:$AD)</f>
        <v>0</v>
      </c>
      <c r="D141" s="712">
        <f>SUMIFS(Sheet1!S71_PPYearAmount,Sheet1!S71_A2SubCode,$AC:$AC,Sheet1!S71_ItemType,$AD:$AD)</f>
        <v>0</v>
      </c>
      <c r="E141" s="712">
        <f>SUMIFS(Sheet1!S71_PYearAmount,Sheet1!S71_A2SubCode,$AC:$AC,Sheet1!S71_ItemType,$AD:$AD)</f>
        <v>0</v>
      </c>
      <c r="F141" s="725">
        <f>SUMIFS(Sheet1!S71_OriginalBudAmnt,Sheet1!S71_A2SubCode,$AC:$AC,Sheet1!S71_ItemType,$AD:$AD)</f>
        <v>0</v>
      </c>
      <c r="G141" s="712">
        <f>SUMIFS(Sheet1!S71_AdjustmentBudAmnt,Sheet1!S71_A2SubCode,$AC:$AC,Sheet1!S71_ItemType,$AD:$AD)</f>
        <v>0</v>
      </c>
      <c r="H141" s="713">
        <f>SUMIFS(Sheet1!S71_AdjustmentBudAmnt,Sheet1!S71_A2SubCode,$AC:$AC,Sheet1!S71_ItemType,$AD:$AD)</f>
        <v>0</v>
      </c>
      <c r="I141" s="725">
        <f>SUMIFS(Sheet1!S71_ASBudgetAmount,Sheet1!S71_A2SubCode,$AC:$AC,Sheet1!S71_ItemType,$AD:$AD)</f>
        <v>0</v>
      </c>
      <c r="J141" s="712">
        <f>SUMIFS(Sheet1!S71_OY1BudgetAmount,Sheet1!S71_A2SubCode,$AC:$AC,Sheet1!S71_ItemType,$AD:$AD)</f>
        <v>0</v>
      </c>
      <c r="K141" s="713">
        <f>SUMIFS(Sheet1!S71_OY2BudgetAmount,Sheet1!S71_A2SubCode,$AC:$AC,Sheet1!S71_ItemType,$AD:$AD)</f>
        <v>0</v>
      </c>
      <c r="L141" s="322"/>
      <c r="Q141" s="196"/>
      <c r="AC141" s="2310">
        <v>1211</v>
      </c>
      <c r="AD141" s="2310" t="s">
        <v>2754</v>
      </c>
    </row>
    <row r="142" spans="1:30" ht="11.25" customHeight="1" x14ac:dyDescent="0.25">
      <c r="A142" s="2235" t="str">
        <f t="shared" si="21"/>
        <v>Security Services</v>
      </c>
      <c r="B142" s="146"/>
      <c r="C142" s="712">
        <f>SUMIFS(Sheet1!S71_PPPYearAmount,Sheet1!S71_A2SubCode,$AC:$AC,Sheet1!S71_ItemType,$AD:$AD)</f>
        <v>0</v>
      </c>
      <c r="D142" s="712">
        <f>SUMIFS(Sheet1!S71_PPYearAmount,Sheet1!S71_A2SubCode,$AC:$AC,Sheet1!S71_ItemType,$AD:$AD)</f>
        <v>0</v>
      </c>
      <c r="E142" s="712">
        <f>SUMIFS(Sheet1!S71_PYearAmount,Sheet1!S71_A2SubCode,$AC:$AC,Sheet1!S71_ItemType,$AD:$AD)</f>
        <v>0</v>
      </c>
      <c r="F142" s="725">
        <f>SUMIFS(Sheet1!S71_OriginalBudAmnt,Sheet1!S71_A2SubCode,$AC:$AC,Sheet1!S71_ItemType,$AD:$AD)</f>
        <v>0</v>
      </c>
      <c r="G142" s="712">
        <f>SUMIFS(Sheet1!S71_AdjustmentBudAmnt,Sheet1!S71_A2SubCode,$AC:$AC,Sheet1!S71_ItemType,$AD:$AD)</f>
        <v>0</v>
      </c>
      <c r="H142" s="713">
        <f>SUMIFS(Sheet1!S71_AdjustmentBudAmnt,Sheet1!S71_A2SubCode,$AC:$AC,Sheet1!S71_ItemType,$AD:$AD)</f>
        <v>0</v>
      </c>
      <c r="I142" s="725">
        <f>SUMIFS(Sheet1!S71_ASBudgetAmount,Sheet1!S71_A2SubCode,$AC:$AC,Sheet1!S71_ItemType,$AD:$AD)</f>
        <v>0</v>
      </c>
      <c r="J142" s="712">
        <f>SUMIFS(Sheet1!S71_OY1BudgetAmount,Sheet1!S71_A2SubCode,$AC:$AC,Sheet1!S71_ItemType,$AD:$AD)</f>
        <v>0</v>
      </c>
      <c r="K142" s="713">
        <f>SUMIFS(Sheet1!S71_OY2BudgetAmount,Sheet1!S71_A2SubCode,$AC:$AC,Sheet1!S71_ItemType,$AD:$AD)</f>
        <v>0</v>
      </c>
      <c r="L142" s="322"/>
      <c r="Q142" s="196"/>
      <c r="AC142" s="2310">
        <v>1212</v>
      </c>
      <c r="AD142" s="2310" t="s">
        <v>2754</v>
      </c>
    </row>
    <row r="143" spans="1:30" ht="11.25" customHeight="1" x14ac:dyDescent="0.25">
      <c r="A143" s="2235" t="str">
        <f t="shared" si="21"/>
        <v xml:space="preserve">Supply Chain Management </v>
      </c>
      <c r="B143" s="146"/>
      <c r="C143" s="712">
        <f>SUMIFS(Sheet1!S71_PPPYearAmount,Sheet1!S71_A2SubCode,$AC:$AC,Sheet1!S71_ItemType,$AD:$AD)</f>
        <v>17550</v>
      </c>
      <c r="D143" s="712">
        <f>SUMIFS(Sheet1!S71_PPYearAmount,Sheet1!S71_A2SubCode,$AC:$AC,Sheet1!S71_ItemType,$AD:$AD)</f>
        <v>2465</v>
      </c>
      <c r="E143" s="712">
        <f>SUMIFS(Sheet1!S71_PYearAmount,Sheet1!S71_A2SubCode,$AC:$AC,Sheet1!S71_ItemType,$AD:$AD)</f>
        <v>70542</v>
      </c>
      <c r="F143" s="725">
        <f>SUMIFS(Sheet1!S71_OriginalBudAmnt,Sheet1!S71_A2SubCode,$AC:$AC,Sheet1!S71_ItemType,$AD:$AD)</f>
        <v>650000</v>
      </c>
      <c r="G143" s="712">
        <f>SUMIFS(Sheet1!S71_AdjustmentBudAmnt,Sheet1!S71_A2SubCode,$AC:$AC,Sheet1!S71_ItemType,$AD:$AD)</f>
        <v>150000</v>
      </c>
      <c r="H143" s="713">
        <f>SUMIFS(Sheet1!S71_AdjustmentBudAmnt,Sheet1!S71_A2SubCode,$AC:$AC,Sheet1!S71_ItemType,$AD:$AD)</f>
        <v>150000</v>
      </c>
      <c r="I143" s="725">
        <f>SUMIFS(Sheet1!S71_ASBudgetAmount,Sheet1!S71_A2SubCode,$AC:$AC,Sheet1!S71_ItemType,$AD:$AD)</f>
        <v>250000</v>
      </c>
      <c r="J143" s="712">
        <f>SUMIFS(Sheet1!S71_OY1BudgetAmount,Sheet1!S71_A2SubCode,$AC:$AC,Sheet1!S71_ItemType,$AD:$AD)</f>
        <v>275000</v>
      </c>
      <c r="K143" s="713">
        <f>SUMIFS(Sheet1!S71_OY2BudgetAmount,Sheet1!S71_A2SubCode,$AC:$AC,Sheet1!S71_ItemType,$AD:$AD)</f>
        <v>302500</v>
      </c>
      <c r="L143" s="322"/>
      <c r="Q143" s="196"/>
      <c r="AC143" s="2310">
        <v>1213</v>
      </c>
      <c r="AD143" s="2310" t="s">
        <v>2754</v>
      </c>
    </row>
    <row r="144" spans="1:30" ht="11.25" customHeight="1" x14ac:dyDescent="0.25">
      <c r="A144" s="2235" t="str">
        <f t="shared" si="21"/>
        <v>Valuation Service</v>
      </c>
      <c r="B144" s="146"/>
      <c r="C144" s="712">
        <f>SUMIFS(Sheet1!S71_PPPYearAmount,Sheet1!S71_A2SubCode,$AC:$AC,Sheet1!S71_ItemType,$AD:$AD)</f>
        <v>0</v>
      </c>
      <c r="D144" s="712">
        <f>SUMIFS(Sheet1!S71_PPYearAmount,Sheet1!S71_A2SubCode,$AC:$AC,Sheet1!S71_ItemType,$AD:$AD)</f>
        <v>0</v>
      </c>
      <c r="E144" s="712">
        <f>SUMIFS(Sheet1!S71_PYearAmount,Sheet1!S71_A2SubCode,$AC:$AC,Sheet1!S71_ItemType,$AD:$AD)</f>
        <v>272</v>
      </c>
      <c r="F144" s="725">
        <f>SUMIFS(Sheet1!S71_OriginalBudAmnt,Sheet1!S71_A2SubCode,$AC:$AC,Sheet1!S71_ItemType,$AD:$AD)</f>
        <v>0</v>
      </c>
      <c r="G144" s="712">
        <f>SUMIFS(Sheet1!S71_AdjustmentBudAmnt,Sheet1!S71_A2SubCode,$AC:$AC,Sheet1!S71_ItemType,$AD:$AD)</f>
        <v>0</v>
      </c>
      <c r="H144" s="713">
        <f>SUMIFS(Sheet1!S71_AdjustmentBudAmnt,Sheet1!S71_A2SubCode,$AC:$AC,Sheet1!S71_ItemType,$AD:$AD)</f>
        <v>0</v>
      </c>
      <c r="I144" s="725">
        <f>SUMIFS(Sheet1!S71_ASBudgetAmount,Sheet1!S71_A2SubCode,$AC:$AC,Sheet1!S71_ItemType,$AD:$AD)</f>
        <v>0</v>
      </c>
      <c r="J144" s="712">
        <f>SUMIFS(Sheet1!S71_OY1BudgetAmount,Sheet1!S71_A2SubCode,$AC:$AC,Sheet1!S71_ItemType,$AD:$AD)</f>
        <v>0</v>
      </c>
      <c r="K144" s="713">
        <f>SUMIFS(Sheet1!S71_OY2BudgetAmount,Sheet1!S71_A2SubCode,$AC:$AC,Sheet1!S71_ItemType,$AD:$AD)</f>
        <v>0</v>
      </c>
      <c r="L144" s="322"/>
      <c r="Q144" s="196"/>
      <c r="AC144" s="2310">
        <v>1214</v>
      </c>
      <c r="AD144" s="2310" t="s">
        <v>2754</v>
      </c>
    </row>
    <row r="145" spans="1:30" ht="11.25" customHeight="1" x14ac:dyDescent="0.25">
      <c r="A145" s="241" t="str">
        <f t="shared" si="21"/>
        <v>Internal audit</v>
      </c>
      <c r="B145" s="146"/>
      <c r="C145" s="82">
        <f t="shared" ref="C145:K145" si="25">SUM(C146:C146)</f>
        <v>0</v>
      </c>
      <c r="D145" s="82">
        <f t="shared" si="25"/>
        <v>0</v>
      </c>
      <c r="E145" s="115">
        <f t="shared" si="25"/>
        <v>0</v>
      </c>
      <c r="F145" s="83">
        <f t="shared" si="25"/>
        <v>0</v>
      </c>
      <c r="G145" s="82">
        <f t="shared" si="25"/>
        <v>0</v>
      </c>
      <c r="H145" s="115">
        <f t="shared" si="25"/>
        <v>0</v>
      </c>
      <c r="I145" s="83">
        <f t="shared" si="25"/>
        <v>0</v>
      </c>
      <c r="J145" s="82">
        <f t="shared" si="25"/>
        <v>0</v>
      </c>
      <c r="K145" s="115">
        <f t="shared" si="25"/>
        <v>0</v>
      </c>
      <c r="L145" s="322"/>
      <c r="Q145" s="196"/>
      <c r="AC145" s="2309"/>
      <c r="AD145" s="2310" t="s">
        <v>1692</v>
      </c>
    </row>
    <row r="146" spans="1:30" ht="11.25" customHeight="1" x14ac:dyDescent="0.25">
      <c r="A146" s="2235" t="str">
        <f t="shared" si="21"/>
        <v>Governance Function</v>
      </c>
      <c r="B146" s="146"/>
      <c r="C146" s="712">
        <f>SUMIFS(Sheet1!S71_PPPYearAmount,Sheet1!S71_A2SubCode,$AC:$AC,Sheet1!S71_ItemType,$AD:$AD)</f>
        <v>0</v>
      </c>
      <c r="D146" s="712">
        <f>SUMIFS(Sheet1!S71_PPYearAmount,Sheet1!S71_A2SubCode,$AC:$AC,Sheet1!S71_ItemType,$AD:$AD)</f>
        <v>0</v>
      </c>
      <c r="E146" s="712">
        <f>SUMIFS(Sheet1!S71_PYearAmount,Sheet1!S71_A2SubCode,$AC:$AC,Sheet1!S71_ItemType,$AD:$AD)</f>
        <v>0</v>
      </c>
      <c r="F146" s="725">
        <f>SUMIFS(Sheet1!S71_OriginalBudAmnt,Sheet1!S71_A2SubCode,$AC:$AC,Sheet1!S71_ItemType,$AD:$AD)</f>
        <v>0</v>
      </c>
      <c r="G146" s="712">
        <f>SUMIFS(Sheet1!S71_AdjustmentBudAmnt,Sheet1!S71_A2SubCode,$AC:$AC,Sheet1!S71_ItemType,$AD:$AD)</f>
        <v>0</v>
      </c>
      <c r="H146" s="713">
        <f>SUMIFS(Sheet1!S71_AdjustmentBudAmnt,Sheet1!S71_A2SubCode,$AC:$AC,Sheet1!S71_ItemType,$AD:$AD)</f>
        <v>0</v>
      </c>
      <c r="I146" s="725">
        <f>SUMIFS(Sheet1!S71_ASBudgetAmount,Sheet1!S71_A2SubCode,$AC:$AC,Sheet1!S71_ItemType,$AD:$AD)</f>
        <v>0</v>
      </c>
      <c r="J146" s="712">
        <f>SUMIFS(Sheet1!S71_OY1BudgetAmount,Sheet1!S71_A2SubCode,$AC:$AC,Sheet1!S71_ItemType,$AD:$AD)</f>
        <v>0</v>
      </c>
      <c r="K146" s="713">
        <f>SUMIFS(Sheet1!S71_OY2BudgetAmount,Sheet1!S71_A2SubCode,$AC:$AC,Sheet1!S71_ItemType,$AD:$AD)</f>
        <v>0</v>
      </c>
      <c r="L146" s="322"/>
      <c r="Q146" s="196"/>
      <c r="AC146" s="2310">
        <v>1301</v>
      </c>
      <c r="AD146" s="2310" t="s">
        <v>2754</v>
      </c>
    </row>
    <row r="147" spans="1:30" ht="11.25" customHeight="1" x14ac:dyDescent="0.25">
      <c r="A147" s="225" t="str">
        <f t="shared" si="21"/>
        <v>Community and public safety</v>
      </c>
      <c r="B147" s="146"/>
      <c r="C147" s="243">
        <f t="shared" ref="C147:K147" si="26">C148+C170+C176+C185+C188</f>
        <v>12437521</v>
      </c>
      <c r="D147" s="243">
        <f t="shared" si="26"/>
        <v>15101035</v>
      </c>
      <c r="E147" s="358">
        <f t="shared" si="26"/>
        <v>18243367</v>
      </c>
      <c r="F147" s="244">
        <f t="shared" si="26"/>
        <v>24955232</v>
      </c>
      <c r="G147" s="243">
        <f t="shared" si="26"/>
        <v>26576228</v>
      </c>
      <c r="H147" s="358">
        <f t="shared" si="26"/>
        <v>26576228</v>
      </c>
      <c r="I147" s="244">
        <f t="shared" si="26"/>
        <v>30946887</v>
      </c>
      <c r="J147" s="243">
        <f t="shared" si="26"/>
        <v>29142365</v>
      </c>
      <c r="K147" s="358">
        <f t="shared" si="26"/>
        <v>30845633</v>
      </c>
      <c r="L147" s="322"/>
      <c r="Q147" s="196"/>
      <c r="AC147" s="2309"/>
      <c r="AD147" s="2310" t="s">
        <v>1692</v>
      </c>
    </row>
    <row r="148" spans="1:30" ht="11.25" customHeight="1" x14ac:dyDescent="0.25">
      <c r="A148" s="241" t="str">
        <f t="shared" si="21"/>
        <v>Community and social services</v>
      </c>
      <c r="B148" s="146"/>
      <c r="C148" s="106">
        <f>SUM(C149:C169)</f>
        <v>11191043</v>
      </c>
      <c r="D148" s="106">
        <f t="shared" ref="D148:K148" si="27">SUM(D149:D169)</f>
        <v>12311420</v>
      </c>
      <c r="E148" s="359">
        <f t="shared" si="27"/>
        <v>14039866</v>
      </c>
      <c r="F148" s="107">
        <f t="shared" si="27"/>
        <v>21370232</v>
      </c>
      <c r="G148" s="106">
        <f t="shared" si="27"/>
        <v>24028843</v>
      </c>
      <c r="H148" s="359">
        <f t="shared" si="27"/>
        <v>24028843</v>
      </c>
      <c r="I148" s="107">
        <f t="shared" si="27"/>
        <v>27136887</v>
      </c>
      <c r="J148" s="106">
        <f t="shared" si="27"/>
        <v>25550498</v>
      </c>
      <c r="K148" s="359">
        <f t="shared" si="27"/>
        <v>27061093</v>
      </c>
      <c r="L148" s="322"/>
      <c r="Q148" s="196"/>
      <c r="AC148" s="2309"/>
      <c r="AD148" s="2310" t="s">
        <v>1692</v>
      </c>
    </row>
    <row r="149" spans="1:30" ht="11.25" customHeight="1" x14ac:dyDescent="0.25">
      <c r="A149" s="2235" t="str">
        <f t="shared" si="21"/>
        <v>Aged Care</v>
      </c>
      <c r="B149" s="146"/>
      <c r="C149" s="712">
        <f>SUMIFS(Sheet1!S71_PPPYearAmount,Sheet1!S71_A2SubCode,$AC:$AC,Sheet1!S71_ItemType,$AD:$AD)</f>
        <v>32950</v>
      </c>
      <c r="D149" s="712">
        <f>SUMIFS(Sheet1!S71_PPYearAmount,Sheet1!S71_A2SubCode,$AC:$AC,Sheet1!S71_ItemType,$AD:$AD)</f>
        <v>285350</v>
      </c>
      <c r="E149" s="712">
        <f>SUMIFS(Sheet1!S71_PYearAmount,Sheet1!S71_A2SubCode,$AC:$AC,Sheet1!S71_ItemType,$AD:$AD)</f>
        <v>237085</v>
      </c>
      <c r="F149" s="725">
        <f>SUMIFS(Sheet1!S71_OriginalBudAmnt,Sheet1!S71_A2SubCode,$AC:$AC,Sheet1!S71_ItemType,$AD:$AD)</f>
        <v>490000</v>
      </c>
      <c r="G149" s="712">
        <f>SUMIFS(Sheet1!S71_AdjustmentBudAmnt,Sheet1!S71_A2SubCode,$AC:$AC,Sheet1!S71_ItemType,$AD:$AD)</f>
        <v>410572</v>
      </c>
      <c r="H149" s="713">
        <f>SUMIFS(Sheet1!S71_AdjustmentBudAmnt,Sheet1!S71_A2SubCode,$AC:$AC,Sheet1!S71_ItemType,$AD:$AD)</f>
        <v>410572</v>
      </c>
      <c r="I149" s="725">
        <f>SUMIFS(Sheet1!S71_ASBudgetAmount,Sheet1!S71_A2SubCode,$AC:$AC,Sheet1!S71_ItemType,$AD:$AD)</f>
        <v>840000</v>
      </c>
      <c r="J149" s="712">
        <f>SUMIFS(Sheet1!S71_OY1BudgetAmount,Sheet1!S71_A2SubCode,$AC:$AC,Sheet1!S71_ItemType,$AD:$AD)</f>
        <v>873600</v>
      </c>
      <c r="K149" s="713">
        <f>SUMIFS(Sheet1!S71_OY2BudgetAmount,Sheet1!S71_A2SubCode,$AC:$AC,Sheet1!S71_ItemType,$AD:$AD)</f>
        <v>914016</v>
      </c>
      <c r="L149" s="322"/>
      <c r="Q149" s="196"/>
      <c r="AC149" s="2310">
        <v>2101</v>
      </c>
      <c r="AD149" s="2310" t="s">
        <v>2754</v>
      </c>
    </row>
    <row r="150" spans="1:30" ht="11.25" customHeight="1" x14ac:dyDescent="0.25">
      <c r="A150" s="2235" t="str">
        <f t="shared" si="21"/>
        <v>Agricultural</v>
      </c>
      <c r="B150" s="146"/>
      <c r="C150" s="712">
        <f>SUMIFS(Sheet1!S71_PPPYearAmount,Sheet1!S71_A2SubCode,$AC:$AC,Sheet1!S71_ItemType,$AD:$AD)</f>
        <v>0</v>
      </c>
      <c r="D150" s="712">
        <f>SUMIFS(Sheet1!S71_PPYearAmount,Sheet1!S71_A2SubCode,$AC:$AC,Sheet1!S71_ItemType,$AD:$AD)</f>
        <v>56442</v>
      </c>
      <c r="E150" s="712">
        <f>SUMIFS(Sheet1!S71_PYearAmount,Sheet1!S71_A2SubCode,$AC:$AC,Sheet1!S71_ItemType,$AD:$AD)</f>
        <v>179642</v>
      </c>
      <c r="F150" s="725">
        <f>SUMIFS(Sheet1!S71_OriginalBudAmnt,Sheet1!S71_A2SubCode,$AC:$AC,Sheet1!S71_ItemType,$AD:$AD)</f>
        <v>150000</v>
      </c>
      <c r="G150" s="712">
        <f>SUMIFS(Sheet1!S71_AdjustmentBudAmnt,Sheet1!S71_A2SubCode,$AC:$AC,Sheet1!S71_ItemType,$AD:$AD)</f>
        <v>150000</v>
      </c>
      <c r="H150" s="713">
        <f>SUMIFS(Sheet1!S71_AdjustmentBudAmnt,Sheet1!S71_A2SubCode,$AC:$AC,Sheet1!S71_ItemType,$AD:$AD)</f>
        <v>150000</v>
      </c>
      <c r="I150" s="725">
        <f>SUMIFS(Sheet1!S71_ASBudgetAmount,Sheet1!S71_A2SubCode,$AC:$AC,Sheet1!S71_ItemType,$AD:$AD)</f>
        <v>300000</v>
      </c>
      <c r="J150" s="712">
        <f>SUMIFS(Sheet1!S71_OY1BudgetAmount,Sheet1!S71_A2SubCode,$AC:$AC,Sheet1!S71_ItemType,$AD:$AD)</f>
        <v>312000</v>
      </c>
      <c r="K150" s="713">
        <f>SUMIFS(Sheet1!S71_OY2BudgetAmount,Sheet1!S71_A2SubCode,$AC:$AC,Sheet1!S71_ItemType,$AD:$AD)</f>
        <v>324480</v>
      </c>
      <c r="L150" s="322"/>
      <c r="Q150" s="196"/>
      <c r="AC150" s="2310">
        <v>2102</v>
      </c>
      <c r="AD150" s="2310" t="s">
        <v>2754</v>
      </c>
    </row>
    <row r="151" spans="1:30" ht="11.25" customHeight="1" x14ac:dyDescent="0.25">
      <c r="A151" s="2235" t="str">
        <f t="shared" si="21"/>
        <v>Animal Care and Diseases</v>
      </c>
      <c r="B151" s="146"/>
      <c r="C151" s="712">
        <f>SUMIFS(Sheet1!S71_PPPYearAmount,Sheet1!S71_A2SubCode,$AC:$AC,Sheet1!S71_ItemType,$AD:$AD)</f>
        <v>0</v>
      </c>
      <c r="D151" s="712">
        <f>SUMIFS(Sheet1!S71_PPYearAmount,Sheet1!S71_A2SubCode,$AC:$AC,Sheet1!S71_ItemType,$AD:$AD)</f>
        <v>0</v>
      </c>
      <c r="E151" s="712">
        <f>SUMIFS(Sheet1!S71_PYearAmount,Sheet1!S71_A2SubCode,$AC:$AC,Sheet1!S71_ItemType,$AD:$AD)</f>
        <v>0</v>
      </c>
      <c r="F151" s="725">
        <f>SUMIFS(Sheet1!S71_OriginalBudAmnt,Sheet1!S71_A2SubCode,$AC:$AC,Sheet1!S71_ItemType,$AD:$AD)</f>
        <v>0</v>
      </c>
      <c r="G151" s="712">
        <f>SUMIFS(Sheet1!S71_AdjustmentBudAmnt,Sheet1!S71_A2SubCode,$AC:$AC,Sheet1!S71_ItemType,$AD:$AD)</f>
        <v>0</v>
      </c>
      <c r="H151" s="713">
        <f>SUMIFS(Sheet1!S71_AdjustmentBudAmnt,Sheet1!S71_A2SubCode,$AC:$AC,Sheet1!S71_ItemType,$AD:$AD)</f>
        <v>0</v>
      </c>
      <c r="I151" s="725">
        <f>SUMIFS(Sheet1!S71_ASBudgetAmount,Sheet1!S71_A2SubCode,$AC:$AC,Sheet1!S71_ItemType,$AD:$AD)</f>
        <v>0</v>
      </c>
      <c r="J151" s="712">
        <f>SUMIFS(Sheet1!S71_OY1BudgetAmount,Sheet1!S71_A2SubCode,$AC:$AC,Sheet1!S71_ItemType,$AD:$AD)</f>
        <v>0</v>
      </c>
      <c r="K151" s="713">
        <f>SUMIFS(Sheet1!S71_OY2BudgetAmount,Sheet1!S71_A2SubCode,$AC:$AC,Sheet1!S71_ItemType,$AD:$AD)</f>
        <v>0</v>
      </c>
      <c r="L151" s="322"/>
      <c r="Q151" s="196"/>
      <c r="AC151" s="2310">
        <v>2103</v>
      </c>
      <c r="AD151" s="2310" t="s">
        <v>2754</v>
      </c>
    </row>
    <row r="152" spans="1:30" ht="11.25" customHeight="1" x14ac:dyDescent="0.25">
      <c r="A152" s="2235" t="str">
        <f t="shared" si="21"/>
        <v>Cemeteries, Funeral Parlours and Crematoriums</v>
      </c>
      <c r="B152" s="146"/>
      <c r="C152" s="712">
        <f>SUMIFS(Sheet1!S71_PPPYearAmount,Sheet1!S71_A2SubCode,$AC:$AC,Sheet1!S71_ItemType,$AD:$AD)</f>
        <v>0</v>
      </c>
      <c r="D152" s="712">
        <f>SUMIFS(Sheet1!S71_PPYearAmount,Sheet1!S71_A2SubCode,$AC:$AC,Sheet1!S71_ItemType,$AD:$AD)</f>
        <v>0</v>
      </c>
      <c r="E152" s="712">
        <f>SUMIFS(Sheet1!S71_PYearAmount,Sheet1!S71_A2SubCode,$AC:$AC,Sheet1!S71_ItemType,$AD:$AD)</f>
        <v>0</v>
      </c>
      <c r="F152" s="725">
        <f>SUMIFS(Sheet1!S71_OriginalBudAmnt,Sheet1!S71_A2SubCode,$AC:$AC,Sheet1!S71_ItemType,$AD:$AD)</f>
        <v>0</v>
      </c>
      <c r="G152" s="712">
        <f>SUMIFS(Sheet1!S71_AdjustmentBudAmnt,Sheet1!S71_A2SubCode,$AC:$AC,Sheet1!S71_ItemType,$AD:$AD)</f>
        <v>0</v>
      </c>
      <c r="H152" s="713">
        <f>SUMIFS(Sheet1!S71_AdjustmentBudAmnt,Sheet1!S71_A2SubCode,$AC:$AC,Sheet1!S71_ItemType,$AD:$AD)</f>
        <v>0</v>
      </c>
      <c r="I152" s="725">
        <f>SUMIFS(Sheet1!S71_ASBudgetAmount,Sheet1!S71_A2SubCode,$AC:$AC,Sheet1!S71_ItemType,$AD:$AD)</f>
        <v>0</v>
      </c>
      <c r="J152" s="712">
        <f>SUMIFS(Sheet1!S71_OY1BudgetAmount,Sheet1!S71_A2SubCode,$AC:$AC,Sheet1!S71_ItemType,$AD:$AD)</f>
        <v>0</v>
      </c>
      <c r="K152" s="713">
        <f>SUMIFS(Sheet1!S71_OY2BudgetAmount,Sheet1!S71_A2SubCode,$AC:$AC,Sheet1!S71_ItemType,$AD:$AD)</f>
        <v>0</v>
      </c>
      <c r="L152" s="322"/>
      <c r="Q152" s="196"/>
      <c r="AC152" s="2310">
        <v>2104</v>
      </c>
      <c r="AD152" s="2310" t="s">
        <v>2754</v>
      </c>
    </row>
    <row r="153" spans="1:30" ht="11.25" customHeight="1" x14ac:dyDescent="0.25">
      <c r="A153" s="2235" t="str">
        <f t="shared" si="21"/>
        <v>Child Care Facilities</v>
      </c>
      <c r="B153" s="146"/>
      <c r="C153" s="712">
        <f>SUMIFS(Sheet1!S71_PPPYearAmount,Sheet1!S71_A2SubCode,$AC:$AC,Sheet1!S71_ItemType,$AD:$AD)</f>
        <v>2473707</v>
      </c>
      <c r="D153" s="712">
        <f>SUMIFS(Sheet1!S71_PPYearAmount,Sheet1!S71_A2SubCode,$AC:$AC,Sheet1!S71_ItemType,$AD:$AD)</f>
        <v>1448799</v>
      </c>
      <c r="E153" s="712">
        <f>SUMIFS(Sheet1!S71_PYearAmount,Sheet1!S71_A2SubCode,$AC:$AC,Sheet1!S71_ItemType,$AD:$AD)</f>
        <v>1008348</v>
      </c>
      <c r="F153" s="725">
        <f>SUMIFS(Sheet1!S71_OriginalBudAmnt,Sheet1!S71_A2SubCode,$AC:$AC,Sheet1!S71_ItemType,$AD:$AD)</f>
        <v>0</v>
      </c>
      <c r="G153" s="712">
        <f>SUMIFS(Sheet1!S71_AdjustmentBudAmnt,Sheet1!S71_A2SubCode,$AC:$AC,Sheet1!S71_ItemType,$AD:$AD)</f>
        <v>0</v>
      </c>
      <c r="H153" s="713">
        <f>SUMIFS(Sheet1!S71_AdjustmentBudAmnt,Sheet1!S71_A2SubCode,$AC:$AC,Sheet1!S71_ItemType,$AD:$AD)</f>
        <v>0</v>
      </c>
      <c r="I153" s="725">
        <f>SUMIFS(Sheet1!S71_ASBudgetAmount,Sheet1!S71_A2SubCode,$AC:$AC,Sheet1!S71_ItemType,$AD:$AD)</f>
        <v>0</v>
      </c>
      <c r="J153" s="712">
        <f>SUMIFS(Sheet1!S71_OY1BudgetAmount,Sheet1!S71_A2SubCode,$AC:$AC,Sheet1!S71_ItemType,$AD:$AD)</f>
        <v>0</v>
      </c>
      <c r="K153" s="713">
        <f>SUMIFS(Sheet1!S71_OY2BudgetAmount,Sheet1!S71_A2SubCode,$AC:$AC,Sheet1!S71_ItemType,$AD:$AD)</f>
        <v>0</v>
      </c>
      <c r="L153" s="322"/>
      <c r="Q153" s="196"/>
      <c r="AC153" s="2310">
        <v>2105</v>
      </c>
      <c r="AD153" s="2310" t="s">
        <v>2754</v>
      </c>
    </row>
    <row r="154" spans="1:30" ht="11.25" customHeight="1" x14ac:dyDescent="0.25">
      <c r="A154" s="2235" t="str">
        <f t="shared" si="21"/>
        <v>Community Halls and Facilities</v>
      </c>
      <c r="B154" s="146"/>
      <c r="C154" s="712">
        <f>SUMIFS(Sheet1!S71_PPPYearAmount,Sheet1!S71_A2SubCode,$AC:$AC,Sheet1!S71_ItemType,$AD:$AD)</f>
        <v>6651622</v>
      </c>
      <c r="D154" s="712">
        <f>SUMIFS(Sheet1!S71_PPYearAmount,Sheet1!S71_A2SubCode,$AC:$AC,Sheet1!S71_ItemType,$AD:$AD)</f>
        <v>6685630</v>
      </c>
      <c r="E154" s="712">
        <f>SUMIFS(Sheet1!S71_PYearAmount,Sheet1!S71_A2SubCode,$AC:$AC,Sheet1!S71_ItemType,$AD:$AD)</f>
        <v>7577621</v>
      </c>
      <c r="F154" s="725">
        <f>SUMIFS(Sheet1!S71_OriginalBudAmnt,Sheet1!S71_A2SubCode,$AC:$AC,Sheet1!S71_ItemType,$AD:$AD)</f>
        <v>9702528</v>
      </c>
      <c r="G154" s="712">
        <f>SUMIFS(Sheet1!S71_AdjustmentBudAmnt,Sheet1!S71_A2SubCode,$AC:$AC,Sheet1!S71_ItemType,$AD:$AD)</f>
        <v>12682303</v>
      </c>
      <c r="H154" s="713">
        <f>SUMIFS(Sheet1!S71_AdjustmentBudAmnt,Sheet1!S71_A2SubCode,$AC:$AC,Sheet1!S71_ItemType,$AD:$AD)</f>
        <v>12682303</v>
      </c>
      <c r="I154" s="725">
        <f>SUMIFS(Sheet1!S71_ASBudgetAmount,Sheet1!S71_A2SubCode,$AC:$AC,Sheet1!S71_ItemType,$AD:$AD)</f>
        <v>13241704</v>
      </c>
      <c r="J154" s="712">
        <f>SUMIFS(Sheet1!S71_OY1BudgetAmount,Sheet1!S71_A2SubCode,$AC:$AC,Sheet1!S71_ItemType,$AD:$AD)</f>
        <v>11018623</v>
      </c>
      <c r="K154" s="713">
        <f>SUMIFS(Sheet1!S71_OY2BudgetAmount,Sheet1!S71_A2SubCode,$AC:$AC,Sheet1!S71_ItemType,$AD:$AD)</f>
        <v>11855928</v>
      </c>
      <c r="L154" s="322"/>
      <c r="Q154" s="196"/>
      <c r="AC154" s="2310">
        <v>2106</v>
      </c>
      <c r="AD154" s="2310" t="s">
        <v>2754</v>
      </c>
    </row>
    <row r="155" spans="1:30" ht="11.25" customHeight="1" x14ac:dyDescent="0.25">
      <c r="A155" s="2235" t="str">
        <f t="shared" si="21"/>
        <v>Consumer Protection</v>
      </c>
      <c r="B155" s="146"/>
      <c r="C155" s="712">
        <f>SUMIFS(Sheet1!S71_PPPYearAmount,Sheet1!S71_A2SubCode,$AC:$AC,Sheet1!S71_ItemType,$AD:$AD)</f>
        <v>0</v>
      </c>
      <c r="D155" s="712">
        <f>SUMIFS(Sheet1!S71_PPYearAmount,Sheet1!S71_A2SubCode,$AC:$AC,Sheet1!S71_ItemType,$AD:$AD)</f>
        <v>0</v>
      </c>
      <c r="E155" s="712">
        <f>SUMIFS(Sheet1!S71_PYearAmount,Sheet1!S71_A2SubCode,$AC:$AC,Sheet1!S71_ItemType,$AD:$AD)</f>
        <v>0</v>
      </c>
      <c r="F155" s="725">
        <f>SUMIFS(Sheet1!S71_OriginalBudAmnt,Sheet1!S71_A2SubCode,$AC:$AC,Sheet1!S71_ItemType,$AD:$AD)</f>
        <v>0</v>
      </c>
      <c r="G155" s="712">
        <f>SUMIFS(Sheet1!S71_AdjustmentBudAmnt,Sheet1!S71_A2SubCode,$AC:$AC,Sheet1!S71_ItemType,$AD:$AD)</f>
        <v>0</v>
      </c>
      <c r="H155" s="713">
        <f>SUMIFS(Sheet1!S71_AdjustmentBudAmnt,Sheet1!S71_A2SubCode,$AC:$AC,Sheet1!S71_ItemType,$AD:$AD)</f>
        <v>0</v>
      </c>
      <c r="I155" s="725">
        <f>SUMIFS(Sheet1!S71_ASBudgetAmount,Sheet1!S71_A2SubCode,$AC:$AC,Sheet1!S71_ItemType,$AD:$AD)</f>
        <v>0</v>
      </c>
      <c r="J155" s="712">
        <f>SUMIFS(Sheet1!S71_OY1BudgetAmount,Sheet1!S71_A2SubCode,$AC:$AC,Sheet1!S71_ItemType,$AD:$AD)</f>
        <v>0</v>
      </c>
      <c r="K155" s="713">
        <f>SUMIFS(Sheet1!S71_OY2BudgetAmount,Sheet1!S71_A2SubCode,$AC:$AC,Sheet1!S71_ItemType,$AD:$AD)</f>
        <v>0</v>
      </c>
      <c r="L155" s="322"/>
      <c r="Q155" s="196"/>
      <c r="AC155" s="2310">
        <v>2107</v>
      </c>
      <c r="AD155" s="2310" t="s">
        <v>2754</v>
      </c>
    </row>
    <row r="156" spans="1:30" ht="11.25" customHeight="1" x14ac:dyDescent="0.25">
      <c r="A156" s="2235" t="str">
        <f t="shared" si="21"/>
        <v>Cultural Matters</v>
      </c>
      <c r="B156" s="146"/>
      <c r="C156" s="712">
        <f>SUMIFS(Sheet1!S71_PPPYearAmount,Sheet1!S71_A2SubCode,$AC:$AC,Sheet1!S71_ItemType,$AD:$AD)</f>
        <v>534984</v>
      </c>
      <c r="D156" s="712">
        <f>SUMIFS(Sheet1!S71_PPYearAmount,Sheet1!S71_A2SubCode,$AC:$AC,Sheet1!S71_ItemType,$AD:$AD)</f>
        <v>451163</v>
      </c>
      <c r="E156" s="712">
        <f>SUMIFS(Sheet1!S71_PYearAmount,Sheet1!S71_A2SubCode,$AC:$AC,Sheet1!S71_ItemType,$AD:$AD)</f>
        <v>209824</v>
      </c>
      <c r="F156" s="725">
        <f>SUMIFS(Sheet1!S71_OriginalBudAmnt,Sheet1!S71_A2SubCode,$AC:$AC,Sheet1!S71_ItemType,$AD:$AD)</f>
        <v>620000</v>
      </c>
      <c r="G156" s="712">
        <f>SUMIFS(Sheet1!S71_AdjustmentBudAmnt,Sheet1!S71_A2SubCode,$AC:$AC,Sheet1!S71_ItemType,$AD:$AD)</f>
        <v>702000</v>
      </c>
      <c r="H156" s="713">
        <f>SUMIFS(Sheet1!S71_AdjustmentBudAmnt,Sheet1!S71_A2SubCode,$AC:$AC,Sheet1!S71_ItemType,$AD:$AD)</f>
        <v>702000</v>
      </c>
      <c r="I156" s="725">
        <f>SUMIFS(Sheet1!S71_ASBudgetAmount,Sheet1!S71_A2SubCode,$AC:$AC,Sheet1!S71_ItemType,$AD:$AD)</f>
        <v>931000</v>
      </c>
      <c r="J156" s="712">
        <f>SUMIFS(Sheet1!S71_OY1BudgetAmount,Sheet1!S71_A2SubCode,$AC:$AC,Sheet1!S71_ItemType,$AD:$AD)</f>
        <v>968240</v>
      </c>
      <c r="K156" s="713">
        <f>SUMIFS(Sheet1!S71_OY2BudgetAmount,Sheet1!S71_A2SubCode,$AC:$AC,Sheet1!S71_ItemType,$AD:$AD)</f>
        <v>1006970</v>
      </c>
      <c r="L156" s="322"/>
      <c r="Q156" s="196"/>
      <c r="AC156" s="2310">
        <v>2108</v>
      </c>
      <c r="AD156" s="2310" t="s">
        <v>2754</v>
      </c>
    </row>
    <row r="157" spans="1:30" ht="11.25" customHeight="1" x14ac:dyDescent="0.25">
      <c r="A157" s="2235" t="str">
        <f t="shared" si="21"/>
        <v>Disaster Management</v>
      </c>
      <c r="B157" s="146"/>
      <c r="C157" s="712">
        <f>SUMIFS(Sheet1!S71_PPPYearAmount,Sheet1!S71_A2SubCode,$AC:$AC,Sheet1!S71_ItemType,$AD:$AD)</f>
        <v>131849</v>
      </c>
      <c r="D157" s="712">
        <f>SUMIFS(Sheet1!S71_PPYearAmount,Sheet1!S71_A2SubCode,$AC:$AC,Sheet1!S71_ItemType,$AD:$AD)</f>
        <v>70023</v>
      </c>
      <c r="E157" s="712">
        <f>SUMIFS(Sheet1!S71_PYearAmount,Sheet1!S71_A2SubCode,$AC:$AC,Sheet1!S71_ItemType,$AD:$AD)</f>
        <v>347962</v>
      </c>
      <c r="F157" s="725">
        <f>SUMIFS(Sheet1!S71_OriginalBudAmnt,Sheet1!S71_A2SubCode,$AC:$AC,Sheet1!S71_ItemType,$AD:$AD)</f>
        <v>1430000</v>
      </c>
      <c r="G157" s="712">
        <f>SUMIFS(Sheet1!S71_AdjustmentBudAmnt,Sheet1!S71_A2SubCode,$AC:$AC,Sheet1!S71_ItemType,$AD:$AD)</f>
        <v>1516750</v>
      </c>
      <c r="H157" s="713">
        <f>SUMIFS(Sheet1!S71_AdjustmentBudAmnt,Sheet1!S71_A2SubCode,$AC:$AC,Sheet1!S71_ItemType,$AD:$AD)</f>
        <v>1516750</v>
      </c>
      <c r="I157" s="725">
        <f>SUMIFS(Sheet1!S71_ASBudgetAmount,Sheet1!S71_A2SubCode,$AC:$AC,Sheet1!S71_ItemType,$AD:$AD)</f>
        <v>950000</v>
      </c>
      <c r="J157" s="712">
        <f>SUMIFS(Sheet1!S71_OY1BudgetAmount,Sheet1!S71_A2SubCode,$AC:$AC,Sheet1!S71_ItemType,$AD:$AD)</f>
        <v>988000</v>
      </c>
      <c r="K157" s="713">
        <f>SUMIFS(Sheet1!S71_OY2BudgetAmount,Sheet1!S71_A2SubCode,$AC:$AC,Sheet1!S71_ItemType,$AD:$AD)</f>
        <v>1027520</v>
      </c>
      <c r="L157" s="322"/>
      <c r="Q157" s="196"/>
      <c r="AC157" s="2310">
        <v>2109</v>
      </c>
      <c r="AD157" s="2310" t="s">
        <v>2754</v>
      </c>
    </row>
    <row r="158" spans="1:30" ht="11.25" customHeight="1" x14ac:dyDescent="0.25">
      <c r="A158" s="2235" t="str">
        <f t="shared" si="21"/>
        <v>Education</v>
      </c>
      <c r="B158" s="146"/>
      <c r="C158" s="712">
        <f>SUMIFS(Sheet1!S71_PPPYearAmount,Sheet1!S71_A2SubCode,$AC:$AC,Sheet1!S71_ItemType,$AD:$AD)</f>
        <v>0</v>
      </c>
      <c r="D158" s="712">
        <f>SUMIFS(Sheet1!S71_PPYearAmount,Sheet1!S71_A2SubCode,$AC:$AC,Sheet1!S71_ItemType,$AD:$AD)</f>
        <v>9600</v>
      </c>
      <c r="E158" s="712">
        <f>SUMIFS(Sheet1!S71_PYearAmount,Sheet1!S71_A2SubCode,$AC:$AC,Sheet1!S71_ItemType,$AD:$AD)</f>
        <v>405345</v>
      </c>
      <c r="F158" s="725">
        <f>SUMIFS(Sheet1!S71_OriginalBudAmnt,Sheet1!S71_A2SubCode,$AC:$AC,Sheet1!S71_ItemType,$AD:$AD)</f>
        <v>190000</v>
      </c>
      <c r="G158" s="712">
        <f>SUMIFS(Sheet1!S71_AdjustmentBudAmnt,Sheet1!S71_A2SubCode,$AC:$AC,Sheet1!S71_ItemType,$AD:$AD)</f>
        <v>0</v>
      </c>
      <c r="H158" s="713">
        <f>SUMIFS(Sheet1!S71_AdjustmentBudAmnt,Sheet1!S71_A2SubCode,$AC:$AC,Sheet1!S71_ItemType,$AD:$AD)</f>
        <v>0</v>
      </c>
      <c r="I158" s="725">
        <f>SUMIFS(Sheet1!S71_ASBudgetAmount,Sheet1!S71_A2SubCode,$AC:$AC,Sheet1!S71_ItemType,$AD:$AD)</f>
        <v>210000</v>
      </c>
      <c r="J158" s="712">
        <f>SUMIFS(Sheet1!S71_OY1BudgetAmount,Sheet1!S71_A2SubCode,$AC:$AC,Sheet1!S71_ItemType,$AD:$AD)</f>
        <v>218400</v>
      </c>
      <c r="K158" s="713">
        <f>SUMIFS(Sheet1!S71_OY2BudgetAmount,Sheet1!S71_A2SubCode,$AC:$AC,Sheet1!S71_ItemType,$AD:$AD)</f>
        <v>227136</v>
      </c>
      <c r="L158" s="322"/>
      <c r="Q158" s="196"/>
      <c r="AC158" s="2310">
        <v>2110</v>
      </c>
      <c r="AD158" s="2310" t="s">
        <v>2754</v>
      </c>
    </row>
    <row r="159" spans="1:30" ht="11.25" customHeight="1" x14ac:dyDescent="0.25">
      <c r="A159" s="2235" t="str">
        <f t="shared" ref="A159:A178" si="28">A37</f>
        <v>Indigenous and Customary Law</v>
      </c>
      <c r="B159" s="146"/>
      <c r="C159" s="712">
        <f>SUMIFS(Sheet1!S71_PPPYearAmount,Sheet1!S71_A2SubCode,$AC:$AC,Sheet1!S71_ItemType,$AD:$AD)</f>
        <v>76009</v>
      </c>
      <c r="D159" s="712">
        <f>SUMIFS(Sheet1!S71_PPYearAmount,Sheet1!S71_A2SubCode,$AC:$AC,Sheet1!S71_ItemType,$AD:$AD)</f>
        <v>100969</v>
      </c>
      <c r="E159" s="712">
        <f>SUMIFS(Sheet1!S71_PYearAmount,Sheet1!S71_A2SubCode,$AC:$AC,Sheet1!S71_ItemType,$AD:$AD)</f>
        <v>98912</v>
      </c>
      <c r="F159" s="725">
        <f>SUMIFS(Sheet1!S71_OriginalBudAmnt,Sheet1!S71_A2SubCode,$AC:$AC,Sheet1!S71_ItemType,$AD:$AD)</f>
        <v>261500</v>
      </c>
      <c r="G159" s="712">
        <f>SUMIFS(Sheet1!S71_AdjustmentBudAmnt,Sheet1!S71_A2SubCode,$AC:$AC,Sheet1!S71_ItemType,$AD:$AD)</f>
        <v>105000</v>
      </c>
      <c r="H159" s="713">
        <f>SUMIFS(Sheet1!S71_AdjustmentBudAmnt,Sheet1!S71_A2SubCode,$AC:$AC,Sheet1!S71_ItemType,$AD:$AD)</f>
        <v>105000</v>
      </c>
      <c r="I159" s="725">
        <f>SUMIFS(Sheet1!S71_ASBudgetAmount,Sheet1!S71_A2SubCode,$AC:$AC,Sheet1!S71_ItemType,$AD:$AD)</f>
        <v>277500</v>
      </c>
      <c r="J159" s="712">
        <f>SUMIFS(Sheet1!S71_OY1BudgetAmount,Sheet1!S71_A2SubCode,$AC:$AC,Sheet1!S71_ItemType,$AD:$AD)</f>
        <v>288600</v>
      </c>
      <c r="K159" s="713">
        <f>SUMIFS(Sheet1!S71_OY2BudgetAmount,Sheet1!S71_A2SubCode,$AC:$AC,Sheet1!S71_ItemType,$AD:$AD)</f>
        <v>300144</v>
      </c>
      <c r="L159" s="322"/>
      <c r="Q159" s="196"/>
      <c r="AC159" s="2310">
        <v>2111</v>
      </c>
      <c r="AD159" s="2310" t="s">
        <v>2754</v>
      </c>
    </row>
    <row r="160" spans="1:30" ht="11.25" customHeight="1" x14ac:dyDescent="0.25">
      <c r="A160" s="2235" t="str">
        <f t="shared" si="28"/>
        <v>Industrial Promotion</v>
      </c>
      <c r="B160" s="146"/>
      <c r="C160" s="712">
        <f>SUMIFS(Sheet1!S71_PPPYearAmount,Sheet1!S71_A2SubCode,$AC:$AC,Sheet1!S71_ItemType,$AD:$AD)</f>
        <v>15319</v>
      </c>
      <c r="D160" s="712">
        <f>SUMIFS(Sheet1!S71_PPYearAmount,Sheet1!S71_A2SubCode,$AC:$AC,Sheet1!S71_ItemType,$AD:$AD)</f>
        <v>139165</v>
      </c>
      <c r="E160" s="712">
        <f>SUMIFS(Sheet1!S71_PYearAmount,Sheet1!S71_A2SubCode,$AC:$AC,Sheet1!S71_ItemType,$AD:$AD)</f>
        <v>0</v>
      </c>
      <c r="F160" s="725">
        <f>SUMIFS(Sheet1!S71_OriginalBudAmnt,Sheet1!S71_A2SubCode,$AC:$AC,Sheet1!S71_ItemType,$AD:$AD)</f>
        <v>380000</v>
      </c>
      <c r="G160" s="712">
        <f>SUMIFS(Sheet1!S71_AdjustmentBudAmnt,Sheet1!S71_A2SubCode,$AC:$AC,Sheet1!S71_ItemType,$AD:$AD)</f>
        <v>380000</v>
      </c>
      <c r="H160" s="713">
        <f>SUMIFS(Sheet1!S71_AdjustmentBudAmnt,Sheet1!S71_A2SubCode,$AC:$AC,Sheet1!S71_ItemType,$AD:$AD)</f>
        <v>380000</v>
      </c>
      <c r="I160" s="725">
        <f>SUMIFS(Sheet1!S71_ASBudgetAmount,Sheet1!S71_A2SubCode,$AC:$AC,Sheet1!S71_ItemType,$AD:$AD)</f>
        <v>700000</v>
      </c>
      <c r="J160" s="712">
        <f>SUMIFS(Sheet1!S71_OY1BudgetAmount,Sheet1!S71_A2SubCode,$AC:$AC,Sheet1!S71_ItemType,$AD:$AD)</f>
        <v>728000</v>
      </c>
      <c r="K160" s="713">
        <f>SUMIFS(Sheet1!S71_OY2BudgetAmount,Sheet1!S71_A2SubCode,$AC:$AC,Sheet1!S71_ItemType,$AD:$AD)</f>
        <v>757120</v>
      </c>
      <c r="L160" s="322"/>
      <c r="Q160" s="196"/>
      <c r="AC160" s="2310">
        <v>2112</v>
      </c>
      <c r="AD160" s="2310" t="s">
        <v>2754</v>
      </c>
    </row>
    <row r="161" spans="1:30" ht="11.25" customHeight="1" x14ac:dyDescent="0.25">
      <c r="A161" s="2235" t="str">
        <f t="shared" si="28"/>
        <v>Language Policy</v>
      </c>
      <c r="B161" s="146"/>
      <c r="C161" s="712">
        <f>SUMIFS(Sheet1!S71_PPPYearAmount,Sheet1!S71_A2SubCode,$AC:$AC,Sheet1!S71_ItemType,$AD:$AD)</f>
        <v>0</v>
      </c>
      <c r="D161" s="712">
        <f>SUMIFS(Sheet1!S71_PPYearAmount,Sheet1!S71_A2SubCode,$AC:$AC,Sheet1!S71_ItemType,$AD:$AD)</f>
        <v>0</v>
      </c>
      <c r="E161" s="712">
        <f>SUMIFS(Sheet1!S71_PYearAmount,Sheet1!S71_A2SubCode,$AC:$AC,Sheet1!S71_ItemType,$AD:$AD)</f>
        <v>0</v>
      </c>
      <c r="F161" s="725">
        <f>SUMIFS(Sheet1!S71_OriginalBudAmnt,Sheet1!S71_A2SubCode,$AC:$AC,Sheet1!S71_ItemType,$AD:$AD)</f>
        <v>0</v>
      </c>
      <c r="G161" s="712">
        <f>SUMIFS(Sheet1!S71_AdjustmentBudAmnt,Sheet1!S71_A2SubCode,$AC:$AC,Sheet1!S71_ItemType,$AD:$AD)</f>
        <v>0</v>
      </c>
      <c r="H161" s="713">
        <f>SUMIFS(Sheet1!S71_AdjustmentBudAmnt,Sheet1!S71_A2SubCode,$AC:$AC,Sheet1!S71_ItemType,$AD:$AD)</f>
        <v>0</v>
      </c>
      <c r="I161" s="725">
        <f>SUMIFS(Sheet1!S71_ASBudgetAmount,Sheet1!S71_A2SubCode,$AC:$AC,Sheet1!S71_ItemType,$AD:$AD)</f>
        <v>0</v>
      </c>
      <c r="J161" s="712">
        <f>SUMIFS(Sheet1!S71_OY1BudgetAmount,Sheet1!S71_A2SubCode,$AC:$AC,Sheet1!S71_ItemType,$AD:$AD)</f>
        <v>0</v>
      </c>
      <c r="K161" s="713">
        <f>SUMIFS(Sheet1!S71_OY2BudgetAmount,Sheet1!S71_A2SubCode,$AC:$AC,Sheet1!S71_ItemType,$AD:$AD)</f>
        <v>0</v>
      </c>
      <c r="L161" s="322"/>
      <c r="Q161" s="196"/>
      <c r="AC161" s="2310">
        <v>2113</v>
      </c>
      <c r="AD161" s="2310" t="s">
        <v>2754</v>
      </c>
    </row>
    <row r="162" spans="1:30" ht="11.25" customHeight="1" x14ac:dyDescent="0.25">
      <c r="A162" s="2235" t="str">
        <f t="shared" si="28"/>
        <v>Libraries and Archives</v>
      </c>
      <c r="B162" s="146"/>
      <c r="C162" s="712">
        <f>SUMIFS(Sheet1!S71_PPPYearAmount,Sheet1!S71_A2SubCode,$AC:$AC,Sheet1!S71_ItemType,$AD:$AD)</f>
        <v>1087629</v>
      </c>
      <c r="D162" s="712">
        <f>SUMIFS(Sheet1!S71_PPYearAmount,Sheet1!S71_A2SubCode,$AC:$AC,Sheet1!S71_ItemType,$AD:$AD)</f>
        <v>1533485</v>
      </c>
      <c r="E162" s="712">
        <f>SUMIFS(Sheet1!S71_PYearAmount,Sheet1!S71_A2SubCode,$AC:$AC,Sheet1!S71_ItemType,$AD:$AD)</f>
        <v>2080138</v>
      </c>
      <c r="F162" s="725">
        <f>SUMIFS(Sheet1!S71_OriginalBudAmnt,Sheet1!S71_A2SubCode,$AC:$AC,Sheet1!S71_ItemType,$AD:$AD)</f>
        <v>2919704</v>
      </c>
      <c r="G162" s="712">
        <f>SUMIFS(Sheet1!S71_AdjustmentBudAmnt,Sheet1!S71_A2SubCode,$AC:$AC,Sheet1!S71_ItemType,$AD:$AD)</f>
        <v>2919704</v>
      </c>
      <c r="H162" s="713">
        <f>SUMIFS(Sheet1!S71_AdjustmentBudAmnt,Sheet1!S71_A2SubCode,$AC:$AC,Sheet1!S71_ItemType,$AD:$AD)</f>
        <v>2919704</v>
      </c>
      <c r="I162" s="725">
        <f>SUMIFS(Sheet1!S71_ASBudgetAmount,Sheet1!S71_A2SubCode,$AC:$AC,Sheet1!S71_ItemType,$AD:$AD)</f>
        <v>3111683</v>
      </c>
      <c r="J162" s="712">
        <f>SUMIFS(Sheet1!S71_OY1BudgetAmount,Sheet1!S71_A2SubCode,$AC:$AC,Sheet1!S71_ItemType,$AD:$AD)</f>
        <v>3317035</v>
      </c>
      <c r="K162" s="713">
        <f>SUMIFS(Sheet1!S71_OY2BudgetAmount,Sheet1!S71_A2SubCode,$AC:$AC,Sheet1!S71_ItemType,$AD:$AD)</f>
        <v>3536259</v>
      </c>
      <c r="L162" s="322"/>
      <c r="Q162" s="196"/>
      <c r="AC162" s="2310">
        <v>2114</v>
      </c>
      <c r="AD162" s="2310" t="s">
        <v>2754</v>
      </c>
    </row>
    <row r="163" spans="1:30" ht="11.25" customHeight="1" x14ac:dyDescent="0.25">
      <c r="A163" s="2235" t="str">
        <f t="shared" si="28"/>
        <v>Literacy Programmes</v>
      </c>
      <c r="B163" s="146"/>
      <c r="C163" s="712">
        <f>SUMIFS(Sheet1!S71_PPPYearAmount,Sheet1!S71_A2SubCode,$AC:$AC,Sheet1!S71_ItemType,$AD:$AD)</f>
        <v>104525</v>
      </c>
      <c r="D163" s="712">
        <f>SUMIFS(Sheet1!S71_PPYearAmount,Sheet1!S71_A2SubCode,$AC:$AC,Sheet1!S71_ItemType,$AD:$AD)</f>
        <v>534834</v>
      </c>
      <c r="E163" s="712">
        <f>SUMIFS(Sheet1!S71_PYearAmount,Sheet1!S71_A2SubCode,$AC:$AC,Sheet1!S71_ItemType,$AD:$AD)</f>
        <v>859950</v>
      </c>
      <c r="F163" s="725">
        <f>SUMIFS(Sheet1!S71_OriginalBudAmnt,Sheet1!S71_A2SubCode,$AC:$AC,Sheet1!S71_ItemType,$AD:$AD)</f>
        <v>2320000</v>
      </c>
      <c r="G163" s="712">
        <f>SUMIFS(Sheet1!S71_AdjustmentBudAmnt,Sheet1!S71_A2SubCode,$AC:$AC,Sheet1!S71_ItemType,$AD:$AD)</f>
        <v>2490000</v>
      </c>
      <c r="H163" s="713">
        <f>SUMIFS(Sheet1!S71_AdjustmentBudAmnt,Sheet1!S71_A2SubCode,$AC:$AC,Sheet1!S71_ItemType,$AD:$AD)</f>
        <v>2490000</v>
      </c>
      <c r="I163" s="725">
        <f>SUMIFS(Sheet1!S71_ASBudgetAmount,Sheet1!S71_A2SubCode,$AC:$AC,Sheet1!S71_ItemType,$AD:$AD)</f>
        <v>2690000</v>
      </c>
      <c r="J163" s="712">
        <f>SUMIFS(Sheet1!S71_OY1BudgetAmount,Sheet1!S71_A2SubCode,$AC:$AC,Sheet1!S71_ItemType,$AD:$AD)</f>
        <v>2797600</v>
      </c>
      <c r="K163" s="713">
        <f>SUMIFS(Sheet1!S71_OY2BudgetAmount,Sheet1!S71_A2SubCode,$AC:$AC,Sheet1!S71_ItemType,$AD:$AD)</f>
        <v>2909504</v>
      </c>
      <c r="L163" s="322"/>
      <c r="Q163" s="196"/>
      <c r="AC163" s="2310">
        <v>2115</v>
      </c>
      <c r="AD163" s="2310" t="s">
        <v>2754</v>
      </c>
    </row>
    <row r="164" spans="1:30" ht="11.25" customHeight="1" x14ac:dyDescent="0.25">
      <c r="A164" s="2235" t="str">
        <f t="shared" si="28"/>
        <v>Media Services</v>
      </c>
      <c r="B164" s="146"/>
      <c r="C164" s="712">
        <f>SUMIFS(Sheet1!S71_PPPYearAmount,Sheet1!S71_A2SubCode,$AC:$AC,Sheet1!S71_ItemType,$AD:$AD)</f>
        <v>0</v>
      </c>
      <c r="D164" s="712">
        <f>SUMIFS(Sheet1!S71_PPYearAmount,Sheet1!S71_A2SubCode,$AC:$AC,Sheet1!S71_ItemType,$AD:$AD)</f>
        <v>0</v>
      </c>
      <c r="E164" s="712">
        <f>SUMIFS(Sheet1!S71_PYearAmount,Sheet1!S71_A2SubCode,$AC:$AC,Sheet1!S71_ItemType,$AD:$AD)</f>
        <v>0</v>
      </c>
      <c r="F164" s="725">
        <f>SUMIFS(Sheet1!S71_OriginalBudAmnt,Sheet1!S71_A2SubCode,$AC:$AC,Sheet1!S71_ItemType,$AD:$AD)</f>
        <v>0</v>
      </c>
      <c r="G164" s="712">
        <f>SUMIFS(Sheet1!S71_AdjustmentBudAmnt,Sheet1!S71_A2SubCode,$AC:$AC,Sheet1!S71_ItemType,$AD:$AD)</f>
        <v>0</v>
      </c>
      <c r="H164" s="713">
        <f>SUMIFS(Sheet1!S71_AdjustmentBudAmnt,Sheet1!S71_A2SubCode,$AC:$AC,Sheet1!S71_ItemType,$AD:$AD)</f>
        <v>0</v>
      </c>
      <c r="I164" s="725">
        <f>SUMIFS(Sheet1!S71_ASBudgetAmount,Sheet1!S71_A2SubCode,$AC:$AC,Sheet1!S71_ItemType,$AD:$AD)</f>
        <v>0</v>
      </c>
      <c r="J164" s="712">
        <f>SUMIFS(Sheet1!S71_OY1BudgetAmount,Sheet1!S71_A2SubCode,$AC:$AC,Sheet1!S71_ItemType,$AD:$AD)</f>
        <v>0</v>
      </c>
      <c r="K164" s="713">
        <f>SUMIFS(Sheet1!S71_OY2BudgetAmount,Sheet1!S71_A2SubCode,$AC:$AC,Sheet1!S71_ItemType,$AD:$AD)</f>
        <v>0</v>
      </c>
      <c r="L164" s="322"/>
      <c r="Q164" s="196"/>
      <c r="AC164" s="2310">
        <v>2116</v>
      </c>
      <c r="AD164" s="2310" t="s">
        <v>2754</v>
      </c>
    </row>
    <row r="165" spans="1:30" ht="11.25" customHeight="1" x14ac:dyDescent="0.25">
      <c r="A165" s="2235" t="str">
        <f t="shared" si="28"/>
        <v>Museums and Art Galleries</v>
      </c>
      <c r="B165" s="146"/>
      <c r="C165" s="712">
        <f>SUMIFS(Sheet1!S71_PPPYearAmount,Sheet1!S71_A2SubCode,$AC:$AC,Sheet1!S71_ItemType,$AD:$AD)</f>
        <v>0</v>
      </c>
      <c r="D165" s="712">
        <f>SUMIFS(Sheet1!S71_PPYearAmount,Sheet1!S71_A2SubCode,$AC:$AC,Sheet1!S71_ItemType,$AD:$AD)</f>
        <v>0</v>
      </c>
      <c r="E165" s="712">
        <f>SUMIFS(Sheet1!S71_PYearAmount,Sheet1!S71_A2SubCode,$AC:$AC,Sheet1!S71_ItemType,$AD:$AD)</f>
        <v>0</v>
      </c>
      <c r="F165" s="725">
        <f>SUMIFS(Sheet1!S71_OriginalBudAmnt,Sheet1!S71_A2SubCode,$AC:$AC,Sheet1!S71_ItemType,$AD:$AD)</f>
        <v>0</v>
      </c>
      <c r="G165" s="712">
        <f>SUMIFS(Sheet1!S71_AdjustmentBudAmnt,Sheet1!S71_A2SubCode,$AC:$AC,Sheet1!S71_ItemType,$AD:$AD)</f>
        <v>0</v>
      </c>
      <c r="H165" s="713">
        <f>SUMIFS(Sheet1!S71_AdjustmentBudAmnt,Sheet1!S71_A2SubCode,$AC:$AC,Sheet1!S71_ItemType,$AD:$AD)</f>
        <v>0</v>
      </c>
      <c r="I165" s="725">
        <f>SUMIFS(Sheet1!S71_ASBudgetAmount,Sheet1!S71_A2SubCode,$AC:$AC,Sheet1!S71_ItemType,$AD:$AD)</f>
        <v>0</v>
      </c>
      <c r="J165" s="712">
        <f>SUMIFS(Sheet1!S71_OY1BudgetAmount,Sheet1!S71_A2SubCode,$AC:$AC,Sheet1!S71_ItemType,$AD:$AD)</f>
        <v>0</v>
      </c>
      <c r="K165" s="713">
        <f>SUMIFS(Sheet1!S71_OY2BudgetAmount,Sheet1!S71_A2SubCode,$AC:$AC,Sheet1!S71_ItemType,$AD:$AD)</f>
        <v>0</v>
      </c>
      <c r="L165" s="322"/>
      <c r="Q165" s="196"/>
      <c r="AC165" s="2310">
        <v>2117</v>
      </c>
      <c r="AD165" s="2310" t="s">
        <v>2754</v>
      </c>
    </row>
    <row r="166" spans="1:30" ht="11.25" customHeight="1" x14ac:dyDescent="0.25">
      <c r="A166" s="2235" t="str">
        <f t="shared" si="28"/>
        <v>Population Development</v>
      </c>
      <c r="B166" s="146"/>
      <c r="C166" s="712">
        <f>SUMIFS(Sheet1!S71_PPPYearAmount,Sheet1!S71_A2SubCode,$AC:$AC,Sheet1!S71_ItemType,$AD:$AD)</f>
        <v>82449</v>
      </c>
      <c r="D166" s="712">
        <f>SUMIFS(Sheet1!S71_PPYearAmount,Sheet1!S71_A2SubCode,$AC:$AC,Sheet1!S71_ItemType,$AD:$AD)</f>
        <v>995960</v>
      </c>
      <c r="E166" s="712">
        <f>SUMIFS(Sheet1!S71_PYearAmount,Sheet1!S71_A2SubCode,$AC:$AC,Sheet1!S71_ItemType,$AD:$AD)</f>
        <v>1035039</v>
      </c>
      <c r="F166" s="725">
        <f>SUMIFS(Sheet1!S71_OriginalBudAmnt,Sheet1!S71_A2SubCode,$AC:$AC,Sheet1!S71_ItemType,$AD:$AD)</f>
        <v>2906500</v>
      </c>
      <c r="G166" s="712">
        <f>SUMIFS(Sheet1!S71_AdjustmentBudAmnt,Sheet1!S71_A2SubCode,$AC:$AC,Sheet1!S71_ItemType,$AD:$AD)</f>
        <v>2672514</v>
      </c>
      <c r="H166" s="713">
        <f>SUMIFS(Sheet1!S71_AdjustmentBudAmnt,Sheet1!S71_A2SubCode,$AC:$AC,Sheet1!S71_ItemType,$AD:$AD)</f>
        <v>2672514</v>
      </c>
      <c r="I166" s="725">
        <f>SUMIFS(Sheet1!S71_ASBudgetAmount,Sheet1!S71_A2SubCode,$AC:$AC,Sheet1!S71_ItemType,$AD:$AD)</f>
        <v>3885000</v>
      </c>
      <c r="J166" s="712">
        <f>SUMIFS(Sheet1!S71_OY1BudgetAmount,Sheet1!S71_A2SubCode,$AC:$AC,Sheet1!S71_ItemType,$AD:$AD)</f>
        <v>4040400</v>
      </c>
      <c r="K166" s="713">
        <f>SUMIFS(Sheet1!S71_OY2BudgetAmount,Sheet1!S71_A2SubCode,$AC:$AC,Sheet1!S71_ItemType,$AD:$AD)</f>
        <v>4202016</v>
      </c>
      <c r="L166" s="322"/>
      <c r="Q166" s="196"/>
      <c r="AC166" s="2310">
        <v>2118</v>
      </c>
      <c r="AD166" s="2310" t="s">
        <v>2754</v>
      </c>
    </row>
    <row r="167" spans="1:30" ht="11.25" customHeight="1" x14ac:dyDescent="0.25">
      <c r="A167" s="2235" t="str">
        <f t="shared" si="28"/>
        <v>Provincial Cultural Matters</v>
      </c>
      <c r="B167" s="146"/>
      <c r="C167" s="712">
        <f>SUMIFS(Sheet1!S71_PPPYearAmount,Sheet1!S71_A2SubCode,$AC:$AC,Sheet1!S71_ItemType,$AD:$AD)</f>
        <v>0</v>
      </c>
      <c r="D167" s="712">
        <f>SUMIFS(Sheet1!S71_PPYearAmount,Sheet1!S71_A2SubCode,$AC:$AC,Sheet1!S71_ItemType,$AD:$AD)</f>
        <v>0</v>
      </c>
      <c r="E167" s="712">
        <f>SUMIFS(Sheet1!S71_PYearAmount,Sheet1!S71_A2SubCode,$AC:$AC,Sheet1!S71_ItemType,$AD:$AD)</f>
        <v>0</v>
      </c>
      <c r="F167" s="725">
        <f>SUMIFS(Sheet1!S71_OriginalBudAmnt,Sheet1!S71_A2SubCode,$AC:$AC,Sheet1!S71_ItemType,$AD:$AD)</f>
        <v>0</v>
      </c>
      <c r="G167" s="712">
        <f>SUMIFS(Sheet1!S71_AdjustmentBudAmnt,Sheet1!S71_A2SubCode,$AC:$AC,Sheet1!S71_ItemType,$AD:$AD)</f>
        <v>0</v>
      </c>
      <c r="H167" s="713">
        <f>SUMIFS(Sheet1!S71_AdjustmentBudAmnt,Sheet1!S71_A2SubCode,$AC:$AC,Sheet1!S71_ItemType,$AD:$AD)</f>
        <v>0</v>
      </c>
      <c r="I167" s="725">
        <f>SUMIFS(Sheet1!S71_ASBudgetAmount,Sheet1!S71_A2SubCode,$AC:$AC,Sheet1!S71_ItemType,$AD:$AD)</f>
        <v>0</v>
      </c>
      <c r="J167" s="712">
        <f>SUMIFS(Sheet1!S71_OY1BudgetAmount,Sheet1!S71_A2SubCode,$AC:$AC,Sheet1!S71_ItemType,$AD:$AD)</f>
        <v>0</v>
      </c>
      <c r="K167" s="713">
        <f>SUMIFS(Sheet1!S71_OY2BudgetAmount,Sheet1!S71_A2SubCode,$AC:$AC,Sheet1!S71_ItemType,$AD:$AD)</f>
        <v>0</v>
      </c>
      <c r="L167" s="322"/>
      <c r="Q167" s="196"/>
      <c r="AC167" s="2310">
        <v>2119</v>
      </c>
      <c r="AD167" s="2310" t="s">
        <v>2754</v>
      </c>
    </row>
    <row r="168" spans="1:30" ht="11.25" customHeight="1" x14ac:dyDescent="0.25">
      <c r="A168" s="2235" t="str">
        <f t="shared" si="28"/>
        <v>Theatres</v>
      </c>
      <c r="B168" s="146"/>
      <c r="C168" s="712">
        <f>SUMIFS(Sheet1!S71_PPPYearAmount,Sheet1!S71_A2SubCode,$AC:$AC,Sheet1!S71_ItemType,$AD:$AD)</f>
        <v>0</v>
      </c>
      <c r="D168" s="712">
        <f>SUMIFS(Sheet1!S71_PPYearAmount,Sheet1!S71_A2SubCode,$AC:$AC,Sheet1!S71_ItemType,$AD:$AD)</f>
        <v>0</v>
      </c>
      <c r="E168" s="712">
        <f>SUMIFS(Sheet1!S71_PYearAmount,Sheet1!S71_A2SubCode,$AC:$AC,Sheet1!S71_ItemType,$AD:$AD)</f>
        <v>0</v>
      </c>
      <c r="F168" s="725">
        <f>SUMIFS(Sheet1!S71_OriginalBudAmnt,Sheet1!S71_A2SubCode,$AC:$AC,Sheet1!S71_ItemType,$AD:$AD)</f>
        <v>0</v>
      </c>
      <c r="G168" s="712">
        <f>SUMIFS(Sheet1!S71_AdjustmentBudAmnt,Sheet1!S71_A2SubCode,$AC:$AC,Sheet1!S71_ItemType,$AD:$AD)</f>
        <v>0</v>
      </c>
      <c r="H168" s="713">
        <f>SUMIFS(Sheet1!S71_AdjustmentBudAmnt,Sheet1!S71_A2SubCode,$AC:$AC,Sheet1!S71_ItemType,$AD:$AD)</f>
        <v>0</v>
      </c>
      <c r="I168" s="725">
        <f>SUMIFS(Sheet1!S71_ASBudgetAmount,Sheet1!S71_A2SubCode,$AC:$AC,Sheet1!S71_ItemType,$AD:$AD)</f>
        <v>0</v>
      </c>
      <c r="J168" s="712">
        <f>SUMIFS(Sheet1!S71_OY1BudgetAmount,Sheet1!S71_A2SubCode,$AC:$AC,Sheet1!S71_ItemType,$AD:$AD)</f>
        <v>0</v>
      </c>
      <c r="K168" s="713">
        <f>SUMIFS(Sheet1!S71_OY2BudgetAmount,Sheet1!S71_A2SubCode,$AC:$AC,Sheet1!S71_ItemType,$AD:$AD)</f>
        <v>0</v>
      </c>
      <c r="L168" s="322"/>
      <c r="Q168" s="196"/>
      <c r="AC168" s="2310">
        <v>2120</v>
      </c>
      <c r="AD168" s="2310" t="s">
        <v>2754</v>
      </c>
    </row>
    <row r="169" spans="1:30" ht="11.25" customHeight="1" x14ac:dyDescent="0.25">
      <c r="A169" s="2235" t="str">
        <f t="shared" si="28"/>
        <v>Zoo's</v>
      </c>
      <c r="B169" s="146"/>
      <c r="C169" s="712">
        <f>SUMIFS(Sheet1!S71_PPPYearAmount,Sheet1!S71_A2SubCode,$AC:$AC,Sheet1!S71_ItemType,$AD:$AD)</f>
        <v>0</v>
      </c>
      <c r="D169" s="712">
        <f>SUMIFS(Sheet1!S71_PPYearAmount,Sheet1!S71_A2SubCode,$AC:$AC,Sheet1!S71_ItemType,$AD:$AD)</f>
        <v>0</v>
      </c>
      <c r="E169" s="712">
        <f>SUMIFS(Sheet1!S71_PYearAmount,Sheet1!S71_A2SubCode,$AC:$AC,Sheet1!S71_ItemType,$AD:$AD)</f>
        <v>0</v>
      </c>
      <c r="F169" s="725">
        <f>SUMIFS(Sheet1!S71_OriginalBudAmnt,Sheet1!S71_A2SubCode,$AC:$AC,Sheet1!S71_ItemType,$AD:$AD)</f>
        <v>0</v>
      </c>
      <c r="G169" s="712">
        <f>SUMIFS(Sheet1!S71_AdjustmentBudAmnt,Sheet1!S71_A2SubCode,$AC:$AC,Sheet1!S71_ItemType,$AD:$AD)</f>
        <v>0</v>
      </c>
      <c r="H169" s="713">
        <f>SUMIFS(Sheet1!S71_AdjustmentBudAmnt,Sheet1!S71_A2SubCode,$AC:$AC,Sheet1!S71_ItemType,$AD:$AD)</f>
        <v>0</v>
      </c>
      <c r="I169" s="725">
        <f>SUMIFS(Sheet1!S71_ASBudgetAmount,Sheet1!S71_A2SubCode,$AC:$AC,Sheet1!S71_ItemType,$AD:$AD)</f>
        <v>0</v>
      </c>
      <c r="J169" s="712">
        <f>SUMIFS(Sheet1!S71_OY1BudgetAmount,Sheet1!S71_A2SubCode,$AC:$AC,Sheet1!S71_ItemType,$AD:$AD)</f>
        <v>0</v>
      </c>
      <c r="K169" s="713">
        <f>SUMIFS(Sheet1!S71_OY2BudgetAmount,Sheet1!S71_A2SubCode,$AC:$AC,Sheet1!S71_ItemType,$AD:$AD)</f>
        <v>0</v>
      </c>
      <c r="L169" s="322"/>
      <c r="Q169" s="196"/>
      <c r="AC169" s="2310">
        <v>2121</v>
      </c>
      <c r="AD169" s="2310" t="s">
        <v>2754</v>
      </c>
    </row>
    <row r="170" spans="1:30" ht="11.25" customHeight="1" x14ac:dyDescent="0.25">
      <c r="A170" s="241" t="str">
        <f t="shared" si="28"/>
        <v>Sport and recreation</v>
      </c>
      <c r="B170" s="146"/>
      <c r="C170" s="106">
        <f t="shared" ref="C170:K170" si="29">SUM(C171:C175)</f>
        <v>1120508</v>
      </c>
      <c r="D170" s="106">
        <f t="shared" si="29"/>
        <v>2629597</v>
      </c>
      <c r="E170" s="359">
        <f t="shared" si="29"/>
        <v>4086381</v>
      </c>
      <c r="F170" s="107">
        <f t="shared" si="29"/>
        <v>3300000</v>
      </c>
      <c r="G170" s="106">
        <f t="shared" si="29"/>
        <v>2357500</v>
      </c>
      <c r="H170" s="359">
        <f t="shared" si="29"/>
        <v>2357500</v>
      </c>
      <c r="I170" s="107">
        <f t="shared" si="29"/>
        <v>3470000</v>
      </c>
      <c r="J170" s="106">
        <f t="shared" si="29"/>
        <v>3282800</v>
      </c>
      <c r="K170" s="359">
        <f t="shared" si="29"/>
        <v>3463112</v>
      </c>
      <c r="L170" s="322"/>
      <c r="Q170" s="196"/>
      <c r="AC170" s="2309"/>
      <c r="AD170" s="2310" t="s">
        <v>1692</v>
      </c>
    </row>
    <row r="171" spans="1:30" ht="11.25" customHeight="1" x14ac:dyDescent="0.25">
      <c r="A171" s="2235" t="str">
        <f t="shared" si="28"/>
        <v xml:space="preserve">Beaches and Jetties </v>
      </c>
      <c r="B171" s="146"/>
      <c r="C171" s="712">
        <f>SUMIFS(Sheet1!S71_PPPYearAmount,Sheet1!S71_A2SubCode,$AC:$AC,Sheet1!S71_ItemType,$AD:$AD)</f>
        <v>0</v>
      </c>
      <c r="D171" s="712">
        <f>SUMIFS(Sheet1!S71_PPYearAmount,Sheet1!S71_A2SubCode,$AC:$AC,Sheet1!S71_ItemType,$AD:$AD)</f>
        <v>0</v>
      </c>
      <c r="E171" s="712">
        <f>SUMIFS(Sheet1!S71_PYearAmount,Sheet1!S71_A2SubCode,$AC:$AC,Sheet1!S71_ItemType,$AD:$AD)</f>
        <v>0</v>
      </c>
      <c r="F171" s="725">
        <f>SUMIFS(Sheet1!S71_OriginalBudAmnt,Sheet1!S71_A2SubCode,$AC:$AC,Sheet1!S71_ItemType,$AD:$AD)</f>
        <v>0</v>
      </c>
      <c r="G171" s="712">
        <f>SUMIFS(Sheet1!S71_AdjustmentBudAmnt,Sheet1!S71_A2SubCode,$AC:$AC,Sheet1!S71_ItemType,$AD:$AD)</f>
        <v>0</v>
      </c>
      <c r="H171" s="713">
        <f>SUMIFS(Sheet1!S71_AdjustmentBudAmnt,Sheet1!S71_A2SubCode,$AC:$AC,Sheet1!S71_ItemType,$AD:$AD)</f>
        <v>0</v>
      </c>
      <c r="I171" s="725">
        <f>SUMIFS(Sheet1!S71_ASBudgetAmount,Sheet1!S71_A2SubCode,$AC:$AC,Sheet1!S71_ItemType,$AD:$AD)</f>
        <v>0</v>
      </c>
      <c r="J171" s="712">
        <f>SUMIFS(Sheet1!S71_OY1BudgetAmount,Sheet1!S71_A2SubCode,$AC:$AC,Sheet1!S71_ItemType,$AD:$AD)</f>
        <v>0</v>
      </c>
      <c r="K171" s="713">
        <f>SUMIFS(Sheet1!S71_OY2BudgetAmount,Sheet1!S71_A2SubCode,$AC:$AC,Sheet1!S71_ItemType,$AD:$AD)</f>
        <v>0</v>
      </c>
      <c r="L171" s="322"/>
      <c r="Q171" s="196"/>
      <c r="AC171" s="2310">
        <v>2201</v>
      </c>
      <c r="AD171" s="2310" t="s">
        <v>2754</v>
      </c>
    </row>
    <row r="172" spans="1:30" ht="11.25" customHeight="1" x14ac:dyDescent="0.25">
      <c r="A172" s="2235" t="str">
        <f t="shared" si="28"/>
        <v>Casinos, Racing, Gambling, Wagering</v>
      </c>
      <c r="B172" s="146"/>
      <c r="C172" s="712">
        <f>SUMIFS(Sheet1!S71_PPPYearAmount,Sheet1!S71_A2SubCode,$AC:$AC,Sheet1!S71_ItemType,$AD:$AD)</f>
        <v>0</v>
      </c>
      <c r="D172" s="712">
        <f>SUMIFS(Sheet1!S71_PPYearAmount,Sheet1!S71_A2SubCode,$AC:$AC,Sheet1!S71_ItemType,$AD:$AD)</f>
        <v>0</v>
      </c>
      <c r="E172" s="712">
        <f>SUMIFS(Sheet1!S71_PYearAmount,Sheet1!S71_A2SubCode,$AC:$AC,Sheet1!S71_ItemType,$AD:$AD)</f>
        <v>0</v>
      </c>
      <c r="F172" s="725">
        <f>SUMIFS(Sheet1!S71_OriginalBudAmnt,Sheet1!S71_A2SubCode,$AC:$AC,Sheet1!S71_ItemType,$AD:$AD)</f>
        <v>0</v>
      </c>
      <c r="G172" s="712">
        <f>SUMIFS(Sheet1!S71_AdjustmentBudAmnt,Sheet1!S71_A2SubCode,$AC:$AC,Sheet1!S71_ItemType,$AD:$AD)</f>
        <v>0</v>
      </c>
      <c r="H172" s="713">
        <f>SUMIFS(Sheet1!S71_AdjustmentBudAmnt,Sheet1!S71_A2SubCode,$AC:$AC,Sheet1!S71_ItemType,$AD:$AD)</f>
        <v>0</v>
      </c>
      <c r="I172" s="725">
        <f>SUMIFS(Sheet1!S71_ASBudgetAmount,Sheet1!S71_A2SubCode,$AC:$AC,Sheet1!S71_ItemType,$AD:$AD)</f>
        <v>0</v>
      </c>
      <c r="J172" s="712">
        <f>SUMIFS(Sheet1!S71_OY1BudgetAmount,Sheet1!S71_A2SubCode,$AC:$AC,Sheet1!S71_ItemType,$AD:$AD)</f>
        <v>0</v>
      </c>
      <c r="K172" s="713">
        <f>SUMIFS(Sheet1!S71_OY2BudgetAmount,Sheet1!S71_A2SubCode,$AC:$AC,Sheet1!S71_ItemType,$AD:$AD)</f>
        <v>0</v>
      </c>
      <c r="L172" s="322"/>
      <c r="Q172" s="196"/>
      <c r="AC172" s="2310">
        <v>2202</v>
      </c>
      <c r="AD172" s="2310" t="s">
        <v>2754</v>
      </c>
    </row>
    <row r="173" spans="1:30" ht="11.25" customHeight="1" x14ac:dyDescent="0.25">
      <c r="A173" s="2235" t="str">
        <f t="shared" si="28"/>
        <v>Community Parks (including Nurseries)</v>
      </c>
      <c r="B173" s="146"/>
      <c r="C173" s="712">
        <f>SUMIFS(Sheet1!S71_PPPYearAmount,Sheet1!S71_A2SubCode,$AC:$AC,Sheet1!S71_ItemType,$AD:$AD)</f>
        <v>0</v>
      </c>
      <c r="D173" s="712">
        <f>SUMIFS(Sheet1!S71_PPYearAmount,Sheet1!S71_A2SubCode,$AC:$AC,Sheet1!S71_ItemType,$AD:$AD)</f>
        <v>0</v>
      </c>
      <c r="E173" s="712">
        <f>SUMIFS(Sheet1!S71_PYearAmount,Sheet1!S71_A2SubCode,$AC:$AC,Sheet1!S71_ItemType,$AD:$AD)</f>
        <v>0</v>
      </c>
      <c r="F173" s="725">
        <f>SUMIFS(Sheet1!S71_OriginalBudAmnt,Sheet1!S71_A2SubCode,$AC:$AC,Sheet1!S71_ItemType,$AD:$AD)</f>
        <v>0</v>
      </c>
      <c r="G173" s="712">
        <f>SUMIFS(Sheet1!S71_AdjustmentBudAmnt,Sheet1!S71_A2SubCode,$AC:$AC,Sheet1!S71_ItemType,$AD:$AD)</f>
        <v>0</v>
      </c>
      <c r="H173" s="713">
        <f>SUMIFS(Sheet1!S71_AdjustmentBudAmnt,Sheet1!S71_A2SubCode,$AC:$AC,Sheet1!S71_ItemType,$AD:$AD)</f>
        <v>0</v>
      </c>
      <c r="I173" s="725">
        <f>SUMIFS(Sheet1!S71_ASBudgetAmount,Sheet1!S71_A2SubCode,$AC:$AC,Sheet1!S71_ItemType,$AD:$AD)</f>
        <v>0</v>
      </c>
      <c r="J173" s="712">
        <f>SUMIFS(Sheet1!S71_OY1BudgetAmount,Sheet1!S71_A2SubCode,$AC:$AC,Sheet1!S71_ItemType,$AD:$AD)</f>
        <v>0</v>
      </c>
      <c r="K173" s="713">
        <f>SUMIFS(Sheet1!S71_OY2BudgetAmount,Sheet1!S71_A2SubCode,$AC:$AC,Sheet1!S71_ItemType,$AD:$AD)</f>
        <v>0</v>
      </c>
      <c r="L173" s="322"/>
      <c r="Q173" s="196"/>
      <c r="AC173" s="2310">
        <v>2203</v>
      </c>
      <c r="AD173" s="2310" t="s">
        <v>2754</v>
      </c>
    </row>
    <row r="174" spans="1:30" ht="11.25" customHeight="1" x14ac:dyDescent="0.25">
      <c r="A174" s="2235" t="str">
        <f t="shared" si="28"/>
        <v>Recreational Facilities</v>
      </c>
      <c r="B174" s="146"/>
      <c r="C174" s="712">
        <f>SUMIFS(Sheet1!S71_PPPYearAmount,Sheet1!S71_A2SubCode,$AC:$AC,Sheet1!S71_ItemType,$AD:$AD)</f>
        <v>0</v>
      </c>
      <c r="D174" s="712">
        <f>SUMIFS(Sheet1!S71_PPYearAmount,Sheet1!S71_A2SubCode,$AC:$AC,Sheet1!S71_ItemType,$AD:$AD)</f>
        <v>0</v>
      </c>
      <c r="E174" s="712">
        <f>SUMIFS(Sheet1!S71_PYearAmount,Sheet1!S71_A2SubCode,$AC:$AC,Sheet1!S71_ItemType,$AD:$AD)</f>
        <v>0</v>
      </c>
      <c r="F174" s="725">
        <f>SUMIFS(Sheet1!S71_OriginalBudAmnt,Sheet1!S71_A2SubCode,$AC:$AC,Sheet1!S71_ItemType,$AD:$AD)</f>
        <v>0</v>
      </c>
      <c r="G174" s="712">
        <f>SUMIFS(Sheet1!S71_AdjustmentBudAmnt,Sheet1!S71_A2SubCode,$AC:$AC,Sheet1!S71_ItemType,$AD:$AD)</f>
        <v>0</v>
      </c>
      <c r="H174" s="713">
        <f>SUMIFS(Sheet1!S71_AdjustmentBudAmnt,Sheet1!S71_A2SubCode,$AC:$AC,Sheet1!S71_ItemType,$AD:$AD)</f>
        <v>0</v>
      </c>
      <c r="I174" s="725">
        <f>SUMIFS(Sheet1!S71_ASBudgetAmount,Sheet1!S71_A2SubCode,$AC:$AC,Sheet1!S71_ItemType,$AD:$AD)</f>
        <v>0</v>
      </c>
      <c r="J174" s="712">
        <f>SUMIFS(Sheet1!S71_OY1BudgetAmount,Sheet1!S71_A2SubCode,$AC:$AC,Sheet1!S71_ItemType,$AD:$AD)</f>
        <v>0</v>
      </c>
      <c r="K174" s="713">
        <f>SUMIFS(Sheet1!S71_OY2BudgetAmount,Sheet1!S71_A2SubCode,$AC:$AC,Sheet1!S71_ItemType,$AD:$AD)</f>
        <v>0</v>
      </c>
      <c r="L174" s="322"/>
      <c r="Q174" s="196"/>
      <c r="AC174" s="2310">
        <v>2204</v>
      </c>
      <c r="AD174" s="2310" t="s">
        <v>2754</v>
      </c>
    </row>
    <row r="175" spans="1:30" ht="11.25" customHeight="1" x14ac:dyDescent="0.25">
      <c r="A175" s="2235" t="str">
        <f t="shared" si="28"/>
        <v>Sports Grounds and Stadiums</v>
      </c>
      <c r="B175" s="146"/>
      <c r="C175" s="712">
        <f>SUMIFS(Sheet1!S71_PPPYearAmount,Sheet1!S71_A2SubCode,$AC:$AC,Sheet1!S71_ItemType,$AD:$AD)</f>
        <v>1120508</v>
      </c>
      <c r="D175" s="712">
        <f>SUMIFS(Sheet1!S71_PPYearAmount,Sheet1!S71_A2SubCode,$AC:$AC,Sheet1!S71_ItemType,$AD:$AD)</f>
        <v>2629597</v>
      </c>
      <c r="E175" s="712">
        <f>SUMIFS(Sheet1!S71_PYearAmount,Sheet1!S71_A2SubCode,$AC:$AC,Sheet1!S71_ItemType,$AD:$AD)</f>
        <v>4086381</v>
      </c>
      <c r="F175" s="725">
        <f>SUMIFS(Sheet1!S71_OriginalBudAmnt,Sheet1!S71_A2SubCode,$AC:$AC,Sheet1!S71_ItemType,$AD:$AD)</f>
        <v>3300000</v>
      </c>
      <c r="G175" s="712">
        <f>SUMIFS(Sheet1!S71_AdjustmentBudAmnt,Sheet1!S71_A2SubCode,$AC:$AC,Sheet1!S71_ItemType,$AD:$AD)</f>
        <v>2357500</v>
      </c>
      <c r="H175" s="713">
        <f>SUMIFS(Sheet1!S71_AdjustmentBudAmnt,Sheet1!S71_A2SubCode,$AC:$AC,Sheet1!S71_ItemType,$AD:$AD)</f>
        <v>2357500</v>
      </c>
      <c r="I175" s="725">
        <f>SUMIFS(Sheet1!S71_ASBudgetAmount,Sheet1!S71_A2SubCode,$AC:$AC,Sheet1!S71_ItemType,$AD:$AD)</f>
        <v>3470000</v>
      </c>
      <c r="J175" s="712">
        <f>SUMIFS(Sheet1!S71_OY1BudgetAmount,Sheet1!S71_A2SubCode,$AC:$AC,Sheet1!S71_ItemType,$AD:$AD)</f>
        <v>3282800</v>
      </c>
      <c r="K175" s="713">
        <f>SUMIFS(Sheet1!S71_OY2BudgetAmount,Sheet1!S71_A2SubCode,$AC:$AC,Sheet1!S71_ItemType,$AD:$AD)</f>
        <v>3463112</v>
      </c>
      <c r="L175" s="322"/>
      <c r="Q175" s="196"/>
      <c r="AC175" s="2310">
        <v>2205</v>
      </c>
      <c r="AD175" s="2310" t="s">
        <v>2754</v>
      </c>
    </row>
    <row r="176" spans="1:30" ht="11.25" customHeight="1" x14ac:dyDescent="0.25">
      <c r="A176" s="241" t="str">
        <f t="shared" si="28"/>
        <v>Public safety</v>
      </c>
      <c r="B176" s="146"/>
      <c r="C176" s="106">
        <f t="shared" ref="C176:K176" si="30">SUM(C177:C184)</f>
        <v>0</v>
      </c>
      <c r="D176" s="106">
        <f t="shared" si="30"/>
        <v>0</v>
      </c>
      <c r="E176" s="359">
        <f t="shared" si="30"/>
        <v>1704</v>
      </c>
      <c r="F176" s="107">
        <f t="shared" si="30"/>
        <v>15000</v>
      </c>
      <c r="G176" s="106">
        <f t="shared" si="30"/>
        <v>0</v>
      </c>
      <c r="H176" s="359">
        <f t="shared" si="30"/>
        <v>0</v>
      </c>
      <c r="I176" s="107">
        <f t="shared" si="30"/>
        <v>0</v>
      </c>
      <c r="J176" s="106">
        <f t="shared" si="30"/>
        <v>0</v>
      </c>
      <c r="K176" s="359">
        <f t="shared" si="30"/>
        <v>0</v>
      </c>
      <c r="L176" s="322"/>
      <c r="Q176" s="196"/>
      <c r="AC176" s="2309"/>
      <c r="AD176" s="2310" t="s">
        <v>1692</v>
      </c>
    </row>
    <row r="177" spans="1:30" ht="11.25" customHeight="1" x14ac:dyDescent="0.25">
      <c r="A177" s="2235" t="str">
        <f t="shared" si="28"/>
        <v>Civil Defence</v>
      </c>
      <c r="B177" s="146"/>
      <c r="C177" s="712">
        <f>SUMIFS(Sheet1!S71_PPPYearAmount,Sheet1!S71_A2SubCode,$AC:$AC,Sheet1!S71_ItemType,$AD:$AD)</f>
        <v>0</v>
      </c>
      <c r="D177" s="712">
        <f>SUMIFS(Sheet1!S71_PPYearAmount,Sheet1!S71_A2SubCode,$AC:$AC,Sheet1!S71_ItemType,$AD:$AD)</f>
        <v>0</v>
      </c>
      <c r="E177" s="712">
        <f>SUMIFS(Sheet1!S71_PYearAmount,Sheet1!S71_A2SubCode,$AC:$AC,Sheet1!S71_ItemType,$AD:$AD)</f>
        <v>0</v>
      </c>
      <c r="F177" s="725">
        <f>SUMIFS(Sheet1!S71_OriginalBudAmnt,Sheet1!S71_A2SubCode,$AC:$AC,Sheet1!S71_ItemType,$AD:$AD)</f>
        <v>0</v>
      </c>
      <c r="G177" s="712">
        <f>SUMIFS(Sheet1!S71_AdjustmentBudAmnt,Sheet1!S71_A2SubCode,$AC:$AC,Sheet1!S71_ItemType,$AD:$AD)</f>
        <v>0</v>
      </c>
      <c r="H177" s="713">
        <f>SUMIFS(Sheet1!S71_AdjustmentBudAmnt,Sheet1!S71_A2SubCode,$AC:$AC,Sheet1!S71_ItemType,$AD:$AD)</f>
        <v>0</v>
      </c>
      <c r="I177" s="725">
        <f>SUMIFS(Sheet1!S71_ASBudgetAmount,Sheet1!S71_A2SubCode,$AC:$AC,Sheet1!S71_ItemType,$AD:$AD)</f>
        <v>0</v>
      </c>
      <c r="J177" s="712">
        <f>SUMIFS(Sheet1!S71_OY1BudgetAmount,Sheet1!S71_A2SubCode,$AC:$AC,Sheet1!S71_ItemType,$AD:$AD)</f>
        <v>0</v>
      </c>
      <c r="K177" s="713">
        <f>SUMIFS(Sheet1!S71_OY2BudgetAmount,Sheet1!S71_A2SubCode,$AC:$AC,Sheet1!S71_ItemType,$AD:$AD)</f>
        <v>0</v>
      </c>
      <c r="L177" s="322"/>
      <c r="Q177" s="196"/>
      <c r="AC177" s="2310">
        <v>2301</v>
      </c>
      <c r="AD177" s="2310" t="s">
        <v>2754</v>
      </c>
    </row>
    <row r="178" spans="1:30" ht="11.25" customHeight="1" x14ac:dyDescent="0.25">
      <c r="A178" s="2235" t="str">
        <f t="shared" si="28"/>
        <v>Cleansing</v>
      </c>
      <c r="B178" s="146"/>
      <c r="C178" s="712">
        <f>SUMIFS(Sheet1!S71_PPPYearAmount,Sheet1!S71_A2SubCode,$AC:$AC,Sheet1!S71_ItemType,$AD:$AD)</f>
        <v>0</v>
      </c>
      <c r="D178" s="712">
        <f>SUMIFS(Sheet1!S71_PPYearAmount,Sheet1!S71_A2SubCode,$AC:$AC,Sheet1!S71_ItemType,$AD:$AD)</f>
        <v>0</v>
      </c>
      <c r="E178" s="712">
        <f>SUMIFS(Sheet1!S71_PYearAmount,Sheet1!S71_A2SubCode,$AC:$AC,Sheet1!S71_ItemType,$AD:$AD)</f>
        <v>0</v>
      </c>
      <c r="F178" s="725">
        <f>SUMIFS(Sheet1!S71_OriginalBudAmnt,Sheet1!S71_A2SubCode,$AC:$AC,Sheet1!S71_ItemType,$AD:$AD)</f>
        <v>0</v>
      </c>
      <c r="G178" s="712">
        <f>SUMIFS(Sheet1!S71_AdjustmentBudAmnt,Sheet1!S71_A2SubCode,$AC:$AC,Sheet1!S71_ItemType,$AD:$AD)</f>
        <v>0</v>
      </c>
      <c r="H178" s="713">
        <f>SUMIFS(Sheet1!S71_AdjustmentBudAmnt,Sheet1!S71_A2SubCode,$AC:$AC,Sheet1!S71_ItemType,$AD:$AD)</f>
        <v>0</v>
      </c>
      <c r="I178" s="725">
        <f>SUMIFS(Sheet1!S71_ASBudgetAmount,Sheet1!S71_A2SubCode,$AC:$AC,Sheet1!S71_ItemType,$AD:$AD)</f>
        <v>0</v>
      </c>
      <c r="J178" s="712">
        <f>SUMIFS(Sheet1!S71_OY1BudgetAmount,Sheet1!S71_A2SubCode,$AC:$AC,Sheet1!S71_ItemType,$AD:$AD)</f>
        <v>0</v>
      </c>
      <c r="K178" s="713">
        <f>SUMIFS(Sheet1!S71_OY2BudgetAmount,Sheet1!S71_A2SubCode,$AC:$AC,Sheet1!S71_ItemType,$AD:$AD)</f>
        <v>0</v>
      </c>
      <c r="L178" s="322"/>
      <c r="Q178" s="196"/>
      <c r="AC178" s="2310">
        <v>2302</v>
      </c>
      <c r="AD178" s="2310" t="s">
        <v>2754</v>
      </c>
    </row>
    <row r="179" spans="1:30" ht="11.25" customHeight="1" x14ac:dyDescent="0.25">
      <c r="A179" s="2235" t="str">
        <f t="shared" ref="A179:A184" si="31">A57</f>
        <v>Control of Public Nuisances</v>
      </c>
      <c r="B179" s="144"/>
      <c r="C179" s="712">
        <f>SUMIFS(Sheet1!S71_PPPYearAmount,Sheet1!S71_A2SubCode,$AC:$AC,Sheet1!S71_ItemType,$AD:$AD)</f>
        <v>0</v>
      </c>
      <c r="D179" s="712">
        <f>SUMIFS(Sheet1!S71_PPYearAmount,Sheet1!S71_A2SubCode,$AC:$AC,Sheet1!S71_ItemType,$AD:$AD)</f>
        <v>0</v>
      </c>
      <c r="E179" s="712">
        <f>SUMIFS(Sheet1!S71_PYearAmount,Sheet1!S71_A2SubCode,$AC:$AC,Sheet1!S71_ItemType,$AD:$AD)</f>
        <v>0</v>
      </c>
      <c r="F179" s="725">
        <f>SUMIFS(Sheet1!S71_OriginalBudAmnt,Sheet1!S71_A2SubCode,$AC:$AC,Sheet1!S71_ItemType,$AD:$AD)</f>
        <v>0</v>
      </c>
      <c r="G179" s="712">
        <f>SUMIFS(Sheet1!S71_AdjustmentBudAmnt,Sheet1!S71_A2SubCode,$AC:$AC,Sheet1!S71_ItemType,$AD:$AD)</f>
        <v>0</v>
      </c>
      <c r="H179" s="713">
        <f>SUMIFS(Sheet1!S71_AdjustmentBudAmnt,Sheet1!S71_A2SubCode,$AC:$AC,Sheet1!S71_ItemType,$AD:$AD)</f>
        <v>0</v>
      </c>
      <c r="I179" s="725">
        <f>SUMIFS(Sheet1!S71_ASBudgetAmount,Sheet1!S71_A2SubCode,$AC:$AC,Sheet1!S71_ItemType,$AD:$AD)</f>
        <v>0</v>
      </c>
      <c r="J179" s="712">
        <f>SUMIFS(Sheet1!S71_OY1BudgetAmount,Sheet1!S71_A2SubCode,$AC:$AC,Sheet1!S71_ItemType,$AD:$AD)</f>
        <v>0</v>
      </c>
      <c r="K179" s="713">
        <f>SUMIFS(Sheet1!S71_OY2BudgetAmount,Sheet1!S71_A2SubCode,$AC:$AC,Sheet1!S71_ItemType,$AD:$AD)</f>
        <v>0</v>
      </c>
      <c r="L179" s="322"/>
      <c r="Q179" s="2226"/>
      <c r="R179" s="2227"/>
      <c r="AC179" s="2310">
        <v>2303</v>
      </c>
      <c r="AD179" s="2310" t="s">
        <v>2754</v>
      </c>
    </row>
    <row r="180" spans="1:30" ht="11.25" customHeight="1" x14ac:dyDescent="0.25">
      <c r="A180" s="2235" t="str">
        <f t="shared" si="31"/>
        <v xml:space="preserve">Fencing and Fences </v>
      </c>
      <c r="B180" s="146"/>
      <c r="C180" s="712">
        <f>SUMIFS(Sheet1!S71_PPPYearAmount,Sheet1!S71_A2SubCode,$AC:$AC,Sheet1!S71_ItemType,$AD:$AD)</f>
        <v>0</v>
      </c>
      <c r="D180" s="712">
        <f>SUMIFS(Sheet1!S71_PPYearAmount,Sheet1!S71_A2SubCode,$AC:$AC,Sheet1!S71_ItemType,$AD:$AD)</f>
        <v>0</v>
      </c>
      <c r="E180" s="712">
        <f>SUMIFS(Sheet1!S71_PYearAmount,Sheet1!S71_A2SubCode,$AC:$AC,Sheet1!S71_ItemType,$AD:$AD)</f>
        <v>0</v>
      </c>
      <c r="F180" s="725">
        <f>SUMIFS(Sheet1!S71_OriginalBudAmnt,Sheet1!S71_A2SubCode,$AC:$AC,Sheet1!S71_ItemType,$AD:$AD)</f>
        <v>0</v>
      </c>
      <c r="G180" s="712">
        <f>SUMIFS(Sheet1!S71_AdjustmentBudAmnt,Sheet1!S71_A2SubCode,$AC:$AC,Sheet1!S71_ItemType,$AD:$AD)</f>
        <v>0</v>
      </c>
      <c r="H180" s="713">
        <f>SUMIFS(Sheet1!S71_AdjustmentBudAmnt,Sheet1!S71_A2SubCode,$AC:$AC,Sheet1!S71_ItemType,$AD:$AD)</f>
        <v>0</v>
      </c>
      <c r="I180" s="725">
        <f>SUMIFS(Sheet1!S71_ASBudgetAmount,Sheet1!S71_A2SubCode,$AC:$AC,Sheet1!S71_ItemType,$AD:$AD)</f>
        <v>0</v>
      </c>
      <c r="J180" s="712">
        <f>SUMIFS(Sheet1!S71_OY1BudgetAmount,Sheet1!S71_A2SubCode,$AC:$AC,Sheet1!S71_ItemType,$AD:$AD)</f>
        <v>0</v>
      </c>
      <c r="K180" s="713">
        <f>SUMIFS(Sheet1!S71_OY2BudgetAmount,Sheet1!S71_A2SubCode,$AC:$AC,Sheet1!S71_ItemType,$AD:$AD)</f>
        <v>0</v>
      </c>
      <c r="L180" s="322"/>
      <c r="Q180" s="196"/>
      <c r="AC180" s="2310">
        <v>2304</v>
      </c>
      <c r="AD180" s="2310" t="s">
        <v>2754</v>
      </c>
    </row>
    <row r="181" spans="1:30" ht="11.25" customHeight="1" x14ac:dyDescent="0.25">
      <c r="A181" s="2235" t="str">
        <f t="shared" si="31"/>
        <v>Fire Fighting and Protection</v>
      </c>
      <c r="B181" s="146"/>
      <c r="C181" s="712">
        <f>SUMIFS(Sheet1!S71_PPPYearAmount,Sheet1!S71_A2SubCode,$AC:$AC,Sheet1!S71_ItemType,$AD:$AD)</f>
        <v>0</v>
      </c>
      <c r="D181" s="712">
        <f>SUMIFS(Sheet1!S71_PPYearAmount,Sheet1!S71_A2SubCode,$AC:$AC,Sheet1!S71_ItemType,$AD:$AD)</f>
        <v>0</v>
      </c>
      <c r="E181" s="712">
        <f>SUMIFS(Sheet1!S71_PYearAmount,Sheet1!S71_A2SubCode,$AC:$AC,Sheet1!S71_ItemType,$AD:$AD)</f>
        <v>1704</v>
      </c>
      <c r="F181" s="725">
        <f>SUMIFS(Sheet1!S71_OriginalBudAmnt,Sheet1!S71_A2SubCode,$AC:$AC,Sheet1!S71_ItemType,$AD:$AD)</f>
        <v>15000</v>
      </c>
      <c r="G181" s="712">
        <f>SUMIFS(Sheet1!S71_AdjustmentBudAmnt,Sheet1!S71_A2SubCode,$AC:$AC,Sheet1!S71_ItemType,$AD:$AD)</f>
        <v>0</v>
      </c>
      <c r="H181" s="713">
        <f>SUMIFS(Sheet1!S71_AdjustmentBudAmnt,Sheet1!S71_A2SubCode,$AC:$AC,Sheet1!S71_ItemType,$AD:$AD)</f>
        <v>0</v>
      </c>
      <c r="I181" s="725">
        <f>SUMIFS(Sheet1!S71_ASBudgetAmount,Sheet1!S71_A2SubCode,$AC:$AC,Sheet1!S71_ItemType,$AD:$AD)</f>
        <v>0</v>
      </c>
      <c r="J181" s="712">
        <f>SUMIFS(Sheet1!S71_OY1BudgetAmount,Sheet1!S71_A2SubCode,$AC:$AC,Sheet1!S71_ItemType,$AD:$AD)</f>
        <v>0</v>
      </c>
      <c r="K181" s="713">
        <f>SUMIFS(Sheet1!S71_OY2BudgetAmount,Sheet1!S71_A2SubCode,$AC:$AC,Sheet1!S71_ItemType,$AD:$AD)</f>
        <v>0</v>
      </c>
      <c r="L181" s="322"/>
      <c r="Q181" s="196"/>
      <c r="AC181" s="2310">
        <v>2305</v>
      </c>
      <c r="AD181" s="2310" t="s">
        <v>2754</v>
      </c>
    </row>
    <row r="182" spans="1:30" ht="11.25" customHeight="1" x14ac:dyDescent="0.25">
      <c r="A182" s="2235" t="str">
        <f t="shared" si="31"/>
        <v>Licensing and Control of Animals</v>
      </c>
      <c r="B182" s="146"/>
      <c r="C182" s="712">
        <f>SUMIFS(Sheet1!S71_PPPYearAmount,Sheet1!S71_A2SubCode,$AC:$AC,Sheet1!S71_ItemType,$AD:$AD)</f>
        <v>0</v>
      </c>
      <c r="D182" s="712">
        <f>SUMIFS(Sheet1!S71_PPYearAmount,Sheet1!S71_A2SubCode,$AC:$AC,Sheet1!S71_ItemType,$AD:$AD)</f>
        <v>0</v>
      </c>
      <c r="E182" s="712">
        <f>SUMIFS(Sheet1!S71_PYearAmount,Sheet1!S71_A2SubCode,$AC:$AC,Sheet1!S71_ItemType,$AD:$AD)</f>
        <v>0</v>
      </c>
      <c r="F182" s="725">
        <f>SUMIFS(Sheet1!S71_OriginalBudAmnt,Sheet1!S71_A2SubCode,$AC:$AC,Sheet1!S71_ItemType,$AD:$AD)</f>
        <v>0</v>
      </c>
      <c r="G182" s="712">
        <f>SUMIFS(Sheet1!S71_AdjustmentBudAmnt,Sheet1!S71_A2SubCode,$AC:$AC,Sheet1!S71_ItemType,$AD:$AD)</f>
        <v>0</v>
      </c>
      <c r="H182" s="713">
        <f>SUMIFS(Sheet1!S71_AdjustmentBudAmnt,Sheet1!S71_A2SubCode,$AC:$AC,Sheet1!S71_ItemType,$AD:$AD)</f>
        <v>0</v>
      </c>
      <c r="I182" s="725">
        <f>SUMIFS(Sheet1!S71_ASBudgetAmount,Sheet1!S71_A2SubCode,$AC:$AC,Sheet1!S71_ItemType,$AD:$AD)</f>
        <v>0</v>
      </c>
      <c r="J182" s="712">
        <f>SUMIFS(Sheet1!S71_OY1BudgetAmount,Sheet1!S71_A2SubCode,$AC:$AC,Sheet1!S71_ItemType,$AD:$AD)</f>
        <v>0</v>
      </c>
      <c r="K182" s="713">
        <f>SUMIFS(Sheet1!S71_OY2BudgetAmount,Sheet1!S71_A2SubCode,$AC:$AC,Sheet1!S71_ItemType,$AD:$AD)</f>
        <v>0</v>
      </c>
      <c r="L182" s="322"/>
      <c r="Q182" s="196"/>
      <c r="AC182" s="2310">
        <v>2306</v>
      </c>
      <c r="AD182" s="2310" t="s">
        <v>2754</v>
      </c>
    </row>
    <row r="183" spans="1:30" ht="11.25" customHeight="1" x14ac:dyDescent="0.25">
      <c r="A183" s="2235" t="str">
        <f t="shared" si="31"/>
        <v>Police Forces, Traffic and Street Parking Control</v>
      </c>
      <c r="B183" s="146"/>
      <c r="C183" s="712">
        <f>SUMIFS(Sheet1!S71_PPPYearAmount,Sheet1!S71_A2SubCode,$AC:$AC,Sheet1!S71_ItemType,$AD:$AD)</f>
        <v>0</v>
      </c>
      <c r="D183" s="712">
        <f>SUMIFS(Sheet1!S71_PPYearAmount,Sheet1!S71_A2SubCode,$AC:$AC,Sheet1!S71_ItemType,$AD:$AD)</f>
        <v>0</v>
      </c>
      <c r="E183" s="712">
        <f>SUMIFS(Sheet1!S71_PYearAmount,Sheet1!S71_A2SubCode,$AC:$AC,Sheet1!S71_ItemType,$AD:$AD)</f>
        <v>0</v>
      </c>
      <c r="F183" s="725">
        <f>SUMIFS(Sheet1!S71_OriginalBudAmnt,Sheet1!S71_A2SubCode,$AC:$AC,Sheet1!S71_ItemType,$AD:$AD)</f>
        <v>0</v>
      </c>
      <c r="G183" s="712">
        <f>SUMIFS(Sheet1!S71_AdjustmentBudAmnt,Sheet1!S71_A2SubCode,$AC:$AC,Sheet1!S71_ItemType,$AD:$AD)</f>
        <v>0</v>
      </c>
      <c r="H183" s="713">
        <f>SUMIFS(Sheet1!S71_AdjustmentBudAmnt,Sheet1!S71_A2SubCode,$AC:$AC,Sheet1!S71_ItemType,$AD:$AD)</f>
        <v>0</v>
      </c>
      <c r="I183" s="725">
        <f>SUMIFS(Sheet1!S71_ASBudgetAmount,Sheet1!S71_A2SubCode,$AC:$AC,Sheet1!S71_ItemType,$AD:$AD)</f>
        <v>0</v>
      </c>
      <c r="J183" s="712">
        <f>SUMIFS(Sheet1!S71_OY1BudgetAmount,Sheet1!S71_A2SubCode,$AC:$AC,Sheet1!S71_ItemType,$AD:$AD)</f>
        <v>0</v>
      </c>
      <c r="K183" s="713">
        <f>SUMIFS(Sheet1!S71_OY2BudgetAmount,Sheet1!S71_A2SubCode,$AC:$AC,Sheet1!S71_ItemType,$AD:$AD)</f>
        <v>0</v>
      </c>
      <c r="L183" s="322"/>
      <c r="Q183" s="196"/>
      <c r="AC183" s="2310">
        <v>2307</v>
      </c>
      <c r="AD183" s="2310" t="s">
        <v>2754</v>
      </c>
    </row>
    <row r="184" spans="1:30" ht="11.25" customHeight="1" x14ac:dyDescent="0.25">
      <c r="A184" s="2235" t="str">
        <f t="shared" si="31"/>
        <v>Pounds</v>
      </c>
      <c r="B184" s="146"/>
      <c r="C184" s="712">
        <f>SUMIFS(Sheet1!S71_PPPYearAmount,Sheet1!S71_A2SubCode,$AC:$AC,Sheet1!S71_ItemType,$AD:$AD)</f>
        <v>0</v>
      </c>
      <c r="D184" s="712">
        <f>SUMIFS(Sheet1!S71_PPYearAmount,Sheet1!S71_A2SubCode,$AC:$AC,Sheet1!S71_ItemType,$AD:$AD)</f>
        <v>0</v>
      </c>
      <c r="E184" s="712">
        <f>SUMIFS(Sheet1!S71_PYearAmount,Sheet1!S71_A2SubCode,$AC:$AC,Sheet1!S71_ItemType,$AD:$AD)</f>
        <v>0</v>
      </c>
      <c r="F184" s="725">
        <f>SUMIFS(Sheet1!S71_OriginalBudAmnt,Sheet1!S71_A2SubCode,$AC:$AC,Sheet1!S71_ItemType,$AD:$AD)</f>
        <v>0</v>
      </c>
      <c r="G184" s="712">
        <f>SUMIFS(Sheet1!S71_AdjustmentBudAmnt,Sheet1!S71_A2SubCode,$AC:$AC,Sheet1!S71_ItemType,$AD:$AD)</f>
        <v>0</v>
      </c>
      <c r="H184" s="713">
        <f>SUMIFS(Sheet1!S71_AdjustmentBudAmnt,Sheet1!S71_A2SubCode,$AC:$AC,Sheet1!S71_ItemType,$AD:$AD)</f>
        <v>0</v>
      </c>
      <c r="I184" s="725">
        <f>SUMIFS(Sheet1!S71_ASBudgetAmount,Sheet1!S71_A2SubCode,$AC:$AC,Sheet1!S71_ItemType,$AD:$AD)</f>
        <v>0</v>
      </c>
      <c r="J184" s="712">
        <f>SUMIFS(Sheet1!S71_OY1BudgetAmount,Sheet1!S71_A2SubCode,$AC:$AC,Sheet1!S71_ItemType,$AD:$AD)</f>
        <v>0</v>
      </c>
      <c r="K184" s="713">
        <f>SUMIFS(Sheet1!S71_OY2BudgetAmount,Sheet1!S71_A2SubCode,$AC:$AC,Sheet1!S71_ItemType,$AD:$AD)</f>
        <v>0</v>
      </c>
      <c r="L184" s="322"/>
      <c r="Q184" s="196"/>
      <c r="AC184" s="2310">
        <v>2308</v>
      </c>
      <c r="AD184" s="2310" t="s">
        <v>2754</v>
      </c>
    </row>
    <row r="185" spans="1:30" ht="11.25" customHeight="1" x14ac:dyDescent="0.25">
      <c r="A185" s="241" t="str">
        <f t="shared" ref="A185:A216" si="32">A63</f>
        <v>Housing</v>
      </c>
      <c r="B185" s="146"/>
      <c r="C185" s="106">
        <f t="shared" ref="C185:K185" si="33">SUM(C186:C187)</f>
        <v>100</v>
      </c>
      <c r="D185" s="106">
        <f t="shared" si="33"/>
        <v>0</v>
      </c>
      <c r="E185" s="359">
        <f t="shared" si="33"/>
        <v>0</v>
      </c>
      <c r="F185" s="107">
        <f t="shared" si="33"/>
        <v>0</v>
      </c>
      <c r="G185" s="106">
        <f t="shared" si="33"/>
        <v>0</v>
      </c>
      <c r="H185" s="359">
        <f t="shared" si="33"/>
        <v>0</v>
      </c>
      <c r="I185" s="107">
        <f t="shared" si="33"/>
        <v>0</v>
      </c>
      <c r="J185" s="106">
        <f t="shared" si="33"/>
        <v>0</v>
      </c>
      <c r="K185" s="359">
        <f t="shared" si="33"/>
        <v>0</v>
      </c>
      <c r="L185" s="322"/>
      <c r="Q185" s="196"/>
      <c r="AC185" s="2309"/>
      <c r="AD185" s="2310" t="s">
        <v>1692</v>
      </c>
    </row>
    <row r="186" spans="1:30" ht="11.25" customHeight="1" x14ac:dyDescent="0.25">
      <c r="A186" s="2235" t="str">
        <f t="shared" si="32"/>
        <v>Housing</v>
      </c>
      <c r="B186" s="146"/>
      <c r="C186" s="712">
        <f>SUMIFS(Sheet1!S71_PPPYearAmount,Sheet1!S71_A2SubCode,$AC:$AC,Sheet1!S71_ItemType,$AD:$AD)</f>
        <v>100</v>
      </c>
      <c r="D186" s="712">
        <f>SUMIFS(Sheet1!S71_PPYearAmount,Sheet1!S71_A2SubCode,$AC:$AC,Sheet1!S71_ItemType,$AD:$AD)</f>
        <v>0</v>
      </c>
      <c r="E186" s="712">
        <f>SUMIFS(Sheet1!S71_PYearAmount,Sheet1!S71_A2SubCode,$AC:$AC,Sheet1!S71_ItemType,$AD:$AD)</f>
        <v>0</v>
      </c>
      <c r="F186" s="725">
        <f>SUMIFS(Sheet1!S71_OriginalBudAmnt,Sheet1!S71_A2SubCode,$AC:$AC,Sheet1!S71_ItemType,$AD:$AD)</f>
        <v>0</v>
      </c>
      <c r="G186" s="712">
        <f>SUMIFS(Sheet1!S71_AdjustmentBudAmnt,Sheet1!S71_A2SubCode,$AC:$AC,Sheet1!S71_ItemType,$AD:$AD)</f>
        <v>0</v>
      </c>
      <c r="H186" s="713">
        <f>SUMIFS(Sheet1!S71_AdjustmentBudAmnt,Sheet1!S71_A2SubCode,$AC:$AC,Sheet1!S71_ItemType,$AD:$AD)</f>
        <v>0</v>
      </c>
      <c r="I186" s="725">
        <f>SUMIFS(Sheet1!S71_ASBudgetAmount,Sheet1!S71_A2SubCode,$AC:$AC,Sheet1!S71_ItemType,$AD:$AD)</f>
        <v>0</v>
      </c>
      <c r="J186" s="712">
        <f>SUMIFS(Sheet1!S71_OY1BudgetAmount,Sheet1!S71_A2SubCode,$AC:$AC,Sheet1!S71_ItemType,$AD:$AD)</f>
        <v>0</v>
      </c>
      <c r="K186" s="713">
        <f>SUMIFS(Sheet1!S71_OY2BudgetAmount,Sheet1!S71_A2SubCode,$AC:$AC,Sheet1!S71_ItemType,$AD:$AD)</f>
        <v>0</v>
      </c>
      <c r="L186" s="322"/>
      <c r="Q186" s="196"/>
      <c r="AC186" s="2310">
        <v>2401</v>
      </c>
      <c r="AD186" s="2310" t="s">
        <v>2754</v>
      </c>
    </row>
    <row r="187" spans="1:30" ht="11.25" customHeight="1" x14ac:dyDescent="0.25">
      <c r="A187" s="2235" t="str">
        <f t="shared" si="32"/>
        <v>Informal Settlements</v>
      </c>
      <c r="B187" s="146"/>
      <c r="C187" s="712">
        <f>SUMIFS(Sheet1!S71_PPPYearAmount,Sheet1!S71_A2SubCode,$AC:$AC,Sheet1!S71_ItemType,$AD:$AD)</f>
        <v>0</v>
      </c>
      <c r="D187" s="712">
        <f>SUMIFS(Sheet1!S71_PPYearAmount,Sheet1!S71_A2SubCode,$AC:$AC,Sheet1!S71_ItemType,$AD:$AD)</f>
        <v>0</v>
      </c>
      <c r="E187" s="712">
        <f>SUMIFS(Sheet1!S71_PYearAmount,Sheet1!S71_A2SubCode,$AC:$AC,Sheet1!S71_ItemType,$AD:$AD)</f>
        <v>0</v>
      </c>
      <c r="F187" s="725">
        <f>SUMIFS(Sheet1!S71_OriginalBudAmnt,Sheet1!S71_A2SubCode,$AC:$AC,Sheet1!S71_ItemType,$AD:$AD)</f>
        <v>0</v>
      </c>
      <c r="G187" s="712">
        <f>SUMIFS(Sheet1!S71_AdjustmentBudAmnt,Sheet1!S71_A2SubCode,$AC:$AC,Sheet1!S71_ItemType,$AD:$AD)</f>
        <v>0</v>
      </c>
      <c r="H187" s="713">
        <f>SUMIFS(Sheet1!S71_AdjustmentBudAmnt,Sheet1!S71_A2SubCode,$AC:$AC,Sheet1!S71_ItemType,$AD:$AD)</f>
        <v>0</v>
      </c>
      <c r="I187" s="725">
        <f>SUMIFS(Sheet1!S71_ASBudgetAmount,Sheet1!S71_A2SubCode,$AC:$AC,Sheet1!S71_ItemType,$AD:$AD)</f>
        <v>0</v>
      </c>
      <c r="J187" s="712">
        <f>SUMIFS(Sheet1!S71_OY1BudgetAmount,Sheet1!S71_A2SubCode,$AC:$AC,Sheet1!S71_ItemType,$AD:$AD)</f>
        <v>0</v>
      </c>
      <c r="K187" s="713">
        <f>SUMIFS(Sheet1!S71_OY2BudgetAmount,Sheet1!S71_A2SubCode,$AC:$AC,Sheet1!S71_ItemType,$AD:$AD)</f>
        <v>0</v>
      </c>
      <c r="L187" s="322"/>
      <c r="Q187" s="196"/>
      <c r="AC187" s="2310">
        <v>2402</v>
      </c>
      <c r="AD187" s="2310" t="s">
        <v>2754</v>
      </c>
    </row>
    <row r="188" spans="1:30" ht="11.25" customHeight="1" x14ac:dyDescent="0.25">
      <c r="A188" s="241" t="str">
        <f t="shared" si="32"/>
        <v>Health</v>
      </c>
      <c r="B188" s="146"/>
      <c r="C188" s="106">
        <f>SUM(C189:C195)</f>
        <v>125870</v>
      </c>
      <c r="D188" s="106">
        <f t="shared" ref="D188:K188" si="34">SUM(D189:D195)</f>
        <v>160018</v>
      </c>
      <c r="E188" s="359">
        <f t="shared" si="34"/>
        <v>115416</v>
      </c>
      <c r="F188" s="107">
        <f t="shared" si="34"/>
        <v>270000</v>
      </c>
      <c r="G188" s="106">
        <f t="shared" si="34"/>
        <v>189885</v>
      </c>
      <c r="H188" s="359">
        <f t="shared" si="34"/>
        <v>189885</v>
      </c>
      <c r="I188" s="107">
        <f t="shared" si="34"/>
        <v>340000</v>
      </c>
      <c r="J188" s="106">
        <f t="shared" si="34"/>
        <v>309067</v>
      </c>
      <c r="K188" s="359">
        <f t="shared" si="34"/>
        <v>321428</v>
      </c>
      <c r="L188" s="322"/>
      <c r="Q188" s="196"/>
      <c r="AC188" s="2309"/>
      <c r="AD188" s="2310" t="s">
        <v>1692</v>
      </c>
    </row>
    <row r="189" spans="1:30" ht="11.25" customHeight="1" x14ac:dyDescent="0.25">
      <c r="A189" s="2235" t="str">
        <f t="shared" si="32"/>
        <v>Ambulance</v>
      </c>
      <c r="B189" s="146"/>
      <c r="C189" s="712">
        <f>SUMIFS(Sheet1!S71_PPPYearAmount,Sheet1!S71_A2SubCode,$AC:$AC,Sheet1!S71_ItemType,$AD:$AD)</f>
        <v>0</v>
      </c>
      <c r="D189" s="712">
        <f>SUMIFS(Sheet1!S71_PPYearAmount,Sheet1!S71_A2SubCode,$AC:$AC,Sheet1!S71_ItemType,$AD:$AD)</f>
        <v>0</v>
      </c>
      <c r="E189" s="712">
        <f>SUMIFS(Sheet1!S71_PYearAmount,Sheet1!S71_A2SubCode,$AC:$AC,Sheet1!S71_ItemType,$AD:$AD)</f>
        <v>0</v>
      </c>
      <c r="F189" s="725">
        <f>SUMIFS(Sheet1!S71_OriginalBudAmnt,Sheet1!S71_A2SubCode,$AC:$AC,Sheet1!S71_ItemType,$AD:$AD)</f>
        <v>0</v>
      </c>
      <c r="G189" s="712">
        <f>SUMIFS(Sheet1!S71_AdjustmentBudAmnt,Sheet1!S71_A2SubCode,$AC:$AC,Sheet1!S71_ItemType,$AD:$AD)</f>
        <v>0</v>
      </c>
      <c r="H189" s="713">
        <f>SUMIFS(Sheet1!S71_AdjustmentBudAmnt,Sheet1!S71_A2SubCode,$AC:$AC,Sheet1!S71_ItemType,$AD:$AD)</f>
        <v>0</v>
      </c>
      <c r="I189" s="725">
        <f>SUMIFS(Sheet1!S71_ASBudgetAmount,Sheet1!S71_A2SubCode,$AC:$AC,Sheet1!S71_ItemType,$AD:$AD)</f>
        <v>0</v>
      </c>
      <c r="J189" s="712">
        <f>SUMIFS(Sheet1!S71_OY1BudgetAmount,Sheet1!S71_A2SubCode,$AC:$AC,Sheet1!S71_ItemType,$AD:$AD)</f>
        <v>0</v>
      </c>
      <c r="K189" s="713">
        <f>SUMIFS(Sheet1!S71_OY2BudgetAmount,Sheet1!S71_A2SubCode,$AC:$AC,Sheet1!S71_ItemType,$AD:$AD)</f>
        <v>0</v>
      </c>
      <c r="L189" s="322"/>
      <c r="Q189" s="196"/>
      <c r="AC189" s="2310">
        <v>2501</v>
      </c>
      <c r="AD189" s="2310" t="s">
        <v>2754</v>
      </c>
    </row>
    <row r="190" spans="1:30" ht="11.25" customHeight="1" x14ac:dyDescent="0.25">
      <c r="A190" s="2235" t="str">
        <f t="shared" si="32"/>
        <v>Health Services</v>
      </c>
      <c r="B190" s="146"/>
      <c r="C190" s="712">
        <f>SUMIFS(Sheet1!S71_PPPYearAmount,Sheet1!S71_A2SubCode,$AC:$AC,Sheet1!S71_ItemType,$AD:$AD)</f>
        <v>125870</v>
      </c>
      <c r="D190" s="712">
        <f>SUMIFS(Sheet1!S71_PPYearAmount,Sheet1!S71_A2SubCode,$AC:$AC,Sheet1!S71_ItemType,$AD:$AD)</f>
        <v>160018</v>
      </c>
      <c r="E190" s="712">
        <f>SUMIFS(Sheet1!S71_PYearAmount,Sheet1!S71_A2SubCode,$AC:$AC,Sheet1!S71_ItemType,$AD:$AD)</f>
        <v>115416</v>
      </c>
      <c r="F190" s="725">
        <f>SUMIFS(Sheet1!S71_OriginalBudAmnt,Sheet1!S71_A2SubCode,$AC:$AC,Sheet1!S71_ItemType,$AD:$AD)</f>
        <v>270000</v>
      </c>
      <c r="G190" s="712">
        <f>SUMIFS(Sheet1!S71_AdjustmentBudAmnt,Sheet1!S71_A2SubCode,$AC:$AC,Sheet1!S71_ItemType,$AD:$AD)</f>
        <v>189885</v>
      </c>
      <c r="H190" s="713">
        <f>SUMIFS(Sheet1!S71_AdjustmentBudAmnt,Sheet1!S71_A2SubCode,$AC:$AC,Sheet1!S71_ItemType,$AD:$AD)</f>
        <v>189885</v>
      </c>
      <c r="I190" s="725">
        <f>SUMIFS(Sheet1!S71_ASBudgetAmount,Sheet1!S71_A2SubCode,$AC:$AC,Sheet1!S71_ItemType,$AD:$AD)</f>
        <v>340000</v>
      </c>
      <c r="J190" s="712">
        <f>SUMIFS(Sheet1!S71_OY1BudgetAmount,Sheet1!S71_A2SubCode,$AC:$AC,Sheet1!S71_ItemType,$AD:$AD)</f>
        <v>309067</v>
      </c>
      <c r="K190" s="713">
        <f>SUMIFS(Sheet1!S71_OY2BudgetAmount,Sheet1!S71_A2SubCode,$AC:$AC,Sheet1!S71_ItemType,$AD:$AD)</f>
        <v>321428</v>
      </c>
      <c r="L190" s="322"/>
      <c r="Q190" s="196"/>
      <c r="AC190" s="2310">
        <v>2502</v>
      </c>
      <c r="AD190" s="2310" t="s">
        <v>2754</v>
      </c>
    </row>
    <row r="191" spans="1:30" ht="11.25" customHeight="1" x14ac:dyDescent="0.25">
      <c r="A191" s="2235" t="str">
        <f t="shared" si="32"/>
        <v>Laboratory Services</v>
      </c>
      <c r="B191" s="146"/>
      <c r="C191" s="712">
        <f>SUMIFS(Sheet1!S71_PPPYearAmount,Sheet1!S71_A2SubCode,$AC:$AC,Sheet1!S71_ItemType,$AD:$AD)</f>
        <v>0</v>
      </c>
      <c r="D191" s="712">
        <f>SUMIFS(Sheet1!S71_PPYearAmount,Sheet1!S71_A2SubCode,$AC:$AC,Sheet1!S71_ItemType,$AD:$AD)</f>
        <v>0</v>
      </c>
      <c r="E191" s="712">
        <f>SUMIFS(Sheet1!S71_PYearAmount,Sheet1!S71_A2SubCode,$AC:$AC,Sheet1!S71_ItemType,$AD:$AD)</f>
        <v>0</v>
      </c>
      <c r="F191" s="725">
        <f>SUMIFS(Sheet1!S71_OriginalBudAmnt,Sheet1!S71_A2SubCode,$AC:$AC,Sheet1!S71_ItemType,$AD:$AD)</f>
        <v>0</v>
      </c>
      <c r="G191" s="712">
        <f>SUMIFS(Sheet1!S71_AdjustmentBudAmnt,Sheet1!S71_A2SubCode,$AC:$AC,Sheet1!S71_ItemType,$AD:$AD)</f>
        <v>0</v>
      </c>
      <c r="H191" s="713">
        <f>SUMIFS(Sheet1!S71_AdjustmentBudAmnt,Sheet1!S71_A2SubCode,$AC:$AC,Sheet1!S71_ItemType,$AD:$AD)</f>
        <v>0</v>
      </c>
      <c r="I191" s="725">
        <f>SUMIFS(Sheet1!S71_ASBudgetAmount,Sheet1!S71_A2SubCode,$AC:$AC,Sheet1!S71_ItemType,$AD:$AD)</f>
        <v>0</v>
      </c>
      <c r="J191" s="712">
        <f>SUMIFS(Sheet1!S71_OY1BudgetAmount,Sheet1!S71_A2SubCode,$AC:$AC,Sheet1!S71_ItemType,$AD:$AD)</f>
        <v>0</v>
      </c>
      <c r="K191" s="713">
        <f>SUMIFS(Sheet1!S71_OY2BudgetAmount,Sheet1!S71_A2SubCode,$AC:$AC,Sheet1!S71_ItemType,$AD:$AD)</f>
        <v>0</v>
      </c>
      <c r="L191" s="322"/>
      <c r="Q191" s="196"/>
      <c r="AC191" s="2310">
        <v>2503</v>
      </c>
      <c r="AD191" s="2310" t="s">
        <v>2754</v>
      </c>
    </row>
    <row r="192" spans="1:30" ht="11.25" customHeight="1" x14ac:dyDescent="0.25">
      <c r="A192" s="2235" t="str">
        <f t="shared" si="32"/>
        <v>Food Control</v>
      </c>
      <c r="B192" s="146"/>
      <c r="C192" s="712">
        <f>SUMIFS(Sheet1!S71_PPPYearAmount,Sheet1!S71_A2SubCode,$AC:$AC,Sheet1!S71_ItemType,$AD:$AD)</f>
        <v>0</v>
      </c>
      <c r="D192" s="712">
        <f>SUMIFS(Sheet1!S71_PPYearAmount,Sheet1!S71_A2SubCode,$AC:$AC,Sheet1!S71_ItemType,$AD:$AD)</f>
        <v>0</v>
      </c>
      <c r="E192" s="712">
        <f>SUMIFS(Sheet1!S71_PYearAmount,Sheet1!S71_A2SubCode,$AC:$AC,Sheet1!S71_ItemType,$AD:$AD)</f>
        <v>0</v>
      </c>
      <c r="F192" s="725">
        <f>SUMIFS(Sheet1!S71_OriginalBudAmnt,Sheet1!S71_A2SubCode,$AC:$AC,Sheet1!S71_ItemType,$AD:$AD)</f>
        <v>0</v>
      </c>
      <c r="G192" s="712">
        <f>SUMIFS(Sheet1!S71_AdjustmentBudAmnt,Sheet1!S71_A2SubCode,$AC:$AC,Sheet1!S71_ItemType,$AD:$AD)</f>
        <v>0</v>
      </c>
      <c r="H192" s="713">
        <f>SUMIFS(Sheet1!S71_AdjustmentBudAmnt,Sheet1!S71_A2SubCode,$AC:$AC,Sheet1!S71_ItemType,$AD:$AD)</f>
        <v>0</v>
      </c>
      <c r="I192" s="725">
        <f>SUMIFS(Sheet1!S71_ASBudgetAmount,Sheet1!S71_A2SubCode,$AC:$AC,Sheet1!S71_ItemType,$AD:$AD)</f>
        <v>0</v>
      </c>
      <c r="J192" s="712">
        <f>SUMIFS(Sheet1!S71_OY1BudgetAmount,Sheet1!S71_A2SubCode,$AC:$AC,Sheet1!S71_ItemType,$AD:$AD)</f>
        <v>0</v>
      </c>
      <c r="K192" s="713">
        <f>SUMIFS(Sheet1!S71_OY2BudgetAmount,Sheet1!S71_A2SubCode,$AC:$AC,Sheet1!S71_ItemType,$AD:$AD)</f>
        <v>0</v>
      </c>
      <c r="L192" s="322"/>
      <c r="Q192" s="196"/>
      <c r="AC192" s="2310">
        <v>2504</v>
      </c>
      <c r="AD192" s="2310" t="s">
        <v>2754</v>
      </c>
    </row>
    <row r="193" spans="1:30" ht="11.25" customHeight="1" x14ac:dyDescent="0.25">
      <c r="A193" s="2235" t="str">
        <f t="shared" si="32"/>
        <v>Health Surveillance and Prevention of Communicable Diseases including immunizations</v>
      </c>
      <c r="B193" s="146"/>
      <c r="C193" s="712">
        <f>SUMIFS(Sheet1!S71_PPPYearAmount,Sheet1!S71_A2SubCode,$AC:$AC,Sheet1!S71_ItemType,$AD:$AD)</f>
        <v>0</v>
      </c>
      <c r="D193" s="712">
        <f>SUMIFS(Sheet1!S71_PPYearAmount,Sheet1!S71_A2SubCode,$AC:$AC,Sheet1!S71_ItemType,$AD:$AD)</f>
        <v>0</v>
      </c>
      <c r="E193" s="712">
        <f>SUMIFS(Sheet1!S71_PYearAmount,Sheet1!S71_A2SubCode,$AC:$AC,Sheet1!S71_ItemType,$AD:$AD)</f>
        <v>0</v>
      </c>
      <c r="F193" s="725">
        <f>SUMIFS(Sheet1!S71_OriginalBudAmnt,Sheet1!S71_A2SubCode,$AC:$AC,Sheet1!S71_ItemType,$AD:$AD)</f>
        <v>0</v>
      </c>
      <c r="G193" s="712">
        <f>SUMIFS(Sheet1!S71_AdjustmentBudAmnt,Sheet1!S71_A2SubCode,$AC:$AC,Sheet1!S71_ItemType,$AD:$AD)</f>
        <v>0</v>
      </c>
      <c r="H193" s="713">
        <f>SUMIFS(Sheet1!S71_AdjustmentBudAmnt,Sheet1!S71_A2SubCode,$AC:$AC,Sheet1!S71_ItemType,$AD:$AD)</f>
        <v>0</v>
      </c>
      <c r="I193" s="725">
        <f>SUMIFS(Sheet1!S71_ASBudgetAmount,Sheet1!S71_A2SubCode,$AC:$AC,Sheet1!S71_ItemType,$AD:$AD)</f>
        <v>0</v>
      </c>
      <c r="J193" s="712">
        <f>SUMIFS(Sheet1!S71_OY1BudgetAmount,Sheet1!S71_A2SubCode,$AC:$AC,Sheet1!S71_ItemType,$AD:$AD)</f>
        <v>0</v>
      </c>
      <c r="K193" s="713">
        <f>SUMIFS(Sheet1!S71_OY2BudgetAmount,Sheet1!S71_A2SubCode,$AC:$AC,Sheet1!S71_ItemType,$AD:$AD)</f>
        <v>0</v>
      </c>
      <c r="L193" s="322"/>
      <c r="Q193" s="196"/>
      <c r="AC193" s="2310">
        <v>2505</v>
      </c>
      <c r="AD193" s="2310" t="s">
        <v>2754</v>
      </c>
    </row>
    <row r="194" spans="1:30" ht="11.25" customHeight="1" x14ac:dyDescent="0.25">
      <c r="A194" s="2235" t="str">
        <f t="shared" si="32"/>
        <v>Vector Control</v>
      </c>
      <c r="B194" s="146"/>
      <c r="C194" s="712">
        <f>SUMIFS(Sheet1!S71_PPPYearAmount,Sheet1!S71_A2SubCode,$AC:$AC,Sheet1!S71_ItemType,$AD:$AD)</f>
        <v>0</v>
      </c>
      <c r="D194" s="712">
        <f>SUMIFS(Sheet1!S71_PPYearAmount,Sheet1!S71_A2SubCode,$AC:$AC,Sheet1!S71_ItemType,$AD:$AD)</f>
        <v>0</v>
      </c>
      <c r="E194" s="712">
        <f>SUMIFS(Sheet1!S71_PYearAmount,Sheet1!S71_A2SubCode,$AC:$AC,Sheet1!S71_ItemType,$AD:$AD)</f>
        <v>0</v>
      </c>
      <c r="F194" s="725">
        <f>SUMIFS(Sheet1!S71_OriginalBudAmnt,Sheet1!S71_A2SubCode,$AC:$AC,Sheet1!S71_ItemType,$AD:$AD)</f>
        <v>0</v>
      </c>
      <c r="G194" s="712">
        <f>SUMIFS(Sheet1!S71_AdjustmentBudAmnt,Sheet1!S71_A2SubCode,$AC:$AC,Sheet1!S71_ItemType,$AD:$AD)</f>
        <v>0</v>
      </c>
      <c r="H194" s="713">
        <f>SUMIFS(Sheet1!S71_AdjustmentBudAmnt,Sheet1!S71_A2SubCode,$AC:$AC,Sheet1!S71_ItemType,$AD:$AD)</f>
        <v>0</v>
      </c>
      <c r="I194" s="725">
        <f>SUMIFS(Sheet1!S71_ASBudgetAmount,Sheet1!S71_A2SubCode,$AC:$AC,Sheet1!S71_ItemType,$AD:$AD)</f>
        <v>0</v>
      </c>
      <c r="J194" s="712">
        <f>SUMIFS(Sheet1!S71_OY1BudgetAmount,Sheet1!S71_A2SubCode,$AC:$AC,Sheet1!S71_ItemType,$AD:$AD)</f>
        <v>0</v>
      </c>
      <c r="K194" s="713">
        <f>SUMIFS(Sheet1!S71_OY2BudgetAmount,Sheet1!S71_A2SubCode,$AC:$AC,Sheet1!S71_ItemType,$AD:$AD)</f>
        <v>0</v>
      </c>
      <c r="L194" s="322"/>
      <c r="Q194" s="196"/>
      <c r="AC194" s="2310">
        <v>2506</v>
      </c>
      <c r="AD194" s="2310" t="s">
        <v>2754</v>
      </c>
    </row>
    <row r="195" spans="1:30" ht="11.25" customHeight="1" x14ac:dyDescent="0.25">
      <c r="A195" s="2235" t="str">
        <f t="shared" si="32"/>
        <v>Chemical Safety</v>
      </c>
      <c r="B195" s="146"/>
      <c r="C195" s="712">
        <f>SUMIFS(Sheet1!S71_PPPYearAmount,Sheet1!S71_A2SubCode,$AC:$AC,Sheet1!S71_ItemType,$AD:$AD)</f>
        <v>0</v>
      </c>
      <c r="D195" s="712">
        <f>SUMIFS(Sheet1!S71_PPYearAmount,Sheet1!S71_A2SubCode,$AC:$AC,Sheet1!S71_ItemType,$AD:$AD)</f>
        <v>0</v>
      </c>
      <c r="E195" s="712">
        <f>SUMIFS(Sheet1!S71_PYearAmount,Sheet1!S71_A2SubCode,$AC:$AC,Sheet1!S71_ItemType,$AD:$AD)</f>
        <v>0</v>
      </c>
      <c r="F195" s="725">
        <f>SUMIFS(Sheet1!S71_OriginalBudAmnt,Sheet1!S71_A2SubCode,$AC:$AC,Sheet1!S71_ItemType,$AD:$AD)</f>
        <v>0</v>
      </c>
      <c r="G195" s="712">
        <f>SUMIFS(Sheet1!S71_AdjustmentBudAmnt,Sheet1!S71_A2SubCode,$AC:$AC,Sheet1!S71_ItemType,$AD:$AD)</f>
        <v>0</v>
      </c>
      <c r="H195" s="713">
        <f>SUMIFS(Sheet1!S71_AdjustmentBudAmnt,Sheet1!S71_A2SubCode,$AC:$AC,Sheet1!S71_ItemType,$AD:$AD)</f>
        <v>0</v>
      </c>
      <c r="I195" s="725">
        <f>SUMIFS(Sheet1!S71_ASBudgetAmount,Sheet1!S71_A2SubCode,$AC:$AC,Sheet1!S71_ItemType,$AD:$AD)</f>
        <v>0</v>
      </c>
      <c r="J195" s="712">
        <f>SUMIFS(Sheet1!S71_OY1BudgetAmount,Sheet1!S71_A2SubCode,$AC:$AC,Sheet1!S71_ItemType,$AD:$AD)</f>
        <v>0</v>
      </c>
      <c r="K195" s="713">
        <f>SUMIFS(Sheet1!S71_OY2BudgetAmount,Sheet1!S71_A2SubCode,$AC:$AC,Sheet1!S71_ItemType,$AD:$AD)</f>
        <v>0</v>
      </c>
      <c r="L195" s="322"/>
      <c r="Q195" s="196"/>
      <c r="AC195" s="2310">
        <v>2507</v>
      </c>
      <c r="AD195" s="2310" t="s">
        <v>2754</v>
      </c>
    </row>
    <row r="196" spans="1:30" ht="11.25" customHeight="1" x14ac:dyDescent="0.25">
      <c r="A196" s="225" t="str">
        <f t="shared" si="32"/>
        <v>Economic and environmental services</v>
      </c>
      <c r="B196" s="146"/>
      <c r="C196" s="243">
        <f t="shared" ref="C196:K196" si="35">C197+C208+C213</f>
        <v>7031473</v>
      </c>
      <c r="D196" s="243">
        <f t="shared" si="35"/>
        <v>10855256</v>
      </c>
      <c r="E196" s="358">
        <f t="shared" si="35"/>
        <v>11984020</v>
      </c>
      <c r="F196" s="244">
        <f t="shared" si="35"/>
        <v>17956674</v>
      </c>
      <c r="G196" s="243">
        <f t="shared" si="35"/>
        <v>22486139</v>
      </c>
      <c r="H196" s="358">
        <f t="shared" si="35"/>
        <v>22486139</v>
      </c>
      <c r="I196" s="244">
        <f t="shared" si="35"/>
        <v>17331701</v>
      </c>
      <c r="J196" s="243">
        <f t="shared" si="35"/>
        <v>22463573</v>
      </c>
      <c r="K196" s="358">
        <f t="shared" si="35"/>
        <v>23390292</v>
      </c>
      <c r="L196" s="322"/>
      <c r="Q196" s="196"/>
      <c r="AC196" s="2309"/>
      <c r="AD196" s="2310" t="s">
        <v>1692</v>
      </c>
    </row>
    <row r="197" spans="1:30" ht="11.25" customHeight="1" x14ac:dyDescent="0.25">
      <c r="A197" s="241" t="str">
        <f t="shared" si="32"/>
        <v>Planning and development</v>
      </c>
      <c r="B197" s="146"/>
      <c r="C197" s="106">
        <f>SUM(C198:C207)</f>
        <v>867081</v>
      </c>
      <c r="D197" s="106">
        <f t="shared" ref="D197:K197" si="36">SUM(D198:D207)</f>
        <v>2810520</v>
      </c>
      <c r="E197" s="359">
        <f t="shared" si="36"/>
        <v>1694782</v>
      </c>
      <c r="F197" s="107">
        <f t="shared" si="36"/>
        <v>580000</v>
      </c>
      <c r="G197" s="106">
        <f t="shared" si="36"/>
        <v>430220</v>
      </c>
      <c r="H197" s="359">
        <f t="shared" si="36"/>
        <v>430220</v>
      </c>
      <c r="I197" s="107">
        <f t="shared" si="36"/>
        <v>571700</v>
      </c>
      <c r="J197" s="106">
        <f t="shared" si="36"/>
        <v>594568</v>
      </c>
      <c r="K197" s="359">
        <f t="shared" si="36"/>
        <v>611216</v>
      </c>
      <c r="L197" s="322"/>
      <c r="Q197" s="196"/>
      <c r="AC197" s="2309"/>
      <c r="AD197" s="2310" t="s">
        <v>1692</v>
      </c>
    </row>
    <row r="198" spans="1:30" ht="11.25" customHeight="1" x14ac:dyDescent="0.25">
      <c r="A198" s="2235" t="str">
        <f t="shared" si="32"/>
        <v>Billboards</v>
      </c>
      <c r="B198" s="146"/>
      <c r="C198" s="712">
        <f>SUMIFS(Sheet1!S71_PPPYearAmount,Sheet1!S71_A2SubCode,$AC:$AC,Sheet1!S71_ItemType,$AD:$AD)</f>
        <v>0</v>
      </c>
      <c r="D198" s="712">
        <f>SUMIFS(Sheet1!S71_PPYearAmount,Sheet1!S71_A2SubCode,$AC:$AC,Sheet1!S71_ItemType,$AD:$AD)</f>
        <v>0</v>
      </c>
      <c r="E198" s="712">
        <f>SUMIFS(Sheet1!S71_PYearAmount,Sheet1!S71_A2SubCode,$AC:$AC,Sheet1!S71_ItemType,$AD:$AD)</f>
        <v>0</v>
      </c>
      <c r="F198" s="725">
        <f>SUMIFS(Sheet1!S71_OriginalBudAmnt,Sheet1!S71_A2SubCode,$AC:$AC,Sheet1!S71_ItemType,$AD:$AD)</f>
        <v>0</v>
      </c>
      <c r="G198" s="712">
        <f>SUMIFS(Sheet1!S71_AdjustmentBudAmnt,Sheet1!S71_A2SubCode,$AC:$AC,Sheet1!S71_ItemType,$AD:$AD)</f>
        <v>0</v>
      </c>
      <c r="H198" s="713">
        <f>SUMIFS(Sheet1!S71_AdjustmentBudAmnt,Sheet1!S71_A2SubCode,$AC:$AC,Sheet1!S71_ItemType,$AD:$AD)</f>
        <v>0</v>
      </c>
      <c r="I198" s="725">
        <f>SUMIFS(Sheet1!S71_ASBudgetAmount,Sheet1!S71_A2SubCode,$AC:$AC,Sheet1!S71_ItemType,$AD:$AD)</f>
        <v>0</v>
      </c>
      <c r="J198" s="712">
        <f>SUMIFS(Sheet1!S71_OY1BudgetAmount,Sheet1!S71_A2SubCode,$AC:$AC,Sheet1!S71_ItemType,$AD:$AD)</f>
        <v>0</v>
      </c>
      <c r="K198" s="713">
        <f>SUMIFS(Sheet1!S71_OY2BudgetAmount,Sheet1!S71_A2SubCode,$AC:$AC,Sheet1!S71_ItemType,$AD:$AD)</f>
        <v>0</v>
      </c>
      <c r="L198" s="322"/>
      <c r="Q198" s="196"/>
      <c r="AC198" s="2310">
        <v>3101</v>
      </c>
      <c r="AD198" s="2310" t="s">
        <v>2754</v>
      </c>
    </row>
    <row r="199" spans="1:30" ht="11.25" customHeight="1" x14ac:dyDescent="0.25">
      <c r="A199" s="2235" t="str">
        <f t="shared" si="32"/>
        <v>Corporate Wide Strategic Planning (IDPs, LEDs)</v>
      </c>
      <c r="B199" s="146"/>
      <c r="C199" s="712">
        <f>SUMIFS(Sheet1!S71_PPPYearAmount,Sheet1!S71_A2SubCode,$AC:$AC,Sheet1!S71_ItemType,$AD:$AD)</f>
        <v>186280</v>
      </c>
      <c r="D199" s="712">
        <f>SUMIFS(Sheet1!S71_PPYearAmount,Sheet1!S71_A2SubCode,$AC:$AC,Sheet1!S71_ItemType,$AD:$AD)</f>
        <v>0</v>
      </c>
      <c r="E199" s="712">
        <f>SUMIFS(Sheet1!S71_PYearAmount,Sheet1!S71_A2SubCode,$AC:$AC,Sheet1!S71_ItemType,$AD:$AD)</f>
        <v>0</v>
      </c>
      <c r="F199" s="725">
        <f>SUMIFS(Sheet1!S71_OriginalBudAmnt,Sheet1!S71_A2SubCode,$AC:$AC,Sheet1!S71_ItemType,$AD:$AD)</f>
        <v>0</v>
      </c>
      <c r="G199" s="712">
        <f>SUMIFS(Sheet1!S71_AdjustmentBudAmnt,Sheet1!S71_A2SubCode,$AC:$AC,Sheet1!S71_ItemType,$AD:$AD)</f>
        <v>0</v>
      </c>
      <c r="H199" s="713">
        <f>SUMIFS(Sheet1!S71_AdjustmentBudAmnt,Sheet1!S71_A2SubCode,$AC:$AC,Sheet1!S71_ItemType,$AD:$AD)</f>
        <v>0</v>
      </c>
      <c r="I199" s="725">
        <f>SUMIFS(Sheet1!S71_ASBudgetAmount,Sheet1!S71_A2SubCode,$AC:$AC,Sheet1!S71_ItemType,$AD:$AD)</f>
        <v>0</v>
      </c>
      <c r="J199" s="712">
        <f>SUMIFS(Sheet1!S71_OY1BudgetAmount,Sheet1!S71_A2SubCode,$AC:$AC,Sheet1!S71_ItemType,$AD:$AD)</f>
        <v>0</v>
      </c>
      <c r="K199" s="713">
        <f>SUMIFS(Sheet1!S71_OY2BudgetAmount,Sheet1!S71_A2SubCode,$AC:$AC,Sheet1!S71_ItemType,$AD:$AD)</f>
        <v>0</v>
      </c>
      <c r="L199" s="322"/>
      <c r="Q199" s="196"/>
      <c r="AC199" s="2310">
        <v>3102</v>
      </c>
      <c r="AD199" s="2310" t="s">
        <v>2754</v>
      </c>
    </row>
    <row r="200" spans="1:30" ht="11.25" customHeight="1" x14ac:dyDescent="0.25">
      <c r="A200" s="2235" t="str">
        <f t="shared" si="32"/>
        <v>Central City Improvement District</v>
      </c>
      <c r="B200" s="146"/>
      <c r="C200" s="712">
        <f>SUMIFS(Sheet1!S71_PPPYearAmount,Sheet1!S71_A2SubCode,$AC:$AC,Sheet1!S71_ItemType,$AD:$AD)</f>
        <v>0</v>
      </c>
      <c r="D200" s="712">
        <f>SUMIFS(Sheet1!S71_PPYearAmount,Sheet1!S71_A2SubCode,$AC:$AC,Sheet1!S71_ItemType,$AD:$AD)</f>
        <v>0</v>
      </c>
      <c r="E200" s="712">
        <f>SUMIFS(Sheet1!S71_PYearAmount,Sheet1!S71_A2SubCode,$AC:$AC,Sheet1!S71_ItemType,$AD:$AD)</f>
        <v>0</v>
      </c>
      <c r="F200" s="725">
        <f>SUMIFS(Sheet1!S71_OriginalBudAmnt,Sheet1!S71_A2SubCode,$AC:$AC,Sheet1!S71_ItemType,$AD:$AD)</f>
        <v>0</v>
      </c>
      <c r="G200" s="712">
        <f>SUMIFS(Sheet1!S71_AdjustmentBudAmnt,Sheet1!S71_A2SubCode,$AC:$AC,Sheet1!S71_ItemType,$AD:$AD)</f>
        <v>0</v>
      </c>
      <c r="H200" s="713">
        <f>SUMIFS(Sheet1!S71_AdjustmentBudAmnt,Sheet1!S71_A2SubCode,$AC:$AC,Sheet1!S71_ItemType,$AD:$AD)</f>
        <v>0</v>
      </c>
      <c r="I200" s="725">
        <f>SUMIFS(Sheet1!S71_ASBudgetAmount,Sheet1!S71_A2SubCode,$AC:$AC,Sheet1!S71_ItemType,$AD:$AD)</f>
        <v>0</v>
      </c>
      <c r="J200" s="712">
        <f>SUMIFS(Sheet1!S71_OY1BudgetAmount,Sheet1!S71_A2SubCode,$AC:$AC,Sheet1!S71_ItemType,$AD:$AD)</f>
        <v>0</v>
      </c>
      <c r="K200" s="713">
        <f>SUMIFS(Sheet1!S71_OY2BudgetAmount,Sheet1!S71_A2SubCode,$AC:$AC,Sheet1!S71_ItemType,$AD:$AD)</f>
        <v>0</v>
      </c>
      <c r="L200" s="322"/>
      <c r="Q200" s="196"/>
      <c r="AC200" s="2310">
        <v>3103</v>
      </c>
      <c r="AD200" s="2310" t="s">
        <v>2754</v>
      </c>
    </row>
    <row r="201" spans="1:30" ht="11.25" customHeight="1" x14ac:dyDescent="0.25">
      <c r="A201" s="2235" t="str">
        <f t="shared" si="32"/>
        <v>Development Facilitation</v>
      </c>
      <c r="B201" s="146"/>
      <c r="C201" s="712">
        <f>SUMIFS(Sheet1!S71_PPPYearAmount,Sheet1!S71_A2SubCode,$AC:$AC,Sheet1!S71_ItemType,$AD:$AD)</f>
        <v>0</v>
      </c>
      <c r="D201" s="712">
        <f>SUMIFS(Sheet1!S71_PPYearAmount,Sheet1!S71_A2SubCode,$AC:$AC,Sheet1!S71_ItemType,$AD:$AD)</f>
        <v>2700</v>
      </c>
      <c r="E201" s="712">
        <f>SUMIFS(Sheet1!S71_PYearAmount,Sheet1!S71_A2SubCode,$AC:$AC,Sheet1!S71_ItemType,$AD:$AD)</f>
        <v>0</v>
      </c>
      <c r="F201" s="725">
        <f>SUMIFS(Sheet1!S71_OriginalBudAmnt,Sheet1!S71_A2SubCode,$AC:$AC,Sheet1!S71_ItemType,$AD:$AD)</f>
        <v>0</v>
      </c>
      <c r="G201" s="712">
        <f>SUMIFS(Sheet1!S71_AdjustmentBudAmnt,Sheet1!S71_A2SubCode,$AC:$AC,Sheet1!S71_ItemType,$AD:$AD)</f>
        <v>0</v>
      </c>
      <c r="H201" s="713">
        <f>SUMIFS(Sheet1!S71_AdjustmentBudAmnt,Sheet1!S71_A2SubCode,$AC:$AC,Sheet1!S71_ItemType,$AD:$AD)</f>
        <v>0</v>
      </c>
      <c r="I201" s="725">
        <f>SUMIFS(Sheet1!S71_ASBudgetAmount,Sheet1!S71_A2SubCode,$AC:$AC,Sheet1!S71_ItemType,$AD:$AD)</f>
        <v>0</v>
      </c>
      <c r="J201" s="712">
        <f>SUMIFS(Sheet1!S71_OY1BudgetAmount,Sheet1!S71_A2SubCode,$AC:$AC,Sheet1!S71_ItemType,$AD:$AD)</f>
        <v>0</v>
      </c>
      <c r="K201" s="713">
        <f>SUMIFS(Sheet1!S71_OY2BudgetAmount,Sheet1!S71_A2SubCode,$AC:$AC,Sheet1!S71_ItemType,$AD:$AD)</f>
        <v>0</v>
      </c>
      <c r="L201" s="322"/>
      <c r="Q201" s="196"/>
      <c r="AC201" s="2310">
        <v>3104</v>
      </c>
      <c r="AD201" s="2310" t="s">
        <v>2754</v>
      </c>
    </row>
    <row r="202" spans="1:30" ht="11.25" customHeight="1" x14ac:dyDescent="0.25">
      <c r="A202" s="2235" t="str">
        <f t="shared" si="32"/>
        <v>Economic Development/Planning</v>
      </c>
      <c r="B202" s="146"/>
      <c r="C202" s="712">
        <f>SUMIFS(Sheet1!S71_PPPYearAmount,Sheet1!S71_A2SubCode,$AC:$AC,Sheet1!S71_ItemType,$AD:$AD)</f>
        <v>47700</v>
      </c>
      <c r="D202" s="712">
        <f>SUMIFS(Sheet1!S71_PPYearAmount,Sheet1!S71_A2SubCode,$AC:$AC,Sheet1!S71_ItemType,$AD:$AD)</f>
        <v>2576321</v>
      </c>
      <c r="E202" s="712">
        <f>SUMIFS(Sheet1!S71_PYearAmount,Sheet1!S71_A2SubCode,$AC:$AC,Sheet1!S71_ItemType,$AD:$AD)</f>
        <v>1445271</v>
      </c>
      <c r="F202" s="725">
        <f>SUMIFS(Sheet1!S71_OriginalBudAmnt,Sheet1!S71_A2SubCode,$AC:$AC,Sheet1!S71_ItemType,$AD:$AD)</f>
        <v>140000</v>
      </c>
      <c r="G202" s="712">
        <f>SUMIFS(Sheet1!S71_AdjustmentBudAmnt,Sheet1!S71_A2SubCode,$AC:$AC,Sheet1!S71_ItemType,$AD:$AD)</f>
        <v>130220</v>
      </c>
      <c r="H202" s="713">
        <f>SUMIFS(Sheet1!S71_AdjustmentBudAmnt,Sheet1!S71_A2SubCode,$AC:$AC,Sheet1!S71_ItemType,$AD:$AD)</f>
        <v>130220</v>
      </c>
      <c r="I202" s="725">
        <f>SUMIFS(Sheet1!S71_ASBudgetAmount,Sheet1!S71_A2SubCode,$AC:$AC,Sheet1!S71_ItemType,$AD:$AD)</f>
        <v>260000</v>
      </c>
      <c r="J202" s="712">
        <f>SUMIFS(Sheet1!S71_OY1BudgetAmount,Sheet1!S71_A2SubCode,$AC:$AC,Sheet1!S71_ItemType,$AD:$AD)</f>
        <v>270400</v>
      </c>
      <c r="K202" s="713">
        <f>SUMIFS(Sheet1!S71_OY2BudgetAmount,Sheet1!S71_A2SubCode,$AC:$AC,Sheet1!S71_ItemType,$AD:$AD)</f>
        <v>281216</v>
      </c>
      <c r="L202" s="322"/>
      <c r="Q202" s="196"/>
      <c r="AC202" s="2310">
        <v>3105</v>
      </c>
      <c r="AD202" s="2310" t="s">
        <v>2754</v>
      </c>
    </row>
    <row r="203" spans="1:30" ht="11.25" customHeight="1" x14ac:dyDescent="0.25">
      <c r="A203" s="2235" t="str">
        <f t="shared" si="32"/>
        <v>Regional Planning and Development</v>
      </c>
      <c r="B203" s="146"/>
      <c r="C203" s="712">
        <f>SUMIFS(Sheet1!S71_PPPYearAmount,Sheet1!S71_A2SubCode,$AC:$AC,Sheet1!S71_ItemType,$AD:$AD)</f>
        <v>274</v>
      </c>
      <c r="D203" s="712">
        <f>SUMIFS(Sheet1!S71_PPYearAmount,Sheet1!S71_A2SubCode,$AC:$AC,Sheet1!S71_ItemType,$AD:$AD)</f>
        <v>0</v>
      </c>
      <c r="E203" s="712">
        <f>SUMIFS(Sheet1!S71_PYearAmount,Sheet1!S71_A2SubCode,$AC:$AC,Sheet1!S71_ItemType,$AD:$AD)</f>
        <v>0</v>
      </c>
      <c r="F203" s="725">
        <f>SUMIFS(Sheet1!S71_OriginalBudAmnt,Sheet1!S71_A2SubCode,$AC:$AC,Sheet1!S71_ItemType,$AD:$AD)</f>
        <v>0</v>
      </c>
      <c r="G203" s="712">
        <f>SUMIFS(Sheet1!S71_AdjustmentBudAmnt,Sheet1!S71_A2SubCode,$AC:$AC,Sheet1!S71_ItemType,$AD:$AD)</f>
        <v>0</v>
      </c>
      <c r="H203" s="713">
        <f>SUMIFS(Sheet1!S71_AdjustmentBudAmnt,Sheet1!S71_A2SubCode,$AC:$AC,Sheet1!S71_ItemType,$AD:$AD)</f>
        <v>0</v>
      </c>
      <c r="I203" s="725">
        <f>SUMIFS(Sheet1!S71_ASBudgetAmount,Sheet1!S71_A2SubCode,$AC:$AC,Sheet1!S71_ItemType,$AD:$AD)</f>
        <v>0</v>
      </c>
      <c r="J203" s="712">
        <f>SUMIFS(Sheet1!S71_OY1BudgetAmount,Sheet1!S71_A2SubCode,$AC:$AC,Sheet1!S71_ItemType,$AD:$AD)</f>
        <v>0</v>
      </c>
      <c r="K203" s="713">
        <f>SUMIFS(Sheet1!S71_OY2BudgetAmount,Sheet1!S71_A2SubCode,$AC:$AC,Sheet1!S71_ItemType,$AD:$AD)</f>
        <v>0</v>
      </c>
      <c r="L203" s="322"/>
      <c r="Q203" s="196"/>
      <c r="AC203" s="2310">
        <v>3106</v>
      </c>
      <c r="AD203" s="2310" t="s">
        <v>2754</v>
      </c>
    </row>
    <row r="204" spans="1:30" ht="11.25" customHeight="1" x14ac:dyDescent="0.25">
      <c r="A204" s="2235" t="str">
        <f t="shared" si="32"/>
        <v>Town Planning, Building Regulations and Enforcement, and City Engineer</v>
      </c>
      <c r="B204" s="146"/>
      <c r="C204" s="712">
        <f>SUMIFS(Sheet1!S71_PPPYearAmount,Sheet1!S71_A2SubCode,$AC:$AC,Sheet1!S71_ItemType,$AD:$AD)</f>
        <v>632827</v>
      </c>
      <c r="D204" s="712">
        <f>SUMIFS(Sheet1!S71_PPYearAmount,Sheet1!S71_A2SubCode,$AC:$AC,Sheet1!S71_ItemType,$AD:$AD)</f>
        <v>231499</v>
      </c>
      <c r="E204" s="712">
        <f>SUMIFS(Sheet1!S71_PYearAmount,Sheet1!S71_A2SubCode,$AC:$AC,Sheet1!S71_ItemType,$AD:$AD)</f>
        <v>249511</v>
      </c>
      <c r="F204" s="725">
        <f>SUMIFS(Sheet1!S71_OriginalBudAmnt,Sheet1!S71_A2SubCode,$AC:$AC,Sheet1!S71_ItemType,$AD:$AD)</f>
        <v>440000</v>
      </c>
      <c r="G204" s="712">
        <f>SUMIFS(Sheet1!S71_AdjustmentBudAmnt,Sheet1!S71_A2SubCode,$AC:$AC,Sheet1!S71_ItemType,$AD:$AD)</f>
        <v>300000</v>
      </c>
      <c r="H204" s="713">
        <f>SUMIFS(Sheet1!S71_AdjustmentBudAmnt,Sheet1!S71_A2SubCode,$AC:$AC,Sheet1!S71_ItemType,$AD:$AD)</f>
        <v>300000</v>
      </c>
      <c r="I204" s="725">
        <f>SUMIFS(Sheet1!S71_ASBudgetAmount,Sheet1!S71_A2SubCode,$AC:$AC,Sheet1!S71_ItemType,$AD:$AD)</f>
        <v>311700</v>
      </c>
      <c r="J204" s="712">
        <f>SUMIFS(Sheet1!S71_OY1BudgetAmount,Sheet1!S71_A2SubCode,$AC:$AC,Sheet1!S71_ItemType,$AD:$AD)</f>
        <v>324168</v>
      </c>
      <c r="K204" s="713">
        <f>SUMIFS(Sheet1!S71_OY2BudgetAmount,Sheet1!S71_A2SubCode,$AC:$AC,Sheet1!S71_ItemType,$AD:$AD)</f>
        <v>330000</v>
      </c>
      <c r="L204" s="322"/>
      <c r="Q204" s="196"/>
      <c r="AC204" s="2310">
        <v>3107</v>
      </c>
      <c r="AD204" s="2310" t="s">
        <v>2754</v>
      </c>
    </row>
    <row r="205" spans="1:30" ht="11.25" customHeight="1" x14ac:dyDescent="0.25">
      <c r="A205" s="2235" t="str">
        <f t="shared" si="32"/>
        <v>Project Management Unit</v>
      </c>
      <c r="B205" s="146"/>
      <c r="C205" s="712">
        <f>SUMIFS(Sheet1!S71_PPPYearAmount,Sheet1!S71_A2SubCode,$AC:$AC,Sheet1!S71_ItemType,$AD:$AD)</f>
        <v>0</v>
      </c>
      <c r="D205" s="712">
        <f>SUMIFS(Sheet1!S71_PPYearAmount,Sheet1!S71_A2SubCode,$AC:$AC,Sheet1!S71_ItemType,$AD:$AD)</f>
        <v>0</v>
      </c>
      <c r="E205" s="712">
        <f>SUMIFS(Sheet1!S71_PYearAmount,Sheet1!S71_A2SubCode,$AC:$AC,Sheet1!S71_ItemType,$AD:$AD)</f>
        <v>0</v>
      </c>
      <c r="F205" s="725">
        <f>SUMIFS(Sheet1!S71_OriginalBudAmnt,Sheet1!S71_A2SubCode,$AC:$AC,Sheet1!S71_ItemType,$AD:$AD)</f>
        <v>0</v>
      </c>
      <c r="G205" s="712">
        <f>SUMIFS(Sheet1!S71_AdjustmentBudAmnt,Sheet1!S71_A2SubCode,$AC:$AC,Sheet1!S71_ItemType,$AD:$AD)</f>
        <v>0</v>
      </c>
      <c r="H205" s="713">
        <f>SUMIFS(Sheet1!S71_AdjustmentBudAmnt,Sheet1!S71_A2SubCode,$AC:$AC,Sheet1!S71_ItemType,$AD:$AD)</f>
        <v>0</v>
      </c>
      <c r="I205" s="725">
        <f>SUMIFS(Sheet1!S71_ASBudgetAmount,Sheet1!S71_A2SubCode,$AC:$AC,Sheet1!S71_ItemType,$AD:$AD)</f>
        <v>0</v>
      </c>
      <c r="J205" s="712">
        <f>SUMIFS(Sheet1!S71_OY1BudgetAmount,Sheet1!S71_A2SubCode,$AC:$AC,Sheet1!S71_ItemType,$AD:$AD)</f>
        <v>0</v>
      </c>
      <c r="K205" s="713">
        <f>SUMIFS(Sheet1!S71_OY2BudgetAmount,Sheet1!S71_A2SubCode,$AC:$AC,Sheet1!S71_ItemType,$AD:$AD)</f>
        <v>0</v>
      </c>
      <c r="L205" s="322"/>
      <c r="Q205" s="196"/>
      <c r="AC205" s="2310">
        <v>3108</v>
      </c>
      <c r="AD205" s="2310" t="s">
        <v>2754</v>
      </c>
    </row>
    <row r="206" spans="1:30" ht="11.25" customHeight="1" x14ac:dyDescent="0.25">
      <c r="A206" s="2235" t="str">
        <f t="shared" si="32"/>
        <v>Provincial Planning</v>
      </c>
      <c r="B206" s="146"/>
      <c r="C206" s="712">
        <f>SUMIFS(Sheet1!S71_PPPYearAmount,Sheet1!S71_A2SubCode,$AC:$AC,Sheet1!S71_ItemType,$AD:$AD)</f>
        <v>0</v>
      </c>
      <c r="D206" s="712">
        <f>SUMIFS(Sheet1!S71_PPYearAmount,Sheet1!S71_A2SubCode,$AC:$AC,Sheet1!S71_ItemType,$AD:$AD)</f>
        <v>0</v>
      </c>
      <c r="E206" s="712">
        <f>SUMIFS(Sheet1!S71_PYearAmount,Sheet1!S71_A2SubCode,$AC:$AC,Sheet1!S71_ItemType,$AD:$AD)</f>
        <v>0</v>
      </c>
      <c r="F206" s="725">
        <f>SUMIFS(Sheet1!S71_OriginalBudAmnt,Sheet1!S71_A2SubCode,$AC:$AC,Sheet1!S71_ItemType,$AD:$AD)</f>
        <v>0</v>
      </c>
      <c r="G206" s="712">
        <f>SUMIFS(Sheet1!S71_AdjustmentBudAmnt,Sheet1!S71_A2SubCode,$AC:$AC,Sheet1!S71_ItemType,$AD:$AD)</f>
        <v>0</v>
      </c>
      <c r="H206" s="713">
        <f>SUMIFS(Sheet1!S71_AdjustmentBudAmnt,Sheet1!S71_A2SubCode,$AC:$AC,Sheet1!S71_ItemType,$AD:$AD)</f>
        <v>0</v>
      </c>
      <c r="I206" s="725">
        <f>SUMIFS(Sheet1!S71_ASBudgetAmount,Sheet1!S71_A2SubCode,$AC:$AC,Sheet1!S71_ItemType,$AD:$AD)</f>
        <v>0</v>
      </c>
      <c r="J206" s="712">
        <f>SUMIFS(Sheet1!S71_OY1BudgetAmount,Sheet1!S71_A2SubCode,$AC:$AC,Sheet1!S71_ItemType,$AD:$AD)</f>
        <v>0</v>
      </c>
      <c r="K206" s="713">
        <f>SUMIFS(Sheet1!S71_OY2BudgetAmount,Sheet1!S71_A2SubCode,$AC:$AC,Sheet1!S71_ItemType,$AD:$AD)</f>
        <v>0</v>
      </c>
      <c r="L206" s="322"/>
      <c r="Q206" s="196"/>
      <c r="AC206" s="2310">
        <v>3109</v>
      </c>
      <c r="AD206" s="2310" t="s">
        <v>2754</v>
      </c>
    </row>
    <row r="207" spans="1:30" ht="11.25" customHeight="1" x14ac:dyDescent="0.25">
      <c r="A207" s="2235" t="str">
        <f t="shared" si="32"/>
        <v>Support to Local Municipalities</v>
      </c>
      <c r="B207" s="146"/>
      <c r="C207" s="712">
        <f>SUMIFS(Sheet1!S71_PPPYearAmount,Sheet1!S71_A2SubCode,$AC:$AC,Sheet1!S71_ItemType,$AD:$AD)</f>
        <v>0</v>
      </c>
      <c r="D207" s="712">
        <f>SUMIFS(Sheet1!S71_PPYearAmount,Sheet1!S71_A2SubCode,$AC:$AC,Sheet1!S71_ItemType,$AD:$AD)</f>
        <v>0</v>
      </c>
      <c r="E207" s="712">
        <f>SUMIFS(Sheet1!S71_PYearAmount,Sheet1!S71_A2SubCode,$AC:$AC,Sheet1!S71_ItemType,$AD:$AD)</f>
        <v>0</v>
      </c>
      <c r="F207" s="725">
        <f>SUMIFS(Sheet1!S71_OriginalBudAmnt,Sheet1!S71_A2SubCode,$AC:$AC,Sheet1!S71_ItemType,$AD:$AD)</f>
        <v>0</v>
      </c>
      <c r="G207" s="712">
        <f>SUMIFS(Sheet1!S71_AdjustmentBudAmnt,Sheet1!S71_A2SubCode,$AC:$AC,Sheet1!S71_ItemType,$AD:$AD)</f>
        <v>0</v>
      </c>
      <c r="H207" s="713">
        <f>SUMIFS(Sheet1!S71_AdjustmentBudAmnt,Sheet1!S71_A2SubCode,$AC:$AC,Sheet1!S71_ItemType,$AD:$AD)</f>
        <v>0</v>
      </c>
      <c r="I207" s="725">
        <f>SUMIFS(Sheet1!S71_ASBudgetAmount,Sheet1!S71_A2SubCode,$AC:$AC,Sheet1!S71_ItemType,$AD:$AD)</f>
        <v>0</v>
      </c>
      <c r="J207" s="712">
        <f>SUMIFS(Sheet1!S71_OY1BudgetAmount,Sheet1!S71_A2SubCode,$AC:$AC,Sheet1!S71_ItemType,$AD:$AD)</f>
        <v>0</v>
      </c>
      <c r="K207" s="713">
        <f>SUMIFS(Sheet1!S71_OY2BudgetAmount,Sheet1!S71_A2SubCode,$AC:$AC,Sheet1!S71_ItemType,$AD:$AD)</f>
        <v>0</v>
      </c>
      <c r="L207" s="322"/>
      <c r="Q207" s="196"/>
      <c r="AC207" s="2310">
        <v>3110</v>
      </c>
      <c r="AD207" s="2310" t="s">
        <v>2754</v>
      </c>
    </row>
    <row r="208" spans="1:30" ht="11.25" customHeight="1" x14ac:dyDescent="0.25">
      <c r="A208" s="241" t="str">
        <f t="shared" si="32"/>
        <v>Road transport</v>
      </c>
      <c r="B208" s="146"/>
      <c r="C208" s="106">
        <f t="shared" ref="C208:K208" si="37">SUM(C209:C212)</f>
        <v>6164392</v>
      </c>
      <c r="D208" s="106">
        <f t="shared" si="37"/>
        <v>8044736</v>
      </c>
      <c r="E208" s="359">
        <f t="shared" si="37"/>
        <v>10289238</v>
      </c>
      <c r="F208" s="107">
        <f t="shared" si="37"/>
        <v>17376674</v>
      </c>
      <c r="G208" s="106">
        <f t="shared" si="37"/>
        <v>22055919</v>
      </c>
      <c r="H208" s="359">
        <f t="shared" si="37"/>
        <v>22055919</v>
      </c>
      <c r="I208" s="107">
        <f t="shared" si="37"/>
        <v>16760001</v>
      </c>
      <c r="J208" s="106">
        <f t="shared" si="37"/>
        <v>21869005</v>
      </c>
      <c r="K208" s="359">
        <f t="shared" si="37"/>
        <v>22779076</v>
      </c>
      <c r="L208" s="322"/>
      <c r="Q208" s="196"/>
      <c r="AC208" s="2309"/>
      <c r="AD208" s="2310" t="s">
        <v>1692</v>
      </c>
    </row>
    <row r="209" spans="1:30" ht="11.25" customHeight="1" x14ac:dyDescent="0.25">
      <c r="A209" s="2235" t="str">
        <f t="shared" si="32"/>
        <v>Public Transport</v>
      </c>
      <c r="B209" s="146"/>
      <c r="C209" s="712">
        <f>SUMIFS(Sheet1!S71_PPPYearAmount,Sheet1!S71_A2SubCode,$AC:$AC,Sheet1!S71_ItemType,$AD:$AD)</f>
        <v>0</v>
      </c>
      <c r="D209" s="712">
        <f>SUMIFS(Sheet1!S71_PPYearAmount,Sheet1!S71_A2SubCode,$AC:$AC,Sheet1!S71_ItemType,$AD:$AD)</f>
        <v>0</v>
      </c>
      <c r="E209" s="712">
        <f>SUMIFS(Sheet1!S71_PYearAmount,Sheet1!S71_A2SubCode,$AC:$AC,Sheet1!S71_ItemType,$AD:$AD)</f>
        <v>0</v>
      </c>
      <c r="F209" s="725">
        <f>SUMIFS(Sheet1!S71_OriginalBudAmnt,Sheet1!S71_A2SubCode,$AC:$AC,Sheet1!S71_ItemType,$AD:$AD)</f>
        <v>0</v>
      </c>
      <c r="G209" s="712">
        <f>SUMIFS(Sheet1!S71_AdjustmentBudAmnt,Sheet1!S71_A2SubCode,$AC:$AC,Sheet1!S71_ItemType,$AD:$AD)</f>
        <v>0</v>
      </c>
      <c r="H209" s="713">
        <f>SUMIFS(Sheet1!S71_AdjustmentBudAmnt,Sheet1!S71_A2SubCode,$AC:$AC,Sheet1!S71_ItemType,$AD:$AD)</f>
        <v>0</v>
      </c>
      <c r="I209" s="725">
        <f>SUMIFS(Sheet1!S71_ASBudgetAmount,Sheet1!S71_A2SubCode,$AC:$AC,Sheet1!S71_ItemType,$AD:$AD)</f>
        <v>0</v>
      </c>
      <c r="J209" s="712">
        <f>SUMIFS(Sheet1!S71_OY1BudgetAmount,Sheet1!S71_A2SubCode,$AC:$AC,Sheet1!S71_ItemType,$AD:$AD)</f>
        <v>0</v>
      </c>
      <c r="K209" s="713">
        <f>SUMIFS(Sheet1!S71_OY2BudgetAmount,Sheet1!S71_A2SubCode,$AC:$AC,Sheet1!S71_ItemType,$AD:$AD)</f>
        <v>0</v>
      </c>
      <c r="L209" s="322"/>
      <c r="Q209" s="196"/>
      <c r="AC209" s="2310" t="s">
        <v>2761</v>
      </c>
      <c r="AD209" s="2310" t="s">
        <v>2754</v>
      </c>
    </row>
    <row r="210" spans="1:30" ht="11.25" customHeight="1" x14ac:dyDescent="0.25">
      <c r="A210" s="2235" t="str">
        <f t="shared" si="32"/>
        <v>Road and Traffic Regulation</v>
      </c>
      <c r="B210" s="146"/>
      <c r="C210" s="712">
        <f>SUMIFS(Sheet1!S71_PPPYearAmount,Sheet1!S71_A2SubCode,$AC:$AC,Sheet1!S71_ItemType,$AD:$AD)</f>
        <v>0</v>
      </c>
      <c r="D210" s="712">
        <f>SUMIFS(Sheet1!S71_PPYearAmount,Sheet1!S71_A2SubCode,$AC:$AC,Sheet1!S71_ItemType,$AD:$AD)</f>
        <v>0</v>
      </c>
      <c r="E210" s="712">
        <f>SUMIFS(Sheet1!S71_PYearAmount,Sheet1!S71_A2SubCode,$AC:$AC,Sheet1!S71_ItemType,$AD:$AD)</f>
        <v>0</v>
      </c>
      <c r="F210" s="725">
        <f>SUMIFS(Sheet1!S71_OriginalBudAmnt,Sheet1!S71_A2SubCode,$AC:$AC,Sheet1!S71_ItemType,$AD:$AD)</f>
        <v>0</v>
      </c>
      <c r="G210" s="712">
        <f>SUMIFS(Sheet1!S71_AdjustmentBudAmnt,Sheet1!S71_A2SubCode,$AC:$AC,Sheet1!S71_ItemType,$AD:$AD)</f>
        <v>0</v>
      </c>
      <c r="H210" s="713">
        <f>SUMIFS(Sheet1!S71_AdjustmentBudAmnt,Sheet1!S71_A2SubCode,$AC:$AC,Sheet1!S71_ItemType,$AD:$AD)</f>
        <v>0</v>
      </c>
      <c r="I210" s="725">
        <f>SUMIFS(Sheet1!S71_ASBudgetAmount,Sheet1!S71_A2SubCode,$AC:$AC,Sheet1!S71_ItemType,$AD:$AD)</f>
        <v>0</v>
      </c>
      <c r="J210" s="712">
        <f>SUMIFS(Sheet1!S71_OY1BudgetAmount,Sheet1!S71_A2SubCode,$AC:$AC,Sheet1!S71_ItemType,$AD:$AD)</f>
        <v>0</v>
      </c>
      <c r="K210" s="713">
        <f>SUMIFS(Sheet1!S71_OY2BudgetAmount,Sheet1!S71_A2SubCode,$AC:$AC,Sheet1!S71_ItemType,$AD:$AD)</f>
        <v>0</v>
      </c>
      <c r="L210" s="322"/>
      <c r="Q210" s="196"/>
      <c r="AC210" s="2310" t="s">
        <v>2762</v>
      </c>
      <c r="AD210" s="2310" t="s">
        <v>2754</v>
      </c>
    </row>
    <row r="211" spans="1:30" ht="11.25" customHeight="1" x14ac:dyDescent="0.25">
      <c r="A211" s="2235" t="str">
        <f t="shared" si="32"/>
        <v>Roads</v>
      </c>
      <c r="B211" s="146"/>
      <c r="C211" s="712">
        <f>SUMIFS(Sheet1!S71_PPPYearAmount,Sheet1!S71_A2SubCode,$AC:$AC,Sheet1!S71_ItemType,$AD:$AD)</f>
        <v>6164392</v>
      </c>
      <c r="D211" s="712">
        <f>SUMIFS(Sheet1!S71_PPYearAmount,Sheet1!S71_A2SubCode,$AC:$AC,Sheet1!S71_ItemType,$AD:$AD)</f>
        <v>8044736</v>
      </c>
      <c r="E211" s="712">
        <f>SUMIFS(Sheet1!S71_PYearAmount,Sheet1!S71_A2SubCode,$AC:$AC,Sheet1!S71_ItemType,$AD:$AD)</f>
        <v>10289238</v>
      </c>
      <c r="F211" s="725">
        <f>SUMIFS(Sheet1!S71_OriginalBudAmnt,Sheet1!S71_A2SubCode,$AC:$AC,Sheet1!S71_ItemType,$AD:$AD)</f>
        <v>17376674</v>
      </c>
      <c r="G211" s="712">
        <f>SUMIFS(Sheet1!S71_AdjustmentBudAmnt,Sheet1!S71_A2SubCode,$AC:$AC,Sheet1!S71_ItemType,$AD:$AD)</f>
        <v>22055919</v>
      </c>
      <c r="H211" s="713">
        <f>SUMIFS(Sheet1!S71_AdjustmentBudAmnt,Sheet1!S71_A2SubCode,$AC:$AC,Sheet1!S71_ItemType,$AD:$AD)</f>
        <v>22055919</v>
      </c>
      <c r="I211" s="725">
        <f>SUMIFS(Sheet1!S71_ASBudgetAmount,Sheet1!S71_A2SubCode,$AC:$AC,Sheet1!S71_ItemType,$AD:$AD)</f>
        <v>16760001</v>
      </c>
      <c r="J211" s="712">
        <f>SUMIFS(Sheet1!S71_OY1BudgetAmount,Sheet1!S71_A2SubCode,$AC:$AC,Sheet1!S71_ItemType,$AD:$AD)</f>
        <v>21869005</v>
      </c>
      <c r="K211" s="713">
        <f>SUMIFS(Sheet1!S71_OY2BudgetAmount,Sheet1!S71_A2SubCode,$AC:$AC,Sheet1!S71_ItemType,$AD:$AD)</f>
        <v>22779076</v>
      </c>
      <c r="L211" s="322"/>
      <c r="Q211" s="196"/>
      <c r="AC211" s="2310" t="s">
        <v>2763</v>
      </c>
      <c r="AD211" s="2310" t="s">
        <v>2754</v>
      </c>
    </row>
    <row r="212" spans="1:30" ht="11.25" customHeight="1" x14ac:dyDescent="0.25">
      <c r="A212" s="2235" t="str">
        <f t="shared" si="32"/>
        <v>Taxi Ranks</v>
      </c>
      <c r="B212" s="146"/>
      <c r="C212" s="712">
        <f>SUMIFS(Sheet1!S71_PPPYearAmount,Sheet1!S71_A2SubCode,$AC:$AC,Sheet1!S71_ItemType,$AD:$AD)</f>
        <v>0</v>
      </c>
      <c r="D212" s="712">
        <f>SUMIFS(Sheet1!S71_PPYearAmount,Sheet1!S71_A2SubCode,$AC:$AC,Sheet1!S71_ItemType,$AD:$AD)</f>
        <v>0</v>
      </c>
      <c r="E212" s="712">
        <f>SUMIFS(Sheet1!S71_PYearAmount,Sheet1!S71_A2SubCode,$AC:$AC,Sheet1!S71_ItemType,$AD:$AD)</f>
        <v>0</v>
      </c>
      <c r="F212" s="725">
        <f>SUMIFS(Sheet1!S71_OriginalBudAmnt,Sheet1!S71_A2SubCode,$AC:$AC,Sheet1!S71_ItemType,$AD:$AD)</f>
        <v>0</v>
      </c>
      <c r="G212" s="712">
        <f>SUMIFS(Sheet1!S71_AdjustmentBudAmnt,Sheet1!S71_A2SubCode,$AC:$AC,Sheet1!S71_ItemType,$AD:$AD)</f>
        <v>0</v>
      </c>
      <c r="H212" s="713">
        <f>SUMIFS(Sheet1!S71_AdjustmentBudAmnt,Sheet1!S71_A2SubCode,$AC:$AC,Sheet1!S71_ItemType,$AD:$AD)</f>
        <v>0</v>
      </c>
      <c r="I212" s="725">
        <f>SUMIFS(Sheet1!S71_ASBudgetAmount,Sheet1!S71_A2SubCode,$AC:$AC,Sheet1!S71_ItemType,$AD:$AD)</f>
        <v>0</v>
      </c>
      <c r="J212" s="712">
        <f>SUMIFS(Sheet1!S71_OY1BudgetAmount,Sheet1!S71_A2SubCode,$AC:$AC,Sheet1!S71_ItemType,$AD:$AD)</f>
        <v>0</v>
      </c>
      <c r="K212" s="713">
        <f>SUMIFS(Sheet1!S71_OY2BudgetAmount,Sheet1!S71_A2SubCode,$AC:$AC,Sheet1!S71_ItemType,$AD:$AD)</f>
        <v>0</v>
      </c>
      <c r="L212" s="322"/>
      <c r="Q212" s="196"/>
      <c r="AC212" s="2310" t="s">
        <v>2764</v>
      </c>
      <c r="AD212" s="2310" t="s">
        <v>2754</v>
      </c>
    </row>
    <row r="213" spans="1:30" ht="11.25" customHeight="1" x14ac:dyDescent="0.25">
      <c r="A213" s="241" t="str">
        <f t="shared" si="32"/>
        <v>Environmental protection</v>
      </c>
      <c r="B213" s="146"/>
      <c r="C213" s="106">
        <f>SUM(C214:C219)</f>
        <v>0</v>
      </c>
      <c r="D213" s="106">
        <f t="shared" ref="D213:K213" si="38">SUM(D214:D219)</f>
        <v>0</v>
      </c>
      <c r="E213" s="359">
        <f t="shared" si="38"/>
        <v>0</v>
      </c>
      <c r="F213" s="107">
        <f t="shared" si="38"/>
        <v>0</v>
      </c>
      <c r="G213" s="106">
        <f t="shared" si="38"/>
        <v>0</v>
      </c>
      <c r="H213" s="359">
        <f t="shared" si="38"/>
        <v>0</v>
      </c>
      <c r="I213" s="107">
        <f t="shared" si="38"/>
        <v>0</v>
      </c>
      <c r="J213" s="106">
        <f t="shared" si="38"/>
        <v>0</v>
      </c>
      <c r="K213" s="359">
        <f t="shared" si="38"/>
        <v>0</v>
      </c>
      <c r="L213" s="322"/>
      <c r="Q213" s="196"/>
      <c r="AC213" s="2309"/>
      <c r="AD213" s="2310" t="s">
        <v>1692</v>
      </c>
    </row>
    <row r="214" spans="1:30" ht="11.25" customHeight="1" x14ac:dyDescent="0.25">
      <c r="A214" s="2235" t="str">
        <f t="shared" si="32"/>
        <v>Biodiversity and Landscape</v>
      </c>
      <c r="B214" s="146"/>
      <c r="C214" s="712">
        <f>SUMIFS(Sheet1!S71_PPPYearAmount,Sheet1!S71_A2SubCode,$AC:$AC,Sheet1!S71_ItemType,$AD:$AD)</f>
        <v>0</v>
      </c>
      <c r="D214" s="712">
        <f>SUMIFS(Sheet1!S71_PPYearAmount,Sheet1!S71_A2SubCode,$AC:$AC,Sheet1!S71_ItemType,$AD:$AD)</f>
        <v>0</v>
      </c>
      <c r="E214" s="712">
        <f>SUMIFS(Sheet1!S71_PYearAmount,Sheet1!S71_A2SubCode,$AC:$AC,Sheet1!S71_ItemType,$AD:$AD)</f>
        <v>0</v>
      </c>
      <c r="F214" s="725">
        <f>SUMIFS(Sheet1!S71_OriginalBudAmnt,Sheet1!S71_A2SubCode,$AC:$AC,Sheet1!S71_ItemType,$AD:$AD)</f>
        <v>0</v>
      </c>
      <c r="G214" s="712">
        <f>SUMIFS(Sheet1!S71_AdjustmentBudAmnt,Sheet1!S71_A2SubCode,$AC:$AC,Sheet1!S71_ItemType,$AD:$AD)</f>
        <v>0</v>
      </c>
      <c r="H214" s="713">
        <f>SUMIFS(Sheet1!S71_AdjustmentBudAmnt,Sheet1!S71_A2SubCode,$AC:$AC,Sheet1!S71_ItemType,$AD:$AD)</f>
        <v>0</v>
      </c>
      <c r="I214" s="725">
        <f>SUMIFS(Sheet1!S71_ASBudgetAmount,Sheet1!S71_A2SubCode,$AC:$AC,Sheet1!S71_ItemType,$AD:$AD)</f>
        <v>0</v>
      </c>
      <c r="J214" s="712">
        <f>SUMIFS(Sheet1!S71_OY1BudgetAmount,Sheet1!S71_A2SubCode,$AC:$AC,Sheet1!S71_ItemType,$AD:$AD)</f>
        <v>0</v>
      </c>
      <c r="K214" s="713">
        <f>SUMIFS(Sheet1!S71_OY2BudgetAmount,Sheet1!S71_A2SubCode,$AC:$AC,Sheet1!S71_ItemType,$AD:$AD)</f>
        <v>0</v>
      </c>
      <c r="L214" s="322"/>
      <c r="Q214" s="196"/>
      <c r="AC214" s="2310">
        <v>3301</v>
      </c>
      <c r="AD214" s="2310" t="s">
        <v>2754</v>
      </c>
    </row>
    <row r="215" spans="1:30" ht="11.25" customHeight="1" x14ac:dyDescent="0.25">
      <c r="A215" s="2235" t="str">
        <f t="shared" si="32"/>
        <v>Coastal Protection</v>
      </c>
      <c r="B215" s="146"/>
      <c r="C215" s="712">
        <f>SUMIFS(Sheet1!S71_PPPYearAmount,Sheet1!S71_A2SubCode,$AC:$AC,Sheet1!S71_ItemType,$AD:$AD)</f>
        <v>0</v>
      </c>
      <c r="D215" s="712">
        <f>SUMIFS(Sheet1!S71_PPYearAmount,Sheet1!S71_A2SubCode,$AC:$AC,Sheet1!S71_ItemType,$AD:$AD)</f>
        <v>0</v>
      </c>
      <c r="E215" s="712">
        <f>SUMIFS(Sheet1!S71_PYearAmount,Sheet1!S71_A2SubCode,$AC:$AC,Sheet1!S71_ItemType,$AD:$AD)</f>
        <v>0</v>
      </c>
      <c r="F215" s="725">
        <f>SUMIFS(Sheet1!S71_OriginalBudAmnt,Sheet1!S71_A2SubCode,$AC:$AC,Sheet1!S71_ItemType,$AD:$AD)</f>
        <v>0</v>
      </c>
      <c r="G215" s="712">
        <f>SUMIFS(Sheet1!S71_AdjustmentBudAmnt,Sheet1!S71_A2SubCode,$AC:$AC,Sheet1!S71_ItemType,$AD:$AD)</f>
        <v>0</v>
      </c>
      <c r="H215" s="713">
        <f>SUMIFS(Sheet1!S71_AdjustmentBudAmnt,Sheet1!S71_A2SubCode,$AC:$AC,Sheet1!S71_ItemType,$AD:$AD)</f>
        <v>0</v>
      </c>
      <c r="I215" s="725">
        <f>SUMIFS(Sheet1!S71_ASBudgetAmount,Sheet1!S71_A2SubCode,$AC:$AC,Sheet1!S71_ItemType,$AD:$AD)</f>
        <v>0</v>
      </c>
      <c r="J215" s="712">
        <f>SUMIFS(Sheet1!S71_OY1BudgetAmount,Sheet1!S71_A2SubCode,$AC:$AC,Sheet1!S71_ItemType,$AD:$AD)</f>
        <v>0</v>
      </c>
      <c r="K215" s="713">
        <f>SUMIFS(Sheet1!S71_OY2BudgetAmount,Sheet1!S71_A2SubCode,$AC:$AC,Sheet1!S71_ItemType,$AD:$AD)</f>
        <v>0</v>
      </c>
      <c r="L215" s="322"/>
      <c r="Q215" s="196"/>
      <c r="AC215" s="2310">
        <v>3302</v>
      </c>
      <c r="AD215" s="2310" t="s">
        <v>2754</v>
      </c>
    </row>
    <row r="216" spans="1:30" ht="11.25" customHeight="1" x14ac:dyDescent="0.25">
      <c r="A216" s="2235" t="str">
        <f t="shared" si="32"/>
        <v>Indigenous Forests</v>
      </c>
      <c r="B216" s="146"/>
      <c r="C216" s="712">
        <f>SUMIFS(Sheet1!S71_PPPYearAmount,Sheet1!S71_A2SubCode,$AC:$AC,Sheet1!S71_ItemType,$AD:$AD)</f>
        <v>0</v>
      </c>
      <c r="D216" s="712">
        <f>SUMIFS(Sheet1!S71_PPYearAmount,Sheet1!S71_A2SubCode,$AC:$AC,Sheet1!S71_ItemType,$AD:$AD)</f>
        <v>0</v>
      </c>
      <c r="E216" s="712">
        <f>SUMIFS(Sheet1!S71_PYearAmount,Sheet1!S71_A2SubCode,$AC:$AC,Sheet1!S71_ItemType,$AD:$AD)</f>
        <v>0</v>
      </c>
      <c r="F216" s="725">
        <f>SUMIFS(Sheet1!S71_OriginalBudAmnt,Sheet1!S71_A2SubCode,$AC:$AC,Sheet1!S71_ItemType,$AD:$AD)</f>
        <v>0</v>
      </c>
      <c r="G216" s="712">
        <f>SUMIFS(Sheet1!S71_AdjustmentBudAmnt,Sheet1!S71_A2SubCode,$AC:$AC,Sheet1!S71_ItemType,$AD:$AD)</f>
        <v>0</v>
      </c>
      <c r="H216" s="713">
        <f>SUMIFS(Sheet1!S71_AdjustmentBudAmnt,Sheet1!S71_A2SubCode,$AC:$AC,Sheet1!S71_ItemType,$AD:$AD)</f>
        <v>0</v>
      </c>
      <c r="I216" s="725">
        <f>SUMIFS(Sheet1!S71_ASBudgetAmount,Sheet1!S71_A2SubCode,$AC:$AC,Sheet1!S71_ItemType,$AD:$AD)</f>
        <v>0</v>
      </c>
      <c r="J216" s="712">
        <f>SUMIFS(Sheet1!S71_OY1BudgetAmount,Sheet1!S71_A2SubCode,$AC:$AC,Sheet1!S71_ItemType,$AD:$AD)</f>
        <v>0</v>
      </c>
      <c r="K216" s="713">
        <f>SUMIFS(Sheet1!S71_OY2BudgetAmount,Sheet1!S71_A2SubCode,$AC:$AC,Sheet1!S71_ItemType,$AD:$AD)</f>
        <v>0</v>
      </c>
      <c r="L216" s="322"/>
      <c r="Q216" s="196"/>
      <c r="AC216" s="2310">
        <v>3303</v>
      </c>
      <c r="AD216" s="2310" t="s">
        <v>2754</v>
      </c>
    </row>
    <row r="217" spans="1:30" ht="11.25" customHeight="1" x14ac:dyDescent="0.25">
      <c r="A217" s="2235" t="str">
        <f t="shared" ref="A217:A245" si="39">A95</f>
        <v>Nature Conservation</v>
      </c>
      <c r="B217" s="146"/>
      <c r="C217" s="712">
        <f>SUMIFS(Sheet1!S71_PPPYearAmount,Sheet1!S71_A2SubCode,$AC:$AC,Sheet1!S71_ItemType,$AD:$AD)</f>
        <v>0</v>
      </c>
      <c r="D217" s="712">
        <f>SUMIFS(Sheet1!S71_PPYearAmount,Sheet1!S71_A2SubCode,$AC:$AC,Sheet1!S71_ItemType,$AD:$AD)</f>
        <v>0</v>
      </c>
      <c r="E217" s="712">
        <f>SUMIFS(Sheet1!S71_PYearAmount,Sheet1!S71_A2SubCode,$AC:$AC,Sheet1!S71_ItemType,$AD:$AD)</f>
        <v>0</v>
      </c>
      <c r="F217" s="725">
        <f>SUMIFS(Sheet1!S71_OriginalBudAmnt,Sheet1!S71_A2SubCode,$AC:$AC,Sheet1!S71_ItemType,$AD:$AD)</f>
        <v>0</v>
      </c>
      <c r="G217" s="712">
        <f>SUMIFS(Sheet1!S71_AdjustmentBudAmnt,Sheet1!S71_A2SubCode,$AC:$AC,Sheet1!S71_ItemType,$AD:$AD)</f>
        <v>0</v>
      </c>
      <c r="H217" s="713">
        <f>SUMIFS(Sheet1!S71_AdjustmentBudAmnt,Sheet1!S71_A2SubCode,$AC:$AC,Sheet1!S71_ItemType,$AD:$AD)</f>
        <v>0</v>
      </c>
      <c r="I217" s="725">
        <f>SUMIFS(Sheet1!S71_ASBudgetAmount,Sheet1!S71_A2SubCode,$AC:$AC,Sheet1!S71_ItemType,$AD:$AD)</f>
        <v>0</v>
      </c>
      <c r="J217" s="712">
        <f>SUMIFS(Sheet1!S71_OY1BudgetAmount,Sheet1!S71_A2SubCode,$AC:$AC,Sheet1!S71_ItemType,$AD:$AD)</f>
        <v>0</v>
      </c>
      <c r="K217" s="713">
        <f>SUMIFS(Sheet1!S71_OY2BudgetAmount,Sheet1!S71_A2SubCode,$AC:$AC,Sheet1!S71_ItemType,$AD:$AD)</f>
        <v>0</v>
      </c>
      <c r="L217" s="322"/>
      <c r="Q217" s="196"/>
      <c r="AC217" s="2310">
        <v>3304</v>
      </c>
      <c r="AD217" s="2310" t="s">
        <v>2754</v>
      </c>
    </row>
    <row r="218" spans="1:30" ht="11.25" customHeight="1" x14ac:dyDescent="0.25">
      <c r="A218" s="2235" t="str">
        <f t="shared" si="39"/>
        <v>Pollution Control</v>
      </c>
      <c r="B218" s="146"/>
      <c r="C218" s="712">
        <f>SUMIFS(Sheet1!S71_PPPYearAmount,Sheet1!S71_A2SubCode,$AC:$AC,Sheet1!S71_ItemType,$AD:$AD)</f>
        <v>0</v>
      </c>
      <c r="D218" s="712">
        <f>SUMIFS(Sheet1!S71_PPYearAmount,Sheet1!S71_A2SubCode,$AC:$AC,Sheet1!S71_ItemType,$AD:$AD)</f>
        <v>0</v>
      </c>
      <c r="E218" s="712">
        <f>SUMIFS(Sheet1!S71_PYearAmount,Sheet1!S71_A2SubCode,$AC:$AC,Sheet1!S71_ItemType,$AD:$AD)</f>
        <v>0</v>
      </c>
      <c r="F218" s="725">
        <f>SUMIFS(Sheet1!S71_OriginalBudAmnt,Sheet1!S71_A2SubCode,$AC:$AC,Sheet1!S71_ItemType,$AD:$AD)</f>
        <v>0</v>
      </c>
      <c r="G218" s="712">
        <f>SUMIFS(Sheet1!S71_AdjustmentBudAmnt,Sheet1!S71_A2SubCode,$AC:$AC,Sheet1!S71_ItemType,$AD:$AD)</f>
        <v>0</v>
      </c>
      <c r="H218" s="713">
        <f>SUMIFS(Sheet1!S71_AdjustmentBudAmnt,Sheet1!S71_A2SubCode,$AC:$AC,Sheet1!S71_ItemType,$AD:$AD)</f>
        <v>0</v>
      </c>
      <c r="I218" s="725">
        <f>SUMIFS(Sheet1!S71_ASBudgetAmount,Sheet1!S71_A2SubCode,$AC:$AC,Sheet1!S71_ItemType,$AD:$AD)</f>
        <v>0</v>
      </c>
      <c r="J218" s="712">
        <f>SUMIFS(Sheet1!S71_OY1BudgetAmount,Sheet1!S71_A2SubCode,$AC:$AC,Sheet1!S71_ItemType,$AD:$AD)</f>
        <v>0</v>
      </c>
      <c r="K218" s="713">
        <f>SUMIFS(Sheet1!S71_OY2BudgetAmount,Sheet1!S71_A2SubCode,$AC:$AC,Sheet1!S71_ItemType,$AD:$AD)</f>
        <v>0</v>
      </c>
      <c r="L218" s="322"/>
      <c r="Q218" s="196"/>
      <c r="AC218" s="2310">
        <v>3305</v>
      </c>
      <c r="AD218" s="2310" t="s">
        <v>2754</v>
      </c>
    </row>
    <row r="219" spans="1:30" ht="11.25" customHeight="1" x14ac:dyDescent="0.25">
      <c r="A219" s="2235" t="str">
        <f t="shared" si="39"/>
        <v>Soil Conservation</v>
      </c>
      <c r="B219" s="146"/>
      <c r="C219" s="712">
        <f>SUMIFS(Sheet1!S71_PPPYearAmount,Sheet1!S71_A2SubCode,$AC:$AC,Sheet1!S71_ItemType,$AD:$AD)</f>
        <v>0</v>
      </c>
      <c r="D219" s="712">
        <f>SUMIFS(Sheet1!S71_PPYearAmount,Sheet1!S71_A2SubCode,$AC:$AC,Sheet1!S71_ItemType,$AD:$AD)</f>
        <v>0</v>
      </c>
      <c r="E219" s="712">
        <f>SUMIFS(Sheet1!S71_PYearAmount,Sheet1!S71_A2SubCode,$AC:$AC,Sheet1!S71_ItemType,$AD:$AD)</f>
        <v>0</v>
      </c>
      <c r="F219" s="725">
        <f>SUMIFS(Sheet1!S71_OriginalBudAmnt,Sheet1!S71_A2SubCode,$AC:$AC,Sheet1!S71_ItemType,$AD:$AD)</f>
        <v>0</v>
      </c>
      <c r="G219" s="712">
        <f>SUMIFS(Sheet1!S71_AdjustmentBudAmnt,Sheet1!S71_A2SubCode,$AC:$AC,Sheet1!S71_ItemType,$AD:$AD)</f>
        <v>0</v>
      </c>
      <c r="H219" s="713">
        <f>SUMIFS(Sheet1!S71_AdjustmentBudAmnt,Sheet1!S71_A2SubCode,$AC:$AC,Sheet1!S71_ItemType,$AD:$AD)</f>
        <v>0</v>
      </c>
      <c r="I219" s="725">
        <f>SUMIFS(Sheet1!S71_ASBudgetAmount,Sheet1!S71_A2SubCode,$AC:$AC,Sheet1!S71_ItemType,$AD:$AD)</f>
        <v>0</v>
      </c>
      <c r="J219" s="712">
        <f>SUMIFS(Sheet1!S71_OY1BudgetAmount,Sheet1!S71_A2SubCode,$AC:$AC,Sheet1!S71_ItemType,$AD:$AD)</f>
        <v>0</v>
      </c>
      <c r="K219" s="713">
        <f>SUMIFS(Sheet1!S71_OY2BudgetAmount,Sheet1!S71_A2SubCode,$AC:$AC,Sheet1!S71_ItemType,$AD:$AD)</f>
        <v>0</v>
      </c>
      <c r="L219" s="322"/>
      <c r="Q219" s="196"/>
      <c r="AC219" s="2310">
        <v>3306</v>
      </c>
      <c r="AD219" s="2310" t="s">
        <v>2754</v>
      </c>
    </row>
    <row r="220" spans="1:30" ht="11.25" customHeight="1" x14ac:dyDescent="0.25">
      <c r="A220" s="225" t="str">
        <f t="shared" si="39"/>
        <v>Trading services</v>
      </c>
      <c r="B220" s="146"/>
      <c r="C220" s="243">
        <f>C221+C225+C229+C234</f>
        <v>1653294</v>
      </c>
      <c r="D220" s="243">
        <f t="shared" ref="D220:K220" si="40">D221+D225+D229+D234</f>
        <v>4927215</v>
      </c>
      <c r="E220" s="358">
        <f t="shared" si="40"/>
        <v>8849063</v>
      </c>
      <c r="F220" s="244">
        <f t="shared" si="40"/>
        <v>2558000</v>
      </c>
      <c r="G220" s="243">
        <f t="shared" si="40"/>
        <v>8439606</v>
      </c>
      <c r="H220" s="358">
        <f t="shared" si="40"/>
        <v>8439606</v>
      </c>
      <c r="I220" s="244">
        <f t="shared" si="40"/>
        <v>2685000</v>
      </c>
      <c r="J220" s="243">
        <f t="shared" si="40"/>
        <v>1961300</v>
      </c>
      <c r="K220" s="358">
        <f t="shared" si="40"/>
        <v>2074099</v>
      </c>
      <c r="L220" s="322"/>
      <c r="Q220" s="196"/>
      <c r="AC220" s="2309"/>
      <c r="AD220" s="2310" t="s">
        <v>1692</v>
      </c>
    </row>
    <row r="221" spans="1:30" ht="11.25" customHeight="1" x14ac:dyDescent="0.25">
      <c r="A221" s="241" t="str">
        <f t="shared" si="39"/>
        <v>Energy sources</v>
      </c>
      <c r="B221" s="146"/>
      <c r="C221" s="106">
        <f>SUM(C222:C224)</f>
        <v>0</v>
      </c>
      <c r="D221" s="106">
        <f t="shared" ref="D221:K221" si="41">SUM(D222:D224)</f>
        <v>3222602</v>
      </c>
      <c r="E221" s="359">
        <f t="shared" si="41"/>
        <v>6223503</v>
      </c>
      <c r="F221" s="107">
        <f t="shared" si="41"/>
        <v>0</v>
      </c>
      <c r="G221" s="106">
        <f t="shared" si="41"/>
        <v>6381606</v>
      </c>
      <c r="H221" s="359">
        <f t="shared" si="41"/>
        <v>6381606</v>
      </c>
      <c r="I221" s="107">
        <f t="shared" si="41"/>
        <v>0</v>
      </c>
      <c r="J221" s="106">
        <f t="shared" si="41"/>
        <v>0</v>
      </c>
      <c r="K221" s="359">
        <f t="shared" si="41"/>
        <v>0</v>
      </c>
      <c r="L221" s="322"/>
      <c r="Q221" s="196"/>
      <c r="AC221" s="2309"/>
      <c r="AD221" s="2310" t="s">
        <v>1692</v>
      </c>
    </row>
    <row r="222" spans="1:30" ht="11.25" customHeight="1" x14ac:dyDescent="0.25">
      <c r="A222" s="2235" t="str">
        <f t="shared" si="39"/>
        <v xml:space="preserve">Electricity </v>
      </c>
      <c r="B222" s="146"/>
      <c r="C222" s="712">
        <f>SUMIFS(Sheet1!S71_PPPYearAmount,Sheet1!S71_A2SubCode,$AC:$AC,Sheet1!S71_ItemType,$AD:$AD)</f>
        <v>0</v>
      </c>
      <c r="D222" s="712">
        <f>SUMIFS(Sheet1!S71_PPYearAmount,Sheet1!S71_A2SubCode,$AC:$AC,Sheet1!S71_ItemType,$AD:$AD)</f>
        <v>3222602</v>
      </c>
      <c r="E222" s="712">
        <f>SUMIFS(Sheet1!S71_PYearAmount,Sheet1!S71_A2SubCode,$AC:$AC,Sheet1!S71_ItemType,$AD:$AD)</f>
        <v>6223503</v>
      </c>
      <c r="F222" s="725">
        <f>SUMIFS(Sheet1!S71_OriginalBudAmnt,Sheet1!S71_A2SubCode,$AC:$AC,Sheet1!S71_ItemType,$AD:$AD)</f>
        <v>0</v>
      </c>
      <c r="G222" s="712">
        <f>SUMIFS(Sheet1!S71_AdjustmentBudAmnt,Sheet1!S71_A2SubCode,$AC:$AC,Sheet1!S71_ItemType,$AD:$AD)</f>
        <v>6381606</v>
      </c>
      <c r="H222" s="713">
        <f>SUMIFS(Sheet1!S71_AdjustmentBudAmnt,Sheet1!S71_A2SubCode,$AC:$AC,Sheet1!S71_ItemType,$AD:$AD)</f>
        <v>6381606</v>
      </c>
      <c r="I222" s="725">
        <f>SUMIFS(Sheet1!S71_ASBudgetAmount,Sheet1!S71_A2SubCode,$AC:$AC,Sheet1!S71_ItemType,$AD:$AD)</f>
        <v>0</v>
      </c>
      <c r="J222" s="712">
        <f>SUMIFS(Sheet1!S71_OY1BudgetAmount,Sheet1!S71_A2SubCode,$AC:$AC,Sheet1!S71_ItemType,$AD:$AD)</f>
        <v>0</v>
      </c>
      <c r="K222" s="713">
        <f>SUMIFS(Sheet1!S71_OY2BudgetAmount,Sheet1!S71_A2SubCode,$AC:$AC,Sheet1!S71_ItemType,$AD:$AD)</f>
        <v>0</v>
      </c>
      <c r="L222" s="322"/>
      <c r="Q222" s="196"/>
      <c r="AC222" s="2310">
        <v>4101</v>
      </c>
      <c r="AD222" s="2310" t="s">
        <v>2754</v>
      </c>
    </row>
    <row r="223" spans="1:30" ht="11.25" customHeight="1" x14ac:dyDescent="0.25">
      <c r="A223" s="2235" t="str">
        <f t="shared" si="39"/>
        <v>Street Lighting and Signal Systems</v>
      </c>
      <c r="B223" s="146"/>
      <c r="C223" s="712">
        <f>SUMIFS(Sheet1!S71_PPPYearAmount,Sheet1!S71_A2SubCode,$AC:$AC,Sheet1!S71_ItemType,$AD:$AD)</f>
        <v>0</v>
      </c>
      <c r="D223" s="712">
        <f>SUMIFS(Sheet1!S71_PPYearAmount,Sheet1!S71_A2SubCode,$AC:$AC,Sheet1!S71_ItemType,$AD:$AD)</f>
        <v>0</v>
      </c>
      <c r="E223" s="712">
        <f>SUMIFS(Sheet1!S71_PYearAmount,Sheet1!S71_A2SubCode,$AC:$AC,Sheet1!S71_ItemType,$AD:$AD)</f>
        <v>0</v>
      </c>
      <c r="F223" s="725">
        <f>SUMIFS(Sheet1!S71_OriginalBudAmnt,Sheet1!S71_A2SubCode,$AC:$AC,Sheet1!S71_ItemType,$AD:$AD)</f>
        <v>0</v>
      </c>
      <c r="G223" s="712">
        <f>SUMIFS(Sheet1!S71_AdjustmentBudAmnt,Sheet1!S71_A2SubCode,$AC:$AC,Sheet1!S71_ItemType,$AD:$AD)</f>
        <v>0</v>
      </c>
      <c r="H223" s="713">
        <f>SUMIFS(Sheet1!S71_AdjustmentBudAmnt,Sheet1!S71_A2SubCode,$AC:$AC,Sheet1!S71_ItemType,$AD:$AD)</f>
        <v>0</v>
      </c>
      <c r="I223" s="725">
        <f>SUMIFS(Sheet1!S71_ASBudgetAmount,Sheet1!S71_A2SubCode,$AC:$AC,Sheet1!S71_ItemType,$AD:$AD)</f>
        <v>0</v>
      </c>
      <c r="J223" s="712">
        <f>SUMIFS(Sheet1!S71_OY1BudgetAmount,Sheet1!S71_A2SubCode,$AC:$AC,Sheet1!S71_ItemType,$AD:$AD)</f>
        <v>0</v>
      </c>
      <c r="K223" s="713">
        <f>SUMIFS(Sheet1!S71_OY2BudgetAmount,Sheet1!S71_A2SubCode,$AC:$AC,Sheet1!S71_ItemType,$AD:$AD)</f>
        <v>0</v>
      </c>
      <c r="L223" s="322"/>
      <c r="Q223" s="196"/>
      <c r="AC223" s="2310">
        <v>4102</v>
      </c>
      <c r="AD223" s="2310" t="s">
        <v>2754</v>
      </c>
    </row>
    <row r="224" spans="1:30" ht="11.25" customHeight="1" x14ac:dyDescent="0.25">
      <c r="A224" s="2235" t="str">
        <f t="shared" si="39"/>
        <v>Nonelectric Energy</v>
      </c>
      <c r="B224" s="146"/>
      <c r="C224" s="712">
        <f>SUMIFS(Sheet1!S71_PPPYearAmount,Sheet1!S71_A2SubCode,$AC:$AC,Sheet1!S71_ItemType,$AD:$AD)</f>
        <v>0</v>
      </c>
      <c r="D224" s="712">
        <f>SUMIFS(Sheet1!S71_PPYearAmount,Sheet1!S71_A2SubCode,$AC:$AC,Sheet1!S71_ItemType,$AD:$AD)</f>
        <v>0</v>
      </c>
      <c r="E224" s="712">
        <f>SUMIFS(Sheet1!S71_PYearAmount,Sheet1!S71_A2SubCode,$AC:$AC,Sheet1!S71_ItemType,$AD:$AD)</f>
        <v>0</v>
      </c>
      <c r="F224" s="725">
        <f>SUMIFS(Sheet1!S71_OriginalBudAmnt,Sheet1!S71_A2SubCode,$AC:$AC,Sheet1!S71_ItemType,$AD:$AD)</f>
        <v>0</v>
      </c>
      <c r="G224" s="712">
        <f>SUMIFS(Sheet1!S71_AdjustmentBudAmnt,Sheet1!S71_A2SubCode,$AC:$AC,Sheet1!S71_ItemType,$AD:$AD)</f>
        <v>0</v>
      </c>
      <c r="H224" s="713">
        <f>SUMIFS(Sheet1!S71_AdjustmentBudAmnt,Sheet1!S71_A2SubCode,$AC:$AC,Sheet1!S71_ItemType,$AD:$AD)</f>
        <v>0</v>
      </c>
      <c r="I224" s="725">
        <f>SUMIFS(Sheet1!S71_ASBudgetAmount,Sheet1!S71_A2SubCode,$AC:$AC,Sheet1!S71_ItemType,$AD:$AD)</f>
        <v>0</v>
      </c>
      <c r="J224" s="712">
        <f>SUMIFS(Sheet1!S71_OY1BudgetAmount,Sheet1!S71_A2SubCode,$AC:$AC,Sheet1!S71_ItemType,$AD:$AD)</f>
        <v>0</v>
      </c>
      <c r="K224" s="713">
        <f>SUMIFS(Sheet1!S71_OY2BudgetAmount,Sheet1!S71_A2SubCode,$AC:$AC,Sheet1!S71_ItemType,$AD:$AD)</f>
        <v>0</v>
      </c>
      <c r="L224" s="322"/>
      <c r="Q224" s="196"/>
      <c r="AC224" s="2310">
        <v>4103</v>
      </c>
      <c r="AD224" s="2310" t="s">
        <v>2754</v>
      </c>
    </row>
    <row r="225" spans="1:30" ht="11.25" customHeight="1" x14ac:dyDescent="0.25">
      <c r="A225" s="241" t="str">
        <f t="shared" si="39"/>
        <v>Water management</v>
      </c>
      <c r="B225" s="146"/>
      <c r="C225" s="106">
        <f>SUM(C226:C228)</f>
        <v>0</v>
      </c>
      <c r="D225" s="106">
        <f t="shared" ref="D225:K225" si="42">SUM(D226:D228)</f>
        <v>0</v>
      </c>
      <c r="E225" s="359">
        <f t="shared" si="42"/>
        <v>0</v>
      </c>
      <c r="F225" s="107">
        <f t="shared" si="42"/>
        <v>0</v>
      </c>
      <c r="G225" s="106">
        <f t="shared" si="42"/>
        <v>0</v>
      </c>
      <c r="H225" s="359">
        <f t="shared" si="42"/>
        <v>0</v>
      </c>
      <c r="I225" s="107">
        <f t="shared" si="42"/>
        <v>0</v>
      </c>
      <c r="J225" s="106">
        <f t="shared" si="42"/>
        <v>0</v>
      </c>
      <c r="K225" s="359">
        <f t="shared" si="42"/>
        <v>0</v>
      </c>
      <c r="L225" s="322"/>
      <c r="Q225" s="196"/>
      <c r="AC225" s="2309"/>
      <c r="AD225" s="2310" t="s">
        <v>1692</v>
      </c>
    </row>
    <row r="226" spans="1:30" ht="11.25" customHeight="1" x14ac:dyDescent="0.25">
      <c r="A226" s="2235" t="str">
        <f t="shared" si="39"/>
        <v>Water Treatment</v>
      </c>
      <c r="B226" s="146"/>
      <c r="C226" s="712">
        <f>SUMIFS(Sheet1!S71_PPPYearAmount,Sheet1!S71_A2SubCode,$AC:$AC,Sheet1!S71_ItemType,$AD:$AD)</f>
        <v>0</v>
      </c>
      <c r="D226" s="712">
        <f>SUMIFS(Sheet1!S71_PPYearAmount,Sheet1!S71_A2SubCode,$AC:$AC,Sheet1!S71_ItemType,$AD:$AD)</f>
        <v>0</v>
      </c>
      <c r="E226" s="712">
        <f>SUMIFS(Sheet1!S71_PYearAmount,Sheet1!S71_A2SubCode,$AC:$AC,Sheet1!S71_ItemType,$AD:$AD)</f>
        <v>0</v>
      </c>
      <c r="F226" s="725">
        <f>SUMIFS(Sheet1!S71_OriginalBudAmnt,Sheet1!S71_A2SubCode,$AC:$AC,Sheet1!S71_ItemType,$AD:$AD)</f>
        <v>0</v>
      </c>
      <c r="G226" s="712">
        <f>SUMIFS(Sheet1!S71_AdjustmentBudAmnt,Sheet1!S71_A2SubCode,$AC:$AC,Sheet1!S71_ItemType,$AD:$AD)</f>
        <v>0</v>
      </c>
      <c r="H226" s="713">
        <f>SUMIFS(Sheet1!S71_AdjustmentBudAmnt,Sheet1!S71_A2SubCode,$AC:$AC,Sheet1!S71_ItemType,$AD:$AD)</f>
        <v>0</v>
      </c>
      <c r="I226" s="725">
        <f>SUMIFS(Sheet1!S71_ASBudgetAmount,Sheet1!S71_A2SubCode,$AC:$AC,Sheet1!S71_ItemType,$AD:$AD)</f>
        <v>0</v>
      </c>
      <c r="J226" s="712">
        <f>SUMIFS(Sheet1!S71_OY1BudgetAmount,Sheet1!S71_A2SubCode,$AC:$AC,Sheet1!S71_ItemType,$AD:$AD)</f>
        <v>0</v>
      </c>
      <c r="K226" s="713">
        <f>SUMIFS(Sheet1!S71_OY2BudgetAmount,Sheet1!S71_A2SubCode,$AC:$AC,Sheet1!S71_ItemType,$AD:$AD)</f>
        <v>0</v>
      </c>
      <c r="L226" s="322"/>
      <c r="Q226" s="196"/>
      <c r="AC226" s="2310">
        <v>4201</v>
      </c>
      <c r="AD226" s="2310" t="s">
        <v>2754</v>
      </c>
    </row>
    <row r="227" spans="1:30" ht="11.25" customHeight="1" x14ac:dyDescent="0.25">
      <c r="A227" s="2235" t="str">
        <f t="shared" si="39"/>
        <v>Water Distribution</v>
      </c>
      <c r="B227" s="146"/>
      <c r="C227" s="712">
        <f>SUMIFS(Sheet1!S71_PPPYearAmount,Sheet1!S71_A2SubCode,$AC:$AC,Sheet1!S71_ItemType,$AD:$AD)</f>
        <v>0</v>
      </c>
      <c r="D227" s="712">
        <f>SUMIFS(Sheet1!S71_PPYearAmount,Sheet1!S71_A2SubCode,$AC:$AC,Sheet1!S71_ItemType,$AD:$AD)</f>
        <v>0</v>
      </c>
      <c r="E227" s="712">
        <f>SUMIFS(Sheet1!S71_PYearAmount,Sheet1!S71_A2SubCode,$AC:$AC,Sheet1!S71_ItemType,$AD:$AD)</f>
        <v>0</v>
      </c>
      <c r="F227" s="725">
        <f>SUMIFS(Sheet1!S71_OriginalBudAmnt,Sheet1!S71_A2SubCode,$AC:$AC,Sheet1!S71_ItemType,$AD:$AD)</f>
        <v>0</v>
      </c>
      <c r="G227" s="712">
        <f>SUMIFS(Sheet1!S71_AdjustmentBudAmnt,Sheet1!S71_A2SubCode,$AC:$AC,Sheet1!S71_ItemType,$AD:$AD)</f>
        <v>0</v>
      </c>
      <c r="H227" s="713">
        <f>SUMIFS(Sheet1!S71_AdjustmentBudAmnt,Sheet1!S71_A2SubCode,$AC:$AC,Sheet1!S71_ItemType,$AD:$AD)</f>
        <v>0</v>
      </c>
      <c r="I227" s="725">
        <f>SUMIFS(Sheet1!S71_ASBudgetAmount,Sheet1!S71_A2SubCode,$AC:$AC,Sheet1!S71_ItemType,$AD:$AD)</f>
        <v>0</v>
      </c>
      <c r="J227" s="712">
        <f>SUMIFS(Sheet1!S71_OY1BudgetAmount,Sheet1!S71_A2SubCode,$AC:$AC,Sheet1!S71_ItemType,$AD:$AD)</f>
        <v>0</v>
      </c>
      <c r="K227" s="713">
        <f>SUMIFS(Sheet1!S71_OY2BudgetAmount,Sheet1!S71_A2SubCode,$AC:$AC,Sheet1!S71_ItemType,$AD:$AD)</f>
        <v>0</v>
      </c>
      <c r="L227" s="322"/>
      <c r="Q227" s="196"/>
      <c r="AC227" s="2310">
        <v>4202</v>
      </c>
      <c r="AD227" s="2310" t="s">
        <v>2754</v>
      </c>
    </row>
    <row r="228" spans="1:30" ht="11.25" customHeight="1" x14ac:dyDescent="0.25">
      <c r="A228" s="2235" t="str">
        <f t="shared" si="39"/>
        <v>Water Storage</v>
      </c>
      <c r="B228" s="146"/>
      <c r="C228" s="712">
        <f>SUMIFS(Sheet1!S71_PPPYearAmount,Sheet1!S71_A2SubCode,$AC:$AC,Sheet1!S71_ItemType,$AD:$AD)</f>
        <v>0</v>
      </c>
      <c r="D228" s="712">
        <f>SUMIFS(Sheet1!S71_PPYearAmount,Sheet1!S71_A2SubCode,$AC:$AC,Sheet1!S71_ItemType,$AD:$AD)</f>
        <v>0</v>
      </c>
      <c r="E228" s="712">
        <f>SUMIFS(Sheet1!S71_PYearAmount,Sheet1!S71_A2SubCode,$AC:$AC,Sheet1!S71_ItemType,$AD:$AD)</f>
        <v>0</v>
      </c>
      <c r="F228" s="725">
        <f>SUMIFS(Sheet1!S71_OriginalBudAmnt,Sheet1!S71_A2SubCode,$AC:$AC,Sheet1!S71_ItemType,$AD:$AD)</f>
        <v>0</v>
      </c>
      <c r="G228" s="712">
        <f>SUMIFS(Sheet1!S71_AdjustmentBudAmnt,Sheet1!S71_A2SubCode,$AC:$AC,Sheet1!S71_ItemType,$AD:$AD)</f>
        <v>0</v>
      </c>
      <c r="H228" s="713">
        <f>SUMIFS(Sheet1!S71_AdjustmentBudAmnt,Sheet1!S71_A2SubCode,$AC:$AC,Sheet1!S71_ItemType,$AD:$AD)</f>
        <v>0</v>
      </c>
      <c r="I228" s="725">
        <f>SUMIFS(Sheet1!S71_ASBudgetAmount,Sheet1!S71_A2SubCode,$AC:$AC,Sheet1!S71_ItemType,$AD:$AD)</f>
        <v>0</v>
      </c>
      <c r="J228" s="712">
        <f>SUMIFS(Sheet1!S71_OY1BudgetAmount,Sheet1!S71_A2SubCode,$AC:$AC,Sheet1!S71_ItemType,$AD:$AD)</f>
        <v>0</v>
      </c>
      <c r="K228" s="713">
        <f>SUMIFS(Sheet1!S71_OY2BudgetAmount,Sheet1!S71_A2SubCode,$AC:$AC,Sheet1!S71_ItemType,$AD:$AD)</f>
        <v>0</v>
      </c>
      <c r="L228" s="322"/>
      <c r="Q228" s="196"/>
      <c r="AC228" s="2310">
        <v>4203</v>
      </c>
      <c r="AD228" s="2310" t="s">
        <v>2754</v>
      </c>
    </row>
    <row r="229" spans="1:30" ht="11.25" customHeight="1" x14ac:dyDescent="0.25">
      <c r="A229" s="241" t="str">
        <f t="shared" si="39"/>
        <v>Waste water management</v>
      </c>
      <c r="B229" s="146"/>
      <c r="C229" s="106">
        <f>SUM(C230:C233)</f>
        <v>0</v>
      </c>
      <c r="D229" s="106">
        <f t="shared" ref="D229:K229" si="43">SUM(D230:D233)</f>
        <v>129</v>
      </c>
      <c r="E229" s="359">
        <f t="shared" si="43"/>
        <v>0</v>
      </c>
      <c r="F229" s="107">
        <f t="shared" si="43"/>
        <v>0</v>
      </c>
      <c r="G229" s="106">
        <f t="shared" si="43"/>
        <v>0</v>
      </c>
      <c r="H229" s="359">
        <f t="shared" si="43"/>
        <v>0</v>
      </c>
      <c r="I229" s="107">
        <f t="shared" si="43"/>
        <v>0</v>
      </c>
      <c r="J229" s="106">
        <f t="shared" si="43"/>
        <v>0</v>
      </c>
      <c r="K229" s="359">
        <f t="shared" si="43"/>
        <v>0</v>
      </c>
      <c r="L229" s="322"/>
      <c r="Q229" s="196"/>
      <c r="AC229" s="2309"/>
      <c r="AD229" s="2310" t="s">
        <v>1692</v>
      </c>
    </row>
    <row r="230" spans="1:30" ht="11.25" customHeight="1" x14ac:dyDescent="0.25">
      <c r="A230" s="2235" t="str">
        <f t="shared" si="39"/>
        <v>Public Toilets</v>
      </c>
      <c r="B230" s="146"/>
      <c r="C230" s="712">
        <f>SUMIFS(Sheet1!S71_PPPYearAmount,Sheet1!S71_A2SubCode,$AC:$AC,Sheet1!S71_ItemType,$AD:$AD)</f>
        <v>0</v>
      </c>
      <c r="D230" s="712">
        <f>SUMIFS(Sheet1!S71_PPYearAmount,Sheet1!S71_A2SubCode,$AC:$AC,Sheet1!S71_ItemType,$AD:$AD)</f>
        <v>0</v>
      </c>
      <c r="E230" s="712">
        <f>SUMIFS(Sheet1!S71_PYearAmount,Sheet1!S71_A2SubCode,$AC:$AC,Sheet1!S71_ItemType,$AD:$AD)</f>
        <v>0</v>
      </c>
      <c r="F230" s="725">
        <f>SUMIFS(Sheet1!S71_OriginalBudAmnt,Sheet1!S71_A2SubCode,$AC:$AC,Sheet1!S71_ItemType,$AD:$AD)</f>
        <v>0</v>
      </c>
      <c r="G230" s="712">
        <f>SUMIFS(Sheet1!S71_AdjustmentBudAmnt,Sheet1!S71_A2SubCode,$AC:$AC,Sheet1!S71_ItemType,$AD:$AD)</f>
        <v>0</v>
      </c>
      <c r="H230" s="713">
        <f>SUMIFS(Sheet1!S71_AdjustmentBudAmnt,Sheet1!S71_A2SubCode,$AC:$AC,Sheet1!S71_ItemType,$AD:$AD)</f>
        <v>0</v>
      </c>
      <c r="I230" s="725">
        <f>SUMIFS(Sheet1!S71_ASBudgetAmount,Sheet1!S71_A2SubCode,$AC:$AC,Sheet1!S71_ItemType,$AD:$AD)</f>
        <v>0</v>
      </c>
      <c r="J230" s="712">
        <f>SUMIFS(Sheet1!S71_OY1BudgetAmount,Sheet1!S71_A2SubCode,$AC:$AC,Sheet1!S71_ItemType,$AD:$AD)</f>
        <v>0</v>
      </c>
      <c r="K230" s="713">
        <f>SUMIFS(Sheet1!S71_OY2BudgetAmount,Sheet1!S71_A2SubCode,$AC:$AC,Sheet1!S71_ItemType,$AD:$AD)</f>
        <v>0</v>
      </c>
      <c r="L230" s="322"/>
      <c r="Q230" s="196"/>
      <c r="AC230" s="2310">
        <v>4301</v>
      </c>
      <c r="AD230" s="2310" t="s">
        <v>2754</v>
      </c>
    </row>
    <row r="231" spans="1:30" ht="11.25" customHeight="1" x14ac:dyDescent="0.25">
      <c r="A231" s="2235" t="str">
        <f t="shared" si="39"/>
        <v>Sewerage</v>
      </c>
      <c r="B231" s="146"/>
      <c r="C231" s="712">
        <f>SUMIFS(Sheet1!S71_PPPYearAmount,Sheet1!S71_A2SubCode,$AC:$AC,Sheet1!S71_ItemType,$AD:$AD)</f>
        <v>0</v>
      </c>
      <c r="D231" s="712">
        <f>SUMIFS(Sheet1!S71_PPYearAmount,Sheet1!S71_A2SubCode,$AC:$AC,Sheet1!S71_ItemType,$AD:$AD)</f>
        <v>0</v>
      </c>
      <c r="E231" s="712">
        <f>SUMIFS(Sheet1!S71_PYearAmount,Sheet1!S71_A2SubCode,$AC:$AC,Sheet1!S71_ItemType,$AD:$AD)</f>
        <v>0</v>
      </c>
      <c r="F231" s="725">
        <f>SUMIFS(Sheet1!S71_OriginalBudAmnt,Sheet1!S71_A2SubCode,$AC:$AC,Sheet1!S71_ItemType,$AD:$AD)</f>
        <v>0</v>
      </c>
      <c r="G231" s="712">
        <f>SUMIFS(Sheet1!S71_AdjustmentBudAmnt,Sheet1!S71_A2SubCode,$AC:$AC,Sheet1!S71_ItemType,$AD:$AD)</f>
        <v>0</v>
      </c>
      <c r="H231" s="713">
        <f>SUMIFS(Sheet1!S71_AdjustmentBudAmnt,Sheet1!S71_A2SubCode,$AC:$AC,Sheet1!S71_ItemType,$AD:$AD)</f>
        <v>0</v>
      </c>
      <c r="I231" s="725">
        <f>SUMIFS(Sheet1!S71_ASBudgetAmount,Sheet1!S71_A2SubCode,$AC:$AC,Sheet1!S71_ItemType,$AD:$AD)</f>
        <v>0</v>
      </c>
      <c r="J231" s="712">
        <f>SUMIFS(Sheet1!S71_OY1BudgetAmount,Sheet1!S71_A2SubCode,$AC:$AC,Sheet1!S71_ItemType,$AD:$AD)</f>
        <v>0</v>
      </c>
      <c r="K231" s="713">
        <f>SUMIFS(Sheet1!S71_OY2BudgetAmount,Sheet1!S71_A2SubCode,$AC:$AC,Sheet1!S71_ItemType,$AD:$AD)</f>
        <v>0</v>
      </c>
      <c r="L231" s="322"/>
      <c r="Q231" s="196"/>
      <c r="AC231" s="2310">
        <v>4302</v>
      </c>
      <c r="AD231" s="2310" t="s">
        <v>2754</v>
      </c>
    </row>
    <row r="232" spans="1:30" ht="11.25" customHeight="1" x14ac:dyDescent="0.25">
      <c r="A232" s="2235" t="str">
        <f t="shared" si="39"/>
        <v>Storm Water Management</v>
      </c>
      <c r="B232" s="146"/>
      <c r="C232" s="712">
        <f>SUMIFS(Sheet1!S71_PPPYearAmount,Sheet1!S71_A2SubCode,$AC:$AC,Sheet1!S71_ItemType,$AD:$AD)</f>
        <v>0</v>
      </c>
      <c r="D232" s="712">
        <f>SUMIFS(Sheet1!S71_PPYearAmount,Sheet1!S71_A2SubCode,$AC:$AC,Sheet1!S71_ItemType,$AD:$AD)</f>
        <v>129</v>
      </c>
      <c r="E232" s="712">
        <f>SUMIFS(Sheet1!S71_PYearAmount,Sheet1!S71_A2SubCode,$AC:$AC,Sheet1!S71_ItemType,$AD:$AD)</f>
        <v>0</v>
      </c>
      <c r="F232" s="725">
        <f>SUMIFS(Sheet1!S71_OriginalBudAmnt,Sheet1!S71_A2SubCode,$AC:$AC,Sheet1!S71_ItemType,$AD:$AD)</f>
        <v>0</v>
      </c>
      <c r="G232" s="712">
        <f>SUMIFS(Sheet1!S71_AdjustmentBudAmnt,Sheet1!S71_A2SubCode,$AC:$AC,Sheet1!S71_ItemType,$AD:$AD)</f>
        <v>0</v>
      </c>
      <c r="H232" s="713">
        <f>SUMIFS(Sheet1!S71_AdjustmentBudAmnt,Sheet1!S71_A2SubCode,$AC:$AC,Sheet1!S71_ItemType,$AD:$AD)</f>
        <v>0</v>
      </c>
      <c r="I232" s="725">
        <f>SUMIFS(Sheet1!S71_ASBudgetAmount,Sheet1!S71_A2SubCode,$AC:$AC,Sheet1!S71_ItemType,$AD:$AD)</f>
        <v>0</v>
      </c>
      <c r="J232" s="712">
        <f>SUMIFS(Sheet1!S71_OY1BudgetAmount,Sheet1!S71_A2SubCode,$AC:$AC,Sheet1!S71_ItemType,$AD:$AD)</f>
        <v>0</v>
      </c>
      <c r="K232" s="713">
        <f>SUMIFS(Sheet1!S71_OY2BudgetAmount,Sheet1!S71_A2SubCode,$AC:$AC,Sheet1!S71_ItemType,$AD:$AD)</f>
        <v>0</v>
      </c>
      <c r="L232" s="322"/>
      <c r="Q232" s="196"/>
      <c r="AC232" s="2310">
        <v>4303</v>
      </c>
      <c r="AD232" s="2310" t="s">
        <v>2754</v>
      </c>
    </row>
    <row r="233" spans="1:30" ht="11.25" customHeight="1" x14ac:dyDescent="0.25">
      <c r="A233" s="2235" t="str">
        <f t="shared" si="39"/>
        <v>Waste Water Treatment</v>
      </c>
      <c r="B233" s="146"/>
      <c r="C233" s="712">
        <f>SUMIFS(Sheet1!S71_PPPYearAmount,Sheet1!S71_A2SubCode,$AC:$AC,Sheet1!S71_ItemType,$AD:$AD)</f>
        <v>0</v>
      </c>
      <c r="D233" s="712">
        <f>SUMIFS(Sheet1!S71_PPYearAmount,Sheet1!S71_A2SubCode,$AC:$AC,Sheet1!S71_ItemType,$AD:$AD)</f>
        <v>0</v>
      </c>
      <c r="E233" s="712">
        <f>SUMIFS(Sheet1!S71_PYearAmount,Sheet1!S71_A2SubCode,$AC:$AC,Sheet1!S71_ItemType,$AD:$AD)</f>
        <v>0</v>
      </c>
      <c r="F233" s="725">
        <f>SUMIFS(Sheet1!S71_OriginalBudAmnt,Sheet1!S71_A2SubCode,$AC:$AC,Sheet1!S71_ItemType,$AD:$AD)</f>
        <v>0</v>
      </c>
      <c r="G233" s="712">
        <f>SUMIFS(Sheet1!S71_AdjustmentBudAmnt,Sheet1!S71_A2SubCode,$AC:$AC,Sheet1!S71_ItemType,$AD:$AD)</f>
        <v>0</v>
      </c>
      <c r="H233" s="713">
        <f>SUMIFS(Sheet1!S71_AdjustmentBudAmnt,Sheet1!S71_A2SubCode,$AC:$AC,Sheet1!S71_ItemType,$AD:$AD)</f>
        <v>0</v>
      </c>
      <c r="I233" s="725">
        <f>SUMIFS(Sheet1!S71_ASBudgetAmount,Sheet1!S71_A2SubCode,$AC:$AC,Sheet1!S71_ItemType,$AD:$AD)</f>
        <v>0</v>
      </c>
      <c r="J233" s="712">
        <f>SUMIFS(Sheet1!S71_OY1BudgetAmount,Sheet1!S71_A2SubCode,$AC:$AC,Sheet1!S71_ItemType,$AD:$AD)</f>
        <v>0</v>
      </c>
      <c r="K233" s="713">
        <f>SUMIFS(Sheet1!S71_OY2BudgetAmount,Sheet1!S71_A2SubCode,$AC:$AC,Sheet1!S71_ItemType,$AD:$AD)</f>
        <v>0</v>
      </c>
      <c r="L233" s="322"/>
      <c r="Q233" s="196"/>
      <c r="AC233" s="2310">
        <v>4304</v>
      </c>
      <c r="AD233" s="2310" t="s">
        <v>2754</v>
      </c>
    </row>
    <row r="234" spans="1:30" ht="11.25" customHeight="1" x14ac:dyDescent="0.25">
      <c r="A234" s="241" t="str">
        <f t="shared" si="39"/>
        <v>Waste management</v>
      </c>
      <c r="B234" s="146"/>
      <c r="C234" s="106">
        <f>SUM(C235:C238)</f>
        <v>1653294</v>
      </c>
      <c r="D234" s="106">
        <f t="shared" ref="D234:K234" si="44">SUM(D235:D238)</f>
        <v>1704484</v>
      </c>
      <c r="E234" s="359">
        <f t="shared" si="44"/>
        <v>2625560</v>
      </c>
      <c r="F234" s="107">
        <f t="shared" si="44"/>
        <v>2558000</v>
      </c>
      <c r="G234" s="106">
        <f t="shared" si="44"/>
        <v>2058000</v>
      </c>
      <c r="H234" s="359">
        <f t="shared" si="44"/>
        <v>2058000</v>
      </c>
      <c r="I234" s="107">
        <f t="shared" si="44"/>
        <v>2685000</v>
      </c>
      <c r="J234" s="106">
        <f t="shared" si="44"/>
        <v>1961300</v>
      </c>
      <c r="K234" s="359">
        <f t="shared" si="44"/>
        <v>2074099</v>
      </c>
      <c r="L234" s="322"/>
      <c r="Q234" s="196"/>
      <c r="AC234" s="2309"/>
      <c r="AD234" s="2310" t="s">
        <v>1692</v>
      </c>
    </row>
    <row r="235" spans="1:30" ht="11.25" customHeight="1" x14ac:dyDescent="0.25">
      <c r="A235" s="2235" t="str">
        <f t="shared" si="39"/>
        <v>Recycling</v>
      </c>
      <c r="B235" s="144"/>
      <c r="C235" s="712">
        <f>SUMIFS(Sheet1!S71_PPPYearAmount,Sheet1!S71_A2SubCode,$AC:$AC,Sheet1!S71_ItemType,$AD:$AD)</f>
        <v>0</v>
      </c>
      <c r="D235" s="712">
        <f>SUMIFS(Sheet1!S71_PPYearAmount,Sheet1!S71_A2SubCode,$AC:$AC,Sheet1!S71_ItemType,$AD:$AD)</f>
        <v>0</v>
      </c>
      <c r="E235" s="712">
        <f>SUMIFS(Sheet1!S71_PYearAmount,Sheet1!S71_A2SubCode,$AC:$AC,Sheet1!S71_ItemType,$AD:$AD)</f>
        <v>0</v>
      </c>
      <c r="F235" s="725">
        <f>SUMIFS(Sheet1!S71_OriginalBudAmnt,Sheet1!S71_A2SubCode,$AC:$AC,Sheet1!S71_ItemType,$AD:$AD)</f>
        <v>0</v>
      </c>
      <c r="G235" s="712">
        <f>SUMIFS(Sheet1!S71_AdjustmentBudAmnt,Sheet1!S71_A2SubCode,$AC:$AC,Sheet1!S71_ItemType,$AD:$AD)</f>
        <v>0</v>
      </c>
      <c r="H235" s="713">
        <f>SUMIFS(Sheet1!S71_AdjustmentBudAmnt,Sheet1!S71_A2SubCode,$AC:$AC,Sheet1!S71_ItemType,$AD:$AD)</f>
        <v>0</v>
      </c>
      <c r="I235" s="725">
        <f>SUMIFS(Sheet1!S71_ASBudgetAmount,Sheet1!S71_A2SubCode,$AC:$AC,Sheet1!S71_ItemType,$AD:$AD)</f>
        <v>0</v>
      </c>
      <c r="J235" s="712">
        <f>SUMIFS(Sheet1!S71_OY1BudgetAmount,Sheet1!S71_A2SubCode,$AC:$AC,Sheet1!S71_ItemType,$AD:$AD)</f>
        <v>0</v>
      </c>
      <c r="K235" s="713">
        <f>SUMIFS(Sheet1!S71_OY2BudgetAmount,Sheet1!S71_A2SubCode,$AC:$AC,Sheet1!S71_ItemType,$AD:$AD)</f>
        <v>0</v>
      </c>
      <c r="L235" s="322"/>
      <c r="AC235" s="2310">
        <v>4401</v>
      </c>
      <c r="AD235" s="2310" t="s">
        <v>2754</v>
      </c>
    </row>
    <row r="236" spans="1:30" ht="11.25" customHeight="1" x14ac:dyDescent="0.25">
      <c r="A236" s="2235" t="str">
        <f t="shared" si="39"/>
        <v>Solid Waste Disposal (Landfill Sites)</v>
      </c>
      <c r="B236" s="144"/>
      <c r="C236" s="712">
        <f>SUMIFS(Sheet1!S71_PPPYearAmount,Sheet1!S71_A2SubCode,$AC:$AC,Sheet1!S71_ItemType,$AD:$AD)</f>
        <v>221169</v>
      </c>
      <c r="D236" s="712">
        <f>SUMIFS(Sheet1!S71_PPYearAmount,Sheet1!S71_A2SubCode,$AC:$AC,Sheet1!S71_ItemType,$AD:$AD)</f>
        <v>8150</v>
      </c>
      <c r="E236" s="712">
        <f>SUMIFS(Sheet1!S71_PYearAmount,Sheet1!S71_A2SubCode,$AC:$AC,Sheet1!S71_ItemType,$AD:$AD)</f>
        <v>60478</v>
      </c>
      <c r="F236" s="725">
        <f>SUMIFS(Sheet1!S71_OriginalBudAmnt,Sheet1!S71_A2SubCode,$AC:$AC,Sheet1!S71_ItemType,$AD:$AD)</f>
        <v>380000</v>
      </c>
      <c r="G236" s="712">
        <f>SUMIFS(Sheet1!S71_AdjustmentBudAmnt,Sheet1!S71_A2SubCode,$AC:$AC,Sheet1!S71_ItemType,$AD:$AD)</f>
        <v>380000</v>
      </c>
      <c r="H236" s="713">
        <f>SUMIFS(Sheet1!S71_AdjustmentBudAmnt,Sheet1!S71_A2SubCode,$AC:$AC,Sheet1!S71_ItemType,$AD:$AD)</f>
        <v>380000</v>
      </c>
      <c r="I236" s="725">
        <f>SUMIFS(Sheet1!S71_ASBudgetAmount,Sheet1!S71_A2SubCode,$AC:$AC,Sheet1!S71_ItemType,$AD:$AD)</f>
        <v>480000</v>
      </c>
      <c r="J236" s="712">
        <f>SUMIFS(Sheet1!S71_OY1BudgetAmount,Sheet1!S71_A2SubCode,$AC:$AC,Sheet1!S71_ItemType,$AD:$AD)</f>
        <v>499200</v>
      </c>
      <c r="K236" s="713">
        <f>SUMIFS(Sheet1!S71_OY2BudgetAmount,Sheet1!S71_A2SubCode,$AC:$AC,Sheet1!S71_ItemType,$AD:$AD)</f>
        <v>519168</v>
      </c>
      <c r="L236" s="322"/>
      <c r="AC236" s="2310">
        <v>4402</v>
      </c>
      <c r="AD236" s="2310" t="s">
        <v>2754</v>
      </c>
    </row>
    <row r="237" spans="1:30" ht="11.25" customHeight="1" x14ac:dyDescent="0.25">
      <c r="A237" s="2235" t="str">
        <f t="shared" si="39"/>
        <v>Solid Waste Removal</v>
      </c>
      <c r="B237" s="144"/>
      <c r="C237" s="712">
        <f>SUMIFS(Sheet1!S71_PPPYearAmount,Sheet1!S71_A2SubCode,$AC:$AC,Sheet1!S71_ItemType,$AD:$AD)</f>
        <v>1296231</v>
      </c>
      <c r="D237" s="712">
        <f>SUMIFS(Sheet1!S71_PPYearAmount,Sheet1!S71_A2SubCode,$AC:$AC,Sheet1!S71_ItemType,$AD:$AD)</f>
        <v>1693239</v>
      </c>
      <c r="E237" s="712">
        <f>SUMIFS(Sheet1!S71_PYearAmount,Sheet1!S71_A2SubCode,$AC:$AC,Sheet1!S71_ItemType,$AD:$AD)</f>
        <v>2565082</v>
      </c>
      <c r="F237" s="725">
        <f>SUMIFS(Sheet1!S71_OriginalBudAmnt,Sheet1!S71_A2SubCode,$AC:$AC,Sheet1!S71_ItemType,$AD:$AD)</f>
        <v>2138000</v>
      </c>
      <c r="G237" s="712">
        <f>SUMIFS(Sheet1!S71_AdjustmentBudAmnt,Sheet1!S71_A2SubCode,$AC:$AC,Sheet1!S71_ItemType,$AD:$AD)</f>
        <v>1638000</v>
      </c>
      <c r="H237" s="713">
        <f>SUMIFS(Sheet1!S71_AdjustmentBudAmnt,Sheet1!S71_A2SubCode,$AC:$AC,Sheet1!S71_ItemType,$AD:$AD)</f>
        <v>1638000</v>
      </c>
      <c r="I237" s="725">
        <f>SUMIFS(Sheet1!S71_ASBudgetAmount,Sheet1!S71_A2SubCode,$AC:$AC,Sheet1!S71_ItemType,$AD:$AD)</f>
        <v>2145000</v>
      </c>
      <c r="J237" s="712">
        <f>SUMIFS(Sheet1!S71_OY1BudgetAmount,Sheet1!S71_A2SubCode,$AC:$AC,Sheet1!S71_ItemType,$AD:$AD)</f>
        <v>1399700</v>
      </c>
      <c r="K237" s="713">
        <f>SUMIFS(Sheet1!S71_OY2BudgetAmount,Sheet1!S71_A2SubCode,$AC:$AC,Sheet1!S71_ItemType,$AD:$AD)</f>
        <v>1490035</v>
      </c>
      <c r="L237" s="322"/>
      <c r="AC237" s="2310">
        <v>4403</v>
      </c>
      <c r="AD237" s="2310" t="s">
        <v>2754</v>
      </c>
    </row>
    <row r="238" spans="1:30" ht="11.25" customHeight="1" x14ac:dyDescent="0.25">
      <c r="A238" s="2235" t="str">
        <f t="shared" si="39"/>
        <v>Street Cleaning</v>
      </c>
      <c r="B238" s="144"/>
      <c r="C238" s="712">
        <f>SUMIFS(Sheet1!S71_PPPYearAmount,Sheet1!S71_A2SubCode,$AC:$AC,Sheet1!S71_ItemType,$AD:$AD)</f>
        <v>135894</v>
      </c>
      <c r="D238" s="712">
        <f>SUMIFS(Sheet1!S71_PPYearAmount,Sheet1!S71_A2SubCode,$AC:$AC,Sheet1!S71_ItemType,$AD:$AD)</f>
        <v>3095</v>
      </c>
      <c r="E238" s="712">
        <f>SUMIFS(Sheet1!S71_PYearAmount,Sheet1!S71_A2SubCode,$AC:$AC,Sheet1!S71_ItemType,$AD:$AD)</f>
        <v>0</v>
      </c>
      <c r="F238" s="725">
        <f>SUMIFS(Sheet1!S71_OriginalBudAmnt,Sheet1!S71_A2SubCode,$AC:$AC,Sheet1!S71_ItemType,$AD:$AD)</f>
        <v>40000</v>
      </c>
      <c r="G238" s="712">
        <f>SUMIFS(Sheet1!S71_AdjustmentBudAmnt,Sheet1!S71_A2SubCode,$AC:$AC,Sheet1!S71_ItemType,$AD:$AD)</f>
        <v>40000</v>
      </c>
      <c r="H238" s="713">
        <f>SUMIFS(Sheet1!S71_AdjustmentBudAmnt,Sheet1!S71_A2SubCode,$AC:$AC,Sheet1!S71_ItemType,$AD:$AD)</f>
        <v>40000</v>
      </c>
      <c r="I238" s="725">
        <f>SUMIFS(Sheet1!S71_ASBudgetAmount,Sheet1!S71_A2SubCode,$AC:$AC,Sheet1!S71_ItemType,$AD:$AD)</f>
        <v>60000</v>
      </c>
      <c r="J238" s="712">
        <f>SUMIFS(Sheet1!S71_OY1BudgetAmount,Sheet1!S71_A2SubCode,$AC:$AC,Sheet1!S71_ItemType,$AD:$AD)</f>
        <v>62400</v>
      </c>
      <c r="K238" s="713">
        <f>SUMIFS(Sheet1!S71_OY2BudgetAmount,Sheet1!S71_A2SubCode,$AC:$AC,Sheet1!S71_ItemType,$AD:$AD)</f>
        <v>64896</v>
      </c>
      <c r="L238" s="322"/>
      <c r="AC238" s="2310">
        <v>4404</v>
      </c>
      <c r="AD238" s="2310" t="s">
        <v>2754</v>
      </c>
    </row>
    <row r="239" spans="1:30" ht="11.25" customHeight="1" x14ac:dyDescent="0.25">
      <c r="A239" s="225" t="str">
        <f t="shared" si="39"/>
        <v>Other</v>
      </c>
      <c r="B239" s="144"/>
      <c r="C239" s="243">
        <f>SUM(C240:C245)</f>
        <v>5224647</v>
      </c>
      <c r="D239" s="243">
        <f t="shared" ref="D239:K239" si="45">SUM(D240:D245)</f>
        <v>5291114</v>
      </c>
      <c r="E239" s="358">
        <f t="shared" si="45"/>
        <v>3826636</v>
      </c>
      <c r="F239" s="244">
        <f t="shared" si="45"/>
        <v>6513455</v>
      </c>
      <c r="G239" s="243">
        <f t="shared" si="45"/>
        <v>6513455</v>
      </c>
      <c r="H239" s="358">
        <f t="shared" si="45"/>
        <v>6513455</v>
      </c>
      <c r="I239" s="244">
        <f t="shared" si="45"/>
        <v>6925101</v>
      </c>
      <c r="J239" s="243">
        <f t="shared" si="45"/>
        <v>7365318</v>
      </c>
      <c r="K239" s="358">
        <f t="shared" si="45"/>
        <v>7834575</v>
      </c>
      <c r="L239" s="322"/>
      <c r="AC239" s="2309"/>
      <c r="AD239" s="2310" t="s">
        <v>1692</v>
      </c>
    </row>
    <row r="240" spans="1:30" ht="11.25" customHeight="1" x14ac:dyDescent="0.25">
      <c r="A240" s="241" t="str">
        <f t="shared" si="39"/>
        <v>Abattoirs</v>
      </c>
      <c r="B240" s="144"/>
      <c r="C240" s="712">
        <f>SUMIFS(Sheet1!S71_PPPYearAmount,Sheet1!S71_A2SubCode,$AC:$AC,Sheet1!S71_ItemType,$AD:$AD)</f>
        <v>0</v>
      </c>
      <c r="D240" s="712">
        <f>SUMIFS(Sheet1!S71_PPYearAmount,Sheet1!S71_A2SubCode,$AC:$AC,Sheet1!S71_ItemType,$AD:$AD)</f>
        <v>0</v>
      </c>
      <c r="E240" s="712">
        <f>SUMIFS(Sheet1!S71_PYearAmount,Sheet1!S71_A2SubCode,$AC:$AC,Sheet1!S71_ItemType,$AD:$AD)</f>
        <v>0</v>
      </c>
      <c r="F240" s="725">
        <f>SUMIFS(Sheet1!S71_OriginalBudAmnt,Sheet1!S71_A2SubCode,$AC:$AC,Sheet1!S71_ItemType,$AD:$AD)</f>
        <v>0</v>
      </c>
      <c r="G240" s="712">
        <f>SUMIFS(Sheet1!S71_AdjustmentBudAmnt,Sheet1!S71_A2SubCode,$AC:$AC,Sheet1!S71_ItemType,$AD:$AD)</f>
        <v>0</v>
      </c>
      <c r="H240" s="713">
        <f>SUMIFS(Sheet1!S71_AdjustmentBudAmnt,Sheet1!S71_A2SubCode,$AC:$AC,Sheet1!S71_ItemType,$AD:$AD)</f>
        <v>0</v>
      </c>
      <c r="I240" s="725">
        <f>SUMIFS(Sheet1!S71_ASBudgetAmount,Sheet1!S71_A2SubCode,$AC:$AC,Sheet1!S71_ItemType,$AD:$AD)</f>
        <v>0</v>
      </c>
      <c r="J240" s="712">
        <f>SUMIFS(Sheet1!S71_OY1BudgetAmount,Sheet1!S71_A2SubCode,$AC:$AC,Sheet1!S71_ItemType,$AD:$AD)</f>
        <v>0</v>
      </c>
      <c r="K240" s="713">
        <f>SUMIFS(Sheet1!S71_OY2BudgetAmount,Sheet1!S71_A2SubCode,$AC:$AC,Sheet1!S71_ItemType,$AD:$AD)</f>
        <v>0</v>
      </c>
      <c r="L240" s="322"/>
      <c r="AC240" s="2310">
        <v>5001</v>
      </c>
      <c r="AD240" s="2310" t="s">
        <v>2754</v>
      </c>
    </row>
    <row r="241" spans="1:30" ht="11.25" customHeight="1" x14ac:dyDescent="0.25">
      <c r="A241" s="241" t="str">
        <f t="shared" si="39"/>
        <v>Air Transport</v>
      </c>
      <c r="B241" s="144"/>
      <c r="C241" s="712">
        <f>SUMIFS(Sheet1!S71_PPPYearAmount,Sheet1!S71_A2SubCode,$AC:$AC,Sheet1!S71_ItemType,$AD:$AD)</f>
        <v>0</v>
      </c>
      <c r="D241" s="712">
        <f>SUMIFS(Sheet1!S71_PPYearAmount,Sheet1!S71_A2SubCode,$AC:$AC,Sheet1!S71_ItemType,$AD:$AD)</f>
        <v>0</v>
      </c>
      <c r="E241" s="712">
        <f>SUMIFS(Sheet1!S71_PYearAmount,Sheet1!S71_A2SubCode,$AC:$AC,Sheet1!S71_ItemType,$AD:$AD)</f>
        <v>0</v>
      </c>
      <c r="F241" s="725">
        <f>SUMIFS(Sheet1!S71_OriginalBudAmnt,Sheet1!S71_A2SubCode,$AC:$AC,Sheet1!S71_ItemType,$AD:$AD)</f>
        <v>0</v>
      </c>
      <c r="G241" s="712">
        <f>SUMIFS(Sheet1!S71_AdjustmentBudAmnt,Sheet1!S71_A2SubCode,$AC:$AC,Sheet1!S71_ItemType,$AD:$AD)</f>
        <v>0</v>
      </c>
      <c r="H241" s="713">
        <f>SUMIFS(Sheet1!S71_AdjustmentBudAmnt,Sheet1!S71_A2SubCode,$AC:$AC,Sheet1!S71_ItemType,$AD:$AD)</f>
        <v>0</v>
      </c>
      <c r="I241" s="725">
        <f>SUMIFS(Sheet1!S71_ASBudgetAmount,Sheet1!S71_A2SubCode,$AC:$AC,Sheet1!S71_ItemType,$AD:$AD)</f>
        <v>0</v>
      </c>
      <c r="J241" s="712">
        <f>SUMIFS(Sheet1!S71_OY1BudgetAmount,Sheet1!S71_A2SubCode,$AC:$AC,Sheet1!S71_ItemType,$AD:$AD)</f>
        <v>0</v>
      </c>
      <c r="K241" s="713">
        <f>SUMIFS(Sheet1!S71_OY2BudgetAmount,Sheet1!S71_A2SubCode,$AC:$AC,Sheet1!S71_ItemType,$AD:$AD)</f>
        <v>0</v>
      </c>
      <c r="L241" s="322"/>
      <c r="AC241" s="2310">
        <v>5002</v>
      </c>
      <c r="AD241" s="2310" t="s">
        <v>2754</v>
      </c>
    </row>
    <row r="242" spans="1:30" ht="11.25" customHeight="1" x14ac:dyDescent="0.25">
      <c r="A242" s="241" t="str">
        <f t="shared" si="39"/>
        <v xml:space="preserve">Forestry </v>
      </c>
      <c r="B242" s="144"/>
      <c r="C242" s="712">
        <f>SUMIFS(Sheet1!S71_PPPYearAmount,Sheet1!S71_A2SubCode,$AC:$AC,Sheet1!S71_ItemType,$AD:$AD)</f>
        <v>0</v>
      </c>
      <c r="D242" s="712">
        <f>SUMIFS(Sheet1!S71_PPYearAmount,Sheet1!S71_A2SubCode,$AC:$AC,Sheet1!S71_ItemType,$AD:$AD)</f>
        <v>0</v>
      </c>
      <c r="E242" s="712">
        <f>SUMIFS(Sheet1!S71_PYearAmount,Sheet1!S71_A2SubCode,$AC:$AC,Sheet1!S71_ItemType,$AD:$AD)</f>
        <v>0</v>
      </c>
      <c r="F242" s="725">
        <f>SUMIFS(Sheet1!S71_OriginalBudAmnt,Sheet1!S71_A2SubCode,$AC:$AC,Sheet1!S71_ItemType,$AD:$AD)</f>
        <v>0</v>
      </c>
      <c r="G242" s="712">
        <f>SUMIFS(Sheet1!S71_AdjustmentBudAmnt,Sheet1!S71_A2SubCode,$AC:$AC,Sheet1!S71_ItemType,$AD:$AD)</f>
        <v>0</v>
      </c>
      <c r="H242" s="713">
        <f>SUMIFS(Sheet1!S71_AdjustmentBudAmnt,Sheet1!S71_A2SubCode,$AC:$AC,Sheet1!S71_ItemType,$AD:$AD)</f>
        <v>0</v>
      </c>
      <c r="I242" s="725">
        <f>SUMIFS(Sheet1!S71_ASBudgetAmount,Sheet1!S71_A2SubCode,$AC:$AC,Sheet1!S71_ItemType,$AD:$AD)</f>
        <v>0</v>
      </c>
      <c r="J242" s="712">
        <f>SUMIFS(Sheet1!S71_OY1BudgetAmount,Sheet1!S71_A2SubCode,$AC:$AC,Sheet1!S71_ItemType,$AD:$AD)</f>
        <v>0</v>
      </c>
      <c r="K242" s="713">
        <f>SUMIFS(Sheet1!S71_OY2BudgetAmount,Sheet1!S71_A2SubCode,$AC:$AC,Sheet1!S71_ItemType,$AD:$AD)</f>
        <v>0</v>
      </c>
      <c r="L242" s="322"/>
      <c r="AC242" s="2310">
        <v>5003</v>
      </c>
      <c r="AD242" s="2310" t="s">
        <v>2754</v>
      </c>
    </row>
    <row r="243" spans="1:30" ht="11.25" customHeight="1" x14ac:dyDescent="0.25">
      <c r="A243" s="241" t="str">
        <f t="shared" si="39"/>
        <v>Licensing and Regulation</v>
      </c>
      <c r="B243" s="144"/>
      <c r="C243" s="712">
        <f>SUMIFS(Sheet1!S71_PPPYearAmount,Sheet1!S71_A2SubCode,$AC:$AC,Sheet1!S71_ItemType,$AD:$AD)</f>
        <v>5235121</v>
      </c>
      <c r="D243" s="712">
        <f>SUMIFS(Sheet1!S71_PPYearAmount,Sheet1!S71_A2SubCode,$AC:$AC,Sheet1!S71_ItemType,$AD:$AD)</f>
        <v>5285269</v>
      </c>
      <c r="E243" s="712">
        <f>SUMIFS(Sheet1!S71_PYearAmount,Sheet1!S71_A2SubCode,$AC:$AC,Sheet1!S71_ItemType,$AD:$AD)</f>
        <v>3826636</v>
      </c>
      <c r="F243" s="725">
        <f>SUMIFS(Sheet1!S71_OriginalBudAmnt,Sheet1!S71_A2SubCode,$AC:$AC,Sheet1!S71_ItemType,$AD:$AD)</f>
        <v>6513455</v>
      </c>
      <c r="G243" s="712">
        <f>SUMIFS(Sheet1!S71_AdjustmentBudAmnt,Sheet1!S71_A2SubCode,$AC:$AC,Sheet1!S71_ItemType,$AD:$AD)</f>
        <v>6513455</v>
      </c>
      <c r="H243" s="713">
        <f>SUMIFS(Sheet1!S71_AdjustmentBudAmnt,Sheet1!S71_A2SubCode,$AC:$AC,Sheet1!S71_ItemType,$AD:$AD)</f>
        <v>6513455</v>
      </c>
      <c r="I243" s="725">
        <f>SUMIFS(Sheet1!S71_ASBudgetAmount,Sheet1!S71_A2SubCode,$AC:$AC,Sheet1!S71_ItemType,$AD:$AD)</f>
        <v>6925101</v>
      </c>
      <c r="J243" s="712">
        <f>SUMIFS(Sheet1!S71_OY1BudgetAmount,Sheet1!S71_A2SubCode,$AC:$AC,Sheet1!S71_ItemType,$AD:$AD)</f>
        <v>7365318</v>
      </c>
      <c r="K243" s="713">
        <f>SUMIFS(Sheet1!S71_OY2BudgetAmount,Sheet1!S71_A2SubCode,$AC:$AC,Sheet1!S71_ItemType,$AD:$AD)</f>
        <v>7834575</v>
      </c>
      <c r="L243" s="322"/>
      <c r="AC243" s="2310">
        <v>5004</v>
      </c>
      <c r="AD243" s="2310" t="s">
        <v>2754</v>
      </c>
    </row>
    <row r="244" spans="1:30" ht="11.25" customHeight="1" x14ac:dyDescent="0.25">
      <c r="A244" s="241" t="str">
        <f t="shared" si="39"/>
        <v>Markets</v>
      </c>
      <c r="B244" s="144"/>
      <c r="C244" s="712">
        <f>SUMIFS(Sheet1!S71_PPPYearAmount,Sheet1!S71_A2SubCode,$AC:$AC,Sheet1!S71_ItemType,$AD:$AD)</f>
        <v>0</v>
      </c>
      <c r="D244" s="712">
        <f>SUMIFS(Sheet1!S71_PPYearAmount,Sheet1!S71_A2SubCode,$AC:$AC,Sheet1!S71_ItemType,$AD:$AD)</f>
        <v>0</v>
      </c>
      <c r="E244" s="712">
        <f>SUMIFS(Sheet1!S71_PYearAmount,Sheet1!S71_A2SubCode,$AC:$AC,Sheet1!S71_ItemType,$AD:$AD)</f>
        <v>0</v>
      </c>
      <c r="F244" s="725">
        <f>SUMIFS(Sheet1!S71_OriginalBudAmnt,Sheet1!S71_A2SubCode,$AC:$AC,Sheet1!S71_ItemType,$AD:$AD)</f>
        <v>0</v>
      </c>
      <c r="G244" s="712">
        <f>SUMIFS(Sheet1!S71_AdjustmentBudAmnt,Sheet1!S71_A2SubCode,$AC:$AC,Sheet1!S71_ItemType,$AD:$AD)</f>
        <v>0</v>
      </c>
      <c r="H244" s="713">
        <f>SUMIFS(Sheet1!S71_AdjustmentBudAmnt,Sheet1!S71_A2SubCode,$AC:$AC,Sheet1!S71_ItemType,$AD:$AD)</f>
        <v>0</v>
      </c>
      <c r="I244" s="725">
        <f>SUMIFS(Sheet1!S71_ASBudgetAmount,Sheet1!S71_A2SubCode,$AC:$AC,Sheet1!S71_ItemType,$AD:$AD)</f>
        <v>0</v>
      </c>
      <c r="J244" s="712">
        <f>SUMIFS(Sheet1!S71_OY1BudgetAmount,Sheet1!S71_A2SubCode,$AC:$AC,Sheet1!S71_ItemType,$AD:$AD)</f>
        <v>0</v>
      </c>
      <c r="K244" s="713">
        <f>SUMIFS(Sheet1!S71_OY2BudgetAmount,Sheet1!S71_A2SubCode,$AC:$AC,Sheet1!S71_ItemType,$AD:$AD)</f>
        <v>0</v>
      </c>
      <c r="L244" s="322"/>
      <c r="AC244" s="2310">
        <v>5005</v>
      </c>
      <c r="AD244" s="2310" t="s">
        <v>2754</v>
      </c>
    </row>
    <row r="245" spans="1:30" ht="11.25" customHeight="1" x14ac:dyDescent="0.25">
      <c r="A245" s="241" t="str">
        <f t="shared" si="39"/>
        <v>Tourism</v>
      </c>
      <c r="B245" s="144"/>
      <c r="C245" s="712">
        <f>SUMIFS(Sheet1!S71_PPPYearAmount,Sheet1!S71_A2SubCode,$AC:$AC,Sheet1!S71_ItemType,$AD:$AD)</f>
        <v>-10474</v>
      </c>
      <c r="D245" s="712">
        <f>SUMIFS(Sheet1!S71_PPYearAmount,Sheet1!S71_A2SubCode,$AC:$AC,Sheet1!S71_ItemType,$AD:$AD)</f>
        <v>5845</v>
      </c>
      <c r="E245" s="712">
        <f>SUMIFS(Sheet1!S71_PYearAmount,Sheet1!S71_A2SubCode,$AC:$AC,Sheet1!S71_ItemType,$AD:$AD)</f>
        <v>0</v>
      </c>
      <c r="F245" s="725">
        <f>SUMIFS(Sheet1!S71_OriginalBudAmnt,Sheet1!S71_A2SubCode,$AC:$AC,Sheet1!S71_ItemType,$AD:$AD)</f>
        <v>0</v>
      </c>
      <c r="G245" s="712">
        <f>SUMIFS(Sheet1!S71_AdjustmentBudAmnt,Sheet1!S71_A2SubCode,$AC:$AC,Sheet1!S71_ItemType,$AD:$AD)</f>
        <v>0</v>
      </c>
      <c r="H245" s="713">
        <f>SUMIFS(Sheet1!S71_AdjustmentBudAmnt,Sheet1!S71_A2SubCode,$AC:$AC,Sheet1!S71_ItemType,$AD:$AD)</f>
        <v>0</v>
      </c>
      <c r="I245" s="725">
        <f>SUMIFS(Sheet1!S71_ASBudgetAmount,Sheet1!S71_A2SubCode,$AC:$AC,Sheet1!S71_ItemType,$AD:$AD)</f>
        <v>0</v>
      </c>
      <c r="J245" s="712">
        <f>SUMIFS(Sheet1!S71_OY1BudgetAmount,Sheet1!S71_A2SubCode,$AC:$AC,Sheet1!S71_ItemType,$AD:$AD)</f>
        <v>0</v>
      </c>
      <c r="K245" s="713">
        <f>SUMIFS(Sheet1!S71_OY2BudgetAmount,Sheet1!S71_A2SubCode,$AC:$AC,Sheet1!S71_ItemType,$AD:$AD)</f>
        <v>0</v>
      </c>
      <c r="L245" s="322"/>
      <c r="AC245" s="2310">
        <v>5006</v>
      </c>
      <c r="AD245" s="2310" t="s">
        <v>2754</v>
      </c>
    </row>
    <row r="246" spans="1:30" ht="11.25" customHeight="1" x14ac:dyDescent="0.25">
      <c r="A246" s="145" t="str">
        <f>"Total "&amp;A126</f>
        <v>Total Expenditure - Functional</v>
      </c>
      <c r="B246" s="144">
        <v>3</v>
      </c>
      <c r="C246" s="106">
        <f t="shared" ref="C246:K246" si="46">C127+C147+C196+C220+C239</f>
        <v>81467971</v>
      </c>
      <c r="D246" s="106">
        <f t="shared" si="46"/>
        <v>83533919</v>
      </c>
      <c r="E246" s="359">
        <f t="shared" si="46"/>
        <v>96866724</v>
      </c>
      <c r="F246" s="107">
        <f t="shared" si="46"/>
        <v>121536902</v>
      </c>
      <c r="G246" s="106">
        <f t="shared" si="46"/>
        <v>142539969</v>
      </c>
      <c r="H246" s="359">
        <f t="shared" si="46"/>
        <v>142539969</v>
      </c>
      <c r="I246" s="107">
        <f t="shared" si="46"/>
        <v>142902464</v>
      </c>
      <c r="J246" s="106">
        <f t="shared" si="46"/>
        <v>135688050</v>
      </c>
      <c r="K246" s="359">
        <f t="shared" si="46"/>
        <v>146622608</v>
      </c>
      <c r="L246" s="322"/>
      <c r="Q246" s="2238"/>
      <c r="AC246" s="2309"/>
      <c r="AD246" s="2309"/>
    </row>
    <row r="247" spans="1:30" ht="13.5" x14ac:dyDescent="0.25">
      <c r="A247" s="147" t="str">
        <f>result</f>
        <v>Surplus/(Deficit) for the year</v>
      </c>
      <c r="B247" s="148"/>
      <c r="C247" s="549">
        <f t="shared" ref="C247:K247" si="47">C124-C246</f>
        <v>20192873</v>
      </c>
      <c r="D247" s="549">
        <f t="shared" si="47"/>
        <v>26829747</v>
      </c>
      <c r="E247" s="550">
        <f t="shared" si="47"/>
        <v>17074495</v>
      </c>
      <c r="F247" s="820">
        <f t="shared" si="47"/>
        <v>2685553</v>
      </c>
      <c r="G247" s="549">
        <f t="shared" si="47"/>
        <v>3163076</v>
      </c>
      <c r="H247" s="550">
        <f t="shared" si="47"/>
        <v>3163076</v>
      </c>
      <c r="I247" s="820">
        <f t="shared" si="47"/>
        <v>-7459342</v>
      </c>
      <c r="J247" s="549">
        <f t="shared" si="47"/>
        <v>6915590</v>
      </c>
      <c r="K247" s="550">
        <f t="shared" si="47"/>
        <v>-869184</v>
      </c>
      <c r="L247" s="322"/>
      <c r="AC247" s="2309"/>
      <c r="AD247" s="2309"/>
    </row>
    <row r="248" spans="1:30" ht="13.5" x14ac:dyDescent="0.25">
      <c r="A248" s="149" t="str">
        <f>head27a</f>
        <v>References</v>
      </c>
      <c r="B248" s="150"/>
      <c r="C248" s="153"/>
      <c r="D248" s="153"/>
      <c r="E248" s="153"/>
      <c r="F248" s="153"/>
      <c r="G248" s="153"/>
      <c r="H248" s="153"/>
      <c r="I248" s="153"/>
      <c r="J248" s="153"/>
      <c r="K248" s="153"/>
      <c r="L248" s="322"/>
      <c r="AC248" s="2309"/>
      <c r="AD248" s="2309"/>
    </row>
    <row r="249" spans="1:30" ht="11.25" customHeight="1" x14ac:dyDescent="0.25">
      <c r="A249" s="151" t="s">
        <v>376</v>
      </c>
      <c r="B249" s="150"/>
      <c r="C249" s="152"/>
      <c r="D249" s="152"/>
      <c r="E249" s="153"/>
      <c r="F249" s="153"/>
      <c r="G249" s="153"/>
      <c r="H249" s="153"/>
      <c r="I249" s="153"/>
      <c r="J249" s="153"/>
      <c r="K249" s="153"/>
      <c r="AC249" s="2309"/>
      <c r="AD249" s="2309"/>
    </row>
    <row r="250" spans="1:30" ht="11.25" customHeight="1" x14ac:dyDescent="0.25">
      <c r="A250" s="154" t="s">
        <v>2447</v>
      </c>
      <c r="B250" s="150"/>
      <c r="C250" s="152"/>
      <c r="D250" s="152"/>
      <c r="E250" s="153"/>
      <c r="F250" s="153"/>
      <c r="G250" s="153"/>
      <c r="H250" s="153"/>
      <c r="I250" s="153"/>
      <c r="J250" s="153"/>
      <c r="K250" s="153"/>
      <c r="AC250" s="2309"/>
      <c r="AD250" s="2309"/>
    </row>
    <row r="251" spans="1:30" ht="11.25" customHeight="1" x14ac:dyDescent="0.25">
      <c r="A251" s="151" t="s">
        <v>2448</v>
      </c>
      <c r="B251" s="150"/>
      <c r="C251" s="152"/>
      <c r="D251" s="152"/>
      <c r="E251" s="153"/>
      <c r="F251" s="153"/>
      <c r="G251" s="153"/>
      <c r="H251" s="153"/>
      <c r="I251" s="153"/>
      <c r="J251" s="153"/>
      <c r="K251" s="153"/>
      <c r="AC251" s="2309"/>
      <c r="AD251" s="2309"/>
    </row>
    <row r="252" spans="1:30" ht="22.5" customHeight="1" x14ac:dyDescent="0.25">
      <c r="A252" s="2446" t="s">
        <v>2449</v>
      </c>
      <c r="B252" s="2446"/>
      <c r="C252" s="2446"/>
      <c r="D252" s="2446"/>
      <c r="E252" s="2446"/>
      <c r="F252" s="2446"/>
      <c r="G252" s="2446"/>
      <c r="H252" s="2446"/>
      <c r="I252" s="2446"/>
      <c r="J252" s="2446"/>
      <c r="K252" s="2446"/>
      <c r="AC252" s="2309"/>
      <c r="AD252" s="2309"/>
    </row>
    <row r="253" spans="1:30" ht="11.25" customHeight="1" x14ac:dyDescent="0.25">
      <c r="A253" s="220"/>
      <c r="B253" s="189"/>
      <c r="C253" s="192"/>
      <c r="D253" s="192"/>
      <c r="E253" s="193"/>
      <c r="F253" s="193"/>
      <c r="G253" s="193"/>
      <c r="H253" s="193"/>
      <c r="I253" s="193"/>
      <c r="J253" s="193"/>
      <c r="K253" s="193"/>
      <c r="AC253" s="2309"/>
      <c r="AD253" s="2309"/>
    </row>
    <row r="254" spans="1:30" ht="11.25" customHeight="1" x14ac:dyDescent="0.25">
      <c r="A254" s="220"/>
      <c r="B254" s="189"/>
      <c r="C254" s="192"/>
      <c r="D254" s="192"/>
      <c r="E254" s="193"/>
      <c r="F254" s="193"/>
      <c r="G254" s="193"/>
      <c r="H254" s="193"/>
      <c r="I254" s="193"/>
      <c r="J254" s="193"/>
      <c r="K254" s="193"/>
      <c r="AC254" s="2309"/>
      <c r="AD254" s="2309"/>
    </row>
    <row r="255" spans="1:30" ht="11.25" customHeight="1" x14ac:dyDescent="0.25">
      <c r="A255" s="219" t="s">
        <v>131</v>
      </c>
      <c r="B255" s="150"/>
      <c r="C255" s="2239">
        <f>C124-'A4-FinPerf RE'!C59</f>
        <v>-3070740</v>
      </c>
      <c r="D255" s="2239">
        <f>D124-'A4-FinPerf RE'!D59</f>
        <v>-3188632</v>
      </c>
      <c r="E255" s="2240">
        <f>E124-'A4-FinPerf RE'!E59</f>
        <v>-4481704</v>
      </c>
      <c r="F255" s="2239">
        <f>F124-'A4-FinPerf RE'!F59</f>
        <v>0</v>
      </c>
      <c r="G255" s="2239">
        <f>G124-'A4-FinPerf RE'!G59</f>
        <v>0</v>
      </c>
      <c r="H255" s="2239">
        <f>H124-'A4-FinPerf RE'!H59</f>
        <v>0</v>
      </c>
      <c r="I255" s="2239">
        <f>I124-'A4-FinPerf RE'!J59</f>
        <v>0</v>
      </c>
      <c r="J255" s="2239">
        <f>J124-'A4-FinPerf RE'!K59</f>
        <v>0</v>
      </c>
      <c r="K255" s="2239">
        <f>K124-'A4-FinPerf RE'!L59</f>
        <v>0</v>
      </c>
      <c r="AC255" s="2309"/>
      <c r="AD255" s="2309"/>
    </row>
    <row r="256" spans="1:30" ht="11.25" customHeight="1" x14ac:dyDescent="0.25">
      <c r="A256" s="219" t="s">
        <v>749</v>
      </c>
      <c r="B256" s="150"/>
      <c r="C256" s="2239">
        <f>C246-'A4-FinPerf RE'!C35</f>
        <v>1851685</v>
      </c>
      <c r="D256" s="2239">
        <f>D246-'A4-FinPerf RE'!D35</f>
        <v>2476986</v>
      </c>
      <c r="E256" s="2240">
        <f>E246-'A4-FinPerf RE'!E35</f>
        <v>3045445</v>
      </c>
      <c r="F256" s="2239">
        <f>F246-'A4-FinPerf RE'!F35</f>
        <v>0</v>
      </c>
      <c r="G256" s="2239">
        <f>G246-'A4-FinPerf RE'!G35</f>
        <v>0</v>
      </c>
      <c r="H256" s="2239">
        <f>H246-'A4-FinPerf RE'!H35</f>
        <v>0</v>
      </c>
      <c r="I256" s="2239">
        <f>I246-'A4-FinPerf RE'!J35</f>
        <v>0</v>
      </c>
      <c r="J256" s="2239">
        <f>J246-'A4-FinPerf RE'!K35</f>
        <v>0</v>
      </c>
      <c r="K256" s="2239">
        <f>K246-'A4-FinPerf RE'!L35</f>
        <v>-1</v>
      </c>
      <c r="AC256" s="2309"/>
      <c r="AD256" s="2309"/>
    </row>
    <row r="257" spans="5:5" ht="11.25" customHeight="1" x14ac:dyDescent="0.25"/>
    <row r="258" spans="5:5" ht="11.25" customHeight="1" x14ac:dyDescent="0.25"/>
    <row r="259" spans="5:5" ht="11.25" customHeight="1" x14ac:dyDescent="0.25"/>
    <row r="260" spans="5:5" ht="11.25" customHeight="1" x14ac:dyDescent="0.25">
      <c r="E260" s="982"/>
    </row>
    <row r="261" spans="5:5" ht="11.25" customHeight="1" x14ac:dyDescent="0.25"/>
    <row r="262" spans="5:5" ht="11.25" customHeight="1" x14ac:dyDescent="0.25"/>
    <row r="263" spans="5:5" ht="11.25" customHeight="1" x14ac:dyDescent="0.25"/>
    <row r="264" spans="5:5" ht="11.25" customHeight="1" x14ac:dyDescent="0.25"/>
    <row r="265" spans="5:5" ht="11.25" customHeight="1" x14ac:dyDescent="0.25"/>
    <row r="266" spans="5:5" ht="11.25" customHeight="1" x14ac:dyDescent="0.25"/>
    <row r="267" spans="5:5" ht="11.25" customHeight="1" x14ac:dyDescent="0.25"/>
    <row r="268" spans="5:5" ht="11.25" customHeight="1" x14ac:dyDescent="0.25"/>
    <row r="269" spans="5:5" ht="11.25" customHeight="1" x14ac:dyDescent="0.25"/>
    <row r="270" spans="5:5" ht="11.25" customHeight="1" x14ac:dyDescent="0.25"/>
    <row r="271" spans="5:5" ht="11.25" customHeight="1" x14ac:dyDescent="0.25"/>
    <row r="272" spans="5:5" ht="11.25" customHeight="1" x14ac:dyDescent="0.25"/>
    <row r="273" ht="11.25" customHeight="1" x14ac:dyDescent="0.25"/>
    <row r="274" ht="11.25" customHeight="1" x14ac:dyDescent="0.25"/>
    <row r="275" ht="11.25" customHeight="1" x14ac:dyDescent="0.25"/>
    <row r="276" ht="11.25" customHeight="1" x14ac:dyDescent="0.25"/>
    <row r="277" ht="11.25" customHeight="1" x14ac:dyDescent="0.25"/>
    <row r="278" ht="11.25" customHeight="1" x14ac:dyDescent="0.25"/>
    <row r="279" ht="11.25" customHeight="1" x14ac:dyDescent="0.25"/>
    <row r="280" ht="11.25" customHeight="1" x14ac:dyDescent="0.25"/>
    <row r="281" ht="11.25" customHeight="1" x14ac:dyDescent="0.25"/>
    <row r="282" ht="11.25" customHeight="1" x14ac:dyDescent="0.25"/>
    <row r="283" ht="11.25" customHeight="1" x14ac:dyDescent="0.25"/>
    <row r="284" ht="11.25" customHeight="1" x14ac:dyDescent="0.25"/>
    <row r="285" ht="11.25" customHeight="1" x14ac:dyDescent="0.25"/>
    <row r="286" ht="11.25" customHeight="1" x14ac:dyDescent="0.25"/>
    <row r="287" ht="11.25" customHeight="1" x14ac:dyDescent="0.25"/>
    <row r="288" ht="11.25" customHeight="1" x14ac:dyDescent="0.25"/>
    <row r="289" ht="11.25" customHeight="1" x14ac:dyDescent="0.25"/>
    <row r="290" ht="11.25" customHeight="1" x14ac:dyDescent="0.25"/>
  </sheetData>
  <sheetProtection algorithmName="SHA-512" hashValue="Ox+Zn0/921zTaU+6u5/onT1v9Lel89s+l+caXO/YawLkRsJfCAEuPdLqzZhIfbnfO70Jw50zutE+L51fTCxQVA==" saltValue="+K4L+4hhNPSfgL1FQZv3NA==" spinCount="100000" sheet="1" objects="1" scenarios="1"/>
  <mergeCells count="3">
    <mergeCell ref="F2:H2"/>
    <mergeCell ref="I2:K2"/>
    <mergeCell ref="A252:K252"/>
  </mergeCells>
  <phoneticPr fontId="7" type="noConversion"/>
  <dataValidations count="1">
    <dataValidation type="decimal" allowBlank="1" showInputMessage="1" showErrorMessage="1" sqref="C198:K207 C10:K22 C24:K24 C27:K47 C7:K8 C55:K62 C64:K65 C67:K73 C87:K90 C92:K97 C100:K102 C104:K106 C108:K111 C113:K116 C132:K144 C118:K123 C129:K130 C149:K169 C235:K238 C177:K184 C186:K187 C189:K195 C209:K212 C214:K219 C222:K224 C226:K228 C230:K233 C146:K146 C49:K53 C76:K85 C171:K175 C240:K245" xr:uid="{00000000-0002-0000-0800-000000000000}">
      <formula1>-99999999999999900000</formula1>
      <formula2>99999999999999900000</formula2>
    </dataValidation>
  </dataValidations>
  <pageMargins left="0.75" right="0.75" top="1" bottom="1" header="0.5" footer="0.5"/>
  <pageSetup paperSize="9" scale="60" orientation="portrait" r:id="rId1"/>
  <headerFooter alignWithMargins="0"/>
  <rowBreaks count="3" manualBreakCount="3">
    <brk id="73" max="16383" man="1"/>
    <brk id="125" max="16383" man="1"/>
    <brk id="195" max="16383" man="1"/>
  </rowBreaks>
  <ignoredErrors>
    <ignoredError sqref="C185" unlockedFormula="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pageSetUpPr fitToPage="1"/>
  </sheetPr>
  <dimension ref="A1:X77"/>
  <sheetViews>
    <sheetView showGridLines="0" topLeftCell="A13" zoomScale="110" zoomScaleNormal="110" workbookViewId="0">
      <selection activeCell="J50" sqref="J50"/>
    </sheetView>
  </sheetViews>
  <sheetFormatPr defaultColWidth="9.140625" defaultRowHeight="12.75" x14ac:dyDescent="0.25"/>
  <cols>
    <col min="1" max="1" width="30.7109375" style="58" customWidth="1"/>
    <col min="2" max="2" width="3" style="55" customWidth="1"/>
    <col min="3" max="11" width="9.28515625" style="58" customWidth="1"/>
    <col min="12" max="23" width="9.140625" style="58" hidden="1" customWidth="1"/>
    <col min="24" max="16384" width="9.140625" style="58"/>
  </cols>
  <sheetData>
    <row r="1" spans="1:24" s="93" customFormat="1" x14ac:dyDescent="0.2">
      <c r="A1" s="92" t="str">
        <f>muni&amp;" - "&amp;Approve2</f>
        <v>KZN226 Mkhambathini - Table A3 Budgeted Financial Performance (revenue and expenditure by municipal vote)</v>
      </c>
      <c r="B1" s="92"/>
      <c r="C1" s="92"/>
      <c r="D1" s="92"/>
      <c r="E1" s="92"/>
      <c r="F1" s="92"/>
      <c r="G1" s="92"/>
      <c r="H1" s="92"/>
      <c r="I1" s="92"/>
      <c r="J1" s="92"/>
      <c r="K1" s="92"/>
    </row>
    <row r="2" spans="1:24" ht="28.5" customHeight="1" x14ac:dyDescent="0.25">
      <c r="A2" s="696" t="str">
        <f>Vdesc</f>
        <v>Vote Description</v>
      </c>
      <c r="B2" s="155" t="str">
        <f>head27</f>
        <v>Ref</v>
      </c>
      <c r="C2" s="837" t="str">
        <f>head1b</f>
        <v>2017/18</v>
      </c>
      <c r="D2" s="837" t="str">
        <f>head1A</f>
        <v>2018/19</v>
      </c>
      <c r="E2" s="684" t="str">
        <f>Head1</f>
        <v>2019/20</v>
      </c>
      <c r="F2" s="2447" t="str">
        <f>Head2</f>
        <v>Current Year 2020/21</v>
      </c>
      <c r="G2" s="2448"/>
      <c r="H2" s="2448"/>
      <c r="I2" s="2450" t="str">
        <f>Head3</f>
        <v>2021/22 Medium Term Revenue &amp; Expenditure Framework</v>
      </c>
      <c r="J2" s="2451"/>
      <c r="K2" s="2452"/>
      <c r="L2" s="2456" t="str">
        <f>Head4</f>
        <v>LTFS</v>
      </c>
      <c r="M2" s="2457"/>
      <c r="N2" s="2457"/>
      <c r="O2" s="2457"/>
      <c r="P2" s="2457"/>
      <c r="Q2" s="2457"/>
      <c r="R2" s="2457"/>
      <c r="S2" s="2457"/>
      <c r="T2" s="2457"/>
      <c r="U2" s="2457"/>
      <c r="V2" s="2457"/>
      <c r="W2" s="2458"/>
    </row>
    <row r="3" spans="1:24" ht="25.5" x14ac:dyDescent="0.25">
      <c r="A3" s="156" t="s">
        <v>568</v>
      </c>
      <c r="B3" s="157"/>
      <c r="C3" s="698" t="str">
        <f>Head5</f>
        <v>Audited Outcome</v>
      </c>
      <c r="D3" s="698" t="str">
        <f>Head5</f>
        <v>Audited Outcome</v>
      </c>
      <c r="E3" s="94" t="str">
        <f>Head5</f>
        <v>Audited Outcome</v>
      </c>
      <c r="F3" s="95" t="str">
        <f>Head6</f>
        <v>Original Budget</v>
      </c>
      <c r="G3" s="698" t="str">
        <f>Head7</f>
        <v>Adjusted Budget</v>
      </c>
      <c r="H3" s="94" t="str">
        <f>Head8</f>
        <v>Full Year Forecast</v>
      </c>
      <c r="I3" s="95" t="str">
        <f>Head9</f>
        <v>Budget Year 2021/22</v>
      </c>
      <c r="J3" s="698" t="str">
        <f>Head10</f>
        <v>Budget Year +1 2022/23</v>
      </c>
      <c r="K3" s="94" t="str">
        <f>Head11</f>
        <v>Budget Year +2 2023/24</v>
      </c>
      <c r="L3" s="703" t="str">
        <f>Head12</f>
        <v>Forecast 2024/25</v>
      </c>
      <c r="M3" s="704" t="str">
        <f>Head13</f>
        <v>Forecast 2025/26</v>
      </c>
      <c r="N3" s="704" t="str">
        <f>Head14</f>
        <v>Forecast 2026/27</v>
      </c>
      <c r="O3" s="704" t="str">
        <f>Head15</f>
        <v>Forecast 2027/28</v>
      </c>
      <c r="P3" s="704" t="str">
        <f>Head16</f>
        <v>Forecast 2028/29</v>
      </c>
      <c r="Q3" s="704" t="str">
        <f>Head17</f>
        <v>Forecast 2029/30</v>
      </c>
      <c r="R3" s="704" t="str">
        <f>Head18</f>
        <v>Forecast 2030/31</v>
      </c>
      <c r="S3" s="704" t="str">
        <f>Head19</f>
        <v>Forecast 2031/32</v>
      </c>
      <c r="T3" s="704" t="str">
        <f>Head20</f>
        <v>Forecast 2032/33</v>
      </c>
      <c r="U3" s="704" t="str">
        <f>Head21</f>
        <v>Forecast 2033/34</v>
      </c>
      <c r="V3" s="704" t="str">
        <f>Head22</f>
        <v>Forecast 2034/35</v>
      </c>
      <c r="W3" s="704" t="str">
        <f>Head23</f>
        <v>Forecast 2035/36</v>
      </c>
    </row>
    <row r="4" spans="1:24" ht="11.25" customHeight="1" x14ac:dyDescent="0.25">
      <c r="A4" s="158" t="s">
        <v>1191</v>
      </c>
      <c r="B4" s="144">
        <v>1</v>
      </c>
      <c r="C4" s="159"/>
      <c r="D4" s="159"/>
      <c r="E4" s="160"/>
      <c r="F4" s="161"/>
      <c r="G4" s="159"/>
      <c r="H4" s="162"/>
      <c r="I4" s="163"/>
      <c r="J4" s="159"/>
      <c r="K4" s="386"/>
      <c r="L4" s="707"/>
      <c r="M4" s="708"/>
      <c r="N4" s="708"/>
      <c r="O4" s="708"/>
      <c r="P4" s="708"/>
      <c r="Q4" s="708"/>
      <c r="R4" s="708"/>
      <c r="S4" s="708"/>
      <c r="T4" s="708"/>
      <c r="U4" s="708"/>
      <c r="V4" s="708"/>
      <c r="W4" s="708"/>
    </row>
    <row r="5" spans="1:24" ht="11.25" customHeight="1" x14ac:dyDescent="0.25">
      <c r="A5" s="164" t="str">
        <f>A3A!A5</f>
        <v>Vote 1 - Finance and Administration</v>
      </c>
      <c r="B5" s="144"/>
      <c r="C5" s="165">
        <f>A3A!C5</f>
        <v>93274925</v>
      </c>
      <c r="D5" s="165">
        <f>A3A!D5</f>
        <v>101034797</v>
      </c>
      <c r="E5" s="166">
        <f>A3A!E5</f>
        <v>106050185</v>
      </c>
      <c r="F5" s="167">
        <f>A3A!F5</f>
        <v>113346009</v>
      </c>
      <c r="G5" s="165">
        <f>A3A!G5</f>
        <v>133671688</v>
      </c>
      <c r="H5" s="168">
        <f>A3A!H5</f>
        <v>133671688</v>
      </c>
      <c r="I5" s="169">
        <f>A3A!I5</f>
        <v>124541239</v>
      </c>
      <c r="J5" s="165">
        <f>A3A!J5</f>
        <v>129656413</v>
      </c>
      <c r="K5" s="382">
        <f>A3A!K5</f>
        <v>132364708</v>
      </c>
      <c r="L5" s="707"/>
      <c r="M5" s="708"/>
      <c r="N5" s="708"/>
      <c r="O5" s="708"/>
      <c r="P5" s="708"/>
      <c r="Q5" s="708"/>
      <c r="R5" s="708"/>
      <c r="S5" s="708"/>
      <c r="T5" s="708"/>
      <c r="U5" s="708"/>
      <c r="V5" s="708"/>
      <c r="W5" s="708"/>
    </row>
    <row r="6" spans="1:24" ht="11.25" customHeight="1" x14ac:dyDescent="0.25">
      <c r="A6" s="164" t="str">
        <f>A3A!A16</f>
        <v>Vote 2 - Finance and Administration2</v>
      </c>
      <c r="B6" s="144"/>
      <c r="C6" s="165">
        <f>A3A!C16</f>
        <v>0</v>
      </c>
      <c r="D6" s="165">
        <f>A3A!D16</f>
        <v>0</v>
      </c>
      <c r="E6" s="166">
        <f>A3A!E16</f>
        <v>0</v>
      </c>
      <c r="F6" s="167">
        <f>A3A!F16</f>
        <v>0</v>
      </c>
      <c r="G6" s="165">
        <f>A3A!G16</f>
        <v>0</v>
      </c>
      <c r="H6" s="168">
        <f>A3A!H16</f>
        <v>0</v>
      </c>
      <c r="I6" s="169">
        <f>A3A!I16</f>
        <v>0</v>
      </c>
      <c r="J6" s="165">
        <f>A3A!J16</f>
        <v>0</v>
      </c>
      <c r="K6" s="382">
        <f>A3A!K16</f>
        <v>0</v>
      </c>
      <c r="L6" s="707"/>
      <c r="M6" s="708"/>
      <c r="N6" s="708"/>
      <c r="O6" s="708"/>
      <c r="P6" s="708"/>
      <c r="Q6" s="708"/>
      <c r="R6" s="708"/>
      <c r="S6" s="708"/>
      <c r="T6" s="708"/>
      <c r="U6" s="708"/>
      <c r="V6" s="708"/>
      <c r="W6" s="708"/>
    </row>
    <row r="7" spans="1:24" ht="11.25" customHeight="1" x14ac:dyDescent="0.25">
      <c r="A7" s="164" t="str">
        <f>A3A!A27</f>
        <v>Vote 3 - Executive and Council</v>
      </c>
      <c r="B7" s="144"/>
      <c r="C7" s="165">
        <f>A3A!C27</f>
        <v>0</v>
      </c>
      <c r="D7" s="165">
        <f>A3A!D27</f>
        <v>0</v>
      </c>
      <c r="E7" s="166">
        <f>A3A!E27</f>
        <v>0</v>
      </c>
      <c r="F7" s="167">
        <f>A3A!F27</f>
        <v>0</v>
      </c>
      <c r="G7" s="165">
        <f>A3A!G27</f>
        <v>0</v>
      </c>
      <c r="H7" s="168">
        <f>A3A!H27</f>
        <v>0</v>
      </c>
      <c r="I7" s="169">
        <f>A3A!I27</f>
        <v>0</v>
      </c>
      <c r="J7" s="165">
        <f>A3A!J27</f>
        <v>0</v>
      </c>
      <c r="K7" s="382">
        <f>A3A!K27</f>
        <v>0</v>
      </c>
      <c r="L7" s="707"/>
      <c r="M7" s="708"/>
      <c r="N7" s="708"/>
      <c r="O7" s="708"/>
      <c r="P7" s="708"/>
      <c r="Q7" s="708"/>
      <c r="R7" s="708"/>
      <c r="S7" s="708"/>
      <c r="T7" s="708"/>
      <c r="U7" s="708"/>
      <c r="V7" s="708"/>
      <c r="W7" s="708"/>
    </row>
    <row r="8" spans="1:24" ht="11.25" customHeight="1" x14ac:dyDescent="0.25">
      <c r="A8" s="164" t="str">
        <f>A3A!A38</f>
        <v>Vote 4 - Community and Social Services</v>
      </c>
      <c r="B8" s="144"/>
      <c r="C8" s="165">
        <f>A3A!C38</f>
        <v>1378687</v>
      </c>
      <c r="D8" s="165">
        <f>A3A!D38</f>
        <v>2061132</v>
      </c>
      <c r="E8" s="166">
        <f>A3A!E38</f>
        <v>2477352</v>
      </c>
      <c r="F8" s="167">
        <f>A3A!F38</f>
        <v>2212094</v>
      </c>
      <c r="G8" s="165">
        <f>A3A!G38</f>
        <v>1839594</v>
      </c>
      <c r="H8" s="168">
        <f>A3A!H38</f>
        <v>1839594</v>
      </c>
      <c r="I8" s="169">
        <f>A3A!I38</f>
        <v>1933474</v>
      </c>
      <c r="J8" s="165">
        <f>A3A!J38</f>
        <v>1934414</v>
      </c>
      <c r="K8" s="382">
        <f>A3A!K38</f>
        <v>1935391</v>
      </c>
      <c r="L8" s="707"/>
      <c r="M8" s="708"/>
      <c r="N8" s="708"/>
      <c r="O8" s="708"/>
      <c r="P8" s="708"/>
      <c r="Q8" s="708"/>
      <c r="R8" s="708"/>
      <c r="S8" s="708"/>
      <c r="T8" s="708"/>
      <c r="U8" s="708"/>
      <c r="V8" s="708"/>
      <c r="W8" s="708"/>
    </row>
    <row r="9" spans="1:24" ht="11.25" customHeight="1" x14ac:dyDescent="0.25">
      <c r="A9" s="164" t="str">
        <f>A3A!A49</f>
        <v>Vote 5 - Community and Social Services2</v>
      </c>
      <c r="B9" s="144"/>
      <c r="C9" s="165">
        <f>A3A!C49</f>
        <v>0</v>
      </c>
      <c r="D9" s="165">
        <f>A3A!D49</f>
        <v>0</v>
      </c>
      <c r="E9" s="166">
        <f>A3A!E49</f>
        <v>0</v>
      </c>
      <c r="F9" s="167">
        <f>A3A!F49</f>
        <v>0</v>
      </c>
      <c r="G9" s="165">
        <f>A3A!G49</f>
        <v>0</v>
      </c>
      <c r="H9" s="168">
        <f>A3A!H49</f>
        <v>0</v>
      </c>
      <c r="I9" s="169">
        <f>A3A!I49</f>
        <v>0</v>
      </c>
      <c r="J9" s="165">
        <f>A3A!J49</f>
        <v>0</v>
      </c>
      <c r="K9" s="382">
        <f>A3A!K49</f>
        <v>0</v>
      </c>
      <c r="L9" s="707"/>
      <c r="M9" s="708"/>
      <c r="N9" s="708"/>
      <c r="O9" s="708"/>
      <c r="P9" s="708"/>
      <c r="Q9" s="708"/>
      <c r="R9" s="708"/>
      <c r="S9" s="708"/>
      <c r="T9" s="708"/>
      <c r="U9" s="708"/>
      <c r="V9" s="708"/>
      <c r="W9" s="708"/>
    </row>
    <row r="10" spans="1:24" ht="11.25" customHeight="1" x14ac:dyDescent="0.25">
      <c r="A10" s="164" t="str">
        <f>A3A!A60</f>
        <v>Vote 6 - Energy Sources</v>
      </c>
      <c r="B10" s="144"/>
      <c r="C10" s="165">
        <f>A3A!C60</f>
        <v>0</v>
      </c>
      <c r="D10" s="165">
        <f>A3A!D60</f>
        <v>0</v>
      </c>
      <c r="E10" s="166">
        <f>A3A!E60</f>
        <v>0</v>
      </c>
      <c r="F10" s="167">
        <f>A3A!F60</f>
        <v>0</v>
      </c>
      <c r="G10" s="165">
        <f>A3A!G60</f>
        <v>0</v>
      </c>
      <c r="H10" s="168">
        <f>A3A!H60</f>
        <v>0</v>
      </c>
      <c r="I10" s="169">
        <f>A3A!I60</f>
        <v>0</v>
      </c>
      <c r="J10" s="165">
        <f>A3A!J60</f>
        <v>0</v>
      </c>
      <c r="K10" s="382">
        <f>A3A!K60</f>
        <v>0</v>
      </c>
      <c r="L10" s="707"/>
      <c r="M10" s="708"/>
      <c r="N10" s="708"/>
      <c r="O10" s="708"/>
      <c r="P10" s="708"/>
      <c r="Q10" s="708"/>
      <c r="R10" s="708"/>
      <c r="S10" s="708"/>
      <c r="T10" s="708"/>
      <c r="U10" s="708"/>
      <c r="V10" s="708"/>
      <c r="W10" s="708"/>
    </row>
    <row r="11" spans="1:24" ht="11.25" customHeight="1" x14ac:dyDescent="0.25">
      <c r="A11" s="164" t="str">
        <f>A3A!A71</f>
        <v>Vote 7 - Road Transport</v>
      </c>
      <c r="B11" s="144"/>
      <c r="C11" s="165">
        <f>A3A!C71</f>
        <v>26250</v>
      </c>
      <c r="D11" s="165">
        <f>A3A!D71</f>
        <v>27055</v>
      </c>
      <c r="E11" s="166">
        <f>A3A!E71</f>
        <v>23190</v>
      </c>
      <c r="F11" s="167">
        <f>A3A!F71</f>
        <v>30000</v>
      </c>
      <c r="G11" s="165">
        <f>A3A!G71</f>
        <v>30000</v>
      </c>
      <c r="H11" s="168">
        <f>A3A!H71</f>
        <v>30000</v>
      </c>
      <c r="I11" s="169">
        <f>A3A!I71</f>
        <v>31170</v>
      </c>
      <c r="J11" s="165">
        <f>A3A!J71</f>
        <v>32417</v>
      </c>
      <c r="K11" s="382">
        <f>A3A!K71</f>
        <v>33713</v>
      </c>
      <c r="L11" s="707"/>
      <c r="M11" s="708"/>
      <c r="N11" s="708"/>
      <c r="O11" s="708"/>
      <c r="P11" s="708"/>
      <c r="Q11" s="708"/>
      <c r="R11" s="708"/>
      <c r="S11" s="708"/>
      <c r="T11" s="708"/>
      <c r="U11" s="708"/>
      <c r="V11" s="708"/>
      <c r="W11" s="708"/>
    </row>
    <row r="12" spans="1:24" ht="11.25" customHeight="1" x14ac:dyDescent="0.25">
      <c r="A12" s="164" t="str">
        <f>A3A!A82</f>
        <v>Vote 8 - Planning and Development</v>
      </c>
      <c r="B12" s="144"/>
      <c r="C12" s="165">
        <f>A3A!C82</f>
        <v>419011</v>
      </c>
      <c r="D12" s="165">
        <f>A3A!D82</f>
        <v>227692</v>
      </c>
      <c r="E12" s="166">
        <f>A3A!E82</f>
        <v>132745</v>
      </c>
      <c r="F12" s="167">
        <f>A3A!F82</f>
        <v>938955</v>
      </c>
      <c r="G12" s="165">
        <f>A3A!G82</f>
        <v>2465166</v>
      </c>
      <c r="H12" s="168">
        <f>A3A!H82</f>
        <v>2465166</v>
      </c>
      <c r="I12" s="169">
        <f>A3A!I82</f>
        <v>940474</v>
      </c>
      <c r="J12" s="165">
        <f>A3A!J82</f>
        <v>2663760</v>
      </c>
      <c r="K12" s="382">
        <f>A3A!K82</f>
        <v>2770310</v>
      </c>
      <c r="L12" s="707"/>
      <c r="M12" s="708"/>
      <c r="N12" s="708"/>
      <c r="O12" s="708"/>
      <c r="P12" s="708"/>
      <c r="Q12" s="708"/>
      <c r="R12" s="708"/>
      <c r="S12" s="708"/>
      <c r="T12" s="708"/>
      <c r="U12" s="708"/>
      <c r="V12" s="708"/>
      <c r="W12" s="708"/>
    </row>
    <row r="13" spans="1:24" ht="11.25" customHeight="1" x14ac:dyDescent="0.25">
      <c r="A13" s="164" t="str">
        <f>A3A!A93</f>
        <v>Vote 9 - Sport and Recreation</v>
      </c>
      <c r="B13" s="144"/>
      <c r="C13" s="165">
        <f>A3A!C93</f>
        <v>0</v>
      </c>
      <c r="D13" s="165">
        <f>A3A!D93</f>
        <v>24941</v>
      </c>
      <c r="E13" s="166">
        <f>A3A!E93</f>
        <v>25059</v>
      </c>
      <c r="F13" s="167">
        <f>A3A!F93</f>
        <v>0</v>
      </c>
      <c r="G13" s="165">
        <f>A3A!G93</f>
        <v>0</v>
      </c>
      <c r="H13" s="168">
        <f>A3A!H93</f>
        <v>0</v>
      </c>
      <c r="I13" s="169">
        <f>A3A!I93</f>
        <v>0</v>
      </c>
      <c r="J13" s="165">
        <f>A3A!J93</f>
        <v>0</v>
      </c>
      <c r="K13" s="382">
        <f>A3A!K93</f>
        <v>0</v>
      </c>
      <c r="L13" s="707"/>
      <c r="M13" s="708"/>
      <c r="N13" s="708"/>
      <c r="O13" s="708"/>
      <c r="P13" s="708"/>
      <c r="Q13" s="708"/>
      <c r="R13" s="708"/>
      <c r="S13" s="708"/>
      <c r="T13" s="708"/>
      <c r="U13" s="708"/>
      <c r="V13" s="708"/>
      <c r="W13" s="708"/>
      <c r="X13" s="322"/>
    </row>
    <row r="14" spans="1:24" ht="11.25" customHeight="1" x14ac:dyDescent="0.25">
      <c r="A14" s="164" t="str">
        <f>A3A!A104</f>
        <v>Vote 10 - Public Safety</v>
      </c>
      <c r="B14" s="144"/>
      <c r="C14" s="165">
        <f>A3A!C104</f>
        <v>0</v>
      </c>
      <c r="D14" s="165">
        <f>A3A!D104</f>
        <v>0</v>
      </c>
      <c r="E14" s="166">
        <f>A3A!E104</f>
        <v>0</v>
      </c>
      <c r="F14" s="167">
        <f>A3A!F104</f>
        <v>0</v>
      </c>
      <c r="G14" s="165">
        <f>A3A!G104</f>
        <v>0</v>
      </c>
      <c r="H14" s="168">
        <f>A3A!H104</f>
        <v>0</v>
      </c>
      <c r="I14" s="169">
        <f>A3A!I104</f>
        <v>0</v>
      </c>
      <c r="J14" s="385">
        <f>A3A!J104</f>
        <v>0</v>
      </c>
      <c r="K14" s="382">
        <f>A3A!K104</f>
        <v>0</v>
      </c>
      <c r="L14" s="707"/>
      <c r="M14" s="708"/>
      <c r="N14" s="708"/>
      <c r="O14" s="708"/>
      <c r="P14" s="708"/>
      <c r="Q14" s="708"/>
      <c r="R14" s="708"/>
      <c r="S14" s="708"/>
      <c r="T14" s="708"/>
      <c r="U14" s="708"/>
      <c r="V14" s="708"/>
      <c r="W14" s="708"/>
      <c r="X14" s="322"/>
    </row>
    <row r="15" spans="1:24" ht="11.25" customHeight="1" x14ac:dyDescent="0.25">
      <c r="A15" s="164" t="str">
        <f>A3A!A115</f>
        <v>Vote 11 - Other</v>
      </c>
      <c r="B15" s="144"/>
      <c r="C15" s="165">
        <f>A3A!C115</f>
        <v>6064222</v>
      </c>
      <c r="D15" s="165">
        <f>A3A!D115</f>
        <v>6462382</v>
      </c>
      <c r="E15" s="168">
        <f>A3A!E115</f>
        <v>4704487</v>
      </c>
      <c r="F15" s="167">
        <f>A3A!F115</f>
        <v>7121110</v>
      </c>
      <c r="G15" s="165">
        <f>A3A!G115</f>
        <v>7122310</v>
      </c>
      <c r="H15" s="166">
        <f>A3A!H115</f>
        <v>7122310</v>
      </c>
      <c r="I15" s="169">
        <f>A3A!I115</f>
        <v>7400081</v>
      </c>
      <c r="J15" s="168">
        <f>A3A!J115</f>
        <v>7696084</v>
      </c>
      <c r="K15" s="382">
        <f>A3A!K115</f>
        <v>8003928</v>
      </c>
      <c r="L15" s="166">
        <f>A5A!L115</f>
        <v>0</v>
      </c>
      <c r="M15" s="708"/>
      <c r="N15" s="708"/>
      <c r="O15" s="708"/>
      <c r="P15" s="708"/>
      <c r="Q15" s="708"/>
      <c r="R15" s="708"/>
      <c r="S15" s="708"/>
      <c r="T15" s="708"/>
      <c r="U15" s="708"/>
      <c r="V15" s="708"/>
      <c r="W15" s="708"/>
      <c r="X15" s="322"/>
    </row>
    <row r="16" spans="1:24" ht="11.25" customHeight="1" x14ac:dyDescent="0.25">
      <c r="A16" s="164" t="str">
        <f>A3A!A126</f>
        <v>Vote 12 - Waste Management</v>
      </c>
      <c r="B16" s="144"/>
      <c r="C16" s="165">
        <f>A3A!C126</f>
        <v>497749</v>
      </c>
      <c r="D16" s="165">
        <f>A3A!D126</f>
        <v>525667</v>
      </c>
      <c r="E16" s="168">
        <f>A3A!E126</f>
        <v>528201</v>
      </c>
      <c r="F16" s="167">
        <f>A3A!F126</f>
        <v>574287</v>
      </c>
      <c r="G16" s="165">
        <f>A3A!G126</f>
        <v>574287</v>
      </c>
      <c r="H16" s="166">
        <f>A3A!H126</f>
        <v>574287</v>
      </c>
      <c r="I16" s="169">
        <f>A3A!I126</f>
        <v>596684</v>
      </c>
      <c r="J16" s="168">
        <f>A3A!J126</f>
        <v>620552</v>
      </c>
      <c r="K16" s="382">
        <f>A3A!K126</f>
        <v>645374</v>
      </c>
      <c r="L16" s="166">
        <f>A5A!L126</f>
        <v>0</v>
      </c>
      <c r="M16" s="708"/>
      <c r="N16" s="708"/>
      <c r="O16" s="708"/>
      <c r="P16" s="708"/>
      <c r="Q16" s="708"/>
      <c r="R16" s="708"/>
      <c r="S16" s="708"/>
      <c r="T16" s="708"/>
      <c r="U16" s="708"/>
      <c r="V16" s="708"/>
      <c r="W16" s="708"/>
      <c r="X16" s="322"/>
    </row>
    <row r="17" spans="1:24" ht="11.25" customHeight="1" x14ac:dyDescent="0.25">
      <c r="A17" s="164" t="str">
        <f>A3A!A137</f>
        <v>Vote 13 - Housing</v>
      </c>
      <c r="B17" s="144"/>
      <c r="C17" s="165">
        <f>A3A!C137</f>
        <v>0</v>
      </c>
      <c r="D17" s="165">
        <f>A3A!D137</f>
        <v>0</v>
      </c>
      <c r="E17" s="168">
        <f>A3A!E137</f>
        <v>0</v>
      </c>
      <c r="F17" s="167">
        <f>A3A!F137</f>
        <v>0</v>
      </c>
      <c r="G17" s="165">
        <f>A3A!G137</f>
        <v>0</v>
      </c>
      <c r="H17" s="166">
        <f>A3A!H137</f>
        <v>0</v>
      </c>
      <c r="I17" s="169">
        <f>A3A!I137</f>
        <v>0</v>
      </c>
      <c r="J17" s="168">
        <f>A3A!J137</f>
        <v>0</v>
      </c>
      <c r="K17" s="382">
        <f>A3A!K137</f>
        <v>0</v>
      </c>
      <c r="L17" s="166">
        <f>A5A!L137</f>
        <v>0</v>
      </c>
      <c r="M17" s="708"/>
      <c r="N17" s="708"/>
      <c r="O17" s="708"/>
      <c r="P17" s="708"/>
      <c r="Q17" s="708"/>
      <c r="R17" s="708"/>
      <c r="S17" s="708"/>
      <c r="T17" s="708"/>
      <c r="U17" s="708"/>
      <c r="V17" s="708"/>
      <c r="W17" s="708"/>
      <c r="X17" s="322"/>
    </row>
    <row r="18" spans="1:24" ht="11.25" customHeight="1" x14ac:dyDescent="0.25">
      <c r="A18" s="164" t="str">
        <f>A3A!A148</f>
        <v>Vote 14 - Waste Water Management</v>
      </c>
      <c r="B18" s="144"/>
      <c r="C18" s="165">
        <f>A3A!C148</f>
        <v>0</v>
      </c>
      <c r="D18" s="165">
        <f>A3A!D148</f>
        <v>0</v>
      </c>
      <c r="E18" s="168">
        <f>A3A!E148</f>
        <v>0</v>
      </c>
      <c r="F18" s="167">
        <f>A3A!F148</f>
        <v>0</v>
      </c>
      <c r="G18" s="165">
        <f>A3A!G148</f>
        <v>0</v>
      </c>
      <c r="H18" s="166">
        <f>A3A!H148</f>
        <v>0</v>
      </c>
      <c r="I18" s="169">
        <f>A3A!I148</f>
        <v>0</v>
      </c>
      <c r="J18" s="168">
        <f>A3A!J148</f>
        <v>0</v>
      </c>
      <c r="K18" s="382">
        <f>A3A!K148</f>
        <v>0</v>
      </c>
      <c r="L18" s="166">
        <f>A5A!L148</f>
        <v>0</v>
      </c>
      <c r="M18" s="708"/>
      <c r="N18" s="708"/>
      <c r="O18" s="708"/>
      <c r="P18" s="708"/>
      <c r="Q18" s="708"/>
      <c r="R18" s="708"/>
      <c r="S18" s="708"/>
      <c r="T18" s="708"/>
      <c r="U18" s="708"/>
      <c r="V18" s="708"/>
      <c r="W18" s="708"/>
      <c r="X18" s="322"/>
    </row>
    <row r="19" spans="1:24" ht="11.25" customHeight="1" x14ac:dyDescent="0.25">
      <c r="A19" s="164" t="str">
        <f>A3A!A159</f>
        <v>Vote 15 - Health</v>
      </c>
      <c r="B19" s="144"/>
      <c r="C19" s="165">
        <f>A3A!C159</f>
        <v>0</v>
      </c>
      <c r="D19" s="165">
        <f>A3A!D159</f>
        <v>0</v>
      </c>
      <c r="E19" s="168">
        <f>A3A!E159</f>
        <v>0</v>
      </c>
      <c r="F19" s="167">
        <f>A3A!F159</f>
        <v>0</v>
      </c>
      <c r="G19" s="165">
        <f>A3A!G159</f>
        <v>0</v>
      </c>
      <c r="H19" s="166">
        <f>A3A!H159</f>
        <v>0</v>
      </c>
      <c r="I19" s="2233">
        <f>A3A!I159</f>
        <v>0</v>
      </c>
      <c r="J19" s="168">
        <f>A3A!J159</f>
        <v>0</v>
      </c>
      <c r="K19" s="382">
        <f>A3A!K159</f>
        <v>0</v>
      </c>
      <c r="L19" s="166">
        <f>A5A!L159</f>
        <v>0</v>
      </c>
      <c r="M19" s="708"/>
      <c r="N19" s="708"/>
      <c r="O19" s="708"/>
      <c r="P19" s="708"/>
      <c r="Q19" s="708"/>
      <c r="R19" s="708"/>
      <c r="S19" s="708"/>
      <c r="T19" s="708"/>
      <c r="U19" s="708"/>
      <c r="V19" s="708"/>
      <c r="W19" s="708"/>
      <c r="X19" s="322"/>
    </row>
    <row r="20" spans="1:24" ht="11.25" customHeight="1" x14ac:dyDescent="0.25">
      <c r="A20" s="258" t="s">
        <v>156</v>
      </c>
      <c r="B20" s="257">
        <v>2</v>
      </c>
      <c r="C20" s="259">
        <f>SUM(C5:C19)</f>
        <v>101660844</v>
      </c>
      <c r="D20" s="259">
        <f t="shared" ref="D20:K20" si="0">SUM(D5:D19)</f>
        <v>110363666</v>
      </c>
      <c r="E20" s="260">
        <f t="shared" si="0"/>
        <v>113941219</v>
      </c>
      <c r="F20" s="261">
        <f t="shared" si="0"/>
        <v>124222455</v>
      </c>
      <c r="G20" s="259">
        <f t="shared" si="0"/>
        <v>145703045</v>
      </c>
      <c r="H20" s="262">
        <f t="shared" si="0"/>
        <v>145703045</v>
      </c>
      <c r="I20" s="263">
        <f t="shared" si="0"/>
        <v>135443122</v>
      </c>
      <c r="J20" s="259">
        <f t="shared" si="0"/>
        <v>142603640</v>
      </c>
      <c r="K20" s="387">
        <f t="shared" si="0"/>
        <v>145753424</v>
      </c>
      <c r="L20" s="732"/>
      <c r="M20" s="733"/>
      <c r="N20" s="733"/>
      <c r="O20" s="733"/>
      <c r="P20" s="733"/>
      <c r="Q20" s="733"/>
      <c r="R20" s="733"/>
      <c r="S20" s="733"/>
      <c r="T20" s="733"/>
      <c r="U20" s="733"/>
      <c r="V20" s="733"/>
      <c r="W20" s="733"/>
      <c r="X20" s="322"/>
    </row>
    <row r="21" spans="1:24" ht="4.9000000000000004" customHeight="1" x14ac:dyDescent="0.25">
      <c r="A21" s="176"/>
      <c r="B21" s="144"/>
      <c r="C21" s="177"/>
      <c r="D21" s="177"/>
      <c r="E21" s="178"/>
      <c r="F21" s="179"/>
      <c r="G21" s="177"/>
      <c r="H21" s="180"/>
      <c r="I21" s="181"/>
      <c r="J21" s="177"/>
      <c r="K21" s="388"/>
      <c r="L21" s="709"/>
      <c r="M21" s="710"/>
      <c r="N21" s="710"/>
      <c r="O21" s="710"/>
      <c r="P21" s="710"/>
      <c r="Q21" s="710"/>
      <c r="R21" s="710"/>
      <c r="S21" s="710"/>
      <c r="T21" s="710"/>
      <c r="U21" s="710"/>
      <c r="V21" s="710"/>
      <c r="W21" s="710"/>
      <c r="X21" s="322"/>
    </row>
    <row r="22" spans="1:24" ht="11.25" customHeight="1" x14ac:dyDescent="0.25">
      <c r="A22" s="158" t="s">
        <v>815</v>
      </c>
      <c r="B22" s="144">
        <v>1</v>
      </c>
      <c r="C22" s="177"/>
      <c r="D22" s="177"/>
      <c r="E22" s="178"/>
      <c r="F22" s="179"/>
      <c r="G22" s="177"/>
      <c r="H22" s="180"/>
      <c r="I22" s="181"/>
      <c r="J22" s="177"/>
      <c r="K22" s="388"/>
      <c r="L22" s="709"/>
      <c r="M22" s="710"/>
      <c r="N22" s="710"/>
      <c r="O22" s="710"/>
      <c r="P22" s="710"/>
      <c r="Q22" s="710"/>
      <c r="R22" s="710"/>
      <c r="S22" s="710"/>
      <c r="T22" s="710"/>
      <c r="U22" s="710"/>
      <c r="V22" s="710"/>
      <c r="W22" s="710"/>
      <c r="X22" s="322"/>
    </row>
    <row r="23" spans="1:24" ht="11.25" customHeight="1" x14ac:dyDescent="0.25">
      <c r="A23" s="164" t="str">
        <f>A3A!A173</f>
        <v>Vote 1 - Finance and Administration</v>
      </c>
      <c r="B23" s="144"/>
      <c r="C23" s="165">
        <f>A3A!C173</f>
        <v>44678859</v>
      </c>
      <c r="D23" s="165">
        <f>A3A!D173</f>
        <v>36124177</v>
      </c>
      <c r="E23" s="166">
        <f>A3A!E173</f>
        <v>41272837</v>
      </c>
      <c r="F23" s="167">
        <f>A3A!F173</f>
        <v>49901785</v>
      </c>
      <c r="G23" s="165">
        <f>A3A!G173</f>
        <v>56972785</v>
      </c>
      <c r="H23" s="168">
        <f>A3A!H173</f>
        <v>56972785</v>
      </c>
      <c r="I23" s="169">
        <f>A3A!I173</f>
        <v>62283186</v>
      </c>
      <c r="J23" s="165">
        <f>A3A!J173</f>
        <v>55466225</v>
      </c>
      <c r="K23" s="382">
        <f>A3A!K173</f>
        <v>59161638</v>
      </c>
      <c r="L23" s="709"/>
      <c r="M23" s="710"/>
      <c r="N23" s="710"/>
      <c r="O23" s="710"/>
      <c r="P23" s="710"/>
      <c r="Q23" s="710"/>
      <c r="R23" s="710"/>
      <c r="S23" s="710"/>
      <c r="T23" s="710"/>
      <c r="U23" s="710"/>
      <c r="V23" s="710"/>
      <c r="W23" s="710"/>
      <c r="X23" s="322"/>
    </row>
    <row r="24" spans="1:24" ht="11.25" customHeight="1" x14ac:dyDescent="0.25">
      <c r="A24" s="164" t="str">
        <f>A3A!A184</f>
        <v>Vote 2 - Finance and Administration2</v>
      </c>
      <c r="B24" s="144"/>
      <c r="C24" s="165">
        <f>A3A!C184</f>
        <v>17550</v>
      </c>
      <c r="D24" s="165">
        <f>A3A!D184</f>
        <v>2465</v>
      </c>
      <c r="E24" s="166">
        <f>A3A!E184</f>
        <v>70542</v>
      </c>
      <c r="F24" s="167">
        <f>A3A!F184</f>
        <v>650000</v>
      </c>
      <c r="G24" s="165">
        <f>A3A!G184</f>
        <v>150000</v>
      </c>
      <c r="H24" s="168">
        <f>A3A!H184</f>
        <v>150000</v>
      </c>
      <c r="I24" s="169">
        <f>A3A!I184</f>
        <v>250000</v>
      </c>
      <c r="J24" s="165">
        <f>A3A!J184</f>
        <v>275000</v>
      </c>
      <c r="K24" s="382">
        <f>A3A!K184</f>
        <v>302500</v>
      </c>
      <c r="L24" s="723"/>
      <c r="M24" s="735"/>
      <c r="N24" s="735"/>
      <c r="O24" s="735"/>
      <c r="P24" s="735"/>
      <c r="Q24" s="735"/>
      <c r="R24" s="735"/>
      <c r="S24" s="735"/>
      <c r="T24" s="735"/>
      <c r="U24" s="735"/>
      <c r="V24" s="735"/>
      <c r="W24" s="735"/>
      <c r="X24" s="322"/>
    </row>
    <row r="25" spans="1:24" ht="11.25" customHeight="1" x14ac:dyDescent="0.25">
      <c r="A25" s="164" t="str">
        <f>A3A!A195</f>
        <v>Vote 3 - Executive and Council</v>
      </c>
      <c r="B25" s="144"/>
      <c r="C25" s="165">
        <f>A3A!C195</f>
        <v>10424627</v>
      </c>
      <c r="D25" s="165">
        <f>A3A!D195</f>
        <v>11232657</v>
      </c>
      <c r="E25" s="166">
        <f>A3A!E195</f>
        <v>12619987</v>
      </c>
      <c r="F25" s="167">
        <f>A3A!F195</f>
        <v>19001756</v>
      </c>
      <c r="G25" s="165">
        <f>A3A!G195</f>
        <v>21401756</v>
      </c>
      <c r="H25" s="168">
        <f>A3A!H195</f>
        <v>21401756</v>
      </c>
      <c r="I25" s="169">
        <f>A3A!I195</f>
        <v>22480589</v>
      </c>
      <c r="J25" s="165">
        <f>A3A!J195</f>
        <v>19014269</v>
      </c>
      <c r="K25" s="382">
        <f>A3A!K195</f>
        <v>23013871</v>
      </c>
      <c r="L25" s="723"/>
      <c r="M25" s="735"/>
      <c r="N25" s="735"/>
      <c r="O25" s="735"/>
      <c r="P25" s="735"/>
      <c r="Q25" s="735"/>
      <c r="R25" s="735"/>
      <c r="S25" s="735"/>
      <c r="T25" s="735"/>
      <c r="U25" s="735"/>
      <c r="V25" s="735"/>
      <c r="W25" s="735"/>
      <c r="X25" s="322"/>
    </row>
    <row r="26" spans="1:24" ht="11.25" customHeight="1" x14ac:dyDescent="0.25">
      <c r="A26" s="164" t="str">
        <f>A3A!A206</f>
        <v>Vote 4 - Community and Social Services</v>
      </c>
      <c r="B26" s="144"/>
      <c r="C26" s="165">
        <f>A3A!C206</f>
        <v>4434896</v>
      </c>
      <c r="D26" s="165">
        <f>A3A!D206</f>
        <v>5081356</v>
      </c>
      <c r="E26" s="166">
        <f>A3A!E206</f>
        <v>5196950</v>
      </c>
      <c r="F26" s="167">
        <f>A3A!F206</f>
        <v>9157704</v>
      </c>
      <c r="G26" s="165">
        <f>A3A!G206</f>
        <v>8856540</v>
      </c>
      <c r="H26" s="168">
        <f>A3A!H206</f>
        <v>8856540</v>
      </c>
      <c r="I26" s="169">
        <f>A3A!I206</f>
        <v>10995183</v>
      </c>
      <c r="J26" s="165">
        <f>A3A!J206</f>
        <v>11515875</v>
      </c>
      <c r="K26" s="382">
        <f>A3A!K206</f>
        <v>12068525</v>
      </c>
      <c r="L26" s="723"/>
      <c r="M26" s="735"/>
      <c r="N26" s="735"/>
      <c r="O26" s="735"/>
      <c r="P26" s="735"/>
      <c r="Q26" s="735"/>
      <c r="R26" s="735"/>
      <c r="S26" s="735"/>
      <c r="T26" s="735"/>
      <c r="U26" s="735"/>
      <c r="V26" s="735"/>
      <c r="W26" s="735"/>
      <c r="X26" s="322"/>
    </row>
    <row r="27" spans="1:24" ht="11.25" customHeight="1" x14ac:dyDescent="0.25">
      <c r="A27" s="164" t="str">
        <f>A3A!A217</f>
        <v>Vote 5 - Community and Social Services2</v>
      </c>
      <c r="B27" s="144"/>
      <c r="C27" s="165">
        <f>A3A!C217</f>
        <v>6745673</v>
      </c>
      <c r="D27" s="165">
        <f>A3A!D217</f>
        <v>7235909</v>
      </c>
      <c r="E27" s="166">
        <f>A3A!E217</f>
        <v>8842916</v>
      </c>
      <c r="F27" s="167">
        <f>A3A!F217</f>
        <v>12212528</v>
      </c>
      <c r="G27" s="165">
        <f>A3A!G217</f>
        <v>15172303</v>
      </c>
      <c r="H27" s="168">
        <f>A3A!H217</f>
        <v>15172303</v>
      </c>
      <c r="I27" s="169">
        <f>A3A!I217</f>
        <v>16141704</v>
      </c>
      <c r="J27" s="165">
        <f>A3A!J217</f>
        <v>14034623</v>
      </c>
      <c r="K27" s="382">
        <f>A3A!K217</f>
        <v>14992568</v>
      </c>
      <c r="L27" s="723"/>
      <c r="M27" s="735"/>
      <c r="N27" s="735"/>
      <c r="O27" s="735"/>
      <c r="P27" s="735"/>
      <c r="Q27" s="735"/>
      <c r="R27" s="735"/>
      <c r="S27" s="735"/>
      <c r="T27" s="735"/>
      <c r="U27" s="735"/>
      <c r="V27" s="735"/>
      <c r="W27" s="735"/>
      <c r="X27" s="322"/>
    </row>
    <row r="28" spans="1:24" ht="11.25" customHeight="1" x14ac:dyDescent="0.25">
      <c r="A28" s="164" t="str">
        <f>A3A!A228</f>
        <v>Vote 6 - Energy Sources</v>
      </c>
      <c r="B28" s="144"/>
      <c r="C28" s="165">
        <f>A3A!C228</f>
        <v>0</v>
      </c>
      <c r="D28" s="165">
        <f>A3A!D228</f>
        <v>3222602</v>
      </c>
      <c r="E28" s="166">
        <f>A3A!E228</f>
        <v>6223503</v>
      </c>
      <c r="F28" s="167">
        <f>A3A!F228</f>
        <v>0</v>
      </c>
      <c r="G28" s="165">
        <f>A3A!G228</f>
        <v>6381606</v>
      </c>
      <c r="H28" s="168">
        <f>A3A!H228</f>
        <v>6381606</v>
      </c>
      <c r="I28" s="169">
        <f>A3A!I228</f>
        <v>0</v>
      </c>
      <c r="J28" s="165">
        <f>A3A!J228</f>
        <v>0</v>
      </c>
      <c r="K28" s="382">
        <f>A3A!K228</f>
        <v>0</v>
      </c>
      <c r="L28" s="723"/>
      <c r="M28" s="735"/>
      <c r="N28" s="735"/>
      <c r="O28" s="735"/>
      <c r="P28" s="735"/>
      <c r="Q28" s="735"/>
      <c r="R28" s="735"/>
      <c r="S28" s="735"/>
      <c r="T28" s="735"/>
      <c r="U28" s="735"/>
      <c r="V28" s="735"/>
      <c r="W28" s="735"/>
      <c r="X28" s="322"/>
    </row>
    <row r="29" spans="1:24" ht="11.25" customHeight="1" x14ac:dyDescent="0.25">
      <c r="A29" s="164" t="str">
        <f>A3A!A239</f>
        <v>Vote 7 - Road Transport</v>
      </c>
      <c r="B29" s="144"/>
      <c r="C29" s="165">
        <f>A3A!C239</f>
        <v>6164392</v>
      </c>
      <c r="D29" s="165">
        <f>A3A!D239</f>
        <v>8044736</v>
      </c>
      <c r="E29" s="166">
        <f>A3A!E239</f>
        <v>10289238</v>
      </c>
      <c r="F29" s="167">
        <f>A3A!F239</f>
        <v>17376674</v>
      </c>
      <c r="G29" s="165">
        <f>A3A!G239</f>
        <v>22055919</v>
      </c>
      <c r="H29" s="168">
        <f>A3A!H239</f>
        <v>22055919</v>
      </c>
      <c r="I29" s="169">
        <f>A3A!I239</f>
        <v>16760001</v>
      </c>
      <c r="J29" s="165">
        <f>A3A!J239</f>
        <v>21869005</v>
      </c>
      <c r="K29" s="382">
        <f>A3A!K239</f>
        <v>22779076</v>
      </c>
      <c r="L29" s="723"/>
      <c r="M29" s="735"/>
      <c r="N29" s="735"/>
      <c r="O29" s="735"/>
      <c r="P29" s="735"/>
      <c r="Q29" s="735"/>
      <c r="R29" s="735"/>
      <c r="S29" s="735"/>
      <c r="T29" s="735"/>
      <c r="U29" s="735"/>
      <c r="V29" s="735"/>
      <c r="W29" s="735"/>
      <c r="X29" s="322"/>
    </row>
    <row r="30" spans="1:24" ht="11.25" customHeight="1" x14ac:dyDescent="0.25">
      <c r="A30" s="164" t="str">
        <f>A3A!A250</f>
        <v>Vote 8 - Planning and Development</v>
      </c>
      <c r="B30" s="144"/>
      <c r="C30" s="165">
        <f>A3A!C250</f>
        <v>867081</v>
      </c>
      <c r="D30" s="165">
        <f>A3A!D250</f>
        <v>2810520</v>
      </c>
      <c r="E30" s="166">
        <f>A3A!E250</f>
        <v>1694782</v>
      </c>
      <c r="F30" s="167">
        <f>A3A!F250</f>
        <v>580000</v>
      </c>
      <c r="G30" s="165">
        <f>A3A!G250</f>
        <v>430220</v>
      </c>
      <c r="H30" s="168">
        <f>A3A!H250</f>
        <v>430220</v>
      </c>
      <c r="I30" s="169">
        <f>A3A!I250</f>
        <v>571700</v>
      </c>
      <c r="J30" s="165">
        <f>A3A!J250</f>
        <v>594568</v>
      </c>
      <c r="K30" s="382">
        <f>A3A!K250</f>
        <v>611216</v>
      </c>
      <c r="L30" s="723"/>
      <c r="M30" s="735"/>
      <c r="N30" s="735"/>
      <c r="O30" s="735"/>
      <c r="P30" s="735"/>
      <c r="Q30" s="735"/>
      <c r="R30" s="735"/>
      <c r="S30" s="735"/>
      <c r="T30" s="735"/>
      <c r="U30" s="735"/>
      <c r="V30" s="735"/>
      <c r="W30" s="735"/>
      <c r="X30" s="322"/>
    </row>
    <row r="31" spans="1:24" ht="11.25" customHeight="1" x14ac:dyDescent="0.25">
      <c r="A31" s="164" t="str">
        <f>A3A!A261</f>
        <v>Vote 9 - Sport and Recreation</v>
      </c>
      <c r="B31" s="144"/>
      <c r="C31" s="165">
        <f>A3A!C261</f>
        <v>1120508</v>
      </c>
      <c r="D31" s="165">
        <f>A3A!D261</f>
        <v>2629597</v>
      </c>
      <c r="E31" s="166">
        <f>A3A!E261</f>
        <v>4086381</v>
      </c>
      <c r="F31" s="167">
        <f>A3A!F261</f>
        <v>3300000</v>
      </c>
      <c r="G31" s="165">
        <f>A3A!G261</f>
        <v>2357500</v>
      </c>
      <c r="H31" s="168">
        <f>A3A!H261</f>
        <v>2357500</v>
      </c>
      <c r="I31" s="169">
        <f>A3A!I261</f>
        <v>3470000</v>
      </c>
      <c r="J31" s="165">
        <f>A3A!J261</f>
        <v>3282800</v>
      </c>
      <c r="K31" s="382">
        <f>A3A!K261</f>
        <v>3463112</v>
      </c>
      <c r="L31" s="723"/>
      <c r="M31" s="735"/>
      <c r="N31" s="735"/>
      <c r="O31" s="735"/>
      <c r="P31" s="735"/>
      <c r="Q31" s="735"/>
      <c r="R31" s="735"/>
      <c r="S31" s="735"/>
      <c r="T31" s="735"/>
      <c r="U31" s="735"/>
      <c r="V31" s="735"/>
      <c r="W31" s="735"/>
      <c r="X31" s="322"/>
    </row>
    <row r="32" spans="1:24" ht="11.25" customHeight="1" x14ac:dyDescent="0.25">
      <c r="A32" s="164" t="str">
        <f>A3A!A272</f>
        <v>Vote 10 - Public Safety</v>
      </c>
      <c r="B32" s="144"/>
      <c r="C32" s="165">
        <f>A3A!C272</f>
        <v>0</v>
      </c>
      <c r="D32" s="165">
        <f>A3A!D272</f>
        <v>0</v>
      </c>
      <c r="E32" s="166">
        <f>A3A!E272</f>
        <v>1704</v>
      </c>
      <c r="F32" s="167">
        <f>A3A!F272</f>
        <v>15000</v>
      </c>
      <c r="G32" s="165">
        <f>A3A!G272</f>
        <v>0</v>
      </c>
      <c r="H32" s="168">
        <f>A3A!H272</f>
        <v>0</v>
      </c>
      <c r="I32" s="169">
        <f>A3A!I272</f>
        <v>0</v>
      </c>
      <c r="J32" s="165">
        <f>A3A!J272</f>
        <v>0</v>
      </c>
      <c r="K32" s="382">
        <f>A3A!K272</f>
        <v>0</v>
      </c>
      <c r="L32" s="723"/>
      <c r="M32" s="735"/>
      <c r="N32" s="735"/>
      <c r="O32" s="735"/>
      <c r="P32" s="735"/>
      <c r="Q32" s="735"/>
      <c r="R32" s="735"/>
      <c r="S32" s="735"/>
      <c r="T32" s="735"/>
      <c r="U32" s="735"/>
      <c r="V32" s="735"/>
      <c r="W32" s="735"/>
      <c r="X32" s="322"/>
    </row>
    <row r="33" spans="1:24" ht="11.25" customHeight="1" x14ac:dyDescent="0.25">
      <c r="A33" s="164" t="str">
        <f>A3A!A283</f>
        <v>Vote 11 - Other</v>
      </c>
      <c r="B33" s="144"/>
      <c r="C33" s="1452">
        <f>A3A!C283</f>
        <v>5235121</v>
      </c>
      <c r="D33" s="1452">
        <f>A3A!D283</f>
        <v>5285269</v>
      </c>
      <c r="E33" s="166">
        <f>A3A!E283</f>
        <v>3826636</v>
      </c>
      <c r="F33" s="167">
        <f>A3A!F283</f>
        <v>6513455</v>
      </c>
      <c r="G33" s="165">
        <f>A3A!G283</f>
        <v>6513455</v>
      </c>
      <c r="H33" s="166">
        <f>A3A!H283</f>
        <v>6513455</v>
      </c>
      <c r="I33" s="169">
        <f>A3A!I283</f>
        <v>6925101</v>
      </c>
      <c r="J33" s="165">
        <f>A3A!J283</f>
        <v>7365318</v>
      </c>
      <c r="K33" s="382">
        <f>A3A!K283</f>
        <v>7834575</v>
      </c>
      <c r="L33" s="166">
        <f>A3A!L284</f>
        <v>0</v>
      </c>
      <c r="M33" s="735"/>
      <c r="N33" s="735"/>
      <c r="O33" s="735"/>
      <c r="P33" s="735"/>
      <c r="Q33" s="735"/>
      <c r="R33" s="735"/>
      <c r="S33" s="735"/>
      <c r="T33" s="735"/>
      <c r="U33" s="735"/>
      <c r="V33" s="735"/>
      <c r="W33" s="735"/>
      <c r="X33" s="322"/>
    </row>
    <row r="34" spans="1:24" ht="11.25" customHeight="1" x14ac:dyDescent="0.25">
      <c r="A34" s="164" t="str">
        <f>A3A!A294</f>
        <v>Vote 12 - Waste Management</v>
      </c>
      <c r="B34" s="144"/>
      <c r="C34" s="1452">
        <f>A3A!C294</f>
        <v>1653294</v>
      </c>
      <c r="D34" s="1452">
        <f>A3A!D294</f>
        <v>1704484</v>
      </c>
      <c r="E34" s="166">
        <f>A3A!E294</f>
        <v>2625560</v>
      </c>
      <c r="F34" s="167">
        <f>A3A!F294</f>
        <v>2558000</v>
      </c>
      <c r="G34" s="165">
        <f>A3A!G294</f>
        <v>2058000</v>
      </c>
      <c r="H34" s="166">
        <f>A3A!H294</f>
        <v>2058000</v>
      </c>
      <c r="I34" s="169">
        <f>A3A!I294</f>
        <v>2685000</v>
      </c>
      <c r="J34" s="165">
        <f>A3A!J294</f>
        <v>1961300</v>
      </c>
      <c r="K34" s="382">
        <f>A3A!K294</f>
        <v>2074099</v>
      </c>
      <c r="L34" s="166">
        <f>A3A!L295</f>
        <v>0</v>
      </c>
      <c r="M34" s="735"/>
      <c r="N34" s="735"/>
      <c r="O34" s="735"/>
      <c r="P34" s="735"/>
      <c r="Q34" s="735"/>
      <c r="R34" s="735"/>
      <c r="S34" s="735"/>
      <c r="T34" s="735"/>
      <c r="U34" s="735"/>
      <c r="V34" s="735"/>
      <c r="W34" s="735"/>
      <c r="X34" s="322"/>
    </row>
    <row r="35" spans="1:24" ht="11.25" customHeight="1" x14ac:dyDescent="0.25">
      <c r="A35" s="164" t="str">
        <f>A3A!A305</f>
        <v>Vote 13 - Housing</v>
      </c>
      <c r="B35" s="144"/>
      <c r="C35" s="360">
        <f>A3A!C305</f>
        <v>100</v>
      </c>
      <c r="D35" s="360">
        <f>A3A!D305</f>
        <v>0</v>
      </c>
      <c r="E35" s="361">
        <f>A3A!E305</f>
        <v>0</v>
      </c>
      <c r="F35" s="362">
        <f>A3A!F305</f>
        <v>0</v>
      </c>
      <c r="G35" s="328">
        <f>A3A!G305</f>
        <v>0</v>
      </c>
      <c r="H35" s="361">
        <f>A3A!H305</f>
        <v>0</v>
      </c>
      <c r="I35" s="383">
        <f>A3A!I305</f>
        <v>0</v>
      </c>
      <c r="J35" s="328">
        <f>A3A!J305</f>
        <v>0</v>
      </c>
      <c r="K35" s="389">
        <f>A3A!K305</f>
        <v>0</v>
      </c>
      <c r="L35" s="361">
        <f>A3A!L306</f>
        <v>0</v>
      </c>
      <c r="M35" s="735"/>
      <c r="N35" s="735"/>
      <c r="O35" s="735"/>
      <c r="P35" s="735"/>
      <c r="Q35" s="735"/>
      <c r="R35" s="735"/>
      <c r="S35" s="735"/>
      <c r="T35" s="735"/>
      <c r="U35" s="735"/>
      <c r="V35" s="735"/>
      <c r="W35" s="735"/>
      <c r="X35" s="322"/>
    </row>
    <row r="36" spans="1:24" ht="11.25" customHeight="1" x14ac:dyDescent="0.25">
      <c r="A36" s="164" t="str">
        <f>A3A!A316</f>
        <v>Vote 14 - Waste Water Management</v>
      </c>
      <c r="B36" s="144"/>
      <c r="C36" s="360">
        <f>A3A!C316</f>
        <v>0</v>
      </c>
      <c r="D36" s="360">
        <f>A3A!D316</f>
        <v>129</v>
      </c>
      <c r="E36" s="361">
        <f>A3A!E316</f>
        <v>0</v>
      </c>
      <c r="F36" s="362">
        <f>A3A!F316</f>
        <v>0</v>
      </c>
      <c r="G36" s="328">
        <f>A3A!G316</f>
        <v>0</v>
      </c>
      <c r="H36" s="361">
        <f>A3A!H316</f>
        <v>0</v>
      </c>
      <c r="I36" s="383">
        <f>A3A!I316</f>
        <v>0</v>
      </c>
      <c r="J36" s="328">
        <f>A3A!J316</f>
        <v>0</v>
      </c>
      <c r="K36" s="389">
        <f>A3A!K316</f>
        <v>0</v>
      </c>
      <c r="L36" s="361">
        <f>A3A!L317</f>
        <v>0</v>
      </c>
      <c r="M36" s="735"/>
      <c r="N36" s="735"/>
      <c r="O36" s="735"/>
      <c r="P36" s="735"/>
      <c r="Q36" s="735"/>
      <c r="R36" s="735"/>
      <c r="S36" s="735"/>
      <c r="T36" s="735"/>
      <c r="U36" s="735"/>
      <c r="V36" s="735"/>
      <c r="W36" s="735"/>
      <c r="X36" s="322"/>
    </row>
    <row r="37" spans="1:24" ht="11.25" customHeight="1" x14ac:dyDescent="0.25">
      <c r="A37" s="164" t="str">
        <f>A3A!A327</f>
        <v>Vote 15 - Health</v>
      </c>
      <c r="B37" s="144"/>
      <c r="C37" s="360">
        <f>A3A!C327</f>
        <v>125870</v>
      </c>
      <c r="D37" s="360">
        <f>A3A!D327</f>
        <v>160018</v>
      </c>
      <c r="E37" s="361">
        <f>A3A!E327</f>
        <v>115416</v>
      </c>
      <c r="F37" s="362">
        <f>A3A!F327</f>
        <v>270000</v>
      </c>
      <c r="G37" s="328">
        <f>A3A!G327</f>
        <v>189885</v>
      </c>
      <c r="H37" s="361">
        <f>A3A!H327</f>
        <v>189885</v>
      </c>
      <c r="I37" s="383">
        <f>A3A!I327</f>
        <v>340000</v>
      </c>
      <c r="J37" s="328">
        <f>A3A!J327</f>
        <v>309067</v>
      </c>
      <c r="K37" s="389">
        <f>A3A!K327</f>
        <v>321428</v>
      </c>
      <c r="L37" s="361">
        <f>A3A!L328</f>
        <v>0</v>
      </c>
      <c r="M37" s="735"/>
      <c r="N37" s="735"/>
      <c r="O37" s="735"/>
      <c r="P37" s="735"/>
      <c r="Q37" s="735"/>
      <c r="R37" s="735"/>
      <c r="S37" s="735"/>
      <c r="T37" s="735"/>
      <c r="U37" s="735"/>
      <c r="V37" s="735"/>
      <c r="W37" s="735"/>
      <c r="X37" s="322"/>
    </row>
    <row r="38" spans="1:24" ht="11.25" customHeight="1" x14ac:dyDescent="0.25">
      <c r="A38" s="258" t="s">
        <v>155</v>
      </c>
      <c r="B38" s="257">
        <v>2</v>
      </c>
      <c r="C38" s="264">
        <f>SUM(C23:C37)</f>
        <v>81467971</v>
      </c>
      <c r="D38" s="264">
        <f t="shared" ref="D38:K38" si="1">SUM(D23:D37)</f>
        <v>83533919</v>
      </c>
      <c r="E38" s="265">
        <f t="shared" si="1"/>
        <v>96866452</v>
      </c>
      <c r="F38" s="266">
        <f t="shared" si="1"/>
        <v>121536902</v>
      </c>
      <c r="G38" s="264">
        <f t="shared" si="1"/>
        <v>142539969</v>
      </c>
      <c r="H38" s="267">
        <f t="shared" si="1"/>
        <v>142539969</v>
      </c>
      <c r="I38" s="268">
        <f t="shared" si="1"/>
        <v>142902464</v>
      </c>
      <c r="J38" s="264">
        <f t="shared" si="1"/>
        <v>135688050</v>
      </c>
      <c r="K38" s="384">
        <f t="shared" si="1"/>
        <v>146622608</v>
      </c>
      <c r="L38" s="732">
        <f t="shared" ref="L38:W38" si="2">SUM(L23:L29)</f>
        <v>0</v>
      </c>
      <c r="M38" s="733">
        <f t="shared" si="2"/>
        <v>0</v>
      </c>
      <c r="N38" s="733">
        <f t="shared" si="2"/>
        <v>0</v>
      </c>
      <c r="O38" s="733">
        <f t="shared" si="2"/>
        <v>0</v>
      </c>
      <c r="P38" s="733">
        <f t="shared" si="2"/>
        <v>0</v>
      </c>
      <c r="Q38" s="733">
        <f t="shared" si="2"/>
        <v>0</v>
      </c>
      <c r="R38" s="733">
        <f t="shared" si="2"/>
        <v>0</v>
      </c>
      <c r="S38" s="733">
        <f t="shared" si="2"/>
        <v>0</v>
      </c>
      <c r="T38" s="733">
        <f t="shared" si="2"/>
        <v>0</v>
      </c>
      <c r="U38" s="733">
        <f t="shared" si="2"/>
        <v>0</v>
      </c>
      <c r="V38" s="733">
        <f t="shared" si="2"/>
        <v>0</v>
      </c>
      <c r="W38" s="733">
        <f t="shared" si="2"/>
        <v>0</v>
      </c>
      <c r="X38" s="322"/>
    </row>
    <row r="39" spans="1:24" ht="13.5" thickBot="1" x14ac:dyDescent="0.3">
      <c r="A39" s="182" t="str">
        <f>result</f>
        <v>Surplus/(Deficit) for the year</v>
      </c>
      <c r="B39" s="148">
        <v>2</v>
      </c>
      <c r="C39" s="119">
        <f t="shared" ref="C39:W39" si="3">C20-C38</f>
        <v>20192873</v>
      </c>
      <c r="D39" s="119">
        <f t="shared" si="3"/>
        <v>26829747</v>
      </c>
      <c r="E39" s="183">
        <f t="shared" si="3"/>
        <v>17074767</v>
      </c>
      <c r="F39" s="184">
        <f t="shared" si="3"/>
        <v>2685553</v>
      </c>
      <c r="G39" s="185">
        <f t="shared" si="3"/>
        <v>3163076</v>
      </c>
      <c r="H39" s="186">
        <f t="shared" si="3"/>
        <v>3163076</v>
      </c>
      <c r="I39" s="187">
        <f t="shared" si="3"/>
        <v>-7459342</v>
      </c>
      <c r="J39" s="185">
        <f t="shared" si="3"/>
        <v>6915590</v>
      </c>
      <c r="K39" s="390">
        <f t="shared" si="3"/>
        <v>-869184</v>
      </c>
      <c r="L39" s="752">
        <f t="shared" si="3"/>
        <v>0</v>
      </c>
      <c r="M39" s="753">
        <f t="shared" si="3"/>
        <v>0</v>
      </c>
      <c r="N39" s="753">
        <f t="shared" si="3"/>
        <v>0</v>
      </c>
      <c r="O39" s="753">
        <f t="shared" si="3"/>
        <v>0</v>
      </c>
      <c r="P39" s="753">
        <f t="shared" si="3"/>
        <v>0</v>
      </c>
      <c r="Q39" s="753">
        <f t="shared" si="3"/>
        <v>0</v>
      </c>
      <c r="R39" s="753">
        <f t="shared" si="3"/>
        <v>0</v>
      </c>
      <c r="S39" s="753">
        <f t="shared" si="3"/>
        <v>0</v>
      </c>
      <c r="T39" s="753">
        <f t="shared" si="3"/>
        <v>0</v>
      </c>
      <c r="U39" s="753">
        <f t="shared" si="3"/>
        <v>0</v>
      </c>
      <c r="V39" s="753">
        <f t="shared" si="3"/>
        <v>0</v>
      </c>
      <c r="W39" s="753">
        <f t="shared" si="3"/>
        <v>0</v>
      </c>
      <c r="X39" s="322"/>
    </row>
    <row r="40" spans="1:24" ht="11.25" customHeight="1" thickTop="1" x14ac:dyDescent="0.25">
      <c r="A40" s="188" t="str">
        <f>head27a</f>
        <v>References</v>
      </c>
      <c r="B40" s="189"/>
      <c r="C40" s="125"/>
      <c r="D40" s="190"/>
      <c r="E40" s="191"/>
      <c r="F40" s="191"/>
      <c r="G40" s="191"/>
      <c r="H40" s="191"/>
      <c r="I40" s="191"/>
      <c r="J40" s="191"/>
      <c r="K40" s="191"/>
    </row>
    <row r="41" spans="1:24" ht="11.25" customHeight="1" x14ac:dyDescent="0.25">
      <c r="A41" s="154" t="s">
        <v>2450</v>
      </c>
      <c r="B41" s="189"/>
      <c r="C41" s="192"/>
      <c r="D41" s="192"/>
      <c r="E41" s="193"/>
      <c r="F41" s="193"/>
      <c r="G41" s="193"/>
      <c r="H41" s="193"/>
      <c r="I41" s="193"/>
      <c r="J41" s="193"/>
      <c r="K41" s="193"/>
    </row>
    <row r="42" spans="1:24" ht="11.25" customHeight="1" x14ac:dyDescent="0.25">
      <c r="A42" s="194" t="s">
        <v>162</v>
      </c>
      <c r="B42" s="189"/>
      <c r="C42" s="192"/>
      <c r="D42" s="192"/>
      <c r="E42" s="193"/>
      <c r="F42" s="193"/>
      <c r="G42" s="193"/>
      <c r="H42" s="193"/>
      <c r="I42" s="193"/>
      <c r="J42" s="193"/>
      <c r="K42" s="193"/>
    </row>
    <row r="43" spans="1:24" ht="11.25" customHeight="1" x14ac:dyDescent="0.25">
      <c r="A43" s="194" t="s">
        <v>375</v>
      </c>
      <c r="B43" s="150"/>
      <c r="C43" s="195"/>
      <c r="D43" s="195"/>
      <c r="E43" s="196"/>
      <c r="F43" s="196"/>
      <c r="G43" s="196"/>
      <c r="H43" s="196"/>
      <c r="I43" s="196"/>
      <c r="J43" s="196"/>
      <c r="K43" s="196"/>
    </row>
    <row r="44" spans="1:24" ht="11.25" customHeight="1" x14ac:dyDescent="0.25">
      <c r="A44" s="151"/>
    </row>
    <row r="45" spans="1:24" ht="11.25" customHeight="1" x14ac:dyDescent="0.25">
      <c r="A45" s="195" t="str">
        <f>"check "&amp;A39</f>
        <v>check Surplus/(Deficit) for the year</v>
      </c>
      <c r="C45" s="196">
        <f>C39-A3A!C340</f>
        <v>0</v>
      </c>
      <c r="D45" s="196">
        <f>D39-A3A!D340</f>
        <v>0</v>
      </c>
      <c r="E45" s="196">
        <f>E39-A3A!E340</f>
        <v>0</v>
      </c>
      <c r="F45" s="196">
        <f>F39-A3A!F340</f>
        <v>0</v>
      </c>
      <c r="G45" s="196">
        <f>G39-A3A!G340</f>
        <v>0</v>
      </c>
      <c r="H45" s="196">
        <f>H39-A3A!H340</f>
        <v>0</v>
      </c>
      <c r="I45" s="196">
        <f>I39-A3A!I340</f>
        <v>0</v>
      </c>
      <c r="J45" s="196">
        <f>J39-A3A!J340</f>
        <v>0</v>
      </c>
      <c r="K45" s="196">
        <f>K39-A3A!K340</f>
        <v>0</v>
      </c>
    </row>
    <row r="46" spans="1:24" ht="11.25" customHeight="1" x14ac:dyDescent="0.25">
      <c r="A46" s="195"/>
      <c r="C46" s="196"/>
      <c r="D46" s="196"/>
      <c r="E46" s="196"/>
      <c r="F46" s="196"/>
      <c r="G46" s="196"/>
      <c r="H46" s="196"/>
      <c r="I46" s="196"/>
      <c r="J46" s="196"/>
      <c r="K46" s="196"/>
    </row>
    <row r="47" spans="1:24" ht="11.25" customHeight="1" x14ac:dyDescent="0.25">
      <c r="A47" s="220"/>
    </row>
    <row r="48" spans="1:24" ht="11.25" customHeight="1" x14ac:dyDescent="0.25">
      <c r="A48" s="220"/>
    </row>
    <row r="49" spans="3:11" ht="11.25" customHeight="1" x14ac:dyDescent="0.25">
      <c r="C49" s="982"/>
      <c r="D49" s="982"/>
      <c r="E49" s="982"/>
      <c r="F49" s="982"/>
      <c r="G49" s="982"/>
      <c r="H49" s="982"/>
      <c r="I49" s="982"/>
      <c r="J49" s="982"/>
      <c r="K49" s="982"/>
    </row>
    <row r="50" spans="3:11" ht="11.25" customHeight="1" x14ac:dyDescent="0.25"/>
    <row r="51" spans="3:11" ht="11.25" customHeight="1" x14ac:dyDescent="0.25"/>
    <row r="52" spans="3:11" ht="11.25" customHeight="1" x14ac:dyDescent="0.25"/>
    <row r="53" spans="3:11" ht="11.25" customHeight="1" x14ac:dyDescent="0.25"/>
    <row r="54" spans="3:11" ht="11.25" customHeight="1" x14ac:dyDescent="0.25"/>
    <row r="55" spans="3:11" ht="11.25" customHeight="1" x14ac:dyDescent="0.25"/>
    <row r="56" spans="3:11" ht="11.25" customHeight="1" x14ac:dyDescent="0.25"/>
    <row r="57" spans="3:11" ht="11.25" customHeight="1" x14ac:dyDescent="0.25"/>
    <row r="58" spans="3:11" ht="11.25" customHeight="1" x14ac:dyDescent="0.25"/>
    <row r="59" spans="3:11" ht="11.25" customHeight="1" x14ac:dyDescent="0.25"/>
    <row r="60" spans="3:11" ht="11.25" customHeight="1" x14ac:dyDescent="0.25"/>
    <row r="61" spans="3:11" ht="11.25" customHeight="1" x14ac:dyDescent="0.25"/>
    <row r="62" spans="3:11" ht="11.25" customHeight="1" x14ac:dyDescent="0.25"/>
    <row r="63" spans="3:11" ht="11.25" customHeight="1" x14ac:dyDescent="0.25"/>
    <row r="64" spans="3:11" ht="11.25" customHeight="1" x14ac:dyDescent="0.25"/>
    <row r="65" ht="11.25" customHeight="1" x14ac:dyDescent="0.25"/>
    <row r="66" ht="11.25" customHeight="1" x14ac:dyDescent="0.25"/>
    <row r="67" ht="11.25" customHeight="1" x14ac:dyDescent="0.25"/>
    <row r="68" ht="11.25" customHeight="1" x14ac:dyDescent="0.25"/>
    <row r="69" ht="11.25" customHeight="1" x14ac:dyDescent="0.25"/>
    <row r="70" ht="11.25" customHeight="1" x14ac:dyDescent="0.25"/>
    <row r="71" ht="11.25" customHeight="1" x14ac:dyDescent="0.25"/>
    <row r="72" ht="11.25" customHeight="1" x14ac:dyDescent="0.25"/>
    <row r="73" ht="11.25" customHeight="1" x14ac:dyDescent="0.25"/>
    <row r="74" ht="11.25" customHeight="1" x14ac:dyDescent="0.25"/>
    <row r="75" ht="11.25" customHeight="1" x14ac:dyDescent="0.25"/>
    <row r="76" ht="11.25" customHeight="1" x14ac:dyDescent="0.25"/>
    <row r="77" ht="11.25" customHeight="1" x14ac:dyDescent="0.25"/>
  </sheetData>
  <sheetProtection algorithmName="SHA-512" hashValue="sNr8tPDd5PgvygQHbdxzQn+m5hgJUP7lYzu8UDwhPVf596zDz+Ys3H/yytYU9fcG9dQ55EyhU00xqGJWphfcuA==" saltValue="OQ7Zsld4TBR2uOo34XYaVg==" spinCount="100000" sheet="1" objects="1" scenarios="1"/>
  <mergeCells count="3">
    <mergeCell ref="F2:H2"/>
    <mergeCell ref="I2:K2"/>
    <mergeCell ref="L2:W2"/>
  </mergeCells>
  <phoneticPr fontId="7" type="noConversion"/>
  <printOptions horizontalCentered="1"/>
  <pageMargins left="0.34" right="0" top="0.78740157480314965" bottom="0.59055118110236227" header="0.51181102362204722" footer="0.39370078740157483"/>
  <pageSetup paperSize="9" scale="86"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6"/>
  <dimension ref="A1:AD379"/>
  <sheetViews>
    <sheetView showGridLines="0" showZeros="0" zoomScale="110" zoomScaleNormal="110" workbookViewId="0">
      <pane xSplit="2" ySplit="3" topLeftCell="C142" activePane="bottomRight" state="frozen"/>
      <selection pane="topRight"/>
      <selection pane="bottomLeft"/>
      <selection pane="bottomRight" activeCell="G11" sqref="G11"/>
    </sheetView>
  </sheetViews>
  <sheetFormatPr defaultColWidth="9.140625" defaultRowHeight="12.75" x14ac:dyDescent="0.25"/>
  <cols>
    <col min="1" max="1" width="30.7109375" style="58" customWidth="1"/>
    <col min="2" max="2" width="3" style="55" customWidth="1"/>
    <col min="3" max="11" width="9.28515625" style="58" customWidth="1"/>
    <col min="12" max="23" width="9.140625" style="58" hidden="1" customWidth="1"/>
    <col min="24" max="28" width="9.140625" style="58"/>
    <col min="29" max="30" width="9.140625" style="2312"/>
    <col min="31" max="16384" width="9.140625" style="58"/>
  </cols>
  <sheetData>
    <row r="1" spans="1:30" s="93" customFormat="1" x14ac:dyDescent="0.2">
      <c r="A1" s="92" t="str">
        <f>muni&amp;" - "&amp;Approve2&amp;"A"</f>
        <v>KZN226 Mkhambathini - Table A3 Budgeted Financial Performance (revenue and expenditure by municipal vote)A</v>
      </c>
      <c r="B1" s="92"/>
      <c r="C1" s="92"/>
      <c r="D1" s="92"/>
      <c r="E1" s="92"/>
      <c r="F1" s="92"/>
      <c r="G1" s="92"/>
      <c r="H1" s="92"/>
      <c r="I1" s="92"/>
      <c r="J1" s="92"/>
      <c r="K1" s="92"/>
      <c r="AC1" s="2313"/>
      <c r="AD1" s="2371"/>
    </row>
    <row r="2" spans="1:30" ht="28.5" customHeight="1" x14ac:dyDescent="0.25">
      <c r="A2" s="696" t="str">
        <f>Vdesc</f>
        <v>Vote Description</v>
      </c>
      <c r="B2" s="155" t="str">
        <f>head27</f>
        <v>Ref</v>
      </c>
      <c r="C2" s="837" t="str">
        <f>head1b</f>
        <v>2017/18</v>
      </c>
      <c r="D2" s="837" t="str">
        <f>head1A</f>
        <v>2018/19</v>
      </c>
      <c r="E2" s="684" t="str">
        <f>Head1</f>
        <v>2019/20</v>
      </c>
      <c r="F2" s="2447" t="str">
        <f>Head2</f>
        <v>Current Year 2020/21</v>
      </c>
      <c r="G2" s="2448"/>
      <c r="H2" s="2448"/>
      <c r="I2" s="2450" t="str">
        <f>Head3</f>
        <v>2021/22 Medium Term Revenue &amp; Expenditure Framework</v>
      </c>
      <c r="J2" s="2451"/>
      <c r="K2" s="2452"/>
      <c r="L2" s="2456" t="str">
        <f>Head4</f>
        <v>LTFS</v>
      </c>
      <c r="M2" s="2457"/>
      <c r="N2" s="2457"/>
      <c r="O2" s="2457"/>
      <c r="P2" s="2457"/>
      <c r="Q2" s="2457"/>
      <c r="R2" s="2457"/>
      <c r="S2" s="2457"/>
      <c r="T2" s="2457"/>
      <c r="U2" s="2457"/>
      <c r="V2" s="2457"/>
      <c r="W2" s="2458"/>
      <c r="AC2" s="2313"/>
      <c r="AD2" s="2315"/>
    </row>
    <row r="3" spans="1:30" ht="25.5" x14ac:dyDescent="0.25">
      <c r="A3" s="156" t="s">
        <v>568</v>
      </c>
      <c r="B3" s="157"/>
      <c r="C3" s="698" t="str">
        <f>Head5</f>
        <v>Audited Outcome</v>
      </c>
      <c r="D3" s="698" t="str">
        <f>Head5</f>
        <v>Audited Outcome</v>
      </c>
      <c r="E3" s="94" t="str">
        <f>Head5</f>
        <v>Audited Outcome</v>
      </c>
      <c r="F3" s="95" t="str">
        <f>Head6</f>
        <v>Original Budget</v>
      </c>
      <c r="G3" s="698" t="str">
        <f>Head7</f>
        <v>Adjusted Budget</v>
      </c>
      <c r="H3" s="94" t="str">
        <f>Head8</f>
        <v>Full Year Forecast</v>
      </c>
      <c r="I3" s="95" t="str">
        <f>Head9</f>
        <v>Budget Year 2021/22</v>
      </c>
      <c r="J3" s="698" t="str">
        <f>Head10</f>
        <v>Budget Year +1 2022/23</v>
      </c>
      <c r="K3" s="94" t="str">
        <f>Head11</f>
        <v>Budget Year +2 2023/24</v>
      </c>
      <c r="L3" s="703" t="str">
        <f>Head12</f>
        <v>Forecast 2024/25</v>
      </c>
      <c r="M3" s="704" t="str">
        <f>Head13</f>
        <v>Forecast 2025/26</v>
      </c>
      <c r="N3" s="704" t="str">
        <f>Head14</f>
        <v>Forecast 2026/27</v>
      </c>
      <c r="O3" s="704" t="str">
        <f>Head15</f>
        <v>Forecast 2027/28</v>
      </c>
      <c r="P3" s="704" t="str">
        <f>Head16</f>
        <v>Forecast 2028/29</v>
      </c>
      <c r="Q3" s="704" t="str">
        <f>Head17</f>
        <v>Forecast 2029/30</v>
      </c>
      <c r="R3" s="704" t="str">
        <f>Head18</f>
        <v>Forecast 2030/31</v>
      </c>
      <c r="S3" s="704" t="str">
        <f>Head19</f>
        <v>Forecast 2031/32</v>
      </c>
      <c r="T3" s="704" t="str">
        <f>Head20</f>
        <v>Forecast 2032/33</v>
      </c>
      <c r="U3" s="704" t="str">
        <f>Head21</f>
        <v>Forecast 2033/34</v>
      </c>
      <c r="V3" s="704" t="str">
        <f>Head22</f>
        <v>Forecast 2034/35</v>
      </c>
      <c r="W3" s="704" t="str">
        <f>Head23</f>
        <v>Forecast 2035/36</v>
      </c>
      <c r="AC3" s="2313"/>
      <c r="AD3" s="2315"/>
    </row>
    <row r="4" spans="1:30" ht="11.25" customHeight="1" x14ac:dyDescent="0.25">
      <c r="A4" s="158" t="s">
        <v>1191</v>
      </c>
      <c r="B4" s="144">
        <v>1</v>
      </c>
      <c r="C4" s="159"/>
      <c r="D4" s="159"/>
      <c r="E4" s="160"/>
      <c r="F4" s="161"/>
      <c r="G4" s="159"/>
      <c r="H4" s="162"/>
      <c r="I4" s="163"/>
      <c r="J4" s="159"/>
      <c r="K4" s="160"/>
      <c r="L4" s="707"/>
      <c r="M4" s="708"/>
      <c r="N4" s="708"/>
      <c r="O4" s="708"/>
      <c r="P4" s="708"/>
      <c r="Q4" s="708"/>
      <c r="R4" s="708"/>
      <c r="S4" s="708"/>
      <c r="T4" s="708"/>
      <c r="U4" s="708"/>
      <c r="V4" s="708"/>
      <c r="W4" s="708"/>
      <c r="AC4" s="2313"/>
      <c r="AD4" s="2315"/>
    </row>
    <row r="5" spans="1:30" ht="15" customHeight="1" x14ac:dyDescent="0.25">
      <c r="A5" s="135" t="str">
        <f>'Org structure'!A2</f>
        <v>Vote 1 - Finance and Administration</v>
      </c>
      <c r="B5" s="211"/>
      <c r="C5" s="212">
        <f>SUM(C6:C15)</f>
        <v>93274925</v>
      </c>
      <c r="D5" s="212">
        <f t="shared" ref="D5:K5" si="0">SUM(D6:D15)</f>
        <v>101034797</v>
      </c>
      <c r="E5" s="213">
        <f t="shared" si="0"/>
        <v>106050185</v>
      </c>
      <c r="F5" s="214">
        <f t="shared" si="0"/>
        <v>113346009</v>
      </c>
      <c r="G5" s="212">
        <f t="shared" si="0"/>
        <v>133671688</v>
      </c>
      <c r="H5" s="215">
        <f t="shared" si="0"/>
        <v>133671688</v>
      </c>
      <c r="I5" s="216">
        <f t="shared" si="0"/>
        <v>124541239</v>
      </c>
      <c r="J5" s="212">
        <f t="shared" si="0"/>
        <v>129656413</v>
      </c>
      <c r="K5" s="213">
        <f t="shared" si="0"/>
        <v>132364708</v>
      </c>
      <c r="L5" s="707"/>
      <c r="M5" s="708"/>
      <c r="N5" s="708"/>
      <c r="O5" s="708"/>
      <c r="P5" s="708"/>
      <c r="Q5" s="708"/>
      <c r="R5" s="708"/>
      <c r="S5" s="708"/>
      <c r="T5" s="708"/>
      <c r="U5" s="708"/>
      <c r="V5" s="708"/>
      <c r="W5" s="708"/>
      <c r="AD5" s="2315"/>
    </row>
    <row r="6" spans="1:30" ht="11.25" customHeight="1" x14ac:dyDescent="0.25">
      <c r="A6" s="136" t="str">
        <f>IF(RIGHT('Org structure'!D3,18)&lt;&gt;"[Name of sub-vote]",'Org structure'!D3,"")</f>
        <v>1.1 - Finance</v>
      </c>
      <c r="B6" s="144"/>
      <c r="C6" s="712">
        <f>SUMIFS(Sheet1!S71_PPPYearAmount,Sheet1!S71_SubMunicipalVoteNo,$AC:$AC,Sheet1!S71_ItemType,$AD:$AD)</f>
        <v>42078645</v>
      </c>
      <c r="D6" s="712">
        <f>SUMIFS(Sheet1!S71_PPYearAmount,Sheet1!S71_SubMunicipalVoteNo,$AC:$AC,Sheet1!S71_ItemType,$AD:$AD)</f>
        <v>45385692</v>
      </c>
      <c r="E6" s="712">
        <f>SUMIFS(Sheet1!S71_PYearAmount,Sheet1!S71_SubMunicipalVoteNo,$AC:$AC,Sheet1!S71_ItemType,$AD:$AD)</f>
        <v>43156354</v>
      </c>
      <c r="F6" s="725">
        <f>-SUMIFS(Sheet1!S71_OriginalBudAmnt,Sheet1!S71_SubMunicipalVoteNo,$AC:$AC,Sheet1!S71_ItemType,$AD:$AD)</f>
        <v>45954009</v>
      </c>
      <c r="G6" s="712">
        <f>-SUMIFS(Sheet1!S71_AdjustmentBudAmnt,Sheet1!S71_SubMunicipalVoteNo,$AC:$AC,Sheet1!S71_ItemType,$AD:$AD)</f>
        <v>53874688</v>
      </c>
      <c r="H6" s="713">
        <f>-SUMIFS(Sheet1!S71_AdjustmentBudAmnt,Sheet1!S71_SubMunicipalVoteNo,$AC:$AC,Sheet1!S71_ItemType,$AD:$AD)</f>
        <v>53874688</v>
      </c>
      <c r="I6" s="725">
        <f>-SUMIFS(Sheet1!S71_ASBudgetAmount,Sheet1!S71_SubMunicipalVoteNo,$AC:$AC,Sheet1!S71_ItemType,$AD:$AD)</f>
        <v>54006821</v>
      </c>
      <c r="J6" s="712">
        <f>-SUMIFS(Sheet1!S71_OY1BudgetAmount,Sheet1!S71_SubMunicipalVoteNo,$AC:$AC,Sheet1!S71_ItemType,$AD:$AD)</f>
        <v>48746418</v>
      </c>
      <c r="K6" s="713">
        <f>-SUMIFS(Sheet1!S71_OY2BudgetAmount,Sheet1!S71_SubMunicipalVoteNo,$AC:$AC,Sheet1!S71_ItemType,$AD:$AD)</f>
        <v>50478033</v>
      </c>
      <c r="L6" s="707"/>
      <c r="M6" s="708"/>
      <c r="N6" s="708"/>
      <c r="O6" s="708"/>
      <c r="P6" s="708"/>
      <c r="Q6" s="708"/>
      <c r="R6" s="708"/>
      <c r="S6" s="708"/>
      <c r="T6" s="708"/>
      <c r="U6" s="708"/>
      <c r="V6" s="708"/>
      <c r="W6" s="708"/>
      <c r="AC6" s="2312">
        <v>11</v>
      </c>
      <c r="AD6" s="2318" t="s">
        <v>2759</v>
      </c>
    </row>
    <row r="7" spans="1:30" ht="11.25" customHeight="1" x14ac:dyDescent="0.25">
      <c r="A7" s="136" t="str">
        <f>IF(RIGHT('Org structure'!D4,18)&lt;&gt;"[Name of sub-vote]",'Org structure'!D4,"")</f>
        <v>1.2 - Fleet Management</v>
      </c>
      <c r="B7" s="144"/>
      <c r="C7" s="712">
        <f>SUMIFS(Sheet1!S71_PPPYearAmount,Sheet1!S71_SubMunicipalVoteNo,$AC:$AC,Sheet1!S71_ItemType,$AD:$AD)</f>
        <v>0</v>
      </c>
      <c r="D7" s="712">
        <f>SUMIFS(Sheet1!S71_PPYearAmount,Sheet1!S71_SubMunicipalVoteNo,$AC:$AC,Sheet1!S71_ItemType,$AD:$AD)</f>
        <v>0</v>
      </c>
      <c r="E7" s="712">
        <f>SUMIFS(Sheet1!S71_PYearAmount,Sheet1!S71_SubMunicipalVoteNo,$AC:$AC,Sheet1!S71_ItemType,$AD:$AD)</f>
        <v>0</v>
      </c>
      <c r="F7" s="725">
        <f>-SUMIFS(Sheet1!S71_OriginalBudAmnt,Sheet1!S71_SubMunicipalVoteNo,$AC:$AC,Sheet1!S71_ItemType,$AD:$AD)</f>
        <v>0</v>
      </c>
      <c r="G7" s="712">
        <f>-SUMIFS(Sheet1!S71_AdjustmentBudAmnt,Sheet1!S71_SubMunicipalVoteNo,$AC:$AC,Sheet1!S71_ItemType,$AD:$AD)</f>
        <v>0</v>
      </c>
      <c r="H7" s="713">
        <f>-SUMIFS(Sheet1!S71_AdjustmentBudAmnt,Sheet1!S71_SubMunicipalVoteNo,$AC:$AC,Sheet1!S71_ItemType,$AD:$AD)</f>
        <v>0</v>
      </c>
      <c r="I7" s="725">
        <f>-SUMIFS(Sheet1!S71_ASBudgetAmount,Sheet1!S71_SubMunicipalVoteNo,$AC:$AC,Sheet1!S71_ItemType,$AD:$AD)</f>
        <v>0</v>
      </c>
      <c r="J7" s="712">
        <f>-SUMIFS(Sheet1!S71_OY1BudgetAmount,Sheet1!S71_SubMunicipalVoteNo,$AC:$AC,Sheet1!S71_ItemType,$AD:$AD)</f>
        <v>0</v>
      </c>
      <c r="K7" s="713">
        <f>-SUMIFS(Sheet1!S71_OY2BudgetAmount,Sheet1!S71_SubMunicipalVoteNo,$AC:$AC,Sheet1!S71_ItemType,$AD:$AD)</f>
        <v>0</v>
      </c>
      <c r="L7" s="707"/>
      <c r="M7" s="708"/>
      <c r="N7" s="708"/>
      <c r="O7" s="708"/>
      <c r="P7" s="708"/>
      <c r="Q7" s="708"/>
      <c r="R7" s="708"/>
      <c r="S7" s="708"/>
      <c r="T7" s="708"/>
      <c r="U7" s="708"/>
      <c r="V7" s="708"/>
      <c r="W7" s="708"/>
      <c r="AC7" s="2312">
        <v>12</v>
      </c>
      <c r="AD7" s="2318" t="s">
        <v>2759</v>
      </c>
    </row>
    <row r="8" spans="1:30" ht="11.25" customHeight="1" x14ac:dyDescent="0.25">
      <c r="A8" s="136" t="str">
        <f>IF(RIGHT('Org structure'!D5,18)&lt;&gt;"[Name of sub-vote]",'Org structure'!D5,"")</f>
        <v>1.3 - Asset Management</v>
      </c>
      <c r="B8" s="144"/>
      <c r="C8" s="712">
        <f>SUMIFS(Sheet1!S71_PPPYearAmount,Sheet1!S71_SubMunicipalVoteNo,$AC:$AC,Sheet1!S71_ItemType,$AD:$AD)</f>
        <v>0</v>
      </c>
      <c r="D8" s="712">
        <f>SUMIFS(Sheet1!S71_PPYearAmount,Sheet1!S71_SubMunicipalVoteNo,$AC:$AC,Sheet1!S71_ItemType,$AD:$AD)</f>
        <v>0</v>
      </c>
      <c r="E8" s="712">
        <f>SUMIFS(Sheet1!S71_PYearAmount,Sheet1!S71_SubMunicipalVoteNo,$AC:$AC,Sheet1!S71_ItemType,$AD:$AD)</f>
        <v>120020</v>
      </c>
      <c r="F8" s="725">
        <f>-SUMIFS(Sheet1!S71_OriginalBudAmnt,Sheet1!S71_SubMunicipalVoteNo,$AC:$AC,Sheet1!S71_ItemType,$AD:$AD)</f>
        <v>0</v>
      </c>
      <c r="G8" s="712">
        <f>-SUMIFS(Sheet1!S71_AdjustmentBudAmnt,Sheet1!S71_SubMunicipalVoteNo,$AC:$AC,Sheet1!S71_ItemType,$AD:$AD)</f>
        <v>0</v>
      </c>
      <c r="H8" s="713">
        <f>-SUMIFS(Sheet1!S71_AdjustmentBudAmnt,Sheet1!S71_SubMunicipalVoteNo,$AC:$AC,Sheet1!S71_ItemType,$AD:$AD)</f>
        <v>0</v>
      </c>
      <c r="I8" s="725">
        <f>-SUMIFS(Sheet1!S71_ASBudgetAmount,Sheet1!S71_SubMunicipalVoteNo,$AC:$AC,Sheet1!S71_ItemType,$AD:$AD)</f>
        <v>0</v>
      </c>
      <c r="J8" s="712">
        <f>-SUMIFS(Sheet1!S71_OY1BudgetAmount,Sheet1!S71_SubMunicipalVoteNo,$AC:$AC,Sheet1!S71_ItemType,$AD:$AD)</f>
        <v>0</v>
      </c>
      <c r="K8" s="713">
        <f>-SUMIFS(Sheet1!S71_OY2BudgetAmount,Sheet1!S71_SubMunicipalVoteNo,$AC:$AC,Sheet1!S71_ItemType,$AD:$AD)</f>
        <v>0</v>
      </c>
      <c r="L8" s="707"/>
      <c r="M8" s="708"/>
      <c r="N8" s="708"/>
      <c r="O8" s="708"/>
      <c r="P8" s="708"/>
      <c r="Q8" s="708"/>
      <c r="R8" s="708"/>
      <c r="S8" s="708"/>
      <c r="T8" s="708"/>
      <c r="U8" s="708"/>
      <c r="V8" s="708"/>
      <c r="W8" s="708"/>
      <c r="AC8" s="2312">
        <v>13</v>
      </c>
      <c r="AD8" s="2318" t="s">
        <v>2759</v>
      </c>
    </row>
    <row r="9" spans="1:30" ht="11.25" customHeight="1" x14ac:dyDescent="0.25">
      <c r="A9" s="136" t="str">
        <f>IF(RIGHT('Org structure'!D6,18)&lt;&gt;"[Name of sub-vote]",'Org structure'!D6,"")</f>
        <v>1.4 - Administrative and Corporate Support</v>
      </c>
      <c r="B9" s="144"/>
      <c r="C9" s="712">
        <f>SUMIFS(Sheet1!S71_PPPYearAmount,Sheet1!S71_SubMunicipalVoteNo,$AC:$AC,Sheet1!S71_ItemType,$AD:$AD)</f>
        <v>23280</v>
      </c>
      <c r="D9" s="712">
        <f>SUMIFS(Sheet1!S71_PPYearAmount,Sheet1!S71_SubMunicipalVoteNo,$AC:$AC,Sheet1!S71_ItemType,$AD:$AD)</f>
        <v>103105</v>
      </c>
      <c r="E9" s="712">
        <f>SUMIFS(Sheet1!S71_PYearAmount,Sheet1!S71_SubMunicipalVoteNo,$AC:$AC,Sheet1!S71_ItemType,$AD:$AD)</f>
        <v>40121</v>
      </c>
      <c r="F9" s="725">
        <f>-SUMIFS(Sheet1!S71_OriginalBudAmnt,Sheet1!S71_SubMunicipalVoteNo,$AC:$AC,Sheet1!S71_ItemType,$AD:$AD)</f>
        <v>62000</v>
      </c>
      <c r="G9" s="712">
        <f>-SUMIFS(Sheet1!S71_AdjustmentBudAmnt,Sheet1!S71_SubMunicipalVoteNo,$AC:$AC,Sheet1!S71_ItemType,$AD:$AD)</f>
        <v>62000</v>
      </c>
      <c r="H9" s="713">
        <f>-SUMIFS(Sheet1!S71_AdjustmentBudAmnt,Sheet1!S71_SubMunicipalVoteNo,$AC:$AC,Sheet1!S71_ItemType,$AD:$AD)</f>
        <v>62000</v>
      </c>
      <c r="I9" s="725">
        <f>-SUMIFS(Sheet1!S71_ASBudgetAmount,Sheet1!S71_SubMunicipalVoteNo,$AC:$AC,Sheet1!S71_ItemType,$AD:$AD)</f>
        <v>64418</v>
      </c>
      <c r="J9" s="712">
        <f>-SUMIFS(Sheet1!S71_OY1BudgetAmount,Sheet1!S71_SubMunicipalVoteNo,$AC:$AC,Sheet1!S71_ItemType,$AD:$AD)</f>
        <v>66995</v>
      </c>
      <c r="K9" s="713">
        <f>-SUMIFS(Sheet1!S71_OY2BudgetAmount,Sheet1!S71_SubMunicipalVoteNo,$AC:$AC,Sheet1!S71_ItemType,$AD:$AD)</f>
        <v>69675</v>
      </c>
      <c r="L9" s="707"/>
      <c r="M9" s="708"/>
      <c r="N9" s="708"/>
      <c r="O9" s="708"/>
      <c r="P9" s="708"/>
      <c r="Q9" s="708"/>
      <c r="R9" s="708"/>
      <c r="S9" s="708"/>
      <c r="T9" s="708"/>
      <c r="U9" s="708"/>
      <c r="V9" s="708"/>
      <c r="W9" s="708"/>
      <c r="AC9" s="2312">
        <v>14</v>
      </c>
      <c r="AD9" s="2318" t="s">
        <v>2759</v>
      </c>
    </row>
    <row r="10" spans="1:30" ht="11.25" customHeight="1" x14ac:dyDescent="0.25">
      <c r="A10" s="136" t="str">
        <f>IF(RIGHT('Org structure'!D7,18)&lt;&gt;"[Name of sub-vote]",'Org structure'!D7,"")</f>
        <v>1.5 - Human Resources</v>
      </c>
      <c r="B10" s="144"/>
      <c r="C10" s="712">
        <f>SUMIFS(Sheet1!S71_PPPYearAmount,Sheet1!S71_SubMunicipalVoteNo,$AC:$AC,Sheet1!S71_ItemType,$AD:$AD)</f>
        <v>0</v>
      </c>
      <c r="D10" s="712">
        <f>SUMIFS(Sheet1!S71_PPYearAmount,Sheet1!S71_SubMunicipalVoteNo,$AC:$AC,Sheet1!S71_ItemType,$AD:$AD)</f>
        <v>0</v>
      </c>
      <c r="E10" s="712">
        <f>SUMIFS(Sheet1!S71_PYearAmount,Sheet1!S71_SubMunicipalVoteNo,$AC:$AC,Sheet1!S71_ItemType,$AD:$AD)</f>
        <v>0</v>
      </c>
      <c r="F10" s="725">
        <f>-SUMIFS(Sheet1!S71_OriginalBudAmnt,Sheet1!S71_SubMunicipalVoteNo,$AC:$AC,Sheet1!S71_ItemType,$AD:$AD)</f>
        <v>0</v>
      </c>
      <c r="G10" s="712">
        <f>-SUMIFS(Sheet1!S71_AdjustmentBudAmnt,Sheet1!S71_SubMunicipalVoteNo,$AC:$AC,Sheet1!S71_ItemType,$AD:$AD)</f>
        <v>0</v>
      </c>
      <c r="H10" s="713">
        <f>-SUMIFS(Sheet1!S71_AdjustmentBudAmnt,Sheet1!S71_SubMunicipalVoteNo,$AC:$AC,Sheet1!S71_ItemType,$AD:$AD)</f>
        <v>0</v>
      </c>
      <c r="I10" s="725">
        <f>-SUMIFS(Sheet1!S71_ASBudgetAmount,Sheet1!S71_SubMunicipalVoteNo,$AC:$AC,Sheet1!S71_ItemType,$AD:$AD)</f>
        <v>0</v>
      </c>
      <c r="J10" s="712">
        <f>-SUMIFS(Sheet1!S71_OY1BudgetAmount,Sheet1!S71_SubMunicipalVoteNo,$AC:$AC,Sheet1!S71_ItemType,$AD:$AD)</f>
        <v>0</v>
      </c>
      <c r="K10" s="713">
        <f>-SUMIFS(Sheet1!S71_OY2BudgetAmount,Sheet1!S71_SubMunicipalVoteNo,$AC:$AC,Sheet1!S71_ItemType,$AD:$AD)</f>
        <v>0</v>
      </c>
      <c r="L10" s="707"/>
      <c r="M10" s="708"/>
      <c r="N10" s="708"/>
      <c r="O10" s="708"/>
      <c r="P10" s="708"/>
      <c r="Q10" s="708"/>
      <c r="R10" s="708"/>
      <c r="S10" s="708"/>
      <c r="T10" s="708"/>
      <c r="U10" s="708"/>
      <c r="V10" s="708"/>
      <c r="W10" s="708"/>
      <c r="AC10" s="2312">
        <v>15</v>
      </c>
      <c r="AD10" s="2318" t="s">
        <v>2759</v>
      </c>
    </row>
    <row r="11" spans="1:30" ht="11.25" customHeight="1" x14ac:dyDescent="0.25">
      <c r="A11" s="136" t="str">
        <f>IF(RIGHT('Org structure'!D8,18)&lt;&gt;"[Name of sub-vote]",'Org structure'!D8,"")</f>
        <v>1.6 - Property Services</v>
      </c>
      <c r="B11" s="144"/>
      <c r="C11" s="712">
        <f>SUMIFS(Sheet1!S71_PPPYearAmount,Sheet1!S71_SubMunicipalVoteNo,$AC:$AC,Sheet1!S71_ItemType,$AD:$AD)</f>
        <v>51173000</v>
      </c>
      <c r="D11" s="712">
        <f>SUMIFS(Sheet1!S71_PPYearAmount,Sheet1!S71_SubMunicipalVoteNo,$AC:$AC,Sheet1!S71_ItemType,$AD:$AD)</f>
        <v>55546000</v>
      </c>
      <c r="E11" s="712">
        <f>SUMIFS(Sheet1!S71_PYearAmount,Sheet1!S71_SubMunicipalVoteNo,$AC:$AC,Sheet1!S71_ItemType,$AD:$AD)</f>
        <v>62733690</v>
      </c>
      <c r="F11" s="725">
        <f>-SUMIFS(Sheet1!S71_OriginalBudAmnt,Sheet1!S71_SubMunicipalVoteNo,$AC:$AC,Sheet1!S71_ItemType,$AD:$AD)</f>
        <v>67330000</v>
      </c>
      <c r="G11" s="712">
        <f>-SUMIFS(Sheet1!S71_AdjustmentBudAmnt,Sheet1!S71_SubMunicipalVoteNo,$AC:$AC,Sheet1!S71_ItemType,$AD:$AD)</f>
        <v>79735000</v>
      </c>
      <c r="H11" s="713">
        <f>-SUMIFS(Sheet1!S71_AdjustmentBudAmnt,Sheet1!S71_SubMunicipalVoteNo,$AC:$AC,Sheet1!S71_ItemType,$AD:$AD)</f>
        <v>79735000</v>
      </c>
      <c r="I11" s="725">
        <f>-SUMIFS(Sheet1!S71_ASBudgetAmount,Sheet1!S71_SubMunicipalVoteNo,$AC:$AC,Sheet1!S71_ItemType,$AD:$AD)</f>
        <v>70470000</v>
      </c>
      <c r="J11" s="712">
        <f>-SUMIFS(Sheet1!S71_OY1BudgetAmount,Sheet1!S71_SubMunicipalVoteNo,$AC:$AC,Sheet1!S71_ItemType,$AD:$AD)</f>
        <v>80843000</v>
      </c>
      <c r="K11" s="713">
        <f>-SUMIFS(Sheet1!S71_OY2BudgetAmount,Sheet1!S71_SubMunicipalVoteNo,$AC:$AC,Sheet1!S71_ItemType,$AD:$AD)</f>
        <v>81817000</v>
      </c>
      <c r="L11" s="707"/>
      <c r="M11" s="708"/>
      <c r="N11" s="708"/>
      <c r="O11" s="708"/>
      <c r="P11" s="708"/>
      <c r="Q11" s="708"/>
      <c r="R11" s="708"/>
      <c r="S11" s="708"/>
      <c r="T11" s="708"/>
      <c r="U11" s="708"/>
      <c r="V11" s="708"/>
      <c r="W11" s="708"/>
      <c r="AC11" s="2312">
        <v>16</v>
      </c>
      <c r="AD11" s="2318" t="s">
        <v>2759</v>
      </c>
    </row>
    <row r="12" spans="1:30" ht="11.25" customHeight="1" x14ac:dyDescent="0.25">
      <c r="A12" s="136" t="str">
        <f>IF(RIGHT('Org structure'!D9,18)&lt;&gt;"[Name of sub-vote]",'Org structure'!D9,"")</f>
        <v>1.7 - Legal Services</v>
      </c>
      <c r="B12" s="144"/>
      <c r="C12" s="712">
        <f>SUMIFS(Sheet1!S71_PPPYearAmount,Sheet1!S71_SubMunicipalVoteNo,$AC:$AC,Sheet1!S71_ItemType,$AD:$AD)</f>
        <v>0</v>
      </c>
      <c r="D12" s="712">
        <f>SUMIFS(Sheet1!S71_PPYearAmount,Sheet1!S71_SubMunicipalVoteNo,$AC:$AC,Sheet1!S71_ItemType,$AD:$AD)</f>
        <v>0</v>
      </c>
      <c r="E12" s="712">
        <f>SUMIFS(Sheet1!S71_PYearAmount,Sheet1!S71_SubMunicipalVoteNo,$AC:$AC,Sheet1!S71_ItemType,$AD:$AD)</f>
        <v>0</v>
      </c>
      <c r="F12" s="725">
        <f>-SUMIFS(Sheet1!S71_OriginalBudAmnt,Sheet1!S71_SubMunicipalVoteNo,$AC:$AC,Sheet1!S71_ItemType,$AD:$AD)</f>
        <v>0</v>
      </c>
      <c r="G12" s="712">
        <f>-SUMIFS(Sheet1!S71_AdjustmentBudAmnt,Sheet1!S71_SubMunicipalVoteNo,$AC:$AC,Sheet1!S71_ItemType,$AD:$AD)</f>
        <v>0</v>
      </c>
      <c r="H12" s="713">
        <f>-SUMIFS(Sheet1!S71_AdjustmentBudAmnt,Sheet1!S71_SubMunicipalVoteNo,$AC:$AC,Sheet1!S71_ItemType,$AD:$AD)</f>
        <v>0</v>
      </c>
      <c r="I12" s="725">
        <f>-SUMIFS(Sheet1!S71_ASBudgetAmount,Sheet1!S71_SubMunicipalVoteNo,$AC:$AC,Sheet1!S71_ItemType,$AD:$AD)</f>
        <v>0</v>
      </c>
      <c r="J12" s="712">
        <f>-SUMIFS(Sheet1!S71_OY1BudgetAmount,Sheet1!S71_SubMunicipalVoteNo,$AC:$AC,Sheet1!S71_ItemType,$AD:$AD)</f>
        <v>0</v>
      </c>
      <c r="K12" s="713">
        <f>-SUMIFS(Sheet1!S71_OY2BudgetAmount,Sheet1!S71_SubMunicipalVoteNo,$AC:$AC,Sheet1!S71_ItemType,$AD:$AD)</f>
        <v>0</v>
      </c>
      <c r="L12" s="707"/>
      <c r="M12" s="708"/>
      <c r="N12" s="708"/>
      <c r="O12" s="708"/>
      <c r="P12" s="708"/>
      <c r="Q12" s="708"/>
      <c r="R12" s="708"/>
      <c r="S12" s="708"/>
      <c r="T12" s="708"/>
      <c r="U12" s="708"/>
      <c r="V12" s="708"/>
      <c r="W12" s="708"/>
      <c r="AC12" s="2312">
        <v>17</v>
      </c>
      <c r="AD12" s="2318" t="s">
        <v>2759</v>
      </c>
    </row>
    <row r="13" spans="1:30" ht="11.25" customHeight="1" x14ac:dyDescent="0.25">
      <c r="A13" s="136" t="str">
        <f>IF(RIGHT('Org structure'!D10,18)&lt;&gt;"[Name of sub-vote]",'Org structure'!D10,"")</f>
        <v>1.8 - Information Technology</v>
      </c>
      <c r="B13" s="144"/>
      <c r="C13" s="712">
        <f>SUMIFS(Sheet1!S71_PPPYearAmount,Sheet1!S71_SubMunicipalVoteNo,$AC:$AC,Sheet1!S71_ItemType,$AD:$AD)</f>
        <v>0</v>
      </c>
      <c r="D13" s="712">
        <f>SUMIFS(Sheet1!S71_PPYearAmount,Sheet1!S71_SubMunicipalVoteNo,$AC:$AC,Sheet1!S71_ItemType,$AD:$AD)</f>
        <v>0</v>
      </c>
      <c r="E13" s="712">
        <f>SUMIFS(Sheet1!S71_PYearAmount,Sheet1!S71_SubMunicipalVoteNo,$AC:$AC,Sheet1!S71_ItemType,$AD:$AD)</f>
        <v>0</v>
      </c>
      <c r="F13" s="725">
        <f>-SUMIFS(Sheet1!S71_OriginalBudAmnt,Sheet1!S71_SubMunicipalVoteNo,$AC:$AC,Sheet1!S71_ItemType,$AD:$AD)</f>
        <v>0</v>
      </c>
      <c r="G13" s="712">
        <f>-SUMIFS(Sheet1!S71_AdjustmentBudAmnt,Sheet1!S71_SubMunicipalVoteNo,$AC:$AC,Sheet1!S71_ItemType,$AD:$AD)</f>
        <v>0</v>
      </c>
      <c r="H13" s="713">
        <f>-SUMIFS(Sheet1!S71_AdjustmentBudAmnt,Sheet1!S71_SubMunicipalVoteNo,$AC:$AC,Sheet1!S71_ItemType,$AD:$AD)</f>
        <v>0</v>
      </c>
      <c r="I13" s="725">
        <f>-SUMIFS(Sheet1!S71_ASBudgetAmount,Sheet1!S71_SubMunicipalVoteNo,$AC:$AC,Sheet1!S71_ItemType,$AD:$AD)</f>
        <v>0</v>
      </c>
      <c r="J13" s="712">
        <f>-SUMIFS(Sheet1!S71_OY1BudgetAmount,Sheet1!S71_SubMunicipalVoteNo,$AC:$AC,Sheet1!S71_ItemType,$AD:$AD)</f>
        <v>0</v>
      </c>
      <c r="K13" s="713">
        <f>-SUMIFS(Sheet1!S71_OY2BudgetAmount,Sheet1!S71_SubMunicipalVoteNo,$AC:$AC,Sheet1!S71_ItemType,$AD:$AD)</f>
        <v>0</v>
      </c>
      <c r="L13" s="707"/>
      <c r="M13" s="708"/>
      <c r="N13" s="708"/>
      <c r="O13" s="708"/>
      <c r="P13" s="708"/>
      <c r="Q13" s="708"/>
      <c r="R13" s="708"/>
      <c r="S13" s="708"/>
      <c r="T13" s="708"/>
      <c r="U13" s="708"/>
      <c r="V13" s="708"/>
      <c r="W13" s="708"/>
      <c r="AC13" s="2312">
        <v>18</v>
      </c>
      <c r="AD13" s="2318" t="s">
        <v>2759</v>
      </c>
    </row>
    <row r="14" spans="1:30" ht="11.25" customHeight="1" x14ac:dyDescent="0.25">
      <c r="A14" s="136" t="str">
        <f>IF(RIGHT('Org structure'!D11,18)&lt;&gt;"[Name of sub-vote]",'Org structure'!D11,"")</f>
        <v>1.9 - Marketing, Customer Relations, Publicity and Media Co-ordination</v>
      </c>
      <c r="B14" s="144"/>
      <c r="C14" s="712">
        <f>SUMIFS(Sheet1!S71_PPPYearAmount,Sheet1!S71_SubMunicipalVoteNo,$AC:$AC,Sheet1!S71_ItemType,$AD:$AD)</f>
        <v>0</v>
      </c>
      <c r="D14" s="712">
        <f>SUMIFS(Sheet1!S71_PPYearAmount,Sheet1!S71_SubMunicipalVoteNo,$AC:$AC,Sheet1!S71_ItemType,$AD:$AD)</f>
        <v>0</v>
      </c>
      <c r="E14" s="712">
        <f>SUMIFS(Sheet1!S71_PYearAmount,Sheet1!S71_SubMunicipalVoteNo,$AC:$AC,Sheet1!S71_ItemType,$AD:$AD)</f>
        <v>0</v>
      </c>
      <c r="F14" s="725">
        <f>-SUMIFS(Sheet1!S71_OriginalBudAmnt,Sheet1!S71_SubMunicipalVoteNo,$AC:$AC,Sheet1!S71_ItemType,$AD:$AD)</f>
        <v>0</v>
      </c>
      <c r="G14" s="712">
        <f>-SUMIFS(Sheet1!S71_AdjustmentBudAmnt,Sheet1!S71_SubMunicipalVoteNo,$AC:$AC,Sheet1!S71_ItemType,$AD:$AD)</f>
        <v>0</v>
      </c>
      <c r="H14" s="713">
        <f>-SUMIFS(Sheet1!S71_AdjustmentBudAmnt,Sheet1!S71_SubMunicipalVoteNo,$AC:$AC,Sheet1!S71_ItemType,$AD:$AD)</f>
        <v>0</v>
      </c>
      <c r="I14" s="725">
        <f>-SUMIFS(Sheet1!S71_ASBudgetAmount,Sheet1!S71_SubMunicipalVoteNo,$AC:$AC,Sheet1!S71_ItemType,$AD:$AD)</f>
        <v>0</v>
      </c>
      <c r="J14" s="712">
        <f>-SUMIFS(Sheet1!S71_OY1BudgetAmount,Sheet1!S71_SubMunicipalVoteNo,$AC:$AC,Sheet1!S71_ItemType,$AD:$AD)</f>
        <v>0</v>
      </c>
      <c r="K14" s="713">
        <f>-SUMIFS(Sheet1!S71_OY2BudgetAmount,Sheet1!S71_SubMunicipalVoteNo,$AC:$AC,Sheet1!S71_ItemType,$AD:$AD)</f>
        <v>0</v>
      </c>
      <c r="L14" s="707"/>
      <c r="M14" s="708"/>
      <c r="N14" s="708"/>
      <c r="O14" s="708"/>
      <c r="P14" s="708"/>
      <c r="Q14" s="708"/>
      <c r="R14" s="708"/>
      <c r="S14" s="708"/>
      <c r="T14" s="708"/>
      <c r="U14" s="708"/>
      <c r="V14" s="708"/>
      <c r="W14" s="708"/>
      <c r="AC14" s="2312">
        <v>19</v>
      </c>
      <c r="AD14" s="2318" t="s">
        <v>2759</v>
      </c>
    </row>
    <row r="15" spans="1:30" ht="11.25" customHeight="1" x14ac:dyDescent="0.25">
      <c r="A15" s="136" t="str">
        <f>IF(RIGHT('Org structure'!D12,18)&lt;&gt;"[Name of sub-vote]",'Org structure'!D12,"")</f>
        <v/>
      </c>
      <c r="B15" s="144"/>
      <c r="C15" s="712">
        <f>SUMIFS(Sheet1!S71_PPPYearAmount,Sheet1!S71_SubMunicipalVoteNo,$AC:$AC,Sheet1!S71_ItemType,$AD:$AD)</f>
        <v>0</v>
      </c>
      <c r="D15" s="712">
        <f>SUMIFS(Sheet1!S71_PPYearAmount,Sheet1!S71_SubMunicipalVoteNo,$AC:$AC,Sheet1!S71_ItemType,$AD:$AD)</f>
        <v>0</v>
      </c>
      <c r="E15" s="712">
        <f>SUMIFS(Sheet1!S71_PYearAmount,Sheet1!S71_SubMunicipalVoteNo,$AC:$AC,Sheet1!S71_ItemType,$AD:$AD)</f>
        <v>0</v>
      </c>
      <c r="F15" s="725">
        <f>-SUMIFS(Sheet1!S71_OriginalBudAmnt,Sheet1!S71_SubMunicipalVoteNo,$AC:$AC,Sheet1!S71_ItemType,$AD:$AD)</f>
        <v>0</v>
      </c>
      <c r="G15" s="712">
        <f>-SUMIFS(Sheet1!S71_AdjustmentBudAmnt,Sheet1!S71_SubMunicipalVoteNo,$AC:$AC,Sheet1!S71_ItemType,$AD:$AD)</f>
        <v>0</v>
      </c>
      <c r="H15" s="713">
        <f>-SUMIFS(Sheet1!S71_AdjustmentBudAmnt,Sheet1!S71_SubMunicipalVoteNo,$AC:$AC,Sheet1!S71_ItemType,$AD:$AD)</f>
        <v>0</v>
      </c>
      <c r="I15" s="725">
        <f>-SUMIFS(Sheet1!S71_ASBudgetAmount,Sheet1!S71_SubMunicipalVoteNo,$AC:$AC,Sheet1!S71_ItemType,$AD:$AD)</f>
        <v>0</v>
      </c>
      <c r="J15" s="712">
        <f>-SUMIFS(Sheet1!S71_OY1BudgetAmount,Sheet1!S71_SubMunicipalVoteNo,$AC:$AC,Sheet1!S71_ItemType,$AD:$AD)</f>
        <v>0</v>
      </c>
      <c r="K15" s="713">
        <f>-SUMIFS(Sheet1!S71_OY2BudgetAmount,Sheet1!S71_SubMunicipalVoteNo,$AC:$AC,Sheet1!S71_ItemType,$AD:$AD)</f>
        <v>0</v>
      </c>
      <c r="L15" s="707"/>
      <c r="M15" s="708"/>
      <c r="N15" s="708"/>
      <c r="O15" s="708"/>
      <c r="P15" s="708"/>
      <c r="Q15" s="708"/>
      <c r="R15" s="708"/>
      <c r="S15" s="708"/>
      <c r="T15" s="708"/>
      <c r="U15" s="708"/>
      <c r="V15" s="708"/>
      <c r="W15" s="708"/>
      <c r="AC15" s="2312">
        <v>110</v>
      </c>
      <c r="AD15" s="2318" t="s">
        <v>2759</v>
      </c>
    </row>
    <row r="16" spans="1:30" ht="15" customHeight="1" x14ac:dyDescent="0.25">
      <c r="A16" s="135" t="str">
        <f>'Org structure'!A3</f>
        <v>Vote 2 - Finance and Administration2</v>
      </c>
      <c r="B16" s="211"/>
      <c r="C16" s="212">
        <f>SUM(C17:C26)</f>
        <v>0</v>
      </c>
      <c r="D16" s="212">
        <f t="shared" ref="D16:K16" si="1">SUM(D17:D26)</f>
        <v>0</v>
      </c>
      <c r="E16" s="213">
        <f t="shared" si="1"/>
        <v>0</v>
      </c>
      <c r="F16" s="214">
        <f t="shared" si="1"/>
        <v>0</v>
      </c>
      <c r="G16" s="212">
        <f t="shared" si="1"/>
        <v>0</v>
      </c>
      <c r="H16" s="215">
        <f t="shared" si="1"/>
        <v>0</v>
      </c>
      <c r="I16" s="216">
        <f t="shared" si="1"/>
        <v>0</v>
      </c>
      <c r="J16" s="212">
        <f t="shared" si="1"/>
        <v>0</v>
      </c>
      <c r="K16" s="213">
        <f t="shared" si="1"/>
        <v>0</v>
      </c>
      <c r="L16" s="707"/>
      <c r="M16" s="708"/>
      <c r="N16" s="708"/>
      <c r="O16" s="708"/>
      <c r="P16" s="708"/>
      <c r="Q16" s="708"/>
      <c r="R16" s="708"/>
      <c r="S16" s="708"/>
      <c r="T16" s="708"/>
      <c r="U16" s="708"/>
      <c r="V16" s="708"/>
      <c r="W16" s="708"/>
      <c r="AD16" s="2315"/>
    </row>
    <row r="17" spans="1:30" ht="11.25" customHeight="1" x14ac:dyDescent="0.25">
      <c r="A17" s="136" t="str">
        <f>IF(RIGHT('Org structure'!D14,18)&lt;&gt;"[Name of sub-vote]",'Org structure'!D14,"")</f>
        <v>2.1 - Supply Chain Management</v>
      </c>
      <c r="B17" s="144"/>
      <c r="C17" s="712">
        <f>SUMIFS(Sheet1!S71_PPPYearAmount,Sheet1!S71_SubMunicipalVoteNo,$AC:$AC,Sheet1!S71_ItemType,$AD:$AD)</f>
        <v>0</v>
      </c>
      <c r="D17" s="712">
        <f>SUMIFS(Sheet1!S71_PPYearAmount,Sheet1!S71_SubMunicipalVoteNo,$AC:$AC,Sheet1!S71_ItemType,$AD:$AD)</f>
        <v>0</v>
      </c>
      <c r="E17" s="712">
        <f>SUMIFS(Sheet1!S71_PYearAmount,Sheet1!S71_SubMunicipalVoteNo,$AC:$AC,Sheet1!S71_ItemType,$AD:$AD)</f>
        <v>0</v>
      </c>
      <c r="F17" s="725">
        <f>-SUMIFS(Sheet1!S71_OriginalBudAmnt,Sheet1!S71_SubMunicipalVoteNo,$AC:$AC,Sheet1!S71_ItemType,$AD:$AD)</f>
        <v>0</v>
      </c>
      <c r="G17" s="712">
        <f>-SUMIFS(Sheet1!S71_AdjustmentBudAmnt,Sheet1!S71_SubMunicipalVoteNo,$AC:$AC,Sheet1!S71_ItemType,$AD:$AD)</f>
        <v>0</v>
      </c>
      <c r="H17" s="713">
        <f>-SUMIFS(Sheet1!S71_AdjustmentBudAmnt,Sheet1!S71_SubMunicipalVoteNo,$AC:$AC,Sheet1!S71_ItemType,$AD:$AD)</f>
        <v>0</v>
      </c>
      <c r="I17" s="725">
        <f>-SUMIFS(Sheet1!S71_ASBudgetAmount,Sheet1!S71_SubMunicipalVoteNo,$AC:$AC,Sheet1!S71_ItemType,$AD:$AD)</f>
        <v>0</v>
      </c>
      <c r="J17" s="712">
        <f>-SUMIFS(Sheet1!S71_OY1BudgetAmount,Sheet1!S71_SubMunicipalVoteNo,$AC:$AC,Sheet1!S71_ItemType,$AD:$AD)</f>
        <v>0</v>
      </c>
      <c r="K17" s="713">
        <f>-SUMIFS(Sheet1!S71_OY2BudgetAmount,Sheet1!S71_SubMunicipalVoteNo,$AC:$AC,Sheet1!S71_ItemType,$AD:$AD)</f>
        <v>0</v>
      </c>
      <c r="L17" s="707"/>
      <c r="M17" s="708"/>
      <c r="N17" s="708"/>
      <c r="O17" s="708"/>
      <c r="P17" s="708"/>
      <c r="Q17" s="708"/>
      <c r="R17" s="708"/>
      <c r="S17" s="708"/>
      <c r="T17" s="708"/>
      <c r="U17" s="708"/>
      <c r="V17" s="708"/>
      <c r="W17" s="708"/>
      <c r="AC17" s="2312">
        <v>21</v>
      </c>
      <c r="AD17" s="2318" t="s">
        <v>2759</v>
      </c>
    </row>
    <row r="18" spans="1:30" ht="11.25" customHeight="1" x14ac:dyDescent="0.25">
      <c r="A18" s="136" t="str">
        <f>IF(RIGHT('Org structure'!D15,18)&lt;&gt;"[Name of sub-vote]",'Org structure'!D15,"")</f>
        <v/>
      </c>
      <c r="B18" s="144"/>
      <c r="C18" s="712">
        <f>SUMIFS(Sheet1!S71_PPPYearAmount,Sheet1!S71_SubMunicipalVoteNo,$AC:$AC,Sheet1!S71_ItemType,$AD:$AD)</f>
        <v>0</v>
      </c>
      <c r="D18" s="712">
        <f>SUMIFS(Sheet1!S71_PPYearAmount,Sheet1!S71_SubMunicipalVoteNo,$AC:$AC,Sheet1!S71_ItemType,$AD:$AD)</f>
        <v>0</v>
      </c>
      <c r="E18" s="712">
        <f>SUMIFS(Sheet1!S71_PYearAmount,Sheet1!S71_SubMunicipalVoteNo,$AC:$AC,Sheet1!S71_ItemType,$AD:$AD)</f>
        <v>0</v>
      </c>
      <c r="F18" s="725">
        <f>-SUMIFS(Sheet1!S71_OriginalBudAmnt,Sheet1!S71_SubMunicipalVoteNo,$AC:$AC,Sheet1!S71_ItemType,$AD:$AD)</f>
        <v>0</v>
      </c>
      <c r="G18" s="712">
        <f>-SUMIFS(Sheet1!S71_AdjustmentBudAmnt,Sheet1!S71_SubMunicipalVoteNo,$AC:$AC,Sheet1!S71_ItemType,$AD:$AD)</f>
        <v>0</v>
      </c>
      <c r="H18" s="713">
        <f>-SUMIFS(Sheet1!S71_AdjustmentBudAmnt,Sheet1!S71_SubMunicipalVoteNo,$AC:$AC,Sheet1!S71_ItemType,$AD:$AD)</f>
        <v>0</v>
      </c>
      <c r="I18" s="725">
        <f>-SUMIFS(Sheet1!S71_ASBudgetAmount,Sheet1!S71_SubMunicipalVoteNo,$AC:$AC,Sheet1!S71_ItemType,$AD:$AD)</f>
        <v>0</v>
      </c>
      <c r="J18" s="712">
        <f>-SUMIFS(Sheet1!S71_OY1BudgetAmount,Sheet1!S71_SubMunicipalVoteNo,$AC:$AC,Sheet1!S71_ItemType,$AD:$AD)</f>
        <v>0</v>
      </c>
      <c r="K18" s="713">
        <f>-SUMIFS(Sheet1!S71_OY2BudgetAmount,Sheet1!S71_SubMunicipalVoteNo,$AC:$AC,Sheet1!S71_ItemType,$AD:$AD)</f>
        <v>0</v>
      </c>
      <c r="L18" s="707"/>
      <c r="M18" s="708"/>
      <c r="N18" s="708"/>
      <c r="O18" s="708"/>
      <c r="P18" s="708"/>
      <c r="Q18" s="708"/>
      <c r="R18" s="708"/>
      <c r="S18" s="708"/>
      <c r="T18" s="708"/>
      <c r="U18" s="708"/>
      <c r="V18" s="708"/>
      <c r="W18" s="708"/>
      <c r="AC18" s="2312">
        <v>22</v>
      </c>
      <c r="AD18" s="2318" t="s">
        <v>2759</v>
      </c>
    </row>
    <row r="19" spans="1:30" ht="11.25" customHeight="1" x14ac:dyDescent="0.25">
      <c r="A19" s="136" t="str">
        <f>IF(RIGHT('Org structure'!D16,18)&lt;&gt;"[Name of sub-vote]",'Org structure'!D16,"")</f>
        <v/>
      </c>
      <c r="B19" s="144"/>
      <c r="C19" s="712">
        <f>SUMIFS(Sheet1!S71_PPPYearAmount,Sheet1!S71_SubMunicipalVoteNo,$AC:$AC,Sheet1!S71_ItemType,$AD:$AD)</f>
        <v>0</v>
      </c>
      <c r="D19" s="712">
        <f>SUMIFS(Sheet1!S71_PPYearAmount,Sheet1!S71_SubMunicipalVoteNo,$AC:$AC,Sheet1!S71_ItemType,$AD:$AD)</f>
        <v>0</v>
      </c>
      <c r="E19" s="712">
        <f>SUMIFS(Sheet1!S71_PYearAmount,Sheet1!S71_SubMunicipalVoteNo,$AC:$AC,Sheet1!S71_ItemType,$AD:$AD)</f>
        <v>0</v>
      </c>
      <c r="F19" s="725">
        <f>-SUMIFS(Sheet1!S71_OriginalBudAmnt,Sheet1!S71_SubMunicipalVoteNo,$AC:$AC,Sheet1!S71_ItemType,$AD:$AD)</f>
        <v>0</v>
      </c>
      <c r="G19" s="712">
        <f>-SUMIFS(Sheet1!S71_AdjustmentBudAmnt,Sheet1!S71_SubMunicipalVoteNo,$AC:$AC,Sheet1!S71_ItemType,$AD:$AD)</f>
        <v>0</v>
      </c>
      <c r="H19" s="713">
        <f>-SUMIFS(Sheet1!S71_AdjustmentBudAmnt,Sheet1!S71_SubMunicipalVoteNo,$AC:$AC,Sheet1!S71_ItemType,$AD:$AD)</f>
        <v>0</v>
      </c>
      <c r="I19" s="725">
        <f>-SUMIFS(Sheet1!S71_ASBudgetAmount,Sheet1!S71_SubMunicipalVoteNo,$AC:$AC,Sheet1!S71_ItemType,$AD:$AD)</f>
        <v>0</v>
      </c>
      <c r="J19" s="712">
        <f>-SUMIFS(Sheet1!S71_OY1BudgetAmount,Sheet1!S71_SubMunicipalVoteNo,$AC:$AC,Sheet1!S71_ItemType,$AD:$AD)</f>
        <v>0</v>
      </c>
      <c r="K19" s="713">
        <f>-SUMIFS(Sheet1!S71_OY2BudgetAmount,Sheet1!S71_SubMunicipalVoteNo,$AC:$AC,Sheet1!S71_ItemType,$AD:$AD)</f>
        <v>0</v>
      </c>
      <c r="L19" s="707"/>
      <c r="M19" s="708"/>
      <c r="N19" s="708"/>
      <c r="O19" s="708"/>
      <c r="P19" s="708"/>
      <c r="Q19" s="708"/>
      <c r="R19" s="708"/>
      <c r="S19" s="708"/>
      <c r="T19" s="708"/>
      <c r="U19" s="708"/>
      <c r="V19" s="708"/>
      <c r="W19" s="708"/>
      <c r="AC19" s="2312">
        <v>23</v>
      </c>
      <c r="AD19" s="2318" t="s">
        <v>2759</v>
      </c>
    </row>
    <row r="20" spans="1:30" ht="11.25" customHeight="1" x14ac:dyDescent="0.25">
      <c r="A20" s="136" t="str">
        <f>IF(RIGHT('Org structure'!D17,18)&lt;&gt;"[Name of sub-vote]",'Org structure'!D17,"")</f>
        <v/>
      </c>
      <c r="B20" s="144"/>
      <c r="C20" s="712">
        <f>SUMIFS(Sheet1!S71_PPPYearAmount,Sheet1!S71_SubMunicipalVoteNo,$AC:$AC,Sheet1!S71_ItemType,$AD:$AD)</f>
        <v>0</v>
      </c>
      <c r="D20" s="712">
        <f>SUMIFS(Sheet1!S71_PPYearAmount,Sheet1!S71_SubMunicipalVoteNo,$AC:$AC,Sheet1!S71_ItemType,$AD:$AD)</f>
        <v>0</v>
      </c>
      <c r="E20" s="712">
        <f>SUMIFS(Sheet1!S71_PYearAmount,Sheet1!S71_SubMunicipalVoteNo,$AC:$AC,Sheet1!S71_ItemType,$AD:$AD)</f>
        <v>0</v>
      </c>
      <c r="F20" s="725">
        <f>-SUMIFS(Sheet1!S71_OriginalBudAmnt,Sheet1!S71_SubMunicipalVoteNo,$AC:$AC,Sheet1!S71_ItemType,$AD:$AD)</f>
        <v>0</v>
      </c>
      <c r="G20" s="712">
        <f>-SUMIFS(Sheet1!S71_AdjustmentBudAmnt,Sheet1!S71_SubMunicipalVoteNo,$AC:$AC,Sheet1!S71_ItemType,$AD:$AD)</f>
        <v>0</v>
      </c>
      <c r="H20" s="713">
        <f>-SUMIFS(Sheet1!S71_AdjustmentBudAmnt,Sheet1!S71_SubMunicipalVoteNo,$AC:$AC,Sheet1!S71_ItemType,$AD:$AD)</f>
        <v>0</v>
      </c>
      <c r="I20" s="725">
        <f>-SUMIFS(Sheet1!S71_ASBudgetAmount,Sheet1!S71_SubMunicipalVoteNo,$AC:$AC,Sheet1!S71_ItemType,$AD:$AD)</f>
        <v>0</v>
      </c>
      <c r="J20" s="712">
        <f>-SUMIFS(Sheet1!S71_OY1BudgetAmount,Sheet1!S71_SubMunicipalVoteNo,$AC:$AC,Sheet1!S71_ItemType,$AD:$AD)</f>
        <v>0</v>
      </c>
      <c r="K20" s="713">
        <f>-SUMIFS(Sheet1!S71_OY2BudgetAmount,Sheet1!S71_SubMunicipalVoteNo,$AC:$AC,Sheet1!S71_ItemType,$AD:$AD)</f>
        <v>0</v>
      </c>
      <c r="L20" s="707"/>
      <c r="M20" s="708"/>
      <c r="N20" s="708"/>
      <c r="O20" s="708"/>
      <c r="P20" s="708"/>
      <c r="Q20" s="708"/>
      <c r="R20" s="708"/>
      <c r="S20" s="708"/>
      <c r="T20" s="708"/>
      <c r="U20" s="708"/>
      <c r="V20" s="708"/>
      <c r="W20" s="708"/>
      <c r="AC20" s="2312">
        <v>24</v>
      </c>
      <c r="AD20" s="2318" t="s">
        <v>2759</v>
      </c>
    </row>
    <row r="21" spans="1:30" ht="11.25" customHeight="1" x14ac:dyDescent="0.25">
      <c r="A21" s="136" t="str">
        <f>IF(RIGHT('Org structure'!D18,18)&lt;&gt;"[Name of sub-vote]",'Org structure'!D18,"")</f>
        <v/>
      </c>
      <c r="B21" s="144"/>
      <c r="C21" s="712">
        <f>SUMIFS(Sheet1!S71_PPPYearAmount,Sheet1!S71_SubMunicipalVoteNo,$AC:$AC,Sheet1!S71_ItemType,$AD:$AD)</f>
        <v>0</v>
      </c>
      <c r="D21" s="712">
        <f>SUMIFS(Sheet1!S71_PPYearAmount,Sheet1!S71_SubMunicipalVoteNo,$AC:$AC,Sheet1!S71_ItemType,$AD:$AD)</f>
        <v>0</v>
      </c>
      <c r="E21" s="712">
        <f>SUMIFS(Sheet1!S71_PYearAmount,Sheet1!S71_SubMunicipalVoteNo,$AC:$AC,Sheet1!S71_ItemType,$AD:$AD)</f>
        <v>0</v>
      </c>
      <c r="F21" s="725">
        <f>-SUMIFS(Sheet1!S71_OriginalBudAmnt,Sheet1!S71_SubMunicipalVoteNo,$AC:$AC,Sheet1!S71_ItemType,$AD:$AD)</f>
        <v>0</v>
      </c>
      <c r="G21" s="712">
        <f>-SUMIFS(Sheet1!S71_AdjustmentBudAmnt,Sheet1!S71_SubMunicipalVoteNo,$AC:$AC,Sheet1!S71_ItemType,$AD:$AD)</f>
        <v>0</v>
      </c>
      <c r="H21" s="713">
        <f>-SUMIFS(Sheet1!S71_AdjustmentBudAmnt,Sheet1!S71_SubMunicipalVoteNo,$AC:$AC,Sheet1!S71_ItemType,$AD:$AD)</f>
        <v>0</v>
      </c>
      <c r="I21" s="725">
        <f>-SUMIFS(Sheet1!S71_ASBudgetAmount,Sheet1!S71_SubMunicipalVoteNo,$AC:$AC,Sheet1!S71_ItemType,$AD:$AD)</f>
        <v>0</v>
      </c>
      <c r="J21" s="712">
        <f>-SUMIFS(Sheet1!S71_OY1BudgetAmount,Sheet1!S71_SubMunicipalVoteNo,$AC:$AC,Sheet1!S71_ItemType,$AD:$AD)</f>
        <v>0</v>
      </c>
      <c r="K21" s="713">
        <f>-SUMIFS(Sheet1!S71_OY2BudgetAmount,Sheet1!S71_SubMunicipalVoteNo,$AC:$AC,Sheet1!S71_ItemType,$AD:$AD)</f>
        <v>0</v>
      </c>
      <c r="L21" s="707"/>
      <c r="M21" s="708"/>
      <c r="N21" s="708"/>
      <c r="O21" s="708"/>
      <c r="P21" s="708"/>
      <c r="Q21" s="708"/>
      <c r="R21" s="708"/>
      <c r="S21" s="708"/>
      <c r="T21" s="708"/>
      <c r="U21" s="708"/>
      <c r="V21" s="708"/>
      <c r="W21" s="708"/>
      <c r="AC21" s="2312">
        <v>25</v>
      </c>
      <c r="AD21" s="2318" t="s">
        <v>2759</v>
      </c>
    </row>
    <row r="22" spans="1:30" ht="11.25" customHeight="1" x14ac:dyDescent="0.25">
      <c r="A22" s="136" t="str">
        <f>IF(RIGHT('Org structure'!D19,18)&lt;&gt;"[Name of sub-vote]",'Org structure'!D19,"")</f>
        <v/>
      </c>
      <c r="B22" s="144"/>
      <c r="C22" s="712">
        <f>SUMIFS(Sheet1!S71_PPPYearAmount,Sheet1!S71_SubMunicipalVoteNo,$AC:$AC,Sheet1!S71_ItemType,$AD:$AD)</f>
        <v>0</v>
      </c>
      <c r="D22" s="712">
        <f>SUMIFS(Sheet1!S71_PPYearAmount,Sheet1!S71_SubMunicipalVoteNo,$AC:$AC,Sheet1!S71_ItemType,$AD:$AD)</f>
        <v>0</v>
      </c>
      <c r="E22" s="712">
        <f>SUMIFS(Sheet1!S71_PYearAmount,Sheet1!S71_SubMunicipalVoteNo,$AC:$AC,Sheet1!S71_ItemType,$AD:$AD)</f>
        <v>0</v>
      </c>
      <c r="F22" s="725">
        <f>-SUMIFS(Sheet1!S71_OriginalBudAmnt,Sheet1!S71_SubMunicipalVoteNo,$AC:$AC,Sheet1!S71_ItemType,$AD:$AD)</f>
        <v>0</v>
      </c>
      <c r="G22" s="712">
        <f>-SUMIFS(Sheet1!S71_AdjustmentBudAmnt,Sheet1!S71_SubMunicipalVoteNo,$AC:$AC,Sheet1!S71_ItemType,$AD:$AD)</f>
        <v>0</v>
      </c>
      <c r="H22" s="713">
        <f>-SUMIFS(Sheet1!S71_AdjustmentBudAmnt,Sheet1!S71_SubMunicipalVoteNo,$AC:$AC,Sheet1!S71_ItemType,$AD:$AD)</f>
        <v>0</v>
      </c>
      <c r="I22" s="725">
        <f>-SUMIFS(Sheet1!S71_ASBudgetAmount,Sheet1!S71_SubMunicipalVoteNo,$AC:$AC,Sheet1!S71_ItemType,$AD:$AD)</f>
        <v>0</v>
      </c>
      <c r="J22" s="712">
        <f>-SUMIFS(Sheet1!S71_OY1BudgetAmount,Sheet1!S71_SubMunicipalVoteNo,$AC:$AC,Sheet1!S71_ItemType,$AD:$AD)</f>
        <v>0</v>
      </c>
      <c r="K22" s="713">
        <f>-SUMIFS(Sheet1!S71_OY2BudgetAmount,Sheet1!S71_SubMunicipalVoteNo,$AC:$AC,Sheet1!S71_ItemType,$AD:$AD)</f>
        <v>0</v>
      </c>
      <c r="L22" s="707"/>
      <c r="M22" s="708"/>
      <c r="N22" s="708"/>
      <c r="O22" s="708"/>
      <c r="P22" s="708"/>
      <c r="Q22" s="708"/>
      <c r="R22" s="708"/>
      <c r="S22" s="708"/>
      <c r="T22" s="708"/>
      <c r="U22" s="708"/>
      <c r="V22" s="708"/>
      <c r="W22" s="708"/>
      <c r="AC22" s="2312">
        <v>26</v>
      </c>
      <c r="AD22" s="2318" t="s">
        <v>2759</v>
      </c>
    </row>
    <row r="23" spans="1:30" ht="11.25" customHeight="1" x14ac:dyDescent="0.25">
      <c r="A23" s="136" t="str">
        <f>IF(RIGHT('Org structure'!D20,18)&lt;&gt;"[Name of sub-vote]",'Org structure'!D20,"")</f>
        <v/>
      </c>
      <c r="B23" s="144"/>
      <c r="C23" s="712">
        <f>SUMIFS(Sheet1!S71_PPPYearAmount,Sheet1!S71_SubMunicipalVoteNo,$AC:$AC,Sheet1!S71_ItemType,$AD:$AD)</f>
        <v>0</v>
      </c>
      <c r="D23" s="712">
        <f>SUMIFS(Sheet1!S71_PPYearAmount,Sheet1!S71_SubMunicipalVoteNo,$AC:$AC,Sheet1!S71_ItemType,$AD:$AD)</f>
        <v>0</v>
      </c>
      <c r="E23" s="712">
        <f>SUMIFS(Sheet1!S71_PYearAmount,Sheet1!S71_SubMunicipalVoteNo,$AC:$AC,Sheet1!S71_ItemType,$AD:$AD)</f>
        <v>0</v>
      </c>
      <c r="F23" s="725">
        <f>-SUMIFS(Sheet1!S71_OriginalBudAmnt,Sheet1!S71_SubMunicipalVoteNo,$AC:$AC,Sheet1!S71_ItemType,$AD:$AD)</f>
        <v>0</v>
      </c>
      <c r="G23" s="712">
        <f>-SUMIFS(Sheet1!S71_AdjustmentBudAmnt,Sheet1!S71_SubMunicipalVoteNo,$AC:$AC,Sheet1!S71_ItemType,$AD:$AD)</f>
        <v>0</v>
      </c>
      <c r="H23" s="713">
        <f>-SUMIFS(Sheet1!S71_AdjustmentBudAmnt,Sheet1!S71_SubMunicipalVoteNo,$AC:$AC,Sheet1!S71_ItemType,$AD:$AD)</f>
        <v>0</v>
      </c>
      <c r="I23" s="725">
        <f>-SUMIFS(Sheet1!S71_ASBudgetAmount,Sheet1!S71_SubMunicipalVoteNo,$AC:$AC,Sheet1!S71_ItemType,$AD:$AD)</f>
        <v>0</v>
      </c>
      <c r="J23" s="712">
        <f>-SUMIFS(Sheet1!S71_OY1BudgetAmount,Sheet1!S71_SubMunicipalVoteNo,$AC:$AC,Sheet1!S71_ItemType,$AD:$AD)</f>
        <v>0</v>
      </c>
      <c r="K23" s="713">
        <f>-SUMIFS(Sheet1!S71_OY2BudgetAmount,Sheet1!S71_SubMunicipalVoteNo,$AC:$AC,Sheet1!S71_ItemType,$AD:$AD)</f>
        <v>0</v>
      </c>
      <c r="L23" s="707"/>
      <c r="M23" s="708"/>
      <c r="N23" s="708"/>
      <c r="O23" s="708"/>
      <c r="P23" s="708"/>
      <c r="Q23" s="708"/>
      <c r="R23" s="708"/>
      <c r="S23" s="708"/>
      <c r="T23" s="708"/>
      <c r="U23" s="708"/>
      <c r="V23" s="708"/>
      <c r="W23" s="708"/>
      <c r="AC23" s="2312">
        <v>27</v>
      </c>
      <c r="AD23" s="2318" t="s">
        <v>2759</v>
      </c>
    </row>
    <row r="24" spans="1:30" ht="11.25" customHeight="1" x14ac:dyDescent="0.25">
      <c r="A24" s="136" t="str">
        <f>IF(RIGHT('Org structure'!D21,18)&lt;&gt;"[Name of sub-vote]",'Org structure'!D21,"")</f>
        <v/>
      </c>
      <c r="B24" s="144"/>
      <c r="C24" s="712">
        <f>SUMIFS(Sheet1!S71_PPPYearAmount,Sheet1!S71_SubMunicipalVoteNo,$AC:$AC,Sheet1!S71_ItemType,$AD:$AD)</f>
        <v>0</v>
      </c>
      <c r="D24" s="712">
        <f>SUMIFS(Sheet1!S71_PPYearAmount,Sheet1!S71_SubMunicipalVoteNo,$AC:$AC,Sheet1!S71_ItemType,$AD:$AD)</f>
        <v>0</v>
      </c>
      <c r="E24" s="712">
        <f>SUMIFS(Sheet1!S71_PYearAmount,Sheet1!S71_SubMunicipalVoteNo,$AC:$AC,Sheet1!S71_ItemType,$AD:$AD)</f>
        <v>0</v>
      </c>
      <c r="F24" s="725">
        <f>-SUMIFS(Sheet1!S71_OriginalBudAmnt,Sheet1!S71_SubMunicipalVoteNo,$AC:$AC,Sheet1!S71_ItemType,$AD:$AD)</f>
        <v>0</v>
      </c>
      <c r="G24" s="712">
        <f>-SUMIFS(Sheet1!S71_AdjustmentBudAmnt,Sheet1!S71_SubMunicipalVoteNo,$AC:$AC,Sheet1!S71_ItemType,$AD:$AD)</f>
        <v>0</v>
      </c>
      <c r="H24" s="713">
        <f>-SUMIFS(Sheet1!S71_AdjustmentBudAmnt,Sheet1!S71_SubMunicipalVoteNo,$AC:$AC,Sheet1!S71_ItemType,$AD:$AD)</f>
        <v>0</v>
      </c>
      <c r="I24" s="725">
        <f>-SUMIFS(Sheet1!S71_ASBudgetAmount,Sheet1!S71_SubMunicipalVoteNo,$AC:$AC,Sheet1!S71_ItemType,$AD:$AD)</f>
        <v>0</v>
      </c>
      <c r="J24" s="712">
        <f>-SUMIFS(Sheet1!S71_OY1BudgetAmount,Sheet1!S71_SubMunicipalVoteNo,$AC:$AC,Sheet1!S71_ItemType,$AD:$AD)</f>
        <v>0</v>
      </c>
      <c r="K24" s="713">
        <f>-SUMIFS(Sheet1!S71_OY2BudgetAmount,Sheet1!S71_SubMunicipalVoteNo,$AC:$AC,Sheet1!S71_ItemType,$AD:$AD)</f>
        <v>0</v>
      </c>
      <c r="L24" s="707"/>
      <c r="M24" s="708"/>
      <c r="N24" s="708"/>
      <c r="O24" s="708"/>
      <c r="P24" s="708"/>
      <c r="Q24" s="708"/>
      <c r="R24" s="708"/>
      <c r="S24" s="708"/>
      <c r="T24" s="708"/>
      <c r="U24" s="708"/>
      <c r="V24" s="708"/>
      <c r="W24" s="708"/>
      <c r="AC24" s="2312">
        <v>28</v>
      </c>
      <c r="AD24" s="2318" t="s">
        <v>2759</v>
      </c>
    </row>
    <row r="25" spans="1:30" ht="11.25" customHeight="1" x14ac:dyDescent="0.25">
      <c r="A25" s="136" t="str">
        <f>IF(RIGHT('Org structure'!D22,18)&lt;&gt;"[Name of sub-vote]",'Org structure'!D22,"")</f>
        <v/>
      </c>
      <c r="B25" s="144"/>
      <c r="C25" s="712">
        <f>SUMIFS(Sheet1!S71_PPPYearAmount,Sheet1!S71_SubMunicipalVoteNo,$AC:$AC,Sheet1!S71_ItemType,$AD:$AD)</f>
        <v>0</v>
      </c>
      <c r="D25" s="712">
        <f>SUMIFS(Sheet1!S71_PPYearAmount,Sheet1!S71_SubMunicipalVoteNo,$AC:$AC,Sheet1!S71_ItemType,$AD:$AD)</f>
        <v>0</v>
      </c>
      <c r="E25" s="712">
        <f>SUMIFS(Sheet1!S71_PYearAmount,Sheet1!S71_SubMunicipalVoteNo,$AC:$AC,Sheet1!S71_ItemType,$AD:$AD)</f>
        <v>0</v>
      </c>
      <c r="F25" s="725">
        <f>-SUMIFS(Sheet1!S71_OriginalBudAmnt,Sheet1!S71_SubMunicipalVoteNo,$AC:$AC,Sheet1!S71_ItemType,$AD:$AD)</f>
        <v>0</v>
      </c>
      <c r="G25" s="712">
        <f>-SUMIFS(Sheet1!S71_AdjustmentBudAmnt,Sheet1!S71_SubMunicipalVoteNo,$AC:$AC,Sheet1!S71_ItemType,$AD:$AD)</f>
        <v>0</v>
      </c>
      <c r="H25" s="713">
        <f>-SUMIFS(Sheet1!S71_AdjustmentBudAmnt,Sheet1!S71_SubMunicipalVoteNo,$AC:$AC,Sheet1!S71_ItemType,$AD:$AD)</f>
        <v>0</v>
      </c>
      <c r="I25" s="725">
        <f>-SUMIFS(Sheet1!S71_ASBudgetAmount,Sheet1!S71_SubMunicipalVoteNo,$AC:$AC,Sheet1!S71_ItemType,$AD:$AD)</f>
        <v>0</v>
      </c>
      <c r="J25" s="712">
        <f>-SUMIFS(Sheet1!S71_OY1BudgetAmount,Sheet1!S71_SubMunicipalVoteNo,$AC:$AC,Sheet1!S71_ItemType,$AD:$AD)</f>
        <v>0</v>
      </c>
      <c r="K25" s="713">
        <f>-SUMIFS(Sheet1!S71_OY2BudgetAmount,Sheet1!S71_SubMunicipalVoteNo,$AC:$AC,Sheet1!S71_ItemType,$AD:$AD)</f>
        <v>0</v>
      </c>
      <c r="L25" s="707"/>
      <c r="M25" s="708"/>
      <c r="N25" s="708"/>
      <c r="O25" s="708"/>
      <c r="P25" s="708"/>
      <c r="Q25" s="708"/>
      <c r="R25" s="708"/>
      <c r="S25" s="708"/>
      <c r="T25" s="708"/>
      <c r="U25" s="708"/>
      <c r="V25" s="708"/>
      <c r="W25" s="708"/>
      <c r="AC25" s="2312">
        <v>29</v>
      </c>
      <c r="AD25" s="2318" t="s">
        <v>2759</v>
      </c>
    </row>
    <row r="26" spans="1:30" ht="11.25" customHeight="1" x14ac:dyDescent="0.25">
      <c r="A26" s="136" t="str">
        <f>IF(RIGHT('Org structure'!D23,18)&lt;&gt;"[Name of sub-vote]",'Org structure'!D23,"")</f>
        <v/>
      </c>
      <c r="B26" s="144"/>
      <c r="C26" s="712">
        <f>SUMIFS(Sheet1!S71_PPPYearAmount,Sheet1!S71_SubMunicipalVoteNo,$AC:$AC,Sheet1!S71_ItemType,$AD:$AD)</f>
        <v>0</v>
      </c>
      <c r="D26" s="712">
        <f>SUMIFS(Sheet1!S71_PPYearAmount,Sheet1!S71_SubMunicipalVoteNo,$AC:$AC,Sheet1!S71_ItemType,$AD:$AD)</f>
        <v>0</v>
      </c>
      <c r="E26" s="712">
        <f>SUMIFS(Sheet1!S71_PYearAmount,Sheet1!S71_SubMunicipalVoteNo,$AC:$AC,Sheet1!S71_ItemType,$AD:$AD)</f>
        <v>0</v>
      </c>
      <c r="F26" s="725">
        <f>-SUMIFS(Sheet1!S71_OriginalBudAmnt,Sheet1!S71_SubMunicipalVoteNo,$AC:$AC,Sheet1!S71_ItemType,$AD:$AD)</f>
        <v>0</v>
      </c>
      <c r="G26" s="712">
        <f>-SUMIFS(Sheet1!S71_AdjustmentBudAmnt,Sheet1!S71_SubMunicipalVoteNo,$AC:$AC,Sheet1!S71_ItemType,$AD:$AD)</f>
        <v>0</v>
      </c>
      <c r="H26" s="713">
        <f>-SUMIFS(Sheet1!S71_AdjustmentBudAmnt,Sheet1!S71_SubMunicipalVoteNo,$AC:$AC,Sheet1!S71_ItemType,$AD:$AD)</f>
        <v>0</v>
      </c>
      <c r="I26" s="725">
        <f>-SUMIFS(Sheet1!S71_ASBudgetAmount,Sheet1!S71_SubMunicipalVoteNo,$AC:$AC,Sheet1!S71_ItemType,$AD:$AD)</f>
        <v>0</v>
      </c>
      <c r="J26" s="712">
        <f>-SUMIFS(Sheet1!S71_OY1BudgetAmount,Sheet1!S71_SubMunicipalVoteNo,$AC:$AC,Sheet1!S71_ItemType,$AD:$AD)</f>
        <v>0</v>
      </c>
      <c r="K26" s="713">
        <f>-SUMIFS(Sheet1!S71_OY2BudgetAmount,Sheet1!S71_SubMunicipalVoteNo,$AC:$AC,Sheet1!S71_ItemType,$AD:$AD)</f>
        <v>0</v>
      </c>
      <c r="L26" s="707"/>
      <c r="M26" s="708"/>
      <c r="N26" s="708"/>
      <c r="O26" s="708"/>
      <c r="P26" s="708"/>
      <c r="Q26" s="708"/>
      <c r="R26" s="708"/>
      <c r="S26" s="708"/>
      <c r="T26" s="708"/>
      <c r="U26" s="708"/>
      <c r="V26" s="708"/>
      <c r="W26" s="708"/>
      <c r="AC26" s="2312">
        <v>210</v>
      </c>
      <c r="AD26" s="2318" t="s">
        <v>2759</v>
      </c>
    </row>
    <row r="27" spans="1:30" ht="15" customHeight="1" x14ac:dyDescent="0.25">
      <c r="A27" s="135" t="str">
        <f>'Org structure'!A4</f>
        <v>Vote 3 - Executive and Council</v>
      </c>
      <c r="B27" s="211"/>
      <c r="C27" s="212">
        <f t="shared" ref="C27:K27" si="2">SUM(C28:C37)</f>
        <v>0</v>
      </c>
      <c r="D27" s="212">
        <f t="shared" si="2"/>
        <v>0</v>
      </c>
      <c r="E27" s="213">
        <f t="shared" si="2"/>
        <v>0</v>
      </c>
      <c r="F27" s="214">
        <f t="shared" si="2"/>
        <v>0</v>
      </c>
      <c r="G27" s="212">
        <f t="shared" si="2"/>
        <v>0</v>
      </c>
      <c r="H27" s="215">
        <f t="shared" si="2"/>
        <v>0</v>
      </c>
      <c r="I27" s="216">
        <f t="shared" si="2"/>
        <v>0</v>
      </c>
      <c r="J27" s="212">
        <f t="shared" si="2"/>
        <v>0</v>
      </c>
      <c r="K27" s="213">
        <f t="shared" si="2"/>
        <v>0</v>
      </c>
      <c r="L27" s="707"/>
      <c r="M27" s="708"/>
      <c r="N27" s="708"/>
      <c r="O27" s="708"/>
      <c r="P27" s="708"/>
      <c r="Q27" s="708"/>
      <c r="R27" s="708"/>
      <c r="S27" s="708"/>
      <c r="T27" s="708"/>
      <c r="U27" s="708"/>
      <c r="V27" s="708"/>
      <c r="W27" s="708"/>
      <c r="AD27" s="2315"/>
    </row>
    <row r="28" spans="1:30" ht="11.25" customHeight="1" x14ac:dyDescent="0.25">
      <c r="A28" s="136" t="str">
        <f>IF(RIGHT('Org structure'!D25,18)&lt;&gt;"[Name of sub-vote]",'Org structure'!D25,"")</f>
        <v>3.1 - Municipal Manager, Town Secretary and Chief Executive</v>
      </c>
      <c r="B28" s="144"/>
      <c r="C28" s="712">
        <f>SUMIFS(Sheet1!S71_PPPYearAmount,Sheet1!S71_SubMunicipalVoteNo,$AC:$AC,Sheet1!S71_ItemType,$AD:$AD)</f>
        <v>0</v>
      </c>
      <c r="D28" s="712">
        <f>SUMIFS(Sheet1!S71_PPYearAmount,Sheet1!S71_SubMunicipalVoteNo,$AC:$AC,Sheet1!S71_ItemType,$AD:$AD)</f>
        <v>0</v>
      </c>
      <c r="E28" s="712">
        <f>SUMIFS(Sheet1!S71_PYearAmount,Sheet1!S71_SubMunicipalVoteNo,$AC:$AC,Sheet1!S71_ItemType,$AD:$AD)</f>
        <v>0</v>
      </c>
      <c r="F28" s="725">
        <f>-SUMIFS(Sheet1!S71_OriginalBudAmnt,Sheet1!S71_SubMunicipalVoteNo,$AC:$AC,Sheet1!S71_ItemType,$AD:$AD)</f>
        <v>0</v>
      </c>
      <c r="G28" s="712">
        <f>-SUMIFS(Sheet1!S71_AdjustmentBudAmnt,Sheet1!S71_SubMunicipalVoteNo,$AC:$AC,Sheet1!S71_ItemType,$AD:$AD)</f>
        <v>0</v>
      </c>
      <c r="H28" s="713">
        <f>-SUMIFS(Sheet1!S71_AdjustmentBudAmnt,Sheet1!S71_SubMunicipalVoteNo,$AC:$AC,Sheet1!S71_ItemType,$AD:$AD)</f>
        <v>0</v>
      </c>
      <c r="I28" s="725">
        <f>-SUMIFS(Sheet1!S71_ASBudgetAmount,Sheet1!S71_SubMunicipalVoteNo,$AC:$AC,Sheet1!S71_ItemType,$AD:$AD)</f>
        <v>0</v>
      </c>
      <c r="J28" s="712">
        <f>-SUMIFS(Sheet1!S71_OY1BudgetAmount,Sheet1!S71_SubMunicipalVoteNo,$AC:$AC,Sheet1!S71_ItemType,$AD:$AD)</f>
        <v>0</v>
      </c>
      <c r="K28" s="713">
        <f>-SUMIFS(Sheet1!S71_OY2BudgetAmount,Sheet1!S71_SubMunicipalVoteNo,$AC:$AC,Sheet1!S71_ItemType,$AD:$AD)</f>
        <v>0</v>
      </c>
      <c r="L28" s="707"/>
      <c r="M28" s="708"/>
      <c r="N28" s="708"/>
      <c r="O28" s="708"/>
      <c r="P28" s="708"/>
      <c r="Q28" s="708"/>
      <c r="R28" s="708"/>
      <c r="S28" s="708"/>
      <c r="T28" s="708"/>
      <c r="U28" s="708"/>
      <c r="V28" s="708"/>
      <c r="W28" s="708"/>
      <c r="AC28" s="2312">
        <v>31</v>
      </c>
      <c r="AD28" s="2318" t="s">
        <v>2759</v>
      </c>
    </row>
    <row r="29" spans="1:30" ht="11.25" customHeight="1" x14ac:dyDescent="0.25">
      <c r="A29" s="136" t="str">
        <f>IF(RIGHT('Org structure'!D26,18)&lt;&gt;"[Name of sub-vote]",'Org structure'!D26,"")</f>
        <v>3.2 - Mayor and Council</v>
      </c>
      <c r="B29" s="144"/>
      <c r="C29" s="712">
        <f>SUMIFS(Sheet1!S71_PPPYearAmount,Sheet1!S71_SubMunicipalVoteNo,$AC:$AC,Sheet1!S71_ItemType,$AD:$AD)</f>
        <v>0</v>
      </c>
      <c r="D29" s="712">
        <f>SUMIFS(Sheet1!S71_PPYearAmount,Sheet1!S71_SubMunicipalVoteNo,$AC:$AC,Sheet1!S71_ItemType,$AD:$AD)</f>
        <v>0</v>
      </c>
      <c r="E29" s="712">
        <f>SUMIFS(Sheet1!S71_PYearAmount,Sheet1!S71_SubMunicipalVoteNo,$AC:$AC,Sheet1!S71_ItemType,$AD:$AD)</f>
        <v>0</v>
      </c>
      <c r="F29" s="725">
        <f>-SUMIFS(Sheet1!S71_OriginalBudAmnt,Sheet1!S71_SubMunicipalVoteNo,$AC:$AC,Sheet1!S71_ItemType,$AD:$AD)</f>
        <v>0</v>
      </c>
      <c r="G29" s="712">
        <f>-SUMIFS(Sheet1!S71_AdjustmentBudAmnt,Sheet1!S71_SubMunicipalVoteNo,$AC:$AC,Sheet1!S71_ItemType,$AD:$AD)</f>
        <v>0</v>
      </c>
      <c r="H29" s="713">
        <f>-SUMIFS(Sheet1!S71_AdjustmentBudAmnt,Sheet1!S71_SubMunicipalVoteNo,$AC:$AC,Sheet1!S71_ItemType,$AD:$AD)</f>
        <v>0</v>
      </c>
      <c r="I29" s="725">
        <f>-SUMIFS(Sheet1!S71_ASBudgetAmount,Sheet1!S71_SubMunicipalVoteNo,$AC:$AC,Sheet1!S71_ItemType,$AD:$AD)</f>
        <v>0</v>
      </c>
      <c r="J29" s="712">
        <f>-SUMIFS(Sheet1!S71_OY1BudgetAmount,Sheet1!S71_SubMunicipalVoteNo,$AC:$AC,Sheet1!S71_ItemType,$AD:$AD)</f>
        <v>0</v>
      </c>
      <c r="K29" s="713">
        <f>-SUMIFS(Sheet1!S71_OY2BudgetAmount,Sheet1!S71_SubMunicipalVoteNo,$AC:$AC,Sheet1!S71_ItemType,$AD:$AD)</f>
        <v>0</v>
      </c>
      <c r="L29" s="707"/>
      <c r="M29" s="708"/>
      <c r="N29" s="708"/>
      <c r="O29" s="708"/>
      <c r="P29" s="708"/>
      <c r="Q29" s="708"/>
      <c r="R29" s="708"/>
      <c r="S29" s="708"/>
      <c r="T29" s="708"/>
      <c r="U29" s="708"/>
      <c r="V29" s="708"/>
      <c r="W29" s="708"/>
      <c r="AC29" s="2312">
        <v>32</v>
      </c>
      <c r="AD29" s="2318" t="s">
        <v>2759</v>
      </c>
    </row>
    <row r="30" spans="1:30" ht="11.25" customHeight="1" x14ac:dyDescent="0.25">
      <c r="A30" s="136" t="str">
        <f>IF(RIGHT('Org structure'!D27,18)&lt;&gt;"[Name of sub-vote]",'Org structure'!D27,"")</f>
        <v/>
      </c>
      <c r="B30" s="144"/>
      <c r="C30" s="712">
        <f>SUMIFS(Sheet1!S71_PPPYearAmount,Sheet1!S71_SubMunicipalVoteNo,$AC:$AC,Sheet1!S71_ItemType,$AD:$AD)</f>
        <v>0</v>
      </c>
      <c r="D30" s="712">
        <f>SUMIFS(Sheet1!S71_PPYearAmount,Sheet1!S71_SubMunicipalVoteNo,$AC:$AC,Sheet1!S71_ItemType,$AD:$AD)</f>
        <v>0</v>
      </c>
      <c r="E30" s="712">
        <f>SUMIFS(Sheet1!S71_PYearAmount,Sheet1!S71_SubMunicipalVoteNo,$AC:$AC,Sheet1!S71_ItemType,$AD:$AD)</f>
        <v>0</v>
      </c>
      <c r="F30" s="725">
        <f>-SUMIFS(Sheet1!S71_OriginalBudAmnt,Sheet1!S71_SubMunicipalVoteNo,$AC:$AC,Sheet1!S71_ItemType,$AD:$AD)</f>
        <v>0</v>
      </c>
      <c r="G30" s="712">
        <f>-SUMIFS(Sheet1!S71_AdjustmentBudAmnt,Sheet1!S71_SubMunicipalVoteNo,$AC:$AC,Sheet1!S71_ItemType,$AD:$AD)</f>
        <v>0</v>
      </c>
      <c r="H30" s="713">
        <f>-SUMIFS(Sheet1!S71_AdjustmentBudAmnt,Sheet1!S71_SubMunicipalVoteNo,$AC:$AC,Sheet1!S71_ItemType,$AD:$AD)</f>
        <v>0</v>
      </c>
      <c r="I30" s="725">
        <f>-SUMIFS(Sheet1!S71_ASBudgetAmount,Sheet1!S71_SubMunicipalVoteNo,$AC:$AC,Sheet1!S71_ItemType,$AD:$AD)</f>
        <v>0</v>
      </c>
      <c r="J30" s="712">
        <f>-SUMIFS(Sheet1!S71_OY1BudgetAmount,Sheet1!S71_SubMunicipalVoteNo,$AC:$AC,Sheet1!S71_ItemType,$AD:$AD)</f>
        <v>0</v>
      </c>
      <c r="K30" s="713">
        <f>-SUMIFS(Sheet1!S71_OY2BudgetAmount,Sheet1!S71_SubMunicipalVoteNo,$AC:$AC,Sheet1!S71_ItemType,$AD:$AD)</f>
        <v>0</v>
      </c>
      <c r="L30" s="707"/>
      <c r="M30" s="708"/>
      <c r="N30" s="708"/>
      <c r="O30" s="708"/>
      <c r="P30" s="708"/>
      <c r="Q30" s="708"/>
      <c r="R30" s="708"/>
      <c r="S30" s="708"/>
      <c r="T30" s="708"/>
      <c r="U30" s="708"/>
      <c r="V30" s="708"/>
      <c r="W30" s="708"/>
      <c r="AC30" s="2312">
        <v>33</v>
      </c>
      <c r="AD30" s="2318" t="s">
        <v>2759</v>
      </c>
    </row>
    <row r="31" spans="1:30" ht="11.25" customHeight="1" x14ac:dyDescent="0.25">
      <c r="A31" s="136" t="str">
        <f>IF(RIGHT('Org structure'!D28,18)&lt;&gt;"[Name of sub-vote]",'Org structure'!D28,"")</f>
        <v/>
      </c>
      <c r="B31" s="144"/>
      <c r="C31" s="712">
        <f>SUMIFS(Sheet1!S71_PPPYearAmount,Sheet1!S71_SubMunicipalVoteNo,$AC:$AC,Sheet1!S71_ItemType,$AD:$AD)</f>
        <v>0</v>
      </c>
      <c r="D31" s="712">
        <f>SUMIFS(Sheet1!S71_PPYearAmount,Sheet1!S71_SubMunicipalVoteNo,$AC:$AC,Sheet1!S71_ItemType,$AD:$AD)</f>
        <v>0</v>
      </c>
      <c r="E31" s="712">
        <f>SUMIFS(Sheet1!S71_PYearAmount,Sheet1!S71_SubMunicipalVoteNo,$AC:$AC,Sheet1!S71_ItemType,$AD:$AD)</f>
        <v>0</v>
      </c>
      <c r="F31" s="725">
        <f>-SUMIFS(Sheet1!S71_OriginalBudAmnt,Sheet1!S71_SubMunicipalVoteNo,$AC:$AC,Sheet1!S71_ItemType,$AD:$AD)</f>
        <v>0</v>
      </c>
      <c r="G31" s="712">
        <f>-SUMIFS(Sheet1!S71_AdjustmentBudAmnt,Sheet1!S71_SubMunicipalVoteNo,$AC:$AC,Sheet1!S71_ItemType,$AD:$AD)</f>
        <v>0</v>
      </c>
      <c r="H31" s="713">
        <f>-SUMIFS(Sheet1!S71_AdjustmentBudAmnt,Sheet1!S71_SubMunicipalVoteNo,$AC:$AC,Sheet1!S71_ItemType,$AD:$AD)</f>
        <v>0</v>
      </c>
      <c r="I31" s="725">
        <f>-SUMIFS(Sheet1!S71_ASBudgetAmount,Sheet1!S71_SubMunicipalVoteNo,$AC:$AC,Sheet1!S71_ItemType,$AD:$AD)</f>
        <v>0</v>
      </c>
      <c r="J31" s="712">
        <f>-SUMIFS(Sheet1!S71_OY1BudgetAmount,Sheet1!S71_SubMunicipalVoteNo,$AC:$AC,Sheet1!S71_ItemType,$AD:$AD)</f>
        <v>0</v>
      </c>
      <c r="K31" s="713">
        <f>-SUMIFS(Sheet1!S71_OY2BudgetAmount,Sheet1!S71_SubMunicipalVoteNo,$AC:$AC,Sheet1!S71_ItemType,$AD:$AD)</f>
        <v>0</v>
      </c>
      <c r="L31" s="707"/>
      <c r="M31" s="708"/>
      <c r="N31" s="708"/>
      <c r="O31" s="708"/>
      <c r="P31" s="708"/>
      <c r="Q31" s="708"/>
      <c r="R31" s="708"/>
      <c r="S31" s="708"/>
      <c r="T31" s="708"/>
      <c r="U31" s="708"/>
      <c r="V31" s="708"/>
      <c r="W31" s="708"/>
      <c r="AC31" s="2312">
        <v>34</v>
      </c>
      <c r="AD31" s="2318" t="s">
        <v>2759</v>
      </c>
    </row>
    <row r="32" spans="1:30" ht="11.25" customHeight="1" x14ac:dyDescent="0.25">
      <c r="A32" s="136" t="str">
        <f>IF(RIGHT('Org structure'!D29,18)&lt;&gt;"[Name of sub-vote]",'Org structure'!D29,"")</f>
        <v/>
      </c>
      <c r="B32" s="144"/>
      <c r="C32" s="712">
        <f>SUMIFS(Sheet1!S71_PPPYearAmount,Sheet1!S71_SubMunicipalVoteNo,$AC:$AC,Sheet1!S71_ItemType,$AD:$AD)</f>
        <v>0</v>
      </c>
      <c r="D32" s="712">
        <f>SUMIFS(Sheet1!S71_PPYearAmount,Sheet1!S71_SubMunicipalVoteNo,$AC:$AC,Sheet1!S71_ItemType,$AD:$AD)</f>
        <v>0</v>
      </c>
      <c r="E32" s="712">
        <f>SUMIFS(Sheet1!S71_PYearAmount,Sheet1!S71_SubMunicipalVoteNo,$AC:$AC,Sheet1!S71_ItemType,$AD:$AD)</f>
        <v>0</v>
      </c>
      <c r="F32" s="725">
        <f>-SUMIFS(Sheet1!S71_OriginalBudAmnt,Sheet1!S71_SubMunicipalVoteNo,$AC:$AC,Sheet1!S71_ItemType,$AD:$AD)</f>
        <v>0</v>
      </c>
      <c r="G32" s="712">
        <f>-SUMIFS(Sheet1!S71_AdjustmentBudAmnt,Sheet1!S71_SubMunicipalVoteNo,$AC:$AC,Sheet1!S71_ItemType,$AD:$AD)</f>
        <v>0</v>
      </c>
      <c r="H32" s="713">
        <f>-SUMIFS(Sheet1!S71_AdjustmentBudAmnt,Sheet1!S71_SubMunicipalVoteNo,$AC:$AC,Sheet1!S71_ItemType,$AD:$AD)</f>
        <v>0</v>
      </c>
      <c r="I32" s="725">
        <f>-SUMIFS(Sheet1!S71_ASBudgetAmount,Sheet1!S71_SubMunicipalVoteNo,$AC:$AC,Sheet1!S71_ItemType,$AD:$AD)</f>
        <v>0</v>
      </c>
      <c r="J32" s="712">
        <f>-SUMIFS(Sheet1!S71_OY1BudgetAmount,Sheet1!S71_SubMunicipalVoteNo,$AC:$AC,Sheet1!S71_ItemType,$AD:$AD)</f>
        <v>0</v>
      </c>
      <c r="K32" s="713">
        <f>-SUMIFS(Sheet1!S71_OY2BudgetAmount,Sheet1!S71_SubMunicipalVoteNo,$AC:$AC,Sheet1!S71_ItemType,$AD:$AD)</f>
        <v>0</v>
      </c>
      <c r="L32" s="707"/>
      <c r="M32" s="708"/>
      <c r="N32" s="708"/>
      <c r="O32" s="708"/>
      <c r="P32" s="708"/>
      <c r="Q32" s="708"/>
      <c r="R32" s="708"/>
      <c r="S32" s="708"/>
      <c r="T32" s="708"/>
      <c r="U32" s="708"/>
      <c r="V32" s="708"/>
      <c r="W32" s="708"/>
      <c r="AC32" s="2312">
        <v>35</v>
      </c>
      <c r="AD32" s="2318" t="s">
        <v>2759</v>
      </c>
    </row>
    <row r="33" spans="1:30" ht="11.25" customHeight="1" x14ac:dyDescent="0.25">
      <c r="A33" s="136" t="str">
        <f>IF(RIGHT('Org structure'!D30,18)&lt;&gt;"[Name of sub-vote]",'Org structure'!D30,"")</f>
        <v/>
      </c>
      <c r="B33" s="144"/>
      <c r="C33" s="712">
        <f>SUMIFS(Sheet1!S71_PPPYearAmount,Sheet1!S71_SubMunicipalVoteNo,$AC:$AC,Sheet1!S71_ItemType,$AD:$AD)</f>
        <v>0</v>
      </c>
      <c r="D33" s="712">
        <f>SUMIFS(Sheet1!S71_PPYearAmount,Sheet1!S71_SubMunicipalVoteNo,$AC:$AC,Sheet1!S71_ItemType,$AD:$AD)</f>
        <v>0</v>
      </c>
      <c r="E33" s="712">
        <f>SUMIFS(Sheet1!S71_PYearAmount,Sheet1!S71_SubMunicipalVoteNo,$AC:$AC,Sheet1!S71_ItemType,$AD:$AD)</f>
        <v>0</v>
      </c>
      <c r="F33" s="725">
        <f>-SUMIFS(Sheet1!S71_OriginalBudAmnt,Sheet1!S71_SubMunicipalVoteNo,$AC:$AC,Sheet1!S71_ItemType,$AD:$AD)</f>
        <v>0</v>
      </c>
      <c r="G33" s="712">
        <f>-SUMIFS(Sheet1!S71_AdjustmentBudAmnt,Sheet1!S71_SubMunicipalVoteNo,$AC:$AC,Sheet1!S71_ItemType,$AD:$AD)</f>
        <v>0</v>
      </c>
      <c r="H33" s="713">
        <f>-SUMIFS(Sheet1!S71_AdjustmentBudAmnt,Sheet1!S71_SubMunicipalVoteNo,$AC:$AC,Sheet1!S71_ItemType,$AD:$AD)</f>
        <v>0</v>
      </c>
      <c r="I33" s="725">
        <f>-SUMIFS(Sheet1!S71_ASBudgetAmount,Sheet1!S71_SubMunicipalVoteNo,$AC:$AC,Sheet1!S71_ItemType,$AD:$AD)</f>
        <v>0</v>
      </c>
      <c r="J33" s="712">
        <f>-SUMIFS(Sheet1!S71_OY1BudgetAmount,Sheet1!S71_SubMunicipalVoteNo,$AC:$AC,Sheet1!S71_ItemType,$AD:$AD)</f>
        <v>0</v>
      </c>
      <c r="K33" s="713">
        <f>-SUMIFS(Sheet1!S71_OY2BudgetAmount,Sheet1!S71_SubMunicipalVoteNo,$AC:$AC,Sheet1!S71_ItemType,$AD:$AD)</f>
        <v>0</v>
      </c>
      <c r="L33" s="707"/>
      <c r="M33" s="708"/>
      <c r="N33" s="708"/>
      <c r="O33" s="708"/>
      <c r="P33" s="708"/>
      <c r="Q33" s="708"/>
      <c r="R33" s="708"/>
      <c r="S33" s="708"/>
      <c r="T33" s="708"/>
      <c r="U33" s="708"/>
      <c r="V33" s="708"/>
      <c r="W33" s="708"/>
      <c r="AC33" s="2312">
        <v>36</v>
      </c>
      <c r="AD33" s="2318" t="s">
        <v>2759</v>
      </c>
    </row>
    <row r="34" spans="1:30" ht="11.25" customHeight="1" x14ac:dyDescent="0.25">
      <c r="A34" s="136" t="str">
        <f>IF(RIGHT('Org structure'!D31,18)&lt;&gt;"[Name of sub-vote]",'Org structure'!D31,"")</f>
        <v/>
      </c>
      <c r="B34" s="144"/>
      <c r="C34" s="712">
        <f>SUMIFS(Sheet1!S71_PPPYearAmount,Sheet1!S71_SubMunicipalVoteNo,$AC:$AC,Sheet1!S71_ItemType,$AD:$AD)</f>
        <v>0</v>
      </c>
      <c r="D34" s="712">
        <f>SUMIFS(Sheet1!S71_PPYearAmount,Sheet1!S71_SubMunicipalVoteNo,$AC:$AC,Sheet1!S71_ItemType,$AD:$AD)</f>
        <v>0</v>
      </c>
      <c r="E34" s="712">
        <f>SUMIFS(Sheet1!S71_PYearAmount,Sheet1!S71_SubMunicipalVoteNo,$AC:$AC,Sheet1!S71_ItemType,$AD:$AD)</f>
        <v>0</v>
      </c>
      <c r="F34" s="725">
        <f>-SUMIFS(Sheet1!S71_OriginalBudAmnt,Sheet1!S71_SubMunicipalVoteNo,$AC:$AC,Sheet1!S71_ItemType,$AD:$AD)</f>
        <v>0</v>
      </c>
      <c r="G34" s="712">
        <f>-SUMIFS(Sheet1!S71_AdjustmentBudAmnt,Sheet1!S71_SubMunicipalVoteNo,$AC:$AC,Sheet1!S71_ItemType,$AD:$AD)</f>
        <v>0</v>
      </c>
      <c r="H34" s="713">
        <f>-SUMIFS(Sheet1!S71_AdjustmentBudAmnt,Sheet1!S71_SubMunicipalVoteNo,$AC:$AC,Sheet1!S71_ItemType,$AD:$AD)</f>
        <v>0</v>
      </c>
      <c r="I34" s="725">
        <f>-SUMIFS(Sheet1!S71_ASBudgetAmount,Sheet1!S71_SubMunicipalVoteNo,$AC:$AC,Sheet1!S71_ItemType,$AD:$AD)</f>
        <v>0</v>
      </c>
      <c r="J34" s="712">
        <f>-SUMIFS(Sheet1!S71_OY1BudgetAmount,Sheet1!S71_SubMunicipalVoteNo,$AC:$AC,Sheet1!S71_ItemType,$AD:$AD)</f>
        <v>0</v>
      </c>
      <c r="K34" s="713">
        <f>-SUMIFS(Sheet1!S71_OY2BudgetAmount,Sheet1!S71_SubMunicipalVoteNo,$AC:$AC,Sheet1!S71_ItemType,$AD:$AD)</f>
        <v>0</v>
      </c>
      <c r="L34" s="707"/>
      <c r="M34" s="708"/>
      <c r="N34" s="708"/>
      <c r="O34" s="708"/>
      <c r="P34" s="708"/>
      <c r="Q34" s="708"/>
      <c r="R34" s="708"/>
      <c r="S34" s="708"/>
      <c r="T34" s="708"/>
      <c r="U34" s="708"/>
      <c r="V34" s="708"/>
      <c r="W34" s="708"/>
      <c r="AC34" s="2312">
        <v>37</v>
      </c>
      <c r="AD34" s="2318" t="s">
        <v>2759</v>
      </c>
    </row>
    <row r="35" spans="1:30" ht="11.25" customHeight="1" x14ac:dyDescent="0.25">
      <c r="A35" s="136" t="str">
        <f>IF(RIGHT('Org structure'!D32,18)&lt;&gt;"[Name of sub-vote]",'Org structure'!D32,"")</f>
        <v/>
      </c>
      <c r="B35" s="144"/>
      <c r="C35" s="712">
        <f>SUMIFS(Sheet1!S71_PPPYearAmount,Sheet1!S71_SubMunicipalVoteNo,$AC:$AC,Sheet1!S71_ItemType,$AD:$AD)</f>
        <v>0</v>
      </c>
      <c r="D35" s="712">
        <f>SUMIFS(Sheet1!S71_PPYearAmount,Sheet1!S71_SubMunicipalVoteNo,$AC:$AC,Sheet1!S71_ItemType,$AD:$AD)</f>
        <v>0</v>
      </c>
      <c r="E35" s="712">
        <f>SUMIFS(Sheet1!S71_PYearAmount,Sheet1!S71_SubMunicipalVoteNo,$AC:$AC,Sheet1!S71_ItemType,$AD:$AD)</f>
        <v>0</v>
      </c>
      <c r="F35" s="725">
        <f>-SUMIFS(Sheet1!S71_OriginalBudAmnt,Sheet1!S71_SubMunicipalVoteNo,$AC:$AC,Sheet1!S71_ItemType,$AD:$AD)</f>
        <v>0</v>
      </c>
      <c r="G35" s="712">
        <f>-SUMIFS(Sheet1!S71_AdjustmentBudAmnt,Sheet1!S71_SubMunicipalVoteNo,$AC:$AC,Sheet1!S71_ItemType,$AD:$AD)</f>
        <v>0</v>
      </c>
      <c r="H35" s="713">
        <f>-SUMIFS(Sheet1!S71_AdjustmentBudAmnt,Sheet1!S71_SubMunicipalVoteNo,$AC:$AC,Sheet1!S71_ItemType,$AD:$AD)</f>
        <v>0</v>
      </c>
      <c r="I35" s="725">
        <f>-SUMIFS(Sheet1!S71_ASBudgetAmount,Sheet1!S71_SubMunicipalVoteNo,$AC:$AC,Sheet1!S71_ItemType,$AD:$AD)</f>
        <v>0</v>
      </c>
      <c r="J35" s="712">
        <f>-SUMIFS(Sheet1!S71_OY1BudgetAmount,Sheet1!S71_SubMunicipalVoteNo,$AC:$AC,Sheet1!S71_ItemType,$AD:$AD)</f>
        <v>0</v>
      </c>
      <c r="K35" s="713">
        <f>-SUMIFS(Sheet1!S71_OY2BudgetAmount,Sheet1!S71_SubMunicipalVoteNo,$AC:$AC,Sheet1!S71_ItemType,$AD:$AD)</f>
        <v>0</v>
      </c>
      <c r="L35" s="707"/>
      <c r="M35" s="708"/>
      <c r="N35" s="708"/>
      <c r="O35" s="708"/>
      <c r="P35" s="708"/>
      <c r="Q35" s="708"/>
      <c r="R35" s="708"/>
      <c r="S35" s="708"/>
      <c r="T35" s="708"/>
      <c r="U35" s="708"/>
      <c r="V35" s="708"/>
      <c r="W35" s="708"/>
      <c r="AC35" s="2312">
        <v>38</v>
      </c>
      <c r="AD35" s="2318" t="s">
        <v>2759</v>
      </c>
    </row>
    <row r="36" spans="1:30" ht="11.25" customHeight="1" x14ac:dyDescent="0.25">
      <c r="A36" s="136" t="str">
        <f>IF(RIGHT('Org structure'!D33,18)&lt;&gt;"[Name of sub-vote]",'Org structure'!D33,"")</f>
        <v/>
      </c>
      <c r="B36" s="144"/>
      <c r="C36" s="712">
        <f>SUMIFS(Sheet1!S71_PPPYearAmount,Sheet1!S71_SubMunicipalVoteNo,$AC:$AC,Sheet1!S71_ItemType,$AD:$AD)</f>
        <v>0</v>
      </c>
      <c r="D36" s="712">
        <f>SUMIFS(Sheet1!S71_PPYearAmount,Sheet1!S71_SubMunicipalVoteNo,$AC:$AC,Sheet1!S71_ItemType,$AD:$AD)</f>
        <v>0</v>
      </c>
      <c r="E36" s="712">
        <f>SUMIFS(Sheet1!S71_PYearAmount,Sheet1!S71_SubMunicipalVoteNo,$AC:$AC,Sheet1!S71_ItemType,$AD:$AD)</f>
        <v>0</v>
      </c>
      <c r="F36" s="725">
        <f>-SUMIFS(Sheet1!S71_OriginalBudAmnt,Sheet1!S71_SubMunicipalVoteNo,$AC:$AC,Sheet1!S71_ItemType,$AD:$AD)</f>
        <v>0</v>
      </c>
      <c r="G36" s="712">
        <f>-SUMIFS(Sheet1!S71_AdjustmentBudAmnt,Sheet1!S71_SubMunicipalVoteNo,$AC:$AC,Sheet1!S71_ItemType,$AD:$AD)</f>
        <v>0</v>
      </c>
      <c r="H36" s="713">
        <f>-SUMIFS(Sheet1!S71_AdjustmentBudAmnt,Sheet1!S71_SubMunicipalVoteNo,$AC:$AC,Sheet1!S71_ItemType,$AD:$AD)</f>
        <v>0</v>
      </c>
      <c r="I36" s="725">
        <f>-SUMIFS(Sheet1!S71_ASBudgetAmount,Sheet1!S71_SubMunicipalVoteNo,$AC:$AC,Sheet1!S71_ItemType,$AD:$AD)</f>
        <v>0</v>
      </c>
      <c r="J36" s="712">
        <f>-SUMIFS(Sheet1!S71_OY1BudgetAmount,Sheet1!S71_SubMunicipalVoteNo,$AC:$AC,Sheet1!S71_ItemType,$AD:$AD)</f>
        <v>0</v>
      </c>
      <c r="K36" s="713">
        <f>-SUMIFS(Sheet1!S71_OY2BudgetAmount,Sheet1!S71_SubMunicipalVoteNo,$AC:$AC,Sheet1!S71_ItemType,$AD:$AD)</f>
        <v>0</v>
      </c>
      <c r="L36" s="707"/>
      <c r="M36" s="708"/>
      <c r="N36" s="708"/>
      <c r="O36" s="708"/>
      <c r="P36" s="708"/>
      <c r="Q36" s="708"/>
      <c r="R36" s="708"/>
      <c r="S36" s="708"/>
      <c r="T36" s="708"/>
      <c r="U36" s="708"/>
      <c r="V36" s="708"/>
      <c r="W36" s="708"/>
      <c r="AC36" s="2312">
        <v>39</v>
      </c>
      <c r="AD36" s="2318" t="s">
        <v>2759</v>
      </c>
    </row>
    <row r="37" spans="1:30" ht="11.25" customHeight="1" x14ac:dyDescent="0.25">
      <c r="A37" s="136" t="str">
        <f>IF(RIGHT('Org structure'!D34,18)&lt;&gt;"[Name of sub-vote]",'Org structure'!D34,"")</f>
        <v/>
      </c>
      <c r="B37" s="144"/>
      <c r="C37" s="712">
        <f>SUMIFS(Sheet1!S71_PPPYearAmount,Sheet1!S71_SubMunicipalVoteNo,$AC:$AC,Sheet1!S71_ItemType,$AD:$AD)</f>
        <v>0</v>
      </c>
      <c r="D37" s="712">
        <f>SUMIFS(Sheet1!S71_PPYearAmount,Sheet1!S71_SubMunicipalVoteNo,$AC:$AC,Sheet1!S71_ItemType,$AD:$AD)</f>
        <v>0</v>
      </c>
      <c r="E37" s="712">
        <f>SUMIFS(Sheet1!S71_PYearAmount,Sheet1!S71_SubMunicipalVoteNo,$AC:$AC,Sheet1!S71_ItemType,$AD:$AD)</f>
        <v>0</v>
      </c>
      <c r="F37" s="725">
        <f>-SUMIFS(Sheet1!S71_OriginalBudAmnt,Sheet1!S71_SubMunicipalVoteNo,$AC:$AC,Sheet1!S71_ItemType,$AD:$AD)</f>
        <v>0</v>
      </c>
      <c r="G37" s="712">
        <f>-SUMIFS(Sheet1!S71_AdjustmentBudAmnt,Sheet1!S71_SubMunicipalVoteNo,$AC:$AC,Sheet1!S71_ItemType,$AD:$AD)</f>
        <v>0</v>
      </c>
      <c r="H37" s="713">
        <f>-SUMIFS(Sheet1!S71_AdjustmentBudAmnt,Sheet1!S71_SubMunicipalVoteNo,$AC:$AC,Sheet1!S71_ItemType,$AD:$AD)</f>
        <v>0</v>
      </c>
      <c r="I37" s="725">
        <f>-SUMIFS(Sheet1!S71_ASBudgetAmount,Sheet1!S71_SubMunicipalVoteNo,$AC:$AC,Sheet1!S71_ItemType,$AD:$AD)</f>
        <v>0</v>
      </c>
      <c r="J37" s="712">
        <f>-SUMIFS(Sheet1!S71_OY1BudgetAmount,Sheet1!S71_SubMunicipalVoteNo,$AC:$AC,Sheet1!S71_ItemType,$AD:$AD)</f>
        <v>0</v>
      </c>
      <c r="K37" s="713">
        <f>-SUMIFS(Sheet1!S71_OY2BudgetAmount,Sheet1!S71_SubMunicipalVoteNo,$AC:$AC,Sheet1!S71_ItemType,$AD:$AD)</f>
        <v>0</v>
      </c>
      <c r="L37" s="707"/>
      <c r="M37" s="708"/>
      <c r="N37" s="708"/>
      <c r="O37" s="708"/>
      <c r="P37" s="708"/>
      <c r="Q37" s="708"/>
      <c r="R37" s="708"/>
      <c r="S37" s="708"/>
      <c r="T37" s="708"/>
      <c r="U37" s="708"/>
      <c r="V37" s="708"/>
      <c r="W37" s="708"/>
      <c r="AC37" s="2312">
        <v>310</v>
      </c>
      <c r="AD37" s="2318" t="s">
        <v>2759</v>
      </c>
    </row>
    <row r="38" spans="1:30" ht="15" customHeight="1" x14ac:dyDescent="0.25">
      <c r="A38" s="135" t="str">
        <f>'Org structure'!A5</f>
        <v>Vote 4 - Community and Social Services</v>
      </c>
      <c r="B38" s="211"/>
      <c r="C38" s="212">
        <f t="shared" ref="C38:K38" si="3">SUM(C39:C48)</f>
        <v>1378687</v>
      </c>
      <c r="D38" s="212">
        <f t="shared" si="3"/>
        <v>2061132</v>
      </c>
      <c r="E38" s="213">
        <f t="shared" si="3"/>
        <v>2477352</v>
      </c>
      <c r="F38" s="214">
        <f t="shared" si="3"/>
        <v>2212094</v>
      </c>
      <c r="G38" s="212">
        <f t="shared" si="3"/>
        <v>1839594</v>
      </c>
      <c r="H38" s="215">
        <f t="shared" si="3"/>
        <v>1839594</v>
      </c>
      <c r="I38" s="216">
        <f t="shared" si="3"/>
        <v>1933474</v>
      </c>
      <c r="J38" s="212">
        <f t="shared" si="3"/>
        <v>1934414</v>
      </c>
      <c r="K38" s="213">
        <f t="shared" si="3"/>
        <v>1935391</v>
      </c>
      <c r="L38" s="707"/>
      <c r="M38" s="708"/>
      <c r="N38" s="708"/>
      <c r="O38" s="708"/>
      <c r="P38" s="708"/>
      <c r="Q38" s="708"/>
      <c r="R38" s="708"/>
      <c r="S38" s="708"/>
      <c r="T38" s="708"/>
      <c r="U38" s="708"/>
      <c r="V38" s="708"/>
      <c r="W38" s="708"/>
      <c r="AD38" s="2315"/>
    </row>
    <row r="39" spans="1:30" ht="11.25" customHeight="1" x14ac:dyDescent="0.25">
      <c r="A39" s="136" t="str">
        <f>IF(RIGHT('Org structure'!D36,18)&lt;&gt;"[Name of sub-vote]",'Org structure'!D36,"")</f>
        <v>4.1 - Disaster Management</v>
      </c>
      <c r="B39" s="144"/>
      <c r="C39" s="712">
        <f>SUMIFS(Sheet1!S71_PPPYearAmount,Sheet1!S71_SubMunicipalVoteNo,$AC:$AC,Sheet1!S71_ItemType,$AD:$AD)</f>
        <v>0</v>
      </c>
      <c r="D39" s="712">
        <f>SUMIFS(Sheet1!S71_PPYearAmount,Sheet1!S71_SubMunicipalVoteNo,$AC:$AC,Sheet1!S71_ItemType,$AD:$AD)</f>
        <v>0</v>
      </c>
      <c r="E39" s="712">
        <f>SUMIFS(Sheet1!S71_PYearAmount,Sheet1!S71_SubMunicipalVoteNo,$AC:$AC,Sheet1!S71_ItemType,$AD:$AD)</f>
        <v>745000</v>
      </c>
      <c r="F39" s="725">
        <f>-SUMIFS(Sheet1!S71_OriginalBudAmnt,Sheet1!S71_SubMunicipalVoteNo,$AC:$AC,Sheet1!S71_ItemType,$AD:$AD)</f>
        <v>372500</v>
      </c>
      <c r="G39" s="712">
        <f>-SUMIFS(Sheet1!S71_AdjustmentBudAmnt,Sheet1!S71_SubMunicipalVoteNo,$AC:$AC,Sheet1!S71_ItemType,$AD:$AD)</f>
        <v>0</v>
      </c>
      <c r="H39" s="713">
        <f>-SUMIFS(Sheet1!S71_AdjustmentBudAmnt,Sheet1!S71_SubMunicipalVoteNo,$AC:$AC,Sheet1!S71_ItemType,$AD:$AD)</f>
        <v>0</v>
      </c>
      <c r="I39" s="725">
        <f>-SUMIFS(Sheet1!S71_ASBudgetAmount,Sheet1!S71_SubMunicipalVoteNo,$AC:$AC,Sheet1!S71_ItemType,$AD:$AD)</f>
        <v>0</v>
      </c>
      <c r="J39" s="712">
        <f>-SUMIFS(Sheet1!S71_OY1BudgetAmount,Sheet1!S71_SubMunicipalVoteNo,$AC:$AC,Sheet1!S71_ItemType,$AD:$AD)</f>
        <v>0</v>
      </c>
      <c r="K39" s="713">
        <f>-SUMIFS(Sheet1!S71_OY2BudgetAmount,Sheet1!S71_SubMunicipalVoteNo,$AC:$AC,Sheet1!S71_ItemType,$AD:$AD)</f>
        <v>0</v>
      </c>
      <c r="L39" s="707"/>
      <c r="M39" s="708"/>
      <c r="N39" s="708"/>
      <c r="O39" s="708"/>
      <c r="P39" s="708"/>
      <c r="Q39" s="708"/>
      <c r="R39" s="708"/>
      <c r="S39" s="708"/>
      <c r="T39" s="708"/>
      <c r="U39" s="708"/>
      <c r="V39" s="708"/>
      <c r="W39" s="708"/>
      <c r="AC39" s="2312">
        <v>41</v>
      </c>
      <c r="AD39" s="2318" t="s">
        <v>2759</v>
      </c>
    </row>
    <row r="40" spans="1:30" ht="11.25" customHeight="1" x14ac:dyDescent="0.25">
      <c r="A40" s="136" t="str">
        <f>IF(RIGHT('Org structure'!D37,18)&lt;&gt;"[Name of sub-vote]",'Org structure'!D37,"")</f>
        <v>4.2 - Libraries and Archives</v>
      </c>
      <c r="B40" s="144"/>
      <c r="C40" s="712">
        <f>SUMIFS(Sheet1!S71_PPPYearAmount,Sheet1!S71_SubMunicipalVoteNo,$AC:$AC,Sheet1!S71_ItemType,$AD:$AD)</f>
        <v>1378687</v>
      </c>
      <c r="D40" s="712">
        <f>SUMIFS(Sheet1!S71_PPYearAmount,Sheet1!S71_SubMunicipalVoteNo,$AC:$AC,Sheet1!S71_ItemType,$AD:$AD)</f>
        <v>2061132</v>
      </c>
      <c r="E40" s="712">
        <f>SUMIFS(Sheet1!S71_PYearAmount,Sheet1!S71_SubMunicipalVoteNo,$AC:$AC,Sheet1!S71_ItemType,$AD:$AD)</f>
        <v>1732352</v>
      </c>
      <c r="F40" s="725">
        <f>-SUMIFS(Sheet1!S71_OriginalBudAmnt,Sheet1!S71_SubMunicipalVoteNo,$AC:$AC,Sheet1!S71_ItemType,$AD:$AD)</f>
        <v>1839594</v>
      </c>
      <c r="G40" s="712">
        <f>-SUMIFS(Sheet1!S71_AdjustmentBudAmnt,Sheet1!S71_SubMunicipalVoteNo,$AC:$AC,Sheet1!S71_ItemType,$AD:$AD)</f>
        <v>1839594</v>
      </c>
      <c r="H40" s="713">
        <f>-SUMIFS(Sheet1!S71_AdjustmentBudAmnt,Sheet1!S71_SubMunicipalVoteNo,$AC:$AC,Sheet1!S71_ItemType,$AD:$AD)</f>
        <v>1839594</v>
      </c>
      <c r="I40" s="725">
        <f>-SUMIFS(Sheet1!S71_ASBudgetAmount,Sheet1!S71_SubMunicipalVoteNo,$AC:$AC,Sheet1!S71_ItemType,$AD:$AD)</f>
        <v>1933474</v>
      </c>
      <c r="J40" s="712">
        <f>-SUMIFS(Sheet1!S71_OY1BudgetAmount,Sheet1!S71_SubMunicipalVoteNo,$AC:$AC,Sheet1!S71_ItemType,$AD:$AD)</f>
        <v>1934414</v>
      </c>
      <c r="K40" s="713">
        <f>-SUMIFS(Sheet1!S71_OY2BudgetAmount,Sheet1!S71_SubMunicipalVoteNo,$AC:$AC,Sheet1!S71_ItemType,$AD:$AD)</f>
        <v>1935391</v>
      </c>
      <c r="L40" s="707"/>
      <c r="M40" s="708"/>
      <c r="N40" s="708"/>
      <c r="O40" s="708"/>
      <c r="P40" s="708"/>
      <c r="Q40" s="708"/>
      <c r="R40" s="708"/>
      <c r="S40" s="708"/>
      <c r="T40" s="708"/>
      <c r="U40" s="708"/>
      <c r="V40" s="708"/>
      <c r="W40" s="708"/>
      <c r="AC40" s="2312">
        <v>42</v>
      </c>
      <c r="AD40" s="2318" t="s">
        <v>2759</v>
      </c>
    </row>
    <row r="41" spans="1:30" ht="11.25" customHeight="1" x14ac:dyDescent="0.25">
      <c r="A41" s="136" t="str">
        <f>IF(RIGHT('Org structure'!D38,18)&lt;&gt;"[Name of sub-vote]",'Org structure'!D38,"")</f>
        <v>4.3 - Population Development</v>
      </c>
      <c r="B41" s="144"/>
      <c r="C41" s="712">
        <f>SUMIFS(Sheet1!S71_PPPYearAmount,Sheet1!S71_SubMunicipalVoteNo,$AC:$AC,Sheet1!S71_ItemType,$AD:$AD)</f>
        <v>0</v>
      </c>
      <c r="D41" s="712">
        <f>SUMIFS(Sheet1!S71_PPYearAmount,Sheet1!S71_SubMunicipalVoteNo,$AC:$AC,Sheet1!S71_ItemType,$AD:$AD)</f>
        <v>0</v>
      </c>
      <c r="E41" s="712">
        <f>SUMIFS(Sheet1!S71_PYearAmount,Sheet1!S71_SubMunicipalVoteNo,$AC:$AC,Sheet1!S71_ItemType,$AD:$AD)</f>
        <v>0</v>
      </c>
      <c r="F41" s="725">
        <f>-SUMIFS(Sheet1!S71_OriginalBudAmnt,Sheet1!S71_SubMunicipalVoteNo,$AC:$AC,Sheet1!S71_ItemType,$AD:$AD)</f>
        <v>0</v>
      </c>
      <c r="G41" s="712">
        <f>-SUMIFS(Sheet1!S71_AdjustmentBudAmnt,Sheet1!S71_SubMunicipalVoteNo,$AC:$AC,Sheet1!S71_ItemType,$AD:$AD)</f>
        <v>0</v>
      </c>
      <c r="H41" s="713">
        <f>-SUMIFS(Sheet1!S71_AdjustmentBudAmnt,Sheet1!S71_SubMunicipalVoteNo,$AC:$AC,Sheet1!S71_ItemType,$AD:$AD)</f>
        <v>0</v>
      </c>
      <c r="I41" s="725">
        <f>-SUMIFS(Sheet1!S71_ASBudgetAmount,Sheet1!S71_SubMunicipalVoteNo,$AC:$AC,Sheet1!S71_ItemType,$AD:$AD)</f>
        <v>0</v>
      </c>
      <c r="J41" s="712">
        <f>-SUMIFS(Sheet1!S71_OY1BudgetAmount,Sheet1!S71_SubMunicipalVoteNo,$AC:$AC,Sheet1!S71_ItemType,$AD:$AD)</f>
        <v>0</v>
      </c>
      <c r="K41" s="713">
        <f>-SUMIFS(Sheet1!S71_OY2BudgetAmount,Sheet1!S71_SubMunicipalVoteNo,$AC:$AC,Sheet1!S71_ItemType,$AD:$AD)</f>
        <v>0</v>
      </c>
      <c r="L41" s="707"/>
      <c r="M41" s="708"/>
      <c r="N41" s="708"/>
      <c r="O41" s="708"/>
      <c r="P41" s="708"/>
      <c r="Q41" s="708"/>
      <c r="R41" s="708"/>
      <c r="S41" s="708"/>
      <c r="T41" s="708"/>
      <c r="U41" s="708"/>
      <c r="V41" s="708"/>
      <c r="W41" s="708"/>
      <c r="AC41" s="2312">
        <v>43</v>
      </c>
      <c r="AD41" s="2318" t="s">
        <v>2759</v>
      </c>
    </row>
    <row r="42" spans="1:30" ht="11.25" customHeight="1" x14ac:dyDescent="0.25">
      <c r="A42" s="136" t="str">
        <f>IF(RIGHT('Org structure'!D39,18)&lt;&gt;"[Name of sub-vote]",'Org structure'!D39,"")</f>
        <v>4.4 - Cultural Matters</v>
      </c>
      <c r="B42" s="144"/>
      <c r="C42" s="712">
        <f>SUMIFS(Sheet1!S71_PPPYearAmount,Sheet1!S71_SubMunicipalVoteNo,$AC:$AC,Sheet1!S71_ItemType,$AD:$AD)</f>
        <v>0</v>
      </c>
      <c r="D42" s="712">
        <f>SUMIFS(Sheet1!S71_PPYearAmount,Sheet1!S71_SubMunicipalVoteNo,$AC:$AC,Sheet1!S71_ItemType,$AD:$AD)</f>
        <v>0</v>
      </c>
      <c r="E42" s="712">
        <f>SUMIFS(Sheet1!S71_PYearAmount,Sheet1!S71_SubMunicipalVoteNo,$AC:$AC,Sheet1!S71_ItemType,$AD:$AD)</f>
        <v>0</v>
      </c>
      <c r="F42" s="725">
        <f>-SUMIFS(Sheet1!S71_OriginalBudAmnt,Sheet1!S71_SubMunicipalVoteNo,$AC:$AC,Sheet1!S71_ItemType,$AD:$AD)</f>
        <v>0</v>
      </c>
      <c r="G42" s="712">
        <f>-SUMIFS(Sheet1!S71_AdjustmentBudAmnt,Sheet1!S71_SubMunicipalVoteNo,$AC:$AC,Sheet1!S71_ItemType,$AD:$AD)</f>
        <v>0</v>
      </c>
      <c r="H42" s="713">
        <f>-SUMIFS(Sheet1!S71_AdjustmentBudAmnt,Sheet1!S71_SubMunicipalVoteNo,$AC:$AC,Sheet1!S71_ItemType,$AD:$AD)</f>
        <v>0</v>
      </c>
      <c r="I42" s="725">
        <f>-SUMIFS(Sheet1!S71_ASBudgetAmount,Sheet1!S71_SubMunicipalVoteNo,$AC:$AC,Sheet1!S71_ItemType,$AD:$AD)</f>
        <v>0</v>
      </c>
      <c r="J42" s="712">
        <f>-SUMIFS(Sheet1!S71_OY1BudgetAmount,Sheet1!S71_SubMunicipalVoteNo,$AC:$AC,Sheet1!S71_ItemType,$AD:$AD)</f>
        <v>0</v>
      </c>
      <c r="K42" s="713">
        <f>-SUMIFS(Sheet1!S71_OY2BudgetAmount,Sheet1!S71_SubMunicipalVoteNo,$AC:$AC,Sheet1!S71_ItemType,$AD:$AD)</f>
        <v>0</v>
      </c>
      <c r="L42" s="707"/>
      <c r="M42" s="708"/>
      <c r="N42" s="708"/>
      <c r="O42" s="708"/>
      <c r="P42" s="708"/>
      <c r="Q42" s="708"/>
      <c r="R42" s="708"/>
      <c r="S42" s="708"/>
      <c r="T42" s="708"/>
      <c r="U42" s="708"/>
      <c r="V42" s="708"/>
      <c r="W42" s="708"/>
      <c r="AC42" s="2312">
        <v>44</v>
      </c>
      <c r="AD42" s="2318" t="s">
        <v>2759</v>
      </c>
    </row>
    <row r="43" spans="1:30" ht="11.25" customHeight="1" x14ac:dyDescent="0.25">
      <c r="A43" s="136" t="str">
        <f>IF(RIGHT('Org structure'!D40,18)&lt;&gt;"[Name of sub-vote]",'Org structure'!D40,"")</f>
        <v>4.5 - Indigenous and Customary Law</v>
      </c>
      <c r="B43" s="144"/>
      <c r="C43" s="712">
        <f>SUMIFS(Sheet1!S71_PPPYearAmount,Sheet1!S71_SubMunicipalVoteNo,$AC:$AC,Sheet1!S71_ItemType,$AD:$AD)</f>
        <v>0</v>
      </c>
      <c r="D43" s="712">
        <f>SUMIFS(Sheet1!S71_PPYearAmount,Sheet1!S71_SubMunicipalVoteNo,$AC:$AC,Sheet1!S71_ItemType,$AD:$AD)</f>
        <v>0</v>
      </c>
      <c r="E43" s="712">
        <f>SUMIFS(Sheet1!S71_PYearAmount,Sheet1!S71_SubMunicipalVoteNo,$AC:$AC,Sheet1!S71_ItemType,$AD:$AD)</f>
        <v>0</v>
      </c>
      <c r="F43" s="725">
        <f>-SUMIFS(Sheet1!S71_OriginalBudAmnt,Sheet1!S71_SubMunicipalVoteNo,$AC:$AC,Sheet1!S71_ItemType,$AD:$AD)</f>
        <v>0</v>
      </c>
      <c r="G43" s="712">
        <f>-SUMIFS(Sheet1!S71_AdjustmentBudAmnt,Sheet1!S71_SubMunicipalVoteNo,$AC:$AC,Sheet1!S71_ItemType,$AD:$AD)</f>
        <v>0</v>
      </c>
      <c r="H43" s="713">
        <f>-SUMIFS(Sheet1!S71_AdjustmentBudAmnt,Sheet1!S71_SubMunicipalVoteNo,$AC:$AC,Sheet1!S71_ItemType,$AD:$AD)</f>
        <v>0</v>
      </c>
      <c r="I43" s="725">
        <f>-SUMIFS(Sheet1!S71_ASBudgetAmount,Sheet1!S71_SubMunicipalVoteNo,$AC:$AC,Sheet1!S71_ItemType,$AD:$AD)</f>
        <v>0</v>
      </c>
      <c r="J43" s="712">
        <f>-SUMIFS(Sheet1!S71_OY1BudgetAmount,Sheet1!S71_SubMunicipalVoteNo,$AC:$AC,Sheet1!S71_ItemType,$AD:$AD)</f>
        <v>0</v>
      </c>
      <c r="K43" s="713">
        <f>-SUMIFS(Sheet1!S71_OY2BudgetAmount,Sheet1!S71_SubMunicipalVoteNo,$AC:$AC,Sheet1!S71_ItemType,$AD:$AD)</f>
        <v>0</v>
      </c>
      <c r="L43" s="707"/>
      <c r="M43" s="708"/>
      <c r="N43" s="708"/>
      <c r="O43" s="708"/>
      <c r="P43" s="708"/>
      <c r="Q43" s="708"/>
      <c r="R43" s="708"/>
      <c r="S43" s="708"/>
      <c r="T43" s="708"/>
      <c r="U43" s="708"/>
      <c r="V43" s="708"/>
      <c r="W43" s="708"/>
      <c r="AC43" s="2312">
        <v>45</v>
      </c>
      <c r="AD43" s="2318" t="s">
        <v>2759</v>
      </c>
    </row>
    <row r="44" spans="1:30" ht="11.25" customHeight="1" x14ac:dyDescent="0.25">
      <c r="A44" s="136" t="str">
        <f>IF(RIGHT('Org structure'!D41,18)&lt;&gt;"[Name of sub-vote]",'Org structure'!D41,"")</f>
        <v>4.6 - Industrial Promotion</v>
      </c>
      <c r="B44" s="144"/>
      <c r="C44" s="712">
        <f>SUMIFS(Sheet1!S71_PPPYearAmount,Sheet1!S71_SubMunicipalVoteNo,$AC:$AC,Sheet1!S71_ItemType,$AD:$AD)</f>
        <v>0</v>
      </c>
      <c r="D44" s="712">
        <f>SUMIFS(Sheet1!S71_PPYearAmount,Sheet1!S71_SubMunicipalVoteNo,$AC:$AC,Sheet1!S71_ItemType,$AD:$AD)</f>
        <v>0</v>
      </c>
      <c r="E44" s="712">
        <f>SUMIFS(Sheet1!S71_PYearAmount,Sheet1!S71_SubMunicipalVoteNo,$AC:$AC,Sheet1!S71_ItemType,$AD:$AD)</f>
        <v>0</v>
      </c>
      <c r="F44" s="725">
        <f>-SUMIFS(Sheet1!S71_OriginalBudAmnt,Sheet1!S71_SubMunicipalVoteNo,$AC:$AC,Sheet1!S71_ItemType,$AD:$AD)</f>
        <v>0</v>
      </c>
      <c r="G44" s="712">
        <f>-SUMIFS(Sheet1!S71_AdjustmentBudAmnt,Sheet1!S71_SubMunicipalVoteNo,$AC:$AC,Sheet1!S71_ItemType,$AD:$AD)</f>
        <v>0</v>
      </c>
      <c r="H44" s="713">
        <f>-SUMIFS(Sheet1!S71_AdjustmentBudAmnt,Sheet1!S71_SubMunicipalVoteNo,$AC:$AC,Sheet1!S71_ItemType,$AD:$AD)</f>
        <v>0</v>
      </c>
      <c r="I44" s="725">
        <f>-SUMIFS(Sheet1!S71_ASBudgetAmount,Sheet1!S71_SubMunicipalVoteNo,$AC:$AC,Sheet1!S71_ItemType,$AD:$AD)</f>
        <v>0</v>
      </c>
      <c r="J44" s="712">
        <f>-SUMIFS(Sheet1!S71_OY1BudgetAmount,Sheet1!S71_SubMunicipalVoteNo,$AC:$AC,Sheet1!S71_ItemType,$AD:$AD)</f>
        <v>0</v>
      </c>
      <c r="K44" s="713">
        <f>-SUMIFS(Sheet1!S71_OY2BudgetAmount,Sheet1!S71_SubMunicipalVoteNo,$AC:$AC,Sheet1!S71_ItemType,$AD:$AD)</f>
        <v>0</v>
      </c>
      <c r="L44" s="707"/>
      <c r="M44" s="708"/>
      <c r="N44" s="708"/>
      <c r="O44" s="708"/>
      <c r="P44" s="708"/>
      <c r="Q44" s="708"/>
      <c r="R44" s="708"/>
      <c r="S44" s="708"/>
      <c r="T44" s="708"/>
      <c r="U44" s="708"/>
      <c r="V44" s="708"/>
      <c r="W44" s="708"/>
      <c r="AC44" s="2312">
        <v>46</v>
      </c>
      <c r="AD44" s="2318" t="s">
        <v>2759</v>
      </c>
    </row>
    <row r="45" spans="1:30" ht="11.25" customHeight="1" x14ac:dyDescent="0.25">
      <c r="A45" s="136" t="str">
        <f>IF(RIGHT('Org structure'!D42,18)&lt;&gt;"[Name of sub-vote]",'Org structure'!D42,"")</f>
        <v>4.7 - Agricultural</v>
      </c>
      <c r="B45" s="144"/>
      <c r="C45" s="712">
        <f>SUMIFS(Sheet1!S71_PPPYearAmount,Sheet1!S71_SubMunicipalVoteNo,$AC:$AC,Sheet1!S71_ItemType,$AD:$AD)</f>
        <v>0</v>
      </c>
      <c r="D45" s="712">
        <f>SUMIFS(Sheet1!S71_PPYearAmount,Sheet1!S71_SubMunicipalVoteNo,$AC:$AC,Sheet1!S71_ItemType,$AD:$AD)</f>
        <v>0</v>
      </c>
      <c r="E45" s="712">
        <f>SUMIFS(Sheet1!S71_PYearAmount,Sheet1!S71_SubMunicipalVoteNo,$AC:$AC,Sheet1!S71_ItemType,$AD:$AD)</f>
        <v>0</v>
      </c>
      <c r="F45" s="725">
        <f>-SUMIFS(Sheet1!S71_OriginalBudAmnt,Sheet1!S71_SubMunicipalVoteNo,$AC:$AC,Sheet1!S71_ItemType,$AD:$AD)</f>
        <v>0</v>
      </c>
      <c r="G45" s="712">
        <f>-SUMIFS(Sheet1!S71_AdjustmentBudAmnt,Sheet1!S71_SubMunicipalVoteNo,$AC:$AC,Sheet1!S71_ItemType,$AD:$AD)</f>
        <v>0</v>
      </c>
      <c r="H45" s="713">
        <f>-SUMIFS(Sheet1!S71_AdjustmentBudAmnt,Sheet1!S71_SubMunicipalVoteNo,$AC:$AC,Sheet1!S71_ItemType,$AD:$AD)</f>
        <v>0</v>
      </c>
      <c r="I45" s="725">
        <f>-SUMIFS(Sheet1!S71_ASBudgetAmount,Sheet1!S71_SubMunicipalVoteNo,$AC:$AC,Sheet1!S71_ItemType,$AD:$AD)</f>
        <v>0</v>
      </c>
      <c r="J45" s="712">
        <f>-SUMIFS(Sheet1!S71_OY1BudgetAmount,Sheet1!S71_SubMunicipalVoteNo,$AC:$AC,Sheet1!S71_ItemType,$AD:$AD)</f>
        <v>0</v>
      </c>
      <c r="K45" s="713">
        <f>-SUMIFS(Sheet1!S71_OY2BudgetAmount,Sheet1!S71_SubMunicipalVoteNo,$AC:$AC,Sheet1!S71_ItemType,$AD:$AD)</f>
        <v>0</v>
      </c>
      <c r="L45" s="707"/>
      <c r="M45" s="708"/>
      <c r="N45" s="708"/>
      <c r="O45" s="708"/>
      <c r="P45" s="708"/>
      <c r="Q45" s="708"/>
      <c r="R45" s="708"/>
      <c r="S45" s="708"/>
      <c r="T45" s="708"/>
      <c r="U45" s="708"/>
      <c r="V45" s="708"/>
      <c r="W45" s="708"/>
      <c r="AC45" s="2312">
        <v>47</v>
      </c>
      <c r="AD45" s="2318" t="s">
        <v>2759</v>
      </c>
    </row>
    <row r="46" spans="1:30" ht="11.25" customHeight="1" x14ac:dyDescent="0.25">
      <c r="A46" s="136" t="str">
        <f>IF(RIGHT('Org structure'!D43,18)&lt;&gt;"[Name of sub-vote]",'Org structure'!D43,"")</f>
        <v>4.8 - Aged Care</v>
      </c>
      <c r="B46" s="144"/>
      <c r="C46" s="712">
        <f>SUMIFS(Sheet1!S71_PPPYearAmount,Sheet1!S71_SubMunicipalVoteNo,$AC:$AC,Sheet1!S71_ItemType,$AD:$AD)</f>
        <v>0</v>
      </c>
      <c r="D46" s="712">
        <f>SUMIFS(Sheet1!S71_PPYearAmount,Sheet1!S71_SubMunicipalVoteNo,$AC:$AC,Sheet1!S71_ItemType,$AD:$AD)</f>
        <v>0</v>
      </c>
      <c r="E46" s="712">
        <f>SUMIFS(Sheet1!S71_PYearAmount,Sheet1!S71_SubMunicipalVoteNo,$AC:$AC,Sheet1!S71_ItemType,$AD:$AD)</f>
        <v>0</v>
      </c>
      <c r="F46" s="725">
        <f>-SUMIFS(Sheet1!S71_OriginalBudAmnt,Sheet1!S71_SubMunicipalVoteNo,$AC:$AC,Sheet1!S71_ItemType,$AD:$AD)</f>
        <v>0</v>
      </c>
      <c r="G46" s="712">
        <f>-SUMIFS(Sheet1!S71_AdjustmentBudAmnt,Sheet1!S71_SubMunicipalVoteNo,$AC:$AC,Sheet1!S71_ItemType,$AD:$AD)</f>
        <v>0</v>
      </c>
      <c r="H46" s="713">
        <f>-SUMIFS(Sheet1!S71_AdjustmentBudAmnt,Sheet1!S71_SubMunicipalVoteNo,$AC:$AC,Sheet1!S71_ItemType,$AD:$AD)</f>
        <v>0</v>
      </c>
      <c r="I46" s="725">
        <f>-SUMIFS(Sheet1!S71_ASBudgetAmount,Sheet1!S71_SubMunicipalVoteNo,$AC:$AC,Sheet1!S71_ItemType,$AD:$AD)</f>
        <v>0</v>
      </c>
      <c r="J46" s="712">
        <f>-SUMIFS(Sheet1!S71_OY1BudgetAmount,Sheet1!S71_SubMunicipalVoteNo,$AC:$AC,Sheet1!S71_ItemType,$AD:$AD)</f>
        <v>0</v>
      </c>
      <c r="K46" s="713">
        <f>-SUMIFS(Sheet1!S71_OY2BudgetAmount,Sheet1!S71_SubMunicipalVoteNo,$AC:$AC,Sheet1!S71_ItemType,$AD:$AD)</f>
        <v>0</v>
      </c>
      <c r="L46" s="707"/>
      <c r="M46" s="708"/>
      <c r="N46" s="708"/>
      <c r="O46" s="708"/>
      <c r="P46" s="708"/>
      <c r="Q46" s="708"/>
      <c r="R46" s="708"/>
      <c r="S46" s="708"/>
      <c r="T46" s="708"/>
      <c r="U46" s="708"/>
      <c r="V46" s="708"/>
      <c r="W46" s="708"/>
      <c r="AC46" s="2312">
        <v>48</v>
      </c>
      <c r="AD46" s="2318" t="s">
        <v>2759</v>
      </c>
    </row>
    <row r="47" spans="1:30" ht="11.25" customHeight="1" x14ac:dyDescent="0.25">
      <c r="A47" s="136" t="str">
        <f>IF(RIGHT('Org structure'!D44,18)&lt;&gt;"[Name of sub-vote]",'Org structure'!D44,"")</f>
        <v>4.9 - Child Care Facilities</v>
      </c>
      <c r="B47" s="144"/>
      <c r="C47" s="712">
        <f>SUMIFS(Sheet1!S71_PPPYearAmount,Sheet1!S71_SubMunicipalVoteNo,$AC:$AC,Sheet1!S71_ItemType,$AD:$AD)</f>
        <v>0</v>
      </c>
      <c r="D47" s="712">
        <f>SUMIFS(Sheet1!S71_PPYearAmount,Sheet1!S71_SubMunicipalVoteNo,$AC:$AC,Sheet1!S71_ItemType,$AD:$AD)</f>
        <v>0</v>
      </c>
      <c r="E47" s="712">
        <f>SUMIFS(Sheet1!S71_PYearAmount,Sheet1!S71_SubMunicipalVoteNo,$AC:$AC,Sheet1!S71_ItemType,$AD:$AD)</f>
        <v>0</v>
      </c>
      <c r="F47" s="725">
        <f>-SUMIFS(Sheet1!S71_OriginalBudAmnt,Sheet1!S71_SubMunicipalVoteNo,$AC:$AC,Sheet1!S71_ItemType,$AD:$AD)</f>
        <v>0</v>
      </c>
      <c r="G47" s="712">
        <f>-SUMIFS(Sheet1!S71_AdjustmentBudAmnt,Sheet1!S71_SubMunicipalVoteNo,$AC:$AC,Sheet1!S71_ItemType,$AD:$AD)</f>
        <v>0</v>
      </c>
      <c r="H47" s="713">
        <f>-SUMIFS(Sheet1!S71_AdjustmentBudAmnt,Sheet1!S71_SubMunicipalVoteNo,$AC:$AC,Sheet1!S71_ItemType,$AD:$AD)</f>
        <v>0</v>
      </c>
      <c r="I47" s="725">
        <f>-SUMIFS(Sheet1!S71_ASBudgetAmount,Sheet1!S71_SubMunicipalVoteNo,$AC:$AC,Sheet1!S71_ItemType,$AD:$AD)</f>
        <v>0</v>
      </c>
      <c r="J47" s="712">
        <f>-SUMIFS(Sheet1!S71_OY1BudgetAmount,Sheet1!S71_SubMunicipalVoteNo,$AC:$AC,Sheet1!S71_ItemType,$AD:$AD)</f>
        <v>0</v>
      </c>
      <c r="K47" s="713">
        <f>-SUMIFS(Sheet1!S71_OY2BudgetAmount,Sheet1!S71_SubMunicipalVoteNo,$AC:$AC,Sheet1!S71_ItemType,$AD:$AD)</f>
        <v>0</v>
      </c>
      <c r="L47" s="707"/>
      <c r="M47" s="708"/>
      <c r="N47" s="708"/>
      <c r="O47" s="708"/>
      <c r="P47" s="708"/>
      <c r="Q47" s="708"/>
      <c r="R47" s="708"/>
      <c r="S47" s="708"/>
      <c r="T47" s="708"/>
      <c r="U47" s="708"/>
      <c r="V47" s="708"/>
      <c r="W47" s="708"/>
      <c r="AC47" s="2312">
        <v>49</v>
      </c>
      <c r="AD47" s="2318" t="s">
        <v>2759</v>
      </c>
    </row>
    <row r="48" spans="1:30" ht="11.25" customHeight="1" x14ac:dyDescent="0.25">
      <c r="A48" s="136" t="str">
        <f>IF(RIGHT('Org structure'!D45,18)&lt;&gt;"[Name of sub-vote]",'Org structure'!D45,"")</f>
        <v/>
      </c>
      <c r="B48" s="144"/>
      <c r="C48" s="712">
        <f>SUMIFS(Sheet1!S71_PPPYearAmount,Sheet1!S71_SubMunicipalVoteNo,$AC:$AC,Sheet1!S71_ItemType,$AD:$AD)</f>
        <v>0</v>
      </c>
      <c r="D48" s="712">
        <f>SUMIFS(Sheet1!S71_PPYearAmount,Sheet1!S71_SubMunicipalVoteNo,$AC:$AC,Sheet1!S71_ItemType,$AD:$AD)</f>
        <v>0</v>
      </c>
      <c r="E48" s="712">
        <f>SUMIFS(Sheet1!S71_PYearAmount,Sheet1!S71_SubMunicipalVoteNo,$AC:$AC,Sheet1!S71_ItemType,$AD:$AD)</f>
        <v>0</v>
      </c>
      <c r="F48" s="725">
        <f>-SUMIFS(Sheet1!S71_OriginalBudAmnt,Sheet1!S71_SubMunicipalVoteNo,$AC:$AC,Sheet1!S71_ItemType,$AD:$AD)</f>
        <v>0</v>
      </c>
      <c r="G48" s="712">
        <f>-SUMIFS(Sheet1!S71_AdjustmentBudAmnt,Sheet1!S71_SubMunicipalVoteNo,$AC:$AC,Sheet1!S71_ItemType,$AD:$AD)</f>
        <v>0</v>
      </c>
      <c r="H48" s="713">
        <f>-SUMIFS(Sheet1!S71_AdjustmentBudAmnt,Sheet1!S71_SubMunicipalVoteNo,$AC:$AC,Sheet1!S71_ItemType,$AD:$AD)</f>
        <v>0</v>
      </c>
      <c r="I48" s="725">
        <f>-SUMIFS(Sheet1!S71_ASBudgetAmount,Sheet1!S71_SubMunicipalVoteNo,$AC:$AC,Sheet1!S71_ItemType,$AD:$AD)</f>
        <v>0</v>
      </c>
      <c r="J48" s="712">
        <f>-SUMIFS(Sheet1!S71_OY1BudgetAmount,Sheet1!S71_SubMunicipalVoteNo,$AC:$AC,Sheet1!S71_ItemType,$AD:$AD)</f>
        <v>0</v>
      </c>
      <c r="K48" s="713">
        <f>-SUMIFS(Sheet1!S71_OY2BudgetAmount,Sheet1!S71_SubMunicipalVoteNo,$AC:$AC,Sheet1!S71_ItemType,$AD:$AD)</f>
        <v>0</v>
      </c>
      <c r="L48" s="707"/>
      <c r="M48" s="708"/>
      <c r="N48" s="708"/>
      <c r="O48" s="708"/>
      <c r="P48" s="708"/>
      <c r="Q48" s="708"/>
      <c r="R48" s="708"/>
      <c r="S48" s="708"/>
      <c r="T48" s="708"/>
      <c r="U48" s="708"/>
      <c r="V48" s="708"/>
      <c r="W48" s="708"/>
      <c r="AC48" s="2312">
        <v>410</v>
      </c>
      <c r="AD48" s="2318" t="s">
        <v>2759</v>
      </c>
    </row>
    <row r="49" spans="1:30" ht="15" customHeight="1" x14ac:dyDescent="0.25">
      <c r="A49" s="135" t="str">
        <f>'Org structure'!A6</f>
        <v>Vote 5 - Community and Social Services2</v>
      </c>
      <c r="B49" s="211"/>
      <c r="C49" s="212">
        <f>SUM(C50:C59)</f>
        <v>0</v>
      </c>
      <c r="D49" s="212">
        <f t="shared" ref="D49:K49" si="4">SUM(D50:D59)</f>
        <v>0</v>
      </c>
      <c r="E49" s="213">
        <f t="shared" si="4"/>
        <v>0</v>
      </c>
      <c r="F49" s="214">
        <f t="shared" si="4"/>
        <v>0</v>
      </c>
      <c r="G49" s="212">
        <f t="shared" si="4"/>
        <v>0</v>
      </c>
      <c r="H49" s="215">
        <f t="shared" si="4"/>
        <v>0</v>
      </c>
      <c r="I49" s="216">
        <f t="shared" si="4"/>
        <v>0</v>
      </c>
      <c r="J49" s="212">
        <f t="shared" si="4"/>
        <v>0</v>
      </c>
      <c r="K49" s="213">
        <f t="shared" si="4"/>
        <v>0</v>
      </c>
      <c r="L49" s="707"/>
      <c r="M49" s="708"/>
      <c r="N49" s="708"/>
      <c r="O49" s="708"/>
      <c r="P49" s="708"/>
      <c r="Q49" s="708"/>
      <c r="R49" s="708"/>
      <c r="S49" s="708"/>
      <c r="T49" s="708"/>
      <c r="U49" s="708"/>
      <c r="V49" s="708"/>
      <c r="W49" s="708"/>
      <c r="AD49" s="2315"/>
    </row>
    <row r="50" spans="1:30" ht="11.25" customHeight="1" x14ac:dyDescent="0.25">
      <c r="A50" s="136" t="str">
        <f>IF(RIGHT('Org structure'!D47,18)&lt;&gt;"[Name of sub-vote]",'Org structure'!D47,"")</f>
        <v>5.1 - Literacy Programmes</v>
      </c>
      <c r="B50" s="144"/>
      <c r="C50" s="712">
        <f>SUMIFS(Sheet1!S71_PPPYearAmount,Sheet1!S71_SubMunicipalVoteNo,$AC:$AC,Sheet1!S71_ItemType,$AD:$AD)</f>
        <v>0</v>
      </c>
      <c r="D50" s="712">
        <f>SUMIFS(Sheet1!S71_PPYearAmount,Sheet1!S71_SubMunicipalVoteNo,$AC:$AC,Sheet1!S71_ItemType,$AD:$AD)</f>
        <v>0</v>
      </c>
      <c r="E50" s="712">
        <f>SUMIFS(Sheet1!S71_PYearAmount,Sheet1!S71_SubMunicipalVoteNo,$AC:$AC,Sheet1!S71_ItemType,$AD:$AD)</f>
        <v>0</v>
      </c>
      <c r="F50" s="725">
        <f>-SUMIFS(Sheet1!S71_OriginalBudAmnt,Sheet1!S71_SubMunicipalVoteNo,$AC:$AC,Sheet1!S71_ItemType,$AD:$AD)</f>
        <v>0</v>
      </c>
      <c r="G50" s="712">
        <f>-SUMIFS(Sheet1!S71_AdjustmentBudAmnt,Sheet1!S71_SubMunicipalVoteNo,$AC:$AC,Sheet1!S71_ItemType,$AD:$AD)</f>
        <v>0</v>
      </c>
      <c r="H50" s="713">
        <f>-SUMIFS(Sheet1!S71_AdjustmentBudAmnt,Sheet1!S71_SubMunicipalVoteNo,$AC:$AC,Sheet1!S71_ItemType,$AD:$AD)</f>
        <v>0</v>
      </c>
      <c r="I50" s="725">
        <f>-SUMIFS(Sheet1!S71_ASBudgetAmount,Sheet1!S71_SubMunicipalVoteNo,$AC:$AC,Sheet1!S71_ItemType,$AD:$AD)</f>
        <v>0</v>
      </c>
      <c r="J50" s="712">
        <f>-SUMIFS(Sheet1!S71_OY1BudgetAmount,Sheet1!S71_SubMunicipalVoteNo,$AC:$AC,Sheet1!S71_ItemType,$AD:$AD)</f>
        <v>0</v>
      </c>
      <c r="K50" s="713">
        <f>-SUMIFS(Sheet1!S71_OY2BudgetAmount,Sheet1!S71_SubMunicipalVoteNo,$AC:$AC,Sheet1!S71_ItemType,$AD:$AD)</f>
        <v>0</v>
      </c>
      <c r="L50" s="707"/>
      <c r="M50" s="708"/>
      <c r="N50" s="708"/>
      <c r="O50" s="708"/>
      <c r="P50" s="708"/>
      <c r="Q50" s="708"/>
      <c r="R50" s="708"/>
      <c r="S50" s="708"/>
      <c r="T50" s="708"/>
      <c r="U50" s="708"/>
      <c r="V50" s="708"/>
      <c r="W50" s="708"/>
      <c r="AC50" s="2312">
        <v>51</v>
      </c>
      <c r="AD50" s="2318" t="s">
        <v>2759</v>
      </c>
    </row>
    <row r="51" spans="1:30" ht="11.25" customHeight="1" x14ac:dyDescent="0.25">
      <c r="A51" s="136" t="str">
        <f>IF(RIGHT('Org structure'!D48,18)&lt;&gt;"[Name of sub-vote]",'Org structure'!D48,"")</f>
        <v>5.2 - Education</v>
      </c>
      <c r="B51" s="144"/>
      <c r="C51" s="712">
        <f>SUMIFS(Sheet1!S71_PPPYearAmount,Sheet1!S71_SubMunicipalVoteNo,$AC:$AC,Sheet1!S71_ItemType,$AD:$AD)</f>
        <v>0</v>
      </c>
      <c r="D51" s="712">
        <f>SUMIFS(Sheet1!S71_PPYearAmount,Sheet1!S71_SubMunicipalVoteNo,$AC:$AC,Sheet1!S71_ItemType,$AD:$AD)</f>
        <v>0</v>
      </c>
      <c r="E51" s="712">
        <f>SUMIFS(Sheet1!S71_PYearAmount,Sheet1!S71_SubMunicipalVoteNo,$AC:$AC,Sheet1!S71_ItemType,$AD:$AD)</f>
        <v>0</v>
      </c>
      <c r="F51" s="725">
        <f>-SUMIFS(Sheet1!S71_OriginalBudAmnt,Sheet1!S71_SubMunicipalVoteNo,$AC:$AC,Sheet1!S71_ItemType,$AD:$AD)</f>
        <v>0</v>
      </c>
      <c r="G51" s="712">
        <f>-SUMIFS(Sheet1!S71_AdjustmentBudAmnt,Sheet1!S71_SubMunicipalVoteNo,$AC:$AC,Sheet1!S71_ItemType,$AD:$AD)</f>
        <v>0</v>
      </c>
      <c r="H51" s="713">
        <f>-SUMIFS(Sheet1!S71_AdjustmentBudAmnt,Sheet1!S71_SubMunicipalVoteNo,$AC:$AC,Sheet1!S71_ItemType,$AD:$AD)</f>
        <v>0</v>
      </c>
      <c r="I51" s="725">
        <f>-SUMIFS(Sheet1!S71_ASBudgetAmount,Sheet1!S71_SubMunicipalVoteNo,$AC:$AC,Sheet1!S71_ItemType,$AD:$AD)</f>
        <v>0</v>
      </c>
      <c r="J51" s="712">
        <f>-SUMIFS(Sheet1!S71_OY1BudgetAmount,Sheet1!S71_SubMunicipalVoteNo,$AC:$AC,Sheet1!S71_ItemType,$AD:$AD)</f>
        <v>0</v>
      </c>
      <c r="K51" s="713">
        <f>-SUMIFS(Sheet1!S71_OY2BudgetAmount,Sheet1!S71_SubMunicipalVoteNo,$AC:$AC,Sheet1!S71_ItemType,$AD:$AD)</f>
        <v>0</v>
      </c>
      <c r="L51" s="707"/>
      <c r="M51" s="708"/>
      <c r="N51" s="708"/>
      <c r="O51" s="708"/>
      <c r="P51" s="708"/>
      <c r="Q51" s="708"/>
      <c r="R51" s="708"/>
      <c r="S51" s="708"/>
      <c r="T51" s="708"/>
      <c r="U51" s="708"/>
      <c r="V51" s="708"/>
      <c r="W51" s="708"/>
      <c r="AC51" s="2312">
        <v>52</v>
      </c>
      <c r="AD51" s="2318" t="s">
        <v>2759</v>
      </c>
    </row>
    <row r="52" spans="1:30" ht="11.25" customHeight="1" x14ac:dyDescent="0.25">
      <c r="A52" s="136" t="str">
        <f>IF(RIGHT('Org structure'!D49,18)&lt;&gt;"[Name of sub-vote]",'Org structure'!D49,"")</f>
        <v>5.3 - Community Halls and Facilities</v>
      </c>
      <c r="B52" s="144"/>
      <c r="C52" s="712">
        <f>SUMIFS(Sheet1!S71_PPPYearAmount,Sheet1!S71_SubMunicipalVoteNo,$AC:$AC,Sheet1!S71_ItemType,$AD:$AD)</f>
        <v>0</v>
      </c>
      <c r="D52" s="712">
        <f>SUMIFS(Sheet1!S71_PPYearAmount,Sheet1!S71_SubMunicipalVoteNo,$AC:$AC,Sheet1!S71_ItemType,$AD:$AD)</f>
        <v>0</v>
      </c>
      <c r="E52" s="712">
        <f>SUMIFS(Sheet1!S71_PYearAmount,Sheet1!S71_SubMunicipalVoteNo,$AC:$AC,Sheet1!S71_ItemType,$AD:$AD)</f>
        <v>0</v>
      </c>
      <c r="F52" s="725">
        <f>-SUMIFS(Sheet1!S71_OriginalBudAmnt,Sheet1!S71_SubMunicipalVoteNo,$AC:$AC,Sheet1!S71_ItemType,$AD:$AD)</f>
        <v>0</v>
      </c>
      <c r="G52" s="712">
        <f>-SUMIFS(Sheet1!S71_AdjustmentBudAmnt,Sheet1!S71_SubMunicipalVoteNo,$AC:$AC,Sheet1!S71_ItemType,$AD:$AD)</f>
        <v>0</v>
      </c>
      <c r="H52" s="713">
        <f>-SUMIFS(Sheet1!S71_AdjustmentBudAmnt,Sheet1!S71_SubMunicipalVoteNo,$AC:$AC,Sheet1!S71_ItemType,$AD:$AD)</f>
        <v>0</v>
      </c>
      <c r="I52" s="725">
        <f>-SUMIFS(Sheet1!S71_ASBudgetAmount,Sheet1!S71_SubMunicipalVoteNo,$AC:$AC,Sheet1!S71_ItemType,$AD:$AD)</f>
        <v>0</v>
      </c>
      <c r="J52" s="712">
        <f>-SUMIFS(Sheet1!S71_OY1BudgetAmount,Sheet1!S71_SubMunicipalVoteNo,$AC:$AC,Sheet1!S71_ItemType,$AD:$AD)</f>
        <v>0</v>
      </c>
      <c r="K52" s="713">
        <f>-SUMIFS(Sheet1!S71_OY2BudgetAmount,Sheet1!S71_SubMunicipalVoteNo,$AC:$AC,Sheet1!S71_ItemType,$AD:$AD)</f>
        <v>0</v>
      </c>
      <c r="L52" s="707"/>
      <c r="M52" s="708"/>
      <c r="N52" s="708"/>
      <c r="O52" s="708"/>
      <c r="P52" s="708"/>
      <c r="Q52" s="708"/>
      <c r="R52" s="708"/>
      <c r="S52" s="708"/>
      <c r="T52" s="708"/>
      <c r="U52" s="708"/>
      <c r="V52" s="708"/>
      <c r="W52" s="708"/>
      <c r="AC52" s="2312">
        <v>53</v>
      </c>
      <c r="AD52" s="2318" t="s">
        <v>2759</v>
      </c>
    </row>
    <row r="53" spans="1:30" ht="11.25" customHeight="1" x14ac:dyDescent="0.25">
      <c r="A53" s="136" t="str">
        <f>IF(RIGHT('Org structure'!D50,18)&lt;&gt;"[Name of sub-vote]",'Org structure'!D50,"")</f>
        <v>5.4 - Tourism</v>
      </c>
      <c r="B53" s="144"/>
      <c r="C53" s="712">
        <f>SUMIFS(Sheet1!S71_PPPYearAmount,Sheet1!S71_SubMunicipalVoteNo,$AC:$AC,Sheet1!S71_ItemType,$AD:$AD)</f>
        <v>0</v>
      </c>
      <c r="D53" s="712">
        <f>SUMIFS(Sheet1!S71_PPYearAmount,Sheet1!S71_SubMunicipalVoteNo,$AC:$AC,Sheet1!S71_ItemType,$AD:$AD)</f>
        <v>0</v>
      </c>
      <c r="E53" s="712">
        <f>SUMIFS(Sheet1!S71_PYearAmount,Sheet1!S71_SubMunicipalVoteNo,$AC:$AC,Sheet1!S71_ItemType,$AD:$AD)</f>
        <v>0</v>
      </c>
      <c r="F53" s="725">
        <f>-SUMIFS(Sheet1!S71_OriginalBudAmnt,Sheet1!S71_SubMunicipalVoteNo,$AC:$AC,Sheet1!S71_ItemType,$AD:$AD)</f>
        <v>0</v>
      </c>
      <c r="G53" s="712">
        <f>-SUMIFS(Sheet1!S71_AdjustmentBudAmnt,Sheet1!S71_SubMunicipalVoteNo,$AC:$AC,Sheet1!S71_ItemType,$AD:$AD)</f>
        <v>0</v>
      </c>
      <c r="H53" s="713">
        <f>-SUMIFS(Sheet1!S71_AdjustmentBudAmnt,Sheet1!S71_SubMunicipalVoteNo,$AC:$AC,Sheet1!S71_ItemType,$AD:$AD)</f>
        <v>0</v>
      </c>
      <c r="I53" s="725">
        <f>-SUMIFS(Sheet1!S71_ASBudgetAmount,Sheet1!S71_SubMunicipalVoteNo,$AC:$AC,Sheet1!S71_ItemType,$AD:$AD)</f>
        <v>0</v>
      </c>
      <c r="J53" s="712">
        <f>-SUMIFS(Sheet1!S71_OY1BudgetAmount,Sheet1!S71_SubMunicipalVoteNo,$AC:$AC,Sheet1!S71_ItemType,$AD:$AD)</f>
        <v>0</v>
      </c>
      <c r="K53" s="713">
        <f>-SUMIFS(Sheet1!S71_OY2BudgetAmount,Sheet1!S71_SubMunicipalVoteNo,$AC:$AC,Sheet1!S71_ItemType,$AD:$AD)</f>
        <v>0</v>
      </c>
      <c r="L53" s="707"/>
      <c r="M53" s="708"/>
      <c r="N53" s="708"/>
      <c r="O53" s="708"/>
      <c r="P53" s="708"/>
      <c r="Q53" s="708"/>
      <c r="R53" s="708"/>
      <c r="S53" s="708"/>
      <c r="T53" s="708"/>
      <c r="U53" s="708"/>
      <c r="V53" s="708"/>
      <c r="W53" s="708"/>
      <c r="AC53" s="2312">
        <v>54</v>
      </c>
      <c r="AD53" s="2318" t="s">
        <v>2759</v>
      </c>
    </row>
    <row r="54" spans="1:30" ht="11.25" customHeight="1" x14ac:dyDescent="0.25">
      <c r="A54" s="136" t="str">
        <f>IF(RIGHT('Org structure'!D51,18)&lt;&gt;"[Name of sub-vote]",'Org structure'!D51,"")</f>
        <v/>
      </c>
      <c r="B54" s="144"/>
      <c r="C54" s="712">
        <f>SUMIFS(Sheet1!S71_PPPYearAmount,Sheet1!S71_SubMunicipalVoteNo,$AC:$AC,Sheet1!S71_ItemType,$AD:$AD)</f>
        <v>0</v>
      </c>
      <c r="D54" s="712">
        <f>SUMIFS(Sheet1!S71_PPYearAmount,Sheet1!S71_SubMunicipalVoteNo,$AC:$AC,Sheet1!S71_ItemType,$AD:$AD)</f>
        <v>0</v>
      </c>
      <c r="E54" s="712">
        <f>SUMIFS(Sheet1!S71_PYearAmount,Sheet1!S71_SubMunicipalVoteNo,$AC:$AC,Sheet1!S71_ItemType,$AD:$AD)</f>
        <v>0</v>
      </c>
      <c r="F54" s="725">
        <f>-SUMIFS(Sheet1!S71_OriginalBudAmnt,Sheet1!S71_SubMunicipalVoteNo,$AC:$AC,Sheet1!S71_ItemType,$AD:$AD)</f>
        <v>0</v>
      </c>
      <c r="G54" s="712">
        <f>-SUMIFS(Sheet1!S71_AdjustmentBudAmnt,Sheet1!S71_SubMunicipalVoteNo,$AC:$AC,Sheet1!S71_ItemType,$AD:$AD)</f>
        <v>0</v>
      </c>
      <c r="H54" s="713">
        <f>-SUMIFS(Sheet1!S71_AdjustmentBudAmnt,Sheet1!S71_SubMunicipalVoteNo,$AC:$AC,Sheet1!S71_ItemType,$AD:$AD)</f>
        <v>0</v>
      </c>
      <c r="I54" s="725">
        <f>-SUMIFS(Sheet1!S71_ASBudgetAmount,Sheet1!S71_SubMunicipalVoteNo,$AC:$AC,Sheet1!S71_ItemType,$AD:$AD)</f>
        <v>0</v>
      </c>
      <c r="J54" s="712">
        <f>-SUMIFS(Sheet1!S71_OY1BudgetAmount,Sheet1!S71_SubMunicipalVoteNo,$AC:$AC,Sheet1!S71_ItemType,$AD:$AD)</f>
        <v>0</v>
      </c>
      <c r="K54" s="713">
        <f>-SUMIFS(Sheet1!S71_OY2BudgetAmount,Sheet1!S71_SubMunicipalVoteNo,$AC:$AC,Sheet1!S71_ItemType,$AD:$AD)</f>
        <v>0</v>
      </c>
      <c r="L54" s="707"/>
      <c r="M54" s="708"/>
      <c r="N54" s="708"/>
      <c r="O54" s="708"/>
      <c r="P54" s="708"/>
      <c r="Q54" s="708"/>
      <c r="R54" s="708"/>
      <c r="S54" s="708"/>
      <c r="T54" s="708"/>
      <c r="U54" s="708"/>
      <c r="V54" s="708"/>
      <c r="W54" s="708"/>
      <c r="AC54" s="2312">
        <v>55</v>
      </c>
      <c r="AD54" s="2318" t="s">
        <v>2759</v>
      </c>
    </row>
    <row r="55" spans="1:30" ht="11.25" customHeight="1" x14ac:dyDescent="0.25">
      <c r="A55" s="136" t="str">
        <f>IF(RIGHT('Org structure'!D52,18)&lt;&gt;"[Name of sub-vote]",'Org structure'!D52,"")</f>
        <v/>
      </c>
      <c r="B55" s="144"/>
      <c r="C55" s="712">
        <f>SUMIFS(Sheet1!S71_PPPYearAmount,Sheet1!S71_SubMunicipalVoteNo,$AC:$AC,Sheet1!S71_ItemType,$AD:$AD)</f>
        <v>0</v>
      </c>
      <c r="D55" s="712">
        <f>SUMIFS(Sheet1!S71_PPYearAmount,Sheet1!S71_SubMunicipalVoteNo,$AC:$AC,Sheet1!S71_ItemType,$AD:$AD)</f>
        <v>0</v>
      </c>
      <c r="E55" s="712">
        <f>SUMIFS(Sheet1!S71_PYearAmount,Sheet1!S71_SubMunicipalVoteNo,$AC:$AC,Sheet1!S71_ItemType,$AD:$AD)</f>
        <v>0</v>
      </c>
      <c r="F55" s="725">
        <f>-SUMIFS(Sheet1!S71_OriginalBudAmnt,Sheet1!S71_SubMunicipalVoteNo,$AC:$AC,Sheet1!S71_ItemType,$AD:$AD)</f>
        <v>0</v>
      </c>
      <c r="G55" s="712">
        <f>-SUMIFS(Sheet1!S71_AdjustmentBudAmnt,Sheet1!S71_SubMunicipalVoteNo,$AC:$AC,Sheet1!S71_ItemType,$AD:$AD)</f>
        <v>0</v>
      </c>
      <c r="H55" s="713">
        <f>-SUMIFS(Sheet1!S71_AdjustmentBudAmnt,Sheet1!S71_SubMunicipalVoteNo,$AC:$AC,Sheet1!S71_ItemType,$AD:$AD)</f>
        <v>0</v>
      </c>
      <c r="I55" s="725">
        <f>-SUMIFS(Sheet1!S71_ASBudgetAmount,Sheet1!S71_SubMunicipalVoteNo,$AC:$AC,Sheet1!S71_ItemType,$AD:$AD)</f>
        <v>0</v>
      </c>
      <c r="J55" s="712">
        <f>-SUMIFS(Sheet1!S71_OY1BudgetAmount,Sheet1!S71_SubMunicipalVoteNo,$AC:$AC,Sheet1!S71_ItemType,$AD:$AD)</f>
        <v>0</v>
      </c>
      <c r="K55" s="713">
        <f>-SUMIFS(Sheet1!S71_OY2BudgetAmount,Sheet1!S71_SubMunicipalVoteNo,$AC:$AC,Sheet1!S71_ItemType,$AD:$AD)</f>
        <v>0</v>
      </c>
      <c r="L55" s="707"/>
      <c r="M55" s="708"/>
      <c r="N55" s="708"/>
      <c r="O55" s="708"/>
      <c r="P55" s="708"/>
      <c r="Q55" s="708"/>
      <c r="R55" s="708"/>
      <c r="S55" s="708"/>
      <c r="T55" s="708"/>
      <c r="U55" s="708"/>
      <c r="V55" s="708"/>
      <c r="W55" s="708"/>
      <c r="AC55" s="2312">
        <v>56</v>
      </c>
      <c r="AD55" s="2318" t="s">
        <v>2759</v>
      </c>
    </row>
    <row r="56" spans="1:30" ht="11.25" customHeight="1" x14ac:dyDescent="0.25">
      <c r="A56" s="136" t="str">
        <f>IF(RIGHT('Org structure'!D53,18)&lt;&gt;"[Name of sub-vote]",'Org structure'!D53,"")</f>
        <v/>
      </c>
      <c r="B56" s="144"/>
      <c r="C56" s="712">
        <f>SUMIFS(Sheet1!S71_PPPYearAmount,Sheet1!S71_SubMunicipalVoteNo,$AC:$AC,Sheet1!S71_ItemType,$AD:$AD)</f>
        <v>0</v>
      </c>
      <c r="D56" s="712">
        <f>SUMIFS(Sheet1!S71_PPYearAmount,Sheet1!S71_SubMunicipalVoteNo,$AC:$AC,Sheet1!S71_ItemType,$AD:$AD)</f>
        <v>0</v>
      </c>
      <c r="E56" s="712">
        <f>SUMIFS(Sheet1!S71_PYearAmount,Sheet1!S71_SubMunicipalVoteNo,$AC:$AC,Sheet1!S71_ItemType,$AD:$AD)</f>
        <v>0</v>
      </c>
      <c r="F56" s="725">
        <f>-SUMIFS(Sheet1!S71_OriginalBudAmnt,Sheet1!S71_SubMunicipalVoteNo,$AC:$AC,Sheet1!S71_ItemType,$AD:$AD)</f>
        <v>0</v>
      </c>
      <c r="G56" s="712">
        <f>-SUMIFS(Sheet1!S71_AdjustmentBudAmnt,Sheet1!S71_SubMunicipalVoteNo,$AC:$AC,Sheet1!S71_ItemType,$AD:$AD)</f>
        <v>0</v>
      </c>
      <c r="H56" s="713">
        <f>-SUMIFS(Sheet1!S71_AdjustmentBudAmnt,Sheet1!S71_SubMunicipalVoteNo,$AC:$AC,Sheet1!S71_ItemType,$AD:$AD)</f>
        <v>0</v>
      </c>
      <c r="I56" s="725">
        <f>-SUMIFS(Sheet1!S71_ASBudgetAmount,Sheet1!S71_SubMunicipalVoteNo,$AC:$AC,Sheet1!S71_ItemType,$AD:$AD)</f>
        <v>0</v>
      </c>
      <c r="J56" s="712">
        <f>-SUMIFS(Sheet1!S71_OY1BudgetAmount,Sheet1!S71_SubMunicipalVoteNo,$AC:$AC,Sheet1!S71_ItemType,$AD:$AD)</f>
        <v>0</v>
      </c>
      <c r="K56" s="713">
        <f>-SUMIFS(Sheet1!S71_OY2BudgetAmount,Sheet1!S71_SubMunicipalVoteNo,$AC:$AC,Sheet1!S71_ItemType,$AD:$AD)</f>
        <v>0</v>
      </c>
      <c r="L56" s="707"/>
      <c r="M56" s="708"/>
      <c r="N56" s="708"/>
      <c r="O56" s="708"/>
      <c r="P56" s="708"/>
      <c r="Q56" s="708"/>
      <c r="R56" s="708"/>
      <c r="S56" s="708"/>
      <c r="T56" s="708"/>
      <c r="U56" s="708"/>
      <c r="V56" s="708"/>
      <c r="W56" s="708"/>
      <c r="AC56" s="2312">
        <v>57</v>
      </c>
      <c r="AD56" s="2318" t="s">
        <v>2759</v>
      </c>
    </row>
    <row r="57" spans="1:30" ht="11.25" customHeight="1" x14ac:dyDescent="0.25">
      <c r="A57" s="136" t="str">
        <f>IF(RIGHT('Org structure'!D54,18)&lt;&gt;"[Name of sub-vote]",'Org structure'!D54,"")</f>
        <v/>
      </c>
      <c r="B57" s="144"/>
      <c r="C57" s="712">
        <f>SUMIFS(Sheet1!S71_PPPYearAmount,Sheet1!S71_SubMunicipalVoteNo,$AC:$AC,Sheet1!S71_ItemType,$AD:$AD)</f>
        <v>0</v>
      </c>
      <c r="D57" s="712">
        <f>SUMIFS(Sheet1!S71_PPYearAmount,Sheet1!S71_SubMunicipalVoteNo,$AC:$AC,Sheet1!S71_ItemType,$AD:$AD)</f>
        <v>0</v>
      </c>
      <c r="E57" s="712">
        <f>SUMIFS(Sheet1!S71_PYearAmount,Sheet1!S71_SubMunicipalVoteNo,$AC:$AC,Sheet1!S71_ItemType,$AD:$AD)</f>
        <v>0</v>
      </c>
      <c r="F57" s="725">
        <f>-SUMIFS(Sheet1!S71_OriginalBudAmnt,Sheet1!S71_SubMunicipalVoteNo,$AC:$AC,Sheet1!S71_ItemType,$AD:$AD)</f>
        <v>0</v>
      </c>
      <c r="G57" s="712">
        <f>-SUMIFS(Sheet1!S71_AdjustmentBudAmnt,Sheet1!S71_SubMunicipalVoteNo,$AC:$AC,Sheet1!S71_ItemType,$AD:$AD)</f>
        <v>0</v>
      </c>
      <c r="H57" s="713">
        <f>-SUMIFS(Sheet1!S71_AdjustmentBudAmnt,Sheet1!S71_SubMunicipalVoteNo,$AC:$AC,Sheet1!S71_ItemType,$AD:$AD)</f>
        <v>0</v>
      </c>
      <c r="I57" s="725">
        <f>-SUMIFS(Sheet1!S71_ASBudgetAmount,Sheet1!S71_SubMunicipalVoteNo,$AC:$AC,Sheet1!S71_ItemType,$AD:$AD)</f>
        <v>0</v>
      </c>
      <c r="J57" s="712">
        <f>-SUMIFS(Sheet1!S71_OY1BudgetAmount,Sheet1!S71_SubMunicipalVoteNo,$AC:$AC,Sheet1!S71_ItemType,$AD:$AD)</f>
        <v>0</v>
      </c>
      <c r="K57" s="713">
        <f>-SUMIFS(Sheet1!S71_OY2BudgetAmount,Sheet1!S71_SubMunicipalVoteNo,$AC:$AC,Sheet1!S71_ItemType,$AD:$AD)</f>
        <v>0</v>
      </c>
      <c r="L57" s="707"/>
      <c r="M57" s="708"/>
      <c r="N57" s="708"/>
      <c r="O57" s="708"/>
      <c r="P57" s="708"/>
      <c r="Q57" s="708"/>
      <c r="R57" s="708"/>
      <c r="S57" s="708"/>
      <c r="T57" s="708"/>
      <c r="U57" s="708"/>
      <c r="V57" s="708"/>
      <c r="W57" s="708"/>
      <c r="AC57" s="2312">
        <v>58</v>
      </c>
      <c r="AD57" s="2318" t="s">
        <v>2759</v>
      </c>
    </row>
    <row r="58" spans="1:30" ht="11.25" customHeight="1" x14ac:dyDescent="0.25">
      <c r="A58" s="136" t="str">
        <f>IF(RIGHT('Org structure'!D55,18)&lt;&gt;"[Name of sub-vote]",'Org structure'!D55,"")</f>
        <v/>
      </c>
      <c r="B58" s="144"/>
      <c r="C58" s="712">
        <f>SUMIFS(Sheet1!S71_PPPYearAmount,Sheet1!S71_SubMunicipalVoteNo,$AC:$AC,Sheet1!S71_ItemType,$AD:$AD)</f>
        <v>0</v>
      </c>
      <c r="D58" s="712">
        <f>SUMIFS(Sheet1!S71_PPYearAmount,Sheet1!S71_SubMunicipalVoteNo,$AC:$AC,Sheet1!S71_ItemType,$AD:$AD)</f>
        <v>0</v>
      </c>
      <c r="E58" s="712">
        <f>SUMIFS(Sheet1!S71_PYearAmount,Sheet1!S71_SubMunicipalVoteNo,$AC:$AC,Sheet1!S71_ItemType,$AD:$AD)</f>
        <v>0</v>
      </c>
      <c r="F58" s="725">
        <f>-SUMIFS(Sheet1!S71_OriginalBudAmnt,Sheet1!S71_SubMunicipalVoteNo,$AC:$AC,Sheet1!S71_ItemType,$AD:$AD)</f>
        <v>0</v>
      </c>
      <c r="G58" s="712">
        <f>-SUMIFS(Sheet1!S71_AdjustmentBudAmnt,Sheet1!S71_SubMunicipalVoteNo,$AC:$AC,Sheet1!S71_ItemType,$AD:$AD)</f>
        <v>0</v>
      </c>
      <c r="H58" s="713">
        <f>-SUMIFS(Sheet1!S71_AdjustmentBudAmnt,Sheet1!S71_SubMunicipalVoteNo,$AC:$AC,Sheet1!S71_ItemType,$AD:$AD)</f>
        <v>0</v>
      </c>
      <c r="I58" s="725">
        <f>-SUMIFS(Sheet1!S71_ASBudgetAmount,Sheet1!S71_SubMunicipalVoteNo,$AC:$AC,Sheet1!S71_ItemType,$AD:$AD)</f>
        <v>0</v>
      </c>
      <c r="J58" s="712">
        <f>-SUMIFS(Sheet1!S71_OY1BudgetAmount,Sheet1!S71_SubMunicipalVoteNo,$AC:$AC,Sheet1!S71_ItemType,$AD:$AD)</f>
        <v>0</v>
      </c>
      <c r="K58" s="713">
        <f>-SUMIFS(Sheet1!S71_OY2BudgetAmount,Sheet1!S71_SubMunicipalVoteNo,$AC:$AC,Sheet1!S71_ItemType,$AD:$AD)</f>
        <v>0</v>
      </c>
      <c r="L58" s="707"/>
      <c r="M58" s="708"/>
      <c r="N58" s="708"/>
      <c r="O58" s="708"/>
      <c r="P58" s="708"/>
      <c r="Q58" s="708"/>
      <c r="R58" s="708"/>
      <c r="S58" s="708"/>
      <c r="T58" s="708"/>
      <c r="U58" s="708"/>
      <c r="V58" s="708"/>
      <c r="W58" s="708"/>
      <c r="AC58" s="2312">
        <v>59</v>
      </c>
      <c r="AD58" s="2318" t="s">
        <v>2759</v>
      </c>
    </row>
    <row r="59" spans="1:30" ht="11.25" customHeight="1" x14ac:dyDescent="0.25">
      <c r="A59" s="136" t="str">
        <f>IF(RIGHT('Org structure'!D56,18)&lt;&gt;"[Name of sub-vote]",'Org structure'!D56,"")</f>
        <v/>
      </c>
      <c r="B59" s="144"/>
      <c r="C59" s="712">
        <f>SUMIFS(Sheet1!S71_PPPYearAmount,Sheet1!S71_SubMunicipalVoteNo,$AC:$AC,Sheet1!S71_ItemType,$AD:$AD)</f>
        <v>0</v>
      </c>
      <c r="D59" s="712">
        <f>SUMIFS(Sheet1!S71_PPYearAmount,Sheet1!S71_SubMunicipalVoteNo,$AC:$AC,Sheet1!S71_ItemType,$AD:$AD)</f>
        <v>0</v>
      </c>
      <c r="E59" s="712">
        <f>SUMIFS(Sheet1!S71_PYearAmount,Sheet1!S71_SubMunicipalVoteNo,$AC:$AC,Sheet1!S71_ItemType,$AD:$AD)</f>
        <v>0</v>
      </c>
      <c r="F59" s="725">
        <f>-SUMIFS(Sheet1!S71_OriginalBudAmnt,Sheet1!S71_SubMunicipalVoteNo,$AC:$AC,Sheet1!S71_ItemType,$AD:$AD)</f>
        <v>0</v>
      </c>
      <c r="G59" s="712">
        <f>-SUMIFS(Sheet1!S71_AdjustmentBudAmnt,Sheet1!S71_SubMunicipalVoteNo,$AC:$AC,Sheet1!S71_ItemType,$AD:$AD)</f>
        <v>0</v>
      </c>
      <c r="H59" s="713">
        <f>-SUMIFS(Sheet1!S71_AdjustmentBudAmnt,Sheet1!S71_SubMunicipalVoteNo,$AC:$AC,Sheet1!S71_ItemType,$AD:$AD)</f>
        <v>0</v>
      </c>
      <c r="I59" s="725">
        <f>-SUMIFS(Sheet1!S71_ASBudgetAmount,Sheet1!S71_SubMunicipalVoteNo,$AC:$AC,Sheet1!S71_ItemType,$AD:$AD)</f>
        <v>0</v>
      </c>
      <c r="J59" s="712">
        <f>-SUMIFS(Sheet1!S71_OY1BudgetAmount,Sheet1!S71_SubMunicipalVoteNo,$AC:$AC,Sheet1!S71_ItemType,$AD:$AD)</f>
        <v>0</v>
      </c>
      <c r="K59" s="713">
        <f>-SUMIFS(Sheet1!S71_OY2BudgetAmount,Sheet1!S71_SubMunicipalVoteNo,$AC:$AC,Sheet1!S71_ItemType,$AD:$AD)</f>
        <v>0</v>
      </c>
      <c r="L59" s="707"/>
      <c r="M59" s="708"/>
      <c r="N59" s="708"/>
      <c r="O59" s="708"/>
      <c r="P59" s="708"/>
      <c r="Q59" s="708"/>
      <c r="R59" s="708"/>
      <c r="S59" s="708"/>
      <c r="T59" s="708"/>
      <c r="U59" s="708"/>
      <c r="V59" s="708"/>
      <c r="W59" s="708"/>
      <c r="AC59" s="2312">
        <v>510</v>
      </c>
      <c r="AD59" s="2318" t="s">
        <v>2759</v>
      </c>
    </row>
    <row r="60" spans="1:30" ht="15" customHeight="1" x14ac:dyDescent="0.25">
      <c r="A60" s="135" t="str">
        <f>'Org structure'!A7</f>
        <v>Vote 6 - Energy Sources</v>
      </c>
      <c r="B60" s="211"/>
      <c r="C60" s="212">
        <f>SUM(C61:C70)</f>
        <v>0</v>
      </c>
      <c r="D60" s="212">
        <f t="shared" ref="D60:K60" si="5">SUM(D61:D70)</f>
        <v>0</v>
      </c>
      <c r="E60" s="213">
        <f t="shared" si="5"/>
        <v>0</v>
      </c>
      <c r="F60" s="214">
        <f t="shared" si="5"/>
        <v>0</v>
      </c>
      <c r="G60" s="212">
        <f t="shared" si="5"/>
        <v>0</v>
      </c>
      <c r="H60" s="215">
        <f t="shared" si="5"/>
        <v>0</v>
      </c>
      <c r="I60" s="216">
        <f t="shared" si="5"/>
        <v>0</v>
      </c>
      <c r="J60" s="212">
        <f t="shared" si="5"/>
        <v>0</v>
      </c>
      <c r="K60" s="213">
        <f t="shared" si="5"/>
        <v>0</v>
      </c>
      <c r="L60" s="707"/>
      <c r="M60" s="708"/>
      <c r="N60" s="708"/>
      <c r="O60" s="708"/>
      <c r="P60" s="708"/>
      <c r="Q60" s="708"/>
      <c r="R60" s="708"/>
      <c r="S60" s="708"/>
      <c r="T60" s="708"/>
      <c r="U60" s="708"/>
      <c r="V60" s="708"/>
      <c r="W60" s="708"/>
      <c r="AD60" s="2315"/>
    </row>
    <row r="61" spans="1:30" ht="11.25" customHeight="1" x14ac:dyDescent="0.25">
      <c r="A61" s="136" t="str">
        <f>IF(RIGHT('Org structure'!D58,18)&lt;&gt;"[Name of sub-vote]",'Org structure'!D58,"")</f>
        <v>6.1 - Electricity</v>
      </c>
      <c r="B61" s="144"/>
      <c r="C61" s="712">
        <f>SUMIFS(Sheet1!S71_PPPYearAmount,Sheet1!S71_SubMunicipalVoteNo,$AC:$AC,Sheet1!S71_ItemType,$AD:$AD)</f>
        <v>0</v>
      </c>
      <c r="D61" s="712">
        <f>SUMIFS(Sheet1!S71_PPYearAmount,Sheet1!S71_SubMunicipalVoteNo,$AC:$AC,Sheet1!S71_ItemType,$AD:$AD)</f>
        <v>0</v>
      </c>
      <c r="E61" s="712">
        <f>SUMIFS(Sheet1!S71_PYearAmount,Sheet1!S71_SubMunicipalVoteNo,$AC:$AC,Sheet1!S71_ItemType,$AD:$AD)</f>
        <v>0</v>
      </c>
      <c r="F61" s="725">
        <f>-SUMIFS(Sheet1!S71_OriginalBudAmnt,Sheet1!S71_SubMunicipalVoteNo,$AC:$AC,Sheet1!S71_ItemType,$AD:$AD)</f>
        <v>0</v>
      </c>
      <c r="G61" s="712">
        <f>-SUMIFS(Sheet1!S71_AdjustmentBudAmnt,Sheet1!S71_SubMunicipalVoteNo,$AC:$AC,Sheet1!S71_ItemType,$AD:$AD)</f>
        <v>0</v>
      </c>
      <c r="H61" s="713">
        <f>-SUMIFS(Sheet1!S71_AdjustmentBudAmnt,Sheet1!S71_SubMunicipalVoteNo,$AC:$AC,Sheet1!S71_ItemType,$AD:$AD)</f>
        <v>0</v>
      </c>
      <c r="I61" s="725">
        <f>-SUMIFS(Sheet1!S71_ASBudgetAmount,Sheet1!S71_SubMunicipalVoteNo,$AC:$AC,Sheet1!S71_ItemType,$AD:$AD)</f>
        <v>0</v>
      </c>
      <c r="J61" s="712">
        <f>-SUMIFS(Sheet1!S71_OY1BudgetAmount,Sheet1!S71_SubMunicipalVoteNo,$AC:$AC,Sheet1!S71_ItemType,$AD:$AD)</f>
        <v>0</v>
      </c>
      <c r="K61" s="713">
        <f>-SUMIFS(Sheet1!S71_OY2BudgetAmount,Sheet1!S71_SubMunicipalVoteNo,$AC:$AC,Sheet1!S71_ItemType,$AD:$AD)</f>
        <v>0</v>
      </c>
      <c r="L61" s="707"/>
      <c r="M61" s="708"/>
      <c r="N61" s="708"/>
      <c r="O61" s="708"/>
      <c r="P61" s="708"/>
      <c r="Q61" s="708"/>
      <c r="R61" s="708"/>
      <c r="S61" s="708"/>
      <c r="T61" s="708"/>
      <c r="U61" s="708"/>
      <c r="V61" s="708"/>
      <c r="W61" s="708"/>
      <c r="AC61" s="2312">
        <v>61</v>
      </c>
      <c r="AD61" s="2318" t="s">
        <v>2759</v>
      </c>
    </row>
    <row r="62" spans="1:30" ht="11.25" customHeight="1" x14ac:dyDescent="0.25">
      <c r="A62" s="136" t="str">
        <f>IF(RIGHT('Org structure'!D59,18)&lt;&gt;"[Name of sub-vote]",'Org structure'!D59,"")</f>
        <v/>
      </c>
      <c r="B62" s="144"/>
      <c r="C62" s="712">
        <f>SUMIFS(Sheet1!S71_PPPYearAmount,Sheet1!S71_SubMunicipalVoteNo,$AC:$AC,Sheet1!S71_ItemType,$AD:$AD)</f>
        <v>0</v>
      </c>
      <c r="D62" s="712">
        <f>SUMIFS(Sheet1!S71_PPYearAmount,Sheet1!S71_SubMunicipalVoteNo,$AC:$AC,Sheet1!S71_ItemType,$AD:$AD)</f>
        <v>0</v>
      </c>
      <c r="E62" s="712">
        <f>SUMIFS(Sheet1!S71_PYearAmount,Sheet1!S71_SubMunicipalVoteNo,$AC:$AC,Sheet1!S71_ItemType,$AD:$AD)</f>
        <v>0</v>
      </c>
      <c r="F62" s="725">
        <f>-SUMIFS(Sheet1!S71_OriginalBudAmnt,Sheet1!S71_SubMunicipalVoteNo,$AC:$AC,Sheet1!S71_ItemType,$AD:$AD)</f>
        <v>0</v>
      </c>
      <c r="G62" s="712">
        <f>-SUMIFS(Sheet1!S71_AdjustmentBudAmnt,Sheet1!S71_SubMunicipalVoteNo,$AC:$AC,Sheet1!S71_ItemType,$AD:$AD)</f>
        <v>0</v>
      </c>
      <c r="H62" s="713">
        <f>-SUMIFS(Sheet1!S71_AdjustmentBudAmnt,Sheet1!S71_SubMunicipalVoteNo,$AC:$AC,Sheet1!S71_ItemType,$AD:$AD)</f>
        <v>0</v>
      </c>
      <c r="I62" s="725">
        <f>-SUMIFS(Sheet1!S71_ASBudgetAmount,Sheet1!S71_SubMunicipalVoteNo,$AC:$AC,Sheet1!S71_ItemType,$AD:$AD)</f>
        <v>0</v>
      </c>
      <c r="J62" s="712">
        <f>-SUMIFS(Sheet1!S71_OY1BudgetAmount,Sheet1!S71_SubMunicipalVoteNo,$AC:$AC,Sheet1!S71_ItemType,$AD:$AD)</f>
        <v>0</v>
      </c>
      <c r="K62" s="713">
        <f>-SUMIFS(Sheet1!S71_OY2BudgetAmount,Sheet1!S71_SubMunicipalVoteNo,$AC:$AC,Sheet1!S71_ItemType,$AD:$AD)</f>
        <v>0</v>
      </c>
      <c r="L62" s="707"/>
      <c r="M62" s="708"/>
      <c r="N62" s="708"/>
      <c r="O62" s="708"/>
      <c r="P62" s="708"/>
      <c r="Q62" s="708"/>
      <c r="R62" s="708"/>
      <c r="S62" s="708"/>
      <c r="T62" s="708"/>
      <c r="U62" s="708"/>
      <c r="V62" s="708"/>
      <c r="W62" s="708"/>
      <c r="AC62" s="2312">
        <v>62</v>
      </c>
      <c r="AD62" s="2318" t="s">
        <v>2759</v>
      </c>
    </row>
    <row r="63" spans="1:30" ht="11.25" customHeight="1" x14ac:dyDescent="0.25">
      <c r="A63" s="136" t="str">
        <f>IF(RIGHT('Org structure'!D60,18)&lt;&gt;"[Name of sub-vote]",'Org structure'!D60,"")</f>
        <v/>
      </c>
      <c r="B63" s="144"/>
      <c r="C63" s="712">
        <f>SUMIFS(Sheet1!S71_PPPYearAmount,Sheet1!S71_SubMunicipalVoteNo,$AC:$AC,Sheet1!S71_ItemType,$AD:$AD)</f>
        <v>0</v>
      </c>
      <c r="D63" s="712">
        <f>SUMIFS(Sheet1!S71_PPYearAmount,Sheet1!S71_SubMunicipalVoteNo,$AC:$AC,Sheet1!S71_ItemType,$AD:$AD)</f>
        <v>0</v>
      </c>
      <c r="E63" s="712">
        <f>SUMIFS(Sheet1!S71_PYearAmount,Sheet1!S71_SubMunicipalVoteNo,$AC:$AC,Sheet1!S71_ItemType,$AD:$AD)</f>
        <v>0</v>
      </c>
      <c r="F63" s="725">
        <f>-SUMIFS(Sheet1!S71_OriginalBudAmnt,Sheet1!S71_SubMunicipalVoteNo,$AC:$AC,Sheet1!S71_ItemType,$AD:$AD)</f>
        <v>0</v>
      </c>
      <c r="G63" s="712">
        <f>-SUMIFS(Sheet1!S71_AdjustmentBudAmnt,Sheet1!S71_SubMunicipalVoteNo,$AC:$AC,Sheet1!S71_ItemType,$AD:$AD)</f>
        <v>0</v>
      </c>
      <c r="H63" s="713">
        <f>-SUMIFS(Sheet1!S71_AdjustmentBudAmnt,Sheet1!S71_SubMunicipalVoteNo,$AC:$AC,Sheet1!S71_ItemType,$AD:$AD)</f>
        <v>0</v>
      </c>
      <c r="I63" s="725">
        <f>-SUMIFS(Sheet1!S71_ASBudgetAmount,Sheet1!S71_SubMunicipalVoteNo,$AC:$AC,Sheet1!S71_ItemType,$AD:$AD)</f>
        <v>0</v>
      </c>
      <c r="J63" s="712">
        <f>-SUMIFS(Sheet1!S71_OY1BudgetAmount,Sheet1!S71_SubMunicipalVoteNo,$AC:$AC,Sheet1!S71_ItemType,$AD:$AD)</f>
        <v>0</v>
      </c>
      <c r="K63" s="713">
        <f>-SUMIFS(Sheet1!S71_OY2BudgetAmount,Sheet1!S71_SubMunicipalVoteNo,$AC:$AC,Sheet1!S71_ItemType,$AD:$AD)</f>
        <v>0</v>
      </c>
      <c r="L63" s="707"/>
      <c r="M63" s="708"/>
      <c r="N63" s="708"/>
      <c r="O63" s="708"/>
      <c r="P63" s="708"/>
      <c r="Q63" s="708"/>
      <c r="R63" s="708"/>
      <c r="S63" s="708"/>
      <c r="T63" s="708"/>
      <c r="U63" s="708"/>
      <c r="V63" s="708"/>
      <c r="W63" s="708"/>
      <c r="AC63" s="2312">
        <v>63</v>
      </c>
      <c r="AD63" s="2318" t="s">
        <v>2759</v>
      </c>
    </row>
    <row r="64" spans="1:30" ht="11.25" customHeight="1" x14ac:dyDescent="0.25">
      <c r="A64" s="136" t="str">
        <f>IF(RIGHT('Org structure'!D61,18)&lt;&gt;"[Name of sub-vote]",'Org structure'!D61,"")</f>
        <v/>
      </c>
      <c r="B64" s="144"/>
      <c r="C64" s="712">
        <f>SUMIFS(Sheet1!S71_PPPYearAmount,Sheet1!S71_SubMunicipalVoteNo,$AC:$AC,Sheet1!S71_ItemType,$AD:$AD)</f>
        <v>0</v>
      </c>
      <c r="D64" s="712">
        <f>SUMIFS(Sheet1!S71_PPYearAmount,Sheet1!S71_SubMunicipalVoteNo,$AC:$AC,Sheet1!S71_ItemType,$AD:$AD)</f>
        <v>0</v>
      </c>
      <c r="E64" s="712">
        <f>SUMIFS(Sheet1!S71_PYearAmount,Sheet1!S71_SubMunicipalVoteNo,$AC:$AC,Sheet1!S71_ItemType,$AD:$AD)</f>
        <v>0</v>
      </c>
      <c r="F64" s="725">
        <f>-SUMIFS(Sheet1!S71_OriginalBudAmnt,Sheet1!S71_SubMunicipalVoteNo,$AC:$AC,Sheet1!S71_ItemType,$AD:$AD)</f>
        <v>0</v>
      </c>
      <c r="G64" s="712">
        <f>-SUMIFS(Sheet1!S71_AdjustmentBudAmnt,Sheet1!S71_SubMunicipalVoteNo,$AC:$AC,Sheet1!S71_ItemType,$AD:$AD)</f>
        <v>0</v>
      </c>
      <c r="H64" s="713">
        <f>-SUMIFS(Sheet1!S71_AdjustmentBudAmnt,Sheet1!S71_SubMunicipalVoteNo,$AC:$AC,Sheet1!S71_ItemType,$AD:$AD)</f>
        <v>0</v>
      </c>
      <c r="I64" s="725">
        <f>-SUMIFS(Sheet1!S71_ASBudgetAmount,Sheet1!S71_SubMunicipalVoteNo,$AC:$AC,Sheet1!S71_ItemType,$AD:$AD)</f>
        <v>0</v>
      </c>
      <c r="J64" s="712">
        <f>-SUMIFS(Sheet1!S71_OY1BudgetAmount,Sheet1!S71_SubMunicipalVoteNo,$AC:$AC,Sheet1!S71_ItemType,$AD:$AD)</f>
        <v>0</v>
      </c>
      <c r="K64" s="713">
        <f>-SUMIFS(Sheet1!S71_OY2BudgetAmount,Sheet1!S71_SubMunicipalVoteNo,$AC:$AC,Sheet1!S71_ItemType,$AD:$AD)</f>
        <v>0</v>
      </c>
      <c r="L64" s="707"/>
      <c r="M64" s="708"/>
      <c r="N64" s="708"/>
      <c r="O64" s="708"/>
      <c r="P64" s="708"/>
      <c r="Q64" s="708"/>
      <c r="R64" s="708"/>
      <c r="S64" s="708"/>
      <c r="T64" s="708"/>
      <c r="U64" s="708"/>
      <c r="V64" s="708"/>
      <c r="W64" s="708"/>
      <c r="AC64" s="2312">
        <v>64</v>
      </c>
      <c r="AD64" s="2318" t="s">
        <v>2759</v>
      </c>
    </row>
    <row r="65" spans="1:30" ht="11.25" customHeight="1" x14ac:dyDescent="0.25">
      <c r="A65" s="136" t="str">
        <f>IF(RIGHT('Org structure'!D62,18)&lt;&gt;"[Name of sub-vote]",'Org structure'!D62,"")</f>
        <v/>
      </c>
      <c r="B65" s="144"/>
      <c r="C65" s="712">
        <f>SUMIFS(Sheet1!S71_PPPYearAmount,Sheet1!S71_SubMunicipalVoteNo,$AC:$AC,Sheet1!S71_ItemType,$AD:$AD)</f>
        <v>0</v>
      </c>
      <c r="D65" s="712">
        <f>SUMIFS(Sheet1!S71_PPYearAmount,Sheet1!S71_SubMunicipalVoteNo,$AC:$AC,Sheet1!S71_ItemType,$AD:$AD)</f>
        <v>0</v>
      </c>
      <c r="E65" s="712">
        <f>SUMIFS(Sheet1!S71_PYearAmount,Sheet1!S71_SubMunicipalVoteNo,$AC:$AC,Sheet1!S71_ItemType,$AD:$AD)</f>
        <v>0</v>
      </c>
      <c r="F65" s="725">
        <f>-SUMIFS(Sheet1!S71_OriginalBudAmnt,Sheet1!S71_SubMunicipalVoteNo,$AC:$AC,Sheet1!S71_ItemType,$AD:$AD)</f>
        <v>0</v>
      </c>
      <c r="G65" s="712">
        <f>-SUMIFS(Sheet1!S71_AdjustmentBudAmnt,Sheet1!S71_SubMunicipalVoteNo,$AC:$AC,Sheet1!S71_ItemType,$AD:$AD)</f>
        <v>0</v>
      </c>
      <c r="H65" s="713">
        <f>-SUMIFS(Sheet1!S71_AdjustmentBudAmnt,Sheet1!S71_SubMunicipalVoteNo,$AC:$AC,Sheet1!S71_ItemType,$AD:$AD)</f>
        <v>0</v>
      </c>
      <c r="I65" s="725">
        <f>-SUMIFS(Sheet1!S71_ASBudgetAmount,Sheet1!S71_SubMunicipalVoteNo,$AC:$AC,Sheet1!S71_ItemType,$AD:$AD)</f>
        <v>0</v>
      </c>
      <c r="J65" s="712">
        <f>-SUMIFS(Sheet1!S71_OY1BudgetAmount,Sheet1!S71_SubMunicipalVoteNo,$AC:$AC,Sheet1!S71_ItemType,$AD:$AD)</f>
        <v>0</v>
      </c>
      <c r="K65" s="713">
        <f>-SUMIFS(Sheet1!S71_OY2BudgetAmount,Sheet1!S71_SubMunicipalVoteNo,$AC:$AC,Sheet1!S71_ItemType,$AD:$AD)</f>
        <v>0</v>
      </c>
      <c r="L65" s="707"/>
      <c r="M65" s="708"/>
      <c r="N65" s="708"/>
      <c r="O65" s="708"/>
      <c r="P65" s="708"/>
      <c r="Q65" s="708"/>
      <c r="R65" s="708"/>
      <c r="S65" s="708"/>
      <c r="T65" s="708"/>
      <c r="U65" s="708"/>
      <c r="V65" s="708"/>
      <c r="W65" s="708"/>
      <c r="AC65" s="2312">
        <v>65</v>
      </c>
      <c r="AD65" s="2318" t="s">
        <v>2759</v>
      </c>
    </row>
    <row r="66" spans="1:30" ht="11.25" customHeight="1" x14ac:dyDescent="0.25">
      <c r="A66" s="136" t="str">
        <f>IF(RIGHT('Org structure'!D63,18)&lt;&gt;"[Name of sub-vote]",'Org structure'!D63,"")</f>
        <v/>
      </c>
      <c r="B66" s="144"/>
      <c r="C66" s="712">
        <f>SUMIFS(Sheet1!S71_PPPYearAmount,Sheet1!S71_SubMunicipalVoteNo,$AC:$AC,Sheet1!S71_ItemType,$AD:$AD)</f>
        <v>0</v>
      </c>
      <c r="D66" s="712">
        <f>SUMIFS(Sheet1!S71_PPYearAmount,Sheet1!S71_SubMunicipalVoteNo,$AC:$AC,Sheet1!S71_ItemType,$AD:$AD)</f>
        <v>0</v>
      </c>
      <c r="E66" s="712">
        <f>SUMIFS(Sheet1!S71_PYearAmount,Sheet1!S71_SubMunicipalVoteNo,$AC:$AC,Sheet1!S71_ItemType,$AD:$AD)</f>
        <v>0</v>
      </c>
      <c r="F66" s="725">
        <f>-SUMIFS(Sheet1!S71_OriginalBudAmnt,Sheet1!S71_SubMunicipalVoteNo,$AC:$AC,Sheet1!S71_ItemType,$AD:$AD)</f>
        <v>0</v>
      </c>
      <c r="G66" s="712">
        <f>-SUMIFS(Sheet1!S71_AdjustmentBudAmnt,Sheet1!S71_SubMunicipalVoteNo,$AC:$AC,Sheet1!S71_ItemType,$AD:$AD)</f>
        <v>0</v>
      </c>
      <c r="H66" s="713">
        <f>-SUMIFS(Sheet1!S71_AdjustmentBudAmnt,Sheet1!S71_SubMunicipalVoteNo,$AC:$AC,Sheet1!S71_ItemType,$AD:$AD)</f>
        <v>0</v>
      </c>
      <c r="I66" s="725">
        <f>-SUMIFS(Sheet1!S71_ASBudgetAmount,Sheet1!S71_SubMunicipalVoteNo,$AC:$AC,Sheet1!S71_ItemType,$AD:$AD)</f>
        <v>0</v>
      </c>
      <c r="J66" s="712">
        <f>-SUMIFS(Sheet1!S71_OY1BudgetAmount,Sheet1!S71_SubMunicipalVoteNo,$AC:$AC,Sheet1!S71_ItemType,$AD:$AD)</f>
        <v>0</v>
      </c>
      <c r="K66" s="713">
        <f>-SUMIFS(Sheet1!S71_OY2BudgetAmount,Sheet1!S71_SubMunicipalVoteNo,$AC:$AC,Sheet1!S71_ItemType,$AD:$AD)</f>
        <v>0</v>
      </c>
      <c r="L66" s="707"/>
      <c r="M66" s="708"/>
      <c r="N66" s="708"/>
      <c r="O66" s="708"/>
      <c r="P66" s="708"/>
      <c r="Q66" s="708"/>
      <c r="R66" s="708"/>
      <c r="S66" s="708"/>
      <c r="T66" s="708"/>
      <c r="U66" s="708"/>
      <c r="V66" s="708"/>
      <c r="W66" s="708"/>
      <c r="AC66" s="2312">
        <v>66</v>
      </c>
      <c r="AD66" s="2318" t="s">
        <v>2759</v>
      </c>
    </row>
    <row r="67" spans="1:30" ht="11.25" customHeight="1" x14ac:dyDescent="0.25">
      <c r="A67" s="136" t="str">
        <f>IF(RIGHT('Org structure'!D64,18)&lt;&gt;"[Name of sub-vote]",'Org structure'!D64,"")</f>
        <v/>
      </c>
      <c r="B67" s="144"/>
      <c r="C67" s="712">
        <f>SUMIFS(Sheet1!S71_PPPYearAmount,Sheet1!S71_SubMunicipalVoteNo,$AC:$AC,Sheet1!S71_ItemType,$AD:$AD)</f>
        <v>0</v>
      </c>
      <c r="D67" s="712">
        <f>SUMIFS(Sheet1!S71_PPYearAmount,Sheet1!S71_SubMunicipalVoteNo,$AC:$AC,Sheet1!S71_ItemType,$AD:$AD)</f>
        <v>0</v>
      </c>
      <c r="E67" s="712">
        <f>SUMIFS(Sheet1!S71_PYearAmount,Sheet1!S71_SubMunicipalVoteNo,$AC:$AC,Sheet1!S71_ItemType,$AD:$AD)</f>
        <v>0</v>
      </c>
      <c r="F67" s="725">
        <f>-SUMIFS(Sheet1!S71_OriginalBudAmnt,Sheet1!S71_SubMunicipalVoteNo,$AC:$AC,Sheet1!S71_ItemType,$AD:$AD)</f>
        <v>0</v>
      </c>
      <c r="G67" s="712">
        <f>-SUMIFS(Sheet1!S71_AdjustmentBudAmnt,Sheet1!S71_SubMunicipalVoteNo,$AC:$AC,Sheet1!S71_ItemType,$AD:$AD)</f>
        <v>0</v>
      </c>
      <c r="H67" s="713">
        <f>-SUMIFS(Sheet1!S71_AdjustmentBudAmnt,Sheet1!S71_SubMunicipalVoteNo,$AC:$AC,Sheet1!S71_ItemType,$AD:$AD)</f>
        <v>0</v>
      </c>
      <c r="I67" s="725">
        <f>-SUMIFS(Sheet1!S71_ASBudgetAmount,Sheet1!S71_SubMunicipalVoteNo,$AC:$AC,Sheet1!S71_ItemType,$AD:$AD)</f>
        <v>0</v>
      </c>
      <c r="J67" s="712">
        <f>-SUMIFS(Sheet1!S71_OY1BudgetAmount,Sheet1!S71_SubMunicipalVoteNo,$AC:$AC,Sheet1!S71_ItemType,$AD:$AD)</f>
        <v>0</v>
      </c>
      <c r="K67" s="713">
        <f>-SUMIFS(Sheet1!S71_OY2BudgetAmount,Sheet1!S71_SubMunicipalVoteNo,$AC:$AC,Sheet1!S71_ItemType,$AD:$AD)</f>
        <v>0</v>
      </c>
      <c r="L67" s="707"/>
      <c r="M67" s="708"/>
      <c r="N67" s="708"/>
      <c r="O67" s="708"/>
      <c r="P67" s="708"/>
      <c r="Q67" s="708"/>
      <c r="R67" s="708"/>
      <c r="S67" s="708"/>
      <c r="T67" s="708"/>
      <c r="U67" s="708"/>
      <c r="V67" s="708"/>
      <c r="W67" s="708"/>
      <c r="AC67" s="2312">
        <v>67</v>
      </c>
      <c r="AD67" s="2318" t="s">
        <v>2759</v>
      </c>
    </row>
    <row r="68" spans="1:30" ht="11.25" customHeight="1" x14ac:dyDescent="0.25">
      <c r="A68" s="136" t="str">
        <f>IF(RIGHT('Org structure'!D65,18)&lt;&gt;"[Name of sub-vote]",'Org structure'!D65,"")</f>
        <v/>
      </c>
      <c r="B68" s="144"/>
      <c r="C68" s="712">
        <f>SUMIFS(Sheet1!S71_PPPYearAmount,Sheet1!S71_SubMunicipalVoteNo,$AC:$AC,Sheet1!S71_ItemType,$AD:$AD)</f>
        <v>0</v>
      </c>
      <c r="D68" s="712">
        <f>SUMIFS(Sheet1!S71_PPYearAmount,Sheet1!S71_SubMunicipalVoteNo,$AC:$AC,Sheet1!S71_ItemType,$AD:$AD)</f>
        <v>0</v>
      </c>
      <c r="E68" s="712">
        <f>SUMIFS(Sheet1!S71_PYearAmount,Sheet1!S71_SubMunicipalVoteNo,$AC:$AC,Sheet1!S71_ItemType,$AD:$AD)</f>
        <v>0</v>
      </c>
      <c r="F68" s="725">
        <f>-SUMIFS(Sheet1!S71_OriginalBudAmnt,Sheet1!S71_SubMunicipalVoteNo,$AC:$AC,Sheet1!S71_ItemType,$AD:$AD)</f>
        <v>0</v>
      </c>
      <c r="G68" s="712">
        <f>-SUMIFS(Sheet1!S71_AdjustmentBudAmnt,Sheet1!S71_SubMunicipalVoteNo,$AC:$AC,Sheet1!S71_ItemType,$AD:$AD)</f>
        <v>0</v>
      </c>
      <c r="H68" s="713">
        <f>-SUMIFS(Sheet1!S71_AdjustmentBudAmnt,Sheet1!S71_SubMunicipalVoteNo,$AC:$AC,Sheet1!S71_ItemType,$AD:$AD)</f>
        <v>0</v>
      </c>
      <c r="I68" s="725">
        <f>-SUMIFS(Sheet1!S71_ASBudgetAmount,Sheet1!S71_SubMunicipalVoteNo,$AC:$AC,Sheet1!S71_ItemType,$AD:$AD)</f>
        <v>0</v>
      </c>
      <c r="J68" s="712">
        <f>-SUMIFS(Sheet1!S71_OY1BudgetAmount,Sheet1!S71_SubMunicipalVoteNo,$AC:$AC,Sheet1!S71_ItemType,$AD:$AD)</f>
        <v>0</v>
      </c>
      <c r="K68" s="713">
        <f>-SUMIFS(Sheet1!S71_OY2BudgetAmount,Sheet1!S71_SubMunicipalVoteNo,$AC:$AC,Sheet1!S71_ItemType,$AD:$AD)</f>
        <v>0</v>
      </c>
      <c r="L68" s="707"/>
      <c r="M68" s="708"/>
      <c r="N68" s="708"/>
      <c r="O68" s="708"/>
      <c r="P68" s="708"/>
      <c r="Q68" s="708"/>
      <c r="R68" s="708"/>
      <c r="S68" s="708"/>
      <c r="T68" s="708"/>
      <c r="U68" s="708"/>
      <c r="V68" s="708"/>
      <c r="W68" s="708"/>
      <c r="AC68" s="2312">
        <v>68</v>
      </c>
      <c r="AD68" s="2318" t="s">
        <v>2759</v>
      </c>
    </row>
    <row r="69" spans="1:30" ht="11.25" customHeight="1" x14ac:dyDescent="0.25">
      <c r="A69" s="136" t="str">
        <f>IF(RIGHT('Org structure'!D66,18)&lt;&gt;"[Name of sub-vote]",'Org structure'!D66,"")</f>
        <v/>
      </c>
      <c r="B69" s="144"/>
      <c r="C69" s="712">
        <f>SUMIFS(Sheet1!S71_PPPYearAmount,Sheet1!S71_SubMunicipalVoteNo,$AC:$AC,Sheet1!S71_ItemType,$AD:$AD)</f>
        <v>0</v>
      </c>
      <c r="D69" s="712">
        <f>SUMIFS(Sheet1!S71_PPYearAmount,Sheet1!S71_SubMunicipalVoteNo,$AC:$AC,Sheet1!S71_ItemType,$AD:$AD)</f>
        <v>0</v>
      </c>
      <c r="E69" s="712">
        <f>SUMIFS(Sheet1!S71_PYearAmount,Sheet1!S71_SubMunicipalVoteNo,$AC:$AC,Sheet1!S71_ItemType,$AD:$AD)</f>
        <v>0</v>
      </c>
      <c r="F69" s="725">
        <f>-SUMIFS(Sheet1!S71_OriginalBudAmnt,Sheet1!S71_SubMunicipalVoteNo,$AC:$AC,Sheet1!S71_ItemType,$AD:$AD)</f>
        <v>0</v>
      </c>
      <c r="G69" s="712">
        <f>-SUMIFS(Sheet1!S71_AdjustmentBudAmnt,Sheet1!S71_SubMunicipalVoteNo,$AC:$AC,Sheet1!S71_ItemType,$AD:$AD)</f>
        <v>0</v>
      </c>
      <c r="H69" s="713">
        <f>-SUMIFS(Sheet1!S71_AdjustmentBudAmnt,Sheet1!S71_SubMunicipalVoteNo,$AC:$AC,Sheet1!S71_ItemType,$AD:$AD)</f>
        <v>0</v>
      </c>
      <c r="I69" s="725">
        <f>-SUMIFS(Sheet1!S71_ASBudgetAmount,Sheet1!S71_SubMunicipalVoteNo,$AC:$AC,Sheet1!S71_ItemType,$AD:$AD)</f>
        <v>0</v>
      </c>
      <c r="J69" s="712">
        <f>-SUMIFS(Sheet1!S71_OY1BudgetAmount,Sheet1!S71_SubMunicipalVoteNo,$AC:$AC,Sheet1!S71_ItemType,$AD:$AD)</f>
        <v>0</v>
      </c>
      <c r="K69" s="713">
        <f>-SUMIFS(Sheet1!S71_OY2BudgetAmount,Sheet1!S71_SubMunicipalVoteNo,$AC:$AC,Sheet1!S71_ItemType,$AD:$AD)</f>
        <v>0</v>
      </c>
      <c r="L69" s="707"/>
      <c r="M69" s="708"/>
      <c r="N69" s="708"/>
      <c r="O69" s="708"/>
      <c r="P69" s="708"/>
      <c r="Q69" s="708"/>
      <c r="R69" s="708"/>
      <c r="S69" s="708"/>
      <c r="T69" s="708"/>
      <c r="U69" s="708"/>
      <c r="V69" s="708"/>
      <c r="W69" s="708"/>
      <c r="AC69" s="2312">
        <v>69</v>
      </c>
      <c r="AD69" s="2318" t="s">
        <v>2759</v>
      </c>
    </row>
    <row r="70" spans="1:30" ht="11.25" customHeight="1" x14ac:dyDescent="0.25">
      <c r="A70" s="136" t="str">
        <f>IF(RIGHT('Org structure'!D67,18)&lt;&gt;"[Name of sub-vote]",'Org structure'!D67,"")</f>
        <v/>
      </c>
      <c r="B70" s="144"/>
      <c r="C70" s="712">
        <f>SUMIFS(Sheet1!S71_PPPYearAmount,Sheet1!S71_SubMunicipalVoteNo,$AC:$AC,Sheet1!S71_ItemType,$AD:$AD)</f>
        <v>0</v>
      </c>
      <c r="D70" s="712">
        <f>SUMIFS(Sheet1!S71_PPYearAmount,Sheet1!S71_SubMunicipalVoteNo,$AC:$AC,Sheet1!S71_ItemType,$AD:$AD)</f>
        <v>0</v>
      </c>
      <c r="E70" s="712">
        <f>SUMIFS(Sheet1!S71_PYearAmount,Sheet1!S71_SubMunicipalVoteNo,$AC:$AC,Sheet1!S71_ItemType,$AD:$AD)</f>
        <v>0</v>
      </c>
      <c r="F70" s="725">
        <f>-SUMIFS(Sheet1!S71_OriginalBudAmnt,Sheet1!S71_SubMunicipalVoteNo,$AC:$AC,Sheet1!S71_ItemType,$AD:$AD)</f>
        <v>0</v>
      </c>
      <c r="G70" s="712">
        <f>-SUMIFS(Sheet1!S71_AdjustmentBudAmnt,Sheet1!S71_SubMunicipalVoteNo,$AC:$AC,Sheet1!S71_ItemType,$AD:$AD)</f>
        <v>0</v>
      </c>
      <c r="H70" s="713">
        <f>-SUMIFS(Sheet1!S71_AdjustmentBudAmnt,Sheet1!S71_SubMunicipalVoteNo,$AC:$AC,Sheet1!S71_ItemType,$AD:$AD)</f>
        <v>0</v>
      </c>
      <c r="I70" s="725">
        <f>-SUMIFS(Sheet1!S71_ASBudgetAmount,Sheet1!S71_SubMunicipalVoteNo,$AC:$AC,Sheet1!S71_ItemType,$AD:$AD)</f>
        <v>0</v>
      </c>
      <c r="J70" s="712">
        <f>-SUMIFS(Sheet1!S71_OY1BudgetAmount,Sheet1!S71_SubMunicipalVoteNo,$AC:$AC,Sheet1!S71_ItemType,$AD:$AD)</f>
        <v>0</v>
      </c>
      <c r="K70" s="713">
        <f>-SUMIFS(Sheet1!S71_OY2BudgetAmount,Sheet1!S71_SubMunicipalVoteNo,$AC:$AC,Sheet1!S71_ItemType,$AD:$AD)</f>
        <v>0</v>
      </c>
      <c r="L70" s="707"/>
      <c r="M70" s="708"/>
      <c r="N70" s="708"/>
      <c r="O70" s="708"/>
      <c r="P70" s="708"/>
      <c r="Q70" s="708"/>
      <c r="R70" s="708"/>
      <c r="S70" s="708"/>
      <c r="T70" s="708"/>
      <c r="U70" s="708"/>
      <c r="V70" s="708"/>
      <c r="W70" s="708"/>
      <c r="AC70" s="2312">
        <v>610</v>
      </c>
      <c r="AD70" s="2318" t="s">
        <v>2759</v>
      </c>
    </row>
    <row r="71" spans="1:30" ht="15" customHeight="1" x14ac:dyDescent="0.25">
      <c r="A71" s="135" t="str">
        <f>'Org structure'!A8</f>
        <v>Vote 7 - Road Transport</v>
      </c>
      <c r="B71" s="211"/>
      <c r="C71" s="212">
        <f t="shared" ref="C71:K71" si="6">SUM(C72:C81)</f>
        <v>26250</v>
      </c>
      <c r="D71" s="212">
        <f t="shared" si="6"/>
        <v>27055</v>
      </c>
      <c r="E71" s="213">
        <f t="shared" si="6"/>
        <v>23190</v>
      </c>
      <c r="F71" s="214">
        <f t="shared" si="6"/>
        <v>30000</v>
      </c>
      <c r="G71" s="212">
        <f t="shared" si="6"/>
        <v>30000</v>
      </c>
      <c r="H71" s="215">
        <f t="shared" si="6"/>
        <v>30000</v>
      </c>
      <c r="I71" s="216">
        <f t="shared" si="6"/>
        <v>31170</v>
      </c>
      <c r="J71" s="212">
        <f t="shared" si="6"/>
        <v>32417</v>
      </c>
      <c r="K71" s="213">
        <f t="shared" si="6"/>
        <v>33713</v>
      </c>
      <c r="L71" s="707"/>
      <c r="M71" s="708"/>
      <c r="N71" s="708"/>
      <c r="O71" s="708"/>
      <c r="P71" s="708"/>
      <c r="Q71" s="708"/>
      <c r="R71" s="708"/>
      <c r="S71" s="708"/>
      <c r="T71" s="708"/>
      <c r="U71" s="708"/>
      <c r="V71" s="708"/>
      <c r="W71" s="708"/>
      <c r="AD71" s="2315"/>
    </row>
    <row r="72" spans="1:30" ht="11.25" customHeight="1" x14ac:dyDescent="0.25">
      <c r="A72" s="136" t="str">
        <f>IF(RIGHT('Org structure'!D69,18)&lt;&gt;"[Name of sub-vote]",'Org structure'!D69,"")</f>
        <v>7.1 - Roads</v>
      </c>
      <c r="B72" s="144"/>
      <c r="C72" s="712">
        <f>SUMIFS(Sheet1!S71_PPPYearAmount,Sheet1!S71_SubMunicipalVoteNo,$AC:$AC,Sheet1!S71_ItemType,$AD:$AD)</f>
        <v>26250</v>
      </c>
      <c r="D72" s="712">
        <f>SUMIFS(Sheet1!S71_PPYearAmount,Sheet1!S71_SubMunicipalVoteNo,$AC:$AC,Sheet1!S71_ItemType,$AD:$AD)</f>
        <v>27055</v>
      </c>
      <c r="E72" s="712">
        <f>SUMIFS(Sheet1!S71_PYearAmount,Sheet1!S71_SubMunicipalVoteNo,$AC:$AC,Sheet1!S71_ItemType,$AD:$AD)</f>
        <v>23190</v>
      </c>
      <c r="F72" s="725">
        <f>-SUMIFS(Sheet1!S71_OriginalBudAmnt,Sheet1!S71_SubMunicipalVoteNo,$AC:$AC,Sheet1!S71_ItemType,$AD:$AD)</f>
        <v>30000</v>
      </c>
      <c r="G72" s="712">
        <f>-SUMIFS(Sheet1!S71_AdjustmentBudAmnt,Sheet1!S71_SubMunicipalVoteNo,$AC:$AC,Sheet1!S71_ItemType,$AD:$AD)</f>
        <v>30000</v>
      </c>
      <c r="H72" s="713">
        <f>-SUMIFS(Sheet1!S71_AdjustmentBudAmnt,Sheet1!S71_SubMunicipalVoteNo,$AC:$AC,Sheet1!S71_ItemType,$AD:$AD)</f>
        <v>30000</v>
      </c>
      <c r="I72" s="725">
        <f>-SUMIFS(Sheet1!S71_ASBudgetAmount,Sheet1!S71_SubMunicipalVoteNo,$AC:$AC,Sheet1!S71_ItemType,$AD:$AD)</f>
        <v>31170</v>
      </c>
      <c r="J72" s="712">
        <f>-SUMIFS(Sheet1!S71_OY1BudgetAmount,Sheet1!S71_SubMunicipalVoteNo,$AC:$AC,Sheet1!S71_ItemType,$AD:$AD)</f>
        <v>32417</v>
      </c>
      <c r="K72" s="713">
        <f>-SUMIFS(Sheet1!S71_OY2BudgetAmount,Sheet1!S71_SubMunicipalVoteNo,$AC:$AC,Sheet1!S71_ItemType,$AD:$AD)</f>
        <v>33713</v>
      </c>
      <c r="L72" s="707"/>
      <c r="M72" s="708"/>
      <c r="N72" s="708"/>
      <c r="O72" s="708"/>
      <c r="P72" s="708"/>
      <c r="Q72" s="708"/>
      <c r="R72" s="708"/>
      <c r="S72" s="708"/>
      <c r="T72" s="708"/>
      <c r="U72" s="708"/>
      <c r="V72" s="708"/>
      <c r="W72" s="708"/>
      <c r="AC72" s="2312">
        <v>71</v>
      </c>
      <c r="AD72" s="2318" t="s">
        <v>2759</v>
      </c>
    </row>
    <row r="73" spans="1:30" ht="11.25" customHeight="1" x14ac:dyDescent="0.25">
      <c r="A73" s="136" t="str">
        <f>IF(RIGHT('Org structure'!D70,18)&lt;&gt;"[Name of sub-vote]",'Org structure'!D70,"")</f>
        <v/>
      </c>
      <c r="B73" s="144"/>
      <c r="C73" s="712">
        <f>SUMIFS(Sheet1!S71_PPPYearAmount,Sheet1!S71_SubMunicipalVoteNo,$AC:$AC,Sheet1!S71_ItemType,$AD:$AD)</f>
        <v>0</v>
      </c>
      <c r="D73" s="712">
        <f>SUMIFS(Sheet1!S71_PPYearAmount,Sheet1!S71_SubMunicipalVoteNo,$AC:$AC,Sheet1!S71_ItemType,$AD:$AD)</f>
        <v>0</v>
      </c>
      <c r="E73" s="712">
        <f>SUMIFS(Sheet1!S71_PYearAmount,Sheet1!S71_SubMunicipalVoteNo,$AC:$AC,Sheet1!S71_ItemType,$AD:$AD)</f>
        <v>0</v>
      </c>
      <c r="F73" s="725">
        <f>-SUMIFS(Sheet1!S71_OriginalBudAmnt,Sheet1!S71_SubMunicipalVoteNo,$AC:$AC,Sheet1!S71_ItemType,$AD:$AD)</f>
        <v>0</v>
      </c>
      <c r="G73" s="712">
        <f>-SUMIFS(Sheet1!S71_AdjustmentBudAmnt,Sheet1!S71_SubMunicipalVoteNo,$AC:$AC,Sheet1!S71_ItemType,$AD:$AD)</f>
        <v>0</v>
      </c>
      <c r="H73" s="713">
        <f>-SUMIFS(Sheet1!S71_AdjustmentBudAmnt,Sheet1!S71_SubMunicipalVoteNo,$AC:$AC,Sheet1!S71_ItemType,$AD:$AD)</f>
        <v>0</v>
      </c>
      <c r="I73" s="725">
        <f>-SUMIFS(Sheet1!S71_ASBudgetAmount,Sheet1!S71_SubMunicipalVoteNo,$AC:$AC,Sheet1!S71_ItemType,$AD:$AD)</f>
        <v>0</v>
      </c>
      <c r="J73" s="712">
        <f>-SUMIFS(Sheet1!S71_OY1BudgetAmount,Sheet1!S71_SubMunicipalVoteNo,$AC:$AC,Sheet1!S71_ItemType,$AD:$AD)</f>
        <v>0</v>
      </c>
      <c r="K73" s="713">
        <f>-SUMIFS(Sheet1!S71_OY2BudgetAmount,Sheet1!S71_SubMunicipalVoteNo,$AC:$AC,Sheet1!S71_ItemType,$AD:$AD)</f>
        <v>0</v>
      </c>
      <c r="L73" s="707"/>
      <c r="M73" s="708"/>
      <c r="N73" s="708"/>
      <c r="O73" s="708"/>
      <c r="P73" s="708"/>
      <c r="Q73" s="708"/>
      <c r="R73" s="708"/>
      <c r="S73" s="708"/>
      <c r="T73" s="708"/>
      <c r="U73" s="708"/>
      <c r="V73" s="708"/>
      <c r="W73" s="708"/>
      <c r="AC73" s="2312">
        <v>72</v>
      </c>
      <c r="AD73" s="2318" t="s">
        <v>2759</v>
      </c>
    </row>
    <row r="74" spans="1:30" ht="11.25" customHeight="1" x14ac:dyDescent="0.25">
      <c r="A74" s="136" t="str">
        <f>IF(RIGHT('Org structure'!D71,18)&lt;&gt;"[Name of sub-vote]",'Org structure'!D71,"")</f>
        <v/>
      </c>
      <c r="B74" s="144"/>
      <c r="C74" s="712">
        <f>SUMIFS(Sheet1!S71_PPPYearAmount,Sheet1!S71_SubMunicipalVoteNo,$AC:$AC,Sheet1!S71_ItemType,$AD:$AD)</f>
        <v>0</v>
      </c>
      <c r="D74" s="712">
        <f>SUMIFS(Sheet1!S71_PPYearAmount,Sheet1!S71_SubMunicipalVoteNo,$AC:$AC,Sheet1!S71_ItemType,$AD:$AD)</f>
        <v>0</v>
      </c>
      <c r="E74" s="712">
        <f>SUMIFS(Sheet1!S71_PYearAmount,Sheet1!S71_SubMunicipalVoteNo,$AC:$AC,Sheet1!S71_ItemType,$AD:$AD)</f>
        <v>0</v>
      </c>
      <c r="F74" s="725">
        <f>-SUMIFS(Sheet1!S71_OriginalBudAmnt,Sheet1!S71_SubMunicipalVoteNo,$AC:$AC,Sheet1!S71_ItemType,$AD:$AD)</f>
        <v>0</v>
      </c>
      <c r="G74" s="712">
        <f>-SUMIFS(Sheet1!S71_AdjustmentBudAmnt,Sheet1!S71_SubMunicipalVoteNo,$AC:$AC,Sheet1!S71_ItemType,$AD:$AD)</f>
        <v>0</v>
      </c>
      <c r="H74" s="713">
        <f>-SUMIFS(Sheet1!S71_AdjustmentBudAmnt,Sheet1!S71_SubMunicipalVoteNo,$AC:$AC,Sheet1!S71_ItemType,$AD:$AD)</f>
        <v>0</v>
      </c>
      <c r="I74" s="725">
        <f>-SUMIFS(Sheet1!S71_ASBudgetAmount,Sheet1!S71_SubMunicipalVoteNo,$AC:$AC,Sheet1!S71_ItemType,$AD:$AD)</f>
        <v>0</v>
      </c>
      <c r="J74" s="712">
        <f>-SUMIFS(Sheet1!S71_OY1BudgetAmount,Sheet1!S71_SubMunicipalVoteNo,$AC:$AC,Sheet1!S71_ItemType,$AD:$AD)</f>
        <v>0</v>
      </c>
      <c r="K74" s="713">
        <f>-SUMIFS(Sheet1!S71_OY2BudgetAmount,Sheet1!S71_SubMunicipalVoteNo,$AC:$AC,Sheet1!S71_ItemType,$AD:$AD)</f>
        <v>0</v>
      </c>
      <c r="L74" s="707"/>
      <c r="M74" s="708"/>
      <c r="N74" s="708"/>
      <c r="O74" s="708"/>
      <c r="P74" s="708"/>
      <c r="Q74" s="708"/>
      <c r="R74" s="708"/>
      <c r="S74" s="708"/>
      <c r="T74" s="708"/>
      <c r="U74" s="708"/>
      <c r="V74" s="708"/>
      <c r="W74" s="708"/>
      <c r="AC74" s="2312">
        <v>73</v>
      </c>
      <c r="AD74" s="2318" t="s">
        <v>2759</v>
      </c>
    </row>
    <row r="75" spans="1:30" ht="11.25" customHeight="1" x14ac:dyDescent="0.25">
      <c r="A75" s="136" t="str">
        <f>IF(RIGHT('Org structure'!D72,18)&lt;&gt;"[Name of sub-vote]",'Org structure'!D72,"")</f>
        <v/>
      </c>
      <c r="B75" s="144"/>
      <c r="C75" s="712">
        <f>SUMIFS(Sheet1!S71_PPPYearAmount,Sheet1!S71_SubMunicipalVoteNo,$AC:$AC,Sheet1!S71_ItemType,$AD:$AD)</f>
        <v>0</v>
      </c>
      <c r="D75" s="712">
        <f>SUMIFS(Sheet1!S71_PPYearAmount,Sheet1!S71_SubMunicipalVoteNo,$AC:$AC,Sheet1!S71_ItemType,$AD:$AD)</f>
        <v>0</v>
      </c>
      <c r="E75" s="712">
        <f>SUMIFS(Sheet1!S71_PYearAmount,Sheet1!S71_SubMunicipalVoteNo,$AC:$AC,Sheet1!S71_ItemType,$AD:$AD)</f>
        <v>0</v>
      </c>
      <c r="F75" s="725">
        <f>-SUMIFS(Sheet1!S71_OriginalBudAmnt,Sheet1!S71_SubMunicipalVoteNo,$AC:$AC,Sheet1!S71_ItemType,$AD:$AD)</f>
        <v>0</v>
      </c>
      <c r="G75" s="712">
        <f>-SUMIFS(Sheet1!S71_AdjustmentBudAmnt,Sheet1!S71_SubMunicipalVoteNo,$AC:$AC,Sheet1!S71_ItemType,$AD:$AD)</f>
        <v>0</v>
      </c>
      <c r="H75" s="713">
        <f>-SUMIFS(Sheet1!S71_AdjustmentBudAmnt,Sheet1!S71_SubMunicipalVoteNo,$AC:$AC,Sheet1!S71_ItemType,$AD:$AD)</f>
        <v>0</v>
      </c>
      <c r="I75" s="725">
        <f>-SUMIFS(Sheet1!S71_ASBudgetAmount,Sheet1!S71_SubMunicipalVoteNo,$AC:$AC,Sheet1!S71_ItemType,$AD:$AD)</f>
        <v>0</v>
      </c>
      <c r="J75" s="712">
        <f>-SUMIFS(Sheet1!S71_OY1BudgetAmount,Sheet1!S71_SubMunicipalVoteNo,$AC:$AC,Sheet1!S71_ItemType,$AD:$AD)</f>
        <v>0</v>
      </c>
      <c r="K75" s="713">
        <f>-SUMIFS(Sheet1!S71_OY2BudgetAmount,Sheet1!S71_SubMunicipalVoteNo,$AC:$AC,Sheet1!S71_ItemType,$AD:$AD)</f>
        <v>0</v>
      </c>
      <c r="L75" s="707"/>
      <c r="M75" s="708"/>
      <c r="N75" s="708"/>
      <c r="O75" s="708"/>
      <c r="P75" s="708"/>
      <c r="Q75" s="708"/>
      <c r="R75" s="708"/>
      <c r="S75" s="708"/>
      <c r="T75" s="708"/>
      <c r="U75" s="708"/>
      <c r="V75" s="708"/>
      <c r="W75" s="708"/>
      <c r="AC75" s="2312">
        <v>74</v>
      </c>
      <c r="AD75" s="2318" t="s">
        <v>2759</v>
      </c>
    </row>
    <row r="76" spans="1:30" ht="11.25" customHeight="1" x14ac:dyDescent="0.25">
      <c r="A76" s="136" t="str">
        <f>IF(RIGHT('Org structure'!D73,18)&lt;&gt;"[Name of sub-vote]",'Org structure'!D73,"")</f>
        <v/>
      </c>
      <c r="B76" s="144"/>
      <c r="C76" s="712">
        <f>SUMIFS(Sheet1!S71_PPPYearAmount,Sheet1!S71_SubMunicipalVoteNo,$AC:$AC,Sheet1!S71_ItemType,$AD:$AD)</f>
        <v>0</v>
      </c>
      <c r="D76" s="712">
        <f>SUMIFS(Sheet1!S71_PPYearAmount,Sheet1!S71_SubMunicipalVoteNo,$AC:$AC,Sheet1!S71_ItemType,$AD:$AD)</f>
        <v>0</v>
      </c>
      <c r="E76" s="712">
        <f>SUMIFS(Sheet1!S71_PYearAmount,Sheet1!S71_SubMunicipalVoteNo,$AC:$AC,Sheet1!S71_ItemType,$AD:$AD)</f>
        <v>0</v>
      </c>
      <c r="F76" s="725">
        <f>-SUMIFS(Sheet1!S71_OriginalBudAmnt,Sheet1!S71_SubMunicipalVoteNo,$AC:$AC,Sheet1!S71_ItemType,$AD:$AD)</f>
        <v>0</v>
      </c>
      <c r="G76" s="712">
        <f>-SUMIFS(Sheet1!S71_AdjustmentBudAmnt,Sheet1!S71_SubMunicipalVoteNo,$AC:$AC,Sheet1!S71_ItemType,$AD:$AD)</f>
        <v>0</v>
      </c>
      <c r="H76" s="713">
        <f>-SUMIFS(Sheet1!S71_AdjustmentBudAmnt,Sheet1!S71_SubMunicipalVoteNo,$AC:$AC,Sheet1!S71_ItemType,$AD:$AD)</f>
        <v>0</v>
      </c>
      <c r="I76" s="725">
        <f>-SUMIFS(Sheet1!S71_ASBudgetAmount,Sheet1!S71_SubMunicipalVoteNo,$AC:$AC,Sheet1!S71_ItemType,$AD:$AD)</f>
        <v>0</v>
      </c>
      <c r="J76" s="712">
        <f>-SUMIFS(Sheet1!S71_OY1BudgetAmount,Sheet1!S71_SubMunicipalVoteNo,$AC:$AC,Sheet1!S71_ItemType,$AD:$AD)</f>
        <v>0</v>
      </c>
      <c r="K76" s="713">
        <f>-SUMIFS(Sheet1!S71_OY2BudgetAmount,Sheet1!S71_SubMunicipalVoteNo,$AC:$AC,Sheet1!S71_ItemType,$AD:$AD)</f>
        <v>0</v>
      </c>
      <c r="L76" s="707"/>
      <c r="M76" s="708"/>
      <c r="N76" s="708"/>
      <c r="O76" s="708"/>
      <c r="P76" s="708"/>
      <c r="Q76" s="708"/>
      <c r="R76" s="708"/>
      <c r="S76" s="708"/>
      <c r="T76" s="708"/>
      <c r="U76" s="708"/>
      <c r="V76" s="708"/>
      <c r="W76" s="708"/>
      <c r="AC76" s="2312">
        <v>75</v>
      </c>
      <c r="AD76" s="2318" t="s">
        <v>2759</v>
      </c>
    </row>
    <row r="77" spans="1:30" ht="11.25" customHeight="1" x14ac:dyDescent="0.25">
      <c r="A77" s="136" t="str">
        <f>IF(RIGHT('Org structure'!D74,18)&lt;&gt;"[Name of sub-vote]",'Org structure'!D74,"")</f>
        <v/>
      </c>
      <c r="B77" s="144"/>
      <c r="C77" s="712">
        <f>SUMIFS(Sheet1!S71_PPPYearAmount,Sheet1!S71_SubMunicipalVoteNo,$AC:$AC,Sheet1!S71_ItemType,$AD:$AD)</f>
        <v>0</v>
      </c>
      <c r="D77" s="712">
        <f>SUMIFS(Sheet1!S71_PPYearAmount,Sheet1!S71_SubMunicipalVoteNo,$AC:$AC,Sheet1!S71_ItemType,$AD:$AD)</f>
        <v>0</v>
      </c>
      <c r="E77" s="712">
        <f>SUMIFS(Sheet1!S71_PYearAmount,Sheet1!S71_SubMunicipalVoteNo,$AC:$AC,Sheet1!S71_ItemType,$AD:$AD)</f>
        <v>0</v>
      </c>
      <c r="F77" s="725">
        <f>-SUMIFS(Sheet1!S71_OriginalBudAmnt,Sheet1!S71_SubMunicipalVoteNo,$AC:$AC,Sheet1!S71_ItemType,$AD:$AD)</f>
        <v>0</v>
      </c>
      <c r="G77" s="712">
        <f>-SUMIFS(Sheet1!S71_AdjustmentBudAmnt,Sheet1!S71_SubMunicipalVoteNo,$AC:$AC,Sheet1!S71_ItemType,$AD:$AD)</f>
        <v>0</v>
      </c>
      <c r="H77" s="713">
        <f>-SUMIFS(Sheet1!S71_AdjustmentBudAmnt,Sheet1!S71_SubMunicipalVoteNo,$AC:$AC,Sheet1!S71_ItemType,$AD:$AD)</f>
        <v>0</v>
      </c>
      <c r="I77" s="725">
        <f>-SUMIFS(Sheet1!S71_ASBudgetAmount,Sheet1!S71_SubMunicipalVoteNo,$AC:$AC,Sheet1!S71_ItemType,$AD:$AD)</f>
        <v>0</v>
      </c>
      <c r="J77" s="712">
        <f>-SUMIFS(Sheet1!S71_OY1BudgetAmount,Sheet1!S71_SubMunicipalVoteNo,$AC:$AC,Sheet1!S71_ItemType,$AD:$AD)</f>
        <v>0</v>
      </c>
      <c r="K77" s="713">
        <f>-SUMIFS(Sheet1!S71_OY2BudgetAmount,Sheet1!S71_SubMunicipalVoteNo,$AC:$AC,Sheet1!S71_ItemType,$AD:$AD)</f>
        <v>0</v>
      </c>
      <c r="L77" s="707"/>
      <c r="M77" s="708"/>
      <c r="N77" s="708"/>
      <c r="O77" s="708"/>
      <c r="P77" s="708"/>
      <c r="Q77" s="708"/>
      <c r="R77" s="708"/>
      <c r="S77" s="708"/>
      <c r="T77" s="708"/>
      <c r="U77" s="708"/>
      <c r="V77" s="708"/>
      <c r="W77" s="708"/>
      <c r="AC77" s="2312">
        <v>76</v>
      </c>
      <c r="AD77" s="2318" t="s">
        <v>2759</v>
      </c>
    </row>
    <row r="78" spans="1:30" ht="11.25" customHeight="1" x14ac:dyDescent="0.25">
      <c r="A78" s="136" t="str">
        <f>IF(RIGHT('Org structure'!D75,18)&lt;&gt;"[Name of sub-vote]",'Org structure'!D75,"")</f>
        <v/>
      </c>
      <c r="B78" s="144"/>
      <c r="C78" s="712">
        <f>SUMIFS(Sheet1!S71_PPPYearAmount,Sheet1!S71_SubMunicipalVoteNo,$AC:$AC,Sheet1!S71_ItemType,$AD:$AD)</f>
        <v>0</v>
      </c>
      <c r="D78" s="712">
        <f>SUMIFS(Sheet1!S71_PPYearAmount,Sheet1!S71_SubMunicipalVoteNo,$AC:$AC,Sheet1!S71_ItemType,$AD:$AD)</f>
        <v>0</v>
      </c>
      <c r="E78" s="712">
        <f>SUMIFS(Sheet1!S71_PYearAmount,Sheet1!S71_SubMunicipalVoteNo,$AC:$AC,Sheet1!S71_ItemType,$AD:$AD)</f>
        <v>0</v>
      </c>
      <c r="F78" s="725">
        <f>-SUMIFS(Sheet1!S71_OriginalBudAmnt,Sheet1!S71_SubMunicipalVoteNo,$AC:$AC,Sheet1!S71_ItemType,$AD:$AD)</f>
        <v>0</v>
      </c>
      <c r="G78" s="712">
        <f>-SUMIFS(Sheet1!S71_AdjustmentBudAmnt,Sheet1!S71_SubMunicipalVoteNo,$AC:$AC,Sheet1!S71_ItemType,$AD:$AD)</f>
        <v>0</v>
      </c>
      <c r="H78" s="713">
        <f>-SUMIFS(Sheet1!S71_AdjustmentBudAmnt,Sheet1!S71_SubMunicipalVoteNo,$AC:$AC,Sheet1!S71_ItemType,$AD:$AD)</f>
        <v>0</v>
      </c>
      <c r="I78" s="725">
        <f>-SUMIFS(Sheet1!S71_ASBudgetAmount,Sheet1!S71_SubMunicipalVoteNo,$AC:$AC,Sheet1!S71_ItemType,$AD:$AD)</f>
        <v>0</v>
      </c>
      <c r="J78" s="712">
        <f>-SUMIFS(Sheet1!S71_OY1BudgetAmount,Sheet1!S71_SubMunicipalVoteNo,$AC:$AC,Sheet1!S71_ItemType,$AD:$AD)</f>
        <v>0</v>
      </c>
      <c r="K78" s="713">
        <f>-SUMIFS(Sheet1!S71_OY2BudgetAmount,Sheet1!S71_SubMunicipalVoteNo,$AC:$AC,Sheet1!S71_ItemType,$AD:$AD)</f>
        <v>0</v>
      </c>
      <c r="L78" s="709"/>
      <c r="M78" s="710"/>
      <c r="N78" s="710"/>
      <c r="O78" s="710"/>
      <c r="P78" s="710"/>
      <c r="Q78" s="710"/>
      <c r="R78" s="710"/>
      <c r="S78" s="710"/>
      <c r="T78" s="710"/>
      <c r="U78" s="710"/>
      <c r="V78" s="710"/>
      <c r="W78" s="710"/>
      <c r="AC78" s="2312">
        <v>77</v>
      </c>
      <c r="AD78" s="2318" t="s">
        <v>2759</v>
      </c>
    </row>
    <row r="79" spans="1:30" ht="11.25" customHeight="1" x14ac:dyDescent="0.25">
      <c r="A79" s="136" t="str">
        <f>IF(RIGHT('Org structure'!D76,18)&lt;&gt;"[Name of sub-vote]",'Org structure'!D76,"")</f>
        <v/>
      </c>
      <c r="B79" s="144"/>
      <c r="C79" s="712">
        <f>SUMIFS(Sheet1!S71_PPPYearAmount,Sheet1!S71_SubMunicipalVoteNo,$AC:$AC,Sheet1!S71_ItemType,$AD:$AD)</f>
        <v>0</v>
      </c>
      <c r="D79" s="712">
        <f>SUMIFS(Sheet1!S71_PPYearAmount,Sheet1!S71_SubMunicipalVoteNo,$AC:$AC,Sheet1!S71_ItemType,$AD:$AD)</f>
        <v>0</v>
      </c>
      <c r="E79" s="712">
        <f>SUMIFS(Sheet1!S71_PYearAmount,Sheet1!S71_SubMunicipalVoteNo,$AC:$AC,Sheet1!S71_ItemType,$AD:$AD)</f>
        <v>0</v>
      </c>
      <c r="F79" s="725">
        <f>-SUMIFS(Sheet1!S71_OriginalBudAmnt,Sheet1!S71_SubMunicipalVoteNo,$AC:$AC,Sheet1!S71_ItemType,$AD:$AD)</f>
        <v>0</v>
      </c>
      <c r="G79" s="712">
        <f>-SUMIFS(Sheet1!S71_AdjustmentBudAmnt,Sheet1!S71_SubMunicipalVoteNo,$AC:$AC,Sheet1!S71_ItemType,$AD:$AD)</f>
        <v>0</v>
      </c>
      <c r="H79" s="713">
        <f>-SUMIFS(Sheet1!S71_AdjustmentBudAmnt,Sheet1!S71_SubMunicipalVoteNo,$AC:$AC,Sheet1!S71_ItemType,$AD:$AD)</f>
        <v>0</v>
      </c>
      <c r="I79" s="725">
        <f>-SUMIFS(Sheet1!S71_ASBudgetAmount,Sheet1!S71_SubMunicipalVoteNo,$AC:$AC,Sheet1!S71_ItemType,$AD:$AD)</f>
        <v>0</v>
      </c>
      <c r="J79" s="712">
        <f>-SUMIFS(Sheet1!S71_OY1BudgetAmount,Sheet1!S71_SubMunicipalVoteNo,$AC:$AC,Sheet1!S71_ItemType,$AD:$AD)</f>
        <v>0</v>
      </c>
      <c r="K79" s="713">
        <f>-SUMIFS(Sheet1!S71_OY2BudgetAmount,Sheet1!S71_SubMunicipalVoteNo,$AC:$AC,Sheet1!S71_ItemType,$AD:$AD)</f>
        <v>0</v>
      </c>
      <c r="L79" s="709"/>
      <c r="M79" s="710"/>
      <c r="N79" s="710"/>
      <c r="O79" s="710"/>
      <c r="P79" s="710"/>
      <c r="Q79" s="710"/>
      <c r="R79" s="710"/>
      <c r="S79" s="710"/>
      <c r="T79" s="710"/>
      <c r="U79" s="710"/>
      <c r="V79" s="710"/>
      <c r="W79" s="710"/>
      <c r="AC79" s="2312">
        <v>78</v>
      </c>
      <c r="AD79" s="2318" t="s">
        <v>2759</v>
      </c>
    </row>
    <row r="80" spans="1:30" ht="11.25" customHeight="1" x14ac:dyDescent="0.25">
      <c r="A80" s="136" t="str">
        <f>IF(RIGHT('Org structure'!D77,18)&lt;&gt;"[Name of sub-vote]",'Org structure'!D77,"")</f>
        <v/>
      </c>
      <c r="B80" s="144"/>
      <c r="C80" s="712">
        <f>SUMIFS(Sheet1!S71_PPPYearAmount,Sheet1!S71_SubMunicipalVoteNo,$AC:$AC,Sheet1!S71_ItemType,$AD:$AD)</f>
        <v>0</v>
      </c>
      <c r="D80" s="712">
        <f>SUMIFS(Sheet1!S71_PPYearAmount,Sheet1!S71_SubMunicipalVoteNo,$AC:$AC,Sheet1!S71_ItemType,$AD:$AD)</f>
        <v>0</v>
      </c>
      <c r="E80" s="712">
        <f>SUMIFS(Sheet1!S71_PYearAmount,Sheet1!S71_SubMunicipalVoteNo,$AC:$AC,Sheet1!S71_ItemType,$AD:$AD)</f>
        <v>0</v>
      </c>
      <c r="F80" s="725">
        <f>-SUMIFS(Sheet1!S71_OriginalBudAmnt,Sheet1!S71_SubMunicipalVoteNo,$AC:$AC,Sheet1!S71_ItemType,$AD:$AD)</f>
        <v>0</v>
      </c>
      <c r="G80" s="712">
        <f>-SUMIFS(Sheet1!S71_AdjustmentBudAmnt,Sheet1!S71_SubMunicipalVoteNo,$AC:$AC,Sheet1!S71_ItemType,$AD:$AD)</f>
        <v>0</v>
      </c>
      <c r="H80" s="713">
        <f>-SUMIFS(Sheet1!S71_AdjustmentBudAmnt,Sheet1!S71_SubMunicipalVoteNo,$AC:$AC,Sheet1!S71_ItemType,$AD:$AD)</f>
        <v>0</v>
      </c>
      <c r="I80" s="725">
        <f>-SUMIFS(Sheet1!S71_ASBudgetAmount,Sheet1!S71_SubMunicipalVoteNo,$AC:$AC,Sheet1!S71_ItemType,$AD:$AD)</f>
        <v>0</v>
      </c>
      <c r="J80" s="712">
        <f>-SUMIFS(Sheet1!S71_OY1BudgetAmount,Sheet1!S71_SubMunicipalVoteNo,$AC:$AC,Sheet1!S71_ItemType,$AD:$AD)</f>
        <v>0</v>
      </c>
      <c r="K80" s="713">
        <f>-SUMIFS(Sheet1!S71_OY2BudgetAmount,Sheet1!S71_SubMunicipalVoteNo,$AC:$AC,Sheet1!S71_ItemType,$AD:$AD)</f>
        <v>0</v>
      </c>
      <c r="L80" s="709"/>
      <c r="M80" s="710"/>
      <c r="N80" s="710"/>
      <c r="O80" s="710"/>
      <c r="P80" s="710"/>
      <c r="Q80" s="710"/>
      <c r="R80" s="710"/>
      <c r="S80" s="710"/>
      <c r="T80" s="710"/>
      <c r="U80" s="710"/>
      <c r="V80" s="710"/>
      <c r="W80" s="710"/>
      <c r="AC80" s="2312">
        <v>79</v>
      </c>
      <c r="AD80" s="2318" t="s">
        <v>2759</v>
      </c>
    </row>
    <row r="81" spans="1:30" ht="11.25" customHeight="1" x14ac:dyDescent="0.25">
      <c r="A81" s="136" t="str">
        <f>IF(RIGHT('Org structure'!D78,18)&lt;&gt;"[Name of sub-vote]",'Org structure'!D78,"")</f>
        <v/>
      </c>
      <c r="B81" s="144"/>
      <c r="C81" s="712">
        <f>SUMIFS(Sheet1!S71_PPPYearAmount,Sheet1!S71_SubMunicipalVoteNo,$AC:$AC,Sheet1!S71_ItemType,$AD:$AD)</f>
        <v>0</v>
      </c>
      <c r="D81" s="712">
        <f>SUMIFS(Sheet1!S71_PPYearAmount,Sheet1!S71_SubMunicipalVoteNo,$AC:$AC,Sheet1!S71_ItemType,$AD:$AD)</f>
        <v>0</v>
      </c>
      <c r="E81" s="712">
        <f>SUMIFS(Sheet1!S71_PYearAmount,Sheet1!S71_SubMunicipalVoteNo,$AC:$AC,Sheet1!S71_ItemType,$AD:$AD)</f>
        <v>0</v>
      </c>
      <c r="F81" s="725">
        <f>-SUMIFS(Sheet1!S71_OriginalBudAmnt,Sheet1!S71_SubMunicipalVoteNo,$AC:$AC,Sheet1!S71_ItemType,$AD:$AD)</f>
        <v>0</v>
      </c>
      <c r="G81" s="712">
        <f>-SUMIFS(Sheet1!S71_AdjustmentBudAmnt,Sheet1!S71_SubMunicipalVoteNo,$AC:$AC,Sheet1!S71_ItemType,$AD:$AD)</f>
        <v>0</v>
      </c>
      <c r="H81" s="713">
        <f>-SUMIFS(Sheet1!S71_AdjustmentBudAmnt,Sheet1!S71_SubMunicipalVoteNo,$AC:$AC,Sheet1!S71_ItemType,$AD:$AD)</f>
        <v>0</v>
      </c>
      <c r="I81" s="725">
        <f>-SUMIFS(Sheet1!S71_ASBudgetAmount,Sheet1!S71_SubMunicipalVoteNo,$AC:$AC,Sheet1!S71_ItemType,$AD:$AD)</f>
        <v>0</v>
      </c>
      <c r="J81" s="712">
        <f>-SUMIFS(Sheet1!S71_OY1BudgetAmount,Sheet1!S71_SubMunicipalVoteNo,$AC:$AC,Sheet1!S71_ItemType,$AD:$AD)</f>
        <v>0</v>
      </c>
      <c r="K81" s="713">
        <f>-SUMIFS(Sheet1!S71_OY2BudgetAmount,Sheet1!S71_SubMunicipalVoteNo,$AC:$AC,Sheet1!S71_ItemType,$AD:$AD)</f>
        <v>0</v>
      </c>
      <c r="L81" s="709"/>
      <c r="M81" s="710"/>
      <c r="N81" s="710"/>
      <c r="O81" s="710"/>
      <c r="P81" s="710"/>
      <c r="Q81" s="710"/>
      <c r="R81" s="710"/>
      <c r="S81" s="710"/>
      <c r="T81" s="710"/>
      <c r="U81" s="710"/>
      <c r="V81" s="710"/>
      <c r="W81" s="710"/>
      <c r="AC81" s="2312">
        <v>710</v>
      </c>
      <c r="AD81" s="2318" t="s">
        <v>2759</v>
      </c>
    </row>
    <row r="82" spans="1:30" ht="15" customHeight="1" x14ac:dyDescent="0.25">
      <c r="A82" s="135" t="str">
        <f>'Org structure'!A9</f>
        <v>Vote 8 - Planning and Development</v>
      </c>
      <c r="B82" s="144"/>
      <c r="C82" s="212">
        <f>SUM(C83:C92)</f>
        <v>419011</v>
      </c>
      <c r="D82" s="212">
        <f t="shared" ref="D82:K82" si="7">SUM(D83:D92)</f>
        <v>227692</v>
      </c>
      <c r="E82" s="213">
        <f t="shared" si="7"/>
        <v>132745</v>
      </c>
      <c r="F82" s="214">
        <f t="shared" si="7"/>
        <v>938955</v>
      </c>
      <c r="G82" s="212">
        <f t="shared" si="7"/>
        <v>2465166</v>
      </c>
      <c r="H82" s="215">
        <f t="shared" si="7"/>
        <v>2465166</v>
      </c>
      <c r="I82" s="216">
        <f t="shared" si="7"/>
        <v>940474</v>
      </c>
      <c r="J82" s="212">
        <f t="shared" si="7"/>
        <v>2663760</v>
      </c>
      <c r="K82" s="213">
        <f t="shared" si="7"/>
        <v>2770310</v>
      </c>
      <c r="L82" s="709"/>
      <c r="M82" s="710"/>
      <c r="N82" s="710"/>
      <c r="O82" s="710"/>
      <c r="P82" s="710"/>
      <c r="Q82" s="710"/>
      <c r="R82" s="710"/>
      <c r="S82" s="710"/>
      <c r="T82" s="710"/>
      <c r="U82" s="710"/>
      <c r="V82" s="710"/>
      <c r="W82" s="710"/>
      <c r="AD82" s="2315"/>
    </row>
    <row r="83" spans="1:30" ht="11.25" customHeight="1" x14ac:dyDescent="0.25">
      <c r="A83" s="136" t="str">
        <f>IF(RIGHT('Org structure'!D80,18)&lt;&gt;"[Name of sub-vote]",'Org structure'!D80,"")</f>
        <v>8.1 - Town Planning, Building Regulations and Enforcement, and City Engineer</v>
      </c>
      <c r="B83" s="144"/>
      <c r="C83" s="712">
        <f>SUMIFS(Sheet1!S71_PPPYearAmount,Sheet1!S71_SubMunicipalVoteNo,$AC:$AC,Sheet1!S71_ItemType,$AD:$AD)</f>
        <v>419011</v>
      </c>
      <c r="D83" s="712">
        <f>SUMIFS(Sheet1!S71_PPYearAmount,Sheet1!S71_SubMunicipalVoteNo,$AC:$AC,Sheet1!S71_ItemType,$AD:$AD)</f>
        <v>227692</v>
      </c>
      <c r="E83" s="712">
        <f>SUMIFS(Sheet1!S71_PYearAmount,Sheet1!S71_SubMunicipalVoteNo,$AC:$AC,Sheet1!S71_ItemType,$AD:$AD)</f>
        <v>132745</v>
      </c>
      <c r="F83" s="725">
        <f>-SUMIFS(Sheet1!S71_OriginalBudAmnt,Sheet1!S71_SubMunicipalVoteNo,$AC:$AC,Sheet1!S71_ItemType,$AD:$AD)</f>
        <v>938955</v>
      </c>
      <c r="G83" s="712">
        <f>-SUMIFS(Sheet1!S71_AdjustmentBudAmnt,Sheet1!S71_SubMunicipalVoteNo,$AC:$AC,Sheet1!S71_ItemType,$AD:$AD)</f>
        <v>2465166</v>
      </c>
      <c r="H83" s="713">
        <f>-SUMIFS(Sheet1!S71_AdjustmentBudAmnt,Sheet1!S71_SubMunicipalVoteNo,$AC:$AC,Sheet1!S71_ItemType,$AD:$AD)</f>
        <v>2465166</v>
      </c>
      <c r="I83" s="725">
        <f>-SUMIFS(Sheet1!S71_ASBudgetAmount,Sheet1!S71_SubMunicipalVoteNo,$AC:$AC,Sheet1!S71_ItemType,$AD:$AD)</f>
        <v>940474</v>
      </c>
      <c r="J83" s="712">
        <f>-SUMIFS(Sheet1!S71_OY1BudgetAmount,Sheet1!S71_SubMunicipalVoteNo,$AC:$AC,Sheet1!S71_ItemType,$AD:$AD)</f>
        <v>2663760</v>
      </c>
      <c r="K83" s="713">
        <f>-SUMIFS(Sheet1!S71_OY2BudgetAmount,Sheet1!S71_SubMunicipalVoteNo,$AC:$AC,Sheet1!S71_ItemType,$AD:$AD)</f>
        <v>2770310</v>
      </c>
      <c r="L83" s="709"/>
      <c r="M83" s="710"/>
      <c r="N83" s="710"/>
      <c r="O83" s="710"/>
      <c r="P83" s="710"/>
      <c r="Q83" s="710"/>
      <c r="R83" s="710"/>
      <c r="S83" s="710"/>
      <c r="T83" s="710"/>
      <c r="U83" s="710"/>
      <c r="V83" s="710"/>
      <c r="W83" s="710"/>
      <c r="AC83" s="2312">
        <v>81</v>
      </c>
      <c r="AD83" s="2318" t="s">
        <v>2759</v>
      </c>
    </row>
    <row r="84" spans="1:30" ht="11.25" customHeight="1" x14ac:dyDescent="0.25">
      <c r="A84" s="136" t="str">
        <f>IF(RIGHT('Org structure'!D81,18)&lt;&gt;"[Name of sub-vote]",'Org structure'!D81,"")</f>
        <v>8.2 - Development Facilitation</v>
      </c>
      <c r="B84" s="144"/>
      <c r="C84" s="712">
        <f>SUMIFS(Sheet1!S71_PPPYearAmount,Sheet1!S71_SubMunicipalVoteNo,$AC:$AC,Sheet1!S71_ItemType,$AD:$AD)</f>
        <v>0</v>
      </c>
      <c r="D84" s="712">
        <f>SUMIFS(Sheet1!S71_PPYearAmount,Sheet1!S71_SubMunicipalVoteNo,$AC:$AC,Sheet1!S71_ItemType,$AD:$AD)</f>
        <v>0</v>
      </c>
      <c r="E84" s="712">
        <f>SUMIFS(Sheet1!S71_PYearAmount,Sheet1!S71_SubMunicipalVoteNo,$AC:$AC,Sheet1!S71_ItemType,$AD:$AD)</f>
        <v>0</v>
      </c>
      <c r="F84" s="725">
        <f>-SUMIFS(Sheet1!S71_OriginalBudAmnt,Sheet1!S71_SubMunicipalVoteNo,$AC:$AC,Sheet1!S71_ItemType,$AD:$AD)</f>
        <v>0</v>
      </c>
      <c r="G84" s="712">
        <f>-SUMIFS(Sheet1!S71_AdjustmentBudAmnt,Sheet1!S71_SubMunicipalVoteNo,$AC:$AC,Sheet1!S71_ItemType,$AD:$AD)</f>
        <v>0</v>
      </c>
      <c r="H84" s="713">
        <f>-SUMIFS(Sheet1!S71_AdjustmentBudAmnt,Sheet1!S71_SubMunicipalVoteNo,$AC:$AC,Sheet1!S71_ItemType,$AD:$AD)</f>
        <v>0</v>
      </c>
      <c r="I84" s="725">
        <f>-SUMIFS(Sheet1!S71_ASBudgetAmount,Sheet1!S71_SubMunicipalVoteNo,$AC:$AC,Sheet1!S71_ItemType,$AD:$AD)</f>
        <v>0</v>
      </c>
      <c r="J84" s="712">
        <f>-SUMIFS(Sheet1!S71_OY1BudgetAmount,Sheet1!S71_SubMunicipalVoteNo,$AC:$AC,Sheet1!S71_ItemType,$AD:$AD)</f>
        <v>0</v>
      </c>
      <c r="K84" s="713">
        <f>-SUMIFS(Sheet1!S71_OY2BudgetAmount,Sheet1!S71_SubMunicipalVoteNo,$AC:$AC,Sheet1!S71_ItemType,$AD:$AD)</f>
        <v>0</v>
      </c>
      <c r="L84" s="709"/>
      <c r="M84" s="710"/>
      <c r="N84" s="710"/>
      <c r="O84" s="710"/>
      <c r="P84" s="710"/>
      <c r="Q84" s="710"/>
      <c r="R84" s="710"/>
      <c r="S84" s="710"/>
      <c r="T84" s="710"/>
      <c r="U84" s="710"/>
      <c r="V84" s="710"/>
      <c r="W84" s="710"/>
      <c r="AC84" s="2312">
        <v>82</v>
      </c>
      <c r="AD84" s="2318" t="s">
        <v>2759</v>
      </c>
    </row>
    <row r="85" spans="1:30" ht="11.25" customHeight="1" x14ac:dyDescent="0.25">
      <c r="A85" s="136" t="str">
        <f>IF(RIGHT('Org structure'!D82,18)&lt;&gt;"[Name of sub-vote]",'Org structure'!D82,"")</f>
        <v>8.3 - Economic Development/Planning</v>
      </c>
      <c r="B85" s="144"/>
      <c r="C85" s="712">
        <f>SUMIFS(Sheet1!S71_PPPYearAmount,Sheet1!S71_SubMunicipalVoteNo,$AC:$AC,Sheet1!S71_ItemType,$AD:$AD)</f>
        <v>0</v>
      </c>
      <c r="D85" s="712">
        <f>SUMIFS(Sheet1!S71_PPYearAmount,Sheet1!S71_SubMunicipalVoteNo,$AC:$AC,Sheet1!S71_ItemType,$AD:$AD)</f>
        <v>0</v>
      </c>
      <c r="E85" s="712">
        <f>SUMIFS(Sheet1!S71_PYearAmount,Sheet1!S71_SubMunicipalVoteNo,$AC:$AC,Sheet1!S71_ItemType,$AD:$AD)</f>
        <v>0</v>
      </c>
      <c r="F85" s="725">
        <f>-SUMIFS(Sheet1!S71_OriginalBudAmnt,Sheet1!S71_SubMunicipalVoteNo,$AC:$AC,Sheet1!S71_ItemType,$AD:$AD)</f>
        <v>0</v>
      </c>
      <c r="G85" s="712">
        <f>-SUMIFS(Sheet1!S71_AdjustmentBudAmnt,Sheet1!S71_SubMunicipalVoteNo,$AC:$AC,Sheet1!S71_ItemType,$AD:$AD)</f>
        <v>0</v>
      </c>
      <c r="H85" s="713">
        <f>-SUMIFS(Sheet1!S71_AdjustmentBudAmnt,Sheet1!S71_SubMunicipalVoteNo,$AC:$AC,Sheet1!S71_ItemType,$AD:$AD)</f>
        <v>0</v>
      </c>
      <c r="I85" s="725">
        <f>-SUMIFS(Sheet1!S71_ASBudgetAmount,Sheet1!S71_SubMunicipalVoteNo,$AC:$AC,Sheet1!S71_ItemType,$AD:$AD)</f>
        <v>0</v>
      </c>
      <c r="J85" s="712">
        <f>-SUMIFS(Sheet1!S71_OY1BudgetAmount,Sheet1!S71_SubMunicipalVoteNo,$AC:$AC,Sheet1!S71_ItemType,$AD:$AD)</f>
        <v>0</v>
      </c>
      <c r="K85" s="713">
        <f>-SUMIFS(Sheet1!S71_OY2BudgetAmount,Sheet1!S71_SubMunicipalVoteNo,$AC:$AC,Sheet1!S71_ItemType,$AD:$AD)</f>
        <v>0</v>
      </c>
      <c r="L85" s="709"/>
      <c r="M85" s="710"/>
      <c r="N85" s="710"/>
      <c r="O85" s="710"/>
      <c r="P85" s="710"/>
      <c r="Q85" s="710"/>
      <c r="R85" s="710"/>
      <c r="S85" s="710"/>
      <c r="T85" s="710"/>
      <c r="U85" s="710"/>
      <c r="V85" s="710"/>
      <c r="W85" s="710"/>
      <c r="AC85" s="2312">
        <v>83</v>
      </c>
      <c r="AD85" s="2318" t="s">
        <v>2759</v>
      </c>
    </row>
    <row r="86" spans="1:30" ht="11.25" customHeight="1" x14ac:dyDescent="0.25">
      <c r="A86" s="136" t="str">
        <f>IF(RIGHT('Org structure'!D83,18)&lt;&gt;"[Name of sub-vote]",'Org structure'!D83,"")</f>
        <v>8.4 - Regional Planning and Development</v>
      </c>
      <c r="B86" s="144"/>
      <c r="C86" s="712">
        <f>SUMIFS(Sheet1!S71_PPPYearAmount,Sheet1!S71_SubMunicipalVoteNo,$AC:$AC,Sheet1!S71_ItemType,$AD:$AD)</f>
        <v>0</v>
      </c>
      <c r="D86" s="712">
        <f>SUMIFS(Sheet1!S71_PPYearAmount,Sheet1!S71_SubMunicipalVoteNo,$AC:$AC,Sheet1!S71_ItemType,$AD:$AD)</f>
        <v>0</v>
      </c>
      <c r="E86" s="712">
        <f>SUMIFS(Sheet1!S71_PYearAmount,Sheet1!S71_SubMunicipalVoteNo,$AC:$AC,Sheet1!S71_ItemType,$AD:$AD)</f>
        <v>0</v>
      </c>
      <c r="F86" s="725">
        <f>-SUMIFS(Sheet1!S71_OriginalBudAmnt,Sheet1!S71_SubMunicipalVoteNo,$AC:$AC,Sheet1!S71_ItemType,$AD:$AD)</f>
        <v>0</v>
      </c>
      <c r="G86" s="712">
        <f>-SUMIFS(Sheet1!S71_AdjustmentBudAmnt,Sheet1!S71_SubMunicipalVoteNo,$AC:$AC,Sheet1!S71_ItemType,$AD:$AD)</f>
        <v>0</v>
      </c>
      <c r="H86" s="713">
        <f>-SUMIFS(Sheet1!S71_AdjustmentBudAmnt,Sheet1!S71_SubMunicipalVoteNo,$AC:$AC,Sheet1!S71_ItemType,$AD:$AD)</f>
        <v>0</v>
      </c>
      <c r="I86" s="725">
        <f>-SUMIFS(Sheet1!S71_ASBudgetAmount,Sheet1!S71_SubMunicipalVoteNo,$AC:$AC,Sheet1!S71_ItemType,$AD:$AD)</f>
        <v>0</v>
      </c>
      <c r="J86" s="712">
        <f>-SUMIFS(Sheet1!S71_OY1BudgetAmount,Sheet1!S71_SubMunicipalVoteNo,$AC:$AC,Sheet1!S71_ItemType,$AD:$AD)</f>
        <v>0</v>
      </c>
      <c r="K86" s="713">
        <f>-SUMIFS(Sheet1!S71_OY2BudgetAmount,Sheet1!S71_SubMunicipalVoteNo,$AC:$AC,Sheet1!S71_ItemType,$AD:$AD)</f>
        <v>0</v>
      </c>
      <c r="L86" s="709"/>
      <c r="M86" s="710"/>
      <c r="N86" s="710"/>
      <c r="O86" s="710"/>
      <c r="P86" s="710"/>
      <c r="Q86" s="710"/>
      <c r="R86" s="710"/>
      <c r="S86" s="710"/>
      <c r="T86" s="710"/>
      <c r="U86" s="710"/>
      <c r="V86" s="710"/>
      <c r="W86" s="710"/>
      <c r="AC86" s="2312">
        <v>84</v>
      </c>
      <c r="AD86" s="2318" t="s">
        <v>2759</v>
      </c>
    </row>
    <row r="87" spans="1:30" ht="11.25" customHeight="1" x14ac:dyDescent="0.25">
      <c r="A87" s="136" t="str">
        <f>IF(RIGHT('Org structure'!D84,18)&lt;&gt;"[Name of sub-vote]",'Org structure'!D84,"")</f>
        <v>8.5 - Corporate Wide Strategic Planning (IDPs, LEDs)</v>
      </c>
      <c r="B87" s="144"/>
      <c r="C87" s="712">
        <f>SUMIFS(Sheet1!S71_PPPYearAmount,Sheet1!S71_SubMunicipalVoteNo,$AC:$AC,Sheet1!S71_ItemType,$AD:$AD)</f>
        <v>0</v>
      </c>
      <c r="D87" s="712">
        <f>SUMIFS(Sheet1!S71_PPYearAmount,Sheet1!S71_SubMunicipalVoteNo,$AC:$AC,Sheet1!S71_ItemType,$AD:$AD)</f>
        <v>0</v>
      </c>
      <c r="E87" s="712">
        <f>SUMIFS(Sheet1!S71_PYearAmount,Sheet1!S71_SubMunicipalVoteNo,$AC:$AC,Sheet1!S71_ItemType,$AD:$AD)</f>
        <v>0</v>
      </c>
      <c r="F87" s="725">
        <f>-SUMIFS(Sheet1!S71_OriginalBudAmnt,Sheet1!S71_SubMunicipalVoteNo,$AC:$AC,Sheet1!S71_ItemType,$AD:$AD)</f>
        <v>0</v>
      </c>
      <c r="G87" s="712">
        <f>-SUMIFS(Sheet1!S71_AdjustmentBudAmnt,Sheet1!S71_SubMunicipalVoteNo,$AC:$AC,Sheet1!S71_ItemType,$AD:$AD)</f>
        <v>0</v>
      </c>
      <c r="H87" s="713">
        <f>-SUMIFS(Sheet1!S71_AdjustmentBudAmnt,Sheet1!S71_SubMunicipalVoteNo,$AC:$AC,Sheet1!S71_ItemType,$AD:$AD)</f>
        <v>0</v>
      </c>
      <c r="I87" s="725">
        <f>-SUMIFS(Sheet1!S71_ASBudgetAmount,Sheet1!S71_SubMunicipalVoteNo,$AC:$AC,Sheet1!S71_ItemType,$AD:$AD)</f>
        <v>0</v>
      </c>
      <c r="J87" s="712">
        <f>-SUMIFS(Sheet1!S71_OY1BudgetAmount,Sheet1!S71_SubMunicipalVoteNo,$AC:$AC,Sheet1!S71_ItemType,$AD:$AD)</f>
        <v>0</v>
      </c>
      <c r="K87" s="713">
        <f>-SUMIFS(Sheet1!S71_OY2BudgetAmount,Sheet1!S71_SubMunicipalVoteNo,$AC:$AC,Sheet1!S71_ItemType,$AD:$AD)</f>
        <v>0</v>
      </c>
      <c r="L87" s="709"/>
      <c r="M87" s="710"/>
      <c r="N87" s="710"/>
      <c r="O87" s="710"/>
      <c r="P87" s="710"/>
      <c r="Q87" s="710"/>
      <c r="R87" s="710"/>
      <c r="S87" s="710"/>
      <c r="T87" s="710"/>
      <c r="U87" s="710"/>
      <c r="V87" s="710"/>
      <c r="W87" s="710"/>
      <c r="AC87" s="2312">
        <v>85</v>
      </c>
      <c r="AD87" s="2318" t="s">
        <v>2759</v>
      </c>
    </row>
    <row r="88" spans="1:30" ht="11.25" customHeight="1" x14ac:dyDescent="0.25">
      <c r="A88" s="136" t="str">
        <f>IF(RIGHT('Org structure'!D85,18)&lt;&gt;"[Name of sub-vote]",'Org structure'!D85,"")</f>
        <v>8.6 - Project Management Unit</v>
      </c>
      <c r="B88" s="144"/>
      <c r="C88" s="712">
        <f>SUMIFS(Sheet1!S71_PPPYearAmount,Sheet1!S71_SubMunicipalVoteNo,$AC:$AC,Sheet1!S71_ItemType,$AD:$AD)</f>
        <v>0</v>
      </c>
      <c r="D88" s="712">
        <f>SUMIFS(Sheet1!S71_PPYearAmount,Sheet1!S71_SubMunicipalVoteNo,$AC:$AC,Sheet1!S71_ItemType,$AD:$AD)</f>
        <v>0</v>
      </c>
      <c r="E88" s="712">
        <f>SUMIFS(Sheet1!S71_PYearAmount,Sheet1!S71_SubMunicipalVoteNo,$AC:$AC,Sheet1!S71_ItemType,$AD:$AD)</f>
        <v>0</v>
      </c>
      <c r="F88" s="725">
        <f>-SUMIFS(Sheet1!S71_OriginalBudAmnt,Sheet1!S71_SubMunicipalVoteNo,$AC:$AC,Sheet1!S71_ItemType,$AD:$AD)</f>
        <v>0</v>
      </c>
      <c r="G88" s="712">
        <f>-SUMIFS(Sheet1!S71_AdjustmentBudAmnt,Sheet1!S71_SubMunicipalVoteNo,$AC:$AC,Sheet1!S71_ItemType,$AD:$AD)</f>
        <v>0</v>
      </c>
      <c r="H88" s="713">
        <f>-SUMIFS(Sheet1!S71_AdjustmentBudAmnt,Sheet1!S71_SubMunicipalVoteNo,$AC:$AC,Sheet1!S71_ItemType,$AD:$AD)</f>
        <v>0</v>
      </c>
      <c r="I88" s="725">
        <f>-SUMIFS(Sheet1!S71_ASBudgetAmount,Sheet1!S71_SubMunicipalVoteNo,$AC:$AC,Sheet1!S71_ItemType,$AD:$AD)</f>
        <v>0</v>
      </c>
      <c r="J88" s="712">
        <f>-SUMIFS(Sheet1!S71_OY1BudgetAmount,Sheet1!S71_SubMunicipalVoteNo,$AC:$AC,Sheet1!S71_ItemType,$AD:$AD)</f>
        <v>0</v>
      </c>
      <c r="K88" s="713">
        <f>-SUMIFS(Sheet1!S71_OY2BudgetAmount,Sheet1!S71_SubMunicipalVoteNo,$AC:$AC,Sheet1!S71_ItemType,$AD:$AD)</f>
        <v>0</v>
      </c>
      <c r="L88" s="709"/>
      <c r="M88" s="710"/>
      <c r="N88" s="710"/>
      <c r="O88" s="710"/>
      <c r="P88" s="710"/>
      <c r="Q88" s="710"/>
      <c r="R88" s="710"/>
      <c r="S88" s="710"/>
      <c r="T88" s="710"/>
      <c r="U88" s="710"/>
      <c r="V88" s="710"/>
      <c r="W88" s="710"/>
      <c r="AC88" s="2312">
        <v>86</v>
      </c>
      <c r="AD88" s="2318" t="s">
        <v>2759</v>
      </c>
    </row>
    <row r="89" spans="1:30" ht="11.25" customHeight="1" x14ac:dyDescent="0.25">
      <c r="A89" s="136" t="str">
        <f>IF(RIGHT('Org structure'!D86,18)&lt;&gt;"[Name of sub-vote]",'Org structure'!D86,"")</f>
        <v/>
      </c>
      <c r="B89" s="144"/>
      <c r="C89" s="712">
        <f>SUMIFS(Sheet1!S71_PPPYearAmount,Sheet1!S71_SubMunicipalVoteNo,$AC:$AC,Sheet1!S71_ItemType,$AD:$AD)</f>
        <v>0</v>
      </c>
      <c r="D89" s="712">
        <f>SUMIFS(Sheet1!S71_PPYearAmount,Sheet1!S71_SubMunicipalVoteNo,$AC:$AC,Sheet1!S71_ItemType,$AD:$AD)</f>
        <v>0</v>
      </c>
      <c r="E89" s="712">
        <f>SUMIFS(Sheet1!S71_PYearAmount,Sheet1!S71_SubMunicipalVoteNo,$AC:$AC,Sheet1!S71_ItemType,$AD:$AD)</f>
        <v>0</v>
      </c>
      <c r="F89" s="725">
        <f>-SUMIFS(Sheet1!S71_OriginalBudAmnt,Sheet1!S71_SubMunicipalVoteNo,$AC:$AC,Sheet1!S71_ItemType,$AD:$AD)</f>
        <v>0</v>
      </c>
      <c r="G89" s="712">
        <f>-SUMIFS(Sheet1!S71_AdjustmentBudAmnt,Sheet1!S71_SubMunicipalVoteNo,$AC:$AC,Sheet1!S71_ItemType,$AD:$AD)</f>
        <v>0</v>
      </c>
      <c r="H89" s="713">
        <f>-SUMIFS(Sheet1!S71_AdjustmentBudAmnt,Sheet1!S71_SubMunicipalVoteNo,$AC:$AC,Sheet1!S71_ItemType,$AD:$AD)</f>
        <v>0</v>
      </c>
      <c r="I89" s="725">
        <f>-SUMIFS(Sheet1!S71_ASBudgetAmount,Sheet1!S71_SubMunicipalVoteNo,$AC:$AC,Sheet1!S71_ItemType,$AD:$AD)</f>
        <v>0</v>
      </c>
      <c r="J89" s="712">
        <f>-SUMIFS(Sheet1!S71_OY1BudgetAmount,Sheet1!S71_SubMunicipalVoteNo,$AC:$AC,Sheet1!S71_ItemType,$AD:$AD)</f>
        <v>0</v>
      </c>
      <c r="K89" s="713">
        <f>-SUMIFS(Sheet1!S71_OY2BudgetAmount,Sheet1!S71_SubMunicipalVoteNo,$AC:$AC,Sheet1!S71_ItemType,$AD:$AD)</f>
        <v>0</v>
      </c>
      <c r="L89" s="709"/>
      <c r="M89" s="710"/>
      <c r="N89" s="710"/>
      <c r="O89" s="710"/>
      <c r="P89" s="710"/>
      <c r="Q89" s="710"/>
      <c r="R89" s="710"/>
      <c r="S89" s="710"/>
      <c r="T89" s="710"/>
      <c r="U89" s="710"/>
      <c r="V89" s="710"/>
      <c r="W89" s="710"/>
      <c r="AC89" s="2312">
        <v>87</v>
      </c>
      <c r="AD89" s="2318" t="s">
        <v>2759</v>
      </c>
    </row>
    <row r="90" spans="1:30" ht="11.25" customHeight="1" x14ac:dyDescent="0.25">
      <c r="A90" s="136" t="str">
        <f>IF(RIGHT('Org structure'!D87,18)&lt;&gt;"[Name of sub-vote]",'Org structure'!D87,"")</f>
        <v/>
      </c>
      <c r="B90" s="144"/>
      <c r="C90" s="712">
        <f>SUMIFS(Sheet1!S71_PPPYearAmount,Sheet1!S71_SubMunicipalVoteNo,$AC:$AC,Sheet1!S71_ItemType,$AD:$AD)</f>
        <v>0</v>
      </c>
      <c r="D90" s="712">
        <f>SUMIFS(Sheet1!S71_PPYearAmount,Sheet1!S71_SubMunicipalVoteNo,$AC:$AC,Sheet1!S71_ItemType,$AD:$AD)</f>
        <v>0</v>
      </c>
      <c r="E90" s="712">
        <f>SUMIFS(Sheet1!S71_PYearAmount,Sheet1!S71_SubMunicipalVoteNo,$AC:$AC,Sheet1!S71_ItemType,$AD:$AD)</f>
        <v>0</v>
      </c>
      <c r="F90" s="725">
        <f>-SUMIFS(Sheet1!S71_OriginalBudAmnt,Sheet1!S71_SubMunicipalVoteNo,$AC:$AC,Sheet1!S71_ItemType,$AD:$AD)</f>
        <v>0</v>
      </c>
      <c r="G90" s="712">
        <f>-SUMIFS(Sheet1!S71_AdjustmentBudAmnt,Sheet1!S71_SubMunicipalVoteNo,$AC:$AC,Sheet1!S71_ItemType,$AD:$AD)</f>
        <v>0</v>
      </c>
      <c r="H90" s="713">
        <f>-SUMIFS(Sheet1!S71_AdjustmentBudAmnt,Sheet1!S71_SubMunicipalVoteNo,$AC:$AC,Sheet1!S71_ItemType,$AD:$AD)</f>
        <v>0</v>
      </c>
      <c r="I90" s="725">
        <f>-SUMIFS(Sheet1!S71_ASBudgetAmount,Sheet1!S71_SubMunicipalVoteNo,$AC:$AC,Sheet1!S71_ItemType,$AD:$AD)</f>
        <v>0</v>
      </c>
      <c r="J90" s="712">
        <f>-SUMIFS(Sheet1!S71_OY1BudgetAmount,Sheet1!S71_SubMunicipalVoteNo,$AC:$AC,Sheet1!S71_ItemType,$AD:$AD)</f>
        <v>0</v>
      </c>
      <c r="K90" s="713">
        <f>-SUMIFS(Sheet1!S71_OY2BudgetAmount,Sheet1!S71_SubMunicipalVoteNo,$AC:$AC,Sheet1!S71_ItemType,$AD:$AD)</f>
        <v>0</v>
      </c>
      <c r="L90" s="709"/>
      <c r="M90" s="710"/>
      <c r="N90" s="710"/>
      <c r="O90" s="710"/>
      <c r="P90" s="710"/>
      <c r="Q90" s="710"/>
      <c r="R90" s="710"/>
      <c r="S90" s="710"/>
      <c r="T90" s="710"/>
      <c r="U90" s="710"/>
      <c r="V90" s="710"/>
      <c r="W90" s="710"/>
      <c r="AC90" s="2312">
        <v>88</v>
      </c>
      <c r="AD90" s="2318" t="s">
        <v>2759</v>
      </c>
    </row>
    <row r="91" spans="1:30" ht="11.25" customHeight="1" x14ac:dyDescent="0.25">
      <c r="A91" s="136" t="str">
        <f>IF(RIGHT('Org structure'!D88,18)&lt;&gt;"[Name of sub-vote]",'Org structure'!D88,"")</f>
        <v/>
      </c>
      <c r="B91" s="144"/>
      <c r="C91" s="712">
        <f>SUMIFS(Sheet1!S71_PPPYearAmount,Sheet1!S71_SubMunicipalVoteNo,$AC:$AC,Sheet1!S71_ItemType,$AD:$AD)</f>
        <v>0</v>
      </c>
      <c r="D91" s="712">
        <f>SUMIFS(Sheet1!S71_PPYearAmount,Sheet1!S71_SubMunicipalVoteNo,$AC:$AC,Sheet1!S71_ItemType,$AD:$AD)</f>
        <v>0</v>
      </c>
      <c r="E91" s="712">
        <f>SUMIFS(Sheet1!S71_PYearAmount,Sheet1!S71_SubMunicipalVoteNo,$AC:$AC,Sheet1!S71_ItemType,$AD:$AD)</f>
        <v>0</v>
      </c>
      <c r="F91" s="725">
        <f>-SUMIFS(Sheet1!S71_OriginalBudAmnt,Sheet1!S71_SubMunicipalVoteNo,$AC:$AC,Sheet1!S71_ItemType,$AD:$AD)</f>
        <v>0</v>
      </c>
      <c r="G91" s="712">
        <f>-SUMIFS(Sheet1!S71_AdjustmentBudAmnt,Sheet1!S71_SubMunicipalVoteNo,$AC:$AC,Sheet1!S71_ItemType,$AD:$AD)</f>
        <v>0</v>
      </c>
      <c r="H91" s="713">
        <f>-SUMIFS(Sheet1!S71_AdjustmentBudAmnt,Sheet1!S71_SubMunicipalVoteNo,$AC:$AC,Sheet1!S71_ItemType,$AD:$AD)</f>
        <v>0</v>
      </c>
      <c r="I91" s="725">
        <f>-SUMIFS(Sheet1!S71_ASBudgetAmount,Sheet1!S71_SubMunicipalVoteNo,$AC:$AC,Sheet1!S71_ItemType,$AD:$AD)</f>
        <v>0</v>
      </c>
      <c r="J91" s="712">
        <f>-SUMIFS(Sheet1!S71_OY1BudgetAmount,Sheet1!S71_SubMunicipalVoteNo,$AC:$AC,Sheet1!S71_ItemType,$AD:$AD)</f>
        <v>0</v>
      </c>
      <c r="K91" s="713">
        <f>-SUMIFS(Sheet1!S71_OY2BudgetAmount,Sheet1!S71_SubMunicipalVoteNo,$AC:$AC,Sheet1!S71_ItemType,$AD:$AD)</f>
        <v>0</v>
      </c>
      <c r="L91" s="709"/>
      <c r="M91" s="710"/>
      <c r="N91" s="710"/>
      <c r="O91" s="710"/>
      <c r="P91" s="710"/>
      <c r="Q91" s="710"/>
      <c r="R91" s="710"/>
      <c r="S91" s="710"/>
      <c r="T91" s="710"/>
      <c r="U91" s="710"/>
      <c r="V91" s="710"/>
      <c r="W91" s="710"/>
      <c r="AC91" s="2312">
        <v>89</v>
      </c>
      <c r="AD91" s="2318" t="s">
        <v>2759</v>
      </c>
    </row>
    <row r="92" spans="1:30" ht="11.25" customHeight="1" x14ac:dyDescent="0.25">
      <c r="A92" s="136" t="str">
        <f>IF(RIGHT('Org structure'!D89,18)&lt;&gt;"[Name of sub-vote]",'Org structure'!D89,"")</f>
        <v/>
      </c>
      <c r="B92" s="144"/>
      <c r="C92" s="712">
        <f>SUMIFS(Sheet1!S71_PPPYearAmount,Sheet1!S71_SubMunicipalVoteNo,$AC:$AC,Sheet1!S71_ItemType,$AD:$AD)</f>
        <v>0</v>
      </c>
      <c r="D92" s="712">
        <f>SUMIFS(Sheet1!S71_PPYearAmount,Sheet1!S71_SubMunicipalVoteNo,$AC:$AC,Sheet1!S71_ItemType,$AD:$AD)</f>
        <v>0</v>
      </c>
      <c r="E92" s="712">
        <f>SUMIFS(Sheet1!S71_PYearAmount,Sheet1!S71_SubMunicipalVoteNo,$AC:$AC,Sheet1!S71_ItemType,$AD:$AD)</f>
        <v>0</v>
      </c>
      <c r="F92" s="725">
        <f>-SUMIFS(Sheet1!S71_OriginalBudAmnt,Sheet1!S71_SubMunicipalVoteNo,$AC:$AC,Sheet1!S71_ItemType,$AD:$AD)</f>
        <v>0</v>
      </c>
      <c r="G92" s="712">
        <f>-SUMIFS(Sheet1!S71_AdjustmentBudAmnt,Sheet1!S71_SubMunicipalVoteNo,$AC:$AC,Sheet1!S71_ItemType,$AD:$AD)</f>
        <v>0</v>
      </c>
      <c r="H92" s="713">
        <f>-SUMIFS(Sheet1!S71_AdjustmentBudAmnt,Sheet1!S71_SubMunicipalVoteNo,$AC:$AC,Sheet1!S71_ItemType,$AD:$AD)</f>
        <v>0</v>
      </c>
      <c r="I92" s="725">
        <f>-SUMIFS(Sheet1!S71_ASBudgetAmount,Sheet1!S71_SubMunicipalVoteNo,$AC:$AC,Sheet1!S71_ItemType,$AD:$AD)</f>
        <v>0</v>
      </c>
      <c r="J92" s="712">
        <f>-SUMIFS(Sheet1!S71_OY1BudgetAmount,Sheet1!S71_SubMunicipalVoteNo,$AC:$AC,Sheet1!S71_ItemType,$AD:$AD)</f>
        <v>0</v>
      </c>
      <c r="K92" s="713">
        <f>-SUMIFS(Sheet1!S71_OY2BudgetAmount,Sheet1!S71_SubMunicipalVoteNo,$AC:$AC,Sheet1!S71_ItemType,$AD:$AD)</f>
        <v>0</v>
      </c>
      <c r="L92" s="709"/>
      <c r="M92" s="710"/>
      <c r="N92" s="710"/>
      <c r="O92" s="710"/>
      <c r="P92" s="710"/>
      <c r="Q92" s="710"/>
      <c r="R92" s="710"/>
      <c r="S92" s="710"/>
      <c r="T92" s="710"/>
      <c r="U92" s="710"/>
      <c r="V92" s="710"/>
      <c r="W92" s="710"/>
      <c r="AC92" s="2312">
        <v>810</v>
      </c>
      <c r="AD92" s="2318" t="s">
        <v>2759</v>
      </c>
    </row>
    <row r="93" spans="1:30" ht="15" customHeight="1" x14ac:dyDescent="0.25">
      <c r="A93" s="135" t="str">
        <f>'Org structure'!A10</f>
        <v>Vote 9 - Sport and Recreation</v>
      </c>
      <c r="B93" s="144"/>
      <c r="C93" s="212">
        <f>SUM(C94:C103)</f>
        <v>0</v>
      </c>
      <c r="D93" s="212">
        <f t="shared" ref="D93:K93" si="8">SUM(D94:D103)</f>
        <v>24941</v>
      </c>
      <c r="E93" s="213">
        <f t="shared" si="8"/>
        <v>25059</v>
      </c>
      <c r="F93" s="214">
        <f t="shared" si="8"/>
        <v>0</v>
      </c>
      <c r="G93" s="212">
        <f t="shared" si="8"/>
        <v>0</v>
      </c>
      <c r="H93" s="215">
        <f t="shared" si="8"/>
        <v>0</v>
      </c>
      <c r="I93" s="216">
        <f t="shared" si="8"/>
        <v>0</v>
      </c>
      <c r="J93" s="212">
        <f t="shared" si="8"/>
        <v>0</v>
      </c>
      <c r="K93" s="213">
        <f t="shared" si="8"/>
        <v>0</v>
      </c>
      <c r="L93" s="709"/>
      <c r="M93" s="710"/>
      <c r="N93" s="710"/>
      <c r="O93" s="710"/>
      <c r="P93" s="710"/>
      <c r="Q93" s="710"/>
      <c r="R93" s="710"/>
      <c r="S93" s="710"/>
      <c r="T93" s="710"/>
      <c r="U93" s="710"/>
      <c r="V93" s="710"/>
      <c r="W93" s="710"/>
      <c r="AD93" s="2315"/>
    </row>
    <row r="94" spans="1:30" ht="11.25" customHeight="1" x14ac:dyDescent="0.25">
      <c r="A94" s="136" t="str">
        <f>IF(RIGHT('Org structure'!D91,18)&lt;&gt;"[Name of sub-vote]",'Org structure'!D91,"")</f>
        <v>9.1 - Sports Grounds and Stadiums</v>
      </c>
      <c r="B94" s="144"/>
      <c r="C94" s="712">
        <f>SUMIFS(Sheet1!S71_PPPYearAmount,Sheet1!S71_SubMunicipalVoteNo,$AC:$AC,Sheet1!S71_ItemType,$AD:$AD)</f>
        <v>0</v>
      </c>
      <c r="D94" s="712">
        <f>SUMIFS(Sheet1!S71_PPYearAmount,Sheet1!S71_SubMunicipalVoteNo,$AC:$AC,Sheet1!S71_ItemType,$AD:$AD)</f>
        <v>24941</v>
      </c>
      <c r="E94" s="712">
        <f>SUMIFS(Sheet1!S71_PYearAmount,Sheet1!S71_SubMunicipalVoteNo,$AC:$AC,Sheet1!S71_ItemType,$AD:$AD)</f>
        <v>25059</v>
      </c>
      <c r="F94" s="725">
        <f>-SUMIFS(Sheet1!S71_OriginalBudAmnt,Sheet1!S71_SubMunicipalVoteNo,$AC:$AC,Sheet1!S71_ItemType,$AD:$AD)</f>
        <v>0</v>
      </c>
      <c r="G94" s="712">
        <f>-SUMIFS(Sheet1!S71_AdjustmentBudAmnt,Sheet1!S71_SubMunicipalVoteNo,$AC:$AC,Sheet1!S71_ItemType,$AD:$AD)</f>
        <v>0</v>
      </c>
      <c r="H94" s="713">
        <f>-SUMIFS(Sheet1!S71_AdjustmentBudAmnt,Sheet1!S71_SubMunicipalVoteNo,$AC:$AC,Sheet1!S71_ItemType,$AD:$AD)</f>
        <v>0</v>
      </c>
      <c r="I94" s="725">
        <f>-SUMIFS(Sheet1!S71_ASBudgetAmount,Sheet1!S71_SubMunicipalVoteNo,$AC:$AC,Sheet1!S71_ItemType,$AD:$AD)</f>
        <v>0</v>
      </c>
      <c r="J94" s="712">
        <f>-SUMIFS(Sheet1!S71_OY1BudgetAmount,Sheet1!S71_SubMunicipalVoteNo,$AC:$AC,Sheet1!S71_ItemType,$AD:$AD)</f>
        <v>0</v>
      </c>
      <c r="K94" s="713">
        <f>-SUMIFS(Sheet1!S71_OY2BudgetAmount,Sheet1!S71_SubMunicipalVoteNo,$AC:$AC,Sheet1!S71_ItemType,$AD:$AD)</f>
        <v>0</v>
      </c>
      <c r="L94" s="709"/>
      <c r="M94" s="710"/>
      <c r="N94" s="710"/>
      <c r="O94" s="710"/>
      <c r="P94" s="710"/>
      <c r="Q94" s="710"/>
      <c r="R94" s="710"/>
      <c r="S94" s="710"/>
      <c r="T94" s="710"/>
      <c r="U94" s="710"/>
      <c r="V94" s="710"/>
      <c r="W94" s="710"/>
      <c r="AC94" s="2312">
        <v>91</v>
      </c>
      <c r="AD94" s="2318" t="s">
        <v>2759</v>
      </c>
    </row>
    <row r="95" spans="1:30" ht="11.25" customHeight="1" x14ac:dyDescent="0.25">
      <c r="A95" s="136" t="str">
        <f>IF(RIGHT('Org structure'!D92,18)&lt;&gt;"[Name of sub-vote]",'Org structure'!D92,"")</f>
        <v/>
      </c>
      <c r="B95" s="144"/>
      <c r="C95" s="712">
        <f>SUMIFS(Sheet1!S71_PPPYearAmount,Sheet1!S71_SubMunicipalVoteNo,$AC:$AC,Sheet1!S71_ItemType,$AD:$AD)</f>
        <v>0</v>
      </c>
      <c r="D95" s="712">
        <f>SUMIFS(Sheet1!S71_PPYearAmount,Sheet1!S71_SubMunicipalVoteNo,$AC:$AC,Sheet1!S71_ItemType,$AD:$AD)</f>
        <v>0</v>
      </c>
      <c r="E95" s="712">
        <f>SUMIFS(Sheet1!S71_PYearAmount,Sheet1!S71_SubMunicipalVoteNo,$AC:$AC,Sheet1!S71_ItemType,$AD:$AD)</f>
        <v>0</v>
      </c>
      <c r="F95" s="725">
        <f>-SUMIFS(Sheet1!S71_OriginalBudAmnt,Sheet1!S71_SubMunicipalVoteNo,$AC:$AC,Sheet1!S71_ItemType,$AD:$AD)</f>
        <v>0</v>
      </c>
      <c r="G95" s="712">
        <f>-SUMIFS(Sheet1!S71_AdjustmentBudAmnt,Sheet1!S71_SubMunicipalVoteNo,$AC:$AC,Sheet1!S71_ItemType,$AD:$AD)</f>
        <v>0</v>
      </c>
      <c r="H95" s="713">
        <f>-SUMIFS(Sheet1!S71_AdjustmentBudAmnt,Sheet1!S71_SubMunicipalVoteNo,$AC:$AC,Sheet1!S71_ItemType,$AD:$AD)</f>
        <v>0</v>
      </c>
      <c r="I95" s="725">
        <f>-SUMIFS(Sheet1!S71_ASBudgetAmount,Sheet1!S71_SubMunicipalVoteNo,$AC:$AC,Sheet1!S71_ItemType,$AD:$AD)</f>
        <v>0</v>
      </c>
      <c r="J95" s="712">
        <f>-SUMIFS(Sheet1!S71_OY1BudgetAmount,Sheet1!S71_SubMunicipalVoteNo,$AC:$AC,Sheet1!S71_ItemType,$AD:$AD)</f>
        <v>0</v>
      </c>
      <c r="K95" s="713">
        <f>-SUMIFS(Sheet1!S71_OY2BudgetAmount,Sheet1!S71_SubMunicipalVoteNo,$AC:$AC,Sheet1!S71_ItemType,$AD:$AD)</f>
        <v>0</v>
      </c>
      <c r="L95" s="709"/>
      <c r="M95" s="710"/>
      <c r="N95" s="710"/>
      <c r="O95" s="710"/>
      <c r="P95" s="710"/>
      <c r="Q95" s="710"/>
      <c r="R95" s="710"/>
      <c r="S95" s="710"/>
      <c r="T95" s="710"/>
      <c r="U95" s="710"/>
      <c r="V95" s="710"/>
      <c r="W95" s="710"/>
      <c r="AC95" s="2312">
        <v>92</v>
      </c>
      <c r="AD95" s="2318" t="s">
        <v>2759</v>
      </c>
    </row>
    <row r="96" spans="1:30" ht="11.25" customHeight="1" x14ac:dyDescent="0.25">
      <c r="A96" s="136" t="str">
        <f>IF(RIGHT('Org structure'!D93,18)&lt;&gt;"[Name of sub-vote]",'Org structure'!D93,"")</f>
        <v/>
      </c>
      <c r="B96" s="144"/>
      <c r="C96" s="712">
        <f>SUMIFS(Sheet1!S71_PPPYearAmount,Sheet1!S71_SubMunicipalVoteNo,$AC:$AC,Sheet1!S71_ItemType,$AD:$AD)</f>
        <v>0</v>
      </c>
      <c r="D96" s="712">
        <f>SUMIFS(Sheet1!S71_PPYearAmount,Sheet1!S71_SubMunicipalVoteNo,$AC:$AC,Sheet1!S71_ItemType,$AD:$AD)</f>
        <v>0</v>
      </c>
      <c r="E96" s="712">
        <f>SUMIFS(Sheet1!S71_PYearAmount,Sheet1!S71_SubMunicipalVoteNo,$AC:$AC,Sheet1!S71_ItemType,$AD:$AD)</f>
        <v>0</v>
      </c>
      <c r="F96" s="725">
        <f>-SUMIFS(Sheet1!S71_OriginalBudAmnt,Sheet1!S71_SubMunicipalVoteNo,$AC:$AC,Sheet1!S71_ItemType,$AD:$AD)</f>
        <v>0</v>
      </c>
      <c r="G96" s="712">
        <f>-SUMIFS(Sheet1!S71_AdjustmentBudAmnt,Sheet1!S71_SubMunicipalVoteNo,$AC:$AC,Sheet1!S71_ItemType,$AD:$AD)</f>
        <v>0</v>
      </c>
      <c r="H96" s="713">
        <f>-SUMIFS(Sheet1!S71_AdjustmentBudAmnt,Sheet1!S71_SubMunicipalVoteNo,$AC:$AC,Sheet1!S71_ItemType,$AD:$AD)</f>
        <v>0</v>
      </c>
      <c r="I96" s="725">
        <f>-SUMIFS(Sheet1!S71_ASBudgetAmount,Sheet1!S71_SubMunicipalVoteNo,$AC:$AC,Sheet1!S71_ItemType,$AD:$AD)</f>
        <v>0</v>
      </c>
      <c r="J96" s="712">
        <f>-SUMIFS(Sheet1!S71_OY1BudgetAmount,Sheet1!S71_SubMunicipalVoteNo,$AC:$AC,Sheet1!S71_ItemType,$AD:$AD)</f>
        <v>0</v>
      </c>
      <c r="K96" s="713">
        <f>-SUMIFS(Sheet1!S71_OY2BudgetAmount,Sheet1!S71_SubMunicipalVoteNo,$AC:$AC,Sheet1!S71_ItemType,$AD:$AD)</f>
        <v>0</v>
      </c>
      <c r="L96" s="709"/>
      <c r="M96" s="710"/>
      <c r="N96" s="710"/>
      <c r="O96" s="710"/>
      <c r="P96" s="710"/>
      <c r="Q96" s="710"/>
      <c r="R96" s="710"/>
      <c r="S96" s="710"/>
      <c r="T96" s="710"/>
      <c r="U96" s="710"/>
      <c r="V96" s="710"/>
      <c r="W96" s="710"/>
      <c r="AC96" s="2312">
        <v>93</v>
      </c>
      <c r="AD96" s="2318" t="s">
        <v>2759</v>
      </c>
    </row>
    <row r="97" spans="1:30" ht="11.25" customHeight="1" x14ac:dyDescent="0.25">
      <c r="A97" s="136" t="str">
        <f>IF(RIGHT('Org structure'!D94,18)&lt;&gt;"[Name of sub-vote]",'Org structure'!D94,"")</f>
        <v/>
      </c>
      <c r="B97" s="144"/>
      <c r="C97" s="712">
        <f>SUMIFS(Sheet1!S71_PPPYearAmount,Sheet1!S71_SubMunicipalVoteNo,$AC:$AC,Sheet1!S71_ItemType,$AD:$AD)</f>
        <v>0</v>
      </c>
      <c r="D97" s="712">
        <f>SUMIFS(Sheet1!S71_PPYearAmount,Sheet1!S71_SubMunicipalVoteNo,$AC:$AC,Sheet1!S71_ItemType,$AD:$AD)</f>
        <v>0</v>
      </c>
      <c r="E97" s="712">
        <f>SUMIFS(Sheet1!S71_PYearAmount,Sheet1!S71_SubMunicipalVoteNo,$AC:$AC,Sheet1!S71_ItemType,$AD:$AD)</f>
        <v>0</v>
      </c>
      <c r="F97" s="725">
        <f>-SUMIFS(Sheet1!S71_OriginalBudAmnt,Sheet1!S71_SubMunicipalVoteNo,$AC:$AC,Sheet1!S71_ItemType,$AD:$AD)</f>
        <v>0</v>
      </c>
      <c r="G97" s="712">
        <f>-SUMIFS(Sheet1!S71_AdjustmentBudAmnt,Sheet1!S71_SubMunicipalVoteNo,$AC:$AC,Sheet1!S71_ItemType,$AD:$AD)</f>
        <v>0</v>
      </c>
      <c r="H97" s="713">
        <f>-SUMIFS(Sheet1!S71_AdjustmentBudAmnt,Sheet1!S71_SubMunicipalVoteNo,$AC:$AC,Sheet1!S71_ItemType,$AD:$AD)</f>
        <v>0</v>
      </c>
      <c r="I97" s="725">
        <f>-SUMIFS(Sheet1!S71_ASBudgetAmount,Sheet1!S71_SubMunicipalVoteNo,$AC:$AC,Sheet1!S71_ItemType,$AD:$AD)</f>
        <v>0</v>
      </c>
      <c r="J97" s="712">
        <f>-SUMIFS(Sheet1!S71_OY1BudgetAmount,Sheet1!S71_SubMunicipalVoteNo,$AC:$AC,Sheet1!S71_ItemType,$AD:$AD)</f>
        <v>0</v>
      </c>
      <c r="K97" s="713">
        <f>-SUMIFS(Sheet1!S71_OY2BudgetAmount,Sheet1!S71_SubMunicipalVoteNo,$AC:$AC,Sheet1!S71_ItemType,$AD:$AD)</f>
        <v>0</v>
      </c>
      <c r="L97" s="709"/>
      <c r="M97" s="710"/>
      <c r="N97" s="710"/>
      <c r="O97" s="710"/>
      <c r="P97" s="710"/>
      <c r="Q97" s="710"/>
      <c r="R97" s="710"/>
      <c r="S97" s="710"/>
      <c r="T97" s="710"/>
      <c r="U97" s="710"/>
      <c r="V97" s="710"/>
      <c r="W97" s="710"/>
      <c r="AC97" s="2312">
        <v>94</v>
      </c>
      <c r="AD97" s="2318" t="s">
        <v>2759</v>
      </c>
    </row>
    <row r="98" spans="1:30" ht="11.25" customHeight="1" x14ac:dyDescent="0.25">
      <c r="A98" s="136" t="str">
        <f>IF(RIGHT('Org structure'!D95,18)&lt;&gt;"[Name of sub-vote]",'Org structure'!D95,"")</f>
        <v/>
      </c>
      <c r="B98" s="144"/>
      <c r="C98" s="712">
        <f>SUMIFS(Sheet1!S71_PPPYearAmount,Sheet1!S71_SubMunicipalVoteNo,$AC:$AC,Sheet1!S71_ItemType,$AD:$AD)</f>
        <v>0</v>
      </c>
      <c r="D98" s="712">
        <f>SUMIFS(Sheet1!S71_PPYearAmount,Sheet1!S71_SubMunicipalVoteNo,$AC:$AC,Sheet1!S71_ItemType,$AD:$AD)</f>
        <v>0</v>
      </c>
      <c r="E98" s="712">
        <f>SUMIFS(Sheet1!S71_PYearAmount,Sheet1!S71_SubMunicipalVoteNo,$AC:$AC,Sheet1!S71_ItemType,$AD:$AD)</f>
        <v>0</v>
      </c>
      <c r="F98" s="725">
        <f>-SUMIFS(Sheet1!S71_OriginalBudAmnt,Sheet1!S71_SubMunicipalVoteNo,$AC:$AC,Sheet1!S71_ItemType,$AD:$AD)</f>
        <v>0</v>
      </c>
      <c r="G98" s="712">
        <f>-SUMIFS(Sheet1!S71_AdjustmentBudAmnt,Sheet1!S71_SubMunicipalVoteNo,$AC:$AC,Sheet1!S71_ItemType,$AD:$AD)</f>
        <v>0</v>
      </c>
      <c r="H98" s="713">
        <f>-SUMIFS(Sheet1!S71_AdjustmentBudAmnt,Sheet1!S71_SubMunicipalVoteNo,$AC:$AC,Sheet1!S71_ItemType,$AD:$AD)</f>
        <v>0</v>
      </c>
      <c r="I98" s="725">
        <f>-SUMIFS(Sheet1!S71_ASBudgetAmount,Sheet1!S71_SubMunicipalVoteNo,$AC:$AC,Sheet1!S71_ItemType,$AD:$AD)</f>
        <v>0</v>
      </c>
      <c r="J98" s="712">
        <f>-SUMIFS(Sheet1!S71_OY1BudgetAmount,Sheet1!S71_SubMunicipalVoteNo,$AC:$AC,Sheet1!S71_ItemType,$AD:$AD)</f>
        <v>0</v>
      </c>
      <c r="K98" s="713">
        <f>-SUMIFS(Sheet1!S71_OY2BudgetAmount,Sheet1!S71_SubMunicipalVoteNo,$AC:$AC,Sheet1!S71_ItemType,$AD:$AD)</f>
        <v>0</v>
      </c>
      <c r="L98" s="709"/>
      <c r="M98" s="710"/>
      <c r="N98" s="710"/>
      <c r="O98" s="710"/>
      <c r="P98" s="710"/>
      <c r="Q98" s="710"/>
      <c r="R98" s="710"/>
      <c r="S98" s="710"/>
      <c r="T98" s="710"/>
      <c r="U98" s="710"/>
      <c r="V98" s="710"/>
      <c r="W98" s="710"/>
      <c r="AC98" s="2312">
        <v>95</v>
      </c>
      <c r="AD98" s="2318" t="s">
        <v>2759</v>
      </c>
    </row>
    <row r="99" spans="1:30" ht="11.25" customHeight="1" x14ac:dyDescent="0.25">
      <c r="A99" s="136" t="str">
        <f>IF(RIGHT('Org structure'!D96,18)&lt;&gt;"[Name of sub-vote]",'Org structure'!D96,"")</f>
        <v/>
      </c>
      <c r="B99" s="144"/>
      <c r="C99" s="712">
        <f>SUMIFS(Sheet1!S71_PPPYearAmount,Sheet1!S71_SubMunicipalVoteNo,$AC:$AC,Sheet1!S71_ItemType,$AD:$AD)</f>
        <v>0</v>
      </c>
      <c r="D99" s="712">
        <f>SUMIFS(Sheet1!S71_PPYearAmount,Sheet1!S71_SubMunicipalVoteNo,$AC:$AC,Sheet1!S71_ItemType,$AD:$AD)</f>
        <v>0</v>
      </c>
      <c r="E99" s="712">
        <f>SUMIFS(Sheet1!S71_PYearAmount,Sheet1!S71_SubMunicipalVoteNo,$AC:$AC,Sheet1!S71_ItemType,$AD:$AD)</f>
        <v>0</v>
      </c>
      <c r="F99" s="725">
        <f>-SUMIFS(Sheet1!S71_OriginalBudAmnt,Sheet1!S71_SubMunicipalVoteNo,$AC:$AC,Sheet1!S71_ItemType,$AD:$AD)</f>
        <v>0</v>
      </c>
      <c r="G99" s="712">
        <f>-SUMIFS(Sheet1!S71_AdjustmentBudAmnt,Sheet1!S71_SubMunicipalVoteNo,$AC:$AC,Sheet1!S71_ItemType,$AD:$AD)</f>
        <v>0</v>
      </c>
      <c r="H99" s="713">
        <f>-SUMIFS(Sheet1!S71_AdjustmentBudAmnt,Sheet1!S71_SubMunicipalVoteNo,$AC:$AC,Sheet1!S71_ItemType,$AD:$AD)</f>
        <v>0</v>
      </c>
      <c r="I99" s="725">
        <f>-SUMIFS(Sheet1!S71_ASBudgetAmount,Sheet1!S71_SubMunicipalVoteNo,$AC:$AC,Sheet1!S71_ItemType,$AD:$AD)</f>
        <v>0</v>
      </c>
      <c r="J99" s="712">
        <f>-SUMIFS(Sheet1!S71_OY1BudgetAmount,Sheet1!S71_SubMunicipalVoteNo,$AC:$AC,Sheet1!S71_ItemType,$AD:$AD)</f>
        <v>0</v>
      </c>
      <c r="K99" s="713">
        <f>-SUMIFS(Sheet1!S71_OY2BudgetAmount,Sheet1!S71_SubMunicipalVoteNo,$AC:$AC,Sheet1!S71_ItemType,$AD:$AD)</f>
        <v>0</v>
      </c>
      <c r="L99" s="709"/>
      <c r="M99" s="710"/>
      <c r="N99" s="710"/>
      <c r="O99" s="710"/>
      <c r="P99" s="710"/>
      <c r="Q99" s="710"/>
      <c r="R99" s="710"/>
      <c r="S99" s="710"/>
      <c r="T99" s="710"/>
      <c r="U99" s="710"/>
      <c r="V99" s="710"/>
      <c r="W99" s="710"/>
      <c r="AC99" s="2312">
        <v>96</v>
      </c>
      <c r="AD99" s="2318" t="s">
        <v>2759</v>
      </c>
    </row>
    <row r="100" spans="1:30" ht="11.25" customHeight="1" x14ac:dyDescent="0.25">
      <c r="A100" s="136" t="str">
        <f>IF(RIGHT('Org structure'!D97,18)&lt;&gt;"[Name of sub-vote]",'Org structure'!D97,"")</f>
        <v/>
      </c>
      <c r="B100" s="144"/>
      <c r="C100" s="712">
        <f>SUMIFS(Sheet1!S71_PPPYearAmount,Sheet1!S71_SubMunicipalVoteNo,$AC:$AC,Sheet1!S71_ItemType,$AD:$AD)</f>
        <v>0</v>
      </c>
      <c r="D100" s="712">
        <f>SUMIFS(Sheet1!S71_PPYearAmount,Sheet1!S71_SubMunicipalVoteNo,$AC:$AC,Sheet1!S71_ItemType,$AD:$AD)</f>
        <v>0</v>
      </c>
      <c r="E100" s="712">
        <f>SUMIFS(Sheet1!S71_PYearAmount,Sheet1!S71_SubMunicipalVoteNo,$AC:$AC,Sheet1!S71_ItemType,$AD:$AD)</f>
        <v>0</v>
      </c>
      <c r="F100" s="725">
        <f>-SUMIFS(Sheet1!S71_OriginalBudAmnt,Sheet1!S71_SubMunicipalVoteNo,$AC:$AC,Sheet1!S71_ItemType,$AD:$AD)</f>
        <v>0</v>
      </c>
      <c r="G100" s="712">
        <f>-SUMIFS(Sheet1!S71_AdjustmentBudAmnt,Sheet1!S71_SubMunicipalVoteNo,$AC:$AC,Sheet1!S71_ItemType,$AD:$AD)</f>
        <v>0</v>
      </c>
      <c r="H100" s="713">
        <f>-SUMIFS(Sheet1!S71_AdjustmentBudAmnt,Sheet1!S71_SubMunicipalVoteNo,$AC:$AC,Sheet1!S71_ItemType,$AD:$AD)</f>
        <v>0</v>
      </c>
      <c r="I100" s="725">
        <f>-SUMIFS(Sheet1!S71_ASBudgetAmount,Sheet1!S71_SubMunicipalVoteNo,$AC:$AC,Sheet1!S71_ItemType,$AD:$AD)</f>
        <v>0</v>
      </c>
      <c r="J100" s="712">
        <f>-SUMIFS(Sheet1!S71_OY1BudgetAmount,Sheet1!S71_SubMunicipalVoteNo,$AC:$AC,Sheet1!S71_ItemType,$AD:$AD)</f>
        <v>0</v>
      </c>
      <c r="K100" s="713">
        <f>-SUMIFS(Sheet1!S71_OY2BudgetAmount,Sheet1!S71_SubMunicipalVoteNo,$AC:$AC,Sheet1!S71_ItemType,$AD:$AD)</f>
        <v>0</v>
      </c>
      <c r="L100" s="709"/>
      <c r="M100" s="710"/>
      <c r="N100" s="710"/>
      <c r="O100" s="710"/>
      <c r="P100" s="710"/>
      <c r="Q100" s="710"/>
      <c r="R100" s="710"/>
      <c r="S100" s="710"/>
      <c r="T100" s="710"/>
      <c r="U100" s="710"/>
      <c r="V100" s="710"/>
      <c r="W100" s="710"/>
      <c r="AC100" s="2312">
        <v>97</v>
      </c>
      <c r="AD100" s="2318" t="s">
        <v>2759</v>
      </c>
    </row>
    <row r="101" spans="1:30" ht="11.25" customHeight="1" x14ac:dyDescent="0.25">
      <c r="A101" s="136" t="str">
        <f>IF(RIGHT('Org structure'!D98,18)&lt;&gt;"[Name of sub-vote]",'Org structure'!D98,"")</f>
        <v/>
      </c>
      <c r="B101" s="144"/>
      <c r="C101" s="712">
        <f>SUMIFS(Sheet1!S71_PPPYearAmount,Sheet1!S71_SubMunicipalVoteNo,$AC:$AC,Sheet1!S71_ItemType,$AD:$AD)</f>
        <v>0</v>
      </c>
      <c r="D101" s="712">
        <f>SUMIFS(Sheet1!S71_PPYearAmount,Sheet1!S71_SubMunicipalVoteNo,$AC:$AC,Sheet1!S71_ItemType,$AD:$AD)</f>
        <v>0</v>
      </c>
      <c r="E101" s="712">
        <f>SUMIFS(Sheet1!S71_PYearAmount,Sheet1!S71_SubMunicipalVoteNo,$AC:$AC,Sheet1!S71_ItemType,$AD:$AD)</f>
        <v>0</v>
      </c>
      <c r="F101" s="725">
        <f>-SUMIFS(Sheet1!S71_OriginalBudAmnt,Sheet1!S71_SubMunicipalVoteNo,$AC:$AC,Sheet1!S71_ItemType,$AD:$AD)</f>
        <v>0</v>
      </c>
      <c r="G101" s="712">
        <f>-SUMIFS(Sheet1!S71_AdjustmentBudAmnt,Sheet1!S71_SubMunicipalVoteNo,$AC:$AC,Sheet1!S71_ItemType,$AD:$AD)</f>
        <v>0</v>
      </c>
      <c r="H101" s="713">
        <f>-SUMIFS(Sheet1!S71_AdjustmentBudAmnt,Sheet1!S71_SubMunicipalVoteNo,$AC:$AC,Sheet1!S71_ItemType,$AD:$AD)</f>
        <v>0</v>
      </c>
      <c r="I101" s="725">
        <f>-SUMIFS(Sheet1!S71_ASBudgetAmount,Sheet1!S71_SubMunicipalVoteNo,$AC:$AC,Sheet1!S71_ItemType,$AD:$AD)</f>
        <v>0</v>
      </c>
      <c r="J101" s="712">
        <f>-SUMIFS(Sheet1!S71_OY1BudgetAmount,Sheet1!S71_SubMunicipalVoteNo,$AC:$AC,Sheet1!S71_ItemType,$AD:$AD)</f>
        <v>0</v>
      </c>
      <c r="K101" s="713">
        <f>-SUMIFS(Sheet1!S71_OY2BudgetAmount,Sheet1!S71_SubMunicipalVoteNo,$AC:$AC,Sheet1!S71_ItemType,$AD:$AD)</f>
        <v>0</v>
      </c>
      <c r="L101" s="709"/>
      <c r="M101" s="710"/>
      <c r="N101" s="710"/>
      <c r="O101" s="710"/>
      <c r="P101" s="710"/>
      <c r="Q101" s="710"/>
      <c r="R101" s="710"/>
      <c r="S101" s="710"/>
      <c r="T101" s="710"/>
      <c r="U101" s="710"/>
      <c r="V101" s="710"/>
      <c r="W101" s="710"/>
      <c r="AC101" s="2312">
        <v>98</v>
      </c>
      <c r="AD101" s="2318" t="s">
        <v>2759</v>
      </c>
    </row>
    <row r="102" spans="1:30" ht="11.25" customHeight="1" x14ac:dyDescent="0.25">
      <c r="A102" s="136" t="str">
        <f>IF(RIGHT('Org structure'!D99,18)&lt;&gt;"[Name of sub-vote]",'Org structure'!D99,"")</f>
        <v/>
      </c>
      <c r="B102" s="144"/>
      <c r="C102" s="712">
        <f>SUMIFS(Sheet1!S71_PPPYearAmount,Sheet1!S71_SubMunicipalVoteNo,$AC:$AC,Sheet1!S71_ItemType,$AD:$AD)</f>
        <v>0</v>
      </c>
      <c r="D102" s="712">
        <f>SUMIFS(Sheet1!S71_PPYearAmount,Sheet1!S71_SubMunicipalVoteNo,$AC:$AC,Sheet1!S71_ItemType,$AD:$AD)</f>
        <v>0</v>
      </c>
      <c r="E102" s="712">
        <f>SUMIFS(Sheet1!S71_PYearAmount,Sheet1!S71_SubMunicipalVoteNo,$AC:$AC,Sheet1!S71_ItemType,$AD:$AD)</f>
        <v>0</v>
      </c>
      <c r="F102" s="725">
        <f>-SUMIFS(Sheet1!S71_OriginalBudAmnt,Sheet1!S71_SubMunicipalVoteNo,$AC:$AC,Sheet1!S71_ItemType,$AD:$AD)</f>
        <v>0</v>
      </c>
      <c r="G102" s="712">
        <f>-SUMIFS(Sheet1!S71_AdjustmentBudAmnt,Sheet1!S71_SubMunicipalVoteNo,$AC:$AC,Sheet1!S71_ItemType,$AD:$AD)</f>
        <v>0</v>
      </c>
      <c r="H102" s="713">
        <f>-SUMIFS(Sheet1!S71_AdjustmentBudAmnt,Sheet1!S71_SubMunicipalVoteNo,$AC:$AC,Sheet1!S71_ItemType,$AD:$AD)</f>
        <v>0</v>
      </c>
      <c r="I102" s="725">
        <f>-SUMIFS(Sheet1!S71_ASBudgetAmount,Sheet1!S71_SubMunicipalVoteNo,$AC:$AC,Sheet1!S71_ItemType,$AD:$AD)</f>
        <v>0</v>
      </c>
      <c r="J102" s="712">
        <f>-SUMIFS(Sheet1!S71_OY1BudgetAmount,Sheet1!S71_SubMunicipalVoteNo,$AC:$AC,Sheet1!S71_ItemType,$AD:$AD)</f>
        <v>0</v>
      </c>
      <c r="K102" s="713">
        <f>-SUMIFS(Sheet1!S71_OY2BudgetAmount,Sheet1!S71_SubMunicipalVoteNo,$AC:$AC,Sheet1!S71_ItemType,$AD:$AD)</f>
        <v>0</v>
      </c>
      <c r="L102" s="709"/>
      <c r="M102" s="710"/>
      <c r="N102" s="710"/>
      <c r="O102" s="710"/>
      <c r="P102" s="710"/>
      <c r="Q102" s="710"/>
      <c r="R102" s="710"/>
      <c r="S102" s="710"/>
      <c r="T102" s="710"/>
      <c r="U102" s="710"/>
      <c r="V102" s="710"/>
      <c r="W102" s="710"/>
      <c r="AC102" s="2312">
        <v>99</v>
      </c>
      <c r="AD102" s="2318" t="s">
        <v>2759</v>
      </c>
    </row>
    <row r="103" spans="1:30" ht="11.25" customHeight="1" x14ac:dyDescent="0.25">
      <c r="A103" s="136" t="str">
        <f>IF(RIGHT('Org structure'!D100,18)&lt;&gt;"[Name of sub-vote]",'Org structure'!D100,"")</f>
        <v/>
      </c>
      <c r="B103" s="144"/>
      <c r="C103" s="712">
        <f>SUMIFS(Sheet1!S71_PPPYearAmount,Sheet1!S71_SubMunicipalVoteNo,$AC:$AC,Sheet1!S71_ItemType,$AD:$AD)</f>
        <v>0</v>
      </c>
      <c r="D103" s="712">
        <f>SUMIFS(Sheet1!S71_PPYearAmount,Sheet1!S71_SubMunicipalVoteNo,$AC:$AC,Sheet1!S71_ItemType,$AD:$AD)</f>
        <v>0</v>
      </c>
      <c r="E103" s="712">
        <f>SUMIFS(Sheet1!S71_PYearAmount,Sheet1!S71_SubMunicipalVoteNo,$AC:$AC,Sheet1!S71_ItemType,$AD:$AD)</f>
        <v>0</v>
      </c>
      <c r="F103" s="725">
        <f>-SUMIFS(Sheet1!S71_OriginalBudAmnt,Sheet1!S71_SubMunicipalVoteNo,$AC:$AC,Sheet1!S71_ItemType,$AD:$AD)</f>
        <v>0</v>
      </c>
      <c r="G103" s="712">
        <f>-SUMIFS(Sheet1!S71_AdjustmentBudAmnt,Sheet1!S71_SubMunicipalVoteNo,$AC:$AC,Sheet1!S71_ItemType,$AD:$AD)</f>
        <v>0</v>
      </c>
      <c r="H103" s="713">
        <f>-SUMIFS(Sheet1!S71_AdjustmentBudAmnt,Sheet1!S71_SubMunicipalVoteNo,$AC:$AC,Sheet1!S71_ItemType,$AD:$AD)</f>
        <v>0</v>
      </c>
      <c r="I103" s="725">
        <f>-SUMIFS(Sheet1!S71_ASBudgetAmount,Sheet1!S71_SubMunicipalVoteNo,$AC:$AC,Sheet1!S71_ItemType,$AD:$AD)</f>
        <v>0</v>
      </c>
      <c r="J103" s="712">
        <f>-SUMIFS(Sheet1!S71_OY1BudgetAmount,Sheet1!S71_SubMunicipalVoteNo,$AC:$AC,Sheet1!S71_ItemType,$AD:$AD)</f>
        <v>0</v>
      </c>
      <c r="K103" s="713">
        <f>-SUMIFS(Sheet1!S71_OY2BudgetAmount,Sheet1!S71_SubMunicipalVoteNo,$AC:$AC,Sheet1!S71_ItemType,$AD:$AD)</f>
        <v>0</v>
      </c>
      <c r="L103" s="709"/>
      <c r="M103" s="710"/>
      <c r="N103" s="710"/>
      <c r="O103" s="710"/>
      <c r="P103" s="710"/>
      <c r="Q103" s="710"/>
      <c r="R103" s="710"/>
      <c r="S103" s="710"/>
      <c r="T103" s="710"/>
      <c r="U103" s="710"/>
      <c r="V103" s="710"/>
      <c r="W103" s="710"/>
      <c r="AC103" s="2312">
        <v>910</v>
      </c>
      <c r="AD103" s="2318" t="s">
        <v>2759</v>
      </c>
    </row>
    <row r="104" spans="1:30" ht="15" customHeight="1" x14ac:dyDescent="0.25">
      <c r="A104" s="135" t="str">
        <f>'Org structure'!A11</f>
        <v>Vote 10 - Public Safety</v>
      </c>
      <c r="B104" s="144"/>
      <c r="C104" s="212">
        <f>SUM(C105:C114)</f>
        <v>0</v>
      </c>
      <c r="D104" s="212">
        <f t="shared" ref="D104:K104" si="9">SUM(D105:D114)</f>
        <v>0</v>
      </c>
      <c r="E104" s="213">
        <f t="shared" si="9"/>
        <v>0</v>
      </c>
      <c r="F104" s="214">
        <f t="shared" si="9"/>
        <v>0</v>
      </c>
      <c r="G104" s="212">
        <f t="shared" si="9"/>
        <v>0</v>
      </c>
      <c r="H104" s="215">
        <f t="shared" si="9"/>
        <v>0</v>
      </c>
      <c r="I104" s="216">
        <f t="shared" si="9"/>
        <v>0</v>
      </c>
      <c r="J104" s="212">
        <f t="shared" si="9"/>
        <v>0</v>
      </c>
      <c r="K104" s="213">
        <f t="shared" si="9"/>
        <v>0</v>
      </c>
      <c r="L104" s="709"/>
      <c r="M104" s="710"/>
      <c r="N104" s="710"/>
      <c r="O104" s="710"/>
      <c r="P104" s="710"/>
      <c r="Q104" s="710"/>
      <c r="R104" s="710"/>
      <c r="S104" s="710"/>
      <c r="T104" s="710"/>
      <c r="U104" s="710"/>
      <c r="V104" s="710"/>
      <c r="W104" s="710"/>
      <c r="AD104" s="2315"/>
    </row>
    <row r="105" spans="1:30" ht="11.25" customHeight="1" x14ac:dyDescent="0.25">
      <c r="A105" s="136" t="str">
        <f>IF(RIGHT('Org structure'!D102,18)&lt;&gt;"[Name of sub-vote]",'Org structure'!D102,"")</f>
        <v>10.1 - Fire Fighting and Protection</v>
      </c>
      <c r="B105" s="144"/>
      <c r="C105" s="712">
        <f>SUMIFS(Sheet1!S71_PPPYearAmount,Sheet1!S71_SubMunicipalVoteNo,$AC:$AC,Sheet1!S71_ItemType,$AD:$AD)</f>
        <v>0</v>
      </c>
      <c r="D105" s="712">
        <f>SUMIFS(Sheet1!S71_PPYearAmount,Sheet1!S71_SubMunicipalVoteNo,$AC:$AC,Sheet1!S71_ItemType,$AD:$AD)</f>
        <v>0</v>
      </c>
      <c r="E105" s="712">
        <f>SUMIFS(Sheet1!S71_PYearAmount,Sheet1!S71_SubMunicipalVoteNo,$AC:$AC,Sheet1!S71_ItemType,$AD:$AD)</f>
        <v>0</v>
      </c>
      <c r="F105" s="725">
        <f>-SUMIFS(Sheet1!S71_OriginalBudAmnt,Sheet1!S71_SubMunicipalVoteNo,$AC:$AC,Sheet1!S71_ItemType,$AD:$AD)</f>
        <v>0</v>
      </c>
      <c r="G105" s="712">
        <f>-SUMIFS(Sheet1!S71_AdjustmentBudAmnt,Sheet1!S71_SubMunicipalVoteNo,$AC:$AC,Sheet1!S71_ItemType,$AD:$AD)</f>
        <v>0</v>
      </c>
      <c r="H105" s="713">
        <f>-SUMIFS(Sheet1!S71_AdjustmentBudAmnt,Sheet1!S71_SubMunicipalVoteNo,$AC:$AC,Sheet1!S71_ItemType,$AD:$AD)</f>
        <v>0</v>
      </c>
      <c r="I105" s="725">
        <f>-SUMIFS(Sheet1!S71_ASBudgetAmount,Sheet1!S71_SubMunicipalVoteNo,$AC:$AC,Sheet1!S71_ItemType,$AD:$AD)</f>
        <v>0</v>
      </c>
      <c r="J105" s="712">
        <f>-SUMIFS(Sheet1!S71_OY1BudgetAmount,Sheet1!S71_SubMunicipalVoteNo,$AC:$AC,Sheet1!S71_ItemType,$AD:$AD)</f>
        <v>0</v>
      </c>
      <c r="K105" s="713">
        <f>-SUMIFS(Sheet1!S71_OY2BudgetAmount,Sheet1!S71_SubMunicipalVoteNo,$AC:$AC,Sheet1!S71_ItemType,$AD:$AD)</f>
        <v>0</v>
      </c>
      <c r="L105" s="709"/>
      <c r="M105" s="710"/>
      <c r="N105" s="710"/>
      <c r="O105" s="710"/>
      <c r="P105" s="710"/>
      <c r="Q105" s="710"/>
      <c r="R105" s="710"/>
      <c r="S105" s="710"/>
      <c r="T105" s="710"/>
      <c r="U105" s="710"/>
      <c r="V105" s="710"/>
      <c r="W105" s="710"/>
      <c r="AC105" s="2312">
        <v>101</v>
      </c>
      <c r="AD105" s="2318" t="s">
        <v>2759</v>
      </c>
    </row>
    <row r="106" spans="1:30" ht="11.25" customHeight="1" x14ac:dyDescent="0.25">
      <c r="A106" s="136" t="str">
        <f>IF(RIGHT('Org structure'!D103,18)&lt;&gt;"[Name of sub-vote]",'Org structure'!D103,"")</f>
        <v>10.2 - Fencing and Fences</v>
      </c>
      <c r="B106" s="144"/>
      <c r="C106" s="712">
        <f>SUMIFS(Sheet1!S71_PPPYearAmount,Sheet1!S71_SubMunicipalVoteNo,$AC:$AC,Sheet1!S71_ItemType,$AD:$AD)</f>
        <v>0</v>
      </c>
      <c r="D106" s="712">
        <f>SUMIFS(Sheet1!S71_PPYearAmount,Sheet1!S71_SubMunicipalVoteNo,$AC:$AC,Sheet1!S71_ItemType,$AD:$AD)</f>
        <v>0</v>
      </c>
      <c r="E106" s="712">
        <f>SUMIFS(Sheet1!S71_PYearAmount,Sheet1!S71_SubMunicipalVoteNo,$AC:$AC,Sheet1!S71_ItemType,$AD:$AD)</f>
        <v>0</v>
      </c>
      <c r="F106" s="725">
        <f>-SUMIFS(Sheet1!S71_OriginalBudAmnt,Sheet1!S71_SubMunicipalVoteNo,$AC:$AC,Sheet1!S71_ItemType,$AD:$AD)</f>
        <v>0</v>
      </c>
      <c r="G106" s="712">
        <f>-SUMIFS(Sheet1!S71_AdjustmentBudAmnt,Sheet1!S71_SubMunicipalVoteNo,$AC:$AC,Sheet1!S71_ItemType,$AD:$AD)</f>
        <v>0</v>
      </c>
      <c r="H106" s="713">
        <f>-SUMIFS(Sheet1!S71_AdjustmentBudAmnt,Sheet1!S71_SubMunicipalVoteNo,$AC:$AC,Sheet1!S71_ItemType,$AD:$AD)</f>
        <v>0</v>
      </c>
      <c r="I106" s="725">
        <f>-SUMIFS(Sheet1!S71_ASBudgetAmount,Sheet1!S71_SubMunicipalVoteNo,$AC:$AC,Sheet1!S71_ItemType,$AD:$AD)</f>
        <v>0</v>
      </c>
      <c r="J106" s="712">
        <f>-SUMIFS(Sheet1!S71_OY1BudgetAmount,Sheet1!S71_SubMunicipalVoteNo,$AC:$AC,Sheet1!S71_ItemType,$AD:$AD)</f>
        <v>0</v>
      </c>
      <c r="K106" s="713">
        <f>-SUMIFS(Sheet1!S71_OY2BudgetAmount,Sheet1!S71_SubMunicipalVoteNo,$AC:$AC,Sheet1!S71_ItemType,$AD:$AD)</f>
        <v>0</v>
      </c>
      <c r="L106" s="709"/>
      <c r="M106" s="710"/>
      <c r="N106" s="710"/>
      <c r="O106" s="710"/>
      <c r="P106" s="710"/>
      <c r="Q106" s="710"/>
      <c r="R106" s="710"/>
      <c r="S106" s="710"/>
      <c r="T106" s="710"/>
      <c r="U106" s="710"/>
      <c r="V106" s="710"/>
      <c r="W106" s="710"/>
      <c r="AC106" s="2312">
        <v>102</v>
      </c>
      <c r="AD106" s="2318" t="s">
        <v>2759</v>
      </c>
    </row>
    <row r="107" spans="1:30" ht="11.25" customHeight="1" x14ac:dyDescent="0.25">
      <c r="A107" s="136" t="str">
        <f>IF(RIGHT('Org structure'!D104,18)&lt;&gt;"[Name of sub-vote]",'Org structure'!D104,"")</f>
        <v/>
      </c>
      <c r="B107" s="144"/>
      <c r="C107" s="712">
        <f>SUMIFS(Sheet1!S71_PPPYearAmount,Sheet1!S71_SubMunicipalVoteNo,$AC:$AC,Sheet1!S71_ItemType,$AD:$AD)</f>
        <v>0</v>
      </c>
      <c r="D107" s="712">
        <f>SUMIFS(Sheet1!S71_PPYearAmount,Sheet1!S71_SubMunicipalVoteNo,$AC:$AC,Sheet1!S71_ItemType,$AD:$AD)</f>
        <v>0</v>
      </c>
      <c r="E107" s="712">
        <f>SUMIFS(Sheet1!S71_PYearAmount,Sheet1!S71_SubMunicipalVoteNo,$AC:$AC,Sheet1!S71_ItemType,$AD:$AD)</f>
        <v>0</v>
      </c>
      <c r="F107" s="725">
        <f>-SUMIFS(Sheet1!S71_OriginalBudAmnt,Sheet1!S71_SubMunicipalVoteNo,$AC:$AC,Sheet1!S71_ItemType,$AD:$AD)</f>
        <v>0</v>
      </c>
      <c r="G107" s="712">
        <f>-SUMIFS(Sheet1!S71_AdjustmentBudAmnt,Sheet1!S71_SubMunicipalVoteNo,$AC:$AC,Sheet1!S71_ItemType,$AD:$AD)</f>
        <v>0</v>
      </c>
      <c r="H107" s="713">
        <f>-SUMIFS(Sheet1!S71_AdjustmentBudAmnt,Sheet1!S71_SubMunicipalVoteNo,$AC:$AC,Sheet1!S71_ItemType,$AD:$AD)</f>
        <v>0</v>
      </c>
      <c r="I107" s="725">
        <f>-SUMIFS(Sheet1!S71_ASBudgetAmount,Sheet1!S71_SubMunicipalVoteNo,$AC:$AC,Sheet1!S71_ItemType,$AD:$AD)</f>
        <v>0</v>
      </c>
      <c r="J107" s="712">
        <f>-SUMIFS(Sheet1!S71_OY1BudgetAmount,Sheet1!S71_SubMunicipalVoteNo,$AC:$AC,Sheet1!S71_ItemType,$AD:$AD)</f>
        <v>0</v>
      </c>
      <c r="K107" s="713">
        <f>-SUMIFS(Sheet1!S71_OY2BudgetAmount,Sheet1!S71_SubMunicipalVoteNo,$AC:$AC,Sheet1!S71_ItemType,$AD:$AD)</f>
        <v>0</v>
      </c>
      <c r="L107" s="709"/>
      <c r="M107" s="710"/>
      <c r="N107" s="710"/>
      <c r="O107" s="710"/>
      <c r="P107" s="710"/>
      <c r="Q107" s="710"/>
      <c r="R107" s="710"/>
      <c r="S107" s="710"/>
      <c r="T107" s="710"/>
      <c r="U107" s="710"/>
      <c r="V107" s="710"/>
      <c r="W107" s="710"/>
      <c r="AC107" s="2312">
        <v>103</v>
      </c>
      <c r="AD107" s="2318" t="s">
        <v>2759</v>
      </c>
    </row>
    <row r="108" spans="1:30" ht="11.25" customHeight="1" x14ac:dyDescent="0.25">
      <c r="A108" s="136" t="str">
        <f>IF(RIGHT('Org structure'!D105,18)&lt;&gt;"[Name of sub-vote]",'Org structure'!D105,"")</f>
        <v/>
      </c>
      <c r="B108" s="144"/>
      <c r="C108" s="712">
        <f>SUMIFS(Sheet1!S71_PPPYearAmount,Sheet1!S71_SubMunicipalVoteNo,$AC:$AC,Sheet1!S71_ItemType,$AD:$AD)</f>
        <v>0</v>
      </c>
      <c r="D108" s="712">
        <f>SUMIFS(Sheet1!S71_PPYearAmount,Sheet1!S71_SubMunicipalVoteNo,$AC:$AC,Sheet1!S71_ItemType,$AD:$AD)</f>
        <v>0</v>
      </c>
      <c r="E108" s="712">
        <f>SUMIFS(Sheet1!S71_PYearAmount,Sheet1!S71_SubMunicipalVoteNo,$AC:$AC,Sheet1!S71_ItemType,$AD:$AD)</f>
        <v>0</v>
      </c>
      <c r="F108" s="725">
        <f>-SUMIFS(Sheet1!S71_OriginalBudAmnt,Sheet1!S71_SubMunicipalVoteNo,$AC:$AC,Sheet1!S71_ItemType,$AD:$AD)</f>
        <v>0</v>
      </c>
      <c r="G108" s="712">
        <f>-SUMIFS(Sheet1!S71_AdjustmentBudAmnt,Sheet1!S71_SubMunicipalVoteNo,$AC:$AC,Sheet1!S71_ItemType,$AD:$AD)</f>
        <v>0</v>
      </c>
      <c r="H108" s="713">
        <f>-SUMIFS(Sheet1!S71_AdjustmentBudAmnt,Sheet1!S71_SubMunicipalVoteNo,$AC:$AC,Sheet1!S71_ItemType,$AD:$AD)</f>
        <v>0</v>
      </c>
      <c r="I108" s="725">
        <f>-SUMIFS(Sheet1!S71_ASBudgetAmount,Sheet1!S71_SubMunicipalVoteNo,$AC:$AC,Sheet1!S71_ItemType,$AD:$AD)</f>
        <v>0</v>
      </c>
      <c r="J108" s="712">
        <f>-SUMIFS(Sheet1!S71_OY1BudgetAmount,Sheet1!S71_SubMunicipalVoteNo,$AC:$AC,Sheet1!S71_ItemType,$AD:$AD)</f>
        <v>0</v>
      </c>
      <c r="K108" s="713">
        <f>-SUMIFS(Sheet1!S71_OY2BudgetAmount,Sheet1!S71_SubMunicipalVoteNo,$AC:$AC,Sheet1!S71_ItemType,$AD:$AD)</f>
        <v>0</v>
      </c>
      <c r="L108" s="709"/>
      <c r="M108" s="710"/>
      <c r="N108" s="710"/>
      <c r="O108" s="710"/>
      <c r="P108" s="710"/>
      <c r="Q108" s="710"/>
      <c r="R108" s="710"/>
      <c r="S108" s="710"/>
      <c r="T108" s="710"/>
      <c r="U108" s="710"/>
      <c r="V108" s="710"/>
      <c r="W108" s="710"/>
      <c r="AC108" s="2312">
        <v>104</v>
      </c>
      <c r="AD108" s="2318" t="s">
        <v>2759</v>
      </c>
    </row>
    <row r="109" spans="1:30" ht="11.25" customHeight="1" x14ac:dyDescent="0.25">
      <c r="A109" s="136" t="str">
        <f>IF(RIGHT('Org structure'!D106,18)&lt;&gt;"[Name of sub-vote]",'Org structure'!D106,"")</f>
        <v/>
      </c>
      <c r="B109" s="144"/>
      <c r="C109" s="712">
        <f>SUMIFS(Sheet1!S71_PPPYearAmount,Sheet1!S71_SubMunicipalVoteNo,$AC:$AC,Sheet1!S71_ItemType,$AD:$AD)</f>
        <v>0</v>
      </c>
      <c r="D109" s="712">
        <f>SUMIFS(Sheet1!S71_PPYearAmount,Sheet1!S71_SubMunicipalVoteNo,$AC:$AC,Sheet1!S71_ItemType,$AD:$AD)</f>
        <v>0</v>
      </c>
      <c r="E109" s="712">
        <f>SUMIFS(Sheet1!S71_PYearAmount,Sheet1!S71_SubMunicipalVoteNo,$AC:$AC,Sheet1!S71_ItemType,$AD:$AD)</f>
        <v>0</v>
      </c>
      <c r="F109" s="725">
        <f>-SUMIFS(Sheet1!S71_OriginalBudAmnt,Sheet1!S71_SubMunicipalVoteNo,$AC:$AC,Sheet1!S71_ItemType,$AD:$AD)</f>
        <v>0</v>
      </c>
      <c r="G109" s="712">
        <f>-SUMIFS(Sheet1!S71_AdjustmentBudAmnt,Sheet1!S71_SubMunicipalVoteNo,$AC:$AC,Sheet1!S71_ItemType,$AD:$AD)</f>
        <v>0</v>
      </c>
      <c r="H109" s="713">
        <f>-SUMIFS(Sheet1!S71_AdjustmentBudAmnt,Sheet1!S71_SubMunicipalVoteNo,$AC:$AC,Sheet1!S71_ItemType,$AD:$AD)</f>
        <v>0</v>
      </c>
      <c r="I109" s="725">
        <f>-SUMIFS(Sheet1!S71_ASBudgetAmount,Sheet1!S71_SubMunicipalVoteNo,$AC:$AC,Sheet1!S71_ItemType,$AD:$AD)</f>
        <v>0</v>
      </c>
      <c r="J109" s="712">
        <f>-SUMIFS(Sheet1!S71_OY1BudgetAmount,Sheet1!S71_SubMunicipalVoteNo,$AC:$AC,Sheet1!S71_ItemType,$AD:$AD)</f>
        <v>0</v>
      </c>
      <c r="K109" s="713">
        <f>-SUMIFS(Sheet1!S71_OY2BudgetAmount,Sheet1!S71_SubMunicipalVoteNo,$AC:$AC,Sheet1!S71_ItemType,$AD:$AD)</f>
        <v>0</v>
      </c>
      <c r="L109" s="709"/>
      <c r="M109" s="710"/>
      <c r="N109" s="710"/>
      <c r="O109" s="710"/>
      <c r="P109" s="710"/>
      <c r="Q109" s="710"/>
      <c r="R109" s="710"/>
      <c r="S109" s="710"/>
      <c r="T109" s="710"/>
      <c r="U109" s="710"/>
      <c r="V109" s="710"/>
      <c r="W109" s="710"/>
      <c r="AC109" s="2312">
        <v>105</v>
      </c>
      <c r="AD109" s="2318" t="s">
        <v>2759</v>
      </c>
    </row>
    <row r="110" spans="1:30" ht="11.25" customHeight="1" x14ac:dyDescent="0.25">
      <c r="A110" s="136" t="str">
        <f>IF(RIGHT('Org structure'!D107,18)&lt;&gt;"[Name of sub-vote]",'Org structure'!D107,"")</f>
        <v/>
      </c>
      <c r="B110" s="144"/>
      <c r="C110" s="712">
        <f>SUMIFS(Sheet1!S71_PPPYearAmount,Sheet1!S71_SubMunicipalVoteNo,$AC:$AC,Sheet1!S71_ItemType,$AD:$AD)</f>
        <v>0</v>
      </c>
      <c r="D110" s="712">
        <f>SUMIFS(Sheet1!S71_PPYearAmount,Sheet1!S71_SubMunicipalVoteNo,$AC:$AC,Sheet1!S71_ItemType,$AD:$AD)</f>
        <v>0</v>
      </c>
      <c r="E110" s="712">
        <f>SUMIFS(Sheet1!S71_PYearAmount,Sheet1!S71_SubMunicipalVoteNo,$AC:$AC,Sheet1!S71_ItemType,$AD:$AD)</f>
        <v>0</v>
      </c>
      <c r="F110" s="725">
        <f>-SUMIFS(Sheet1!S71_OriginalBudAmnt,Sheet1!S71_SubMunicipalVoteNo,$AC:$AC,Sheet1!S71_ItemType,$AD:$AD)</f>
        <v>0</v>
      </c>
      <c r="G110" s="712">
        <f>-SUMIFS(Sheet1!S71_AdjustmentBudAmnt,Sheet1!S71_SubMunicipalVoteNo,$AC:$AC,Sheet1!S71_ItemType,$AD:$AD)</f>
        <v>0</v>
      </c>
      <c r="H110" s="713">
        <f>-SUMIFS(Sheet1!S71_AdjustmentBudAmnt,Sheet1!S71_SubMunicipalVoteNo,$AC:$AC,Sheet1!S71_ItemType,$AD:$AD)</f>
        <v>0</v>
      </c>
      <c r="I110" s="725">
        <f>-SUMIFS(Sheet1!S71_ASBudgetAmount,Sheet1!S71_SubMunicipalVoteNo,$AC:$AC,Sheet1!S71_ItemType,$AD:$AD)</f>
        <v>0</v>
      </c>
      <c r="J110" s="712">
        <f>-SUMIFS(Sheet1!S71_OY1BudgetAmount,Sheet1!S71_SubMunicipalVoteNo,$AC:$AC,Sheet1!S71_ItemType,$AD:$AD)</f>
        <v>0</v>
      </c>
      <c r="K110" s="713">
        <f>-SUMIFS(Sheet1!S71_OY2BudgetAmount,Sheet1!S71_SubMunicipalVoteNo,$AC:$AC,Sheet1!S71_ItemType,$AD:$AD)</f>
        <v>0</v>
      </c>
      <c r="L110" s="709"/>
      <c r="M110" s="710"/>
      <c r="N110" s="710"/>
      <c r="O110" s="710"/>
      <c r="P110" s="710"/>
      <c r="Q110" s="710"/>
      <c r="R110" s="710"/>
      <c r="S110" s="710"/>
      <c r="T110" s="710"/>
      <c r="U110" s="710"/>
      <c r="V110" s="710"/>
      <c r="W110" s="710"/>
      <c r="AC110" s="2312">
        <v>106</v>
      </c>
      <c r="AD110" s="2318" t="s">
        <v>2759</v>
      </c>
    </row>
    <row r="111" spans="1:30" ht="11.25" customHeight="1" x14ac:dyDescent="0.25">
      <c r="A111" s="136" t="str">
        <f>IF(RIGHT('Org structure'!D108,18)&lt;&gt;"[Name of sub-vote]",'Org structure'!D108,"")</f>
        <v/>
      </c>
      <c r="B111" s="144"/>
      <c r="C111" s="712">
        <f>SUMIFS(Sheet1!S71_PPPYearAmount,Sheet1!S71_SubMunicipalVoteNo,$AC:$AC,Sheet1!S71_ItemType,$AD:$AD)</f>
        <v>0</v>
      </c>
      <c r="D111" s="712">
        <f>SUMIFS(Sheet1!S71_PPYearAmount,Sheet1!S71_SubMunicipalVoteNo,$AC:$AC,Sheet1!S71_ItemType,$AD:$AD)</f>
        <v>0</v>
      </c>
      <c r="E111" s="712">
        <f>SUMIFS(Sheet1!S71_PYearAmount,Sheet1!S71_SubMunicipalVoteNo,$AC:$AC,Sheet1!S71_ItemType,$AD:$AD)</f>
        <v>0</v>
      </c>
      <c r="F111" s="725">
        <f>-SUMIFS(Sheet1!S71_OriginalBudAmnt,Sheet1!S71_SubMunicipalVoteNo,$AC:$AC,Sheet1!S71_ItemType,$AD:$AD)</f>
        <v>0</v>
      </c>
      <c r="G111" s="712">
        <f>-SUMIFS(Sheet1!S71_AdjustmentBudAmnt,Sheet1!S71_SubMunicipalVoteNo,$AC:$AC,Sheet1!S71_ItemType,$AD:$AD)</f>
        <v>0</v>
      </c>
      <c r="H111" s="713">
        <f>-SUMIFS(Sheet1!S71_AdjustmentBudAmnt,Sheet1!S71_SubMunicipalVoteNo,$AC:$AC,Sheet1!S71_ItemType,$AD:$AD)</f>
        <v>0</v>
      </c>
      <c r="I111" s="725">
        <f>-SUMIFS(Sheet1!S71_ASBudgetAmount,Sheet1!S71_SubMunicipalVoteNo,$AC:$AC,Sheet1!S71_ItemType,$AD:$AD)</f>
        <v>0</v>
      </c>
      <c r="J111" s="712">
        <f>-SUMIFS(Sheet1!S71_OY1BudgetAmount,Sheet1!S71_SubMunicipalVoteNo,$AC:$AC,Sheet1!S71_ItemType,$AD:$AD)</f>
        <v>0</v>
      </c>
      <c r="K111" s="713">
        <f>-SUMIFS(Sheet1!S71_OY2BudgetAmount,Sheet1!S71_SubMunicipalVoteNo,$AC:$AC,Sheet1!S71_ItemType,$AD:$AD)</f>
        <v>0</v>
      </c>
      <c r="L111" s="709"/>
      <c r="M111" s="710"/>
      <c r="N111" s="710"/>
      <c r="O111" s="710"/>
      <c r="P111" s="710"/>
      <c r="Q111" s="710"/>
      <c r="R111" s="710"/>
      <c r="S111" s="710"/>
      <c r="T111" s="710"/>
      <c r="U111" s="710"/>
      <c r="V111" s="710"/>
      <c r="W111" s="710"/>
      <c r="AC111" s="2312">
        <v>107</v>
      </c>
      <c r="AD111" s="2318" t="s">
        <v>2759</v>
      </c>
    </row>
    <row r="112" spans="1:30" ht="11.25" customHeight="1" x14ac:dyDescent="0.25">
      <c r="A112" s="136" t="str">
        <f>IF(RIGHT('Org structure'!D109,18)&lt;&gt;"[Name of sub-vote]",'Org structure'!D109,"")</f>
        <v/>
      </c>
      <c r="B112" s="144"/>
      <c r="C112" s="712">
        <f>SUMIFS(Sheet1!S71_PPPYearAmount,Sheet1!S71_SubMunicipalVoteNo,$AC:$AC,Sheet1!S71_ItemType,$AD:$AD)</f>
        <v>0</v>
      </c>
      <c r="D112" s="712">
        <f>SUMIFS(Sheet1!S71_PPYearAmount,Sheet1!S71_SubMunicipalVoteNo,$AC:$AC,Sheet1!S71_ItemType,$AD:$AD)</f>
        <v>0</v>
      </c>
      <c r="E112" s="712">
        <f>SUMIFS(Sheet1!S71_PYearAmount,Sheet1!S71_SubMunicipalVoteNo,$AC:$AC,Sheet1!S71_ItemType,$AD:$AD)</f>
        <v>0</v>
      </c>
      <c r="F112" s="725">
        <f>-SUMIFS(Sheet1!S71_OriginalBudAmnt,Sheet1!S71_SubMunicipalVoteNo,$AC:$AC,Sheet1!S71_ItemType,$AD:$AD)</f>
        <v>0</v>
      </c>
      <c r="G112" s="712">
        <f>-SUMIFS(Sheet1!S71_AdjustmentBudAmnt,Sheet1!S71_SubMunicipalVoteNo,$AC:$AC,Sheet1!S71_ItemType,$AD:$AD)</f>
        <v>0</v>
      </c>
      <c r="H112" s="713">
        <f>-SUMIFS(Sheet1!S71_AdjustmentBudAmnt,Sheet1!S71_SubMunicipalVoteNo,$AC:$AC,Sheet1!S71_ItemType,$AD:$AD)</f>
        <v>0</v>
      </c>
      <c r="I112" s="725">
        <f>-SUMIFS(Sheet1!S71_ASBudgetAmount,Sheet1!S71_SubMunicipalVoteNo,$AC:$AC,Sheet1!S71_ItemType,$AD:$AD)</f>
        <v>0</v>
      </c>
      <c r="J112" s="712">
        <f>-SUMIFS(Sheet1!S71_OY1BudgetAmount,Sheet1!S71_SubMunicipalVoteNo,$AC:$AC,Sheet1!S71_ItemType,$AD:$AD)</f>
        <v>0</v>
      </c>
      <c r="K112" s="713">
        <f>-SUMIFS(Sheet1!S71_OY2BudgetAmount,Sheet1!S71_SubMunicipalVoteNo,$AC:$AC,Sheet1!S71_ItemType,$AD:$AD)</f>
        <v>0</v>
      </c>
      <c r="L112" s="709"/>
      <c r="M112" s="710"/>
      <c r="N112" s="710"/>
      <c r="O112" s="710"/>
      <c r="P112" s="710"/>
      <c r="Q112" s="710"/>
      <c r="R112" s="710"/>
      <c r="S112" s="710"/>
      <c r="T112" s="710"/>
      <c r="U112" s="710"/>
      <c r="V112" s="710"/>
      <c r="W112" s="710"/>
      <c r="AC112" s="2312">
        <v>108</v>
      </c>
      <c r="AD112" s="2318" t="s">
        <v>2759</v>
      </c>
    </row>
    <row r="113" spans="1:30" ht="11.25" customHeight="1" x14ac:dyDescent="0.25">
      <c r="A113" s="136" t="str">
        <f>IF(RIGHT('Org structure'!D110,18)&lt;&gt;"[Name of sub-vote]",'Org structure'!D110,"")</f>
        <v/>
      </c>
      <c r="B113" s="144"/>
      <c r="C113" s="712">
        <f>SUMIFS(Sheet1!S71_PPPYearAmount,Sheet1!S71_SubMunicipalVoteNo,$AC:$AC,Sheet1!S71_ItemType,$AD:$AD)</f>
        <v>0</v>
      </c>
      <c r="D113" s="712">
        <f>SUMIFS(Sheet1!S71_PPYearAmount,Sheet1!S71_SubMunicipalVoteNo,$AC:$AC,Sheet1!S71_ItemType,$AD:$AD)</f>
        <v>0</v>
      </c>
      <c r="E113" s="712">
        <f>SUMIFS(Sheet1!S71_PYearAmount,Sheet1!S71_SubMunicipalVoteNo,$AC:$AC,Sheet1!S71_ItemType,$AD:$AD)</f>
        <v>0</v>
      </c>
      <c r="F113" s="725">
        <f>-SUMIFS(Sheet1!S71_OriginalBudAmnt,Sheet1!S71_SubMunicipalVoteNo,$AC:$AC,Sheet1!S71_ItemType,$AD:$AD)</f>
        <v>0</v>
      </c>
      <c r="G113" s="712">
        <f>-SUMIFS(Sheet1!S71_AdjustmentBudAmnt,Sheet1!S71_SubMunicipalVoteNo,$AC:$AC,Sheet1!S71_ItemType,$AD:$AD)</f>
        <v>0</v>
      </c>
      <c r="H113" s="713">
        <f>-SUMIFS(Sheet1!S71_AdjustmentBudAmnt,Sheet1!S71_SubMunicipalVoteNo,$AC:$AC,Sheet1!S71_ItemType,$AD:$AD)</f>
        <v>0</v>
      </c>
      <c r="I113" s="725">
        <f>-SUMIFS(Sheet1!S71_ASBudgetAmount,Sheet1!S71_SubMunicipalVoteNo,$AC:$AC,Sheet1!S71_ItemType,$AD:$AD)</f>
        <v>0</v>
      </c>
      <c r="J113" s="712">
        <f>-SUMIFS(Sheet1!S71_OY1BudgetAmount,Sheet1!S71_SubMunicipalVoteNo,$AC:$AC,Sheet1!S71_ItemType,$AD:$AD)</f>
        <v>0</v>
      </c>
      <c r="K113" s="713">
        <f>-SUMIFS(Sheet1!S71_OY2BudgetAmount,Sheet1!S71_SubMunicipalVoteNo,$AC:$AC,Sheet1!S71_ItemType,$AD:$AD)</f>
        <v>0</v>
      </c>
      <c r="L113" s="709"/>
      <c r="M113" s="710"/>
      <c r="N113" s="710"/>
      <c r="O113" s="710"/>
      <c r="P113" s="710"/>
      <c r="Q113" s="710"/>
      <c r="R113" s="710"/>
      <c r="S113" s="710"/>
      <c r="T113" s="710"/>
      <c r="U113" s="710"/>
      <c r="V113" s="710"/>
      <c r="W113" s="710"/>
      <c r="AC113" s="2312">
        <v>109</v>
      </c>
      <c r="AD113" s="2318" t="s">
        <v>2759</v>
      </c>
    </row>
    <row r="114" spans="1:30" ht="11.25" customHeight="1" x14ac:dyDescent="0.25">
      <c r="A114" s="136" t="str">
        <f>IF(RIGHT('Org structure'!D111,18)&lt;&gt;"[Name of sub-vote]",'Org structure'!D111,"")</f>
        <v/>
      </c>
      <c r="B114" s="144"/>
      <c r="C114" s="712">
        <f>SUMIFS(Sheet1!S71_PPPYearAmount,Sheet1!S71_SubMunicipalVoteNo,$AC:$AC,Sheet1!S71_ItemType,$AD:$AD)</f>
        <v>0</v>
      </c>
      <c r="D114" s="712">
        <f>SUMIFS(Sheet1!S71_PPYearAmount,Sheet1!S71_SubMunicipalVoteNo,$AC:$AC,Sheet1!S71_ItemType,$AD:$AD)</f>
        <v>0</v>
      </c>
      <c r="E114" s="712">
        <f>SUMIFS(Sheet1!S71_PYearAmount,Sheet1!S71_SubMunicipalVoteNo,$AC:$AC,Sheet1!S71_ItemType,$AD:$AD)</f>
        <v>0</v>
      </c>
      <c r="F114" s="725">
        <f>-SUMIFS(Sheet1!S71_OriginalBudAmnt,Sheet1!S71_SubMunicipalVoteNo,$AC:$AC,Sheet1!S71_ItemType,$AD:$AD)</f>
        <v>0</v>
      </c>
      <c r="G114" s="712">
        <f>-SUMIFS(Sheet1!S71_AdjustmentBudAmnt,Sheet1!S71_SubMunicipalVoteNo,$AC:$AC,Sheet1!S71_ItemType,$AD:$AD)</f>
        <v>0</v>
      </c>
      <c r="H114" s="713">
        <f>-SUMIFS(Sheet1!S71_AdjustmentBudAmnt,Sheet1!S71_SubMunicipalVoteNo,$AC:$AC,Sheet1!S71_ItemType,$AD:$AD)</f>
        <v>0</v>
      </c>
      <c r="I114" s="725">
        <f>-SUMIFS(Sheet1!S71_ASBudgetAmount,Sheet1!S71_SubMunicipalVoteNo,$AC:$AC,Sheet1!S71_ItemType,$AD:$AD)</f>
        <v>0</v>
      </c>
      <c r="J114" s="712">
        <f>-SUMIFS(Sheet1!S71_OY1BudgetAmount,Sheet1!S71_SubMunicipalVoteNo,$AC:$AC,Sheet1!S71_ItemType,$AD:$AD)</f>
        <v>0</v>
      </c>
      <c r="K114" s="713">
        <f>-SUMIFS(Sheet1!S71_OY2BudgetAmount,Sheet1!S71_SubMunicipalVoteNo,$AC:$AC,Sheet1!S71_ItemType,$AD:$AD)</f>
        <v>0</v>
      </c>
      <c r="L114" s="709"/>
      <c r="M114" s="710"/>
      <c r="N114" s="710"/>
      <c r="O114" s="710"/>
      <c r="P114" s="710"/>
      <c r="Q114" s="710"/>
      <c r="R114" s="710"/>
      <c r="S114" s="710"/>
      <c r="T114" s="710"/>
      <c r="U114" s="710"/>
      <c r="V114" s="710"/>
      <c r="W114" s="710"/>
      <c r="AC114" s="2312">
        <v>1010</v>
      </c>
      <c r="AD114" s="2318" t="s">
        <v>2759</v>
      </c>
    </row>
    <row r="115" spans="1:30" ht="15" customHeight="1" x14ac:dyDescent="0.25">
      <c r="A115" s="392" t="str">
        <f>'Org structure'!A12</f>
        <v>Vote 11 - Other</v>
      </c>
      <c r="B115" s="144"/>
      <c r="C115" s="212">
        <f>SUM(C116:C125)</f>
        <v>6064222</v>
      </c>
      <c r="D115" s="212">
        <f t="shared" ref="D115:K115" si="10">SUM(D116:D125)</f>
        <v>6462382</v>
      </c>
      <c r="E115" s="213">
        <f t="shared" si="10"/>
        <v>4704487</v>
      </c>
      <c r="F115" s="214">
        <f t="shared" si="10"/>
        <v>7121110</v>
      </c>
      <c r="G115" s="212">
        <f t="shared" si="10"/>
        <v>7122310</v>
      </c>
      <c r="H115" s="215">
        <f t="shared" si="10"/>
        <v>7122310</v>
      </c>
      <c r="I115" s="216">
        <f t="shared" si="10"/>
        <v>7400081</v>
      </c>
      <c r="J115" s="212">
        <f t="shared" si="10"/>
        <v>7696084</v>
      </c>
      <c r="K115" s="213">
        <f t="shared" si="10"/>
        <v>8003928</v>
      </c>
      <c r="L115" s="709"/>
      <c r="M115" s="710"/>
      <c r="N115" s="710"/>
      <c r="O115" s="710"/>
      <c r="P115" s="710"/>
      <c r="Q115" s="710"/>
      <c r="R115" s="710"/>
      <c r="S115" s="710"/>
      <c r="T115" s="710"/>
      <c r="U115" s="710"/>
      <c r="V115" s="710"/>
      <c r="W115" s="710"/>
      <c r="AD115" s="2315"/>
    </row>
    <row r="116" spans="1:30" ht="11.25" customHeight="1" x14ac:dyDescent="0.25">
      <c r="A116" s="136" t="str">
        <f>IF(RIGHT('Org structure'!D113,18)&lt;&gt;"[Name of sub-vote]",'Org structure'!D113,"")</f>
        <v>11.1 - Licensing and Regulation</v>
      </c>
      <c r="B116" s="144"/>
      <c r="C116" s="712">
        <f>SUMIFS(Sheet1!S71_PPPYearAmount,Sheet1!S71_SubMunicipalVoteNo,$AC:$AC,Sheet1!S71_ItemType,$AD:$AD)</f>
        <v>6064222</v>
      </c>
      <c r="D116" s="712">
        <f>SUMIFS(Sheet1!S71_PPYearAmount,Sheet1!S71_SubMunicipalVoteNo,$AC:$AC,Sheet1!S71_ItemType,$AD:$AD)</f>
        <v>6462382</v>
      </c>
      <c r="E116" s="712">
        <f>SUMIFS(Sheet1!S71_PYearAmount,Sheet1!S71_SubMunicipalVoteNo,$AC:$AC,Sheet1!S71_ItemType,$AD:$AD)</f>
        <v>4704487</v>
      </c>
      <c r="F116" s="725">
        <f>-SUMIFS(Sheet1!S71_OriginalBudAmnt,Sheet1!S71_SubMunicipalVoteNo,$AC:$AC,Sheet1!S71_ItemType,$AD:$AD)</f>
        <v>7121110</v>
      </c>
      <c r="G116" s="712">
        <f>-SUMIFS(Sheet1!S71_AdjustmentBudAmnt,Sheet1!S71_SubMunicipalVoteNo,$AC:$AC,Sheet1!S71_ItemType,$AD:$AD)</f>
        <v>7122310</v>
      </c>
      <c r="H116" s="713">
        <f>-SUMIFS(Sheet1!S71_AdjustmentBudAmnt,Sheet1!S71_SubMunicipalVoteNo,$AC:$AC,Sheet1!S71_ItemType,$AD:$AD)</f>
        <v>7122310</v>
      </c>
      <c r="I116" s="725">
        <f>-SUMIFS(Sheet1!S71_ASBudgetAmount,Sheet1!S71_SubMunicipalVoteNo,$AC:$AC,Sheet1!S71_ItemType,$AD:$AD)</f>
        <v>7400081</v>
      </c>
      <c r="J116" s="712">
        <f>-SUMIFS(Sheet1!S71_OY1BudgetAmount,Sheet1!S71_SubMunicipalVoteNo,$AC:$AC,Sheet1!S71_ItemType,$AD:$AD)</f>
        <v>7696084</v>
      </c>
      <c r="K116" s="713">
        <f>-SUMIFS(Sheet1!S71_OY2BudgetAmount,Sheet1!S71_SubMunicipalVoteNo,$AC:$AC,Sheet1!S71_ItemType,$AD:$AD)</f>
        <v>8003928</v>
      </c>
      <c r="L116" s="709"/>
      <c r="M116" s="710"/>
      <c r="N116" s="710"/>
      <c r="O116" s="710"/>
      <c r="P116" s="710"/>
      <c r="Q116" s="710"/>
      <c r="R116" s="710"/>
      <c r="S116" s="710"/>
      <c r="T116" s="710"/>
      <c r="U116" s="710"/>
      <c r="V116" s="710"/>
      <c r="W116" s="710"/>
      <c r="AC116" s="2312">
        <v>111</v>
      </c>
      <c r="AD116" s="2318" t="s">
        <v>2759</v>
      </c>
    </row>
    <row r="117" spans="1:30" ht="11.25" customHeight="1" x14ac:dyDescent="0.25">
      <c r="A117" s="136" t="str">
        <f>IF(RIGHT('Org structure'!D114,18)&lt;&gt;"[Name of sub-vote]",'Org structure'!D114,"")</f>
        <v/>
      </c>
      <c r="B117" s="144"/>
      <c r="C117" s="712">
        <f>SUMIFS(Sheet1!S71_PPPYearAmount,Sheet1!S71_SubMunicipalVoteNo,$AC:$AC,Sheet1!S71_ItemType,$AD:$AD)</f>
        <v>0</v>
      </c>
      <c r="D117" s="712">
        <f>SUMIFS(Sheet1!S71_PPYearAmount,Sheet1!S71_SubMunicipalVoteNo,$AC:$AC,Sheet1!S71_ItemType,$AD:$AD)</f>
        <v>0</v>
      </c>
      <c r="E117" s="712">
        <f>SUMIFS(Sheet1!S71_PYearAmount,Sheet1!S71_SubMunicipalVoteNo,$AC:$AC,Sheet1!S71_ItemType,$AD:$AD)</f>
        <v>0</v>
      </c>
      <c r="F117" s="725">
        <f>-SUMIFS(Sheet1!S71_OriginalBudAmnt,Sheet1!S71_SubMunicipalVoteNo,$AC:$AC,Sheet1!S71_ItemType,$AD:$AD)</f>
        <v>0</v>
      </c>
      <c r="G117" s="712">
        <f>-SUMIFS(Sheet1!S71_AdjustmentBudAmnt,Sheet1!S71_SubMunicipalVoteNo,$AC:$AC,Sheet1!S71_ItemType,$AD:$AD)</f>
        <v>0</v>
      </c>
      <c r="H117" s="713">
        <f>-SUMIFS(Sheet1!S71_AdjustmentBudAmnt,Sheet1!S71_SubMunicipalVoteNo,$AC:$AC,Sheet1!S71_ItemType,$AD:$AD)</f>
        <v>0</v>
      </c>
      <c r="I117" s="725">
        <f>-SUMIFS(Sheet1!S71_ASBudgetAmount,Sheet1!S71_SubMunicipalVoteNo,$AC:$AC,Sheet1!S71_ItemType,$AD:$AD)</f>
        <v>0</v>
      </c>
      <c r="J117" s="712">
        <f>-SUMIFS(Sheet1!S71_OY1BudgetAmount,Sheet1!S71_SubMunicipalVoteNo,$AC:$AC,Sheet1!S71_ItemType,$AD:$AD)</f>
        <v>0</v>
      </c>
      <c r="K117" s="713">
        <f>-SUMIFS(Sheet1!S71_OY2BudgetAmount,Sheet1!S71_SubMunicipalVoteNo,$AC:$AC,Sheet1!S71_ItemType,$AD:$AD)</f>
        <v>0</v>
      </c>
      <c r="L117" s="709"/>
      <c r="M117" s="710"/>
      <c r="N117" s="710"/>
      <c r="O117" s="710"/>
      <c r="P117" s="710"/>
      <c r="Q117" s="710"/>
      <c r="R117" s="710"/>
      <c r="S117" s="710"/>
      <c r="T117" s="710"/>
      <c r="U117" s="710"/>
      <c r="V117" s="710"/>
      <c r="W117" s="710"/>
      <c r="AC117" s="2312">
        <v>112</v>
      </c>
      <c r="AD117" s="2318" t="s">
        <v>2759</v>
      </c>
    </row>
    <row r="118" spans="1:30" ht="11.25" customHeight="1" x14ac:dyDescent="0.25">
      <c r="A118" s="136" t="str">
        <f>IF(RIGHT('Org structure'!D115,18)&lt;&gt;"[Name of sub-vote]",'Org structure'!D115,"")</f>
        <v/>
      </c>
      <c r="B118" s="144"/>
      <c r="C118" s="712">
        <f>SUMIFS(Sheet1!S71_PPPYearAmount,Sheet1!S71_SubMunicipalVoteNo,$AC:$AC,Sheet1!S71_ItemType,$AD:$AD)</f>
        <v>0</v>
      </c>
      <c r="D118" s="712">
        <f>SUMIFS(Sheet1!S71_PPYearAmount,Sheet1!S71_SubMunicipalVoteNo,$AC:$AC,Sheet1!S71_ItemType,$AD:$AD)</f>
        <v>0</v>
      </c>
      <c r="E118" s="712">
        <f>SUMIFS(Sheet1!S71_PYearAmount,Sheet1!S71_SubMunicipalVoteNo,$AC:$AC,Sheet1!S71_ItemType,$AD:$AD)</f>
        <v>0</v>
      </c>
      <c r="F118" s="725">
        <f>-SUMIFS(Sheet1!S71_OriginalBudAmnt,Sheet1!S71_SubMunicipalVoteNo,$AC:$AC,Sheet1!S71_ItemType,$AD:$AD)</f>
        <v>0</v>
      </c>
      <c r="G118" s="712">
        <f>-SUMIFS(Sheet1!S71_AdjustmentBudAmnt,Sheet1!S71_SubMunicipalVoteNo,$AC:$AC,Sheet1!S71_ItemType,$AD:$AD)</f>
        <v>0</v>
      </c>
      <c r="H118" s="713">
        <f>-SUMIFS(Sheet1!S71_AdjustmentBudAmnt,Sheet1!S71_SubMunicipalVoteNo,$AC:$AC,Sheet1!S71_ItemType,$AD:$AD)</f>
        <v>0</v>
      </c>
      <c r="I118" s="725">
        <f>-SUMIFS(Sheet1!S71_ASBudgetAmount,Sheet1!S71_SubMunicipalVoteNo,$AC:$AC,Sheet1!S71_ItemType,$AD:$AD)</f>
        <v>0</v>
      </c>
      <c r="J118" s="712">
        <f>-SUMIFS(Sheet1!S71_OY1BudgetAmount,Sheet1!S71_SubMunicipalVoteNo,$AC:$AC,Sheet1!S71_ItemType,$AD:$AD)</f>
        <v>0</v>
      </c>
      <c r="K118" s="713">
        <f>-SUMIFS(Sheet1!S71_OY2BudgetAmount,Sheet1!S71_SubMunicipalVoteNo,$AC:$AC,Sheet1!S71_ItemType,$AD:$AD)</f>
        <v>0</v>
      </c>
      <c r="L118" s="709"/>
      <c r="M118" s="710"/>
      <c r="N118" s="710"/>
      <c r="O118" s="710"/>
      <c r="P118" s="710"/>
      <c r="Q118" s="710"/>
      <c r="R118" s="710"/>
      <c r="S118" s="710"/>
      <c r="T118" s="710"/>
      <c r="U118" s="710"/>
      <c r="V118" s="710"/>
      <c r="W118" s="710"/>
      <c r="AC118" s="2312">
        <v>113</v>
      </c>
      <c r="AD118" s="2318" t="s">
        <v>2759</v>
      </c>
    </row>
    <row r="119" spans="1:30" ht="11.25" customHeight="1" x14ac:dyDescent="0.25">
      <c r="A119" s="136" t="str">
        <f>IF(RIGHT('Org structure'!D116,18)&lt;&gt;"[Name of sub-vote]",'Org structure'!D116,"")</f>
        <v/>
      </c>
      <c r="B119" s="144"/>
      <c r="C119" s="712">
        <f>SUMIFS(Sheet1!S71_PPPYearAmount,Sheet1!S71_SubMunicipalVoteNo,$AC:$AC,Sheet1!S71_ItemType,$AD:$AD)</f>
        <v>0</v>
      </c>
      <c r="D119" s="712">
        <f>SUMIFS(Sheet1!S71_PPYearAmount,Sheet1!S71_SubMunicipalVoteNo,$AC:$AC,Sheet1!S71_ItemType,$AD:$AD)</f>
        <v>0</v>
      </c>
      <c r="E119" s="712">
        <f>SUMIFS(Sheet1!S71_PYearAmount,Sheet1!S71_SubMunicipalVoteNo,$AC:$AC,Sheet1!S71_ItemType,$AD:$AD)</f>
        <v>0</v>
      </c>
      <c r="F119" s="725">
        <f>-SUMIFS(Sheet1!S71_OriginalBudAmnt,Sheet1!S71_SubMunicipalVoteNo,$AC:$AC,Sheet1!S71_ItemType,$AD:$AD)</f>
        <v>0</v>
      </c>
      <c r="G119" s="712">
        <f>-SUMIFS(Sheet1!S71_AdjustmentBudAmnt,Sheet1!S71_SubMunicipalVoteNo,$AC:$AC,Sheet1!S71_ItemType,$AD:$AD)</f>
        <v>0</v>
      </c>
      <c r="H119" s="713">
        <f>-SUMIFS(Sheet1!S71_AdjustmentBudAmnt,Sheet1!S71_SubMunicipalVoteNo,$AC:$AC,Sheet1!S71_ItemType,$AD:$AD)</f>
        <v>0</v>
      </c>
      <c r="I119" s="725">
        <f>-SUMIFS(Sheet1!S71_ASBudgetAmount,Sheet1!S71_SubMunicipalVoteNo,$AC:$AC,Sheet1!S71_ItemType,$AD:$AD)</f>
        <v>0</v>
      </c>
      <c r="J119" s="712">
        <f>-SUMIFS(Sheet1!S71_OY1BudgetAmount,Sheet1!S71_SubMunicipalVoteNo,$AC:$AC,Sheet1!S71_ItemType,$AD:$AD)</f>
        <v>0</v>
      </c>
      <c r="K119" s="713">
        <f>-SUMIFS(Sheet1!S71_OY2BudgetAmount,Sheet1!S71_SubMunicipalVoteNo,$AC:$AC,Sheet1!S71_ItemType,$AD:$AD)</f>
        <v>0</v>
      </c>
      <c r="L119" s="709"/>
      <c r="M119" s="710"/>
      <c r="N119" s="710"/>
      <c r="O119" s="710"/>
      <c r="P119" s="710"/>
      <c r="Q119" s="710"/>
      <c r="R119" s="710"/>
      <c r="S119" s="710"/>
      <c r="T119" s="710"/>
      <c r="U119" s="710"/>
      <c r="V119" s="710"/>
      <c r="W119" s="710"/>
      <c r="AC119" s="2312">
        <v>114</v>
      </c>
      <c r="AD119" s="2318" t="s">
        <v>2759</v>
      </c>
    </row>
    <row r="120" spans="1:30" ht="11.25" customHeight="1" x14ac:dyDescent="0.25">
      <c r="A120" s="136" t="str">
        <f>IF(RIGHT('Org structure'!D117,18)&lt;&gt;"[Name of sub-vote]",'Org structure'!D117,"")</f>
        <v/>
      </c>
      <c r="B120" s="144"/>
      <c r="C120" s="712">
        <f>SUMIFS(Sheet1!S71_PPPYearAmount,Sheet1!S71_SubMunicipalVoteNo,$AC:$AC,Sheet1!S71_ItemType,$AD:$AD)</f>
        <v>0</v>
      </c>
      <c r="D120" s="712">
        <f>SUMIFS(Sheet1!S71_PPYearAmount,Sheet1!S71_SubMunicipalVoteNo,$AC:$AC,Sheet1!S71_ItemType,$AD:$AD)</f>
        <v>0</v>
      </c>
      <c r="E120" s="712">
        <f>SUMIFS(Sheet1!S71_PYearAmount,Sheet1!S71_SubMunicipalVoteNo,$AC:$AC,Sheet1!S71_ItemType,$AD:$AD)</f>
        <v>0</v>
      </c>
      <c r="F120" s="725">
        <f>-SUMIFS(Sheet1!S71_OriginalBudAmnt,Sheet1!S71_SubMunicipalVoteNo,$AC:$AC,Sheet1!S71_ItemType,$AD:$AD)</f>
        <v>0</v>
      </c>
      <c r="G120" s="712">
        <f>-SUMIFS(Sheet1!S71_AdjustmentBudAmnt,Sheet1!S71_SubMunicipalVoteNo,$AC:$AC,Sheet1!S71_ItemType,$AD:$AD)</f>
        <v>0</v>
      </c>
      <c r="H120" s="713">
        <f>-SUMIFS(Sheet1!S71_AdjustmentBudAmnt,Sheet1!S71_SubMunicipalVoteNo,$AC:$AC,Sheet1!S71_ItemType,$AD:$AD)</f>
        <v>0</v>
      </c>
      <c r="I120" s="725">
        <f>-SUMIFS(Sheet1!S71_ASBudgetAmount,Sheet1!S71_SubMunicipalVoteNo,$AC:$AC,Sheet1!S71_ItemType,$AD:$AD)</f>
        <v>0</v>
      </c>
      <c r="J120" s="712">
        <f>-SUMIFS(Sheet1!S71_OY1BudgetAmount,Sheet1!S71_SubMunicipalVoteNo,$AC:$AC,Sheet1!S71_ItemType,$AD:$AD)</f>
        <v>0</v>
      </c>
      <c r="K120" s="713">
        <f>-SUMIFS(Sheet1!S71_OY2BudgetAmount,Sheet1!S71_SubMunicipalVoteNo,$AC:$AC,Sheet1!S71_ItemType,$AD:$AD)</f>
        <v>0</v>
      </c>
      <c r="L120" s="709"/>
      <c r="M120" s="710"/>
      <c r="N120" s="710"/>
      <c r="O120" s="710"/>
      <c r="P120" s="710"/>
      <c r="Q120" s="710"/>
      <c r="R120" s="710"/>
      <c r="S120" s="710"/>
      <c r="T120" s="710"/>
      <c r="U120" s="710"/>
      <c r="V120" s="710"/>
      <c r="W120" s="710"/>
      <c r="AC120" s="2312">
        <v>115</v>
      </c>
      <c r="AD120" s="2318" t="s">
        <v>2759</v>
      </c>
    </row>
    <row r="121" spans="1:30" ht="11.25" customHeight="1" x14ac:dyDescent="0.25">
      <c r="A121" s="136" t="str">
        <f>IF(RIGHT('Org structure'!D118,18)&lt;&gt;"[Name of sub-vote]",'Org structure'!D118,"")</f>
        <v/>
      </c>
      <c r="B121" s="144"/>
      <c r="C121" s="712">
        <f>SUMIFS(Sheet1!S71_PPPYearAmount,Sheet1!S71_SubMunicipalVoteNo,$AC:$AC,Sheet1!S71_ItemType,$AD:$AD)</f>
        <v>0</v>
      </c>
      <c r="D121" s="712">
        <f>SUMIFS(Sheet1!S71_PPYearAmount,Sheet1!S71_SubMunicipalVoteNo,$AC:$AC,Sheet1!S71_ItemType,$AD:$AD)</f>
        <v>0</v>
      </c>
      <c r="E121" s="712">
        <f>SUMIFS(Sheet1!S71_PYearAmount,Sheet1!S71_SubMunicipalVoteNo,$AC:$AC,Sheet1!S71_ItemType,$AD:$AD)</f>
        <v>0</v>
      </c>
      <c r="F121" s="725">
        <f>-SUMIFS(Sheet1!S71_OriginalBudAmnt,Sheet1!S71_SubMunicipalVoteNo,$AC:$AC,Sheet1!S71_ItemType,$AD:$AD)</f>
        <v>0</v>
      </c>
      <c r="G121" s="712">
        <f>-SUMIFS(Sheet1!S71_AdjustmentBudAmnt,Sheet1!S71_SubMunicipalVoteNo,$AC:$AC,Sheet1!S71_ItemType,$AD:$AD)</f>
        <v>0</v>
      </c>
      <c r="H121" s="713">
        <f>-SUMIFS(Sheet1!S71_AdjustmentBudAmnt,Sheet1!S71_SubMunicipalVoteNo,$AC:$AC,Sheet1!S71_ItemType,$AD:$AD)</f>
        <v>0</v>
      </c>
      <c r="I121" s="725">
        <f>-SUMIFS(Sheet1!S71_ASBudgetAmount,Sheet1!S71_SubMunicipalVoteNo,$AC:$AC,Sheet1!S71_ItemType,$AD:$AD)</f>
        <v>0</v>
      </c>
      <c r="J121" s="712">
        <f>-SUMIFS(Sheet1!S71_OY1BudgetAmount,Sheet1!S71_SubMunicipalVoteNo,$AC:$AC,Sheet1!S71_ItemType,$AD:$AD)</f>
        <v>0</v>
      </c>
      <c r="K121" s="713">
        <f>-SUMIFS(Sheet1!S71_OY2BudgetAmount,Sheet1!S71_SubMunicipalVoteNo,$AC:$AC,Sheet1!S71_ItemType,$AD:$AD)</f>
        <v>0</v>
      </c>
      <c r="L121" s="709"/>
      <c r="M121" s="710"/>
      <c r="N121" s="710"/>
      <c r="O121" s="710"/>
      <c r="P121" s="710"/>
      <c r="Q121" s="710"/>
      <c r="R121" s="710"/>
      <c r="S121" s="710"/>
      <c r="T121" s="710"/>
      <c r="U121" s="710"/>
      <c r="V121" s="710"/>
      <c r="W121" s="710"/>
      <c r="AC121" s="2312">
        <v>116</v>
      </c>
      <c r="AD121" s="2318" t="s">
        <v>2759</v>
      </c>
    </row>
    <row r="122" spans="1:30" ht="11.25" customHeight="1" x14ac:dyDescent="0.25">
      <c r="A122" s="136" t="str">
        <f>IF(RIGHT('Org structure'!D119,18)&lt;&gt;"[Name of sub-vote]",'Org structure'!D119,"")</f>
        <v/>
      </c>
      <c r="B122" s="144"/>
      <c r="C122" s="712">
        <f>SUMIFS(Sheet1!S71_PPPYearAmount,Sheet1!S71_SubMunicipalVoteNo,$AC:$AC,Sheet1!S71_ItemType,$AD:$AD)</f>
        <v>0</v>
      </c>
      <c r="D122" s="712">
        <f>SUMIFS(Sheet1!S71_PPYearAmount,Sheet1!S71_SubMunicipalVoteNo,$AC:$AC,Sheet1!S71_ItemType,$AD:$AD)</f>
        <v>0</v>
      </c>
      <c r="E122" s="712">
        <f>SUMIFS(Sheet1!S71_PYearAmount,Sheet1!S71_SubMunicipalVoteNo,$AC:$AC,Sheet1!S71_ItemType,$AD:$AD)</f>
        <v>0</v>
      </c>
      <c r="F122" s="725">
        <f>-SUMIFS(Sheet1!S71_OriginalBudAmnt,Sheet1!S71_SubMunicipalVoteNo,$AC:$AC,Sheet1!S71_ItemType,$AD:$AD)</f>
        <v>0</v>
      </c>
      <c r="G122" s="712">
        <f>-SUMIFS(Sheet1!S71_AdjustmentBudAmnt,Sheet1!S71_SubMunicipalVoteNo,$AC:$AC,Sheet1!S71_ItemType,$AD:$AD)</f>
        <v>0</v>
      </c>
      <c r="H122" s="713">
        <f>-SUMIFS(Sheet1!S71_AdjustmentBudAmnt,Sheet1!S71_SubMunicipalVoteNo,$AC:$AC,Sheet1!S71_ItemType,$AD:$AD)</f>
        <v>0</v>
      </c>
      <c r="I122" s="725">
        <f>-SUMIFS(Sheet1!S71_ASBudgetAmount,Sheet1!S71_SubMunicipalVoteNo,$AC:$AC,Sheet1!S71_ItemType,$AD:$AD)</f>
        <v>0</v>
      </c>
      <c r="J122" s="712">
        <f>-SUMIFS(Sheet1!S71_OY1BudgetAmount,Sheet1!S71_SubMunicipalVoteNo,$AC:$AC,Sheet1!S71_ItemType,$AD:$AD)</f>
        <v>0</v>
      </c>
      <c r="K122" s="713">
        <f>-SUMIFS(Sheet1!S71_OY2BudgetAmount,Sheet1!S71_SubMunicipalVoteNo,$AC:$AC,Sheet1!S71_ItemType,$AD:$AD)</f>
        <v>0</v>
      </c>
      <c r="L122" s="709"/>
      <c r="M122" s="710"/>
      <c r="N122" s="710"/>
      <c r="O122" s="710"/>
      <c r="P122" s="710"/>
      <c r="Q122" s="710"/>
      <c r="R122" s="710"/>
      <c r="S122" s="710"/>
      <c r="T122" s="710"/>
      <c r="U122" s="710"/>
      <c r="V122" s="710"/>
      <c r="W122" s="710"/>
      <c r="AC122" s="2312">
        <v>117</v>
      </c>
      <c r="AD122" s="2318" t="s">
        <v>2759</v>
      </c>
    </row>
    <row r="123" spans="1:30" ht="11.25" customHeight="1" x14ac:dyDescent="0.25">
      <c r="A123" s="136" t="str">
        <f>IF(RIGHT('Org structure'!D120,18)&lt;&gt;"[Name of sub-vote]",'Org structure'!D120,"")</f>
        <v/>
      </c>
      <c r="B123" s="144"/>
      <c r="C123" s="712">
        <f>SUMIFS(Sheet1!S71_PPPYearAmount,Sheet1!S71_SubMunicipalVoteNo,$AC:$AC,Sheet1!S71_ItemType,$AD:$AD)</f>
        <v>0</v>
      </c>
      <c r="D123" s="712">
        <f>SUMIFS(Sheet1!S71_PPYearAmount,Sheet1!S71_SubMunicipalVoteNo,$AC:$AC,Sheet1!S71_ItemType,$AD:$AD)</f>
        <v>0</v>
      </c>
      <c r="E123" s="712">
        <f>SUMIFS(Sheet1!S71_PYearAmount,Sheet1!S71_SubMunicipalVoteNo,$AC:$AC,Sheet1!S71_ItemType,$AD:$AD)</f>
        <v>0</v>
      </c>
      <c r="F123" s="725">
        <f>-SUMIFS(Sheet1!S71_OriginalBudAmnt,Sheet1!S71_SubMunicipalVoteNo,$AC:$AC,Sheet1!S71_ItemType,$AD:$AD)</f>
        <v>0</v>
      </c>
      <c r="G123" s="712">
        <f>-SUMIFS(Sheet1!S71_AdjustmentBudAmnt,Sheet1!S71_SubMunicipalVoteNo,$AC:$AC,Sheet1!S71_ItemType,$AD:$AD)</f>
        <v>0</v>
      </c>
      <c r="H123" s="713">
        <f>-SUMIFS(Sheet1!S71_AdjustmentBudAmnt,Sheet1!S71_SubMunicipalVoteNo,$AC:$AC,Sheet1!S71_ItemType,$AD:$AD)</f>
        <v>0</v>
      </c>
      <c r="I123" s="725">
        <f>-SUMIFS(Sheet1!S71_ASBudgetAmount,Sheet1!S71_SubMunicipalVoteNo,$AC:$AC,Sheet1!S71_ItemType,$AD:$AD)</f>
        <v>0</v>
      </c>
      <c r="J123" s="712">
        <f>-SUMIFS(Sheet1!S71_OY1BudgetAmount,Sheet1!S71_SubMunicipalVoteNo,$AC:$AC,Sheet1!S71_ItemType,$AD:$AD)</f>
        <v>0</v>
      </c>
      <c r="K123" s="713">
        <f>-SUMIFS(Sheet1!S71_OY2BudgetAmount,Sheet1!S71_SubMunicipalVoteNo,$AC:$AC,Sheet1!S71_ItemType,$AD:$AD)</f>
        <v>0</v>
      </c>
      <c r="L123" s="709"/>
      <c r="M123" s="710"/>
      <c r="N123" s="710"/>
      <c r="O123" s="710"/>
      <c r="P123" s="710"/>
      <c r="Q123" s="710"/>
      <c r="R123" s="710"/>
      <c r="S123" s="710"/>
      <c r="T123" s="710"/>
      <c r="U123" s="710"/>
      <c r="V123" s="710"/>
      <c r="W123" s="710"/>
      <c r="AC123" s="2312">
        <v>118</v>
      </c>
      <c r="AD123" s="2318" t="s">
        <v>2759</v>
      </c>
    </row>
    <row r="124" spans="1:30" ht="11.25" customHeight="1" x14ac:dyDescent="0.25">
      <c r="A124" s="136" t="str">
        <f>IF(RIGHT('Org structure'!D121,18)&lt;&gt;"[Name of sub-vote]",'Org structure'!D121,"")</f>
        <v/>
      </c>
      <c r="B124" s="144"/>
      <c r="C124" s="712">
        <f>SUMIFS(Sheet1!S71_PPPYearAmount,Sheet1!S71_SubMunicipalVoteNo,$AC:$AC,Sheet1!S71_ItemType,$AD:$AD)</f>
        <v>0</v>
      </c>
      <c r="D124" s="712">
        <f>SUMIFS(Sheet1!S71_PPYearAmount,Sheet1!S71_SubMunicipalVoteNo,$AC:$AC,Sheet1!S71_ItemType,$AD:$AD)</f>
        <v>0</v>
      </c>
      <c r="E124" s="712">
        <f>SUMIFS(Sheet1!S71_PYearAmount,Sheet1!S71_SubMunicipalVoteNo,$AC:$AC,Sheet1!S71_ItemType,$AD:$AD)</f>
        <v>0</v>
      </c>
      <c r="F124" s="725">
        <f>-SUMIFS(Sheet1!S71_OriginalBudAmnt,Sheet1!S71_SubMunicipalVoteNo,$AC:$AC,Sheet1!S71_ItemType,$AD:$AD)</f>
        <v>0</v>
      </c>
      <c r="G124" s="712">
        <f>-SUMIFS(Sheet1!S71_AdjustmentBudAmnt,Sheet1!S71_SubMunicipalVoteNo,$AC:$AC,Sheet1!S71_ItemType,$AD:$AD)</f>
        <v>0</v>
      </c>
      <c r="H124" s="713">
        <f>-SUMIFS(Sheet1!S71_AdjustmentBudAmnt,Sheet1!S71_SubMunicipalVoteNo,$AC:$AC,Sheet1!S71_ItemType,$AD:$AD)</f>
        <v>0</v>
      </c>
      <c r="I124" s="725">
        <f>-SUMIFS(Sheet1!S71_ASBudgetAmount,Sheet1!S71_SubMunicipalVoteNo,$AC:$AC,Sheet1!S71_ItemType,$AD:$AD)</f>
        <v>0</v>
      </c>
      <c r="J124" s="712">
        <f>-SUMIFS(Sheet1!S71_OY1BudgetAmount,Sheet1!S71_SubMunicipalVoteNo,$AC:$AC,Sheet1!S71_ItemType,$AD:$AD)</f>
        <v>0</v>
      </c>
      <c r="K124" s="713">
        <f>-SUMIFS(Sheet1!S71_OY2BudgetAmount,Sheet1!S71_SubMunicipalVoteNo,$AC:$AC,Sheet1!S71_ItemType,$AD:$AD)</f>
        <v>0</v>
      </c>
      <c r="L124" s="709"/>
      <c r="M124" s="710"/>
      <c r="N124" s="710"/>
      <c r="O124" s="710"/>
      <c r="P124" s="710"/>
      <c r="Q124" s="710"/>
      <c r="R124" s="710"/>
      <c r="S124" s="710"/>
      <c r="T124" s="710"/>
      <c r="U124" s="710"/>
      <c r="V124" s="710"/>
      <c r="W124" s="710"/>
      <c r="AC124" s="2312">
        <v>119</v>
      </c>
      <c r="AD124" s="2318" t="s">
        <v>2759</v>
      </c>
    </row>
    <row r="125" spans="1:30" ht="11.25" customHeight="1" x14ac:dyDescent="0.25">
      <c r="A125" s="136" t="str">
        <f>IF(RIGHT('Org structure'!D122,18)&lt;&gt;"[Name of sub-vote]",'Org structure'!D122,"")</f>
        <v/>
      </c>
      <c r="B125" s="144"/>
      <c r="C125" s="712">
        <f>SUMIFS(Sheet1!S71_PPPYearAmount,Sheet1!S71_SubMunicipalVoteNo,$AC:$AC,Sheet1!S71_ItemType,$AD:$AD)</f>
        <v>0</v>
      </c>
      <c r="D125" s="712">
        <f>SUMIFS(Sheet1!S71_PPYearAmount,Sheet1!S71_SubMunicipalVoteNo,$AC:$AC,Sheet1!S71_ItemType,$AD:$AD)</f>
        <v>0</v>
      </c>
      <c r="E125" s="712">
        <f>SUMIFS(Sheet1!S71_PYearAmount,Sheet1!S71_SubMunicipalVoteNo,$AC:$AC,Sheet1!S71_ItemType,$AD:$AD)</f>
        <v>0</v>
      </c>
      <c r="F125" s="725">
        <f>-SUMIFS(Sheet1!S71_OriginalBudAmnt,Sheet1!S71_SubMunicipalVoteNo,$AC:$AC,Sheet1!S71_ItemType,$AD:$AD)</f>
        <v>0</v>
      </c>
      <c r="G125" s="712">
        <f>-SUMIFS(Sheet1!S71_AdjustmentBudAmnt,Sheet1!S71_SubMunicipalVoteNo,$AC:$AC,Sheet1!S71_ItemType,$AD:$AD)</f>
        <v>0</v>
      </c>
      <c r="H125" s="713">
        <f>-SUMIFS(Sheet1!S71_AdjustmentBudAmnt,Sheet1!S71_SubMunicipalVoteNo,$AC:$AC,Sheet1!S71_ItemType,$AD:$AD)</f>
        <v>0</v>
      </c>
      <c r="I125" s="725">
        <f>-SUMIFS(Sheet1!S71_ASBudgetAmount,Sheet1!S71_SubMunicipalVoteNo,$AC:$AC,Sheet1!S71_ItemType,$AD:$AD)</f>
        <v>0</v>
      </c>
      <c r="J125" s="712">
        <f>-SUMIFS(Sheet1!S71_OY1BudgetAmount,Sheet1!S71_SubMunicipalVoteNo,$AC:$AC,Sheet1!S71_ItemType,$AD:$AD)</f>
        <v>0</v>
      </c>
      <c r="K125" s="713">
        <f>-SUMIFS(Sheet1!S71_OY2BudgetAmount,Sheet1!S71_SubMunicipalVoteNo,$AC:$AC,Sheet1!S71_ItemType,$AD:$AD)</f>
        <v>0</v>
      </c>
      <c r="L125" s="709"/>
      <c r="M125" s="710"/>
      <c r="N125" s="710"/>
      <c r="O125" s="710"/>
      <c r="P125" s="710"/>
      <c r="Q125" s="710"/>
      <c r="R125" s="710"/>
      <c r="S125" s="710"/>
      <c r="T125" s="710"/>
      <c r="U125" s="710"/>
      <c r="V125" s="710"/>
      <c r="W125" s="710"/>
      <c r="AC125" s="2312">
        <v>1110</v>
      </c>
      <c r="AD125" s="2318" t="s">
        <v>2759</v>
      </c>
    </row>
    <row r="126" spans="1:30" ht="15" customHeight="1" x14ac:dyDescent="0.25">
      <c r="A126" s="392" t="str">
        <f>'Org structure'!A13</f>
        <v>Vote 12 - Waste Management</v>
      </c>
      <c r="B126" s="144"/>
      <c r="C126" s="212">
        <f>SUM(C127:C136)</f>
        <v>497749</v>
      </c>
      <c r="D126" s="212">
        <f t="shared" ref="D126:K126" si="11">SUM(D127:D136)</f>
        <v>525667</v>
      </c>
      <c r="E126" s="213">
        <f t="shared" si="11"/>
        <v>528201</v>
      </c>
      <c r="F126" s="214">
        <f t="shared" si="11"/>
        <v>574287</v>
      </c>
      <c r="G126" s="212">
        <f t="shared" si="11"/>
        <v>574287</v>
      </c>
      <c r="H126" s="215">
        <f t="shared" si="11"/>
        <v>574287</v>
      </c>
      <c r="I126" s="216">
        <f t="shared" si="11"/>
        <v>596684</v>
      </c>
      <c r="J126" s="212">
        <f t="shared" si="11"/>
        <v>620552</v>
      </c>
      <c r="K126" s="213">
        <f t="shared" si="11"/>
        <v>645374</v>
      </c>
      <c r="L126" s="709"/>
      <c r="M126" s="710"/>
      <c r="N126" s="710"/>
      <c r="O126" s="710"/>
      <c r="P126" s="710"/>
      <c r="Q126" s="710"/>
      <c r="R126" s="710"/>
      <c r="S126" s="710"/>
      <c r="T126" s="710"/>
      <c r="U126" s="710"/>
      <c r="V126" s="710"/>
      <c r="W126" s="710"/>
      <c r="AD126" s="2315"/>
    </row>
    <row r="127" spans="1:30" ht="11.25" customHeight="1" x14ac:dyDescent="0.25">
      <c r="A127" s="136" t="str">
        <f>IF(RIGHT('Org structure'!D124,18)&lt;&gt;"[Name of sub-vote]",'Org structure'!D124,"")</f>
        <v>12.1 - Solid Waste Removal</v>
      </c>
      <c r="B127" s="144"/>
      <c r="C127" s="712">
        <f>SUMIFS(Sheet1!S71_PPPYearAmount,Sheet1!S71_SubMunicipalVoteNo,$AC:$AC,Sheet1!S71_ItemType,$AD:$AD)</f>
        <v>497749</v>
      </c>
      <c r="D127" s="712">
        <f>SUMIFS(Sheet1!S71_PPYearAmount,Sheet1!S71_SubMunicipalVoteNo,$AC:$AC,Sheet1!S71_ItemType,$AD:$AD)</f>
        <v>525667</v>
      </c>
      <c r="E127" s="712">
        <f>SUMIFS(Sheet1!S71_PYearAmount,Sheet1!S71_SubMunicipalVoteNo,$AC:$AC,Sheet1!S71_ItemType,$AD:$AD)</f>
        <v>528201</v>
      </c>
      <c r="F127" s="725">
        <f>-SUMIFS(Sheet1!S71_OriginalBudAmnt,Sheet1!S71_SubMunicipalVoteNo,$AC:$AC,Sheet1!S71_ItemType,$AD:$AD)</f>
        <v>574287</v>
      </c>
      <c r="G127" s="712">
        <f>-SUMIFS(Sheet1!S71_AdjustmentBudAmnt,Sheet1!S71_SubMunicipalVoteNo,$AC:$AC,Sheet1!S71_ItemType,$AD:$AD)</f>
        <v>574287</v>
      </c>
      <c r="H127" s="713">
        <f>-SUMIFS(Sheet1!S71_AdjustmentBudAmnt,Sheet1!S71_SubMunicipalVoteNo,$AC:$AC,Sheet1!S71_ItemType,$AD:$AD)</f>
        <v>574287</v>
      </c>
      <c r="I127" s="725">
        <f>-SUMIFS(Sheet1!S71_ASBudgetAmount,Sheet1!S71_SubMunicipalVoteNo,$AC:$AC,Sheet1!S71_ItemType,$AD:$AD)</f>
        <v>596684</v>
      </c>
      <c r="J127" s="712">
        <f>-SUMIFS(Sheet1!S71_OY1BudgetAmount,Sheet1!S71_SubMunicipalVoteNo,$AC:$AC,Sheet1!S71_ItemType,$AD:$AD)</f>
        <v>620552</v>
      </c>
      <c r="K127" s="713">
        <f>-SUMIFS(Sheet1!S71_OY2BudgetAmount,Sheet1!S71_SubMunicipalVoteNo,$AC:$AC,Sheet1!S71_ItemType,$AD:$AD)</f>
        <v>645374</v>
      </c>
      <c r="L127" s="709"/>
      <c r="M127" s="710"/>
      <c r="N127" s="710"/>
      <c r="O127" s="710"/>
      <c r="P127" s="710"/>
      <c r="Q127" s="710"/>
      <c r="R127" s="710"/>
      <c r="S127" s="710"/>
      <c r="T127" s="710"/>
      <c r="U127" s="710"/>
      <c r="V127" s="710"/>
      <c r="W127" s="710"/>
      <c r="AC127" s="2312">
        <v>121</v>
      </c>
      <c r="AD127" s="2318" t="s">
        <v>2759</v>
      </c>
    </row>
    <row r="128" spans="1:30" ht="11.25" customHeight="1" x14ac:dyDescent="0.25">
      <c r="A128" s="136" t="str">
        <f>IF(RIGHT('Org structure'!D125,18)&lt;&gt;"[Name of sub-vote]",'Org structure'!D125,"")</f>
        <v>12.2 - Street Cleaning</v>
      </c>
      <c r="B128" s="144"/>
      <c r="C128" s="712">
        <f>SUMIFS(Sheet1!S71_PPPYearAmount,Sheet1!S71_SubMunicipalVoteNo,$AC:$AC,Sheet1!S71_ItemType,$AD:$AD)</f>
        <v>0</v>
      </c>
      <c r="D128" s="712">
        <f>SUMIFS(Sheet1!S71_PPYearAmount,Sheet1!S71_SubMunicipalVoteNo,$AC:$AC,Sheet1!S71_ItemType,$AD:$AD)</f>
        <v>0</v>
      </c>
      <c r="E128" s="712">
        <f>SUMIFS(Sheet1!S71_PYearAmount,Sheet1!S71_SubMunicipalVoteNo,$AC:$AC,Sheet1!S71_ItemType,$AD:$AD)</f>
        <v>0</v>
      </c>
      <c r="F128" s="725">
        <f>-SUMIFS(Sheet1!S71_OriginalBudAmnt,Sheet1!S71_SubMunicipalVoteNo,$AC:$AC,Sheet1!S71_ItemType,$AD:$AD)</f>
        <v>0</v>
      </c>
      <c r="G128" s="712">
        <f>-SUMIFS(Sheet1!S71_AdjustmentBudAmnt,Sheet1!S71_SubMunicipalVoteNo,$AC:$AC,Sheet1!S71_ItemType,$AD:$AD)</f>
        <v>0</v>
      </c>
      <c r="H128" s="713">
        <f>-SUMIFS(Sheet1!S71_AdjustmentBudAmnt,Sheet1!S71_SubMunicipalVoteNo,$AC:$AC,Sheet1!S71_ItemType,$AD:$AD)</f>
        <v>0</v>
      </c>
      <c r="I128" s="725">
        <f>-SUMIFS(Sheet1!S71_ASBudgetAmount,Sheet1!S71_SubMunicipalVoteNo,$AC:$AC,Sheet1!S71_ItemType,$AD:$AD)</f>
        <v>0</v>
      </c>
      <c r="J128" s="712">
        <f>-SUMIFS(Sheet1!S71_OY1BudgetAmount,Sheet1!S71_SubMunicipalVoteNo,$AC:$AC,Sheet1!S71_ItemType,$AD:$AD)</f>
        <v>0</v>
      </c>
      <c r="K128" s="713">
        <f>-SUMIFS(Sheet1!S71_OY2BudgetAmount,Sheet1!S71_SubMunicipalVoteNo,$AC:$AC,Sheet1!S71_ItemType,$AD:$AD)</f>
        <v>0</v>
      </c>
      <c r="L128" s="709"/>
      <c r="M128" s="710"/>
      <c r="N128" s="710"/>
      <c r="O128" s="710"/>
      <c r="P128" s="710"/>
      <c r="Q128" s="710"/>
      <c r="R128" s="710"/>
      <c r="S128" s="710"/>
      <c r="T128" s="710"/>
      <c r="U128" s="710"/>
      <c r="V128" s="710"/>
      <c r="W128" s="710"/>
      <c r="AC128" s="2312">
        <v>122</v>
      </c>
      <c r="AD128" s="2318" t="s">
        <v>2759</v>
      </c>
    </row>
    <row r="129" spans="1:30" ht="11.25" customHeight="1" x14ac:dyDescent="0.25">
      <c r="A129" s="136" t="str">
        <f>IF(RIGHT('Org structure'!D126,18)&lt;&gt;"[Name of sub-vote]",'Org structure'!D126,"")</f>
        <v>12.3 - Solid Waste Disposal (Landfill Sites)</v>
      </c>
      <c r="B129" s="144"/>
      <c r="C129" s="712">
        <f>SUMIFS(Sheet1!S71_PPPYearAmount,Sheet1!S71_SubMunicipalVoteNo,$AC:$AC,Sheet1!S71_ItemType,$AD:$AD)</f>
        <v>0</v>
      </c>
      <c r="D129" s="712">
        <f>SUMIFS(Sheet1!S71_PPYearAmount,Sheet1!S71_SubMunicipalVoteNo,$AC:$AC,Sheet1!S71_ItemType,$AD:$AD)</f>
        <v>0</v>
      </c>
      <c r="E129" s="712">
        <f>SUMIFS(Sheet1!S71_PYearAmount,Sheet1!S71_SubMunicipalVoteNo,$AC:$AC,Sheet1!S71_ItemType,$AD:$AD)</f>
        <v>0</v>
      </c>
      <c r="F129" s="725">
        <f>-SUMIFS(Sheet1!S71_OriginalBudAmnt,Sheet1!S71_SubMunicipalVoteNo,$AC:$AC,Sheet1!S71_ItemType,$AD:$AD)</f>
        <v>0</v>
      </c>
      <c r="G129" s="712">
        <f>-SUMIFS(Sheet1!S71_AdjustmentBudAmnt,Sheet1!S71_SubMunicipalVoteNo,$AC:$AC,Sheet1!S71_ItemType,$AD:$AD)</f>
        <v>0</v>
      </c>
      <c r="H129" s="713">
        <f>-SUMIFS(Sheet1!S71_AdjustmentBudAmnt,Sheet1!S71_SubMunicipalVoteNo,$AC:$AC,Sheet1!S71_ItemType,$AD:$AD)</f>
        <v>0</v>
      </c>
      <c r="I129" s="725">
        <f>-SUMIFS(Sheet1!S71_ASBudgetAmount,Sheet1!S71_SubMunicipalVoteNo,$AC:$AC,Sheet1!S71_ItemType,$AD:$AD)</f>
        <v>0</v>
      </c>
      <c r="J129" s="712">
        <f>-SUMIFS(Sheet1!S71_OY1BudgetAmount,Sheet1!S71_SubMunicipalVoteNo,$AC:$AC,Sheet1!S71_ItemType,$AD:$AD)</f>
        <v>0</v>
      </c>
      <c r="K129" s="713">
        <f>-SUMIFS(Sheet1!S71_OY2BudgetAmount,Sheet1!S71_SubMunicipalVoteNo,$AC:$AC,Sheet1!S71_ItemType,$AD:$AD)</f>
        <v>0</v>
      </c>
      <c r="L129" s="709"/>
      <c r="M129" s="710"/>
      <c r="N129" s="710"/>
      <c r="O129" s="710"/>
      <c r="P129" s="710"/>
      <c r="Q129" s="710"/>
      <c r="R129" s="710"/>
      <c r="S129" s="710"/>
      <c r="T129" s="710"/>
      <c r="U129" s="710"/>
      <c r="V129" s="710"/>
      <c r="W129" s="710"/>
      <c r="AC129" s="2312">
        <v>123</v>
      </c>
      <c r="AD129" s="2318" t="s">
        <v>2759</v>
      </c>
    </row>
    <row r="130" spans="1:30" ht="11.25" customHeight="1" x14ac:dyDescent="0.25">
      <c r="A130" s="136" t="str">
        <f>IF(RIGHT('Org structure'!D127,18)&lt;&gt;"[Name of sub-vote]",'Org structure'!D127,"")</f>
        <v/>
      </c>
      <c r="B130" s="144"/>
      <c r="C130" s="712">
        <f>SUMIFS(Sheet1!S71_PPPYearAmount,Sheet1!S71_SubMunicipalVoteNo,$AC:$AC,Sheet1!S71_ItemType,$AD:$AD)</f>
        <v>0</v>
      </c>
      <c r="D130" s="712">
        <f>SUMIFS(Sheet1!S71_PPYearAmount,Sheet1!S71_SubMunicipalVoteNo,$AC:$AC,Sheet1!S71_ItemType,$AD:$AD)</f>
        <v>0</v>
      </c>
      <c r="E130" s="712">
        <f>SUMIFS(Sheet1!S71_PYearAmount,Sheet1!S71_SubMunicipalVoteNo,$AC:$AC,Sheet1!S71_ItemType,$AD:$AD)</f>
        <v>0</v>
      </c>
      <c r="F130" s="725">
        <f>-SUMIFS(Sheet1!S71_OriginalBudAmnt,Sheet1!S71_SubMunicipalVoteNo,$AC:$AC,Sheet1!S71_ItemType,$AD:$AD)</f>
        <v>0</v>
      </c>
      <c r="G130" s="712">
        <f>-SUMIFS(Sheet1!S71_AdjustmentBudAmnt,Sheet1!S71_SubMunicipalVoteNo,$AC:$AC,Sheet1!S71_ItemType,$AD:$AD)</f>
        <v>0</v>
      </c>
      <c r="H130" s="713">
        <f>-SUMIFS(Sheet1!S71_AdjustmentBudAmnt,Sheet1!S71_SubMunicipalVoteNo,$AC:$AC,Sheet1!S71_ItemType,$AD:$AD)</f>
        <v>0</v>
      </c>
      <c r="I130" s="725">
        <f>-SUMIFS(Sheet1!S71_ASBudgetAmount,Sheet1!S71_SubMunicipalVoteNo,$AC:$AC,Sheet1!S71_ItemType,$AD:$AD)</f>
        <v>0</v>
      </c>
      <c r="J130" s="712">
        <f>-SUMIFS(Sheet1!S71_OY1BudgetAmount,Sheet1!S71_SubMunicipalVoteNo,$AC:$AC,Sheet1!S71_ItemType,$AD:$AD)</f>
        <v>0</v>
      </c>
      <c r="K130" s="713">
        <f>-SUMIFS(Sheet1!S71_OY2BudgetAmount,Sheet1!S71_SubMunicipalVoteNo,$AC:$AC,Sheet1!S71_ItemType,$AD:$AD)</f>
        <v>0</v>
      </c>
      <c r="L130" s="709"/>
      <c r="M130" s="710"/>
      <c r="N130" s="710"/>
      <c r="O130" s="710"/>
      <c r="P130" s="710"/>
      <c r="Q130" s="710"/>
      <c r="R130" s="710"/>
      <c r="S130" s="710"/>
      <c r="T130" s="710"/>
      <c r="U130" s="710"/>
      <c r="V130" s="710"/>
      <c r="W130" s="710"/>
      <c r="AC130" s="2312">
        <v>124</v>
      </c>
      <c r="AD130" s="2318" t="s">
        <v>2759</v>
      </c>
    </row>
    <row r="131" spans="1:30" ht="11.25" customHeight="1" x14ac:dyDescent="0.25">
      <c r="A131" s="136" t="str">
        <f>IF(RIGHT('Org structure'!D128,18)&lt;&gt;"[Name of sub-vote]",'Org structure'!D128,"")</f>
        <v/>
      </c>
      <c r="B131" s="144"/>
      <c r="C131" s="712">
        <f>SUMIFS(Sheet1!S71_PPPYearAmount,Sheet1!S71_SubMunicipalVoteNo,$AC:$AC,Sheet1!S71_ItemType,$AD:$AD)</f>
        <v>0</v>
      </c>
      <c r="D131" s="712">
        <f>SUMIFS(Sheet1!S71_PPYearAmount,Sheet1!S71_SubMunicipalVoteNo,$AC:$AC,Sheet1!S71_ItemType,$AD:$AD)</f>
        <v>0</v>
      </c>
      <c r="E131" s="712">
        <f>SUMIFS(Sheet1!S71_PYearAmount,Sheet1!S71_SubMunicipalVoteNo,$AC:$AC,Sheet1!S71_ItemType,$AD:$AD)</f>
        <v>0</v>
      </c>
      <c r="F131" s="725">
        <f>-SUMIFS(Sheet1!S71_OriginalBudAmnt,Sheet1!S71_SubMunicipalVoteNo,$AC:$AC,Sheet1!S71_ItemType,$AD:$AD)</f>
        <v>0</v>
      </c>
      <c r="G131" s="712">
        <f>-SUMIFS(Sheet1!S71_AdjustmentBudAmnt,Sheet1!S71_SubMunicipalVoteNo,$AC:$AC,Sheet1!S71_ItemType,$AD:$AD)</f>
        <v>0</v>
      </c>
      <c r="H131" s="713">
        <f>-SUMIFS(Sheet1!S71_AdjustmentBudAmnt,Sheet1!S71_SubMunicipalVoteNo,$AC:$AC,Sheet1!S71_ItemType,$AD:$AD)</f>
        <v>0</v>
      </c>
      <c r="I131" s="725">
        <f>-SUMIFS(Sheet1!S71_ASBudgetAmount,Sheet1!S71_SubMunicipalVoteNo,$AC:$AC,Sheet1!S71_ItemType,$AD:$AD)</f>
        <v>0</v>
      </c>
      <c r="J131" s="712">
        <f>-SUMIFS(Sheet1!S71_OY1BudgetAmount,Sheet1!S71_SubMunicipalVoteNo,$AC:$AC,Sheet1!S71_ItemType,$AD:$AD)</f>
        <v>0</v>
      </c>
      <c r="K131" s="713">
        <f>-SUMIFS(Sheet1!S71_OY2BudgetAmount,Sheet1!S71_SubMunicipalVoteNo,$AC:$AC,Sheet1!S71_ItemType,$AD:$AD)</f>
        <v>0</v>
      </c>
      <c r="L131" s="709"/>
      <c r="M131" s="710"/>
      <c r="N131" s="710"/>
      <c r="O131" s="710"/>
      <c r="P131" s="710"/>
      <c r="Q131" s="710"/>
      <c r="R131" s="710"/>
      <c r="S131" s="710"/>
      <c r="T131" s="710"/>
      <c r="U131" s="710"/>
      <c r="V131" s="710"/>
      <c r="W131" s="710"/>
      <c r="AC131" s="2312">
        <v>125</v>
      </c>
      <c r="AD131" s="2318" t="s">
        <v>2759</v>
      </c>
    </row>
    <row r="132" spans="1:30" ht="11.25" customHeight="1" x14ac:dyDescent="0.25">
      <c r="A132" s="136" t="str">
        <f>IF(RIGHT('Org structure'!D129,18)&lt;&gt;"[Name of sub-vote]",'Org structure'!D129,"")</f>
        <v/>
      </c>
      <c r="B132" s="144"/>
      <c r="C132" s="712">
        <f>SUMIFS(Sheet1!S71_PPPYearAmount,Sheet1!S71_SubMunicipalVoteNo,$AC:$AC,Sheet1!S71_ItemType,$AD:$AD)</f>
        <v>0</v>
      </c>
      <c r="D132" s="712">
        <f>SUMIFS(Sheet1!S71_PPYearAmount,Sheet1!S71_SubMunicipalVoteNo,$AC:$AC,Sheet1!S71_ItemType,$AD:$AD)</f>
        <v>0</v>
      </c>
      <c r="E132" s="712">
        <f>SUMIFS(Sheet1!S71_PYearAmount,Sheet1!S71_SubMunicipalVoteNo,$AC:$AC,Sheet1!S71_ItemType,$AD:$AD)</f>
        <v>0</v>
      </c>
      <c r="F132" s="725">
        <f>-SUMIFS(Sheet1!S71_OriginalBudAmnt,Sheet1!S71_SubMunicipalVoteNo,$AC:$AC,Sheet1!S71_ItemType,$AD:$AD)</f>
        <v>0</v>
      </c>
      <c r="G132" s="712">
        <f>-SUMIFS(Sheet1!S71_AdjustmentBudAmnt,Sheet1!S71_SubMunicipalVoteNo,$AC:$AC,Sheet1!S71_ItemType,$AD:$AD)</f>
        <v>0</v>
      </c>
      <c r="H132" s="713">
        <f>-SUMIFS(Sheet1!S71_AdjustmentBudAmnt,Sheet1!S71_SubMunicipalVoteNo,$AC:$AC,Sheet1!S71_ItemType,$AD:$AD)</f>
        <v>0</v>
      </c>
      <c r="I132" s="725">
        <f>-SUMIFS(Sheet1!S71_ASBudgetAmount,Sheet1!S71_SubMunicipalVoteNo,$AC:$AC,Sheet1!S71_ItemType,$AD:$AD)</f>
        <v>0</v>
      </c>
      <c r="J132" s="712">
        <f>-SUMIFS(Sheet1!S71_OY1BudgetAmount,Sheet1!S71_SubMunicipalVoteNo,$AC:$AC,Sheet1!S71_ItemType,$AD:$AD)</f>
        <v>0</v>
      </c>
      <c r="K132" s="713">
        <f>-SUMIFS(Sheet1!S71_OY2BudgetAmount,Sheet1!S71_SubMunicipalVoteNo,$AC:$AC,Sheet1!S71_ItemType,$AD:$AD)</f>
        <v>0</v>
      </c>
      <c r="L132" s="709"/>
      <c r="M132" s="710"/>
      <c r="N132" s="710"/>
      <c r="O132" s="710"/>
      <c r="P132" s="710"/>
      <c r="Q132" s="710"/>
      <c r="R132" s="710"/>
      <c r="S132" s="710"/>
      <c r="T132" s="710"/>
      <c r="U132" s="710"/>
      <c r="V132" s="710"/>
      <c r="W132" s="710"/>
      <c r="AC132" s="2312">
        <v>126</v>
      </c>
      <c r="AD132" s="2318" t="s">
        <v>2759</v>
      </c>
    </row>
    <row r="133" spans="1:30" ht="11.25" customHeight="1" x14ac:dyDescent="0.25">
      <c r="A133" s="136" t="str">
        <f>IF(RIGHT('Org structure'!D130,18)&lt;&gt;"[Name of sub-vote]",'Org structure'!D130,"")</f>
        <v/>
      </c>
      <c r="B133" s="144"/>
      <c r="C133" s="712">
        <f>SUMIFS(Sheet1!S71_PPPYearAmount,Sheet1!S71_SubMunicipalVoteNo,$AC:$AC,Sheet1!S71_ItemType,$AD:$AD)</f>
        <v>0</v>
      </c>
      <c r="D133" s="712">
        <f>SUMIFS(Sheet1!S71_PPYearAmount,Sheet1!S71_SubMunicipalVoteNo,$AC:$AC,Sheet1!S71_ItemType,$AD:$AD)</f>
        <v>0</v>
      </c>
      <c r="E133" s="712">
        <f>SUMIFS(Sheet1!S71_PYearAmount,Sheet1!S71_SubMunicipalVoteNo,$AC:$AC,Sheet1!S71_ItemType,$AD:$AD)</f>
        <v>0</v>
      </c>
      <c r="F133" s="725">
        <f>-SUMIFS(Sheet1!S71_OriginalBudAmnt,Sheet1!S71_SubMunicipalVoteNo,$AC:$AC,Sheet1!S71_ItemType,$AD:$AD)</f>
        <v>0</v>
      </c>
      <c r="G133" s="712">
        <f>-SUMIFS(Sheet1!S71_AdjustmentBudAmnt,Sheet1!S71_SubMunicipalVoteNo,$AC:$AC,Sheet1!S71_ItemType,$AD:$AD)</f>
        <v>0</v>
      </c>
      <c r="H133" s="713">
        <f>-SUMIFS(Sheet1!S71_AdjustmentBudAmnt,Sheet1!S71_SubMunicipalVoteNo,$AC:$AC,Sheet1!S71_ItemType,$AD:$AD)</f>
        <v>0</v>
      </c>
      <c r="I133" s="725">
        <f>-SUMIFS(Sheet1!S71_ASBudgetAmount,Sheet1!S71_SubMunicipalVoteNo,$AC:$AC,Sheet1!S71_ItemType,$AD:$AD)</f>
        <v>0</v>
      </c>
      <c r="J133" s="712">
        <f>-SUMIFS(Sheet1!S71_OY1BudgetAmount,Sheet1!S71_SubMunicipalVoteNo,$AC:$AC,Sheet1!S71_ItemType,$AD:$AD)</f>
        <v>0</v>
      </c>
      <c r="K133" s="713">
        <f>-SUMIFS(Sheet1!S71_OY2BudgetAmount,Sheet1!S71_SubMunicipalVoteNo,$AC:$AC,Sheet1!S71_ItemType,$AD:$AD)</f>
        <v>0</v>
      </c>
      <c r="L133" s="709"/>
      <c r="M133" s="710"/>
      <c r="N133" s="710"/>
      <c r="O133" s="710"/>
      <c r="P133" s="710"/>
      <c r="Q133" s="710"/>
      <c r="R133" s="710"/>
      <c r="S133" s="710"/>
      <c r="T133" s="710"/>
      <c r="U133" s="710"/>
      <c r="V133" s="710"/>
      <c r="W133" s="710"/>
      <c r="AC133" s="2312">
        <v>127</v>
      </c>
      <c r="AD133" s="2318" t="s">
        <v>2759</v>
      </c>
    </row>
    <row r="134" spans="1:30" ht="11.25" customHeight="1" x14ac:dyDescent="0.25">
      <c r="A134" s="136" t="str">
        <f>IF(RIGHT('Org structure'!D131,18)&lt;&gt;"[Name of sub-vote]",'Org structure'!D131,"")</f>
        <v/>
      </c>
      <c r="B134" s="144"/>
      <c r="C134" s="712">
        <f>SUMIFS(Sheet1!S71_PPPYearAmount,Sheet1!S71_SubMunicipalVoteNo,$AC:$AC,Sheet1!S71_ItemType,$AD:$AD)</f>
        <v>0</v>
      </c>
      <c r="D134" s="712">
        <f>SUMIFS(Sheet1!S71_PPYearAmount,Sheet1!S71_SubMunicipalVoteNo,$AC:$AC,Sheet1!S71_ItemType,$AD:$AD)</f>
        <v>0</v>
      </c>
      <c r="E134" s="712">
        <f>SUMIFS(Sheet1!S71_PYearAmount,Sheet1!S71_SubMunicipalVoteNo,$AC:$AC,Sheet1!S71_ItemType,$AD:$AD)</f>
        <v>0</v>
      </c>
      <c r="F134" s="725">
        <f>-SUMIFS(Sheet1!S71_OriginalBudAmnt,Sheet1!S71_SubMunicipalVoteNo,$AC:$AC,Sheet1!S71_ItemType,$AD:$AD)</f>
        <v>0</v>
      </c>
      <c r="G134" s="712">
        <f>-SUMIFS(Sheet1!S71_AdjustmentBudAmnt,Sheet1!S71_SubMunicipalVoteNo,$AC:$AC,Sheet1!S71_ItemType,$AD:$AD)</f>
        <v>0</v>
      </c>
      <c r="H134" s="713">
        <f>-SUMIFS(Sheet1!S71_AdjustmentBudAmnt,Sheet1!S71_SubMunicipalVoteNo,$AC:$AC,Sheet1!S71_ItemType,$AD:$AD)</f>
        <v>0</v>
      </c>
      <c r="I134" s="725">
        <f>-SUMIFS(Sheet1!S71_ASBudgetAmount,Sheet1!S71_SubMunicipalVoteNo,$AC:$AC,Sheet1!S71_ItemType,$AD:$AD)</f>
        <v>0</v>
      </c>
      <c r="J134" s="712">
        <f>-SUMIFS(Sheet1!S71_OY1BudgetAmount,Sheet1!S71_SubMunicipalVoteNo,$AC:$AC,Sheet1!S71_ItemType,$AD:$AD)</f>
        <v>0</v>
      </c>
      <c r="K134" s="713">
        <f>-SUMIFS(Sheet1!S71_OY2BudgetAmount,Sheet1!S71_SubMunicipalVoteNo,$AC:$AC,Sheet1!S71_ItemType,$AD:$AD)</f>
        <v>0</v>
      </c>
      <c r="L134" s="709"/>
      <c r="M134" s="710"/>
      <c r="N134" s="710"/>
      <c r="O134" s="710"/>
      <c r="P134" s="710"/>
      <c r="Q134" s="710"/>
      <c r="R134" s="710"/>
      <c r="S134" s="710"/>
      <c r="T134" s="710"/>
      <c r="U134" s="710"/>
      <c r="V134" s="710"/>
      <c r="W134" s="710"/>
      <c r="AC134" s="2312">
        <v>128</v>
      </c>
      <c r="AD134" s="2318" t="s">
        <v>2759</v>
      </c>
    </row>
    <row r="135" spans="1:30" ht="11.25" customHeight="1" x14ac:dyDescent="0.25">
      <c r="A135" s="136" t="str">
        <f>IF(RIGHT('Org structure'!D132,18)&lt;&gt;"[Name of sub-vote]",'Org structure'!D132,"")</f>
        <v/>
      </c>
      <c r="B135" s="144"/>
      <c r="C135" s="712">
        <f>SUMIFS(Sheet1!S71_PPPYearAmount,Sheet1!S71_SubMunicipalVoteNo,$AC:$AC,Sheet1!S71_ItemType,$AD:$AD)</f>
        <v>0</v>
      </c>
      <c r="D135" s="712">
        <f>SUMIFS(Sheet1!S71_PPYearAmount,Sheet1!S71_SubMunicipalVoteNo,$AC:$AC,Sheet1!S71_ItemType,$AD:$AD)</f>
        <v>0</v>
      </c>
      <c r="E135" s="712">
        <f>SUMIFS(Sheet1!S71_PYearAmount,Sheet1!S71_SubMunicipalVoteNo,$AC:$AC,Sheet1!S71_ItemType,$AD:$AD)</f>
        <v>0</v>
      </c>
      <c r="F135" s="725">
        <f>-SUMIFS(Sheet1!S71_OriginalBudAmnt,Sheet1!S71_SubMunicipalVoteNo,$AC:$AC,Sheet1!S71_ItemType,$AD:$AD)</f>
        <v>0</v>
      </c>
      <c r="G135" s="712">
        <f>-SUMIFS(Sheet1!S71_AdjustmentBudAmnt,Sheet1!S71_SubMunicipalVoteNo,$AC:$AC,Sheet1!S71_ItemType,$AD:$AD)</f>
        <v>0</v>
      </c>
      <c r="H135" s="713">
        <f>-SUMIFS(Sheet1!S71_AdjustmentBudAmnt,Sheet1!S71_SubMunicipalVoteNo,$AC:$AC,Sheet1!S71_ItemType,$AD:$AD)</f>
        <v>0</v>
      </c>
      <c r="I135" s="725">
        <f>-SUMIFS(Sheet1!S71_ASBudgetAmount,Sheet1!S71_SubMunicipalVoteNo,$AC:$AC,Sheet1!S71_ItemType,$AD:$AD)</f>
        <v>0</v>
      </c>
      <c r="J135" s="712">
        <f>-SUMIFS(Sheet1!S71_OY1BudgetAmount,Sheet1!S71_SubMunicipalVoteNo,$AC:$AC,Sheet1!S71_ItemType,$AD:$AD)</f>
        <v>0</v>
      </c>
      <c r="K135" s="713">
        <f>-SUMIFS(Sheet1!S71_OY2BudgetAmount,Sheet1!S71_SubMunicipalVoteNo,$AC:$AC,Sheet1!S71_ItemType,$AD:$AD)</f>
        <v>0</v>
      </c>
      <c r="L135" s="709"/>
      <c r="M135" s="710"/>
      <c r="N135" s="710"/>
      <c r="O135" s="710"/>
      <c r="P135" s="710"/>
      <c r="Q135" s="710"/>
      <c r="R135" s="710"/>
      <c r="S135" s="710"/>
      <c r="T135" s="710"/>
      <c r="U135" s="710"/>
      <c r="V135" s="710"/>
      <c r="W135" s="710"/>
      <c r="AC135" s="2312">
        <v>129</v>
      </c>
      <c r="AD135" s="2318" t="s">
        <v>2759</v>
      </c>
    </row>
    <row r="136" spans="1:30" ht="11.25" customHeight="1" x14ac:dyDescent="0.25">
      <c r="A136" s="136" t="str">
        <f>IF(RIGHT('Org structure'!D133,18)&lt;&gt;"[Name of sub-vote]",'Org structure'!D133,"")</f>
        <v/>
      </c>
      <c r="B136" s="144"/>
      <c r="C136" s="712">
        <f>SUMIFS(Sheet1!S71_PPPYearAmount,Sheet1!S71_SubMunicipalVoteNo,$AC:$AC,Sheet1!S71_ItemType,$AD:$AD)</f>
        <v>0</v>
      </c>
      <c r="D136" s="712">
        <f>SUMIFS(Sheet1!S71_PPYearAmount,Sheet1!S71_SubMunicipalVoteNo,$AC:$AC,Sheet1!S71_ItemType,$AD:$AD)</f>
        <v>0</v>
      </c>
      <c r="E136" s="712">
        <f>SUMIFS(Sheet1!S71_PYearAmount,Sheet1!S71_SubMunicipalVoteNo,$AC:$AC,Sheet1!S71_ItemType,$AD:$AD)</f>
        <v>0</v>
      </c>
      <c r="F136" s="725">
        <f>-SUMIFS(Sheet1!S71_OriginalBudAmnt,Sheet1!S71_SubMunicipalVoteNo,$AC:$AC,Sheet1!S71_ItemType,$AD:$AD)</f>
        <v>0</v>
      </c>
      <c r="G136" s="712">
        <f>-SUMIFS(Sheet1!S71_AdjustmentBudAmnt,Sheet1!S71_SubMunicipalVoteNo,$AC:$AC,Sheet1!S71_ItemType,$AD:$AD)</f>
        <v>0</v>
      </c>
      <c r="H136" s="713">
        <f>-SUMIFS(Sheet1!S71_AdjustmentBudAmnt,Sheet1!S71_SubMunicipalVoteNo,$AC:$AC,Sheet1!S71_ItemType,$AD:$AD)</f>
        <v>0</v>
      </c>
      <c r="I136" s="725">
        <f>-SUMIFS(Sheet1!S71_ASBudgetAmount,Sheet1!S71_SubMunicipalVoteNo,$AC:$AC,Sheet1!S71_ItemType,$AD:$AD)</f>
        <v>0</v>
      </c>
      <c r="J136" s="712">
        <f>-SUMIFS(Sheet1!S71_OY1BudgetAmount,Sheet1!S71_SubMunicipalVoteNo,$AC:$AC,Sheet1!S71_ItemType,$AD:$AD)</f>
        <v>0</v>
      </c>
      <c r="K136" s="713">
        <f>-SUMIFS(Sheet1!S71_OY2BudgetAmount,Sheet1!S71_SubMunicipalVoteNo,$AC:$AC,Sheet1!S71_ItemType,$AD:$AD)</f>
        <v>0</v>
      </c>
      <c r="L136" s="709"/>
      <c r="M136" s="710"/>
      <c r="N136" s="710"/>
      <c r="O136" s="710"/>
      <c r="P136" s="710"/>
      <c r="Q136" s="710"/>
      <c r="R136" s="710"/>
      <c r="S136" s="710"/>
      <c r="T136" s="710"/>
      <c r="U136" s="710"/>
      <c r="V136" s="710"/>
      <c r="W136" s="710"/>
      <c r="AC136" s="2312">
        <v>1210</v>
      </c>
      <c r="AD136" s="2318" t="s">
        <v>2759</v>
      </c>
    </row>
    <row r="137" spans="1:30" ht="15" customHeight="1" x14ac:dyDescent="0.25">
      <c r="A137" s="392" t="str">
        <f>'Org structure'!A14</f>
        <v>Vote 13 - Housing</v>
      </c>
      <c r="B137" s="144"/>
      <c r="C137" s="212">
        <f>SUM(C138:C147)</f>
        <v>0</v>
      </c>
      <c r="D137" s="212">
        <f t="shared" ref="D137:K137" si="12">SUM(D138:D147)</f>
        <v>0</v>
      </c>
      <c r="E137" s="213">
        <f t="shared" si="12"/>
        <v>0</v>
      </c>
      <c r="F137" s="214">
        <f t="shared" si="12"/>
        <v>0</v>
      </c>
      <c r="G137" s="212">
        <f t="shared" si="12"/>
        <v>0</v>
      </c>
      <c r="H137" s="215">
        <f t="shared" si="12"/>
        <v>0</v>
      </c>
      <c r="I137" s="216">
        <f t="shared" si="12"/>
        <v>0</v>
      </c>
      <c r="J137" s="212">
        <f t="shared" si="12"/>
        <v>0</v>
      </c>
      <c r="K137" s="213">
        <f t="shared" si="12"/>
        <v>0</v>
      </c>
      <c r="L137" s="709"/>
      <c r="M137" s="710"/>
      <c r="N137" s="710"/>
      <c r="O137" s="710"/>
      <c r="P137" s="710"/>
      <c r="Q137" s="710"/>
      <c r="R137" s="710"/>
      <c r="S137" s="710"/>
      <c r="T137" s="710"/>
      <c r="U137" s="710"/>
      <c r="V137" s="710"/>
      <c r="W137" s="710"/>
      <c r="AD137" s="2315"/>
    </row>
    <row r="138" spans="1:30" ht="11.25" customHeight="1" x14ac:dyDescent="0.25">
      <c r="A138" s="136" t="str">
        <f>IF(RIGHT('Org structure'!D135,18)&lt;&gt;"[Name of sub-vote]",'Org structure'!D135,"")</f>
        <v>13.1 - Housing</v>
      </c>
      <c r="B138" s="144"/>
      <c r="C138" s="712">
        <f>SUMIFS(Sheet1!S71_PPPYearAmount,Sheet1!S71_SubMunicipalVoteNo,$AC:$AC,Sheet1!S71_ItemType,$AD:$AD)</f>
        <v>0</v>
      </c>
      <c r="D138" s="712">
        <f>SUMIFS(Sheet1!S71_PPYearAmount,Sheet1!S71_SubMunicipalVoteNo,$AC:$AC,Sheet1!S71_ItemType,$AD:$AD)</f>
        <v>0</v>
      </c>
      <c r="E138" s="712">
        <f>SUMIFS(Sheet1!S71_PYearAmount,Sheet1!S71_SubMunicipalVoteNo,$AC:$AC,Sheet1!S71_ItemType,$AD:$AD)</f>
        <v>0</v>
      </c>
      <c r="F138" s="725">
        <f>-SUMIFS(Sheet1!S71_OriginalBudAmnt,Sheet1!S71_SubMunicipalVoteNo,$AC:$AC,Sheet1!S71_ItemType,$AD:$AD)</f>
        <v>0</v>
      </c>
      <c r="G138" s="712">
        <f>-SUMIFS(Sheet1!S71_AdjustmentBudAmnt,Sheet1!S71_SubMunicipalVoteNo,$AC:$AC,Sheet1!S71_ItemType,$AD:$AD)</f>
        <v>0</v>
      </c>
      <c r="H138" s="713">
        <f>-SUMIFS(Sheet1!S71_AdjustmentBudAmnt,Sheet1!S71_SubMunicipalVoteNo,$AC:$AC,Sheet1!S71_ItemType,$AD:$AD)</f>
        <v>0</v>
      </c>
      <c r="I138" s="725">
        <f>-SUMIFS(Sheet1!S71_ASBudgetAmount,Sheet1!S71_SubMunicipalVoteNo,$AC:$AC,Sheet1!S71_ItemType,$AD:$AD)</f>
        <v>0</v>
      </c>
      <c r="J138" s="712">
        <f>-SUMIFS(Sheet1!S71_OY1BudgetAmount,Sheet1!S71_SubMunicipalVoteNo,$AC:$AC,Sheet1!S71_ItemType,$AD:$AD)</f>
        <v>0</v>
      </c>
      <c r="K138" s="713">
        <f>-SUMIFS(Sheet1!S71_OY2BudgetAmount,Sheet1!S71_SubMunicipalVoteNo,$AC:$AC,Sheet1!S71_ItemType,$AD:$AD)</f>
        <v>0</v>
      </c>
      <c r="L138" s="709"/>
      <c r="M138" s="710"/>
      <c r="N138" s="710"/>
      <c r="O138" s="710"/>
      <c r="P138" s="710"/>
      <c r="Q138" s="710"/>
      <c r="R138" s="710"/>
      <c r="S138" s="710"/>
      <c r="T138" s="710"/>
      <c r="U138" s="710"/>
      <c r="V138" s="710"/>
      <c r="W138" s="710"/>
      <c r="AC138" s="2312">
        <v>131</v>
      </c>
      <c r="AD138" s="2318" t="s">
        <v>2759</v>
      </c>
    </row>
    <row r="139" spans="1:30" ht="11.25" customHeight="1" x14ac:dyDescent="0.25">
      <c r="A139" s="136" t="str">
        <f>IF(RIGHT('Org structure'!D136,18)&lt;&gt;"[Name of sub-vote]",'Org structure'!D136,"")</f>
        <v/>
      </c>
      <c r="B139" s="144"/>
      <c r="C139" s="712">
        <f>SUMIFS(Sheet1!S71_PPPYearAmount,Sheet1!S71_SubMunicipalVoteNo,$AC:$AC,Sheet1!S71_ItemType,$AD:$AD)</f>
        <v>0</v>
      </c>
      <c r="D139" s="712">
        <f>SUMIFS(Sheet1!S71_PPYearAmount,Sheet1!S71_SubMunicipalVoteNo,$AC:$AC,Sheet1!S71_ItemType,$AD:$AD)</f>
        <v>0</v>
      </c>
      <c r="E139" s="712">
        <f>SUMIFS(Sheet1!S71_PYearAmount,Sheet1!S71_SubMunicipalVoteNo,$AC:$AC,Sheet1!S71_ItemType,$AD:$AD)</f>
        <v>0</v>
      </c>
      <c r="F139" s="725">
        <f>-SUMIFS(Sheet1!S71_OriginalBudAmnt,Sheet1!S71_SubMunicipalVoteNo,$AC:$AC,Sheet1!S71_ItemType,$AD:$AD)</f>
        <v>0</v>
      </c>
      <c r="G139" s="712">
        <f>-SUMIFS(Sheet1!S71_AdjustmentBudAmnt,Sheet1!S71_SubMunicipalVoteNo,$AC:$AC,Sheet1!S71_ItemType,$AD:$AD)</f>
        <v>0</v>
      </c>
      <c r="H139" s="713">
        <f>-SUMIFS(Sheet1!S71_AdjustmentBudAmnt,Sheet1!S71_SubMunicipalVoteNo,$AC:$AC,Sheet1!S71_ItemType,$AD:$AD)</f>
        <v>0</v>
      </c>
      <c r="I139" s="725">
        <f>-SUMIFS(Sheet1!S71_ASBudgetAmount,Sheet1!S71_SubMunicipalVoteNo,$AC:$AC,Sheet1!S71_ItemType,$AD:$AD)</f>
        <v>0</v>
      </c>
      <c r="J139" s="712">
        <f>-SUMIFS(Sheet1!S71_OY1BudgetAmount,Sheet1!S71_SubMunicipalVoteNo,$AC:$AC,Sheet1!S71_ItemType,$AD:$AD)</f>
        <v>0</v>
      </c>
      <c r="K139" s="713">
        <f>-SUMIFS(Sheet1!S71_OY2BudgetAmount,Sheet1!S71_SubMunicipalVoteNo,$AC:$AC,Sheet1!S71_ItemType,$AD:$AD)</f>
        <v>0</v>
      </c>
      <c r="L139" s="709"/>
      <c r="M139" s="710"/>
      <c r="N139" s="710"/>
      <c r="O139" s="710"/>
      <c r="P139" s="710"/>
      <c r="Q139" s="710"/>
      <c r="R139" s="710"/>
      <c r="S139" s="710"/>
      <c r="T139" s="710"/>
      <c r="U139" s="710"/>
      <c r="V139" s="710"/>
      <c r="W139" s="710"/>
      <c r="AC139" s="2312">
        <v>132</v>
      </c>
      <c r="AD139" s="2318" t="s">
        <v>2759</v>
      </c>
    </row>
    <row r="140" spans="1:30" ht="11.25" customHeight="1" x14ac:dyDescent="0.25">
      <c r="A140" s="136" t="str">
        <f>IF(RIGHT('Org structure'!D137,18)&lt;&gt;"[Name of sub-vote]",'Org structure'!D137,"")</f>
        <v/>
      </c>
      <c r="B140" s="144"/>
      <c r="C140" s="712">
        <f>SUMIFS(Sheet1!S71_PPPYearAmount,Sheet1!S71_SubMunicipalVoteNo,$AC:$AC,Sheet1!S71_ItemType,$AD:$AD)</f>
        <v>0</v>
      </c>
      <c r="D140" s="712">
        <f>SUMIFS(Sheet1!S71_PPYearAmount,Sheet1!S71_SubMunicipalVoteNo,$AC:$AC,Sheet1!S71_ItemType,$AD:$AD)</f>
        <v>0</v>
      </c>
      <c r="E140" s="712">
        <f>SUMIFS(Sheet1!S71_PYearAmount,Sheet1!S71_SubMunicipalVoteNo,$AC:$AC,Sheet1!S71_ItemType,$AD:$AD)</f>
        <v>0</v>
      </c>
      <c r="F140" s="725">
        <f>-SUMIFS(Sheet1!S71_OriginalBudAmnt,Sheet1!S71_SubMunicipalVoteNo,$AC:$AC,Sheet1!S71_ItemType,$AD:$AD)</f>
        <v>0</v>
      </c>
      <c r="G140" s="712">
        <f>-SUMIFS(Sheet1!S71_AdjustmentBudAmnt,Sheet1!S71_SubMunicipalVoteNo,$AC:$AC,Sheet1!S71_ItemType,$AD:$AD)</f>
        <v>0</v>
      </c>
      <c r="H140" s="713">
        <f>-SUMIFS(Sheet1!S71_AdjustmentBudAmnt,Sheet1!S71_SubMunicipalVoteNo,$AC:$AC,Sheet1!S71_ItemType,$AD:$AD)</f>
        <v>0</v>
      </c>
      <c r="I140" s="725">
        <f>-SUMIFS(Sheet1!S71_ASBudgetAmount,Sheet1!S71_SubMunicipalVoteNo,$AC:$AC,Sheet1!S71_ItemType,$AD:$AD)</f>
        <v>0</v>
      </c>
      <c r="J140" s="712">
        <f>-SUMIFS(Sheet1!S71_OY1BudgetAmount,Sheet1!S71_SubMunicipalVoteNo,$AC:$AC,Sheet1!S71_ItemType,$AD:$AD)</f>
        <v>0</v>
      </c>
      <c r="K140" s="713">
        <f>-SUMIFS(Sheet1!S71_OY2BudgetAmount,Sheet1!S71_SubMunicipalVoteNo,$AC:$AC,Sheet1!S71_ItemType,$AD:$AD)</f>
        <v>0</v>
      </c>
      <c r="L140" s="709"/>
      <c r="M140" s="710"/>
      <c r="N140" s="710"/>
      <c r="O140" s="710"/>
      <c r="P140" s="710"/>
      <c r="Q140" s="710"/>
      <c r="R140" s="710"/>
      <c r="S140" s="710"/>
      <c r="T140" s="710"/>
      <c r="U140" s="710"/>
      <c r="V140" s="710"/>
      <c r="W140" s="710"/>
      <c r="AC140" s="2312">
        <v>133</v>
      </c>
      <c r="AD140" s="2318" t="s">
        <v>2759</v>
      </c>
    </row>
    <row r="141" spans="1:30" ht="11.25" customHeight="1" x14ac:dyDescent="0.25">
      <c r="A141" s="136" t="str">
        <f>IF(RIGHT('Org structure'!D138,18)&lt;&gt;"[Name of sub-vote]",'Org structure'!D138,"")</f>
        <v/>
      </c>
      <c r="B141" s="144"/>
      <c r="C141" s="712">
        <f>SUMIFS(Sheet1!S71_PPPYearAmount,Sheet1!S71_SubMunicipalVoteNo,$AC:$AC,Sheet1!S71_ItemType,$AD:$AD)</f>
        <v>0</v>
      </c>
      <c r="D141" s="712">
        <f>SUMIFS(Sheet1!S71_PPYearAmount,Sheet1!S71_SubMunicipalVoteNo,$AC:$AC,Sheet1!S71_ItemType,$AD:$AD)</f>
        <v>0</v>
      </c>
      <c r="E141" s="712">
        <f>SUMIFS(Sheet1!S71_PYearAmount,Sheet1!S71_SubMunicipalVoteNo,$AC:$AC,Sheet1!S71_ItemType,$AD:$AD)</f>
        <v>0</v>
      </c>
      <c r="F141" s="725">
        <f>-SUMIFS(Sheet1!S71_OriginalBudAmnt,Sheet1!S71_SubMunicipalVoteNo,$AC:$AC,Sheet1!S71_ItemType,$AD:$AD)</f>
        <v>0</v>
      </c>
      <c r="G141" s="712">
        <f>-SUMIFS(Sheet1!S71_AdjustmentBudAmnt,Sheet1!S71_SubMunicipalVoteNo,$AC:$AC,Sheet1!S71_ItemType,$AD:$AD)</f>
        <v>0</v>
      </c>
      <c r="H141" s="713">
        <f>-SUMIFS(Sheet1!S71_AdjustmentBudAmnt,Sheet1!S71_SubMunicipalVoteNo,$AC:$AC,Sheet1!S71_ItemType,$AD:$AD)</f>
        <v>0</v>
      </c>
      <c r="I141" s="725">
        <f>-SUMIFS(Sheet1!S71_ASBudgetAmount,Sheet1!S71_SubMunicipalVoteNo,$AC:$AC,Sheet1!S71_ItemType,$AD:$AD)</f>
        <v>0</v>
      </c>
      <c r="J141" s="712">
        <f>-SUMIFS(Sheet1!S71_OY1BudgetAmount,Sheet1!S71_SubMunicipalVoteNo,$AC:$AC,Sheet1!S71_ItemType,$AD:$AD)</f>
        <v>0</v>
      </c>
      <c r="K141" s="713">
        <f>-SUMIFS(Sheet1!S71_OY2BudgetAmount,Sheet1!S71_SubMunicipalVoteNo,$AC:$AC,Sheet1!S71_ItemType,$AD:$AD)</f>
        <v>0</v>
      </c>
      <c r="L141" s="709"/>
      <c r="M141" s="710"/>
      <c r="N141" s="710"/>
      <c r="O141" s="710"/>
      <c r="P141" s="710"/>
      <c r="Q141" s="710"/>
      <c r="R141" s="710"/>
      <c r="S141" s="710"/>
      <c r="T141" s="710"/>
      <c r="U141" s="710"/>
      <c r="V141" s="710"/>
      <c r="W141" s="710"/>
      <c r="AC141" s="2312">
        <v>134</v>
      </c>
      <c r="AD141" s="2318" t="s">
        <v>2759</v>
      </c>
    </row>
    <row r="142" spans="1:30" ht="11.25" customHeight="1" x14ac:dyDescent="0.25">
      <c r="A142" s="136" t="str">
        <f>IF(RIGHT('Org structure'!D139,18)&lt;&gt;"[Name of sub-vote]",'Org structure'!D139,"")</f>
        <v/>
      </c>
      <c r="B142" s="144"/>
      <c r="C142" s="712">
        <f>SUMIFS(Sheet1!S71_PPPYearAmount,Sheet1!S71_SubMunicipalVoteNo,$AC:$AC,Sheet1!S71_ItemType,$AD:$AD)</f>
        <v>0</v>
      </c>
      <c r="D142" s="712">
        <f>SUMIFS(Sheet1!S71_PPYearAmount,Sheet1!S71_SubMunicipalVoteNo,$AC:$AC,Sheet1!S71_ItemType,$AD:$AD)</f>
        <v>0</v>
      </c>
      <c r="E142" s="712">
        <f>SUMIFS(Sheet1!S71_PYearAmount,Sheet1!S71_SubMunicipalVoteNo,$AC:$AC,Sheet1!S71_ItemType,$AD:$AD)</f>
        <v>0</v>
      </c>
      <c r="F142" s="725">
        <f>-SUMIFS(Sheet1!S71_OriginalBudAmnt,Sheet1!S71_SubMunicipalVoteNo,$AC:$AC,Sheet1!S71_ItemType,$AD:$AD)</f>
        <v>0</v>
      </c>
      <c r="G142" s="712">
        <f>-SUMIFS(Sheet1!S71_AdjustmentBudAmnt,Sheet1!S71_SubMunicipalVoteNo,$AC:$AC,Sheet1!S71_ItemType,$AD:$AD)</f>
        <v>0</v>
      </c>
      <c r="H142" s="713">
        <f>-SUMIFS(Sheet1!S71_AdjustmentBudAmnt,Sheet1!S71_SubMunicipalVoteNo,$AC:$AC,Sheet1!S71_ItemType,$AD:$AD)</f>
        <v>0</v>
      </c>
      <c r="I142" s="725">
        <f>-SUMIFS(Sheet1!S71_ASBudgetAmount,Sheet1!S71_SubMunicipalVoteNo,$AC:$AC,Sheet1!S71_ItemType,$AD:$AD)</f>
        <v>0</v>
      </c>
      <c r="J142" s="712">
        <f>-SUMIFS(Sheet1!S71_OY1BudgetAmount,Sheet1!S71_SubMunicipalVoteNo,$AC:$AC,Sheet1!S71_ItemType,$AD:$AD)</f>
        <v>0</v>
      </c>
      <c r="K142" s="713">
        <f>-SUMIFS(Sheet1!S71_OY2BudgetAmount,Sheet1!S71_SubMunicipalVoteNo,$AC:$AC,Sheet1!S71_ItemType,$AD:$AD)</f>
        <v>0</v>
      </c>
      <c r="L142" s="709"/>
      <c r="M142" s="710"/>
      <c r="N142" s="710"/>
      <c r="O142" s="710"/>
      <c r="P142" s="710"/>
      <c r="Q142" s="710"/>
      <c r="R142" s="710"/>
      <c r="S142" s="710"/>
      <c r="T142" s="710"/>
      <c r="U142" s="710"/>
      <c r="V142" s="710"/>
      <c r="W142" s="710"/>
      <c r="AC142" s="2312">
        <v>135</v>
      </c>
      <c r="AD142" s="2318" t="s">
        <v>2759</v>
      </c>
    </row>
    <row r="143" spans="1:30" ht="11.25" customHeight="1" x14ac:dyDescent="0.25">
      <c r="A143" s="136" t="str">
        <f>IF(RIGHT('Org structure'!D140,18)&lt;&gt;"[Name of sub-vote]",'Org structure'!D140,"")</f>
        <v/>
      </c>
      <c r="B143" s="144"/>
      <c r="C143" s="712">
        <f>SUMIFS(Sheet1!S71_PPPYearAmount,Sheet1!S71_SubMunicipalVoteNo,$AC:$AC,Sheet1!S71_ItemType,$AD:$AD)</f>
        <v>0</v>
      </c>
      <c r="D143" s="712">
        <f>SUMIFS(Sheet1!S71_PPYearAmount,Sheet1!S71_SubMunicipalVoteNo,$AC:$AC,Sheet1!S71_ItemType,$AD:$AD)</f>
        <v>0</v>
      </c>
      <c r="E143" s="712">
        <f>SUMIFS(Sheet1!S71_PYearAmount,Sheet1!S71_SubMunicipalVoteNo,$AC:$AC,Sheet1!S71_ItemType,$AD:$AD)</f>
        <v>0</v>
      </c>
      <c r="F143" s="725">
        <f>-SUMIFS(Sheet1!S71_OriginalBudAmnt,Sheet1!S71_SubMunicipalVoteNo,$AC:$AC,Sheet1!S71_ItemType,$AD:$AD)</f>
        <v>0</v>
      </c>
      <c r="G143" s="712">
        <f>-SUMIFS(Sheet1!S71_AdjustmentBudAmnt,Sheet1!S71_SubMunicipalVoteNo,$AC:$AC,Sheet1!S71_ItemType,$AD:$AD)</f>
        <v>0</v>
      </c>
      <c r="H143" s="713">
        <f>-SUMIFS(Sheet1!S71_AdjustmentBudAmnt,Sheet1!S71_SubMunicipalVoteNo,$AC:$AC,Sheet1!S71_ItemType,$AD:$AD)</f>
        <v>0</v>
      </c>
      <c r="I143" s="725">
        <f>-SUMIFS(Sheet1!S71_ASBudgetAmount,Sheet1!S71_SubMunicipalVoteNo,$AC:$AC,Sheet1!S71_ItemType,$AD:$AD)</f>
        <v>0</v>
      </c>
      <c r="J143" s="712">
        <f>-SUMIFS(Sheet1!S71_OY1BudgetAmount,Sheet1!S71_SubMunicipalVoteNo,$AC:$AC,Sheet1!S71_ItemType,$AD:$AD)</f>
        <v>0</v>
      </c>
      <c r="K143" s="713">
        <f>-SUMIFS(Sheet1!S71_OY2BudgetAmount,Sheet1!S71_SubMunicipalVoteNo,$AC:$AC,Sheet1!S71_ItemType,$AD:$AD)</f>
        <v>0</v>
      </c>
      <c r="L143" s="709"/>
      <c r="M143" s="710"/>
      <c r="N143" s="710"/>
      <c r="O143" s="710"/>
      <c r="P143" s="710"/>
      <c r="Q143" s="710"/>
      <c r="R143" s="710"/>
      <c r="S143" s="710"/>
      <c r="T143" s="710"/>
      <c r="U143" s="710"/>
      <c r="V143" s="710"/>
      <c r="W143" s="710"/>
      <c r="AC143" s="2312">
        <v>136</v>
      </c>
      <c r="AD143" s="2318" t="s">
        <v>2759</v>
      </c>
    </row>
    <row r="144" spans="1:30" ht="11.25" customHeight="1" x14ac:dyDescent="0.25">
      <c r="A144" s="136" t="str">
        <f>IF(RIGHT('Org structure'!D141,18)&lt;&gt;"[Name of sub-vote]",'Org structure'!D141,"")</f>
        <v/>
      </c>
      <c r="B144" s="144"/>
      <c r="C144" s="712">
        <f>SUMIFS(Sheet1!S71_PPPYearAmount,Sheet1!S71_SubMunicipalVoteNo,$AC:$AC,Sheet1!S71_ItemType,$AD:$AD)</f>
        <v>0</v>
      </c>
      <c r="D144" s="712">
        <f>SUMIFS(Sheet1!S71_PPYearAmount,Sheet1!S71_SubMunicipalVoteNo,$AC:$AC,Sheet1!S71_ItemType,$AD:$AD)</f>
        <v>0</v>
      </c>
      <c r="E144" s="712">
        <f>SUMIFS(Sheet1!S71_PYearAmount,Sheet1!S71_SubMunicipalVoteNo,$AC:$AC,Sheet1!S71_ItemType,$AD:$AD)</f>
        <v>0</v>
      </c>
      <c r="F144" s="725">
        <f>-SUMIFS(Sheet1!S71_OriginalBudAmnt,Sheet1!S71_SubMunicipalVoteNo,$AC:$AC,Sheet1!S71_ItemType,$AD:$AD)</f>
        <v>0</v>
      </c>
      <c r="G144" s="712">
        <f>-SUMIFS(Sheet1!S71_AdjustmentBudAmnt,Sheet1!S71_SubMunicipalVoteNo,$AC:$AC,Sheet1!S71_ItemType,$AD:$AD)</f>
        <v>0</v>
      </c>
      <c r="H144" s="713">
        <f>-SUMIFS(Sheet1!S71_AdjustmentBudAmnt,Sheet1!S71_SubMunicipalVoteNo,$AC:$AC,Sheet1!S71_ItemType,$AD:$AD)</f>
        <v>0</v>
      </c>
      <c r="I144" s="725">
        <f>-SUMIFS(Sheet1!S71_ASBudgetAmount,Sheet1!S71_SubMunicipalVoteNo,$AC:$AC,Sheet1!S71_ItemType,$AD:$AD)</f>
        <v>0</v>
      </c>
      <c r="J144" s="712">
        <f>-SUMIFS(Sheet1!S71_OY1BudgetAmount,Sheet1!S71_SubMunicipalVoteNo,$AC:$AC,Sheet1!S71_ItemType,$AD:$AD)</f>
        <v>0</v>
      </c>
      <c r="K144" s="713">
        <f>-SUMIFS(Sheet1!S71_OY2BudgetAmount,Sheet1!S71_SubMunicipalVoteNo,$AC:$AC,Sheet1!S71_ItemType,$AD:$AD)</f>
        <v>0</v>
      </c>
      <c r="L144" s="709"/>
      <c r="M144" s="710"/>
      <c r="N144" s="710"/>
      <c r="O144" s="710"/>
      <c r="P144" s="710"/>
      <c r="Q144" s="710"/>
      <c r="R144" s="710"/>
      <c r="S144" s="710"/>
      <c r="T144" s="710"/>
      <c r="U144" s="710"/>
      <c r="V144" s="710"/>
      <c r="W144" s="710"/>
      <c r="AC144" s="2312">
        <v>137</v>
      </c>
      <c r="AD144" s="2318" t="s">
        <v>2759</v>
      </c>
    </row>
    <row r="145" spans="1:30" ht="11.25" customHeight="1" x14ac:dyDescent="0.25">
      <c r="A145" s="136" t="str">
        <f>IF(RIGHT('Org structure'!D142,18)&lt;&gt;"[Name of sub-vote]",'Org structure'!D142,"")</f>
        <v/>
      </c>
      <c r="B145" s="144"/>
      <c r="C145" s="712">
        <f>SUMIFS(Sheet1!S71_PPPYearAmount,Sheet1!S71_SubMunicipalVoteNo,$AC:$AC,Sheet1!S71_ItemType,$AD:$AD)</f>
        <v>0</v>
      </c>
      <c r="D145" s="712">
        <f>SUMIFS(Sheet1!S71_PPYearAmount,Sheet1!S71_SubMunicipalVoteNo,$AC:$AC,Sheet1!S71_ItemType,$AD:$AD)</f>
        <v>0</v>
      </c>
      <c r="E145" s="712">
        <f>SUMIFS(Sheet1!S71_PYearAmount,Sheet1!S71_SubMunicipalVoteNo,$AC:$AC,Sheet1!S71_ItemType,$AD:$AD)</f>
        <v>0</v>
      </c>
      <c r="F145" s="725">
        <f>-SUMIFS(Sheet1!S71_OriginalBudAmnt,Sheet1!S71_SubMunicipalVoteNo,$AC:$AC,Sheet1!S71_ItemType,$AD:$AD)</f>
        <v>0</v>
      </c>
      <c r="G145" s="712">
        <f>-SUMIFS(Sheet1!S71_AdjustmentBudAmnt,Sheet1!S71_SubMunicipalVoteNo,$AC:$AC,Sheet1!S71_ItemType,$AD:$AD)</f>
        <v>0</v>
      </c>
      <c r="H145" s="713">
        <f>-SUMIFS(Sheet1!S71_AdjustmentBudAmnt,Sheet1!S71_SubMunicipalVoteNo,$AC:$AC,Sheet1!S71_ItemType,$AD:$AD)</f>
        <v>0</v>
      </c>
      <c r="I145" s="725">
        <f>-SUMIFS(Sheet1!S71_ASBudgetAmount,Sheet1!S71_SubMunicipalVoteNo,$AC:$AC,Sheet1!S71_ItemType,$AD:$AD)</f>
        <v>0</v>
      </c>
      <c r="J145" s="712">
        <f>-SUMIFS(Sheet1!S71_OY1BudgetAmount,Sheet1!S71_SubMunicipalVoteNo,$AC:$AC,Sheet1!S71_ItemType,$AD:$AD)</f>
        <v>0</v>
      </c>
      <c r="K145" s="713">
        <f>-SUMIFS(Sheet1!S71_OY2BudgetAmount,Sheet1!S71_SubMunicipalVoteNo,$AC:$AC,Sheet1!S71_ItemType,$AD:$AD)</f>
        <v>0</v>
      </c>
      <c r="L145" s="709"/>
      <c r="M145" s="710"/>
      <c r="N145" s="710"/>
      <c r="O145" s="710"/>
      <c r="P145" s="710"/>
      <c r="Q145" s="710"/>
      <c r="R145" s="710"/>
      <c r="S145" s="710"/>
      <c r="T145" s="710"/>
      <c r="U145" s="710"/>
      <c r="V145" s="710"/>
      <c r="W145" s="710"/>
      <c r="AC145" s="2312">
        <v>138</v>
      </c>
      <c r="AD145" s="2318" t="s">
        <v>2759</v>
      </c>
    </row>
    <row r="146" spans="1:30" ht="11.25" customHeight="1" x14ac:dyDescent="0.25">
      <c r="A146" s="136" t="str">
        <f>IF(RIGHT('Org structure'!D143,18)&lt;&gt;"[Name of sub-vote]",'Org structure'!D143,"")</f>
        <v/>
      </c>
      <c r="B146" s="144"/>
      <c r="C146" s="712">
        <f>SUMIFS(Sheet1!S71_PPPYearAmount,Sheet1!S71_SubMunicipalVoteNo,$AC:$AC,Sheet1!S71_ItemType,$AD:$AD)</f>
        <v>0</v>
      </c>
      <c r="D146" s="712">
        <f>SUMIFS(Sheet1!S71_PPYearAmount,Sheet1!S71_SubMunicipalVoteNo,$AC:$AC,Sheet1!S71_ItemType,$AD:$AD)</f>
        <v>0</v>
      </c>
      <c r="E146" s="712">
        <f>SUMIFS(Sheet1!S71_PYearAmount,Sheet1!S71_SubMunicipalVoteNo,$AC:$AC,Sheet1!S71_ItemType,$AD:$AD)</f>
        <v>0</v>
      </c>
      <c r="F146" s="725">
        <f>-SUMIFS(Sheet1!S71_OriginalBudAmnt,Sheet1!S71_SubMunicipalVoteNo,$AC:$AC,Sheet1!S71_ItemType,$AD:$AD)</f>
        <v>0</v>
      </c>
      <c r="G146" s="712">
        <f>-SUMIFS(Sheet1!S71_AdjustmentBudAmnt,Sheet1!S71_SubMunicipalVoteNo,$AC:$AC,Sheet1!S71_ItemType,$AD:$AD)</f>
        <v>0</v>
      </c>
      <c r="H146" s="713">
        <f>-SUMIFS(Sheet1!S71_AdjustmentBudAmnt,Sheet1!S71_SubMunicipalVoteNo,$AC:$AC,Sheet1!S71_ItemType,$AD:$AD)</f>
        <v>0</v>
      </c>
      <c r="I146" s="725">
        <f>-SUMIFS(Sheet1!S71_ASBudgetAmount,Sheet1!S71_SubMunicipalVoteNo,$AC:$AC,Sheet1!S71_ItemType,$AD:$AD)</f>
        <v>0</v>
      </c>
      <c r="J146" s="712">
        <f>-SUMIFS(Sheet1!S71_OY1BudgetAmount,Sheet1!S71_SubMunicipalVoteNo,$AC:$AC,Sheet1!S71_ItemType,$AD:$AD)</f>
        <v>0</v>
      </c>
      <c r="K146" s="713">
        <f>-SUMIFS(Sheet1!S71_OY2BudgetAmount,Sheet1!S71_SubMunicipalVoteNo,$AC:$AC,Sheet1!S71_ItemType,$AD:$AD)</f>
        <v>0</v>
      </c>
      <c r="L146" s="709"/>
      <c r="M146" s="710"/>
      <c r="N146" s="710"/>
      <c r="O146" s="710"/>
      <c r="P146" s="710"/>
      <c r="Q146" s="710"/>
      <c r="R146" s="710"/>
      <c r="S146" s="710"/>
      <c r="T146" s="710"/>
      <c r="U146" s="710"/>
      <c r="V146" s="710"/>
      <c r="W146" s="710"/>
      <c r="AC146" s="2312">
        <v>139</v>
      </c>
      <c r="AD146" s="2318" t="s">
        <v>2759</v>
      </c>
    </row>
    <row r="147" spans="1:30" ht="11.25" customHeight="1" x14ac:dyDescent="0.25">
      <c r="A147" s="136" t="str">
        <f>IF(RIGHT('Org structure'!D144,18)&lt;&gt;"[Name of sub-vote]",'Org structure'!D144,"")</f>
        <v/>
      </c>
      <c r="B147" s="144"/>
      <c r="C147" s="712">
        <f>SUMIFS(Sheet1!S71_PPPYearAmount,Sheet1!S71_SubMunicipalVoteNo,$AC:$AC,Sheet1!S71_ItemType,$AD:$AD)</f>
        <v>0</v>
      </c>
      <c r="D147" s="712">
        <f>SUMIFS(Sheet1!S71_PPYearAmount,Sheet1!S71_SubMunicipalVoteNo,$AC:$AC,Sheet1!S71_ItemType,$AD:$AD)</f>
        <v>0</v>
      </c>
      <c r="E147" s="712">
        <f>SUMIFS(Sheet1!S71_PYearAmount,Sheet1!S71_SubMunicipalVoteNo,$AC:$AC,Sheet1!S71_ItemType,$AD:$AD)</f>
        <v>0</v>
      </c>
      <c r="F147" s="725">
        <f>-SUMIFS(Sheet1!S71_OriginalBudAmnt,Sheet1!S71_SubMunicipalVoteNo,$AC:$AC,Sheet1!S71_ItemType,$AD:$AD)</f>
        <v>0</v>
      </c>
      <c r="G147" s="712">
        <f>-SUMIFS(Sheet1!S71_AdjustmentBudAmnt,Sheet1!S71_SubMunicipalVoteNo,$AC:$AC,Sheet1!S71_ItemType,$AD:$AD)</f>
        <v>0</v>
      </c>
      <c r="H147" s="713">
        <f>-SUMIFS(Sheet1!S71_AdjustmentBudAmnt,Sheet1!S71_SubMunicipalVoteNo,$AC:$AC,Sheet1!S71_ItemType,$AD:$AD)</f>
        <v>0</v>
      </c>
      <c r="I147" s="725">
        <f>-SUMIFS(Sheet1!S71_ASBudgetAmount,Sheet1!S71_SubMunicipalVoteNo,$AC:$AC,Sheet1!S71_ItemType,$AD:$AD)</f>
        <v>0</v>
      </c>
      <c r="J147" s="712">
        <f>-SUMIFS(Sheet1!S71_OY1BudgetAmount,Sheet1!S71_SubMunicipalVoteNo,$AC:$AC,Sheet1!S71_ItemType,$AD:$AD)</f>
        <v>0</v>
      </c>
      <c r="K147" s="713">
        <f>-SUMIFS(Sheet1!S71_OY2BudgetAmount,Sheet1!S71_SubMunicipalVoteNo,$AC:$AC,Sheet1!S71_ItemType,$AD:$AD)</f>
        <v>0</v>
      </c>
      <c r="L147" s="709"/>
      <c r="M147" s="710"/>
      <c r="N147" s="710"/>
      <c r="O147" s="710"/>
      <c r="P147" s="710"/>
      <c r="Q147" s="710"/>
      <c r="R147" s="710"/>
      <c r="S147" s="710"/>
      <c r="T147" s="710"/>
      <c r="U147" s="710"/>
      <c r="V147" s="710"/>
      <c r="W147" s="710"/>
      <c r="AC147" s="2312">
        <v>1310</v>
      </c>
      <c r="AD147" s="2318" t="s">
        <v>2759</v>
      </c>
    </row>
    <row r="148" spans="1:30" ht="15" customHeight="1" x14ac:dyDescent="0.25">
      <c r="A148" s="392" t="str">
        <f>'Org structure'!A15</f>
        <v>Vote 14 - Waste Water Management</v>
      </c>
      <c r="B148" s="144"/>
      <c r="C148" s="212">
        <f>SUM(C149:C158)</f>
        <v>0</v>
      </c>
      <c r="D148" s="212">
        <f t="shared" ref="D148:K148" si="13">SUM(D149:D158)</f>
        <v>0</v>
      </c>
      <c r="E148" s="213">
        <f t="shared" si="13"/>
        <v>0</v>
      </c>
      <c r="F148" s="214">
        <f t="shared" si="13"/>
        <v>0</v>
      </c>
      <c r="G148" s="212">
        <f t="shared" si="13"/>
        <v>0</v>
      </c>
      <c r="H148" s="215">
        <f t="shared" si="13"/>
        <v>0</v>
      </c>
      <c r="I148" s="216">
        <f t="shared" si="13"/>
        <v>0</v>
      </c>
      <c r="J148" s="212">
        <f t="shared" si="13"/>
        <v>0</v>
      </c>
      <c r="K148" s="213">
        <f t="shared" si="13"/>
        <v>0</v>
      </c>
      <c r="L148" s="709"/>
      <c r="M148" s="710"/>
      <c r="N148" s="710"/>
      <c r="O148" s="710"/>
      <c r="P148" s="710"/>
      <c r="Q148" s="710"/>
      <c r="R148" s="710"/>
      <c r="S148" s="710"/>
      <c r="T148" s="710"/>
      <c r="U148" s="710"/>
      <c r="V148" s="710"/>
      <c r="W148" s="710"/>
      <c r="AD148" s="2315"/>
    </row>
    <row r="149" spans="1:30" ht="11.25" customHeight="1" x14ac:dyDescent="0.25">
      <c r="A149" s="136" t="str">
        <f>IF(RIGHT('Org structure'!D146,18)&lt;&gt;"[Name of sub-vote]",'Org structure'!D146,"")</f>
        <v>14.1 - Storm Water Management</v>
      </c>
      <c r="B149" s="144"/>
      <c r="C149" s="712">
        <f>SUMIFS(Sheet1!S71_PPPYearAmount,Sheet1!S71_SubMunicipalVoteNo,$AC:$AC,Sheet1!S71_ItemType,$AD:$AD)</f>
        <v>0</v>
      </c>
      <c r="D149" s="712">
        <f>SUMIFS(Sheet1!S71_PPYearAmount,Sheet1!S71_SubMunicipalVoteNo,$AC:$AC,Sheet1!S71_ItemType,$AD:$AD)</f>
        <v>0</v>
      </c>
      <c r="E149" s="712">
        <f>SUMIFS(Sheet1!S71_PYearAmount,Sheet1!S71_SubMunicipalVoteNo,$AC:$AC,Sheet1!S71_ItemType,$AD:$AD)</f>
        <v>0</v>
      </c>
      <c r="F149" s="725">
        <f>-SUMIFS(Sheet1!S71_OriginalBudAmnt,Sheet1!S71_SubMunicipalVoteNo,$AC:$AC,Sheet1!S71_ItemType,$AD:$AD)</f>
        <v>0</v>
      </c>
      <c r="G149" s="712">
        <f>-SUMIFS(Sheet1!S71_AdjustmentBudAmnt,Sheet1!S71_SubMunicipalVoteNo,$AC:$AC,Sheet1!S71_ItemType,$AD:$AD)</f>
        <v>0</v>
      </c>
      <c r="H149" s="713">
        <f>-SUMIFS(Sheet1!S71_AdjustmentBudAmnt,Sheet1!S71_SubMunicipalVoteNo,$AC:$AC,Sheet1!S71_ItemType,$AD:$AD)</f>
        <v>0</v>
      </c>
      <c r="I149" s="725">
        <f>-SUMIFS(Sheet1!S71_ASBudgetAmount,Sheet1!S71_SubMunicipalVoteNo,$AC:$AC,Sheet1!S71_ItemType,$AD:$AD)</f>
        <v>0</v>
      </c>
      <c r="J149" s="712">
        <f>-SUMIFS(Sheet1!S71_OY1BudgetAmount,Sheet1!S71_SubMunicipalVoteNo,$AC:$AC,Sheet1!S71_ItemType,$AD:$AD)</f>
        <v>0</v>
      </c>
      <c r="K149" s="713">
        <f>-SUMIFS(Sheet1!S71_OY2BudgetAmount,Sheet1!S71_SubMunicipalVoteNo,$AC:$AC,Sheet1!S71_ItemType,$AD:$AD)</f>
        <v>0</v>
      </c>
      <c r="L149" s="709"/>
      <c r="M149" s="710"/>
      <c r="N149" s="710"/>
      <c r="O149" s="710"/>
      <c r="P149" s="710"/>
      <c r="Q149" s="710"/>
      <c r="R149" s="710"/>
      <c r="S149" s="710"/>
      <c r="T149" s="710"/>
      <c r="U149" s="710"/>
      <c r="V149" s="710"/>
      <c r="W149" s="710"/>
      <c r="AC149" s="2312">
        <v>141</v>
      </c>
      <c r="AD149" s="2318" t="s">
        <v>2759</v>
      </c>
    </row>
    <row r="150" spans="1:30" ht="11.25" customHeight="1" x14ac:dyDescent="0.25">
      <c r="A150" s="136" t="str">
        <f>IF(RIGHT('Org structure'!D147,18)&lt;&gt;"[Name of sub-vote]",'Org structure'!D147,"")</f>
        <v/>
      </c>
      <c r="B150" s="144"/>
      <c r="C150" s="712">
        <f>SUMIFS(Sheet1!S71_PPPYearAmount,Sheet1!S71_SubMunicipalVoteNo,$AC:$AC,Sheet1!S71_ItemType,$AD:$AD)</f>
        <v>0</v>
      </c>
      <c r="D150" s="712">
        <f>SUMIFS(Sheet1!S71_PPYearAmount,Sheet1!S71_SubMunicipalVoteNo,$AC:$AC,Sheet1!S71_ItemType,$AD:$AD)</f>
        <v>0</v>
      </c>
      <c r="E150" s="712">
        <f>SUMIFS(Sheet1!S71_PYearAmount,Sheet1!S71_SubMunicipalVoteNo,$AC:$AC,Sheet1!S71_ItemType,$AD:$AD)</f>
        <v>0</v>
      </c>
      <c r="F150" s="725">
        <f>-SUMIFS(Sheet1!S71_OriginalBudAmnt,Sheet1!S71_SubMunicipalVoteNo,$AC:$AC,Sheet1!S71_ItemType,$AD:$AD)</f>
        <v>0</v>
      </c>
      <c r="G150" s="712">
        <f>-SUMIFS(Sheet1!S71_AdjustmentBudAmnt,Sheet1!S71_SubMunicipalVoteNo,$AC:$AC,Sheet1!S71_ItemType,$AD:$AD)</f>
        <v>0</v>
      </c>
      <c r="H150" s="713">
        <f>-SUMIFS(Sheet1!S71_AdjustmentBudAmnt,Sheet1!S71_SubMunicipalVoteNo,$AC:$AC,Sheet1!S71_ItemType,$AD:$AD)</f>
        <v>0</v>
      </c>
      <c r="I150" s="725">
        <f>-SUMIFS(Sheet1!S71_ASBudgetAmount,Sheet1!S71_SubMunicipalVoteNo,$AC:$AC,Sheet1!S71_ItemType,$AD:$AD)</f>
        <v>0</v>
      </c>
      <c r="J150" s="712">
        <f>-SUMIFS(Sheet1!S71_OY1BudgetAmount,Sheet1!S71_SubMunicipalVoteNo,$AC:$AC,Sheet1!S71_ItemType,$AD:$AD)</f>
        <v>0</v>
      </c>
      <c r="K150" s="713">
        <f>-SUMIFS(Sheet1!S71_OY2BudgetAmount,Sheet1!S71_SubMunicipalVoteNo,$AC:$AC,Sheet1!S71_ItemType,$AD:$AD)</f>
        <v>0</v>
      </c>
      <c r="L150" s="709"/>
      <c r="M150" s="710"/>
      <c r="N150" s="710"/>
      <c r="O150" s="710"/>
      <c r="P150" s="710"/>
      <c r="Q150" s="710"/>
      <c r="R150" s="710"/>
      <c r="S150" s="710"/>
      <c r="T150" s="710"/>
      <c r="U150" s="710"/>
      <c r="V150" s="710"/>
      <c r="W150" s="710"/>
      <c r="AC150" s="2312">
        <v>142</v>
      </c>
      <c r="AD150" s="2318" t="s">
        <v>2759</v>
      </c>
    </row>
    <row r="151" spans="1:30" ht="11.25" customHeight="1" x14ac:dyDescent="0.25">
      <c r="A151" s="136" t="str">
        <f>IF(RIGHT('Org structure'!D148,18)&lt;&gt;"[Name of sub-vote]",'Org structure'!D148,"")</f>
        <v/>
      </c>
      <c r="B151" s="144"/>
      <c r="C151" s="712">
        <f>SUMIFS(Sheet1!S71_PPPYearAmount,Sheet1!S71_SubMunicipalVoteNo,$AC:$AC,Sheet1!S71_ItemType,$AD:$AD)</f>
        <v>0</v>
      </c>
      <c r="D151" s="712">
        <f>SUMIFS(Sheet1!S71_PPYearAmount,Sheet1!S71_SubMunicipalVoteNo,$AC:$AC,Sheet1!S71_ItemType,$AD:$AD)</f>
        <v>0</v>
      </c>
      <c r="E151" s="712">
        <f>SUMIFS(Sheet1!S71_PYearAmount,Sheet1!S71_SubMunicipalVoteNo,$AC:$AC,Sheet1!S71_ItemType,$AD:$AD)</f>
        <v>0</v>
      </c>
      <c r="F151" s="725">
        <f>-SUMIFS(Sheet1!S71_OriginalBudAmnt,Sheet1!S71_SubMunicipalVoteNo,$AC:$AC,Sheet1!S71_ItemType,$AD:$AD)</f>
        <v>0</v>
      </c>
      <c r="G151" s="712">
        <f>-SUMIFS(Sheet1!S71_AdjustmentBudAmnt,Sheet1!S71_SubMunicipalVoteNo,$AC:$AC,Sheet1!S71_ItemType,$AD:$AD)</f>
        <v>0</v>
      </c>
      <c r="H151" s="713">
        <f>-SUMIFS(Sheet1!S71_AdjustmentBudAmnt,Sheet1!S71_SubMunicipalVoteNo,$AC:$AC,Sheet1!S71_ItemType,$AD:$AD)</f>
        <v>0</v>
      </c>
      <c r="I151" s="725">
        <f>-SUMIFS(Sheet1!S71_ASBudgetAmount,Sheet1!S71_SubMunicipalVoteNo,$AC:$AC,Sheet1!S71_ItemType,$AD:$AD)</f>
        <v>0</v>
      </c>
      <c r="J151" s="712">
        <f>-SUMIFS(Sheet1!S71_OY1BudgetAmount,Sheet1!S71_SubMunicipalVoteNo,$AC:$AC,Sheet1!S71_ItemType,$AD:$AD)</f>
        <v>0</v>
      </c>
      <c r="K151" s="713">
        <f>-SUMIFS(Sheet1!S71_OY2BudgetAmount,Sheet1!S71_SubMunicipalVoteNo,$AC:$AC,Sheet1!S71_ItemType,$AD:$AD)</f>
        <v>0</v>
      </c>
      <c r="L151" s="709"/>
      <c r="M151" s="710"/>
      <c r="N151" s="710"/>
      <c r="O151" s="710"/>
      <c r="P151" s="710"/>
      <c r="Q151" s="710"/>
      <c r="R151" s="710"/>
      <c r="S151" s="710"/>
      <c r="T151" s="710"/>
      <c r="U151" s="710"/>
      <c r="V151" s="710"/>
      <c r="W151" s="710"/>
      <c r="AC151" s="2312">
        <v>143</v>
      </c>
      <c r="AD151" s="2318" t="s">
        <v>2759</v>
      </c>
    </row>
    <row r="152" spans="1:30" ht="11.25" customHeight="1" x14ac:dyDescent="0.25">
      <c r="A152" s="136" t="str">
        <f>IF(RIGHT('Org structure'!D149,18)&lt;&gt;"[Name of sub-vote]",'Org structure'!D149,"")</f>
        <v/>
      </c>
      <c r="B152" s="144"/>
      <c r="C152" s="712">
        <f>SUMIFS(Sheet1!S71_PPPYearAmount,Sheet1!S71_SubMunicipalVoteNo,$AC:$AC,Sheet1!S71_ItemType,$AD:$AD)</f>
        <v>0</v>
      </c>
      <c r="D152" s="712">
        <f>SUMIFS(Sheet1!S71_PPYearAmount,Sheet1!S71_SubMunicipalVoteNo,$AC:$AC,Sheet1!S71_ItemType,$AD:$AD)</f>
        <v>0</v>
      </c>
      <c r="E152" s="712">
        <f>SUMIFS(Sheet1!S71_PYearAmount,Sheet1!S71_SubMunicipalVoteNo,$AC:$AC,Sheet1!S71_ItemType,$AD:$AD)</f>
        <v>0</v>
      </c>
      <c r="F152" s="725">
        <f>-SUMIFS(Sheet1!S71_OriginalBudAmnt,Sheet1!S71_SubMunicipalVoteNo,$AC:$AC,Sheet1!S71_ItemType,$AD:$AD)</f>
        <v>0</v>
      </c>
      <c r="G152" s="712">
        <f>-SUMIFS(Sheet1!S71_AdjustmentBudAmnt,Sheet1!S71_SubMunicipalVoteNo,$AC:$AC,Sheet1!S71_ItemType,$AD:$AD)</f>
        <v>0</v>
      </c>
      <c r="H152" s="713">
        <f>-SUMIFS(Sheet1!S71_AdjustmentBudAmnt,Sheet1!S71_SubMunicipalVoteNo,$AC:$AC,Sheet1!S71_ItemType,$AD:$AD)</f>
        <v>0</v>
      </c>
      <c r="I152" s="725">
        <f>-SUMIFS(Sheet1!S71_ASBudgetAmount,Sheet1!S71_SubMunicipalVoteNo,$AC:$AC,Sheet1!S71_ItemType,$AD:$AD)</f>
        <v>0</v>
      </c>
      <c r="J152" s="712">
        <f>-SUMIFS(Sheet1!S71_OY1BudgetAmount,Sheet1!S71_SubMunicipalVoteNo,$AC:$AC,Sheet1!S71_ItemType,$AD:$AD)</f>
        <v>0</v>
      </c>
      <c r="K152" s="713">
        <f>-SUMIFS(Sheet1!S71_OY2BudgetAmount,Sheet1!S71_SubMunicipalVoteNo,$AC:$AC,Sheet1!S71_ItemType,$AD:$AD)</f>
        <v>0</v>
      </c>
      <c r="L152" s="709"/>
      <c r="M152" s="710"/>
      <c r="N152" s="710"/>
      <c r="O152" s="710"/>
      <c r="P152" s="710"/>
      <c r="Q152" s="710"/>
      <c r="R152" s="710"/>
      <c r="S152" s="710"/>
      <c r="T152" s="710"/>
      <c r="U152" s="710"/>
      <c r="V152" s="710"/>
      <c r="W152" s="710"/>
      <c r="AC152" s="2312">
        <v>144</v>
      </c>
      <c r="AD152" s="2318" t="s">
        <v>2759</v>
      </c>
    </row>
    <row r="153" spans="1:30" ht="11.25" customHeight="1" x14ac:dyDescent="0.25">
      <c r="A153" s="136" t="str">
        <f>IF(RIGHT('Org structure'!D150,18)&lt;&gt;"[Name of sub-vote]",'Org structure'!D150,"")</f>
        <v/>
      </c>
      <c r="B153" s="144"/>
      <c r="C153" s="712">
        <f>SUMIFS(Sheet1!S71_PPPYearAmount,Sheet1!S71_SubMunicipalVoteNo,$AC:$AC,Sheet1!S71_ItemType,$AD:$AD)</f>
        <v>0</v>
      </c>
      <c r="D153" s="712">
        <f>SUMIFS(Sheet1!S71_PPYearAmount,Sheet1!S71_SubMunicipalVoteNo,$AC:$AC,Sheet1!S71_ItemType,$AD:$AD)</f>
        <v>0</v>
      </c>
      <c r="E153" s="712">
        <f>SUMIFS(Sheet1!S71_PYearAmount,Sheet1!S71_SubMunicipalVoteNo,$AC:$AC,Sheet1!S71_ItemType,$AD:$AD)</f>
        <v>0</v>
      </c>
      <c r="F153" s="725">
        <f>-SUMIFS(Sheet1!S71_OriginalBudAmnt,Sheet1!S71_SubMunicipalVoteNo,$AC:$AC,Sheet1!S71_ItemType,$AD:$AD)</f>
        <v>0</v>
      </c>
      <c r="G153" s="712">
        <f>-SUMIFS(Sheet1!S71_AdjustmentBudAmnt,Sheet1!S71_SubMunicipalVoteNo,$AC:$AC,Sheet1!S71_ItemType,$AD:$AD)</f>
        <v>0</v>
      </c>
      <c r="H153" s="713">
        <f>-SUMIFS(Sheet1!S71_AdjustmentBudAmnt,Sheet1!S71_SubMunicipalVoteNo,$AC:$AC,Sheet1!S71_ItemType,$AD:$AD)</f>
        <v>0</v>
      </c>
      <c r="I153" s="725">
        <f>-SUMIFS(Sheet1!S71_ASBudgetAmount,Sheet1!S71_SubMunicipalVoteNo,$AC:$AC,Sheet1!S71_ItemType,$AD:$AD)</f>
        <v>0</v>
      </c>
      <c r="J153" s="712">
        <f>-SUMIFS(Sheet1!S71_OY1BudgetAmount,Sheet1!S71_SubMunicipalVoteNo,$AC:$AC,Sheet1!S71_ItemType,$AD:$AD)</f>
        <v>0</v>
      </c>
      <c r="K153" s="713">
        <f>-SUMIFS(Sheet1!S71_OY2BudgetAmount,Sheet1!S71_SubMunicipalVoteNo,$AC:$AC,Sheet1!S71_ItemType,$AD:$AD)</f>
        <v>0</v>
      </c>
      <c r="L153" s="709"/>
      <c r="M153" s="710"/>
      <c r="N153" s="710"/>
      <c r="O153" s="710"/>
      <c r="P153" s="710"/>
      <c r="Q153" s="710"/>
      <c r="R153" s="710"/>
      <c r="S153" s="710"/>
      <c r="T153" s="710"/>
      <c r="U153" s="710"/>
      <c r="V153" s="710"/>
      <c r="W153" s="710"/>
      <c r="AC153" s="2312">
        <v>145</v>
      </c>
      <c r="AD153" s="2318" t="s">
        <v>2759</v>
      </c>
    </row>
    <row r="154" spans="1:30" ht="11.25" customHeight="1" x14ac:dyDescent="0.25">
      <c r="A154" s="136" t="str">
        <f>IF(RIGHT('Org structure'!D151,18)&lt;&gt;"[Name of sub-vote]",'Org structure'!D151,"")</f>
        <v/>
      </c>
      <c r="B154" s="144"/>
      <c r="C154" s="712">
        <f>SUMIFS(Sheet1!S71_PPPYearAmount,Sheet1!S71_SubMunicipalVoteNo,$AC:$AC,Sheet1!S71_ItemType,$AD:$AD)</f>
        <v>0</v>
      </c>
      <c r="D154" s="712">
        <f>SUMIFS(Sheet1!S71_PPYearAmount,Sheet1!S71_SubMunicipalVoteNo,$AC:$AC,Sheet1!S71_ItemType,$AD:$AD)</f>
        <v>0</v>
      </c>
      <c r="E154" s="712">
        <f>SUMIFS(Sheet1!S71_PYearAmount,Sheet1!S71_SubMunicipalVoteNo,$AC:$AC,Sheet1!S71_ItemType,$AD:$AD)</f>
        <v>0</v>
      </c>
      <c r="F154" s="725">
        <f>-SUMIFS(Sheet1!S71_OriginalBudAmnt,Sheet1!S71_SubMunicipalVoteNo,$AC:$AC,Sheet1!S71_ItemType,$AD:$AD)</f>
        <v>0</v>
      </c>
      <c r="G154" s="712">
        <f>-SUMIFS(Sheet1!S71_AdjustmentBudAmnt,Sheet1!S71_SubMunicipalVoteNo,$AC:$AC,Sheet1!S71_ItemType,$AD:$AD)</f>
        <v>0</v>
      </c>
      <c r="H154" s="713">
        <f>-SUMIFS(Sheet1!S71_AdjustmentBudAmnt,Sheet1!S71_SubMunicipalVoteNo,$AC:$AC,Sheet1!S71_ItemType,$AD:$AD)</f>
        <v>0</v>
      </c>
      <c r="I154" s="725">
        <f>-SUMIFS(Sheet1!S71_ASBudgetAmount,Sheet1!S71_SubMunicipalVoteNo,$AC:$AC,Sheet1!S71_ItemType,$AD:$AD)</f>
        <v>0</v>
      </c>
      <c r="J154" s="712">
        <f>-SUMIFS(Sheet1!S71_OY1BudgetAmount,Sheet1!S71_SubMunicipalVoteNo,$AC:$AC,Sheet1!S71_ItemType,$AD:$AD)</f>
        <v>0</v>
      </c>
      <c r="K154" s="713">
        <f>-SUMIFS(Sheet1!S71_OY2BudgetAmount,Sheet1!S71_SubMunicipalVoteNo,$AC:$AC,Sheet1!S71_ItemType,$AD:$AD)</f>
        <v>0</v>
      </c>
      <c r="L154" s="709"/>
      <c r="M154" s="710"/>
      <c r="N154" s="710"/>
      <c r="O154" s="710"/>
      <c r="P154" s="710"/>
      <c r="Q154" s="710"/>
      <c r="R154" s="710"/>
      <c r="S154" s="710"/>
      <c r="T154" s="710"/>
      <c r="U154" s="710"/>
      <c r="V154" s="710"/>
      <c r="W154" s="710"/>
      <c r="AC154" s="2312">
        <v>146</v>
      </c>
      <c r="AD154" s="2318" t="s">
        <v>2759</v>
      </c>
    </row>
    <row r="155" spans="1:30" ht="11.25" customHeight="1" x14ac:dyDescent="0.25">
      <c r="A155" s="136" t="str">
        <f>IF(RIGHT('Org structure'!D152,18)&lt;&gt;"[Name of sub-vote]",'Org structure'!D152,"")</f>
        <v/>
      </c>
      <c r="B155" s="144"/>
      <c r="C155" s="712">
        <f>SUMIFS(Sheet1!S71_PPPYearAmount,Sheet1!S71_SubMunicipalVoteNo,$AC:$AC,Sheet1!S71_ItemType,$AD:$AD)</f>
        <v>0</v>
      </c>
      <c r="D155" s="712">
        <f>SUMIFS(Sheet1!S71_PPYearAmount,Sheet1!S71_SubMunicipalVoteNo,$AC:$AC,Sheet1!S71_ItemType,$AD:$AD)</f>
        <v>0</v>
      </c>
      <c r="E155" s="712">
        <f>SUMIFS(Sheet1!S71_PYearAmount,Sheet1!S71_SubMunicipalVoteNo,$AC:$AC,Sheet1!S71_ItemType,$AD:$AD)</f>
        <v>0</v>
      </c>
      <c r="F155" s="725">
        <f>-SUMIFS(Sheet1!S71_OriginalBudAmnt,Sheet1!S71_SubMunicipalVoteNo,$AC:$AC,Sheet1!S71_ItemType,$AD:$AD)</f>
        <v>0</v>
      </c>
      <c r="G155" s="712">
        <f>-SUMIFS(Sheet1!S71_AdjustmentBudAmnt,Sheet1!S71_SubMunicipalVoteNo,$AC:$AC,Sheet1!S71_ItemType,$AD:$AD)</f>
        <v>0</v>
      </c>
      <c r="H155" s="713">
        <f>-SUMIFS(Sheet1!S71_AdjustmentBudAmnt,Sheet1!S71_SubMunicipalVoteNo,$AC:$AC,Sheet1!S71_ItemType,$AD:$AD)</f>
        <v>0</v>
      </c>
      <c r="I155" s="725">
        <f>-SUMIFS(Sheet1!S71_ASBudgetAmount,Sheet1!S71_SubMunicipalVoteNo,$AC:$AC,Sheet1!S71_ItemType,$AD:$AD)</f>
        <v>0</v>
      </c>
      <c r="J155" s="712">
        <f>-SUMIFS(Sheet1!S71_OY1BudgetAmount,Sheet1!S71_SubMunicipalVoteNo,$AC:$AC,Sheet1!S71_ItemType,$AD:$AD)</f>
        <v>0</v>
      </c>
      <c r="K155" s="713">
        <f>-SUMIFS(Sheet1!S71_OY2BudgetAmount,Sheet1!S71_SubMunicipalVoteNo,$AC:$AC,Sheet1!S71_ItemType,$AD:$AD)</f>
        <v>0</v>
      </c>
      <c r="L155" s="709"/>
      <c r="M155" s="710"/>
      <c r="N155" s="710"/>
      <c r="O155" s="710"/>
      <c r="P155" s="710"/>
      <c r="Q155" s="710"/>
      <c r="R155" s="710"/>
      <c r="S155" s="710"/>
      <c r="T155" s="710"/>
      <c r="U155" s="710"/>
      <c r="V155" s="710"/>
      <c r="W155" s="710"/>
      <c r="AC155" s="2312">
        <v>147</v>
      </c>
      <c r="AD155" s="2318" t="s">
        <v>2759</v>
      </c>
    </row>
    <row r="156" spans="1:30" ht="11.25" customHeight="1" x14ac:dyDescent="0.25">
      <c r="A156" s="136" t="str">
        <f>IF(RIGHT('Org structure'!D153,18)&lt;&gt;"[Name of sub-vote]",'Org structure'!D153,"")</f>
        <v/>
      </c>
      <c r="B156" s="144"/>
      <c r="C156" s="712">
        <f>SUMIFS(Sheet1!S71_PPPYearAmount,Sheet1!S71_SubMunicipalVoteNo,$AC:$AC,Sheet1!S71_ItemType,$AD:$AD)</f>
        <v>0</v>
      </c>
      <c r="D156" s="712">
        <f>SUMIFS(Sheet1!S71_PPYearAmount,Sheet1!S71_SubMunicipalVoteNo,$AC:$AC,Sheet1!S71_ItemType,$AD:$AD)</f>
        <v>0</v>
      </c>
      <c r="E156" s="712">
        <f>SUMIFS(Sheet1!S71_PYearAmount,Sheet1!S71_SubMunicipalVoteNo,$AC:$AC,Sheet1!S71_ItemType,$AD:$AD)</f>
        <v>0</v>
      </c>
      <c r="F156" s="725">
        <f>-SUMIFS(Sheet1!S71_OriginalBudAmnt,Sheet1!S71_SubMunicipalVoteNo,$AC:$AC,Sheet1!S71_ItemType,$AD:$AD)</f>
        <v>0</v>
      </c>
      <c r="G156" s="712">
        <f>-SUMIFS(Sheet1!S71_AdjustmentBudAmnt,Sheet1!S71_SubMunicipalVoteNo,$AC:$AC,Sheet1!S71_ItemType,$AD:$AD)</f>
        <v>0</v>
      </c>
      <c r="H156" s="713">
        <f>-SUMIFS(Sheet1!S71_AdjustmentBudAmnt,Sheet1!S71_SubMunicipalVoteNo,$AC:$AC,Sheet1!S71_ItemType,$AD:$AD)</f>
        <v>0</v>
      </c>
      <c r="I156" s="725">
        <f>-SUMIFS(Sheet1!S71_ASBudgetAmount,Sheet1!S71_SubMunicipalVoteNo,$AC:$AC,Sheet1!S71_ItemType,$AD:$AD)</f>
        <v>0</v>
      </c>
      <c r="J156" s="712">
        <f>-SUMIFS(Sheet1!S71_OY1BudgetAmount,Sheet1!S71_SubMunicipalVoteNo,$AC:$AC,Sheet1!S71_ItemType,$AD:$AD)</f>
        <v>0</v>
      </c>
      <c r="K156" s="713">
        <f>-SUMIFS(Sheet1!S71_OY2BudgetAmount,Sheet1!S71_SubMunicipalVoteNo,$AC:$AC,Sheet1!S71_ItemType,$AD:$AD)</f>
        <v>0</v>
      </c>
      <c r="L156" s="709"/>
      <c r="M156" s="710"/>
      <c r="N156" s="710"/>
      <c r="O156" s="710"/>
      <c r="P156" s="710"/>
      <c r="Q156" s="710"/>
      <c r="R156" s="710"/>
      <c r="S156" s="710"/>
      <c r="T156" s="710"/>
      <c r="U156" s="710"/>
      <c r="V156" s="710"/>
      <c r="W156" s="710"/>
      <c r="AC156" s="2312">
        <v>148</v>
      </c>
      <c r="AD156" s="2318" t="s">
        <v>2759</v>
      </c>
    </row>
    <row r="157" spans="1:30" ht="11.25" customHeight="1" x14ac:dyDescent="0.25">
      <c r="A157" s="136" t="str">
        <f>IF(RIGHT('Org structure'!D154,18)&lt;&gt;"[Name of sub-vote]",'Org structure'!D154,"")</f>
        <v/>
      </c>
      <c r="B157" s="144"/>
      <c r="C157" s="712">
        <f>SUMIFS(Sheet1!S71_PPPYearAmount,Sheet1!S71_SubMunicipalVoteNo,$AC:$AC,Sheet1!S71_ItemType,$AD:$AD)</f>
        <v>0</v>
      </c>
      <c r="D157" s="712">
        <f>SUMIFS(Sheet1!S71_PPYearAmount,Sheet1!S71_SubMunicipalVoteNo,$AC:$AC,Sheet1!S71_ItemType,$AD:$AD)</f>
        <v>0</v>
      </c>
      <c r="E157" s="712">
        <f>SUMIFS(Sheet1!S71_PYearAmount,Sheet1!S71_SubMunicipalVoteNo,$AC:$AC,Sheet1!S71_ItemType,$AD:$AD)</f>
        <v>0</v>
      </c>
      <c r="F157" s="725">
        <f>-SUMIFS(Sheet1!S71_OriginalBudAmnt,Sheet1!S71_SubMunicipalVoteNo,$AC:$AC,Sheet1!S71_ItemType,$AD:$AD)</f>
        <v>0</v>
      </c>
      <c r="G157" s="712">
        <f>-SUMIFS(Sheet1!S71_AdjustmentBudAmnt,Sheet1!S71_SubMunicipalVoteNo,$AC:$AC,Sheet1!S71_ItemType,$AD:$AD)</f>
        <v>0</v>
      </c>
      <c r="H157" s="713">
        <f>-SUMIFS(Sheet1!S71_AdjustmentBudAmnt,Sheet1!S71_SubMunicipalVoteNo,$AC:$AC,Sheet1!S71_ItemType,$AD:$AD)</f>
        <v>0</v>
      </c>
      <c r="I157" s="725">
        <f>-SUMIFS(Sheet1!S71_ASBudgetAmount,Sheet1!S71_SubMunicipalVoteNo,$AC:$AC,Sheet1!S71_ItemType,$AD:$AD)</f>
        <v>0</v>
      </c>
      <c r="J157" s="712">
        <f>-SUMIFS(Sheet1!S71_OY1BudgetAmount,Sheet1!S71_SubMunicipalVoteNo,$AC:$AC,Sheet1!S71_ItemType,$AD:$AD)</f>
        <v>0</v>
      </c>
      <c r="K157" s="713">
        <f>-SUMIFS(Sheet1!S71_OY2BudgetAmount,Sheet1!S71_SubMunicipalVoteNo,$AC:$AC,Sheet1!S71_ItemType,$AD:$AD)</f>
        <v>0</v>
      </c>
      <c r="L157" s="709"/>
      <c r="M157" s="710"/>
      <c r="N157" s="710"/>
      <c r="O157" s="710"/>
      <c r="P157" s="710"/>
      <c r="Q157" s="710"/>
      <c r="R157" s="710"/>
      <c r="S157" s="710"/>
      <c r="T157" s="710"/>
      <c r="U157" s="710"/>
      <c r="V157" s="710"/>
      <c r="W157" s="710"/>
      <c r="AC157" s="2312">
        <v>149</v>
      </c>
      <c r="AD157" s="2318" t="s">
        <v>2759</v>
      </c>
    </row>
    <row r="158" spans="1:30" ht="11.25" customHeight="1" x14ac:dyDescent="0.25">
      <c r="A158" s="136" t="str">
        <f>IF(RIGHT('Org structure'!D155,18)&lt;&gt;"[Name of sub-vote]",'Org structure'!D155,"")</f>
        <v/>
      </c>
      <c r="B158" s="144"/>
      <c r="C158" s="712">
        <f>SUMIFS(Sheet1!S71_PPPYearAmount,Sheet1!S71_SubMunicipalVoteNo,$AC:$AC,Sheet1!S71_ItemType,$AD:$AD)</f>
        <v>0</v>
      </c>
      <c r="D158" s="712">
        <f>SUMIFS(Sheet1!S71_PPYearAmount,Sheet1!S71_SubMunicipalVoteNo,$AC:$AC,Sheet1!S71_ItemType,$AD:$AD)</f>
        <v>0</v>
      </c>
      <c r="E158" s="712">
        <f>SUMIFS(Sheet1!S71_PYearAmount,Sheet1!S71_SubMunicipalVoteNo,$AC:$AC,Sheet1!S71_ItemType,$AD:$AD)</f>
        <v>0</v>
      </c>
      <c r="F158" s="725">
        <f>-SUMIFS(Sheet1!S71_OriginalBudAmnt,Sheet1!S71_SubMunicipalVoteNo,$AC:$AC,Sheet1!S71_ItemType,$AD:$AD)</f>
        <v>0</v>
      </c>
      <c r="G158" s="712">
        <f>-SUMIFS(Sheet1!S71_AdjustmentBudAmnt,Sheet1!S71_SubMunicipalVoteNo,$AC:$AC,Sheet1!S71_ItemType,$AD:$AD)</f>
        <v>0</v>
      </c>
      <c r="H158" s="713">
        <f>-SUMIFS(Sheet1!S71_AdjustmentBudAmnt,Sheet1!S71_SubMunicipalVoteNo,$AC:$AC,Sheet1!S71_ItemType,$AD:$AD)</f>
        <v>0</v>
      </c>
      <c r="I158" s="725">
        <f>-SUMIFS(Sheet1!S71_ASBudgetAmount,Sheet1!S71_SubMunicipalVoteNo,$AC:$AC,Sheet1!S71_ItemType,$AD:$AD)</f>
        <v>0</v>
      </c>
      <c r="J158" s="712">
        <f>-SUMIFS(Sheet1!S71_OY1BudgetAmount,Sheet1!S71_SubMunicipalVoteNo,$AC:$AC,Sheet1!S71_ItemType,$AD:$AD)</f>
        <v>0</v>
      </c>
      <c r="K158" s="713">
        <f>-SUMIFS(Sheet1!S71_OY2BudgetAmount,Sheet1!S71_SubMunicipalVoteNo,$AC:$AC,Sheet1!S71_ItemType,$AD:$AD)</f>
        <v>0</v>
      </c>
      <c r="L158" s="709"/>
      <c r="M158" s="710"/>
      <c r="N158" s="710"/>
      <c r="O158" s="710"/>
      <c r="P158" s="710"/>
      <c r="Q158" s="710"/>
      <c r="R158" s="710"/>
      <c r="S158" s="710"/>
      <c r="T158" s="710"/>
      <c r="U158" s="710"/>
      <c r="V158" s="710"/>
      <c r="W158" s="710"/>
      <c r="AC158" s="2312">
        <v>1410</v>
      </c>
      <c r="AD158" s="2318" t="s">
        <v>2759</v>
      </c>
    </row>
    <row r="159" spans="1:30" ht="15" customHeight="1" x14ac:dyDescent="0.25">
      <c r="A159" s="392" t="str">
        <f>'Org structure'!A16</f>
        <v>Vote 15 - Health</v>
      </c>
      <c r="B159" s="144"/>
      <c r="C159" s="212">
        <f>SUM(C160:C169)</f>
        <v>0</v>
      </c>
      <c r="D159" s="212">
        <f t="shared" ref="D159:K159" si="14">SUM(D160:D169)</f>
        <v>0</v>
      </c>
      <c r="E159" s="213">
        <f t="shared" si="14"/>
        <v>0</v>
      </c>
      <c r="F159" s="214">
        <f t="shared" si="14"/>
        <v>0</v>
      </c>
      <c r="G159" s="212">
        <f t="shared" si="14"/>
        <v>0</v>
      </c>
      <c r="H159" s="215">
        <f t="shared" si="14"/>
        <v>0</v>
      </c>
      <c r="I159" s="216">
        <f t="shared" si="14"/>
        <v>0</v>
      </c>
      <c r="J159" s="212">
        <f t="shared" si="14"/>
        <v>0</v>
      </c>
      <c r="K159" s="213">
        <f t="shared" si="14"/>
        <v>0</v>
      </c>
      <c r="L159" s="709"/>
      <c r="M159" s="710"/>
      <c r="N159" s="710"/>
      <c r="O159" s="710"/>
      <c r="P159" s="710"/>
      <c r="Q159" s="710"/>
      <c r="R159" s="710"/>
      <c r="S159" s="710"/>
      <c r="T159" s="710"/>
      <c r="U159" s="710"/>
      <c r="V159" s="710"/>
      <c r="W159" s="710"/>
      <c r="AD159" s="2315"/>
    </row>
    <row r="160" spans="1:30" ht="11.25" customHeight="1" x14ac:dyDescent="0.25">
      <c r="A160" s="136" t="str">
        <f>IF(RIGHT('Org structure'!D157,18)&lt;&gt;"[Name of sub-vote]",'Org structure'!D157,"")</f>
        <v>15.1 - Health Services</v>
      </c>
      <c r="B160" s="144"/>
      <c r="C160" s="712">
        <f>SUMIFS(Sheet1!S71_PPPYearAmount,Sheet1!S71_SubMunicipalVoteNo,$AC:$AC,Sheet1!S71_ItemType,$AD:$AD)</f>
        <v>0</v>
      </c>
      <c r="D160" s="712">
        <f>SUMIFS(Sheet1!S71_PPYearAmount,Sheet1!S71_SubMunicipalVoteNo,$AC:$AC,Sheet1!S71_ItemType,$AD:$AD)</f>
        <v>0</v>
      </c>
      <c r="E160" s="712">
        <f>SUMIFS(Sheet1!S71_PYearAmount,Sheet1!S71_SubMunicipalVoteNo,$AC:$AC,Sheet1!S71_ItemType,$AD:$AD)</f>
        <v>0</v>
      </c>
      <c r="F160" s="725">
        <f>-SUMIFS(Sheet1!S71_OriginalBudAmnt,Sheet1!S71_SubMunicipalVoteNo,$AC:$AC,Sheet1!S71_ItemType,$AD:$AD)</f>
        <v>0</v>
      </c>
      <c r="G160" s="712">
        <f>-SUMIFS(Sheet1!S71_AdjustmentBudAmnt,Sheet1!S71_SubMunicipalVoteNo,$AC:$AC,Sheet1!S71_ItemType,$AD:$AD)</f>
        <v>0</v>
      </c>
      <c r="H160" s="713">
        <f>-SUMIFS(Sheet1!S71_AdjustmentBudAmnt,Sheet1!S71_SubMunicipalVoteNo,$AC:$AC,Sheet1!S71_ItemType,$AD:$AD)</f>
        <v>0</v>
      </c>
      <c r="I160" s="725">
        <f>-SUMIFS(Sheet1!S71_ASBudgetAmount,Sheet1!S71_SubMunicipalVoteNo,$AC:$AC,Sheet1!S71_ItemType,$AD:$AD)</f>
        <v>0</v>
      </c>
      <c r="J160" s="712">
        <f>-SUMIFS(Sheet1!S71_OY1BudgetAmount,Sheet1!S71_SubMunicipalVoteNo,$AC:$AC,Sheet1!S71_ItemType,$AD:$AD)</f>
        <v>0</v>
      </c>
      <c r="K160" s="713">
        <f>-SUMIFS(Sheet1!S71_OY2BudgetAmount,Sheet1!S71_SubMunicipalVoteNo,$AC:$AC,Sheet1!S71_ItemType,$AD:$AD)</f>
        <v>0</v>
      </c>
      <c r="L160" s="709"/>
      <c r="M160" s="710"/>
      <c r="N160" s="710"/>
      <c r="O160" s="710"/>
      <c r="P160" s="710"/>
      <c r="Q160" s="710"/>
      <c r="R160" s="710"/>
      <c r="S160" s="710"/>
      <c r="T160" s="710"/>
      <c r="U160" s="710"/>
      <c r="V160" s="710"/>
      <c r="W160" s="710"/>
      <c r="AC160" s="2312">
        <v>151</v>
      </c>
      <c r="AD160" s="2318" t="s">
        <v>2759</v>
      </c>
    </row>
    <row r="161" spans="1:30" ht="11.25" customHeight="1" x14ac:dyDescent="0.25">
      <c r="A161" s="136" t="str">
        <f>IF(RIGHT('Org structure'!D158,18)&lt;&gt;"[Name of sub-vote]",'Org structure'!D158,"")</f>
        <v/>
      </c>
      <c r="B161" s="144"/>
      <c r="C161" s="712">
        <f>SUMIFS(Sheet1!S71_PPPYearAmount,Sheet1!S71_SubMunicipalVoteNo,$AC:$AC,Sheet1!S71_ItemType,$AD:$AD)</f>
        <v>0</v>
      </c>
      <c r="D161" s="712">
        <f>SUMIFS(Sheet1!S71_PPYearAmount,Sheet1!S71_SubMunicipalVoteNo,$AC:$AC,Sheet1!S71_ItemType,$AD:$AD)</f>
        <v>0</v>
      </c>
      <c r="E161" s="712">
        <f>SUMIFS(Sheet1!S71_PYearAmount,Sheet1!S71_SubMunicipalVoteNo,$AC:$AC,Sheet1!S71_ItemType,$AD:$AD)</f>
        <v>0</v>
      </c>
      <c r="F161" s="725">
        <f>-SUMIFS(Sheet1!S71_OriginalBudAmnt,Sheet1!S71_SubMunicipalVoteNo,$AC:$AC,Sheet1!S71_ItemType,$AD:$AD)</f>
        <v>0</v>
      </c>
      <c r="G161" s="712">
        <f>-SUMIFS(Sheet1!S71_AdjustmentBudAmnt,Sheet1!S71_SubMunicipalVoteNo,$AC:$AC,Sheet1!S71_ItemType,$AD:$AD)</f>
        <v>0</v>
      </c>
      <c r="H161" s="713">
        <f>-SUMIFS(Sheet1!S71_AdjustmentBudAmnt,Sheet1!S71_SubMunicipalVoteNo,$AC:$AC,Sheet1!S71_ItemType,$AD:$AD)</f>
        <v>0</v>
      </c>
      <c r="I161" s="725">
        <f>-SUMIFS(Sheet1!S71_ASBudgetAmount,Sheet1!S71_SubMunicipalVoteNo,$AC:$AC,Sheet1!S71_ItemType,$AD:$AD)</f>
        <v>0</v>
      </c>
      <c r="J161" s="712">
        <f>-SUMIFS(Sheet1!S71_OY1BudgetAmount,Sheet1!S71_SubMunicipalVoteNo,$AC:$AC,Sheet1!S71_ItemType,$AD:$AD)</f>
        <v>0</v>
      </c>
      <c r="K161" s="713">
        <f>-SUMIFS(Sheet1!S71_OY2BudgetAmount,Sheet1!S71_SubMunicipalVoteNo,$AC:$AC,Sheet1!S71_ItemType,$AD:$AD)</f>
        <v>0</v>
      </c>
      <c r="L161" s="709"/>
      <c r="M161" s="710"/>
      <c r="N161" s="710"/>
      <c r="O161" s="710"/>
      <c r="P161" s="710"/>
      <c r="Q161" s="710"/>
      <c r="R161" s="710"/>
      <c r="S161" s="710"/>
      <c r="T161" s="710"/>
      <c r="U161" s="710"/>
      <c r="V161" s="710"/>
      <c r="W161" s="710"/>
      <c r="AC161" s="2312">
        <v>152</v>
      </c>
      <c r="AD161" s="2318" t="s">
        <v>2759</v>
      </c>
    </row>
    <row r="162" spans="1:30" ht="11.25" customHeight="1" x14ac:dyDescent="0.25">
      <c r="A162" s="136" t="str">
        <f>IF(RIGHT('Org structure'!D159,18)&lt;&gt;"[Name of sub-vote]",'Org structure'!D159,"")</f>
        <v/>
      </c>
      <c r="B162" s="144"/>
      <c r="C162" s="712">
        <f>SUMIFS(Sheet1!S71_PPPYearAmount,Sheet1!S71_SubMunicipalVoteNo,$AC:$AC,Sheet1!S71_ItemType,$AD:$AD)</f>
        <v>0</v>
      </c>
      <c r="D162" s="712">
        <f>SUMIFS(Sheet1!S71_PPYearAmount,Sheet1!S71_SubMunicipalVoteNo,$AC:$AC,Sheet1!S71_ItemType,$AD:$AD)</f>
        <v>0</v>
      </c>
      <c r="E162" s="712">
        <f>SUMIFS(Sheet1!S71_PYearAmount,Sheet1!S71_SubMunicipalVoteNo,$AC:$AC,Sheet1!S71_ItemType,$AD:$AD)</f>
        <v>0</v>
      </c>
      <c r="F162" s="725">
        <f>-SUMIFS(Sheet1!S71_OriginalBudAmnt,Sheet1!S71_SubMunicipalVoteNo,$AC:$AC,Sheet1!S71_ItemType,$AD:$AD)</f>
        <v>0</v>
      </c>
      <c r="G162" s="712">
        <f>-SUMIFS(Sheet1!S71_AdjustmentBudAmnt,Sheet1!S71_SubMunicipalVoteNo,$AC:$AC,Sheet1!S71_ItemType,$AD:$AD)</f>
        <v>0</v>
      </c>
      <c r="H162" s="713">
        <f>-SUMIFS(Sheet1!S71_AdjustmentBudAmnt,Sheet1!S71_SubMunicipalVoteNo,$AC:$AC,Sheet1!S71_ItemType,$AD:$AD)</f>
        <v>0</v>
      </c>
      <c r="I162" s="725">
        <f>-SUMIFS(Sheet1!S71_ASBudgetAmount,Sheet1!S71_SubMunicipalVoteNo,$AC:$AC,Sheet1!S71_ItemType,$AD:$AD)</f>
        <v>0</v>
      </c>
      <c r="J162" s="712">
        <f>-SUMIFS(Sheet1!S71_OY1BudgetAmount,Sheet1!S71_SubMunicipalVoteNo,$AC:$AC,Sheet1!S71_ItemType,$AD:$AD)</f>
        <v>0</v>
      </c>
      <c r="K162" s="713">
        <f>-SUMIFS(Sheet1!S71_OY2BudgetAmount,Sheet1!S71_SubMunicipalVoteNo,$AC:$AC,Sheet1!S71_ItemType,$AD:$AD)</f>
        <v>0</v>
      </c>
      <c r="L162" s="709"/>
      <c r="M162" s="710"/>
      <c r="N162" s="710"/>
      <c r="O162" s="710"/>
      <c r="P162" s="710"/>
      <c r="Q162" s="710"/>
      <c r="R162" s="710"/>
      <c r="S162" s="710"/>
      <c r="T162" s="710"/>
      <c r="U162" s="710"/>
      <c r="V162" s="710"/>
      <c r="W162" s="710"/>
      <c r="AC162" s="2312">
        <v>153</v>
      </c>
      <c r="AD162" s="2318" t="s">
        <v>2759</v>
      </c>
    </row>
    <row r="163" spans="1:30" ht="11.25" customHeight="1" x14ac:dyDescent="0.25">
      <c r="A163" s="136" t="str">
        <f>IF(RIGHT('Org structure'!D160,18)&lt;&gt;"[Name of sub-vote]",'Org structure'!D160,"")</f>
        <v/>
      </c>
      <c r="B163" s="144"/>
      <c r="C163" s="712">
        <f>SUMIFS(Sheet1!S71_PPPYearAmount,Sheet1!S71_SubMunicipalVoteNo,$AC:$AC,Sheet1!S71_ItemType,$AD:$AD)</f>
        <v>0</v>
      </c>
      <c r="D163" s="712">
        <f>SUMIFS(Sheet1!S71_PPYearAmount,Sheet1!S71_SubMunicipalVoteNo,$AC:$AC,Sheet1!S71_ItemType,$AD:$AD)</f>
        <v>0</v>
      </c>
      <c r="E163" s="712">
        <f>SUMIFS(Sheet1!S71_PYearAmount,Sheet1!S71_SubMunicipalVoteNo,$AC:$AC,Sheet1!S71_ItemType,$AD:$AD)</f>
        <v>0</v>
      </c>
      <c r="F163" s="725">
        <f>-SUMIFS(Sheet1!S71_OriginalBudAmnt,Sheet1!S71_SubMunicipalVoteNo,$AC:$AC,Sheet1!S71_ItemType,$AD:$AD)</f>
        <v>0</v>
      </c>
      <c r="G163" s="712">
        <f>-SUMIFS(Sheet1!S71_AdjustmentBudAmnt,Sheet1!S71_SubMunicipalVoteNo,$AC:$AC,Sheet1!S71_ItemType,$AD:$AD)</f>
        <v>0</v>
      </c>
      <c r="H163" s="713">
        <f>-SUMIFS(Sheet1!S71_AdjustmentBudAmnt,Sheet1!S71_SubMunicipalVoteNo,$AC:$AC,Sheet1!S71_ItemType,$AD:$AD)</f>
        <v>0</v>
      </c>
      <c r="I163" s="725">
        <f>-SUMIFS(Sheet1!S71_ASBudgetAmount,Sheet1!S71_SubMunicipalVoteNo,$AC:$AC,Sheet1!S71_ItemType,$AD:$AD)</f>
        <v>0</v>
      </c>
      <c r="J163" s="712">
        <f>-SUMIFS(Sheet1!S71_OY1BudgetAmount,Sheet1!S71_SubMunicipalVoteNo,$AC:$AC,Sheet1!S71_ItemType,$AD:$AD)</f>
        <v>0</v>
      </c>
      <c r="K163" s="713">
        <f>-SUMIFS(Sheet1!S71_OY2BudgetAmount,Sheet1!S71_SubMunicipalVoteNo,$AC:$AC,Sheet1!S71_ItemType,$AD:$AD)</f>
        <v>0</v>
      </c>
      <c r="L163" s="709"/>
      <c r="M163" s="710"/>
      <c r="N163" s="710"/>
      <c r="O163" s="710"/>
      <c r="P163" s="710"/>
      <c r="Q163" s="710"/>
      <c r="R163" s="710"/>
      <c r="S163" s="710"/>
      <c r="T163" s="710"/>
      <c r="U163" s="710"/>
      <c r="V163" s="710"/>
      <c r="W163" s="710"/>
      <c r="AC163" s="2312">
        <v>154</v>
      </c>
      <c r="AD163" s="2318" t="s">
        <v>2759</v>
      </c>
    </row>
    <row r="164" spans="1:30" ht="11.25" customHeight="1" x14ac:dyDescent="0.25">
      <c r="A164" s="136" t="str">
        <f>IF(RIGHT('Org structure'!D161,18)&lt;&gt;"[Name of sub-vote]",'Org structure'!D161,"")</f>
        <v/>
      </c>
      <c r="B164" s="144"/>
      <c r="C164" s="712">
        <f>SUMIFS(Sheet1!S71_PPPYearAmount,Sheet1!S71_SubMunicipalVoteNo,$AC:$AC,Sheet1!S71_ItemType,$AD:$AD)</f>
        <v>0</v>
      </c>
      <c r="D164" s="712">
        <f>SUMIFS(Sheet1!S71_PPYearAmount,Sheet1!S71_SubMunicipalVoteNo,$AC:$AC,Sheet1!S71_ItemType,$AD:$AD)</f>
        <v>0</v>
      </c>
      <c r="E164" s="712">
        <f>SUMIFS(Sheet1!S71_PYearAmount,Sheet1!S71_SubMunicipalVoteNo,$AC:$AC,Sheet1!S71_ItemType,$AD:$AD)</f>
        <v>0</v>
      </c>
      <c r="F164" s="725">
        <f>-SUMIFS(Sheet1!S71_OriginalBudAmnt,Sheet1!S71_SubMunicipalVoteNo,$AC:$AC,Sheet1!S71_ItemType,$AD:$AD)</f>
        <v>0</v>
      </c>
      <c r="G164" s="712">
        <f>-SUMIFS(Sheet1!S71_AdjustmentBudAmnt,Sheet1!S71_SubMunicipalVoteNo,$AC:$AC,Sheet1!S71_ItemType,$AD:$AD)</f>
        <v>0</v>
      </c>
      <c r="H164" s="713">
        <f>-SUMIFS(Sheet1!S71_AdjustmentBudAmnt,Sheet1!S71_SubMunicipalVoteNo,$AC:$AC,Sheet1!S71_ItemType,$AD:$AD)</f>
        <v>0</v>
      </c>
      <c r="I164" s="725">
        <f>-SUMIFS(Sheet1!S71_ASBudgetAmount,Sheet1!S71_SubMunicipalVoteNo,$AC:$AC,Sheet1!S71_ItemType,$AD:$AD)</f>
        <v>0</v>
      </c>
      <c r="J164" s="712">
        <f>-SUMIFS(Sheet1!S71_OY1BudgetAmount,Sheet1!S71_SubMunicipalVoteNo,$AC:$AC,Sheet1!S71_ItemType,$AD:$AD)</f>
        <v>0</v>
      </c>
      <c r="K164" s="713">
        <f>-SUMIFS(Sheet1!S71_OY2BudgetAmount,Sheet1!S71_SubMunicipalVoteNo,$AC:$AC,Sheet1!S71_ItemType,$AD:$AD)</f>
        <v>0</v>
      </c>
      <c r="L164" s="709"/>
      <c r="M164" s="710"/>
      <c r="N164" s="710"/>
      <c r="O164" s="710"/>
      <c r="P164" s="710"/>
      <c r="Q164" s="710"/>
      <c r="R164" s="710"/>
      <c r="S164" s="710"/>
      <c r="T164" s="710"/>
      <c r="U164" s="710"/>
      <c r="V164" s="710"/>
      <c r="W164" s="710"/>
      <c r="AC164" s="2312">
        <v>155</v>
      </c>
      <c r="AD164" s="2318" t="s">
        <v>2759</v>
      </c>
    </row>
    <row r="165" spans="1:30" ht="11.25" customHeight="1" x14ac:dyDescent="0.25">
      <c r="A165" s="136" t="str">
        <f>IF(RIGHT('Org structure'!D162,18)&lt;&gt;"[Name of sub-vote]",'Org structure'!D162,"")</f>
        <v/>
      </c>
      <c r="B165" s="144"/>
      <c r="C165" s="712">
        <f>SUMIFS(Sheet1!S71_PPPYearAmount,Sheet1!S71_SubMunicipalVoteNo,$AC:$AC,Sheet1!S71_ItemType,$AD:$AD)</f>
        <v>0</v>
      </c>
      <c r="D165" s="712">
        <f>SUMIFS(Sheet1!S71_PPYearAmount,Sheet1!S71_SubMunicipalVoteNo,$AC:$AC,Sheet1!S71_ItemType,$AD:$AD)</f>
        <v>0</v>
      </c>
      <c r="E165" s="712">
        <f>SUMIFS(Sheet1!S71_PYearAmount,Sheet1!S71_SubMunicipalVoteNo,$AC:$AC,Sheet1!S71_ItemType,$AD:$AD)</f>
        <v>0</v>
      </c>
      <c r="F165" s="725">
        <f>-SUMIFS(Sheet1!S71_OriginalBudAmnt,Sheet1!S71_SubMunicipalVoteNo,$AC:$AC,Sheet1!S71_ItemType,$AD:$AD)</f>
        <v>0</v>
      </c>
      <c r="G165" s="712">
        <f>-SUMIFS(Sheet1!S71_AdjustmentBudAmnt,Sheet1!S71_SubMunicipalVoteNo,$AC:$AC,Sheet1!S71_ItemType,$AD:$AD)</f>
        <v>0</v>
      </c>
      <c r="H165" s="713">
        <f>-SUMIFS(Sheet1!S71_AdjustmentBudAmnt,Sheet1!S71_SubMunicipalVoteNo,$AC:$AC,Sheet1!S71_ItemType,$AD:$AD)</f>
        <v>0</v>
      </c>
      <c r="I165" s="725">
        <f>-SUMIFS(Sheet1!S71_ASBudgetAmount,Sheet1!S71_SubMunicipalVoteNo,$AC:$AC,Sheet1!S71_ItemType,$AD:$AD)</f>
        <v>0</v>
      </c>
      <c r="J165" s="712">
        <f>-SUMIFS(Sheet1!S71_OY1BudgetAmount,Sheet1!S71_SubMunicipalVoteNo,$AC:$AC,Sheet1!S71_ItemType,$AD:$AD)</f>
        <v>0</v>
      </c>
      <c r="K165" s="713">
        <f>-SUMIFS(Sheet1!S71_OY2BudgetAmount,Sheet1!S71_SubMunicipalVoteNo,$AC:$AC,Sheet1!S71_ItemType,$AD:$AD)</f>
        <v>0</v>
      </c>
      <c r="L165" s="709"/>
      <c r="M165" s="710"/>
      <c r="N165" s="710"/>
      <c r="O165" s="710"/>
      <c r="P165" s="710"/>
      <c r="Q165" s="710"/>
      <c r="R165" s="710"/>
      <c r="S165" s="710"/>
      <c r="T165" s="710"/>
      <c r="U165" s="710"/>
      <c r="V165" s="710"/>
      <c r="W165" s="710"/>
      <c r="AC165" s="2312">
        <v>156</v>
      </c>
      <c r="AD165" s="2318" t="s">
        <v>2759</v>
      </c>
    </row>
    <row r="166" spans="1:30" ht="11.25" customHeight="1" x14ac:dyDescent="0.25">
      <c r="A166" s="136" t="str">
        <f>IF(RIGHT('Org structure'!D163,18)&lt;&gt;"[Name of sub-vote]",'Org structure'!D163,"")</f>
        <v/>
      </c>
      <c r="B166" s="144"/>
      <c r="C166" s="712">
        <f>SUMIFS(Sheet1!S71_PPPYearAmount,Sheet1!S71_SubMunicipalVoteNo,$AC:$AC,Sheet1!S71_ItemType,$AD:$AD)</f>
        <v>0</v>
      </c>
      <c r="D166" s="712">
        <f>SUMIFS(Sheet1!S71_PPYearAmount,Sheet1!S71_SubMunicipalVoteNo,$AC:$AC,Sheet1!S71_ItemType,$AD:$AD)</f>
        <v>0</v>
      </c>
      <c r="E166" s="712">
        <f>SUMIFS(Sheet1!S71_PYearAmount,Sheet1!S71_SubMunicipalVoteNo,$AC:$AC,Sheet1!S71_ItemType,$AD:$AD)</f>
        <v>0</v>
      </c>
      <c r="F166" s="725">
        <f>-SUMIFS(Sheet1!S71_OriginalBudAmnt,Sheet1!S71_SubMunicipalVoteNo,$AC:$AC,Sheet1!S71_ItemType,$AD:$AD)</f>
        <v>0</v>
      </c>
      <c r="G166" s="712">
        <f>-SUMIFS(Sheet1!S71_AdjustmentBudAmnt,Sheet1!S71_SubMunicipalVoteNo,$AC:$AC,Sheet1!S71_ItemType,$AD:$AD)</f>
        <v>0</v>
      </c>
      <c r="H166" s="713">
        <f>-SUMIFS(Sheet1!S71_AdjustmentBudAmnt,Sheet1!S71_SubMunicipalVoteNo,$AC:$AC,Sheet1!S71_ItemType,$AD:$AD)</f>
        <v>0</v>
      </c>
      <c r="I166" s="725">
        <f>-SUMIFS(Sheet1!S71_ASBudgetAmount,Sheet1!S71_SubMunicipalVoteNo,$AC:$AC,Sheet1!S71_ItemType,$AD:$AD)</f>
        <v>0</v>
      </c>
      <c r="J166" s="712">
        <f>-SUMIFS(Sheet1!S71_OY1BudgetAmount,Sheet1!S71_SubMunicipalVoteNo,$AC:$AC,Sheet1!S71_ItemType,$AD:$AD)</f>
        <v>0</v>
      </c>
      <c r="K166" s="713">
        <f>-SUMIFS(Sheet1!S71_OY2BudgetAmount,Sheet1!S71_SubMunicipalVoteNo,$AC:$AC,Sheet1!S71_ItemType,$AD:$AD)</f>
        <v>0</v>
      </c>
      <c r="L166" s="709"/>
      <c r="M166" s="710"/>
      <c r="N166" s="710"/>
      <c r="O166" s="710"/>
      <c r="P166" s="710"/>
      <c r="Q166" s="710"/>
      <c r="R166" s="710"/>
      <c r="S166" s="710"/>
      <c r="T166" s="710"/>
      <c r="U166" s="710"/>
      <c r="V166" s="710"/>
      <c r="W166" s="710"/>
      <c r="AC166" s="2312">
        <v>157</v>
      </c>
      <c r="AD166" s="2318" t="s">
        <v>2759</v>
      </c>
    </row>
    <row r="167" spans="1:30" ht="11.25" customHeight="1" x14ac:dyDescent="0.25">
      <c r="A167" s="136" t="str">
        <f>IF(RIGHT('Org structure'!D164,18)&lt;&gt;"[Name of sub-vote]",'Org structure'!D164,"")</f>
        <v/>
      </c>
      <c r="B167" s="144"/>
      <c r="C167" s="712">
        <f>SUMIFS(Sheet1!S71_PPPYearAmount,Sheet1!S71_SubMunicipalVoteNo,$AC:$AC,Sheet1!S71_ItemType,$AD:$AD)</f>
        <v>0</v>
      </c>
      <c r="D167" s="712">
        <f>SUMIFS(Sheet1!S71_PPYearAmount,Sheet1!S71_SubMunicipalVoteNo,$AC:$AC,Sheet1!S71_ItemType,$AD:$AD)</f>
        <v>0</v>
      </c>
      <c r="E167" s="712">
        <f>SUMIFS(Sheet1!S71_PYearAmount,Sheet1!S71_SubMunicipalVoteNo,$AC:$AC,Sheet1!S71_ItemType,$AD:$AD)</f>
        <v>0</v>
      </c>
      <c r="F167" s="725">
        <f>-SUMIFS(Sheet1!S71_OriginalBudAmnt,Sheet1!S71_SubMunicipalVoteNo,$AC:$AC,Sheet1!S71_ItemType,$AD:$AD)</f>
        <v>0</v>
      </c>
      <c r="G167" s="712">
        <f>-SUMIFS(Sheet1!S71_AdjustmentBudAmnt,Sheet1!S71_SubMunicipalVoteNo,$AC:$AC,Sheet1!S71_ItemType,$AD:$AD)</f>
        <v>0</v>
      </c>
      <c r="H167" s="713">
        <f>-SUMIFS(Sheet1!S71_AdjustmentBudAmnt,Sheet1!S71_SubMunicipalVoteNo,$AC:$AC,Sheet1!S71_ItemType,$AD:$AD)</f>
        <v>0</v>
      </c>
      <c r="I167" s="725">
        <f>-SUMIFS(Sheet1!S71_ASBudgetAmount,Sheet1!S71_SubMunicipalVoteNo,$AC:$AC,Sheet1!S71_ItemType,$AD:$AD)</f>
        <v>0</v>
      </c>
      <c r="J167" s="712">
        <f>-SUMIFS(Sheet1!S71_OY1BudgetAmount,Sheet1!S71_SubMunicipalVoteNo,$AC:$AC,Sheet1!S71_ItemType,$AD:$AD)</f>
        <v>0</v>
      </c>
      <c r="K167" s="713">
        <f>-SUMIFS(Sheet1!S71_OY2BudgetAmount,Sheet1!S71_SubMunicipalVoteNo,$AC:$AC,Sheet1!S71_ItemType,$AD:$AD)</f>
        <v>0</v>
      </c>
      <c r="L167" s="709"/>
      <c r="M167" s="710"/>
      <c r="N167" s="710"/>
      <c r="O167" s="710"/>
      <c r="P167" s="710"/>
      <c r="Q167" s="710"/>
      <c r="R167" s="710"/>
      <c r="S167" s="710"/>
      <c r="T167" s="710"/>
      <c r="U167" s="710"/>
      <c r="V167" s="710"/>
      <c r="W167" s="710"/>
      <c r="AC167" s="2312">
        <v>158</v>
      </c>
      <c r="AD167" s="2318" t="s">
        <v>2759</v>
      </c>
    </row>
    <row r="168" spans="1:30" ht="11.25" customHeight="1" x14ac:dyDescent="0.25">
      <c r="A168" s="136" t="str">
        <f>IF(RIGHT('Org structure'!D165,18)&lt;&gt;"[Name of sub-vote]",'Org structure'!D165,"")</f>
        <v/>
      </c>
      <c r="B168" s="144"/>
      <c r="C168" s="712">
        <f>SUMIFS(Sheet1!S71_PPPYearAmount,Sheet1!S71_SubMunicipalVoteNo,$AC:$AC,Sheet1!S71_ItemType,$AD:$AD)</f>
        <v>0</v>
      </c>
      <c r="D168" s="712">
        <f>SUMIFS(Sheet1!S71_PPYearAmount,Sheet1!S71_SubMunicipalVoteNo,$AC:$AC,Sheet1!S71_ItemType,$AD:$AD)</f>
        <v>0</v>
      </c>
      <c r="E168" s="712">
        <f>SUMIFS(Sheet1!S71_PYearAmount,Sheet1!S71_SubMunicipalVoteNo,$AC:$AC,Sheet1!S71_ItemType,$AD:$AD)</f>
        <v>0</v>
      </c>
      <c r="F168" s="725">
        <f>-SUMIFS(Sheet1!S71_OriginalBudAmnt,Sheet1!S71_SubMunicipalVoteNo,$AC:$AC,Sheet1!S71_ItemType,$AD:$AD)</f>
        <v>0</v>
      </c>
      <c r="G168" s="712">
        <f>-SUMIFS(Sheet1!S71_AdjustmentBudAmnt,Sheet1!S71_SubMunicipalVoteNo,$AC:$AC,Sheet1!S71_ItemType,$AD:$AD)</f>
        <v>0</v>
      </c>
      <c r="H168" s="713">
        <f>-SUMIFS(Sheet1!S71_AdjustmentBudAmnt,Sheet1!S71_SubMunicipalVoteNo,$AC:$AC,Sheet1!S71_ItemType,$AD:$AD)</f>
        <v>0</v>
      </c>
      <c r="I168" s="725">
        <f>-SUMIFS(Sheet1!S71_ASBudgetAmount,Sheet1!S71_SubMunicipalVoteNo,$AC:$AC,Sheet1!S71_ItemType,$AD:$AD)</f>
        <v>0</v>
      </c>
      <c r="J168" s="712">
        <f>-SUMIFS(Sheet1!S71_OY1BudgetAmount,Sheet1!S71_SubMunicipalVoteNo,$AC:$AC,Sheet1!S71_ItemType,$AD:$AD)</f>
        <v>0</v>
      </c>
      <c r="K168" s="713">
        <f>-SUMIFS(Sheet1!S71_OY2BudgetAmount,Sheet1!S71_SubMunicipalVoteNo,$AC:$AC,Sheet1!S71_ItemType,$AD:$AD)</f>
        <v>0</v>
      </c>
      <c r="L168" s="709"/>
      <c r="M168" s="710"/>
      <c r="N168" s="710"/>
      <c r="O168" s="710"/>
      <c r="P168" s="710"/>
      <c r="Q168" s="710"/>
      <c r="R168" s="710"/>
      <c r="S168" s="710"/>
      <c r="T168" s="710"/>
      <c r="U168" s="710"/>
      <c r="V168" s="710"/>
      <c r="W168" s="710"/>
      <c r="AC168" s="2312">
        <v>159</v>
      </c>
      <c r="AD168" s="2318" t="s">
        <v>2759</v>
      </c>
    </row>
    <row r="169" spans="1:30" ht="11.25" customHeight="1" x14ac:dyDescent="0.25">
      <c r="A169" s="136" t="str">
        <f>IF(RIGHT('Org structure'!D166,18)&lt;&gt;"[Name of sub-vote]",'Org structure'!D166,"")</f>
        <v/>
      </c>
      <c r="B169" s="144"/>
      <c r="C169" s="712">
        <f>SUMIFS(Sheet1!S71_PPPYearAmount,Sheet1!S71_SubMunicipalVoteNo,$AC:$AC,Sheet1!S71_ItemType,$AD:$AD)</f>
        <v>0</v>
      </c>
      <c r="D169" s="712">
        <f>SUMIFS(Sheet1!S71_PPYearAmount,Sheet1!S71_SubMunicipalVoteNo,$AC:$AC,Sheet1!S71_ItemType,$AD:$AD)</f>
        <v>0</v>
      </c>
      <c r="E169" s="712">
        <f>SUMIFS(Sheet1!S71_PYearAmount,Sheet1!S71_SubMunicipalVoteNo,$AC:$AC,Sheet1!S71_ItemType,$AD:$AD)</f>
        <v>0</v>
      </c>
      <c r="F169" s="725">
        <f>-SUMIFS(Sheet1!S71_OriginalBudAmnt,Sheet1!S71_SubMunicipalVoteNo,$AC:$AC,Sheet1!S71_ItemType,$AD:$AD)</f>
        <v>0</v>
      </c>
      <c r="G169" s="712">
        <f>-SUMIFS(Sheet1!S71_AdjustmentBudAmnt,Sheet1!S71_SubMunicipalVoteNo,$AC:$AC,Sheet1!S71_ItemType,$AD:$AD)</f>
        <v>0</v>
      </c>
      <c r="H169" s="713">
        <f>-SUMIFS(Sheet1!S71_AdjustmentBudAmnt,Sheet1!S71_SubMunicipalVoteNo,$AC:$AC,Sheet1!S71_ItemType,$AD:$AD)</f>
        <v>0</v>
      </c>
      <c r="I169" s="725">
        <f>-SUMIFS(Sheet1!S71_ASBudgetAmount,Sheet1!S71_SubMunicipalVoteNo,$AC:$AC,Sheet1!S71_ItemType,$AD:$AD)</f>
        <v>0</v>
      </c>
      <c r="J169" s="712">
        <f>-SUMIFS(Sheet1!S71_OY1BudgetAmount,Sheet1!S71_SubMunicipalVoteNo,$AC:$AC,Sheet1!S71_ItemType,$AD:$AD)</f>
        <v>0</v>
      </c>
      <c r="K169" s="713">
        <f>-SUMIFS(Sheet1!S71_OY2BudgetAmount,Sheet1!S71_SubMunicipalVoteNo,$AC:$AC,Sheet1!S71_ItemType,$AD:$AD)</f>
        <v>0</v>
      </c>
      <c r="L169" s="709"/>
      <c r="M169" s="710"/>
      <c r="N169" s="710"/>
      <c r="O169" s="710"/>
      <c r="P169" s="710"/>
      <c r="Q169" s="710"/>
      <c r="R169" s="710"/>
      <c r="S169" s="710"/>
      <c r="T169" s="710"/>
      <c r="U169" s="710"/>
      <c r="V169" s="710"/>
      <c r="W169" s="710"/>
      <c r="AC169" s="2312">
        <v>1510</v>
      </c>
      <c r="AD169" s="2318" t="s">
        <v>2759</v>
      </c>
    </row>
    <row r="170" spans="1:30" ht="11.25" customHeight="1" x14ac:dyDescent="0.25">
      <c r="A170" s="170" t="s">
        <v>156</v>
      </c>
      <c r="B170" s="144">
        <v>2</v>
      </c>
      <c r="C170" s="171">
        <f>C5+C16+C27+C38+C49+C60+C71+C82+C93+C104+C115+C126+C137+C148+C159</f>
        <v>101660844</v>
      </c>
      <c r="D170" s="171">
        <f>D5+D16+D27+D38+D49+D60+D71+D82+D93+D104+D115+D126+D137+D148+D159</f>
        <v>110363666</v>
      </c>
      <c r="E170" s="172">
        <f t="shared" ref="E170:K170" si="15">E5+E16+E27+E38+E49+E60+E71+E82+E93+E104+E115+E126+E137+E148+E159</f>
        <v>113941219</v>
      </c>
      <c r="F170" s="173">
        <f t="shared" si="15"/>
        <v>124222455</v>
      </c>
      <c r="G170" s="171">
        <f t="shared" si="15"/>
        <v>145703045</v>
      </c>
      <c r="H170" s="174">
        <f t="shared" si="15"/>
        <v>145703045</v>
      </c>
      <c r="I170" s="175">
        <f>I5+I16+I27+I38+I49+I60+I71+I82+I93+I104+I115+I126+I137+I148+I159</f>
        <v>135443122</v>
      </c>
      <c r="J170" s="171">
        <f t="shared" si="15"/>
        <v>142603640</v>
      </c>
      <c r="K170" s="172">
        <f t="shared" si="15"/>
        <v>145753424</v>
      </c>
      <c r="L170" s="732">
        <f t="shared" ref="L170:W170" si="16">SUM(L78:L81)</f>
        <v>0</v>
      </c>
      <c r="M170" s="733">
        <f t="shared" si="16"/>
        <v>0</v>
      </c>
      <c r="N170" s="733">
        <f t="shared" si="16"/>
        <v>0</v>
      </c>
      <c r="O170" s="733">
        <f t="shared" si="16"/>
        <v>0</v>
      </c>
      <c r="P170" s="733">
        <f t="shared" si="16"/>
        <v>0</v>
      </c>
      <c r="Q170" s="733">
        <f t="shared" si="16"/>
        <v>0</v>
      </c>
      <c r="R170" s="733">
        <f t="shared" si="16"/>
        <v>0</v>
      </c>
      <c r="S170" s="733">
        <f t="shared" si="16"/>
        <v>0</v>
      </c>
      <c r="T170" s="733">
        <f t="shared" si="16"/>
        <v>0</v>
      </c>
      <c r="U170" s="733">
        <f t="shared" si="16"/>
        <v>0</v>
      </c>
      <c r="V170" s="733">
        <f t="shared" si="16"/>
        <v>0</v>
      </c>
      <c r="W170" s="733">
        <f t="shared" si="16"/>
        <v>0</v>
      </c>
      <c r="AD170" s="2315"/>
    </row>
    <row r="171" spans="1:30" ht="4.9000000000000004" customHeight="1" x14ac:dyDescent="0.25">
      <c r="A171" s="197"/>
      <c r="B171" s="198"/>
      <c r="C171" s="199"/>
      <c r="D171" s="199"/>
      <c r="E171" s="200"/>
      <c r="F171" s="201"/>
      <c r="G171" s="199"/>
      <c r="H171" s="202"/>
      <c r="I171" s="203"/>
      <c r="J171" s="199"/>
      <c r="K171" s="200"/>
      <c r="L171" s="709"/>
      <c r="M171" s="710"/>
      <c r="N171" s="710"/>
      <c r="O171" s="710"/>
      <c r="P171" s="710"/>
      <c r="Q171" s="710"/>
      <c r="R171" s="710"/>
      <c r="S171" s="710"/>
      <c r="T171" s="710"/>
      <c r="U171" s="710"/>
      <c r="V171" s="710"/>
      <c r="W171" s="710"/>
      <c r="AD171" s="2315"/>
    </row>
    <row r="172" spans="1:30" ht="11.25" customHeight="1" x14ac:dyDescent="0.25">
      <c r="A172" s="204" t="s">
        <v>367</v>
      </c>
      <c r="B172" s="205">
        <v>1</v>
      </c>
      <c r="C172" s="206"/>
      <c r="D172" s="206"/>
      <c r="E172" s="207"/>
      <c r="F172" s="208"/>
      <c r="G172" s="206"/>
      <c r="H172" s="209"/>
      <c r="I172" s="210"/>
      <c r="J172" s="206"/>
      <c r="K172" s="207"/>
      <c r="L172" s="709"/>
      <c r="M172" s="710"/>
      <c r="N172" s="710"/>
      <c r="O172" s="710"/>
      <c r="P172" s="710"/>
      <c r="Q172" s="710"/>
      <c r="R172" s="710"/>
      <c r="S172" s="710"/>
      <c r="T172" s="710"/>
      <c r="U172" s="710"/>
      <c r="V172" s="710"/>
      <c r="W172" s="710"/>
      <c r="AD172" s="2315"/>
    </row>
    <row r="173" spans="1:30" ht="15" customHeight="1" x14ac:dyDescent="0.25">
      <c r="A173" s="135" t="str">
        <f>A5</f>
        <v>Vote 1 - Finance and Administration</v>
      </c>
      <c r="B173" s="211"/>
      <c r="C173" s="212">
        <f t="shared" ref="C173:K173" si="17">SUM(C174:C183)</f>
        <v>44678859</v>
      </c>
      <c r="D173" s="212">
        <f t="shared" si="17"/>
        <v>36124177</v>
      </c>
      <c r="E173" s="213">
        <f t="shared" si="17"/>
        <v>41272837</v>
      </c>
      <c r="F173" s="214">
        <f t="shared" si="17"/>
        <v>49901785</v>
      </c>
      <c r="G173" s="212">
        <f t="shared" si="17"/>
        <v>56972785</v>
      </c>
      <c r="H173" s="215">
        <f t="shared" si="17"/>
        <v>56972785</v>
      </c>
      <c r="I173" s="216">
        <f t="shared" si="17"/>
        <v>62283186</v>
      </c>
      <c r="J173" s="212">
        <f t="shared" si="17"/>
        <v>55466225</v>
      </c>
      <c r="K173" s="213">
        <f t="shared" si="17"/>
        <v>59161638</v>
      </c>
      <c r="L173" s="709"/>
      <c r="M173" s="710"/>
      <c r="N173" s="710"/>
      <c r="O173" s="710"/>
      <c r="P173" s="710"/>
      <c r="Q173" s="710"/>
      <c r="R173" s="710"/>
      <c r="S173" s="710"/>
      <c r="T173" s="710"/>
      <c r="U173" s="710"/>
      <c r="V173" s="710"/>
      <c r="W173" s="710"/>
      <c r="AD173" s="2315"/>
    </row>
    <row r="174" spans="1:30" ht="11.25" customHeight="1" x14ac:dyDescent="0.25">
      <c r="A174" s="136" t="str">
        <f t="shared" ref="A174:A183" si="18">A6</f>
        <v>1.1 - Finance</v>
      </c>
      <c r="B174" s="144"/>
      <c r="C174" s="712">
        <f>SUMIFS(Sheet1!S71_PPPYearAmount,Sheet1!S71_SubMunicipalVoteNo,$AC:$AC,Sheet1!S71_ItemType,$AD:$AD)</f>
        <v>18851375</v>
      </c>
      <c r="D174" s="712">
        <f>SUMIFS(Sheet1!S71_PPYearAmount,Sheet1!S71_SubMunicipalVoteNo,$AC:$AC,Sheet1!S71_ItemType,$AD:$AD)</f>
        <v>11959227</v>
      </c>
      <c r="E174" s="712">
        <f>SUMIFS(Sheet1!S71_PYearAmount,Sheet1!S71_SubMunicipalVoteNo,$AC:$AC,Sheet1!S71_ItemType,$AD:$AD)</f>
        <v>12173182</v>
      </c>
      <c r="F174" s="725">
        <f>SUMIFS(Sheet1!S71_OriginalBudAmnt,Sheet1!S71_SubMunicipalVoteNo,$AC:$AC,Sheet1!S71_ItemType,$AD:$AD)</f>
        <v>18094080</v>
      </c>
      <c r="G174" s="712">
        <f>SUMIFS(Sheet1!S71_AdjustmentBudAmnt,Sheet1!S71_SubMunicipalVoteNo,$AC:$AC,Sheet1!S71_ItemType,$AD:$AD)</f>
        <v>18294080</v>
      </c>
      <c r="H174" s="713">
        <f>SUMIFS(Sheet1!S71_AdjustmentBudAmnt,Sheet1!S71_SubMunicipalVoteNo,$AC:$AC,Sheet1!S71_ItemType,$AD:$AD)</f>
        <v>18294080</v>
      </c>
      <c r="I174" s="725">
        <f>SUMIFS(Sheet1!S71_ASBudgetAmount,Sheet1!S71_SubMunicipalVoteNo,$AC:$AC,Sheet1!S71_ItemType,$AD:$AD)</f>
        <v>19044900</v>
      </c>
      <c r="J174" s="712">
        <f>SUMIFS(Sheet1!S71_OY1BudgetAmount,Sheet1!S71_SubMunicipalVoteNo,$AC:$AC,Sheet1!S71_ItemType,$AD:$AD)</f>
        <v>19748918</v>
      </c>
      <c r="K174" s="713">
        <f>SUMIFS(Sheet1!S71_OY2BudgetAmount,Sheet1!S71_SubMunicipalVoteNo,$AC:$AC,Sheet1!S71_ItemType,$AD:$AD)</f>
        <v>21146983</v>
      </c>
      <c r="L174" s="709"/>
      <c r="M174" s="710"/>
      <c r="N174" s="710"/>
      <c r="O174" s="710"/>
      <c r="P174" s="710"/>
      <c r="Q174" s="710"/>
      <c r="R174" s="710"/>
      <c r="S174" s="710"/>
      <c r="T174" s="710"/>
      <c r="U174" s="710"/>
      <c r="V174" s="710"/>
      <c r="W174" s="710"/>
      <c r="AC174" s="2312">
        <v>11</v>
      </c>
      <c r="AD174" s="2318" t="s">
        <v>2754</v>
      </c>
    </row>
    <row r="175" spans="1:30" ht="11.25" customHeight="1" x14ac:dyDescent="0.25">
      <c r="A175" s="136" t="str">
        <f t="shared" si="18"/>
        <v>1.2 - Fleet Management</v>
      </c>
      <c r="B175" s="144"/>
      <c r="C175" s="712">
        <f>SUMIFS(Sheet1!S71_PPPYearAmount,Sheet1!S71_SubMunicipalVoteNo,$AC:$AC,Sheet1!S71_ItemType,$AD:$AD)</f>
        <v>795624</v>
      </c>
      <c r="D175" s="712">
        <f>SUMIFS(Sheet1!S71_PPYearAmount,Sheet1!S71_SubMunicipalVoteNo,$AC:$AC,Sheet1!S71_ItemType,$AD:$AD)</f>
        <v>1034324</v>
      </c>
      <c r="E175" s="712">
        <f>SUMIFS(Sheet1!S71_PYearAmount,Sheet1!S71_SubMunicipalVoteNo,$AC:$AC,Sheet1!S71_ItemType,$AD:$AD)</f>
        <v>1206406</v>
      </c>
      <c r="F175" s="725">
        <f>SUMIFS(Sheet1!S71_OriginalBudAmnt,Sheet1!S71_SubMunicipalVoteNo,$AC:$AC,Sheet1!S71_ItemType,$AD:$AD)</f>
        <v>910000</v>
      </c>
      <c r="G175" s="712">
        <f>SUMIFS(Sheet1!S71_AdjustmentBudAmnt,Sheet1!S71_SubMunicipalVoteNo,$AC:$AC,Sheet1!S71_ItemType,$AD:$AD)</f>
        <v>1570000</v>
      </c>
      <c r="H175" s="713">
        <f>SUMIFS(Sheet1!S71_AdjustmentBudAmnt,Sheet1!S71_SubMunicipalVoteNo,$AC:$AC,Sheet1!S71_ItemType,$AD:$AD)</f>
        <v>1570000</v>
      </c>
      <c r="I175" s="725">
        <f>SUMIFS(Sheet1!S71_ASBudgetAmount,Sheet1!S71_SubMunicipalVoteNo,$AC:$AC,Sheet1!S71_ItemType,$AD:$AD)</f>
        <v>1831730</v>
      </c>
      <c r="J175" s="712">
        <f>SUMIFS(Sheet1!S71_OY1BudgetAmount,Sheet1!S71_SubMunicipalVoteNo,$AC:$AC,Sheet1!S71_ItemType,$AD:$AD)</f>
        <v>1686199</v>
      </c>
      <c r="K175" s="713">
        <f>SUMIFS(Sheet1!S71_OY2BudgetAmount,Sheet1!S71_SubMunicipalVoteNo,$AC:$AC,Sheet1!S71_ItemType,$AD:$AD)</f>
        <v>1764247</v>
      </c>
      <c r="L175" s="709"/>
      <c r="M175" s="710"/>
      <c r="N175" s="710"/>
      <c r="O175" s="710"/>
      <c r="P175" s="710"/>
      <c r="Q175" s="710"/>
      <c r="R175" s="710"/>
      <c r="S175" s="710"/>
      <c r="T175" s="710"/>
      <c r="U175" s="710"/>
      <c r="V175" s="710"/>
      <c r="W175" s="710"/>
      <c r="AC175" s="2312">
        <v>12</v>
      </c>
      <c r="AD175" s="2318" t="s">
        <v>2754</v>
      </c>
    </row>
    <row r="176" spans="1:30" ht="11.25" customHeight="1" x14ac:dyDescent="0.25">
      <c r="A176" s="136" t="str">
        <f t="shared" si="18"/>
        <v>1.3 - Asset Management</v>
      </c>
      <c r="B176" s="144"/>
      <c r="C176" s="712">
        <f>SUMIFS(Sheet1!S71_PPPYearAmount,Sheet1!S71_SubMunicipalVoteNo,$AC:$AC,Sheet1!S71_ItemType,$AD:$AD)</f>
        <v>11721675</v>
      </c>
      <c r="D176" s="712">
        <f>SUMIFS(Sheet1!S71_PPYearAmount,Sheet1!S71_SubMunicipalVoteNo,$AC:$AC,Sheet1!S71_ItemType,$AD:$AD)</f>
        <v>8986365</v>
      </c>
      <c r="E176" s="712">
        <f>SUMIFS(Sheet1!S71_PYearAmount,Sheet1!S71_SubMunicipalVoteNo,$AC:$AC,Sheet1!S71_ItemType,$AD:$AD)</f>
        <v>10383094</v>
      </c>
      <c r="F176" s="725">
        <f>SUMIFS(Sheet1!S71_OriginalBudAmnt,Sheet1!S71_SubMunicipalVoteNo,$AC:$AC,Sheet1!S71_ItemType,$AD:$AD)</f>
        <v>13173339</v>
      </c>
      <c r="G176" s="712">
        <f>SUMIFS(Sheet1!S71_AdjustmentBudAmnt,Sheet1!S71_SubMunicipalVoteNo,$AC:$AC,Sheet1!S71_ItemType,$AD:$AD)</f>
        <v>18992839</v>
      </c>
      <c r="H176" s="713">
        <f>SUMIFS(Sheet1!S71_AdjustmentBudAmnt,Sheet1!S71_SubMunicipalVoteNo,$AC:$AC,Sheet1!S71_ItemType,$AD:$AD)</f>
        <v>18992839</v>
      </c>
      <c r="I176" s="725">
        <f>SUMIFS(Sheet1!S71_ASBudgetAmount,Sheet1!S71_SubMunicipalVoteNo,$AC:$AC,Sheet1!S71_ItemType,$AD:$AD)</f>
        <v>22109097</v>
      </c>
      <c r="J176" s="712">
        <f>SUMIFS(Sheet1!S71_OY1BudgetAmount,Sheet1!S71_SubMunicipalVoteNo,$AC:$AC,Sheet1!S71_ItemType,$AD:$AD)</f>
        <v>14273463</v>
      </c>
      <c r="K176" s="713">
        <f>SUMIFS(Sheet1!S71_OY2BudgetAmount,Sheet1!S71_SubMunicipalVoteNo,$AC:$AC,Sheet1!S71_ItemType,$AD:$AD)</f>
        <v>14976402</v>
      </c>
      <c r="L176" s="709"/>
      <c r="M176" s="710"/>
      <c r="N176" s="710"/>
      <c r="O176" s="710"/>
      <c r="P176" s="710"/>
      <c r="Q176" s="710"/>
      <c r="R176" s="710"/>
      <c r="S176" s="710"/>
      <c r="T176" s="710"/>
      <c r="U176" s="710"/>
      <c r="V176" s="710"/>
      <c r="W176" s="710"/>
      <c r="AC176" s="2312">
        <v>13</v>
      </c>
      <c r="AD176" s="2318" t="s">
        <v>2754</v>
      </c>
    </row>
    <row r="177" spans="1:30" ht="11.25" customHeight="1" x14ac:dyDescent="0.25">
      <c r="A177" s="136" t="str">
        <f t="shared" si="18"/>
        <v>1.4 - Administrative and Corporate Support</v>
      </c>
      <c r="B177" s="144"/>
      <c r="C177" s="712">
        <f>SUMIFS(Sheet1!S71_PPPYearAmount,Sheet1!S71_SubMunicipalVoteNo,$AC:$AC,Sheet1!S71_ItemType,$AD:$AD)</f>
        <v>8623430</v>
      </c>
      <c r="D177" s="712">
        <f>SUMIFS(Sheet1!S71_PPYearAmount,Sheet1!S71_SubMunicipalVoteNo,$AC:$AC,Sheet1!S71_ItemType,$AD:$AD)</f>
        <v>10413406</v>
      </c>
      <c r="E177" s="712">
        <f>SUMIFS(Sheet1!S71_PYearAmount,Sheet1!S71_SubMunicipalVoteNo,$AC:$AC,Sheet1!S71_ItemType,$AD:$AD)</f>
        <v>10731235</v>
      </c>
      <c r="F177" s="725">
        <f>SUMIFS(Sheet1!S71_OriginalBudAmnt,Sheet1!S71_SubMunicipalVoteNo,$AC:$AC,Sheet1!S71_ItemType,$AD:$AD)</f>
        <v>11894526</v>
      </c>
      <c r="G177" s="712">
        <f>SUMIFS(Sheet1!S71_AdjustmentBudAmnt,Sheet1!S71_SubMunicipalVoteNo,$AC:$AC,Sheet1!S71_ItemType,$AD:$AD)</f>
        <v>11726026</v>
      </c>
      <c r="H177" s="713">
        <f>SUMIFS(Sheet1!S71_AdjustmentBudAmnt,Sheet1!S71_SubMunicipalVoteNo,$AC:$AC,Sheet1!S71_ItemType,$AD:$AD)</f>
        <v>11726026</v>
      </c>
      <c r="I177" s="725">
        <f>SUMIFS(Sheet1!S71_ASBudgetAmount,Sheet1!S71_SubMunicipalVoteNo,$AC:$AC,Sheet1!S71_ItemType,$AD:$AD)</f>
        <v>12403289</v>
      </c>
      <c r="J177" s="712">
        <f>SUMIFS(Sheet1!S71_OY1BudgetAmount,Sheet1!S71_SubMunicipalVoteNo,$AC:$AC,Sheet1!S71_ItemType,$AD:$AD)</f>
        <v>13113107</v>
      </c>
      <c r="K177" s="713">
        <f>SUMIFS(Sheet1!S71_OY2BudgetAmount,Sheet1!S71_SubMunicipalVoteNo,$AC:$AC,Sheet1!S71_ItemType,$AD:$AD)</f>
        <v>13868622</v>
      </c>
      <c r="L177" s="709"/>
      <c r="M177" s="710"/>
      <c r="N177" s="710"/>
      <c r="O177" s="710"/>
      <c r="P177" s="710"/>
      <c r="Q177" s="710"/>
      <c r="R177" s="710"/>
      <c r="S177" s="710"/>
      <c r="T177" s="710"/>
      <c r="U177" s="710"/>
      <c r="V177" s="710"/>
      <c r="W177" s="710"/>
      <c r="AC177" s="2312">
        <v>14</v>
      </c>
      <c r="AD177" s="2318" t="s">
        <v>2754</v>
      </c>
    </row>
    <row r="178" spans="1:30" ht="11.25" customHeight="1" x14ac:dyDescent="0.25">
      <c r="A178" s="136" t="str">
        <f t="shared" si="18"/>
        <v>1.5 - Human Resources</v>
      </c>
      <c r="B178" s="144"/>
      <c r="C178" s="712">
        <f>SUMIFS(Sheet1!S71_PPPYearAmount,Sheet1!S71_SubMunicipalVoteNo,$AC:$AC,Sheet1!S71_ItemType,$AD:$AD)</f>
        <v>298987</v>
      </c>
      <c r="D178" s="712">
        <f>SUMIFS(Sheet1!S71_PPYearAmount,Sheet1!S71_SubMunicipalVoteNo,$AC:$AC,Sheet1!S71_ItemType,$AD:$AD)</f>
        <v>293573</v>
      </c>
      <c r="E178" s="712">
        <f>SUMIFS(Sheet1!S71_PYearAmount,Sheet1!S71_SubMunicipalVoteNo,$AC:$AC,Sheet1!S71_ItemType,$AD:$AD)</f>
        <v>734652</v>
      </c>
      <c r="F178" s="725">
        <f>SUMIFS(Sheet1!S71_OriginalBudAmnt,Sheet1!S71_SubMunicipalVoteNo,$AC:$AC,Sheet1!S71_ItemType,$AD:$AD)</f>
        <v>1099190</v>
      </c>
      <c r="G178" s="712">
        <f>SUMIFS(Sheet1!S71_AdjustmentBudAmnt,Sheet1!S71_SubMunicipalVoteNo,$AC:$AC,Sheet1!S71_ItemType,$AD:$AD)</f>
        <v>939190</v>
      </c>
      <c r="H178" s="713">
        <f>SUMIFS(Sheet1!S71_AdjustmentBudAmnt,Sheet1!S71_SubMunicipalVoteNo,$AC:$AC,Sheet1!S71_ItemType,$AD:$AD)</f>
        <v>939190</v>
      </c>
      <c r="I178" s="725">
        <f>SUMIFS(Sheet1!S71_ASBudgetAmount,Sheet1!S71_SubMunicipalVoteNo,$AC:$AC,Sheet1!S71_ItemType,$AD:$AD)</f>
        <v>1214945</v>
      </c>
      <c r="J178" s="712">
        <f>SUMIFS(Sheet1!S71_OY1BudgetAmount,Sheet1!S71_SubMunicipalVoteNo,$AC:$AC,Sheet1!S71_ItemType,$AD:$AD)</f>
        <v>701784</v>
      </c>
      <c r="K178" s="713">
        <f>SUMIFS(Sheet1!S71_OY2BudgetAmount,Sheet1!S71_SubMunicipalVoteNo,$AC:$AC,Sheet1!S71_ItemType,$AD:$AD)</f>
        <v>1223860</v>
      </c>
      <c r="L178" s="709"/>
      <c r="M178" s="710"/>
      <c r="N178" s="710"/>
      <c r="O178" s="710"/>
      <c r="P178" s="710"/>
      <c r="Q178" s="710"/>
      <c r="R178" s="710"/>
      <c r="S178" s="710"/>
      <c r="T178" s="710"/>
      <c r="U178" s="710"/>
      <c r="V178" s="710"/>
      <c r="W178" s="710"/>
      <c r="AC178" s="2312">
        <v>15</v>
      </c>
      <c r="AD178" s="2318" t="s">
        <v>2754</v>
      </c>
    </row>
    <row r="179" spans="1:30" ht="11.25" customHeight="1" x14ac:dyDescent="0.25">
      <c r="A179" s="136" t="str">
        <f t="shared" si="18"/>
        <v>1.6 - Property Services</v>
      </c>
      <c r="B179" s="144"/>
      <c r="C179" s="712">
        <f>SUMIFS(Sheet1!S71_PPPYearAmount,Sheet1!S71_SubMunicipalVoteNo,$AC:$AC,Sheet1!S71_ItemType,$AD:$AD)</f>
        <v>1398647</v>
      </c>
      <c r="D179" s="712">
        <f>SUMIFS(Sheet1!S71_PPYearAmount,Sheet1!S71_SubMunicipalVoteNo,$AC:$AC,Sheet1!S71_ItemType,$AD:$AD)</f>
        <v>2255310</v>
      </c>
      <c r="E179" s="712">
        <f>SUMIFS(Sheet1!S71_PYearAmount,Sheet1!S71_SubMunicipalVoteNo,$AC:$AC,Sheet1!S71_ItemType,$AD:$AD)</f>
        <v>2250153</v>
      </c>
      <c r="F179" s="725">
        <f>SUMIFS(Sheet1!S71_OriginalBudAmnt,Sheet1!S71_SubMunicipalVoteNo,$AC:$AC,Sheet1!S71_ItemType,$AD:$AD)</f>
        <v>2635650</v>
      </c>
      <c r="G179" s="712">
        <f>SUMIFS(Sheet1!S71_AdjustmentBudAmnt,Sheet1!S71_SubMunicipalVoteNo,$AC:$AC,Sheet1!S71_ItemType,$AD:$AD)</f>
        <v>2635650</v>
      </c>
      <c r="H179" s="713">
        <f>SUMIFS(Sheet1!S71_AdjustmentBudAmnt,Sheet1!S71_SubMunicipalVoteNo,$AC:$AC,Sheet1!S71_ItemType,$AD:$AD)</f>
        <v>2635650</v>
      </c>
      <c r="I179" s="725">
        <f>SUMIFS(Sheet1!S71_ASBudgetAmount,Sheet1!S71_SubMunicipalVoteNo,$AC:$AC,Sheet1!S71_ItemType,$AD:$AD)</f>
        <v>2738440</v>
      </c>
      <c r="J179" s="712">
        <f>SUMIFS(Sheet1!S71_OY1BudgetAmount,Sheet1!S71_SubMunicipalVoteNo,$AC:$AC,Sheet1!S71_ItemType,$AD:$AD)</f>
        <v>2847978</v>
      </c>
      <c r="K179" s="713">
        <f>SUMIFS(Sheet1!S71_OY2BudgetAmount,Sheet1!S71_SubMunicipalVoteNo,$AC:$AC,Sheet1!S71_ItemType,$AD:$AD)</f>
        <v>2961897</v>
      </c>
      <c r="L179" s="709"/>
      <c r="M179" s="710"/>
      <c r="N179" s="710"/>
      <c r="O179" s="710"/>
      <c r="P179" s="710"/>
      <c r="Q179" s="710"/>
      <c r="R179" s="710"/>
      <c r="S179" s="710"/>
      <c r="T179" s="710"/>
      <c r="U179" s="710"/>
      <c r="V179" s="710"/>
      <c r="W179" s="710"/>
      <c r="AC179" s="2312">
        <v>16</v>
      </c>
      <c r="AD179" s="2318" t="s">
        <v>2754</v>
      </c>
    </row>
    <row r="180" spans="1:30" ht="11.25" customHeight="1" x14ac:dyDescent="0.25">
      <c r="A180" s="136" t="str">
        <f t="shared" si="18"/>
        <v>1.7 - Legal Services</v>
      </c>
      <c r="B180" s="144"/>
      <c r="C180" s="712">
        <f>SUMIFS(Sheet1!S71_PPPYearAmount,Sheet1!S71_SubMunicipalVoteNo,$AC:$AC,Sheet1!S71_ItemType,$AD:$AD)</f>
        <v>792169</v>
      </c>
      <c r="D180" s="712">
        <f>SUMIFS(Sheet1!S71_PPYearAmount,Sheet1!S71_SubMunicipalVoteNo,$AC:$AC,Sheet1!S71_ItemType,$AD:$AD)</f>
        <v>69507</v>
      </c>
      <c r="E180" s="712">
        <f>SUMIFS(Sheet1!S71_PYearAmount,Sheet1!S71_SubMunicipalVoteNo,$AC:$AC,Sheet1!S71_ItemType,$AD:$AD)</f>
        <v>333462</v>
      </c>
      <c r="F180" s="725">
        <f>SUMIFS(Sheet1!S71_OriginalBudAmnt,Sheet1!S71_SubMunicipalVoteNo,$AC:$AC,Sheet1!S71_ItemType,$AD:$AD)</f>
        <v>500000</v>
      </c>
      <c r="G180" s="712">
        <f>SUMIFS(Sheet1!S71_AdjustmentBudAmnt,Sheet1!S71_SubMunicipalVoteNo,$AC:$AC,Sheet1!S71_ItemType,$AD:$AD)</f>
        <v>500000</v>
      </c>
      <c r="H180" s="713">
        <f>SUMIFS(Sheet1!S71_AdjustmentBudAmnt,Sheet1!S71_SubMunicipalVoteNo,$AC:$AC,Sheet1!S71_ItemType,$AD:$AD)</f>
        <v>500000</v>
      </c>
      <c r="I180" s="725">
        <f>SUMIFS(Sheet1!S71_ASBudgetAmount,Sheet1!S71_SubMunicipalVoteNo,$AC:$AC,Sheet1!S71_ItemType,$AD:$AD)</f>
        <v>519500</v>
      </c>
      <c r="J180" s="712">
        <f>SUMIFS(Sheet1!S71_OY1BudgetAmount,Sheet1!S71_SubMunicipalVoteNo,$AC:$AC,Sheet1!S71_ItemType,$AD:$AD)</f>
        <v>540280</v>
      </c>
      <c r="K180" s="713">
        <f>SUMIFS(Sheet1!S71_OY2BudgetAmount,Sheet1!S71_SubMunicipalVoteNo,$AC:$AC,Sheet1!S71_ItemType,$AD:$AD)</f>
        <v>561891</v>
      </c>
      <c r="L180" s="709"/>
      <c r="M180" s="710"/>
      <c r="N180" s="710"/>
      <c r="O180" s="710"/>
      <c r="P180" s="710"/>
      <c r="Q180" s="710"/>
      <c r="R180" s="710"/>
      <c r="S180" s="710"/>
      <c r="T180" s="710"/>
      <c r="U180" s="710"/>
      <c r="V180" s="710"/>
      <c r="W180" s="710"/>
      <c r="AC180" s="2312">
        <v>17</v>
      </c>
      <c r="AD180" s="2318" t="s">
        <v>2754</v>
      </c>
    </row>
    <row r="181" spans="1:30" ht="11.25" customHeight="1" x14ac:dyDescent="0.25">
      <c r="A181" s="136" t="str">
        <f t="shared" si="18"/>
        <v>1.8 - Information Technology</v>
      </c>
      <c r="B181" s="144"/>
      <c r="C181" s="712">
        <f>SUMIFS(Sheet1!S71_PPPYearAmount,Sheet1!S71_SubMunicipalVoteNo,$AC:$AC,Sheet1!S71_ItemType,$AD:$AD)</f>
        <v>1550729</v>
      </c>
      <c r="D181" s="712">
        <f>SUMIFS(Sheet1!S71_PPYearAmount,Sheet1!S71_SubMunicipalVoteNo,$AC:$AC,Sheet1!S71_ItemType,$AD:$AD)</f>
        <v>1112465</v>
      </c>
      <c r="E181" s="712">
        <f>SUMIFS(Sheet1!S71_PYearAmount,Sheet1!S71_SubMunicipalVoteNo,$AC:$AC,Sheet1!S71_ItemType,$AD:$AD)</f>
        <v>3460653</v>
      </c>
      <c r="F181" s="725">
        <f>SUMIFS(Sheet1!S71_OriginalBudAmnt,Sheet1!S71_SubMunicipalVoteNo,$AC:$AC,Sheet1!S71_ItemType,$AD:$AD)</f>
        <v>1595000</v>
      </c>
      <c r="G181" s="712">
        <f>SUMIFS(Sheet1!S71_AdjustmentBudAmnt,Sheet1!S71_SubMunicipalVoteNo,$AC:$AC,Sheet1!S71_ItemType,$AD:$AD)</f>
        <v>2315000</v>
      </c>
      <c r="H181" s="713">
        <f>SUMIFS(Sheet1!S71_AdjustmentBudAmnt,Sheet1!S71_SubMunicipalVoteNo,$AC:$AC,Sheet1!S71_ItemType,$AD:$AD)</f>
        <v>2315000</v>
      </c>
      <c r="I181" s="725">
        <f>SUMIFS(Sheet1!S71_ASBudgetAmount,Sheet1!S71_SubMunicipalVoteNo,$AC:$AC,Sheet1!S71_ItemType,$AD:$AD)</f>
        <v>2421285</v>
      </c>
      <c r="J181" s="712">
        <f>SUMIFS(Sheet1!S71_OY1BudgetAmount,Sheet1!S71_SubMunicipalVoteNo,$AC:$AC,Sheet1!S71_ItemType,$AD:$AD)</f>
        <v>2554496</v>
      </c>
      <c r="K181" s="713">
        <f>SUMIFS(Sheet1!S71_OY2BudgetAmount,Sheet1!S71_SubMunicipalVoteNo,$AC:$AC,Sheet1!S71_ItemType,$AD:$AD)</f>
        <v>2657736</v>
      </c>
      <c r="L181" s="709"/>
      <c r="M181" s="710"/>
      <c r="N181" s="710"/>
      <c r="O181" s="710"/>
      <c r="P181" s="710"/>
      <c r="Q181" s="710"/>
      <c r="R181" s="710"/>
      <c r="S181" s="710"/>
      <c r="T181" s="710"/>
      <c r="U181" s="710"/>
      <c r="V181" s="710"/>
      <c r="W181" s="710"/>
      <c r="AC181" s="2312">
        <v>18</v>
      </c>
      <c r="AD181" s="2318" t="s">
        <v>2754</v>
      </c>
    </row>
    <row r="182" spans="1:30" ht="11.25" customHeight="1" x14ac:dyDescent="0.25">
      <c r="A182" s="136" t="str">
        <f t="shared" si="18"/>
        <v>1.9 - Marketing, Customer Relations, Publicity and Media Co-ordination</v>
      </c>
      <c r="B182" s="144"/>
      <c r="C182" s="712">
        <f>SUMIFS(Sheet1!S71_PPPYearAmount,Sheet1!S71_SubMunicipalVoteNo,$AC:$AC,Sheet1!S71_ItemType,$AD:$AD)</f>
        <v>646223</v>
      </c>
      <c r="D182" s="712">
        <f>SUMIFS(Sheet1!S71_PPYearAmount,Sheet1!S71_SubMunicipalVoteNo,$AC:$AC,Sheet1!S71_ItemType,$AD:$AD)</f>
        <v>0</v>
      </c>
      <c r="E182" s="712">
        <f>SUMIFS(Sheet1!S71_PYearAmount,Sheet1!S71_SubMunicipalVoteNo,$AC:$AC,Sheet1!S71_ItemType,$AD:$AD)</f>
        <v>0</v>
      </c>
      <c r="F182" s="725">
        <f>SUMIFS(Sheet1!S71_OriginalBudAmnt,Sheet1!S71_SubMunicipalVoteNo,$AC:$AC,Sheet1!S71_ItemType,$AD:$AD)</f>
        <v>0</v>
      </c>
      <c r="G182" s="712">
        <f>SUMIFS(Sheet1!S71_AdjustmentBudAmnt,Sheet1!S71_SubMunicipalVoteNo,$AC:$AC,Sheet1!S71_ItemType,$AD:$AD)</f>
        <v>0</v>
      </c>
      <c r="H182" s="713">
        <f>SUMIFS(Sheet1!S71_AdjustmentBudAmnt,Sheet1!S71_SubMunicipalVoteNo,$AC:$AC,Sheet1!S71_ItemType,$AD:$AD)</f>
        <v>0</v>
      </c>
      <c r="I182" s="725">
        <f>SUMIFS(Sheet1!S71_ASBudgetAmount,Sheet1!S71_SubMunicipalVoteNo,$AC:$AC,Sheet1!S71_ItemType,$AD:$AD)</f>
        <v>0</v>
      </c>
      <c r="J182" s="712">
        <f>SUMIFS(Sheet1!S71_OY1BudgetAmount,Sheet1!S71_SubMunicipalVoteNo,$AC:$AC,Sheet1!S71_ItemType,$AD:$AD)</f>
        <v>0</v>
      </c>
      <c r="K182" s="713">
        <f>SUMIFS(Sheet1!S71_OY2BudgetAmount,Sheet1!S71_SubMunicipalVoteNo,$AC:$AC,Sheet1!S71_ItemType,$AD:$AD)</f>
        <v>0</v>
      </c>
      <c r="L182" s="709"/>
      <c r="M182" s="710"/>
      <c r="N182" s="710"/>
      <c r="O182" s="710"/>
      <c r="P182" s="710"/>
      <c r="Q182" s="710"/>
      <c r="R182" s="710"/>
      <c r="S182" s="710"/>
      <c r="T182" s="710"/>
      <c r="U182" s="710"/>
      <c r="V182" s="710"/>
      <c r="W182" s="710"/>
      <c r="AC182" s="2312">
        <v>19</v>
      </c>
      <c r="AD182" s="2318" t="s">
        <v>2754</v>
      </c>
    </row>
    <row r="183" spans="1:30" ht="11.25" customHeight="1" x14ac:dyDescent="0.25">
      <c r="A183" s="136" t="str">
        <f t="shared" si="18"/>
        <v/>
      </c>
      <c r="B183" s="144"/>
      <c r="C183" s="712">
        <f>SUMIFS(Sheet1!S71_PPPYearAmount,Sheet1!S71_SubMunicipalVoteNo,$AC:$AC,Sheet1!S71_ItemType,$AD:$AD)</f>
        <v>0</v>
      </c>
      <c r="D183" s="712">
        <f>SUMIFS(Sheet1!S71_PPYearAmount,Sheet1!S71_SubMunicipalVoteNo,$AC:$AC,Sheet1!S71_ItemType,$AD:$AD)</f>
        <v>0</v>
      </c>
      <c r="E183" s="712">
        <f>SUMIFS(Sheet1!S71_PYearAmount,Sheet1!S71_SubMunicipalVoteNo,$AC:$AC,Sheet1!S71_ItemType,$AD:$AD)</f>
        <v>0</v>
      </c>
      <c r="F183" s="725">
        <f>SUMIFS(Sheet1!S71_OriginalBudAmnt,Sheet1!S71_SubMunicipalVoteNo,$AC:$AC,Sheet1!S71_ItemType,$AD:$AD)</f>
        <v>0</v>
      </c>
      <c r="G183" s="712">
        <f>SUMIFS(Sheet1!S71_AdjustmentBudAmnt,Sheet1!S71_SubMunicipalVoteNo,$AC:$AC,Sheet1!S71_ItemType,$AD:$AD)</f>
        <v>0</v>
      </c>
      <c r="H183" s="713">
        <f>SUMIFS(Sheet1!S71_AdjustmentBudAmnt,Sheet1!S71_SubMunicipalVoteNo,$AC:$AC,Sheet1!S71_ItemType,$AD:$AD)</f>
        <v>0</v>
      </c>
      <c r="I183" s="725">
        <f>SUMIFS(Sheet1!S71_ASBudgetAmount,Sheet1!S71_SubMunicipalVoteNo,$AC:$AC,Sheet1!S71_ItemType,$AD:$AD)</f>
        <v>0</v>
      </c>
      <c r="J183" s="712">
        <f>SUMIFS(Sheet1!S71_OY1BudgetAmount,Sheet1!S71_SubMunicipalVoteNo,$AC:$AC,Sheet1!S71_ItemType,$AD:$AD)</f>
        <v>0</v>
      </c>
      <c r="K183" s="713">
        <f>SUMIFS(Sheet1!S71_OY2BudgetAmount,Sheet1!S71_SubMunicipalVoteNo,$AC:$AC,Sheet1!S71_ItemType,$AD:$AD)</f>
        <v>0</v>
      </c>
      <c r="L183" s="709"/>
      <c r="M183" s="710"/>
      <c r="N183" s="710"/>
      <c r="O183" s="710"/>
      <c r="P183" s="710"/>
      <c r="Q183" s="710"/>
      <c r="R183" s="710"/>
      <c r="S183" s="710"/>
      <c r="T183" s="710"/>
      <c r="U183" s="710"/>
      <c r="V183" s="710"/>
      <c r="W183" s="710"/>
      <c r="AC183" s="2312">
        <v>110</v>
      </c>
      <c r="AD183" s="2318" t="s">
        <v>2754</v>
      </c>
    </row>
    <row r="184" spans="1:30" ht="15" customHeight="1" x14ac:dyDescent="0.25">
      <c r="A184" s="135" t="str">
        <f>A16</f>
        <v>Vote 2 - Finance and Administration2</v>
      </c>
      <c r="B184" s="211"/>
      <c r="C184" s="212">
        <f>SUM(C185:C194)</f>
        <v>17550</v>
      </c>
      <c r="D184" s="212">
        <f>SUM(D185:D194)</f>
        <v>2465</v>
      </c>
      <c r="E184" s="213">
        <f t="shared" ref="E184:K184" si="19">SUM(E185:E194)</f>
        <v>70542</v>
      </c>
      <c r="F184" s="214">
        <f t="shared" si="19"/>
        <v>650000</v>
      </c>
      <c r="G184" s="212">
        <f t="shared" si="19"/>
        <v>150000</v>
      </c>
      <c r="H184" s="215">
        <f t="shared" si="19"/>
        <v>150000</v>
      </c>
      <c r="I184" s="216">
        <f t="shared" si="19"/>
        <v>250000</v>
      </c>
      <c r="J184" s="212">
        <f t="shared" si="19"/>
        <v>275000</v>
      </c>
      <c r="K184" s="213">
        <f t="shared" si="19"/>
        <v>302500</v>
      </c>
      <c r="L184" s="723"/>
      <c r="M184" s="735"/>
      <c r="N184" s="735"/>
      <c r="O184" s="735"/>
      <c r="P184" s="735"/>
      <c r="Q184" s="735"/>
      <c r="R184" s="735"/>
      <c r="S184" s="735"/>
      <c r="T184" s="735"/>
      <c r="U184" s="735"/>
      <c r="V184" s="735"/>
      <c r="W184" s="735"/>
      <c r="AD184" s="2315"/>
    </row>
    <row r="185" spans="1:30" ht="11.25" customHeight="1" x14ac:dyDescent="0.25">
      <c r="A185" s="136" t="str">
        <f t="shared" ref="A185:A194" si="20">A17</f>
        <v>2.1 - Supply Chain Management</v>
      </c>
      <c r="B185" s="144"/>
      <c r="C185" s="712">
        <f>SUMIFS(Sheet1!S71_PPPYearAmount,Sheet1!S71_SubMunicipalVoteNo,$AC:$AC,Sheet1!S71_ItemType,$AD:$AD)</f>
        <v>17550</v>
      </c>
      <c r="D185" s="712">
        <f>SUMIFS(Sheet1!S71_PPYearAmount,Sheet1!S71_SubMunicipalVoteNo,$AC:$AC,Sheet1!S71_ItemType,$AD:$AD)</f>
        <v>2465</v>
      </c>
      <c r="E185" s="712">
        <f>SUMIFS(Sheet1!S71_PYearAmount,Sheet1!S71_SubMunicipalVoteNo,$AC:$AC,Sheet1!S71_ItemType,$AD:$AD)</f>
        <v>70542</v>
      </c>
      <c r="F185" s="725">
        <f>SUMIFS(Sheet1!S71_OriginalBudAmnt,Sheet1!S71_SubMunicipalVoteNo,$AC:$AC,Sheet1!S71_ItemType,$AD:$AD)</f>
        <v>650000</v>
      </c>
      <c r="G185" s="712">
        <f>SUMIFS(Sheet1!S71_AdjustmentBudAmnt,Sheet1!S71_SubMunicipalVoteNo,$AC:$AC,Sheet1!S71_ItemType,$AD:$AD)</f>
        <v>150000</v>
      </c>
      <c r="H185" s="713">
        <f>SUMIFS(Sheet1!S71_AdjustmentBudAmnt,Sheet1!S71_SubMunicipalVoteNo,$AC:$AC,Sheet1!S71_ItemType,$AD:$AD)</f>
        <v>150000</v>
      </c>
      <c r="I185" s="725">
        <f>SUMIFS(Sheet1!S71_ASBudgetAmount,Sheet1!S71_SubMunicipalVoteNo,$AC:$AC,Sheet1!S71_ItemType,$AD:$AD)</f>
        <v>250000</v>
      </c>
      <c r="J185" s="712">
        <f>SUMIFS(Sheet1!S71_OY1BudgetAmount,Sheet1!S71_SubMunicipalVoteNo,$AC:$AC,Sheet1!S71_ItemType,$AD:$AD)</f>
        <v>275000</v>
      </c>
      <c r="K185" s="713">
        <f>SUMIFS(Sheet1!S71_OY2BudgetAmount,Sheet1!S71_SubMunicipalVoteNo,$AC:$AC,Sheet1!S71_ItemType,$AD:$AD)</f>
        <v>302500</v>
      </c>
      <c r="L185" s="723"/>
      <c r="M185" s="735"/>
      <c r="N185" s="735"/>
      <c r="O185" s="735"/>
      <c r="P185" s="735"/>
      <c r="Q185" s="735"/>
      <c r="R185" s="735"/>
      <c r="S185" s="735"/>
      <c r="T185" s="735"/>
      <c r="U185" s="735"/>
      <c r="V185" s="735"/>
      <c r="W185" s="735"/>
      <c r="AC185" s="2312">
        <v>21</v>
      </c>
      <c r="AD185" s="2318" t="s">
        <v>2754</v>
      </c>
    </row>
    <row r="186" spans="1:30" ht="11.25" customHeight="1" x14ac:dyDescent="0.25">
      <c r="A186" s="136" t="str">
        <f t="shared" si="20"/>
        <v/>
      </c>
      <c r="B186" s="144"/>
      <c r="C186" s="712">
        <f>SUMIFS(Sheet1!S71_PPPYearAmount,Sheet1!S71_SubMunicipalVoteNo,$AC:$AC,Sheet1!S71_ItemType,$AD:$AD)</f>
        <v>0</v>
      </c>
      <c r="D186" s="712">
        <f>SUMIFS(Sheet1!S71_PPYearAmount,Sheet1!S71_SubMunicipalVoteNo,$AC:$AC,Sheet1!S71_ItemType,$AD:$AD)</f>
        <v>0</v>
      </c>
      <c r="E186" s="712">
        <f>SUMIFS(Sheet1!S71_PYearAmount,Sheet1!S71_SubMunicipalVoteNo,$AC:$AC,Sheet1!S71_ItemType,$AD:$AD)</f>
        <v>0</v>
      </c>
      <c r="F186" s="725">
        <f>SUMIFS(Sheet1!S71_OriginalBudAmnt,Sheet1!S71_SubMunicipalVoteNo,$AC:$AC,Sheet1!S71_ItemType,$AD:$AD)</f>
        <v>0</v>
      </c>
      <c r="G186" s="712">
        <f>SUMIFS(Sheet1!S71_AdjustmentBudAmnt,Sheet1!S71_SubMunicipalVoteNo,$AC:$AC,Sheet1!S71_ItemType,$AD:$AD)</f>
        <v>0</v>
      </c>
      <c r="H186" s="713">
        <f>SUMIFS(Sheet1!S71_AdjustmentBudAmnt,Sheet1!S71_SubMunicipalVoteNo,$AC:$AC,Sheet1!S71_ItemType,$AD:$AD)</f>
        <v>0</v>
      </c>
      <c r="I186" s="725">
        <f>SUMIFS(Sheet1!S71_ASBudgetAmount,Sheet1!S71_SubMunicipalVoteNo,$AC:$AC,Sheet1!S71_ItemType,$AD:$AD)</f>
        <v>0</v>
      </c>
      <c r="J186" s="712">
        <f>SUMIFS(Sheet1!S71_OY1BudgetAmount,Sheet1!S71_SubMunicipalVoteNo,$AC:$AC,Sheet1!S71_ItemType,$AD:$AD)</f>
        <v>0</v>
      </c>
      <c r="K186" s="713">
        <f>SUMIFS(Sheet1!S71_OY2BudgetAmount,Sheet1!S71_SubMunicipalVoteNo,$AC:$AC,Sheet1!S71_ItemType,$AD:$AD)</f>
        <v>0</v>
      </c>
      <c r="L186" s="723"/>
      <c r="M186" s="735"/>
      <c r="N186" s="735"/>
      <c r="O186" s="735"/>
      <c r="P186" s="735"/>
      <c r="Q186" s="735"/>
      <c r="R186" s="735"/>
      <c r="S186" s="735"/>
      <c r="T186" s="735"/>
      <c r="U186" s="735"/>
      <c r="V186" s="735"/>
      <c r="W186" s="735"/>
      <c r="AC186" s="2312">
        <v>22</v>
      </c>
      <c r="AD186" s="2318" t="s">
        <v>2754</v>
      </c>
    </row>
    <row r="187" spans="1:30" ht="11.25" customHeight="1" x14ac:dyDescent="0.25">
      <c r="A187" s="136" t="str">
        <f t="shared" si="20"/>
        <v/>
      </c>
      <c r="B187" s="144"/>
      <c r="C187" s="712">
        <f>SUMIFS(Sheet1!S71_PPPYearAmount,Sheet1!S71_SubMunicipalVoteNo,$AC:$AC,Sheet1!S71_ItemType,$AD:$AD)</f>
        <v>0</v>
      </c>
      <c r="D187" s="712">
        <f>SUMIFS(Sheet1!S71_PPYearAmount,Sheet1!S71_SubMunicipalVoteNo,$AC:$AC,Sheet1!S71_ItemType,$AD:$AD)</f>
        <v>0</v>
      </c>
      <c r="E187" s="712">
        <f>SUMIFS(Sheet1!S71_PYearAmount,Sheet1!S71_SubMunicipalVoteNo,$AC:$AC,Sheet1!S71_ItemType,$AD:$AD)</f>
        <v>0</v>
      </c>
      <c r="F187" s="725">
        <f>SUMIFS(Sheet1!S71_OriginalBudAmnt,Sheet1!S71_SubMunicipalVoteNo,$AC:$AC,Sheet1!S71_ItemType,$AD:$AD)</f>
        <v>0</v>
      </c>
      <c r="G187" s="712">
        <f>SUMIFS(Sheet1!S71_AdjustmentBudAmnt,Sheet1!S71_SubMunicipalVoteNo,$AC:$AC,Sheet1!S71_ItemType,$AD:$AD)</f>
        <v>0</v>
      </c>
      <c r="H187" s="713">
        <f>SUMIFS(Sheet1!S71_AdjustmentBudAmnt,Sheet1!S71_SubMunicipalVoteNo,$AC:$AC,Sheet1!S71_ItemType,$AD:$AD)</f>
        <v>0</v>
      </c>
      <c r="I187" s="725">
        <f>SUMIFS(Sheet1!S71_ASBudgetAmount,Sheet1!S71_SubMunicipalVoteNo,$AC:$AC,Sheet1!S71_ItemType,$AD:$AD)</f>
        <v>0</v>
      </c>
      <c r="J187" s="712">
        <f>SUMIFS(Sheet1!S71_OY1BudgetAmount,Sheet1!S71_SubMunicipalVoteNo,$AC:$AC,Sheet1!S71_ItemType,$AD:$AD)</f>
        <v>0</v>
      </c>
      <c r="K187" s="713">
        <f>SUMIFS(Sheet1!S71_OY2BudgetAmount,Sheet1!S71_SubMunicipalVoteNo,$AC:$AC,Sheet1!S71_ItemType,$AD:$AD)</f>
        <v>0</v>
      </c>
      <c r="L187" s="723"/>
      <c r="M187" s="735"/>
      <c r="N187" s="735"/>
      <c r="O187" s="735"/>
      <c r="P187" s="735"/>
      <c r="Q187" s="735"/>
      <c r="R187" s="735"/>
      <c r="S187" s="735"/>
      <c r="T187" s="735"/>
      <c r="U187" s="735"/>
      <c r="V187" s="735"/>
      <c r="W187" s="735"/>
      <c r="AC187" s="2312">
        <v>23</v>
      </c>
      <c r="AD187" s="2318" t="s">
        <v>2754</v>
      </c>
    </row>
    <row r="188" spans="1:30" ht="11.25" customHeight="1" x14ac:dyDescent="0.25">
      <c r="A188" s="136" t="str">
        <f t="shared" si="20"/>
        <v/>
      </c>
      <c r="B188" s="144"/>
      <c r="C188" s="712">
        <f>SUMIFS(Sheet1!S71_PPPYearAmount,Sheet1!S71_SubMunicipalVoteNo,$AC:$AC,Sheet1!S71_ItemType,$AD:$AD)</f>
        <v>0</v>
      </c>
      <c r="D188" s="712">
        <f>SUMIFS(Sheet1!S71_PPYearAmount,Sheet1!S71_SubMunicipalVoteNo,$AC:$AC,Sheet1!S71_ItemType,$AD:$AD)</f>
        <v>0</v>
      </c>
      <c r="E188" s="712">
        <f>SUMIFS(Sheet1!S71_PYearAmount,Sheet1!S71_SubMunicipalVoteNo,$AC:$AC,Sheet1!S71_ItemType,$AD:$AD)</f>
        <v>0</v>
      </c>
      <c r="F188" s="725">
        <f>SUMIFS(Sheet1!S71_OriginalBudAmnt,Sheet1!S71_SubMunicipalVoteNo,$AC:$AC,Sheet1!S71_ItemType,$AD:$AD)</f>
        <v>0</v>
      </c>
      <c r="G188" s="712">
        <f>SUMIFS(Sheet1!S71_AdjustmentBudAmnt,Sheet1!S71_SubMunicipalVoteNo,$AC:$AC,Sheet1!S71_ItemType,$AD:$AD)</f>
        <v>0</v>
      </c>
      <c r="H188" s="713">
        <f>SUMIFS(Sheet1!S71_AdjustmentBudAmnt,Sheet1!S71_SubMunicipalVoteNo,$AC:$AC,Sheet1!S71_ItemType,$AD:$AD)</f>
        <v>0</v>
      </c>
      <c r="I188" s="725">
        <f>SUMIFS(Sheet1!S71_ASBudgetAmount,Sheet1!S71_SubMunicipalVoteNo,$AC:$AC,Sheet1!S71_ItemType,$AD:$AD)</f>
        <v>0</v>
      </c>
      <c r="J188" s="712">
        <f>SUMIFS(Sheet1!S71_OY1BudgetAmount,Sheet1!S71_SubMunicipalVoteNo,$AC:$AC,Sheet1!S71_ItemType,$AD:$AD)</f>
        <v>0</v>
      </c>
      <c r="K188" s="713">
        <f>SUMIFS(Sheet1!S71_OY2BudgetAmount,Sheet1!S71_SubMunicipalVoteNo,$AC:$AC,Sheet1!S71_ItemType,$AD:$AD)</f>
        <v>0</v>
      </c>
      <c r="L188" s="723"/>
      <c r="M188" s="735"/>
      <c r="N188" s="735"/>
      <c r="O188" s="735"/>
      <c r="P188" s="735"/>
      <c r="Q188" s="735"/>
      <c r="R188" s="735"/>
      <c r="S188" s="735"/>
      <c r="T188" s="735"/>
      <c r="U188" s="735"/>
      <c r="V188" s="735"/>
      <c r="W188" s="735"/>
      <c r="AC188" s="2312">
        <v>24</v>
      </c>
      <c r="AD188" s="2318" t="s">
        <v>2754</v>
      </c>
    </row>
    <row r="189" spans="1:30" ht="11.25" customHeight="1" x14ac:dyDescent="0.25">
      <c r="A189" s="136" t="str">
        <f t="shared" si="20"/>
        <v/>
      </c>
      <c r="B189" s="144"/>
      <c r="C189" s="712">
        <f>SUMIFS(Sheet1!S71_PPPYearAmount,Sheet1!S71_SubMunicipalVoteNo,$AC:$AC,Sheet1!S71_ItemType,$AD:$AD)</f>
        <v>0</v>
      </c>
      <c r="D189" s="712">
        <f>SUMIFS(Sheet1!S71_PPYearAmount,Sheet1!S71_SubMunicipalVoteNo,$AC:$AC,Sheet1!S71_ItemType,$AD:$AD)</f>
        <v>0</v>
      </c>
      <c r="E189" s="712">
        <f>SUMIFS(Sheet1!S71_PYearAmount,Sheet1!S71_SubMunicipalVoteNo,$AC:$AC,Sheet1!S71_ItemType,$AD:$AD)</f>
        <v>0</v>
      </c>
      <c r="F189" s="725">
        <f>SUMIFS(Sheet1!S71_OriginalBudAmnt,Sheet1!S71_SubMunicipalVoteNo,$AC:$AC,Sheet1!S71_ItemType,$AD:$AD)</f>
        <v>0</v>
      </c>
      <c r="G189" s="712">
        <f>SUMIFS(Sheet1!S71_AdjustmentBudAmnt,Sheet1!S71_SubMunicipalVoteNo,$AC:$AC,Sheet1!S71_ItemType,$AD:$AD)</f>
        <v>0</v>
      </c>
      <c r="H189" s="713">
        <f>SUMIFS(Sheet1!S71_AdjustmentBudAmnt,Sheet1!S71_SubMunicipalVoteNo,$AC:$AC,Sheet1!S71_ItemType,$AD:$AD)</f>
        <v>0</v>
      </c>
      <c r="I189" s="725">
        <f>SUMIFS(Sheet1!S71_ASBudgetAmount,Sheet1!S71_SubMunicipalVoteNo,$AC:$AC,Sheet1!S71_ItemType,$AD:$AD)</f>
        <v>0</v>
      </c>
      <c r="J189" s="712">
        <f>SUMIFS(Sheet1!S71_OY1BudgetAmount,Sheet1!S71_SubMunicipalVoteNo,$AC:$AC,Sheet1!S71_ItemType,$AD:$AD)</f>
        <v>0</v>
      </c>
      <c r="K189" s="713">
        <f>SUMIFS(Sheet1!S71_OY2BudgetAmount,Sheet1!S71_SubMunicipalVoteNo,$AC:$AC,Sheet1!S71_ItemType,$AD:$AD)</f>
        <v>0</v>
      </c>
      <c r="L189" s="723"/>
      <c r="M189" s="735"/>
      <c r="N189" s="735"/>
      <c r="O189" s="735"/>
      <c r="P189" s="735"/>
      <c r="Q189" s="735"/>
      <c r="R189" s="735"/>
      <c r="S189" s="735"/>
      <c r="T189" s="735"/>
      <c r="U189" s="735"/>
      <c r="V189" s="735"/>
      <c r="W189" s="735"/>
      <c r="AC189" s="2312">
        <v>25</v>
      </c>
      <c r="AD189" s="2318" t="s">
        <v>2754</v>
      </c>
    </row>
    <row r="190" spans="1:30" ht="11.25" customHeight="1" x14ac:dyDescent="0.25">
      <c r="A190" s="136" t="str">
        <f t="shared" si="20"/>
        <v/>
      </c>
      <c r="B190" s="144"/>
      <c r="C190" s="712">
        <f>SUMIFS(Sheet1!S71_PPPYearAmount,Sheet1!S71_SubMunicipalVoteNo,$AC:$AC,Sheet1!S71_ItemType,$AD:$AD)</f>
        <v>0</v>
      </c>
      <c r="D190" s="712">
        <f>SUMIFS(Sheet1!S71_PPYearAmount,Sheet1!S71_SubMunicipalVoteNo,$AC:$AC,Sheet1!S71_ItemType,$AD:$AD)</f>
        <v>0</v>
      </c>
      <c r="E190" s="712">
        <f>SUMIFS(Sheet1!S71_PYearAmount,Sheet1!S71_SubMunicipalVoteNo,$AC:$AC,Sheet1!S71_ItemType,$AD:$AD)</f>
        <v>0</v>
      </c>
      <c r="F190" s="725">
        <f>SUMIFS(Sheet1!S71_OriginalBudAmnt,Sheet1!S71_SubMunicipalVoteNo,$AC:$AC,Sheet1!S71_ItemType,$AD:$AD)</f>
        <v>0</v>
      </c>
      <c r="G190" s="712">
        <f>SUMIFS(Sheet1!S71_AdjustmentBudAmnt,Sheet1!S71_SubMunicipalVoteNo,$AC:$AC,Sheet1!S71_ItemType,$AD:$AD)</f>
        <v>0</v>
      </c>
      <c r="H190" s="713">
        <f>SUMIFS(Sheet1!S71_AdjustmentBudAmnt,Sheet1!S71_SubMunicipalVoteNo,$AC:$AC,Sheet1!S71_ItemType,$AD:$AD)</f>
        <v>0</v>
      </c>
      <c r="I190" s="725">
        <f>SUMIFS(Sheet1!S71_ASBudgetAmount,Sheet1!S71_SubMunicipalVoteNo,$AC:$AC,Sheet1!S71_ItemType,$AD:$AD)</f>
        <v>0</v>
      </c>
      <c r="J190" s="712">
        <f>SUMIFS(Sheet1!S71_OY1BudgetAmount,Sheet1!S71_SubMunicipalVoteNo,$AC:$AC,Sheet1!S71_ItemType,$AD:$AD)</f>
        <v>0</v>
      </c>
      <c r="K190" s="713">
        <f>SUMIFS(Sheet1!S71_OY2BudgetAmount,Sheet1!S71_SubMunicipalVoteNo,$AC:$AC,Sheet1!S71_ItemType,$AD:$AD)</f>
        <v>0</v>
      </c>
      <c r="L190" s="723"/>
      <c r="M190" s="735"/>
      <c r="N190" s="735"/>
      <c r="O190" s="735"/>
      <c r="P190" s="735"/>
      <c r="Q190" s="735"/>
      <c r="R190" s="735"/>
      <c r="S190" s="735"/>
      <c r="T190" s="735"/>
      <c r="U190" s="735"/>
      <c r="V190" s="735"/>
      <c r="W190" s="735"/>
      <c r="AC190" s="2312">
        <v>26</v>
      </c>
      <c r="AD190" s="2318" t="s">
        <v>2754</v>
      </c>
    </row>
    <row r="191" spans="1:30" ht="11.25" customHeight="1" x14ac:dyDescent="0.25">
      <c r="A191" s="136" t="str">
        <f t="shared" si="20"/>
        <v/>
      </c>
      <c r="B191" s="144"/>
      <c r="C191" s="712">
        <f>SUMIFS(Sheet1!S71_PPPYearAmount,Sheet1!S71_SubMunicipalVoteNo,$AC:$AC,Sheet1!S71_ItemType,$AD:$AD)</f>
        <v>0</v>
      </c>
      <c r="D191" s="712">
        <f>SUMIFS(Sheet1!S71_PPYearAmount,Sheet1!S71_SubMunicipalVoteNo,$AC:$AC,Sheet1!S71_ItemType,$AD:$AD)</f>
        <v>0</v>
      </c>
      <c r="E191" s="712">
        <f>SUMIFS(Sheet1!S71_PYearAmount,Sheet1!S71_SubMunicipalVoteNo,$AC:$AC,Sheet1!S71_ItemType,$AD:$AD)</f>
        <v>0</v>
      </c>
      <c r="F191" s="725">
        <f>SUMIFS(Sheet1!S71_OriginalBudAmnt,Sheet1!S71_SubMunicipalVoteNo,$AC:$AC,Sheet1!S71_ItemType,$AD:$AD)</f>
        <v>0</v>
      </c>
      <c r="G191" s="712">
        <f>SUMIFS(Sheet1!S71_AdjustmentBudAmnt,Sheet1!S71_SubMunicipalVoteNo,$AC:$AC,Sheet1!S71_ItemType,$AD:$AD)</f>
        <v>0</v>
      </c>
      <c r="H191" s="713">
        <f>SUMIFS(Sheet1!S71_AdjustmentBudAmnt,Sheet1!S71_SubMunicipalVoteNo,$AC:$AC,Sheet1!S71_ItemType,$AD:$AD)</f>
        <v>0</v>
      </c>
      <c r="I191" s="725">
        <f>SUMIFS(Sheet1!S71_ASBudgetAmount,Sheet1!S71_SubMunicipalVoteNo,$AC:$AC,Sheet1!S71_ItemType,$AD:$AD)</f>
        <v>0</v>
      </c>
      <c r="J191" s="712">
        <f>SUMIFS(Sheet1!S71_OY1BudgetAmount,Sheet1!S71_SubMunicipalVoteNo,$AC:$AC,Sheet1!S71_ItemType,$AD:$AD)</f>
        <v>0</v>
      </c>
      <c r="K191" s="713">
        <f>SUMIFS(Sheet1!S71_OY2BudgetAmount,Sheet1!S71_SubMunicipalVoteNo,$AC:$AC,Sheet1!S71_ItemType,$AD:$AD)</f>
        <v>0</v>
      </c>
      <c r="L191" s="723"/>
      <c r="M191" s="735"/>
      <c r="N191" s="735"/>
      <c r="O191" s="735"/>
      <c r="P191" s="735"/>
      <c r="Q191" s="735"/>
      <c r="R191" s="735"/>
      <c r="S191" s="735"/>
      <c r="T191" s="735"/>
      <c r="U191" s="735"/>
      <c r="V191" s="735"/>
      <c r="W191" s="735"/>
      <c r="AC191" s="2312">
        <v>27</v>
      </c>
      <c r="AD191" s="2318" t="s">
        <v>2754</v>
      </c>
    </row>
    <row r="192" spans="1:30" ht="11.25" customHeight="1" x14ac:dyDescent="0.25">
      <c r="A192" s="136" t="str">
        <f t="shared" si="20"/>
        <v/>
      </c>
      <c r="B192" s="144"/>
      <c r="C192" s="712">
        <f>SUMIFS(Sheet1!S71_PPPYearAmount,Sheet1!S71_SubMunicipalVoteNo,$AC:$AC,Sheet1!S71_ItemType,$AD:$AD)</f>
        <v>0</v>
      </c>
      <c r="D192" s="712">
        <f>SUMIFS(Sheet1!S71_PPYearAmount,Sheet1!S71_SubMunicipalVoteNo,$AC:$AC,Sheet1!S71_ItemType,$AD:$AD)</f>
        <v>0</v>
      </c>
      <c r="E192" s="712">
        <f>SUMIFS(Sheet1!S71_PYearAmount,Sheet1!S71_SubMunicipalVoteNo,$AC:$AC,Sheet1!S71_ItemType,$AD:$AD)</f>
        <v>0</v>
      </c>
      <c r="F192" s="725">
        <f>SUMIFS(Sheet1!S71_OriginalBudAmnt,Sheet1!S71_SubMunicipalVoteNo,$AC:$AC,Sheet1!S71_ItemType,$AD:$AD)</f>
        <v>0</v>
      </c>
      <c r="G192" s="712">
        <f>SUMIFS(Sheet1!S71_AdjustmentBudAmnt,Sheet1!S71_SubMunicipalVoteNo,$AC:$AC,Sheet1!S71_ItemType,$AD:$AD)</f>
        <v>0</v>
      </c>
      <c r="H192" s="713">
        <f>SUMIFS(Sheet1!S71_AdjustmentBudAmnt,Sheet1!S71_SubMunicipalVoteNo,$AC:$AC,Sheet1!S71_ItemType,$AD:$AD)</f>
        <v>0</v>
      </c>
      <c r="I192" s="725">
        <f>SUMIFS(Sheet1!S71_ASBudgetAmount,Sheet1!S71_SubMunicipalVoteNo,$AC:$AC,Sheet1!S71_ItemType,$AD:$AD)</f>
        <v>0</v>
      </c>
      <c r="J192" s="712">
        <f>SUMIFS(Sheet1!S71_OY1BudgetAmount,Sheet1!S71_SubMunicipalVoteNo,$AC:$AC,Sheet1!S71_ItemType,$AD:$AD)</f>
        <v>0</v>
      </c>
      <c r="K192" s="713">
        <f>SUMIFS(Sheet1!S71_OY2BudgetAmount,Sheet1!S71_SubMunicipalVoteNo,$AC:$AC,Sheet1!S71_ItemType,$AD:$AD)</f>
        <v>0</v>
      </c>
      <c r="L192" s="723"/>
      <c r="M192" s="735"/>
      <c r="N192" s="735"/>
      <c r="O192" s="735"/>
      <c r="P192" s="735"/>
      <c r="Q192" s="735"/>
      <c r="R192" s="735"/>
      <c r="S192" s="735"/>
      <c r="T192" s="735"/>
      <c r="U192" s="735"/>
      <c r="V192" s="735"/>
      <c r="W192" s="735"/>
      <c r="AC192" s="2312">
        <v>28</v>
      </c>
      <c r="AD192" s="2318" t="s">
        <v>2754</v>
      </c>
    </row>
    <row r="193" spans="1:30" ht="11.25" customHeight="1" x14ac:dyDescent="0.25">
      <c r="A193" s="136" t="str">
        <f t="shared" si="20"/>
        <v/>
      </c>
      <c r="B193" s="144"/>
      <c r="C193" s="712">
        <f>SUMIFS(Sheet1!S71_PPPYearAmount,Sheet1!S71_SubMunicipalVoteNo,$AC:$AC,Sheet1!S71_ItemType,$AD:$AD)</f>
        <v>0</v>
      </c>
      <c r="D193" s="712">
        <f>SUMIFS(Sheet1!S71_PPYearAmount,Sheet1!S71_SubMunicipalVoteNo,$AC:$AC,Sheet1!S71_ItemType,$AD:$AD)</f>
        <v>0</v>
      </c>
      <c r="E193" s="712">
        <f>SUMIFS(Sheet1!S71_PYearAmount,Sheet1!S71_SubMunicipalVoteNo,$AC:$AC,Sheet1!S71_ItemType,$AD:$AD)</f>
        <v>0</v>
      </c>
      <c r="F193" s="725">
        <f>SUMIFS(Sheet1!S71_OriginalBudAmnt,Sheet1!S71_SubMunicipalVoteNo,$AC:$AC,Sheet1!S71_ItemType,$AD:$AD)</f>
        <v>0</v>
      </c>
      <c r="G193" s="712">
        <f>SUMIFS(Sheet1!S71_AdjustmentBudAmnt,Sheet1!S71_SubMunicipalVoteNo,$AC:$AC,Sheet1!S71_ItemType,$AD:$AD)</f>
        <v>0</v>
      </c>
      <c r="H193" s="713">
        <f>SUMIFS(Sheet1!S71_AdjustmentBudAmnt,Sheet1!S71_SubMunicipalVoteNo,$AC:$AC,Sheet1!S71_ItemType,$AD:$AD)</f>
        <v>0</v>
      </c>
      <c r="I193" s="725">
        <f>SUMIFS(Sheet1!S71_ASBudgetAmount,Sheet1!S71_SubMunicipalVoteNo,$AC:$AC,Sheet1!S71_ItemType,$AD:$AD)</f>
        <v>0</v>
      </c>
      <c r="J193" s="712">
        <f>SUMIFS(Sheet1!S71_OY1BudgetAmount,Sheet1!S71_SubMunicipalVoteNo,$AC:$AC,Sheet1!S71_ItemType,$AD:$AD)</f>
        <v>0</v>
      </c>
      <c r="K193" s="713">
        <f>SUMIFS(Sheet1!S71_OY2BudgetAmount,Sheet1!S71_SubMunicipalVoteNo,$AC:$AC,Sheet1!S71_ItemType,$AD:$AD)</f>
        <v>0</v>
      </c>
      <c r="L193" s="723"/>
      <c r="M193" s="735"/>
      <c r="N193" s="735"/>
      <c r="O193" s="735"/>
      <c r="P193" s="735"/>
      <c r="Q193" s="735"/>
      <c r="R193" s="735"/>
      <c r="S193" s="735"/>
      <c r="T193" s="735"/>
      <c r="U193" s="735"/>
      <c r="V193" s="735"/>
      <c r="W193" s="735"/>
      <c r="AC193" s="2312">
        <v>29</v>
      </c>
      <c r="AD193" s="2318" t="s">
        <v>2754</v>
      </c>
    </row>
    <row r="194" spans="1:30" ht="11.25" customHeight="1" x14ac:dyDescent="0.25">
      <c r="A194" s="136" t="str">
        <f t="shared" si="20"/>
        <v/>
      </c>
      <c r="B194" s="144"/>
      <c r="C194" s="712">
        <f>SUMIFS(Sheet1!S71_PPPYearAmount,Sheet1!S71_SubMunicipalVoteNo,$AC:$AC,Sheet1!S71_ItemType,$AD:$AD)</f>
        <v>0</v>
      </c>
      <c r="D194" s="712">
        <f>SUMIFS(Sheet1!S71_PPYearAmount,Sheet1!S71_SubMunicipalVoteNo,$AC:$AC,Sheet1!S71_ItemType,$AD:$AD)</f>
        <v>0</v>
      </c>
      <c r="E194" s="712">
        <f>SUMIFS(Sheet1!S71_PYearAmount,Sheet1!S71_SubMunicipalVoteNo,$AC:$AC,Sheet1!S71_ItemType,$AD:$AD)</f>
        <v>0</v>
      </c>
      <c r="F194" s="725">
        <f>SUMIFS(Sheet1!S71_OriginalBudAmnt,Sheet1!S71_SubMunicipalVoteNo,$AC:$AC,Sheet1!S71_ItemType,$AD:$AD)</f>
        <v>0</v>
      </c>
      <c r="G194" s="712">
        <f>SUMIFS(Sheet1!S71_AdjustmentBudAmnt,Sheet1!S71_SubMunicipalVoteNo,$AC:$AC,Sheet1!S71_ItemType,$AD:$AD)</f>
        <v>0</v>
      </c>
      <c r="H194" s="713">
        <f>SUMIFS(Sheet1!S71_AdjustmentBudAmnt,Sheet1!S71_SubMunicipalVoteNo,$AC:$AC,Sheet1!S71_ItemType,$AD:$AD)</f>
        <v>0</v>
      </c>
      <c r="I194" s="725">
        <f>SUMIFS(Sheet1!S71_ASBudgetAmount,Sheet1!S71_SubMunicipalVoteNo,$AC:$AC,Sheet1!S71_ItemType,$AD:$AD)</f>
        <v>0</v>
      </c>
      <c r="J194" s="712">
        <f>SUMIFS(Sheet1!S71_OY1BudgetAmount,Sheet1!S71_SubMunicipalVoteNo,$AC:$AC,Sheet1!S71_ItemType,$AD:$AD)</f>
        <v>0</v>
      </c>
      <c r="K194" s="713">
        <f>SUMIFS(Sheet1!S71_OY2BudgetAmount,Sheet1!S71_SubMunicipalVoteNo,$AC:$AC,Sheet1!S71_ItemType,$AD:$AD)</f>
        <v>0</v>
      </c>
      <c r="L194" s="723"/>
      <c r="M194" s="735"/>
      <c r="N194" s="735"/>
      <c r="O194" s="735"/>
      <c r="P194" s="735"/>
      <c r="Q194" s="735"/>
      <c r="R194" s="735"/>
      <c r="S194" s="735"/>
      <c r="T194" s="735"/>
      <c r="U194" s="735"/>
      <c r="V194" s="735"/>
      <c r="W194" s="735"/>
      <c r="AC194" s="2312">
        <v>210</v>
      </c>
      <c r="AD194" s="2318" t="s">
        <v>2754</v>
      </c>
    </row>
    <row r="195" spans="1:30" ht="15" customHeight="1" x14ac:dyDescent="0.25">
      <c r="A195" s="135" t="str">
        <f t="shared" ref="A195:A206" si="21">A27</f>
        <v>Vote 3 - Executive and Council</v>
      </c>
      <c r="B195" s="211"/>
      <c r="C195" s="212">
        <f t="shared" ref="C195:K195" si="22">SUM(C196:C205)</f>
        <v>10424627</v>
      </c>
      <c r="D195" s="212">
        <f t="shared" si="22"/>
        <v>11232657</v>
      </c>
      <c r="E195" s="213">
        <f t="shared" si="22"/>
        <v>12619987</v>
      </c>
      <c r="F195" s="214">
        <f t="shared" si="22"/>
        <v>19001756</v>
      </c>
      <c r="G195" s="212">
        <f t="shared" si="22"/>
        <v>21401756</v>
      </c>
      <c r="H195" s="215">
        <f t="shared" si="22"/>
        <v>21401756</v>
      </c>
      <c r="I195" s="216">
        <f t="shared" si="22"/>
        <v>22480589</v>
      </c>
      <c r="J195" s="212">
        <f t="shared" si="22"/>
        <v>19014269</v>
      </c>
      <c r="K195" s="213">
        <f t="shared" si="22"/>
        <v>23013871</v>
      </c>
      <c r="L195" s="723"/>
      <c r="M195" s="735"/>
      <c r="N195" s="735"/>
      <c r="O195" s="735"/>
      <c r="P195" s="735"/>
      <c r="Q195" s="735"/>
      <c r="R195" s="735"/>
      <c r="S195" s="735"/>
      <c r="T195" s="735"/>
      <c r="U195" s="735"/>
      <c r="V195" s="735"/>
      <c r="W195" s="735"/>
      <c r="AD195" s="2315"/>
    </row>
    <row r="196" spans="1:30" ht="11.25" customHeight="1" x14ac:dyDescent="0.25">
      <c r="A196" s="136" t="str">
        <f t="shared" si="21"/>
        <v>3.1 - Municipal Manager, Town Secretary and Chief Executive</v>
      </c>
      <c r="B196" s="144"/>
      <c r="C196" s="712">
        <f>SUMIFS(Sheet1!S71_PPPYearAmount,Sheet1!S71_SubMunicipalVoteNo,$AC:$AC,Sheet1!S71_ItemType,$AD:$AD)</f>
        <v>3533254</v>
      </c>
      <c r="D196" s="712">
        <f>SUMIFS(Sheet1!S71_PPYearAmount,Sheet1!S71_SubMunicipalVoteNo,$AC:$AC,Sheet1!S71_ItemType,$AD:$AD)</f>
        <v>2736777</v>
      </c>
      <c r="E196" s="712">
        <f>SUMIFS(Sheet1!S71_PYearAmount,Sheet1!S71_SubMunicipalVoteNo,$AC:$AC,Sheet1!S71_ItemType,$AD:$AD)</f>
        <v>3639842</v>
      </c>
      <c r="F196" s="725">
        <f>SUMIFS(Sheet1!S71_OriginalBudAmnt,Sheet1!S71_SubMunicipalVoteNo,$AC:$AC,Sheet1!S71_ItemType,$AD:$AD)</f>
        <v>11544835</v>
      </c>
      <c r="G196" s="712">
        <f>SUMIFS(Sheet1!S71_AdjustmentBudAmnt,Sheet1!S71_SubMunicipalVoteNo,$AC:$AC,Sheet1!S71_ItemType,$AD:$AD)</f>
        <v>13644835</v>
      </c>
      <c r="H196" s="713">
        <f>SUMIFS(Sheet1!S71_AdjustmentBudAmnt,Sheet1!S71_SubMunicipalVoteNo,$AC:$AC,Sheet1!S71_ItemType,$AD:$AD)</f>
        <v>13644835</v>
      </c>
      <c r="I196" s="725">
        <f>SUMIFS(Sheet1!S71_ASBudgetAmount,Sheet1!S71_SubMunicipalVoteNo,$AC:$AC,Sheet1!S71_ItemType,$AD:$AD)</f>
        <v>14351037</v>
      </c>
      <c r="J196" s="712">
        <f>SUMIFS(Sheet1!S71_OY1BudgetAmount,Sheet1!S71_SubMunicipalVoteNo,$AC:$AC,Sheet1!S71_ItemType,$AD:$AD)</f>
        <v>13480413</v>
      </c>
      <c r="K196" s="713">
        <f>SUMIFS(Sheet1!S71_OY2BudgetAmount,Sheet1!S71_SubMunicipalVoteNo,$AC:$AC,Sheet1!S71_ItemType,$AD:$AD)</f>
        <v>14212471</v>
      </c>
      <c r="L196" s="723"/>
      <c r="M196" s="735"/>
      <c r="N196" s="735"/>
      <c r="O196" s="735"/>
      <c r="P196" s="735"/>
      <c r="Q196" s="735"/>
      <c r="R196" s="735"/>
      <c r="S196" s="735"/>
      <c r="T196" s="735"/>
      <c r="U196" s="735"/>
      <c r="V196" s="735"/>
      <c r="W196" s="735"/>
      <c r="AC196" s="2312">
        <v>31</v>
      </c>
      <c r="AD196" s="2318" t="s">
        <v>2754</v>
      </c>
    </row>
    <row r="197" spans="1:30" ht="11.25" customHeight="1" x14ac:dyDescent="0.25">
      <c r="A197" s="136" t="str">
        <f t="shared" si="21"/>
        <v>3.2 - Mayor and Council</v>
      </c>
      <c r="B197" s="144"/>
      <c r="C197" s="712">
        <f>SUMIFS(Sheet1!S71_PPPYearAmount,Sheet1!S71_SubMunicipalVoteNo,$AC:$AC,Sheet1!S71_ItemType,$AD:$AD)</f>
        <v>6891373</v>
      </c>
      <c r="D197" s="712">
        <f>SUMIFS(Sheet1!S71_PPYearAmount,Sheet1!S71_SubMunicipalVoteNo,$AC:$AC,Sheet1!S71_ItemType,$AD:$AD)</f>
        <v>8495880</v>
      </c>
      <c r="E197" s="712">
        <f>SUMIFS(Sheet1!S71_PYearAmount,Sheet1!S71_SubMunicipalVoteNo,$AC:$AC,Sheet1!S71_ItemType,$AD:$AD)</f>
        <v>8980145</v>
      </c>
      <c r="F197" s="725">
        <f>SUMIFS(Sheet1!S71_OriginalBudAmnt,Sheet1!S71_SubMunicipalVoteNo,$AC:$AC,Sheet1!S71_ItemType,$AD:$AD)</f>
        <v>7456921</v>
      </c>
      <c r="G197" s="712">
        <f>SUMIFS(Sheet1!S71_AdjustmentBudAmnt,Sheet1!S71_SubMunicipalVoteNo,$AC:$AC,Sheet1!S71_ItemType,$AD:$AD)</f>
        <v>7756921</v>
      </c>
      <c r="H197" s="713">
        <f>SUMIFS(Sheet1!S71_AdjustmentBudAmnt,Sheet1!S71_SubMunicipalVoteNo,$AC:$AC,Sheet1!S71_ItemType,$AD:$AD)</f>
        <v>7756921</v>
      </c>
      <c r="I197" s="725">
        <f>SUMIFS(Sheet1!S71_ASBudgetAmount,Sheet1!S71_SubMunicipalVoteNo,$AC:$AC,Sheet1!S71_ItemType,$AD:$AD)</f>
        <v>8129552</v>
      </c>
      <c r="J197" s="712">
        <f>SUMIFS(Sheet1!S71_OY1BudgetAmount,Sheet1!S71_SubMunicipalVoteNo,$AC:$AC,Sheet1!S71_ItemType,$AD:$AD)</f>
        <v>5533856</v>
      </c>
      <c r="K197" s="713">
        <f>SUMIFS(Sheet1!S71_OY2BudgetAmount,Sheet1!S71_SubMunicipalVoteNo,$AC:$AC,Sheet1!S71_ItemType,$AD:$AD)</f>
        <v>8801400</v>
      </c>
      <c r="L197" s="723"/>
      <c r="M197" s="735"/>
      <c r="N197" s="735"/>
      <c r="O197" s="735"/>
      <c r="P197" s="735"/>
      <c r="Q197" s="735"/>
      <c r="R197" s="735"/>
      <c r="S197" s="735"/>
      <c r="T197" s="735"/>
      <c r="U197" s="735"/>
      <c r="V197" s="735"/>
      <c r="W197" s="735"/>
      <c r="AC197" s="2312">
        <v>32</v>
      </c>
      <c r="AD197" s="2318" t="s">
        <v>2754</v>
      </c>
    </row>
    <row r="198" spans="1:30" ht="11.25" customHeight="1" x14ac:dyDescent="0.25">
      <c r="A198" s="136" t="str">
        <f t="shared" si="21"/>
        <v/>
      </c>
      <c r="B198" s="144"/>
      <c r="C198" s="712">
        <f>SUMIFS(Sheet1!S71_PPPYearAmount,Sheet1!S71_SubMunicipalVoteNo,$AC:$AC,Sheet1!S71_ItemType,$AD:$AD)</f>
        <v>0</v>
      </c>
      <c r="D198" s="712">
        <f>SUMIFS(Sheet1!S71_PPYearAmount,Sheet1!S71_SubMunicipalVoteNo,$AC:$AC,Sheet1!S71_ItemType,$AD:$AD)</f>
        <v>0</v>
      </c>
      <c r="E198" s="712">
        <f>SUMIFS(Sheet1!S71_PYearAmount,Sheet1!S71_SubMunicipalVoteNo,$AC:$AC,Sheet1!S71_ItemType,$AD:$AD)</f>
        <v>0</v>
      </c>
      <c r="F198" s="725">
        <f>SUMIFS(Sheet1!S71_OriginalBudAmnt,Sheet1!S71_SubMunicipalVoteNo,$AC:$AC,Sheet1!S71_ItemType,$AD:$AD)</f>
        <v>0</v>
      </c>
      <c r="G198" s="712">
        <f>SUMIFS(Sheet1!S71_AdjustmentBudAmnt,Sheet1!S71_SubMunicipalVoteNo,$AC:$AC,Sheet1!S71_ItemType,$AD:$AD)</f>
        <v>0</v>
      </c>
      <c r="H198" s="713">
        <f>SUMIFS(Sheet1!S71_AdjustmentBudAmnt,Sheet1!S71_SubMunicipalVoteNo,$AC:$AC,Sheet1!S71_ItemType,$AD:$AD)</f>
        <v>0</v>
      </c>
      <c r="I198" s="725">
        <f>SUMIFS(Sheet1!S71_ASBudgetAmount,Sheet1!S71_SubMunicipalVoteNo,$AC:$AC,Sheet1!S71_ItemType,$AD:$AD)</f>
        <v>0</v>
      </c>
      <c r="J198" s="712">
        <f>SUMIFS(Sheet1!S71_OY1BudgetAmount,Sheet1!S71_SubMunicipalVoteNo,$AC:$AC,Sheet1!S71_ItemType,$AD:$AD)</f>
        <v>0</v>
      </c>
      <c r="K198" s="713">
        <f>SUMIFS(Sheet1!S71_OY2BudgetAmount,Sheet1!S71_SubMunicipalVoteNo,$AC:$AC,Sheet1!S71_ItemType,$AD:$AD)</f>
        <v>0</v>
      </c>
      <c r="L198" s="723"/>
      <c r="M198" s="735"/>
      <c r="N198" s="735"/>
      <c r="O198" s="735"/>
      <c r="P198" s="735"/>
      <c r="Q198" s="735"/>
      <c r="R198" s="735"/>
      <c r="S198" s="735"/>
      <c r="T198" s="735"/>
      <c r="U198" s="735"/>
      <c r="V198" s="735"/>
      <c r="W198" s="735"/>
      <c r="AC198" s="2312">
        <v>33</v>
      </c>
      <c r="AD198" s="2318" t="s">
        <v>2754</v>
      </c>
    </row>
    <row r="199" spans="1:30" ht="11.25" customHeight="1" x14ac:dyDescent="0.25">
      <c r="A199" s="136" t="str">
        <f t="shared" si="21"/>
        <v/>
      </c>
      <c r="B199" s="144"/>
      <c r="C199" s="712">
        <f>SUMIFS(Sheet1!S71_PPPYearAmount,Sheet1!S71_SubMunicipalVoteNo,$AC:$AC,Sheet1!S71_ItemType,$AD:$AD)</f>
        <v>0</v>
      </c>
      <c r="D199" s="712">
        <f>SUMIFS(Sheet1!S71_PPYearAmount,Sheet1!S71_SubMunicipalVoteNo,$AC:$AC,Sheet1!S71_ItemType,$AD:$AD)</f>
        <v>0</v>
      </c>
      <c r="E199" s="712">
        <f>SUMIFS(Sheet1!S71_PYearAmount,Sheet1!S71_SubMunicipalVoteNo,$AC:$AC,Sheet1!S71_ItemType,$AD:$AD)</f>
        <v>0</v>
      </c>
      <c r="F199" s="725">
        <f>SUMIFS(Sheet1!S71_OriginalBudAmnt,Sheet1!S71_SubMunicipalVoteNo,$AC:$AC,Sheet1!S71_ItemType,$AD:$AD)</f>
        <v>0</v>
      </c>
      <c r="G199" s="712">
        <f>SUMIFS(Sheet1!S71_AdjustmentBudAmnt,Sheet1!S71_SubMunicipalVoteNo,$AC:$AC,Sheet1!S71_ItemType,$AD:$AD)</f>
        <v>0</v>
      </c>
      <c r="H199" s="713">
        <f>SUMIFS(Sheet1!S71_AdjustmentBudAmnt,Sheet1!S71_SubMunicipalVoteNo,$AC:$AC,Sheet1!S71_ItemType,$AD:$AD)</f>
        <v>0</v>
      </c>
      <c r="I199" s="725">
        <f>SUMIFS(Sheet1!S71_ASBudgetAmount,Sheet1!S71_SubMunicipalVoteNo,$AC:$AC,Sheet1!S71_ItemType,$AD:$AD)</f>
        <v>0</v>
      </c>
      <c r="J199" s="712">
        <f>SUMIFS(Sheet1!S71_OY1BudgetAmount,Sheet1!S71_SubMunicipalVoteNo,$AC:$AC,Sheet1!S71_ItemType,$AD:$AD)</f>
        <v>0</v>
      </c>
      <c r="K199" s="713">
        <f>SUMIFS(Sheet1!S71_OY2BudgetAmount,Sheet1!S71_SubMunicipalVoteNo,$AC:$AC,Sheet1!S71_ItemType,$AD:$AD)</f>
        <v>0</v>
      </c>
      <c r="L199" s="723"/>
      <c r="M199" s="735"/>
      <c r="N199" s="735"/>
      <c r="O199" s="735"/>
      <c r="P199" s="735"/>
      <c r="Q199" s="735"/>
      <c r="R199" s="735"/>
      <c r="S199" s="735"/>
      <c r="T199" s="735"/>
      <c r="U199" s="735"/>
      <c r="V199" s="735"/>
      <c r="W199" s="735"/>
      <c r="AC199" s="2312">
        <v>34</v>
      </c>
      <c r="AD199" s="2318" t="s">
        <v>2754</v>
      </c>
    </row>
    <row r="200" spans="1:30" ht="11.25" customHeight="1" x14ac:dyDescent="0.25">
      <c r="A200" s="136" t="str">
        <f t="shared" si="21"/>
        <v/>
      </c>
      <c r="B200" s="144"/>
      <c r="C200" s="712">
        <f>SUMIFS(Sheet1!S71_PPPYearAmount,Sheet1!S71_SubMunicipalVoteNo,$AC:$AC,Sheet1!S71_ItemType,$AD:$AD)</f>
        <v>0</v>
      </c>
      <c r="D200" s="712">
        <f>SUMIFS(Sheet1!S71_PPYearAmount,Sheet1!S71_SubMunicipalVoteNo,$AC:$AC,Sheet1!S71_ItemType,$AD:$AD)</f>
        <v>0</v>
      </c>
      <c r="E200" s="712">
        <f>SUMIFS(Sheet1!S71_PYearAmount,Sheet1!S71_SubMunicipalVoteNo,$AC:$AC,Sheet1!S71_ItemType,$AD:$AD)</f>
        <v>0</v>
      </c>
      <c r="F200" s="725">
        <f>SUMIFS(Sheet1!S71_OriginalBudAmnt,Sheet1!S71_SubMunicipalVoteNo,$AC:$AC,Sheet1!S71_ItemType,$AD:$AD)</f>
        <v>0</v>
      </c>
      <c r="G200" s="712">
        <f>SUMIFS(Sheet1!S71_AdjustmentBudAmnt,Sheet1!S71_SubMunicipalVoteNo,$AC:$AC,Sheet1!S71_ItemType,$AD:$AD)</f>
        <v>0</v>
      </c>
      <c r="H200" s="713">
        <f>SUMIFS(Sheet1!S71_AdjustmentBudAmnt,Sheet1!S71_SubMunicipalVoteNo,$AC:$AC,Sheet1!S71_ItemType,$AD:$AD)</f>
        <v>0</v>
      </c>
      <c r="I200" s="725">
        <f>SUMIFS(Sheet1!S71_ASBudgetAmount,Sheet1!S71_SubMunicipalVoteNo,$AC:$AC,Sheet1!S71_ItemType,$AD:$AD)</f>
        <v>0</v>
      </c>
      <c r="J200" s="712">
        <f>SUMIFS(Sheet1!S71_OY1BudgetAmount,Sheet1!S71_SubMunicipalVoteNo,$AC:$AC,Sheet1!S71_ItemType,$AD:$AD)</f>
        <v>0</v>
      </c>
      <c r="K200" s="713">
        <f>SUMIFS(Sheet1!S71_OY2BudgetAmount,Sheet1!S71_SubMunicipalVoteNo,$AC:$AC,Sheet1!S71_ItemType,$AD:$AD)</f>
        <v>0</v>
      </c>
      <c r="L200" s="723"/>
      <c r="M200" s="735"/>
      <c r="N200" s="735"/>
      <c r="O200" s="735"/>
      <c r="P200" s="735"/>
      <c r="Q200" s="735"/>
      <c r="R200" s="735"/>
      <c r="S200" s="735"/>
      <c r="T200" s="735"/>
      <c r="U200" s="735"/>
      <c r="V200" s="735"/>
      <c r="W200" s="735"/>
      <c r="AC200" s="2312">
        <v>35</v>
      </c>
      <c r="AD200" s="2318" t="s">
        <v>2754</v>
      </c>
    </row>
    <row r="201" spans="1:30" ht="11.25" customHeight="1" x14ac:dyDescent="0.25">
      <c r="A201" s="136" t="str">
        <f t="shared" si="21"/>
        <v/>
      </c>
      <c r="B201" s="144"/>
      <c r="C201" s="712">
        <f>SUMIFS(Sheet1!S71_PPPYearAmount,Sheet1!S71_SubMunicipalVoteNo,$AC:$AC,Sheet1!S71_ItemType,$AD:$AD)</f>
        <v>0</v>
      </c>
      <c r="D201" s="712">
        <f>SUMIFS(Sheet1!S71_PPYearAmount,Sheet1!S71_SubMunicipalVoteNo,$AC:$AC,Sheet1!S71_ItemType,$AD:$AD)</f>
        <v>0</v>
      </c>
      <c r="E201" s="712">
        <f>SUMIFS(Sheet1!S71_PYearAmount,Sheet1!S71_SubMunicipalVoteNo,$AC:$AC,Sheet1!S71_ItemType,$AD:$AD)</f>
        <v>0</v>
      </c>
      <c r="F201" s="725">
        <f>SUMIFS(Sheet1!S71_OriginalBudAmnt,Sheet1!S71_SubMunicipalVoteNo,$AC:$AC,Sheet1!S71_ItemType,$AD:$AD)</f>
        <v>0</v>
      </c>
      <c r="G201" s="712">
        <f>SUMIFS(Sheet1!S71_AdjustmentBudAmnt,Sheet1!S71_SubMunicipalVoteNo,$AC:$AC,Sheet1!S71_ItemType,$AD:$AD)</f>
        <v>0</v>
      </c>
      <c r="H201" s="713">
        <f>SUMIFS(Sheet1!S71_AdjustmentBudAmnt,Sheet1!S71_SubMunicipalVoteNo,$AC:$AC,Sheet1!S71_ItemType,$AD:$AD)</f>
        <v>0</v>
      </c>
      <c r="I201" s="725">
        <f>SUMIFS(Sheet1!S71_ASBudgetAmount,Sheet1!S71_SubMunicipalVoteNo,$AC:$AC,Sheet1!S71_ItemType,$AD:$AD)</f>
        <v>0</v>
      </c>
      <c r="J201" s="712">
        <f>SUMIFS(Sheet1!S71_OY1BudgetAmount,Sheet1!S71_SubMunicipalVoteNo,$AC:$AC,Sheet1!S71_ItemType,$AD:$AD)</f>
        <v>0</v>
      </c>
      <c r="K201" s="713">
        <f>SUMIFS(Sheet1!S71_OY2BudgetAmount,Sheet1!S71_SubMunicipalVoteNo,$AC:$AC,Sheet1!S71_ItemType,$AD:$AD)</f>
        <v>0</v>
      </c>
      <c r="L201" s="723"/>
      <c r="M201" s="735"/>
      <c r="N201" s="735"/>
      <c r="O201" s="735"/>
      <c r="P201" s="735"/>
      <c r="Q201" s="735"/>
      <c r="R201" s="735"/>
      <c r="S201" s="735"/>
      <c r="T201" s="735"/>
      <c r="U201" s="735"/>
      <c r="V201" s="735"/>
      <c r="W201" s="735"/>
      <c r="AC201" s="2312">
        <v>36</v>
      </c>
      <c r="AD201" s="2318" t="s">
        <v>2754</v>
      </c>
    </row>
    <row r="202" spans="1:30" ht="11.25" customHeight="1" x14ac:dyDescent="0.25">
      <c r="A202" s="136" t="str">
        <f t="shared" si="21"/>
        <v/>
      </c>
      <c r="B202" s="144"/>
      <c r="C202" s="712">
        <f>SUMIFS(Sheet1!S71_PPPYearAmount,Sheet1!S71_SubMunicipalVoteNo,$AC:$AC,Sheet1!S71_ItemType,$AD:$AD)</f>
        <v>0</v>
      </c>
      <c r="D202" s="712">
        <f>SUMIFS(Sheet1!S71_PPYearAmount,Sheet1!S71_SubMunicipalVoteNo,$AC:$AC,Sheet1!S71_ItemType,$AD:$AD)</f>
        <v>0</v>
      </c>
      <c r="E202" s="712">
        <f>SUMIFS(Sheet1!S71_PYearAmount,Sheet1!S71_SubMunicipalVoteNo,$AC:$AC,Sheet1!S71_ItemType,$AD:$AD)</f>
        <v>0</v>
      </c>
      <c r="F202" s="725">
        <f>SUMIFS(Sheet1!S71_OriginalBudAmnt,Sheet1!S71_SubMunicipalVoteNo,$AC:$AC,Sheet1!S71_ItemType,$AD:$AD)</f>
        <v>0</v>
      </c>
      <c r="G202" s="712">
        <f>SUMIFS(Sheet1!S71_AdjustmentBudAmnt,Sheet1!S71_SubMunicipalVoteNo,$AC:$AC,Sheet1!S71_ItemType,$AD:$AD)</f>
        <v>0</v>
      </c>
      <c r="H202" s="713">
        <f>SUMIFS(Sheet1!S71_AdjustmentBudAmnt,Sheet1!S71_SubMunicipalVoteNo,$AC:$AC,Sheet1!S71_ItemType,$AD:$AD)</f>
        <v>0</v>
      </c>
      <c r="I202" s="725">
        <f>SUMIFS(Sheet1!S71_ASBudgetAmount,Sheet1!S71_SubMunicipalVoteNo,$AC:$AC,Sheet1!S71_ItemType,$AD:$AD)</f>
        <v>0</v>
      </c>
      <c r="J202" s="712">
        <f>SUMIFS(Sheet1!S71_OY1BudgetAmount,Sheet1!S71_SubMunicipalVoteNo,$AC:$AC,Sheet1!S71_ItemType,$AD:$AD)</f>
        <v>0</v>
      </c>
      <c r="K202" s="713">
        <f>SUMIFS(Sheet1!S71_OY2BudgetAmount,Sheet1!S71_SubMunicipalVoteNo,$AC:$AC,Sheet1!S71_ItemType,$AD:$AD)</f>
        <v>0</v>
      </c>
      <c r="L202" s="723"/>
      <c r="M202" s="735"/>
      <c r="N202" s="735"/>
      <c r="O202" s="735"/>
      <c r="P202" s="735"/>
      <c r="Q202" s="735"/>
      <c r="R202" s="735"/>
      <c r="S202" s="735"/>
      <c r="T202" s="735"/>
      <c r="U202" s="735"/>
      <c r="V202" s="735"/>
      <c r="W202" s="735"/>
      <c r="AC202" s="2312">
        <v>37</v>
      </c>
      <c r="AD202" s="2318" t="s">
        <v>2754</v>
      </c>
    </row>
    <row r="203" spans="1:30" ht="11.25" customHeight="1" x14ac:dyDescent="0.25">
      <c r="A203" s="136" t="str">
        <f t="shared" si="21"/>
        <v/>
      </c>
      <c r="B203" s="144"/>
      <c r="C203" s="712">
        <f>SUMIFS(Sheet1!S71_PPPYearAmount,Sheet1!S71_SubMunicipalVoteNo,$AC:$AC,Sheet1!S71_ItemType,$AD:$AD)</f>
        <v>0</v>
      </c>
      <c r="D203" s="712">
        <f>SUMIFS(Sheet1!S71_PPYearAmount,Sheet1!S71_SubMunicipalVoteNo,$AC:$AC,Sheet1!S71_ItemType,$AD:$AD)</f>
        <v>0</v>
      </c>
      <c r="E203" s="712">
        <f>SUMIFS(Sheet1!S71_PYearAmount,Sheet1!S71_SubMunicipalVoteNo,$AC:$AC,Sheet1!S71_ItemType,$AD:$AD)</f>
        <v>0</v>
      </c>
      <c r="F203" s="725">
        <f>SUMIFS(Sheet1!S71_OriginalBudAmnt,Sheet1!S71_SubMunicipalVoteNo,$AC:$AC,Sheet1!S71_ItemType,$AD:$AD)</f>
        <v>0</v>
      </c>
      <c r="G203" s="712">
        <f>SUMIFS(Sheet1!S71_AdjustmentBudAmnt,Sheet1!S71_SubMunicipalVoteNo,$AC:$AC,Sheet1!S71_ItemType,$AD:$AD)</f>
        <v>0</v>
      </c>
      <c r="H203" s="713">
        <f>SUMIFS(Sheet1!S71_AdjustmentBudAmnt,Sheet1!S71_SubMunicipalVoteNo,$AC:$AC,Sheet1!S71_ItemType,$AD:$AD)</f>
        <v>0</v>
      </c>
      <c r="I203" s="725">
        <f>SUMIFS(Sheet1!S71_ASBudgetAmount,Sheet1!S71_SubMunicipalVoteNo,$AC:$AC,Sheet1!S71_ItemType,$AD:$AD)</f>
        <v>0</v>
      </c>
      <c r="J203" s="712">
        <f>SUMIFS(Sheet1!S71_OY1BudgetAmount,Sheet1!S71_SubMunicipalVoteNo,$AC:$AC,Sheet1!S71_ItemType,$AD:$AD)</f>
        <v>0</v>
      </c>
      <c r="K203" s="713">
        <f>SUMIFS(Sheet1!S71_OY2BudgetAmount,Sheet1!S71_SubMunicipalVoteNo,$AC:$AC,Sheet1!S71_ItemType,$AD:$AD)</f>
        <v>0</v>
      </c>
      <c r="L203" s="723"/>
      <c r="M203" s="735"/>
      <c r="N203" s="735"/>
      <c r="O203" s="735"/>
      <c r="P203" s="735"/>
      <c r="Q203" s="735"/>
      <c r="R203" s="735"/>
      <c r="S203" s="735"/>
      <c r="T203" s="735"/>
      <c r="U203" s="735"/>
      <c r="V203" s="735"/>
      <c r="W203" s="735"/>
      <c r="AC203" s="2312">
        <v>38</v>
      </c>
      <c r="AD203" s="2318" t="s">
        <v>2754</v>
      </c>
    </row>
    <row r="204" spans="1:30" ht="11.25" customHeight="1" x14ac:dyDescent="0.25">
      <c r="A204" s="136" t="str">
        <f t="shared" si="21"/>
        <v/>
      </c>
      <c r="B204" s="144"/>
      <c r="C204" s="712">
        <f>SUMIFS(Sheet1!S71_PPPYearAmount,Sheet1!S71_SubMunicipalVoteNo,$AC:$AC,Sheet1!S71_ItemType,$AD:$AD)</f>
        <v>0</v>
      </c>
      <c r="D204" s="712">
        <f>SUMIFS(Sheet1!S71_PPYearAmount,Sheet1!S71_SubMunicipalVoteNo,$AC:$AC,Sheet1!S71_ItemType,$AD:$AD)</f>
        <v>0</v>
      </c>
      <c r="E204" s="712">
        <f>SUMIFS(Sheet1!S71_PYearAmount,Sheet1!S71_SubMunicipalVoteNo,$AC:$AC,Sheet1!S71_ItemType,$AD:$AD)</f>
        <v>0</v>
      </c>
      <c r="F204" s="725">
        <f>SUMIFS(Sheet1!S71_OriginalBudAmnt,Sheet1!S71_SubMunicipalVoteNo,$AC:$AC,Sheet1!S71_ItemType,$AD:$AD)</f>
        <v>0</v>
      </c>
      <c r="G204" s="712">
        <f>SUMIFS(Sheet1!S71_AdjustmentBudAmnt,Sheet1!S71_SubMunicipalVoteNo,$AC:$AC,Sheet1!S71_ItemType,$AD:$AD)</f>
        <v>0</v>
      </c>
      <c r="H204" s="713">
        <f>SUMIFS(Sheet1!S71_AdjustmentBudAmnt,Sheet1!S71_SubMunicipalVoteNo,$AC:$AC,Sheet1!S71_ItemType,$AD:$AD)</f>
        <v>0</v>
      </c>
      <c r="I204" s="725">
        <f>SUMIFS(Sheet1!S71_ASBudgetAmount,Sheet1!S71_SubMunicipalVoteNo,$AC:$AC,Sheet1!S71_ItemType,$AD:$AD)</f>
        <v>0</v>
      </c>
      <c r="J204" s="712">
        <f>SUMIFS(Sheet1!S71_OY1BudgetAmount,Sheet1!S71_SubMunicipalVoteNo,$AC:$AC,Sheet1!S71_ItemType,$AD:$AD)</f>
        <v>0</v>
      </c>
      <c r="K204" s="713">
        <f>SUMIFS(Sheet1!S71_OY2BudgetAmount,Sheet1!S71_SubMunicipalVoteNo,$AC:$AC,Sheet1!S71_ItemType,$AD:$AD)</f>
        <v>0</v>
      </c>
      <c r="L204" s="723"/>
      <c r="M204" s="735"/>
      <c r="N204" s="735"/>
      <c r="O204" s="735"/>
      <c r="P204" s="735"/>
      <c r="Q204" s="735"/>
      <c r="R204" s="735"/>
      <c r="S204" s="735"/>
      <c r="T204" s="735"/>
      <c r="U204" s="735"/>
      <c r="V204" s="735"/>
      <c r="W204" s="735"/>
      <c r="AC204" s="2312">
        <v>39</v>
      </c>
      <c r="AD204" s="2318" t="s">
        <v>2754</v>
      </c>
    </row>
    <row r="205" spans="1:30" ht="11.25" customHeight="1" x14ac:dyDescent="0.25">
      <c r="A205" s="136" t="str">
        <f t="shared" si="21"/>
        <v/>
      </c>
      <c r="B205" s="144"/>
      <c r="C205" s="712">
        <f>SUMIFS(Sheet1!S71_PPPYearAmount,Sheet1!S71_SubMunicipalVoteNo,$AC:$AC,Sheet1!S71_ItemType,$AD:$AD)</f>
        <v>0</v>
      </c>
      <c r="D205" s="712">
        <f>SUMIFS(Sheet1!S71_PPYearAmount,Sheet1!S71_SubMunicipalVoteNo,$AC:$AC,Sheet1!S71_ItemType,$AD:$AD)</f>
        <v>0</v>
      </c>
      <c r="E205" s="712">
        <f>SUMIFS(Sheet1!S71_PYearAmount,Sheet1!S71_SubMunicipalVoteNo,$AC:$AC,Sheet1!S71_ItemType,$AD:$AD)</f>
        <v>0</v>
      </c>
      <c r="F205" s="725">
        <f>SUMIFS(Sheet1!S71_OriginalBudAmnt,Sheet1!S71_SubMunicipalVoteNo,$AC:$AC,Sheet1!S71_ItemType,$AD:$AD)</f>
        <v>0</v>
      </c>
      <c r="G205" s="712">
        <f>SUMIFS(Sheet1!S71_AdjustmentBudAmnt,Sheet1!S71_SubMunicipalVoteNo,$AC:$AC,Sheet1!S71_ItemType,$AD:$AD)</f>
        <v>0</v>
      </c>
      <c r="H205" s="713">
        <f>SUMIFS(Sheet1!S71_AdjustmentBudAmnt,Sheet1!S71_SubMunicipalVoteNo,$AC:$AC,Sheet1!S71_ItemType,$AD:$AD)</f>
        <v>0</v>
      </c>
      <c r="I205" s="725">
        <f>SUMIFS(Sheet1!S71_ASBudgetAmount,Sheet1!S71_SubMunicipalVoteNo,$AC:$AC,Sheet1!S71_ItemType,$AD:$AD)</f>
        <v>0</v>
      </c>
      <c r="J205" s="712">
        <f>SUMIFS(Sheet1!S71_OY1BudgetAmount,Sheet1!S71_SubMunicipalVoteNo,$AC:$AC,Sheet1!S71_ItemType,$AD:$AD)</f>
        <v>0</v>
      </c>
      <c r="K205" s="713">
        <f>SUMIFS(Sheet1!S71_OY2BudgetAmount,Sheet1!S71_SubMunicipalVoteNo,$AC:$AC,Sheet1!S71_ItemType,$AD:$AD)</f>
        <v>0</v>
      </c>
      <c r="L205" s="723"/>
      <c r="M205" s="735"/>
      <c r="N205" s="735"/>
      <c r="O205" s="735"/>
      <c r="P205" s="735"/>
      <c r="Q205" s="735"/>
      <c r="R205" s="735"/>
      <c r="S205" s="735"/>
      <c r="T205" s="735"/>
      <c r="U205" s="735"/>
      <c r="V205" s="735"/>
      <c r="W205" s="735"/>
      <c r="AC205" s="2312">
        <v>310</v>
      </c>
      <c r="AD205" s="2318" t="s">
        <v>2754</v>
      </c>
    </row>
    <row r="206" spans="1:30" ht="15" customHeight="1" x14ac:dyDescent="0.25">
      <c r="A206" s="135" t="str">
        <f t="shared" si="21"/>
        <v>Vote 4 - Community and Social Services</v>
      </c>
      <c r="B206" s="211"/>
      <c r="C206" s="212">
        <f t="shared" ref="C206:K206" si="23">SUM(C207:C216)</f>
        <v>4434896</v>
      </c>
      <c r="D206" s="212">
        <f t="shared" si="23"/>
        <v>5081356</v>
      </c>
      <c r="E206" s="213">
        <f t="shared" si="23"/>
        <v>5196950</v>
      </c>
      <c r="F206" s="214">
        <f t="shared" si="23"/>
        <v>9157704</v>
      </c>
      <c r="G206" s="212">
        <f t="shared" si="23"/>
        <v>8856540</v>
      </c>
      <c r="H206" s="215">
        <f t="shared" si="23"/>
        <v>8856540</v>
      </c>
      <c r="I206" s="216">
        <f t="shared" si="23"/>
        <v>10995183</v>
      </c>
      <c r="J206" s="212">
        <f t="shared" si="23"/>
        <v>11515875</v>
      </c>
      <c r="K206" s="213">
        <f t="shared" si="23"/>
        <v>12068525</v>
      </c>
      <c r="L206" s="723"/>
      <c r="M206" s="735"/>
      <c r="N206" s="735"/>
      <c r="O206" s="735"/>
      <c r="P206" s="735"/>
      <c r="Q206" s="735"/>
      <c r="R206" s="735"/>
      <c r="S206" s="735"/>
      <c r="T206" s="735"/>
      <c r="U206" s="735"/>
      <c r="V206" s="735"/>
      <c r="W206" s="735"/>
      <c r="AD206" s="2315"/>
    </row>
    <row r="207" spans="1:30" ht="11.25" customHeight="1" x14ac:dyDescent="0.25">
      <c r="A207" s="136" t="str">
        <f t="shared" ref="A207:A216" si="24">A39</f>
        <v>4.1 - Disaster Management</v>
      </c>
      <c r="B207" s="144"/>
      <c r="C207" s="712">
        <f>SUMIFS(Sheet1!S71_PPPYearAmount,Sheet1!S71_SubMunicipalVoteNo,$AC:$AC,Sheet1!S71_ItemType,$AD:$AD)</f>
        <v>131849</v>
      </c>
      <c r="D207" s="712">
        <f>SUMIFS(Sheet1!S71_PPYearAmount,Sheet1!S71_SubMunicipalVoteNo,$AC:$AC,Sheet1!S71_ItemType,$AD:$AD)</f>
        <v>70023</v>
      </c>
      <c r="E207" s="712">
        <f>SUMIFS(Sheet1!S71_PYearAmount,Sheet1!S71_SubMunicipalVoteNo,$AC:$AC,Sheet1!S71_ItemType,$AD:$AD)</f>
        <v>347962</v>
      </c>
      <c r="F207" s="725">
        <f>SUMIFS(Sheet1!S71_OriginalBudAmnt,Sheet1!S71_SubMunicipalVoteNo,$AC:$AC,Sheet1!S71_ItemType,$AD:$AD)</f>
        <v>1430000</v>
      </c>
      <c r="G207" s="712">
        <f>SUMIFS(Sheet1!S71_AdjustmentBudAmnt,Sheet1!S71_SubMunicipalVoteNo,$AC:$AC,Sheet1!S71_ItemType,$AD:$AD)</f>
        <v>1516750</v>
      </c>
      <c r="H207" s="713">
        <f>SUMIFS(Sheet1!S71_AdjustmentBudAmnt,Sheet1!S71_SubMunicipalVoteNo,$AC:$AC,Sheet1!S71_ItemType,$AD:$AD)</f>
        <v>1516750</v>
      </c>
      <c r="I207" s="725">
        <f>SUMIFS(Sheet1!S71_ASBudgetAmount,Sheet1!S71_SubMunicipalVoteNo,$AC:$AC,Sheet1!S71_ItemType,$AD:$AD)</f>
        <v>950000</v>
      </c>
      <c r="J207" s="712">
        <f>SUMIFS(Sheet1!S71_OY1BudgetAmount,Sheet1!S71_SubMunicipalVoteNo,$AC:$AC,Sheet1!S71_ItemType,$AD:$AD)</f>
        <v>988000</v>
      </c>
      <c r="K207" s="713">
        <f>SUMIFS(Sheet1!S71_OY2BudgetAmount,Sheet1!S71_SubMunicipalVoteNo,$AC:$AC,Sheet1!S71_ItemType,$AD:$AD)</f>
        <v>1027520</v>
      </c>
      <c r="L207" s="723"/>
      <c r="M207" s="735"/>
      <c r="N207" s="735"/>
      <c r="O207" s="735"/>
      <c r="P207" s="735"/>
      <c r="Q207" s="735"/>
      <c r="R207" s="735"/>
      <c r="S207" s="735"/>
      <c r="T207" s="735"/>
      <c r="U207" s="735"/>
      <c r="V207" s="735"/>
      <c r="W207" s="735"/>
      <c r="AC207" s="2312">
        <v>41</v>
      </c>
      <c r="AD207" s="2318" t="s">
        <v>2754</v>
      </c>
    </row>
    <row r="208" spans="1:30" ht="11.25" customHeight="1" x14ac:dyDescent="0.25">
      <c r="A208" s="136" t="str">
        <f t="shared" si="24"/>
        <v>4.2 - Libraries and Archives</v>
      </c>
      <c r="B208" s="144"/>
      <c r="C208" s="712">
        <f>SUMIFS(Sheet1!S71_PPPYearAmount,Sheet1!S71_SubMunicipalVoteNo,$AC:$AC,Sheet1!S71_ItemType,$AD:$AD)</f>
        <v>1087629</v>
      </c>
      <c r="D208" s="712">
        <f>SUMIFS(Sheet1!S71_PPYearAmount,Sheet1!S71_SubMunicipalVoteNo,$AC:$AC,Sheet1!S71_ItemType,$AD:$AD)</f>
        <v>1533485</v>
      </c>
      <c r="E208" s="712">
        <f>SUMIFS(Sheet1!S71_PYearAmount,Sheet1!S71_SubMunicipalVoteNo,$AC:$AC,Sheet1!S71_ItemType,$AD:$AD)</f>
        <v>2080138</v>
      </c>
      <c r="F208" s="725">
        <f>SUMIFS(Sheet1!S71_OriginalBudAmnt,Sheet1!S71_SubMunicipalVoteNo,$AC:$AC,Sheet1!S71_ItemType,$AD:$AD)</f>
        <v>2919704</v>
      </c>
      <c r="G208" s="712">
        <f>SUMIFS(Sheet1!S71_AdjustmentBudAmnt,Sheet1!S71_SubMunicipalVoteNo,$AC:$AC,Sheet1!S71_ItemType,$AD:$AD)</f>
        <v>2919704</v>
      </c>
      <c r="H208" s="713">
        <f>SUMIFS(Sheet1!S71_AdjustmentBudAmnt,Sheet1!S71_SubMunicipalVoteNo,$AC:$AC,Sheet1!S71_ItemType,$AD:$AD)</f>
        <v>2919704</v>
      </c>
      <c r="I208" s="725">
        <f>SUMIFS(Sheet1!S71_ASBudgetAmount,Sheet1!S71_SubMunicipalVoteNo,$AC:$AC,Sheet1!S71_ItemType,$AD:$AD)</f>
        <v>3111683</v>
      </c>
      <c r="J208" s="712">
        <f>SUMIFS(Sheet1!S71_OY1BudgetAmount,Sheet1!S71_SubMunicipalVoteNo,$AC:$AC,Sheet1!S71_ItemType,$AD:$AD)</f>
        <v>3317035</v>
      </c>
      <c r="K208" s="713">
        <f>SUMIFS(Sheet1!S71_OY2BudgetAmount,Sheet1!S71_SubMunicipalVoteNo,$AC:$AC,Sheet1!S71_ItemType,$AD:$AD)</f>
        <v>3536259</v>
      </c>
      <c r="L208" s="723"/>
      <c r="M208" s="735"/>
      <c r="N208" s="735"/>
      <c r="O208" s="735"/>
      <c r="P208" s="735"/>
      <c r="Q208" s="735"/>
      <c r="R208" s="735"/>
      <c r="S208" s="735"/>
      <c r="T208" s="735"/>
      <c r="U208" s="735"/>
      <c r="V208" s="735"/>
      <c r="W208" s="735"/>
      <c r="AC208" s="2312">
        <v>42</v>
      </c>
      <c r="AD208" s="2318" t="s">
        <v>2754</v>
      </c>
    </row>
    <row r="209" spans="1:30" ht="11.25" customHeight="1" x14ac:dyDescent="0.25">
      <c r="A209" s="136" t="str">
        <f t="shared" si="24"/>
        <v>4.3 - Population Development</v>
      </c>
      <c r="B209" s="144"/>
      <c r="C209" s="712">
        <f>SUMIFS(Sheet1!S71_PPPYearAmount,Sheet1!S71_SubMunicipalVoteNo,$AC:$AC,Sheet1!S71_ItemType,$AD:$AD)</f>
        <v>82449</v>
      </c>
      <c r="D209" s="712">
        <f>SUMIFS(Sheet1!S71_PPYearAmount,Sheet1!S71_SubMunicipalVoteNo,$AC:$AC,Sheet1!S71_ItemType,$AD:$AD)</f>
        <v>995960</v>
      </c>
      <c r="E209" s="712">
        <f>SUMIFS(Sheet1!S71_PYearAmount,Sheet1!S71_SubMunicipalVoteNo,$AC:$AC,Sheet1!S71_ItemType,$AD:$AD)</f>
        <v>1035039</v>
      </c>
      <c r="F209" s="725">
        <f>SUMIFS(Sheet1!S71_OriginalBudAmnt,Sheet1!S71_SubMunicipalVoteNo,$AC:$AC,Sheet1!S71_ItemType,$AD:$AD)</f>
        <v>2906500</v>
      </c>
      <c r="G209" s="712">
        <f>SUMIFS(Sheet1!S71_AdjustmentBudAmnt,Sheet1!S71_SubMunicipalVoteNo,$AC:$AC,Sheet1!S71_ItemType,$AD:$AD)</f>
        <v>2672514</v>
      </c>
      <c r="H209" s="713">
        <f>SUMIFS(Sheet1!S71_AdjustmentBudAmnt,Sheet1!S71_SubMunicipalVoteNo,$AC:$AC,Sheet1!S71_ItemType,$AD:$AD)</f>
        <v>2672514</v>
      </c>
      <c r="I209" s="725">
        <f>SUMIFS(Sheet1!S71_ASBudgetAmount,Sheet1!S71_SubMunicipalVoteNo,$AC:$AC,Sheet1!S71_ItemType,$AD:$AD)</f>
        <v>3885000</v>
      </c>
      <c r="J209" s="712">
        <f>SUMIFS(Sheet1!S71_OY1BudgetAmount,Sheet1!S71_SubMunicipalVoteNo,$AC:$AC,Sheet1!S71_ItemType,$AD:$AD)</f>
        <v>4040400</v>
      </c>
      <c r="K209" s="713">
        <f>SUMIFS(Sheet1!S71_OY2BudgetAmount,Sheet1!S71_SubMunicipalVoteNo,$AC:$AC,Sheet1!S71_ItemType,$AD:$AD)</f>
        <v>4202016</v>
      </c>
      <c r="L209" s="723"/>
      <c r="M209" s="735"/>
      <c r="N209" s="735"/>
      <c r="O209" s="735"/>
      <c r="P209" s="735"/>
      <c r="Q209" s="735"/>
      <c r="R209" s="735"/>
      <c r="S209" s="735"/>
      <c r="T209" s="735"/>
      <c r="U209" s="735"/>
      <c r="V209" s="735"/>
      <c r="W209" s="735"/>
      <c r="AC209" s="2312">
        <v>43</v>
      </c>
      <c r="AD209" s="2318" t="s">
        <v>2754</v>
      </c>
    </row>
    <row r="210" spans="1:30" ht="11.25" customHeight="1" x14ac:dyDescent="0.25">
      <c r="A210" s="136" t="str">
        <f t="shared" si="24"/>
        <v>4.4 - Cultural Matters</v>
      </c>
      <c r="B210" s="144"/>
      <c r="C210" s="712">
        <f>SUMIFS(Sheet1!S71_PPPYearAmount,Sheet1!S71_SubMunicipalVoteNo,$AC:$AC,Sheet1!S71_ItemType,$AD:$AD)</f>
        <v>534984</v>
      </c>
      <c r="D210" s="712">
        <f>SUMIFS(Sheet1!S71_PPYearAmount,Sheet1!S71_SubMunicipalVoteNo,$AC:$AC,Sheet1!S71_ItemType,$AD:$AD)</f>
        <v>451163</v>
      </c>
      <c r="E210" s="712">
        <f>SUMIFS(Sheet1!S71_PYearAmount,Sheet1!S71_SubMunicipalVoteNo,$AC:$AC,Sheet1!S71_ItemType,$AD:$AD)</f>
        <v>209824</v>
      </c>
      <c r="F210" s="725">
        <f>SUMIFS(Sheet1!S71_OriginalBudAmnt,Sheet1!S71_SubMunicipalVoteNo,$AC:$AC,Sheet1!S71_ItemType,$AD:$AD)</f>
        <v>620000</v>
      </c>
      <c r="G210" s="712">
        <f>SUMIFS(Sheet1!S71_AdjustmentBudAmnt,Sheet1!S71_SubMunicipalVoteNo,$AC:$AC,Sheet1!S71_ItemType,$AD:$AD)</f>
        <v>702000</v>
      </c>
      <c r="H210" s="713">
        <f>SUMIFS(Sheet1!S71_AdjustmentBudAmnt,Sheet1!S71_SubMunicipalVoteNo,$AC:$AC,Sheet1!S71_ItemType,$AD:$AD)</f>
        <v>702000</v>
      </c>
      <c r="I210" s="725">
        <f>SUMIFS(Sheet1!S71_ASBudgetAmount,Sheet1!S71_SubMunicipalVoteNo,$AC:$AC,Sheet1!S71_ItemType,$AD:$AD)</f>
        <v>931000</v>
      </c>
      <c r="J210" s="712">
        <f>SUMIFS(Sheet1!S71_OY1BudgetAmount,Sheet1!S71_SubMunicipalVoteNo,$AC:$AC,Sheet1!S71_ItemType,$AD:$AD)</f>
        <v>968240</v>
      </c>
      <c r="K210" s="713">
        <f>SUMIFS(Sheet1!S71_OY2BudgetAmount,Sheet1!S71_SubMunicipalVoteNo,$AC:$AC,Sheet1!S71_ItemType,$AD:$AD)</f>
        <v>1006970</v>
      </c>
      <c r="L210" s="723"/>
      <c r="M210" s="735"/>
      <c r="N210" s="735"/>
      <c r="O210" s="735"/>
      <c r="P210" s="735"/>
      <c r="Q210" s="735"/>
      <c r="R210" s="735"/>
      <c r="S210" s="735"/>
      <c r="T210" s="735"/>
      <c r="U210" s="735"/>
      <c r="V210" s="735"/>
      <c r="W210" s="735"/>
      <c r="AC210" s="2312">
        <v>44</v>
      </c>
      <c r="AD210" s="2318" t="s">
        <v>2754</v>
      </c>
    </row>
    <row r="211" spans="1:30" ht="11.25" customHeight="1" x14ac:dyDescent="0.25">
      <c r="A211" s="136" t="str">
        <f t="shared" si="24"/>
        <v>4.5 - Indigenous and Customary Law</v>
      </c>
      <c r="B211" s="144"/>
      <c r="C211" s="712">
        <f>SUMIFS(Sheet1!S71_PPPYearAmount,Sheet1!S71_SubMunicipalVoteNo,$AC:$AC,Sheet1!S71_ItemType,$AD:$AD)</f>
        <v>76009</v>
      </c>
      <c r="D211" s="712">
        <f>SUMIFS(Sheet1!S71_PPYearAmount,Sheet1!S71_SubMunicipalVoteNo,$AC:$AC,Sheet1!S71_ItemType,$AD:$AD)</f>
        <v>100969</v>
      </c>
      <c r="E211" s="712">
        <f>SUMIFS(Sheet1!S71_PYearAmount,Sheet1!S71_SubMunicipalVoteNo,$AC:$AC,Sheet1!S71_ItemType,$AD:$AD)</f>
        <v>98912</v>
      </c>
      <c r="F211" s="725">
        <f>SUMIFS(Sheet1!S71_OriginalBudAmnt,Sheet1!S71_SubMunicipalVoteNo,$AC:$AC,Sheet1!S71_ItemType,$AD:$AD)</f>
        <v>261500</v>
      </c>
      <c r="G211" s="712">
        <f>SUMIFS(Sheet1!S71_AdjustmentBudAmnt,Sheet1!S71_SubMunicipalVoteNo,$AC:$AC,Sheet1!S71_ItemType,$AD:$AD)</f>
        <v>105000</v>
      </c>
      <c r="H211" s="713">
        <f>SUMIFS(Sheet1!S71_AdjustmentBudAmnt,Sheet1!S71_SubMunicipalVoteNo,$AC:$AC,Sheet1!S71_ItemType,$AD:$AD)</f>
        <v>105000</v>
      </c>
      <c r="I211" s="725">
        <f>SUMIFS(Sheet1!S71_ASBudgetAmount,Sheet1!S71_SubMunicipalVoteNo,$AC:$AC,Sheet1!S71_ItemType,$AD:$AD)</f>
        <v>277500</v>
      </c>
      <c r="J211" s="712">
        <f>SUMIFS(Sheet1!S71_OY1BudgetAmount,Sheet1!S71_SubMunicipalVoteNo,$AC:$AC,Sheet1!S71_ItemType,$AD:$AD)</f>
        <v>288600</v>
      </c>
      <c r="K211" s="713">
        <f>SUMIFS(Sheet1!S71_OY2BudgetAmount,Sheet1!S71_SubMunicipalVoteNo,$AC:$AC,Sheet1!S71_ItemType,$AD:$AD)</f>
        <v>300144</v>
      </c>
      <c r="L211" s="723"/>
      <c r="M211" s="735"/>
      <c r="N211" s="735"/>
      <c r="O211" s="735"/>
      <c r="P211" s="735"/>
      <c r="Q211" s="735"/>
      <c r="R211" s="735"/>
      <c r="S211" s="735"/>
      <c r="T211" s="735"/>
      <c r="U211" s="735"/>
      <c r="V211" s="735"/>
      <c r="W211" s="735"/>
      <c r="AC211" s="2312">
        <v>45</v>
      </c>
      <c r="AD211" s="2318" t="s">
        <v>2754</v>
      </c>
    </row>
    <row r="212" spans="1:30" ht="11.25" customHeight="1" x14ac:dyDescent="0.25">
      <c r="A212" s="136" t="str">
        <f t="shared" si="24"/>
        <v>4.6 - Industrial Promotion</v>
      </c>
      <c r="B212" s="144"/>
      <c r="C212" s="712">
        <f>SUMIFS(Sheet1!S71_PPPYearAmount,Sheet1!S71_SubMunicipalVoteNo,$AC:$AC,Sheet1!S71_ItemType,$AD:$AD)</f>
        <v>15319</v>
      </c>
      <c r="D212" s="712">
        <f>SUMIFS(Sheet1!S71_PPYearAmount,Sheet1!S71_SubMunicipalVoteNo,$AC:$AC,Sheet1!S71_ItemType,$AD:$AD)</f>
        <v>139165</v>
      </c>
      <c r="E212" s="712">
        <f>SUMIFS(Sheet1!S71_PYearAmount,Sheet1!S71_SubMunicipalVoteNo,$AC:$AC,Sheet1!S71_ItemType,$AD:$AD)</f>
        <v>0</v>
      </c>
      <c r="F212" s="725">
        <f>SUMIFS(Sheet1!S71_OriginalBudAmnt,Sheet1!S71_SubMunicipalVoteNo,$AC:$AC,Sheet1!S71_ItemType,$AD:$AD)</f>
        <v>380000</v>
      </c>
      <c r="G212" s="712">
        <f>SUMIFS(Sheet1!S71_AdjustmentBudAmnt,Sheet1!S71_SubMunicipalVoteNo,$AC:$AC,Sheet1!S71_ItemType,$AD:$AD)</f>
        <v>380000</v>
      </c>
      <c r="H212" s="713">
        <f>SUMIFS(Sheet1!S71_AdjustmentBudAmnt,Sheet1!S71_SubMunicipalVoteNo,$AC:$AC,Sheet1!S71_ItemType,$AD:$AD)</f>
        <v>380000</v>
      </c>
      <c r="I212" s="725">
        <f>SUMIFS(Sheet1!S71_ASBudgetAmount,Sheet1!S71_SubMunicipalVoteNo,$AC:$AC,Sheet1!S71_ItemType,$AD:$AD)</f>
        <v>700000</v>
      </c>
      <c r="J212" s="712">
        <f>SUMIFS(Sheet1!S71_OY1BudgetAmount,Sheet1!S71_SubMunicipalVoteNo,$AC:$AC,Sheet1!S71_ItemType,$AD:$AD)</f>
        <v>728000</v>
      </c>
      <c r="K212" s="713">
        <f>SUMIFS(Sheet1!S71_OY2BudgetAmount,Sheet1!S71_SubMunicipalVoteNo,$AC:$AC,Sheet1!S71_ItemType,$AD:$AD)</f>
        <v>757120</v>
      </c>
      <c r="L212" s="723"/>
      <c r="M212" s="735"/>
      <c r="N212" s="735"/>
      <c r="O212" s="735"/>
      <c r="P212" s="735"/>
      <c r="Q212" s="735"/>
      <c r="R212" s="735"/>
      <c r="S212" s="735"/>
      <c r="T212" s="735"/>
      <c r="U212" s="735"/>
      <c r="V212" s="735"/>
      <c r="W212" s="735"/>
      <c r="AC212" s="2312">
        <v>46</v>
      </c>
      <c r="AD212" s="2318" t="s">
        <v>2754</v>
      </c>
    </row>
    <row r="213" spans="1:30" ht="11.25" customHeight="1" x14ac:dyDescent="0.25">
      <c r="A213" s="136" t="str">
        <f t="shared" si="24"/>
        <v>4.7 - Agricultural</v>
      </c>
      <c r="B213" s="144"/>
      <c r="C213" s="712">
        <f>SUMIFS(Sheet1!S71_PPPYearAmount,Sheet1!S71_SubMunicipalVoteNo,$AC:$AC,Sheet1!S71_ItemType,$AD:$AD)</f>
        <v>0</v>
      </c>
      <c r="D213" s="712">
        <f>SUMIFS(Sheet1!S71_PPYearAmount,Sheet1!S71_SubMunicipalVoteNo,$AC:$AC,Sheet1!S71_ItemType,$AD:$AD)</f>
        <v>56442</v>
      </c>
      <c r="E213" s="712">
        <f>SUMIFS(Sheet1!S71_PYearAmount,Sheet1!S71_SubMunicipalVoteNo,$AC:$AC,Sheet1!S71_ItemType,$AD:$AD)</f>
        <v>179642</v>
      </c>
      <c r="F213" s="725">
        <f>SUMIFS(Sheet1!S71_OriginalBudAmnt,Sheet1!S71_SubMunicipalVoteNo,$AC:$AC,Sheet1!S71_ItemType,$AD:$AD)</f>
        <v>150000</v>
      </c>
      <c r="G213" s="712">
        <f>SUMIFS(Sheet1!S71_AdjustmentBudAmnt,Sheet1!S71_SubMunicipalVoteNo,$AC:$AC,Sheet1!S71_ItemType,$AD:$AD)</f>
        <v>150000</v>
      </c>
      <c r="H213" s="713">
        <f>SUMIFS(Sheet1!S71_AdjustmentBudAmnt,Sheet1!S71_SubMunicipalVoteNo,$AC:$AC,Sheet1!S71_ItemType,$AD:$AD)</f>
        <v>150000</v>
      </c>
      <c r="I213" s="725">
        <f>SUMIFS(Sheet1!S71_ASBudgetAmount,Sheet1!S71_SubMunicipalVoteNo,$AC:$AC,Sheet1!S71_ItemType,$AD:$AD)</f>
        <v>300000</v>
      </c>
      <c r="J213" s="712">
        <f>SUMIFS(Sheet1!S71_OY1BudgetAmount,Sheet1!S71_SubMunicipalVoteNo,$AC:$AC,Sheet1!S71_ItemType,$AD:$AD)</f>
        <v>312000</v>
      </c>
      <c r="K213" s="713">
        <f>SUMIFS(Sheet1!S71_OY2BudgetAmount,Sheet1!S71_SubMunicipalVoteNo,$AC:$AC,Sheet1!S71_ItemType,$AD:$AD)</f>
        <v>324480</v>
      </c>
      <c r="L213" s="723"/>
      <c r="M213" s="735"/>
      <c r="N213" s="735"/>
      <c r="O213" s="735"/>
      <c r="P213" s="735"/>
      <c r="Q213" s="735"/>
      <c r="R213" s="735"/>
      <c r="S213" s="735"/>
      <c r="T213" s="735"/>
      <c r="U213" s="735"/>
      <c r="V213" s="735"/>
      <c r="W213" s="735"/>
      <c r="AC213" s="2312">
        <v>47</v>
      </c>
      <c r="AD213" s="2318" t="s">
        <v>2754</v>
      </c>
    </row>
    <row r="214" spans="1:30" ht="11.25" customHeight="1" x14ac:dyDescent="0.25">
      <c r="A214" s="136" t="str">
        <f t="shared" si="24"/>
        <v>4.8 - Aged Care</v>
      </c>
      <c r="B214" s="144"/>
      <c r="C214" s="712">
        <f>SUMIFS(Sheet1!S71_PPPYearAmount,Sheet1!S71_SubMunicipalVoteNo,$AC:$AC,Sheet1!S71_ItemType,$AD:$AD)</f>
        <v>32950</v>
      </c>
      <c r="D214" s="712">
        <f>SUMIFS(Sheet1!S71_PPYearAmount,Sheet1!S71_SubMunicipalVoteNo,$AC:$AC,Sheet1!S71_ItemType,$AD:$AD)</f>
        <v>285350</v>
      </c>
      <c r="E214" s="712">
        <f>SUMIFS(Sheet1!S71_PYearAmount,Sheet1!S71_SubMunicipalVoteNo,$AC:$AC,Sheet1!S71_ItemType,$AD:$AD)</f>
        <v>237085</v>
      </c>
      <c r="F214" s="725">
        <f>SUMIFS(Sheet1!S71_OriginalBudAmnt,Sheet1!S71_SubMunicipalVoteNo,$AC:$AC,Sheet1!S71_ItemType,$AD:$AD)</f>
        <v>490000</v>
      </c>
      <c r="G214" s="712">
        <f>SUMIFS(Sheet1!S71_AdjustmentBudAmnt,Sheet1!S71_SubMunicipalVoteNo,$AC:$AC,Sheet1!S71_ItemType,$AD:$AD)</f>
        <v>410572</v>
      </c>
      <c r="H214" s="713">
        <f>SUMIFS(Sheet1!S71_AdjustmentBudAmnt,Sheet1!S71_SubMunicipalVoteNo,$AC:$AC,Sheet1!S71_ItemType,$AD:$AD)</f>
        <v>410572</v>
      </c>
      <c r="I214" s="725">
        <f>SUMIFS(Sheet1!S71_ASBudgetAmount,Sheet1!S71_SubMunicipalVoteNo,$AC:$AC,Sheet1!S71_ItemType,$AD:$AD)</f>
        <v>840000</v>
      </c>
      <c r="J214" s="712">
        <f>SUMIFS(Sheet1!S71_OY1BudgetAmount,Sheet1!S71_SubMunicipalVoteNo,$AC:$AC,Sheet1!S71_ItemType,$AD:$AD)</f>
        <v>873600</v>
      </c>
      <c r="K214" s="713">
        <f>SUMIFS(Sheet1!S71_OY2BudgetAmount,Sheet1!S71_SubMunicipalVoteNo,$AC:$AC,Sheet1!S71_ItemType,$AD:$AD)</f>
        <v>914016</v>
      </c>
      <c r="L214" s="723"/>
      <c r="M214" s="735"/>
      <c r="N214" s="735"/>
      <c r="O214" s="735"/>
      <c r="P214" s="735"/>
      <c r="Q214" s="735"/>
      <c r="R214" s="735"/>
      <c r="S214" s="735"/>
      <c r="T214" s="735"/>
      <c r="U214" s="735"/>
      <c r="V214" s="735"/>
      <c r="W214" s="735"/>
      <c r="AC214" s="2312">
        <v>48</v>
      </c>
      <c r="AD214" s="2318" t="s">
        <v>2754</v>
      </c>
    </row>
    <row r="215" spans="1:30" ht="11.25" customHeight="1" x14ac:dyDescent="0.25">
      <c r="A215" s="136" t="str">
        <f t="shared" si="24"/>
        <v>4.9 - Child Care Facilities</v>
      </c>
      <c r="B215" s="144"/>
      <c r="C215" s="712">
        <f>SUMIFS(Sheet1!S71_PPPYearAmount,Sheet1!S71_SubMunicipalVoteNo,$AC:$AC,Sheet1!S71_ItemType,$AD:$AD)</f>
        <v>2473707</v>
      </c>
      <c r="D215" s="712">
        <f>SUMIFS(Sheet1!S71_PPYearAmount,Sheet1!S71_SubMunicipalVoteNo,$AC:$AC,Sheet1!S71_ItemType,$AD:$AD)</f>
        <v>1448799</v>
      </c>
      <c r="E215" s="712">
        <f>SUMIFS(Sheet1!S71_PYearAmount,Sheet1!S71_SubMunicipalVoteNo,$AC:$AC,Sheet1!S71_ItemType,$AD:$AD)</f>
        <v>1008348</v>
      </c>
      <c r="F215" s="725">
        <f>SUMIFS(Sheet1!S71_OriginalBudAmnt,Sheet1!S71_SubMunicipalVoteNo,$AC:$AC,Sheet1!S71_ItemType,$AD:$AD)</f>
        <v>0</v>
      </c>
      <c r="G215" s="712">
        <f>SUMIFS(Sheet1!S71_AdjustmentBudAmnt,Sheet1!S71_SubMunicipalVoteNo,$AC:$AC,Sheet1!S71_ItemType,$AD:$AD)</f>
        <v>0</v>
      </c>
      <c r="H215" s="713">
        <f>SUMIFS(Sheet1!S71_AdjustmentBudAmnt,Sheet1!S71_SubMunicipalVoteNo,$AC:$AC,Sheet1!S71_ItemType,$AD:$AD)</f>
        <v>0</v>
      </c>
      <c r="I215" s="725">
        <f>SUMIFS(Sheet1!S71_ASBudgetAmount,Sheet1!S71_SubMunicipalVoteNo,$AC:$AC,Sheet1!S71_ItemType,$AD:$AD)</f>
        <v>0</v>
      </c>
      <c r="J215" s="712">
        <f>SUMIFS(Sheet1!S71_OY1BudgetAmount,Sheet1!S71_SubMunicipalVoteNo,$AC:$AC,Sheet1!S71_ItemType,$AD:$AD)</f>
        <v>0</v>
      </c>
      <c r="K215" s="713">
        <f>SUMIFS(Sheet1!S71_OY2BudgetAmount,Sheet1!S71_SubMunicipalVoteNo,$AC:$AC,Sheet1!S71_ItemType,$AD:$AD)</f>
        <v>0</v>
      </c>
      <c r="L215" s="723"/>
      <c r="M215" s="735"/>
      <c r="N215" s="735"/>
      <c r="O215" s="735"/>
      <c r="P215" s="735"/>
      <c r="Q215" s="735"/>
      <c r="R215" s="735"/>
      <c r="S215" s="735"/>
      <c r="T215" s="735"/>
      <c r="U215" s="735"/>
      <c r="V215" s="735"/>
      <c r="W215" s="735"/>
      <c r="AC215" s="2312">
        <v>49</v>
      </c>
      <c r="AD215" s="2318" t="s">
        <v>2754</v>
      </c>
    </row>
    <row r="216" spans="1:30" ht="11.25" customHeight="1" x14ac:dyDescent="0.25">
      <c r="A216" s="136" t="str">
        <f t="shared" si="24"/>
        <v/>
      </c>
      <c r="B216" s="144"/>
      <c r="C216" s="712">
        <f>SUMIFS(Sheet1!S71_PPPYearAmount,Sheet1!S71_SubMunicipalVoteNo,$AC:$AC,Sheet1!S71_ItemType,$AD:$AD)</f>
        <v>0</v>
      </c>
      <c r="D216" s="712">
        <f>SUMIFS(Sheet1!S71_PPYearAmount,Sheet1!S71_SubMunicipalVoteNo,$AC:$AC,Sheet1!S71_ItemType,$AD:$AD)</f>
        <v>0</v>
      </c>
      <c r="E216" s="712">
        <f>SUMIFS(Sheet1!S71_PYearAmount,Sheet1!S71_SubMunicipalVoteNo,$AC:$AC,Sheet1!S71_ItemType,$AD:$AD)</f>
        <v>0</v>
      </c>
      <c r="F216" s="725">
        <f>SUMIFS(Sheet1!S71_OriginalBudAmnt,Sheet1!S71_SubMunicipalVoteNo,$AC:$AC,Sheet1!S71_ItemType,$AD:$AD)</f>
        <v>0</v>
      </c>
      <c r="G216" s="712">
        <f>SUMIFS(Sheet1!S71_AdjustmentBudAmnt,Sheet1!S71_SubMunicipalVoteNo,$AC:$AC,Sheet1!S71_ItemType,$AD:$AD)</f>
        <v>0</v>
      </c>
      <c r="H216" s="713">
        <f>SUMIFS(Sheet1!S71_AdjustmentBudAmnt,Sheet1!S71_SubMunicipalVoteNo,$AC:$AC,Sheet1!S71_ItemType,$AD:$AD)</f>
        <v>0</v>
      </c>
      <c r="I216" s="725">
        <f>SUMIFS(Sheet1!S71_ASBudgetAmount,Sheet1!S71_SubMunicipalVoteNo,$AC:$AC,Sheet1!S71_ItemType,$AD:$AD)</f>
        <v>0</v>
      </c>
      <c r="J216" s="712">
        <f>SUMIFS(Sheet1!S71_OY1BudgetAmount,Sheet1!S71_SubMunicipalVoteNo,$AC:$AC,Sheet1!S71_ItemType,$AD:$AD)</f>
        <v>0</v>
      </c>
      <c r="K216" s="713">
        <f>SUMIFS(Sheet1!S71_OY2BudgetAmount,Sheet1!S71_SubMunicipalVoteNo,$AC:$AC,Sheet1!S71_ItemType,$AD:$AD)</f>
        <v>0</v>
      </c>
      <c r="L216" s="723"/>
      <c r="M216" s="735"/>
      <c r="N216" s="735"/>
      <c r="O216" s="735"/>
      <c r="P216" s="735"/>
      <c r="Q216" s="735"/>
      <c r="R216" s="735"/>
      <c r="S216" s="735"/>
      <c r="T216" s="735"/>
      <c r="U216" s="735"/>
      <c r="V216" s="735"/>
      <c r="W216" s="735"/>
      <c r="AC216" s="2312">
        <v>410</v>
      </c>
      <c r="AD216" s="2318" t="s">
        <v>2754</v>
      </c>
    </row>
    <row r="217" spans="1:30" ht="15" customHeight="1" x14ac:dyDescent="0.25">
      <c r="A217" s="135" t="str">
        <f>A49</f>
        <v>Vote 5 - Community and Social Services2</v>
      </c>
      <c r="B217" s="211"/>
      <c r="C217" s="212">
        <f t="shared" ref="C217:K217" si="25">SUM(C218:C227)</f>
        <v>6745673</v>
      </c>
      <c r="D217" s="212">
        <f t="shared" si="25"/>
        <v>7235909</v>
      </c>
      <c r="E217" s="213">
        <f t="shared" si="25"/>
        <v>8842916</v>
      </c>
      <c r="F217" s="214">
        <f t="shared" si="25"/>
        <v>12212528</v>
      </c>
      <c r="G217" s="212">
        <f t="shared" si="25"/>
        <v>15172303</v>
      </c>
      <c r="H217" s="215">
        <f t="shared" si="25"/>
        <v>15172303</v>
      </c>
      <c r="I217" s="216">
        <f t="shared" si="25"/>
        <v>16141704</v>
      </c>
      <c r="J217" s="212">
        <f t="shared" si="25"/>
        <v>14034623</v>
      </c>
      <c r="K217" s="213">
        <f t="shared" si="25"/>
        <v>14992568</v>
      </c>
      <c r="L217" s="723"/>
      <c r="M217" s="735"/>
      <c r="N217" s="735"/>
      <c r="O217" s="735"/>
      <c r="P217" s="735"/>
      <c r="Q217" s="735"/>
      <c r="R217" s="735"/>
      <c r="S217" s="735"/>
      <c r="T217" s="735"/>
      <c r="U217" s="735"/>
      <c r="V217" s="735"/>
      <c r="W217" s="735"/>
      <c r="AD217" s="2315"/>
    </row>
    <row r="218" spans="1:30" ht="11.25" customHeight="1" x14ac:dyDescent="0.25">
      <c r="A218" s="136" t="str">
        <f t="shared" ref="A218:A227" si="26">A50</f>
        <v>5.1 - Literacy Programmes</v>
      </c>
      <c r="B218" s="144"/>
      <c r="C218" s="712">
        <f>SUMIFS(Sheet1!S71_PPPYearAmount,Sheet1!S71_SubMunicipalVoteNo,$AC:$AC,Sheet1!S71_ItemType,$AD:$AD)</f>
        <v>104525</v>
      </c>
      <c r="D218" s="712">
        <f>SUMIFS(Sheet1!S71_PPYearAmount,Sheet1!S71_SubMunicipalVoteNo,$AC:$AC,Sheet1!S71_ItemType,$AD:$AD)</f>
        <v>534834</v>
      </c>
      <c r="E218" s="712">
        <f>SUMIFS(Sheet1!S71_PYearAmount,Sheet1!S71_SubMunicipalVoteNo,$AC:$AC,Sheet1!S71_ItemType,$AD:$AD)</f>
        <v>859950</v>
      </c>
      <c r="F218" s="725">
        <f>SUMIFS(Sheet1!S71_OriginalBudAmnt,Sheet1!S71_SubMunicipalVoteNo,$AC:$AC,Sheet1!S71_ItemType,$AD:$AD)</f>
        <v>2320000</v>
      </c>
      <c r="G218" s="712">
        <f>SUMIFS(Sheet1!S71_AdjustmentBudAmnt,Sheet1!S71_SubMunicipalVoteNo,$AC:$AC,Sheet1!S71_ItemType,$AD:$AD)</f>
        <v>2490000</v>
      </c>
      <c r="H218" s="713">
        <f>SUMIFS(Sheet1!S71_AdjustmentBudAmnt,Sheet1!S71_SubMunicipalVoteNo,$AC:$AC,Sheet1!S71_ItemType,$AD:$AD)</f>
        <v>2490000</v>
      </c>
      <c r="I218" s="725">
        <f>SUMIFS(Sheet1!S71_ASBudgetAmount,Sheet1!S71_SubMunicipalVoteNo,$AC:$AC,Sheet1!S71_ItemType,$AD:$AD)</f>
        <v>2690000</v>
      </c>
      <c r="J218" s="712">
        <f>SUMIFS(Sheet1!S71_OY1BudgetAmount,Sheet1!S71_SubMunicipalVoteNo,$AC:$AC,Sheet1!S71_ItemType,$AD:$AD)</f>
        <v>2797600</v>
      </c>
      <c r="K218" s="713">
        <f>SUMIFS(Sheet1!S71_OY2BudgetAmount,Sheet1!S71_SubMunicipalVoteNo,$AC:$AC,Sheet1!S71_ItemType,$AD:$AD)</f>
        <v>2909504</v>
      </c>
      <c r="L218" s="723"/>
      <c r="M218" s="735"/>
      <c r="N218" s="735"/>
      <c r="O218" s="735"/>
      <c r="P218" s="735"/>
      <c r="Q218" s="735"/>
      <c r="R218" s="735"/>
      <c r="S218" s="735"/>
      <c r="T218" s="735"/>
      <c r="U218" s="735"/>
      <c r="V218" s="735"/>
      <c r="W218" s="735"/>
      <c r="AC218" s="2312">
        <v>51</v>
      </c>
      <c r="AD218" s="2318" t="s">
        <v>2754</v>
      </c>
    </row>
    <row r="219" spans="1:30" ht="11.25" customHeight="1" x14ac:dyDescent="0.25">
      <c r="A219" s="136" t="str">
        <f t="shared" si="26"/>
        <v>5.2 - Education</v>
      </c>
      <c r="B219" s="144"/>
      <c r="C219" s="712">
        <f>SUMIFS(Sheet1!S71_PPPYearAmount,Sheet1!S71_SubMunicipalVoteNo,$AC:$AC,Sheet1!S71_ItemType,$AD:$AD)</f>
        <v>0</v>
      </c>
      <c r="D219" s="712">
        <f>SUMIFS(Sheet1!S71_PPYearAmount,Sheet1!S71_SubMunicipalVoteNo,$AC:$AC,Sheet1!S71_ItemType,$AD:$AD)</f>
        <v>9600</v>
      </c>
      <c r="E219" s="712">
        <f>SUMIFS(Sheet1!S71_PYearAmount,Sheet1!S71_SubMunicipalVoteNo,$AC:$AC,Sheet1!S71_ItemType,$AD:$AD)</f>
        <v>405345</v>
      </c>
      <c r="F219" s="725">
        <f>SUMIFS(Sheet1!S71_OriginalBudAmnt,Sheet1!S71_SubMunicipalVoteNo,$AC:$AC,Sheet1!S71_ItemType,$AD:$AD)</f>
        <v>190000</v>
      </c>
      <c r="G219" s="712">
        <f>SUMIFS(Sheet1!S71_AdjustmentBudAmnt,Sheet1!S71_SubMunicipalVoteNo,$AC:$AC,Sheet1!S71_ItemType,$AD:$AD)</f>
        <v>0</v>
      </c>
      <c r="H219" s="713">
        <f>SUMIFS(Sheet1!S71_AdjustmentBudAmnt,Sheet1!S71_SubMunicipalVoteNo,$AC:$AC,Sheet1!S71_ItemType,$AD:$AD)</f>
        <v>0</v>
      </c>
      <c r="I219" s="725">
        <f>SUMIFS(Sheet1!S71_ASBudgetAmount,Sheet1!S71_SubMunicipalVoteNo,$AC:$AC,Sheet1!S71_ItemType,$AD:$AD)</f>
        <v>210000</v>
      </c>
      <c r="J219" s="712">
        <f>SUMIFS(Sheet1!S71_OY1BudgetAmount,Sheet1!S71_SubMunicipalVoteNo,$AC:$AC,Sheet1!S71_ItemType,$AD:$AD)</f>
        <v>218400</v>
      </c>
      <c r="K219" s="713">
        <f>SUMIFS(Sheet1!S71_OY2BudgetAmount,Sheet1!S71_SubMunicipalVoteNo,$AC:$AC,Sheet1!S71_ItemType,$AD:$AD)</f>
        <v>227136</v>
      </c>
      <c r="L219" s="723"/>
      <c r="M219" s="735"/>
      <c r="N219" s="735"/>
      <c r="O219" s="735"/>
      <c r="P219" s="735"/>
      <c r="Q219" s="735"/>
      <c r="R219" s="735"/>
      <c r="S219" s="735"/>
      <c r="T219" s="735"/>
      <c r="U219" s="735"/>
      <c r="V219" s="735"/>
      <c r="W219" s="735"/>
      <c r="AC219" s="2312">
        <v>52</v>
      </c>
      <c r="AD219" s="2318" t="s">
        <v>2754</v>
      </c>
    </row>
    <row r="220" spans="1:30" ht="11.25" customHeight="1" x14ac:dyDescent="0.25">
      <c r="A220" s="136" t="str">
        <f t="shared" si="26"/>
        <v>5.3 - Community Halls and Facilities</v>
      </c>
      <c r="B220" s="144"/>
      <c r="C220" s="712">
        <f>SUMIFS(Sheet1!S71_PPPYearAmount,Sheet1!S71_SubMunicipalVoteNo,$AC:$AC,Sheet1!S71_ItemType,$AD:$AD)</f>
        <v>6651622</v>
      </c>
      <c r="D220" s="712">
        <f>SUMIFS(Sheet1!S71_PPYearAmount,Sheet1!S71_SubMunicipalVoteNo,$AC:$AC,Sheet1!S71_ItemType,$AD:$AD)</f>
        <v>6685630</v>
      </c>
      <c r="E220" s="712">
        <f>SUMIFS(Sheet1!S71_PYearAmount,Sheet1!S71_SubMunicipalVoteNo,$AC:$AC,Sheet1!S71_ItemType,$AD:$AD)</f>
        <v>7577621</v>
      </c>
      <c r="F220" s="725">
        <f>SUMIFS(Sheet1!S71_OriginalBudAmnt,Sheet1!S71_SubMunicipalVoteNo,$AC:$AC,Sheet1!S71_ItemType,$AD:$AD)</f>
        <v>9702528</v>
      </c>
      <c r="G220" s="712">
        <f>SUMIFS(Sheet1!S71_AdjustmentBudAmnt,Sheet1!S71_SubMunicipalVoteNo,$AC:$AC,Sheet1!S71_ItemType,$AD:$AD)</f>
        <v>12682303</v>
      </c>
      <c r="H220" s="713">
        <f>SUMIFS(Sheet1!S71_AdjustmentBudAmnt,Sheet1!S71_SubMunicipalVoteNo,$AC:$AC,Sheet1!S71_ItemType,$AD:$AD)</f>
        <v>12682303</v>
      </c>
      <c r="I220" s="725">
        <f>SUMIFS(Sheet1!S71_ASBudgetAmount,Sheet1!S71_SubMunicipalVoteNo,$AC:$AC,Sheet1!S71_ItemType,$AD:$AD)</f>
        <v>13241704</v>
      </c>
      <c r="J220" s="712">
        <f>SUMIFS(Sheet1!S71_OY1BudgetAmount,Sheet1!S71_SubMunicipalVoteNo,$AC:$AC,Sheet1!S71_ItemType,$AD:$AD)</f>
        <v>11018623</v>
      </c>
      <c r="K220" s="713">
        <f>SUMIFS(Sheet1!S71_OY2BudgetAmount,Sheet1!S71_SubMunicipalVoteNo,$AC:$AC,Sheet1!S71_ItemType,$AD:$AD)</f>
        <v>11855928</v>
      </c>
      <c r="L220" s="723"/>
      <c r="M220" s="735"/>
      <c r="N220" s="735"/>
      <c r="O220" s="735"/>
      <c r="P220" s="735"/>
      <c r="Q220" s="735"/>
      <c r="R220" s="735"/>
      <c r="S220" s="735"/>
      <c r="T220" s="735"/>
      <c r="U220" s="735"/>
      <c r="V220" s="735"/>
      <c r="W220" s="735"/>
      <c r="AC220" s="2312">
        <v>53</v>
      </c>
      <c r="AD220" s="2318" t="s">
        <v>2754</v>
      </c>
    </row>
    <row r="221" spans="1:30" ht="11.25" customHeight="1" x14ac:dyDescent="0.25">
      <c r="A221" s="136" t="str">
        <f t="shared" si="26"/>
        <v>5.4 - Tourism</v>
      </c>
      <c r="B221" s="144"/>
      <c r="C221" s="712">
        <f>SUMIFS(Sheet1!S71_PPPYearAmount,Sheet1!S71_SubMunicipalVoteNo,$AC:$AC,Sheet1!S71_ItemType,$AD:$AD)</f>
        <v>-10474</v>
      </c>
      <c r="D221" s="712">
        <f>SUMIFS(Sheet1!S71_PPYearAmount,Sheet1!S71_SubMunicipalVoteNo,$AC:$AC,Sheet1!S71_ItemType,$AD:$AD)</f>
        <v>5845</v>
      </c>
      <c r="E221" s="712">
        <f>SUMIFS(Sheet1!S71_PYearAmount,Sheet1!S71_SubMunicipalVoteNo,$AC:$AC,Sheet1!S71_ItemType,$AD:$AD)</f>
        <v>0</v>
      </c>
      <c r="F221" s="725">
        <f>SUMIFS(Sheet1!S71_OriginalBudAmnt,Sheet1!S71_SubMunicipalVoteNo,$AC:$AC,Sheet1!S71_ItemType,$AD:$AD)</f>
        <v>0</v>
      </c>
      <c r="G221" s="712">
        <f>SUMIFS(Sheet1!S71_AdjustmentBudAmnt,Sheet1!S71_SubMunicipalVoteNo,$AC:$AC,Sheet1!S71_ItemType,$AD:$AD)</f>
        <v>0</v>
      </c>
      <c r="H221" s="713">
        <f>SUMIFS(Sheet1!S71_AdjustmentBudAmnt,Sheet1!S71_SubMunicipalVoteNo,$AC:$AC,Sheet1!S71_ItemType,$AD:$AD)</f>
        <v>0</v>
      </c>
      <c r="I221" s="725">
        <f>SUMIFS(Sheet1!S71_ASBudgetAmount,Sheet1!S71_SubMunicipalVoteNo,$AC:$AC,Sheet1!S71_ItemType,$AD:$AD)</f>
        <v>0</v>
      </c>
      <c r="J221" s="712">
        <f>SUMIFS(Sheet1!S71_OY1BudgetAmount,Sheet1!S71_SubMunicipalVoteNo,$AC:$AC,Sheet1!S71_ItemType,$AD:$AD)</f>
        <v>0</v>
      </c>
      <c r="K221" s="713">
        <f>SUMIFS(Sheet1!S71_OY2BudgetAmount,Sheet1!S71_SubMunicipalVoteNo,$AC:$AC,Sheet1!S71_ItemType,$AD:$AD)</f>
        <v>0</v>
      </c>
      <c r="L221" s="723"/>
      <c r="M221" s="735"/>
      <c r="N221" s="735"/>
      <c r="O221" s="735"/>
      <c r="P221" s="735"/>
      <c r="Q221" s="735"/>
      <c r="R221" s="735"/>
      <c r="S221" s="735"/>
      <c r="T221" s="735"/>
      <c r="U221" s="735"/>
      <c r="V221" s="735"/>
      <c r="W221" s="735"/>
      <c r="AC221" s="2312">
        <v>54</v>
      </c>
      <c r="AD221" s="2318" t="s">
        <v>2754</v>
      </c>
    </row>
    <row r="222" spans="1:30" ht="11.25" customHeight="1" x14ac:dyDescent="0.25">
      <c r="A222" s="136" t="str">
        <f t="shared" si="26"/>
        <v/>
      </c>
      <c r="B222" s="144"/>
      <c r="C222" s="712">
        <f>SUMIFS(Sheet1!S71_PPPYearAmount,Sheet1!S71_SubMunicipalVoteNo,$AC:$AC,Sheet1!S71_ItemType,$AD:$AD)</f>
        <v>0</v>
      </c>
      <c r="D222" s="712">
        <f>SUMIFS(Sheet1!S71_PPYearAmount,Sheet1!S71_SubMunicipalVoteNo,$AC:$AC,Sheet1!S71_ItemType,$AD:$AD)</f>
        <v>0</v>
      </c>
      <c r="E222" s="712">
        <f>SUMIFS(Sheet1!S71_PYearAmount,Sheet1!S71_SubMunicipalVoteNo,$AC:$AC,Sheet1!S71_ItemType,$AD:$AD)</f>
        <v>0</v>
      </c>
      <c r="F222" s="725">
        <f>SUMIFS(Sheet1!S71_OriginalBudAmnt,Sheet1!S71_SubMunicipalVoteNo,$AC:$AC,Sheet1!S71_ItemType,$AD:$AD)</f>
        <v>0</v>
      </c>
      <c r="G222" s="712">
        <f>SUMIFS(Sheet1!S71_AdjustmentBudAmnt,Sheet1!S71_SubMunicipalVoteNo,$AC:$AC,Sheet1!S71_ItemType,$AD:$AD)</f>
        <v>0</v>
      </c>
      <c r="H222" s="713">
        <f>SUMIFS(Sheet1!S71_AdjustmentBudAmnt,Sheet1!S71_SubMunicipalVoteNo,$AC:$AC,Sheet1!S71_ItemType,$AD:$AD)</f>
        <v>0</v>
      </c>
      <c r="I222" s="725">
        <f>SUMIFS(Sheet1!S71_ASBudgetAmount,Sheet1!S71_SubMunicipalVoteNo,$AC:$AC,Sheet1!S71_ItemType,$AD:$AD)</f>
        <v>0</v>
      </c>
      <c r="J222" s="712">
        <f>SUMIFS(Sheet1!S71_OY1BudgetAmount,Sheet1!S71_SubMunicipalVoteNo,$AC:$AC,Sheet1!S71_ItemType,$AD:$AD)</f>
        <v>0</v>
      </c>
      <c r="K222" s="713">
        <f>SUMIFS(Sheet1!S71_OY2BudgetAmount,Sheet1!S71_SubMunicipalVoteNo,$AC:$AC,Sheet1!S71_ItemType,$AD:$AD)</f>
        <v>0</v>
      </c>
      <c r="L222" s="723"/>
      <c r="M222" s="735"/>
      <c r="N222" s="735"/>
      <c r="O222" s="735"/>
      <c r="P222" s="735"/>
      <c r="Q222" s="735"/>
      <c r="R222" s="735"/>
      <c r="S222" s="735"/>
      <c r="T222" s="735"/>
      <c r="U222" s="735"/>
      <c r="V222" s="735"/>
      <c r="W222" s="735"/>
      <c r="AC222" s="2312">
        <v>55</v>
      </c>
      <c r="AD222" s="2318" t="s">
        <v>2754</v>
      </c>
    </row>
    <row r="223" spans="1:30" ht="11.25" customHeight="1" x14ac:dyDescent="0.25">
      <c r="A223" s="136" t="str">
        <f t="shared" si="26"/>
        <v/>
      </c>
      <c r="B223" s="144"/>
      <c r="C223" s="712">
        <f>SUMIFS(Sheet1!S71_PPPYearAmount,Sheet1!S71_SubMunicipalVoteNo,$AC:$AC,Sheet1!S71_ItemType,$AD:$AD)</f>
        <v>0</v>
      </c>
      <c r="D223" s="712">
        <f>SUMIFS(Sheet1!S71_PPYearAmount,Sheet1!S71_SubMunicipalVoteNo,$AC:$AC,Sheet1!S71_ItemType,$AD:$AD)</f>
        <v>0</v>
      </c>
      <c r="E223" s="712">
        <f>SUMIFS(Sheet1!S71_PYearAmount,Sheet1!S71_SubMunicipalVoteNo,$AC:$AC,Sheet1!S71_ItemType,$AD:$AD)</f>
        <v>0</v>
      </c>
      <c r="F223" s="725">
        <f>SUMIFS(Sheet1!S71_OriginalBudAmnt,Sheet1!S71_SubMunicipalVoteNo,$AC:$AC,Sheet1!S71_ItemType,$AD:$AD)</f>
        <v>0</v>
      </c>
      <c r="G223" s="712">
        <f>SUMIFS(Sheet1!S71_AdjustmentBudAmnt,Sheet1!S71_SubMunicipalVoteNo,$AC:$AC,Sheet1!S71_ItemType,$AD:$AD)</f>
        <v>0</v>
      </c>
      <c r="H223" s="713">
        <f>SUMIFS(Sheet1!S71_AdjustmentBudAmnt,Sheet1!S71_SubMunicipalVoteNo,$AC:$AC,Sheet1!S71_ItemType,$AD:$AD)</f>
        <v>0</v>
      </c>
      <c r="I223" s="725">
        <f>SUMIFS(Sheet1!S71_ASBudgetAmount,Sheet1!S71_SubMunicipalVoteNo,$AC:$AC,Sheet1!S71_ItemType,$AD:$AD)</f>
        <v>0</v>
      </c>
      <c r="J223" s="712">
        <f>SUMIFS(Sheet1!S71_OY1BudgetAmount,Sheet1!S71_SubMunicipalVoteNo,$AC:$AC,Sheet1!S71_ItemType,$AD:$AD)</f>
        <v>0</v>
      </c>
      <c r="K223" s="713">
        <f>SUMIFS(Sheet1!S71_OY2BudgetAmount,Sheet1!S71_SubMunicipalVoteNo,$AC:$AC,Sheet1!S71_ItemType,$AD:$AD)</f>
        <v>0</v>
      </c>
      <c r="L223" s="723"/>
      <c r="M223" s="735"/>
      <c r="N223" s="735"/>
      <c r="O223" s="735"/>
      <c r="P223" s="735"/>
      <c r="Q223" s="735"/>
      <c r="R223" s="735"/>
      <c r="S223" s="735"/>
      <c r="T223" s="735"/>
      <c r="U223" s="735"/>
      <c r="V223" s="735"/>
      <c r="W223" s="735"/>
      <c r="AC223" s="2312">
        <v>56</v>
      </c>
      <c r="AD223" s="2318" t="s">
        <v>2754</v>
      </c>
    </row>
    <row r="224" spans="1:30" ht="11.25" customHeight="1" x14ac:dyDescent="0.25">
      <c r="A224" s="136" t="str">
        <f t="shared" si="26"/>
        <v/>
      </c>
      <c r="B224" s="144"/>
      <c r="C224" s="712">
        <f>SUMIFS(Sheet1!S71_PPPYearAmount,Sheet1!S71_SubMunicipalVoteNo,$AC:$AC,Sheet1!S71_ItemType,$AD:$AD)</f>
        <v>0</v>
      </c>
      <c r="D224" s="712">
        <f>SUMIFS(Sheet1!S71_PPYearAmount,Sheet1!S71_SubMunicipalVoteNo,$AC:$AC,Sheet1!S71_ItemType,$AD:$AD)</f>
        <v>0</v>
      </c>
      <c r="E224" s="712">
        <f>SUMIFS(Sheet1!S71_PYearAmount,Sheet1!S71_SubMunicipalVoteNo,$AC:$AC,Sheet1!S71_ItemType,$AD:$AD)</f>
        <v>0</v>
      </c>
      <c r="F224" s="725">
        <f>SUMIFS(Sheet1!S71_OriginalBudAmnt,Sheet1!S71_SubMunicipalVoteNo,$AC:$AC,Sheet1!S71_ItemType,$AD:$AD)</f>
        <v>0</v>
      </c>
      <c r="G224" s="712">
        <f>SUMIFS(Sheet1!S71_AdjustmentBudAmnt,Sheet1!S71_SubMunicipalVoteNo,$AC:$AC,Sheet1!S71_ItemType,$AD:$AD)</f>
        <v>0</v>
      </c>
      <c r="H224" s="713">
        <f>SUMIFS(Sheet1!S71_AdjustmentBudAmnt,Sheet1!S71_SubMunicipalVoteNo,$AC:$AC,Sheet1!S71_ItemType,$AD:$AD)</f>
        <v>0</v>
      </c>
      <c r="I224" s="725">
        <f>SUMIFS(Sheet1!S71_ASBudgetAmount,Sheet1!S71_SubMunicipalVoteNo,$AC:$AC,Sheet1!S71_ItemType,$AD:$AD)</f>
        <v>0</v>
      </c>
      <c r="J224" s="712">
        <f>SUMIFS(Sheet1!S71_OY1BudgetAmount,Sheet1!S71_SubMunicipalVoteNo,$AC:$AC,Sheet1!S71_ItemType,$AD:$AD)</f>
        <v>0</v>
      </c>
      <c r="K224" s="713">
        <f>SUMIFS(Sheet1!S71_OY2BudgetAmount,Sheet1!S71_SubMunicipalVoteNo,$AC:$AC,Sheet1!S71_ItemType,$AD:$AD)</f>
        <v>0</v>
      </c>
      <c r="L224" s="723"/>
      <c r="M224" s="735"/>
      <c r="N224" s="735"/>
      <c r="O224" s="735"/>
      <c r="P224" s="735"/>
      <c r="Q224" s="735"/>
      <c r="R224" s="735"/>
      <c r="S224" s="735"/>
      <c r="T224" s="735"/>
      <c r="U224" s="735"/>
      <c r="V224" s="735"/>
      <c r="W224" s="735"/>
      <c r="AC224" s="2312">
        <v>57</v>
      </c>
      <c r="AD224" s="2318" t="s">
        <v>2754</v>
      </c>
    </row>
    <row r="225" spans="1:30" ht="11.25" customHeight="1" x14ac:dyDescent="0.25">
      <c r="A225" s="136" t="str">
        <f t="shared" si="26"/>
        <v/>
      </c>
      <c r="B225" s="144"/>
      <c r="C225" s="712">
        <f>SUMIFS(Sheet1!S71_PPPYearAmount,Sheet1!S71_SubMunicipalVoteNo,$AC:$AC,Sheet1!S71_ItemType,$AD:$AD)</f>
        <v>0</v>
      </c>
      <c r="D225" s="712">
        <f>SUMIFS(Sheet1!S71_PPYearAmount,Sheet1!S71_SubMunicipalVoteNo,$AC:$AC,Sheet1!S71_ItemType,$AD:$AD)</f>
        <v>0</v>
      </c>
      <c r="E225" s="712">
        <f>SUMIFS(Sheet1!S71_PYearAmount,Sheet1!S71_SubMunicipalVoteNo,$AC:$AC,Sheet1!S71_ItemType,$AD:$AD)</f>
        <v>0</v>
      </c>
      <c r="F225" s="725">
        <f>SUMIFS(Sheet1!S71_OriginalBudAmnt,Sheet1!S71_SubMunicipalVoteNo,$AC:$AC,Sheet1!S71_ItemType,$AD:$AD)</f>
        <v>0</v>
      </c>
      <c r="G225" s="712">
        <f>SUMIFS(Sheet1!S71_AdjustmentBudAmnt,Sheet1!S71_SubMunicipalVoteNo,$AC:$AC,Sheet1!S71_ItemType,$AD:$AD)</f>
        <v>0</v>
      </c>
      <c r="H225" s="713">
        <f>SUMIFS(Sheet1!S71_AdjustmentBudAmnt,Sheet1!S71_SubMunicipalVoteNo,$AC:$AC,Sheet1!S71_ItemType,$AD:$AD)</f>
        <v>0</v>
      </c>
      <c r="I225" s="725">
        <f>SUMIFS(Sheet1!S71_ASBudgetAmount,Sheet1!S71_SubMunicipalVoteNo,$AC:$AC,Sheet1!S71_ItemType,$AD:$AD)</f>
        <v>0</v>
      </c>
      <c r="J225" s="712">
        <f>SUMIFS(Sheet1!S71_OY1BudgetAmount,Sheet1!S71_SubMunicipalVoteNo,$AC:$AC,Sheet1!S71_ItemType,$AD:$AD)</f>
        <v>0</v>
      </c>
      <c r="K225" s="713">
        <f>SUMIFS(Sheet1!S71_OY2BudgetAmount,Sheet1!S71_SubMunicipalVoteNo,$AC:$AC,Sheet1!S71_ItemType,$AD:$AD)</f>
        <v>0</v>
      </c>
      <c r="L225" s="723"/>
      <c r="M225" s="735"/>
      <c r="N225" s="735"/>
      <c r="O225" s="735"/>
      <c r="P225" s="735"/>
      <c r="Q225" s="735"/>
      <c r="R225" s="735"/>
      <c r="S225" s="735"/>
      <c r="T225" s="735"/>
      <c r="U225" s="735"/>
      <c r="V225" s="735"/>
      <c r="W225" s="735"/>
      <c r="AC225" s="2312">
        <v>58</v>
      </c>
      <c r="AD225" s="2318" t="s">
        <v>2754</v>
      </c>
    </row>
    <row r="226" spans="1:30" ht="11.25" customHeight="1" x14ac:dyDescent="0.25">
      <c r="A226" s="136" t="str">
        <f t="shared" si="26"/>
        <v/>
      </c>
      <c r="B226" s="144"/>
      <c r="C226" s="712">
        <f>SUMIFS(Sheet1!S71_PPPYearAmount,Sheet1!S71_SubMunicipalVoteNo,$AC:$AC,Sheet1!S71_ItemType,$AD:$AD)</f>
        <v>0</v>
      </c>
      <c r="D226" s="712">
        <f>SUMIFS(Sheet1!S71_PPYearAmount,Sheet1!S71_SubMunicipalVoteNo,$AC:$AC,Sheet1!S71_ItemType,$AD:$AD)</f>
        <v>0</v>
      </c>
      <c r="E226" s="712">
        <f>SUMIFS(Sheet1!S71_PYearAmount,Sheet1!S71_SubMunicipalVoteNo,$AC:$AC,Sheet1!S71_ItemType,$AD:$AD)</f>
        <v>0</v>
      </c>
      <c r="F226" s="725">
        <f>SUMIFS(Sheet1!S71_OriginalBudAmnt,Sheet1!S71_SubMunicipalVoteNo,$AC:$AC,Sheet1!S71_ItemType,$AD:$AD)</f>
        <v>0</v>
      </c>
      <c r="G226" s="712">
        <f>SUMIFS(Sheet1!S71_AdjustmentBudAmnt,Sheet1!S71_SubMunicipalVoteNo,$AC:$AC,Sheet1!S71_ItemType,$AD:$AD)</f>
        <v>0</v>
      </c>
      <c r="H226" s="713">
        <f>SUMIFS(Sheet1!S71_AdjustmentBudAmnt,Sheet1!S71_SubMunicipalVoteNo,$AC:$AC,Sheet1!S71_ItemType,$AD:$AD)</f>
        <v>0</v>
      </c>
      <c r="I226" s="725">
        <f>SUMIFS(Sheet1!S71_ASBudgetAmount,Sheet1!S71_SubMunicipalVoteNo,$AC:$AC,Sheet1!S71_ItemType,$AD:$AD)</f>
        <v>0</v>
      </c>
      <c r="J226" s="712">
        <f>SUMIFS(Sheet1!S71_OY1BudgetAmount,Sheet1!S71_SubMunicipalVoteNo,$AC:$AC,Sheet1!S71_ItemType,$AD:$AD)</f>
        <v>0</v>
      </c>
      <c r="K226" s="713">
        <f>SUMIFS(Sheet1!S71_OY2BudgetAmount,Sheet1!S71_SubMunicipalVoteNo,$AC:$AC,Sheet1!S71_ItemType,$AD:$AD)</f>
        <v>0</v>
      </c>
      <c r="L226" s="723"/>
      <c r="M226" s="735"/>
      <c r="N226" s="735"/>
      <c r="O226" s="735"/>
      <c r="P226" s="735"/>
      <c r="Q226" s="735"/>
      <c r="R226" s="735"/>
      <c r="S226" s="735"/>
      <c r="T226" s="735"/>
      <c r="U226" s="735"/>
      <c r="V226" s="735"/>
      <c r="W226" s="735"/>
      <c r="AC226" s="2312">
        <v>59</v>
      </c>
      <c r="AD226" s="2318" t="s">
        <v>2754</v>
      </c>
    </row>
    <row r="227" spans="1:30" ht="11.25" customHeight="1" x14ac:dyDescent="0.25">
      <c r="A227" s="136" t="str">
        <f t="shared" si="26"/>
        <v/>
      </c>
      <c r="B227" s="144"/>
      <c r="C227" s="712">
        <f>SUMIFS(Sheet1!S71_PPPYearAmount,Sheet1!S71_SubMunicipalVoteNo,$AC:$AC,Sheet1!S71_ItemType,$AD:$AD)</f>
        <v>0</v>
      </c>
      <c r="D227" s="712">
        <f>SUMIFS(Sheet1!S71_PPYearAmount,Sheet1!S71_SubMunicipalVoteNo,$AC:$AC,Sheet1!S71_ItemType,$AD:$AD)</f>
        <v>0</v>
      </c>
      <c r="E227" s="712">
        <f>SUMIFS(Sheet1!S71_PYearAmount,Sheet1!S71_SubMunicipalVoteNo,$AC:$AC,Sheet1!S71_ItemType,$AD:$AD)</f>
        <v>0</v>
      </c>
      <c r="F227" s="725">
        <f>SUMIFS(Sheet1!S71_OriginalBudAmnt,Sheet1!S71_SubMunicipalVoteNo,$AC:$AC,Sheet1!S71_ItemType,$AD:$AD)</f>
        <v>0</v>
      </c>
      <c r="G227" s="712">
        <f>SUMIFS(Sheet1!S71_AdjustmentBudAmnt,Sheet1!S71_SubMunicipalVoteNo,$AC:$AC,Sheet1!S71_ItemType,$AD:$AD)</f>
        <v>0</v>
      </c>
      <c r="H227" s="713">
        <f>SUMIFS(Sheet1!S71_AdjustmentBudAmnt,Sheet1!S71_SubMunicipalVoteNo,$AC:$AC,Sheet1!S71_ItemType,$AD:$AD)</f>
        <v>0</v>
      </c>
      <c r="I227" s="725">
        <f>SUMIFS(Sheet1!S71_ASBudgetAmount,Sheet1!S71_SubMunicipalVoteNo,$AC:$AC,Sheet1!S71_ItemType,$AD:$AD)</f>
        <v>0</v>
      </c>
      <c r="J227" s="712">
        <f>SUMIFS(Sheet1!S71_OY1BudgetAmount,Sheet1!S71_SubMunicipalVoteNo,$AC:$AC,Sheet1!S71_ItemType,$AD:$AD)</f>
        <v>0</v>
      </c>
      <c r="K227" s="713">
        <f>SUMIFS(Sheet1!S71_OY2BudgetAmount,Sheet1!S71_SubMunicipalVoteNo,$AC:$AC,Sheet1!S71_ItemType,$AD:$AD)</f>
        <v>0</v>
      </c>
      <c r="L227" s="723"/>
      <c r="M227" s="735"/>
      <c r="N227" s="735"/>
      <c r="O227" s="735"/>
      <c r="P227" s="735"/>
      <c r="Q227" s="735"/>
      <c r="R227" s="735"/>
      <c r="S227" s="735"/>
      <c r="T227" s="735"/>
      <c r="U227" s="735"/>
      <c r="V227" s="735"/>
      <c r="W227" s="735"/>
      <c r="AC227" s="2312">
        <v>510</v>
      </c>
      <c r="AD227" s="2318" t="s">
        <v>2754</v>
      </c>
    </row>
    <row r="228" spans="1:30" ht="15" customHeight="1" x14ac:dyDescent="0.25">
      <c r="A228" s="135" t="str">
        <f>A60</f>
        <v>Vote 6 - Energy Sources</v>
      </c>
      <c r="B228" s="211"/>
      <c r="C228" s="212">
        <f t="shared" ref="C228:K228" si="27">SUM(C229:C238)</f>
        <v>0</v>
      </c>
      <c r="D228" s="212">
        <f t="shared" si="27"/>
        <v>3222602</v>
      </c>
      <c r="E228" s="213">
        <f t="shared" si="27"/>
        <v>6223503</v>
      </c>
      <c r="F228" s="214">
        <f t="shared" si="27"/>
        <v>0</v>
      </c>
      <c r="G228" s="212">
        <f t="shared" si="27"/>
        <v>6381606</v>
      </c>
      <c r="H228" s="215">
        <f t="shared" si="27"/>
        <v>6381606</v>
      </c>
      <c r="I228" s="216">
        <f t="shared" si="27"/>
        <v>0</v>
      </c>
      <c r="J228" s="212">
        <f t="shared" si="27"/>
        <v>0</v>
      </c>
      <c r="K228" s="213">
        <f t="shared" si="27"/>
        <v>0</v>
      </c>
      <c r="L228" s="723"/>
      <c r="M228" s="735"/>
      <c r="N228" s="735"/>
      <c r="O228" s="735"/>
      <c r="P228" s="735"/>
      <c r="Q228" s="735"/>
      <c r="R228" s="735"/>
      <c r="S228" s="735"/>
      <c r="T228" s="735"/>
      <c r="U228" s="735"/>
      <c r="V228" s="735"/>
      <c r="W228" s="735"/>
      <c r="AD228" s="2315"/>
    </row>
    <row r="229" spans="1:30" ht="11.25" customHeight="1" x14ac:dyDescent="0.25">
      <c r="A229" s="136" t="str">
        <f t="shared" ref="A229:A238" si="28">A61</f>
        <v>6.1 - Electricity</v>
      </c>
      <c r="B229" s="144"/>
      <c r="C229" s="712">
        <f>SUMIFS(Sheet1!S71_PPPYearAmount,Sheet1!S71_SubMunicipalVoteNo,$AC:$AC,Sheet1!S71_ItemType,$AD:$AD)</f>
        <v>0</v>
      </c>
      <c r="D229" s="712">
        <f>SUMIFS(Sheet1!S71_PPYearAmount,Sheet1!S71_SubMunicipalVoteNo,$AC:$AC,Sheet1!S71_ItemType,$AD:$AD)</f>
        <v>3222602</v>
      </c>
      <c r="E229" s="712">
        <f>SUMIFS(Sheet1!S71_PYearAmount,Sheet1!S71_SubMunicipalVoteNo,$AC:$AC,Sheet1!S71_ItemType,$AD:$AD)</f>
        <v>6223503</v>
      </c>
      <c r="F229" s="725">
        <f>SUMIFS(Sheet1!S71_OriginalBudAmnt,Sheet1!S71_SubMunicipalVoteNo,$AC:$AC,Sheet1!S71_ItemType,$AD:$AD)</f>
        <v>0</v>
      </c>
      <c r="G229" s="712">
        <f>SUMIFS(Sheet1!S71_AdjustmentBudAmnt,Sheet1!S71_SubMunicipalVoteNo,$AC:$AC,Sheet1!S71_ItemType,$AD:$AD)</f>
        <v>6381606</v>
      </c>
      <c r="H229" s="713">
        <f>SUMIFS(Sheet1!S71_AdjustmentBudAmnt,Sheet1!S71_SubMunicipalVoteNo,$AC:$AC,Sheet1!S71_ItemType,$AD:$AD)</f>
        <v>6381606</v>
      </c>
      <c r="I229" s="725">
        <f>SUMIFS(Sheet1!S71_ASBudgetAmount,Sheet1!S71_SubMunicipalVoteNo,$AC:$AC,Sheet1!S71_ItemType,$AD:$AD)</f>
        <v>0</v>
      </c>
      <c r="J229" s="712">
        <f>SUMIFS(Sheet1!S71_OY1BudgetAmount,Sheet1!S71_SubMunicipalVoteNo,$AC:$AC,Sheet1!S71_ItemType,$AD:$AD)</f>
        <v>0</v>
      </c>
      <c r="K229" s="713">
        <f>SUMIFS(Sheet1!S71_OY2BudgetAmount,Sheet1!S71_SubMunicipalVoteNo,$AC:$AC,Sheet1!S71_ItemType,$AD:$AD)</f>
        <v>0</v>
      </c>
      <c r="L229" s="723"/>
      <c r="M229" s="735"/>
      <c r="N229" s="735"/>
      <c r="O229" s="735"/>
      <c r="P229" s="735"/>
      <c r="Q229" s="735"/>
      <c r="R229" s="735"/>
      <c r="S229" s="735"/>
      <c r="T229" s="735"/>
      <c r="U229" s="735"/>
      <c r="V229" s="735"/>
      <c r="W229" s="735"/>
      <c r="AC229" s="2312">
        <v>61</v>
      </c>
      <c r="AD229" s="2318" t="s">
        <v>2754</v>
      </c>
    </row>
    <row r="230" spans="1:30" ht="11.25" customHeight="1" x14ac:dyDescent="0.25">
      <c r="A230" s="136" t="str">
        <f t="shared" si="28"/>
        <v/>
      </c>
      <c r="B230" s="144"/>
      <c r="C230" s="712">
        <f>SUMIFS(Sheet1!S71_PPPYearAmount,Sheet1!S71_SubMunicipalVoteNo,$AC:$AC,Sheet1!S71_ItemType,$AD:$AD)</f>
        <v>0</v>
      </c>
      <c r="D230" s="712">
        <f>SUMIFS(Sheet1!S71_PPYearAmount,Sheet1!S71_SubMunicipalVoteNo,$AC:$AC,Sheet1!S71_ItemType,$AD:$AD)</f>
        <v>0</v>
      </c>
      <c r="E230" s="712">
        <f>SUMIFS(Sheet1!S71_PYearAmount,Sheet1!S71_SubMunicipalVoteNo,$AC:$AC,Sheet1!S71_ItemType,$AD:$AD)</f>
        <v>0</v>
      </c>
      <c r="F230" s="725">
        <f>SUMIFS(Sheet1!S71_OriginalBudAmnt,Sheet1!S71_SubMunicipalVoteNo,$AC:$AC,Sheet1!S71_ItemType,$AD:$AD)</f>
        <v>0</v>
      </c>
      <c r="G230" s="712">
        <f>SUMIFS(Sheet1!S71_AdjustmentBudAmnt,Sheet1!S71_SubMunicipalVoteNo,$AC:$AC,Sheet1!S71_ItemType,$AD:$AD)</f>
        <v>0</v>
      </c>
      <c r="H230" s="713">
        <f>SUMIFS(Sheet1!S71_AdjustmentBudAmnt,Sheet1!S71_SubMunicipalVoteNo,$AC:$AC,Sheet1!S71_ItemType,$AD:$AD)</f>
        <v>0</v>
      </c>
      <c r="I230" s="725">
        <f>SUMIFS(Sheet1!S71_ASBudgetAmount,Sheet1!S71_SubMunicipalVoteNo,$AC:$AC,Sheet1!S71_ItemType,$AD:$AD)</f>
        <v>0</v>
      </c>
      <c r="J230" s="712">
        <f>SUMIFS(Sheet1!S71_OY1BudgetAmount,Sheet1!S71_SubMunicipalVoteNo,$AC:$AC,Sheet1!S71_ItemType,$AD:$AD)</f>
        <v>0</v>
      </c>
      <c r="K230" s="713">
        <f>SUMIFS(Sheet1!S71_OY2BudgetAmount,Sheet1!S71_SubMunicipalVoteNo,$AC:$AC,Sheet1!S71_ItemType,$AD:$AD)</f>
        <v>0</v>
      </c>
      <c r="L230" s="723"/>
      <c r="M230" s="735"/>
      <c r="N230" s="735"/>
      <c r="O230" s="735"/>
      <c r="P230" s="735"/>
      <c r="Q230" s="735"/>
      <c r="R230" s="735"/>
      <c r="S230" s="735"/>
      <c r="T230" s="735"/>
      <c r="U230" s="735"/>
      <c r="V230" s="735"/>
      <c r="W230" s="735"/>
      <c r="AC230" s="2312">
        <v>62</v>
      </c>
      <c r="AD230" s="2318" t="s">
        <v>2754</v>
      </c>
    </row>
    <row r="231" spans="1:30" ht="11.25" customHeight="1" x14ac:dyDescent="0.25">
      <c r="A231" s="136" t="str">
        <f t="shared" si="28"/>
        <v/>
      </c>
      <c r="B231" s="144"/>
      <c r="C231" s="712">
        <f>SUMIFS(Sheet1!S71_PPPYearAmount,Sheet1!S71_SubMunicipalVoteNo,$AC:$AC,Sheet1!S71_ItemType,$AD:$AD)</f>
        <v>0</v>
      </c>
      <c r="D231" s="712">
        <f>SUMIFS(Sheet1!S71_PPYearAmount,Sheet1!S71_SubMunicipalVoteNo,$AC:$AC,Sheet1!S71_ItemType,$AD:$AD)</f>
        <v>0</v>
      </c>
      <c r="E231" s="712">
        <f>SUMIFS(Sheet1!S71_PYearAmount,Sheet1!S71_SubMunicipalVoteNo,$AC:$AC,Sheet1!S71_ItemType,$AD:$AD)</f>
        <v>0</v>
      </c>
      <c r="F231" s="725">
        <f>SUMIFS(Sheet1!S71_OriginalBudAmnt,Sheet1!S71_SubMunicipalVoteNo,$AC:$AC,Sheet1!S71_ItemType,$AD:$AD)</f>
        <v>0</v>
      </c>
      <c r="G231" s="712">
        <f>SUMIFS(Sheet1!S71_AdjustmentBudAmnt,Sheet1!S71_SubMunicipalVoteNo,$AC:$AC,Sheet1!S71_ItemType,$AD:$AD)</f>
        <v>0</v>
      </c>
      <c r="H231" s="713">
        <f>SUMIFS(Sheet1!S71_AdjustmentBudAmnt,Sheet1!S71_SubMunicipalVoteNo,$AC:$AC,Sheet1!S71_ItemType,$AD:$AD)</f>
        <v>0</v>
      </c>
      <c r="I231" s="725">
        <f>SUMIFS(Sheet1!S71_ASBudgetAmount,Sheet1!S71_SubMunicipalVoteNo,$AC:$AC,Sheet1!S71_ItemType,$AD:$AD)</f>
        <v>0</v>
      </c>
      <c r="J231" s="712">
        <f>SUMIFS(Sheet1!S71_OY1BudgetAmount,Sheet1!S71_SubMunicipalVoteNo,$AC:$AC,Sheet1!S71_ItemType,$AD:$AD)</f>
        <v>0</v>
      </c>
      <c r="K231" s="713">
        <f>SUMIFS(Sheet1!S71_OY2BudgetAmount,Sheet1!S71_SubMunicipalVoteNo,$AC:$AC,Sheet1!S71_ItemType,$AD:$AD)</f>
        <v>0</v>
      </c>
      <c r="L231" s="723"/>
      <c r="M231" s="735"/>
      <c r="N231" s="735"/>
      <c r="O231" s="735"/>
      <c r="P231" s="735"/>
      <c r="Q231" s="735"/>
      <c r="R231" s="735"/>
      <c r="S231" s="735"/>
      <c r="T231" s="735"/>
      <c r="U231" s="735"/>
      <c r="V231" s="735"/>
      <c r="W231" s="735"/>
      <c r="AC231" s="2312">
        <v>63</v>
      </c>
      <c r="AD231" s="2318" t="s">
        <v>2754</v>
      </c>
    </row>
    <row r="232" spans="1:30" ht="11.25" customHeight="1" x14ac:dyDescent="0.25">
      <c r="A232" s="136" t="str">
        <f t="shared" si="28"/>
        <v/>
      </c>
      <c r="B232" s="144"/>
      <c r="C232" s="712">
        <f>SUMIFS(Sheet1!S71_PPPYearAmount,Sheet1!S71_SubMunicipalVoteNo,$AC:$AC,Sheet1!S71_ItemType,$AD:$AD)</f>
        <v>0</v>
      </c>
      <c r="D232" s="712">
        <f>SUMIFS(Sheet1!S71_PPYearAmount,Sheet1!S71_SubMunicipalVoteNo,$AC:$AC,Sheet1!S71_ItemType,$AD:$AD)</f>
        <v>0</v>
      </c>
      <c r="E232" s="712">
        <f>SUMIFS(Sheet1!S71_PYearAmount,Sheet1!S71_SubMunicipalVoteNo,$AC:$AC,Sheet1!S71_ItemType,$AD:$AD)</f>
        <v>0</v>
      </c>
      <c r="F232" s="725">
        <f>SUMIFS(Sheet1!S71_OriginalBudAmnt,Sheet1!S71_SubMunicipalVoteNo,$AC:$AC,Sheet1!S71_ItemType,$AD:$AD)</f>
        <v>0</v>
      </c>
      <c r="G232" s="712">
        <f>SUMIFS(Sheet1!S71_AdjustmentBudAmnt,Sheet1!S71_SubMunicipalVoteNo,$AC:$AC,Sheet1!S71_ItemType,$AD:$AD)</f>
        <v>0</v>
      </c>
      <c r="H232" s="713">
        <f>SUMIFS(Sheet1!S71_AdjustmentBudAmnt,Sheet1!S71_SubMunicipalVoteNo,$AC:$AC,Sheet1!S71_ItemType,$AD:$AD)</f>
        <v>0</v>
      </c>
      <c r="I232" s="725">
        <f>SUMIFS(Sheet1!S71_ASBudgetAmount,Sheet1!S71_SubMunicipalVoteNo,$AC:$AC,Sheet1!S71_ItemType,$AD:$AD)</f>
        <v>0</v>
      </c>
      <c r="J232" s="712">
        <f>SUMIFS(Sheet1!S71_OY1BudgetAmount,Sheet1!S71_SubMunicipalVoteNo,$AC:$AC,Sheet1!S71_ItemType,$AD:$AD)</f>
        <v>0</v>
      </c>
      <c r="K232" s="713">
        <f>SUMIFS(Sheet1!S71_OY2BudgetAmount,Sheet1!S71_SubMunicipalVoteNo,$AC:$AC,Sheet1!S71_ItemType,$AD:$AD)</f>
        <v>0</v>
      </c>
      <c r="L232" s="723"/>
      <c r="M232" s="735"/>
      <c r="N232" s="735"/>
      <c r="O232" s="735"/>
      <c r="P232" s="735"/>
      <c r="Q232" s="735"/>
      <c r="R232" s="735"/>
      <c r="S232" s="735"/>
      <c r="T232" s="735"/>
      <c r="U232" s="735"/>
      <c r="V232" s="735"/>
      <c r="W232" s="735"/>
      <c r="AC232" s="2312">
        <v>64</v>
      </c>
      <c r="AD232" s="2318" t="s">
        <v>2754</v>
      </c>
    </row>
    <row r="233" spans="1:30" ht="11.25" customHeight="1" x14ac:dyDescent="0.25">
      <c r="A233" s="136" t="str">
        <f t="shared" si="28"/>
        <v/>
      </c>
      <c r="B233" s="144"/>
      <c r="C233" s="712">
        <f>SUMIFS(Sheet1!S71_PPPYearAmount,Sheet1!S71_SubMunicipalVoteNo,$AC:$AC,Sheet1!S71_ItemType,$AD:$AD)</f>
        <v>0</v>
      </c>
      <c r="D233" s="712">
        <f>SUMIFS(Sheet1!S71_PPYearAmount,Sheet1!S71_SubMunicipalVoteNo,$AC:$AC,Sheet1!S71_ItemType,$AD:$AD)</f>
        <v>0</v>
      </c>
      <c r="E233" s="712">
        <f>SUMIFS(Sheet1!S71_PYearAmount,Sheet1!S71_SubMunicipalVoteNo,$AC:$AC,Sheet1!S71_ItemType,$AD:$AD)</f>
        <v>0</v>
      </c>
      <c r="F233" s="725">
        <f>SUMIFS(Sheet1!S71_OriginalBudAmnt,Sheet1!S71_SubMunicipalVoteNo,$AC:$AC,Sheet1!S71_ItemType,$AD:$AD)</f>
        <v>0</v>
      </c>
      <c r="G233" s="712">
        <f>SUMIFS(Sheet1!S71_AdjustmentBudAmnt,Sheet1!S71_SubMunicipalVoteNo,$AC:$AC,Sheet1!S71_ItemType,$AD:$AD)</f>
        <v>0</v>
      </c>
      <c r="H233" s="713">
        <f>SUMIFS(Sheet1!S71_AdjustmentBudAmnt,Sheet1!S71_SubMunicipalVoteNo,$AC:$AC,Sheet1!S71_ItemType,$AD:$AD)</f>
        <v>0</v>
      </c>
      <c r="I233" s="725">
        <f>SUMIFS(Sheet1!S71_ASBudgetAmount,Sheet1!S71_SubMunicipalVoteNo,$AC:$AC,Sheet1!S71_ItemType,$AD:$AD)</f>
        <v>0</v>
      </c>
      <c r="J233" s="712">
        <f>SUMIFS(Sheet1!S71_OY1BudgetAmount,Sheet1!S71_SubMunicipalVoteNo,$AC:$AC,Sheet1!S71_ItemType,$AD:$AD)</f>
        <v>0</v>
      </c>
      <c r="K233" s="713">
        <f>SUMIFS(Sheet1!S71_OY2BudgetAmount,Sheet1!S71_SubMunicipalVoteNo,$AC:$AC,Sheet1!S71_ItemType,$AD:$AD)</f>
        <v>0</v>
      </c>
      <c r="L233" s="723"/>
      <c r="M233" s="735"/>
      <c r="N233" s="735"/>
      <c r="O233" s="735"/>
      <c r="P233" s="735"/>
      <c r="Q233" s="735"/>
      <c r="R233" s="735"/>
      <c r="S233" s="735"/>
      <c r="T233" s="735"/>
      <c r="U233" s="735"/>
      <c r="V233" s="735"/>
      <c r="W233" s="735"/>
      <c r="AC233" s="2312">
        <v>65</v>
      </c>
      <c r="AD233" s="2318" t="s">
        <v>2754</v>
      </c>
    </row>
    <row r="234" spans="1:30" ht="11.25" customHeight="1" x14ac:dyDescent="0.25">
      <c r="A234" s="136" t="str">
        <f t="shared" si="28"/>
        <v/>
      </c>
      <c r="B234" s="144"/>
      <c r="C234" s="712">
        <f>SUMIFS(Sheet1!S71_PPPYearAmount,Sheet1!S71_SubMunicipalVoteNo,$AC:$AC,Sheet1!S71_ItemType,$AD:$AD)</f>
        <v>0</v>
      </c>
      <c r="D234" s="712">
        <f>SUMIFS(Sheet1!S71_PPYearAmount,Sheet1!S71_SubMunicipalVoteNo,$AC:$AC,Sheet1!S71_ItemType,$AD:$AD)</f>
        <v>0</v>
      </c>
      <c r="E234" s="712">
        <f>SUMIFS(Sheet1!S71_PYearAmount,Sheet1!S71_SubMunicipalVoteNo,$AC:$AC,Sheet1!S71_ItemType,$AD:$AD)</f>
        <v>0</v>
      </c>
      <c r="F234" s="725">
        <f>SUMIFS(Sheet1!S71_OriginalBudAmnt,Sheet1!S71_SubMunicipalVoteNo,$AC:$AC,Sheet1!S71_ItemType,$AD:$AD)</f>
        <v>0</v>
      </c>
      <c r="G234" s="712">
        <f>SUMIFS(Sheet1!S71_AdjustmentBudAmnt,Sheet1!S71_SubMunicipalVoteNo,$AC:$AC,Sheet1!S71_ItemType,$AD:$AD)</f>
        <v>0</v>
      </c>
      <c r="H234" s="713">
        <f>SUMIFS(Sheet1!S71_AdjustmentBudAmnt,Sheet1!S71_SubMunicipalVoteNo,$AC:$AC,Sheet1!S71_ItemType,$AD:$AD)</f>
        <v>0</v>
      </c>
      <c r="I234" s="725">
        <f>SUMIFS(Sheet1!S71_ASBudgetAmount,Sheet1!S71_SubMunicipalVoteNo,$AC:$AC,Sheet1!S71_ItemType,$AD:$AD)</f>
        <v>0</v>
      </c>
      <c r="J234" s="712">
        <f>SUMIFS(Sheet1!S71_OY1BudgetAmount,Sheet1!S71_SubMunicipalVoteNo,$AC:$AC,Sheet1!S71_ItemType,$AD:$AD)</f>
        <v>0</v>
      </c>
      <c r="K234" s="713">
        <f>SUMIFS(Sheet1!S71_OY2BudgetAmount,Sheet1!S71_SubMunicipalVoteNo,$AC:$AC,Sheet1!S71_ItemType,$AD:$AD)</f>
        <v>0</v>
      </c>
      <c r="L234" s="723"/>
      <c r="M234" s="735"/>
      <c r="N234" s="735"/>
      <c r="O234" s="735"/>
      <c r="P234" s="735"/>
      <c r="Q234" s="735"/>
      <c r="R234" s="735"/>
      <c r="S234" s="735"/>
      <c r="T234" s="735"/>
      <c r="U234" s="735"/>
      <c r="V234" s="735"/>
      <c r="W234" s="735"/>
      <c r="AC234" s="2312">
        <v>66</v>
      </c>
      <c r="AD234" s="2318" t="s">
        <v>2754</v>
      </c>
    </row>
    <row r="235" spans="1:30" ht="11.25" customHeight="1" x14ac:dyDescent="0.25">
      <c r="A235" s="136" t="str">
        <f t="shared" si="28"/>
        <v/>
      </c>
      <c r="B235" s="144"/>
      <c r="C235" s="712">
        <f>SUMIFS(Sheet1!S71_PPPYearAmount,Sheet1!S71_SubMunicipalVoteNo,$AC:$AC,Sheet1!S71_ItemType,$AD:$AD)</f>
        <v>0</v>
      </c>
      <c r="D235" s="712">
        <f>SUMIFS(Sheet1!S71_PPYearAmount,Sheet1!S71_SubMunicipalVoteNo,$AC:$AC,Sheet1!S71_ItemType,$AD:$AD)</f>
        <v>0</v>
      </c>
      <c r="E235" s="712">
        <f>SUMIFS(Sheet1!S71_PYearAmount,Sheet1!S71_SubMunicipalVoteNo,$AC:$AC,Sheet1!S71_ItemType,$AD:$AD)</f>
        <v>0</v>
      </c>
      <c r="F235" s="725">
        <f>SUMIFS(Sheet1!S71_OriginalBudAmnt,Sheet1!S71_SubMunicipalVoteNo,$AC:$AC,Sheet1!S71_ItemType,$AD:$AD)</f>
        <v>0</v>
      </c>
      <c r="G235" s="712">
        <f>SUMIFS(Sheet1!S71_AdjustmentBudAmnt,Sheet1!S71_SubMunicipalVoteNo,$AC:$AC,Sheet1!S71_ItemType,$AD:$AD)</f>
        <v>0</v>
      </c>
      <c r="H235" s="713">
        <f>SUMIFS(Sheet1!S71_AdjustmentBudAmnt,Sheet1!S71_SubMunicipalVoteNo,$AC:$AC,Sheet1!S71_ItemType,$AD:$AD)</f>
        <v>0</v>
      </c>
      <c r="I235" s="725">
        <f>SUMIFS(Sheet1!S71_ASBudgetAmount,Sheet1!S71_SubMunicipalVoteNo,$AC:$AC,Sheet1!S71_ItemType,$AD:$AD)</f>
        <v>0</v>
      </c>
      <c r="J235" s="712">
        <f>SUMIFS(Sheet1!S71_OY1BudgetAmount,Sheet1!S71_SubMunicipalVoteNo,$AC:$AC,Sheet1!S71_ItemType,$AD:$AD)</f>
        <v>0</v>
      </c>
      <c r="K235" s="713">
        <f>SUMIFS(Sheet1!S71_OY2BudgetAmount,Sheet1!S71_SubMunicipalVoteNo,$AC:$AC,Sheet1!S71_ItemType,$AD:$AD)</f>
        <v>0</v>
      </c>
      <c r="L235" s="723"/>
      <c r="M235" s="735"/>
      <c r="N235" s="735"/>
      <c r="O235" s="735"/>
      <c r="P235" s="735"/>
      <c r="Q235" s="735"/>
      <c r="R235" s="735"/>
      <c r="S235" s="735"/>
      <c r="T235" s="735"/>
      <c r="U235" s="735"/>
      <c r="V235" s="735"/>
      <c r="W235" s="735"/>
      <c r="AC235" s="2312">
        <v>67</v>
      </c>
      <c r="AD235" s="2318" t="s">
        <v>2754</v>
      </c>
    </row>
    <row r="236" spans="1:30" ht="11.25" customHeight="1" x14ac:dyDescent="0.25">
      <c r="A236" s="136" t="str">
        <f t="shared" si="28"/>
        <v/>
      </c>
      <c r="B236" s="144"/>
      <c r="C236" s="712">
        <f>SUMIFS(Sheet1!S71_PPPYearAmount,Sheet1!S71_SubMunicipalVoteNo,$AC:$AC,Sheet1!S71_ItemType,$AD:$AD)</f>
        <v>0</v>
      </c>
      <c r="D236" s="712">
        <f>SUMIFS(Sheet1!S71_PPYearAmount,Sheet1!S71_SubMunicipalVoteNo,$AC:$AC,Sheet1!S71_ItemType,$AD:$AD)</f>
        <v>0</v>
      </c>
      <c r="E236" s="712">
        <f>SUMIFS(Sheet1!S71_PYearAmount,Sheet1!S71_SubMunicipalVoteNo,$AC:$AC,Sheet1!S71_ItemType,$AD:$AD)</f>
        <v>0</v>
      </c>
      <c r="F236" s="725">
        <f>SUMIFS(Sheet1!S71_OriginalBudAmnt,Sheet1!S71_SubMunicipalVoteNo,$AC:$AC,Sheet1!S71_ItemType,$AD:$AD)</f>
        <v>0</v>
      </c>
      <c r="G236" s="712">
        <f>SUMIFS(Sheet1!S71_AdjustmentBudAmnt,Sheet1!S71_SubMunicipalVoteNo,$AC:$AC,Sheet1!S71_ItemType,$AD:$AD)</f>
        <v>0</v>
      </c>
      <c r="H236" s="713">
        <f>SUMIFS(Sheet1!S71_AdjustmentBudAmnt,Sheet1!S71_SubMunicipalVoteNo,$AC:$AC,Sheet1!S71_ItemType,$AD:$AD)</f>
        <v>0</v>
      </c>
      <c r="I236" s="725">
        <f>SUMIFS(Sheet1!S71_ASBudgetAmount,Sheet1!S71_SubMunicipalVoteNo,$AC:$AC,Sheet1!S71_ItemType,$AD:$AD)</f>
        <v>0</v>
      </c>
      <c r="J236" s="712">
        <f>SUMIFS(Sheet1!S71_OY1BudgetAmount,Sheet1!S71_SubMunicipalVoteNo,$AC:$AC,Sheet1!S71_ItemType,$AD:$AD)</f>
        <v>0</v>
      </c>
      <c r="K236" s="713">
        <f>SUMIFS(Sheet1!S71_OY2BudgetAmount,Sheet1!S71_SubMunicipalVoteNo,$AC:$AC,Sheet1!S71_ItemType,$AD:$AD)</f>
        <v>0</v>
      </c>
      <c r="L236" s="723"/>
      <c r="M236" s="735"/>
      <c r="N236" s="735"/>
      <c r="O236" s="735"/>
      <c r="P236" s="735"/>
      <c r="Q236" s="735"/>
      <c r="R236" s="735"/>
      <c r="S236" s="735"/>
      <c r="T236" s="735"/>
      <c r="U236" s="735"/>
      <c r="V236" s="735"/>
      <c r="W236" s="735"/>
      <c r="AC236" s="2312">
        <v>68</v>
      </c>
      <c r="AD236" s="2318" t="s">
        <v>2754</v>
      </c>
    </row>
    <row r="237" spans="1:30" ht="11.25" customHeight="1" x14ac:dyDescent="0.25">
      <c r="A237" s="136" t="str">
        <f t="shared" si="28"/>
        <v/>
      </c>
      <c r="B237" s="144"/>
      <c r="C237" s="712">
        <f>SUMIFS(Sheet1!S71_PPPYearAmount,Sheet1!S71_SubMunicipalVoteNo,$AC:$AC,Sheet1!S71_ItemType,$AD:$AD)</f>
        <v>0</v>
      </c>
      <c r="D237" s="712">
        <f>SUMIFS(Sheet1!S71_PPYearAmount,Sheet1!S71_SubMunicipalVoteNo,$AC:$AC,Sheet1!S71_ItemType,$AD:$AD)</f>
        <v>0</v>
      </c>
      <c r="E237" s="712">
        <f>SUMIFS(Sheet1!S71_PYearAmount,Sheet1!S71_SubMunicipalVoteNo,$AC:$AC,Sheet1!S71_ItemType,$AD:$AD)</f>
        <v>0</v>
      </c>
      <c r="F237" s="725">
        <f>SUMIFS(Sheet1!S71_OriginalBudAmnt,Sheet1!S71_SubMunicipalVoteNo,$AC:$AC,Sheet1!S71_ItemType,$AD:$AD)</f>
        <v>0</v>
      </c>
      <c r="G237" s="712">
        <f>SUMIFS(Sheet1!S71_AdjustmentBudAmnt,Sheet1!S71_SubMunicipalVoteNo,$AC:$AC,Sheet1!S71_ItemType,$AD:$AD)</f>
        <v>0</v>
      </c>
      <c r="H237" s="713">
        <f>SUMIFS(Sheet1!S71_AdjustmentBudAmnt,Sheet1!S71_SubMunicipalVoteNo,$AC:$AC,Sheet1!S71_ItemType,$AD:$AD)</f>
        <v>0</v>
      </c>
      <c r="I237" s="725">
        <f>SUMIFS(Sheet1!S71_ASBudgetAmount,Sheet1!S71_SubMunicipalVoteNo,$AC:$AC,Sheet1!S71_ItemType,$AD:$AD)</f>
        <v>0</v>
      </c>
      <c r="J237" s="712">
        <f>SUMIFS(Sheet1!S71_OY1BudgetAmount,Sheet1!S71_SubMunicipalVoteNo,$AC:$AC,Sheet1!S71_ItemType,$AD:$AD)</f>
        <v>0</v>
      </c>
      <c r="K237" s="713">
        <f>SUMIFS(Sheet1!S71_OY2BudgetAmount,Sheet1!S71_SubMunicipalVoteNo,$AC:$AC,Sheet1!S71_ItemType,$AD:$AD)</f>
        <v>0</v>
      </c>
      <c r="L237" s="723"/>
      <c r="M237" s="735"/>
      <c r="N237" s="735"/>
      <c r="O237" s="735"/>
      <c r="P237" s="735"/>
      <c r="Q237" s="735"/>
      <c r="R237" s="735"/>
      <c r="S237" s="735"/>
      <c r="T237" s="735"/>
      <c r="U237" s="735"/>
      <c r="V237" s="735"/>
      <c r="W237" s="735"/>
      <c r="AC237" s="2312">
        <v>69</v>
      </c>
      <c r="AD237" s="2318" t="s">
        <v>2754</v>
      </c>
    </row>
    <row r="238" spans="1:30" ht="11.25" customHeight="1" x14ac:dyDescent="0.25">
      <c r="A238" s="136" t="str">
        <f t="shared" si="28"/>
        <v/>
      </c>
      <c r="B238" s="144"/>
      <c r="C238" s="712">
        <f>SUMIFS(Sheet1!S71_PPPYearAmount,Sheet1!S71_SubMunicipalVoteNo,$AC:$AC,Sheet1!S71_ItemType,$AD:$AD)</f>
        <v>0</v>
      </c>
      <c r="D238" s="712">
        <f>SUMIFS(Sheet1!S71_PPYearAmount,Sheet1!S71_SubMunicipalVoteNo,$AC:$AC,Sheet1!S71_ItemType,$AD:$AD)</f>
        <v>0</v>
      </c>
      <c r="E238" s="712">
        <f>SUMIFS(Sheet1!S71_PYearAmount,Sheet1!S71_SubMunicipalVoteNo,$AC:$AC,Sheet1!S71_ItemType,$AD:$AD)</f>
        <v>0</v>
      </c>
      <c r="F238" s="725">
        <f>SUMIFS(Sheet1!S71_OriginalBudAmnt,Sheet1!S71_SubMunicipalVoteNo,$AC:$AC,Sheet1!S71_ItemType,$AD:$AD)</f>
        <v>0</v>
      </c>
      <c r="G238" s="712">
        <f>SUMIFS(Sheet1!S71_AdjustmentBudAmnt,Sheet1!S71_SubMunicipalVoteNo,$AC:$AC,Sheet1!S71_ItemType,$AD:$AD)</f>
        <v>0</v>
      </c>
      <c r="H238" s="713">
        <f>SUMIFS(Sheet1!S71_AdjustmentBudAmnt,Sheet1!S71_SubMunicipalVoteNo,$AC:$AC,Sheet1!S71_ItemType,$AD:$AD)</f>
        <v>0</v>
      </c>
      <c r="I238" s="725">
        <f>SUMIFS(Sheet1!S71_ASBudgetAmount,Sheet1!S71_SubMunicipalVoteNo,$AC:$AC,Sheet1!S71_ItemType,$AD:$AD)</f>
        <v>0</v>
      </c>
      <c r="J238" s="712">
        <f>SUMIFS(Sheet1!S71_OY1BudgetAmount,Sheet1!S71_SubMunicipalVoteNo,$AC:$AC,Sheet1!S71_ItemType,$AD:$AD)</f>
        <v>0</v>
      </c>
      <c r="K238" s="713">
        <f>SUMIFS(Sheet1!S71_OY2BudgetAmount,Sheet1!S71_SubMunicipalVoteNo,$AC:$AC,Sheet1!S71_ItemType,$AD:$AD)</f>
        <v>0</v>
      </c>
      <c r="L238" s="723"/>
      <c r="M238" s="735"/>
      <c r="N238" s="735"/>
      <c r="O238" s="735"/>
      <c r="P238" s="735"/>
      <c r="Q238" s="735"/>
      <c r="R238" s="735"/>
      <c r="S238" s="735"/>
      <c r="T238" s="735"/>
      <c r="U238" s="735"/>
      <c r="V238" s="735"/>
      <c r="W238" s="735"/>
      <c r="AC238" s="2312">
        <v>610</v>
      </c>
      <c r="AD238" s="2318" t="s">
        <v>2754</v>
      </c>
    </row>
    <row r="239" spans="1:30" ht="15" customHeight="1" x14ac:dyDescent="0.25">
      <c r="A239" s="135" t="str">
        <f>A71</f>
        <v>Vote 7 - Road Transport</v>
      </c>
      <c r="B239" s="211"/>
      <c r="C239" s="212">
        <f t="shared" ref="C239:K239" si="29">SUM(C240:C249)</f>
        <v>6164392</v>
      </c>
      <c r="D239" s="212">
        <f t="shared" si="29"/>
        <v>8044736</v>
      </c>
      <c r="E239" s="213">
        <f t="shared" si="29"/>
        <v>10289238</v>
      </c>
      <c r="F239" s="214">
        <f t="shared" si="29"/>
        <v>17376674</v>
      </c>
      <c r="G239" s="212">
        <f t="shared" si="29"/>
        <v>22055919</v>
      </c>
      <c r="H239" s="215">
        <f t="shared" si="29"/>
        <v>22055919</v>
      </c>
      <c r="I239" s="216">
        <f t="shared" si="29"/>
        <v>16760001</v>
      </c>
      <c r="J239" s="212">
        <f t="shared" si="29"/>
        <v>21869005</v>
      </c>
      <c r="K239" s="213">
        <f t="shared" si="29"/>
        <v>22779076</v>
      </c>
      <c r="L239" s="723"/>
      <c r="M239" s="735"/>
      <c r="N239" s="735"/>
      <c r="O239" s="735"/>
      <c r="P239" s="735"/>
      <c r="Q239" s="735"/>
      <c r="R239" s="735"/>
      <c r="S239" s="735"/>
      <c r="T239" s="735"/>
      <c r="U239" s="735"/>
      <c r="V239" s="735"/>
      <c r="W239" s="735"/>
      <c r="AD239" s="2315"/>
    </row>
    <row r="240" spans="1:30" ht="11.25" customHeight="1" x14ac:dyDescent="0.25">
      <c r="A240" s="136" t="str">
        <f t="shared" ref="A240:A249" si="30">A72</f>
        <v>7.1 - Roads</v>
      </c>
      <c r="B240" s="144"/>
      <c r="C240" s="712">
        <f>SUMIFS(Sheet1!S71_PPPYearAmount,Sheet1!S71_SubMunicipalVoteNo,$AC:$AC,Sheet1!S71_ItemType,$AD:$AD)</f>
        <v>6164392</v>
      </c>
      <c r="D240" s="712">
        <f>SUMIFS(Sheet1!S71_PPYearAmount,Sheet1!S71_SubMunicipalVoteNo,$AC:$AC,Sheet1!S71_ItemType,$AD:$AD)</f>
        <v>8044736</v>
      </c>
      <c r="E240" s="712">
        <f>SUMIFS(Sheet1!S71_PYearAmount,Sheet1!S71_SubMunicipalVoteNo,$AC:$AC,Sheet1!S71_ItemType,$AD:$AD)</f>
        <v>10289238</v>
      </c>
      <c r="F240" s="725">
        <f>SUMIFS(Sheet1!S71_OriginalBudAmnt,Sheet1!S71_SubMunicipalVoteNo,$AC:$AC,Sheet1!S71_ItemType,$AD:$AD)</f>
        <v>17376674</v>
      </c>
      <c r="G240" s="712">
        <f>SUMIFS(Sheet1!S71_AdjustmentBudAmnt,Sheet1!S71_SubMunicipalVoteNo,$AC:$AC,Sheet1!S71_ItemType,$AD:$AD)</f>
        <v>22055919</v>
      </c>
      <c r="H240" s="713">
        <f>SUMIFS(Sheet1!S71_AdjustmentBudAmnt,Sheet1!S71_SubMunicipalVoteNo,$AC:$AC,Sheet1!S71_ItemType,$AD:$AD)</f>
        <v>22055919</v>
      </c>
      <c r="I240" s="725">
        <f>SUMIFS(Sheet1!S71_ASBudgetAmount,Sheet1!S71_SubMunicipalVoteNo,$AC:$AC,Sheet1!S71_ItemType,$AD:$AD)</f>
        <v>16760001</v>
      </c>
      <c r="J240" s="712">
        <f>SUMIFS(Sheet1!S71_OY1BudgetAmount,Sheet1!S71_SubMunicipalVoteNo,$AC:$AC,Sheet1!S71_ItemType,$AD:$AD)</f>
        <v>21869005</v>
      </c>
      <c r="K240" s="713">
        <f>SUMIFS(Sheet1!S71_OY2BudgetAmount,Sheet1!S71_SubMunicipalVoteNo,$AC:$AC,Sheet1!S71_ItemType,$AD:$AD)</f>
        <v>22779076</v>
      </c>
      <c r="L240" s="723"/>
      <c r="M240" s="735"/>
      <c r="N240" s="735"/>
      <c r="O240" s="735"/>
      <c r="P240" s="735"/>
      <c r="Q240" s="735"/>
      <c r="R240" s="735"/>
      <c r="S240" s="735"/>
      <c r="T240" s="735"/>
      <c r="U240" s="735"/>
      <c r="V240" s="735"/>
      <c r="W240" s="735"/>
      <c r="AC240" s="2312">
        <v>71</v>
      </c>
      <c r="AD240" s="2318" t="s">
        <v>2754</v>
      </c>
    </row>
    <row r="241" spans="1:30" ht="11.25" customHeight="1" x14ac:dyDescent="0.25">
      <c r="A241" s="136" t="str">
        <f t="shared" si="30"/>
        <v/>
      </c>
      <c r="B241" s="144"/>
      <c r="C241" s="712">
        <f>SUMIFS(Sheet1!S71_PPPYearAmount,Sheet1!S71_SubMunicipalVoteNo,$AC:$AC,Sheet1!S71_ItemType,$AD:$AD)</f>
        <v>0</v>
      </c>
      <c r="D241" s="712">
        <f>SUMIFS(Sheet1!S71_PPYearAmount,Sheet1!S71_SubMunicipalVoteNo,$AC:$AC,Sheet1!S71_ItemType,$AD:$AD)</f>
        <v>0</v>
      </c>
      <c r="E241" s="712">
        <f>SUMIFS(Sheet1!S71_PYearAmount,Sheet1!S71_SubMunicipalVoteNo,$AC:$AC,Sheet1!S71_ItemType,$AD:$AD)</f>
        <v>0</v>
      </c>
      <c r="F241" s="725">
        <f>SUMIFS(Sheet1!S71_OriginalBudAmnt,Sheet1!S71_SubMunicipalVoteNo,$AC:$AC,Sheet1!S71_ItemType,$AD:$AD)</f>
        <v>0</v>
      </c>
      <c r="G241" s="712">
        <f>SUMIFS(Sheet1!S71_AdjustmentBudAmnt,Sheet1!S71_SubMunicipalVoteNo,$AC:$AC,Sheet1!S71_ItemType,$AD:$AD)</f>
        <v>0</v>
      </c>
      <c r="H241" s="713">
        <f>SUMIFS(Sheet1!S71_AdjustmentBudAmnt,Sheet1!S71_SubMunicipalVoteNo,$AC:$AC,Sheet1!S71_ItemType,$AD:$AD)</f>
        <v>0</v>
      </c>
      <c r="I241" s="725">
        <f>SUMIFS(Sheet1!S71_ASBudgetAmount,Sheet1!S71_SubMunicipalVoteNo,$AC:$AC,Sheet1!S71_ItemType,$AD:$AD)</f>
        <v>0</v>
      </c>
      <c r="J241" s="712">
        <f>SUMIFS(Sheet1!S71_OY1BudgetAmount,Sheet1!S71_SubMunicipalVoteNo,$AC:$AC,Sheet1!S71_ItemType,$AD:$AD)</f>
        <v>0</v>
      </c>
      <c r="K241" s="713">
        <f>SUMIFS(Sheet1!S71_OY2BudgetAmount,Sheet1!S71_SubMunicipalVoteNo,$AC:$AC,Sheet1!S71_ItemType,$AD:$AD)</f>
        <v>0</v>
      </c>
      <c r="L241" s="723"/>
      <c r="M241" s="735"/>
      <c r="N241" s="735"/>
      <c r="O241" s="735"/>
      <c r="P241" s="735"/>
      <c r="Q241" s="735"/>
      <c r="R241" s="735"/>
      <c r="S241" s="735"/>
      <c r="T241" s="735"/>
      <c r="U241" s="735"/>
      <c r="V241" s="735"/>
      <c r="W241" s="735"/>
      <c r="AC241" s="2312">
        <v>72</v>
      </c>
      <c r="AD241" s="2318" t="s">
        <v>2754</v>
      </c>
    </row>
    <row r="242" spans="1:30" ht="11.25" customHeight="1" x14ac:dyDescent="0.25">
      <c r="A242" s="136" t="str">
        <f t="shared" si="30"/>
        <v/>
      </c>
      <c r="B242" s="144"/>
      <c r="C242" s="712">
        <f>SUMIFS(Sheet1!S71_PPPYearAmount,Sheet1!S71_SubMunicipalVoteNo,$AC:$AC,Sheet1!S71_ItemType,$AD:$AD)</f>
        <v>0</v>
      </c>
      <c r="D242" s="712">
        <f>SUMIFS(Sheet1!S71_PPYearAmount,Sheet1!S71_SubMunicipalVoteNo,$AC:$AC,Sheet1!S71_ItemType,$AD:$AD)</f>
        <v>0</v>
      </c>
      <c r="E242" s="712">
        <f>SUMIFS(Sheet1!S71_PYearAmount,Sheet1!S71_SubMunicipalVoteNo,$AC:$AC,Sheet1!S71_ItemType,$AD:$AD)</f>
        <v>0</v>
      </c>
      <c r="F242" s="725">
        <f>SUMIFS(Sheet1!S71_OriginalBudAmnt,Sheet1!S71_SubMunicipalVoteNo,$AC:$AC,Sheet1!S71_ItemType,$AD:$AD)</f>
        <v>0</v>
      </c>
      <c r="G242" s="712">
        <f>SUMIFS(Sheet1!S71_AdjustmentBudAmnt,Sheet1!S71_SubMunicipalVoteNo,$AC:$AC,Sheet1!S71_ItemType,$AD:$AD)</f>
        <v>0</v>
      </c>
      <c r="H242" s="713">
        <f>SUMIFS(Sheet1!S71_AdjustmentBudAmnt,Sheet1!S71_SubMunicipalVoteNo,$AC:$AC,Sheet1!S71_ItemType,$AD:$AD)</f>
        <v>0</v>
      </c>
      <c r="I242" s="725">
        <f>SUMIFS(Sheet1!S71_ASBudgetAmount,Sheet1!S71_SubMunicipalVoteNo,$AC:$AC,Sheet1!S71_ItemType,$AD:$AD)</f>
        <v>0</v>
      </c>
      <c r="J242" s="712">
        <f>SUMIFS(Sheet1!S71_OY1BudgetAmount,Sheet1!S71_SubMunicipalVoteNo,$AC:$AC,Sheet1!S71_ItemType,$AD:$AD)</f>
        <v>0</v>
      </c>
      <c r="K242" s="713">
        <f>SUMIFS(Sheet1!S71_OY2BudgetAmount,Sheet1!S71_SubMunicipalVoteNo,$AC:$AC,Sheet1!S71_ItemType,$AD:$AD)</f>
        <v>0</v>
      </c>
      <c r="L242" s="723"/>
      <c r="M242" s="735"/>
      <c r="N242" s="735"/>
      <c r="O242" s="735"/>
      <c r="P242" s="735"/>
      <c r="Q242" s="735"/>
      <c r="R242" s="735"/>
      <c r="S242" s="735"/>
      <c r="T242" s="735"/>
      <c r="U242" s="735"/>
      <c r="V242" s="735"/>
      <c r="W242" s="735"/>
      <c r="AC242" s="2312">
        <v>73</v>
      </c>
      <c r="AD242" s="2318" t="s">
        <v>2754</v>
      </c>
    </row>
    <row r="243" spans="1:30" ht="11.25" customHeight="1" x14ac:dyDescent="0.25">
      <c r="A243" s="136" t="str">
        <f t="shared" si="30"/>
        <v/>
      </c>
      <c r="B243" s="144"/>
      <c r="C243" s="712">
        <f>SUMIFS(Sheet1!S71_PPPYearAmount,Sheet1!S71_SubMunicipalVoteNo,$AC:$AC,Sheet1!S71_ItemType,$AD:$AD)</f>
        <v>0</v>
      </c>
      <c r="D243" s="712">
        <f>SUMIFS(Sheet1!S71_PPYearAmount,Sheet1!S71_SubMunicipalVoteNo,$AC:$AC,Sheet1!S71_ItemType,$AD:$AD)</f>
        <v>0</v>
      </c>
      <c r="E243" s="712">
        <f>SUMIFS(Sheet1!S71_PYearAmount,Sheet1!S71_SubMunicipalVoteNo,$AC:$AC,Sheet1!S71_ItemType,$AD:$AD)</f>
        <v>0</v>
      </c>
      <c r="F243" s="725">
        <f>SUMIFS(Sheet1!S71_OriginalBudAmnt,Sheet1!S71_SubMunicipalVoteNo,$AC:$AC,Sheet1!S71_ItemType,$AD:$AD)</f>
        <v>0</v>
      </c>
      <c r="G243" s="712">
        <f>SUMIFS(Sheet1!S71_AdjustmentBudAmnt,Sheet1!S71_SubMunicipalVoteNo,$AC:$AC,Sheet1!S71_ItemType,$AD:$AD)</f>
        <v>0</v>
      </c>
      <c r="H243" s="713">
        <f>SUMIFS(Sheet1!S71_AdjustmentBudAmnt,Sheet1!S71_SubMunicipalVoteNo,$AC:$AC,Sheet1!S71_ItemType,$AD:$AD)</f>
        <v>0</v>
      </c>
      <c r="I243" s="725">
        <f>SUMIFS(Sheet1!S71_ASBudgetAmount,Sheet1!S71_SubMunicipalVoteNo,$AC:$AC,Sheet1!S71_ItemType,$AD:$AD)</f>
        <v>0</v>
      </c>
      <c r="J243" s="712">
        <f>SUMIFS(Sheet1!S71_OY1BudgetAmount,Sheet1!S71_SubMunicipalVoteNo,$AC:$AC,Sheet1!S71_ItemType,$AD:$AD)</f>
        <v>0</v>
      </c>
      <c r="K243" s="713">
        <f>SUMIFS(Sheet1!S71_OY2BudgetAmount,Sheet1!S71_SubMunicipalVoteNo,$AC:$AC,Sheet1!S71_ItemType,$AD:$AD)</f>
        <v>0</v>
      </c>
      <c r="L243" s="723"/>
      <c r="M243" s="735"/>
      <c r="N243" s="735"/>
      <c r="O243" s="735"/>
      <c r="P243" s="735"/>
      <c r="Q243" s="735"/>
      <c r="R243" s="735"/>
      <c r="S243" s="735"/>
      <c r="T243" s="735"/>
      <c r="U243" s="735"/>
      <c r="V243" s="735"/>
      <c r="W243" s="735"/>
      <c r="AC243" s="2312">
        <v>74</v>
      </c>
      <c r="AD243" s="2318" t="s">
        <v>2754</v>
      </c>
    </row>
    <row r="244" spans="1:30" ht="11.25" customHeight="1" x14ac:dyDescent="0.25">
      <c r="A244" s="136" t="str">
        <f t="shared" si="30"/>
        <v/>
      </c>
      <c r="B244" s="144"/>
      <c r="C244" s="712">
        <f>SUMIFS(Sheet1!S71_PPPYearAmount,Sheet1!S71_SubMunicipalVoteNo,$AC:$AC,Sheet1!S71_ItemType,$AD:$AD)</f>
        <v>0</v>
      </c>
      <c r="D244" s="712">
        <f>SUMIFS(Sheet1!S71_PPYearAmount,Sheet1!S71_SubMunicipalVoteNo,$AC:$AC,Sheet1!S71_ItemType,$AD:$AD)</f>
        <v>0</v>
      </c>
      <c r="E244" s="712">
        <f>SUMIFS(Sheet1!S71_PYearAmount,Sheet1!S71_SubMunicipalVoteNo,$AC:$AC,Sheet1!S71_ItemType,$AD:$AD)</f>
        <v>0</v>
      </c>
      <c r="F244" s="725">
        <f>SUMIFS(Sheet1!S71_OriginalBudAmnt,Sheet1!S71_SubMunicipalVoteNo,$AC:$AC,Sheet1!S71_ItemType,$AD:$AD)</f>
        <v>0</v>
      </c>
      <c r="G244" s="712">
        <f>SUMIFS(Sheet1!S71_AdjustmentBudAmnt,Sheet1!S71_SubMunicipalVoteNo,$AC:$AC,Sheet1!S71_ItemType,$AD:$AD)</f>
        <v>0</v>
      </c>
      <c r="H244" s="713">
        <f>SUMIFS(Sheet1!S71_AdjustmentBudAmnt,Sheet1!S71_SubMunicipalVoteNo,$AC:$AC,Sheet1!S71_ItemType,$AD:$AD)</f>
        <v>0</v>
      </c>
      <c r="I244" s="725">
        <f>SUMIFS(Sheet1!S71_ASBudgetAmount,Sheet1!S71_SubMunicipalVoteNo,$AC:$AC,Sheet1!S71_ItemType,$AD:$AD)</f>
        <v>0</v>
      </c>
      <c r="J244" s="712">
        <f>SUMIFS(Sheet1!S71_OY1BudgetAmount,Sheet1!S71_SubMunicipalVoteNo,$AC:$AC,Sheet1!S71_ItemType,$AD:$AD)</f>
        <v>0</v>
      </c>
      <c r="K244" s="713">
        <f>SUMIFS(Sheet1!S71_OY2BudgetAmount,Sheet1!S71_SubMunicipalVoteNo,$AC:$AC,Sheet1!S71_ItemType,$AD:$AD)</f>
        <v>0</v>
      </c>
      <c r="L244" s="723"/>
      <c r="M244" s="735"/>
      <c r="N244" s="735"/>
      <c r="O244" s="735"/>
      <c r="P244" s="735"/>
      <c r="Q244" s="735"/>
      <c r="R244" s="735"/>
      <c r="S244" s="735"/>
      <c r="T244" s="735"/>
      <c r="U244" s="735"/>
      <c r="V244" s="735"/>
      <c r="W244" s="735"/>
      <c r="AC244" s="2312">
        <v>75</v>
      </c>
      <c r="AD244" s="2318" t="s">
        <v>2754</v>
      </c>
    </row>
    <row r="245" spans="1:30" ht="11.25" customHeight="1" x14ac:dyDescent="0.25">
      <c r="A245" s="136" t="str">
        <f t="shared" si="30"/>
        <v/>
      </c>
      <c r="B245" s="144"/>
      <c r="C245" s="712">
        <f>SUMIFS(Sheet1!S71_PPPYearAmount,Sheet1!S71_SubMunicipalVoteNo,$AC:$AC,Sheet1!S71_ItemType,$AD:$AD)</f>
        <v>0</v>
      </c>
      <c r="D245" s="712">
        <f>SUMIFS(Sheet1!S71_PPYearAmount,Sheet1!S71_SubMunicipalVoteNo,$AC:$AC,Sheet1!S71_ItemType,$AD:$AD)</f>
        <v>0</v>
      </c>
      <c r="E245" s="712">
        <f>SUMIFS(Sheet1!S71_PYearAmount,Sheet1!S71_SubMunicipalVoteNo,$AC:$AC,Sheet1!S71_ItemType,$AD:$AD)</f>
        <v>0</v>
      </c>
      <c r="F245" s="725">
        <f>SUMIFS(Sheet1!S71_OriginalBudAmnt,Sheet1!S71_SubMunicipalVoteNo,$AC:$AC,Sheet1!S71_ItemType,$AD:$AD)</f>
        <v>0</v>
      </c>
      <c r="G245" s="712">
        <f>SUMIFS(Sheet1!S71_AdjustmentBudAmnt,Sheet1!S71_SubMunicipalVoteNo,$AC:$AC,Sheet1!S71_ItemType,$AD:$AD)</f>
        <v>0</v>
      </c>
      <c r="H245" s="713">
        <f>SUMIFS(Sheet1!S71_AdjustmentBudAmnt,Sheet1!S71_SubMunicipalVoteNo,$AC:$AC,Sheet1!S71_ItemType,$AD:$AD)</f>
        <v>0</v>
      </c>
      <c r="I245" s="725">
        <f>SUMIFS(Sheet1!S71_ASBudgetAmount,Sheet1!S71_SubMunicipalVoteNo,$AC:$AC,Sheet1!S71_ItemType,$AD:$AD)</f>
        <v>0</v>
      </c>
      <c r="J245" s="712">
        <f>SUMIFS(Sheet1!S71_OY1BudgetAmount,Sheet1!S71_SubMunicipalVoteNo,$AC:$AC,Sheet1!S71_ItemType,$AD:$AD)</f>
        <v>0</v>
      </c>
      <c r="K245" s="713">
        <f>SUMIFS(Sheet1!S71_OY2BudgetAmount,Sheet1!S71_SubMunicipalVoteNo,$AC:$AC,Sheet1!S71_ItemType,$AD:$AD)</f>
        <v>0</v>
      </c>
      <c r="L245" s="723"/>
      <c r="M245" s="735"/>
      <c r="N245" s="735"/>
      <c r="O245" s="735"/>
      <c r="P245" s="735"/>
      <c r="Q245" s="735"/>
      <c r="R245" s="735"/>
      <c r="S245" s="735"/>
      <c r="T245" s="735"/>
      <c r="U245" s="735"/>
      <c r="V245" s="735"/>
      <c r="W245" s="735"/>
      <c r="AC245" s="2312">
        <v>76</v>
      </c>
      <c r="AD245" s="2318" t="s">
        <v>2754</v>
      </c>
    </row>
    <row r="246" spans="1:30" ht="11.25" customHeight="1" x14ac:dyDescent="0.25">
      <c r="A246" s="136" t="str">
        <f t="shared" si="30"/>
        <v/>
      </c>
      <c r="B246" s="144"/>
      <c r="C246" s="712">
        <f>SUMIFS(Sheet1!S71_PPPYearAmount,Sheet1!S71_SubMunicipalVoteNo,$AC:$AC,Sheet1!S71_ItemType,$AD:$AD)</f>
        <v>0</v>
      </c>
      <c r="D246" s="712">
        <f>SUMIFS(Sheet1!S71_PPYearAmount,Sheet1!S71_SubMunicipalVoteNo,$AC:$AC,Sheet1!S71_ItemType,$AD:$AD)</f>
        <v>0</v>
      </c>
      <c r="E246" s="712">
        <f>SUMIFS(Sheet1!S71_PYearAmount,Sheet1!S71_SubMunicipalVoteNo,$AC:$AC,Sheet1!S71_ItemType,$AD:$AD)</f>
        <v>0</v>
      </c>
      <c r="F246" s="725">
        <f>SUMIFS(Sheet1!S71_OriginalBudAmnt,Sheet1!S71_SubMunicipalVoteNo,$AC:$AC,Sheet1!S71_ItemType,$AD:$AD)</f>
        <v>0</v>
      </c>
      <c r="G246" s="712">
        <f>SUMIFS(Sheet1!S71_AdjustmentBudAmnt,Sheet1!S71_SubMunicipalVoteNo,$AC:$AC,Sheet1!S71_ItemType,$AD:$AD)</f>
        <v>0</v>
      </c>
      <c r="H246" s="713">
        <f>SUMIFS(Sheet1!S71_AdjustmentBudAmnt,Sheet1!S71_SubMunicipalVoteNo,$AC:$AC,Sheet1!S71_ItemType,$AD:$AD)</f>
        <v>0</v>
      </c>
      <c r="I246" s="725">
        <f>SUMIFS(Sheet1!S71_ASBudgetAmount,Sheet1!S71_SubMunicipalVoteNo,$AC:$AC,Sheet1!S71_ItemType,$AD:$AD)</f>
        <v>0</v>
      </c>
      <c r="J246" s="712">
        <f>SUMIFS(Sheet1!S71_OY1BudgetAmount,Sheet1!S71_SubMunicipalVoteNo,$AC:$AC,Sheet1!S71_ItemType,$AD:$AD)</f>
        <v>0</v>
      </c>
      <c r="K246" s="713">
        <f>SUMIFS(Sheet1!S71_OY2BudgetAmount,Sheet1!S71_SubMunicipalVoteNo,$AC:$AC,Sheet1!S71_ItemType,$AD:$AD)</f>
        <v>0</v>
      </c>
      <c r="L246" s="723"/>
      <c r="M246" s="735"/>
      <c r="N246" s="735"/>
      <c r="O246" s="735"/>
      <c r="P246" s="735"/>
      <c r="Q246" s="735"/>
      <c r="R246" s="735"/>
      <c r="S246" s="735"/>
      <c r="T246" s="735"/>
      <c r="U246" s="735"/>
      <c r="V246" s="735"/>
      <c r="W246" s="735"/>
      <c r="AC246" s="2312">
        <v>77</v>
      </c>
      <c r="AD246" s="2318" t="s">
        <v>2754</v>
      </c>
    </row>
    <row r="247" spans="1:30" ht="11.25" customHeight="1" x14ac:dyDescent="0.25">
      <c r="A247" s="136" t="str">
        <f t="shared" si="30"/>
        <v/>
      </c>
      <c r="B247" s="144"/>
      <c r="C247" s="712">
        <f>SUMIFS(Sheet1!S71_PPPYearAmount,Sheet1!S71_SubMunicipalVoteNo,$AC:$AC,Sheet1!S71_ItemType,$AD:$AD)</f>
        <v>0</v>
      </c>
      <c r="D247" s="712">
        <f>SUMIFS(Sheet1!S71_PPYearAmount,Sheet1!S71_SubMunicipalVoteNo,$AC:$AC,Sheet1!S71_ItemType,$AD:$AD)</f>
        <v>0</v>
      </c>
      <c r="E247" s="712">
        <f>SUMIFS(Sheet1!S71_PYearAmount,Sheet1!S71_SubMunicipalVoteNo,$AC:$AC,Sheet1!S71_ItemType,$AD:$AD)</f>
        <v>0</v>
      </c>
      <c r="F247" s="725">
        <f>SUMIFS(Sheet1!S71_OriginalBudAmnt,Sheet1!S71_SubMunicipalVoteNo,$AC:$AC,Sheet1!S71_ItemType,$AD:$AD)</f>
        <v>0</v>
      </c>
      <c r="G247" s="712">
        <f>SUMIFS(Sheet1!S71_AdjustmentBudAmnt,Sheet1!S71_SubMunicipalVoteNo,$AC:$AC,Sheet1!S71_ItemType,$AD:$AD)</f>
        <v>0</v>
      </c>
      <c r="H247" s="713">
        <f>SUMIFS(Sheet1!S71_AdjustmentBudAmnt,Sheet1!S71_SubMunicipalVoteNo,$AC:$AC,Sheet1!S71_ItemType,$AD:$AD)</f>
        <v>0</v>
      </c>
      <c r="I247" s="725">
        <f>SUMIFS(Sheet1!S71_ASBudgetAmount,Sheet1!S71_SubMunicipalVoteNo,$AC:$AC,Sheet1!S71_ItemType,$AD:$AD)</f>
        <v>0</v>
      </c>
      <c r="J247" s="712">
        <f>SUMIFS(Sheet1!S71_OY1BudgetAmount,Sheet1!S71_SubMunicipalVoteNo,$AC:$AC,Sheet1!S71_ItemType,$AD:$AD)</f>
        <v>0</v>
      </c>
      <c r="K247" s="713">
        <f>SUMIFS(Sheet1!S71_OY2BudgetAmount,Sheet1!S71_SubMunicipalVoteNo,$AC:$AC,Sheet1!S71_ItemType,$AD:$AD)</f>
        <v>0</v>
      </c>
      <c r="L247" s="723"/>
      <c r="M247" s="735"/>
      <c r="N247" s="735"/>
      <c r="O247" s="735"/>
      <c r="P247" s="735"/>
      <c r="Q247" s="735"/>
      <c r="R247" s="735"/>
      <c r="S247" s="735"/>
      <c r="T247" s="735"/>
      <c r="U247" s="735"/>
      <c r="V247" s="735"/>
      <c r="W247" s="735"/>
      <c r="AC247" s="2312">
        <v>78</v>
      </c>
      <c r="AD247" s="2318" t="s">
        <v>2754</v>
      </c>
    </row>
    <row r="248" spans="1:30" ht="11.25" customHeight="1" x14ac:dyDescent="0.25">
      <c r="A248" s="136" t="str">
        <f t="shared" si="30"/>
        <v/>
      </c>
      <c r="B248" s="144"/>
      <c r="C248" s="712">
        <f>SUMIFS(Sheet1!S71_PPPYearAmount,Sheet1!S71_SubMunicipalVoteNo,$AC:$AC,Sheet1!S71_ItemType,$AD:$AD)</f>
        <v>0</v>
      </c>
      <c r="D248" s="712">
        <f>SUMIFS(Sheet1!S71_PPYearAmount,Sheet1!S71_SubMunicipalVoteNo,$AC:$AC,Sheet1!S71_ItemType,$AD:$AD)</f>
        <v>0</v>
      </c>
      <c r="E248" s="712">
        <f>SUMIFS(Sheet1!S71_PYearAmount,Sheet1!S71_SubMunicipalVoteNo,$AC:$AC,Sheet1!S71_ItemType,$AD:$AD)</f>
        <v>0</v>
      </c>
      <c r="F248" s="725">
        <f>SUMIFS(Sheet1!S71_OriginalBudAmnt,Sheet1!S71_SubMunicipalVoteNo,$AC:$AC,Sheet1!S71_ItemType,$AD:$AD)</f>
        <v>0</v>
      </c>
      <c r="G248" s="712">
        <f>SUMIFS(Sheet1!S71_AdjustmentBudAmnt,Sheet1!S71_SubMunicipalVoteNo,$AC:$AC,Sheet1!S71_ItemType,$AD:$AD)</f>
        <v>0</v>
      </c>
      <c r="H248" s="713">
        <f>SUMIFS(Sheet1!S71_AdjustmentBudAmnt,Sheet1!S71_SubMunicipalVoteNo,$AC:$AC,Sheet1!S71_ItemType,$AD:$AD)</f>
        <v>0</v>
      </c>
      <c r="I248" s="725">
        <f>SUMIFS(Sheet1!S71_ASBudgetAmount,Sheet1!S71_SubMunicipalVoteNo,$AC:$AC,Sheet1!S71_ItemType,$AD:$AD)</f>
        <v>0</v>
      </c>
      <c r="J248" s="712">
        <f>SUMIFS(Sheet1!S71_OY1BudgetAmount,Sheet1!S71_SubMunicipalVoteNo,$AC:$AC,Sheet1!S71_ItemType,$AD:$AD)</f>
        <v>0</v>
      </c>
      <c r="K248" s="713">
        <f>SUMIFS(Sheet1!S71_OY2BudgetAmount,Sheet1!S71_SubMunicipalVoteNo,$AC:$AC,Sheet1!S71_ItemType,$AD:$AD)</f>
        <v>0</v>
      </c>
      <c r="L248" s="723"/>
      <c r="M248" s="735"/>
      <c r="N248" s="735"/>
      <c r="O248" s="735"/>
      <c r="P248" s="735"/>
      <c r="Q248" s="735"/>
      <c r="R248" s="735"/>
      <c r="S248" s="735"/>
      <c r="T248" s="735"/>
      <c r="U248" s="735"/>
      <c r="V248" s="735"/>
      <c r="W248" s="735"/>
      <c r="AC248" s="2312">
        <v>79</v>
      </c>
      <c r="AD248" s="2318" t="s">
        <v>2754</v>
      </c>
    </row>
    <row r="249" spans="1:30" ht="11.25" customHeight="1" x14ac:dyDescent="0.25">
      <c r="A249" s="136" t="str">
        <f t="shared" si="30"/>
        <v/>
      </c>
      <c r="B249" s="144"/>
      <c r="C249" s="712">
        <f>SUMIFS(Sheet1!S71_PPPYearAmount,Sheet1!S71_SubMunicipalVoteNo,$AC:$AC,Sheet1!S71_ItemType,$AD:$AD)</f>
        <v>0</v>
      </c>
      <c r="D249" s="712">
        <f>SUMIFS(Sheet1!S71_PPYearAmount,Sheet1!S71_SubMunicipalVoteNo,$AC:$AC,Sheet1!S71_ItemType,$AD:$AD)</f>
        <v>0</v>
      </c>
      <c r="E249" s="712">
        <f>SUMIFS(Sheet1!S71_PYearAmount,Sheet1!S71_SubMunicipalVoteNo,$AC:$AC,Sheet1!S71_ItemType,$AD:$AD)</f>
        <v>0</v>
      </c>
      <c r="F249" s="725">
        <f>SUMIFS(Sheet1!S71_OriginalBudAmnt,Sheet1!S71_SubMunicipalVoteNo,$AC:$AC,Sheet1!S71_ItemType,$AD:$AD)</f>
        <v>0</v>
      </c>
      <c r="G249" s="712">
        <f>SUMIFS(Sheet1!S71_AdjustmentBudAmnt,Sheet1!S71_SubMunicipalVoteNo,$AC:$AC,Sheet1!S71_ItemType,$AD:$AD)</f>
        <v>0</v>
      </c>
      <c r="H249" s="713">
        <f>SUMIFS(Sheet1!S71_AdjustmentBudAmnt,Sheet1!S71_SubMunicipalVoteNo,$AC:$AC,Sheet1!S71_ItemType,$AD:$AD)</f>
        <v>0</v>
      </c>
      <c r="I249" s="725">
        <f>SUMIFS(Sheet1!S71_ASBudgetAmount,Sheet1!S71_SubMunicipalVoteNo,$AC:$AC,Sheet1!S71_ItemType,$AD:$AD)</f>
        <v>0</v>
      </c>
      <c r="J249" s="712">
        <f>SUMIFS(Sheet1!S71_OY1BudgetAmount,Sheet1!S71_SubMunicipalVoteNo,$AC:$AC,Sheet1!S71_ItemType,$AD:$AD)</f>
        <v>0</v>
      </c>
      <c r="K249" s="713">
        <f>SUMIFS(Sheet1!S71_OY2BudgetAmount,Sheet1!S71_SubMunicipalVoteNo,$AC:$AC,Sheet1!S71_ItemType,$AD:$AD)</f>
        <v>0</v>
      </c>
      <c r="L249" s="723"/>
      <c r="M249" s="735"/>
      <c r="N249" s="735"/>
      <c r="O249" s="735"/>
      <c r="P249" s="735"/>
      <c r="Q249" s="735"/>
      <c r="R249" s="735"/>
      <c r="S249" s="735"/>
      <c r="T249" s="735"/>
      <c r="U249" s="735"/>
      <c r="V249" s="735"/>
      <c r="W249" s="735"/>
      <c r="AC249" s="2312">
        <v>710</v>
      </c>
      <c r="AD249" s="2318" t="s">
        <v>2754</v>
      </c>
    </row>
    <row r="250" spans="1:30" ht="15" customHeight="1" x14ac:dyDescent="0.25">
      <c r="A250" s="135" t="str">
        <f>A82</f>
        <v>Vote 8 - Planning and Development</v>
      </c>
      <c r="B250" s="144"/>
      <c r="C250" s="212">
        <f t="shared" ref="C250:K250" si="31">SUM(C251:C260)</f>
        <v>867081</v>
      </c>
      <c r="D250" s="212">
        <f t="shared" si="31"/>
        <v>2810520</v>
      </c>
      <c r="E250" s="213">
        <f t="shared" si="31"/>
        <v>1694782</v>
      </c>
      <c r="F250" s="214">
        <f t="shared" si="31"/>
        <v>580000</v>
      </c>
      <c r="G250" s="212">
        <f t="shared" si="31"/>
        <v>430220</v>
      </c>
      <c r="H250" s="215">
        <f t="shared" si="31"/>
        <v>430220</v>
      </c>
      <c r="I250" s="216">
        <f t="shared" si="31"/>
        <v>571700</v>
      </c>
      <c r="J250" s="212">
        <f t="shared" si="31"/>
        <v>594568</v>
      </c>
      <c r="K250" s="213">
        <f t="shared" si="31"/>
        <v>611216</v>
      </c>
      <c r="L250" s="723"/>
      <c r="M250" s="735"/>
      <c r="N250" s="735"/>
      <c r="O250" s="735"/>
      <c r="P250" s="735"/>
      <c r="Q250" s="735"/>
      <c r="R250" s="735"/>
      <c r="S250" s="735"/>
      <c r="T250" s="735"/>
      <c r="U250" s="735"/>
      <c r="V250" s="735"/>
      <c r="W250" s="735"/>
      <c r="AD250" s="2315"/>
    </row>
    <row r="251" spans="1:30" ht="11.25" customHeight="1" x14ac:dyDescent="0.25">
      <c r="A251" s="136" t="str">
        <f t="shared" ref="A251:A271" si="32">A83</f>
        <v>8.1 - Town Planning, Building Regulations and Enforcement, and City Engineer</v>
      </c>
      <c r="B251" s="144"/>
      <c r="C251" s="712">
        <f>SUMIFS(Sheet1!S71_PPPYearAmount,Sheet1!S71_SubMunicipalVoteNo,$AC:$AC,Sheet1!S71_ItemType,$AD:$AD)</f>
        <v>632827</v>
      </c>
      <c r="D251" s="712">
        <f>SUMIFS(Sheet1!S71_PPYearAmount,Sheet1!S71_SubMunicipalVoteNo,$AC:$AC,Sheet1!S71_ItemType,$AD:$AD)</f>
        <v>231499</v>
      </c>
      <c r="E251" s="712">
        <f>SUMIFS(Sheet1!S71_PYearAmount,Sheet1!S71_SubMunicipalVoteNo,$AC:$AC,Sheet1!S71_ItemType,$AD:$AD)</f>
        <v>249511</v>
      </c>
      <c r="F251" s="725">
        <f>SUMIFS(Sheet1!S71_OriginalBudAmnt,Sheet1!S71_SubMunicipalVoteNo,$AC:$AC,Sheet1!S71_ItemType,$AD:$AD)</f>
        <v>440000</v>
      </c>
      <c r="G251" s="712">
        <f>SUMIFS(Sheet1!S71_AdjustmentBudAmnt,Sheet1!S71_SubMunicipalVoteNo,$AC:$AC,Sheet1!S71_ItemType,$AD:$AD)</f>
        <v>300000</v>
      </c>
      <c r="H251" s="713">
        <f>SUMIFS(Sheet1!S71_AdjustmentBudAmnt,Sheet1!S71_SubMunicipalVoteNo,$AC:$AC,Sheet1!S71_ItemType,$AD:$AD)</f>
        <v>300000</v>
      </c>
      <c r="I251" s="725">
        <f>SUMIFS(Sheet1!S71_ASBudgetAmount,Sheet1!S71_SubMunicipalVoteNo,$AC:$AC,Sheet1!S71_ItemType,$AD:$AD)</f>
        <v>311700</v>
      </c>
      <c r="J251" s="712">
        <f>SUMIFS(Sheet1!S71_OY1BudgetAmount,Sheet1!S71_SubMunicipalVoteNo,$AC:$AC,Sheet1!S71_ItemType,$AD:$AD)</f>
        <v>324168</v>
      </c>
      <c r="K251" s="713">
        <f>SUMIFS(Sheet1!S71_OY2BudgetAmount,Sheet1!S71_SubMunicipalVoteNo,$AC:$AC,Sheet1!S71_ItemType,$AD:$AD)</f>
        <v>330000</v>
      </c>
      <c r="L251" s="723"/>
      <c r="M251" s="735"/>
      <c r="N251" s="735"/>
      <c r="O251" s="735"/>
      <c r="P251" s="735"/>
      <c r="Q251" s="735"/>
      <c r="R251" s="735"/>
      <c r="S251" s="735"/>
      <c r="T251" s="735"/>
      <c r="U251" s="735"/>
      <c r="V251" s="735"/>
      <c r="W251" s="735"/>
      <c r="AC251" s="2312">
        <v>81</v>
      </c>
      <c r="AD251" s="2318" t="s">
        <v>2754</v>
      </c>
    </row>
    <row r="252" spans="1:30" ht="11.25" customHeight="1" x14ac:dyDescent="0.25">
      <c r="A252" s="136" t="str">
        <f t="shared" si="32"/>
        <v>8.2 - Development Facilitation</v>
      </c>
      <c r="B252" s="144"/>
      <c r="C252" s="712">
        <f>SUMIFS(Sheet1!S71_PPPYearAmount,Sheet1!S71_SubMunicipalVoteNo,$AC:$AC,Sheet1!S71_ItemType,$AD:$AD)</f>
        <v>0</v>
      </c>
      <c r="D252" s="712">
        <f>SUMIFS(Sheet1!S71_PPYearAmount,Sheet1!S71_SubMunicipalVoteNo,$AC:$AC,Sheet1!S71_ItemType,$AD:$AD)</f>
        <v>2700</v>
      </c>
      <c r="E252" s="712">
        <f>SUMIFS(Sheet1!S71_PYearAmount,Sheet1!S71_SubMunicipalVoteNo,$AC:$AC,Sheet1!S71_ItemType,$AD:$AD)</f>
        <v>0</v>
      </c>
      <c r="F252" s="725">
        <f>SUMIFS(Sheet1!S71_OriginalBudAmnt,Sheet1!S71_SubMunicipalVoteNo,$AC:$AC,Sheet1!S71_ItemType,$AD:$AD)</f>
        <v>0</v>
      </c>
      <c r="G252" s="712">
        <f>SUMIFS(Sheet1!S71_AdjustmentBudAmnt,Sheet1!S71_SubMunicipalVoteNo,$AC:$AC,Sheet1!S71_ItemType,$AD:$AD)</f>
        <v>0</v>
      </c>
      <c r="H252" s="713">
        <f>SUMIFS(Sheet1!S71_AdjustmentBudAmnt,Sheet1!S71_SubMunicipalVoteNo,$AC:$AC,Sheet1!S71_ItemType,$AD:$AD)</f>
        <v>0</v>
      </c>
      <c r="I252" s="725">
        <f>SUMIFS(Sheet1!S71_ASBudgetAmount,Sheet1!S71_SubMunicipalVoteNo,$AC:$AC,Sheet1!S71_ItemType,$AD:$AD)</f>
        <v>0</v>
      </c>
      <c r="J252" s="712">
        <f>SUMIFS(Sheet1!S71_OY1BudgetAmount,Sheet1!S71_SubMunicipalVoteNo,$AC:$AC,Sheet1!S71_ItemType,$AD:$AD)</f>
        <v>0</v>
      </c>
      <c r="K252" s="713">
        <f>SUMIFS(Sheet1!S71_OY2BudgetAmount,Sheet1!S71_SubMunicipalVoteNo,$AC:$AC,Sheet1!S71_ItemType,$AD:$AD)</f>
        <v>0</v>
      </c>
      <c r="L252" s="723"/>
      <c r="M252" s="735"/>
      <c r="N252" s="735"/>
      <c r="O252" s="735"/>
      <c r="P252" s="735"/>
      <c r="Q252" s="735"/>
      <c r="R252" s="735"/>
      <c r="S252" s="735"/>
      <c r="T252" s="735"/>
      <c r="U252" s="735"/>
      <c r="V252" s="735"/>
      <c r="W252" s="735"/>
      <c r="AC252" s="2312">
        <v>82</v>
      </c>
      <c r="AD252" s="2318" t="s">
        <v>2754</v>
      </c>
    </row>
    <row r="253" spans="1:30" ht="11.25" customHeight="1" x14ac:dyDescent="0.25">
      <c r="A253" s="136" t="str">
        <f t="shared" si="32"/>
        <v>8.3 - Economic Development/Planning</v>
      </c>
      <c r="B253" s="144"/>
      <c r="C253" s="712">
        <f>SUMIFS(Sheet1!S71_PPPYearAmount,Sheet1!S71_SubMunicipalVoteNo,$AC:$AC,Sheet1!S71_ItemType,$AD:$AD)</f>
        <v>47700</v>
      </c>
      <c r="D253" s="712">
        <f>SUMIFS(Sheet1!S71_PPYearAmount,Sheet1!S71_SubMunicipalVoteNo,$AC:$AC,Sheet1!S71_ItemType,$AD:$AD)</f>
        <v>2576321</v>
      </c>
      <c r="E253" s="712">
        <f>SUMIFS(Sheet1!S71_PYearAmount,Sheet1!S71_SubMunicipalVoteNo,$AC:$AC,Sheet1!S71_ItemType,$AD:$AD)</f>
        <v>1445271</v>
      </c>
      <c r="F253" s="725">
        <f>SUMIFS(Sheet1!S71_OriginalBudAmnt,Sheet1!S71_SubMunicipalVoteNo,$AC:$AC,Sheet1!S71_ItemType,$AD:$AD)</f>
        <v>140000</v>
      </c>
      <c r="G253" s="712">
        <f>SUMIFS(Sheet1!S71_AdjustmentBudAmnt,Sheet1!S71_SubMunicipalVoteNo,$AC:$AC,Sheet1!S71_ItemType,$AD:$AD)</f>
        <v>130220</v>
      </c>
      <c r="H253" s="713">
        <f>SUMIFS(Sheet1!S71_AdjustmentBudAmnt,Sheet1!S71_SubMunicipalVoteNo,$AC:$AC,Sheet1!S71_ItemType,$AD:$AD)</f>
        <v>130220</v>
      </c>
      <c r="I253" s="725">
        <f>SUMIFS(Sheet1!S71_ASBudgetAmount,Sheet1!S71_SubMunicipalVoteNo,$AC:$AC,Sheet1!S71_ItemType,$AD:$AD)</f>
        <v>260000</v>
      </c>
      <c r="J253" s="712">
        <f>SUMIFS(Sheet1!S71_OY1BudgetAmount,Sheet1!S71_SubMunicipalVoteNo,$AC:$AC,Sheet1!S71_ItemType,$AD:$AD)</f>
        <v>270400</v>
      </c>
      <c r="K253" s="713">
        <f>SUMIFS(Sheet1!S71_OY2BudgetAmount,Sheet1!S71_SubMunicipalVoteNo,$AC:$AC,Sheet1!S71_ItemType,$AD:$AD)</f>
        <v>281216</v>
      </c>
      <c r="L253" s="723"/>
      <c r="M253" s="735"/>
      <c r="N253" s="735"/>
      <c r="O253" s="735"/>
      <c r="P253" s="735"/>
      <c r="Q253" s="735"/>
      <c r="R253" s="735"/>
      <c r="S253" s="735"/>
      <c r="T253" s="735"/>
      <c r="U253" s="735"/>
      <c r="V253" s="735"/>
      <c r="W253" s="735"/>
      <c r="AC253" s="2312">
        <v>83</v>
      </c>
      <c r="AD253" s="2318" t="s">
        <v>2754</v>
      </c>
    </row>
    <row r="254" spans="1:30" ht="11.25" customHeight="1" x14ac:dyDescent="0.25">
      <c r="A254" s="136" t="str">
        <f t="shared" si="32"/>
        <v>8.4 - Regional Planning and Development</v>
      </c>
      <c r="B254" s="144"/>
      <c r="C254" s="712">
        <f>SUMIFS(Sheet1!S71_PPPYearAmount,Sheet1!S71_SubMunicipalVoteNo,$AC:$AC,Sheet1!S71_ItemType,$AD:$AD)</f>
        <v>274</v>
      </c>
      <c r="D254" s="712">
        <f>SUMIFS(Sheet1!S71_PPYearAmount,Sheet1!S71_SubMunicipalVoteNo,$AC:$AC,Sheet1!S71_ItemType,$AD:$AD)</f>
        <v>0</v>
      </c>
      <c r="E254" s="712">
        <f>SUMIFS(Sheet1!S71_PYearAmount,Sheet1!S71_SubMunicipalVoteNo,$AC:$AC,Sheet1!S71_ItemType,$AD:$AD)</f>
        <v>0</v>
      </c>
      <c r="F254" s="725">
        <f>SUMIFS(Sheet1!S71_OriginalBudAmnt,Sheet1!S71_SubMunicipalVoteNo,$AC:$AC,Sheet1!S71_ItemType,$AD:$AD)</f>
        <v>0</v>
      </c>
      <c r="G254" s="712">
        <f>SUMIFS(Sheet1!S71_AdjustmentBudAmnt,Sheet1!S71_SubMunicipalVoteNo,$AC:$AC,Sheet1!S71_ItemType,$AD:$AD)</f>
        <v>0</v>
      </c>
      <c r="H254" s="713">
        <f>SUMIFS(Sheet1!S71_AdjustmentBudAmnt,Sheet1!S71_SubMunicipalVoteNo,$AC:$AC,Sheet1!S71_ItemType,$AD:$AD)</f>
        <v>0</v>
      </c>
      <c r="I254" s="725">
        <f>SUMIFS(Sheet1!S71_ASBudgetAmount,Sheet1!S71_SubMunicipalVoteNo,$AC:$AC,Sheet1!S71_ItemType,$AD:$AD)</f>
        <v>0</v>
      </c>
      <c r="J254" s="712">
        <f>SUMIFS(Sheet1!S71_OY1BudgetAmount,Sheet1!S71_SubMunicipalVoteNo,$AC:$AC,Sheet1!S71_ItemType,$AD:$AD)</f>
        <v>0</v>
      </c>
      <c r="K254" s="713">
        <f>SUMIFS(Sheet1!S71_OY2BudgetAmount,Sheet1!S71_SubMunicipalVoteNo,$AC:$AC,Sheet1!S71_ItemType,$AD:$AD)</f>
        <v>0</v>
      </c>
      <c r="L254" s="723"/>
      <c r="M254" s="735"/>
      <c r="N254" s="735"/>
      <c r="O254" s="735"/>
      <c r="P254" s="735"/>
      <c r="Q254" s="735"/>
      <c r="R254" s="735"/>
      <c r="S254" s="735"/>
      <c r="T254" s="735"/>
      <c r="U254" s="735"/>
      <c r="V254" s="735"/>
      <c r="W254" s="735"/>
      <c r="AC254" s="2312">
        <v>84</v>
      </c>
      <c r="AD254" s="2318" t="s">
        <v>2754</v>
      </c>
    </row>
    <row r="255" spans="1:30" ht="11.25" customHeight="1" x14ac:dyDescent="0.25">
      <c r="A255" s="136" t="str">
        <f t="shared" si="32"/>
        <v>8.5 - Corporate Wide Strategic Planning (IDPs, LEDs)</v>
      </c>
      <c r="B255" s="144"/>
      <c r="C255" s="712">
        <f>SUMIFS(Sheet1!S71_PPPYearAmount,Sheet1!S71_SubMunicipalVoteNo,$AC:$AC,Sheet1!S71_ItemType,$AD:$AD)</f>
        <v>186280</v>
      </c>
      <c r="D255" s="712">
        <f>SUMIFS(Sheet1!S71_PPYearAmount,Sheet1!S71_SubMunicipalVoteNo,$AC:$AC,Sheet1!S71_ItemType,$AD:$AD)</f>
        <v>0</v>
      </c>
      <c r="E255" s="712">
        <f>SUMIFS(Sheet1!S71_PYearAmount,Sheet1!S71_SubMunicipalVoteNo,$AC:$AC,Sheet1!S71_ItemType,$AD:$AD)</f>
        <v>0</v>
      </c>
      <c r="F255" s="725">
        <f>SUMIFS(Sheet1!S71_OriginalBudAmnt,Sheet1!S71_SubMunicipalVoteNo,$AC:$AC,Sheet1!S71_ItemType,$AD:$AD)</f>
        <v>0</v>
      </c>
      <c r="G255" s="712">
        <f>SUMIFS(Sheet1!S71_AdjustmentBudAmnt,Sheet1!S71_SubMunicipalVoteNo,$AC:$AC,Sheet1!S71_ItemType,$AD:$AD)</f>
        <v>0</v>
      </c>
      <c r="H255" s="713">
        <f>SUMIFS(Sheet1!S71_AdjustmentBudAmnt,Sheet1!S71_SubMunicipalVoteNo,$AC:$AC,Sheet1!S71_ItemType,$AD:$AD)</f>
        <v>0</v>
      </c>
      <c r="I255" s="725">
        <f>SUMIFS(Sheet1!S71_ASBudgetAmount,Sheet1!S71_SubMunicipalVoteNo,$AC:$AC,Sheet1!S71_ItemType,$AD:$AD)</f>
        <v>0</v>
      </c>
      <c r="J255" s="712">
        <f>SUMIFS(Sheet1!S71_OY1BudgetAmount,Sheet1!S71_SubMunicipalVoteNo,$AC:$AC,Sheet1!S71_ItemType,$AD:$AD)</f>
        <v>0</v>
      </c>
      <c r="K255" s="713">
        <f>SUMIFS(Sheet1!S71_OY2BudgetAmount,Sheet1!S71_SubMunicipalVoteNo,$AC:$AC,Sheet1!S71_ItemType,$AD:$AD)</f>
        <v>0</v>
      </c>
      <c r="L255" s="723"/>
      <c r="M255" s="735"/>
      <c r="N255" s="735"/>
      <c r="O255" s="735"/>
      <c r="P255" s="735"/>
      <c r="Q255" s="735"/>
      <c r="R255" s="735"/>
      <c r="S255" s="735"/>
      <c r="T255" s="735"/>
      <c r="U255" s="735"/>
      <c r="V255" s="735"/>
      <c r="W255" s="735"/>
      <c r="AC255" s="2312">
        <v>85</v>
      </c>
      <c r="AD255" s="2318" t="s">
        <v>2754</v>
      </c>
    </row>
    <row r="256" spans="1:30" ht="11.25" customHeight="1" x14ac:dyDescent="0.25">
      <c r="A256" s="136" t="str">
        <f t="shared" si="32"/>
        <v>8.6 - Project Management Unit</v>
      </c>
      <c r="B256" s="144"/>
      <c r="C256" s="712">
        <f>SUMIFS(Sheet1!S71_PPPYearAmount,Sheet1!S71_SubMunicipalVoteNo,$AC:$AC,Sheet1!S71_ItemType,$AD:$AD)</f>
        <v>0</v>
      </c>
      <c r="D256" s="712">
        <f>SUMIFS(Sheet1!S71_PPYearAmount,Sheet1!S71_SubMunicipalVoteNo,$AC:$AC,Sheet1!S71_ItemType,$AD:$AD)</f>
        <v>0</v>
      </c>
      <c r="E256" s="712">
        <f>SUMIFS(Sheet1!S71_PYearAmount,Sheet1!S71_SubMunicipalVoteNo,$AC:$AC,Sheet1!S71_ItemType,$AD:$AD)</f>
        <v>0</v>
      </c>
      <c r="F256" s="725">
        <f>SUMIFS(Sheet1!S71_OriginalBudAmnt,Sheet1!S71_SubMunicipalVoteNo,$AC:$AC,Sheet1!S71_ItemType,$AD:$AD)</f>
        <v>0</v>
      </c>
      <c r="G256" s="712">
        <f>SUMIFS(Sheet1!S71_AdjustmentBudAmnt,Sheet1!S71_SubMunicipalVoteNo,$AC:$AC,Sheet1!S71_ItemType,$AD:$AD)</f>
        <v>0</v>
      </c>
      <c r="H256" s="713">
        <f>SUMIFS(Sheet1!S71_AdjustmentBudAmnt,Sheet1!S71_SubMunicipalVoteNo,$AC:$AC,Sheet1!S71_ItemType,$AD:$AD)</f>
        <v>0</v>
      </c>
      <c r="I256" s="725">
        <f>SUMIFS(Sheet1!S71_ASBudgetAmount,Sheet1!S71_SubMunicipalVoteNo,$AC:$AC,Sheet1!S71_ItemType,$AD:$AD)</f>
        <v>0</v>
      </c>
      <c r="J256" s="712">
        <f>SUMIFS(Sheet1!S71_OY1BudgetAmount,Sheet1!S71_SubMunicipalVoteNo,$AC:$AC,Sheet1!S71_ItemType,$AD:$AD)</f>
        <v>0</v>
      </c>
      <c r="K256" s="713">
        <f>SUMIFS(Sheet1!S71_OY2BudgetAmount,Sheet1!S71_SubMunicipalVoteNo,$AC:$AC,Sheet1!S71_ItemType,$AD:$AD)</f>
        <v>0</v>
      </c>
      <c r="L256" s="723"/>
      <c r="M256" s="735"/>
      <c r="N256" s="735"/>
      <c r="O256" s="735"/>
      <c r="P256" s="735"/>
      <c r="Q256" s="735"/>
      <c r="R256" s="735"/>
      <c r="S256" s="735"/>
      <c r="T256" s="735"/>
      <c r="U256" s="735"/>
      <c r="V256" s="735"/>
      <c r="W256" s="735"/>
      <c r="AC256" s="2312">
        <v>86</v>
      </c>
      <c r="AD256" s="2318" t="s">
        <v>2754</v>
      </c>
    </row>
    <row r="257" spans="1:30" ht="11.25" customHeight="1" x14ac:dyDescent="0.25">
      <c r="A257" s="136" t="str">
        <f t="shared" si="32"/>
        <v/>
      </c>
      <c r="B257" s="144"/>
      <c r="C257" s="712">
        <f>SUMIFS(Sheet1!S71_PPPYearAmount,Sheet1!S71_SubMunicipalVoteNo,$AC:$AC,Sheet1!S71_ItemType,$AD:$AD)</f>
        <v>0</v>
      </c>
      <c r="D257" s="712">
        <f>SUMIFS(Sheet1!S71_PPYearAmount,Sheet1!S71_SubMunicipalVoteNo,$AC:$AC,Sheet1!S71_ItemType,$AD:$AD)</f>
        <v>0</v>
      </c>
      <c r="E257" s="712">
        <f>SUMIFS(Sheet1!S71_PYearAmount,Sheet1!S71_SubMunicipalVoteNo,$AC:$AC,Sheet1!S71_ItemType,$AD:$AD)</f>
        <v>0</v>
      </c>
      <c r="F257" s="725">
        <f>SUMIFS(Sheet1!S71_OriginalBudAmnt,Sheet1!S71_SubMunicipalVoteNo,$AC:$AC,Sheet1!S71_ItemType,$AD:$AD)</f>
        <v>0</v>
      </c>
      <c r="G257" s="712">
        <f>SUMIFS(Sheet1!S71_AdjustmentBudAmnt,Sheet1!S71_SubMunicipalVoteNo,$AC:$AC,Sheet1!S71_ItemType,$AD:$AD)</f>
        <v>0</v>
      </c>
      <c r="H257" s="713">
        <f>SUMIFS(Sheet1!S71_AdjustmentBudAmnt,Sheet1!S71_SubMunicipalVoteNo,$AC:$AC,Sheet1!S71_ItemType,$AD:$AD)</f>
        <v>0</v>
      </c>
      <c r="I257" s="725">
        <f>SUMIFS(Sheet1!S71_ASBudgetAmount,Sheet1!S71_SubMunicipalVoteNo,$AC:$AC,Sheet1!S71_ItemType,$AD:$AD)</f>
        <v>0</v>
      </c>
      <c r="J257" s="712">
        <f>SUMIFS(Sheet1!S71_OY1BudgetAmount,Sheet1!S71_SubMunicipalVoteNo,$AC:$AC,Sheet1!S71_ItemType,$AD:$AD)</f>
        <v>0</v>
      </c>
      <c r="K257" s="713">
        <f>SUMIFS(Sheet1!S71_OY2BudgetAmount,Sheet1!S71_SubMunicipalVoteNo,$AC:$AC,Sheet1!S71_ItemType,$AD:$AD)</f>
        <v>0</v>
      </c>
      <c r="L257" s="723"/>
      <c r="M257" s="735"/>
      <c r="N257" s="735"/>
      <c r="O257" s="735"/>
      <c r="P257" s="735"/>
      <c r="Q257" s="735"/>
      <c r="R257" s="735"/>
      <c r="S257" s="735"/>
      <c r="T257" s="735"/>
      <c r="U257" s="735"/>
      <c r="V257" s="735"/>
      <c r="W257" s="735"/>
      <c r="AC257" s="2312">
        <v>87</v>
      </c>
      <c r="AD257" s="2318" t="s">
        <v>2754</v>
      </c>
    </row>
    <row r="258" spans="1:30" ht="11.25" customHeight="1" x14ac:dyDescent="0.25">
      <c r="A258" s="136" t="str">
        <f t="shared" si="32"/>
        <v/>
      </c>
      <c r="B258" s="144"/>
      <c r="C258" s="712">
        <f>SUMIFS(Sheet1!S71_PPPYearAmount,Sheet1!S71_SubMunicipalVoteNo,$AC:$AC,Sheet1!S71_ItemType,$AD:$AD)</f>
        <v>0</v>
      </c>
      <c r="D258" s="712">
        <f>SUMIFS(Sheet1!S71_PPYearAmount,Sheet1!S71_SubMunicipalVoteNo,$AC:$AC,Sheet1!S71_ItemType,$AD:$AD)</f>
        <v>0</v>
      </c>
      <c r="E258" s="712">
        <f>SUMIFS(Sheet1!S71_PYearAmount,Sheet1!S71_SubMunicipalVoteNo,$AC:$AC,Sheet1!S71_ItemType,$AD:$AD)</f>
        <v>0</v>
      </c>
      <c r="F258" s="725">
        <f>SUMIFS(Sheet1!S71_OriginalBudAmnt,Sheet1!S71_SubMunicipalVoteNo,$AC:$AC,Sheet1!S71_ItemType,$AD:$AD)</f>
        <v>0</v>
      </c>
      <c r="G258" s="712">
        <f>SUMIFS(Sheet1!S71_AdjustmentBudAmnt,Sheet1!S71_SubMunicipalVoteNo,$AC:$AC,Sheet1!S71_ItemType,$AD:$AD)</f>
        <v>0</v>
      </c>
      <c r="H258" s="713">
        <f>SUMIFS(Sheet1!S71_AdjustmentBudAmnt,Sheet1!S71_SubMunicipalVoteNo,$AC:$AC,Sheet1!S71_ItemType,$AD:$AD)</f>
        <v>0</v>
      </c>
      <c r="I258" s="725">
        <f>SUMIFS(Sheet1!S71_ASBudgetAmount,Sheet1!S71_SubMunicipalVoteNo,$AC:$AC,Sheet1!S71_ItemType,$AD:$AD)</f>
        <v>0</v>
      </c>
      <c r="J258" s="712">
        <f>SUMIFS(Sheet1!S71_OY1BudgetAmount,Sheet1!S71_SubMunicipalVoteNo,$AC:$AC,Sheet1!S71_ItemType,$AD:$AD)</f>
        <v>0</v>
      </c>
      <c r="K258" s="713">
        <f>SUMIFS(Sheet1!S71_OY2BudgetAmount,Sheet1!S71_SubMunicipalVoteNo,$AC:$AC,Sheet1!S71_ItemType,$AD:$AD)</f>
        <v>0</v>
      </c>
      <c r="L258" s="723"/>
      <c r="M258" s="735"/>
      <c r="N258" s="735"/>
      <c r="O258" s="735"/>
      <c r="P258" s="735"/>
      <c r="Q258" s="735"/>
      <c r="R258" s="735"/>
      <c r="S258" s="735"/>
      <c r="T258" s="735"/>
      <c r="U258" s="735"/>
      <c r="V258" s="735"/>
      <c r="W258" s="735"/>
      <c r="AC258" s="2312">
        <v>88</v>
      </c>
      <c r="AD258" s="2318" t="s">
        <v>2754</v>
      </c>
    </row>
    <row r="259" spans="1:30" ht="11.25" customHeight="1" x14ac:dyDescent="0.25">
      <c r="A259" s="136" t="str">
        <f t="shared" si="32"/>
        <v/>
      </c>
      <c r="B259" s="144"/>
      <c r="C259" s="712">
        <f>SUMIFS(Sheet1!S71_PPPYearAmount,Sheet1!S71_SubMunicipalVoteNo,$AC:$AC,Sheet1!S71_ItemType,$AD:$AD)</f>
        <v>0</v>
      </c>
      <c r="D259" s="712">
        <f>SUMIFS(Sheet1!S71_PPYearAmount,Sheet1!S71_SubMunicipalVoteNo,$AC:$AC,Sheet1!S71_ItemType,$AD:$AD)</f>
        <v>0</v>
      </c>
      <c r="E259" s="712">
        <f>SUMIFS(Sheet1!S71_PYearAmount,Sheet1!S71_SubMunicipalVoteNo,$AC:$AC,Sheet1!S71_ItemType,$AD:$AD)</f>
        <v>0</v>
      </c>
      <c r="F259" s="725">
        <f>SUMIFS(Sheet1!S71_OriginalBudAmnt,Sheet1!S71_SubMunicipalVoteNo,$AC:$AC,Sheet1!S71_ItemType,$AD:$AD)</f>
        <v>0</v>
      </c>
      <c r="G259" s="712">
        <f>SUMIFS(Sheet1!S71_AdjustmentBudAmnt,Sheet1!S71_SubMunicipalVoteNo,$AC:$AC,Sheet1!S71_ItemType,$AD:$AD)</f>
        <v>0</v>
      </c>
      <c r="H259" s="713">
        <f>SUMIFS(Sheet1!S71_AdjustmentBudAmnt,Sheet1!S71_SubMunicipalVoteNo,$AC:$AC,Sheet1!S71_ItemType,$AD:$AD)</f>
        <v>0</v>
      </c>
      <c r="I259" s="725">
        <f>SUMIFS(Sheet1!S71_ASBudgetAmount,Sheet1!S71_SubMunicipalVoteNo,$AC:$AC,Sheet1!S71_ItemType,$AD:$AD)</f>
        <v>0</v>
      </c>
      <c r="J259" s="712">
        <f>SUMIFS(Sheet1!S71_OY1BudgetAmount,Sheet1!S71_SubMunicipalVoteNo,$AC:$AC,Sheet1!S71_ItemType,$AD:$AD)</f>
        <v>0</v>
      </c>
      <c r="K259" s="713">
        <f>SUMIFS(Sheet1!S71_OY2BudgetAmount,Sheet1!S71_SubMunicipalVoteNo,$AC:$AC,Sheet1!S71_ItemType,$AD:$AD)</f>
        <v>0</v>
      </c>
      <c r="L259" s="723"/>
      <c r="M259" s="735"/>
      <c r="N259" s="735"/>
      <c r="O259" s="735"/>
      <c r="P259" s="735"/>
      <c r="Q259" s="735"/>
      <c r="R259" s="735"/>
      <c r="S259" s="735"/>
      <c r="T259" s="735"/>
      <c r="U259" s="735"/>
      <c r="V259" s="735"/>
      <c r="W259" s="735"/>
      <c r="AC259" s="2312">
        <v>89</v>
      </c>
      <c r="AD259" s="2318" t="s">
        <v>2754</v>
      </c>
    </row>
    <row r="260" spans="1:30" ht="11.25" customHeight="1" x14ac:dyDescent="0.25">
      <c r="A260" s="136" t="str">
        <f t="shared" si="32"/>
        <v/>
      </c>
      <c r="B260" s="144"/>
      <c r="C260" s="712">
        <f>SUMIFS(Sheet1!S71_PPPYearAmount,Sheet1!S71_SubMunicipalVoteNo,$AC:$AC,Sheet1!S71_ItemType,$AD:$AD)</f>
        <v>0</v>
      </c>
      <c r="D260" s="712">
        <f>SUMIFS(Sheet1!S71_PPYearAmount,Sheet1!S71_SubMunicipalVoteNo,$AC:$AC,Sheet1!S71_ItemType,$AD:$AD)</f>
        <v>0</v>
      </c>
      <c r="E260" s="712">
        <f>SUMIFS(Sheet1!S71_PYearAmount,Sheet1!S71_SubMunicipalVoteNo,$AC:$AC,Sheet1!S71_ItemType,$AD:$AD)</f>
        <v>0</v>
      </c>
      <c r="F260" s="725">
        <f>SUMIFS(Sheet1!S71_OriginalBudAmnt,Sheet1!S71_SubMunicipalVoteNo,$AC:$AC,Sheet1!S71_ItemType,$AD:$AD)</f>
        <v>0</v>
      </c>
      <c r="G260" s="712">
        <f>SUMIFS(Sheet1!S71_AdjustmentBudAmnt,Sheet1!S71_SubMunicipalVoteNo,$AC:$AC,Sheet1!S71_ItemType,$AD:$AD)</f>
        <v>0</v>
      </c>
      <c r="H260" s="713">
        <f>SUMIFS(Sheet1!S71_AdjustmentBudAmnt,Sheet1!S71_SubMunicipalVoteNo,$AC:$AC,Sheet1!S71_ItemType,$AD:$AD)</f>
        <v>0</v>
      </c>
      <c r="I260" s="725">
        <f>SUMIFS(Sheet1!S71_ASBudgetAmount,Sheet1!S71_SubMunicipalVoteNo,$AC:$AC,Sheet1!S71_ItemType,$AD:$AD)</f>
        <v>0</v>
      </c>
      <c r="J260" s="712">
        <f>SUMIFS(Sheet1!S71_OY1BudgetAmount,Sheet1!S71_SubMunicipalVoteNo,$AC:$AC,Sheet1!S71_ItemType,$AD:$AD)</f>
        <v>0</v>
      </c>
      <c r="K260" s="713">
        <f>SUMIFS(Sheet1!S71_OY2BudgetAmount,Sheet1!S71_SubMunicipalVoteNo,$AC:$AC,Sheet1!S71_ItemType,$AD:$AD)</f>
        <v>0</v>
      </c>
      <c r="L260" s="723"/>
      <c r="M260" s="735"/>
      <c r="N260" s="735"/>
      <c r="O260" s="735"/>
      <c r="P260" s="735"/>
      <c r="Q260" s="735"/>
      <c r="R260" s="735"/>
      <c r="S260" s="735"/>
      <c r="T260" s="735"/>
      <c r="U260" s="735"/>
      <c r="V260" s="735"/>
      <c r="W260" s="735"/>
      <c r="AC260" s="2312">
        <v>810</v>
      </c>
      <c r="AD260" s="2318" t="s">
        <v>2754</v>
      </c>
    </row>
    <row r="261" spans="1:30" ht="15" customHeight="1" x14ac:dyDescent="0.25">
      <c r="A261" s="135" t="str">
        <f t="shared" si="32"/>
        <v>Vote 9 - Sport and Recreation</v>
      </c>
      <c r="B261" s="144"/>
      <c r="C261" s="212">
        <f t="shared" ref="C261:K261" si="33">SUM(C262:C271)</f>
        <v>1120508</v>
      </c>
      <c r="D261" s="212">
        <f t="shared" si="33"/>
        <v>2629597</v>
      </c>
      <c r="E261" s="213">
        <f t="shared" si="33"/>
        <v>4086381</v>
      </c>
      <c r="F261" s="214">
        <f t="shared" si="33"/>
        <v>3300000</v>
      </c>
      <c r="G261" s="212">
        <f t="shared" si="33"/>
        <v>2357500</v>
      </c>
      <c r="H261" s="215">
        <f t="shared" si="33"/>
        <v>2357500</v>
      </c>
      <c r="I261" s="216">
        <f t="shared" si="33"/>
        <v>3470000</v>
      </c>
      <c r="J261" s="212">
        <f t="shared" si="33"/>
        <v>3282800</v>
      </c>
      <c r="K261" s="213">
        <f t="shared" si="33"/>
        <v>3463112</v>
      </c>
      <c r="L261" s="723"/>
      <c r="M261" s="735"/>
      <c r="N261" s="735"/>
      <c r="O261" s="735"/>
      <c r="P261" s="735"/>
      <c r="Q261" s="735"/>
      <c r="R261" s="735"/>
      <c r="S261" s="735"/>
      <c r="T261" s="735"/>
      <c r="U261" s="735"/>
      <c r="V261" s="735"/>
      <c r="W261" s="735"/>
      <c r="AD261" s="2315"/>
    </row>
    <row r="262" spans="1:30" ht="11.25" customHeight="1" x14ac:dyDescent="0.25">
      <c r="A262" s="136" t="str">
        <f t="shared" si="32"/>
        <v>9.1 - Sports Grounds and Stadiums</v>
      </c>
      <c r="B262" s="144"/>
      <c r="C262" s="712">
        <f>SUMIFS(Sheet1!S71_PPPYearAmount,Sheet1!S71_SubMunicipalVoteNo,$AC:$AC,Sheet1!S71_ItemType,$AD:$AD)</f>
        <v>1120508</v>
      </c>
      <c r="D262" s="712">
        <f>SUMIFS(Sheet1!S71_PPYearAmount,Sheet1!S71_SubMunicipalVoteNo,$AC:$AC,Sheet1!S71_ItemType,$AD:$AD)</f>
        <v>2629597</v>
      </c>
      <c r="E262" s="712">
        <f>SUMIFS(Sheet1!S71_PYearAmount,Sheet1!S71_SubMunicipalVoteNo,$AC:$AC,Sheet1!S71_ItemType,$AD:$AD)</f>
        <v>4086381</v>
      </c>
      <c r="F262" s="725">
        <f>SUMIFS(Sheet1!S71_OriginalBudAmnt,Sheet1!S71_SubMunicipalVoteNo,$AC:$AC,Sheet1!S71_ItemType,$AD:$AD)</f>
        <v>3300000</v>
      </c>
      <c r="G262" s="712">
        <f>SUMIFS(Sheet1!S71_AdjustmentBudAmnt,Sheet1!S71_SubMunicipalVoteNo,$AC:$AC,Sheet1!S71_ItemType,$AD:$AD)</f>
        <v>2357500</v>
      </c>
      <c r="H262" s="713">
        <f>SUMIFS(Sheet1!S71_AdjustmentBudAmnt,Sheet1!S71_SubMunicipalVoteNo,$AC:$AC,Sheet1!S71_ItemType,$AD:$AD)</f>
        <v>2357500</v>
      </c>
      <c r="I262" s="725">
        <f>SUMIFS(Sheet1!S71_ASBudgetAmount,Sheet1!S71_SubMunicipalVoteNo,$AC:$AC,Sheet1!S71_ItemType,$AD:$AD)</f>
        <v>3470000</v>
      </c>
      <c r="J262" s="712">
        <f>SUMIFS(Sheet1!S71_OY1BudgetAmount,Sheet1!S71_SubMunicipalVoteNo,$AC:$AC,Sheet1!S71_ItemType,$AD:$AD)</f>
        <v>3282800</v>
      </c>
      <c r="K262" s="713">
        <f>SUMIFS(Sheet1!S71_OY2BudgetAmount,Sheet1!S71_SubMunicipalVoteNo,$AC:$AC,Sheet1!S71_ItemType,$AD:$AD)</f>
        <v>3463112</v>
      </c>
      <c r="L262" s="723"/>
      <c r="M262" s="735"/>
      <c r="N262" s="735"/>
      <c r="O262" s="735"/>
      <c r="P262" s="735"/>
      <c r="Q262" s="735"/>
      <c r="R262" s="735"/>
      <c r="S262" s="735"/>
      <c r="T262" s="735"/>
      <c r="U262" s="735"/>
      <c r="V262" s="735"/>
      <c r="W262" s="735"/>
      <c r="AC262" s="2312">
        <v>91</v>
      </c>
      <c r="AD262" s="2318" t="s">
        <v>2754</v>
      </c>
    </row>
    <row r="263" spans="1:30" ht="11.25" customHeight="1" x14ac:dyDescent="0.25">
      <c r="A263" s="136" t="str">
        <f t="shared" si="32"/>
        <v/>
      </c>
      <c r="B263" s="144"/>
      <c r="C263" s="712">
        <f>SUMIFS(Sheet1!S71_PPPYearAmount,Sheet1!S71_SubMunicipalVoteNo,$AC:$AC,Sheet1!S71_ItemType,$AD:$AD)</f>
        <v>0</v>
      </c>
      <c r="D263" s="712">
        <f>SUMIFS(Sheet1!S71_PPYearAmount,Sheet1!S71_SubMunicipalVoteNo,$AC:$AC,Sheet1!S71_ItemType,$AD:$AD)</f>
        <v>0</v>
      </c>
      <c r="E263" s="712">
        <f>SUMIFS(Sheet1!S71_PYearAmount,Sheet1!S71_SubMunicipalVoteNo,$AC:$AC,Sheet1!S71_ItemType,$AD:$AD)</f>
        <v>0</v>
      </c>
      <c r="F263" s="725">
        <f>SUMIFS(Sheet1!S71_OriginalBudAmnt,Sheet1!S71_SubMunicipalVoteNo,$AC:$AC,Sheet1!S71_ItemType,$AD:$AD)</f>
        <v>0</v>
      </c>
      <c r="G263" s="712">
        <f>SUMIFS(Sheet1!S71_AdjustmentBudAmnt,Sheet1!S71_SubMunicipalVoteNo,$AC:$AC,Sheet1!S71_ItemType,$AD:$AD)</f>
        <v>0</v>
      </c>
      <c r="H263" s="713">
        <f>SUMIFS(Sheet1!S71_AdjustmentBudAmnt,Sheet1!S71_SubMunicipalVoteNo,$AC:$AC,Sheet1!S71_ItemType,$AD:$AD)</f>
        <v>0</v>
      </c>
      <c r="I263" s="725">
        <f>SUMIFS(Sheet1!S71_ASBudgetAmount,Sheet1!S71_SubMunicipalVoteNo,$AC:$AC,Sheet1!S71_ItemType,$AD:$AD)</f>
        <v>0</v>
      </c>
      <c r="J263" s="712">
        <f>SUMIFS(Sheet1!S71_OY1BudgetAmount,Sheet1!S71_SubMunicipalVoteNo,$AC:$AC,Sheet1!S71_ItemType,$AD:$AD)</f>
        <v>0</v>
      </c>
      <c r="K263" s="713">
        <f>SUMIFS(Sheet1!S71_OY2BudgetAmount,Sheet1!S71_SubMunicipalVoteNo,$AC:$AC,Sheet1!S71_ItemType,$AD:$AD)</f>
        <v>0</v>
      </c>
      <c r="L263" s="723"/>
      <c r="M263" s="735"/>
      <c r="N263" s="735"/>
      <c r="O263" s="735"/>
      <c r="P263" s="735"/>
      <c r="Q263" s="735"/>
      <c r="R263" s="735"/>
      <c r="S263" s="735"/>
      <c r="T263" s="735"/>
      <c r="U263" s="735"/>
      <c r="V263" s="735"/>
      <c r="W263" s="735"/>
      <c r="AC263" s="2312">
        <v>92</v>
      </c>
      <c r="AD263" s="2318" t="s">
        <v>2754</v>
      </c>
    </row>
    <row r="264" spans="1:30" ht="11.25" customHeight="1" x14ac:dyDescent="0.25">
      <c r="A264" s="136" t="str">
        <f t="shared" si="32"/>
        <v/>
      </c>
      <c r="B264" s="144"/>
      <c r="C264" s="712">
        <f>SUMIFS(Sheet1!S71_PPPYearAmount,Sheet1!S71_SubMunicipalVoteNo,$AC:$AC,Sheet1!S71_ItemType,$AD:$AD)</f>
        <v>0</v>
      </c>
      <c r="D264" s="712">
        <f>SUMIFS(Sheet1!S71_PPYearAmount,Sheet1!S71_SubMunicipalVoteNo,$AC:$AC,Sheet1!S71_ItemType,$AD:$AD)</f>
        <v>0</v>
      </c>
      <c r="E264" s="712">
        <f>SUMIFS(Sheet1!S71_PYearAmount,Sheet1!S71_SubMunicipalVoteNo,$AC:$AC,Sheet1!S71_ItemType,$AD:$AD)</f>
        <v>0</v>
      </c>
      <c r="F264" s="725">
        <f>SUMIFS(Sheet1!S71_OriginalBudAmnt,Sheet1!S71_SubMunicipalVoteNo,$AC:$AC,Sheet1!S71_ItemType,$AD:$AD)</f>
        <v>0</v>
      </c>
      <c r="G264" s="712">
        <f>SUMIFS(Sheet1!S71_AdjustmentBudAmnt,Sheet1!S71_SubMunicipalVoteNo,$AC:$AC,Sheet1!S71_ItemType,$AD:$AD)</f>
        <v>0</v>
      </c>
      <c r="H264" s="713">
        <f>SUMIFS(Sheet1!S71_AdjustmentBudAmnt,Sheet1!S71_SubMunicipalVoteNo,$AC:$AC,Sheet1!S71_ItemType,$AD:$AD)</f>
        <v>0</v>
      </c>
      <c r="I264" s="725">
        <f>SUMIFS(Sheet1!S71_ASBudgetAmount,Sheet1!S71_SubMunicipalVoteNo,$AC:$AC,Sheet1!S71_ItemType,$AD:$AD)</f>
        <v>0</v>
      </c>
      <c r="J264" s="712">
        <f>SUMIFS(Sheet1!S71_OY1BudgetAmount,Sheet1!S71_SubMunicipalVoteNo,$AC:$AC,Sheet1!S71_ItemType,$AD:$AD)</f>
        <v>0</v>
      </c>
      <c r="K264" s="713">
        <f>SUMIFS(Sheet1!S71_OY2BudgetAmount,Sheet1!S71_SubMunicipalVoteNo,$AC:$AC,Sheet1!S71_ItemType,$AD:$AD)</f>
        <v>0</v>
      </c>
      <c r="L264" s="723"/>
      <c r="M264" s="735"/>
      <c r="N264" s="735"/>
      <c r="O264" s="735"/>
      <c r="P264" s="735"/>
      <c r="Q264" s="735"/>
      <c r="R264" s="735"/>
      <c r="S264" s="735"/>
      <c r="T264" s="735"/>
      <c r="U264" s="735"/>
      <c r="V264" s="735"/>
      <c r="W264" s="735"/>
      <c r="AC264" s="2312">
        <v>93</v>
      </c>
      <c r="AD264" s="2318" t="s">
        <v>2754</v>
      </c>
    </row>
    <row r="265" spans="1:30" ht="11.25" customHeight="1" x14ac:dyDescent="0.25">
      <c r="A265" s="136" t="str">
        <f t="shared" si="32"/>
        <v/>
      </c>
      <c r="B265" s="144"/>
      <c r="C265" s="712">
        <f>SUMIFS(Sheet1!S71_PPPYearAmount,Sheet1!S71_SubMunicipalVoteNo,$AC:$AC,Sheet1!S71_ItemType,$AD:$AD)</f>
        <v>0</v>
      </c>
      <c r="D265" s="712">
        <f>SUMIFS(Sheet1!S71_PPYearAmount,Sheet1!S71_SubMunicipalVoteNo,$AC:$AC,Sheet1!S71_ItemType,$AD:$AD)</f>
        <v>0</v>
      </c>
      <c r="E265" s="712">
        <f>SUMIFS(Sheet1!S71_PYearAmount,Sheet1!S71_SubMunicipalVoteNo,$AC:$AC,Sheet1!S71_ItemType,$AD:$AD)</f>
        <v>0</v>
      </c>
      <c r="F265" s="725">
        <f>SUMIFS(Sheet1!S71_OriginalBudAmnt,Sheet1!S71_SubMunicipalVoteNo,$AC:$AC,Sheet1!S71_ItemType,$AD:$AD)</f>
        <v>0</v>
      </c>
      <c r="G265" s="712">
        <f>SUMIFS(Sheet1!S71_AdjustmentBudAmnt,Sheet1!S71_SubMunicipalVoteNo,$AC:$AC,Sheet1!S71_ItemType,$AD:$AD)</f>
        <v>0</v>
      </c>
      <c r="H265" s="713">
        <f>SUMIFS(Sheet1!S71_AdjustmentBudAmnt,Sheet1!S71_SubMunicipalVoteNo,$AC:$AC,Sheet1!S71_ItemType,$AD:$AD)</f>
        <v>0</v>
      </c>
      <c r="I265" s="725">
        <f>SUMIFS(Sheet1!S71_ASBudgetAmount,Sheet1!S71_SubMunicipalVoteNo,$AC:$AC,Sheet1!S71_ItemType,$AD:$AD)</f>
        <v>0</v>
      </c>
      <c r="J265" s="712">
        <f>SUMIFS(Sheet1!S71_OY1BudgetAmount,Sheet1!S71_SubMunicipalVoteNo,$AC:$AC,Sheet1!S71_ItemType,$AD:$AD)</f>
        <v>0</v>
      </c>
      <c r="K265" s="713">
        <f>SUMIFS(Sheet1!S71_OY2BudgetAmount,Sheet1!S71_SubMunicipalVoteNo,$AC:$AC,Sheet1!S71_ItemType,$AD:$AD)</f>
        <v>0</v>
      </c>
      <c r="L265" s="723"/>
      <c r="M265" s="735"/>
      <c r="N265" s="735"/>
      <c r="O265" s="735"/>
      <c r="P265" s="735"/>
      <c r="Q265" s="735"/>
      <c r="R265" s="735"/>
      <c r="S265" s="735"/>
      <c r="T265" s="735"/>
      <c r="U265" s="735"/>
      <c r="V265" s="735"/>
      <c r="W265" s="735"/>
      <c r="AC265" s="2312">
        <v>94</v>
      </c>
      <c r="AD265" s="2318" t="s">
        <v>2754</v>
      </c>
    </row>
    <row r="266" spans="1:30" ht="11.25" customHeight="1" x14ac:dyDescent="0.25">
      <c r="A266" s="136" t="str">
        <f t="shared" si="32"/>
        <v/>
      </c>
      <c r="B266" s="144"/>
      <c r="C266" s="712">
        <f>SUMIFS(Sheet1!S71_PPPYearAmount,Sheet1!S71_SubMunicipalVoteNo,$AC:$AC,Sheet1!S71_ItemType,$AD:$AD)</f>
        <v>0</v>
      </c>
      <c r="D266" s="712">
        <f>SUMIFS(Sheet1!S71_PPYearAmount,Sheet1!S71_SubMunicipalVoteNo,$AC:$AC,Sheet1!S71_ItemType,$AD:$AD)</f>
        <v>0</v>
      </c>
      <c r="E266" s="712">
        <f>SUMIFS(Sheet1!S71_PYearAmount,Sheet1!S71_SubMunicipalVoteNo,$AC:$AC,Sheet1!S71_ItemType,$AD:$AD)</f>
        <v>0</v>
      </c>
      <c r="F266" s="725">
        <f>SUMIFS(Sheet1!S71_OriginalBudAmnt,Sheet1!S71_SubMunicipalVoteNo,$AC:$AC,Sheet1!S71_ItemType,$AD:$AD)</f>
        <v>0</v>
      </c>
      <c r="G266" s="712">
        <f>SUMIFS(Sheet1!S71_AdjustmentBudAmnt,Sheet1!S71_SubMunicipalVoteNo,$AC:$AC,Sheet1!S71_ItemType,$AD:$AD)</f>
        <v>0</v>
      </c>
      <c r="H266" s="713">
        <f>SUMIFS(Sheet1!S71_AdjustmentBudAmnt,Sheet1!S71_SubMunicipalVoteNo,$AC:$AC,Sheet1!S71_ItemType,$AD:$AD)</f>
        <v>0</v>
      </c>
      <c r="I266" s="725">
        <f>SUMIFS(Sheet1!S71_ASBudgetAmount,Sheet1!S71_SubMunicipalVoteNo,$AC:$AC,Sheet1!S71_ItemType,$AD:$AD)</f>
        <v>0</v>
      </c>
      <c r="J266" s="712">
        <f>SUMIFS(Sheet1!S71_OY1BudgetAmount,Sheet1!S71_SubMunicipalVoteNo,$AC:$AC,Sheet1!S71_ItemType,$AD:$AD)</f>
        <v>0</v>
      </c>
      <c r="K266" s="713">
        <f>SUMIFS(Sheet1!S71_OY2BudgetAmount,Sheet1!S71_SubMunicipalVoteNo,$AC:$AC,Sheet1!S71_ItemType,$AD:$AD)</f>
        <v>0</v>
      </c>
      <c r="L266" s="723"/>
      <c r="M266" s="735"/>
      <c r="N266" s="735"/>
      <c r="O266" s="735"/>
      <c r="P266" s="735"/>
      <c r="Q266" s="735"/>
      <c r="R266" s="735"/>
      <c r="S266" s="735"/>
      <c r="T266" s="735"/>
      <c r="U266" s="735"/>
      <c r="V266" s="735"/>
      <c r="W266" s="735"/>
      <c r="AC266" s="2312">
        <v>95</v>
      </c>
      <c r="AD266" s="2318" t="s">
        <v>2754</v>
      </c>
    </row>
    <row r="267" spans="1:30" ht="11.25" customHeight="1" x14ac:dyDescent="0.25">
      <c r="A267" s="136" t="str">
        <f t="shared" si="32"/>
        <v/>
      </c>
      <c r="B267" s="144"/>
      <c r="C267" s="712">
        <f>SUMIFS(Sheet1!S71_PPPYearAmount,Sheet1!S71_SubMunicipalVoteNo,$AC:$AC,Sheet1!S71_ItemType,$AD:$AD)</f>
        <v>0</v>
      </c>
      <c r="D267" s="712">
        <f>SUMIFS(Sheet1!S71_PPYearAmount,Sheet1!S71_SubMunicipalVoteNo,$AC:$AC,Sheet1!S71_ItemType,$AD:$AD)</f>
        <v>0</v>
      </c>
      <c r="E267" s="712">
        <f>SUMIFS(Sheet1!S71_PYearAmount,Sheet1!S71_SubMunicipalVoteNo,$AC:$AC,Sheet1!S71_ItemType,$AD:$AD)</f>
        <v>0</v>
      </c>
      <c r="F267" s="725">
        <f>SUMIFS(Sheet1!S71_OriginalBudAmnt,Sheet1!S71_SubMunicipalVoteNo,$AC:$AC,Sheet1!S71_ItemType,$AD:$AD)</f>
        <v>0</v>
      </c>
      <c r="G267" s="712">
        <f>SUMIFS(Sheet1!S71_AdjustmentBudAmnt,Sheet1!S71_SubMunicipalVoteNo,$AC:$AC,Sheet1!S71_ItemType,$AD:$AD)</f>
        <v>0</v>
      </c>
      <c r="H267" s="713">
        <f>SUMIFS(Sheet1!S71_AdjustmentBudAmnt,Sheet1!S71_SubMunicipalVoteNo,$AC:$AC,Sheet1!S71_ItemType,$AD:$AD)</f>
        <v>0</v>
      </c>
      <c r="I267" s="725">
        <f>SUMIFS(Sheet1!S71_ASBudgetAmount,Sheet1!S71_SubMunicipalVoteNo,$AC:$AC,Sheet1!S71_ItemType,$AD:$AD)</f>
        <v>0</v>
      </c>
      <c r="J267" s="712">
        <f>SUMIFS(Sheet1!S71_OY1BudgetAmount,Sheet1!S71_SubMunicipalVoteNo,$AC:$AC,Sheet1!S71_ItemType,$AD:$AD)</f>
        <v>0</v>
      </c>
      <c r="K267" s="713">
        <f>SUMIFS(Sheet1!S71_OY2BudgetAmount,Sheet1!S71_SubMunicipalVoteNo,$AC:$AC,Sheet1!S71_ItemType,$AD:$AD)</f>
        <v>0</v>
      </c>
      <c r="L267" s="723"/>
      <c r="M267" s="735"/>
      <c r="N267" s="735"/>
      <c r="O267" s="735"/>
      <c r="P267" s="735"/>
      <c r="Q267" s="735"/>
      <c r="R267" s="735"/>
      <c r="S267" s="735"/>
      <c r="T267" s="735"/>
      <c r="U267" s="735"/>
      <c r="V267" s="735"/>
      <c r="W267" s="735"/>
      <c r="AC267" s="2312">
        <v>96</v>
      </c>
      <c r="AD267" s="2318" t="s">
        <v>2754</v>
      </c>
    </row>
    <row r="268" spans="1:30" ht="11.25" customHeight="1" x14ac:dyDescent="0.25">
      <c r="A268" s="136" t="str">
        <f t="shared" si="32"/>
        <v/>
      </c>
      <c r="B268" s="144"/>
      <c r="C268" s="712">
        <f>SUMIFS(Sheet1!S71_PPPYearAmount,Sheet1!S71_SubMunicipalVoteNo,$AC:$AC,Sheet1!S71_ItemType,$AD:$AD)</f>
        <v>0</v>
      </c>
      <c r="D268" s="712">
        <f>SUMIFS(Sheet1!S71_PPYearAmount,Sheet1!S71_SubMunicipalVoteNo,$AC:$AC,Sheet1!S71_ItemType,$AD:$AD)</f>
        <v>0</v>
      </c>
      <c r="E268" s="712">
        <f>SUMIFS(Sheet1!S71_PYearAmount,Sheet1!S71_SubMunicipalVoteNo,$AC:$AC,Sheet1!S71_ItemType,$AD:$AD)</f>
        <v>0</v>
      </c>
      <c r="F268" s="725">
        <f>SUMIFS(Sheet1!S71_OriginalBudAmnt,Sheet1!S71_SubMunicipalVoteNo,$AC:$AC,Sheet1!S71_ItemType,$AD:$AD)</f>
        <v>0</v>
      </c>
      <c r="G268" s="712">
        <f>SUMIFS(Sheet1!S71_AdjustmentBudAmnt,Sheet1!S71_SubMunicipalVoteNo,$AC:$AC,Sheet1!S71_ItemType,$AD:$AD)</f>
        <v>0</v>
      </c>
      <c r="H268" s="713">
        <f>SUMIFS(Sheet1!S71_AdjustmentBudAmnt,Sheet1!S71_SubMunicipalVoteNo,$AC:$AC,Sheet1!S71_ItemType,$AD:$AD)</f>
        <v>0</v>
      </c>
      <c r="I268" s="725">
        <f>SUMIFS(Sheet1!S71_ASBudgetAmount,Sheet1!S71_SubMunicipalVoteNo,$AC:$AC,Sheet1!S71_ItemType,$AD:$AD)</f>
        <v>0</v>
      </c>
      <c r="J268" s="712">
        <f>SUMIFS(Sheet1!S71_OY1BudgetAmount,Sheet1!S71_SubMunicipalVoteNo,$AC:$AC,Sheet1!S71_ItemType,$AD:$AD)</f>
        <v>0</v>
      </c>
      <c r="K268" s="713">
        <f>SUMIFS(Sheet1!S71_OY2BudgetAmount,Sheet1!S71_SubMunicipalVoteNo,$AC:$AC,Sheet1!S71_ItemType,$AD:$AD)</f>
        <v>0</v>
      </c>
      <c r="L268" s="723"/>
      <c r="M268" s="735"/>
      <c r="N268" s="735"/>
      <c r="O268" s="735"/>
      <c r="P268" s="735"/>
      <c r="Q268" s="735"/>
      <c r="R268" s="735"/>
      <c r="S268" s="735"/>
      <c r="T268" s="735"/>
      <c r="U268" s="735"/>
      <c r="V268" s="735"/>
      <c r="W268" s="735"/>
      <c r="AC268" s="2312">
        <v>97</v>
      </c>
      <c r="AD268" s="2318" t="s">
        <v>2754</v>
      </c>
    </row>
    <row r="269" spans="1:30" ht="11.25" customHeight="1" x14ac:dyDescent="0.25">
      <c r="A269" s="136" t="str">
        <f t="shared" si="32"/>
        <v/>
      </c>
      <c r="B269" s="144"/>
      <c r="C269" s="712">
        <f>SUMIFS(Sheet1!S71_PPPYearAmount,Sheet1!S71_SubMunicipalVoteNo,$AC:$AC,Sheet1!S71_ItemType,$AD:$AD)</f>
        <v>0</v>
      </c>
      <c r="D269" s="712">
        <f>SUMIFS(Sheet1!S71_PPYearAmount,Sheet1!S71_SubMunicipalVoteNo,$AC:$AC,Sheet1!S71_ItemType,$AD:$AD)</f>
        <v>0</v>
      </c>
      <c r="E269" s="712">
        <f>SUMIFS(Sheet1!S71_PYearAmount,Sheet1!S71_SubMunicipalVoteNo,$AC:$AC,Sheet1!S71_ItemType,$AD:$AD)</f>
        <v>0</v>
      </c>
      <c r="F269" s="725">
        <f>SUMIFS(Sheet1!S71_OriginalBudAmnt,Sheet1!S71_SubMunicipalVoteNo,$AC:$AC,Sheet1!S71_ItemType,$AD:$AD)</f>
        <v>0</v>
      </c>
      <c r="G269" s="712">
        <f>SUMIFS(Sheet1!S71_AdjustmentBudAmnt,Sheet1!S71_SubMunicipalVoteNo,$AC:$AC,Sheet1!S71_ItemType,$AD:$AD)</f>
        <v>0</v>
      </c>
      <c r="H269" s="713">
        <f>SUMIFS(Sheet1!S71_AdjustmentBudAmnt,Sheet1!S71_SubMunicipalVoteNo,$AC:$AC,Sheet1!S71_ItemType,$AD:$AD)</f>
        <v>0</v>
      </c>
      <c r="I269" s="725">
        <f>SUMIFS(Sheet1!S71_ASBudgetAmount,Sheet1!S71_SubMunicipalVoteNo,$AC:$AC,Sheet1!S71_ItemType,$AD:$AD)</f>
        <v>0</v>
      </c>
      <c r="J269" s="712">
        <f>SUMIFS(Sheet1!S71_OY1BudgetAmount,Sheet1!S71_SubMunicipalVoteNo,$AC:$AC,Sheet1!S71_ItemType,$AD:$AD)</f>
        <v>0</v>
      </c>
      <c r="K269" s="713">
        <f>SUMIFS(Sheet1!S71_OY2BudgetAmount,Sheet1!S71_SubMunicipalVoteNo,$AC:$AC,Sheet1!S71_ItemType,$AD:$AD)</f>
        <v>0</v>
      </c>
      <c r="L269" s="723"/>
      <c r="M269" s="735"/>
      <c r="N269" s="735"/>
      <c r="O269" s="735"/>
      <c r="P269" s="735"/>
      <c r="Q269" s="735"/>
      <c r="R269" s="735"/>
      <c r="S269" s="735"/>
      <c r="T269" s="735"/>
      <c r="U269" s="735"/>
      <c r="V269" s="735"/>
      <c r="W269" s="735"/>
      <c r="AC269" s="2312">
        <v>98</v>
      </c>
      <c r="AD269" s="2318" t="s">
        <v>2754</v>
      </c>
    </row>
    <row r="270" spans="1:30" ht="11.25" customHeight="1" x14ac:dyDescent="0.25">
      <c r="A270" s="136" t="str">
        <f t="shared" si="32"/>
        <v/>
      </c>
      <c r="B270" s="144"/>
      <c r="C270" s="712">
        <f>SUMIFS(Sheet1!S71_PPPYearAmount,Sheet1!S71_SubMunicipalVoteNo,$AC:$AC,Sheet1!S71_ItemType,$AD:$AD)</f>
        <v>0</v>
      </c>
      <c r="D270" s="712">
        <f>SUMIFS(Sheet1!S71_PPYearAmount,Sheet1!S71_SubMunicipalVoteNo,$AC:$AC,Sheet1!S71_ItemType,$AD:$AD)</f>
        <v>0</v>
      </c>
      <c r="E270" s="712">
        <f>SUMIFS(Sheet1!S71_PYearAmount,Sheet1!S71_SubMunicipalVoteNo,$AC:$AC,Sheet1!S71_ItemType,$AD:$AD)</f>
        <v>0</v>
      </c>
      <c r="F270" s="725">
        <f>SUMIFS(Sheet1!S71_OriginalBudAmnt,Sheet1!S71_SubMunicipalVoteNo,$AC:$AC,Sheet1!S71_ItemType,$AD:$AD)</f>
        <v>0</v>
      </c>
      <c r="G270" s="712">
        <f>SUMIFS(Sheet1!S71_AdjustmentBudAmnt,Sheet1!S71_SubMunicipalVoteNo,$AC:$AC,Sheet1!S71_ItemType,$AD:$AD)</f>
        <v>0</v>
      </c>
      <c r="H270" s="713">
        <f>SUMIFS(Sheet1!S71_AdjustmentBudAmnt,Sheet1!S71_SubMunicipalVoteNo,$AC:$AC,Sheet1!S71_ItemType,$AD:$AD)</f>
        <v>0</v>
      </c>
      <c r="I270" s="725">
        <f>SUMIFS(Sheet1!S71_ASBudgetAmount,Sheet1!S71_SubMunicipalVoteNo,$AC:$AC,Sheet1!S71_ItemType,$AD:$AD)</f>
        <v>0</v>
      </c>
      <c r="J270" s="712">
        <f>SUMIFS(Sheet1!S71_OY1BudgetAmount,Sheet1!S71_SubMunicipalVoteNo,$AC:$AC,Sheet1!S71_ItemType,$AD:$AD)</f>
        <v>0</v>
      </c>
      <c r="K270" s="713">
        <f>SUMIFS(Sheet1!S71_OY2BudgetAmount,Sheet1!S71_SubMunicipalVoteNo,$AC:$AC,Sheet1!S71_ItemType,$AD:$AD)</f>
        <v>0</v>
      </c>
      <c r="L270" s="723"/>
      <c r="M270" s="735"/>
      <c r="N270" s="735"/>
      <c r="O270" s="735"/>
      <c r="P270" s="735"/>
      <c r="Q270" s="735"/>
      <c r="R270" s="735"/>
      <c r="S270" s="735"/>
      <c r="T270" s="735"/>
      <c r="U270" s="735"/>
      <c r="V270" s="735"/>
      <c r="W270" s="735"/>
      <c r="AC270" s="2312">
        <v>99</v>
      </c>
      <c r="AD270" s="2318" t="s">
        <v>2754</v>
      </c>
    </row>
    <row r="271" spans="1:30" ht="11.25" customHeight="1" x14ac:dyDescent="0.25">
      <c r="A271" s="136" t="str">
        <f t="shared" si="32"/>
        <v/>
      </c>
      <c r="B271" s="144"/>
      <c r="C271" s="712">
        <f>SUMIFS(Sheet1!S71_PPPYearAmount,Sheet1!S71_SubMunicipalVoteNo,$AC:$AC,Sheet1!S71_ItemType,$AD:$AD)</f>
        <v>0</v>
      </c>
      <c r="D271" s="712">
        <f>SUMIFS(Sheet1!S71_PPYearAmount,Sheet1!S71_SubMunicipalVoteNo,$AC:$AC,Sheet1!S71_ItemType,$AD:$AD)</f>
        <v>0</v>
      </c>
      <c r="E271" s="712">
        <f>SUMIFS(Sheet1!S71_PYearAmount,Sheet1!S71_SubMunicipalVoteNo,$AC:$AC,Sheet1!S71_ItemType,$AD:$AD)</f>
        <v>0</v>
      </c>
      <c r="F271" s="725">
        <f>SUMIFS(Sheet1!S71_OriginalBudAmnt,Sheet1!S71_SubMunicipalVoteNo,$AC:$AC,Sheet1!S71_ItemType,$AD:$AD)</f>
        <v>0</v>
      </c>
      <c r="G271" s="712">
        <f>SUMIFS(Sheet1!S71_AdjustmentBudAmnt,Sheet1!S71_SubMunicipalVoteNo,$AC:$AC,Sheet1!S71_ItemType,$AD:$AD)</f>
        <v>0</v>
      </c>
      <c r="H271" s="713">
        <f>SUMIFS(Sheet1!S71_AdjustmentBudAmnt,Sheet1!S71_SubMunicipalVoteNo,$AC:$AC,Sheet1!S71_ItemType,$AD:$AD)</f>
        <v>0</v>
      </c>
      <c r="I271" s="725">
        <f>SUMIFS(Sheet1!S71_ASBudgetAmount,Sheet1!S71_SubMunicipalVoteNo,$AC:$AC,Sheet1!S71_ItemType,$AD:$AD)</f>
        <v>0</v>
      </c>
      <c r="J271" s="712">
        <f>SUMIFS(Sheet1!S71_OY1BudgetAmount,Sheet1!S71_SubMunicipalVoteNo,$AC:$AC,Sheet1!S71_ItemType,$AD:$AD)</f>
        <v>0</v>
      </c>
      <c r="K271" s="713">
        <f>SUMIFS(Sheet1!S71_OY2BudgetAmount,Sheet1!S71_SubMunicipalVoteNo,$AC:$AC,Sheet1!S71_ItemType,$AD:$AD)</f>
        <v>0</v>
      </c>
      <c r="L271" s="723"/>
      <c r="M271" s="735"/>
      <c r="N271" s="735"/>
      <c r="O271" s="735"/>
      <c r="P271" s="735"/>
      <c r="Q271" s="735"/>
      <c r="R271" s="735"/>
      <c r="S271" s="735"/>
      <c r="T271" s="735"/>
      <c r="U271" s="735"/>
      <c r="V271" s="735"/>
      <c r="W271" s="735"/>
      <c r="AC271" s="2312">
        <v>910</v>
      </c>
      <c r="AD271" s="2318" t="s">
        <v>2754</v>
      </c>
    </row>
    <row r="272" spans="1:30" ht="15" customHeight="1" x14ac:dyDescent="0.25">
      <c r="A272" s="135" t="str">
        <f>A104</f>
        <v>Vote 10 - Public Safety</v>
      </c>
      <c r="B272" s="144"/>
      <c r="C272" s="212">
        <f t="shared" ref="C272:K272" si="34">SUM(C273:C282)</f>
        <v>0</v>
      </c>
      <c r="D272" s="212">
        <f t="shared" si="34"/>
        <v>0</v>
      </c>
      <c r="E272" s="213">
        <f t="shared" si="34"/>
        <v>1704</v>
      </c>
      <c r="F272" s="214">
        <f t="shared" si="34"/>
        <v>15000</v>
      </c>
      <c r="G272" s="212">
        <f t="shared" si="34"/>
        <v>0</v>
      </c>
      <c r="H272" s="215">
        <f t="shared" si="34"/>
        <v>0</v>
      </c>
      <c r="I272" s="216">
        <f t="shared" si="34"/>
        <v>0</v>
      </c>
      <c r="J272" s="212">
        <f t="shared" si="34"/>
        <v>0</v>
      </c>
      <c r="K272" s="213">
        <f t="shared" si="34"/>
        <v>0</v>
      </c>
      <c r="L272" s="723"/>
      <c r="M272" s="735"/>
      <c r="N272" s="735"/>
      <c r="O272" s="735"/>
      <c r="P272" s="735"/>
      <c r="Q272" s="735"/>
      <c r="R272" s="735"/>
      <c r="S272" s="735"/>
      <c r="T272" s="735"/>
      <c r="U272" s="735"/>
      <c r="V272" s="735"/>
      <c r="W272" s="735"/>
      <c r="AD272" s="2315"/>
    </row>
    <row r="273" spans="1:30" ht="11.25" customHeight="1" x14ac:dyDescent="0.25">
      <c r="A273" s="136" t="str">
        <f>A105</f>
        <v>10.1 - Fire Fighting and Protection</v>
      </c>
      <c r="B273" s="144"/>
      <c r="C273" s="712">
        <f>SUMIFS(Sheet1!S71_PPPYearAmount,Sheet1!S71_SubMunicipalVoteNo,$AC:$AC,Sheet1!S71_ItemType,$AD:$AD)</f>
        <v>0</v>
      </c>
      <c r="D273" s="712">
        <f>SUMIFS(Sheet1!S71_PPYearAmount,Sheet1!S71_SubMunicipalVoteNo,$AC:$AC,Sheet1!S71_ItemType,$AD:$AD)</f>
        <v>0</v>
      </c>
      <c r="E273" s="712">
        <f>SUMIFS(Sheet1!S71_PYearAmount,Sheet1!S71_SubMunicipalVoteNo,$AC:$AC,Sheet1!S71_ItemType,$AD:$AD)</f>
        <v>1704</v>
      </c>
      <c r="F273" s="725">
        <f>SUMIFS(Sheet1!S71_OriginalBudAmnt,Sheet1!S71_SubMunicipalVoteNo,$AC:$AC,Sheet1!S71_ItemType,$AD:$AD)</f>
        <v>15000</v>
      </c>
      <c r="G273" s="712">
        <f>SUMIFS(Sheet1!S71_AdjustmentBudAmnt,Sheet1!S71_SubMunicipalVoteNo,$AC:$AC,Sheet1!S71_ItemType,$AD:$AD)</f>
        <v>0</v>
      </c>
      <c r="H273" s="713">
        <f>SUMIFS(Sheet1!S71_AdjustmentBudAmnt,Sheet1!S71_SubMunicipalVoteNo,$AC:$AC,Sheet1!S71_ItemType,$AD:$AD)</f>
        <v>0</v>
      </c>
      <c r="I273" s="725">
        <f>SUMIFS(Sheet1!S71_ASBudgetAmount,Sheet1!S71_SubMunicipalVoteNo,$AC:$AC,Sheet1!S71_ItemType,$AD:$AD)</f>
        <v>0</v>
      </c>
      <c r="J273" s="712">
        <f>SUMIFS(Sheet1!S71_OY1BudgetAmount,Sheet1!S71_SubMunicipalVoteNo,$AC:$AC,Sheet1!S71_ItemType,$AD:$AD)</f>
        <v>0</v>
      </c>
      <c r="K273" s="713">
        <f>SUMIFS(Sheet1!S71_OY2BudgetAmount,Sheet1!S71_SubMunicipalVoteNo,$AC:$AC,Sheet1!S71_ItemType,$AD:$AD)</f>
        <v>0</v>
      </c>
      <c r="L273" s="723"/>
      <c r="M273" s="735"/>
      <c r="N273" s="735"/>
      <c r="O273" s="735"/>
      <c r="P273" s="735"/>
      <c r="Q273" s="735"/>
      <c r="R273" s="735"/>
      <c r="S273" s="735"/>
      <c r="T273" s="735"/>
      <c r="U273" s="735"/>
      <c r="V273" s="735"/>
      <c r="W273" s="735"/>
      <c r="AC273" s="2312">
        <v>101</v>
      </c>
      <c r="AD273" s="2318" t="s">
        <v>2754</v>
      </c>
    </row>
    <row r="274" spans="1:30" ht="11.25" customHeight="1" x14ac:dyDescent="0.25">
      <c r="A274" s="136" t="str">
        <f t="shared" ref="A274:A281" si="35">A106</f>
        <v>10.2 - Fencing and Fences</v>
      </c>
      <c r="B274" s="144"/>
      <c r="C274" s="712">
        <f>SUMIFS(Sheet1!S71_PPPYearAmount,Sheet1!S71_SubMunicipalVoteNo,$AC:$AC,Sheet1!S71_ItemType,$AD:$AD)</f>
        <v>0</v>
      </c>
      <c r="D274" s="712">
        <f>SUMIFS(Sheet1!S71_PPYearAmount,Sheet1!S71_SubMunicipalVoteNo,$AC:$AC,Sheet1!S71_ItemType,$AD:$AD)</f>
        <v>0</v>
      </c>
      <c r="E274" s="712">
        <f>SUMIFS(Sheet1!S71_PYearAmount,Sheet1!S71_SubMunicipalVoteNo,$AC:$AC,Sheet1!S71_ItemType,$AD:$AD)</f>
        <v>0</v>
      </c>
      <c r="F274" s="725">
        <f>SUMIFS(Sheet1!S71_OriginalBudAmnt,Sheet1!S71_SubMunicipalVoteNo,$AC:$AC,Sheet1!S71_ItemType,$AD:$AD)</f>
        <v>0</v>
      </c>
      <c r="G274" s="712">
        <f>SUMIFS(Sheet1!S71_AdjustmentBudAmnt,Sheet1!S71_SubMunicipalVoteNo,$AC:$AC,Sheet1!S71_ItemType,$AD:$AD)</f>
        <v>0</v>
      </c>
      <c r="H274" s="713">
        <f>SUMIFS(Sheet1!S71_AdjustmentBudAmnt,Sheet1!S71_SubMunicipalVoteNo,$AC:$AC,Sheet1!S71_ItemType,$AD:$AD)</f>
        <v>0</v>
      </c>
      <c r="I274" s="725">
        <f>SUMIFS(Sheet1!S71_ASBudgetAmount,Sheet1!S71_SubMunicipalVoteNo,$AC:$AC,Sheet1!S71_ItemType,$AD:$AD)</f>
        <v>0</v>
      </c>
      <c r="J274" s="712">
        <f>SUMIFS(Sheet1!S71_OY1BudgetAmount,Sheet1!S71_SubMunicipalVoteNo,$AC:$AC,Sheet1!S71_ItemType,$AD:$AD)</f>
        <v>0</v>
      </c>
      <c r="K274" s="713">
        <f>SUMIFS(Sheet1!S71_OY2BudgetAmount,Sheet1!S71_SubMunicipalVoteNo,$AC:$AC,Sheet1!S71_ItemType,$AD:$AD)</f>
        <v>0</v>
      </c>
      <c r="L274" s="723"/>
      <c r="M274" s="735"/>
      <c r="N274" s="735"/>
      <c r="O274" s="735"/>
      <c r="P274" s="735"/>
      <c r="Q274" s="735"/>
      <c r="R274" s="735"/>
      <c r="S274" s="735"/>
      <c r="T274" s="735"/>
      <c r="U274" s="735"/>
      <c r="V274" s="735"/>
      <c r="W274" s="735"/>
      <c r="AC274" s="2312">
        <v>102</v>
      </c>
      <c r="AD274" s="2318" t="s">
        <v>2754</v>
      </c>
    </row>
    <row r="275" spans="1:30" ht="11.25" customHeight="1" x14ac:dyDescent="0.25">
      <c r="A275" s="136" t="str">
        <f t="shared" si="35"/>
        <v/>
      </c>
      <c r="B275" s="144"/>
      <c r="C275" s="712">
        <f>SUMIFS(Sheet1!S71_PPPYearAmount,Sheet1!S71_SubMunicipalVoteNo,$AC:$AC,Sheet1!S71_ItemType,$AD:$AD)</f>
        <v>0</v>
      </c>
      <c r="D275" s="712">
        <f>SUMIFS(Sheet1!S71_PPYearAmount,Sheet1!S71_SubMunicipalVoteNo,$AC:$AC,Sheet1!S71_ItemType,$AD:$AD)</f>
        <v>0</v>
      </c>
      <c r="E275" s="712">
        <f>SUMIFS(Sheet1!S71_PYearAmount,Sheet1!S71_SubMunicipalVoteNo,$AC:$AC,Sheet1!S71_ItemType,$AD:$AD)</f>
        <v>0</v>
      </c>
      <c r="F275" s="725">
        <f>SUMIFS(Sheet1!S71_OriginalBudAmnt,Sheet1!S71_SubMunicipalVoteNo,$AC:$AC,Sheet1!S71_ItemType,$AD:$AD)</f>
        <v>0</v>
      </c>
      <c r="G275" s="712">
        <f>SUMIFS(Sheet1!S71_AdjustmentBudAmnt,Sheet1!S71_SubMunicipalVoteNo,$AC:$AC,Sheet1!S71_ItemType,$AD:$AD)</f>
        <v>0</v>
      </c>
      <c r="H275" s="713">
        <f>SUMIFS(Sheet1!S71_AdjustmentBudAmnt,Sheet1!S71_SubMunicipalVoteNo,$AC:$AC,Sheet1!S71_ItemType,$AD:$AD)</f>
        <v>0</v>
      </c>
      <c r="I275" s="725">
        <f>SUMIFS(Sheet1!S71_ASBudgetAmount,Sheet1!S71_SubMunicipalVoteNo,$AC:$AC,Sheet1!S71_ItemType,$AD:$AD)</f>
        <v>0</v>
      </c>
      <c r="J275" s="712">
        <f>SUMIFS(Sheet1!S71_OY1BudgetAmount,Sheet1!S71_SubMunicipalVoteNo,$AC:$AC,Sheet1!S71_ItemType,$AD:$AD)</f>
        <v>0</v>
      </c>
      <c r="K275" s="713">
        <f>SUMIFS(Sheet1!S71_OY2BudgetAmount,Sheet1!S71_SubMunicipalVoteNo,$AC:$AC,Sheet1!S71_ItemType,$AD:$AD)</f>
        <v>0</v>
      </c>
      <c r="L275" s="723"/>
      <c r="M275" s="735"/>
      <c r="N275" s="735"/>
      <c r="O275" s="735"/>
      <c r="P275" s="735"/>
      <c r="Q275" s="735"/>
      <c r="R275" s="735"/>
      <c r="S275" s="735"/>
      <c r="T275" s="735"/>
      <c r="U275" s="735"/>
      <c r="V275" s="735"/>
      <c r="W275" s="735"/>
      <c r="AC275" s="2312">
        <v>103</v>
      </c>
      <c r="AD275" s="2318" t="s">
        <v>2754</v>
      </c>
    </row>
    <row r="276" spans="1:30" ht="11.25" customHeight="1" x14ac:dyDescent="0.25">
      <c r="A276" s="136" t="str">
        <f t="shared" si="35"/>
        <v/>
      </c>
      <c r="B276" s="144"/>
      <c r="C276" s="712">
        <f>SUMIFS(Sheet1!S71_PPPYearAmount,Sheet1!S71_SubMunicipalVoteNo,$AC:$AC,Sheet1!S71_ItemType,$AD:$AD)</f>
        <v>0</v>
      </c>
      <c r="D276" s="712">
        <f>SUMIFS(Sheet1!S71_PPYearAmount,Sheet1!S71_SubMunicipalVoteNo,$AC:$AC,Sheet1!S71_ItemType,$AD:$AD)</f>
        <v>0</v>
      </c>
      <c r="E276" s="712">
        <f>SUMIFS(Sheet1!S71_PYearAmount,Sheet1!S71_SubMunicipalVoteNo,$AC:$AC,Sheet1!S71_ItemType,$AD:$AD)</f>
        <v>0</v>
      </c>
      <c r="F276" s="725">
        <f>SUMIFS(Sheet1!S71_OriginalBudAmnt,Sheet1!S71_SubMunicipalVoteNo,$AC:$AC,Sheet1!S71_ItemType,$AD:$AD)</f>
        <v>0</v>
      </c>
      <c r="G276" s="712">
        <f>SUMIFS(Sheet1!S71_AdjustmentBudAmnt,Sheet1!S71_SubMunicipalVoteNo,$AC:$AC,Sheet1!S71_ItemType,$AD:$AD)</f>
        <v>0</v>
      </c>
      <c r="H276" s="713">
        <f>SUMIFS(Sheet1!S71_AdjustmentBudAmnt,Sheet1!S71_SubMunicipalVoteNo,$AC:$AC,Sheet1!S71_ItemType,$AD:$AD)</f>
        <v>0</v>
      </c>
      <c r="I276" s="725">
        <f>SUMIFS(Sheet1!S71_ASBudgetAmount,Sheet1!S71_SubMunicipalVoteNo,$AC:$AC,Sheet1!S71_ItemType,$AD:$AD)</f>
        <v>0</v>
      </c>
      <c r="J276" s="712">
        <f>SUMIFS(Sheet1!S71_OY1BudgetAmount,Sheet1!S71_SubMunicipalVoteNo,$AC:$AC,Sheet1!S71_ItemType,$AD:$AD)</f>
        <v>0</v>
      </c>
      <c r="K276" s="713">
        <f>SUMIFS(Sheet1!S71_OY2BudgetAmount,Sheet1!S71_SubMunicipalVoteNo,$AC:$AC,Sheet1!S71_ItemType,$AD:$AD)</f>
        <v>0</v>
      </c>
      <c r="L276" s="723"/>
      <c r="M276" s="735"/>
      <c r="N276" s="735"/>
      <c r="O276" s="735"/>
      <c r="P276" s="735"/>
      <c r="Q276" s="735"/>
      <c r="R276" s="735"/>
      <c r="S276" s="735"/>
      <c r="T276" s="735"/>
      <c r="U276" s="735"/>
      <c r="V276" s="735"/>
      <c r="W276" s="735"/>
      <c r="AC276" s="2312">
        <v>104</v>
      </c>
      <c r="AD276" s="2318" t="s">
        <v>2754</v>
      </c>
    </row>
    <row r="277" spans="1:30" ht="11.25" customHeight="1" x14ac:dyDescent="0.25">
      <c r="A277" s="136" t="str">
        <f t="shared" si="35"/>
        <v/>
      </c>
      <c r="B277" s="144"/>
      <c r="C277" s="712">
        <f>SUMIFS(Sheet1!S71_PPPYearAmount,Sheet1!S71_SubMunicipalVoteNo,$AC:$AC,Sheet1!S71_ItemType,$AD:$AD)</f>
        <v>0</v>
      </c>
      <c r="D277" s="712">
        <f>SUMIFS(Sheet1!S71_PPYearAmount,Sheet1!S71_SubMunicipalVoteNo,$AC:$AC,Sheet1!S71_ItemType,$AD:$AD)</f>
        <v>0</v>
      </c>
      <c r="E277" s="712">
        <f>SUMIFS(Sheet1!S71_PYearAmount,Sheet1!S71_SubMunicipalVoteNo,$AC:$AC,Sheet1!S71_ItemType,$AD:$AD)</f>
        <v>0</v>
      </c>
      <c r="F277" s="725">
        <f>SUMIFS(Sheet1!S71_OriginalBudAmnt,Sheet1!S71_SubMunicipalVoteNo,$AC:$AC,Sheet1!S71_ItemType,$AD:$AD)</f>
        <v>0</v>
      </c>
      <c r="G277" s="712">
        <f>SUMIFS(Sheet1!S71_AdjustmentBudAmnt,Sheet1!S71_SubMunicipalVoteNo,$AC:$AC,Sheet1!S71_ItemType,$AD:$AD)</f>
        <v>0</v>
      </c>
      <c r="H277" s="713">
        <f>SUMIFS(Sheet1!S71_AdjustmentBudAmnt,Sheet1!S71_SubMunicipalVoteNo,$AC:$AC,Sheet1!S71_ItemType,$AD:$AD)</f>
        <v>0</v>
      </c>
      <c r="I277" s="725">
        <f>SUMIFS(Sheet1!S71_ASBudgetAmount,Sheet1!S71_SubMunicipalVoteNo,$AC:$AC,Sheet1!S71_ItemType,$AD:$AD)</f>
        <v>0</v>
      </c>
      <c r="J277" s="712">
        <f>SUMIFS(Sheet1!S71_OY1BudgetAmount,Sheet1!S71_SubMunicipalVoteNo,$AC:$AC,Sheet1!S71_ItemType,$AD:$AD)</f>
        <v>0</v>
      </c>
      <c r="K277" s="713">
        <f>SUMIFS(Sheet1!S71_OY2BudgetAmount,Sheet1!S71_SubMunicipalVoteNo,$AC:$AC,Sheet1!S71_ItemType,$AD:$AD)</f>
        <v>0</v>
      </c>
      <c r="L277" s="723"/>
      <c r="M277" s="735"/>
      <c r="N277" s="735"/>
      <c r="O277" s="735"/>
      <c r="P277" s="735"/>
      <c r="Q277" s="735"/>
      <c r="R277" s="735"/>
      <c r="S277" s="735"/>
      <c r="T277" s="735"/>
      <c r="U277" s="735"/>
      <c r="V277" s="735"/>
      <c r="W277" s="735"/>
      <c r="AC277" s="2312">
        <v>105</v>
      </c>
      <c r="AD277" s="2318" t="s">
        <v>2754</v>
      </c>
    </row>
    <row r="278" spans="1:30" ht="11.25" customHeight="1" x14ac:dyDescent="0.25">
      <c r="A278" s="136" t="str">
        <f t="shared" si="35"/>
        <v/>
      </c>
      <c r="B278" s="144"/>
      <c r="C278" s="712">
        <f>SUMIFS(Sheet1!S71_PPPYearAmount,Sheet1!S71_SubMunicipalVoteNo,$AC:$AC,Sheet1!S71_ItemType,$AD:$AD)</f>
        <v>0</v>
      </c>
      <c r="D278" s="712">
        <f>SUMIFS(Sheet1!S71_PPYearAmount,Sheet1!S71_SubMunicipalVoteNo,$AC:$AC,Sheet1!S71_ItemType,$AD:$AD)</f>
        <v>0</v>
      </c>
      <c r="E278" s="712">
        <f>SUMIFS(Sheet1!S71_PYearAmount,Sheet1!S71_SubMunicipalVoteNo,$AC:$AC,Sheet1!S71_ItemType,$AD:$AD)</f>
        <v>0</v>
      </c>
      <c r="F278" s="725">
        <f>SUMIFS(Sheet1!S71_OriginalBudAmnt,Sheet1!S71_SubMunicipalVoteNo,$AC:$AC,Sheet1!S71_ItemType,$AD:$AD)</f>
        <v>0</v>
      </c>
      <c r="G278" s="712">
        <f>SUMIFS(Sheet1!S71_AdjustmentBudAmnt,Sheet1!S71_SubMunicipalVoteNo,$AC:$AC,Sheet1!S71_ItemType,$AD:$AD)</f>
        <v>0</v>
      </c>
      <c r="H278" s="713">
        <f>SUMIFS(Sheet1!S71_AdjustmentBudAmnt,Sheet1!S71_SubMunicipalVoteNo,$AC:$AC,Sheet1!S71_ItemType,$AD:$AD)</f>
        <v>0</v>
      </c>
      <c r="I278" s="725">
        <f>SUMIFS(Sheet1!S71_ASBudgetAmount,Sheet1!S71_SubMunicipalVoteNo,$AC:$AC,Sheet1!S71_ItemType,$AD:$AD)</f>
        <v>0</v>
      </c>
      <c r="J278" s="712">
        <f>SUMIFS(Sheet1!S71_OY1BudgetAmount,Sheet1!S71_SubMunicipalVoteNo,$AC:$AC,Sheet1!S71_ItemType,$AD:$AD)</f>
        <v>0</v>
      </c>
      <c r="K278" s="713">
        <f>SUMIFS(Sheet1!S71_OY2BudgetAmount,Sheet1!S71_SubMunicipalVoteNo,$AC:$AC,Sheet1!S71_ItemType,$AD:$AD)</f>
        <v>0</v>
      </c>
      <c r="L278" s="723"/>
      <c r="M278" s="735"/>
      <c r="N278" s="735"/>
      <c r="O278" s="735"/>
      <c r="P278" s="735"/>
      <c r="Q278" s="735"/>
      <c r="R278" s="735"/>
      <c r="S278" s="735"/>
      <c r="T278" s="735"/>
      <c r="U278" s="735"/>
      <c r="V278" s="735"/>
      <c r="W278" s="735"/>
      <c r="AC278" s="2312">
        <v>106</v>
      </c>
      <c r="AD278" s="2318" t="s">
        <v>2754</v>
      </c>
    </row>
    <row r="279" spans="1:30" ht="11.25" customHeight="1" x14ac:dyDescent="0.25">
      <c r="A279" s="136" t="str">
        <f t="shared" si="35"/>
        <v/>
      </c>
      <c r="B279" s="144"/>
      <c r="C279" s="712">
        <f>SUMIFS(Sheet1!S71_PPPYearAmount,Sheet1!S71_SubMunicipalVoteNo,$AC:$AC,Sheet1!S71_ItemType,$AD:$AD)</f>
        <v>0</v>
      </c>
      <c r="D279" s="712">
        <f>SUMIFS(Sheet1!S71_PPYearAmount,Sheet1!S71_SubMunicipalVoteNo,$AC:$AC,Sheet1!S71_ItemType,$AD:$AD)</f>
        <v>0</v>
      </c>
      <c r="E279" s="712">
        <f>SUMIFS(Sheet1!S71_PYearAmount,Sheet1!S71_SubMunicipalVoteNo,$AC:$AC,Sheet1!S71_ItemType,$AD:$AD)</f>
        <v>0</v>
      </c>
      <c r="F279" s="725">
        <f>SUMIFS(Sheet1!S71_OriginalBudAmnt,Sheet1!S71_SubMunicipalVoteNo,$AC:$AC,Sheet1!S71_ItemType,$AD:$AD)</f>
        <v>0</v>
      </c>
      <c r="G279" s="712">
        <f>SUMIFS(Sheet1!S71_AdjustmentBudAmnt,Sheet1!S71_SubMunicipalVoteNo,$AC:$AC,Sheet1!S71_ItemType,$AD:$AD)</f>
        <v>0</v>
      </c>
      <c r="H279" s="713">
        <f>SUMIFS(Sheet1!S71_AdjustmentBudAmnt,Sheet1!S71_SubMunicipalVoteNo,$AC:$AC,Sheet1!S71_ItemType,$AD:$AD)</f>
        <v>0</v>
      </c>
      <c r="I279" s="725">
        <f>SUMIFS(Sheet1!S71_ASBudgetAmount,Sheet1!S71_SubMunicipalVoteNo,$AC:$AC,Sheet1!S71_ItemType,$AD:$AD)</f>
        <v>0</v>
      </c>
      <c r="J279" s="712">
        <f>SUMIFS(Sheet1!S71_OY1BudgetAmount,Sheet1!S71_SubMunicipalVoteNo,$AC:$AC,Sheet1!S71_ItemType,$AD:$AD)</f>
        <v>0</v>
      </c>
      <c r="K279" s="713">
        <f>SUMIFS(Sheet1!S71_OY2BudgetAmount,Sheet1!S71_SubMunicipalVoteNo,$AC:$AC,Sheet1!S71_ItemType,$AD:$AD)</f>
        <v>0</v>
      </c>
      <c r="L279" s="723"/>
      <c r="M279" s="735"/>
      <c r="N279" s="735"/>
      <c r="O279" s="735"/>
      <c r="P279" s="735"/>
      <c r="Q279" s="735"/>
      <c r="R279" s="735"/>
      <c r="S279" s="735"/>
      <c r="T279" s="735"/>
      <c r="U279" s="735"/>
      <c r="V279" s="735"/>
      <c r="W279" s="735"/>
      <c r="AC279" s="2312">
        <v>107</v>
      </c>
      <c r="AD279" s="2318" t="s">
        <v>2754</v>
      </c>
    </row>
    <row r="280" spans="1:30" ht="11.25" customHeight="1" x14ac:dyDescent="0.25">
      <c r="A280" s="136" t="str">
        <f t="shared" si="35"/>
        <v/>
      </c>
      <c r="B280" s="144"/>
      <c r="C280" s="712">
        <f>SUMIFS(Sheet1!S71_PPPYearAmount,Sheet1!S71_SubMunicipalVoteNo,$AC:$AC,Sheet1!S71_ItemType,$AD:$AD)</f>
        <v>0</v>
      </c>
      <c r="D280" s="712">
        <f>SUMIFS(Sheet1!S71_PPYearAmount,Sheet1!S71_SubMunicipalVoteNo,$AC:$AC,Sheet1!S71_ItemType,$AD:$AD)</f>
        <v>0</v>
      </c>
      <c r="E280" s="712">
        <f>SUMIFS(Sheet1!S71_PYearAmount,Sheet1!S71_SubMunicipalVoteNo,$AC:$AC,Sheet1!S71_ItemType,$AD:$AD)</f>
        <v>0</v>
      </c>
      <c r="F280" s="725">
        <f>SUMIFS(Sheet1!S71_OriginalBudAmnt,Sheet1!S71_SubMunicipalVoteNo,$AC:$AC,Sheet1!S71_ItemType,$AD:$AD)</f>
        <v>0</v>
      </c>
      <c r="G280" s="712">
        <f>SUMIFS(Sheet1!S71_AdjustmentBudAmnt,Sheet1!S71_SubMunicipalVoteNo,$AC:$AC,Sheet1!S71_ItemType,$AD:$AD)</f>
        <v>0</v>
      </c>
      <c r="H280" s="713">
        <f>SUMIFS(Sheet1!S71_AdjustmentBudAmnt,Sheet1!S71_SubMunicipalVoteNo,$AC:$AC,Sheet1!S71_ItemType,$AD:$AD)</f>
        <v>0</v>
      </c>
      <c r="I280" s="725">
        <f>SUMIFS(Sheet1!S71_ASBudgetAmount,Sheet1!S71_SubMunicipalVoteNo,$AC:$AC,Sheet1!S71_ItemType,$AD:$AD)</f>
        <v>0</v>
      </c>
      <c r="J280" s="712">
        <f>SUMIFS(Sheet1!S71_OY1BudgetAmount,Sheet1!S71_SubMunicipalVoteNo,$AC:$AC,Sheet1!S71_ItemType,$AD:$AD)</f>
        <v>0</v>
      </c>
      <c r="K280" s="713">
        <f>SUMIFS(Sheet1!S71_OY2BudgetAmount,Sheet1!S71_SubMunicipalVoteNo,$AC:$AC,Sheet1!S71_ItemType,$AD:$AD)</f>
        <v>0</v>
      </c>
      <c r="L280" s="723"/>
      <c r="M280" s="735"/>
      <c r="N280" s="735"/>
      <c r="O280" s="735"/>
      <c r="P280" s="735"/>
      <c r="Q280" s="735"/>
      <c r="R280" s="735"/>
      <c r="S280" s="735"/>
      <c r="T280" s="735"/>
      <c r="U280" s="735"/>
      <c r="V280" s="735"/>
      <c r="W280" s="735"/>
      <c r="AC280" s="2312">
        <v>108</v>
      </c>
      <c r="AD280" s="2318" t="s">
        <v>2754</v>
      </c>
    </row>
    <row r="281" spans="1:30" ht="11.25" customHeight="1" x14ac:dyDescent="0.25">
      <c r="A281" s="136" t="str">
        <f t="shared" si="35"/>
        <v/>
      </c>
      <c r="B281" s="144"/>
      <c r="C281" s="712">
        <f>SUMIFS(Sheet1!S71_PPPYearAmount,Sheet1!S71_SubMunicipalVoteNo,$AC:$AC,Sheet1!S71_ItemType,$AD:$AD)</f>
        <v>0</v>
      </c>
      <c r="D281" s="712">
        <f>SUMIFS(Sheet1!S71_PPYearAmount,Sheet1!S71_SubMunicipalVoteNo,$AC:$AC,Sheet1!S71_ItemType,$AD:$AD)</f>
        <v>0</v>
      </c>
      <c r="E281" s="712">
        <f>SUMIFS(Sheet1!S71_PYearAmount,Sheet1!S71_SubMunicipalVoteNo,$AC:$AC,Sheet1!S71_ItemType,$AD:$AD)</f>
        <v>0</v>
      </c>
      <c r="F281" s="725">
        <f>SUMIFS(Sheet1!S71_OriginalBudAmnt,Sheet1!S71_SubMunicipalVoteNo,$AC:$AC,Sheet1!S71_ItemType,$AD:$AD)</f>
        <v>0</v>
      </c>
      <c r="G281" s="712">
        <f>SUMIFS(Sheet1!S71_AdjustmentBudAmnt,Sheet1!S71_SubMunicipalVoteNo,$AC:$AC,Sheet1!S71_ItemType,$AD:$AD)</f>
        <v>0</v>
      </c>
      <c r="H281" s="713">
        <f>SUMIFS(Sheet1!S71_AdjustmentBudAmnt,Sheet1!S71_SubMunicipalVoteNo,$AC:$AC,Sheet1!S71_ItemType,$AD:$AD)</f>
        <v>0</v>
      </c>
      <c r="I281" s="725">
        <f>SUMIFS(Sheet1!S71_ASBudgetAmount,Sheet1!S71_SubMunicipalVoteNo,$AC:$AC,Sheet1!S71_ItemType,$AD:$AD)</f>
        <v>0</v>
      </c>
      <c r="J281" s="712">
        <f>SUMIFS(Sheet1!S71_OY1BudgetAmount,Sheet1!S71_SubMunicipalVoteNo,$AC:$AC,Sheet1!S71_ItemType,$AD:$AD)</f>
        <v>0</v>
      </c>
      <c r="K281" s="713">
        <f>SUMIFS(Sheet1!S71_OY2BudgetAmount,Sheet1!S71_SubMunicipalVoteNo,$AC:$AC,Sheet1!S71_ItemType,$AD:$AD)</f>
        <v>0</v>
      </c>
      <c r="L281" s="723"/>
      <c r="M281" s="735"/>
      <c r="N281" s="735"/>
      <c r="O281" s="735"/>
      <c r="P281" s="735"/>
      <c r="Q281" s="735"/>
      <c r="R281" s="735"/>
      <c r="S281" s="735"/>
      <c r="T281" s="735"/>
      <c r="U281" s="735"/>
      <c r="V281" s="735"/>
      <c r="W281" s="735"/>
      <c r="AC281" s="2312">
        <v>109</v>
      </c>
      <c r="AD281" s="2318" t="s">
        <v>2754</v>
      </c>
    </row>
    <row r="282" spans="1:30" ht="11.25" customHeight="1" x14ac:dyDescent="0.25">
      <c r="A282" s="136" t="str">
        <f>A114</f>
        <v/>
      </c>
      <c r="B282" s="144"/>
      <c r="C282" s="712">
        <f>SUMIFS(Sheet1!S71_PPPYearAmount,Sheet1!S71_SubMunicipalVoteNo,$AC:$AC,Sheet1!S71_ItemType,$AD:$AD)</f>
        <v>0</v>
      </c>
      <c r="D282" s="712">
        <f>SUMIFS(Sheet1!S71_PPYearAmount,Sheet1!S71_SubMunicipalVoteNo,$AC:$AC,Sheet1!S71_ItemType,$AD:$AD)</f>
        <v>0</v>
      </c>
      <c r="E282" s="712">
        <f>SUMIFS(Sheet1!S71_PYearAmount,Sheet1!S71_SubMunicipalVoteNo,$AC:$AC,Sheet1!S71_ItemType,$AD:$AD)</f>
        <v>0</v>
      </c>
      <c r="F282" s="725">
        <f>SUMIFS(Sheet1!S71_OriginalBudAmnt,Sheet1!S71_SubMunicipalVoteNo,$AC:$AC,Sheet1!S71_ItemType,$AD:$AD)</f>
        <v>0</v>
      </c>
      <c r="G282" s="712">
        <f>SUMIFS(Sheet1!S71_AdjustmentBudAmnt,Sheet1!S71_SubMunicipalVoteNo,$AC:$AC,Sheet1!S71_ItemType,$AD:$AD)</f>
        <v>0</v>
      </c>
      <c r="H282" s="713">
        <f>SUMIFS(Sheet1!S71_AdjustmentBudAmnt,Sheet1!S71_SubMunicipalVoteNo,$AC:$AC,Sheet1!S71_ItemType,$AD:$AD)</f>
        <v>0</v>
      </c>
      <c r="I282" s="725">
        <f>SUMIFS(Sheet1!S71_ASBudgetAmount,Sheet1!S71_SubMunicipalVoteNo,$AC:$AC,Sheet1!S71_ItemType,$AD:$AD)</f>
        <v>0</v>
      </c>
      <c r="J282" s="712">
        <f>SUMIFS(Sheet1!S71_OY1BudgetAmount,Sheet1!S71_SubMunicipalVoteNo,$AC:$AC,Sheet1!S71_ItemType,$AD:$AD)</f>
        <v>0</v>
      </c>
      <c r="K282" s="713">
        <f>SUMIFS(Sheet1!S71_OY2BudgetAmount,Sheet1!S71_SubMunicipalVoteNo,$AC:$AC,Sheet1!S71_ItemType,$AD:$AD)</f>
        <v>0</v>
      </c>
      <c r="L282" s="723"/>
      <c r="M282" s="735"/>
      <c r="N282" s="735"/>
      <c r="O282" s="735"/>
      <c r="P282" s="735"/>
      <c r="Q282" s="735"/>
      <c r="R282" s="735"/>
      <c r="S282" s="735"/>
      <c r="T282" s="735"/>
      <c r="U282" s="735"/>
      <c r="V282" s="735"/>
      <c r="W282" s="735"/>
      <c r="AC282" s="2312">
        <v>1010</v>
      </c>
      <c r="AD282" s="2318" t="s">
        <v>2754</v>
      </c>
    </row>
    <row r="283" spans="1:30" ht="15" customHeight="1" x14ac:dyDescent="0.25">
      <c r="A283" s="135" t="str">
        <f>A115</f>
        <v>Vote 11 - Other</v>
      </c>
      <c r="B283" s="144"/>
      <c r="C283" s="212">
        <f t="shared" ref="C283:K283" si="36">SUM(C284:C293)</f>
        <v>5235121</v>
      </c>
      <c r="D283" s="212">
        <f t="shared" si="36"/>
        <v>5285269</v>
      </c>
      <c r="E283" s="213">
        <f t="shared" si="36"/>
        <v>3826636</v>
      </c>
      <c r="F283" s="214">
        <f t="shared" si="36"/>
        <v>6513455</v>
      </c>
      <c r="G283" s="212">
        <f t="shared" si="36"/>
        <v>6513455</v>
      </c>
      <c r="H283" s="215">
        <f t="shared" si="36"/>
        <v>6513455</v>
      </c>
      <c r="I283" s="216">
        <f t="shared" si="36"/>
        <v>6925101</v>
      </c>
      <c r="J283" s="212">
        <f t="shared" si="36"/>
        <v>7365318</v>
      </c>
      <c r="K283" s="213">
        <f t="shared" si="36"/>
        <v>7834575</v>
      </c>
      <c r="L283" s="723"/>
      <c r="M283" s="735"/>
      <c r="N283" s="735"/>
      <c r="O283" s="735"/>
      <c r="P283" s="735"/>
      <c r="Q283" s="735"/>
      <c r="R283" s="735"/>
      <c r="S283" s="735"/>
      <c r="T283" s="735"/>
      <c r="U283" s="735"/>
      <c r="V283" s="735"/>
      <c r="W283" s="735"/>
      <c r="AD283" s="2315"/>
    </row>
    <row r="284" spans="1:30" ht="11.25" customHeight="1" x14ac:dyDescent="0.25">
      <c r="A284" s="136" t="str">
        <f>A116</f>
        <v>11.1 - Licensing and Regulation</v>
      </c>
      <c r="B284" s="144"/>
      <c r="C284" s="712">
        <f>SUMIFS(Sheet1!S71_PPPYearAmount,Sheet1!S71_SubMunicipalVoteNo,$AC:$AC,Sheet1!S71_ItemType,$AD:$AD)</f>
        <v>5235121</v>
      </c>
      <c r="D284" s="712">
        <f>SUMIFS(Sheet1!S71_PPYearAmount,Sheet1!S71_SubMunicipalVoteNo,$AC:$AC,Sheet1!S71_ItemType,$AD:$AD)</f>
        <v>5285269</v>
      </c>
      <c r="E284" s="712">
        <f>SUMIFS(Sheet1!S71_PYearAmount,Sheet1!S71_SubMunicipalVoteNo,$AC:$AC,Sheet1!S71_ItemType,$AD:$AD)</f>
        <v>3826636</v>
      </c>
      <c r="F284" s="725">
        <f>SUMIFS(Sheet1!S71_OriginalBudAmnt,Sheet1!S71_SubMunicipalVoteNo,$AC:$AC,Sheet1!S71_ItemType,$AD:$AD)</f>
        <v>6513455</v>
      </c>
      <c r="G284" s="712">
        <f>SUMIFS(Sheet1!S71_AdjustmentBudAmnt,Sheet1!S71_SubMunicipalVoteNo,$AC:$AC,Sheet1!S71_ItemType,$AD:$AD)</f>
        <v>6513455</v>
      </c>
      <c r="H284" s="713">
        <f>SUMIFS(Sheet1!S71_AdjustmentBudAmnt,Sheet1!S71_SubMunicipalVoteNo,$AC:$AC,Sheet1!S71_ItemType,$AD:$AD)</f>
        <v>6513455</v>
      </c>
      <c r="I284" s="725">
        <f>SUMIFS(Sheet1!S71_ASBudgetAmount,Sheet1!S71_SubMunicipalVoteNo,$AC:$AC,Sheet1!S71_ItemType,$AD:$AD)</f>
        <v>6925101</v>
      </c>
      <c r="J284" s="712">
        <f>SUMIFS(Sheet1!S71_OY1BudgetAmount,Sheet1!S71_SubMunicipalVoteNo,$AC:$AC,Sheet1!S71_ItemType,$AD:$AD)</f>
        <v>7365318</v>
      </c>
      <c r="K284" s="713">
        <f>SUMIFS(Sheet1!S71_OY2BudgetAmount,Sheet1!S71_SubMunicipalVoteNo,$AC:$AC,Sheet1!S71_ItemType,$AD:$AD)</f>
        <v>7834575</v>
      </c>
      <c r="L284" s="723"/>
      <c r="M284" s="735"/>
      <c r="N284" s="735"/>
      <c r="O284" s="735"/>
      <c r="P284" s="735"/>
      <c r="Q284" s="735"/>
      <c r="R284" s="735"/>
      <c r="S284" s="735"/>
      <c r="T284" s="735"/>
      <c r="U284" s="735"/>
      <c r="V284" s="735"/>
      <c r="W284" s="735"/>
      <c r="AC284" s="2312">
        <v>111</v>
      </c>
      <c r="AD284" s="2318" t="s">
        <v>2754</v>
      </c>
    </row>
    <row r="285" spans="1:30" ht="11.25" customHeight="1" x14ac:dyDescent="0.25">
      <c r="A285" s="136" t="str">
        <f t="shared" ref="A285:A337" si="37">A117</f>
        <v/>
      </c>
      <c r="B285" s="144"/>
      <c r="C285" s="712">
        <f>SUMIFS(Sheet1!S71_PPPYearAmount,Sheet1!S71_SubMunicipalVoteNo,$AC:$AC,Sheet1!S71_ItemType,$AD:$AD)</f>
        <v>0</v>
      </c>
      <c r="D285" s="712">
        <f>SUMIFS(Sheet1!S71_PPYearAmount,Sheet1!S71_SubMunicipalVoteNo,$AC:$AC,Sheet1!S71_ItemType,$AD:$AD)</f>
        <v>0</v>
      </c>
      <c r="E285" s="712">
        <f>SUMIFS(Sheet1!S71_PYearAmount,Sheet1!S71_SubMunicipalVoteNo,$AC:$AC,Sheet1!S71_ItemType,$AD:$AD)</f>
        <v>0</v>
      </c>
      <c r="F285" s="725">
        <f>SUMIFS(Sheet1!S71_OriginalBudAmnt,Sheet1!S71_SubMunicipalVoteNo,$AC:$AC,Sheet1!S71_ItemType,$AD:$AD)</f>
        <v>0</v>
      </c>
      <c r="G285" s="712">
        <f>SUMIFS(Sheet1!S71_AdjustmentBudAmnt,Sheet1!S71_SubMunicipalVoteNo,$AC:$AC,Sheet1!S71_ItemType,$AD:$AD)</f>
        <v>0</v>
      </c>
      <c r="H285" s="713">
        <f>SUMIFS(Sheet1!S71_AdjustmentBudAmnt,Sheet1!S71_SubMunicipalVoteNo,$AC:$AC,Sheet1!S71_ItemType,$AD:$AD)</f>
        <v>0</v>
      </c>
      <c r="I285" s="725">
        <f>SUMIFS(Sheet1!S71_ASBudgetAmount,Sheet1!S71_SubMunicipalVoteNo,$AC:$AC,Sheet1!S71_ItemType,$AD:$AD)</f>
        <v>0</v>
      </c>
      <c r="J285" s="712">
        <f>SUMIFS(Sheet1!S71_OY1BudgetAmount,Sheet1!S71_SubMunicipalVoteNo,$AC:$AC,Sheet1!S71_ItemType,$AD:$AD)</f>
        <v>0</v>
      </c>
      <c r="K285" s="713">
        <f>SUMIFS(Sheet1!S71_OY2BudgetAmount,Sheet1!S71_SubMunicipalVoteNo,$AC:$AC,Sheet1!S71_ItemType,$AD:$AD)</f>
        <v>0</v>
      </c>
      <c r="L285" s="723"/>
      <c r="M285" s="735"/>
      <c r="N285" s="735"/>
      <c r="O285" s="735"/>
      <c r="P285" s="735"/>
      <c r="Q285" s="735"/>
      <c r="R285" s="735"/>
      <c r="S285" s="735"/>
      <c r="T285" s="735"/>
      <c r="U285" s="735"/>
      <c r="V285" s="735"/>
      <c r="W285" s="735"/>
      <c r="AC285" s="2312">
        <v>112</v>
      </c>
      <c r="AD285" s="2318" t="s">
        <v>2754</v>
      </c>
    </row>
    <row r="286" spans="1:30" ht="11.25" customHeight="1" x14ac:dyDescent="0.25">
      <c r="A286" s="136" t="str">
        <f t="shared" si="37"/>
        <v/>
      </c>
      <c r="B286" s="144"/>
      <c r="C286" s="712">
        <f>SUMIFS(Sheet1!S71_PPPYearAmount,Sheet1!S71_SubMunicipalVoteNo,$AC:$AC,Sheet1!S71_ItemType,$AD:$AD)</f>
        <v>0</v>
      </c>
      <c r="D286" s="712">
        <f>SUMIFS(Sheet1!S71_PPYearAmount,Sheet1!S71_SubMunicipalVoteNo,$AC:$AC,Sheet1!S71_ItemType,$AD:$AD)</f>
        <v>0</v>
      </c>
      <c r="E286" s="712">
        <f>SUMIFS(Sheet1!S71_PYearAmount,Sheet1!S71_SubMunicipalVoteNo,$AC:$AC,Sheet1!S71_ItemType,$AD:$AD)</f>
        <v>0</v>
      </c>
      <c r="F286" s="725">
        <f>SUMIFS(Sheet1!S71_OriginalBudAmnt,Sheet1!S71_SubMunicipalVoteNo,$AC:$AC,Sheet1!S71_ItemType,$AD:$AD)</f>
        <v>0</v>
      </c>
      <c r="G286" s="712">
        <f>SUMIFS(Sheet1!S71_AdjustmentBudAmnt,Sheet1!S71_SubMunicipalVoteNo,$AC:$AC,Sheet1!S71_ItemType,$AD:$AD)</f>
        <v>0</v>
      </c>
      <c r="H286" s="713">
        <f>SUMIFS(Sheet1!S71_AdjustmentBudAmnt,Sheet1!S71_SubMunicipalVoteNo,$AC:$AC,Sheet1!S71_ItemType,$AD:$AD)</f>
        <v>0</v>
      </c>
      <c r="I286" s="725">
        <f>SUMIFS(Sheet1!S71_ASBudgetAmount,Sheet1!S71_SubMunicipalVoteNo,$AC:$AC,Sheet1!S71_ItemType,$AD:$AD)</f>
        <v>0</v>
      </c>
      <c r="J286" s="712">
        <f>SUMIFS(Sheet1!S71_OY1BudgetAmount,Sheet1!S71_SubMunicipalVoteNo,$AC:$AC,Sheet1!S71_ItemType,$AD:$AD)</f>
        <v>0</v>
      </c>
      <c r="K286" s="713">
        <f>SUMIFS(Sheet1!S71_OY2BudgetAmount,Sheet1!S71_SubMunicipalVoteNo,$AC:$AC,Sheet1!S71_ItemType,$AD:$AD)</f>
        <v>0</v>
      </c>
      <c r="L286" s="723"/>
      <c r="M286" s="735"/>
      <c r="N286" s="735"/>
      <c r="O286" s="735"/>
      <c r="P286" s="735"/>
      <c r="Q286" s="735"/>
      <c r="R286" s="735"/>
      <c r="S286" s="735"/>
      <c r="T286" s="735"/>
      <c r="U286" s="735"/>
      <c r="V286" s="735"/>
      <c r="W286" s="735"/>
      <c r="AC286" s="2312">
        <v>113</v>
      </c>
      <c r="AD286" s="2318" t="s">
        <v>2754</v>
      </c>
    </row>
    <row r="287" spans="1:30" ht="11.25" customHeight="1" x14ac:dyDescent="0.25">
      <c r="A287" s="136" t="str">
        <f t="shared" si="37"/>
        <v/>
      </c>
      <c r="B287" s="144"/>
      <c r="C287" s="712">
        <f>SUMIFS(Sheet1!S71_PPPYearAmount,Sheet1!S71_SubMunicipalVoteNo,$AC:$AC,Sheet1!S71_ItemType,$AD:$AD)</f>
        <v>0</v>
      </c>
      <c r="D287" s="712">
        <f>SUMIFS(Sheet1!S71_PPYearAmount,Sheet1!S71_SubMunicipalVoteNo,$AC:$AC,Sheet1!S71_ItemType,$AD:$AD)</f>
        <v>0</v>
      </c>
      <c r="E287" s="712">
        <f>SUMIFS(Sheet1!S71_PYearAmount,Sheet1!S71_SubMunicipalVoteNo,$AC:$AC,Sheet1!S71_ItemType,$AD:$AD)</f>
        <v>0</v>
      </c>
      <c r="F287" s="725">
        <f>SUMIFS(Sheet1!S71_OriginalBudAmnt,Sheet1!S71_SubMunicipalVoteNo,$AC:$AC,Sheet1!S71_ItemType,$AD:$AD)</f>
        <v>0</v>
      </c>
      <c r="G287" s="712">
        <f>SUMIFS(Sheet1!S71_AdjustmentBudAmnt,Sheet1!S71_SubMunicipalVoteNo,$AC:$AC,Sheet1!S71_ItemType,$AD:$AD)</f>
        <v>0</v>
      </c>
      <c r="H287" s="713">
        <f>SUMIFS(Sheet1!S71_AdjustmentBudAmnt,Sheet1!S71_SubMunicipalVoteNo,$AC:$AC,Sheet1!S71_ItemType,$AD:$AD)</f>
        <v>0</v>
      </c>
      <c r="I287" s="725">
        <f>SUMIFS(Sheet1!S71_ASBudgetAmount,Sheet1!S71_SubMunicipalVoteNo,$AC:$AC,Sheet1!S71_ItemType,$AD:$AD)</f>
        <v>0</v>
      </c>
      <c r="J287" s="712">
        <f>SUMIFS(Sheet1!S71_OY1BudgetAmount,Sheet1!S71_SubMunicipalVoteNo,$AC:$AC,Sheet1!S71_ItemType,$AD:$AD)</f>
        <v>0</v>
      </c>
      <c r="K287" s="713">
        <f>SUMIFS(Sheet1!S71_OY2BudgetAmount,Sheet1!S71_SubMunicipalVoteNo,$AC:$AC,Sheet1!S71_ItemType,$AD:$AD)</f>
        <v>0</v>
      </c>
      <c r="L287" s="723"/>
      <c r="M287" s="735"/>
      <c r="N287" s="735"/>
      <c r="O287" s="735"/>
      <c r="P287" s="735"/>
      <c r="Q287" s="735"/>
      <c r="R287" s="735"/>
      <c r="S287" s="735"/>
      <c r="T287" s="735"/>
      <c r="U287" s="735"/>
      <c r="V287" s="735"/>
      <c r="W287" s="735"/>
      <c r="AC287" s="2312">
        <v>114</v>
      </c>
      <c r="AD287" s="2318" t="s">
        <v>2754</v>
      </c>
    </row>
    <row r="288" spans="1:30" ht="11.25" customHeight="1" x14ac:dyDescent="0.25">
      <c r="A288" s="136" t="str">
        <f t="shared" si="37"/>
        <v/>
      </c>
      <c r="B288" s="144"/>
      <c r="C288" s="712">
        <f>SUMIFS(Sheet1!S71_PPPYearAmount,Sheet1!S71_SubMunicipalVoteNo,$AC:$AC,Sheet1!S71_ItemType,$AD:$AD)</f>
        <v>0</v>
      </c>
      <c r="D288" s="712">
        <f>SUMIFS(Sheet1!S71_PPYearAmount,Sheet1!S71_SubMunicipalVoteNo,$AC:$AC,Sheet1!S71_ItemType,$AD:$AD)</f>
        <v>0</v>
      </c>
      <c r="E288" s="712">
        <f>SUMIFS(Sheet1!S71_PYearAmount,Sheet1!S71_SubMunicipalVoteNo,$AC:$AC,Sheet1!S71_ItemType,$AD:$AD)</f>
        <v>0</v>
      </c>
      <c r="F288" s="725">
        <f>SUMIFS(Sheet1!S71_OriginalBudAmnt,Sheet1!S71_SubMunicipalVoteNo,$AC:$AC,Sheet1!S71_ItemType,$AD:$AD)</f>
        <v>0</v>
      </c>
      <c r="G288" s="712">
        <f>SUMIFS(Sheet1!S71_AdjustmentBudAmnt,Sheet1!S71_SubMunicipalVoteNo,$AC:$AC,Sheet1!S71_ItemType,$AD:$AD)</f>
        <v>0</v>
      </c>
      <c r="H288" s="713">
        <f>SUMIFS(Sheet1!S71_AdjustmentBudAmnt,Sheet1!S71_SubMunicipalVoteNo,$AC:$AC,Sheet1!S71_ItemType,$AD:$AD)</f>
        <v>0</v>
      </c>
      <c r="I288" s="725">
        <f>SUMIFS(Sheet1!S71_ASBudgetAmount,Sheet1!S71_SubMunicipalVoteNo,$AC:$AC,Sheet1!S71_ItemType,$AD:$AD)</f>
        <v>0</v>
      </c>
      <c r="J288" s="712">
        <f>SUMIFS(Sheet1!S71_OY1BudgetAmount,Sheet1!S71_SubMunicipalVoteNo,$AC:$AC,Sheet1!S71_ItemType,$AD:$AD)</f>
        <v>0</v>
      </c>
      <c r="K288" s="713">
        <f>SUMIFS(Sheet1!S71_OY2BudgetAmount,Sheet1!S71_SubMunicipalVoteNo,$AC:$AC,Sheet1!S71_ItemType,$AD:$AD)</f>
        <v>0</v>
      </c>
      <c r="L288" s="723"/>
      <c r="M288" s="735"/>
      <c r="N288" s="735"/>
      <c r="O288" s="735"/>
      <c r="P288" s="735"/>
      <c r="Q288" s="735"/>
      <c r="R288" s="735"/>
      <c r="S288" s="735"/>
      <c r="T288" s="735"/>
      <c r="U288" s="735"/>
      <c r="V288" s="735"/>
      <c r="W288" s="735"/>
      <c r="AC288" s="2312">
        <v>115</v>
      </c>
      <c r="AD288" s="2318" t="s">
        <v>2754</v>
      </c>
    </row>
    <row r="289" spans="1:30" ht="11.25" customHeight="1" x14ac:dyDescent="0.25">
      <c r="A289" s="136" t="str">
        <f t="shared" si="37"/>
        <v/>
      </c>
      <c r="B289" s="144"/>
      <c r="C289" s="712">
        <f>SUMIFS(Sheet1!S71_PPPYearAmount,Sheet1!S71_SubMunicipalVoteNo,$AC:$AC,Sheet1!S71_ItemType,$AD:$AD)</f>
        <v>0</v>
      </c>
      <c r="D289" s="712">
        <f>SUMIFS(Sheet1!S71_PPYearAmount,Sheet1!S71_SubMunicipalVoteNo,$AC:$AC,Sheet1!S71_ItemType,$AD:$AD)</f>
        <v>0</v>
      </c>
      <c r="E289" s="712">
        <f>SUMIFS(Sheet1!S71_PYearAmount,Sheet1!S71_SubMunicipalVoteNo,$AC:$AC,Sheet1!S71_ItemType,$AD:$AD)</f>
        <v>0</v>
      </c>
      <c r="F289" s="725">
        <f>SUMIFS(Sheet1!S71_OriginalBudAmnt,Sheet1!S71_SubMunicipalVoteNo,$AC:$AC,Sheet1!S71_ItemType,$AD:$AD)</f>
        <v>0</v>
      </c>
      <c r="G289" s="712">
        <f>SUMIFS(Sheet1!S71_AdjustmentBudAmnt,Sheet1!S71_SubMunicipalVoteNo,$AC:$AC,Sheet1!S71_ItemType,$AD:$AD)</f>
        <v>0</v>
      </c>
      <c r="H289" s="713">
        <f>SUMIFS(Sheet1!S71_AdjustmentBudAmnt,Sheet1!S71_SubMunicipalVoteNo,$AC:$AC,Sheet1!S71_ItemType,$AD:$AD)</f>
        <v>0</v>
      </c>
      <c r="I289" s="725">
        <f>SUMIFS(Sheet1!S71_ASBudgetAmount,Sheet1!S71_SubMunicipalVoteNo,$AC:$AC,Sheet1!S71_ItemType,$AD:$AD)</f>
        <v>0</v>
      </c>
      <c r="J289" s="712">
        <f>SUMIFS(Sheet1!S71_OY1BudgetAmount,Sheet1!S71_SubMunicipalVoteNo,$AC:$AC,Sheet1!S71_ItemType,$AD:$AD)</f>
        <v>0</v>
      </c>
      <c r="K289" s="713">
        <f>SUMIFS(Sheet1!S71_OY2BudgetAmount,Sheet1!S71_SubMunicipalVoteNo,$AC:$AC,Sheet1!S71_ItemType,$AD:$AD)</f>
        <v>0</v>
      </c>
      <c r="L289" s="723"/>
      <c r="M289" s="735"/>
      <c r="N289" s="735"/>
      <c r="O289" s="735"/>
      <c r="P289" s="735"/>
      <c r="Q289" s="735"/>
      <c r="R289" s="735"/>
      <c r="S289" s="735"/>
      <c r="T289" s="735"/>
      <c r="U289" s="735"/>
      <c r="V289" s="735"/>
      <c r="W289" s="735"/>
      <c r="AC289" s="2312">
        <v>116</v>
      </c>
      <c r="AD289" s="2318" t="s">
        <v>2754</v>
      </c>
    </row>
    <row r="290" spans="1:30" ht="11.25" customHeight="1" x14ac:dyDescent="0.25">
      <c r="A290" s="136" t="str">
        <f t="shared" si="37"/>
        <v/>
      </c>
      <c r="B290" s="144"/>
      <c r="C290" s="712">
        <f>SUMIFS(Sheet1!S71_PPPYearAmount,Sheet1!S71_SubMunicipalVoteNo,$AC:$AC,Sheet1!S71_ItemType,$AD:$AD)</f>
        <v>0</v>
      </c>
      <c r="D290" s="712">
        <f>SUMIFS(Sheet1!S71_PPYearAmount,Sheet1!S71_SubMunicipalVoteNo,$AC:$AC,Sheet1!S71_ItemType,$AD:$AD)</f>
        <v>0</v>
      </c>
      <c r="E290" s="712">
        <f>SUMIFS(Sheet1!S71_PYearAmount,Sheet1!S71_SubMunicipalVoteNo,$AC:$AC,Sheet1!S71_ItemType,$AD:$AD)</f>
        <v>0</v>
      </c>
      <c r="F290" s="725">
        <f>SUMIFS(Sheet1!S71_OriginalBudAmnt,Sheet1!S71_SubMunicipalVoteNo,$AC:$AC,Sheet1!S71_ItemType,$AD:$AD)</f>
        <v>0</v>
      </c>
      <c r="G290" s="712">
        <f>SUMIFS(Sheet1!S71_AdjustmentBudAmnt,Sheet1!S71_SubMunicipalVoteNo,$AC:$AC,Sheet1!S71_ItemType,$AD:$AD)</f>
        <v>0</v>
      </c>
      <c r="H290" s="713">
        <f>SUMIFS(Sheet1!S71_AdjustmentBudAmnt,Sheet1!S71_SubMunicipalVoteNo,$AC:$AC,Sheet1!S71_ItemType,$AD:$AD)</f>
        <v>0</v>
      </c>
      <c r="I290" s="725">
        <f>SUMIFS(Sheet1!S71_ASBudgetAmount,Sheet1!S71_SubMunicipalVoteNo,$AC:$AC,Sheet1!S71_ItemType,$AD:$AD)</f>
        <v>0</v>
      </c>
      <c r="J290" s="712">
        <f>SUMIFS(Sheet1!S71_OY1BudgetAmount,Sheet1!S71_SubMunicipalVoteNo,$AC:$AC,Sheet1!S71_ItemType,$AD:$AD)</f>
        <v>0</v>
      </c>
      <c r="K290" s="713">
        <f>SUMIFS(Sheet1!S71_OY2BudgetAmount,Sheet1!S71_SubMunicipalVoteNo,$AC:$AC,Sheet1!S71_ItemType,$AD:$AD)</f>
        <v>0</v>
      </c>
      <c r="L290" s="723"/>
      <c r="M290" s="735"/>
      <c r="N290" s="735"/>
      <c r="O290" s="735"/>
      <c r="P290" s="735"/>
      <c r="Q290" s="735"/>
      <c r="R290" s="735"/>
      <c r="S290" s="735"/>
      <c r="T290" s="735"/>
      <c r="U290" s="735"/>
      <c r="V290" s="735"/>
      <c r="W290" s="735"/>
      <c r="AC290" s="2312">
        <v>117</v>
      </c>
      <c r="AD290" s="2318" t="s">
        <v>2754</v>
      </c>
    </row>
    <row r="291" spans="1:30" ht="11.25" customHeight="1" x14ac:dyDescent="0.25">
      <c r="A291" s="136" t="str">
        <f t="shared" si="37"/>
        <v/>
      </c>
      <c r="B291" s="144"/>
      <c r="C291" s="712">
        <f>SUMIFS(Sheet1!S71_PPPYearAmount,Sheet1!S71_SubMunicipalVoteNo,$AC:$AC,Sheet1!S71_ItemType,$AD:$AD)</f>
        <v>0</v>
      </c>
      <c r="D291" s="712">
        <f>SUMIFS(Sheet1!S71_PPYearAmount,Sheet1!S71_SubMunicipalVoteNo,$AC:$AC,Sheet1!S71_ItemType,$AD:$AD)</f>
        <v>0</v>
      </c>
      <c r="E291" s="712">
        <f>SUMIFS(Sheet1!S71_PYearAmount,Sheet1!S71_SubMunicipalVoteNo,$AC:$AC,Sheet1!S71_ItemType,$AD:$AD)</f>
        <v>0</v>
      </c>
      <c r="F291" s="725">
        <f>SUMIFS(Sheet1!S71_OriginalBudAmnt,Sheet1!S71_SubMunicipalVoteNo,$AC:$AC,Sheet1!S71_ItemType,$AD:$AD)</f>
        <v>0</v>
      </c>
      <c r="G291" s="712">
        <f>SUMIFS(Sheet1!S71_AdjustmentBudAmnt,Sheet1!S71_SubMunicipalVoteNo,$AC:$AC,Sheet1!S71_ItemType,$AD:$AD)</f>
        <v>0</v>
      </c>
      <c r="H291" s="713">
        <f>SUMIFS(Sheet1!S71_AdjustmentBudAmnt,Sheet1!S71_SubMunicipalVoteNo,$AC:$AC,Sheet1!S71_ItemType,$AD:$AD)</f>
        <v>0</v>
      </c>
      <c r="I291" s="725">
        <f>SUMIFS(Sheet1!S71_ASBudgetAmount,Sheet1!S71_SubMunicipalVoteNo,$AC:$AC,Sheet1!S71_ItemType,$AD:$AD)</f>
        <v>0</v>
      </c>
      <c r="J291" s="712">
        <f>SUMIFS(Sheet1!S71_OY1BudgetAmount,Sheet1!S71_SubMunicipalVoteNo,$AC:$AC,Sheet1!S71_ItemType,$AD:$AD)</f>
        <v>0</v>
      </c>
      <c r="K291" s="713">
        <f>SUMIFS(Sheet1!S71_OY2BudgetAmount,Sheet1!S71_SubMunicipalVoteNo,$AC:$AC,Sheet1!S71_ItemType,$AD:$AD)</f>
        <v>0</v>
      </c>
      <c r="L291" s="723"/>
      <c r="M291" s="735"/>
      <c r="N291" s="735"/>
      <c r="O291" s="735"/>
      <c r="P291" s="735"/>
      <c r="Q291" s="735"/>
      <c r="R291" s="735"/>
      <c r="S291" s="735"/>
      <c r="T291" s="735"/>
      <c r="U291" s="735"/>
      <c r="V291" s="735"/>
      <c r="W291" s="735"/>
      <c r="AC291" s="2312">
        <v>118</v>
      </c>
      <c r="AD291" s="2318" t="s">
        <v>2754</v>
      </c>
    </row>
    <row r="292" spans="1:30" ht="11.25" customHeight="1" x14ac:dyDescent="0.25">
      <c r="A292" s="136" t="str">
        <f t="shared" si="37"/>
        <v/>
      </c>
      <c r="B292" s="144"/>
      <c r="C292" s="712">
        <f>SUMIFS(Sheet1!S71_PPPYearAmount,Sheet1!S71_SubMunicipalVoteNo,$AC:$AC,Sheet1!S71_ItemType,$AD:$AD)</f>
        <v>0</v>
      </c>
      <c r="D292" s="712">
        <f>SUMIFS(Sheet1!S71_PPYearAmount,Sheet1!S71_SubMunicipalVoteNo,$AC:$AC,Sheet1!S71_ItemType,$AD:$AD)</f>
        <v>0</v>
      </c>
      <c r="E292" s="712">
        <f>SUMIFS(Sheet1!S71_PYearAmount,Sheet1!S71_SubMunicipalVoteNo,$AC:$AC,Sheet1!S71_ItemType,$AD:$AD)</f>
        <v>0</v>
      </c>
      <c r="F292" s="725">
        <f>SUMIFS(Sheet1!S71_OriginalBudAmnt,Sheet1!S71_SubMunicipalVoteNo,$AC:$AC,Sheet1!S71_ItemType,$AD:$AD)</f>
        <v>0</v>
      </c>
      <c r="G292" s="712">
        <f>SUMIFS(Sheet1!S71_AdjustmentBudAmnt,Sheet1!S71_SubMunicipalVoteNo,$AC:$AC,Sheet1!S71_ItemType,$AD:$AD)</f>
        <v>0</v>
      </c>
      <c r="H292" s="713">
        <f>SUMIFS(Sheet1!S71_AdjustmentBudAmnt,Sheet1!S71_SubMunicipalVoteNo,$AC:$AC,Sheet1!S71_ItemType,$AD:$AD)</f>
        <v>0</v>
      </c>
      <c r="I292" s="725">
        <f>SUMIFS(Sheet1!S71_ASBudgetAmount,Sheet1!S71_SubMunicipalVoteNo,$AC:$AC,Sheet1!S71_ItemType,$AD:$AD)</f>
        <v>0</v>
      </c>
      <c r="J292" s="712">
        <f>SUMIFS(Sheet1!S71_OY1BudgetAmount,Sheet1!S71_SubMunicipalVoteNo,$AC:$AC,Sheet1!S71_ItemType,$AD:$AD)</f>
        <v>0</v>
      </c>
      <c r="K292" s="713">
        <f>SUMIFS(Sheet1!S71_OY2BudgetAmount,Sheet1!S71_SubMunicipalVoteNo,$AC:$AC,Sheet1!S71_ItemType,$AD:$AD)</f>
        <v>0</v>
      </c>
      <c r="L292" s="723"/>
      <c r="M292" s="735"/>
      <c r="N292" s="735"/>
      <c r="O292" s="735"/>
      <c r="P292" s="735"/>
      <c r="Q292" s="735"/>
      <c r="R292" s="735"/>
      <c r="S292" s="735"/>
      <c r="T292" s="735"/>
      <c r="U292" s="735"/>
      <c r="V292" s="735"/>
      <c r="W292" s="735"/>
      <c r="AC292" s="2312">
        <v>119</v>
      </c>
      <c r="AD292" s="2318" t="s">
        <v>2754</v>
      </c>
    </row>
    <row r="293" spans="1:30" ht="11.25" customHeight="1" x14ac:dyDescent="0.25">
      <c r="A293" s="136" t="str">
        <f t="shared" si="37"/>
        <v/>
      </c>
      <c r="B293" s="144"/>
      <c r="C293" s="712">
        <f>SUMIFS(Sheet1!S71_PPPYearAmount,Sheet1!S71_SubMunicipalVoteNo,$AC:$AC,Sheet1!S71_ItemType,$AD:$AD)</f>
        <v>0</v>
      </c>
      <c r="D293" s="712">
        <f>SUMIFS(Sheet1!S71_PPYearAmount,Sheet1!S71_SubMunicipalVoteNo,$AC:$AC,Sheet1!S71_ItemType,$AD:$AD)</f>
        <v>0</v>
      </c>
      <c r="E293" s="712">
        <f>SUMIFS(Sheet1!S71_PYearAmount,Sheet1!S71_SubMunicipalVoteNo,$AC:$AC,Sheet1!S71_ItemType,$AD:$AD)</f>
        <v>0</v>
      </c>
      <c r="F293" s="725">
        <f>SUMIFS(Sheet1!S71_OriginalBudAmnt,Sheet1!S71_SubMunicipalVoteNo,$AC:$AC,Sheet1!S71_ItemType,$AD:$AD)</f>
        <v>0</v>
      </c>
      <c r="G293" s="712">
        <f>SUMIFS(Sheet1!S71_AdjustmentBudAmnt,Sheet1!S71_SubMunicipalVoteNo,$AC:$AC,Sheet1!S71_ItemType,$AD:$AD)</f>
        <v>0</v>
      </c>
      <c r="H293" s="713">
        <f>SUMIFS(Sheet1!S71_AdjustmentBudAmnt,Sheet1!S71_SubMunicipalVoteNo,$AC:$AC,Sheet1!S71_ItemType,$AD:$AD)</f>
        <v>0</v>
      </c>
      <c r="I293" s="725">
        <f>SUMIFS(Sheet1!S71_ASBudgetAmount,Sheet1!S71_SubMunicipalVoteNo,$AC:$AC,Sheet1!S71_ItemType,$AD:$AD)</f>
        <v>0</v>
      </c>
      <c r="J293" s="712">
        <f>SUMIFS(Sheet1!S71_OY1BudgetAmount,Sheet1!S71_SubMunicipalVoteNo,$AC:$AC,Sheet1!S71_ItemType,$AD:$AD)</f>
        <v>0</v>
      </c>
      <c r="K293" s="713">
        <f>SUMIFS(Sheet1!S71_OY2BudgetAmount,Sheet1!S71_SubMunicipalVoteNo,$AC:$AC,Sheet1!S71_ItemType,$AD:$AD)</f>
        <v>0</v>
      </c>
      <c r="L293" s="723"/>
      <c r="M293" s="735"/>
      <c r="N293" s="735"/>
      <c r="O293" s="735"/>
      <c r="P293" s="735"/>
      <c r="Q293" s="735"/>
      <c r="R293" s="735"/>
      <c r="S293" s="735"/>
      <c r="T293" s="735"/>
      <c r="U293" s="735"/>
      <c r="V293" s="735"/>
      <c r="W293" s="735"/>
      <c r="AC293" s="2312">
        <v>1110</v>
      </c>
      <c r="AD293" s="2318" t="s">
        <v>2754</v>
      </c>
    </row>
    <row r="294" spans="1:30" ht="15" customHeight="1" x14ac:dyDescent="0.25">
      <c r="A294" s="135" t="str">
        <f t="shared" si="37"/>
        <v>Vote 12 - Waste Management</v>
      </c>
      <c r="B294" s="144"/>
      <c r="C294" s="212">
        <f t="shared" ref="C294:K294" si="38">SUM(C295:C304)</f>
        <v>1653294</v>
      </c>
      <c r="D294" s="212">
        <f t="shared" si="38"/>
        <v>1704484</v>
      </c>
      <c r="E294" s="213">
        <f t="shared" si="38"/>
        <v>2625560</v>
      </c>
      <c r="F294" s="214">
        <f t="shared" si="38"/>
        <v>2558000</v>
      </c>
      <c r="G294" s="212">
        <f t="shared" si="38"/>
        <v>2058000</v>
      </c>
      <c r="H294" s="215">
        <f t="shared" si="38"/>
        <v>2058000</v>
      </c>
      <c r="I294" s="216">
        <f t="shared" si="38"/>
        <v>2685000</v>
      </c>
      <c r="J294" s="212">
        <f t="shared" si="38"/>
        <v>1961300</v>
      </c>
      <c r="K294" s="213">
        <f t="shared" si="38"/>
        <v>2074099</v>
      </c>
      <c r="L294" s="723"/>
      <c r="M294" s="735"/>
      <c r="N294" s="735"/>
      <c r="O294" s="735"/>
      <c r="P294" s="735"/>
      <c r="Q294" s="735"/>
      <c r="R294" s="735"/>
      <c r="S294" s="735"/>
      <c r="T294" s="735"/>
      <c r="U294" s="735"/>
      <c r="V294" s="735"/>
      <c r="W294" s="735"/>
      <c r="AD294" s="2315"/>
    </row>
    <row r="295" spans="1:30" ht="11.25" customHeight="1" x14ac:dyDescent="0.25">
      <c r="A295" s="136" t="str">
        <f t="shared" si="37"/>
        <v>12.1 - Solid Waste Removal</v>
      </c>
      <c r="B295" s="144"/>
      <c r="C295" s="712">
        <f>SUMIFS(Sheet1!S71_PPPYearAmount,Sheet1!S71_SubMunicipalVoteNo,$AC:$AC,Sheet1!S71_ItemType,$AD:$AD)</f>
        <v>1296231</v>
      </c>
      <c r="D295" s="712">
        <f>SUMIFS(Sheet1!S71_PPYearAmount,Sheet1!S71_SubMunicipalVoteNo,$AC:$AC,Sheet1!S71_ItemType,$AD:$AD)</f>
        <v>1693239</v>
      </c>
      <c r="E295" s="712">
        <f>SUMIFS(Sheet1!S71_PYearAmount,Sheet1!S71_SubMunicipalVoteNo,$AC:$AC,Sheet1!S71_ItemType,$AD:$AD)</f>
        <v>2565082</v>
      </c>
      <c r="F295" s="725">
        <f>SUMIFS(Sheet1!S71_OriginalBudAmnt,Sheet1!S71_SubMunicipalVoteNo,$AC:$AC,Sheet1!S71_ItemType,$AD:$AD)</f>
        <v>2138000</v>
      </c>
      <c r="G295" s="712">
        <f>SUMIFS(Sheet1!S71_AdjustmentBudAmnt,Sheet1!S71_SubMunicipalVoteNo,$AC:$AC,Sheet1!S71_ItemType,$AD:$AD)</f>
        <v>1638000</v>
      </c>
      <c r="H295" s="713">
        <f>SUMIFS(Sheet1!S71_AdjustmentBudAmnt,Sheet1!S71_SubMunicipalVoteNo,$AC:$AC,Sheet1!S71_ItemType,$AD:$AD)</f>
        <v>1638000</v>
      </c>
      <c r="I295" s="725">
        <f>SUMIFS(Sheet1!S71_ASBudgetAmount,Sheet1!S71_SubMunicipalVoteNo,$AC:$AC,Sheet1!S71_ItemType,$AD:$AD)</f>
        <v>2145000</v>
      </c>
      <c r="J295" s="712">
        <f>SUMIFS(Sheet1!S71_OY1BudgetAmount,Sheet1!S71_SubMunicipalVoteNo,$AC:$AC,Sheet1!S71_ItemType,$AD:$AD)</f>
        <v>1399700</v>
      </c>
      <c r="K295" s="713">
        <f>SUMIFS(Sheet1!S71_OY2BudgetAmount,Sheet1!S71_SubMunicipalVoteNo,$AC:$AC,Sheet1!S71_ItemType,$AD:$AD)</f>
        <v>1490035</v>
      </c>
      <c r="L295" s="723"/>
      <c r="M295" s="735"/>
      <c r="N295" s="735"/>
      <c r="O295" s="735"/>
      <c r="P295" s="735"/>
      <c r="Q295" s="735"/>
      <c r="R295" s="735"/>
      <c r="S295" s="735"/>
      <c r="T295" s="735"/>
      <c r="U295" s="735"/>
      <c r="V295" s="735"/>
      <c r="W295" s="735"/>
      <c r="AC295" s="2312">
        <v>121</v>
      </c>
      <c r="AD295" s="2318" t="s">
        <v>2754</v>
      </c>
    </row>
    <row r="296" spans="1:30" ht="11.25" customHeight="1" x14ac:dyDescent="0.25">
      <c r="A296" s="136" t="str">
        <f t="shared" si="37"/>
        <v>12.2 - Street Cleaning</v>
      </c>
      <c r="B296" s="144"/>
      <c r="C296" s="712">
        <f>SUMIFS(Sheet1!S71_PPPYearAmount,Sheet1!S71_SubMunicipalVoteNo,$AC:$AC,Sheet1!S71_ItemType,$AD:$AD)</f>
        <v>135894</v>
      </c>
      <c r="D296" s="712">
        <f>SUMIFS(Sheet1!S71_PPYearAmount,Sheet1!S71_SubMunicipalVoteNo,$AC:$AC,Sheet1!S71_ItemType,$AD:$AD)</f>
        <v>3095</v>
      </c>
      <c r="E296" s="712">
        <f>SUMIFS(Sheet1!S71_PYearAmount,Sheet1!S71_SubMunicipalVoteNo,$AC:$AC,Sheet1!S71_ItemType,$AD:$AD)</f>
        <v>0</v>
      </c>
      <c r="F296" s="725">
        <f>SUMIFS(Sheet1!S71_OriginalBudAmnt,Sheet1!S71_SubMunicipalVoteNo,$AC:$AC,Sheet1!S71_ItemType,$AD:$AD)</f>
        <v>40000</v>
      </c>
      <c r="G296" s="712">
        <f>SUMIFS(Sheet1!S71_AdjustmentBudAmnt,Sheet1!S71_SubMunicipalVoteNo,$AC:$AC,Sheet1!S71_ItemType,$AD:$AD)</f>
        <v>40000</v>
      </c>
      <c r="H296" s="713">
        <f>SUMIFS(Sheet1!S71_AdjustmentBudAmnt,Sheet1!S71_SubMunicipalVoteNo,$AC:$AC,Sheet1!S71_ItemType,$AD:$AD)</f>
        <v>40000</v>
      </c>
      <c r="I296" s="725">
        <f>SUMIFS(Sheet1!S71_ASBudgetAmount,Sheet1!S71_SubMunicipalVoteNo,$AC:$AC,Sheet1!S71_ItemType,$AD:$AD)</f>
        <v>60000</v>
      </c>
      <c r="J296" s="712">
        <f>SUMIFS(Sheet1!S71_OY1BudgetAmount,Sheet1!S71_SubMunicipalVoteNo,$AC:$AC,Sheet1!S71_ItemType,$AD:$AD)</f>
        <v>62400</v>
      </c>
      <c r="K296" s="713">
        <f>SUMIFS(Sheet1!S71_OY2BudgetAmount,Sheet1!S71_SubMunicipalVoteNo,$AC:$AC,Sheet1!S71_ItemType,$AD:$AD)</f>
        <v>64896</v>
      </c>
      <c r="L296" s="723"/>
      <c r="M296" s="735"/>
      <c r="N296" s="735"/>
      <c r="O296" s="735"/>
      <c r="P296" s="735"/>
      <c r="Q296" s="735"/>
      <c r="R296" s="735"/>
      <c r="S296" s="735"/>
      <c r="T296" s="735"/>
      <c r="U296" s="735"/>
      <c r="V296" s="735"/>
      <c r="W296" s="735"/>
      <c r="AC296" s="2312">
        <v>122</v>
      </c>
      <c r="AD296" s="2318" t="s">
        <v>2754</v>
      </c>
    </row>
    <row r="297" spans="1:30" ht="11.25" customHeight="1" x14ac:dyDescent="0.25">
      <c r="A297" s="136" t="str">
        <f t="shared" si="37"/>
        <v>12.3 - Solid Waste Disposal (Landfill Sites)</v>
      </c>
      <c r="B297" s="144"/>
      <c r="C297" s="712">
        <f>SUMIFS(Sheet1!S71_PPPYearAmount,Sheet1!S71_SubMunicipalVoteNo,$AC:$AC,Sheet1!S71_ItemType,$AD:$AD)</f>
        <v>221169</v>
      </c>
      <c r="D297" s="712">
        <f>SUMIFS(Sheet1!S71_PPYearAmount,Sheet1!S71_SubMunicipalVoteNo,$AC:$AC,Sheet1!S71_ItemType,$AD:$AD)</f>
        <v>8150</v>
      </c>
      <c r="E297" s="712">
        <f>SUMIFS(Sheet1!S71_PYearAmount,Sheet1!S71_SubMunicipalVoteNo,$AC:$AC,Sheet1!S71_ItemType,$AD:$AD)</f>
        <v>60478</v>
      </c>
      <c r="F297" s="725">
        <f>SUMIFS(Sheet1!S71_OriginalBudAmnt,Sheet1!S71_SubMunicipalVoteNo,$AC:$AC,Sheet1!S71_ItemType,$AD:$AD)</f>
        <v>380000</v>
      </c>
      <c r="G297" s="712">
        <f>SUMIFS(Sheet1!S71_AdjustmentBudAmnt,Sheet1!S71_SubMunicipalVoteNo,$AC:$AC,Sheet1!S71_ItemType,$AD:$AD)</f>
        <v>380000</v>
      </c>
      <c r="H297" s="713">
        <f>SUMIFS(Sheet1!S71_AdjustmentBudAmnt,Sheet1!S71_SubMunicipalVoteNo,$AC:$AC,Sheet1!S71_ItemType,$AD:$AD)</f>
        <v>380000</v>
      </c>
      <c r="I297" s="725">
        <f>SUMIFS(Sheet1!S71_ASBudgetAmount,Sheet1!S71_SubMunicipalVoteNo,$AC:$AC,Sheet1!S71_ItemType,$AD:$AD)</f>
        <v>480000</v>
      </c>
      <c r="J297" s="712">
        <f>SUMIFS(Sheet1!S71_OY1BudgetAmount,Sheet1!S71_SubMunicipalVoteNo,$AC:$AC,Sheet1!S71_ItemType,$AD:$AD)</f>
        <v>499200</v>
      </c>
      <c r="K297" s="713">
        <f>SUMIFS(Sheet1!S71_OY2BudgetAmount,Sheet1!S71_SubMunicipalVoteNo,$AC:$AC,Sheet1!S71_ItemType,$AD:$AD)</f>
        <v>519168</v>
      </c>
      <c r="L297" s="723"/>
      <c r="M297" s="735"/>
      <c r="N297" s="735"/>
      <c r="O297" s="735"/>
      <c r="P297" s="735"/>
      <c r="Q297" s="735"/>
      <c r="R297" s="735"/>
      <c r="S297" s="735"/>
      <c r="T297" s="735"/>
      <c r="U297" s="735"/>
      <c r="V297" s="735"/>
      <c r="W297" s="735"/>
      <c r="AC297" s="2312">
        <v>123</v>
      </c>
      <c r="AD297" s="2318" t="s">
        <v>2754</v>
      </c>
    </row>
    <row r="298" spans="1:30" ht="11.25" customHeight="1" x14ac:dyDescent="0.25">
      <c r="A298" s="136" t="str">
        <f t="shared" si="37"/>
        <v/>
      </c>
      <c r="B298" s="144"/>
      <c r="C298" s="712">
        <f>SUMIFS(Sheet1!S71_PPPYearAmount,Sheet1!S71_SubMunicipalVoteNo,$AC:$AC,Sheet1!S71_ItemType,$AD:$AD)</f>
        <v>0</v>
      </c>
      <c r="D298" s="712">
        <f>SUMIFS(Sheet1!S71_PPYearAmount,Sheet1!S71_SubMunicipalVoteNo,$AC:$AC,Sheet1!S71_ItemType,$AD:$AD)</f>
        <v>0</v>
      </c>
      <c r="E298" s="712">
        <f>SUMIFS(Sheet1!S71_PYearAmount,Sheet1!S71_SubMunicipalVoteNo,$AC:$AC,Sheet1!S71_ItemType,$AD:$AD)</f>
        <v>0</v>
      </c>
      <c r="F298" s="725">
        <f>SUMIFS(Sheet1!S71_OriginalBudAmnt,Sheet1!S71_SubMunicipalVoteNo,$AC:$AC,Sheet1!S71_ItemType,$AD:$AD)</f>
        <v>0</v>
      </c>
      <c r="G298" s="712">
        <f>SUMIFS(Sheet1!S71_AdjustmentBudAmnt,Sheet1!S71_SubMunicipalVoteNo,$AC:$AC,Sheet1!S71_ItemType,$AD:$AD)</f>
        <v>0</v>
      </c>
      <c r="H298" s="713">
        <f>SUMIFS(Sheet1!S71_AdjustmentBudAmnt,Sheet1!S71_SubMunicipalVoteNo,$AC:$AC,Sheet1!S71_ItemType,$AD:$AD)</f>
        <v>0</v>
      </c>
      <c r="I298" s="725">
        <f>SUMIFS(Sheet1!S71_ASBudgetAmount,Sheet1!S71_SubMunicipalVoteNo,$AC:$AC,Sheet1!S71_ItemType,$AD:$AD)</f>
        <v>0</v>
      </c>
      <c r="J298" s="712">
        <f>SUMIFS(Sheet1!S71_OY1BudgetAmount,Sheet1!S71_SubMunicipalVoteNo,$AC:$AC,Sheet1!S71_ItemType,$AD:$AD)</f>
        <v>0</v>
      </c>
      <c r="K298" s="713">
        <f>SUMIFS(Sheet1!S71_OY2BudgetAmount,Sheet1!S71_SubMunicipalVoteNo,$AC:$AC,Sheet1!S71_ItemType,$AD:$AD)</f>
        <v>0</v>
      </c>
      <c r="L298" s="723"/>
      <c r="M298" s="735"/>
      <c r="N298" s="735"/>
      <c r="O298" s="735"/>
      <c r="P298" s="735"/>
      <c r="Q298" s="735"/>
      <c r="R298" s="735"/>
      <c r="S298" s="735"/>
      <c r="T298" s="735"/>
      <c r="U298" s="735"/>
      <c r="V298" s="735"/>
      <c r="W298" s="735"/>
      <c r="AC298" s="2312">
        <v>124</v>
      </c>
      <c r="AD298" s="2318" t="s">
        <v>2754</v>
      </c>
    </row>
    <row r="299" spans="1:30" ht="11.25" customHeight="1" x14ac:dyDescent="0.25">
      <c r="A299" s="136" t="str">
        <f t="shared" si="37"/>
        <v/>
      </c>
      <c r="B299" s="144"/>
      <c r="C299" s="712">
        <f>SUMIFS(Sheet1!S71_PPPYearAmount,Sheet1!S71_SubMunicipalVoteNo,$AC:$AC,Sheet1!S71_ItemType,$AD:$AD)</f>
        <v>0</v>
      </c>
      <c r="D299" s="712">
        <f>SUMIFS(Sheet1!S71_PPYearAmount,Sheet1!S71_SubMunicipalVoteNo,$AC:$AC,Sheet1!S71_ItemType,$AD:$AD)</f>
        <v>0</v>
      </c>
      <c r="E299" s="712">
        <f>SUMIFS(Sheet1!S71_PYearAmount,Sheet1!S71_SubMunicipalVoteNo,$AC:$AC,Sheet1!S71_ItemType,$AD:$AD)</f>
        <v>0</v>
      </c>
      <c r="F299" s="725">
        <f>SUMIFS(Sheet1!S71_OriginalBudAmnt,Sheet1!S71_SubMunicipalVoteNo,$AC:$AC,Sheet1!S71_ItemType,$AD:$AD)</f>
        <v>0</v>
      </c>
      <c r="G299" s="712">
        <f>SUMIFS(Sheet1!S71_AdjustmentBudAmnt,Sheet1!S71_SubMunicipalVoteNo,$AC:$AC,Sheet1!S71_ItemType,$AD:$AD)</f>
        <v>0</v>
      </c>
      <c r="H299" s="713">
        <f>SUMIFS(Sheet1!S71_AdjustmentBudAmnt,Sheet1!S71_SubMunicipalVoteNo,$AC:$AC,Sheet1!S71_ItemType,$AD:$AD)</f>
        <v>0</v>
      </c>
      <c r="I299" s="725">
        <f>SUMIFS(Sheet1!S71_ASBudgetAmount,Sheet1!S71_SubMunicipalVoteNo,$AC:$AC,Sheet1!S71_ItemType,$AD:$AD)</f>
        <v>0</v>
      </c>
      <c r="J299" s="712">
        <f>SUMIFS(Sheet1!S71_OY1BudgetAmount,Sheet1!S71_SubMunicipalVoteNo,$AC:$AC,Sheet1!S71_ItemType,$AD:$AD)</f>
        <v>0</v>
      </c>
      <c r="K299" s="713">
        <f>SUMIFS(Sheet1!S71_OY2BudgetAmount,Sheet1!S71_SubMunicipalVoteNo,$AC:$AC,Sheet1!S71_ItemType,$AD:$AD)</f>
        <v>0</v>
      </c>
      <c r="L299" s="723"/>
      <c r="M299" s="735"/>
      <c r="N299" s="735"/>
      <c r="O299" s="735"/>
      <c r="P299" s="735"/>
      <c r="Q299" s="735"/>
      <c r="R299" s="735"/>
      <c r="S299" s="735"/>
      <c r="T299" s="735"/>
      <c r="U299" s="735"/>
      <c r="V299" s="735"/>
      <c r="W299" s="735"/>
      <c r="AC299" s="2312">
        <v>125</v>
      </c>
      <c r="AD299" s="2318" t="s">
        <v>2754</v>
      </c>
    </row>
    <row r="300" spans="1:30" ht="11.25" customHeight="1" x14ac:dyDescent="0.25">
      <c r="A300" s="136" t="str">
        <f t="shared" si="37"/>
        <v/>
      </c>
      <c r="B300" s="144"/>
      <c r="C300" s="712">
        <f>SUMIFS(Sheet1!S71_PPPYearAmount,Sheet1!S71_SubMunicipalVoteNo,$AC:$AC,Sheet1!S71_ItemType,$AD:$AD)</f>
        <v>0</v>
      </c>
      <c r="D300" s="712">
        <f>SUMIFS(Sheet1!S71_PPYearAmount,Sheet1!S71_SubMunicipalVoteNo,$AC:$AC,Sheet1!S71_ItemType,$AD:$AD)</f>
        <v>0</v>
      </c>
      <c r="E300" s="712">
        <f>SUMIFS(Sheet1!S71_PYearAmount,Sheet1!S71_SubMunicipalVoteNo,$AC:$AC,Sheet1!S71_ItemType,$AD:$AD)</f>
        <v>0</v>
      </c>
      <c r="F300" s="725">
        <f>SUMIFS(Sheet1!S71_OriginalBudAmnt,Sheet1!S71_SubMunicipalVoteNo,$AC:$AC,Sheet1!S71_ItemType,$AD:$AD)</f>
        <v>0</v>
      </c>
      <c r="G300" s="712">
        <f>SUMIFS(Sheet1!S71_AdjustmentBudAmnt,Sheet1!S71_SubMunicipalVoteNo,$AC:$AC,Sheet1!S71_ItemType,$AD:$AD)</f>
        <v>0</v>
      </c>
      <c r="H300" s="713">
        <f>SUMIFS(Sheet1!S71_AdjustmentBudAmnt,Sheet1!S71_SubMunicipalVoteNo,$AC:$AC,Sheet1!S71_ItemType,$AD:$AD)</f>
        <v>0</v>
      </c>
      <c r="I300" s="725">
        <f>SUMIFS(Sheet1!S71_ASBudgetAmount,Sheet1!S71_SubMunicipalVoteNo,$AC:$AC,Sheet1!S71_ItemType,$AD:$AD)</f>
        <v>0</v>
      </c>
      <c r="J300" s="712">
        <f>SUMIFS(Sheet1!S71_OY1BudgetAmount,Sheet1!S71_SubMunicipalVoteNo,$AC:$AC,Sheet1!S71_ItemType,$AD:$AD)</f>
        <v>0</v>
      </c>
      <c r="K300" s="713">
        <f>SUMIFS(Sheet1!S71_OY2BudgetAmount,Sheet1!S71_SubMunicipalVoteNo,$AC:$AC,Sheet1!S71_ItemType,$AD:$AD)</f>
        <v>0</v>
      </c>
      <c r="L300" s="723"/>
      <c r="M300" s="735"/>
      <c r="N300" s="735"/>
      <c r="O300" s="735"/>
      <c r="P300" s="735"/>
      <c r="Q300" s="735"/>
      <c r="R300" s="735"/>
      <c r="S300" s="735"/>
      <c r="T300" s="735"/>
      <c r="U300" s="735"/>
      <c r="V300" s="735"/>
      <c r="W300" s="735"/>
      <c r="AC300" s="2312">
        <v>126</v>
      </c>
      <c r="AD300" s="2318" t="s">
        <v>2754</v>
      </c>
    </row>
    <row r="301" spans="1:30" ht="11.25" customHeight="1" x14ac:dyDescent="0.25">
      <c r="A301" s="136" t="str">
        <f t="shared" si="37"/>
        <v/>
      </c>
      <c r="B301" s="144"/>
      <c r="C301" s="712">
        <f>SUMIFS(Sheet1!S71_PPPYearAmount,Sheet1!S71_SubMunicipalVoteNo,$AC:$AC,Sheet1!S71_ItemType,$AD:$AD)</f>
        <v>0</v>
      </c>
      <c r="D301" s="712">
        <f>SUMIFS(Sheet1!S71_PPYearAmount,Sheet1!S71_SubMunicipalVoteNo,$AC:$AC,Sheet1!S71_ItemType,$AD:$AD)</f>
        <v>0</v>
      </c>
      <c r="E301" s="712">
        <f>SUMIFS(Sheet1!S71_PYearAmount,Sheet1!S71_SubMunicipalVoteNo,$AC:$AC,Sheet1!S71_ItemType,$AD:$AD)</f>
        <v>0</v>
      </c>
      <c r="F301" s="725">
        <f>SUMIFS(Sheet1!S71_OriginalBudAmnt,Sheet1!S71_SubMunicipalVoteNo,$AC:$AC,Sheet1!S71_ItemType,$AD:$AD)</f>
        <v>0</v>
      </c>
      <c r="G301" s="712">
        <f>SUMIFS(Sheet1!S71_AdjustmentBudAmnt,Sheet1!S71_SubMunicipalVoteNo,$AC:$AC,Sheet1!S71_ItemType,$AD:$AD)</f>
        <v>0</v>
      </c>
      <c r="H301" s="713">
        <f>SUMIFS(Sheet1!S71_AdjustmentBudAmnt,Sheet1!S71_SubMunicipalVoteNo,$AC:$AC,Sheet1!S71_ItemType,$AD:$AD)</f>
        <v>0</v>
      </c>
      <c r="I301" s="725">
        <f>SUMIFS(Sheet1!S71_ASBudgetAmount,Sheet1!S71_SubMunicipalVoteNo,$AC:$AC,Sheet1!S71_ItemType,$AD:$AD)</f>
        <v>0</v>
      </c>
      <c r="J301" s="712">
        <f>SUMIFS(Sheet1!S71_OY1BudgetAmount,Sheet1!S71_SubMunicipalVoteNo,$AC:$AC,Sheet1!S71_ItemType,$AD:$AD)</f>
        <v>0</v>
      </c>
      <c r="K301" s="713">
        <f>SUMIFS(Sheet1!S71_OY2BudgetAmount,Sheet1!S71_SubMunicipalVoteNo,$AC:$AC,Sheet1!S71_ItemType,$AD:$AD)</f>
        <v>0</v>
      </c>
      <c r="L301" s="723"/>
      <c r="M301" s="735"/>
      <c r="N301" s="735"/>
      <c r="O301" s="735"/>
      <c r="P301" s="735"/>
      <c r="Q301" s="735"/>
      <c r="R301" s="735"/>
      <c r="S301" s="735"/>
      <c r="T301" s="735"/>
      <c r="U301" s="735"/>
      <c r="V301" s="735"/>
      <c r="W301" s="735"/>
      <c r="AC301" s="2312">
        <v>127</v>
      </c>
      <c r="AD301" s="2318" t="s">
        <v>2754</v>
      </c>
    </row>
    <row r="302" spans="1:30" ht="11.25" customHeight="1" x14ac:dyDescent="0.25">
      <c r="A302" s="136" t="str">
        <f t="shared" si="37"/>
        <v/>
      </c>
      <c r="B302" s="144"/>
      <c r="C302" s="712">
        <f>SUMIFS(Sheet1!S71_PPPYearAmount,Sheet1!S71_SubMunicipalVoteNo,$AC:$AC,Sheet1!S71_ItemType,$AD:$AD)</f>
        <v>0</v>
      </c>
      <c r="D302" s="712">
        <f>SUMIFS(Sheet1!S71_PPYearAmount,Sheet1!S71_SubMunicipalVoteNo,$AC:$AC,Sheet1!S71_ItemType,$AD:$AD)</f>
        <v>0</v>
      </c>
      <c r="E302" s="712">
        <f>SUMIFS(Sheet1!S71_PYearAmount,Sheet1!S71_SubMunicipalVoteNo,$AC:$AC,Sheet1!S71_ItemType,$AD:$AD)</f>
        <v>0</v>
      </c>
      <c r="F302" s="725">
        <f>SUMIFS(Sheet1!S71_OriginalBudAmnt,Sheet1!S71_SubMunicipalVoteNo,$AC:$AC,Sheet1!S71_ItemType,$AD:$AD)</f>
        <v>0</v>
      </c>
      <c r="G302" s="712">
        <f>SUMIFS(Sheet1!S71_AdjustmentBudAmnt,Sheet1!S71_SubMunicipalVoteNo,$AC:$AC,Sheet1!S71_ItemType,$AD:$AD)</f>
        <v>0</v>
      </c>
      <c r="H302" s="713">
        <f>SUMIFS(Sheet1!S71_AdjustmentBudAmnt,Sheet1!S71_SubMunicipalVoteNo,$AC:$AC,Sheet1!S71_ItemType,$AD:$AD)</f>
        <v>0</v>
      </c>
      <c r="I302" s="725">
        <f>SUMIFS(Sheet1!S71_ASBudgetAmount,Sheet1!S71_SubMunicipalVoteNo,$AC:$AC,Sheet1!S71_ItemType,$AD:$AD)</f>
        <v>0</v>
      </c>
      <c r="J302" s="712">
        <f>SUMIFS(Sheet1!S71_OY1BudgetAmount,Sheet1!S71_SubMunicipalVoteNo,$AC:$AC,Sheet1!S71_ItemType,$AD:$AD)</f>
        <v>0</v>
      </c>
      <c r="K302" s="713">
        <f>SUMIFS(Sheet1!S71_OY2BudgetAmount,Sheet1!S71_SubMunicipalVoteNo,$AC:$AC,Sheet1!S71_ItemType,$AD:$AD)</f>
        <v>0</v>
      </c>
      <c r="L302" s="723"/>
      <c r="M302" s="735"/>
      <c r="N302" s="735"/>
      <c r="O302" s="735"/>
      <c r="P302" s="735"/>
      <c r="Q302" s="735"/>
      <c r="R302" s="735"/>
      <c r="S302" s="735"/>
      <c r="T302" s="735"/>
      <c r="U302" s="735"/>
      <c r="V302" s="735"/>
      <c r="W302" s="735"/>
      <c r="AC302" s="2312">
        <v>128</v>
      </c>
      <c r="AD302" s="2318" t="s">
        <v>2754</v>
      </c>
    </row>
    <row r="303" spans="1:30" ht="11.25" customHeight="1" x14ac:dyDescent="0.25">
      <c r="A303" s="136" t="str">
        <f t="shared" si="37"/>
        <v/>
      </c>
      <c r="B303" s="144"/>
      <c r="C303" s="712">
        <f>SUMIFS(Sheet1!S71_PPPYearAmount,Sheet1!S71_SubMunicipalVoteNo,$AC:$AC,Sheet1!S71_ItemType,$AD:$AD)</f>
        <v>0</v>
      </c>
      <c r="D303" s="712">
        <f>SUMIFS(Sheet1!S71_PPYearAmount,Sheet1!S71_SubMunicipalVoteNo,$AC:$AC,Sheet1!S71_ItemType,$AD:$AD)</f>
        <v>0</v>
      </c>
      <c r="E303" s="712">
        <f>SUMIFS(Sheet1!S71_PYearAmount,Sheet1!S71_SubMunicipalVoteNo,$AC:$AC,Sheet1!S71_ItemType,$AD:$AD)</f>
        <v>0</v>
      </c>
      <c r="F303" s="725">
        <f>SUMIFS(Sheet1!S71_OriginalBudAmnt,Sheet1!S71_SubMunicipalVoteNo,$AC:$AC,Sheet1!S71_ItemType,$AD:$AD)</f>
        <v>0</v>
      </c>
      <c r="G303" s="712">
        <f>SUMIFS(Sheet1!S71_AdjustmentBudAmnt,Sheet1!S71_SubMunicipalVoteNo,$AC:$AC,Sheet1!S71_ItemType,$AD:$AD)</f>
        <v>0</v>
      </c>
      <c r="H303" s="713">
        <f>SUMIFS(Sheet1!S71_AdjustmentBudAmnt,Sheet1!S71_SubMunicipalVoteNo,$AC:$AC,Sheet1!S71_ItemType,$AD:$AD)</f>
        <v>0</v>
      </c>
      <c r="I303" s="725">
        <f>SUMIFS(Sheet1!S71_ASBudgetAmount,Sheet1!S71_SubMunicipalVoteNo,$AC:$AC,Sheet1!S71_ItemType,$AD:$AD)</f>
        <v>0</v>
      </c>
      <c r="J303" s="712">
        <f>SUMIFS(Sheet1!S71_OY1BudgetAmount,Sheet1!S71_SubMunicipalVoteNo,$AC:$AC,Sheet1!S71_ItemType,$AD:$AD)</f>
        <v>0</v>
      </c>
      <c r="K303" s="713">
        <f>SUMIFS(Sheet1!S71_OY2BudgetAmount,Sheet1!S71_SubMunicipalVoteNo,$AC:$AC,Sheet1!S71_ItemType,$AD:$AD)</f>
        <v>0</v>
      </c>
      <c r="L303" s="723"/>
      <c r="M303" s="735"/>
      <c r="N303" s="735"/>
      <c r="O303" s="735"/>
      <c r="P303" s="735"/>
      <c r="Q303" s="735"/>
      <c r="R303" s="735"/>
      <c r="S303" s="735"/>
      <c r="T303" s="735"/>
      <c r="U303" s="735"/>
      <c r="V303" s="735"/>
      <c r="W303" s="735"/>
      <c r="AC303" s="2312">
        <v>129</v>
      </c>
      <c r="AD303" s="2318" t="s">
        <v>2754</v>
      </c>
    </row>
    <row r="304" spans="1:30" ht="11.25" customHeight="1" x14ac:dyDescent="0.25">
      <c r="A304" s="136" t="str">
        <f t="shared" si="37"/>
        <v/>
      </c>
      <c r="B304" s="144"/>
      <c r="C304" s="712">
        <f>SUMIFS(Sheet1!S71_PPPYearAmount,Sheet1!S71_SubMunicipalVoteNo,$AC:$AC,Sheet1!S71_ItemType,$AD:$AD)</f>
        <v>0</v>
      </c>
      <c r="D304" s="712">
        <f>SUMIFS(Sheet1!S71_PPYearAmount,Sheet1!S71_SubMunicipalVoteNo,$AC:$AC,Sheet1!S71_ItemType,$AD:$AD)</f>
        <v>0</v>
      </c>
      <c r="E304" s="712">
        <f>SUMIFS(Sheet1!S71_PYearAmount,Sheet1!S71_SubMunicipalVoteNo,$AC:$AC,Sheet1!S71_ItemType,$AD:$AD)</f>
        <v>0</v>
      </c>
      <c r="F304" s="725">
        <f>SUMIFS(Sheet1!S71_OriginalBudAmnt,Sheet1!S71_SubMunicipalVoteNo,$AC:$AC,Sheet1!S71_ItemType,$AD:$AD)</f>
        <v>0</v>
      </c>
      <c r="G304" s="712">
        <f>SUMIFS(Sheet1!S71_AdjustmentBudAmnt,Sheet1!S71_SubMunicipalVoteNo,$AC:$AC,Sheet1!S71_ItemType,$AD:$AD)</f>
        <v>0</v>
      </c>
      <c r="H304" s="713">
        <f>SUMIFS(Sheet1!S71_AdjustmentBudAmnt,Sheet1!S71_SubMunicipalVoteNo,$AC:$AC,Sheet1!S71_ItemType,$AD:$AD)</f>
        <v>0</v>
      </c>
      <c r="I304" s="725">
        <f>SUMIFS(Sheet1!S71_ASBudgetAmount,Sheet1!S71_SubMunicipalVoteNo,$AC:$AC,Sheet1!S71_ItemType,$AD:$AD)</f>
        <v>0</v>
      </c>
      <c r="J304" s="712">
        <f>SUMIFS(Sheet1!S71_OY1BudgetAmount,Sheet1!S71_SubMunicipalVoteNo,$AC:$AC,Sheet1!S71_ItemType,$AD:$AD)</f>
        <v>0</v>
      </c>
      <c r="K304" s="713">
        <f>SUMIFS(Sheet1!S71_OY2BudgetAmount,Sheet1!S71_SubMunicipalVoteNo,$AC:$AC,Sheet1!S71_ItemType,$AD:$AD)</f>
        <v>0</v>
      </c>
      <c r="L304" s="723"/>
      <c r="M304" s="735"/>
      <c r="N304" s="735"/>
      <c r="O304" s="735"/>
      <c r="P304" s="735"/>
      <c r="Q304" s="735"/>
      <c r="R304" s="735"/>
      <c r="S304" s="735"/>
      <c r="T304" s="735"/>
      <c r="U304" s="735"/>
      <c r="V304" s="735"/>
      <c r="W304" s="735"/>
      <c r="AC304" s="2312">
        <v>1210</v>
      </c>
      <c r="AD304" s="2318" t="s">
        <v>2754</v>
      </c>
    </row>
    <row r="305" spans="1:30" ht="15" customHeight="1" x14ac:dyDescent="0.25">
      <c r="A305" s="135" t="str">
        <f t="shared" si="37"/>
        <v>Vote 13 - Housing</v>
      </c>
      <c r="B305" s="144"/>
      <c r="C305" s="212">
        <f t="shared" ref="C305:K305" si="39">SUM(C306:C315)</f>
        <v>100</v>
      </c>
      <c r="D305" s="212">
        <f t="shared" si="39"/>
        <v>0</v>
      </c>
      <c r="E305" s="213">
        <f t="shared" si="39"/>
        <v>0</v>
      </c>
      <c r="F305" s="214">
        <f t="shared" si="39"/>
        <v>0</v>
      </c>
      <c r="G305" s="212">
        <f t="shared" si="39"/>
        <v>0</v>
      </c>
      <c r="H305" s="215">
        <f t="shared" si="39"/>
        <v>0</v>
      </c>
      <c r="I305" s="216">
        <f t="shared" si="39"/>
        <v>0</v>
      </c>
      <c r="J305" s="212">
        <f t="shared" si="39"/>
        <v>0</v>
      </c>
      <c r="K305" s="213">
        <f t="shared" si="39"/>
        <v>0</v>
      </c>
      <c r="L305" s="723"/>
      <c r="M305" s="735"/>
      <c r="N305" s="735"/>
      <c r="O305" s="735"/>
      <c r="P305" s="735"/>
      <c r="Q305" s="735"/>
      <c r="R305" s="735"/>
      <c r="S305" s="735"/>
      <c r="T305" s="735"/>
      <c r="U305" s="735"/>
      <c r="V305" s="735"/>
      <c r="W305" s="735"/>
      <c r="AD305" s="2315"/>
    </row>
    <row r="306" spans="1:30" ht="11.25" customHeight="1" x14ac:dyDescent="0.25">
      <c r="A306" s="136" t="str">
        <f t="shared" si="37"/>
        <v>13.1 - Housing</v>
      </c>
      <c r="B306" s="144"/>
      <c r="C306" s="712">
        <f>SUMIFS(Sheet1!S71_PPPYearAmount,Sheet1!S71_SubMunicipalVoteNo,$AC:$AC,Sheet1!S71_ItemType,$AD:$AD)</f>
        <v>100</v>
      </c>
      <c r="D306" s="712">
        <f>SUMIFS(Sheet1!S71_PPYearAmount,Sheet1!S71_SubMunicipalVoteNo,$AC:$AC,Sheet1!S71_ItemType,$AD:$AD)</f>
        <v>0</v>
      </c>
      <c r="E306" s="712">
        <f>SUMIFS(Sheet1!S71_PYearAmount,Sheet1!S71_SubMunicipalVoteNo,$AC:$AC,Sheet1!S71_ItemType,$AD:$AD)</f>
        <v>0</v>
      </c>
      <c r="F306" s="725">
        <f>SUMIFS(Sheet1!S71_OriginalBudAmnt,Sheet1!S71_SubMunicipalVoteNo,$AC:$AC,Sheet1!S71_ItemType,$AD:$AD)</f>
        <v>0</v>
      </c>
      <c r="G306" s="712">
        <f>SUMIFS(Sheet1!S71_AdjustmentBudAmnt,Sheet1!S71_SubMunicipalVoteNo,$AC:$AC,Sheet1!S71_ItemType,$AD:$AD)</f>
        <v>0</v>
      </c>
      <c r="H306" s="713">
        <f>SUMIFS(Sheet1!S71_AdjustmentBudAmnt,Sheet1!S71_SubMunicipalVoteNo,$AC:$AC,Sheet1!S71_ItemType,$AD:$AD)</f>
        <v>0</v>
      </c>
      <c r="I306" s="725">
        <f>SUMIFS(Sheet1!S71_ASBudgetAmount,Sheet1!S71_SubMunicipalVoteNo,$AC:$AC,Sheet1!S71_ItemType,$AD:$AD)</f>
        <v>0</v>
      </c>
      <c r="J306" s="712">
        <f>SUMIFS(Sheet1!S71_OY1BudgetAmount,Sheet1!S71_SubMunicipalVoteNo,$AC:$AC,Sheet1!S71_ItemType,$AD:$AD)</f>
        <v>0</v>
      </c>
      <c r="K306" s="713">
        <f>SUMIFS(Sheet1!S71_OY2BudgetAmount,Sheet1!S71_SubMunicipalVoteNo,$AC:$AC,Sheet1!S71_ItemType,$AD:$AD)</f>
        <v>0</v>
      </c>
      <c r="L306" s="723"/>
      <c r="M306" s="735"/>
      <c r="N306" s="735"/>
      <c r="O306" s="735"/>
      <c r="P306" s="735"/>
      <c r="Q306" s="735"/>
      <c r="R306" s="735"/>
      <c r="S306" s="735"/>
      <c r="T306" s="735"/>
      <c r="U306" s="735"/>
      <c r="V306" s="735"/>
      <c r="W306" s="735"/>
      <c r="AC306" s="2312">
        <v>131</v>
      </c>
      <c r="AD306" s="2318" t="s">
        <v>2754</v>
      </c>
    </row>
    <row r="307" spans="1:30" ht="11.25" customHeight="1" x14ac:dyDescent="0.25">
      <c r="A307" s="136" t="str">
        <f t="shared" si="37"/>
        <v/>
      </c>
      <c r="B307" s="144"/>
      <c r="C307" s="712">
        <f>SUMIFS(Sheet1!S71_PPPYearAmount,Sheet1!S71_SubMunicipalVoteNo,$AC:$AC,Sheet1!S71_ItemType,$AD:$AD)</f>
        <v>0</v>
      </c>
      <c r="D307" s="712">
        <f>SUMIFS(Sheet1!S71_PPYearAmount,Sheet1!S71_SubMunicipalVoteNo,$AC:$AC,Sheet1!S71_ItemType,$AD:$AD)</f>
        <v>0</v>
      </c>
      <c r="E307" s="712">
        <f>SUMIFS(Sheet1!S71_PYearAmount,Sheet1!S71_SubMunicipalVoteNo,$AC:$AC,Sheet1!S71_ItemType,$AD:$AD)</f>
        <v>0</v>
      </c>
      <c r="F307" s="725">
        <f>SUMIFS(Sheet1!S71_OriginalBudAmnt,Sheet1!S71_SubMunicipalVoteNo,$AC:$AC,Sheet1!S71_ItemType,$AD:$AD)</f>
        <v>0</v>
      </c>
      <c r="G307" s="712">
        <f>SUMIFS(Sheet1!S71_AdjustmentBudAmnt,Sheet1!S71_SubMunicipalVoteNo,$AC:$AC,Sheet1!S71_ItemType,$AD:$AD)</f>
        <v>0</v>
      </c>
      <c r="H307" s="713">
        <f>SUMIFS(Sheet1!S71_AdjustmentBudAmnt,Sheet1!S71_SubMunicipalVoteNo,$AC:$AC,Sheet1!S71_ItemType,$AD:$AD)</f>
        <v>0</v>
      </c>
      <c r="I307" s="725">
        <f>SUMIFS(Sheet1!S71_ASBudgetAmount,Sheet1!S71_SubMunicipalVoteNo,$AC:$AC,Sheet1!S71_ItemType,$AD:$AD)</f>
        <v>0</v>
      </c>
      <c r="J307" s="712">
        <f>SUMIFS(Sheet1!S71_OY1BudgetAmount,Sheet1!S71_SubMunicipalVoteNo,$AC:$AC,Sheet1!S71_ItemType,$AD:$AD)</f>
        <v>0</v>
      </c>
      <c r="K307" s="713">
        <f>SUMIFS(Sheet1!S71_OY2BudgetAmount,Sheet1!S71_SubMunicipalVoteNo,$AC:$AC,Sheet1!S71_ItemType,$AD:$AD)</f>
        <v>0</v>
      </c>
      <c r="L307" s="723"/>
      <c r="M307" s="735"/>
      <c r="N307" s="735"/>
      <c r="O307" s="735"/>
      <c r="P307" s="735"/>
      <c r="Q307" s="735"/>
      <c r="R307" s="735"/>
      <c r="S307" s="735"/>
      <c r="T307" s="735"/>
      <c r="U307" s="735"/>
      <c r="V307" s="735"/>
      <c r="W307" s="735"/>
      <c r="AC307" s="2312">
        <v>132</v>
      </c>
      <c r="AD307" s="2318" t="s">
        <v>2754</v>
      </c>
    </row>
    <row r="308" spans="1:30" ht="11.25" customHeight="1" x14ac:dyDescent="0.25">
      <c r="A308" s="136" t="str">
        <f t="shared" si="37"/>
        <v/>
      </c>
      <c r="B308" s="144"/>
      <c r="C308" s="712">
        <f>SUMIFS(Sheet1!S71_PPPYearAmount,Sheet1!S71_SubMunicipalVoteNo,$AC:$AC,Sheet1!S71_ItemType,$AD:$AD)</f>
        <v>0</v>
      </c>
      <c r="D308" s="712">
        <f>SUMIFS(Sheet1!S71_PPYearAmount,Sheet1!S71_SubMunicipalVoteNo,$AC:$AC,Sheet1!S71_ItemType,$AD:$AD)</f>
        <v>0</v>
      </c>
      <c r="E308" s="712">
        <f>SUMIFS(Sheet1!S71_PYearAmount,Sheet1!S71_SubMunicipalVoteNo,$AC:$AC,Sheet1!S71_ItemType,$AD:$AD)</f>
        <v>0</v>
      </c>
      <c r="F308" s="725">
        <f>SUMIFS(Sheet1!S71_OriginalBudAmnt,Sheet1!S71_SubMunicipalVoteNo,$AC:$AC,Sheet1!S71_ItemType,$AD:$AD)</f>
        <v>0</v>
      </c>
      <c r="G308" s="712">
        <f>SUMIFS(Sheet1!S71_AdjustmentBudAmnt,Sheet1!S71_SubMunicipalVoteNo,$AC:$AC,Sheet1!S71_ItemType,$AD:$AD)</f>
        <v>0</v>
      </c>
      <c r="H308" s="713">
        <f>SUMIFS(Sheet1!S71_AdjustmentBudAmnt,Sheet1!S71_SubMunicipalVoteNo,$AC:$AC,Sheet1!S71_ItemType,$AD:$AD)</f>
        <v>0</v>
      </c>
      <c r="I308" s="725">
        <f>SUMIFS(Sheet1!S71_ASBudgetAmount,Sheet1!S71_SubMunicipalVoteNo,$AC:$AC,Sheet1!S71_ItemType,$AD:$AD)</f>
        <v>0</v>
      </c>
      <c r="J308" s="712">
        <f>SUMIFS(Sheet1!S71_OY1BudgetAmount,Sheet1!S71_SubMunicipalVoteNo,$AC:$AC,Sheet1!S71_ItemType,$AD:$AD)</f>
        <v>0</v>
      </c>
      <c r="K308" s="713">
        <f>SUMIFS(Sheet1!S71_OY2BudgetAmount,Sheet1!S71_SubMunicipalVoteNo,$AC:$AC,Sheet1!S71_ItemType,$AD:$AD)</f>
        <v>0</v>
      </c>
      <c r="L308" s="723"/>
      <c r="M308" s="735"/>
      <c r="N308" s="735"/>
      <c r="O308" s="735"/>
      <c r="P308" s="735"/>
      <c r="Q308" s="735"/>
      <c r="R308" s="735"/>
      <c r="S308" s="735"/>
      <c r="T308" s="735"/>
      <c r="U308" s="735"/>
      <c r="V308" s="735"/>
      <c r="W308" s="735"/>
      <c r="AC308" s="2312">
        <v>133</v>
      </c>
      <c r="AD308" s="2318" t="s">
        <v>2754</v>
      </c>
    </row>
    <row r="309" spans="1:30" ht="11.25" customHeight="1" x14ac:dyDescent="0.25">
      <c r="A309" s="136" t="str">
        <f t="shared" si="37"/>
        <v/>
      </c>
      <c r="B309" s="144"/>
      <c r="C309" s="712">
        <f>SUMIFS(Sheet1!S71_PPPYearAmount,Sheet1!S71_SubMunicipalVoteNo,$AC:$AC,Sheet1!S71_ItemType,$AD:$AD)</f>
        <v>0</v>
      </c>
      <c r="D309" s="712">
        <f>SUMIFS(Sheet1!S71_PPYearAmount,Sheet1!S71_SubMunicipalVoteNo,$AC:$AC,Sheet1!S71_ItemType,$AD:$AD)</f>
        <v>0</v>
      </c>
      <c r="E309" s="712">
        <f>SUMIFS(Sheet1!S71_PYearAmount,Sheet1!S71_SubMunicipalVoteNo,$AC:$AC,Sheet1!S71_ItemType,$AD:$AD)</f>
        <v>0</v>
      </c>
      <c r="F309" s="725">
        <f>SUMIFS(Sheet1!S71_OriginalBudAmnt,Sheet1!S71_SubMunicipalVoteNo,$AC:$AC,Sheet1!S71_ItemType,$AD:$AD)</f>
        <v>0</v>
      </c>
      <c r="G309" s="712">
        <f>SUMIFS(Sheet1!S71_AdjustmentBudAmnt,Sheet1!S71_SubMunicipalVoteNo,$AC:$AC,Sheet1!S71_ItemType,$AD:$AD)</f>
        <v>0</v>
      </c>
      <c r="H309" s="713">
        <f>SUMIFS(Sheet1!S71_AdjustmentBudAmnt,Sheet1!S71_SubMunicipalVoteNo,$AC:$AC,Sheet1!S71_ItemType,$AD:$AD)</f>
        <v>0</v>
      </c>
      <c r="I309" s="725">
        <f>SUMIFS(Sheet1!S71_ASBudgetAmount,Sheet1!S71_SubMunicipalVoteNo,$AC:$AC,Sheet1!S71_ItemType,$AD:$AD)</f>
        <v>0</v>
      </c>
      <c r="J309" s="712">
        <f>SUMIFS(Sheet1!S71_OY1BudgetAmount,Sheet1!S71_SubMunicipalVoteNo,$AC:$AC,Sheet1!S71_ItemType,$AD:$AD)</f>
        <v>0</v>
      </c>
      <c r="K309" s="713">
        <f>SUMIFS(Sheet1!S71_OY2BudgetAmount,Sheet1!S71_SubMunicipalVoteNo,$AC:$AC,Sheet1!S71_ItemType,$AD:$AD)</f>
        <v>0</v>
      </c>
      <c r="L309" s="723"/>
      <c r="M309" s="735"/>
      <c r="N309" s="735"/>
      <c r="O309" s="735"/>
      <c r="P309" s="735"/>
      <c r="Q309" s="735"/>
      <c r="R309" s="735"/>
      <c r="S309" s="735"/>
      <c r="T309" s="735"/>
      <c r="U309" s="735"/>
      <c r="V309" s="735"/>
      <c r="W309" s="735"/>
      <c r="AC309" s="2312">
        <v>134</v>
      </c>
      <c r="AD309" s="2318" t="s">
        <v>2754</v>
      </c>
    </row>
    <row r="310" spans="1:30" ht="11.25" customHeight="1" x14ac:dyDescent="0.25">
      <c r="A310" s="136" t="str">
        <f t="shared" si="37"/>
        <v/>
      </c>
      <c r="B310" s="144"/>
      <c r="C310" s="712">
        <f>SUMIFS(Sheet1!S71_PPPYearAmount,Sheet1!S71_SubMunicipalVoteNo,$AC:$AC,Sheet1!S71_ItemType,$AD:$AD)</f>
        <v>0</v>
      </c>
      <c r="D310" s="712">
        <f>SUMIFS(Sheet1!S71_PPYearAmount,Sheet1!S71_SubMunicipalVoteNo,$AC:$AC,Sheet1!S71_ItemType,$AD:$AD)</f>
        <v>0</v>
      </c>
      <c r="E310" s="712">
        <f>SUMIFS(Sheet1!S71_PYearAmount,Sheet1!S71_SubMunicipalVoteNo,$AC:$AC,Sheet1!S71_ItemType,$AD:$AD)</f>
        <v>0</v>
      </c>
      <c r="F310" s="725">
        <f>SUMIFS(Sheet1!S71_OriginalBudAmnt,Sheet1!S71_SubMunicipalVoteNo,$AC:$AC,Sheet1!S71_ItemType,$AD:$AD)</f>
        <v>0</v>
      </c>
      <c r="G310" s="712">
        <f>SUMIFS(Sheet1!S71_AdjustmentBudAmnt,Sheet1!S71_SubMunicipalVoteNo,$AC:$AC,Sheet1!S71_ItemType,$AD:$AD)</f>
        <v>0</v>
      </c>
      <c r="H310" s="713">
        <f>SUMIFS(Sheet1!S71_AdjustmentBudAmnt,Sheet1!S71_SubMunicipalVoteNo,$AC:$AC,Sheet1!S71_ItemType,$AD:$AD)</f>
        <v>0</v>
      </c>
      <c r="I310" s="725">
        <f>SUMIFS(Sheet1!S71_ASBudgetAmount,Sheet1!S71_SubMunicipalVoteNo,$AC:$AC,Sheet1!S71_ItemType,$AD:$AD)</f>
        <v>0</v>
      </c>
      <c r="J310" s="712">
        <f>SUMIFS(Sheet1!S71_OY1BudgetAmount,Sheet1!S71_SubMunicipalVoteNo,$AC:$AC,Sheet1!S71_ItemType,$AD:$AD)</f>
        <v>0</v>
      </c>
      <c r="K310" s="713">
        <f>SUMIFS(Sheet1!S71_OY2BudgetAmount,Sheet1!S71_SubMunicipalVoteNo,$AC:$AC,Sheet1!S71_ItemType,$AD:$AD)</f>
        <v>0</v>
      </c>
      <c r="L310" s="723"/>
      <c r="M310" s="735"/>
      <c r="N310" s="735"/>
      <c r="O310" s="735"/>
      <c r="P310" s="735"/>
      <c r="Q310" s="735"/>
      <c r="R310" s="735"/>
      <c r="S310" s="735"/>
      <c r="T310" s="735"/>
      <c r="U310" s="735"/>
      <c r="V310" s="735"/>
      <c r="W310" s="735"/>
      <c r="AC310" s="2312">
        <v>135</v>
      </c>
      <c r="AD310" s="2318" t="s">
        <v>2754</v>
      </c>
    </row>
    <row r="311" spans="1:30" ht="11.25" customHeight="1" x14ac:dyDescent="0.25">
      <c r="A311" s="136" t="str">
        <f t="shared" si="37"/>
        <v/>
      </c>
      <c r="B311" s="144"/>
      <c r="C311" s="712">
        <f>SUMIFS(Sheet1!S71_PPPYearAmount,Sheet1!S71_SubMunicipalVoteNo,$AC:$AC,Sheet1!S71_ItemType,$AD:$AD)</f>
        <v>0</v>
      </c>
      <c r="D311" s="712">
        <f>SUMIFS(Sheet1!S71_PPYearAmount,Sheet1!S71_SubMunicipalVoteNo,$AC:$AC,Sheet1!S71_ItemType,$AD:$AD)</f>
        <v>0</v>
      </c>
      <c r="E311" s="712">
        <f>SUMIFS(Sheet1!S71_PYearAmount,Sheet1!S71_SubMunicipalVoteNo,$AC:$AC,Sheet1!S71_ItemType,$AD:$AD)</f>
        <v>0</v>
      </c>
      <c r="F311" s="725">
        <f>SUMIFS(Sheet1!S71_OriginalBudAmnt,Sheet1!S71_SubMunicipalVoteNo,$AC:$AC,Sheet1!S71_ItemType,$AD:$AD)</f>
        <v>0</v>
      </c>
      <c r="G311" s="712">
        <f>SUMIFS(Sheet1!S71_AdjustmentBudAmnt,Sheet1!S71_SubMunicipalVoteNo,$AC:$AC,Sheet1!S71_ItemType,$AD:$AD)</f>
        <v>0</v>
      </c>
      <c r="H311" s="713">
        <f>SUMIFS(Sheet1!S71_AdjustmentBudAmnt,Sheet1!S71_SubMunicipalVoteNo,$AC:$AC,Sheet1!S71_ItemType,$AD:$AD)</f>
        <v>0</v>
      </c>
      <c r="I311" s="725">
        <f>SUMIFS(Sheet1!S71_ASBudgetAmount,Sheet1!S71_SubMunicipalVoteNo,$AC:$AC,Sheet1!S71_ItemType,$AD:$AD)</f>
        <v>0</v>
      </c>
      <c r="J311" s="712">
        <f>SUMIFS(Sheet1!S71_OY1BudgetAmount,Sheet1!S71_SubMunicipalVoteNo,$AC:$AC,Sheet1!S71_ItemType,$AD:$AD)</f>
        <v>0</v>
      </c>
      <c r="K311" s="713">
        <f>SUMIFS(Sheet1!S71_OY2BudgetAmount,Sheet1!S71_SubMunicipalVoteNo,$AC:$AC,Sheet1!S71_ItemType,$AD:$AD)</f>
        <v>0</v>
      </c>
      <c r="L311" s="723"/>
      <c r="M311" s="735"/>
      <c r="N311" s="735"/>
      <c r="O311" s="735"/>
      <c r="P311" s="735"/>
      <c r="Q311" s="735"/>
      <c r="R311" s="735"/>
      <c r="S311" s="735"/>
      <c r="T311" s="735"/>
      <c r="U311" s="735"/>
      <c r="V311" s="735"/>
      <c r="W311" s="735"/>
      <c r="AC311" s="2312">
        <v>136</v>
      </c>
      <c r="AD311" s="2318" t="s">
        <v>2754</v>
      </c>
    </row>
    <row r="312" spans="1:30" ht="11.25" customHeight="1" x14ac:dyDescent="0.25">
      <c r="A312" s="136" t="str">
        <f t="shared" si="37"/>
        <v/>
      </c>
      <c r="B312" s="144"/>
      <c r="C312" s="712">
        <f>SUMIFS(Sheet1!S71_PPPYearAmount,Sheet1!S71_SubMunicipalVoteNo,$AC:$AC,Sheet1!S71_ItemType,$AD:$AD)</f>
        <v>0</v>
      </c>
      <c r="D312" s="712">
        <f>SUMIFS(Sheet1!S71_PPYearAmount,Sheet1!S71_SubMunicipalVoteNo,$AC:$AC,Sheet1!S71_ItemType,$AD:$AD)</f>
        <v>0</v>
      </c>
      <c r="E312" s="712">
        <f>SUMIFS(Sheet1!S71_PYearAmount,Sheet1!S71_SubMunicipalVoteNo,$AC:$AC,Sheet1!S71_ItemType,$AD:$AD)</f>
        <v>0</v>
      </c>
      <c r="F312" s="725">
        <f>SUMIFS(Sheet1!S71_OriginalBudAmnt,Sheet1!S71_SubMunicipalVoteNo,$AC:$AC,Sheet1!S71_ItemType,$AD:$AD)</f>
        <v>0</v>
      </c>
      <c r="G312" s="712">
        <f>SUMIFS(Sheet1!S71_AdjustmentBudAmnt,Sheet1!S71_SubMunicipalVoteNo,$AC:$AC,Sheet1!S71_ItemType,$AD:$AD)</f>
        <v>0</v>
      </c>
      <c r="H312" s="713">
        <f>SUMIFS(Sheet1!S71_AdjustmentBudAmnt,Sheet1!S71_SubMunicipalVoteNo,$AC:$AC,Sheet1!S71_ItemType,$AD:$AD)</f>
        <v>0</v>
      </c>
      <c r="I312" s="725">
        <f>SUMIFS(Sheet1!S71_ASBudgetAmount,Sheet1!S71_SubMunicipalVoteNo,$AC:$AC,Sheet1!S71_ItemType,$AD:$AD)</f>
        <v>0</v>
      </c>
      <c r="J312" s="712">
        <f>SUMIFS(Sheet1!S71_OY1BudgetAmount,Sheet1!S71_SubMunicipalVoteNo,$AC:$AC,Sheet1!S71_ItemType,$AD:$AD)</f>
        <v>0</v>
      </c>
      <c r="K312" s="713">
        <f>SUMIFS(Sheet1!S71_OY2BudgetAmount,Sheet1!S71_SubMunicipalVoteNo,$AC:$AC,Sheet1!S71_ItemType,$AD:$AD)</f>
        <v>0</v>
      </c>
      <c r="L312" s="723"/>
      <c r="M312" s="735"/>
      <c r="N312" s="735"/>
      <c r="O312" s="735"/>
      <c r="P312" s="735"/>
      <c r="Q312" s="735"/>
      <c r="R312" s="735"/>
      <c r="S312" s="735"/>
      <c r="T312" s="735"/>
      <c r="U312" s="735"/>
      <c r="V312" s="735"/>
      <c r="W312" s="735"/>
      <c r="AC312" s="2312">
        <v>137</v>
      </c>
      <c r="AD312" s="2318" t="s">
        <v>2754</v>
      </c>
    </row>
    <row r="313" spans="1:30" ht="11.25" customHeight="1" x14ac:dyDescent="0.25">
      <c r="A313" s="136" t="str">
        <f t="shared" si="37"/>
        <v/>
      </c>
      <c r="B313" s="144"/>
      <c r="C313" s="712">
        <f>SUMIFS(Sheet1!S71_PPPYearAmount,Sheet1!S71_SubMunicipalVoteNo,$AC:$AC,Sheet1!S71_ItemType,$AD:$AD)</f>
        <v>0</v>
      </c>
      <c r="D313" s="712">
        <f>SUMIFS(Sheet1!S71_PPYearAmount,Sheet1!S71_SubMunicipalVoteNo,$AC:$AC,Sheet1!S71_ItemType,$AD:$AD)</f>
        <v>0</v>
      </c>
      <c r="E313" s="712">
        <f>SUMIFS(Sheet1!S71_PYearAmount,Sheet1!S71_SubMunicipalVoteNo,$AC:$AC,Sheet1!S71_ItemType,$AD:$AD)</f>
        <v>0</v>
      </c>
      <c r="F313" s="725">
        <f>SUMIFS(Sheet1!S71_OriginalBudAmnt,Sheet1!S71_SubMunicipalVoteNo,$AC:$AC,Sheet1!S71_ItemType,$AD:$AD)</f>
        <v>0</v>
      </c>
      <c r="G313" s="712">
        <f>SUMIFS(Sheet1!S71_AdjustmentBudAmnt,Sheet1!S71_SubMunicipalVoteNo,$AC:$AC,Sheet1!S71_ItemType,$AD:$AD)</f>
        <v>0</v>
      </c>
      <c r="H313" s="713">
        <f>SUMIFS(Sheet1!S71_AdjustmentBudAmnt,Sheet1!S71_SubMunicipalVoteNo,$AC:$AC,Sheet1!S71_ItemType,$AD:$AD)</f>
        <v>0</v>
      </c>
      <c r="I313" s="725">
        <f>SUMIFS(Sheet1!S71_ASBudgetAmount,Sheet1!S71_SubMunicipalVoteNo,$AC:$AC,Sheet1!S71_ItemType,$AD:$AD)</f>
        <v>0</v>
      </c>
      <c r="J313" s="712">
        <f>SUMIFS(Sheet1!S71_OY1BudgetAmount,Sheet1!S71_SubMunicipalVoteNo,$AC:$AC,Sheet1!S71_ItemType,$AD:$AD)</f>
        <v>0</v>
      </c>
      <c r="K313" s="713">
        <f>SUMIFS(Sheet1!S71_OY2BudgetAmount,Sheet1!S71_SubMunicipalVoteNo,$AC:$AC,Sheet1!S71_ItemType,$AD:$AD)</f>
        <v>0</v>
      </c>
      <c r="L313" s="723"/>
      <c r="M313" s="735"/>
      <c r="N313" s="735"/>
      <c r="O313" s="735"/>
      <c r="P313" s="735"/>
      <c r="Q313" s="735"/>
      <c r="R313" s="735"/>
      <c r="S313" s="735"/>
      <c r="T313" s="735"/>
      <c r="U313" s="735"/>
      <c r="V313" s="735"/>
      <c r="W313" s="735"/>
      <c r="AC313" s="2312">
        <v>138</v>
      </c>
      <c r="AD313" s="2318" t="s">
        <v>2754</v>
      </c>
    </row>
    <row r="314" spans="1:30" ht="11.25" customHeight="1" x14ac:dyDescent="0.25">
      <c r="A314" s="136" t="str">
        <f t="shared" si="37"/>
        <v/>
      </c>
      <c r="B314" s="144"/>
      <c r="C314" s="712">
        <f>SUMIFS(Sheet1!S71_PPPYearAmount,Sheet1!S71_SubMunicipalVoteNo,$AC:$AC,Sheet1!S71_ItemType,$AD:$AD)</f>
        <v>0</v>
      </c>
      <c r="D314" s="712">
        <f>SUMIFS(Sheet1!S71_PPYearAmount,Sheet1!S71_SubMunicipalVoteNo,$AC:$AC,Sheet1!S71_ItemType,$AD:$AD)</f>
        <v>0</v>
      </c>
      <c r="E314" s="712">
        <f>SUMIFS(Sheet1!S71_PYearAmount,Sheet1!S71_SubMunicipalVoteNo,$AC:$AC,Sheet1!S71_ItemType,$AD:$AD)</f>
        <v>0</v>
      </c>
      <c r="F314" s="725">
        <f>SUMIFS(Sheet1!S71_OriginalBudAmnt,Sheet1!S71_SubMunicipalVoteNo,$AC:$AC,Sheet1!S71_ItemType,$AD:$AD)</f>
        <v>0</v>
      </c>
      <c r="G314" s="712">
        <f>SUMIFS(Sheet1!S71_AdjustmentBudAmnt,Sheet1!S71_SubMunicipalVoteNo,$AC:$AC,Sheet1!S71_ItemType,$AD:$AD)</f>
        <v>0</v>
      </c>
      <c r="H314" s="713">
        <f>SUMIFS(Sheet1!S71_AdjustmentBudAmnt,Sheet1!S71_SubMunicipalVoteNo,$AC:$AC,Sheet1!S71_ItemType,$AD:$AD)</f>
        <v>0</v>
      </c>
      <c r="I314" s="725">
        <f>SUMIFS(Sheet1!S71_ASBudgetAmount,Sheet1!S71_SubMunicipalVoteNo,$AC:$AC,Sheet1!S71_ItemType,$AD:$AD)</f>
        <v>0</v>
      </c>
      <c r="J314" s="712">
        <f>SUMIFS(Sheet1!S71_OY1BudgetAmount,Sheet1!S71_SubMunicipalVoteNo,$AC:$AC,Sheet1!S71_ItemType,$AD:$AD)</f>
        <v>0</v>
      </c>
      <c r="K314" s="713">
        <f>SUMIFS(Sheet1!S71_OY2BudgetAmount,Sheet1!S71_SubMunicipalVoteNo,$AC:$AC,Sheet1!S71_ItemType,$AD:$AD)</f>
        <v>0</v>
      </c>
      <c r="L314" s="723"/>
      <c r="M314" s="735"/>
      <c r="N314" s="735"/>
      <c r="O314" s="735"/>
      <c r="P314" s="735"/>
      <c r="Q314" s="735"/>
      <c r="R314" s="735"/>
      <c r="S314" s="735"/>
      <c r="T314" s="735"/>
      <c r="U314" s="735"/>
      <c r="V314" s="735"/>
      <c r="W314" s="735"/>
      <c r="AC314" s="2312">
        <v>139</v>
      </c>
      <c r="AD314" s="2318" t="s">
        <v>2754</v>
      </c>
    </row>
    <row r="315" spans="1:30" ht="11.25" customHeight="1" x14ac:dyDescent="0.25">
      <c r="A315" s="136" t="str">
        <f t="shared" si="37"/>
        <v/>
      </c>
      <c r="B315" s="144"/>
      <c r="C315" s="712">
        <f>SUMIFS(Sheet1!S71_PPPYearAmount,Sheet1!S71_SubMunicipalVoteNo,$AC:$AC,Sheet1!S71_ItemType,$AD:$AD)</f>
        <v>0</v>
      </c>
      <c r="D315" s="712">
        <f>SUMIFS(Sheet1!S71_PPYearAmount,Sheet1!S71_SubMunicipalVoteNo,$AC:$AC,Sheet1!S71_ItemType,$AD:$AD)</f>
        <v>0</v>
      </c>
      <c r="E315" s="712">
        <f>SUMIFS(Sheet1!S71_PYearAmount,Sheet1!S71_SubMunicipalVoteNo,$AC:$AC,Sheet1!S71_ItemType,$AD:$AD)</f>
        <v>0</v>
      </c>
      <c r="F315" s="725">
        <f>SUMIFS(Sheet1!S71_OriginalBudAmnt,Sheet1!S71_SubMunicipalVoteNo,$AC:$AC,Sheet1!S71_ItemType,$AD:$AD)</f>
        <v>0</v>
      </c>
      <c r="G315" s="712">
        <f>SUMIFS(Sheet1!S71_AdjustmentBudAmnt,Sheet1!S71_SubMunicipalVoteNo,$AC:$AC,Sheet1!S71_ItemType,$AD:$AD)</f>
        <v>0</v>
      </c>
      <c r="H315" s="713">
        <f>SUMIFS(Sheet1!S71_AdjustmentBudAmnt,Sheet1!S71_SubMunicipalVoteNo,$AC:$AC,Sheet1!S71_ItemType,$AD:$AD)</f>
        <v>0</v>
      </c>
      <c r="I315" s="725">
        <f>SUMIFS(Sheet1!S71_ASBudgetAmount,Sheet1!S71_SubMunicipalVoteNo,$AC:$AC,Sheet1!S71_ItemType,$AD:$AD)</f>
        <v>0</v>
      </c>
      <c r="J315" s="712">
        <f>SUMIFS(Sheet1!S71_OY1BudgetAmount,Sheet1!S71_SubMunicipalVoteNo,$AC:$AC,Sheet1!S71_ItemType,$AD:$AD)</f>
        <v>0</v>
      </c>
      <c r="K315" s="713">
        <f>SUMIFS(Sheet1!S71_OY2BudgetAmount,Sheet1!S71_SubMunicipalVoteNo,$AC:$AC,Sheet1!S71_ItemType,$AD:$AD)</f>
        <v>0</v>
      </c>
      <c r="L315" s="723"/>
      <c r="M315" s="735"/>
      <c r="N315" s="735"/>
      <c r="O315" s="735"/>
      <c r="P315" s="735"/>
      <c r="Q315" s="735"/>
      <c r="R315" s="735"/>
      <c r="S315" s="735"/>
      <c r="T315" s="735"/>
      <c r="U315" s="735"/>
      <c r="V315" s="735"/>
      <c r="W315" s="735"/>
      <c r="AC315" s="2312">
        <v>1310</v>
      </c>
      <c r="AD315" s="2318" t="s">
        <v>2754</v>
      </c>
    </row>
    <row r="316" spans="1:30" ht="15" customHeight="1" x14ac:dyDescent="0.25">
      <c r="A316" s="135" t="str">
        <f t="shared" si="37"/>
        <v>Vote 14 - Waste Water Management</v>
      </c>
      <c r="B316" s="144"/>
      <c r="C316" s="212">
        <f t="shared" ref="C316:K316" si="40">SUM(C317:C326)</f>
        <v>0</v>
      </c>
      <c r="D316" s="212">
        <f t="shared" si="40"/>
        <v>129</v>
      </c>
      <c r="E316" s="213">
        <f t="shared" si="40"/>
        <v>0</v>
      </c>
      <c r="F316" s="214">
        <f t="shared" si="40"/>
        <v>0</v>
      </c>
      <c r="G316" s="212">
        <f t="shared" si="40"/>
        <v>0</v>
      </c>
      <c r="H316" s="215">
        <f t="shared" si="40"/>
        <v>0</v>
      </c>
      <c r="I316" s="216">
        <f t="shared" si="40"/>
        <v>0</v>
      </c>
      <c r="J316" s="212">
        <f t="shared" si="40"/>
        <v>0</v>
      </c>
      <c r="K316" s="213">
        <f t="shared" si="40"/>
        <v>0</v>
      </c>
      <c r="L316" s="723"/>
      <c r="M316" s="735"/>
      <c r="N316" s="735"/>
      <c r="O316" s="735"/>
      <c r="P316" s="735"/>
      <c r="Q316" s="735"/>
      <c r="R316" s="735"/>
      <c r="S316" s="735"/>
      <c r="T316" s="735"/>
      <c r="U316" s="735"/>
      <c r="V316" s="735"/>
      <c r="W316" s="735"/>
      <c r="AD316" s="2315"/>
    </row>
    <row r="317" spans="1:30" ht="11.25" customHeight="1" x14ac:dyDescent="0.25">
      <c r="A317" s="136" t="str">
        <f t="shared" si="37"/>
        <v>14.1 - Storm Water Management</v>
      </c>
      <c r="B317" s="144"/>
      <c r="C317" s="712">
        <f>SUMIFS(Sheet1!S71_PPPYearAmount,Sheet1!S71_SubMunicipalVoteNo,$AC:$AC,Sheet1!S71_ItemType,$AD:$AD)</f>
        <v>0</v>
      </c>
      <c r="D317" s="712">
        <f>SUMIFS(Sheet1!S71_PPYearAmount,Sheet1!S71_SubMunicipalVoteNo,$AC:$AC,Sheet1!S71_ItemType,$AD:$AD)</f>
        <v>129</v>
      </c>
      <c r="E317" s="712">
        <f>SUMIFS(Sheet1!S71_PYearAmount,Sheet1!S71_SubMunicipalVoteNo,$AC:$AC,Sheet1!S71_ItemType,$AD:$AD)</f>
        <v>0</v>
      </c>
      <c r="F317" s="725">
        <f>SUMIFS(Sheet1!S71_OriginalBudAmnt,Sheet1!S71_SubMunicipalVoteNo,$AC:$AC,Sheet1!S71_ItemType,$AD:$AD)</f>
        <v>0</v>
      </c>
      <c r="G317" s="712">
        <f>SUMIFS(Sheet1!S71_AdjustmentBudAmnt,Sheet1!S71_SubMunicipalVoteNo,$AC:$AC,Sheet1!S71_ItemType,$AD:$AD)</f>
        <v>0</v>
      </c>
      <c r="H317" s="713">
        <f>SUMIFS(Sheet1!S71_AdjustmentBudAmnt,Sheet1!S71_SubMunicipalVoteNo,$AC:$AC,Sheet1!S71_ItemType,$AD:$AD)</f>
        <v>0</v>
      </c>
      <c r="I317" s="725">
        <f>SUMIFS(Sheet1!S71_ASBudgetAmount,Sheet1!S71_SubMunicipalVoteNo,$AC:$AC,Sheet1!S71_ItemType,$AD:$AD)</f>
        <v>0</v>
      </c>
      <c r="J317" s="712">
        <f>SUMIFS(Sheet1!S71_OY1BudgetAmount,Sheet1!S71_SubMunicipalVoteNo,$AC:$AC,Sheet1!S71_ItemType,$AD:$AD)</f>
        <v>0</v>
      </c>
      <c r="K317" s="713">
        <f>SUMIFS(Sheet1!S71_OY2BudgetAmount,Sheet1!S71_SubMunicipalVoteNo,$AC:$AC,Sheet1!S71_ItemType,$AD:$AD)</f>
        <v>0</v>
      </c>
      <c r="L317" s="723"/>
      <c r="M317" s="735"/>
      <c r="N317" s="735"/>
      <c r="O317" s="735"/>
      <c r="P317" s="735"/>
      <c r="Q317" s="735"/>
      <c r="R317" s="735"/>
      <c r="S317" s="735"/>
      <c r="T317" s="735"/>
      <c r="U317" s="735"/>
      <c r="V317" s="735"/>
      <c r="W317" s="735"/>
      <c r="AC317" s="2312">
        <v>141</v>
      </c>
      <c r="AD317" s="2318" t="s">
        <v>2754</v>
      </c>
    </row>
    <row r="318" spans="1:30" ht="11.25" customHeight="1" x14ac:dyDescent="0.25">
      <c r="A318" s="136" t="str">
        <f t="shared" si="37"/>
        <v/>
      </c>
      <c r="B318" s="144"/>
      <c r="C318" s="712">
        <f>SUMIFS(Sheet1!S71_PPPYearAmount,Sheet1!S71_SubMunicipalVoteNo,$AC:$AC,Sheet1!S71_ItemType,$AD:$AD)</f>
        <v>0</v>
      </c>
      <c r="D318" s="712">
        <f>SUMIFS(Sheet1!S71_PPYearAmount,Sheet1!S71_SubMunicipalVoteNo,$AC:$AC,Sheet1!S71_ItemType,$AD:$AD)</f>
        <v>0</v>
      </c>
      <c r="E318" s="712">
        <f>SUMIFS(Sheet1!S71_PYearAmount,Sheet1!S71_SubMunicipalVoteNo,$AC:$AC,Sheet1!S71_ItemType,$AD:$AD)</f>
        <v>0</v>
      </c>
      <c r="F318" s="725">
        <f>SUMIFS(Sheet1!S71_OriginalBudAmnt,Sheet1!S71_SubMunicipalVoteNo,$AC:$AC,Sheet1!S71_ItemType,$AD:$AD)</f>
        <v>0</v>
      </c>
      <c r="G318" s="712">
        <f>SUMIFS(Sheet1!S71_AdjustmentBudAmnt,Sheet1!S71_SubMunicipalVoteNo,$AC:$AC,Sheet1!S71_ItemType,$AD:$AD)</f>
        <v>0</v>
      </c>
      <c r="H318" s="713">
        <f>SUMIFS(Sheet1!S71_AdjustmentBudAmnt,Sheet1!S71_SubMunicipalVoteNo,$AC:$AC,Sheet1!S71_ItemType,$AD:$AD)</f>
        <v>0</v>
      </c>
      <c r="I318" s="725">
        <f>SUMIFS(Sheet1!S71_ASBudgetAmount,Sheet1!S71_SubMunicipalVoteNo,$AC:$AC,Sheet1!S71_ItemType,$AD:$AD)</f>
        <v>0</v>
      </c>
      <c r="J318" s="712">
        <f>SUMIFS(Sheet1!S71_OY1BudgetAmount,Sheet1!S71_SubMunicipalVoteNo,$AC:$AC,Sheet1!S71_ItemType,$AD:$AD)</f>
        <v>0</v>
      </c>
      <c r="K318" s="713">
        <f>SUMIFS(Sheet1!S71_OY2BudgetAmount,Sheet1!S71_SubMunicipalVoteNo,$AC:$AC,Sheet1!S71_ItemType,$AD:$AD)</f>
        <v>0</v>
      </c>
      <c r="L318" s="723"/>
      <c r="M318" s="735"/>
      <c r="N318" s="735"/>
      <c r="O318" s="735"/>
      <c r="P318" s="735"/>
      <c r="Q318" s="735"/>
      <c r="R318" s="735"/>
      <c r="S318" s="735"/>
      <c r="T318" s="735"/>
      <c r="U318" s="735"/>
      <c r="V318" s="735"/>
      <c r="W318" s="735"/>
      <c r="AC318" s="2312">
        <v>142</v>
      </c>
      <c r="AD318" s="2318" t="s">
        <v>2754</v>
      </c>
    </row>
    <row r="319" spans="1:30" ht="11.25" customHeight="1" x14ac:dyDescent="0.25">
      <c r="A319" s="136" t="str">
        <f t="shared" si="37"/>
        <v/>
      </c>
      <c r="B319" s="144"/>
      <c r="C319" s="712">
        <f>SUMIFS(Sheet1!S71_PPPYearAmount,Sheet1!S71_SubMunicipalVoteNo,$AC:$AC,Sheet1!S71_ItemType,$AD:$AD)</f>
        <v>0</v>
      </c>
      <c r="D319" s="712">
        <f>SUMIFS(Sheet1!S71_PPYearAmount,Sheet1!S71_SubMunicipalVoteNo,$AC:$AC,Sheet1!S71_ItemType,$AD:$AD)</f>
        <v>0</v>
      </c>
      <c r="E319" s="712">
        <f>SUMIFS(Sheet1!S71_PYearAmount,Sheet1!S71_SubMunicipalVoteNo,$AC:$AC,Sheet1!S71_ItemType,$AD:$AD)</f>
        <v>0</v>
      </c>
      <c r="F319" s="725">
        <f>SUMIFS(Sheet1!S71_OriginalBudAmnt,Sheet1!S71_SubMunicipalVoteNo,$AC:$AC,Sheet1!S71_ItemType,$AD:$AD)</f>
        <v>0</v>
      </c>
      <c r="G319" s="712">
        <f>SUMIFS(Sheet1!S71_AdjustmentBudAmnt,Sheet1!S71_SubMunicipalVoteNo,$AC:$AC,Sheet1!S71_ItemType,$AD:$AD)</f>
        <v>0</v>
      </c>
      <c r="H319" s="713">
        <f>SUMIFS(Sheet1!S71_AdjustmentBudAmnt,Sheet1!S71_SubMunicipalVoteNo,$AC:$AC,Sheet1!S71_ItemType,$AD:$AD)</f>
        <v>0</v>
      </c>
      <c r="I319" s="725">
        <f>SUMIFS(Sheet1!S71_ASBudgetAmount,Sheet1!S71_SubMunicipalVoteNo,$AC:$AC,Sheet1!S71_ItemType,$AD:$AD)</f>
        <v>0</v>
      </c>
      <c r="J319" s="712">
        <f>SUMIFS(Sheet1!S71_OY1BudgetAmount,Sheet1!S71_SubMunicipalVoteNo,$AC:$AC,Sheet1!S71_ItemType,$AD:$AD)</f>
        <v>0</v>
      </c>
      <c r="K319" s="713">
        <f>SUMIFS(Sheet1!S71_OY2BudgetAmount,Sheet1!S71_SubMunicipalVoteNo,$AC:$AC,Sheet1!S71_ItemType,$AD:$AD)</f>
        <v>0</v>
      </c>
      <c r="L319" s="723"/>
      <c r="M319" s="735"/>
      <c r="N319" s="735"/>
      <c r="O319" s="735"/>
      <c r="P319" s="735"/>
      <c r="Q319" s="735"/>
      <c r="R319" s="735"/>
      <c r="S319" s="735"/>
      <c r="T319" s="735"/>
      <c r="U319" s="735"/>
      <c r="V319" s="735"/>
      <c r="W319" s="735"/>
      <c r="AC319" s="2312">
        <v>143</v>
      </c>
      <c r="AD319" s="2318" t="s">
        <v>2754</v>
      </c>
    </row>
    <row r="320" spans="1:30" ht="11.25" customHeight="1" x14ac:dyDescent="0.25">
      <c r="A320" s="136" t="str">
        <f t="shared" si="37"/>
        <v/>
      </c>
      <c r="B320" s="144"/>
      <c r="C320" s="712">
        <f>SUMIFS(Sheet1!S71_PPPYearAmount,Sheet1!S71_SubMunicipalVoteNo,$AC:$AC,Sheet1!S71_ItemType,$AD:$AD)</f>
        <v>0</v>
      </c>
      <c r="D320" s="712">
        <f>SUMIFS(Sheet1!S71_PPYearAmount,Sheet1!S71_SubMunicipalVoteNo,$AC:$AC,Sheet1!S71_ItemType,$AD:$AD)</f>
        <v>0</v>
      </c>
      <c r="E320" s="712">
        <f>SUMIFS(Sheet1!S71_PYearAmount,Sheet1!S71_SubMunicipalVoteNo,$AC:$AC,Sheet1!S71_ItemType,$AD:$AD)</f>
        <v>0</v>
      </c>
      <c r="F320" s="725">
        <f>SUMIFS(Sheet1!S71_OriginalBudAmnt,Sheet1!S71_SubMunicipalVoteNo,$AC:$AC,Sheet1!S71_ItemType,$AD:$AD)</f>
        <v>0</v>
      </c>
      <c r="G320" s="712">
        <f>SUMIFS(Sheet1!S71_AdjustmentBudAmnt,Sheet1!S71_SubMunicipalVoteNo,$AC:$AC,Sheet1!S71_ItemType,$AD:$AD)</f>
        <v>0</v>
      </c>
      <c r="H320" s="713">
        <f>SUMIFS(Sheet1!S71_AdjustmentBudAmnt,Sheet1!S71_SubMunicipalVoteNo,$AC:$AC,Sheet1!S71_ItemType,$AD:$AD)</f>
        <v>0</v>
      </c>
      <c r="I320" s="725">
        <f>SUMIFS(Sheet1!S71_ASBudgetAmount,Sheet1!S71_SubMunicipalVoteNo,$AC:$AC,Sheet1!S71_ItemType,$AD:$AD)</f>
        <v>0</v>
      </c>
      <c r="J320" s="712">
        <f>SUMIFS(Sheet1!S71_OY1BudgetAmount,Sheet1!S71_SubMunicipalVoteNo,$AC:$AC,Sheet1!S71_ItemType,$AD:$AD)</f>
        <v>0</v>
      </c>
      <c r="K320" s="713">
        <f>SUMIFS(Sheet1!S71_OY2BudgetAmount,Sheet1!S71_SubMunicipalVoteNo,$AC:$AC,Sheet1!S71_ItemType,$AD:$AD)</f>
        <v>0</v>
      </c>
      <c r="L320" s="723"/>
      <c r="M320" s="735"/>
      <c r="N320" s="735"/>
      <c r="O320" s="735"/>
      <c r="P320" s="735"/>
      <c r="Q320" s="735"/>
      <c r="R320" s="735"/>
      <c r="S320" s="735"/>
      <c r="T320" s="735"/>
      <c r="U320" s="735"/>
      <c r="V320" s="735"/>
      <c r="W320" s="735"/>
      <c r="AC320" s="2312">
        <v>144</v>
      </c>
      <c r="AD320" s="2318" t="s">
        <v>2754</v>
      </c>
    </row>
    <row r="321" spans="1:30" ht="11.25" customHeight="1" x14ac:dyDescent="0.25">
      <c r="A321" s="136" t="str">
        <f t="shared" si="37"/>
        <v/>
      </c>
      <c r="B321" s="144"/>
      <c r="C321" s="712">
        <f>SUMIFS(Sheet1!S71_PPPYearAmount,Sheet1!S71_SubMunicipalVoteNo,$AC:$AC,Sheet1!S71_ItemType,$AD:$AD)</f>
        <v>0</v>
      </c>
      <c r="D321" s="712">
        <f>SUMIFS(Sheet1!S71_PPYearAmount,Sheet1!S71_SubMunicipalVoteNo,$AC:$AC,Sheet1!S71_ItemType,$AD:$AD)</f>
        <v>0</v>
      </c>
      <c r="E321" s="712">
        <f>SUMIFS(Sheet1!S71_PYearAmount,Sheet1!S71_SubMunicipalVoteNo,$AC:$AC,Sheet1!S71_ItemType,$AD:$AD)</f>
        <v>0</v>
      </c>
      <c r="F321" s="725">
        <f>SUMIFS(Sheet1!S71_OriginalBudAmnt,Sheet1!S71_SubMunicipalVoteNo,$AC:$AC,Sheet1!S71_ItemType,$AD:$AD)</f>
        <v>0</v>
      </c>
      <c r="G321" s="712">
        <f>SUMIFS(Sheet1!S71_AdjustmentBudAmnt,Sheet1!S71_SubMunicipalVoteNo,$AC:$AC,Sheet1!S71_ItemType,$AD:$AD)</f>
        <v>0</v>
      </c>
      <c r="H321" s="713">
        <f>SUMIFS(Sheet1!S71_AdjustmentBudAmnt,Sheet1!S71_SubMunicipalVoteNo,$AC:$AC,Sheet1!S71_ItemType,$AD:$AD)</f>
        <v>0</v>
      </c>
      <c r="I321" s="725">
        <f>SUMIFS(Sheet1!S71_ASBudgetAmount,Sheet1!S71_SubMunicipalVoteNo,$AC:$AC,Sheet1!S71_ItemType,$AD:$AD)</f>
        <v>0</v>
      </c>
      <c r="J321" s="712">
        <f>SUMIFS(Sheet1!S71_OY1BudgetAmount,Sheet1!S71_SubMunicipalVoteNo,$AC:$AC,Sheet1!S71_ItemType,$AD:$AD)</f>
        <v>0</v>
      </c>
      <c r="K321" s="713">
        <f>SUMIFS(Sheet1!S71_OY2BudgetAmount,Sheet1!S71_SubMunicipalVoteNo,$AC:$AC,Sheet1!S71_ItemType,$AD:$AD)</f>
        <v>0</v>
      </c>
      <c r="L321" s="723"/>
      <c r="M321" s="735"/>
      <c r="N321" s="735"/>
      <c r="O321" s="735"/>
      <c r="P321" s="735"/>
      <c r="Q321" s="735"/>
      <c r="R321" s="735"/>
      <c r="S321" s="735"/>
      <c r="T321" s="735"/>
      <c r="U321" s="735"/>
      <c r="V321" s="735"/>
      <c r="W321" s="735"/>
      <c r="AC321" s="2312">
        <v>145</v>
      </c>
      <c r="AD321" s="2318" t="s">
        <v>2754</v>
      </c>
    </row>
    <row r="322" spans="1:30" ht="11.25" customHeight="1" x14ac:dyDescent="0.25">
      <c r="A322" s="136" t="str">
        <f t="shared" si="37"/>
        <v/>
      </c>
      <c r="B322" s="144"/>
      <c r="C322" s="712">
        <f>SUMIFS(Sheet1!S71_PPPYearAmount,Sheet1!S71_SubMunicipalVoteNo,$AC:$AC,Sheet1!S71_ItemType,$AD:$AD)</f>
        <v>0</v>
      </c>
      <c r="D322" s="712">
        <f>SUMIFS(Sheet1!S71_PPYearAmount,Sheet1!S71_SubMunicipalVoteNo,$AC:$AC,Sheet1!S71_ItemType,$AD:$AD)</f>
        <v>0</v>
      </c>
      <c r="E322" s="712">
        <f>SUMIFS(Sheet1!S71_PYearAmount,Sheet1!S71_SubMunicipalVoteNo,$AC:$AC,Sheet1!S71_ItemType,$AD:$AD)</f>
        <v>0</v>
      </c>
      <c r="F322" s="725">
        <f>SUMIFS(Sheet1!S71_OriginalBudAmnt,Sheet1!S71_SubMunicipalVoteNo,$AC:$AC,Sheet1!S71_ItemType,$AD:$AD)</f>
        <v>0</v>
      </c>
      <c r="G322" s="712">
        <f>SUMIFS(Sheet1!S71_AdjustmentBudAmnt,Sheet1!S71_SubMunicipalVoteNo,$AC:$AC,Sheet1!S71_ItemType,$AD:$AD)</f>
        <v>0</v>
      </c>
      <c r="H322" s="713">
        <f>SUMIFS(Sheet1!S71_AdjustmentBudAmnt,Sheet1!S71_SubMunicipalVoteNo,$AC:$AC,Sheet1!S71_ItemType,$AD:$AD)</f>
        <v>0</v>
      </c>
      <c r="I322" s="725">
        <f>SUMIFS(Sheet1!S71_ASBudgetAmount,Sheet1!S71_SubMunicipalVoteNo,$AC:$AC,Sheet1!S71_ItemType,$AD:$AD)</f>
        <v>0</v>
      </c>
      <c r="J322" s="712">
        <f>SUMIFS(Sheet1!S71_OY1BudgetAmount,Sheet1!S71_SubMunicipalVoteNo,$AC:$AC,Sheet1!S71_ItemType,$AD:$AD)</f>
        <v>0</v>
      </c>
      <c r="K322" s="713">
        <f>SUMIFS(Sheet1!S71_OY2BudgetAmount,Sheet1!S71_SubMunicipalVoteNo,$AC:$AC,Sheet1!S71_ItemType,$AD:$AD)</f>
        <v>0</v>
      </c>
      <c r="L322" s="723"/>
      <c r="M322" s="735"/>
      <c r="N322" s="735"/>
      <c r="O322" s="735"/>
      <c r="P322" s="735"/>
      <c r="Q322" s="735"/>
      <c r="R322" s="735"/>
      <c r="S322" s="735"/>
      <c r="T322" s="735"/>
      <c r="U322" s="735"/>
      <c r="V322" s="735"/>
      <c r="W322" s="735"/>
      <c r="AC322" s="2312">
        <v>146</v>
      </c>
      <c r="AD322" s="2318" t="s">
        <v>2754</v>
      </c>
    </row>
    <row r="323" spans="1:30" ht="11.25" customHeight="1" x14ac:dyDescent="0.25">
      <c r="A323" s="136" t="str">
        <f t="shared" si="37"/>
        <v/>
      </c>
      <c r="B323" s="144"/>
      <c r="C323" s="712">
        <f>SUMIFS(Sheet1!S71_PPPYearAmount,Sheet1!S71_SubMunicipalVoteNo,$AC:$AC,Sheet1!S71_ItemType,$AD:$AD)</f>
        <v>0</v>
      </c>
      <c r="D323" s="712">
        <f>SUMIFS(Sheet1!S71_PPYearAmount,Sheet1!S71_SubMunicipalVoteNo,$AC:$AC,Sheet1!S71_ItemType,$AD:$AD)</f>
        <v>0</v>
      </c>
      <c r="E323" s="712">
        <f>SUMIFS(Sheet1!S71_PYearAmount,Sheet1!S71_SubMunicipalVoteNo,$AC:$AC,Sheet1!S71_ItemType,$AD:$AD)</f>
        <v>0</v>
      </c>
      <c r="F323" s="725">
        <f>SUMIFS(Sheet1!S71_OriginalBudAmnt,Sheet1!S71_SubMunicipalVoteNo,$AC:$AC,Sheet1!S71_ItemType,$AD:$AD)</f>
        <v>0</v>
      </c>
      <c r="G323" s="712">
        <f>SUMIFS(Sheet1!S71_AdjustmentBudAmnt,Sheet1!S71_SubMunicipalVoteNo,$AC:$AC,Sheet1!S71_ItemType,$AD:$AD)</f>
        <v>0</v>
      </c>
      <c r="H323" s="713">
        <f>SUMIFS(Sheet1!S71_AdjustmentBudAmnt,Sheet1!S71_SubMunicipalVoteNo,$AC:$AC,Sheet1!S71_ItemType,$AD:$AD)</f>
        <v>0</v>
      </c>
      <c r="I323" s="725">
        <f>SUMIFS(Sheet1!S71_ASBudgetAmount,Sheet1!S71_SubMunicipalVoteNo,$AC:$AC,Sheet1!S71_ItemType,$AD:$AD)</f>
        <v>0</v>
      </c>
      <c r="J323" s="712">
        <f>SUMIFS(Sheet1!S71_OY1BudgetAmount,Sheet1!S71_SubMunicipalVoteNo,$AC:$AC,Sheet1!S71_ItemType,$AD:$AD)</f>
        <v>0</v>
      </c>
      <c r="K323" s="713">
        <f>SUMIFS(Sheet1!S71_OY2BudgetAmount,Sheet1!S71_SubMunicipalVoteNo,$AC:$AC,Sheet1!S71_ItemType,$AD:$AD)</f>
        <v>0</v>
      </c>
      <c r="L323" s="723"/>
      <c r="M323" s="735"/>
      <c r="N323" s="735"/>
      <c r="O323" s="735"/>
      <c r="P323" s="735"/>
      <c r="Q323" s="735"/>
      <c r="R323" s="735"/>
      <c r="S323" s="735"/>
      <c r="T323" s="735"/>
      <c r="U323" s="735"/>
      <c r="V323" s="735"/>
      <c r="W323" s="735"/>
      <c r="AC323" s="2312">
        <v>147</v>
      </c>
      <c r="AD323" s="2318" t="s">
        <v>2754</v>
      </c>
    </row>
    <row r="324" spans="1:30" ht="11.25" customHeight="1" x14ac:dyDescent="0.25">
      <c r="A324" s="136" t="str">
        <f t="shared" si="37"/>
        <v/>
      </c>
      <c r="B324" s="144"/>
      <c r="C324" s="712">
        <f>SUMIFS(Sheet1!S71_PPPYearAmount,Sheet1!S71_SubMunicipalVoteNo,$AC:$AC,Sheet1!S71_ItemType,$AD:$AD)</f>
        <v>0</v>
      </c>
      <c r="D324" s="712">
        <f>SUMIFS(Sheet1!S71_PPYearAmount,Sheet1!S71_SubMunicipalVoteNo,$AC:$AC,Sheet1!S71_ItemType,$AD:$AD)</f>
        <v>0</v>
      </c>
      <c r="E324" s="712">
        <f>SUMIFS(Sheet1!S71_PYearAmount,Sheet1!S71_SubMunicipalVoteNo,$AC:$AC,Sheet1!S71_ItemType,$AD:$AD)</f>
        <v>0</v>
      </c>
      <c r="F324" s="725">
        <f>SUMIFS(Sheet1!S71_OriginalBudAmnt,Sheet1!S71_SubMunicipalVoteNo,$AC:$AC,Sheet1!S71_ItemType,$AD:$AD)</f>
        <v>0</v>
      </c>
      <c r="G324" s="712">
        <f>SUMIFS(Sheet1!S71_AdjustmentBudAmnt,Sheet1!S71_SubMunicipalVoteNo,$AC:$AC,Sheet1!S71_ItemType,$AD:$AD)</f>
        <v>0</v>
      </c>
      <c r="H324" s="713">
        <f>SUMIFS(Sheet1!S71_AdjustmentBudAmnt,Sheet1!S71_SubMunicipalVoteNo,$AC:$AC,Sheet1!S71_ItemType,$AD:$AD)</f>
        <v>0</v>
      </c>
      <c r="I324" s="725">
        <f>SUMIFS(Sheet1!S71_ASBudgetAmount,Sheet1!S71_SubMunicipalVoteNo,$AC:$AC,Sheet1!S71_ItemType,$AD:$AD)</f>
        <v>0</v>
      </c>
      <c r="J324" s="712">
        <f>SUMIFS(Sheet1!S71_OY1BudgetAmount,Sheet1!S71_SubMunicipalVoteNo,$AC:$AC,Sheet1!S71_ItemType,$AD:$AD)</f>
        <v>0</v>
      </c>
      <c r="K324" s="713">
        <f>SUMIFS(Sheet1!S71_OY2BudgetAmount,Sheet1!S71_SubMunicipalVoteNo,$AC:$AC,Sheet1!S71_ItemType,$AD:$AD)</f>
        <v>0</v>
      </c>
      <c r="L324" s="723"/>
      <c r="M324" s="735"/>
      <c r="N324" s="735"/>
      <c r="O324" s="735"/>
      <c r="P324" s="735"/>
      <c r="Q324" s="735"/>
      <c r="R324" s="735"/>
      <c r="S324" s="735"/>
      <c r="T324" s="735"/>
      <c r="U324" s="735"/>
      <c r="V324" s="735"/>
      <c r="W324" s="735"/>
      <c r="AC324" s="2312">
        <v>148</v>
      </c>
      <c r="AD324" s="2318" t="s">
        <v>2754</v>
      </c>
    </row>
    <row r="325" spans="1:30" ht="11.25" customHeight="1" x14ac:dyDescent="0.25">
      <c r="A325" s="136" t="str">
        <f t="shared" si="37"/>
        <v/>
      </c>
      <c r="B325" s="144"/>
      <c r="C325" s="712">
        <f>SUMIFS(Sheet1!S71_PPPYearAmount,Sheet1!S71_SubMunicipalVoteNo,$AC:$AC,Sheet1!S71_ItemType,$AD:$AD)</f>
        <v>0</v>
      </c>
      <c r="D325" s="712">
        <f>SUMIFS(Sheet1!S71_PPYearAmount,Sheet1!S71_SubMunicipalVoteNo,$AC:$AC,Sheet1!S71_ItemType,$AD:$AD)</f>
        <v>0</v>
      </c>
      <c r="E325" s="712">
        <f>SUMIFS(Sheet1!S71_PYearAmount,Sheet1!S71_SubMunicipalVoteNo,$AC:$AC,Sheet1!S71_ItemType,$AD:$AD)</f>
        <v>0</v>
      </c>
      <c r="F325" s="725">
        <f>SUMIFS(Sheet1!S71_OriginalBudAmnt,Sheet1!S71_SubMunicipalVoteNo,$AC:$AC,Sheet1!S71_ItemType,$AD:$AD)</f>
        <v>0</v>
      </c>
      <c r="G325" s="712">
        <f>SUMIFS(Sheet1!S71_AdjustmentBudAmnt,Sheet1!S71_SubMunicipalVoteNo,$AC:$AC,Sheet1!S71_ItemType,$AD:$AD)</f>
        <v>0</v>
      </c>
      <c r="H325" s="713">
        <f>SUMIFS(Sheet1!S71_AdjustmentBudAmnt,Sheet1!S71_SubMunicipalVoteNo,$AC:$AC,Sheet1!S71_ItemType,$AD:$AD)</f>
        <v>0</v>
      </c>
      <c r="I325" s="725">
        <f>SUMIFS(Sheet1!S71_ASBudgetAmount,Sheet1!S71_SubMunicipalVoteNo,$AC:$AC,Sheet1!S71_ItemType,$AD:$AD)</f>
        <v>0</v>
      </c>
      <c r="J325" s="712">
        <f>SUMIFS(Sheet1!S71_OY1BudgetAmount,Sheet1!S71_SubMunicipalVoteNo,$AC:$AC,Sheet1!S71_ItemType,$AD:$AD)</f>
        <v>0</v>
      </c>
      <c r="K325" s="713">
        <f>SUMIFS(Sheet1!S71_OY2BudgetAmount,Sheet1!S71_SubMunicipalVoteNo,$AC:$AC,Sheet1!S71_ItemType,$AD:$AD)</f>
        <v>0</v>
      </c>
      <c r="L325" s="723"/>
      <c r="M325" s="735"/>
      <c r="N325" s="735"/>
      <c r="O325" s="735"/>
      <c r="P325" s="735"/>
      <c r="Q325" s="735"/>
      <c r="R325" s="735"/>
      <c r="S325" s="735"/>
      <c r="T325" s="735"/>
      <c r="U325" s="735"/>
      <c r="V325" s="735"/>
      <c r="W325" s="735"/>
      <c r="AC325" s="2312">
        <v>149</v>
      </c>
      <c r="AD325" s="2318" t="s">
        <v>2754</v>
      </c>
    </row>
    <row r="326" spans="1:30" ht="11.25" customHeight="1" x14ac:dyDescent="0.25">
      <c r="A326" s="136" t="str">
        <f t="shared" si="37"/>
        <v/>
      </c>
      <c r="B326" s="144"/>
      <c r="C326" s="712">
        <f>SUMIFS(Sheet1!S71_PPPYearAmount,Sheet1!S71_SubMunicipalVoteNo,$AC:$AC,Sheet1!S71_ItemType,$AD:$AD)</f>
        <v>0</v>
      </c>
      <c r="D326" s="712">
        <f>SUMIFS(Sheet1!S71_PPYearAmount,Sheet1!S71_SubMunicipalVoteNo,$AC:$AC,Sheet1!S71_ItemType,$AD:$AD)</f>
        <v>0</v>
      </c>
      <c r="E326" s="712">
        <f>SUMIFS(Sheet1!S71_PYearAmount,Sheet1!S71_SubMunicipalVoteNo,$AC:$AC,Sheet1!S71_ItemType,$AD:$AD)</f>
        <v>0</v>
      </c>
      <c r="F326" s="725">
        <f>SUMIFS(Sheet1!S71_OriginalBudAmnt,Sheet1!S71_SubMunicipalVoteNo,$AC:$AC,Sheet1!S71_ItemType,$AD:$AD)</f>
        <v>0</v>
      </c>
      <c r="G326" s="712">
        <f>SUMIFS(Sheet1!S71_AdjustmentBudAmnt,Sheet1!S71_SubMunicipalVoteNo,$AC:$AC,Sheet1!S71_ItemType,$AD:$AD)</f>
        <v>0</v>
      </c>
      <c r="H326" s="713">
        <f>SUMIFS(Sheet1!S71_AdjustmentBudAmnt,Sheet1!S71_SubMunicipalVoteNo,$AC:$AC,Sheet1!S71_ItemType,$AD:$AD)</f>
        <v>0</v>
      </c>
      <c r="I326" s="725">
        <f>SUMIFS(Sheet1!S71_ASBudgetAmount,Sheet1!S71_SubMunicipalVoteNo,$AC:$AC,Sheet1!S71_ItemType,$AD:$AD)</f>
        <v>0</v>
      </c>
      <c r="J326" s="712">
        <f>SUMIFS(Sheet1!S71_OY1BudgetAmount,Sheet1!S71_SubMunicipalVoteNo,$AC:$AC,Sheet1!S71_ItemType,$AD:$AD)</f>
        <v>0</v>
      </c>
      <c r="K326" s="713">
        <f>SUMIFS(Sheet1!S71_OY2BudgetAmount,Sheet1!S71_SubMunicipalVoteNo,$AC:$AC,Sheet1!S71_ItemType,$AD:$AD)</f>
        <v>0</v>
      </c>
      <c r="L326" s="723"/>
      <c r="M326" s="735"/>
      <c r="N326" s="735"/>
      <c r="O326" s="735"/>
      <c r="P326" s="735"/>
      <c r="Q326" s="735"/>
      <c r="R326" s="735"/>
      <c r="S326" s="735"/>
      <c r="T326" s="735"/>
      <c r="U326" s="735"/>
      <c r="V326" s="735"/>
      <c r="W326" s="735"/>
      <c r="AC326" s="2312">
        <v>1410</v>
      </c>
      <c r="AD326" s="2318" t="s">
        <v>2754</v>
      </c>
    </row>
    <row r="327" spans="1:30" ht="15" customHeight="1" x14ac:dyDescent="0.25">
      <c r="A327" s="135" t="str">
        <f t="shared" si="37"/>
        <v>Vote 15 - Health</v>
      </c>
      <c r="B327" s="144"/>
      <c r="C327" s="212">
        <f t="shared" ref="C327:K327" si="41">SUM(C328:C337)</f>
        <v>125870</v>
      </c>
      <c r="D327" s="212">
        <f t="shared" si="41"/>
        <v>160018</v>
      </c>
      <c r="E327" s="213">
        <f t="shared" si="41"/>
        <v>115416</v>
      </c>
      <c r="F327" s="214">
        <f t="shared" si="41"/>
        <v>270000</v>
      </c>
      <c r="G327" s="212">
        <f t="shared" si="41"/>
        <v>189885</v>
      </c>
      <c r="H327" s="215">
        <f t="shared" si="41"/>
        <v>189885</v>
      </c>
      <c r="I327" s="216">
        <f t="shared" si="41"/>
        <v>340000</v>
      </c>
      <c r="J327" s="212">
        <f t="shared" si="41"/>
        <v>309067</v>
      </c>
      <c r="K327" s="213">
        <f t="shared" si="41"/>
        <v>321428</v>
      </c>
      <c r="L327" s="723"/>
      <c r="M327" s="735"/>
      <c r="N327" s="735"/>
      <c r="O327" s="735"/>
      <c r="P327" s="735"/>
      <c r="Q327" s="735"/>
      <c r="R327" s="735"/>
      <c r="S327" s="735"/>
      <c r="T327" s="735"/>
      <c r="U327" s="735"/>
      <c r="V327" s="735"/>
      <c r="W327" s="735"/>
      <c r="AD327" s="2315"/>
    </row>
    <row r="328" spans="1:30" ht="11.25" customHeight="1" x14ac:dyDescent="0.25">
      <c r="A328" s="136" t="str">
        <f t="shared" si="37"/>
        <v>15.1 - Health Services</v>
      </c>
      <c r="B328" s="144"/>
      <c r="C328" s="712">
        <f>SUMIFS(Sheet1!S71_PPPYearAmount,Sheet1!S71_SubMunicipalVoteNo,$AC:$AC,Sheet1!S71_ItemType,$AD:$AD)</f>
        <v>125870</v>
      </c>
      <c r="D328" s="712">
        <f>SUMIFS(Sheet1!S71_PPYearAmount,Sheet1!S71_SubMunicipalVoteNo,$AC:$AC,Sheet1!S71_ItemType,$AD:$AD)</f>
        <v>160018</v>
      </c>
      <c r="E328" s="712">
        <f>SUMIFS(Sheet1!S71_PYearAmount,Sheet1!S71_SubMunicipalVoteNo,$AC:$AC,Sheet1!S71_ItemType,$AD:$AD)</f>
        <v>115416</v>
      </c>
      <c r="F328" s="725">
        <f>SUMIFS(Sheet1!S71_OriginalBudAmnt,Sheet1!S71_SubMunicipalVoteNo,$AC:$AC,Sheet1!S71_ItemType,$AD:$AD)</f>
        <v>270000</v>
      </c>
      <c r="G328" s="712">
        <f>SUMIFS(Sheet1!S71_AdjustmentBudAmnt,Sheet1!S71_SubMunicipalVoteNo,$AC:$AC,Sheet1!S71_ItemType,$AD:$AD)</f>
        <v>189885</v>
      </c>
      <c r="H328" s="713">
        <f>SUMIFS(Sheet1!S71_AdjustmentBudAmnt,Sheet1!S71_SubMunicipalVoteNo,$AC:$AC,Sheet1!S71_ItemType,$AD:$AD)</f>
        <v>189885</v>
      </c>
      <c r="I328" s="725">
        <f>SUMIFS(Sheet1!S71_ASBudgetAmount,Sheet1!S71_SubMunicipalVoteNo,$AC:$AC,Sheet1!S71_ItemType,$AD:$AD)</f>
        <v>340000</v>
      </c>
      <c r="J328" s="712">
        <f>SUMIFS(Sheet1!S71_OY1BudgetAmount,Sheet1!S71_SubMunicipalVoteNo,$AC:$AC,Sheet1!S71_ItemType,$AD:$AD)</f>
        <v>309067</v>
      </c>
      <c r="K328" s="713">
        <f>SUMIFS(Sheet1!S71_OY2BudgetAmount,Sheet1!S71_SubMunicipalVoteNo,$AC:$AC,Sheet1!S71_ItemType,$AD:$AD)</f>
        <v>321428</v>
      </c>
      <c r="L328" s="723"/>
      <c r="M328" s="735"/>
      <c r="N328" s="735"/>
      <c r="O328" s="735"/>
      <c r="P328" s="735"/>
      <c r="Q328" s="735"/>
      <c r="R328" s="735"/>
      <c r="S328" s="735"/>
      <c r="T328" s="735"/>
      <c r="U328" s="735"/>
      <c r="V328" s="735"/>
      <c r="W328" s="735"/>
      <c r="AC328" s="2312">
        <v>151</v>
      </c>
      <c r="AD328" s="2318" t="s">
        <v>2754</v>
      </c>
    </row>
    <row r="329" spans="1:30" ht="11.25" customHeight="1" x14ac:dyDescent="0.25">
      <c r="A329" s="136" t="str">
        <f t="shared" si="37"/>
        <v/>
      </c>
      <c r="B329" s="144"/>
      <c r="C329" s="712">
        <f>SUMIFS(Sheet1!S71_PPPYearAmount,Sheet1!S71_SubMunicipalVoteNo,$AC:$AC,Sheet1!S71_ItemType,$AD:$AD)</f>
        <v>0</v>
      </c>
      <c r="D329" s="712">
        <f>SUMIFS(Sheet1!S71_PPYearAmount,Sheet1!S71_SubMunicipalVoteNo,$AC:$AC,Sheet1!S71_ItemType,$AD:$AD)</f>
        <v>0</v>
      </c>
      <c r="E329" s="712">
        <f>SUMIFS(Sheet1!S71_PYearAmount,Sheet1!S71_SubMunicipalVoteNo,$AC:$AC,Sheet1!S71_ItemType,$AD:$AD)</f>
        <v>0</v>
      </c>
      <c r="F329" s="725">
        <f>SUMIFS(Sheet1!S71_OriginalBudAmnt,Sheet1!S71_SubMunicipalVoteNo,$AC:$AC,Sheet1!S71_ItemType,$AD:$AD)</f>
        <v>0</v>
      </c>
      <c r="G329" s="712">
        <f>SUMIFS(Sheet1!S71_AdjustmentBudAmnt,Sheet1!S71_SubMunicipalVoteNo,$AC:$AC,Sheet1!S71_ItemType,$AD:$AD)</f>
        <v>0</v>
      </c>
      <c r="H329" s="713">
        <f>SUMIFS(Sheet1!S71_AdjustmentBudAmnt,Sheet1!S71_SubMunicipalVoteNo,$AC:$AC,Sheet1!S71_ItemType,$AD:$AD)</f>
        <v>0</v>
      </c>
      <c r="I329" s="725">
        <f>SUMIFS(Sheet1!S71_ASBudgetAmount,Sheet1!S71_SubMunicipalVoteNo,$AC:$AC,Sheet1!S71_ItemType,$AD:$AD)</f>
        <v>0</v>
      </c>
      <c r="J329" s="712">
        <f>SUMIFS(Sheet1!S71_OY1BudgetAmount,Sheet1!S71_SubMunicipalVoteNo,$AC:$AC,Sheet1!S71_ItemType,$AD:$AD)</f>
        <v>0</v>
      </c>
      <c r="K329" s="713">
        <f>SUMIFS(Sheet1!S71_OY2BudgetAmount,Sheet1!S71_SubMunicipalVoteNo,$AC:$AC,Sheet1!S71_ItemType,$AD:$AD)</f>
        <v>0</v>
      </c>
      <c r="L329" s="723"/>
      <c r="M329" s="735"/>
      <c r="N329" s="735"/>
      <c r="O329" s="735"/>
      <c r="P329" s="735"/>
      <c r="Q329" s="735"/>
      <c r="R329" s="735"/>
      <c r="S329" s="735"/>
      <c r="T329" s="735"/>
      <c r="U329" s="735"/>
      <c r="V329" s="735"/>
      <c r="W329" s="735"/>
      <c r="AC329" s="2312">
        <v>152</v>
      </c>
      <c r="AD329" s="2318" t="s">
        <v>2754</v>
      </c>
    </row>
    <row r="330" spans="1:30" ht="11.25" customHeight="1" x14ac:dyDescent="0.25">
      <c r="A330" s="136" t="str">
        <f t="shared" si="37"/>
        <v/>
      </c>
      <c r="B330" s="144"/>
      <c r="C330" s="712">
        <f>SUMIFS(Sheet1!S71_PPPYearAmount,Sheet1!S71_SubMunicipalVoteNo,$AC:$AC,Sheet1!S71_ItemType,$AD:$AD)</f>
        <v>0</v>
      </c>
      <c r="D330" s="712">
        <f>SUMIFS(Sheet1!S71_PPYearAmount,Sheet1!S71_SubMunicipalVoteNo,$AC:$AC,Sheet1!S71_ItemType,$AD:$AD)</f>
        <v>0</v>
      </c>
      <c r="E330" s="712">
        <f>SUMIFS(Sheet1!S71_PYearAmount,Sheet1!S71_SubMunicipalVoteNo,$AC:$AC,Sheet1!S71_ItemType,$AD:$AD)</f>
        <v>0</v>
      </c>
      <c r="F330" s="725">
        <f>SUMIFS(Sheet1!S71_OriginalBudAmnt,Sheet1!S71_SubMunicipalVoteNo,$AC:$AC,Sheet1!S71_ItemType,$AD:$AD)</f>
        <v>0</v>
      </c>
      <c r="G330" s="712">
        <f>SUMIFS(Sheet1!S71_AdjustmentBudAmnt,Sheet1!S71_SubMunicipalVoteNo,$AC:$AC,Sheet1!S71_ItemType,$AD:$AD)</f>
        <v>0</v>
      </c>
      <c r="H330" s="713">
        <f>SUMIFS(Sheet1!S71_AdjustmentBudAmnt,Sheet1!S71_SubMunicipalVoteNo,$AC:$AC,Sheet1!S71_ItemType,$AD:$AD)</f>
        <v>0</v>
      </c>
      <c r="I330" s="725">
        <f>SUMIFS(Sheet1!S71_ASBudgetAmount,Sheet1!S71_SubMunicipalVoteNo,$AC:$AC,Sheet1!S71_ItemType,$AD:$AD)</f>
        <v>0</v>
      </c>
      <c r="J330" s="712">
        <f>SUMIFS(Sheet1!S71_OY1BudgetAmount,Sheet1!S71_SubMunicipalVoteNo,$AC:$AC,Sheet1!S71_ItemType,$AD:$AD)</f>
        <v>0</v>
      </c>
      <c r="K330" s="713">
        <f>SUMIFS(Sheet1!S71_OY2BudgetAmount,Sheet1!S71_SubMunicipalVoteNo,$AC:$AC,Sheet1!S71_ItemType,$AD:$AD)</f>
        <v>0</v>
      </c>
      <c r="L330" s="723"/>
      <c r="M330" s="735"/>
      <c r="N330" s="735"/>
      <c r="O330" s="735"/>
      <c r="P330" s="735"/>
      <c r="Q330" s="735"/>
      <c r="R330" s="735"/>
      <c r="S330" s="735"/>
      <c r="T330" s="735"/>
      <c r="U330" s="735"/>
      <c r="V330" s="735"/>
      <c r="W330" s="735"/>
      <c r="AC330" s="2312">
        <v>153</v>
      </c>
      <c r="AD330" s="2318" t="s">
        <v>2754</v>
      </c>
    </row>
    <row r="331" spans="1:30" ht="11.25" customHeight="1" x14ac:dyDescent="0.25">
      <c r="A331" s="136" t="str">
        <f t="shared" si="37"/>
        <v/>
      </c>
      <c r="B331" s="144"/>
      <c r="C331" s="712">
        <f>SUMIFS(Sheet1!S71_PPPYearAmount,Sheet1!S71_SubMunicipalVoteNo,$AC:$AC,Sheet1!S71_ItemType,$AD:$AD)</f>
        <v>0</v>
      </c>
      <c r="D331" s="712">
        <f>SUMIFS(Sheet1!S71_PPYearAmount,Sheet1!S71_SubMunicipalVoteNo,$AC:$AC,Sheet1!S71_ItemType,$AD:$AD)</f>
        <v>0</v>
      </c>
      <c r="E331" s="712">
        <f>SUMIFS(Sheet1!S71_PYearAmount,Sheet1!S71_SubMunicipalVoteNo,$AC:$AC,Sheet1!S71_ItemType,$AD:$AD)</f>
        <v>0</v>
      </c>
      <c r="F331" s="725">
        <f>SUMIFS(Sheet1!S71_OriginalBudAmnt,Sheet1!S71_SubMunicipalVoteNo,$AC:$AC,Sheet1!S71_ItemType,$AD:$AD)</f>
        <v>0</v>
      </c>
      <c r="G331" s="712">
        <f>SUMIFS(Sheet1!S71_AdjustmentBudAmnt,Sheet1!S71_SubMunicipalVoteNo,$AC:$AC,Sheet1!S71_ItemType,$AD:$AD)</f>
        <v>0</v>
      </c>
      <c r="H331" s="713">
        <f>SUMIFS(Sheet1!S71_AdjustmentBudAmnt,Sheet1!S71_SubMunicipalVoteNo,$AC:$AC,Sheet1!S71_ItemType,$AD:$AD)</f>
        <v>0</v>
      </c>
      <c r="I331" s="725">
        <f>SUMIFS(Sheet1!S71_ASBudgetAmount,Sheet1!S71_SubMunicipalVoteNo,$AC:$AC,Sheet1!S71_ItemType,$AD:$AD)</f>
        <v>0</v>
      </c>
      <c r="J331" s="712">
        <f>SUMIFS(Sheet1!S71_OY1BudgetAmount,Sheet1!S71_SubMunicipalVoteNo,$AC:$AC,Sheet1!S71_ItemType,$AD:$AD)</f>
        <v>0</v>
      </c>
      <c r="K331" s="713">
        <f>SUMIFS(Sheet1!S71_OY2BudgetAmount,Sheet1!S71_SubMunicipalVoteNo,$AC:$AC,Sheet1!S71_ItemType,$AD:$AD)</f>
        <v>0</v>
      </c>
      <c r="L331" s="723"/>
      <c r="M331" s="735"/>
      <c r="N331" s="735"/>
      <c r="O331" s="735"/>
      <c r="P331" s="735"/>
      <c r="Q331" s="735"/>
      <c r="R331" s="735"/>
      <c r="S331" s="735"/>
      <c r="T331" s="735"/>
      <c r="U331" s="735"/>
      <c r="V331" s="735"/>
      <c r="W331" s="735"/>
      <c r="AC331" s="2312">
        <v>154</v>
      </c>
      <c r="AD331" s="2318" t="s">
        <v>2754</v>
      </c>
    </row>
    <row r="332" spans="1:30" ht="11.25" customHeight="1" x14ac:dyDescent="0.25">
      <c r="A332" s="136" t="str">
        <f t="shared" si="37"/>
        <v/>
      </c>
      <c r="B332" s="144"/>
      <c r="C332" s="712">
        <f>SUMIFS(Sheet1!S71_PPPYearAmount,Sheet1!S71_SubMunicipalVoteNo,$AC:$AC,Sheet1!S71_ItemType,$AD:$AD)</f>
        <v>0</v>
      </c>
      <c r="D332" s="712">
        <f>SUMIFS(Sheet1!S71_PPYearAmount,Sheet1!S71_SubMunicipalVoteNo,$AC:$AC,Sheet1!S71_ItemType,$AD:$AD)</f>
        <v>0</v>
      </c>
      <c r="E332" s="712">
        <f>SUMIFS(Sheet1!S71_PYearAmount,Sheet1!S71_SubMunicipalVoteNo,$AC:$AC,Sheet1!S71_ItemType,$AD:$AD)</f>
        <v>0</v>
      </c>
      <c r="F332" s="725">
        <f>SUMIFS(Sheet1!S71_OriginalBudAmnt,Sheet1!S71_SubMunicipalVoteNo,$AC:$AC,Sheet1!S71_ItemType,$AD:$AD)</f>
        <v>0</v>
      </c>
      <c r="G332" s="712">
        <f>SUMIFS(Sheet1!S71_AdjustmentBudAmnt,Sheet1!S71_SubMunicipalVoteNo,$AC:$AC,Sheet1!S71_ItemType,$AD:$AD)</f>
        <v>0</v>
      </c>
      <c r="H332" s="713">
        <f>SUMIFS(Sheet1!S71_AdjustmentBudAmnt,Sheet1!S71_SubMunicipalVoteNo,$AC:$AC,Sheet1!S71_ItemType,$AD:$AD)</f>
        <v>0</v>
      </c>
      <c r="I332" s="725">
        <f>SUMIFS(Sheet1!S71_ASBudgetAmount,Sheet1!S71_SubMunicipalVoteNo,$AC:$AC,Sheet1!S71_ItemType,$AD:$AD)</f>
        <v>0</v>
      </c>
      <c r="J332" s="712">
        <f>SUMIFS(Sheet1!S71_OY1BudgetAmount,Sheet1!S71_SubMunicipalVoteNo,$AC:$AC,Sheet1!S71_ItemType,$AD:$AD)</f>
        <v>0</v>
      </c>
      <c r="K332" s="713">
        <f>SUMIFS(Sheet1!S71_OY2BudgetAmount,Sheet1!S71_SubMunicipalVoteNo,$AC:$AC,Sheet1!S71_ItemType,$AD:$AD)</f>
        <v>0</v>
      </c>
      <c r="L332" s="723"/>
      <c r="M332" s="735"/>
      <c r="N332" s="735"/>
      <c r="O332" s="735"/>
      <c r="P332" s="735"/>
      <c r="Q332" s="735"/>
      <c r="R332" s="735"/>
      <c r="S332" s="735"/>
      <c r="T332" s="735"/>
      <c r="U332" s="735"/>
      <c r="V332" s="735"/>
      <c r="W332" s="735"/>
      <c r="AC332" s="2312">
        <v>155</v>
      </c>
      <c r="AD332" s="2318" t="s">
        <v>2754</v>
      </c>
    </row>
    <row r="333" spans="1:30" ht="11.25" customHeight="1" x14ac:dyDescent="0.25">
      <c r="A333" s="136" t="str">
        <f t="shared" si="37"/>
        <v/>
      </c>
      <c r="B333" s="144"/>
      <c r="C333" s="712">
        <f>SUMIFS(Sheet1!S71_PPPYearAmount,Sheet1!S71_SubMunicipalVoteNo,$AC:$AC,Sheet1!S71_ItemType,$AD:$AD)</f>
        <v>0</v>
      </c>
      <c r="D333" s="712">
        <f>SUMIFS(Sheet1!S71_PPYearAmount,Sheet1!S71_SubMunicipalVoteNo,$AC:$AC,Sheet1!S71_ItemType,$AD:$AD)</f>
        <v>0</v>
      </c>
      <c r="E333" s="712">
        <f>SUMIFS(Sheet1!S71_PYearAmount,Sheet1!S71_SubMunicipalVoteNo,$AC:$AC,Sheet1!S71_ItemType,$AD:$AD)</f>
        <v>0</v>
      </c>
      <c r="F333" s="725">
        <f>SUMIFS(Sheet1!S71_OriginalBudAmnt,Sheet1!S71_SubMunicipalVoteNo,$AC:$AC,Sheet1!S71_ItemType,$AD:$AD)</f>
        <v>0</v>
      </c>
      <c r="G333" s="712">
        <f>SUMIFS(Sheet1!S71_AdjustmentBudAmnt,Sheet1!S71_SubMunicipalVoteNo,$AC:$AC,Sheet1!S71_ItemType,$AD:$AD)</f>
        <v>0</v>
      </c>
      <c r="H333" s="713">
        <f>SUMIFS(Sheet1!S71_AdjustmentBudAmnt,Sheet1!S71_SubMunicipalVoteNo,$AC:$AC,Sheet1!S71_ItemType,$AD:$AD)</f>
        <v>0</v>
      </c>
      <c r="I333" s="725">
        <f>SUMIFS(Sheet1!S71_ASBudgetAmount,Sheet1!S71_SubMunicipalVoteNo,$AC:$AC,Sheet1!S71_ItemType,$AD:$AD)</f>
        <v>0</v>
      </c>
      <c r="J333" s="712">
        <f>SUMIFS(Sheet1!S71_OY1BudgetAmount,Sheet1!S71_SubMunicipalVoteNo,$AC:$AC,Sheet1!S71_ItemType,$AD:$AD)</f>
        <v>0</v>
      </c>
      <c r="K333" s="713">
        <f>SUMIFS(Sheet1!S71_OY2BudgetAmount,Sheet1!S71_SubMunicipalVoteNo,$AC:$AC,Sheet1!S71_ItemType,$AD:$AD)</f>
        <v>0</v>
      </c>
      <c r="L333" s="723"/>
      <c r="M333" s="735"/>
      <c r="N333" s="735"/>
      <c r="O333" s="735"/>
      <c r="P333" s="735"/>
      <c r="Q333" s="735"/>
      <c r="R333" s="735"/>
      <c r="S333" s="735"/>
      <c r="T333" s="735"/>
      <c r="U333" s="735"/>
      <c r="V333" s="735"/>
      <c r="W333" s="735"/>
      <c r="AC333" s="2312">
        <v>156</v>
      </c>
      <c r="AD333" s="2318" t="s">
        <v>2754</v>
      </c>
    </row>
    <row r="334" spans="1:30" ht="11.25" customHeight="1" x14ac:dyDescent="0.25">
      <c r="A334" s="136" t="str">
        <f t="shared" si="37"/>
        <v/>
      </c>
      <c r="B334" s="144"/>
      <c r="C334" s="712">
        <f>SUMIFS(Sheet1!S71_PPPYearAmount,Sheet1!S71_SubMunicipalVoteNo,$AC:$AC,Sheet1!S71_ItemType,$AD:$AD)</f>
        <v>0</v>
      </c>
      <c r="D334" s="712">
        <f>SUMIFS(Sheet1!S71_PPYearAmount,Sheet1!S71_SubMunicipalVoteNo,$AC:$AC,Sheet1!S71_ItemType,$AD:$AD)</f>
        <v>0</v>
      </c>
      <c r="E334" s="712">
        <f>SUMIFS(Sheet1!S71_PYearAmount,Sheet1!S71_SubMunicipalVoteNo,$AC:$AC,Sheet1!S71_ItemType,$AD:$AD)</f>
        <v>0</v>
      </c>
      <c r="F334" s="725">
        <f>SUMIFS(Sheet1!S71_OriginalBudAmnt,Sheet1!S71_SubMunicipalVoteNo,$AC:$AC,Sheet1!S71_ItemType,$AD:$AD)</f>
        <v>0</v>
      </c>
      <c r="G334" s="712">
        <f>SUMIFS(Sheet1!S71_AdjustmentBudAmnt,Sheet1!S71_SubMunicipalVoteNo,$AC:$AC,Sheet1!S71_ItemType,$AD:$AD)</f>
        <v>0</v>
      </c>
      <c r="H334" s="713">
        <f>SUMIFS(Sheet1!S71_AdjustmentBudAmnt,Sheet1!S71_SubMunicipalVoteNo,$AC:$AC,Sheet1!S71_ItemType,$AD:$AD)</f>
        <v>0</v>
      </c>
      <c r="I334" s="725">
        <f>SUMIFS(Sheet1!S71_ASBudgetAmount,Sheet1!S71_SubMunicipalVoteNo,$AC:$AC,Sheet1!S71_ItemType,$AD:$AD)</f>
        <v>0</v>
      </c>
      <c r="J334" s="712">
        <f>SUMIFS(Sheet1!S71_OY1BudgetAmount,Sheet1!S71_SubMunicipalVoteNo,$AC:$AC,Sheet1!S71_ItemType,$AD:$AD)</f>
        <v>0</v>
      </c>
      <c r="K334" s="713">
        <f>SUMIFS(Sheet1!S71_OY2BudgetAmount,Sheet1!S71_SubMunicipalVoteNo,$AC:$AC,Sheet1!S71_ItemType,$AD:$AD)</f>
        <v>0</v>
      </c>
      <c r="L334" s="723"/>
      <c r="M334" s="735"/>
      <c r="N334" s="735"/>
      <c r="O334" s="735"/>
      <c r="P334" s="735"/>
      <c r="Q334" s="735"/>
      <c r="R334" s="735"/>
      <c r="S334" s="735"/>
      <c r="T334" s="735"/>
      <c r="U334" s="735"/>
      <c r="V334" s="735"/>
      <c r="W334" s="735"/>
      <c r="AC334" s="2312">
        <v>157</v>
      </c>
      <c r="AD334" s="2318" t="s">
        <v>2754</v>
      </c>
    </row>
    <row r="335" spans="1:30" ht="11.25" customHeight="1" x14ac:dyDescent="0.25">
      <c r="A335" s="136" t="str">
        <f t="shared" si="37"/>
        <v/>
      </c>
      <c r="B335" s="144"/>
      <c r="C335" s="712">
        <f>SUMIFS(Sheet1!S71_PPPYearAmount,Sheet1!S71_SubMunicipalVoteNo,$AC:$AC,Sheet1!S71_ItemType,$AD:$AD)</f>
        <v>0</v>
      </c>
      <c r="D335" s="712">
        <f>SUMIFS(Sheet1!S71_PPYearAmount,Sheet1!S71_SubMunicipalVoteNo,$AC:$AC,Sheet1!S71_ItemType,$AD:$AD)</f>
        <v>0</v>
      </c>
      <c r="E335" s="712">
        <f>SUMIFS(Sheet1!S71_PYearAmount,Sheet1!S71_SubMunicipalVoteNo,$AC:$AC,Sheet1!S71_ItemType,$AD:$AD)</f>
        <v>0</v>
      </c>
      <c r="F335" s="725">
        <f>SUMIFS(Sheet1!S71_OriginalBudAmnt,Sheet1!S71_SubMunicipalVoteNo,$AC:$AC,Sheet1!S71_ItemType,$AD:$AD)</f>
        <v>0</v>
      </c>
      <c r="G335" s="712">
        <f>SUMIFS(Sheet1!S71_AdjustmentBudAmnt,Sheet1!S71_SubMunicipalVoteNo,$AC:$AC,Sheet1!S71_ItemType,$AD:$AD)</f>
        <v>0</v>
      </c>
      <c r="H335" s="713">
        <f>SUMIFS(Sheet1!S71_AdjustmentBudAmnt,Sheet1!S71_SubMunicipalVoteNo,$AC:$AC,Sheet1!S71_ItemType,$AD:$AD)</f>
        <v>0</v>
      </c>
      <c r="I335" s="725">
        <f>SUMIFS(Sheet1!S71_ASBudgetAmount,Sheet1!S71_SubMunicipalVoteNo,$AC:$AC,Sheet1!S71_ItemType,$AD:$AD)</f>
        <v>0</v>
      </c>
      <c r="J335" s="712">
        <f>SUMIFS(Sheet1!S71_OY1BudgetAmount,Sheet1!S71_SubMunicipalVoteNo,$AC:$AC,Sheet1!S71_ItemType,$AD:$AD)</f>
        <v>0</v>
      </c>
      <c r="K335" s="713">
        <f>SUMIFS(Sheet1!S71_OY2BudgetAmount,Sheet1!S71_SubMunicipalVoteNo,$AC:$AC,Sheet1!S71_ItemType,$AD:$AD)</f>
        <v>0</v>
      </c>
      <c r="L335" s="723"/>
      <c r="M335" s="735"/>
      <c r="N335" s="735"/>
      <c r="O335" s="735"/>
      <c r="P335" s="735"/>
      <c r="Q335" s="735"/>
      <c r="R335" s="735"/>
      <c r="S335" s="735"/>
      <c r="T335" s="735"/>
      <c r="U335" s="735"/>
      <c r="V335" s="735"/>
      <c r="W335" s="735"/>
      <c r="AC335" s="2312">
        <v>158</v>
      </c>
      <c r="AD335" s="2318" t="s">
        <v>2754</v>
      </c>
    </row>
    <row r="336" spans="1:30" ht="11.25" customHeight="1" x14ac:dyDescent="0.25">
      <c r="A336" s="136" t="str">
        <f t="shared" si="37"/>
        <v/>
      </c>
      <c r="B336" s="144"/>
      <c r="C336" s="712">
        <f>SUMIFS(Sheet1!S71_PPPYearAmount,Sheet1!S71_SubMunicipalVoteNo,$AC:$AC,Sheet1!S71_ItemType,$AD:$AD)</f>
        <v>0</v>
      </c>
      <c r="D336" s="712">
        <f>SUMIFS(Sheet1!S71_PPYearAmount,Sheet1!S71_SubMunicipalVoteNo,$AC:$AC,Sheet1!S71_ItemType,$AD:$AD)</f>
        <v>0</v>
      </c>
      <c r="E336" s="712">
        <f>SUMIFS(Sheet1!S71_PYearAmount,Sheet1!S71_SubMunicipalVoteNo,$AC:$AC,Sheet1!S71_ItemType,$AD:$AD)</f>
        <v>0</v>
      </c>
      <c r="F336" s="725">
        <f>SUMIFS(Sheet1!S71_OriginalBudAmnt,Sheet1!S71_SubMunicipalVoteNo,$AC:$AC,Sheet1!S71_ItemType,$AD:$AD)</f>
        <v>0</v>
      </c>
      <c r="G336" s="712">
        <f>SUMIFS(Sheet1!S71_AdjustmentBudAmnt,Sheet1!S71_SubMunicipalVoteNo,$AC:$AC,Sheet1!S71_ItemType,$AD:$AD)</f>
        <v>0</v>
      </c>
      <c r="H336" s="713">
        <f>SUMIFS(Sheet1!S71_AdjustmentBudAmnt,Sheet1!S71_SubMunicipalVoteNo,$AC:$AC,Sheet1!S71_ItemType,$AD:$AD)</f>
        <v>0</v>
      </c>
      <c r="I336" s="725">
        <f>SUMIFS(Sheet1!S71_ASBudgetAmount,Sheet1!S71_SubMunicipalVoteNo,$AC:$AC,Sheet1!S71_ItemType,$AD:$AD)</f>
        <v>0</v>
      </c>
      <c r="J336" s="712">
        <f>SUMIFS(Sheet1!S71_OY1BudgetAmount,Sheet1!S71_SubMunicipalVoteNo,$AC:$AC,Sheet1!S71_ItemType,$AD:$AD)</f>
        <v>0</v>
      </c>
      <c r="K336" s="713">
        <f>SUMIFS(Sheet1!S71_OY2BudgetAmount,Sheet1!S71_SubMunicipalVoteNo,$AC:$AC,Sheet1!S71_ItemType,$AD:$AD)</f>
        <v>0</v>
      </c>
      <c r="L336" s="723"/>
      <c r="M336" s="735"/>
      <c r="N336" s="735"/>
      <c r="O336" s="735"/>
      <c r="P336" s="735"/>
      <c r="Q336" s="735"/>
      <c r="R336" s="735"/>
      <c r="S336" s="735"/>
      <c r="T336" s="735"/>
      <c r="U336" s="735"/>
      <c r="V336" s="735"/>
      <c r="W336" s="735"/>
      <c r="AC336" s="2312">
        <v>159</v>
      </c>
      <c r="AD336" s="2318" t="s">
        <v>2754</v>
      </c>
    </row>
    <row r="337" spans="1:30" ht="11.25" customHeight="1" x14ac:dyDescent="0.25">
      <c r="A337" s="136" t="str">
        <f t="shared" si="37"/>
        <v/>
      </c>
      <c r="B337" s="144"/>
      <c r="C337" s="712">
        <f>SUMIFS(Sheet1!S71_PPPYearAmount,Sheet1!S71_SubMunicipalVoteNo,$AC:$AC,Sheet1!S71_ItemType,$AD:$AD)</f>
        <v>0</v>
      </c>
      <c r="D337" s="712">
        <f>SUMIFS(Sheet1!S71_PPYearAmount,Sheet1!S71_SubMunicipalVoteNo,$AC:$AC,Sheet1!S71_ItemType,$AD:$AD)</f>
        <v>0</v>
      </c>
      <c r="E337" s="712">
        <f>SUMIFS(Sheet1!S71_PYearAmount,Sheet1!S71_SubMunicipalVoteNo,$AC:$AC,Sheet1!S71_ItemType,$AD:$AD)</f>
        <v>0</v>
      </c>
      <c r="F337" s="725">
        <f>SUMIFS(Sheet1!S71_OriginalBudAmnt,Sheet1!S71_SubMunicipalVoteNo,$AC:$AC,Sheet1!S71_ItemType,$AD:$AD)</f>
        <v>0</v>
      </c>
      <c r="G337" s="712">
        <f>SUMIFS(Sheet1!S71_AdjustmentBudAmnt,Sheet1!S71_SubMunicipalVoteNo,$AC:$AC,Sheet1!S71_ItemType,$AD:$AD)</f>
        <v>0</v>
      </c>
      <c r="H337" s="713">
        <f>SUMIFS(Sheet1!S71_AdjustmentBudAmnt,Sheet1!S71_SubMunicipalVoteNo,$AC:$AC,Sheet1!S71_ItemType,$AD:$AD)</f>
        <v>0</v>
      </c>
      <c r="I337" s="725">
        <f>SUMIFS(Sheet1!S71_ASBudgetAmount,Sheet1!S71_SubMunicipalVoteNo,$AC:$AC,Sheet1!S71_ItemType,$AD:$AD)</f>
        <v>0</v>
      </c>
      <c r="J337" s="712">
        <f>SUMIFS(Sheet1!S71_OY1BudgetAmount,Sheet1!S71_SubMunicipalVoteNo,$AC:$AC,Sheet1!S71_ItemType,$AD:$AD)</f>
        <v>0</v>
      </c>
      <c r="K337" s="713">
        <f>SUMIFS(Sheet1!S71_OY2BudgetAmount,Sheet1!S71_SubMunicipalVoteNo,$AC:$AC,Sheet1!S71_ItemType,$AD:$AD)</f>
        <v>0</v>
      </c>
      <c r="L337" s="723"/>
      <c r="M337" s="735"/>
      <c r="N337" s="735"/>
      <c r="O337" s="735"/>
      <c r="P337" s="735"/>
      <c r="Q337" s="735"/>
      <c r="R337" s="735"/>
      <c r="S337" s="735"/>
      <c r="T337" s="735"/>
      <c r="U337" s="735"/>
      <c r="V337" s="735"/>
      <c r="W337" s="735"/>
      <c r="AC337" s="2312">
        <v>1510</v>
      </c>
      <c r="AD337" s="2318" t="s">
        <v>2754</v>
      </c>
    </row>
    <row r="338" spans="1:30" ht="11.25" customHeight="1" x14ac:dyDescent="0.25">
      <c r="A338" s="170" t="s">
        <v>155</v>
      </c>
      <c r="B338" s="144">
        <v>2</v>
      </c>
      <c r="C338" s="535">
        <f>C173+C184+C195+C206+C217+C228+C239+C250+C261+C283+C294+C305+C316+C327+C272</f>
        <v>81467971</v>
      </c>
      <c r="D338" s="535">
        <f>D173+D184+D195+D206+D217+D228+D239+D250+D261+D283+D294+D305+D316+D327+D272</f>
        <v>83533919</v>
      </c>
      <c r="E338" s="665">
        <f t="shared" ref="E338:K338" si="42">E173+E184+E195+E206+E217+E228+E239+E250+E261+E283+E294+E305+E316+E327+E272</f>
        <v>96866452</v>
      </c>
      <c r="F338" s="666">
        <f t="shared" si="42"/>
        <v>121536902</v>
      </c>
      <c r="G338" s="535">
        <f t="shared" si="42"/>
        <v>142539969</v>
      </c>
      <c r="H338" s="667">
        <f t="shared" si="42"/>
        <v>142539969</v>
      </c>
      <c r="I338" s="668">
        <f t="shared" si="42"/>
        <v>142902464</v>
      </c>
      <c r="J338" s="535">
        <f t="shared" si="42"/>
        <v>135688050</v>
      </c>
      <c r="K338" s="665">
        <f t="shared" si="42"/>
        <v>146622608</v>
      </c>
      <c r="L338" s="732">
        <f t="shared" ref="L338:W338" si="43">SUM(L173:L249)</f>
        <v>0</v>
      </c>
      <c r="M338" s="733">
        <f t="shared" si="43"/>
        <v>0</v>
      </c>
      <c r="N338" s="733">
        <f t="shared" si="43"/>
        <v>0</v>
      </c>
      <c r="O338" s="733">
        <f t="shared" si="43"/>
        <v>0</v>
      </c>
      <c r="P338" s="733">
        <f t="shared" si="43"/>
        <v>0</v>
      </c>
      <c r="Q338" s="733">
        <f t="shared" si="43"/>
        <v>0</v>
      </c>
      <c r="R338" s="733">
        <f t="shared" si="43"/>
        <v>0</v>
      </c>
      <c r="S338" s="733">
        <f t="shared" si="43"/>
        <v>0</v>
      </c>
      <c r="T338" s="733">
        <f t="shared" si="43"/>
        <v>0</v>
      </c>
      <c r="U338" s="733">
        <f t="shared" si="43"/>
        <v>0</v>
      </c>
      <c r="V338" s="733">
        <f t="shared" si="43"/>
        <v>0</v>
      </c>
      <c r="W338" s="733">
        <f t="shared" si="43"/>
        <v>0</v>
      </c>
      <c r="AD338" s="2315"/>
    </row>
    <row r="339" spans="1:30" ht="4.9000000000000004" customHeight="1" x14ac:dyDescent="0.25">
      <c r="A339" s="176"/>
      <c r="B339" s="144"/>
      <c r="C339" s="545"/>
      <c r="D339" s="545"/>
      <c r="E339" s="742"/>
      <c r="F339" s="743"/>
      <c r="G339" s="545"/>
      <c r="H339" s="831"/>
      <c r="I339" s="544"/>
      <c r="J339" s="545"/>
      <c r="K339" s="742"/>
      <c r="L339" s="740"/>
      <c r="M339" s="741"/>
      <c r="N339" s="741"/>
      <c r="O339" s="741"/>
      <c r="P339" s="741"/>
      <c r="Q339" s="741"/>
      <c r="R339" s="741"/>
      <c r="S339" s="741"/>
      <c r="T339" s="741"/>
      <c r="U339" s="741"/>
      <c r="V339" s="741"/>
      <c r="W339" s="741"/>
      <c r="AD339" s="2315"/>
    </row>
    <row r="340" spans="1:30" ht="14.25" thickBot="1" x14ac:dyDescent="0.3">
      <c r="A340" s="182" t="str">
        <f>result</f>
        <v>Surplus/(Deficit) for the year</v>
      </c>
      <c r="B340" s="148">
        <v>2</v>
      </c>
      <c r="C340" s="119">
        <f t="shared" ref="C340:W340" si="44">C170-C338</f>
        <v>20192873</v>
      </c>
      <c r="D340" s="119">
        <f t="shared" si="44"/>
        <v>26829747</v>
      </c>
      <c r="E340" s="183">
        <f t="shared" si="44"/>
        <v>17074767</v>
      </c>
      <c r="F340" s="184">
        <f t="shared" si="44"/>
        <v>2685553</v>
      </c>
      <c r="G340" s="185">
        <f t="shared" si="44"/>
        <v>3163076</v>
      </c>
      <c r="H340" s="186">
        <f t="shared" si="44"/>
        <v>3163076</v>
      </c>
      <c r="I340" s="187">
        <f t="shared" si="44"/>
        <v>-7459342</v>
      </c>
      <c r="J340" s="185">
        <f t="shared" si="44"/>
        <v>6915590</v>
      </c>
      <c r="K340" s="183">
        <f t="shared" si="44"/>
        <v>-869184</v>
      </c>
      <c r="L340" s="752">
        <f t="shared" si="44"/>
        <v>0</v>
      </c>
      <c r="M340" s="753">
        <f t="shared" si="44"/>
        <v>0</v>
      </c>
      <c r="N340" s="753">
        <f t="shared" si="44"/>
        <v>0</v>
      </c>
      <c r="O340" s="753">
        <f t="shared" si="44"/>
        <v>0</v>
      </c>
      <c r="P340" s="753">
        <f t="shared" si="44"/>
        <v>0</v>
      </c>
      <c r="Q340" s="753">
        <f t="shared" si="44"/>
        <v>0</v>
      </c>
      <c r="R340" s="753">
        <f t="shared" si="44"/>
        <v>0</v>
      </c>
      <c r="S340" s="753">
        <f t="shared" si="44"/>
        <v>0</v>
      </c>
      <c r="T340" s="753">
        <f t="shared" si="44"/>
        <v>0</v>
      </c>
      <c r="U340" s="753">
        <f t="shared" si="44"/>
        <v>0</v>
      </c>
      <c r="V340" s="753">
        <f t="shared" si="44"/>
        <v>0</v>
      </c>
      <c r="W340" s="753">
        <f t="shared" si="44"/>
        <v>0</v>
      </c>
      <c r="AD340" s="2315"/>
    </row>
    <row r="341" spans="1:30" ht="11.25" customHeight="1" thickTop="1" x14ac:dyDescent="0.25">
      <c r="A341" s="188" t="str">
        <f>head27a</f>
        <v>References</v>
      </c>
      <c r="B341" s="189"/>
      <c r="C341" s="125"/>
      <c r="D341" s="191"/>
      <c r="E341" s="191"/>
      <c r="F341" s="191"/>
      <c r="G341" s="191"/>
      <c r="H341" s="191"/>
      <c r="I341" s="191"/>
      <c r="J341" s="191"/>
      <c r="K341" s="191"/>
      <c r="AD341" s="2372"/>
    </row>
    <row r="342" spans="1:30" ht="11.25" customHeight="1" x14ac:dyDescent="0.25">
      <c r="A342" s="154" t="s">
        <v>2455</v>
      </c>
      <c r="B342" s="189"/>
      <c r="C342" s="192"/>
      <c r="D342" s="192"/>
      <c r="E342" s="193"/>
      <c r="F342" s="193"/>
      <c r="G342" s="193"/>
      <c r="H342" s="193"/>
      <c r="I342" s="193"/>
      <c r="J342" s="193"/>
      <c r="K342" s="193"/>
      <c r="AD342" s="2372"/>
    </row>
    <row r="343" spans="1:30" ht="11.25" customHeight="1" x14ac:dyDescent="0.25">
      <c r="A343" s="194" t="s">
        <v>2454</v>
      </c>
      <c r="B343" s="189"/>
      <c r="C343" s="192"/>
      <c r="D343" s="192"/>
      <c r="E343" s="193"/>
      <c r="F343" s="193"/>
      <c r="G343" s="193"/>
      <c r="H343" s="193"/>
      <c r="I343" s="193"/>
      <c r="J343" s="193"/>
      <c r="K343" s="193"/>
      <c r="AD343" s="2372"/>
    </row>
    <row r="344" spans="1:30" ht="11.25" customHeight="1" x14ac:dyDescent="0.25">
      <c r="A344" s="194" t="s">
        <v>375</v>
      </c>
      <c r="B344" s="150"/>
      <c r="C344" s="195"/>
      <c r="D344" s="195"/>
      <c r="E344" s="196"/>
      <c r="F344" s="196"/>
      <c r="G344" s="196"/>
      <c r="H344" s="196"/>
      <c r="I344" s="196"/>
      <c r="J344" s="196"/>
      <c r="K344" s="196"/>
      <c r="AD344" s="2372"/>
    </row>
    <row r="345" spans="1:30" ht="11.25" customHeight="1" x14ac:dyDescent="0.25">
      <c r="A345" s="220"/>
      <c r="AD345" s="2315"/>
    </row>
    <row r="346" spans="1:30" ht="11.25" customHeight="1" x14ac:dyDescent="0.25">
      <c r="A346" s="195" t="s">
        <v>11</v>
      </c>
      <c r="C346" s="196">
        <f>C170-'A4-FinPerf RE'!C59</f>
        <v>-3070740</v>
      </c>
      <c r="D346" s="196">
        <f>D170-'A4-FinPerf RE'!D59</f>
        <v>-3188632</v>
      </c>
      <c r="E346" s="196">
        <f>E170-'A4-FinPerf RE'!E59</f>
        <v>-4481704</v>
      </c>
      <c r="F346" s="196">
        <f>F170-'A4-FinPerf RE'!F59</f>
        <v>0</v>
      </c>
      <c r="G346" s="196">
        <f>G170-'A4-FinPerf RE'!G59</f>
        <v>0</v>
      </c>
      <c r="H346" s="196">
        <f>H170-'A4-FinPerf RE'!H59</f>
        <v>0</v>
      </c>
      <c r="I346" s="196">
        <f>I170-'A4-FinPerf RE'!J59</f>
        <v>0</v>
      </c>
      <c r="J346" s="196">
        <f>J170-'A4-FinPerf RE'!K59</f>
        <v>0</v>
      </c>
      <c r="K346" s="196">
        <f>K170-'A4-FinPerf RE'!L59</f>
        <v>0</v>
      </c>
      <c r="AD346" s="2315"/>
    </row>
    <row r="347" spans="1:30" ht="11.25" customHeight="1" x14ac:dyDescent="0.25">
      <c r="A347" s="195" t="s">
        <v>12</v>
      </c>
      <c r="C347" s="196">
        <f>C338-'A4-FinPerf RE'!C35</f>
        <v>1851685</v>
      </c>
      <c r="D347" s="196">
        <f>D338-'A4-FinPerf RE'!D35</f>
        <v>2476986</v>
      </c>
      <c r="E347" s="196">
        <f>E338-'A4-FinPerf RE'!E35</f>
        <v>3045173</v>
      </c>
      <c r="F347" s="196">
        <f>F338-'A4-FinPerf RE'!F35</f>
        <v>0</v>
      </c>
      <c r="G347" s="196">
        <f>G338-'A4-FinPerf RE'!G35</f>
        <v>0</v>
      </c>
      <c r="H347" s="196">
        <f>H338-'A4-FinPerf RE'!H35</f>
        <v>0</v>
      </c>
      <c r="I347" s="196">
        <f>I338-'A4-FinPerf RE'!J35</f>
        <v>0</v>
      </c>
      <c r="J347" s="196">
        <f>J338-'A4-FinPerf RE'!K35</f>
        <v>0</v>
      </c>
      <c r="K347" s="196">
        <f>K338-'A4-FinPerf RE'!L35</f>
        <v>-1</v>
      </c>
      <c r="AD347" s="2315"/>
    </row>
    <row r="348" spans="1:30" ht="11.25" customHeight="1" x14ac:dyDescent="0.25">
      <c r="A348" s="220"/>
      <c r="AD348" s="2315"/>
    </row>
    <row r="349" spans="1:30" ht="11.25" customHeight="1" x14ac:dyDescent="0.25">
      <c r="A349" s="220"/>
      <c r="AD349" s="2315"/>
    </row>
    <row r="350" spans="1:30" ht="11.25" customHeight="1" x14ac:dyDescent="0.25">
      <c r="A350" s="220"/>
      <c r="AD350" s="2315"/>
    </row>
    <row r="351" spans="1:30" ht="11.25" customHeight="1" x14ac:dyDescent="0.25">
      <c r="AD351" s="2315"/>
    </row>
    <row r="352" spans="1:30" ht="11.25" customHeight="1" x14ac:dyDescent="0.25">
      <c r="AD352" s="2315"/>
    </row>
    <row r="353" ht="11.25" customHeight="1" x14ac:dyDescent="0.25"/>
    <row r="354" ht="11.25" customHeight="1" x14ac:dyDescent="0.25"/>
    <row r="355" ht="11.25" customHeight="1" x14ac:dyDescent="0.25"/>
    <row r="356" ht="11.25" customHeight="1" x14ac:dyDescent="0.25"/>
    <row r="357" ht="11.25" customHeight="1" x14ac:dyDescent="0.25"/>
    <row r="358" ht="11.25" customHeight="1" x14ac:dyDescent="0.25"/>
    <row r="359" ht="11.25" customHeight="1" x14ac:dyDescent="0.25"/>
    <row r="360" ht="11.25" customHeight="1" x14ac:dyDescent="0.25"/>
    <row r="361" ht="11.25" customHeight="1" x14ac:dyDescent="0.25"/>
    <row r="362" ht="11.25" customHeight="1" x14ac:dyDescent="0.25"/>
    <row r="363" ht="11.25" customHeight="1" x14ac:dyDescent="0.25"/>
    <row r="364" ht="11.25" customHeight="1" x14ac:dyDescent="0.25"/>
    <row r="365" ht="11.25" customHeight="1" x14ac:dyDescent="0.25"/>
    <row r="366" ht="11.25" customHeight="1" x14ac:dyDescent="0.25"/>
    <row r="367" ht="11.25" customHeight="1" x14ac:dyDescent="0.25"/>
    <row r="368" ht="11.25" customHeight="1" x14ac:dyDescent="0.25"/>
    <row r="369" ht="11.25" customHeight="1" x14ac:dyDescent="0.25"/>
    <row r="370" ht="11.25" customHeight="1" x14ac:dyDescent="0.25"/>
    <row r="371" ht="11.25" customHeight="1" x14ac:dyDescent="0.25"/>
    <row r="372" ht="11.25" customHeight="1" x14ac:dyDescent="0.25"/>
    <row r="373" ht="11.25" customHeight="1" x14ac:dyDescent="0.25"/>
    <row r="374" ht="11.25" customHeight="1" x14ac:dyDescent="0.25"/>
    <row r="375" ht="11.25" customHeight="1" x14ac:dyDescent="0.25"/>
    <row r="376" ht="11.25" customHeight="1" x14ac:dyDescent="0.25"/>
    <row r="377" ht="11.25" customHeight="1" x14ac:dyDescent="0.25"/>
    <row r="378" ht="11.25" customHeight="1" x14ac:dyDescent="0.25"/>
    <row r="379" ht="11.25" customHeight="1" x14ac:dyDescent="0.25"/>
  </sheetData>
  <sheetProtection algorithmName="SHA-512" hashValue="hMKzENWl2rK8cXLmTicZ5DYtKduzVQkcDxMpbXakQjZ1fEwYgUF1cDboiaqrXuFCZ3PtE1uLRP3TDFP0lRGZdQ==" saltValue="Uu7XM2uAPtmeufwTr9D0Cw==" spinCount="100000" sheet="1" objects="1" scenarios="1"/>
  <mergeCells count="3">
    <mergeCell ref="L2:W2"/>
    <mergeCell ref="F2:H2"/>
    <mergeCell ref="I2:K2"/>
  </mergeCells>
  <phoneticPr fontId="7" type="noConversion"/>
  <dataValidations xWindow="42844" yWindow="125" count="2">
    <dataValidation type="list" allowBlank="1" showInputMessage="1" showErrorMessage="1" promptTitle="Select Vote" prompt="Select Vote from list" sqref="A184" xr:uid="{00000000-0002-0000-0A00-000000000000}">
      <formula1>Vote</formula1>
    </dataValidation>
    <dataValidation type="decimal" allowBlank="1" showInputMessage="1" showErrorMessage="1" sqref="C6:K15 C17:K26 C28:K37 C39:K48 C50:K59 C61:K70 C72:K81 C83:K92 C94:K103 C105:K114 C116:K125 C127:K136 C138:K147 C149:K158 C160:K169 C174:K183 C185:K194 C196:K205 C207:K216 C218:K227 C229:K238 C240:K249 C251:K260 C262:K271 C273:K282 C284:K293 C295:K304 C306:K315 C317:K326 C328:K337" xr:uid="{4057B5DC-9BB6-4AF5-88B9-4009A4944031}">
      <formula1>-99999999999999900000</formula1>
      <formula2>99999999999999900000</formula2>
    </dataValidation>
  </dataValidations>
  <pageMargins left="0.35433070866141736" right="0.11811023622047245" top="0.78740157480314965" bottom="0.59055118110236227" header="0.51181102362204722" footer="0.35433070866141736"/>
  <pageSetup paperSize="9" scale="70" fitToHeight="2" orientation="portrait" r:id="rId1"/>
  <headerFooter alignWithMargins="0"/>
  <rowBreaks count="1" manualBreakCount="1">
    <brk id="170" max="10"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AC91"/>
  <sheetViews>
    <sheetView showGridLines="0" zoomScale="110" zoomScaleNormal="110" workbookViewId="0">
      <pane xSplit="2" ySplit="3" topLeftCell="F10" activePane="bottomRight" state="frozen"/>
      <selection pane="topRight"/>
      <selection pane="bottomLeft"/>
      <selection pane="bottomRight" activeCell="J24" sqref="J24"/>
    </sheetView>
  </sheetViews>
  <sheetFormatPr defaultColWidth="9.140625" defaultRowHeight="12.75" x14ac:dyDescent="0.25"/>
  <cols>
    <col min="1" max="1" width="30.7109375" style="58" customWidth="1"/>
    <col min="2" max="2" width="3" style="55" customWidth="1"/>
    <col min="3" max="8" width="9.28515625" style="58" customWidth="1"/>
    <col min="9" max="9" width="9.140625" style="58" customWidth="1"/>
    <col min="10" max="12" width="9.28515625" style="58" customWidth="1"/>
    <col min="13" max="13" width="9.7109375" style="58" hidden="1" customWidth="1"/>
    <col min="14" max="14" width="9.42578125" style="58" hidden="1" customWidth="1"/>
    <col min="15" max="15" width="9.7109375" style="58" hidden="1" customWidth="1"/>
    <col min="16" max="18" width="9.42578125" style="58" hidden="1" customWidth="1"/>
    <col min="19" max="19" width="9.7109375" style="58" hidden="1" customWidth="1"/>
    <col min="20" max="22" width="9.42578125" style="58" hidden="1" customWidth="1"/>
    <col min="23" max="24" width="9.7109375" style="58" hidden="1" customWidth="1"/>
    <col min="25" max="28" width="0" style="58" hidden="1" customWidth="1"/>
    <col min="29" max="29" width="9.140625" style="2312"/>
    <col min="30" max="16384" width="9.140625" style="58"/>
  </cols>
  <sheetData>
    <row r="1" spans="1:29" s="93" customFormat="1" x14ac:dyDescent="0.2">
      <c r="A1" s="92" t="str">
        <f>muni&amp;" - "&amp;Approve4</f>
        <v>KZN226 Mkhambathini - Table A4 Budgeted Financial Performance (revenue and expenditure)</v>
      </c>
      <c r="B1" s="92"/>
      <c r="C1" s="92"/>
      <c r="D1" s="92"/>
      <c r="E1" s="92"/>
      <c r="F1" s="92"/>
      <c r="G1" s="92"/>
      <c r="H1" s="92"/>
      <c r="I1" s="92"/>
      <c r="J1" s="92"/>
      <c r="K1" s="92"/>
      <c r="L1" s="92"/>
      <c r="AC1" s="2330"/>
    </row>
    <row r="2" spans="1:29" ht="28.5" customHeight="1" x14ac:dyDescent="0.25">
      <c r="A2" s="696" t="str">
        <f>desc</f>
        <v>Description</v>
      </c>
      <c r="B2" s="155" t="str">
        <f>head27</f>
        <v>Ref</v>
      </c>
      <c r="C2" s="837" t="str">
        <f>head1b</f>
        <v>2017/18</v>
      </c>
      <c r="D2" s="837" t="str">
        <f>head1A</f>
        <v>2018/19</v>
      </c>
      <c r="E2" s="684" t="str">
        <f>Head1</f>
        <v>2019/20</v>
      </c>
      <c r="F2" s="2447" t="str">
        <f>Head2</f>
        <v>Current Year 2020/21</v>
      </c>
      <c r="G2" s="2448"/>
      <c r="H2" s="2448"/>
      <c r="I2" s="2448"/>
      <c r="J2" s="2450" t="str">
        <f>Head3</f>
        <v>2021/22 Medium Term Revenue &amp; Expenditure Framework</v>
      </c>
      <c r="K2" s="2451"/>
      <c r="L2" s="2452"/>
      <c r="M2" s="2459" t="str">
        <f>Head4</f>
        <v>LTFS</v>
      </c>
      <c r="N2" s="2459"/>
      <c r="O2" s="2459"/>
      <c r="P2" s="2459"/>
      <c r="Q2" s="2459"/>
      <c r="R2" s="2459"/>
      <c r="S2" s="2459"/>
      <c r="T2" s="2459"/>
      <c r="U2" s="2459"/>
      <c r="V2" s="2459"/>
      <c r="W2" s="2459"/>
      <c r="X2" s="2460"/>
      <c r="AC2" s="2331" t="s">
        <v>2695</v>
      </c>
    </row>
    <row r="3" spans="1:29" ht="25.5" x14ac:dyDescent="0.25">
      <c r="A3" s="156" t="s">
        <v>568</v>
      </c>
      <c r="B3" s="701">
        <v>1</v>
      </c>
      <c r="C3" s="698" t="str">
        <f>Head5</f>
        <v>Audited Outcome</v>
      </c>
      <c r="D3" s="698" t="str">
        <f>Head5</f>
        <v>Audited Outcome</v>
      </c>
      <c r="E3" s="94" t="str">
        <f>Head5</f>
        <v>Audited Outcome</v>
      </c>
      <c r="F3" s="95" t="str">
        <f>Head6</f>
        <v>Original Budget</v>
      </c>
      <c r="G3" s="698" t="str">
        <f>Head7</f>
        <v>Adjusted Budget</v>
      </c>
      <c r="H3" s="94" t="str">
        <f>Head8</f>
        <v>Full Year Forecast</v>
      </c>
      <c r="I3" s="702" t="str">
        <f>Head5b</f>
        <v>Pre-audit outcome</v>
      </c>
      <c r="J3" s="95" t="str">
        <f>Head9</f>
        <v>Budget Year 2021/22</v>
      </c>
      <c r="K3" s="698" t="str">
        <f>Head10</f>
        <v>Budget Year +1 2022/23</v>
      </c>
      <c r="L3" s="94" t="str">
        <f>Head11</f>
        <v>Budget Year +2 2023/24</v>
      </c>
      <c r="M3" s="703" t="str">
        <f>Head12</f>
        <v>Forecast 2024/25</v>
      </c>
      <c r="N3" s="704" t="str">
        <f>Head13</f>
        <v>Forecast 2025/26</v>
      </c>
      <c r="O3" s="704" t="str">
        <f>Head14</f>
        <v>Forecast 2026/27</v>
      </c>
      <c r="P3" s="704" t="str">
        <f>Head15</f>
        <v>Forecast 2027/28</v>
      </c>
      <c r="Q3" s="704" t="str">
        <f>Head16</f>
        <v>Forecast 2028/29</v>
      </c>
      <c r="R3" s="704" t="str">
        <f>Head17</f>
        <v>Forecast 2029/30</v>
      </c>
      <c r="S3" s="704" t="str">
        <f>Head18</f>
        <v>Forecast 2030/31</v>
      </c>
      <c r="T3" s="704" t="str">
        <f>Head19</f>
        <v>Forecast 2031/32</v>
      </c>
      <c r="U3" s="704" t="str">
        <f>Head20</f>
        <v>Forecast 2032/33</v>
      </c>
      <c r="V3" s="704" t="str">
        <f>Head21</f>
        <v>Forecast 2033/34</v>
      </c>
      <c r="W3" s="704" t="str">
        <f>Head22</f>
        <v>Forecast 2034/35</v>
      </c>
      <c r="X3" s="704" t="str">
        <f>Head23</f>
        <v>Forecast 2035/36</v>
      </c>
      <c r="AC3" s="2315"/>
    </row>
    <row r="4" spans="1:29" ht="12.75" customHeight="1" x14ac:dyDescent="0.25">
      <c r="A4" s="96" t="s">
        <v>570</v>
      </c>
      <c r="B4" s="705"/>
      <c r="C4" s="159"/>
      <c r="D4" s="159"/>
      <c r="E4" s="706"/>
      <c r="F4" s="161"/>
      <c r="G4" s="159"/>
      <c r="H4" s="160"/>
      <c r="I4" s="162"/>
      <c r="J4" s="163"/>
      <c r="K4" s="159"/>
      <c r="L4" s="160"/>
      <c r="M4" s="707"/>
      <c r="N4" s="708"/>
      <c r="O4" s="708"/>
      <c r="P4" s="708"/>
      <c r="Q4" s="708"/>
      <c r="R4" s="708"/>
      <c r="S4" s="708"/>
      <c r="T4" s="708"/>
      <c r="U4" s="708"/>
      <c r="V4" s="708"/>
      <c r="W4" s="708"/>
      <c r="X4" s="708"/>
      <c r="Y4" s="322"/>
      <c r="AC4" s="2315"/>
    </row>
    <row r="5" spans="1:29" ht="12.75" customHeight="1" x14ac:dyDescent="0.25">
      <c r="A5" s="104" t="s">
        <v>467</v>
      </c>
      <c r="B5" s="675">
        <v>2</v>
      </c>
      <c r="C5" s="71">
        <f>'SA1'!C9</f>
        <v>17143783</v>
      </c>
      <c r="D5" s="71">
        <f>'SA1'!D9</f>
        <v>17480490</v>
      </c>
      <c r="E5" s="305">
        <f>'SA1'!E9</f>
        <v>21849391</v>
      </c>
      <c r="F5" s="75">
        <f>'SA1'!F9</f>
        <v>19781622</v>
      </c>
      <c r="G5" s="71">
        <f>'SA1'!G9</f>
        <v>19781622</v>
      </c>
      <c r="H5" s="117">
        <f>'SA1'!H9</f>
        <v>19781622</v>
      </c>
      <c r="I5" s="74">
        <f>'SA1'!I9</f>
        <v>-22796482</v>
      </c>
      <c r="J5" s="75">
        <f>'SA1'!J9</f>
        <v>20553103</v>
      </c>
      <c r="K5" s="71">
        <f>'SA1'!K9</f>
        <v>21375231</v>
      </c>
      <c r="L5" s="117">
        <f>'SA1'!L9</f>
        <v>22230239</v>
      </c>
      <c r="M5" s="709"/>
      <c r="N5" s="710"/>
      <c r="O5" s="710"/>
      <c r="P5" s="710"/>
      <c r="Q5" s="710"/>
      <c r="R5" s="710"/>
      <c r="S5" s="710"/>
      <c r="T5" s="710"/>
      <c r="U5" s="710"/>
      <c r="V5" s="710"/>
      <c r="W5" s="710"/>
      <c r="X5" s="710"/>
      <c r="Y5" s="322"/>
      <c r="AC5" s="2332" t="s">
        <v>2696</v>
      </c>
    </row>
    <row r="6" spans="1:29" ht="12.75" customHeight="1" x14ac:dyDescent="0.25">
      <c r="A6" s="137" t="s">
        <v>1557</v>
      </c>
      <c r="B6" s="675">
        <v>2</v>
      </c>
      <c r="C6" s="71">
        <f>'SA1'!C15</f>
        <v>0</v>
      </c>
      <c r="D6" s="71">
        <f>'SA1'!D15</f>
        <v>0</v>
      </c>
      <c r="E6" s="305">
        <f>'SA1'!E15</f>
        <v>0</v>
      </c>
      <c r="F6" s="75">
        <f>'SA1'!F15</f>
        <v>0</v>
      </c>
      <c r="G6" s="71">
        <f>'SA1'!G15</f>
        <v>0</v>
      </c>
      <c r="H6" s="117">
        <f>'SA1'!H15</f>
        <v>0</v>
      </c>
      <c r="I6" s="74">
        <f>'SA1'!I15</f>
        <v>0</v>
      </c>
      <c r="J6" s="75">
        <f>'SA1'!J15</f>
        <v>0</v>
      </c>
      <c r="K6" s="71">
        <f>'SA1'!K15</f>
        <v>0</v>
      </c>
      <c r="L6" s="117">
        <f>'SA1'!L15</f>
        <v>0</v>
      </c>
      <c r="M6" s="709"/>
      <c r="N6" s="710"/>
      <c r="O6" s="710"/>
      <c r="P6" s="710"/>
      <c r="Q6" s="710"/>
      <c r="R6" s="710"/>
      <c r="S6" s="710"/>
      <c r="T6" s="710"/>
      <c r="U6" s="710"/>
      <c r="V6" s="710"/>
      <c r="W6" s="710"/>
      <c r="X6" s="710"/>
      <c r="Y6" s="322"/>
      <c r="AC6" s="2332" t="s">
        <v>2697</v>
      </c>
    </row>
    <row r="7" spans="1:29" ht="12.75" customHeight="1" x14ac:dyDescent="0.25">
      <c r="A7" s="137" t="s">
        <v>1558</v>
      </c>
      <c r="B7" s="675">
        <v>2</v>
      </c>
      <c r="C7" s="71">
        <f>'SA1'!C21</f>
        <v>0</v>
      </c>
      <c r="D7" s="71">
        <f>'SA1'!D21</f>
        <v>0</v>
      </c>
      <c r="E7" s="305">
        <f>'SA1'!E21</f>
        <v>0</v>
      </c>
      <c r="F7" s="75">
        <f>'SA1'!F21</f>
        <v>0</v>
      </c>
      <c r="G7" s="71">
        <f>'SA1'!G21</f>
        <v>0</v>
      </c>
      <c r="H7" s="117">
        <f>'SA1'!H21</f>
        <v>0</v>
      </c>
      <c r="I7" s="74">
        <f>'SA1'!I21</f>
        <v>0</v>
      </c>
      <c r="J7" s="75">
        <f>'SA1'!J21</f>
        <v>0</v>
      </c>
      <c r="K7" s="71">
        <f>'SA1'!K21</f>
        <v>0</v>
      </c>
      <c r="L7" s="117">
        <f>'SA1'!L21</f>
        <v>0</v>
      </c>
      <c r="M7" s="709"/>
      <c r="N7" s="710"/>
      <c r="O7" s="710"/>
      <c r="P7" s="710"/>
      <c r="Q7" s="710"/>
      <c r="R7" s="710"/>
      <c r="S7" s="710"/>
      <c r="T7" s="710"/>
      <c r="U7" s="710"/>
      <c r="V7" s="710"/>
      <c r="W7" s="710"/>
      <c r="X7" s="710"/>
      <c r="Y7" s="322"/>
      <c r="AC7" s="2332" t="s">
        <v>2698</v>
      </c>
    </row>
    <row r="8" spans="1:29" ht="12.75" customHeight="1" x14ac:dyDescent="0.25">
      <c r="A8" s="137" t="s">
        <v>803</v>
      </c>
      <c r="B8" s="675">
        <v>2</v>
      </c>
      <c r="C8" s="71">
        <f>'SA1'!C27</f>
        <v>0</v>
      </c>
      <c r="D8" s="71">
        <f>'SA1'!D27</f>
        <v>0</v>
      </c>
      <c r="E8" s="305">
        <f>'SA1'!E27</f>
        <v>0</v>
      </c>
      <c r="F8" s="75">
        <f>'SA1'!F27</f>
        <v>0</v>
      </c>
      <c r="G8" s="71">
        <f>'SA1'!G27</f>
        <v>0</v>
      </c>
      <c r="H8" s="117">
        <f>'SA1'!H27</f>
        <v>0</v>
      </c>
      <c r="I8" s="74">
        <f>'SA1'!I27</f>
        <v>0</v>
      </c>
      <c r="J8" s="75">
        <f>'SA1'!J27</f>
        <v>0</v>
      </c>
      <c r="K8" s="71">
        <f>'SA1'!K27</f>
        <v>0</v>
      </c>
      <c r="L8" s="117">
        <f>'SA1'!L27</f>
        <v>0</v>
      </c>
      <c r="M8" s="709"/>
      <c r="N8" s="710"/>
      <c r="O8" s="710"/>
      <c r="P8" s="710"/>
      <c r="Q8" s="710"/>
      <c r="R8" s="710"/>
      <c r="S8" s="710"/>
      <c r="T8" s="710"/>
      <c r="U8" s="710"/>
      <c r="V8" s="710"/>
      <c r="W8" s="710"/>
      <c r="X8" s="710"/>
      <c r="Y8" s="322"/>
      <c r="AC8" s="2332" t="s">
        <v>2699</v>
      </c>
    </row>
    <row r="9" spans="1:29" ht="12.75" customHeight="1" x14ac:dyDescent="0.25">
      <c r="A9" s="137" t="s">
        <v>902</v>
      </c>
      <c r="B9" s="675">
        <v>2</v>
      </c>
      <c r="C9" s="71">
        <f>'SA1'!C34</f>
        <v>497749</v>
      </c>
      <c r="D9" s="71">
        <f>'SA1'!D34</f>
        <v>525667</v>
      </c>
      <c r="E9" s="178">
        <f>'SA1'!E34</f>
        <v>528201</v>
      </c>
      <c r="F9" s="179">
        <f>'SA1'!F34</f>
        <v>574287</v>
      </c>
      <c r="G9" s="177">
        <f>'SA1'!G34</f>
        <v>574287</v>
      </c>
      <c r="H9" s="388">
        <f>'SA1'!H34</f>
        <v>574287</v>
      </c>
      <c r="I9" s="180">
        <f>'SA1'!I34</f>
        <v>-574287</v>
      </c>
      <c r="J9" s="181">
        <f>'SA1'!J34</f>
        <v>596684</v>
      </c>
      <c r="K9" s="177">
        <f>'SA1'!K34</f>
        <v>620552</v>
      </c>
      <c r="L9" s="178">
        <f>'SA1'!L34</f>
        <v>645374</v>
      </c>
      <c r="M9" s="709"/>
      <c r="N9" s="710"/>
      <c r="O9" s="710"/>
      <c r="P9" s="710"/>
      <c r="Q9" s="710"/>
      <c r="R9" s="710"/>
      <c r="S9" s="710"/>
      <c r="T9" s="710"/>
      <c r="U9" s="710"/>
      <c r="V9" s="710"/>
      <c r="W9" s="710"/>
      <c r="X9" s="710"/>
      <c r="Y9" s="322"/>
      <c r="AC9" s="2332" t="s">
        <v>2700</v>
      </c>
    </row>
    <row r="10" spans="1:29" ht="1.9" customHeight="1" x14ac:dyDescent="0.25">
      <c r="A10" s="137"/>
      <c r="B10" s="711"/>
      <c r="C10" s="71"/>
      <c r="D10" s="71"/>
      <c r="E10" s="72"/>
      <c r="F10" s="73"/>
      <c r="G10" s="71"/>
      <c r="H10" s="72"/>
      <c r="I10" s="74"/>
      <c r="J10" s="75"/>
      <c r="K10" s="71"/>
      <c r="L10" s="72"/>
      <c r="M10" s="709"/>
      <c r="N10" s="710"/>
      <c r="O10" s="710"/>
      <c r="P10" s="710"/>
      <c r="Q10" s="710"/>
      <c r="R10" s="710"/>
      <c r="S10" s="710"/>
      <c r="T10" s="710"/>
      <c r="U10" s="710"/>
      <c r="V10" s="710"/>
      <c r="W10" s="710"/>
      <c r="X10" s="710"/>
      <c r="Y10" s="322"/>
      <c r="AC10" s="2315"/>
    </row>
    <row r="11" spans="1:29" ht="12.75" customHeight="1" x14ac:dyDescent="0.25">
      <c r="A11" s="137" t="s">
        <v>1404</v>
      </c>
      <c r="B11" s="711"/>
      <c r="C11" s="712">
        <f>SUMIFS(Sheet1!S71_PPPYearAmount,Sheet1!S71_A4Code,$AC:$AC)</f>
        <v>572199</v>
      </c>
      <c r="D11" s="2301">
        <f>SUMIFS(Sheet1!S71_PPYearAmount,Sheet1!S71_A4Code,$AC:$AC)</f>
        <v>131609</v>
      </c>
      <c r="E11" s="2302">
        <f>SUMIFS(Sheet1!S71_PYearAmount,Sheet1!S71_A4Code,$AC:$AC)</f>
        <v>248300</v>
      </c>
      <c r="F11" s="2303">
        <f>-SUMIFS(Sheet1!S71_OriginalBudAmnt,Sheet1!S71_A4Code,$AC:$AC)</f>
        <v>345181</v>
      </c>
      <c r="G11" s="2301">
        <f>-SUMIFS(Sheet1!S71_AdjustmentBudAmnt,Sheet1!S71_A4Code,$AC:$AC)</f>
        <v>345181</v>
      </c>
      <c r="H11" s="2302">
        <f>-SUMIFS(Sheet1!S71_AdjustmentBudAmnt,Sheet1!S71_A4Code,$AC:$AC)</f>
        <v>345181</v>
      </c>
      <c r="I11" s="2304">
        <f>SUMIFS(Sheet1!CD:CD,Sheet1!S71_A4Code,$AC:$AC)</f>
        <v>0</v>
      </c>
      <c r="J11" s="2303">
        <f>-SUMIFS(Sheet1!S71_ASBudgetAmount,Sheet1!S71_A4Code,$AC:$AC)</f>
        <v>358643</v>
      </c>
      <c r="K11" s="2301">
        <f>-SUMIFS(Sheet1!S71_OY1BudgetAmount,Sheet1!S71_A4Code,$AC:$AC)</f>
        <v>372989</v>
      </c>
      <c r="L11" s="2302">
        <f>-SUMIFS(Sheet1!S71_OY2BudgetAmount,Sheet1!S71_A4Code,$AC:$AC)</f>
        <v>387908</v>
      </c>
      <c r="M11" s="709"/>
      <c r="N11" s="710"/>
      <c r="O11" s="710"/>
      <c r="P11" s="710"/>
      <c r="Q11" s="710"/>
      <c r="R11" s="710"/>
      <c r="S11" s="710"/>
      <c r="T11" s="710"/>
      <c r="U11" s="710"/>
      <c r="V11" s="710"/>
      <c r="W11" s="710"/>
      <c r="X11" s="710"/>
      <c r="AC11" s="2332" t="s">
        <v>2701</v>
      </c>
    </row>
    <row r="12" spans="1:29" ht="12.75" customHeight="1" x14ac:dyDescent="0.25">
      <c r="A12" s="104" t="s">
        <v>403</v>
      </c>
      <c r="B12" s="711"/>
      <c r="C12" s="712">
        <f>SUMIFS(Sheet1!S71_PPPYearAmount,Sheet1!S71_A4Code,$AC:$AC)</f>
        <v>3483773</v>
      </c>
      <c r="D12" s="2301">
        <f>SUMIFS(Sheet1!S71_PPYearAmount,Sheet1!S71_A4Code,$AC:$AC)</f>
        <v>4539279</v>
      </c>
      <c r="E12" s="2302">
        <f>SUMIFS(Sheet1!S71_PYearAmount,Sheet1!S71_A4Code,$AC:$AC)</f>
        <v>4285972</v>
      </c>
      <c r="F12" s="2303">
        <f>-SUMIFS(Sheet1!S71_OriginalBudAmnt,Sheet1!S71_A4Code,$AC:$AC)</f>
        <v>3850000</v>
      </c>
      <c r="G12" s="2301">
        <f>-SUMIFS(Sheet1!S71_AdjustmentBudAmnt,Sheet1!S71_A4Code,$AC:$AC)</f>
        <v>3850000</v>
      </c>
      <c r="H12" s="2302">
        <f>-SUMIFS(Sheet1!S71_AdjustmentBudAmnt,Sheet1!S71_A4Code,$AC:$AC)</f>
        <v>3850000</v>
      </c>
      <c r="I12" s="2304">
        <f>SUMIFS(Sheet1!CD:CD,Sheet1!S71_A4Code,$AC:$AC)</f>
        <v>1350978</v>
      </c>
      <c r="J12" s="2303">
        <f>-SUMIFS(Sheet1!S71_ASBudgetAmount,Sheet1!S71_A4Code,$AC:$AC)</f>
        <v>4000150</v>
      </c>
      <c r="K12" s="2301">
        <f>-SUMIFS(Sheet1!S71_OY1BudgetAmount,Sheet1!S71_A4Code,$AC:$AC)</f>
        <v>4160156</v>
      </c>
      <c r="L12" s="2302">
        <f>-SUMIFS(Sheet1!S71_OY2BudgetAmount,Sheet1!S71_A4Code,$AC:$AC)</f>
        <v>4326562</v>
      </c>
      <c r="M12" s="709"/>
      <c r="N12" s="710"/>
      <c r="O12" s="710"/>
      <c r="P12" s="710"/>
      <c r="Q12" s="710"/>
      <c r="R12" s="710"/>
      <c r="S12" s="710"/>
      <c r="T12" s="710"/>
      <c r="U12" s="710"/>
      <c r="V12" s="710"/>
      <c r="W12" s="710"/>
      <c r="X12" s="710"/>
      <c r="AC12" s="2332" t="s">
        <v>2702</v>
      </c>
    </row>
    <row r="13" spans="1:29" ht="12.75" customHeight="1" x14ac:dyDescent="0.25">
      <c r="A13" s="104" t="s">
        <v>404</v>
      </c>
      <c r="B13" s="711"/>
      <c r="C13" s="712">
        <f>SUMIFS(Sheet1!S71_PPPYearAmount,Sheet1!S71_A4Code,$AC:$AC)</f>
        <v>2919965</v>
      </c>
      <c r="D13" s="2301">
        <f>SUMIFS(Sheet1!S71_PPYearAmount,Sheet1!S71_A4Code,$AC:$AC)</f>
        <v>3748099</v>
      </c>
      <c r="E13" s="2302">
        <f>SUMIFS(Sheet1!S71_PYearAmount,Sheet1!S71_A4Code,$AC:$AC)</f>
        <v>959570</v>
      </c>
      <c r="F13" s="2303">
        <f>-SUMIFS(Sheet1!S71_OriginalBudAmnt,Sheet1!S71_A4Code,$AC:$AC)</f>
        <v>1883321</v>
      </c>
      <c r="G13" s="2301">
        <f>-SUMIFS(Sheet1!S71_AdjustmentBudAmnt,Sheet1!S71_A4Code,$AC:$AC)</f>
        <v>0</v>
      </c>
      <c r="H13" s="2302">
        <f>-SUMIFS(Sheet1!S71_AdjustmentBudAmnt,Sheet1!S71_A4Code,$AC:$AC)</f>
        <v>0</v>
      </c>
      <c r="I13" s="2304">
        <f>SUMIFS(Sheet1!CD:CD,Sheet1!S71_A4Code,$AC:$AC)</f>
        <v>-19738</v>
      </c>
      <c r="J13" s="2303">
        <f>-SUMIFS(Sheet1!S71_ASBudgetAmount,Sheet1!S71_A4Code,$AC:$AC)</f>
        <v>0</v>
      </c>
      <c r="K13" s="2301">
        <f>-SUMIFS(Sheet1!S71_OY1BudgetAmount,Sheet1!S71_A4Code,$AC:$AC)</f>
        <v>0</v>
      </c>
      <c r="L13" s="2302">
        <f>-SUMIFS(Sheet1!S71_OY2BudgetAmount,Sheet1!S71_A4Code,$AC:$AC)</f>
        <v>0</v>
      </c>
      <c r="M13" s="709"/>
      <c r="N13" s="710"/>
      <c r="O13" s="710"/>
      <c r="P13" s="710"/>
      <c r="Q13" s="710"/>
      <c r="R13" s="710"/>
      <c r="S13" s="710"/>
      <c r="T13" s="710"/>
      <c r="U13" s="710"/>
      <c r="V13" s="710"/>
      <c r="W13" s="710"/>
      <c r="X13" s="710"/>
      <c r="AC13" s="2332" t="s">
        <v>2046</v>
      </c>
    </row>
    <row r="14" spans="1:29" ht="12.75" customHeight="1" x14ac:dyDescent="0.25">
      <c r="A14" s="104" t="s">
        <v>1335</v>
      </c>
      <c r="B14" s="711"/>
      <c r="C14" s="712">
        <f>SUMIFS(Sheet1!S71_PPPYearAmount,Sheet1!S71_A4Code,$AC:$AC)</f>
        <v>0</v>
      </c>
      <c r="D14" s="2301">
        <f>SUMIFS(Sheet1!S71_PPYearAmount,Sheet1!S71_A4Code,$AC:$AC)</f>
        <v>0</v>
      </c>
      <c r="E14" s="2302">
        <f>SUMIFS(Sheet1!S71_PYearAmount,Sheet1!S71_A4Code,$AC:$AC)</f>
        <v>0</v>
      </c>
      <c r="F14" s="2303">
        <f>-SUMIFS(Sheet1!S71_OriginalBudAmnt,Sheet1!S71_A4Code,$AC:$AC)</f>
        <v>0</v>
      </c>
      <c r="G14" s="2301">
        <f>-SUMIFS(Sheet1!S71_AdjustmentBudAmnt,Sheet1!S71_A4Code,$AC:$AC)</f>
        <v>0</v>
      </c>
      <c r="H14" s="2302">
        <f>-SUMIFS(Sheet1!S71_AdjustmentBudAmnt,Sheet1!S71_A4Code,$AC:$AC)</f>
        <v>0</v>
      </c>
      <c r="I14" s="2304">
        <f>SUMIFS(Sheet1!CD:CD,Sheet1!S71_A4Code,$AC:$AC)</f>
        <v>0</v>
      </c>
      <c r="J14" s="2303">
        <f>-SUMIFS(Sheet1!S71_ASBudgetAmount,Sheet1!S71_A4Code,$AC:$AC)</f>
        <v>0</v>
      </c>
      <c r="K14" s="2301">
        <f>-SUMIFS(Sheet1!S71_OY1BudgetAmount,Sheet1!S71_A4Code,$AC:$AC)</f>
        <v>0</v>
      </c>
      <c r="L14" s="2302">
        <f>-SUMIFS(Sheet1!S71_OY2BudgetAmount,Sheet1!S71_A4Code,$AC:$AC)</f>
        <v>0</v>
      </c>
      <c r="M14" s="709"/>
      <c r="N14" s="710"/>
      <c r="O14" s="710"/>
      <c r="P14" s="710"/>
      <c r="Q14" s="710"/>
      <c r="R14" s="710"/>
      <c r="S14" s="710"/>
      <c r="T14" s="710"/>
      <c r="U14" s="710"/>
      <c r="V14" s="710"/>
      <c r="W14" s="710"/>
      <c r="X14" s="710"/>
      <c r="AC14" s="2332" t="s">
        <v>2048</v>
      </c>
    </row>
    <row r="15" spans="1:29" ht="12.75" customHeight="1" x14ac:dyDescent="0.25">
      <c r="A15" s="104" t="s">
        <v>2343</v>
      </c>
      <c r="B15" s="711"/>
      <c r="C15" s="712">
        <f>SUMIFS(Sheet1!S71_PPPYearAmount,Sheet1!S71_A4Code,$AC:$AC)</f>
        <v>28203</v>
      </c>
      <c r="D15" s="2301">
        <f>SUMIFS(Sheet1!S71_PPYearAmount,Sheet1!S71_A4Code,$AC:$AC)</f>
        <v>29520</v>
      </c>
      <c r="E15" s="2302">
        <f>SUMIFS(Sheet1!S71_PYearAmount,Sheet1!S71_A4Code,$AC:$AC)</f>
        <v>24635</v>
      </c>
      <c r="F15" s="2303">
        <f>-SUMIFS(Sheet1!S71_OriginalBudAmnt,Sheet1!S71_A4Code,$AC:$AC)</f>
        <v>34200</v>
      </c>
      <c r="G15" s="2301">
        <f>-SUMIFS(Sheet1!S71_AdjustmentBudAmnt,Sheet1!S71_A4Code,$AC:$AC)</f>
        <v>34200</v>
      </c>
      <c r="H15" s="2302">
        <f>-SUMIFS(Sheet1!S71_AdjustmentBudAmnt,Sheet1!S71_A4Code,$AC:$AC)</f>
        <v>34200</v>
      </c>
      <c r="I15" s="2304">
        <f>SUMIFS(Sheet1!CD:CD,Sheet1!S71_A4Code,$AC:$AC)</f>
        <v>2197</v>
      </c>
      <c r="J15" s="2303">
        <f>-SUMIFS(Sheet1!S71_ASBudgetAmount,Sheet1!S71_A4Code,$AC:$AC)</f>
        <v>35533</v>
      </c>
      <c r="K15" s="2301">
        <f>-SUMIFS(Sheet1!S71_OY1BudgetAmount,Sheet1!S71_A4Code,$AC:$AC)</f>
        <v>36955</v>
      </c>
      <c r="L15" s="2302">
        <f>-SUMIFS(Sheet1!S71_OY2BudgetAmount,Sheet1!S71_A4Code,$AC:$AC)</f>
        <v>38433</v>
      </c>
      <c r="M15" s="709"/>
      <c r="N15" s="710"/>
      <c r="O15" s="710"/>
      <c r="P15" s="710"/>
      <c r="Q15" s="710"/>
      <c r="R15" s="710"/>
      <c r="S15" s="710"/>
      <c r="T15" s="710"/>
      <c r="U15" s="710"/>
      <c r="V15" s="710"/>
      <c r="W15" s="710"/>
      <c r="X15" s="710"/>
      <c r="AC15" s="2332" t="s">
        <v>2059</v>
      </c>
    </row>
    <row r="16" spans="1:29" ht="12.75" customHeight="1" x14ac:dyDescent="0.25">
      <c r="A16" s="104" t="s">
        <v>406</v>
      </c>
      <c r="B16" s="711"/>
      <c r="C16" s="712">
        <f>SUMIFS(Sheet1!S71_PPPYearAmount,Sheet1!S71_A4Code,$AC:$AC)</f>
        <v>6064222</v>
      </c>
      <c r="D16" s="2301">
        <f>SUMIFS(Sheet1!S71_PPYearAmount,Sheet1!S71_A4Code,$AC:$AC)</f>
        <v>6462382</v>
      </c>
      <c r="E16" s="2302">
        <f>SUMIFS(Sheet1!S71_PYearAmount,Sheet1!S71_A4Code,$AC:$AC)</f>
        <v>4704487</v>
      </c>
      <c r="F16" s="2303">
        <f>-SUMIFS(Sheet1!S71_OriginalBudAmnt,Sheet1!S71_A4Code,$AC:$AC)</f>
        <v>7121110</v>
      </c>
      <c r="G16" s="2301">
        <f>-SUMIFS(Sheet1!S71_AdjustmentBudAmnt,Sheet1!S71_A4Code,$AC:$AC)</f>
        <v>7122310</v>
      </c>
      <c r="H16" s="2302">
        <f>-SUMIFS(Sheet1!S71_AdjustmentBudAmnt,Sheet1!S71_A4Code,$AC:$AC)</f>
        <v>7122310</v>
      </c>
      <c r="I16" s="2304">
        <f>SUMIFS(Sheet1!CD:CD,Sheet1!S71_A4Code,$AC:$AC)</f>
        <v>4567541</v>
      </c>
      <c r="J16" s="2303">
        <f>-SUMIFS(Sheet1!S71_ASBudgetAmount,Sheet1!S71_A4Code,$AC:$AC)</f>
        <v>7400081</v>
      </c>
      <c r="K16" s="2301">
        <f>-SUMIFS(Sheet1!S71_OY1BudgetAmount,Sheet1!S71_A4Code,$AC:$AC)</f>
        <v>7696084</v>
      </c>
      <c r="L16" s="2302">
        <f>-SUMIFS(Sheet1!S71_OY2BudgetAmount,Sheet1!S71_A4Code,$AC:$AC)</f>
        <v>8003928</v>
      </c>
      <c r="M16" s="709"/>
      <c r="N16" s="710"/>
      <c r="O16" s="710"/>
      <c r="P16" s="710"/>
      <c r="Q16" s="710"/>
      <c r="R16" s="710"/>
      <c r="S16" s="710"/>
      <c r="T16" s="710"/>
      <c r="U16" s="710"/>
      <c r="V16" s="710"/>
      <c r="W16" s="710"/>
      <c r="X16" s="710"/>
      <c r="AC16" s="2332" t="s">
        <v>2071</v>
      </c>
    </row>
    <row r="17" spans="1:29" ht="12.75" customHeight="1" x14ac:dyDescent="0.25">
      <c r="A17" s="137" t="s">
        <v>1316</v>
      </c>
      <c r="B17" s="675"/>
      <c r="C17" s="712">
        <f>SUMIFS(Sheet1!S71_PPPYearAmount,Sheet1!S71_A4Code,$AC:$AC)</f>
        <v>0</v>
      </c>
      <c r="D17" s="2301">
        <f>SUMIFS(Sheet1!S71_PPYearAmount,Sheet1!S71_A4Code,$AC:$AC)</f>
        <v>0</v>
      </c>
      <c r="E17" s="2302">
        <f>SUMIFS(Sheet1!S71_PYearAmount,Sheet1!S71_A4Code,$AC:$AC)</f>
        <v>0</v>
      </c>
      <c r="F17" s="2303">
        <f>-SUMIFS(Sheet1!S71_OriginalBudAmnt,Sheet1!S71_A4Code,$AC:$AC)</f>
        <v>0</v>
      </c>
      <c r="G17" s="2301">
        <f>-SUMIFS(Sheet1!S71_AdjustmentBudAmnt,Sheet1!S71_A4Code,$AC:$AC)</f>
        <v>0</v>
      </c>
      <c r="H17" s="2302">
        <f>-SUMIFS(Sheet1!S71_AdjustmentBudAmnt,Sheet1!S71_A4Code,$AC:$AC)</f>
        <v>0</v>
      </c>
      <c r="I17" s="2304">
        <f>SUMIFS(Sheet1!CD:CD,Sheet1!S71_A4Code,$AC:$AC)</f>
        <v>0</v>
      </c>
      <c r="J17" s="2303">
        <f>-SUMIFS(Sheet1!S71_ASBudgetAmount,Sheet1!S71_A4Code,$AC:$AC)</f>
        <v>0</v>
      </c>
      <c r="K17" s="2301">
        <f>-SUMIFS(Sheet1!S71_OY1BudgetAmount,Sheet1!S71_A4Code,$AC:$AC)</f>
        <v>0</v>
      </c>
      <c r="L17" s="2302">
        <f>-SUMIFS(Sheet1!S71_OY2BudgetAmount,Sheet1!S71_A4Code,$AC:$AC)</f>
        <v>0</v>
      </c>
      <c r="M17" s="709"/>
      <c r="N17" s="710"/>
      <c r="O17" s="710"/>
      <c r="P17" s="710"/>
      <c r="Q17" s="710"/>
      <c r="R17" s="710"/>
      <c r="S17" s="710"/>
      <c r="T17" s="710"/>
      <c r="U17" s="710"/>
      <c r="V17" s="710"/>
      <c r="W17" s="710"/>
      <c r="X17" s="710"/>
      <c r="AC17" s="2332" t="s">
        <v>2080</v>
      </c>
    </row>
    <row r="18" spans="1:29" ht="12.75" customHeight="1" x14ac:dyDescent="0.25">
      <c r="A18" s="104" t="s">
        <v>2342</v>
      </c>
      <c r="B18" s="711"/>
      <c r="C18" s="712">
        <f>SUMIFS(Sheet1!S71_PPPYearAmount,Sheet1!S71_A4Code,$AC:$AC)</f>
        <v>55612210</v>
      </c>
      <c r="D18" s="2301">
        <f>SUMIFS(Sheet1!S71_PPYearAmount,Sheet1!S71_A4Code,$AC:$AC)</f>
        <v>60608754</v>
      </c>
      <c r="E18" s="2302">
        <f>SUMIFS(Sheet1!S71_PYearAmount,Sheet1!S71_A4Code,$AC:$AC)</f>
        <v>69092059</v>
      </c>
      <c r="F18" s="2303">
        <f>-SUMIFS(Sheet1!S71_OriginalBudAmnt,Sheet1!S71_A4Code,$AC:$AC)</f>
        <v>73462500</v>
      </c>
      <c r="G18" s="2301">
        <f>-SUMIFS(Sheet1!S71_AdjustmentBudAmnt,Sheet1!S71_A4Code,$AC:$AC)</f>
        <v>85495000</v>
      </c>
      <c r="H18" s="2302">
        <f>-SUMIFS(Sheet1!S71_AdjustmentBudAmnt,Sheet1!S71_A4Code,$AC:$AC)</f>
        <v>85495000</v>
      </c>
      <c r="I18" s="2304">
        <f>SUMIFS(Sheet1!CD:CD,Sheet1!S71_A4Code,$AC:$AC)</f>
        <v>85069729</v>
      </c>
      <c r="J18" s="2303">
        <f>-SUMIFS(Sheet1!S71_ASBudgetAmount,Sheet1!S71_A4Code,$AC:$AC)</f>
        <v>76559000</v>
      </c>
      <c r="K18" s="2301">
        <f>-SUMIFS(Sheet1!S71_OY1BudgetAmount,Sheet1!S71_A4Code,$AC:$AC)</f>
        <v>87642680</v>
      </c>
      <c r="L18" s="2302">
        <f>-SUMIFS(Sheet1!S71_OY2BudgetAmount,Sheet1!S71_A4Code,$AC:$AC)</f>
        <v>88692267</v>
      </c>
      <c r="M18" s="723"/>
      <c r="N18" s="710"/>
      <c r="O18" s="710"/>
      <c r="P18" s="710"/>
      <c r="Q18" s="710"/>
      <c r="R18" s="710"/>
      <c r="S18" s="710"/>
      <c r="T18" s="710"/>
      <c r="U18" s="710"/>
      <c r="V18" s="710"/>
      <c r="W18" s="710"/>
      <c r="X18" s="710"/>
      <c r="AC18" s="2332" t="s">
        <v>2090</v>
      </c>
    </row>
    <row r="19" spans="1:29" ht="12.75" customHeight="1" x14ac:dyDescent="0.25">
      <c r="A19" s="104" t="s">
        <v>1360</v>
      </c>
      <c r="B19" s="711">
        <v>2</v>
      </c>
      <c r="C19" s="71">
        <f>'SA1'!C66</f>
        <v>684283</v>
      </c>
      <c r="D19" s="71">
        <f>'SA1'!D66</f>
        <v>641498</v>
      </c>
      <c r="E19" s="178">
        <f>'SA1'!E66</f>
        <v>534287</v>
      </c>
      <c r="F19" s="179">
        <f>'SA1'!F66</f>
        <v>1174234</v>
      </c>
      <c r="G19" s="177">
        <f>'SA1'!G66</f>
        <v>2700445</v>
      </c>
      <c r="H19" s="178">
        <f>'SA1'!H66</f>
        <v>2700445</v>
      </c>
      <c r="I19" s="178">
        <f>'SA1'!I66</f>
        <v>3109120</v>
      </c>
      <c r="J19" s="724">
        <f>'SA1'!J66</f>
        <v>1184928</v>
      </c>
      <c r="K19" s="177">
        <f>'SA1'!K66</f>
        <v>2917993</v>
      </c>
      <c r="L19" s="178">
        <f>'SA1'!L66</f>
        <v>3034713</v>
      </c>
      <c r="M19" s="723"/>
      <c r="N19" s="710"/>
      <c r="O19" s="710"/>
      <c r="P19" s="710"/>
      <c r="Q19" s="710"/>
      <c r="R19" s="710"/>
      <c r="S19" s="710"/>
      <c r="T19" s="710"/>
      <c r="U19" s="710"/>
      <c r="V19" s="710"/>
      <c r="W19" s="710"/>
      <c r="X19" s="710"/>
      <c r="AC19" s="2332" t="s">
        <v>2095</v>
      </c>
    </row>
    <row r="20" spans="1:29" ht="12.75" customHeight="1" x14ac:dyDescent="0.25">
      <c r="A20" s="137" t="s">
        <v>2526</v>
      </c>
      <c r="B20" s="711"/>
      <c r="C20" s="712">
        <f>SUMIFS(Sheet1!S71_PPPYearAmount,Sheet1!S71_A4Code,$AC:$AC)</f>
        <v>0</v>
      </c>
      <c r="D20" s="2301">
        <f>SUMIFS(Sheet1!S71_PPYearAmount,Sheet1!S71_A4Code,$AC:$AC)</f>
        <v>0</v>
      </c>
      <c r="E20" s="2302">
        <f>SUMIFS(Sheet1!S71_PYearAmount,Sheet1!S71_A4Code,$AC:$AC)</f>
        <v>0</v>
      </c>
      <c r="F20" s="2303">
        <f>-SUMIFS(Sheet1!S71_OriginalBudAmnt,Sheet1!S71_A4Code,$AC:$AC)</f>
        <v>0</v>
      </c>
      <c r="G20" s="2301">
        <f>-SUMIFS(Sheet1!S71_AdjustmentBudAmnt,Sheet1!S71_A4Code,$AC:$AC)</f>
        <v>0</v>
      </c>
      <c r="H20" s="2302">
        <f>-SUMIFS(Sheet1!S71_AdjustmentBudAmnt,Sheet1!S71_A4Code,$AC:$AC)</f>
        <v>0</v>
      </c>
      <c r="I20" s="2304">
        <f>SUMIFS(Sheet1!CD:CD,Sheet1!S71_A4Code,$AC:$AC)</f>
        <v>0</v>
      </c>
      <c r="J20" s="2303">
        <f>-SUMIFS(Sheet1!S71_ASBudgetAmount,Sheet1!S71_A4Code,$AC:$AC)</f>
        <v>0</v>
      </c>
      <c r="K20" s="2301">
        <f>-SUMIFS(Sheet1!S71_OY1BudgetAmount,Sheet1!S71_A4Code,$AC:$AC)</f>
        <v>0</v>
      </c>
      <c r="L20" s="2302">
        <f>-SUMIFS(Sheet1!S71_OY2BudgetAmount,Sheet1!S71_A4Code,$AC:$AC)</f>
        <v>0</v>
      </c>
      <c r="M20" s="723"/>
      <c r="N20" s="710"/>
      <c r="O20" s="710"/>
      <c r="P20" s="710"/>
      <c r="Q20" s="710"/>
      <c r="R20" s="710"/>
      <c r="S20" s="710"/>
      <c r="T20" s="710"/>
      <c r="U20" s="710"/>
      <c r="V20" s="710"/>
      <c r="W20" s="710"/>
      <c r="X20" s="710"/>
      <c r="AC20" s="2332" t="s">
        <v>2105</v>
      </c>
    </row>
    <row r="21" spans="1:29" ht="24" customHeight="1" x14ac:dyDescent="0.25">
      <c r="A21" s="726" t="s">
        <v>903</v>
      </c>
      <c r="B21" s="727"/>
      <c r="C21" s="728">
        <f>SUM(C5:C9)+SUM(C11:C20)</f>
        <v>87006387</v>
      </c>
      <c r="D21" s="728">
        <f t="shared" ref="D21:L21" si="0">SUM(D5:D9)+SUM(D11:D20)</f>
        <v>94167298</v>
      </c>
      <c r="E21" s="729">
        <f t="shared" si="0"/>
        <v>102226902</v>
      </c>
      <c r="F21" s="730">
        <f t="shared" si="0"/>
        <v>108226455</v>
      </c>
      <c r="G21" s="728">
        <f t="shared" si="0"/>
        <v>119903045</v>
      </c>
      <c r="H21" s="729">
        <f t="shared" si="0"/>
        <v>119903045</v>
      </c>
      <c r="I21" s="730">
        <f t="shared" si="0"/>
        <v>70709058</v>
      </c>
      <c r="J21" s="731">
        <f t="shared" si="0"/>
        <v>110688122</v>
      </c>
      <c r="K21" s="728">
        <f t="shared" si="0"/>
        <v>124822640</v>
      </c>
      <c r="L21" s="729">
        <f t="shared" si="0"/>
        <v>127359424</v>
      </c>
      <c r="M21" s="732">
        <f t="shared" ref="M21:X21" si="1">SUM(M5:M20)</f>
        <v>0</v>
      </c>
      <c r="N21" s="733">
        <f t="shared" si="1"/>
        <v>0</v>
      </c>
      <c r="O21" s="733">
        <f t="shared" si="1"/>
        <v>0</v>
      </c>
      <c r="P21" s="733">
        <f t="shared" si="1"/>
        <v>0</v>
      </c>
      <c r="Q21" s="733">
        <f t="shared" si="1"/>
        <v>0</v>
      </c>
      <c r="R21" s="733">
        <f t="shared" si="1"/>
        <v>0</v>
      </c>
      <c r="S21" s="733">
        <f t="shared" si="1"/>
        <v>0</v>
      </c>
      <c r="T21" s="733">
        <f t="shared" si="1"/>
        <v>0</v>
      </c>
      <c r="U21" s="733">
        <f t="shared" si="1"/>
        <v>0</v>
      </c>
      <c r="V21" s="733">
        <f t="shared" si="1"/>
        <v>0</v>
      </c>
      <c r="W21" s="733">
        <f t="shared" si="1"/>
        <v>0</v>
      </c>
      <c r="X21" s="733">
        <f t="shared" si="1"/>
        <v>0</v>
      </c>
      <c r="AC21" s="2315"/>
    </row>
    <row r="22" spans="1:29" ht="4.9000000000000004" customHeight="1" x14ac:dyDescent="0.25">
      <c r="A22" s="116"/>
      <c r="B22" s="711"/>
      <c r="C22" s="177"/>
      <c r="D22" s="177"/>
      <c r="E22" s="178"/>
      <c r="F22" s="179"/>
      <c r="G22" s="177"/>
      <c r="H22" s="178"/>
      <c r="I22" s="180"/>
      <c r="J22" s="181"/>
      <c r="K22" s="177"/>
      <c r="L22" s="178"/>
      <c r="M22" s="709"/>
      <c r="N22" s="710"/>
      <c r="O22" s="710"/>
      <c r="P22" s="710"/>
      <c r="Q22" s="710"/>
      <c r="R22" s="710"/>
      <c r="S22" s="710"/>
      <c r="T22" s="710"/>
      <c r="U22" s="710"/>
      <c r="V22" s="710"/>
      <c r="W22" s="710"/>
      <c r="X22" s="710"/>
      <c r="AC22" s="2315"/>
    </row>
    <row r="23" spans="1:29" ht="11.25" customHeight="1" x14ac:dyDescent="0.25">
      <c r="A23" s="96" t="s">
        <v>1440</v>
      </c>
      <c r="B23" s="734"/>
      <c r="C23" s="177"/>
      <c r="D23" s="177"/>
      <c r="E23" s="178"/>
      <c r="F23" s="179"/>
      <c r="G23" s="177"/>
      <c r="H23" s="178"/>
      <c r="I23" s="180"/>
      <c r="J23" s="181"/>
      <c r="K23" s="177"/>
      <c r="L23" s="178"/>
      <c r="M23" s="709"/>
      <c r="N23" s="710"/>
      <c r="O23" s="710"/>
      <c r="P23" s="710"/>
      <c r="Q23" s="710"/>
      <c r="R23" s="710"/>
      <c r="S23" s="710"/>
      <c r="T23" s="710"/>
      <c r="U23" s="710"/>
      <c r="V23" s="710"/>
      <c r="W23" s="710"/>
      <c r="X23" s="710"/>
      <c r="AC23" s="2315"/>
    </row>
    <row r="24" spans="1:29" ht="11.25" customHeight="1" x14ac:dyDescent="0.25">
      <c r="A24" s="137" t="s">
        <v>408</v>
      </c>
      <c r="B24" s="675">
        <v>2</v>
      </c>
      <c r="C24" s="177">
        <f>'SA1'!C84</f>
        <v>34125373</v>
      </c>
      <c r="D24" s="71">
        <f>'SA1'!D84</f>
        <v>34971290</v>
      </c>
      <c r="E24" s="178">
        <f>'SA1'!E84</f>
        <v>36529095</v>
      </c>
      <c r="F24" s="179">
        <f>'SA1'!F84</f>
        <v>44691585</v>
      </c>
      <c r="G24" s="177">
        <f>'SA1'!G84</f>
        <v>44605885</v>
      </c>
      <c r="H24" s="178">
        <f>'SA1'!H84</f>
        <v>44605885</v>
      </c>
      <c r="I24" s="180">
        <f>'SA1'!I84</f>
        <v>34376032</v>
      </c>
      <c r="J24" s="181">
        <f>'SA1'!J84</f>
        <v>48558294</v>
      </c>
      <c r="K24" s="177">
        <f>'SA1'!K84</f>
        <v>50155201</v>
      </c>
      <c r="L24" s="178">
        <f>'SA1'!L84</f>
        <v>53644386</v>
      </c>
      <c r="M24" s="709"/>
      <c r="N24" s="710"/>
      <c r="O24" s="710"/>
      <c r="P24" s="710"/>
      <c r="Q24" s="710"/>
      <c r="R24" s="710"/>
      <c r="S24" s="710"/>
      <c r="T24" s="710"/>
      <c r="U24" s="710"/>
      <c r="V24" s="710"/>
      <c r="W24" s="710"/>
      <c r="X24" s="710"/>
      <c r="AC24" s="2332" t="s">
        <v>2703</v>
      </c>
    </row>
    <row r="25" spans="1:29" ht="11.25" customHeight="1" x14ac:dyDescent="0.25">
      <c r="A25" s="137" t="s">
        <v>458</v>
      </c>
      <c r="B25" s="675"/>
      <c r="C25" s="712">
        <f>SUMIFS(Sheet1!S71_PPPYearAmount,Sheet1!S71_A4Code,$AC:$AC)</f>
        <v>5172985</v>
      </c>
      <c r="D25" s="2301">
        <f>SUMIFS(Sheet1!S71_PPYearAmount,Sheet1!S71_A4Code,$AC:$AC)</f>
        <v>5809171</v>
      </c>
      <c r="E25" s="2302">
        <f>SUMIFS(Sheet1!S71_PYearAmount,Sheet1!S71_A4Code,$AC:$AC)</f>
        <v>6023555</v>
      </c>
      <c r="F25" s="2303">
        <f>SUMIFS(Sheet1!S71_OriginalBudAmnt,Sheet1!S71_A4Code,$AC:$AC)</f>
        <v>6373921</v>
      </c>
      <c r="G25" s="2301">
        <f>SUMIFS(Sheet1!S71_AdjustmentBudAmnt,Sheet1!S71_A4Code,$AC:$AC)</f>
        <v>6373921</v>
      </c>
      <c r="H25" s="2302">
        <f>SUMIFS(Sheet1!S71_AdjustmentBudAmnt,Sheet1!S71_A4Code,$AC:$AC)</f>
        <v>6373921</v>
      </c>
      <c r="I25" s="2304">
        <f>SUMIFS(Sheet1!CD:CD,Sheet1!S71_A4Code,$AC:$AC)</f>
        <v>4980931</v>
      </c>
      <c r="J25" s="2303">
        <f>SUMIFS(Sheet1!S71_ASBudgetAmount,Sheet1!S71_A4Code,$AC:$AC)</f>
        <v>6692615</v>
      </c>
      <c r="K25" s="2301">
        <f>SUMIFS(Sheet1!S71_OY1BudgetAmount,Sheet1!S71_A4Code,$AC:$AC)</f>
        <v>4039442</v>
      </c>
      <c r="L25" s="2302">
        <f>SUMIFS(Sheet1!S71_OY2BudgetAmount,Sheet1!S71_A4Code,$AC:$AC)</f>
        <v>7247209</v>
      </c>
      <c r="M25" s="709"/>
      <c r="N25" s="710"/>
      <c r="O25" s="710"/>
      <c r="P25" s="710"/>
      <c r="Q25" s="710"/>
      <c r="R25" s="710"/>
      <c r="S25" s="710"/>
      <c r="T25" s="710"/>
      <c r="U25" s="710"/>
      <c r="V25" s="710"/>
      <c r="W25" s="710"/>
      <c r="X25" s="710"/>
      <c r="AC25" s="2332" t="s">
        <v>2704</v>
      </c>
    </row>
    <row r="26" spans="1:29" ht="11.25" customHeight="1" x14ac:dyDescent="0.25">
      <c r="A26" s="137" t="s">
        <v>1282</v>
      </c>
      <c r="B26" s="675">
        <v>3</v>
      </c>
      <c r="C26" s="712">
        <f>SUMIFS(Sheet1!S71_PPPYearAmount,Sheet1!S71_A4Code,$AC:$AC)</f>
        <v>741640</v>
      </c>
      <c r="D26" s="2301">
        <f>SUMIFS(Sheet1!S71_PPYearAmount,Sheet1!S71_A4Code,$AC:$AC)</f>
        <v>1539532</v>
      </c>
      <c r="E26" s="2302">
        <f>SUMIFS(Sheet1!S71_PYearAmount,Sheet1!S71_A4Code,$AC:$AC)</f>
        <v>590455</v>
      </c>
      <c r="F26" s="2303">
        <f>SUMIFS(Sheet1!S71_OriginalBudAmnt,Sheet1!S71_A4Code,$AC:$AC)</f>
        <v>3140135</v>
      </c>
      <c r="G26" s="2301">
        <f>SUMIFS(Sheet1!S71_AdjustmentBudAmnt,Sheet1!S71_A4Code,$AC:$AC)</f>
        <v>3140135</v>
      </c>
      <c r="H26" s="2302">
        <f>SUMIFS(Sheet1!S71_AdjustmentBudAmnt,Sheet1!S71_A4Code,$AC:$AC)</f>
        <v>3140135</v>
      </c>
      <c r="I26" s="2304">
        <f>SUMIFS(Sheet1!CD:CD,Sheet1!S71_A4Code,$AC:$AC)</f>
        <v>0</v>
      </c>
      <c r="J26" s="2303">
        <f>SUMIFS(Sheet1!S71_ASBudgetAmount,Sheet1!S71_A4Code,$AC:$AC)</f>
        <v>3140135</v>
      </c>
      <c r="K26" s="2301">
        <f>SUMIFS(Sheet1!S71_OY1BudgetAmount,Sheet1!S71_A4Code,$AC:$AC)</f>
        <v>3579753</v>
      </c>
      <c r="L26" s="2302">
        <f>SUMIFS(Sheet1!S71_OY2BudgetAmount,Sheet1!S71_A4Code,$AC:$AC)</f>
        <v>4080919</v>
      </c>
      <c r="M26" s="709"/>
      <c r="N26" s="710"/>
      <c r="O26" s="710"/>
      <c r="P26" s="710"/>
      <c r="Q26" s="710"/>
      <c r="R26" s="710"/>
      <c r="S26" s="710"/>
      <c r="T26" s="710"/>
      <c r="U26" s="710"/>
      <c r="V26" s="710"/>
      <c r="W26" s="710"/>
      <c r="X26" s="710"/>
      <c r="AC26" s="2332" t="s">
        <v>2705</v>
      </c>
    </row>
    <row r="27" spans="1:29" ht="11.25" customHeight="1" x14ac:dyDescent="0.25">
      <c r="A27" s="137" t="s">
        <v>1305</v>
      </c>
      <c r="B27" s="675">
        <v>2</v>
      </c>
      <c r="C27" s="177">
        <f>'SA1'!C100</f>
        <v>8790784</v>
      </c>
      <c r="D27" s="71">
        <f>'SA1'!D100</f>
        <v>8722456</v>
      </c>
      <c r="E27" s="178">
        <f>'SA1'!E100</f>
        <v>9318525</v>
      </c>
      <c r="F27" s="179">
        <f>'SA1'!F100</f>
        <v>11173339</v>
      </c>
      <c r="G27" s="177">
        <f>'SA1'!G100</f>
        <v>11173339</v>
      </c>
      <c r="H27" s="178">
        <f>'SA1'!H100</f>
        <v>11173339</v>
      </c>
      <c r="I27" s="180">
        <f>'SA1'!I100</f>
        <v>7943935</v>
      </c>
      <c r="J27" s="181">
        <f>'SA1'!J100</f>
        <v>11609097</v>
      </c>
      <c r="K27" s="177">
        <f>'SA1'!K100</f>
        <v>12073463</v>
      </c>
      <c r="L27" s="178">
        <f>'SA1'!L100</f>
        <v>12556402</v>
      </c>
      <c r="M27" s="723"/>
      <c r="N27" s="735"/>
      <c r="O27" s="735"/>
      <c r="P27" s="735"/>
      <c r="Q27" s="735"/>
      <c r="R27" s="735"/>
      <c r="S27" s="735"/>
      <c r="T27" s="735"/>
      <c r="U27" s="735"/>
      <c r="V27" s="735"/>
      <c r="W27" s="735"/>
      <c r="X27" s="735"/>
      <c r="AC27" s="2332" t="s">
        <v>2706</v>
      </c>
    </row>
    <row r="28" spans="1:29" ht="11.25" customHeight="1" x14ac:dyDescent="0.25">
      <c r="A28" s="137" t="s">
        <v>1359</v>
      </c>
      <c r="B28" s="675"/>
      <c r="C28" s="712">
        <f>SUMIFS(Sheet1!S71_PPPYearAmount,Sheet1!S71_A4Code,$AC:$AC)</f>
        <v>0</v>
      </c>
      <c r="D28" s="2301">
        <f>SUMIFS(Sheet1!S71_PPYearAmount,Sheet1!S71_A4Code,$AC:$AC)</f>
        <v>2646</v>
      </c>
      <c r="E28" s="2302">
        <f>SUMIFS(Sheet1!S71_PYearAmount,Sheet1!S71_A4Code,$AC:$AC)</f>
        <v>4109</v>
      </c>
      <c r="F28" s="2303">
        <f>SUMIFS(Sheet1!S71_OriginalBudAmnt,Sheet1!S71_A4Code,$AC:$AC)</f>
        <v>0</v>
      </c>
      <c r="G28" s="2301">
        <f>SUMIFS(Sheet1!S71_AdjustmentBudAmnt,Sheet1!S71_A4Code,$AC:$AC)</f>
        <v>0</v>
      </c>
      <c r="H28" s="2302">
        <f>SUMIFS(Sheet1!S71_AdjustmentBudAmnt,Sheet1!S71_A4Code,$AC:$AC)</f>
        <v>0</v>
      </c>
      <c r="I28" s="2304">
        <f>SUMIFS(Sheet1!CD:CD,Sheet1!S71_A4Code,$AC:$AC)</f>
        <v>4941</v>
      </c>
      <c r="J28" s="2303">
        <f>SUMIFS(Sheet1!S71_ASBudgetAmount,Sheet1!S71_A4Code,$AC:$AC)</f>
        <v>0</v>
      </c>
      <c r="K28" s="2301">
        <f>SUMIFS(Sheet1!S71_OY1BudgetAmount,Sheet1!S71_A4Code,$AC:$AC)</f>
        <v>0</v>
      </c>
      <c r="L28" s="2302">
        <f>SUMIFS(Sheet1!S71_OY2BudgetAmount,Sheet1!S71_A4Code,$AC:$AC)</f>
        <v>0</v>
      </c>
      <c r="M28" s="709"/>
      <c r="N28" s="710"/>
      <c r="O28" s="710"/>
      <c r="P28" s="710"/>
      <c r="Q28" s="710"/>
      <c r="R28" s="710"/>
      <c r="S28" s="710"/>
      <c r="T28" s="710"/>
      <c r="U28" s="710"/>
      <c r="V28" s="710"/>
      <c r="W28" s="710"/>
      <c r="X28" s="710"/>
      <c r="AC28" s="2332" t="s">
        <v>2707</v>
      </c>
    </row>
    <row r="29" spans="1:29" ht="11.25" customHeight="1" x14ac:dyDescent="0.25">
      <c r="A29" s="136" t="s">
        <v>2605</v>
      </c>
      <c r="B29" s="675">
        <v>2</v>
      </c>
      <c r="C29" s="71">
        <f>'SA1'!C105</f>
        <v>0</v>
      </c>
      <c r="D29" s="71">
        <f>'SA1'!D105</f>
        <v>0</v>
      </c>
      <c r="E29" s="72">
        <f>'SA1'!E105</f>
        <v>0</v>
      </c>
      <c r="F29" s="73">
        <f>'SA1'!F105</f>
        <v>0</v>
      </c>
      <c r="G29" s="71">
        <f>'SA1'!G105</f>
        <v>0</v>
      </c>
      <c r="H29" s="72">
        <f>'SA1'!H105</f>
        <v>0</v>
      </c>
      <c r="I29" s="674">
        <f>'SA1'!I105</f>
        <v>0</v>
      </c>
      <c r="J29" s="75">
        <f>'SA1'!J105</f>
        <v>0</v>
      </c>
      <c r="K29" s="71">
        <f>'SA1'!K105</f>
        <v>0</v>
      </c>
      <c r="L29" s="72">
        <f>'SA1'!L105</f>
        <v>0</v>
      </c>
      <c r="M29" s="723"/>
      <c r="N29" s="735"/>
      <c r="O29" s="735"/>
      <c r="P29" s="735"/>
      <c r="Q29" s="735"/>
      <c r="R29" s="735"/>
      <c r="S29" s="735"/>
      <c r="T29" s="735"/>
      <c r="U29" s="735"/>
      <c r="V29" s="735"/>
      <c r="W29" s="735"/>
      <c r="X29" s="735"/>
      <c r="Y29" s="736"/>
      <c r="Z29" s="322"/>
      <c r="AA29" s="322"/>
      <c r="AB29" s="322"/>
      <c r="AC29" s="2332" t="s">
        <v>2708</v>
      </c>
    </row>
    <row r="30" spans="1:29" ht="11.25" customHeight="1" x14ac:dyDescent="0.25">
      <c r="A30" s="136" t="s">
        <v>2594</v>
      </c>
      <c r="B30" s="675">
        <v>8</v>
      </c>
      <c r="C30" s="323">
        <f>'SA1'!C186</f>
        <v>0</v>
      </c>
      <c r="D30" s="323">
        <f>'SA1'!D186</f>
        <v>0</v>
      </c>
      <c r="E30" s="324">
        <f>'SA1'!E186</f>
        <v>0</v>
      </c>
      <c r="F30" s="325">
        <f>SUMIFS(Sheet1!S71_OriginalBudAmnt,Sheet1!S71_A4Code,$AC:$AC)</f>
        <v>6366500</v>
      </c>
      <c r="G30" s="323">
        <f>SUMIFS(Sheet1!S71_AdjustmentBudAmnt,Sheet1!S71_A4Code,$AC:$AC)</f>
        <v>6458500</v>
      </c>
      <c r="H30" s="324">
        <f>SUMIFS(Sheet1!S71_AdjustmentBudAmnt,Sheet1!S71_A4Code,$AC:$AC)</f>
        <v>6458500</v>
      </c>
      <c r="I30" s="326">
        <f>SUMIFS(Sheet1!CD:CD,Sheet1!S71_A4Code,$AC:$AC)</f>
        <v>3863793</v>
      </c>
      <c r="J30" s="327">
        <f>'SA1'!J186</f>
        <v>6051040</v>
      </c>
      <c r="K30" s="323">
        <f>'SA1'!K186</f>
        <v>6308082</v>
      </c>
      <c r="L30" s="324">
        <f>'SA1'!L186</f>
        <v>6582377</v>
      </c>
      <c r="M30" s="723"/>
      <c r="N30" s="735"/>
      <c r="O30" s="735"/>
      <c r="P30" s="735"/>
      <c r="Q30" s="735"/>
      <c r="R30" s="735"/>
      <c r="S30" s="735"/>
      <c r="T30" s="735"/>
      <c r="U30" s="735"/>
      <c r="V30" s="735"/>
      <c r="W30" s="735"/>
      <c r="X30" s="735"/>
      <c r="Y30" s="736"/>
      <c r="Z30" s="322"/>
      <c r="AA30" s="322"/>
      <c r="AB30" s="322"/>
      <c r="AC30" s="2332" t="s">
        <v>2709</v>
      </c>
    </row>
    <row r="31" spans="1:29" ht="11.25" customHeight="1" x14ac:dyDescent="0.25">
      <c r="A31" s="137" t="s">
        <v>411</v>
      </c>
      <c r="B31" s="675"/>
      <c r="C31" s="177">
        <f>'SA1'!C144</f>
        <v>12838554</v>
      </c>
      <c r="D31" s="71">
        <f>'SA1'!D144</f>
        <v>18583541</v>
      </c>
      <c r="E31" s="178">
        <f>'SA1'!E144</f>
        <v>27529769</v>
      </c>
      <c r="F31" s="179">
        <f>'SA1'!F144</f>
        <v>30419837</v>
      </c>
      <c r="G31" s="177">
        <f>'SA1'!G144</f>
        <v>43922992</v>
      </c>
      <c r="H31" s="178">
        <f>'SA1'!H144</f>
        <v>43922992</v>
      </c>
      <c r="I31" s="180">
        <f>'SA1'!I144</f>
        <v>36926956</v>
      </c>
      <c r="J31" s="181">
        <f>'SA1'!J144</f>
        <v>43396446</v>
      </c>
      <c r="K31" s="177">
        <f>'SA1'!K144</f>
        <v>37165323</v>
      </c>
      <c r="L31" s="178">
        <f>'SA1'!L144</f>
        <v>39271430</v>
      </c>
      <c r="M31" s="709"/>
      <c r="N31" s="710"/>
      <c r="O31" s="710"/>
      <c r="P31" s="710"/>
      <c r="Q31" s="710"/>
      <c r="R31" s="710"/>
      <c r="S31" s="710"/>
      <c r="T31" s="710"/>
      <c r="U31" s="710"/>
      <c r="V31" s="710"/>
      <c r="W31" s="710"/>
      <c r="X31" s="710"/>
      <c r="AC31" s="2332" t="s">
        <v>2710</v>
      </c>
    </row>
    <row r="32" spans="1:29" ht="11.25" customHeight="1" x14ac:dyDescent="0.25">
      <c r="A32" s="104" t="s">
        <v>2342</v>
      </c>
      <c r="B32" s="675"/>
      <c r="C32" s="71">
        <f>'SA1'!C110</f>
        <v>0</v>
      </c>
      <c r="D32" s="71">
        <f>'SA1'!D110</f>
        <v>0</v>
      </c>
      <c r="E32" s="72">
        <f>'SA1'!E110</f>
        <v>0</v>
      </c>
      <c r="F32" s="73">
        <f>'SA1'!F110</f>
        <v>0</v>
      </c>
      <c r="G32" s="71">
        <f>'SA1'!G110</f>
        <v>0</v>
      </c>
      <c r="H32" s="72">
        <f>'SA1'!H110</f>
        <v>0</v>
      </c>
      <c r="I32" s="74">
        <f>'SA1'!I110</f>
        <v>0</v>
      </c>
      <c r="J32" s="75">
        <f>'SA1'!J110</f>
        <v>0</v>
      </c>
      <c r="K32" s="71">
        <f>'SA1'!K110</f>
        <v>0</v>
      </c>
      <c r="L32" s="72">
        <f>'SA1'!L110</f>
        <v>0</v>
      </c>
      <c r="M32" s="709"/>
      <c r="N32" s="710"/>
      <c r="O32" s="710"/>
      <c r="P32" s="710"/>
      <c r="Q32" s="710"/>
      <c r="R32" s="710"/>
      <c r="S32" s="710"/>
      <c r="T32" s="710"/>
      <c r="U32" s="710"/>
      <c r="V32" s="710"/>
      <c r="W32" s="710"/>
      <c r="X32" s="710"/>
      <c r="AC32" s="2332" t="s">
        <v>2711</v>
      </c>
    </row>
    <row r="33" spans="1:29" ht="11.25" customHeight="1" x14ac:dyDescent="0.25">
      <c r="A33" s="137" t="s">
        <v>822</v>
      </c>
      <c r="B33" s="675" t="s">
        <v>554</v>
      </c>
      <c r="C33" s="177">
        <f>'SA1'!C174</f>
        <v>9524840</v>
      </c>
      <c r="D33" s="71">
        <f>'SA1'!D174</f>
        <v>11232947</v>
      </c>
      <c r="E33" s="178">
        <f>'SA1'!E174</f>
        <v>13712486</v>
      </c>
      <c r="F33" s="179">
        <f>'SA1'!F174</f>
        <v>19371585</v>
      </c>
      <c r="G33" s="177">
        <f>'SA1'!G174</f>
        <v>26865197</v>
      </c>
      <c r="H33" s="178">
        <f>'SA1'!H174</f>
        <v>26865197</v>
      </c>
      <c r="I33" s="180">
        <f>'SA1'!I174</f>
        <v>19174573</v>
      </c>
      <c r="J33" s="181">
        <f>'SA1'!J174</f>
        <v>23454837</v>
      </c>
      <c r="K33" s="177">
        <f>'SA1'!K174</f>
        <v>22366786</v>
      </c>
      <c r="L33" s="178">
        <f>'SA1'!L174</f>
        <v>23239886</v>
      </c>
      <c r="M33" s="709"/>
      <c r="N33" s="710"/>
      <c r="O33" s="710"/>
      <c r="P33" s="710"/>
      <c r="Q33" s="710"/>
      <c r="R33" s="710"/>
      <c r="S33" s="710"/>
      <c r="T33" s="710"/>
      <c r="U33" s="710"/>
      <c r="V33" s="710"/>
      <c r="W33" s="710"/>
      <c r="X33" s="710"/>
      <c r="AC33" s="2332" t="s">
        <v>2712</v>
      </c>
    </row>
    <row r="34" spans="1:29" ht="11.25" customHeight="1" x14ac:dyDescent="0.25">
      <c r="A34" s="137" t="s">
        <v>2527</v>
      </c>
      <c r="B34" s="711"/>
      <c r="C34" s="712">
        <f>SUMIFS(Sheet1!S71_PPPYearAmount,Sheet1!S71_A4Code,$AC:$AC)</f>
        <v>8422110</v>
      </c>
      <c r="D34" s="2301">
        <f>SUMIFS(Sheet1!S71_PPYearAmount,Sheet1!S71_A4Code,$AC:$AC)</f>
        <v>195350</v>
      </c>
      <c r="E34" s="2302">
        <f>SUMIFS(Sheet1!S71_PYearAmount,Sheet1!S71_A4Code,$AC:$AC)</f>
        <v>113285</v>
      </c>
      <c r="F34" s="2303">
        <f>SUMIFS(Sheet1!S71_OriginalBudAmnt,Sheet1!S71_A4Code,$AC:$AC)</f>
        <v>0</v>
      </c>
      <c r="G34" s="2301">
        <f>SUMIFS(Sheet1!S71_AdjustmentBudAmnt,Sheet1!S71_A4Code,$AC:$AC)</f>
        <v>0</v>
      </c>
      <c r="H34" s="2302">
        <f>SUMIFS(Sheet1!S71_AdjustmentBudAmnt,Sheet1!S71_A4Code,$AC:$AC)</f>
        <v>0</v>
      </c>
      <c r="I34" s="2304">
        <f>SUMIFS(Sheet1!S71_AdjustmentBudAmnt,Sheet1!S71_A4Code,$AC:$AC)</f>
        <v>0</v>
      </c>
      <c r="J34" s="2303">
        <f>SUMIFS(Sheet1!S71_ASBudgetAmount,Sheet1!S71_A4Code,$AC:$AC)</f>
        <v>0</v>
      </c>
      <c r="K34" s="2301">
        <f>SUMIFS(Sheet1!S71_OY1BudgetAmount,Sheet1!S71_A4Code,$AC:$AC)</f>
        <v>0</v>
      </c>
      <c r="L34" s="2302">
        <f>SUMIFS(Sheet1!S71_OY2BudgetAmount,Sheet1!S71_A4Code,$AC:$AC)</f>
        <v>0</v>
      </c>
      <c r="M34" s="709"/>
      <c r="N34" s="710"/>
      <c r="O34" s="710"/>
      <c r="P34" s="710"/>
      <c r="Q34" s="710"/>
      <c r="R34" s="710"/>
      <c r="S34" s="710"/>
      <c r="T34" s="710"/>
      <c r="U34" s="710"/>
      <c r="V34" s="710"/>
      <c r="W34" s="710"/>
      <c r="X34" s="710"/>
      <c r="AC34" s="2332" t="s">
        <v>2713</v>
      </c>
    </row>
    <row r="35" spans="1:29" ht="11.25" customHeight="1" x14ac:dyDescent="0.25">
      <c r="A35" s="739" t="s">
        <v>1441</v>
      </c>
      <c r="B35" s="727"/>
      <c r="C35" s="728">
        <f t="shared" ref="C35:L35" si="2">SUM(C24:C34)</f>
        <v>79616286</v>
      </c>
      <c r="D35" s="728">
        <f>SUM(D24:D34)</f>
        <v>81056933</v>
      </c>
      <c r="E35" s="729">
        <f t="shared" si="2"/>
        <v>93821279</v>
      </c>
      <c r="F35" s="730">
        <f t="shared" si="2"/>
        <v>121536902</v>
      </c>
      <c r="G35" s="728">
        <f t="shared" si="2"/>
        <v>142539969</v>
      </c>
      <c r="H35" s="729">
        <f t="shared" si="2"/>
        <v>142539969</v>
      </c>
      <c r="I35" s="730">
        <f t="shared" si="2"/>
        <v>107271161</v>
      </c>
      <c r="J35" s="731">
        <f t="shared" si="2"/>
        <v>142902464</v>
      </c>
      <c r="K35" s="728">
        <f t="shared" si="2"/>
        <v>135688050</v>
      </c>
      <c r="L35" s="729">
        <f t="shared" si="2"/>
        <v>146622609</v>
      </c>
      <c r="M35" s="732">
        <f t="shared" ref="M35:X35" si="3">SUM(M24:M34)</f>
        <v>0</v>
      </c>
      <c r="N35" s="733">
        <f t="shared" si="3"/>
        <v>0</v>
      </c>
      <c r="O35" s="733">
        <f t="shared" si="3"/>
        <v>0</v>
      </c>
      <c r="P35" s="733">
        <f t="shared" si="3"/>
        <v>0</v>
      </c>
      <c r="Q35" s="733">
        <f t="shared" si="3"/>
        <v>0</v>
      </c>
      <c r="R35" s="733">
        <f t="shared" si="3"/>
        <v>0</v>
      </c>
      <c r="S35" s="733">
        <f t="shared" si="3"/>
        <v>0</v>
      </c>
      <c r="T35" s="733">
        <f t="shared" si="3"/>
        <v>0</v>
      </c>
      <c r="U35" s="733">
        <f t="shared" si="3"/>
        <v>0</v>
      </c>
      <c r="V35" s="733">
        <f t="shared" si="3"/>
        <v>0</v>
      </c>
      <c r="W35" s="733">
        <f t="shared" si="3"/>
        <v>0</v>
      </c>
      <c r="X35" s="733">
        <f t="shared" si="3"/>
        <v>0</v>
      </c>
      <c r="AC35" s="2315"/>
    </row>
    <row r="36" spans="1:29" ht="4.9000000000000004" customHeight="1" x14ac:dyDescent="0.25">
      <c r="A36" s="116"/>
      <c r="B36" s="711"/>
      <c r="C36" s="535"/>
      <c r="D36" s="535"/>
      <c r="E36" s="665"/>
      <c r="F36" s="666"/>
      <c r="G36" s="535"/>
      <c r="H36" s="665"/>
      <c r="I36" s="666"/>
      <c r="J36" s="668"/>
      <c r="K36" s="535"/>
      <c r="L36" s="665"/>
      <c r="M36" s="740"/>
      <c r="N36" s="741"/>
      <c r="O36" s="741"/>
      <c r="P36" s="741"/>
      <c r="Q36" s="741"/>
      <c r="R36" s="741"/>
      <c r="S36" s="741"/>
      <c r="T36" s="741"/>
      <c r="U36" s="741"/>
      <c r="V36" s="741"/>
      <c r="W36" s="741"/>
      <c r="X36" s="741"/>
      <c r="AC36" s="2315"/>
    </row>
    <row r="37" spans="1:29" ht="12" customHeight="1" x14ac:dyDescent="0.25">
      <c r="A37" s="145" t="s">
        <v>1488</v>
      </c>
      <c r="B37" s="711"/>
      <c r="C37" s="545">
        <f t="shared" ref="C37:L37" si="4">C21-C35</f>
        <v>7390101</v>
      </c>
      <c r="D37" s="545">
        <f t="shared" si="4"/>
        <v>13110365</v>
      </c>
      <c r="E37" s="742">
        <f t="shared" si="4"/>
        <v>8405623</v>
      </c>
      <c r="F37" s="743">
        <f t="shared" si="4"/>
        <v>-13310447</v>
      </c>
      <c r="G37" s="545">
        <f t="shared" si="4"/>
        <v>-22636924</v>
      </c>
      <c r="H37" s="742">
        <f t="shared" si="4"/>
        <v>-22636924</v>
      </c>
      <c r="I37" s="743">
        <f>I21-I35</f>
        <v>-36562103</v>
      </c>
      <c r="J37" s="544">
        <f t="shared" si="4"/>
        <v>-32214342</v>
      </c>
      <c r="K37" s="545">
        <f t="shared" si="4"/>
        <v>-10865410</v>
      </c>
      <c r="L37" s="742">
        <f t="shared" si="4"/>
        <v>-19263185</v>
      </c>
      <c r="M37" s="740">
        <f t="shared" ref="M37:X37" si="5">M21+M35</f>
        <v>0</v>
      </c>
      <c r="N37" s="741">
        <f t="shared" si="5"/>
        <v>0</v>
      </c>
      <c r="O37" s="741">
        <f t="shared" si="5"/>
        <v>0</v>
      </c>
      <c r="P37" s="741">
        <f t="shared" si="5"/>
        <v>0</v>
      </c>
      <c r="Q37" s="741">
        <f t="shared" si="5"/>
        <v>0</v>
      </c>
      <c r="R37" s="741">
        <f t="shared" si="5"/>
        <v>0</v>
      </c>
      <c r="S37" s="741">
        <f t="shared" si="5"/>
        <v>0</v>
      </c>
      <c r="T37" s="741">
        <f t="shared" si="5"/>
        <v>0</v>
      </c>
      <c r="U37" s="741">
        <f t="shared" si="5"/>
        <v>0</v>
      </c>
      <c r="V37" s="741">
        <f t="shared" si="5"/>
        <v>0</v>
      </c>
      <c r="W37" s="741">
        <f t="shared" si="5"/>
        <v>0</v>
      </c>
      <c r="X37" s="741">
        <f t="shared" si="5"/>
        <v>0</v>
      </c>
      <c r="AC37" s="2315"/>
    </row>
    <row r="38" spans="1:29" ht="22.9" customHeight="1" x14ac:dyDescent="0.25">
      <c r="A38" s="478" t="s">
        <v>2346</v>
      </c>
      <c r="B38" s="711"/>
      <c r="C38" s="712">
        <f>SUMIFS(Sheet1!S71_PPPYearAmount,Sheet1!S71_A4Code,$AC:$AC)</f>
        <v>17725197</v>
      </c>
      <c r="D38" s="2301">
        <f>SUMIFS(Sheet1!S71_PPYearAmount,Sheet1!S71_A4Code,$AC:$AC)</f>
        <v>19385000</v>
      </c>
      <c r="E38" s="2302">
        <f>SUMIFS(Sheet1!S71_PYearAmount,Sheet1!S71_A4Code,$AC:$AC)</f>
        <v>16076001</v>
      </c>
      <c r="F38" s="2303">
        <f>-SUMIFS(Sheet1!S71_OriginalBudAmnt,Sheet1!S71_A4Code,$AC:$AC)</f>
        <v>15996000</v>
      </c>
      <c r="G38" s="2301">
        <f>-SUMIFS(Sheet1!S71_AdjustmentBudAmnt,Sheet1!S71_A4Code,$AC:$AC)</f>
        <v>25800000</v>
      </c>
      <c r="H38" s="2302">
        <f>-SUMIFS(Sheet1!S71_AdjustmentBudAmnt,Sheet1!S71_A4Code,$AC:$AC)</f>
        <v>25800000</v>
      </c>
      <c r="I38" s="2304">
        <f>SUMIFS(Sheet1!CD:CD,Sheet1!S71_A4Code,$AC:$AC)</f>
        <v>17727838</v>
      </c>
      <c r="J38" s="2303">
        <f>-SUMIFS(Sheet1!S71_ASBudgetAmount,Sheet1!S71_A4Code,$AC:$AC)</f>
        <v>24755000</v>
      </c>
      <c r="K38" s="2301">
        <f>-SUMIFS(Sheet1!S71_OY1BudgetAmount,Sheet1!S71_A4Code,$AC:$AC)</f>
        <v>17781000</v>
      </c>
      <c r="L38" s="2302">
        <f>-SUMIFS(Sheet1!S71_OY2BudgetAmount,Sheet1!S71_A4Code,$AC:$AC)</f>
        <v>18394000</v>
      </c>
      <c r="M38" s="709"/>
      <c r="N38" s="710"/>
      <c r="O38" s="710"/>
      <c r="P38" s="710"/>
      <c r="Q38" s="710"/>
      <c r="R38" s="710"/>
      <c r="S38" s="710"/>
      <c r="T38" s="710"/>
      <c r="U38" s="710"/>
      <c r="V38" s="710"/>
      <c r="W38" s="710"/>
      <c r="X38" s="710"/>
      <c r="AC38" s="2332" t="s">
        <v>2714</v>
      </c>
    </row>
    <row r="39" spans="1:29" ht="76.5" customHeight="1" x14ac:dyDescent="0.25">
      <c r="A39" s="478" t="s">
        <v>2345</v>
      </c>
      <c r="B39" s="711">
        <v>6</v>
      </c>
      <c r="C39" s="177">
        <f>'SA1'!C93</f>
        <v>0</v>
      </c>
      <c r="D39" s="2301">
        <f>SUMIFS(Sheet1!S71_PPYearAmount,Sheet1!S71_A4Code,$AC:$AC)</f>
        <v>0</v>
      </c>
      <c r="E39" s="2302">
        <f>SUMIFS(Sheet1!S71_PYearAmount,Sheet1!S71_A4Code,$AC:$AC)</f>
        <v>0</v>
      </c>
      <c r="F39" s="2303">
        <f>-SUMIFS(Sheet1!S71_OriginalBudAmnt,Sheet1!S71_A4Code,$AC:$AC)</f>
        <v>0</v>
      </c>
      <c r="G39" s="2301">
        <f>-SUMIFS(Sheet1!S71_AdjustmentBudAmnt,Sheet1!S71_A4Code,$AC:$AC)</f>
        <v>0</v>
      </c>
      <c r="H39" s="2302">
        <f>-SUMIFS(Sheet1!S71_AdjustmentBudAmnt,Sheet1!S71_A4Code,$AC:$AC)</f>
        <v>0</v>
      </c>
      <c r="I39" s="2304">
        <f>SUMIFS(Sheet1!CD:CD,Sheet1!S71_A4Code,$AC:$AC)</f>
        <v>0</v>
      </c>
      <c r="J39" s="2303">
        <f>-SUMIFS(Sheet1!S71_ASBudgetAmount,Sheet1!S71_A4Code,$AC:$AC)</f>
        <v>0</v>
      </c>
      <c r="K39" s="2301">
        <f>-SUMIFS(Sheet1!S71_OY1BudgetAmount,Sheet1!S71_A4Code,$AC:$AC)</f>
        <v>0</v>
      </c>
      <c r="L39" s="2302">
        <f>-SUMIFS(Sheet1!S71_OY2BudgetAmount,Sheet1!S71_A4Code,$AC:$AC)</f>
        <v>0</v>
      </c>
      <c r="M39" s="717"/>
      <c r="N39" s="710"/>
      <c r="O39" s="710"/>
      <c r="P39" s="710"/>
      <c r="Q39" s="710"/>
      <c r="R39" s="710"/>
      <c r="S39" s="710"/>
      <c r="T39" s="710"/>
      <c r="U39" s="710"/>
      <c r="V39" s="710"/>
      <c r="W39" s="710"/>
      <c r="X39" s="710"/>
      <c r="AC39" s="2333" t="s">
        <v>2715</v>
      </c>
    </row>
    <row r="40" spans="1:29" ht="22.5" customHeight="1" x14ac:dyDescent="0.25">
      <c r="A40" s="104" t="s">
        <v>2344</v>
      </c>
      <c r="B40" s="711"/>
      <c r="C40" s="712">
        <f>SUMIFS(Sheet1!S71_PPPYearAmount,Sheet1!S71_A4Code,$AC:$AC)</f>
        <v>0</v>
      </c>
      <c r="D40" s="2301">
        <f>SUMIFS(Sheet1!S71_PPYearAmount,Sheet1!S71_A4Code,$AC:$AC)</f>
        <v>0</v>
      </c>
      <c r="E40" s="2302">
        <f>SUMIFS(Sheet1!S71_PYearAmount,Sheet1!S71_A4Code,$AC:$AC)</f>
        <v>120020</v>
      </c>
      <c r="F40" s="2303">
        <f>-SUMIFS(Sheet1!S71_OriginalBudAmnt,Sheet1!S71_A4Code,$AC:$AC)</f>
        <v>0</v>
      </c>
      <c r="G40" s="2301">
        <f>-SUMIFS(Sheet1!S71_AdjustmentBudAmnt,Sheet1!S71_A4Code,$AC:$AC)</f>
        <v>0</v>
      </c>
      <c r="H40" s="2302">
        <f>-SUMIFS(Sheet1!S71_AdjustmentBudAmnt,Sheet1!S71_A4Code,$AC:$AC)</f>
        <v>0</v>
      </c>
      <c r="I40" s="2304">
        <f>SUMIFS(Sheet1!CD:CD,Sheet1!S71_A4Code,$AC:$AC)</f>
        <v>10036</v>
      </c>
      <c r="J40" s="2303">
        <f>-SUMIFS(Sheet1!S71_ASBudgetAmount,Sheet1!S71_A4Code,$AC:$AC)</f>
        <v>0</v>
      </c>
      <c r="K40" s="2301">
        <f>-SUMIFS(Sheet1!S71_OY1BudgetAmount,Sheet1!S71_A4Code,$AC:$AC)</f>
        <v>0</v>
      </c>
      <c r="L40" s="2302">
        <f>-SUMIFS(Sheet1!S71_OY2BudgetAmount,Sheet1!S71_A4Code,$AC:$AC)</f>
        <v>0</v>
      </c>
      <c r="M40" s="709"/>
      <c r="N40" s="710"/>
      <c r="O40" s="710"/>
      <c r="P40" s="710"/>
      <c r="Q40" s="710"/>
      <c r="R40" s="710"/>
      <c r="S40" s="710"/>
      <c r="T40" s="710"/>
      <c r="U40" s="710"/>
      <c r="V40" s="710"/>
      <c r="W40" s="710"/>
      <c r="X40" s="710"/>
      <c r="AC40" s="2332" t="s">
        <v>2716</v>
      </c>
    </row>
    <row r="41" spans="1:29" ht="25.5" x14ac:dyDescent="0.25">
      <c r="A41" s="744" t="s">
        <v>374</v>
      </c>
      <c r="B41" s="711"/>
      <c r="C41" s="745">
        <f t="shared" ref="C41:L41" si="6">SUM(C37:C40)</f>
        <v>25115298</v>
      </c>
      <c r="D41" s="745">
        <f t="shared" si="6"/>
        <v>32495365</v>
      </c>
      <c r="E41" s="746">
        <f t="shared" si="6"/>
        <v>24601644</v>
      </c>
      <c r="F41" s="747">
        <f t="shared" si="6"/>
        <v>2685553</v>
      </c>
      <c r="G41" s="745">
        <f t="shared" si="6"/>
        <v>3163076</v>
      </c>
      <c r="H41" s="746">
        <f t="shared" si="6"/>
        <v>3163076</v>
      </c>
      <c r="I41" s="747">
        <f>SUM(I37:I40)</f>
        <v>-18824229</v>
      </c>
      <c r="J41" s="748">
        <f>SUM(J37:J40)</f>
        <v>-7459342</v>
      </c>
      <c r="K41" s="745">
        <f t="shared" si="6"/>
        <v>6915590</v>
      </c>
      <c r="L41" s="746">
        <f t="shared" si="6"/>
        <v>-869185</v>
      </c>
      <c r="M41" s="709"/>
      <c r="N41" s="710"/>
      <c r="O41" s="710"/>
      <c r="P41" s="710"/>
      <c r="Q41" s="710"/>
      <c r="R41" s="710"/>
      <c r="S41" s="710"/>
      <c r="T41" s="710"/>
      <c r="U41" s="710"/>
      <c r="V41" s="710"/>
      <c r="W41" s="710"/>
      <c r="X41" s="710"/>
      <c r="AC41" s="2315"/>
    </row>
    <row r="42" spans="1:29" ht="11.25" customHeight="1" x14ac:dyDescent="0.25">
      <c r="A42" s="104" t="s">
        <v>907</v>
      </c>
      <c r="B42" s="711"/>
      <c r="C42" s="712">
        <f>SUMIFS(Sheet1!S71_PPPYearAmount,Sheet1!S71_A4Code,$AC:$AC)</f>
        <v>0</v>
      </c>
      <c r="D42" s="2301">
        <f>SUMIFS(Sheet1!S71_PPYearAmount,Sheet1!S71_A4Code,$AC:$AC)</f>
        <v>0</v>
      </c>
      <c r="E42" s="2302">
        <f>SUMIFS(Sheet1!S71_PYearAmount,Sheet1!S71_A4Code,$AC:$AC)</f>
        <v>0</v>
      </c>
      <c r="F42" s="2303">
        <f>-SUMIFS(Sheet1!S71_OriginalBudAmnt,Sheet1!S71_A4Code,$AC:$AC)</f>
        <v>0</v>
      </c>
      <c r="G42" s="2301">
        <f>-SUMIFS(Sheet1!S71_AdjustmentBudAmnt,Sheet1!S71_A4Code,$AC:$AC)</f>
        <v>0</v>
      </c>
      <c r="H42" s="2302">
        <f>-SUMIFS(Sheet1!S71_AdjustmentBudAmnt,Sheet1!S71_A4Code,$AC:$AC)</f>
        <v>0</v>
      </c>
      <c r="I42" s="2304">
        <f>SUMIFS(Sheet1!CD:CD,Sheet1!S71_A4Code,$AC:$AC)</f>
        <v>0</v>
      </c>
      <c r="J42" s="2303">
        <f>-SUMIFS(Sheet1!S71_ASBudgetAmount,Sheet1!S71_A4Code,$AC:$AC)</f>
        <v>0</v>
      </c>
      <c r="K42" s="2301">
        <f>-SUMIFS(Sheet1!S71_OY1BudgetAmount,Sheet1!S71_A4Code,$AC:$AC)</f>
        <v>0</v>
      </c>
      <c r="L42" s="2302">
        <f>-SUMIFS(Sheet1!S71_OY2BudgetAmount,Sheet1!S71_A4Code,$AC:$AC)</f>
        <v>0</v>
      </c>
      <c r="M42" s="709"/>
      <c r="N42" s="710"/>
      <c r="O42" s="710"/>
      <c r="P42" s="710"/>
      <c r="Q42" s="710"/>
      <c r="R42" s="710"/>
      <c r="S42" s="710"/>
      <c r="T42" s="710"/>
      <c r="U42" s="710"/>
      <c r="V42" s="710"/>
      <c r="W42" s="710"/>
      <c r="X42" s="710"/>
      <c r="AC42" s="2332" t="s">
        <v>2717</v>
      </c>
    </row>
    <row r="43" spans="1:29" ht="11.25" customHeight="1" x14ac:dyDescent="0.25">
      <c r="A43" s="749" t="s">
        <v>908</v>
      </c>
      <c r="B43" s="711"/>
      <c r="C43" s="535">
        <f t="shared" ref="C43:L43" si="7">C41-C42</f>
        <v>25115298</v>
      </c>
      <c r="D43" s="535">
        <f t="shared" si="7"/>
        <v>32495365</v>
      </c>
      <c r="E43" s="665">
        <f t="shared" si="7"/>
        <v>24601644</v>
      </c>
      <c r="F43" s="666">
        <f t="shared" si="7"/>
        <v>2685553</v>
      </c>
      <c r="G43" s="535">
        <f t="shared" si="7"/>
        <v>3163076</v>
      </c>
      <c r="H43" s="665">
        <f t="shared" si="7"/>
        <v>3163076</v>
      </c>
      <c r="I43" s="666">
        <f>I41-I42</f>
        <v>-18824229</v>
      </c>
      <c r="J43" s="668">
        <f t="shared" si="7"/>
        <v>-7459342</v>
      </c>
      <c r="K43" s="535">
        <f t="shared" si="7"/>
        <v>6915590</v>
      </c>
      <c r="L43" s="665">
        <f t="shared" si="7"/>
        <v>-869185</v>
      </c>
      <c r="M43" s="709"/>
      <c r="N43" s="710"/>
      <c r="O43" s="710"/>
      <c r="P43" s="710"/>
      <c r="Q43" s="710"/>
      <c r="R43" s="710"/>
      <c r="S43" s="710"/>
      <c r="T43" s="710"/>
      <c r="U43" s="710"/>
      <c r="V43" s="710"/>
      <c r="W43" s="710"/>
      <c r="X43" s="710"/>
      <c r="AC43" s="2315"/>
    </row>
    <row r="44" spans="1:29" ht="11.25" customHeight="1" x14ac:dyDescent="0.25">
      <c r="A44" s="104" t="s">
        <v>971</v>
      </c>
      <c r="B44" s="711"/>
      <c r="C44" s="712">
        <f>SUMIFS(Sheet1!S71_PPPYearAmount,Sheet1!S71_A4Code,$AC:$AC)</f>
        <v>0</v>
      </c>
      <c r="D44" s="2301">
        <f>SUMIFS(Sheet1!S71_PPYearAmount,Sheet1!S71_A4Code,$AC:$AC)</f>
        <v>0</v>
      </c>
      <c r="E44" s="2302">
        <f>SUMIFS(Sheet1!S71_PYearAmount,Sheet1!S71_A4Code,$AC:$AC)</f>
        <v>0</v>
      </c>
      <c r="F44" s="2303">
        <f>-SUMIFS(Sheet1!S71_OriginalBudAmnt,Sheet1!S71_A4Code,$AC:$AC)</f>
        <v>0</v>
      </c>
      <c r="G44" s="2301">
        <f>-SUMIFS(Sheet1!S71_AdjustmentBudAmnt,Sheet1!S71_A4Code,$AC:$AC)</f>
        <v>0</v>
      </c>
      <c r="H44" s="2302">
        <f>-SUMIFS(Sheet1!S71_AdjustmentBudAmnt,Sheet1!S71_A4Code,$AC:$AC)</f>
        <v>0</v>
      </c>
      <c r="I44" s="2304">
        <f>SUMIFS(Sheet1!CD:CD,Sheet1!S71_A4Code,$AC:$AC)</f>
        <v>0</v>
      </c>
      <c r="J44" s="2303">
        <f>-SUMIFS(Sheet1!S71_ASBudgetAmount,Sheet1!S71_A4Code,$AC:$AC)</f>
        <v>0</v>
      </c>
      <c r="K44" s="2301">
        <f>-SUMIFS(Sheet1!S71_OY1BudgetAmount,Sheet1!S71_A4Code,$AC:$AC)</f>
        <v>0</v>
      </c>
      <c r="L44" s="2302">
        <f>-SUMIFS(Sheet1!S71_OY2BudgetAmount,Sheet1!S71_A4Code,$AC:$AC)</f>
        <v>0</v>
      </c>
      <c r="M44" s="709"/>
      <c r="N44" s="710"/>
      <c r="O44" s="710"/>
      <c r="P44" s="710"/>
      <c r="Q44" s="710"/>
      <c r="R44" s="710"/>
      <c r="S44" s="710"/>
      <c r="T44" s="710"/>
      <c r="U44" s="710"/>
      <c r="V44" s="710"/>
      <c r="W44" s="710"/>
      <c r="X44" s="710"/>
      <c r="AC44" s="2332" t="s">
        <v>2718</v>
      </c>
    </row>
    <row r="45" spans="1:29" ht="13.5" x14ac:dyDescent="0.25">
      <c r="A45" s="749" t="s">
        <v>163</v>
      </c>
      <c r="B45" s="711"/>
      <c r="C45" s="745">
        <f t="shared" ref="C45:L45" si="8">SUM(C43:C44)</f>
        <v>25115298</v>
      </c>
      <c r="D45" s="745">
        <f t="shared" si="8"/>
        <v>32495365</v>
      </c>
      <c r="E45" s="746">
        <f t="shared" si="8"/>
        <v>24601644</v>
      </c>
      <c r="F45" s="747">
        <f t="shared" si="8"/>
        <v>2685553</v>
      </c>
      <c r="G45" s="745">
        <f t="shared" si="8"/>
        <v>3163076</v>
      </c>
      <c r="H45" s="746">
        <f t="shared" si="8"/>
        <v>3163076</v>
      </c>
      <c r="I45" s="747">
        <f t="shared" si="8"/>
        <v>-18824229</v>
      </c>
      <c r="J45" s="748">
        <f t="shared" si="8"/>
        <v>-7459342</v>
      </c>
      <c r="K45" s="745">
        <f t="shared" si="8"/>
        <v>6915590</v>
      </c>
      <c r="L45" s="746">
        <f t="shared" si="8"/>
        <v>-869185</v>
      </c>
      <c r="M45" s="709"/>
      <c r="N45" s="710"/>
      <c r="O45" s="710"/>
      <c r="P45" s="710"/>
      <c r="Q45" s="710"/>
      <c r="R45" s="710"/>
      <c r="S45" s="710"/>
      <c r="T45" s="710"/>
      <c r="U45" s="710"/>
      <c r="V45" s="710"/>
      <c r="W45" s="710"/>
      <c r="X45" s="710"/>
      <c r="AC45" s="2315"/>
    </row>
    <row r="46" spans="1:29" x14ac:dyDescent="0.25">
      <c r="A46" s="478" t="s">
        <v>391</v>
      </c>
      <c r="B46" s="711">
        <v>7</v>
      </c>
      <c r="C46" s="712">
        <f>SUMIFS(Sheet1!S71_PPPYearAmount,Sheet1!S71_A4Code,$AC:$AC)</f>
        <v>0</v>
      </c>
      <c r="D46" s="2301">
        <f>SUMIFS(Sheet1!S71_PPYearAmount,Sheet1!S71_A4Code,$AC:$AC)</f>
        <v>0</v>
      </c>
      <c r="E46" s="2302">
        <f>SUMIFS(Sheet1!S71_PYearAmount,Sheet1!S71_A4Code,$AC:$AC)</f>
        <v>0</v>
      </c>
      <c r="F46" s="2303">
        <f>-SUMIFS(Sheet1!S71_OriginalBudAmnt,Sheet1!S71_A4Code,$AC:$AC)</f>
        <v>0</v>
      </c>
      <c r="G46" s="2301">
        <f>-SUMIFS(Sheet1!S71_AdjustmentBudAmnt,Sheet1!S71_A4Code,$AC:$AC)</f>
        <v>0</v>
      </c>
      <c r="H46" s="2302">
        <f>-SUMIFS(Sheet1!S71_AdjustmentBudAmnt,Sheet1!S71_A4Code,$AC:$AC)</f>
        <v>0</v>
      </c>
      <c r="I46" s="2304">
        <f>SUMIFS(Sheet1!CD:CD,Sheet1!S71_A4Code,$AC:$AC)</f>
        <v>0</v>
      </c>
      <c r="J46" s="2303">
        <f>-SUMIFS(Sheet1!S71_ASBudgetAmount,Sheet1!S71_A4Code,$AC:$AC)</f>
        <v>0</v>
      </c>
      <c r="K46" s="2301">
        <f>-SUMIFS(Sheet1!S71_OY1BudgetAmount,Sheet1!S71_A4Code,$AC:$AC)</f>
        <v>0</v>
      </c>
      <c r="L46" s="2302">
        <f>-SUMIFS(Sheet1!S71_OY2BudgetAmount,Sheet1!S71_A4Code,$AC:$AC)</f>
        <v>0</v>
      </c>
      <c r="M46" s="709"/>
      <c r="N46" s="710"/>
      <c r="O46" s="710"/>
      <c r="P46" s="710"/>
      <c r="Q46" s="710"/>
      <c r="R46" s="710"/>
      <c r="S46" s="710"/>
      <c r="T46" s="710"/>
      <c r="U46" s="710"/>
      <c r="V46" s="710"/>
      <c r="W46" s="710"/>
      <c r="X46" s="710"/>
      <c r="AC46" s="2332" t="s">
        <v>2719</v>
      </c>
    </row>
    <row r="47" spans="1:29" ht="14.25" thickBot="1" x14ac:dyDescent="0.3">
      <c r="A47" s="750" t="str">
        <f>result</f>
        <v>Surplus/(Deficit) for the year</v>
      </c>
      <c r="B47" s="751"/>
      <c r="C47" s="119">
        <f t="shared" ref="C47:L47" si="9">SUM(C45:C46)</f>
        <v>25115298</v>
      </c>
      <c r="D47" s="185">
        <f t="shared" si="9"/>
        <v>32495365</v>
      </c>
      <c r="E47" s="120">
        <f t="shared" si="9"/>
        <v>24601644</v>
      </c>
      <c r="F47" s="121">
        <f t="shared" si="9"/>
        <v>2685553</v>
      </c>
      <c r="G47" s="185">
        <f t="shared" si="9"/>
        <v>3163076</v>
      </c>
      <c r="H47" s="183">
        <f t="shared" si="9"/>
        <v>3163076</v>
      </c>
      <c r="I47" s="184">
        <f t="shared" si="9"/>
        <v>-18824229</v>
      </c>
      <c r="J47" s="187">
        <f>SUM(J45:J46)</f>
        <v>-7459342</v>
      </c>
      <c r="K47" s="185">
        <f t="shared" si="9"/>
        <v>6915590</v>
      </c>
      <c r="L47" s="183">
        <f t="shared" si="9"/>
        <v>-869185</v>
      </c>
      <c r="M47" s="752">
        <f t="shared" ref="M47:X47" si="10">M25+M46</f>
        <v>0</v>
      </c>
      <c r="N47" s="753">
        <f t="shared" si="10"/>
        <v>0</v>
      </c>
      <c r="O47" s="753">
        <f t="shared" si="10"/>
        <v>0</v>
      </c>
      <c r="P47" s="753">
        <f t="shared" si="10"/>
        <v>0</v>
      </c>
      <c r="Q47" s="753">
        <f t="shared" si="10"/>
        <v>0</v>
      </c>
      <c r="R47" s="753">
        <f t="shared" si="10"/>
        <v>0</v>
      </c>
      <c r="S47" s="753">
        <f t="shared" si="10"/>
        <v>0</v>
      </c>
      <c r="T47" s="753">
        <f t="shared" si="10"/>
        <v>0</v>
      </c>
      <c r="U47" s="753">
        <f t="shared" si="10"/>
        <v>0</v>
      </c>
      <c r="V47" s="753">
        <f t="shared" si="10"/>
        <v>0</v>
      </c>
      <c r="W47" s="753">
        <f t="shared" si="10"/>
        <v>0</v>
      </c>
      <c r="X47" s="753">
        <f t="shared" si="10"/>
        <v>0</v>
      </c>
      <c r="AC47" s="2315"/>
    </row>
    <row r="48" spans="1:29" ht="14.25" thickTop="1" x14ac:dyDescent="0.25">
      <c r="A48" s="217" t="str">
        <f>head27a</f>
        <v>References</v>
      </c>
      <c r="B48" s="189"/>
      <c r="C48" s="193"/>
      <c r="D48" s="193"/>
      <c r="E48" s="193"/>
      <c r="F48" s="193"/>
      <c r="G48" s="193"/>
      <c r="H48" s="193"/>
      <c r="I48" s="193"/>
      <c r="J48" s="193"/>
      <c r="K48" s="193"/>
      <c r="L48" s="193"/>
      <c r="M48" s="193"/>
      <c r="N48" s="193"/>
      <c r="O48" s="193"/>
      <c r="P48" s="193"/>
      <c r="Q48" s="193"/>
      <c r="R48" s="193"/>
      <c r="S48" s="193"/>
      <c r="T48" s="193"/>
      <c r="U48" s="193"/>
      <c r="V48" s="193"/>
      <c r="W48" s="193"/>
      <c r="X48" s="193"/>
      <c r="AC48" s="2315"/>
    </row>
    <row r="49" spans="1:13" ht="11.25" customHeight="1" x14ac:dyDescent="0.25">
      <c r="A49" s="151" t="s">
        <v>164</v>
      </c>
      <c r="B49" s="189"/>
      <c r="C49" s="192"/>
      <c r="D49" s="192"/>
      <c r="E49" s="193"/>
      <c r="F49" s="193"/>
      <c r="G49" s="193"/>
      <c r="H49" s="193"/>
      <c r="I49" s="193"/>
      <c r="J49" s="193"/>
      <c r="K49" s="193"/>
      <c r="L49" s="193"/>
    </row>
    <row r="50" spans="1:13" ht="11.25" customHeight="1" x14ac:dyDescent="0.25">
      <c r="A50" s="218" t="s">
        <v>674</v>
      </c>
      <c r="B50" s="189"/>
      <c r="C50" s="193"/>
      <c r="D50" s="192"/>
      <c r="E50" s="193"/>
      <c r="F50" s="193"/>
      <c r="G50" s="193"/>
      <c r="H50" s="193"/>
      <c r="I50" s="193"/>
      <c r="J50" s="193"/>
      <c r="K50" s="193"/>
      <c r="L50" s="193"/>
    </row>
    <row r="51" spans="1:13" ht="11.25" customHeight="1" x14ac:dyDescent="0.25">
      <c r="A51" s="218" t="s">
        <v>502</v>
      </c>
      <c r="B51" s="189"/>
      <c r="C51" s="193"/>
      <c r="D51" s="192"/>
      <c r="E51" s="193"/>
      <c r="F51" s="193"/>
      <c r="G51" s="193"/>
      <c r="H51" s="193"/>
      <c r="I51" s="193"/>
      <c r="J51" s="193"/>
      <c r="K51" s="193"/>
      <c r="L51" s="193"/>
    </row>
    <row r="52" spans="1:13" ht="11.25" customHeight="1" x14ac:dyDescent="0.25">
      <c r="A52" s="218" t="s">
        <v>503</v>
      </c>
      <c r="B52" s="189"/>
      <c r="C52" s="193"/>
      <c r="D52" s="192"/>
      <c r="E52" s="193"/>
      <c r="F52" s="193"/>
      <c r="G52" s="193"/>
      <c r="H52" s="193"/>
      <c r="I52" s="193"/>
      <c r="J52" s="193"/>
      <c r="K52" s="193"/>
      <c r="L52" s="193"/>
    </row>
    <row r="53" spans="1:13" ht="11.25" customHeight="1" x14ac:dyDescent="0.25">
      <c r="A53" s="218" t="s">
        <v>1092</v>
      </c>
      <c r="B53" s="189"/>
      <c r="C53" s="193"/>
      <c r="D53" s="192"/>
      <c r="E53" s="193"/>
      <c r="F53" s="193"/>
      <c r="G53" s="193"/>
      <c r="H53" s="193"/>
      <c r="I53" s="193"/>
      <c r="J53" s="193"/>
      <c r="K53" s="193"/>
      <c r="L53" s="193"/>
    </row>
    <row r="54" spans="1:13" ht="11.25" customHeight="1" x14ac:dyDescent="0.25">
      <c r="A54" s="218" t="s">
        <v>165</v>
      </c>
      <c r="B54" s="189"/>
      <c r="C54" s="193"/>
      <c r="D54" s="192"/>
      <c r="E54" s="193"/>
      <c r="F54" s="193"/>
      <c r="G54" s="193"/>
      <c r="H54" s="193"/>
      <c r="I54" s="193"/>
      <c r="J54" s="193"/>
      <c r="K54" s="193"/>
      <c r="L54" s="193"/>
    </row>
    <row r="55" spans="1:13" ht="11.25" customHeight="1" x14ac:dyDescent="0.25">
      <c r="A55" s="218" t="s">
        <v>2347</v>
      </c>
      <c r="B55" s="189"/>
      <c r="C55" s="193"/>
      <c r="D55" s="192"/>
      <c r="E55" s="193"/>
      <c r="F55" s="193"/>
      <c r="G55" s="193"/>
      <c r="H55" s="193"/>
      <c r="I55" s="193"/>
      <c r="J55" s="193"/>
      <c r="K55" s="193"/>
      <c r="L55" s="193"/>
    </row>
    <row r="56" spans="1:13" ht="11.25" customHeight="1" x14ac:dyDescent="0.25">
      <c r="A56" s="218" t="s">
        <v>777</v>
      </c>
      <c r="B56" s="189"/>
      <c r="C56" s="193"/>
      <c r="D56" s="192"/>
      <c r="E56" s="193"/>
      <c r="F56" s="193"/>
      <c r="G56" s="193"/>
      <c r="H56" s="193"/>
      <c r="I56" s="193"/>
      <c r="J56" s="193"/>
      <c r="K56" s="193"/>
      <c r="L56" s="193"/>
    </row>
    <row r="57" spans="1:13" ht="11.25" customHeight="1" x14ac:dyDescent="0.25">
      <c r="A57" s="219" t="s">
        <v>248</v>
      </c>
      <c r="B57" s="150"/>
      <c r="C57" s="196">
        <f>C45-'A3-FinPerf V'!C39</f>
        <v>4922425</v>
      </c>
      <c r="D57" s="196">
        <f>D45-'A3-FinPerf V'!D39</f>
        <v>5665618</v>
      </c>
      <c r="E57" s="196">
        <f>E45-'A3-FinPerf V'!E39</f>
        <v>7526877</v>
      </c>
      <c r="F57" s="196">
        <f>F45-'A3-FinPerf V'!F39</f>
        <v>0</v>
      </c>
      <c r="G57" s="196">
        <f>G45-'A3-FinPerf V'!G39</f>
        <v>0</v>
      </c>
      <c r="H57" s="196">
        <f>H45-'A3-FinPerf V'!H39</f>
        <v>0</v>
      </c>
      <c r="I57" s="196"/>
      <c r="J57" s="196">
        <f>J45-'A3-FinPerf V'!I39</f>
        <v>0</v>
      </c>
      <c r="K57" s="196">
        <f>K45-'A3-FinPerf V'!J39</f>
        <v>0</v>
      </c>
      <c r="L57" s="196">
        <f>L45-'A3-FinPerf V'!K39</f>
        <v>-1</v>
      </c>
    </row>
    <row r="58" spans="1:13" ht="11.25" customHeight="1" x14ac:dyDescent="0.25">
      <c r="A58" s="195"/>
      <c r="B58" s="150"/>
      <c r="C58" s="196"/>
      <c r="D58" s="196"/>
      <c r="E58" s="196"/>
      <c r="F58" s="196"/>
      <c r="G58" s="196"/>
      <c r="H58" s="196"/>
      <c r="I58" s="196"/>
      <c r="J58" s="196"/>
      <c r="K58" s="196"/>
      <c r="L58" s="196"/>
    </row>
    <row r="59" spans="1:13" ht="11.25" customHeight="1" x14ac:dyDescent="0.25">
      <c r="A59" s="195" t="s">
        <v>8</v>
      </c>
      <c r="B59" s="220"/>
      <c r="C59" s="221">
        <f t="shared" ref="C59:L59" si="11">C21+SUM(C38:C40)</f>
        <v>104731584</v>
      </c>
      <c r="D59" s="221">
        <f t="shared" si="11"/>
        <v>113552298</v>
      </c>
      <c r="E59" s="221">
        <f t="shared" si="11"/>
        <v>118422923</v>
      </c>
      <c r="F59" s="221">
        <f t="shared" si="11"/>
        <v>124222455</v>
      </c>
      <c r="G59" s="221">
        <f t="shared" si="11"/>
        <v>145703045</v>
      </c>
      <c r="H59" s="221">
        <f t="shared" si="11"/>
        <v>145703045</v>
      </c>
      <c r="I59" s="221">
        <f t="shared" si="11"/>
        <v>88446932</v>
      </c>
      <c r="J59" s="221">
        <f t="shared" si="11"/>
        <v>135443122</v>
      </c>
      <c r="K59" s="221">
        <f t="shared" si="11"/>
        <v>142603640</v>
      </c>
      <c r="L59" s="221">
        <f t="shared" si="11"/>
        <v>145753424</v>
      </c>
      <c r="M59" s="754"/>
    </row>
    <row r="60" spans="1:13" ht="11.25" customHeight="1" x14ac:dyDescent="0.25">
      <c r="A60" s="220"/>
      <c r="B60" s="220"/>
      <c r="C60" s="193"/>
      <c r="D60" s="193"/>
      <c r="E60" s="220"/>
      <c r="F60" s="220"/>
      <c r="G60" s="193"/>
      <c r="M60" s="754"/>
    </row>
    <row r="61" spans="1:13" ht="11.25" customHeight="1" x14ac:dyDescent="0.25">
      <c r="A61" s="220"/>
      <c r="B61" s="220"/>
      <c r="C61" s="193"/>
      <c r="D61" s="193"/>
      <c r="E61" s="220"/>
      <c r="F61" s="220"/>
      <c r="G61" s="193"/>
    </row>
    <row r="62" spans="1:13" ht="11.25" customHeight="1" x14ac:dyDescent="0.25">
      <c r="A62" s="220"/>
      <c r="B62" s="220"/>
      <c r="C62" s="193"/>
      <c r="D62" s="193"/>
      <c r="E62" s="220"/>
      <c r="F62" s="220"/>
      <c r="G62" s="193"/>
    </row>
    <row r="63" spans="1:13" ht="11.25" customHeight="1" x14ac:dyDescent="0.25">
      <c r="A63" s="220"/>
      <c r="B63" s="220"/>
      <c r="C63" s="220"/>
      <c r="D63" s="221"/>
      <c r="E63" s="220"/>
      <c r="F63" s="220"/>
      <c r="G63" s="220"/>
    </row>
    <row r="64" spans="1:13" ht="11.25" customHeight="1" x14ac:dyDescent="0.25">
      <c r="B64" s="58"/>
    </row>
    <row r="65" spans="2:2" ht="11.25" customHeight="1" x14ac:dyDescent="0.25">
      <c r="B65" s="58"/>
    </row>
    <row r="66" spans="2:2" ht="11.25" customHeight="1" x14ac:dyDescent="0.25">
      <c r="B66" s="58"/>
    </row>
    <row r="67" spans="2:2" ht="11.25" customHeight="1" x14ac:dyDescent="0.25">
      <c r="B67" s="58"/>
    </row>
    <row r="68" spans="2:2" ht="11.25" customHeight="1" x14ac:dyDescent="0.25">
      <c r="B68" s="58"/>
    </row>
    <row r="69" spans="2:2" ht="11.25" customHeight="1" x14ac:dyDescent="0.25">
      <c r="B69" s="58"/>
    </row>
    <row r="70" spans="2:2" ht="11.25" customHeight="1" x14ac:dyDescent="0.25">
      <c r="B70" s="58"/>
    </row>
    <row r="71" spans="2:2" ht="11.25" customHeight="1" x14ac:dyDescent="0.25">
      <c r="B71" s="58"/>
    </row>
    <row r="72" spans="2:2" ht="11.25" customHeight="1" x14ac:dyDescent="0.25">
      <c r="B72" s="58"/>
    </row>
    <row r="73" spans="2:2" ht="11.25" customHeight="1" x14ac:dyDescent="0.25">
      <c r="B73" s="58"/>
    </row>
    <row r="74" spans="2:2" ht="11.25" customHeight="1" x14ac:dyDescent="0.25">
      <c r="B74" s="58"/>
    </row>
    <row r="75" spans="2:2" ht="11.25" customHeight="1" x14ac:dyDescent="0.25">
      <c r="B75" s="58"/>
    </row>
    <row r="76" spans="2:2" ht="11.25" customHeight="1" x14ac:dyDescent="0.25">
      <c r="B76" s="58"/>
    </row>
    <row r="77" spans="2:2" ht="11.25" customHeight="1" x14ac:dyDescent="0.25">
      <c r="B77" s="58"/>
    </row>
    <row r="78" spans="2:2" ht="11.25" customHeight="1" x14ac:dyDescent="0.25">
      <c r="B78" s="58"/>
    </row>
    <row r="79" spans="2:2" ht="11.25" customHeight="1" x14ac:dyDescent="0.25">
      <c r="B79" s="58"/>
    </row>
    <row r="80" spans="2:2" ht="11.25" customHeight="1" x14ac:dyDescent="0.25">
      <c r="B80" s="58"/>
    </row>
    <row r="81" spans="2:2" ht="11.25" customHeight="1" x14ac:dyDescent="0.25">
      <c r="B81" s="58"/>
    </row>
    <row r="82" spans="2:2" ht="11.25" customHeight="1" x14ac:dyDescent="0.25">
      <c r="B82" s="58"/>
    </row>
    <row r="83" spans="2:2" ht="11.25" customHeight="1" x14ac:dyDescent="0.25"/>
    <row r="84" spans="2:2" ht="11.25" customHeight="1" x14ac:dyDescent="0.25"/>
    <row r="85" spans="2:2" ht="11.25" customHeight="1" x14ac:dyDescent="0.25"/>
    <row r="86" spans="2:2" ht="11.25" customHeight="1" x14ac:dyDescent="0.25"/>
    <row r="87" spans="2:2" ht="11.25" customHeight="1" x14ac:dyDescent="0.25"/>
    <row r="88" spans="2:2" ht="11.25" customHeight="1" x14ac:dyDescent="0.25"/>
    <row r="89" spans="2:2" ht="11.25" customHeight="1" x14ac:dyDescent="0.25"/>
    <row r="90" spans="2:2" ht="11.25" customHeight="1" x14ac:dyDescent="0.25"/>
    <row r="91" spans="2:2" ht="11.25" customHeight="1" x14ac:dyDescent="0.25"/>
  </sheetData>
  <sheetProtection algorithmName="SHA-512" hashValue="myZ19nxsX0u05yvwBFcZJTy2kVi8dW6UZUf7GsUHFgLcQZfZFtR8Ll/fz7M3UwdfZH/hZEs5ITI2sHZV7o10Gg==" saltValue="iMVvV1Z/v3keLczxGAvpdA==" spinCount="100000" sheet="1" objects="1" scenarios="1"/>
  <mergeCells count="3">
    <mergeCell ref="M2:X2"/>
    <mergeCell ref="J2:L2"/>
    <mergeCell ref="F2:I2"/>
  </mergeCells>
  <phoneticPr fontId="7" type="noConversion"/>
  <printOptions horizontalCentered="1"/>
  <pageMargins left="0.37" right="0.2" top="0.6" bottom="0.5" header="0.511811023622047" footer="0.39370078740157499"/>
  <pageSetup paperSize="9" scale="7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pageSetUpPr fitToPage="1"/>
  </sheetPr>
  <dimension ref="A1:AD120"/>
  <sheetViews>
    <sheetView showGridLines="0" zoomScale="110" zoomScaleNormal="110" workbookViewId="0">
      <pane xSplit="2" ySplit="3" topLeftCell="C82" activePane="bottomRight" state="frozen"/>
      <selection pane="topRight"/>
      <selection pane="bottomLeft"/>
      <selection pane="bottomRight" activeCell="A75" sqref="A75"/>
    </sheetView>
  </sheetViews>
  <sheetFormatPr defaultColWidth="9.140625" defaultRowHeight="12.75" x14ac:dyDescent="0.25"/>
  <cols>
    <col min="1" max="1" width="30.7109375" style="58" customWidth="1"/>
    <col min="2" max="2" width="3" style="55" customWidth="1"/>
    <col min="3" max="8" width="9.28515625" style="58" customWidth="1"/>
    <col min="9" max="9" width="9.140625" style="58" customWidth="1"/>
    <col min="10" max="12" width="9.28515625" style="58" customWidth="1"/>
    <col min="13" max="13" width="11.7109375" style="58" customWidth="1"/>
    <col min="14" max="14" width="9.42578125" style="58" customWidth="1"/>
    <col min="15" max="15" width="9.7109375" style="58" customWidth="1"/>
    <col min="16" max="18" width="9.42578125" style="58" customWidth="1"/>
    <col min="19" max="19" width="9.7109375" style="58" customWidth="1"/>
    <col min="20" max="22" width="9.42578125" style="58" customWidth="1"/>
    <col min="23" max="24" width="9.7109375" style="58" customWidth="1"/>
    <col min="25" max="28" width="9.140625" style="58" customWidth="1"/>
    <col min="29" max="30" width="9.140625" style="2312"/>
    <col min="31" max="16384" width="9.140625" style="58"/>
  </cols>
  <sheetData>
    <row r="1" spans="1:30" s="93" customFormat="1" x14ac:dyDescent="0.2">
      <c r="A1" s="92" t="s">
        <v>2469</v>
      </c>
      <c r="B1" s="92"/>
      <c r="C1" s="92"/>
      <c r="D1" s="92"/>
      <c r="E1" s="92"/>
      <c r="F1" s="92"/>
      <c r="G1" s="92"/>
      <c r="H1" s="92"/>
      <c r="I1" s="92"/>
      <c r="J1" s="92"/>
      <c r="K1" s="92"/>
      <c r="L1" s="92"/>
      <c r="AC1" s="2313"/>
      <c r="AD1" s="2313"/>
    </row>
    <row r="2" spans="1:30" ht="28.5" customHeight="1" x14ac:dyDescent="0.25">
      <c r="A2" s="696" t="str">
        <f>Vdesc</f>
        <v>Vote Description</v>
      </c>
      <c r="B2" s="155" t="str">
        <f>head27</f>
        <v>Ref</v>
      </c>
      <c r="C2" s="837" t="str">
        <f>head1b</f>
        <v>2017/18</v>
      </c>
      <c r="D2" s="837" t="str">
        <f>head1A</f>
        <v>2018/19</v>
      </c>
      <c r="E2" s="684" t="str">
        <f>Head1</f>
        <v>2019/20</v>
      </c>
      <c r="F2" s="2447" t="str">
        <f>Head2</f>
        <v>Current Year 2020/21</v>
      </c>
      <c r="G2" s="2448"/>
      <c r="H2" s="2448"/>
      <c r="I2" s="2448"/>
      <c r="J2" s="2450" t="str">
        <f>Head3</f>
        <v>2021/22 Medium Term Revenue &amp; Expenditure Framework</v>
      </c>
      <c r="K2" s="2451"/>
      <c r="L2" s="2452"/>
    </row>
    <row r="3" spans="1:30" ht="25.5" x14ac:dyDescent="0.25">
      <c r="A3" s="156" t="s">
        <v>568</v>
      </c>
      <c r="B3" s="701">
        <v>1</v>
      </c>
      <c r="C3" s="698" t="str">
        <f>Head5</f>
        <v>Audited Outcome</v>
      </c>
      <c r="D3" s="698" t="str">
        <f>Head5</f>
        <v>Audited Outcome</v>
      </c>
      <c r="E3" s="94" t="str">
        <f>Head5</f>
        <v>Audited Outcome</v>
      </c>
      <c r="F3" s="95" t="str">
        <f>Head6</f>
        <v>Original Budget</v>
      </c>
      <c r="G3" s="698" t="str">
        <f>Head7</f>
        <v>Adjusted Budget</v>
      </c>
      <c r="H3" s="94" t="str">
        <f>Head8</f>
        <v>Full Year Forecast</v>
      </c>
      <c r="I3" s="702" t="str">
        <f>Head5b</f>
        <v>Pre-audit outcome</v>
      </c>
      <c r="J3" s="95" t="str">
        <f>Head9</f>
        <v>Budget Year 2021/22</v>
      </c>
      <c r="K3" s="698" t="str">
        <f>Head10</f>
        <v>Budget Year +1 2022/23</v>
      </c>
      <c r="L3" s="94" t="str">
        <f>Head11</f>
        <v>Budget Year +2 2023/24</v>
      </c>
    </row>
    <row r="4" spans="1:30" x14ac:dyDescent="0.25">
      <c r="A4" s="158" t="s">
        <v>444</v>
      </c>
      <c r="B4" s="705"/>
      <c r="C4" s="81"/>
      <c r="D4" s="81"/>
      <c r="E4" s="756"/>
      <c r="F4" s="757"/>
      <c r="G4" s="81"/>
      <c r="H4" s="758"/>
      <c r="I4" s="756"/>
      <c r="J4" s="757"/>
      <c r="K4" s="81"/>
      <c r="L4" s="758"/>
    </row>
    <row r="5" spans="1:30" ht="11.25" customHeight="1" x14ac:dyDescent="0.25">
      <c r="A5" s="158" t="s">
        <v>895</v>
      </c>
      <c r="B5" s="711">
        <v>2</v>
      </c>
      <c r="C5" s="762"/>
      <c r="D5" s="762"/>
      <c r="E5" s="763"/>
      <c r="F5" s="764"/>
      <c r="G5" s="762"/>
      <c r="H5" s="765"/>
      <c r="I5" s="763"/>
      <c r="J5" s="764"/>
      <c r="K5" s="762"/>
      <c r="L5" s="765"/>
    </row>
    <row r="6" spans="1:30" ht="11.25" customHeight="1" x14ac:dyDescent="0.25">
      <c r="A6" s="164" t="str">
        <f>A5A!A6</f>
        <v>Vote 1 - Finance and Administration</v>
      </c>
      <c r="B6" s="711"/>
      <c r="C6" s="165">
        <f>A5A!C6</f>
        <v>0</v>
      </c>
      <c r="D6" s="165">
        <f>A5A!D6</f>
        <v>0</v>
      </c>
      <c r="E6" s="166">
        <f>A5A!E6</f>
        <v>0</v>
      </c>
      <c r="F6" s="167">
        <f>A5A!F6</f>
        <v>0</v>
      </c>
      <c r="G6" s="165">
        <f>A5A!G6</f>
        <v>0</v>
      </c>
      <c r="H6" s="166">
        <f>A5A!H6</f>
        <v>0</v>
      </c>
      <c r="I6" s="329">
        <f>A5A!I6</f>
        <v>0</v>
      </c>
      <c r="J6" s="167">
        <f>A5A!J6</f>
        <v>0</v>
      </c>
      <c r="K6" s="165">
        <f>A5A!K6</f>
        <v>0</v>
      </c>
      <c r="L6" s="166">
        <f>A5A!L6</f>
        <v>0</v>
      </c>
      <c r="M6" s="2215"/>
    </row>
    <row r="7" spans="1:30" ht="11.25" customHeight="1" x14ac:dyDescent="0.25">
      <c r="A7" s="164" t="str">
        <f>A5A!A17</f>
        <v>Vote 2 - Finance and Administration2</v>
      </c>
      <c r="B7" s="711"/>
      <c r="C7" s="165">
        <f>A5A!C17</f>
        <v>0</v>
      </c>
      <c r="D7" s="165">
        <f>A5A!D17</f>
        <v>0</v>
      </c>
      <c r="E7" s="166">
        <f>A5A!E17</f>
        <v>0</v>
      </c>
      <c r="F7" s="167">
        <f>A5A!F17</f>
        <v>0</v>
      </c>
      <c r="G7" s="165">
        <f>A5A!G17</f>
        <v>0</v>
      </c>
      <c r="H7" s="166">
        <f>A5A!H17</f>
        <v>0</v>
      </c>
      <c r="I7" s="168">
        <f>A5A!I17</f>
        <v>0</v>
      </c>
      <c r="J7" s="167">
        <f>A5A!J17</f>
        <v>0</v>
      </c>
      <c r="K7" s="165">
        <f>A5A!K17</f>
        <v>0</v>
      </c>
      <c r="L7" s="166">
        <f>A5A!L17</f>
        <v>0</v>
      </c>
      <c r="M7" s="2216"/>
    </row>
    <row r="8" spans="1:30" ht="11.25" customHeight="1" x14ac:dyDescent="0.25">
      <c r="A8" s="164" t="str">
        <f>A5A!A28</f>
        <v>Vote 3 - Executive and Council</v>
      </c>
      <c r="B8" s="711"/>
      <c r="C8" s="165">
        <f>A5A!C28</f>
        <v>0</v>
      </c>
      <c r="D8" s="165">
        <f>A5A!D28</f>
        <v>0</v>
      </c>
      <c r="E8" s="166">
        <f>A5A!E28</f>
        <v>0</v>
      </c>
      <c r="F8" s="167">
        <f>A5A!F28</f>
        <v>0</v>
      </c>
      <c r="G8" s="165">
        <f>A5A!G28</f>
        <v>0</v>
      </c>
      <c r="H8" s="166">
        <f>A5A!H28</f>
        <v>0</v>
      </c>
      <c r="I8" s="168">
        <f>A5A!I28</f>
        <v>0</v>
      </c>
      <c r="J8" s="167">
        <f>A5A!J28</f>
        <v>0</v>
      </c>
      <c r="K8" s="165">
        <f>A5A!K28</f>
        <v>0</v>
      </c>
      <c r="L8" s="166">
        <f>A5A!L28</f>
        <v>0</v>
      </c>
      <c r="M8" s="784"/>
    </row>
    <row r="9" spans="1:30" ht="11.25" customHeight="1" x14ac:dyDescent="0.25">
      <c r="A9" s="164" t="str">
        <f>A5A!A39</f>
        <v>Vote 4 - Community and Social Services</v>
      </c>
      <c r="B9" s="711"/>
      <c r="C9" s="165">
        <f>A5A!C39</f>
        <v>0</v>
      </c>
      <c r="D9" s="165">
        <f>A5A!D39</f>
        <v>0</v>
      </c>
      <c r="E9" s="166">
        <f>A5A!E39</f>
        <v>0</v>
      </c>
      <c r="F9" s="2217">
        <f>A5A!F39</f>
        <v>0</v>
      </c>
      <c r="G9" s="165">
        <f>A5A!G39</f>
        <v>0</v>
      </c>
      <c r="H9" s="166">
        <f>A5A!H39</f>
        <v>0</v>
      </c>
      <c r="I9" s="168">
        <f>A5A!I39</f>
        <v>0</v>
      </c>
      <c r="J9" s="167">
        <f>A5A!J39</f>
        <v>0</v>
      </c>
      <c r="K9" s="165">
        <f>A5A!K39</f>
        <v>0</v>
      </c>
      <c r="L9" s="2218">
        <f>A5A!L39</f>
        <v>0</v>
      </c>
      <c r="M9" s="784"/>
    </row>
    <row r="10" spans="1:30" ht="11.25" customHeight="1" x14ac:dyDescent="0.25">
      <c r="A10" s="164" t="str">
        <f>A5A!A50</f>
        <v>Vote 5 - Community and Social Services2</v>
      </c>
      <c r="B10" s="711"/>
      <c r="C10" s="165">
        <f>A5A!C50</f>
        <v>0</v>
      </c>
      <c r="D10" s="165">
        <f>A5A!D50</f>
        <v>0</v>
      </c>
      <c r="E10" s="166">
        <f>A5A!E50</f>
        <v>0</v>
      </c>
      <c r="F10" s="167">
        <f>A5A!F50</f>
        <v>0</v>
      </c>
      <c r="G10" s="165">
        <f>A5A!G50</f>
        <v>0</v>
      </c>
      <c r="H10" s="166">
        <f>A5A!H50</f>
        <v>0</v>
      </c>
      <c r="I10" s="168">
        <f>A5A!I50</f>
        <v>0</v>
      </c>
      <c r="J10" s="167">
        <f>A5A!J50</f>
        <v>0</v>
      </c>
      <c r="K10" s="165">
        <f>A5A!K50</f>
        <v>0</v>
      </c>
      <c r="L10" s="166">
        <f>A5A!L50</f>
        <v>0</v>
      </c>
      <c r="M10" s="784"/>
    </row>
    <row r="11" spans="1:30" ht="11.25" customHeight="1" x14ac:dyDescent="0.25">
      <c r="A11" s="164" t="str">
        <f>A5A!A61</f>
        <v>Vote 6 - Energy Sources</v>
      </c>
      <c r="B11" s="711"/>
      <c r="C11" s="165">
        <f>A5A!C61</f>
        <v>0</v>
      </c>
      <c r="D11" s="165">
        <f>A5A!D61</f>
        <v>0</v>
      </c>
      <c r="E11" s="166">
        <f>A5A!E61</f>
        <v>0</v>
      </c>
      <c r="F11" s="167">
        <f>A5A!F61</f>
        <v>0</v>
      </c>
      <c r="G11" s="165">
        <f>A5A!G61</f>
        <v>0</v>
      </c>
      <c r="H11" s="166">
        <f>A5A!H61</f>
        <v>0</v>
      </c>
      <c r="I11" s="168">
        <f>A5A!I61</f>
        <v>0</v>
      </c>
      <c r="J11" s="167">
        <f>A5A!J61</f>
        <v>0</v>
      </c>
      <c r="K11" s="165">
        <f>A5A!K61</f>
        <v>0</v>
      </c>
      <c r="L11" s="166">
        <f>A5A!L61</f>
        <v>0</v>
      </c>
      <c r="M11" s="784"/>
    </row>
    <row r="12" spans="1:30" ht="11.25" customHeight="1" x14ac:dyDescent="0.25">
      <c r="A12" s="164" t="str">
        <f>A5A!A72</f>
        <v>Vote 7 - Road Transport</v>
      </c>
      <c r="B12" s="711"/>
      <c r="C12" s="165">
        <f>A5A!C72</f>
        <v>0</v>
      </c>
      <c r="D12" s="165">
        <f>A5A!D72</f>
        <v>0</v>
      </c>
      <c r="E12" s="166">
        <f>A5A!E72</f>
        <v>0</v>
      </c>
      <c r="F12" s="167">
        <f>A5A!F72</f>
        <v>0</v>
      </c>
      <c r="G12" s="165">
        <f>A5A!G72</f>
        <v>0</v>
      </c>
      <c r="H12" s="166">
        <f>A5A!H72</f>
        <v>0</v>
      </c>
      <c r="I12" s="168">
        <f>A5A!I72</f>
        <v>0</v>
      </c>
      <c r="J12" s="167">
        <f>A5A!J72</f>
        <v>0</v>
      </c>
      <c r="K12" s="165">
        <f>A5A!K72</f>
        <v>0</v>
      </c>
      <c r="L12" s="166">
        <f>A5A!L72</f>
        <v>0</v>
      </c>
      <c r="M12" s="784"/>
    </row>
    <row r="13" spans="1:30" ht="11.25" customHeight="1" x14ac:dyDescent="0.25">
      <c r="A13" s="164" t="str">
        <f>A5A!A83</f>
        <v>Vote 8 - Planning and Development</v>
      </c>
      <c r="B13" s="711"/>
      <c r="C13" s="165">
        <f>A5A!C83</f>
        <v>0</v>
      </c>
      <c r="D13" s="165">
        <f>A5A!D83</f>
        <v>0</v>
      </c>
      <c r="E13" s="168">
        <f>A5A!E83</f>
        <v>0</v>
      </c>
      <c r="F13" s="167">
        <f>A5A!F83</f>
        <v>0</v>
      </c>
      <c r="G13" s="165">
        <f>A5A!G83</f>
        <v>0</v>
      </c>
      <c r="H13" s="166">
        <f>A5A!H83</f>
        <v>0</v>
      </c>
      <c r="I13" s="168">
        <f>A5A!I83</f>
        <v>0</v>
      </c>
      <c r="J13" s="167">
        <f>A5A!J83</f>
        <v>0</v>
      </c>
      <c r="K13" s="165">
        <f>A5A!K83</f>
        <v>0</v>
      </c>
      <c r="L13" s="166">
        <f>A5A!L83</f>
        <v>0</v>
      </c>
      <c r="M13" s="784"/>
    </row>
    <row r="14" spans="1:30" ht="11.25" customHeight="1" x14ac:dyDescent="0.25">
      <c r="A14" s="164" t="str">
        <f>A5A!A94</f>
        <v>Vote 9 - Sport and Recreation</v>
      </c>
      <c r="B14" s="711"/>
      <c r="C14" s="165">
        <f>A5A!C94</f>
        <v>0</v>
      </c>
      <c r="D14" s="165">
        <f>A5A!D94</f>
        <v>0</v>
      </c>
      <c r="E14" s="168">
        <f>A5A!E94</f>
        <v>0</v>
      </c>
      <c r="F14" s="167">
        <f>A5A!F94</f>
        <v>0</v>
      </c>
      <c r="G14" s="165">
        <f>A5A!G94</f>
        <v>0</v>
      </c>
      <c r="H14" s="166">
        <f>A5A!H94</f>
        <v>0</v>
      </c>
      <c r="I14" s="168">
        <f>A5A!I94</f>
        <v>0</v>
      </c>
      <c r="J14" s="167">
        <f>A5A!J94</f>
        <v>0</v>
      </c>
      <c r="K14" s="165">
        <f>A5A!K94</f>
        <v>0</v>
      </c>
      <c r="L14" s="166">
        <f>A5A!L94</f>
        <v>0</v>
      </c>
      <c r="M14" s="2219"/>
    </row>
    <row r="15" spans="1:30" ht="11.25" customHeight="1" x14ac:dyDescent="0.25">
      <c r="A15" s="164" t="str">
        <f>A5A!A105</f>
        <v>Vote 10 - Public Safety</v>
      </c>
      <c r="B15" s="711"/>
      <c r="C15" s="165">
        <f>A5A!C105</f>
        <v>0</v>
      </c>
      <c r="D15" s="165">
        <f>A5A!D105</f>
        <v>0</v>
      </c>
      <c r="E15" s="168">
        <f>A5A!E105</f>
        <v>0</v>
      </c>
      <c r="F15" s="167">
        <f>A5A!F105</f>
        <v>0</v>
      </c>
      <c r="G15" s="165">
        <f>A5A!G105</f>
        <v>0</v>
      </c>
      <c r="H15" s="166">
        <f>A5A!H105</f>
        <v>0</v>
      </c>
      <c r="I15" s="168">
        <f>A5A!I105</f>
        <v>0</v>
      </c>
      <c r="J15" s="167">
        <f>A5A!J105</f>
        <v>0</v>
      </c>
      <c r="K15" s="165">
        <f>A5A!K105</f>
        <v>0</v>
      </c>
      <c r="L15" s="166">
        <f>A5A!L105</f>
        <v>0</v>
      </c>
      <c r="M15" s="2219"/>
    </row>
    <row r="16" spans="1:30" ht="11.25" customHeight="1" x14ac:dyDescent="0.25">
      <c r="A16" s="164" t="str">
        <f>A5A!A116</f>
        <v>Vote 11 - Other</v>
      </c>
      <c r="B16" s="711"/>
      <c r="C16" s="165">
        <f>A5A!C116</f>
        <v>0</v>
      </c>
      <c r="D16" s="165">
        <f>A5A!D116</f>
        <v>0</v>
      </c>
      <c r="E16" s="168">
        <f>A5A!E116</f>
        <v>0</v>
      </c>
      <c r="F16" s="167">
        <f>A5A!F116</f>
        <v>0</v>
      </c>
      <c r="G16" s="165">
        <f>A5A!G116</f>
        <v>0</v>
      </c>
      <c r="H16" s="166">
        <f>A5A!H116</f>
        <v>0</v>
      </c>
      <c r="I16" s="168">
        <f>A5A!I116</f>
        <v>0</v>
      </c>
      <c r="J16" s="167">
        <f>A5A!J116</f>
        <v>0</v>
      </c>
      <c r="K16" s="165">
        <f>A5A!K116</f>
        <v>0</v>
      </c>
      <c r="L16" s="166">
        <f>A5A!L116</f>
        <v>0</v>
      </c>
      <c r="M16" s="322"/>
    </row>
    <row r="17" spans="1:13" ht="11.25" customHeight="1" x14ac:dyDescent="0.25">
      <c r="A17" s="164" t="str">
        <f>A5A!A127</f>
        <v>Vote 12 - Waste Management</v>
      </c>
      <c r="B17" s="711"/>
      <c r="C17" s="165">
        <f>A5A!C127</f>
        <v>0</v>
      </c>
      <c r="D17" s="165">
        <f>A5A!D127</f>
        <v>0</v>
      </c>
      <c r="E17" s="168">
        <f>A5A!E127</f>
        <v>0</v>
      </c>
      <c r="F17" s="167">
        <f>A5A!F127</f>
        <v>0</v>
      </c>
      <c r="G17" s="165">
        <f>A5A!G127</f>
        <v>0</v>
      </c>
      <c r="H17" s="166">
        <f>A5A!H127</f>
        <v>0</v>
      </c>
      <c r="I17" s="168">
        <f>A5A!I127</f>
        <v>0</v>
      </c>
      <c r="J17" s="167">
        <f>A5A!J127</f>
        <v>0</v>
      </c>
      <c r="K17" s="165">
        <f>A5A!K127</f>
        <v>0</v>
      </c>
      <c r="L17" s="166">
        <f>A5A!L127</f>
        <v>0</v>
      </c>
      <c r="M17" s="2219"/>
    </row>
    <row r="18" spans="1:13" ht="11.25" customHeight="1" x14ac:dyDescent="0.25">
      <c r="A18" s="164" t="str">
        <f>A5A!A138</f>
        <v>Vote 13 - Housing</v>
      </c>
      <c r="B18" s="711"/>
      <c r="C18" s="165">
        <f>A5A!C138</f>
        <v>0</v>
      </c>
      <c r="D18" s="165">
        <f>A5A!D138</f>
        <v>0</v>
      </c>
      <c r="E18" s="168">
        <f>A5A!E138</f>
        <v>0</v>
      </c>
      <c r="F18" s="167">
        <f>A5A!F138</f>
        <v>0</v>
      </c>
      <c r="G18" s="165">
        <f>A5A!G138</f>
        <v>0</v>
      </c>
      <c r="H18" s="166">
        <f>A5A!H138</f>
        <v>0</v>
      </c>
      <c r="I18" s="168">
        <f>A5A!I138</f>
        <v>0</v>
      </c>
      <c r="J18" s="167">
        <f>A5A!J138</f>
        <v>0</v>
      </c>
      <c r="K18" s="165">
        <f>A5A!K138</f>
        <v>0</v>
      </c>
      <c r="L18" s="166">
        <f>A5A!L138</f>
        <v>0</v>
      </c>
      <c r="M18" s="2219"/>
    </row>
    <row r="19" spans="1:13" ht="11.25" customHeight="1" x14ac:dyDescent="0.25">
      <c r="A19" s="164" t="str">
        <f>A5A!A149</f>
        <v>Vote 14 - Waste Water Management</v>
      </c>
      <c r="B19" s="711"/>
      <c r="C19" s="165">
        <f>A5A!C149</f>
        <v>0</v>
      </c>
      <c r="D19" s="165">
        <f>A5A!D149</f>
        <v>0</v>
      </c>
      <c r="E19" s="168">
        <f>A5A!E149</f>
        <v>0</v>
      </c>
      <c r="F19" s="167">
        <f>A5A!F149</f>
        <v>0</v>
      </c>
      <c r="G19" s="165">
        <f>A5A!G149</f>
        <v>0</v>
      </c>
      <c r="H19" s="166">
        <f>A5A!H149</f>
        <v>0</v>
      </c>
      <c r="I19" s="168">
        <f>A5A!I149</f>
        <v>0</v>
      </c>
      <c r="J19" s="167">
        <f>A5A!J149</f>
        <v>0</v>
      </c>
      <c r="K19" s="165">
        <f>A5A!K149</f>
        <v>0</v>
      </c>
      <c r="L19" s="166">
        <f>A5A!L149</f>
        <v>0</v>
      </c>
      <c r="M19" s="2219"/>
    </row>
    <row r="20" spans="1:13" ht="11.25" customHeight="1" x14ac:dyDescent="0.25">
      <c r="A20" s="164" t="str">
        <f>A5A!A160</f>
        <v>Vote 15 - Health</v>
      </c>
      <c r="B20" s="711"/>
      <c r="C20" s="165">
        <f>A5A!C160</f>
        <v>0</v>
      </c>
      <c r="D20" s="165">
        <f>A5A!D160</f>
        <v>0</v>
      </c>
      <c r="E20" s="168">
        <f>A5A!E160</f>
        <v>0</v>
      </c>
      <c r="F20" s="167">
        <f>A5A!F160</f>
        <v>0</v>
      </c>
      <c r="G20" s="165">
        <f>A5A!G160</f>
        <v>0</v>
      </c>
      <c r="H20" s="166">
        <f>A5A!H160</f>
        <v>0</v>
      </c>
      <c r="I20" s="168">
        <f>A5A!I160</f>
        <v>0</v>
      </c>
      <c r="J20" s="167">
        <f>A5A!J160</f>
        <v>0</v>
      </c>
      <c r="K20" s="165">
        <f>A5A!K160</f>
        <v>0</v>
      </c>
      <c r="L20" s="166">
        <f>A5A!L160</f>
        <v>0</v>
      </c>
      <c r="M20" s="2219"/>
    </row>
    <row r="21" spans="1:13" x14ac:dyDescent="0.25">
      <c r="A21" s="170" t="s">
        <v>168</v>
      </c>
      <c r="B21" s="711">
        <v>7</v>
      </c>
      <c r="C21" s="792">
        <f>SUM(C6:C20)</f>
        <v>0</v>
      </c>
      <c r="D21" s="792">
        <f t="shared" ref="D21:L21" si="0">SUM(D6:D20)</f>
        <v>0</v>
      </c>
      <c r="E21" s="925">
        <f t="shared" si="0"/>
        <v>0</v>
      </c>
      <c r="F21" s="924">
        <f t="shared" si="0"/>
        <v>0</v>
      </c>
      <c r="G21" s="106">
        <f t="shared" si="0"/>
        <v>0</v>
      </c>
      <c r="H21" s="923">
        <f>SUM(H6:H20)</f>
        <v>0</v>
      </c>
      <c r="I21" s="925">
        <f t="shared" si="0"/>
        <v>0</v>
      </c>
      <c r="J21" s="924">
        <f t="shared" si="0"/>
        <v>0</v>
      </c>
      <c r="K21" s="106">
        <f t="shared" si="0"/>
        <v>0</v>
      </c>
      <c r="L21" s="923">
        <f t="shared" si="0"/>
        <v>0</v>
      </c>
      <c r="M21" s="322"/>
    </row>
    <row r="22" spans="1:13" ht="4.9000000000000004" customHeight="1" x14ac:dyDescent="0.25">
      <c r="A22" s="176"/>
      <c r="B22" s="711"/>
      <c r="C22" s="177"/>
      <c r="D22" s="531"/>
      <c r="E22" s="180"/>
      <c r="F22" s="179"/>
      <c r="G22" s="177"/>
      <c r="H22" s="178"/>
      <c r="I22" s="180"/>
      <c r="J22" s="179"/>
      <c r="K22" s="177"/>
      <c r="L22" s="178"/>
      <c r="M22" s="322"/>
    </row>
    <row r="23" spans="1:13" ht="11.25" customHeight="1" x14ac:dyDescent="0.25">
      <c r="A23" s="158" t="s">
        <v>896</v>
      </c>
      <c r="B23" s="711">
        <v>2</v>
      </c>
      <c r="C23" s="1452"/>
      <c r="D23" s="1452"/>
      <c r="E23" s="166"/>
      <c r="F23" s="167"/>
      <c r="G23" s="165"/>
      <c r="H23" s="166"/>
      <c r="I23" s="168"/>
      <c r="J23" s="167"/>
      <c r="K23" s="165"/>
      <c r="L23" s="166"/>
      <c r="M23" s="322"/>
    </row>
    <row r="24" spans="1:13" ht="11.25" customHeight="1" x14ac:dyDescent="0.25">
      <c r="A24" s="164" t="str">
        <f>A6</f>
        <v>Vote 1 - Finance and Administration</v>
      </c>
      <c r="B24" s="711"/>
      <c r="C24" s="1452">
        <f>A5A!C175</f>
        <v>28728245</v>
      </c>
      <c r="D24" s="1452">
        <f>A5A!D175</f>
        <v>31458590</v>
      </c>
      <c r="E24" s="166">
        <f>A5A!E175</f>
        <v>33565076</v>
      </c>
      <c r="F24" s="167">
        <f>A5A!F175</f>
        <v>6700000</v>
      </c>
      <c r="G24" s="165">
        <f>A5A!G175</f>
        <v>3221951</v>
      </c>
      <c r="H24" s="166">
        <f>A5A!H175</f>
        <v>3221951</v>
      </c>
      <c r="I24" s="168">
        <f>A5A!I175</f>
        <v>33965697</v>
      </c>
      <c r="J24" s="167">
        <f>A5A!J175</f>
        <v>905000</v>
      </c>
      <c r="K24" s="165">
        <f>A5A!K175</f>
        <v>756392</v>
      </c>
      <c r="L24" s="166">
        <f>A5A!L175</f>
        <v>786648</v>
      </c>
      <c r="M24" s="322"/>
    </row>
    <row r="25" spans="1:13" ht="11.25" customHeight="1" x14ac:dyDescent="0.25">
      <c r="A25" s="164" t="str">
        <f t="shared" ref="A25:A37" si="1">A7</f>
        <v>Vote 2 - Finance and Administration2</v>
      </c>
      <c r="B25" s="711"/>
      <c r="C25" s="1452">
        <f>A5A!C186</f>
        <v>0</v>
      </c>
      <c r="D25" s="1452">
        <f>A5A!D186</f>
        <v>0</v>
      </c>
      <c r="E25" s="166">
        <f>A5A!E186</f>
        <v>0</v>
      </c>
      <c r="F25" s="167">
        <f>A5A!F186</f>
        <v>0</v>
      </c>
      <c r="G25" s="165">
        <f>A5A!G186</f>
        <v>0</v>
      </c>
      <c r="H25" s="166">
        <f>A5A!H186</f>
        <v>0</v>
      </c>
      <c r="I25" s="168">
        <f>A5A!I186</f>
        <v>0</v>
      </c>
      <c r="J25" s="167">
        <f>A5A!J186</f>
        <v>0</v>
      </c>
      <c r="K25" s="165">
        <f>A5A!K186</f>
        <v>0</v>
      </c>
      <c r="L25" s="166">
        <f>A5A!L186</f>
        <v>0</v>
      </c>
      <c r="M25" s="322"/>
    </row>
    <row r="26" spans="1:13" ht="11.25" customHeight="1" x14ac:dyDescent="0.25">
      <c r="A26" s="164" t="str">
        <f t="shared" si="1"/>
        <v>Vote 3 - Executive and Council</v>
      </c>
      <c r="B26" s="711"/>
      <c r="C26" s="1452">
        <f>A5A!C197</f>
        <v>0</v>
      </c>
      <c r="D26" s="1452">
        <f>A5A!D197</f>
        <v>0</v>
      </c>
      <c r="E26" s="166">
        <f>A5A!E197</f>
        <v>0</v>
      </c>
      <c r="F26" s="167">
        <f>A5A!F197</f>
        <v>0</v>
      </c>
      <c r="G26" s="165">
        <f>A5A!G197</f>
        <v>0</v>
      </c>
      <c r="H26" s="166">
        <f>A5A!H197</f>
        <v>0</v>
      </c>
      <c r="I26" s="168">
        <f>A5A!I197</f>
        <v>0</v>
      </c>
      <c r="J26" s="167">
        <f>A5A!J197</f>
        <v>0</v>
      </c>
      <c r="K26" s="165">
        <f>A5A!K197</f>
        <v>0</v>
      </c>
      <c r="L26" s="166">
        <f>A5A!L197</f>
        <v>0</v>
      </c>
      <c r="M26" s="322"/>
    </row>
    <row r="27" spans="1:13" ht="11.25" customHeight="1" x14ac:dyDescent="0.25">
      <c r="A27" s="164" t="str">
        <f t="shared" si="1"/>
        <v>Vote 4 - Community and Social Services</v>
      </c>
      <c r="B27" s="711"/>
      <c r="C27" s="1452">
        <f>A5A!C208</f>
        <v>3732920</v>
      </c>
      <c r="D27" s="1452">
        <f>A5A!D208</f>
        <v>0</v>
      </c>
      <c r="E27" s="166">
        <f>A5A!E208</f>
        <v>0</v>
      </c>
      <c r="F27" s="167">
        <f>A5A!F208</f>
        <v>1538516</v>
      </c>
      <c r="G27" s="165">
        <f>A5A!G208</f>
        <v>2045598</v>
      </c>
      <c r="H27" s="166">
        <f>A5A!H208</f>
        <v>2045598</v>
      </c>
      <c r="I27" s="168">
        <f>A5A!I208</f>
        <v>124175</v>
      </c>
      <c r="J27" s="167">
        <f>A5A!J208</f>
        <v>0</v>
      </c>
      <c r="K27" s="165">
        <f>A5A!K208</f>
        <v>0</v>
      </c>
      <c r="L27" s="166">
        <f>A5A!L208</f>
        <v>0</v>
      </c>
      <c r="M27" s="322"/>
    </row>
    <row r="28" spans="1:13" ht="11.25" customHeight="1" x14ac:dyDescent="0.25">
      <c r="A28" s="164" t="str">
        <f t="shared" si="1"/>
        <v>Vote 5 - Community and Social Services2</v>
      </c>
      <c r="B28" s="711"/>
      <c r="C28" s="1452">
        <f>A5A!C219</f>
        <v>3551619</v>
      </c>
      <c r="D28" s="1452">
        <f>A5A!D219</f>
        <v>6454770</v>
      </c>
      <c r="E28" s="166">
        <f>A5A!E219</f>
        <v>9953437</v>
      </c>
      <c r="F28" s="167">
        <f>A5A!F219</f>
        <v>7990468</v>
      </c>
      <c r="G28" s="165">
        <f>A5A!G219</f>
        <v>11892935</v>
      </c>
      <c r="H28" s="166">
        <f>A5A!H219</f>
        <v>11892935</v>
      </c>
      <c r="I28" s="168">
        <f>A5A!I219</f>
        <v>15860579</v>
      </c>
      <c r="J28" s="167">
        <f>A5A!J219</f>
        <v>2964575</v>
      </c>
      <c r="K28" s="165">
        <f>A5A!K219</f>
        <v>3000000</v>
      </c>
      <c r="L28" s="166">
        <f>A5A!L219</f>
        <v>3200000</v>
      </c>
      <c r="M28" s="322"/>
    </row>
    <row r="29" spans="1:13" ht="11.25" customHeight="1" x14ac:dyDescent="0.25">
      <c r="A29" s="164" t="str">
        <f t="shared" si="1"/>
        <v>Vote 6 - Energy Sources</v>
      </c>
      <c r="B29" s="711"/>
      <c r="C29" s="1452">
        <f>A5A!C230</f>
        <v>0</v>
      </c>
      <c r="D29" s="1452">
        <f>A5A!D230</f>
        <v>0</v>
      </c>
      <c r="E29" s="166">
        <f>A5A!E230</f>
        <v>0</v>
      </c>
      <c r="F29" s="167">
        <f>A5A!F230</f>
        <v>0</v>
      </c>
      <c r="G29" s="165">
        <f>A5A!G230</f>
        <v>0</v>
      </c>
      <c r="H29" s="166">
        <f>A5A!H230</f>
        <v>0</v>
      </c>
      <c r="I29" s="168">
        <f>A5A!I230</f>
        <v>0</v>
      </c>
      <c r="J29" s="167">
        <f>A5A!J230</f>
        <v>0</v>
      </c>
      <c r="K29" s="165">
        <f>A5A!K230</f>
        <v>0</v>
      </c>
      <c r="L29" s="166">
        <f>A5A!L230</f>
        <v>0</v>
      </c>
      <c r="M29" s="322"/>
    </row>
    <row r="30" spans="1:13" ht="11.25" customHeight="1" x14ac:dyDescent="0.25">
      <c r="A30" s="164" t="str">
        <f t="shared" si="1"/>
        <v>Vote 7 - Road Transport</v>
      </c>
      <c r="B30" s="711"/>
      <c r="C30" s="1452">
        <f>A5A!C241</f>
        <v>54841760</v>
      </c>
      <c r="D30" s="1452">
        <f>A5A!D241</f>
        <v>65641142</v>
      </c>
      <c r="E30" s="166">
        <f>A5A!E241</f>
        <v>73517349</v>
      </c>
      <c r="F30" s="167">
        <f>A5A!F241</f>
        <v>9467783</v>
      </c>
      <c r="G30" s="165">
        <f>A5A!G241</f>
        <v>26602004</v>
      </c>
      <c r="H30" s="166">
        <f>A5A!H241</f>
        <v>26602004</v>
      </c>
      <c r="I30" s="168">
        <f>A5A!I241</f>
        <v>94959972</v>
      </c>
      <c r="J30" s="167">
        <f>A5A!J241</f>
        <v>14590425</v>
      </c>
      <c r="K30" s="165">
        <f>A5A!K241</f>
        <v>0</v>
      </c>
      <c r="L30" s="166">
        <f>A5A!L241</f>
        <v>0</v>
      </c>
      <c r="M30" s="322"/>
    </row>
    <row r="31" spans="1:13" ht="11.25" customHeight="1" x14ac:dyDescent="0.25">
      <c r="A31" s="164" t="str">
        <f t="shared" si="1"/>
        <v>Vote 8 - Planning and Development</v>
      </c>
      <c r="B31" s="711"/>
      <c r="C31" s="1452">
        <f>A5A!C252</f>
        <v>75339699</v>
      </c>
      <c r="D31" s="1452">
        <f>A5A!D252</f>
        <v>90719296</v>
      </c>
      <c r="E31" s="166">
        <f>A5A!E252</f>
        <v>96606302</v>
      </c>
      <c r="F31" s="167">
        <f>A5A!F252</f>
        <v>0</v>
      </c>
      <c r="G31" s="165">
        <f>A5A!G252</f>
        <v>0</v>
      </c>
      <c r="H31" s="166">
        <f>A5A!H252</f>
        <v>0</v>
      </c>
      <c r="I31" s="168">
        <f>A5A!I252</f>
        <v>96606302</v>
      </c>
      <c r="J31" s="167">
        <f>A5A!J252</f>
        <v>0</v>
      </c>
      <c r="K31" s="165">
        <f>A5A!K252</f>
        <v>0</v>
      </c>
      <c r="L31" s="166">
        <f>A5A!L252</f>
        <v>0</v>
      </c>
      <c r="M31" s="322"/>
    </row>
    <row r="32" spans="1:13" ht="11.25" customHeight="1" x14ac:dyDescent="0.25">
      <c r="A32" s="164" t="str">
        <f t="shared" si="1"/>
        <v>Vote 9 - Sport and Recreation</v>
      </c>
      <c r="B32" s="711"/>
      <c r="C32" s="1452">
        <f>A5A!C263</f>
        <v>0</v>
      </c>
      <c r="D32" s="1452">
        <f>A5A!D263</f>
        <v>0</v>
      </c>
      <c r="E32" s="166">
        <f>A5A!E263</f>
        <v>0</v>
      </c>
      <c r="F32" s="167">
        <f>A5A!F263</f>
        <v>0</v>
      </c>
      <c r="G32" s="165">
        <f>A5A!G263</f>
        <v>0</v>
      </c>
      <c r="H32" s="166">
        <f>A5A!H263</f>
        <v>0</v>
      </c>
      <c r="I32" s="168">
        <f>A5A!I263</f>
        <v>0</v>
      </c>
      <c r="J32" s="167">
        <f>A5A!J263</f>
        <v>13161000</v>
      </c>
      <c r="K32" s="165">
        <f>A5A!K263</f>
        <v>0</v>
      </c>
      <c r="L32" s="166">
        <f>A5A!L263</f>
        <v>0</v>
      </c>
      <c r="M32" s="322"/>
    </row>
    <row r="33" spans="1:30" ht="11.25" customHeight="1" x14ac:dyDescent="0.25">
      <c r="A33" s="164" t="str">
        <f t="shared" si="1"/>
        <v>Vote 10 - Public Safety</v>
      </c>
      <c r="B33" s="711"/>
      <c r="C33" s="1452">
        <f>A5A!C274</f>
        <v>0</v>
      </c>
      <c r="D33" s="1452">
        <f>A5A!D274</f>
        <v>0</v>
      </c>
      <c r="E33" s="166">
        <f>A5A!E274</f>
        <v>0</v>
      </c>
      <c r="F33" s="167">
        <f>A5A!F274</f>
        <v>0</v>
      </c>
      <c r="G33" s="165">
        <f>A5A!G274</f>
        <v>0</v>
      </c>
      <c r="H33" s="166">
        <f>A5A!H274</f>
        <v>0</v>
      </c>
      <c r="I33" s="168">
        <f>A5A!I274</f>
        <v>0</v>
      </c>
      <c r="J33" s="167">
        <f>A5A!J274</f>
        <v>0</v>
      </c>
      <c r="K33" s="165">
        <f>A5A!K274</f>
        <v>0</v>
      </c>
      <c r="L33" s="166">
        <f>A5A!L274</f>
        <v>0</v>
      </c>
      <c r="M33" s="322"/>
    </row>
    <row r="34" spans="1:30" ht="11.25" customHeight="1" x14ac:dyDescent="0.25">
      <c r="A34" s="164" t="str">
        <f t="shared" si="1"/>
        <v>Vote 11 - Other</v>
      </c>
      <c r="B34" s="711"/>
      <c r="C34" s="1452">
        <f>A5A!C285</f>
        <v>0</v>
      </c>
      <c r="D34" s="1452">
        <f>A5A!D285</f>
        <v>0</v>
      </c>
      <c r="E34" s="166">
        <f>A5A!E285</f>
        <v>0</v>
      </c>
      <c r="F34" s="167">
        <f>A5A!F285</f>
        <v>0</v>
      </c>
      <c r="G34" s="165">
        <f>A5A!G285</f>
        <v>0</v>
      </c>
      <c r="H34" s="166">
        <f>A5A!H285</f>
        <v>0</v>
      </c>
      <c r="I34" s="168">
        <f>A5A!I285</f>
        <v>0</v>
      </c>
      <c r="J34" s="167">
        <f>A5A!J285</f>
        <v>0</v>
      </c>
      <c r="K34" s="165">
        <f>A5A!K285</f>
        <v>0</v>
      </c>
      <c r="L34" s="166">
        <f>A5A!L285</f>
        <v>0</v>
      </c>
      <c r="M34" s="322"/>
    </row>
    <row r="35" spans="1:30" ht="11.25" customHeight="1" x14ac:dyDescent="0.25">
      <c r="A35" s="164" t="str">
        <f t="shared" si="1"/>
        <v>Vote 12 - Waste Management</v>
      </c>
      <c r="B35" s="711"/>
      <c r="C35" s="1452">
        <f>A5A!C296</f>
        <v>0</v>
      </c>
      <c r="D35" s="1452">
        <f>A5A!D296</f>
        <v>0</v>
      </c>
      <c r="E35" s="166">
        <f>A5A!E296</f>
        <v>0</v>
      </c>
      <c r="F35" s="167">
        <f>A5A!F296</f>
        <v>0</v>
      </c>
      <c r="G35" s="165">
        <f>A5A!G296</f>
        <v>0</v>
      </c>
      <c r="H35" s="166">
        <f>A5A!H296</f>
        <v>0</v>
      </c>
      <c r="I35" s="168">
        <f>A5A!I296</f>
        <v>0</v>
      </c>
      <c r="J35" s="167">
        <f>A5A!J296</f>
        <v>0</v>
      </c>
      <c r="K35" s="165">
        <f>A5A!K296</f>
        <v>0</v>
      </c>
      <c r="L35" s="166">
        <f>A5A!L296</f>
        <v>0</v>
      </c>
      <c r="M35" s="322"/>
    </row>
    <row r="36" spans="1:30" ht="11.25" customHeight="1" x14ac:dyDescent="0.25">
      <c r="A36" s="164" t="str">
        <f t="shared" si="1"/>
        <v>Vote 13 - Housing</v>
      </c>
      <c r="B36" s="711"/>
      <c r="C36" s="360">
        <f>A5A!C307</f>
        <v>0</v>
      </c>
      <c r="D36" s="360">
        <f>A5A!D307</f>
        <v>0</v>
      </c>
      <c r="E36" s="361">
        <f>A5A!E307</f>
        <v>0</v>
      </c>
      <c r="F36" s="362">
        <f>A5A!F307</f>
        <v>0</v>
      </c>
      <c r="G36" s="328">
        <f>A5A!G307</f>
        <v>0</v>
      </c>
      <c r="H36" s="361">
        <f>A5A!H307</f>
        <v>0</v>
      </c>
      <c r="I36" s="329">
        <f>A5A!I307</f>
        <v>0</v>
      </c>
      <c r="J36" s="362">
        <f>A5A!J307</f>
        <v>0</v>
      </c>
      <c r="K36" s="328">
        <f>A5A!K307</f>
        <v>0</v>
      </c>
      <c r="L36" s="361">
        <f>A5A!L307</f>
        <v>0</v>
      </c>
      <c r="M36" s="322"/>
    </row>
    <row r="37" spans="1:30" ht="11.25" customHeight="1" x14ac:dyDescent="0.25">
      <c r="A37" s="164" t="str">
        <f t="shared" si="1"/>
        <v>Vote 14 - Waste Water Management</v>
      </c>
      <c r="B37" s="711"/>
      <c r="C37" s="360">
        <f>A5A!C318</f>
        <v>0</v>
      </c>
      <c r="D37" s="360">
        <f>A5A!D318</f>
        <v>0</v>
      </c>
      <c r="E37" s="361">
        <f>A5A!E318</f>
        <v>0</v>
      </c>
      <c r="F37" s="362">
        <f>A5A!F318</f>
        <v>0</v>
      </c>
      <c r="G37" s="328">
        <f>A5A!G318</f>
        <v>0</v>
      </c>
      <c r="H37" s="361">
        <f>A5A!H318</f>
        <v>0</v>
      </c>
      <c r="I37" s="329">
        <f>A5A!I318</f>
        <v>0</v>
      </c>
      <c r="J37" s="362">
        <f>A5A!J318</f>
        <v>0</v>
      </c>
      <c r="K37" s="328">
        <f>A5A!K318</f>
        <v>0</v>
      </c>
      <c r="L37" s="361">
        <f>A5A!L318</f>
        <v>0</v>
      </c>
      <c r="M37" s="322"/>
    </row>
    <row r="38" spans="1:30" ht="11.25" customHeight="1" x14ac:dyDescent="0.25">
      <c r="A38" s="164" t="str">
        <f>A20</f>
        <v>Vote 15 - Health</v>
      </c>
      <c r="B38" s="711"/>
      <c r="C38" s="360">
        <f>A5A!C329</f>
        <v>0</v>
      </c>
      <c r="D38" s="360">
        <f>A5A!D329</f>
        <v>0</v>
      </c>
      <c r="E38" s="361">
        <f>A5A!E329</f>
        <v>0</v>
      </c>
      <c r="F38" s="362">
        <f>A5A!F329</f>
        <v>0</v>
      </c>
      <c r="G38" s="328">
        <f>A5A!G329</f>
        <v>0</v>
      </c>
      <c r="H38" s="361">
        <f>A5A!H329</f>
        <v>0</v>
      </c>
      <c r="I38" s="329">
        <f>A5A!I329</f>
        <v>0</v>
      </c>
      <c r="J38" s="362">
        <f>A5A!J329</f>
        <v>0</v>
      </c>
      <c r="K38" s="328">
        <f>A5A!K329</f>
        <v>0</v>
      </c>
      <c r="L38" s="361">
        <f>A5A!L329</f>
        <v>0</v>
      </c>
      <c r="M38" s="322"/>
    </row>
    <row r="39" spans="1:30" ht="11.25" customHeight="1" x14ac:dyDescent="0.25">
      <c r="A39" s="801" t="s">
        <v>1158</v>
      </c>
      <c r="B39" s="711"/>
      <c r="C39" s="2220">
        <f>SUM(C24:C38)</f>
        <v>166194243</v>
      </c>
      <c r="D39" s="2220">
        <f t="shared" ref="D39:L39" si="2">SUM(D24:D38)</f>
        <v>194273798</v>
      </c>
      <c r="E39" s="2148">
        <f t="shared" si="2"/>
        <v>213642164</v>
      </c>
      <c r="F39" s="2147">
        <f t="shared" si="2"/>
        <v>25696767</v>
      </c>
      <c r="G39" s="792">
        <f t="shared" si="2"/>
        <v>43762488</v>
      </c>
      <c r="H39" s="2148">
        <f t="shared" si="2"/>
        <v>43762488</v>
      </c>
      <c r="I39" s="2146">
        <f t="shared" si="2"/>
        <v>241516725</v>
      </c>
      <c r="J39" s="2147">
        <f t="shared" si="2"/>
        <v>31621000</v>
      </c>
      <c r="K39" s="792">
        <f t="shared" si="2"/>
        <v>3756392</v>
      </c>
      <c r="L39" s="2148">
        <f t="shared" si="2"/>
        <v>3986648</v>
      </c>
      <c r="M39" s="322"/>
    </row>
    <row r="40" spans="1:30" x14ac:dyDescent="0.25">
      <c r="A40" s="182" t="s">
        <v>897</v>
      </c>
      <c r="B40" s="751"/>
      <c r="C40" s="2221">
        <f>C39+C21</f>
        <v>166194243</v>
      </c>
      <c r="D40" s="2221">
        <f t="shared" ref="D40:L40" si="3">D39+D21</f>
        <v>194273798</v>
      </c>
      <c r="E40" s="2222">
        <f t="shared" si="3"/>
        <v>213642164</v>
      </c>
      <c r="F40" s="2223">
        <f t="shared" si="3"/>
        <v>25696767</v>
      </c>
      <c r="G40" s="2224">
        <f t="shared" si="3"/>
        <v>43762488</v>
      </c>
      <c r="H40" s="2222">
        <f t="shared" si="3"/>
        <v>43762488</v>
      </c>
      <c r="I40" s="2225">
        <f t="shared" si="3"/>
        <v>241516725</v>
      </c>
      <c r="J40" s="2223">
        <f t="shared" si="3"/>
        <v>31621000</v>
      </c>
      <c r="K40" s="2224">
        <f t="shared" si="3"/>
        <v>3756392</v>
      </c>
      <c r="L40" s="2222">
        <f t="shared" si="3"/>
        <v>3986648</v>
      </c>
      <c r="M40" s="322"/>
    </row>
    <row r="41" spans="1:30" ht="4.9000000000000004" customHeight="1" x14ac:dyDescent="0.25">
      <c r="A41" s="176"/>
      <c r="B41" s="711"/>
      <c r="C41" s="1452"/>
      <c r="D41" s="1452"/>
      <c r="E41" s="166"/>
      <c r="F41" s="167"/>
      <c r="G41" s="165"/>
      <c r="H41" s="166"/>
      <c r="I41" s="168"/>
      <c r="J41" s="167"/>
      <c r="K41" s="165"/>
      <c r="L41" s="166"/>
      <c r="M41" s="322"/>
    </row>
    <row r="42" spans="1:30" ht="11.25" customHeight="1" x14ac:dyDescent="0.25">
      <c r="A42" s="158" t="s">
        <v>2443</v>
      </c>
      <c r="B42" s="711"/>
      <c r="C42" s="1452"/>
      <c r="D42" s="1452"/>
      <c r="E42" s="166"/>
      <c r="F42" s="167"/>
      <c r="G42" s="165"/>
      <c r="H42" s="166"/>
      <c r="I42" s="168"/>
      <c r="J42" s="169"/>
      <c r="K42" s="165"/>
      <c r="L42" s="382"/>
      <c r="M42" s="322"/>
    </row>
    <row r="43" spans="1:30" ht="11.25" customHeight="1" x14ac:dyDescent="0.25">
      <c r="A43" s="225" t="s">
        <v>985</v>
      </c>
      <c r="B43" s="144"/>
      <c r="C43" s="98">
        <f>SUM(C44:C46)</f>
        <v>28728245</v>
      </c>
      <c r="D43" s="98">
        <f t="shared" ref="D43:L43" si="4">SUM(D44:D46)</f>
        <v>31458590</v>
      </c>
      <c r="E43" s="291">
        <f t="shared" si="4"/>
        <v>33565076</v>
      </c>
      <c r="F43" s="102">
        <f t="shared" si="4"/>
        <v>6700000</v>
      </c>
      <c r="G43" s="98">
        <f t="shared" si="4"/>
        <v>3221951</v>
      </c>
      <c r="H43" s="292">
        <f t="shared" si="4"/>
        <v>3221951</v>
      </c>
      <c r="I43" s="101">
        <f t="shared" si="4"/>
        <v>33965697</v>
      </c>
      <c r="J43" s="102">
        <f t="shared" si="4"/>
        <v>905000</v>
      </c>
      <c r="K43" s="98">
        <f t="shared" si="4"/>
        <v>756392</v>
      </c>
      <c r="L43" s="292">
        <f t="shared" si="4"/>
        <v>786648</v>
      </c>
      <c r="M43" s="322"/>
      <c r="Q43" s="2226"/>
      <c r="R43" s="2227"/>
    </row>
    <row r="44" spans="1:30" ht="11.25" customHeight="1" x14ac:dyDescent="0.25">
      <c r="A44" s="226" t="s">
        <v>119</v>
      </c>
      <c r="B44" s="144"/>
      <c r="C44" s="712">
        <f>SUMIFS(Sheet1!S71_PPPYearAmount,Sheet1!S71_A2Code,$AC:$AC,Sheet1!S71_A5CapexCode,$AD:$AD)</f>
        <v>0</v>
      </c>
      <c r="D44" s="712">
        <f>SUMIFS(Sheet1!S71_PPYearAmount,Sheet1!S71_A2Code,$AC:$AC,Sheet1!S71_A5CapexCode,$AD:$AD)</f>
        <v>0</v>
      </c>
      <c r="E44" s="717">
        <f>SUMIFS(Sheet1!S71_PYearAmount,Sheet1!S71_A2Code,$AC:$AC,Sheet1!S71_A5CapexCode,$AD:$AD)</f>
        <v>0</v>
      </c>
      <c r="F44" s="718">
        <f>SUMIFS(Sheet1!S71_OriginalBudAmnt,Sheet1!S71_A2Code,$AC:$AC,Sheet1!S71_A5CapexCode,$AD:$AD)</f>
        <v>0</v>
      </c>
      <c r="G44" s="712">
        <f>SUMIFS(Sheet1!S71_AdjustmentBudAmnt,Sheet1!S71_A2Code,$AC:$AC,Sheet1!S71_A5CapexCode,$AD:$AD)</f>
        <v>0</v>
      </c>
      <c r="H44" s="719">
        <f>SUMIFS(Sheet1!S71_AdjustmentBudAmnt,Sheet1!S71_A2Code,$AC:$AC,Sheet1!S71_A5CapexCode,$AD:$AD)</f>
        <v>0</v>
      </c>
      <c r="I44" s="718" cm="1">
        <f t="array" ref="I44">SUMIFS(Sheet1!S71_PreAuditActual,Sheet1!S71_A2Code,_xlfn.SINGLE($AC:$AC),Sheet1!S71_A5CapexCode,_xlfn.SINGLE($AD:$AD))</f>
        <v>0</v>
      </c>
      <c r="J44" s="725">
        <f>SUMIFS(Sheet1!S71_ASBudgetAmount,Sheet1!S71_A2Code,$AC:$AC,Sheet1!S71_A5CapexCode,$AD:$AD)</f>
        <v>0</v>
      </c>
      <c r="K44" s="712">
        <f>SUMIFS(Sheet1!S71_OY1BudgetAmount,Sheet1!S71_A2Code,$AC:$AC,Sheet1!S71_A5CapexCode,$AD:$AD)</f>
        <v>0</v>
      </c>
      <c r="L44" s="713">
        <f>SUMIFS(Sheet1!S71_OY2BudgetAmount,Sheet1!S71_A2Code,$AC:$AC,Sheet1!S71_A5CapexCode,$AD:$AD)</f>
        <v>0</v>
      </c>
      <c r="M44" s="322"/>
      <c r="Q44" s="2226"/>
      <c r="R44" s="2227"/>
      <c r="AC44" s="2319" t="s">
        <v>2048</v>
      </c>
      <c r="AD44" s="2318" t="s">
        <v>2805</v>
      </c>
    </row>
    <row r="45" spans="1:30" ht="11.25" customHeight="1" x14ac:dyDescent="0.25">
      <c r="A45" s="226" t="s">
        <v>2368</v>
      </c>
      <c r="B45" s="144"/>
      <c r="C45" s="712">
        <f>SUMIFS(Sheet1!S71_PPPYearAmount,Sheet1!S71_A2Code,$AC:$AC,Sheet1!S71_A5CapexCode,$AD:$AD)</f>
        <v>28728245</v>
      </c>
      <c r="D45" s="712">
        <f>SUMIFS(Sheet1!S71_PPYearAmount,Sheet1!S71_A2Code,$AC:$AC,Sheet1!S71_A5CapexCode,$AD:$AD)</f>
        <v>31458590</v>
      </c>
      <c r="E45" s="717">
        <f>SUMIFS(Sheet1!S71_PYearAmount,Sheet1!S71_A2Code,$AC:$AC,Sheet1!S71_A5CapexCode,$AD:$AD)</f>
        <v>33565076</v>
      </c>
      <c r="F45" s="718">
        <f>SUMIFS(Sheet1!S71_OriginalBudAmnt,Sheet1!S71_A2Code,$AC:$AC,Sheet1!S71_A5CapexCode,$AD:$AD)</f>
        <v>6700000</v>
      </c>
      <c r="G45" s="712">
        <f>SUMIFS(Sheet1!S71_AdjustmentBudAmnt,Sheet1!S71_A2Code,$AC:$AC,Sheet1!S71_A5CapexCode,$AD:$AD)</f>
        <v>3221951</v>
      </c>
      <c r="H45" s="719">
        <f>SUMIFS(Sheet1!S71_AdjustmentBudAmnt,Sheet1!S71_A2Code,$AC:$AC,Sheet1!S71_A5CapexCode,$AD:$AD)</f>
        <v>3221951</v>
      </c>
      <c r="I45" s="718" cm="1">
        <f t="array" ref="I45">SUMIFS(Sheet1!S71_PreAuditActual,Sheet1!S71_A2Code,_xlfn.SINGLE($AC:$AC),Sheet1!S71_A5CapexCode,_xlfn.SINGLE($AD:$AD))</f>
        <v>33965697</v>
      </c>
      <c r="J45" s="725">
        <f>SUMIFS(Sheet1!S71_ASBudgetAmount,Sheet1!S71_A2Code,$AC:$AC,Sheet1!S71_A5CapexCode,$AD:$AD)</f>
        <v>905000</v>
      </c>
      <c r="K45" s="712">
        <f>SUMIFS(Sheet1!S71_OY1BudgetAmount,Sheet1!S71_A2Code,$AC:$AC,Sheet1!S71_A5CapexCode,$AD:$AD)</f>
        <v>756392</v>
      </c>
      <c r="L45" s="713">
        <f>SUMIFS(Sheet1!S71_OY2BudgetAmount,Sheet1!S71_A2Code,$AC:$AC,Sheet1!S71_A5CapexCode,$AD:$AD)</f>
        <v>786648</v>
      </c>
      <c r="M45" s="322"/>
      <c r="Q45" s="2226"/>
      <c r="R45" s="2227"/>
      <c r="AC45" s="2319" t="s">
        <v>2059</v>
      </c>
      <c r="AD45" s="2318" t="s">
        <v>2805</v>
      </c>
    </row>
    <row r="46" spans="1:30" ht="11.25" customHeight="1" x14ac:dyDescent="0.25">
      <c r="A46" s="226" t="s">
        <v>2364</v>
      </c>
      <c r="B46" s="144"/>
      <c r="C46" s="712">
        <f>SUMIFS(Sheet1!S71_PPPYearAmount,Sheet1!S71_A2Code,$AC:$AC,Sheet1!S71_A5CapexCode,$AD:$AD)</f>
        <v>0</v>
      </c>
      <c r="D46" s="712">
        <f>SUMIFS(Sheet1!S71_PPYearAmount,Sheet1!S71_A2Code,$AC:$AC,Sheet1!S71_A5CapexCode,$AD:$AD)</f>
        <v>0</v>
      </c>
      <c r="E46" s="717">
        <f>SUMIFS(Sheet1!S71_PYearAmount,Sheet1!S71_A2Code,$AC:$AC,Sheet1!S71_A5CapexCode,$AD:$AD)</f>
        <v>0</v>
      </c>
      <c r="F46" s="718">
        <f>SUMIFS(Sheet1!S71_OriginalBudAmnt,Sheet1!S71_A2Code,$AC:$AC,Sheet1!S71_A5CapexCode,$AD:$AD)</f>
        <v>0</v>
      </c>
      <c r="G46" s="712">
        <f>SUMIFS(Sheet1!S71_AdjustmentBudAmnt,Sheet1!S71_A2Code,$AC:$AC,Sheet1!S71_A5CapexCode,$AD:$AD)</f>
        <v>0</v>
      </c>
      <c r="H46" s="719">
        <f>SUMIFS(Sheet1!S71_AdjustmentBudAmnt,Sheet1!S71_A2Code,$AC:$AC,Sheet1!S71_A5CapexCode,$AD:$AD)</f>
        <v>0</v>
      </c>
      <c r="I46" s="718" cm="1">
        <f t="array" ref="I46">SUMIFS(Sheet1!S71_PreAuditActual,Sheet1!S71_A2Code,_xlfn.SINGLE($AC:$AC),Sheet1!S71_A5CapexCode,_xlfn.SINGLE($AD:$AD))</f>
        <v>0</v>
      </c>
      <c r="J46" s="725">
        <f>SUMIFS(Sheet1!S71_ASBudgetAmount,Sheet1!S71_A2Code,$AC:$AC,Sheet1!S71_A5CapexCode,$AD:$AD)</f>
        <v>0</v>
      </c>
      <c r="K46" s="712">
        <f>SUMIFS(Sheet1!S71_OY1BudgetAmount,Sheet1!S71_A2Code,$AC:$AC,Sheet1!S71_A5CapexCode,$AD:$AD)</f>
        <v>0</v>
      </c>
      <c r="L46" s="713">
        <f>SUMIFS(Sheet1!S71_OY2BudgetAmount,Sheet1!S71_A2Code,$AC:$AC,Sheet1!S71_A5CapexCode,$AD:$AD)</f>
        <v>0</v>
      </c>
      <c r="M46" s="322"/>
      <c r="Q46" s="2226"/>
      <c r="R46" s="2227"/>
      <c r="AC46" s="2319" t="s">
        <v>2071</v>
      </c>
      <c r="AD46" s="2318" t="s">
        <v>2805</v>
      </c>
    </row>
    <row r="47" spans="1:30" ht="11.25" customHeight="1" x14ac:dyDescent="0.25">
      <c r="A47" s="225" t="s">
        <v>122</v>
      </c>
      <c r="B47" s="144"/>
      <c r="C47" s="98">
        <f>SUM(C48:C52)</f>
        <v>7284539</v>
      </c>
      <c r="D47" s="98">
        <f t="shared" ref="D47:L47" si="5">SUM(D48:D52)</f>
        <v>6454770</v>
      </c>
      <c r="E47" s="99">
        <f t="shared" si="5"/>
        <v>9953437</v>
      </c>
      <c r="F47" s="100">
        <f t="shared" si="5"/>
        <v>9528984</v>
      </c>
      <c r="G47" s="98">
        <f t="shared" si="5"/>
        <v>13938533</v>
      </c>
      <c r="H47" s="101">
        <f t="shared" si="5"/>
        <v>13938533</v>
      </c>
      <c r="I47" s="100">
        <f t="shared" si="5"/>
        <v>15984754</v>
      </c>
      <c r="J47" s="102">
        <f t="shared" si="5"/>
        <v>16125575</v>
      </c>
      <c r="K47" s="98">
        <f t="shared" si="5"/>
        <v>3000000</v>
      </c>
      <c r="L47" s="292">
        <f t="shared" si="5"/>
        <v>3200000</v>
      </c>
      <c r="M47" s="322"/>
      <c r="Q47" s="2226"/>
      <c r="R47" s="2227"/>
      <c r="AC47" s="2319"/>
      <c r="AD47" s="2315"/>
    </row>
    <row r="48" spans="1:30" ht="11.25" customHeight="1" x14ac:dyDescent="0.25">
      <c r="A48" s="226" t="s">
        <v>123</v>
      </c>
      <c r="B48" s="144"/>
      <c r="C48" s="712">
        <f>SUMIFS(Sheet1!S71_PPPYearAmount,Sheet1!S71_A2Code,$AC:$AC,Sheet1!S71_A5CapexCode,$AD:$AD)</f>
        <v>7284539</v>
      </c>
      <c r="D48" s="712">
        <f>SUMIFS(Sheet1!S71_PPYearAmount,Sheet1!S71_A2Code,$AC:$AC,Sheet1!S71_A5CapexCode,$AD:$AD)</f>
        <v>6454770</v>
      </c>
      <c r="E48" s="717">
        <f>SUMIFS(Sheet1!S71_PYearAmount,Sheet1!S71_A2Code,$AC:$AC,Sheet1!S71_A5CapexCode,$AD:$AD)</f>
        <v>9953437</v>
      </c>
      <c r="F48" s="718">
        <f>SUMIFS(Sheet1!S71_OriginalBudAmnt,Sheet1!S71_A2Code,$AC:$AC,Sheet1!S71_A5CapexCode,$AD:$AD)</f>
        <v>9528984</v>
      </c>
      <c r="G48" s="712">
        <f>SUMIFS(Sheet1!S71_AdjustmentBudAmnt,Sheet1!S71_A2Code,$AC:$AC,Sheet1!S71_A5CapexCode,$AD:$AD)</f>
        <v>13938533</v>
      </c>
      <c r="H48" s="719">
        <f>SUMIFS(Sheet1!S71_AdjustmentBudAmnt,Sheet1!S71_A2Code,$AC:$AC,Sheet1!S71_A5CapexCode,$AD:$AD)</f>
        <v>13938533</v>
      </c>
      <c r="I48" s="718" cm="1">
        <f t="array" ref="I48">SUMIFS(Sheet1!S71_PreAuditActual,Sheet1!S71_A2Code,_xlfn.SINGLE($AC:$AC),Sheet1!S71_A5CapexCode,_xlfn.SINGLE($AD:$AD))</f>
        <v>15984754</v>
      </c>
      <c r="J48" s="725">
        <f>SUMIFS(Sheet1!S71_ASBudgetAmount,Sheet1!S71_A2Code,$AC:$AC,Sheet1!S71_A5CapexCode,$AD:$AD)</f>
        <v>2964575</v>
      </c>
      <c r="K48" s="712">
        <f>SUMIFS(Sheet1!S71_OY1BudgetAmount,Sheet1!S71_A2Code,$AC:$AC,Sheet1!S71_A5CapexCode,$AD:$AD)</f>
        <v>3000000</v>
      </c>
      <c r="L48" s="713">
        <f>SUMIFS(Sheet1!S71_OY2BudgetAmount,Sheet1!S71_A2Code,$AC:$AC,Sheet1!S71_A5CapexCode,$AD:$AD)</f>
        <v>3200000</v>
      </c>
      <c r="M48" s="322"/>
      <c r="Q48" s="2226"/>
      <c r="R48" s="2227"/>
      <c r="AC48" s="2319" t="s">
        <v>2704</v>
      </c>
      <c r="AD48" s="2318" t="s">
        <v>2805</v>
      </c>
    </row>
    <row r="49" spans="1:30" ht="11.25" customHeight="1" x14ac:dyDescent="0.25">
      <c r="A49" s="226" t="s">
        <v>124</v>
      </c>
      <c r="B49" s="144"/>
      <c r="C49" s="712">
        <f>SUMIFS(Sheet1!S71_PPPYearAmount,Sheet1!S71_A2Code,$AC:$AC,Sheet1!S71_A5CapexCode,$AD:$AD)</f>
        <v>0</v>
      </c>
      <c r="D49" s="712">
        <f>SUMIFS(Sheet1!S71_PPYearAmount,Sheet1!S71_A2Code,$AC:$AC,Sheet1!S71_A5CapexCode,$AD:$AD)</f>
        <v>0</v>
      </c>
      <c r="E49" s="717">
        <f>SUMIFS(Sheet1!S71_PYearAmount,Sheet1!S71_A2Code,$AC:$AC,Sheet1!S71_A5CapexCode,$AD:$AD)</f>
        <v>0</v>
      </c>
      <c r="F49" s="718">
        <f>SUMIFS(Sheet1!S71_OriginalBudAmnt,Sheet1!S71_A2Code,$AC:$AC,Sheet1!S71_A5CapexCode,$AD:$AD)</f>
        <v>0</v>
      </c>
      <c r="G49" s="712">
        <f>SUMIFS(Sheet1!S71_AdjustmentBudAmnt,Sheet1!S71_A2Code,$AC:$AC,Sheet1!S71_A5CapexCode,$AD:$AD)</f>
        <v>0</v>
      </c>
      <c r="H49" s="719">
        <f>SUMIFS(Sheet1!S71_AdjustmentBudAmnt,Sheet1!S71_A2Code,$AC:$AC,Sheet1!S71_A5CapexCode,$AD:$AD)</f>
        <v>0</v>
      </c>
      <c r="I49" s="718" cm="1">
        <f t="array" ref="I49">SUMIFS(Sheet1!S71_PreAuditActual,Sheet1!S71_A2Code,_xlfn.SINGLE($AC:$AC),Sheet1!S71_A5CapexCode,_xlfn.SINGLE($AD:$AD))</f>
        <v>0</v>
      </c>
      <c r="J49" s="725">
        <f>SUMIFS(Sheet1!S71_ASBudgetAmount,Sheet1!S71_A2Code,$AC:$AC,Sheet1!S71_A5CapexCode,$AD:$AD)</f>
        <v>13161000</v>
      </c>
      <c r="K49" s="712">
        <f>SUMIFS(Sheet1!S71_OY1BudgetAmount,Sheet1!S71_A2Code,$AC:$AC,Sheet1!S71_A5CapexCode,$AD:$AD)</f>
        <v>0</v>
      </c>
      <c r="L49" s="713">
        <f>SUMIFS(Sheet1!S71_OY2BudgetAmount,Sheet1!S71_A2Code,$AC:$AC,Sheet1!S71_A5CapexCode,$AD:$AD)</f>
        <v>0</v>
      </c>
      <c r="M49" s="322"/>
      <c r="Q49" s="2226"/>
      <c r="R49" s="2227"/>
      <c r="AC49" s="2319" t="s">
        <v>2705</v>
      </c>
      <c r="AD49" s="2318" t="s">
        <v>2805</v>
      </c>
    </row>
    <row r="50" spans="1:30" ht="11.25" customHeight="1" x14ac:dyDescent="0.25">
      <c r="A50" s="226" t="s">
        <v>125</v>
      </c>
      <c r="B50" s="144"/>
      <c r="C50" s="712">
        <f>SUMIFS(Sheet1!S71_PPPYearAmount,Sheet1!S71_A2Code,$AC:$AC,Sheet1!S71_A5CapexCode,$AD:$AD)</f>
        <v>0</v>
      </c>
      <c r="D50" s="712">
        <f>SUMIFS(Sheet1!S71_PPYearAmount,Sheet1!S71_A2Code,$AC:$AC,Sheet1!S71_A5CapexCode,$AD:$AD)</f>
        <v>0</v>
      </c>
      <c r="E50" s="717">
        <f>SUMIFS(Sheet1!S71_PYearAmount,Sheet1!S71_A2Code,$AC:$AC,Sheet1!S71_A5CapexCode,$AD:$AD)</f>
        <v>0</v>
      </c>
      <c r="F50" s="718">
        <f>SUMIFS(Sheet1!S71_OriginalBudAmnt,Sheet1!S71_A2Code,$AC:$AC,Sheet1!S71_A5CapexCode,$AD:$AD)</f>
        <v>0</v>
      </c>
      <c r="G50" s="712">
        <f>SUMIFS(Sheet1!S71_AdjustmentBudAmnt,Sheet1!S71_A2Code,$AC:$AC,Sheet1!S71_A5CapexCode,$AD:$AD)</f>
        <v>0</v>
      </c>
      <c r="H50" s="719">
        <f>SUMIFS(Sheet1!S71_AdjustmentBudAmnt,Sheet1!S71_A2Code,$AC:$AC,Sheet1!S71_A5CapexCode,$AD:$AD)</f>
        <v>0</v>
      </c>
      <c r="I50" s="718" cm="1">
        <f t="array" ref="I50">SUMIFS(Sheet1!S71_PreAuditActual,Sheet1!S71_A2Code,_xlfn.SINGLE($AC:$AC),Sheet1!S71_A5CapexCode,_xlfn.SINGLE($AD:$AD))</f>
        <v>0</v>
      </c>
      <c r="J50" s="725">
        <f>SUMIFS(Sheet1!S71_ASBudgetAmount,Sheet1!S71_A2Code,$AC:$AC,Sheet1!S71_A5CapexCode,$AD:$AD)</f>
        <v>0</v>
      </c>
      <c r="K50" s="712">
        <f>SUMIFS(Sheet1!S71_OY1BudgetAmount,Sheet1!S71_A2Code,$AC:$AC,Sheet1!S71_A5CapexCode,$AD:$AD)</f>
        <v>0</v>
      </c>
      <c r="L50" s="713">
        <f>SUMIFS(Sheet1!S71_OY2BudgetAmount,Sheet1!S71_A2Code,$AC:$AC,Sheet1!S71_A5CapexCode,$AD:$AD)</f>
        <v>0</v>
      </c>
      <c r="M50" s="322"/>
      <c r="Q50" s="2226"/>
      <c r="R50" s="2227"/>
      <c r="AC50" s="2319" t="s">
        <v>2706</v>
      </c>
      <c r="AD50" s="2318" t="s">
        <v>2805</v>
      </c>
    </row>
    <row r="51" spans="1:30" ht="11.25" customHeight="1" x14ac:dyDescent="0.25">
      <c r="A51" s="226" t="s">
        <v>1487</v>
      </c>
      <c r="B51" s="144"/>
      <c r="C51" s="712">
        <f>SUMIFS(Sheet1!S71_PPPYearAmount,Sheet1!S71_A2Code,$AC:$AC,Sheet1!S71_A5CapexCode,$AD:$AD)</f>
        <v>0</v>
      </c>
      <c r="D51" s="712">
        <f>SUMIFS(Sheet1!S71_PPYearAmount,Sheet1!S71_A2Code,$AC:$AC,Sheet1!S71_A5CapexCode,$AD:$AD)</f>
        <v>0</v>
      </c>
      <c r="E51" s="717">
        <f>SUMIFS(Sheet1!S71_PYearAmount,Sheet1!S71_A2Code,$AC:$AC,Sheet1!S71_A5CapexCode,$AD:$AD)</f>
        <v>0</v>
      </c>
      <c r="F51" s="718">
        <f>SUMIFS(Sheet1!S71_OriginalBudAmnt,Sheet1!S71_A2Code,$AC:$AC,Sheet1!S71_A5CapexCode,$AD:$AD)</f>
        <v>0</v>
      </c>
      <c r="G51" s="712">
        <f>SUMIFS(Sheet1!S71_AdjustmentBudAmnt,Sheet1!S71_A2Code,$AC:$AC,Sheet1!S71_A5CapexCode,$AD:$AD)</f>
        <v>0</v>
      </c>
      <c r="H51" s="719">
        <f>SUMIFS(Sheet1!S71_AdjustmentBudAmnt,Sheet1!S71_A2Code,$AC:$AC,Sheet1!S71_A5CapexCode,$AD:$AD)</f>
        <v>0</v>
      </c>
      <c r="I51" s="718" cm="1">
        <f t="array" ref="I51">SUMIFS(Sheet1!S71_PreAuditActual,Sheet1!S71_A2Code,_xlfn.SINGLE($AC:$AC),Sheet1!S71_A5CapexCode,_xlfn.SINGLE($AD:$AD))</f>
        <v>0</v>
      </c>
      <c r="J51" s="725">
        <f>SUMIFS(Sheet1!S71_ASBudgetAmount,Sheet1!S71_A2Code,$AC:$AC,Sheet1!S71_A5CapexCode,$AD:$AD)</f>
        <v>0</v>
      </c>
      <c r="K51" s="712">
        <f>SUMIFS(Sheet1!S71_OY1BudgetAmount,Sheet1!S71_A2Code,$AC:$AC,Sheet1!S71_A5CapexCode,$AD:$AD)</f>
        <v>0</v>
      </c>
      <c r="L51" s="713">
        <f>SUMIFS(Sheet1!S71_OY2BudgetAmount,Sheet1!S71_A2Code,$AC:$AC,Sheet1!S71_A5CapexCode,$AD:$AD)</f>
        <v>0</v>
      </c>
      <c r="M51" s="322"/>
      <c r="Q51" s="2226"/>
      <c r="R51" s="2227"/>
      <c r="AC51" s="2319" t="s">
        <v>2707</v>
      </c>
      <c r="AD51" s="2318" t="s">
        <v>2805</v>
      </c>
    </row>
    <row r="52" spans="1:30" ht="11.25" customHeight="1" x14ac:dyDescent="0.25">
      <c r="A52" s="226" t="s">
        <v>1551</v>
      </c>
      <c r="B52" s="144"/>
      <c r="C52" s="712">
        <f>SUMIFS(Sheet1!S71_PPPYearAmount,Sheet1!S71_A2Code,$AC:$AC,Sheet1!S71_A5CapexCode,$AD:$AD)</f>
        <v>0</v>
      </c>
      <c r="D52" s="712">
        <f>SUMIFS(Sheet1!S71_PPYearAmount,Sheet1!S71_A2Code,$AC:$AC,Sheet1!S71_A5CapexCode,$AD:$AD)</f>
        <v>0</v>
      </c>
      <c r="E52" s="717">
        <f>SUMIFS(Sheet1!S71_PYearAmount,Sheet1!S71_A2Code,$AC:$AC,Sheet1!S71_A5CapexCode,$AD:$AD)</f>
        <v>0</v>
      </c>
      <c r="F52" s="718">
        <f>SUMIFS(Sheet1!S71_OriginalBudAmnt,Sheet1!S71_A2Code,$AC:$AC,Sheet1!S71_A5CapexCode,$AD:$AD)</f>
        <v>0</v>
      </c>
      <c r="G52" s="712">
        <f>SUMIFS(Sheet1!S71_AdjustmentBudAmnt,Sheet1!S71_A2Code,$AC:$AC,Sheet1!S71_A5CapexCode,$AD:$AD)</f>
        <v>0</v>
      </c>
      <c r="H52" s="719">
        <f>SUMIFS(Sheet1!S71_AdjustmentBudAmnt,Sheet1!S71_A2Code,$AC:$AC,Sheet1!S71_A5CapexCode,$AD:$AD)</f>
        <v>0</v>
      </c>
      <c r="I52" s="718" cm="1">
        <f t="array" ref="I52">SUMIFS(Sheet1!S71_PreAuditActual,Sheet1!S71_A2Code,_xlfn.SINGLE($AC:$AC),Sheet1!S71_A5CapexCode,_xlfn.SINGLE($AD:$AD))</f>
        <v>0</v>
      </c>
      <c r="J52" s="725">
        <f>SUMIFS(Sheet1!S71_ASBudgetAmount,Sheet1!S71_A2Code,$AC:$AC,Sheet1!S71_A5CapexCode,$AD:$AD)</f>
        <v>0</v>
      </c>
      <c r="K52" s="712">
        <f>SUMIFS(Sheet1!S71_OY1BudgetAmount,Sheet1!S71_A2Code,$AC:$AC,Sheet1!S71_A5CapexCode,$AD:$AD)</f>
        <v>0</v>
      </c>
      <c r="L52" s="713">
        <f>SUMIFS(Sheet1!S71_OY2BudgetAmount,Sheet1!S71_A2Code,$AC:$AC,Sheet1!S71_A5CapexCode,$AD:$AD)</f>
        <v>0</v>
      </c>
      <c r="M52" s="322"/>
      <c r="Q52" s="2226"/>
      <c r="R52" s="2227"/>
      <c r="AC52" s="2319" t="s">
        <v>2708</v>
      </c>
      <c r="AD52" s="2318" t="s">
        <v>2805</v>
      </c>
    </row>
    <row r="53" spans="1:30" ht="11.25" customHeight="1" x14ac:dyDescent="0.25">
      <c r="A53" s="225" t="s">
        <v>126</v>
      </c>
      <c r="B53" s="97"/>
      <c r="C53" s="98">
        <f>SUM(C54:C56)</f>
        <v>130181459</v>
      </c>
      <c r="D53" s="98">
        <f t="shared" ref="D53:L53" si="6">SUM(D54:D56)</f>
        <v>156360438</v>
      </c>
      <c r="E53" s="99">
        <f t="shared" si="6"/>
        <v>170123651</v>
      </c>
      <c r="F53" s="100">
        <f t="shared" si="6"/>
        <v>9467783</v>
      </c>
      <c r="G53" s="98">
        <f t="shared" si="6"/>
        <v>26602004</v>
      </c>
      <c r="H53" s="101">
        <f t="shared" si="6"/>
        <v>26602004</v>
      </c>
      <c r="I53" s="100">
        <f t="shared" si="6"/>
        <v>191566274</v>
      </c>
      <c r="J53" s="102">
        <f t="shared" si="6"/>
        <v>14590425</v>
      </c>
      <c r="K53" s="98">
        <f t="shared" si="6"/>
        <v>0</v>
      </c>
      <c r="L53" s="292">
        <f t="shared" si="6"/>
        <v>0</v>
      </c>
      <c r="M53" s="322"/>
      <c r="Q53" s="2226"/>
      <c r="R53" s="2227"/>
      <c r="AC53" s="2319"/>
      <c r="AD53" s="2315"/>
    </row>
    <row r="54" spans="1:30" ht="11.25" customHeight="1" x14ac:dyDescent="0.25">
      <c r="A54" s="226" t="s">
        <v>127</v>
      </c>
      <c r="B54" s="144"/>
      <c r="C54" s="712">
        <f>SUMIFS(Sheet1!S71_PPPYearAmount,Sheet1!S71_A2Code,$AC:$AC,Sheet1!S71_A5CapexCode,$AD:$AD)</f>
        <v>75339699</v>
      </c>
      <c r="D54" s="712">
        <f>SUMIFS(Sheet1!S71_PPYearAmount,Sheet1!S71_A2Code,$AC:$AC,Sheet1!S71_A5CapexCode,$AD:$AD)</f>
        <v>90719296</v>
      </c>
      <c r="E54" s="717">
        <f>SUMIFS(Sheet1!S71_PYearAmount,Sheet1!S71_A2Code,$AC:$AC,Sheet1!S71_A5CapexCode,$AD:$AD)</f>
        <v>96606302</v>
      </c>
      <c r="F54" s="718">
        <f>SUMIFS(Sheet1!S71_OriginalBudAmnt,Sheet1!S71_A2Code,$AC:$AC,Sheet1!S71_A5CapexCode,$AD:$AD)</f>
        <v>0</v>
      </c>
      <c r="G54" s="712">
        <f>SUMIFS(Sheet1!S71_AdjustmentBudAmnt,Sheet1!S71_A2Code,$AC:$AC,Sheet1!S71_A5CapexCode,$AD:$AD)</f>
        <v>0</v>
      </c>
      <c r="H54" s="719">
        <f>SUMIFS(Sheet1!S71_AdjustmentBudAmnt,Sheet1!S71_A2Code,$AC:$AC,Sheet1!S71_A5CapexCode,$AD:$AD)</f>
        <v>0</v>
      </c>
      <c r="I54" s="718" cm="1">
        <f t="array" ref="I54">SUMIFS(Sheet1!S71_PreAuditActual,Sheet1!S71_A2Code,_xlfn.SINGLE($AC:$AC),Sheet1!S71_A5CapexCode,_xlfn.SINGLE($AD:$AD))</f>
        <v>96606302</v>
      </c>
      <c r="J54" s="725">
        <f>SUMIFS(Sheet1!S71_ASBudgetAmount,Sheet1!S71_A2Code,$AC:$AC,Sheet1!S71_A5CapexCode,$AD:$AD)</f>
        <v>0</v>
      </c>
      <c r="K54" s="712">
        <f>SUMIFS(Sheet1!S71_OY1BudgetAmount,Sheet1!S71_A2Code,$AC:$AC,Sheet1!S71_A5CapexCode,$AD:$AD)</f>
        <v>0</v>
      </c>
      <c r="L54" s="713">
        <f>SUMIFS(Sheet1!S71_OY2BudgetAmount,Sheet1!S71_A2Code,$AC:$AC,Sheet1!S71_A5CapexCode,$AD:$AD)</f>
        <v>0</v>
      </c>
      <c r="M54" s="322"/>
      <c r="Q54" s="2226"/>
      <c r="R54" s="2227"/>
      <c r="AC54" s="2319" t="s">
        <v>2808</v>
      </c>
      <c r="AD54" s="2318" t="s">
        <v>2805</v>
      </c>
    </row>
    <row r="55" spans="1:30" ht="11.25" customHeight="1" x14ac:dyDescent="0.25">
      <c r="A55" s="226" t="s">
        <v>128</v>
      </c>
      <c r="B55" s="144"/>
      <c r="C55" s="712">
        <f>SUMIFS(Sheet1!S71_PPPYearAmount,Sheet1!S71_A2Code,$AC:$AC,Sheet1!S71_A5CapexCode,$AD:$AD)</f>
        <v>54841760</v>
      </c>
      <c r="D55" s="712">
        <f>SUMIFS(Sheet1!S71_PPYearAmount,Sheet1!S71_A2Code,$AC:$AC,Sheet1!S71_A5CapexCode,$AD:$AD)</f>
        <v>65641142</v>
      </c>
      <c r="E55" s="717">
        <f>SUMIFS(Sheet1!S71_PYearAmount,Sheet1!S71_A2Code,$AC:$AC,Sheet1!S71_A5CapexCode,$AD:$AD)</f>
        <v>73517349</v>
      </c>
      <c r="F55" s="718">
        <f>SUMIFS(Sheet1!S71_OriginalBudAmnt,Sheet1!S71_A2Code,$AC:$AC,Sheet1!S71_A5CapexCode,$AD:$AD)</f>
        <v>9467783</v>
      </c>
      <c r="G55" s="712">
        <f>SUMIFS(Sheet1!S71_AdjustmentBudAmnt,Sheet1!S71_A2Code,$AC:$AC,Sheet1!S71_A5CapexCode,$AD:$AD)</f>
        <v>26602004</v>
      </c>
      <c r="H55" s="719">
        <f>SUMIFS(Sheet1!S71_AdjustmentBudAmnt,Sheet1!S71_A2Code,$AC:$AC,Sheet1!S71_A5CapexCode,$AD:$AD)</f>
        <v>26602004</v>
      </c>
      <c r="I55" s="718" cm="1">
        <f t="array" ref="I55">SUMIFS(Sheet1!S71_PreAuditActual,Sheet1!S71_A2Code,_xlfn.SINGLE($AC:$AC),Sheet1!S71_A5CapexCode,_xlfn.SINGLE($AD:$AD))</f>
        <v>94959972</v>
      </c>
      <c r="J55" s="725">
        <f>SUMIFS(Sheet1!S71_ASBudgetAmount,Sheet1!S71_A2Code,$AC:$AC,Sheet1!S71_A5CapexCode,$AD:$AD)</f>
        <v>14590425</v>
      </c>
      <c r="K55" s="712">
        <f>SUMIFS(Sheet1!S71_OY1BudgetAmount,Sheet1!S71_A2Code,$AC:$AC,Sheet1!S71_A5CapexCode,$AD:$AD)</f>
        <v>0</v>
      </c>
      <c r="L55" s="713">
        <f>SUMIFS(Sheet1!S71_OY2BudgetAmount,Sheet1!S71_A2Code,$AC:$AC,Sheet1!S71_A5CapexCode,$AD:$AD)</f>
        <v>0</v>
      </c>
      <c r="M55" s="322"/>
      <c r="Q55" s="2226"/>
      <c r="R55" s="2227"/>
      <c r="AC55" s="2319" t="s">
        <v>2809</v>
      </c>
      <c r="AD55" s="2318" t="s">
        <v>2805</v>
      </c>
    </row>
    <row r="56" spans="1:30" ht="11.25" customHeight="1" x14ac:dyDescent="0.25">
      <c r="A56" s="226" t="s">
        <v>129</v>
      </c>
      <c r="B56" s="144"/>
      <c r="C56" s="712">
        <f>SUMIFS(Sheet1!S71_PPPYearAmount,Sheet1!S71_A2Code,$AC:$AC,Sheet1!S71_A5CapexCode,$AD:$AD)</f>
        <v>0</v>
      </c>
      <c r="D56" s="712">
        <f>SUMIFS(Sheet1!S71_PPYearAmount,Sheet1!S71_A2Code,$AC:$AC,Sheet1!S71_A5CapexCode,$AD:$AD)</f>
        <v>0</v>
      </c>
      <c r="E56" s="717">
        <f>SUMIFS(Sheet1!S71_PYearAmount,Sheet1!S71_A2Code,$AC:$AC,Sheet1!S71_A5CapexCode,$AD:$AD)</f>
        <v>0</v>
      </c>
      <c r="F56" s="718">
        <f>SUMIFS(Sheet1!S71_OriginalBudAmnt,Sheet1!S71_A2Code,$AC:$AC,Sheet1!S71_A5CapexCode,$AD:$AD)</f>
        <v>0</v>
      </c>
      <c r="G56" s="712">
        <f>SUMIFS(Sheet1!S71_AdjustmentBudAmnt,Sheet1!S71_A2Code,$AC:$AC,Sheet1!S71_A5CapexCode,$AD:$AD)</f>
        <v>0</v>
      </c>
      <c r="H56" s="719">
        <f>SUMIFS(Sheet1!S71_AdjustmentBudAmnt,Sheet1!S71_A2Code,$AC:$AC,Sheet1!S71_A5CapexCode,$AD:$AD)</f>
        <v>0</v>
      </c>
      <c r="I56" s="718" cm="1">
        <f t="array" ref="I56">SUMIFS(Sheet1!S71_PreAuditActual,Sheet1!S71_A2Code,_xlfn.SINGLE($AC:$AC),Sheet1!S71_A5CapexCode,_xlfn.SINGLE($AD:$AD))</f>
        <v>0</v>
      </c>
      <c r="J56" s="725">
        <f>SUMIFS(Sheet1!S71_ASBudgetAmount,Sheet1!S71_A2Code,$AC:$AC,Sheet1!S71_A5CapexCode,$AD:$AD)</f>
        <v>0</v>
      </c>
      <c r="K56" s="712">
        <f>SUMIFS(Sheet1!S71_OY1BudgetAmount,Sheet1!S71_A2Code,$AC:$AC,Sheet1!S71_A5CapexCode,$AD:$AD)</f>
        <v>0</v>
      </c>
      <c r="L56" s="713">
        <f>SUMIFS(Sheet1!S71_OY2BudgetAmount,Sheet1!S71_A2Code,$AC:$AC,Sheet1!S71_A5CapexCode,$AD:$AD)</f>
        <v>0</v>
      </c>
      <c r="M56" s="322"/>
      <c r="Q56" s="2226"/>
      <c r="R56" s="2227"/>
      <c r="AC56" s="2319" t="s">
        <v>2714</v>
      </c>
      <c r="AD56" s="2318" t="s">
        <v>2805</v>
      </c>
    </row>
    <row r="57" spans="1:30" ht="11.25" customHeight="1" x14ac:dyDescent="0.25">
      <c r="A57" s="225" t="s">
        <v>130</v>
      </c>
      <c r="B57" s="97"/>
      <c r="C57" s="98">
        <f>SUM(C58:C61)</f>
        <v>0</v>
      </c>
      <c r="D57" s="98">
        <f t="shared" ref="D57:L57" si="7">SUM(D58:D61)</f>
        <v>0</v>
      </c>
      <c r="E57" s="99">
        <f t="shared" si="7"/>
        <v>0</v>
      </c>
      <c r="F57" s="100">
        <f t="shared" si="7"/>
        <v>0</v>
      </c>
      <c r="G57" s="98">
        <f t="shared" si="7"/>
        <v>0</v>
      </c>
      <c r="H57" s="101">
        <f t="shared" si="7"/>
        <v>0</v>
      </c>
      <c r="I57" s="100">
        <f t="shared" si="7"/>
        <v>0</v>
      </c>
      <c r="J57" s="102">
        <f t="shared" si="7"/>
        <v>0</v>
      </c>
      <c r="K57" s="98">
        <f t="shared" si="7"/>
        <v>0</v>
      </c>
      <c r="L57" s="292">
        <f t="shared" si="7"/>
        <v>0</v>
      </c>
      <c r="M57" s="322"/>
      <c r="Q57" s="2226"/>
      <c r="R57" s="2227"/>
      <c r="AC57" s="2319"/>
      <c r="AD57" s="2318" t="s">
        <v>2805</v>
      </c>
    </row>
    <row r="58" spans="1:30" ht="11.25" customHeight="1" x14ac:dyDescent="0.25">
      <c r="A58" s="226" t="s">
        <v>2365</v>
      </c>
      <c r="B58" s="144"/>
      <c r="C58" s="712">
        <f>SUMIFS(Sheet1!S71_PPPYearAmount,Sheet1!S71_A2Code,$AC:$AC,Sheet1!S71_A5CapexCode,$AD:$AD)</f>
        <v>0</v>
      </c>
      <c r="D58" s="712">
        <f>SUMIFS(Sheet1!S71_PPYearAmount,Sheet1!S71_A2Code,$AC:$AC,Sheet1!S71_A5CapexCode,$AD:$AD)</f>
        <v>0</v>
      </c>
      <c r="E58" s="717">
        <f>SUMIFS(Sheet1!S71_PYearAmount,Sheet1!S71_A2Code,$AC:$AC,Sheet1!S71_A5CapexCode,$AD:$AD)</f>
        <v>0</v>
      </c>
      <c r="F58" s="718">
        <f>SUMIFS(Sheet1!S71_OriginalBudAmnt,Sheet1!S71_A2Code,$AC:$AC,Sheet1!S71_A5CapexCode,$AD:$AD)</f>
        <v>0</v>
      </c>
      <c r="G58" s="712">
        <f>SUMIFS(Sheet1!S71_AdjustmentBudAmnt,Sheet1!S71_A2Code,$AC:$AC,Sheet1!S71_A5CapexCode,$AD:$AD)</f>
        <v>0</v>
      </c>
      <c r="H58" s="719">
        <f>SUMIFS(Sheet1!S71_AdjustmentBudAmnt,Sheet1!S71_A2Code,$AC:$AC,Sheet1!S71_A5CapexCode,$AD:$AD)</f>
        <v>0</v>
      </c>
      <c r="I58" s="718" cm="1">
        <f t="array" ref="I58">SUMIFS(Sheet1!S71_PreAuditActual,Sheet1!S71_A2Code,_xlfn.SINGLE($AC:$AC),Sheet1!S71_A5CapexCode,_xlfn.SINGLE($AD:$AD))</f>
        <v>0</v>
      </c>
      <c r="J58" s="725">
        <f>SUMIFS(Sheet1!S71_ASBudgetAmount,Sheet1!S71_A2Code,$AC:$AC,Sheet1!S71_A5CapexCode,$AD:$AD)</f>
        <v>0</v>
      </c>
      <c r="K58" s="712">
        <f>SUMIFS(Sheet1!S71_OY1BudgetAmount,Sheet1!S71_A2Code,$AC:$AC,Sheet1!S71_A5CapexCode,$AD:$AD)</f>
        <v>0</v>
      </c>
      <c r="L58" s="713">
        <f>SUMIFS(Sheet1!S71_OY2BudgetAmount,Sheet1!S71_A2Code,$AC:$AC,Sheet1!S71_A5CapexCode,$AD:$AD)</f>
        <v>0</v>
      </c>
      <c r="M58" s="322"/>
      <c r="Q58" s="2226"/>
      <c r="R58" s="2227"/>
      <c r="AC58" s="2319" t="s">
        <v>2719</v>
      </c>
      <c r="AD58" s="2318" t="s">
        <v>2805</v>
      </c>
    </row>
    <row r="59" spans="1:30" ht="11.25" customHeight="1" x14ac:dyDescent="0.25">
      <c r="A59" s="226" t="s">
        <v>2366</v>
      </c>
      <c r="B59" s="144"/>
      <c r="C59" s="712">
        <f>SUMIFS(Sheet1!S71_PPPYearAmount,Sheet1!S71_A2Code,$AC:$AC,Sheet1!S71_A5CapexCode,$AD:$AD)</f>
        <v>0</v>
      </c>
      <c r="D59" s="712">
        <f>SUMIFS(Sheet1!S71_PPYearAmount,Sheet1!S71_A2Code,$AC:$AC,Sheet1!S71_A5CapexCode,$AD:$AD)</f>
        <v>0</v>
      </c>
      <c r="E59" s="717">
        <f>SUMIFS(Sheet1!S71_PYearAmount,Sheet1!S71_A2Code,$AC:$AC,Sheet1!S71_A5CapexCode,$AD:$AD)</f>
        <v>0</v>
      </c>
      <c r="F59" s="718">
        <f>SUMIFS(Sheet1!S71_OriginalBudAmnt,Sheet1!S71_A2Code,$AC:$AC,Sheet1!S71_A5CapexCode,$AD:$AD)</f>
        <v>0</v>
      </c>
      <c r="G59" s="712">
        <f>SUMIFS(Sheet1!S71_AdjustmentBudAmnt,Sheet1!S71_A2Code,$AC:$AC,Sheet1!S71_A5CapexCode,$AD:$AD)</f>
        <v>0</v>
      </c>
      <c r="H59" s="719">
        <f>SUMIFS(Sheet1!S71_AdjustmentBudAmnt,Sheet1!S71_A2Code,$AC:$AC,Sheet1!S71_A5CapexCode,$AD:$AD)</f>
        <v>0</v>
      </c>
      <c r="I59" s="718" cm="1">
        <f t="array" ref="I59">SUMIFS(Sheet1!S71_PreAuditActual,Sheet1!S71_A2Code,_xlfn.SINGLE($AC:$AC),Sheet1!S71_A5CapexCode,_xlfn.SINGLE($AD:$AD))</f>
        <v>0</v>
      </c>
      <c r="J59" s="725">
        <f>SUMIFS(Sheet1!S71_ASBudgetAmount,Sheet1!S71_A2Code,$AC:$AC,Sheet1!S71_A5CapexCode,$AD:$AD)</f>
        <v>0</v>
      </c>
      <c r="K59" s="712">
        <f>SUMIFS(Sheet1!S71_OY1BudgetAmount,Sheet1!S71_A2Code,$AC:$AC,Sheet1!S71_A5CapexCode,$AD:$AD)</f>
        <v>0</v>
      </c>
      <c r="L59" s="713">
        <f>SUMIFS(Sheet1!S71_OY2BudgetAmount,Sheet1!S71_A2Code,$AC:$AC,Sheet1!S71_A5CapexCode,$AD:$AD)</f>
        <v>0</v>
      </c>
      <c r="M59" s="322"/>
      <c r="Q59" s="2226"/>
      <c r="R59" s="2227"/>
      <c r="AC59" s="2319" t="s">
        <v>2810</v>
      </c>
      <c r="AD59" s="2318" t="s">
        <v>2805</v>
      </c>
    </row>
    <row r="60" spans="1:30" ht="11.25" customHeight="1" x14ac:dyDescent="0.25">
      <c r="A60" s="226" t="s">
        <v>987</v>
      </c>
      <c r="B60" s="144"/>
      <c r="C60" s="712">
        <f>SUMIFS(Sheet1!S71_PPPYearAmount,Sheet1!S71_A2Code,$AC:$AC,Sheet1!S71_A5CapexCode,$AD:$AD)</f>
        <v>0</v>
      </c>
      <c r="D60" s="712">
        <f>SUMIFS(Sheet1!S71_PPYearAmount,Sheet1!S71_A2Code,$AC:$AC,Sheet1!S71_A5CapexCode,$AD:$AD)</f>
        <v>0</v>
      </c>
      <c r="E60" s="717">
        <f>SUMIFS(Sheet1!S71_PYearAmount,Sheet1!S71_A2Code,$AC:$AC,Sheet1!S71_A5CapexCode,$AD:$AD)</f>
        <v>0</v>
      </c>
      <c r="F60" s="718">
        <f>SUMIFS(Sheet1!S71_OriginalBudAmnt,Sheet1!S71_A2Code,$AC:$AC,Sheet1!S71_A5CapexCode,$AD:$AD)</f>
        <v>0</v>
      </c>
      <c r="G60" s="712">
        <f>SUMIFS(Sheet1!S71_AdjustmentBudAmnt,Sheet1!S71_A2Code,$AC:$AC,Sheet1!S71_A5CapexCode,$AD:$AD)</f>
        <v>0</v>
      </c>
      <c r="H60" s="719">
        <f>SUMIFS(Sheet1!S71_AdjustmentBudAmnt,Sheet1!S71_A2Code,$AC:$AC,Sheet1!S71_A5CapexCode,$AD:$AD)</f>
        <v>0</v>
      </c>
      <c r="I60" s="718" cm="1">
        <f t="array" ref="I60">SUMIFS(Sheet1!S71_PreAuditActual,Sheet1!S71_A2Code,_xlfn.SINGLE($AC:$AC),Sheet1!S71_A5CapexCode,_xlfn.SINGLE($AD:$AD))</f>
        <v>0</v>
      </c>
      <c r="J60" s="725">
        <f>SUMIFS(Sheet1!S71_ASBudgetAmount,Sheet1!S71_A2Code,$AC:$AC,Sheet1!S71_A5CapexCode,$AD:$AD)</f>
        <v>0</v>
      </c>
      <c r="K60" s="712">
        <f>SUMIFS(Sheet1!S71_OY1BudgetAmount,Sheet1!S71_A2Code,$AC:$AC,Sheet1!S71_A5CapexCode,$AD:$AD)</f>
        <v>0</v>
      </c>
      <c r="L60" s="713">
        <f>SUMIFS(Sheet1!S71_OY2BudgetAmount,Sheet1!S71_A2Code,$AC:$AC,Sheet1!S71_A5CapexCode,$AD:$AD)</f>
        <v>0</v>
      </c>
      <c r="M60" s="322"/>
      <c r="Q60" s="2226"/>
      <c r="R60" s="2227"/>
      <c r="AC60" s="2319" t="s">
        <v>2811</v>
      </c>
      <c r="AD60" s="2318" t="s">
        <v>2805</v>
      </c>
    </row>
    <row r="61" spans="1:30" ht="11.25" customHeight="1" x14ac:dyDescent="0.25">
      <c r="A61" s="226" t="s">
        <v>988</v>
      </c>
      <c r="B61" s="144"/>
      <c r="C61" s="712">
        <f>SUMIFS(Sheet1!S71_PPPYearAmount,Sheet1!S71_A2Code,$AC:$AC,Sheet1!S71_A5CapexCode,$AD:$AD)</f>
        <v>0</v>
      </c>
      <c r="D61" s="712">
        <f>SUMIFS(Sheet1!S71_PPYearAmount,Sheet1!S71_A2Code,$AC:$AC,Sheet1!S71_A5CapexCode,$AD:$AD)</f>
        <v>0</v>
      </c>
      <c r="E61" s="717">
        <f>SUMIFS(Sheet1!S71_PYearAmount,Sheet1!S71_A2Code,$AC:$AC,Sheet1!S71_A5CapexCode,$AD:$AD)</f>
        <v>0</v>
      </c>
      <c r="F61" s="718">
        <f>SUMIFS(Sheet1!S71_OriginalBudAmnt,Sheet1!S71_A2Code,$AC:$AC,Sheet1!S71_A5CapexCode,$AD:$AD)</f>
        <v>0</v>
      </c>
      <c r="G61" s="712">
        <f>SUMIFS(Sheet1!S71_AdjustmentBudAmnt,Sheet1!S71_A2Code,$AC:$AC,Sheet1!S71_A5CapexCode,$AD:$AD)</f>
        <v>0</v>
      </c>
      <c r="H61" s="719">
        <f>SUMIFS(Sheet1!S71_AdjustmentBudAmnt,Sheet1!S71_A2Code,$AC:$AC,Sheet1!S71_A5CapexCode,$AD:$AD)</f>
        <v>0</v>
      </c>
      <c r="I61" s="718" cm="1">
        <f t="array" ref="I61">SUMIFS(Sheet1!S71_PreAuditActual,Sheet1!S71_A2Code,_xlfn.SINGLE($AC:$AC),Sheet1!S71_A5CapexCode,_xlfn.SINGLE($AD:$AD))</f>
        <v>0</v>
      </c>
      <c r="J61" s="725">
        <f>SUMIFS(Sheet1!S71_ASBudgetAmount,Sheet1!S71_A2Code,$AC:$AC,Sheet1!S71_A5CapexCode,$AD:$AD)</f>
        <v>0</v>
      </c>
      <c r="K61" s="712">
        <f>SUMIFS(Sheet1!S71_OY1BudgetAmount,Sheet1!S71_A2Code,$AC:$AC,Sheet1!S71_A5CapexCode,$AD:$AD)</f>
        <v>0</v>
      </c>
      <c r="L61" s="713">
        <f>SUMIFS(Sheet1!S71_OY2BudgetAmount,Sheet1!S71_A2Code,$AC:$AC,Sheet1!S71_A5CapexCode,$AD:$AD)</f>
        <v>0</v>
      </c>
      <c r="M61" s="322"/>
      <c r="Q61" s="2226"/>
      <c r="R61" s="2227"/>
      <c r="AC61" s="2319" t="s">
        <v>2812</v>
      </c>
      <c r="AD61" s="2318" t="s">
        <v>2805</v>
      </c>
    </row>
    <row r="62" spans="1:30" ht="11.25" customHeight="1" x14ac:dyDescent="0.25">
      <c r="A62" s="225" t="s">
        <v>245</v>
      </c>
      <c r="B62" s="97"/>
      <c r="C62" s="712">
        <f>SUMIFS(Sheet1!S71_PPPYearAmount,Sheet1!S71_A2Code,$AC:$AC,Sheet1!S71_A5CapexCode,$AD:$AD)</f>
        <v>0</v>
      </c>
      <c r="D62" s="712">
        <f>SUMIFS(Sheet1!S71_PPYearAmount,Sheet1!S71_A2Code,$AC:$AC,Sheet1!S71_A5CapexCode,$AD:$AD)</f>
        <v>0</v>
      </c>
      <c r="E62" s="717">
        <f>SUMIFS(Sheet1!S71_PYearAmount,Sheet1!S71_A2Code,$AC:$AC,Sheet1!S71_A5CapexCode,$AD:$AD)</f>
        <v>0</v>
      </c>
      <c r="F62" s="718">
        <f>SUMIFS(Sheet1!S71_OriginalBudAmnt,Sheet1!S71_A2Code,$AC:$AC,Sheet1!S71_A5CapexCode,$AD:$AD)</f>
        <v>0</v>
      </c>
      <c r="G62" s="712">
        <f>SUMIFS(Sheet1!S71_AdjustmentBudAmnt,Sheet1!S71_A2Code,$AC:$AC,Sheet1!S71_A5CapexCode,$AD:$AD)</f>
        <v>0</v>
      </c>
      <c r="H62" s="719">
        <f>SUMIFS(Sheet1!S71_AdjustmentBudAmnt,Sheet1!S71_A2Code,$AC:$AC,Sheet1!S71_A5CapexCode,$AD:$AD)</f>
        <v>0</v>
      </c>
      <c r="I62" s="718" cm="1">
        <f t="array" ref="I62">SUMIFS(Sheet1!S71_PreAuditActual,Sheet1!S71_A2Code,_xlfn.SINGLE($AC:$AC),Sheet1!S71_A5CapexCode,_xlfn.SINGLE($AD:$AD))</f>
        <v>0</v>
      </c>
      <c r="J62" s="725">
        <f>SUMIFS(Sheet1!S71_ASBudgetAmount,Sheet1!S71_A2Code,$AC:$AC,Sheet1!S71_A5CapexCode,$AD:$AD)</f>
        <v>0</v>
      </c>
      <c r="K62" s="712">
        <f>SUMIFS(Sheet1!S71_OY1BudgetAmount,Sheet1!S71_A2Code,$AC:$AC,Sheet1!S71_A5CapexCode,$AD:$AD)</f>
        <v>0</v>
      </c>
      <c r="L62" s="713">
        <f>SUMIFS(Sheet1!S71_OY2BudgetAmount,Sheet1!S71_A2Code,$AC:$AC,Sheet1!S71_A5CapexCode,$AD:$AD)</f>
        <v>0</v>
      </c>
      <c r="M62" s="322"/>
      <c r="Q62" s="2226"/>
      <c r="R62" s="2227"/>
      <c r="AC62" s="2319" t="s">
        <v>2813</v>
      </c>
      <c r="AD62" s="2318" t="s">
        <v>2805</v>
      </c>
    </row>
    <row r="63" spans="1:30" ht="13.5" x14ac:dyDescent="0.25">
      <c r="A63" s="2228" t="s">
        <v>2444</v>
      </c>
      <c r="B63" s="751">
        <v>3</v>
      </c>
      <c r="C63" s="119">
        <f>C43+C47+C53+C57+C62</f>
        <v>166194243</v>
      </c>
      <c r="D63" s="119">
        <f t="shared" ref="D63:K63" si="8">D43+D47+D53+D57+D62</f>
        <v>194273798</v>
      </c>
      <c r="E63" s="120">
        <f t="shared" si="8"/>
        <v>213642164</v>
      </c>
      <c r="F63" s="121">
        <f t="shared" si="8"/>
        <v>25696767</v>
      </c>
      <c r="G63" s="119">
        <f t="shared" si="8"/>
        <v>43762488</v>
      </c>
      <c r="H63" s="120">
        <f t="shared" si="8"/>
        <v>43762488</v>
      </c>
      <c r="I63" s="122">
        <f t="shared" si="8"/>
        <v>241516725</v>
      </c>
      <c r="J63" s="121">
        <f t="shared" si="8"/>
        <v>31621000</v>
      </c>
      <c r="K63" s="119">
        <f t="shared" si="8"/>
        <v>3756392</v>
      </c>
      <c r="L63" s="120">
        <f>L43+L47+L53+L57+L62</f>
        <v>3986648</v>
      </c>
      <c r="M63" s="322"/>
      <c r="AC63" s="2319"/>
      <c r="AD63" s="2315"/>
    </row>
    <row r="64" spans="1:30" ht="4.9000000000000004" customHeight="1" x14ac:dyDescent="0.25">
      <c r="A64" s="170"/>
      <c r="B64" s="711"/>
      <c r="C64" s="545"/>
      <c r="D64" s="545"/>
      <c r="E64" s="831"/>
      <c r="F64" s="743"/>
      <c r="G64" s="545"/>
      <c r="H64" s="742"/>
      <c r="I64" s="831"/>
      <c r="J64" s="743"/>
      <c r="K64" s="545"/>
      <c r="L64" s="742"/>
      <c r="M64" s="322"/>
      <c r="AC64" s="2319"/>
      <c r="AD64" s="2315"/>
    </row>
    <row r="65" spans="1:30" ht="11.25" customHeight="1" x14ac:dyDescent="0.25">
      <c r="A65" s="158" t="s">
        <v>422</v>
      </c>
      <c r="B65" s="711"/>
      <c r="C65" s="177"/>
      <c r="D65" s="177"/>
      <c r="E65" s="180"/>
      <c r="F65" s="179"/>
      <c r="G65" s="177"/>
      <c r="H65" s="178"/>
      <c r="I65" s="180"/>
      <c r="J65" s="179"/>
      <c r="K65" s="177"/>
      <c r="L65" s="178"/>
      <c r="M65" s="322"/>
      <c r="AC65" s="2319"/>
      <c r="AD65" s="2315"/>
    </row>
    <row r="66" spans="1:30" ht="11.25" customHeight="1" x14ac:dyDescent="0.25">
      <c r="A66" s="499" t="s">
        <v>1355</v>
      </c>
      <c r="B66" s="711"/>
      <c r="C66" s="712">
        <f>SUMIFS(Sheet1!S71_PPPYearAmount,Sheet1!S71_A5GCode,$AC:$AC,Sheet1!S71_A5CapexCode,$AD:$AD)</f>
        <v>96588188</v>
      </c>
      <c r="D66" s="712">
        <f>SUMIFS(Sheet1!S71_PPYearAmount,Sheet1!S71_A5GCode,$AC:$AC,Sheet1!S71_A5CapexCode,$AD:$AD)</f>
        <v>112168084</v>
      </c>
      <c r="E66" s="719">
        <f>SUMIFS(Sheet1!S71_PYearAmount,Sheet1!S71_A5GCode,$AC:$AC,Sheet1!S71_A5CapexCode,$AD:$AD)</f>
        <v>121249308</v>
      </c>
      <c r="F66" s="718">
        <f>SUMIFS(Sheet1!S71_OriginalBudAmnt,Sheet1!S71_A5GCode,$AC:$AC,Sheet1!S71_A5CapexCode,$AD:$AD)</f>
        <v>15996767</v>
      </c>
      <c r="G66" s="712">
        <f>SUMIFS(Sheet1!S71_AdjustmentBudAmnt,Sheet1!S71_A5GCode,$AC:$AC,Sheet1!S71_A5CapexCode,$AD:$AD)</f>
        <v>25800002</v>
      </c>
      <c r="H66" s="717">
        <f>SUMIFS(Sheet1!S71_AdjustmentBudAmnt,Sheet1!S71_A5GCode,$AC:$AC,Sheet1!S71_A5CapexCode,$AD:$AD)</f>
        <v>25800002</v>
      </c>
      <c r="I66" s="719" cm="1">
        <f t="array" ref="I66">SUMIFS(Sheet1!S71_PreAuditActual,Sheet1!S71_A5GCode,_xlfn.SINGLE($AC:$AC),Sheet1!S71_A5CapexCode,_xlfn.SINGLE($AD:$AD))</f>
        <v>135339364</v>
      </c>
      <c r="J66" s="718">
        <f>SUMIFS(Sheet1!S71_ASBudgetAmount,Sheet1!S71_A5GCode,$AC:$AC,Sheet1!S71_A5CapexCode,$AD:$AD)</f>
        <v>24755000</v>
      </c>
      <c r="K66" s="712">
        <v>17781000</v>
      </c>
      <c r="L66" s="717">
        <v>18394000</v>
      </c>
      <c r="M66" s="322"/>
      <c r="AC66" s="2319" t="s">
        <v>2739</v>
      </c>
      <c r="AD66" s="2318" t="s">
        <v>2805</v>
      </c>
    </row>
    <row r="67" spans="1:30" ht="11.25" customHeight="1" x14ac:dyDescent="0.25">
      <c r="A67" s="499" t="s">
        <v>469</v>
      </c>
      <c r="B67" s="711"/>
      <c r="C67" s="712">
        <f>SUMIFS(Sheet1!S71_PPPYearAmount,Sheet1!S71_A5GCode,$AC:$AC,Sheet1!S71_A5CapexCode,$AD:$AD)</f>
        <v>0</v>
      </c>
      <c r="D67" s="712">
        <f>SUMIFS(Sheet1!S71_PPYearAmount,Sheet1!S71_A5GCode,$AC:$AC,Sheet1!S71_A5CapexCode,$AD:$AD)</f>
        <v>0</v>
      </c>
      <c r="E67" s="719">
        <f>SUMIFS(Sheet1!S71_PYearAmount,Sheet1!S71_A5GCode,$AC:$AC,Sheet1!S71_A5CapexCode,$AD:$AD)</f>
        <v>0</v>
      </c>
      <c r="F67" s="718">
        <f>SUMIFS(Sheet1!S71_OriginalBudAmnt,Sheet1!S71_A5GCode,$AC:$AC,Sheet1!S71_A5CapexCode,$AD:$AD)</f>
        <v>0</v>
      </c>
      <c r="G67" s="712">
        <f>SUMIFS(Sheet1!S71_AdjustmentBudAmnt,Sheet1!S71_A5GCode,$AC:$AC,Sheet1!S71_A5CapexCode,$AD:$AD)</f>
        <v>0</v>
      </c>
      <c r="H67" s="717">
        <f>SUMIFS(Sheet1!S71_AdjustmentBudAmnt,Sheet1!S71_A5GCode,$AC:$AC,Sheet1!S71_A5CapexCode,$AD:$AD)</f>
        <v>0</v>
      </c>
      <c r="I67" s="719" cm="1">
        <f t="array" ref="I67">SUMIFS(Sheet1!S71_PreAuditActual,Sheet1!S71_A5GCode,_xlfn.SINGLE($AC:$AC),Sheet1!S71_A5CapexCode,_xlfn.SINGLE($AD:$AD))</f>
        <v>0</v>
      </c>
      <c r="J67" s="718">
        <f>SUMIFS(Sheet1!S71_ASBudgetAmount,Sheet1!S71_A5GCode,$AC:$AC,Sheet1!S71_A5CapexCode,$AD:$AD)</f>
        <v>0</v>
      </c>
      <c r="K67" s="712">
        <f>SUMIFS(Sheet1!S71_OY1BudgetAmount,Sheet1!S71_A5GCode,$AC:$AC,Sheet1!S71_A5CapexCode,$AD:$AD)</f>
        <v>0</v>
      </c>
      <c r="L67" s="717">
        <f>SUMIFS(Sheet1!S71_OY2BudgetAmount,Sheet1!S71_A5GCode,$AC:$AC,Sheet1!S71_A5CapexCode,$AD:$AD)</f>
        <v>0</v>
      </c>
      <c r="M67" s="322"/>
      <c r="AC67" s="2319" t="s">
        <v>2814</v>
      </c>
      <c r="AD67" s="2318" t="s">
        <v>2805</v>
      </c>
    </row>
    <row r="68" spans="1:30" ht="11.25" customHeight="1" x14ac:dyDescent="0.25">
      <c r="A68" s="499" t="s">
        <v>470</v>
      </c>
      <c r="B68" s="711"/>
      <c r="C68" s="712">
        <f>SUMIFS(Sheet1!S71_PPPYearAmount,Sheet1!S71_A5GCode,$AC:$AC,Sheet1!S71_A5CapexCode,$AD:$AD)</f>
        <v>0</v>
      </c>
      <c r="D68" s="712">
        <f>SUMIFS(Sheet1!S71_PPYearAmount,Sheet1!S71_A5GCode,$AC:$AC,Sheet1!S71_A5CapexCode,$AD:$AD)</f>
        <v>0</v>
      </c>
      <c r="E68" s="719">
        <f>SUMIFS(Sheet1!S71_PYearAmount,Sheet1!S71_A5GCode,$AC:$AC,Sheet1!S71_A5CapexCode,$AD:$AD)</f>
        <v>0</v>
      </c>
      <c r="F68" s="718">
        <f>SUMIFS(Sheet1!S71_OriginalBudAmnt,Sheet1!S71_A5GCode,$AC:$AC,Sheet1!S71_A5CapexCode,$AD:$AD)</f>
        <v>0</v>
      </c>
      <c r="G68" s="712">
        <f>SUMIFS(Sheet1!S71_AdjustmentBudAmnt,Sheet1!S71_A5GCode,$AC:$AC,Sheet1!S71_A5CapexCode,$AD:$AD)</f>
        <v>0</v>
      </c>
      <c r="H68" s="717">
        <f>SUMIFS(Sheet1!S71_AdjustmentBudAmnt,Sheet1!S71_A5GCode,$AC:$AC,Sheet1!S71_A5CapexCode,$AD:$AD)</f>
        <v>0</v>
      </c>
      <c r="I68" s="719" cm="1">
        <f t="array" ref="I68">SUMIFS(Sheet1!S71_PreAuditActual,Sheet1!S71_A5GCode,_xlfn.SINGLE($AC:$AC),Sheet1!S71_A5CapexCode,_xlfn.SINGLE($AD:$AD))</f>
        <v>0</v>
      </c>
      <c r="J68" s="718">
        <f>SUMIFS(Sheet1!S71_ASBudgetAmount,Sheet1!S71_A5GCode,$AC:$AC,Sheet1!S71_A5CapexCode,$AD:$AD)</f>
        <v>0</v>
      </c>
      <c r="K68" s="712">
        <f>SUMIFS(Sheet1!S71_OY1BudgetAmount,Sheet1!S71_A5GCode,$AC:$AC,Sheet1!S71_A5CapexCode,$AD:$AD)</f>
        <v>0</v>
      </c>
      <c r="L68" s="717">
        <f>SUMIFS(Sheet1!S71_OY2BudgetAmount,Sheet1!S71_A5GCode,$AC:$AC,Sheet1!S71_A5CapexCode,$AD:$AD)</f>
        <v>0</v>
      </c>
      <c r="M68" s="322"/>
      <c r="AC68" s="2319" t="s">
        <v>2815</v>
      </c>
      <c r="AD68" s="2318" t="s">
        <v>2805</v>
      </c>
    </row>
    <row r="69" spans="1:30" ht="79.5" customHeight="1" x14ac:dyDescent="0.25">
      <c r="A69" s="2055" t="str">
        <f>'A4-FinPerf RE'!A39</f>
        <v>Transfers and subsidies - capital (monetary allocations) (National / Provincial Departmental Agencies, Households, Non-profit Institutions, Private Enterprises, Public Corporatons, Higher Educational Institutions)</v>
      </c>
      <c r="B69" s="711"/>
      <c r="C69" s="712">
        <f>SUMIFS(Sheet1!S71_PPPYearAmount,Sheet1!S71_A5GCode,$AC:$AC,Sheet1!S71_A5CapexCode,$AD:$AD)</f>
        <v>0</v>
      </c>
      <c r="D69" s="712">
        <f>SUMIFS(Sheet1!S71_PPYearAmount,Sheet1!S71_A5GCode,$AC:$AC,Sheet1!S71_A5CapexCode,$AD:$AD)</f>
        <v>0</v>
      </c>
      <c r="E69" s="719">
        <f>SUMIFS(Sheet1!S71_PYearAmount,Sheet1!S71_A5GCode,$AC:$AC,Sheet1!S71_A5CapexCode,$AD:$AD)</f>
        <v>0</v>
      </c>
      <c r="F69" s="718">
        <f>SUMIFS(Sheet1!S71_OriginalBudAmnt,Sheet1!S71_A5GCode,$AC:$AC,Sheet1!S71_A5CapexCode,$AD:$AD)</f>
        <v>0</v>
      </c>
      <c r="G69" s="712">
        <f>SUMIFS(Sheet1!S71_AdjustmentBudAmnt,Sheet1!S71_A5GCode,$AC:$AC,Sheet1!S71_A5CapexCode,$AD:$AD)</f>
        <v>0</v>
      </c>
      <c r="H69" s="717">
        <f>SUMIFS(Sheet1!S71_AdjustmentBudAmnt,Sheet1!S71_A5GCode,$AC:$AC,Sheet1!S71_A5CapexCode,$AD:$AD)</f>
        <v>0</v>
      </c>
      <c r="I69" s="719" cm="1">
        <f t="array" ref="I69">SUMIFS(Sheet1!S71_PreAuditActual,Sheet1!S71_A5GCode,_xlfn.SINGLE($AC:$AC),Sheet1!S71_A5CapexCode,_xlfn.SINGLE($AD:$AD))</f>
        <v>0</v>
      </c>
      <c r="J69" s="718">
        <f>SUMIFS(Sheet1!S71_ASBudgetAmount,Sheet1!S71_A5GCode,$AC:$AC,Sheet1!S71_A5CapexCode,$AD:$AD)</f>
        <v>0</v>
      </c>
      <c r="K69" s="712">
        <f>SUMIFS(Sheet1!S71_OY1BudgetAmount,Sheet1!S71_A5GCode,$AC:$AC,Sheet1!S71_A5CapexCode,$AD:$AD)</f>
        <v>0</v>
      </c>
      <c r="L69" s="717">
        <f>SUMIFS(Sheet1!S71_OY2BudgetAmount,Sheet1!S71_A5GCode,$AC:$AC,Sheet1!S71_A5CapexCode,$AD:$AD)</f>
        <v>0</v>
      </c>
      <c r="M69" s="322"/>
      <c r="AC69" s="2319" t="s">
        <v>2816</v>
      </c>
      <c r="AD69" s="2318" t="s">
        <v>2805</v>
      </c>
    </row>
    <row r="70" spans="1:30" ht="12.4" customHeight="1" x14ac:dyDescent="0.25">
      <c r="A70" s="135" t="s">
        <v>1173</v>
      </c>
      <c r="B70" s="711">
        <v>4</v>
      </c>
      <c r="C70" s="535">
        <f t="shared" ref="C70:L70" si="9">SUM(C66:C69)</f>
        <v>96588188</v>
      </c>
      <c r="D70" s="535">
        <f t="shared" si="9"/>
        <v>112168084</v>
      </c>
      <c r="E70" s="667">
        <f t="shared" si="9"/>
        <v>121249308</v>
      </c>
      <c r="F70" s="666">
        <f t="shared" si="9"/>
        <v>15996767</v>
      </c>
      <c r="G70" s="535">
        <f t="shared" si="9"/>
        <v>25800002</v>
      </c>
      <c r="H70" s="665">
        <f t="shared" si="9"/>
        <v>25800002</v>
      </c>
      <c r="I70" s="667">
        <f t="shared" si="9"/>
        <v>135339364</v>
      </c>
      <c r="J70" s="666">
        <f t="shared" si="9"/>
        <v>24755000</v>
      </c>
      <c r="K70" s="535">
        <f t="shared" si="9"/>
        <v>17781000</v>
      </c>
      <c r="L70" s="665">
        <f t="shared" si="9"/>
        <v>18394000</v>
      </c>
      <c r="M70" s="2229"/>
      <c r="AC70" s="2319"/>
      <c r="AD70" s="2315"/>
    </row>
    <row r="71" spans="1:30" ht="1.9" customHeight="1" x14ac:dyDescent="0.25">
      <c r="A71" s="922"/>
      <c r="B71" s="711"/>
      <c r="C71" s="323"/>
      <c r="D71" s="71"/>
      <c r="E71" s="74"/>
      <c r="F71" s="73"/>
      <c r="G71" s="71"/>
      <c r="H71" s="72"/>
      <c r="I71" s="74"/>
      <c r="J71" s="73"/>
      <c r="K71" s="71"/>
      <c r="L71" s="72"/>
      <c r="M71" s="322"/>
      <c r="AC71" s="2319"/>
      <c r="AD71" s="2315"/>
    </row>
    <row r="72" spans="1:30" ht="12.4" customHeight="1" x14ac:dyDescent="0.25">
      <c r="A72" s="922" t="s">
        <v>1115</v>
      </c>
      <c r="B72" s="711">
        <v>6</v>
      </c>
      <c r="C72" s="712">
        <f>SUMIFS(Sheet1!S71_PPPYearAmount,Sheet1!S71_A5GCode,$AC:$AC,Sheet1!S71_A5CapexCode,$AD:$AD)</f>
        <v>0</v>
      </c>
      <c r="D72" s="712">
        <f>SUMIFS(Sheet1!S71_PPYearAmount,Sheet1!S71_A5GCode,$AC:$AC,Sheet1!S71_A5CapexCode,$AD:$AD)</f>
        <v>0</v>
      </c>
      <c r="E72" s="719">
        <f>SUMIFS(Sheet1!S71_PYearAmount,Sheet1!S71_A5GCode,$AC:$AC,Sheet1!S71_A5CapexCode,$AD:$AD)</f>
        <v>0</v>
      </c>
      <c r="F72" s="718">
        <f>SUMIFS(Sheet1!S71_OriginalBudAmnt,Sheet1!S71_A5GCode,$AC:$AC,Sheet1!S71_A5CapexCode,$AD:$AD)</f>
        <v>0</v>
      </c>
      <c r="G72" s="712">
        <f>SUMIFS(Sheet1!S71_AdjustmentBudAmnt,Sheet1!S71_A5GCode,$AC:$AC,Sheet1!S71_A5CapexCode,$AD:$AD)</f>
        <v>0</v>
      </c>
      <c r="H72" s="717">
        <f>SUMIFS(Sheet1!S71_AdjustmentBudAmnt,Sheet1!S71_A5GCode,$AC:$AC,Sheet1!S71_A5CapexCode,$AD:$AD)</f>
        <v>0</v>
      </c>
      <c r="I72" s="719" cm="1">
        <f t="array" ref="I72">SUMIFS(Sheet1!S71_PreAuditActual,Sheet1!S71_A5GCode,_xlfn.SINGLE($AC:$AC),Sheet1!S71_A5CapexCode,_xlfn.SINGLE($AD:$AD))</f>
        <v>0</v>
      </c>
      <c r="J72" s="718">
        <f>SUMIFS(Sheet1!S71_ASBudgetAmount,Sheet1!S71_A5GCode,$AC:$AC,Sheet1!S71_A5CapexCode,$AD:$AD)</f>
        <v>0</v>
      </c>
      <c r="K72" s="712">
        <f>SUMIFS(Sheet1!S71_OY1BudgetAmount,Sheet1!S71_A5GCode,$AC:$AC,Sheet1!S71_A5CapexCode,$AD:$AD)</f>
        <v>0</v>
      </c>
      <c r="L72" s="717">
        <f>SUMIFS(Sheet1!S71_OY2BudgetAmount,Sheet1!S71_A5GCode,$AC:$AC,Sheet1!S71_A5CapexCode,$AD:$AD)</f>
        <v>0</v>
      </c>
      <c r="M72" s="322"/>
      <c r="AC72" s="2319" t="s">
        <v>2817</v>
      </c>
      <c r="AD72" s="2318" t="s">
        <v>2805</v>
      </c>
    </row>
    <row r="73" spans="1:30" ht="11.25" customHeight="1" x14ac:dyDescent="0.25">
      <c r="A73" s="922" t="s">
        <v>423</v>
      </c>
      <c r="B73" s="711"/>
      <c r="C73" s="712">
        <f>SUMIFS(Sheet1!S71_PPPYearAmount,Sheet1!S71_A5GCode,$AC:$AC,Sheet1!S71_A5CapexCode,$AD:$AD)</f>
        <v>69606055</v>
      </c>
      <c r="D73" s="712">
        <f>SUMIFS(Sheet1!S71_PPYearAmount,Sheet1!S71_A5GCode,$AC:$AC,Sheet1!S71_A5CapexCode,$AD:$AD)</f>
        <v>82105714</v>
      </c>
      <c r="E73" s="719">
        <f>SUMIFS(Sheet1!S71_PYearAmount,Sheet1!S71_A5GCode,$AC:$AC,Sheet1!S71_A5CapexCode,$AD:$AD)</f>
        <v>92392856</v>
      </c>
      <c r="F73" s="718">
        <f>SUMIFS(Sheet1!S71_OriginalBudAmnt,Sheet1!S71_A5GCode,$AC:$AC,Sheet1!S71_A5CapexCode,$AD:$AD)</f>
        <v>9700000</v>
      </c>
      <c r="G73" s="712">
        <f>SUMIFS(Sheet1!S71_AdjustmentBudAmnt,Sheet1!S71_A5GCode,$AC:$AC,Sheet1!S71_A5CapexCode,$AD:$AD)</f>
        <v>17962486</v>
      </c>
      <c r="H73" s="717">
        <f>SUMIFS(Sheet1!S71_AdjustmentBudAmnt,Sheet1!S71_A5GCode,$AC:$AC,Sheet1!S71_A5CapexCode,$AD:$AD)</f>
        <v>17962486</v>
      </c>
      <c r="I73" s="719" cm="1">
        <f t="array" ref="I73">SUMIFS(Sheet1!S71_PreAuditActual,Sheet1!S71_A5GCode,_xlfn.SINGLE($AC:$AC),Sheet1!S71_A5CapexCode,_xlfn.SINGLE($AD:$AD))</f>
        <v>106177361</v>
      </c>
      <c r="J73" s="718">
        <f>SUMIFS(Sheet1!S71_ASBudgetAmount,Sheet1!S71_A5GCode,$AC:$AC,Sheet1!S71_A5CapexCode,$AD:$AD)</f>
        <v>6866000</v>
      </c>
      <c r="K73" s="712">
        <f>SUMIFS(Sheet1!S71_OY1BudgetAmount,Sheet1!S71_A5GCode,$AC:$AC,Sheet1!S71_A5CapexCode,$AD:$AD)</f>
        <v>756392</v>
      </c>
      <c r="L73" s="717">
        <f>SUMIFS(Sheet1!S71_OY2BudgetAmount,Sheet1!S71_A5GCode,$AC:$AC,Sheet1!S71_A5CapexCode,$AD:$AD)</f>
        <v>786648</v>
      </c>
      <c r="M73" s="322"/>
      <c r="AC73" s="2319" t="s">
        <v>2818</v>
      </c>
      <c r="AD73" s="2318" t="s">
        <v>2805</v>
      </c>
    </row>
    <row r="74" spans="1:30" x14ac:dyDescent="0.25">
      <c r="A74" s="182" t="s">
        <v>667</v>
      </c>
      <c r="B74" s="751">
        <v>7</v>
      </c>
      <c r="C74" s="185">
        <f>+C70+C72+C73</f>
        <v>166194243</v>
      </c>
      <c r="D74" s="185">
        <f t="shared" ref="D74:L74" si="10">+D70+D72+D73</f>
        <v>194273798</v>
      </c>
      <c r="E74" s="186">
        <f t="shared" si="10"/>
        <v>213642164</v>
      </c>
      <c r="F74" s="184">
        <f t="shared" si="10"/>
        <v>25696767</v>
      </c>
      <c r="G74" s="185">
        <f t="shared" si="10"/>
        <v>43762488</v>
      </c>
      <c r="H74" s="183">
        <f t="shared" si="10"/>
        <v>43762488</v>
      </c>
      <c r="I74" s="186">
        <f t="shared" si="10"/>
        <v>241516725</v>
      </c>
      <c r="J74" s="184">
        <f t="shared" si="10"/>
        <v>31621000</v>
      </c>
      <c r="K74" s="185">
        <f t="shared" si="10"/>
        <v>18537392</v>
      </c>
      <c r="L74" s="183">
        <f t="shared" si="10"/>
        <v>19180648</v>
      </c>
      <c r="M74" s="322"/>
    </row>
    <row r="75" spans="1:30" x14ac:dyDescent="0.25">
      <c r="A75" s="188" t="str">
        <f>head27a</f>
        <v>References</v>
      </c>
      <c r="B75" s="150"/>
      <c r="C75" s="153"/>
      <c r="D75" s="153"/>
      <c r="E75" s="153"/>
      <c r="F75" s="153"/>
      <c r="G75" s="153"/>
      <c r="H75" s="153"/>
      <c r="I75" s="153"/>
      <c r="J75" s="153"/>
      <c r="K75" s="153"/>
      <c r="L75" s="153"/>
      <c r="M75" s="322"/>
    </row>
    <row r="76" spans="1:30" ht="12" customHeight="1" x14ac:dyDescent="0.25">
      <c r="A76" s="151" t="s">
        <v>166</v>
      </c>
      <c r="B76" s="150"/>
      <c r="C76" s="152"/>
      <c r="D76" s="152"/>
      <c r="E76" s="153"/>
      <c r="F76" s="153"/>
      <c r="G76" s="153"/>
      <c r="H76" s="153"/>
      <c r="I76" s="153"/>
      <c r="J76" s="153"/>
      <c r="K76" s="153"/>
      <c r="L76" s="153"/>
      <c r="M76" s="322"/>
    </row>
    <row r="77" spans="1:30" ht="12" customHeight="1" x14ac:dyDescent="0.25">
      <c r="A77" s="2462" t="s">
        <v>899</v>
      </c>
      <c r="B77" s="2462"/>
      <c r="C77" s="2462"/>
      <c r="D77" s="2462"/>
      <c r="E77" s="2462"/>
      <c r="F77" s="2462"/>
      <c r="G77" s="2462"/>
      <c r="H77" s="2462"/>
      <c r="I77" s="2462"/>
      <c r="J77" s="2462"/>
      <c r="K77" s="2462"/>
      <c r="L77" s="2462"/>
      <c r="M77" s="322"/>
    </row>
    <row r="78" spans="1:30" ht="12" customHeight="1" x14ac:dyDescent="0.25">
      <c r="A78" s="2462" t="s">
        <v>2456</v>
      </c>
      <c r="B78" s="2462"/>
      <c r="C78" s="2462"/>
      <c r="D78" s="2462"/>
      <c r="E78" s="2462"/>
      <c r="F78" s="2462"/>
      <c r="G78" s="2462"/>
      <c r="H78" s="2462"/>
      <c r="I78" s="2462"/>
      <c r="J78" s="2462"/>
      <c r="K78" s="2462"/>
      <c r="L78" s="2462"/>
      <c r="M78" s="322"/>
    </row>
    <row r="79" spans="1:30" ht="12" customHeight="1" x14ac:dyDescent="0.25">
      <c r="A79" s="2463" t="s">
        <v>900</v>
      </c>
      <c r="B79" s="2463"/>
      <c r="C79" s="2463"/>
      <c r="D79" s="2463"/>
      <c r="E79" s="2463"/>
      <c r="F79" s="2463"/>
      <c r="G79" s="2463"/>
      <c r="H79" s="2463"/>
      <c r="I79" s="2463"/>
      <c r="J79" s="2463"/>
      <c r="K79" s="2463"/>
      <c r="L79" s="2463"/>
      <c r="M79" s="322"/>
    </row>
    <row r="80" spans="1:30" ht="12" customHeight="1" x14ac:dyDescent="0.25">
      <c r="A80" s="151"/>
      <c r="B80" s="686"/>
      <c r="C80" s="686"/>
      <c r="D80" s="686"/>
      <c r="E80" s="686"/>
      <c r="F80" s="686"/>
      <c r="G80" s="686"/>
      <c r="H80" s="686"/>
      <c r="I80" s="686"/>
      <c r="J80" s="686"/>
      <c r="K80" s="686"/>
      <c r="L80" s="686"/>
      <c r="M80" s="322"/>
    </row>
    <row r="81" spans="1:30" ht="12" customHeight="1" x14ac:dyDescent="0.25">
      <c r="A81" s="151" t="s">
        <v>901</v>
      </c>
      <c r="B81" s="686"/>
      <c r="C81" s="686"/>
      <c r="D81" s="686"/>
      <c r="E81" s="686"/>
      <c r="F81" s="686"/>
      <c r="G81" s="686"/>
      <c r="H81" s="686"/>
      <c r="I81" s="686"/>
      <c r="J81" s="686"/>
      <c r="K81" s="686"/>
      <c r="L81" s="686"/>
      <c r="M81" s="322"/>
    </row>
    <row r="82" spans="1:30" ht="12" customHeight="1" x14ac:dyDescent="0.25">
      <c r="A82" s="151" t="s">
        <v>167</v>
      </c>
      <c r="B82" s="150"/>
      <c r="C82" s="152"/>
      <c r="D82" s="152"/>
      <c r="E82" s="153"/>
      <c r="F82" s="153"/>
      <c r="G82" s="153"/>
      <c r="H82" s="153"/>
      <c r="I82" s="153"/>
      <c r="J82" s="153"/>
      <c r="K82" s="153"/>
      <c r="L82" s="153"/>
      <c r="M82" s="322"/>
    </row>
    <row r="83" spans="1:30" s="800" customFormat="1" ht="12" customHeight="1" x14ac:dyDescent="0.25">
      <c r="A83" s="2461" t="s">
        <v>1270</v>
      </c>
      <c r="B83" s="2461"/>
      <c r="C83" s="2461"/>
      <c r="D83" s="2461"/>
      <c r="E83" s="2461"/>
      <c r="F83" s="2461"/>
      <c r="G83" s="2461"/>
      <c r="H83" s="2461"/>
      <c r="I83" s="2461"/>
      <c r="J83" s="2461"/>
      <c r="K83" s="2461"/>
      <c r="L83" s="2461"/>
      <c r="M83" s="1488"/>
      <c r="AC83" s="2314"/>
      <c r="AD83" s="2314"/>
    </row>
    <row r="84" spans="1:30" s="800" customFormat="1" ht="11.25" customHeight="1" x14ac:dyDescent="0.25">
      <c r="M84" s="1488"/>
      <c r="AC84" s="2314"/>
      <c r="AD84" s="2314"/>
    </row>
    <row r="85" spans="1:30" ht="11.25" customHeight="1" x14ac:dyDescent="0.25">
      <c r="A85" s="219" t="s">
        <v>248</v>
      </c>
      <c r="B85" s="150"/>
      <c r="C85" s="2230">
        <f>IF((C63-C74)=0,0,"Unbalanced")</f>
        <v>0</v>
      </c>
      <c r="D85" s="2230">
        <f t="shared" ref="D85:L85" si="11">IF((D63-D74)=0,0,"Unbalanced")</f>
        <v>0</v>
      </c>
      <c r="E85" s="2230">
        <f t="shared" si="11"/>
        <v>0</v>
      </c>
      <c r="F85" s="2230">
        <f t="shared" si="11"/>
        <v>0</v>
      </c>
      <c r="G85" s="2230">
        <f t="shared" si="11"/>
        <v>0</v>
      </c>
      <c r="H85" s="2230">
        <f t="shared" si="11"/>
        <v>0</v>
      </c>
      <c r="I85" s="2230">
        <f t="shared" si="11"/>
        <v>0</v>
      </c>
      <c r="J85" s="2230">
        <f t="shared" si="11"/>
        <v>0</v>
      </c>
      <c r="K85" s="2230" t="str">
        <f t="shared" si="11"/>
        <v>Unbalanced</v>
      </c>
      <c r="L85" s="2230" t="str">
        <f t="shared" si="11"/>
        <v>Unbalanced</v>
      </c>
    </row>
    <row r="86" spans="1:30" ht="11.25" customHeight="1" x14ac:dyDescent="0.25">
      <c r="A86" s="219"/>
      <c r="C86" s="2230"/>
      <c r="D86" s="2230"/>
      <c r="E86" s="2231"/>
      <c r="F86" s="2232"/>
      <c r="G86" s="2231"/>
      <c r="H86" s="2231"/>
      <c r="I86" s="2231"/>
      <c r="J86" s="2231"/>
      <c r="K86" s="2231"/>
      <c r="L86" s="2231"/>
    </row>
    <row r="87" spans="1:30" ht="11.25" customHeight="1" x14ac:dyDescent="0.25"/>
    <row r="88" spans="1:30" ht="11.25" customHeight="1" x14ac:dyDescent="0.25"/>
    <row r="89" spans="1:30" ht="11.25" customHeight="1" x14ac:dyDescent="0.25"/>
    <row r="90" spans="1:30" ht="11.25" customHeight="1" x14ac:dyDescent="0.25"/>
    <row r="91" spans="1:30" ht="11.25" customHeight="1" x14ac:dyDescent="0.25"/>
    <row r="92" spans="1:30" ht="11.25" customHeight="1" x14ac:dyDescent="0.25"/>
    <row r="93" spans="1:30" ht="11.25" customHeight="1" x14ac:dyDescent="0.25"/>
    <row r="94" spans="1:30" ht="11.25" customHeight="1" x14ac:dyDescent="0.25"/>
    <row r="95" spans="1:30" ht="11.25" customHeight="1" x14ac:dyDescent="0.25"/>
    <row r="96" spans="1:30" ht="11.25" customHeight="1" x14ac:dyDescent="0.25"/>
    <row r="97" ht="11.25" customHeight="1" x14ac:dyDescent="0.25"/>
    <row r="98" ht="11.25" customHeight="1" x14ac:dyDescent="0.25"/>
    <row r="99" ht="11.25" customHeight="1" x14ac:dyDescent="0.25"/>
    <row r="100" ht="11.25" customHeight="1" x14ac:dyDescent="0.25"/>
    <row r="101" ht="11.25" customHeight="1" x14ac:dyDescent="0.25"/>
    <row r="102" ht="11.25" customHeight="1" x14ac:dyDescent="0.25"/>
    <row r="103" ht="11.25" customHeight="1" x14ac:dyDescent="0.25"/>
    <row r="104" ht="11.25" customHeight="1" x14ac:dyDescent="0.25"/>
    <row r="105" ht="11.25" customHeight="1" x14ac:dyDescent="0.25"/>
    <row r="106" ht="11.25" customHeight="1" x14ac:dyDescent="0.25"/>
    <row r="107" ht="11.25" customHeight="1" x14ac:dyDescent="0.25"/>
    <row r="108" ht="11.25" customHeight="1" x14ac:dyDescent="0.25"/>
    <row r="109" ht="11.25" customHeight="1" x14ac:dyDescent="0.25"/>
    <row r="110" ht="11.25" customHeight="1" x14ac:dyDescent="0.25"/>
    <row r="111" ht="11.25" customHeight="1" x14ac:dyDescent="0.25"/>
    <row r="112" ht="11.25" customHeight="1" x14ac:dyDescent="0.25"/>
    <row r="113" ht="11.25" customHeight="1" x14ac:dyDescent="0.25"/>
    <row r="114" ht="11.25" customHeight="1" x14ac:dyDescent="0.25"/>
    <row r="115" ht="11.25" customHeight="1" x14ac:dyDescent="0.25"/>
    <row r="116" ht="11.25" customHeight="1" x14ac:dyDescent="0.25"/>
    <row r="117" ht="11.25" customHeight="1" x14ac:dyDescent="0.25"/>
    <row r="118" ht="11.25" customHeight="1" x14ac:dyDescent="0.25"/>
    <row r="119" ht="11.25" customHeight="1" x14ac:dyDescent="0.25"/>
    <row r="120" ht="11.25" customHeight="1" x14ac:dyDescent="0.25"/>
  </sheetData>
  <sheetProtection algorithmName="SHA-512" hashValue="6+dp90K4W+dUGRnIkuhx1iGAgg3eUza6MRsmkUy7x/7k5//c+Fd7v3PzKnSbmYjTXl60Sk+V4Yj90/n0Ni4LOg==" saltValue="OXFXeNmKVp8CPcaz9xbIAQ==" spinCount="100000" sheet="1" objects="1" scenarios="1"/>
  <mergeCells count="6">
    <mergeCell ref="J2:L2"/>
    <mergeCell ref="F2:I2"/>
    <mergeCell ref="A83:L83"/>
    <mergeCell ref="A78:L78"/>
    <mergeCell ref="A77:L77"/>
    <mergeCell ref="A79:L79"/>
  </mergeCells>
  <phoneticPr fontId="7" type="noConversion"/>
  <conditionalFormatting sqref="C85:L85">
    <cfRule type="cellIs" dxfId="3" priority="1" stopIfTrue="1" operator="notEqual">
      <formula>0</formula>
    </cfRule>
    <cfRule type="cellIs" dxfId="2" priority="2" stopIfTrue="1" operator="notEqual">
      <formula>0</formula>
    </cfRule>
  </conditionalFormatting>
  <printOptions horizontalCentered="1"/>
  <pageMargins left="0" right="0" top="0.78740157480314965" bottom="0.59055118110236227" header="0.51181102362204722" footer="0.43307086614173229"/>
  <pageSetup paperSize="9" scale="6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8"/>
  <dimension ref="A1:AD342"/>
  <sheetViews>
    <sheetView showGridLines="0" showZeros="0" zoomScale="110" zoomScaleNormal="110" workbookViewId="0">
      <selection activeCell="L323" sqref="L323"/>
    </sheetView>
  </sheetViews>
  <sheetFormatPr defaultColWidth="9.140625" defaultRowHeight="12.75" x14ac:dyDescent="0.25"/>
  <cols>
    <col min="1" max="1" width="30.7109375" style="58" customWidth="1"/>
    <col min="2" max="2" width="3" style="55" customWidth="1"/>
    <col min="3" max="8" width="9.28515625" style="58" customWidth="1"/>
    <col min="9" max="9" width="9.140625" style="58" customWidth="1"/>
    <col min="10" max="12" width="9.28515625" style="58" customWidth="1"/>
    <col min="13" max="13" width="3.42578125" style="58" customWidth="1"/>
    <col min="14" max="14" width="10.140625" style="58" customWidth="1"/>
    <col min="15" max="15" width="9.7109375" style="58" customWidth="1"/>
    <col min="16" max="16" width="9.42578125" style="58" customWidth="1"/>
    <col min="17" max="17" width="10" style="58" customWidth="1"/>
    <col min="18" max="18" width="10.140625" style="58" customWidth="1"/>
    <col min="19" max="19" width="9.7109375" style="58" customWidth="1"/>
    <col min="20" max="20" width="9.42578125" style="58" customWidth="1"/>
    <col min="21" max="21" width="10" style="58" customWidth="1"/>
    <col min="22" max="22" width="9.42578125" style="58" customWidth="1"/>
    <col min="23" max="24" width="9.7109375" style="58" customWidth="1"/>
    <col min="25" max="28" width="9.140625" style="58"/>
    <col min="29" max="30" width="9.140625" style="2312"/>
    <col min="31" max="16384" width="9.140625" style="58"/>
  </cols>
  <sheetData>
    <row r="1" spans="1:30" s="93" customFormat="1" x14ac:dyDescent="0.2">
      <c r="A1" s="92" t="str">
        <f>muni&amp;" - "&amp;Approve5</f>
        <v>KZN226 Mkhambathini - Table A5 Budgeted Capital Expenditure by vote, functional classification and funding</v>
      </c>
      <c r="B1" s="92"/>
      <c r="C1" s="92"/>
      <c r="D1" s="92"/>
      <c r="E1" s="92"/>
      <c r="F1" s="92"/>
      <c r="G1" s="92"/>
      <c r="H1" s="92"/>
      <c r="I1" s="92"/>
      <c r="J1" s="92"/>
      <c r="K1" s="92"/>
      <c r="L1" s="92"/>
      <c r="AC1" s="2313"/>
      <c r="AD1" s="2371"/>
    </row>
    <row r="2" spans="1:30" ht="28.5" customHeight="1" x14ac:dyDescent="0.25">
      <c r="A2" s="696" t="str">
        <f>Vdesc</f>
        <v>Vote Description</v>
      </c>
      <c r="B2" s="155" t="str">
        <f>head27</f>
        <v>Ref</v>
      </c>
      <c r="C2" s="837" t="str">
        <f>head1b</f>
        <v>2017/18</v>
      </c>
      <c r="D2" s="837" t="str">
        <f>head1A</f>
        <v>2018/19</v>
      </c>
      <c r="E2" s="684" t="str">
        <f>Head1</f>
        <v>2019/20</v>
      </c>
      <c r="F2" s="2447" t="str">
        <f>Head2</f>
        <v>Current Year 2020/21</v>
      </c>
      <c r="G2" s="2448"/>
      <c r="H2" s="2448"/>
      <c r="I2" s="2448"/>
      <c r="J2" s="2450" t="str">
        <f>Head3</f>
        <v>2021/22 Medium Term Revenue &amp; Expenditure Framework</v>
      </c>
      <c r="K2" s="2451"/>
      <c r="L2" s="2452"/>
      <c r="N2" s="2464" t="str">
        <f>"Multi-year appropriation for "&amp;Head9&amp;
"
 in the "&amp;Head2A&amp;" Annual Budget"</f>
        <v>Multi-year appropriation for Budget Year 2021/22
 in the 2020/21 Annual Budget</v>
      </c>
      <c r="O2" s="2451"/>
      <c r="P2" s="2451"/>
      <c r="Q2" s="2452"/>
      <c r="R2" s="2464" t="str">
        <f>"Multi-year appropriation for "&amp;RIGHT(Head10,7)&amp;
"
 in the "&amp;Head2A&amp;" Annual Budget"</f>
        <v>Multi-year appropriation for 2022/23
 in the 2020/21 Annual Budget</v>
      </c>
      <c r="S2" s="2451"/>
      <c r="T2" s="2451"/>
      <c r="U2" s="2452"/>
      <c r="V2" s="2450" t="s">
        <v>1948</v>
      </c>
      <c r="W2" s="2451"/>
      <c r="X2" s="2452"/>
      <c r="AD2" s="2315"/>
    </row>
    <row r="3" spans="1:30" ht="38.25" x14ac:dyDescent="0.25">
      <c r="A3" s="156" t="s">
        <v>568</v>
      </c>
      <c r="B3" s="701">
        <v>1</v>
      </c>
      <c r="C3" s="698" t="str">
        <f>Head5</f>
        <v>Audited Outcome</v>
      </c>
      <c r="D3" s="698" t="str">
        <f>Head5</f>
        <v>Audited Outcome</v>
      </c>
      <c r="E3" s="94" t="str">
        <f>Head5</f>
        <v>Audited Outcome</v>
      </c>
      <c r="F3" s="95" t="str">
        <f>Head6</f>
        <v>Original Budget</v>
      </c>
      <c r="G3" s="698" t="str">
        <f>Head7</f>
        <v>Adjusted Budget</v>
      </c>
      <c r="H3" s="94" t="str">
        <f>Head8</f>
        <v>Full Year Forecast</v>
      </c>
      <c r="I3" s="702" t="str">
        <f>Head5b</f>
        <v>Pre-audit outcome</v>
      </c>
      <c r="J3" s="95" t="str">
        <f>Head9</f>
        <v>Budget Year 2021/22</v>
      </c>
      <c r="K3" s="698" t="str">
        <f>Head10</f>
        <v>Budget Year +1 2022/23</v>
      </c>
      <c r="L3" s="94" t="str">
        <f>Head11</f>
        <v>Budget Year +2 2023/24</v>
      </c>
      <c r="N3" s="95" t="str">
        <f>"Appropriation for "&amp;RIGHT(Head9,7)</f>
        <v>Appropriation for 2021/22</v>
      </c>
      <c r="O3" s="698" t="str">
        <f>"Adjustments in "&amp;Head2A</f>
        <v>Adjustments in 2020/21</v>
      </c>
      <c r="P3" s="94" t="str">
        <f>"Downward adjustments for "&amp;RIGHT(Head9,7)</f>
        <v>Downward adjustments for 2021/22</v>
      </c>
      <c r="Q3" s="702" t="s">
        <v>1949</v>
      </c>
      <c r="R3" s="95" t="str">
        <f>"Appropriation for "&amp;RIGHT(Head9,7)</f>
        <v>Appropriation for 2021/22</v>
      </c>
      <c r="S3" s="698" t="str">
        <f>"Adjustments in "&amp;Head2A</f>
        <v>Adjustments in 2020/21</v>
      </c>
      <c r="T3" s="94" t="str">
        <f>"Downward adjustments for "&amp;RIGHT(Head9,7)</f>
        <v>Downward adjustments for 2021/22</v>
      </c>
      <c r="U3" s="755" t="s">
        <v>1949</v>
      </c>
      <c r="V3" s="702" t="str">
        <f>Head9</f>
        <v>Budget Year 2021/22</v>
      </c>
      <c r="W3" s="698" t="str">
        <f>Head10</f>
        <v>Budget Year +1 2022/23</v>
      </c>
      <c r="X3" s="94" t="str">
        <f>Head11</f>
        <v>Budget Year +2 2023/24</v>
      </c>
      <c r="AD3" s="2315"/>
    </row>
    <row r="4" spans="1:30" ht="13.5" x14ac:dyDescent="0.25">
      <c r="A4" s="158" t="s">
        <v>1564</v>
      </c>
      <c r="B4" s="705"/>
      <c r="C4" s="81"/>
      <c r="D4" s="81"/>
      <c r="E4" s="756"/>
      <c r="F4" s="757"/>
      <c r="G4" s="81"/>
      <c r="H4" s="758"/>
      <c r="I4" s="756"/>
      <c r="J4" s="759"/>
      <c r="K4" s="81"/>
      <c r="L4" s="760"/>
      <c r="N4" s="757"/>
      <c r="O4" s="81"/>
      <c r="P4" s="758"/>
      <c r="Q4" s="756"/>
      <c r="R4" s="757"/>
      <c r="S4" s="81"/>
      <c r="T4" s="756"/>
      <c r="U4" s="761"/>
      <c r="V4" s="756"/>
      <c r="W4" s="81"/>
      <c r="X4" s="760"/>
      <c r="AD4" s="2315"/>
    </row>
    <row r="5" spans="1:30" ht="11.25" customHeight="1" x14ac:dyDescent="0.25">
      <c r="A5" s="158" t="s">
        <v>330</v>
      </c>
      <c r="B5" s="711">
        <v>2</v>
      </c>
      <c r="C5" s="762"/>
      <c r="D5" s="762"/>
      <c r="E5" s="763"/>
      <c r="F5" s="764"/>
      <c r="G5" s="762"/>
      <c r="H5" s="765"/>
      <c r="I5" s="763"/>
      <c r="J5" s="766"/>
      <c r="K5" s="762"/>
      <c r="L5" s="767"/>
      <c r="N5" s="764"/>
      <c r="O5" s="762"/>
      <c r="P5" s="765"/>
      <c r="Q5" s="763"/>
      <c r="R5" s="764"/>
      <c r="S5" s="762"/>
      <c r="T5" s="763"/>
      <c r="U5" s="768"/>
      <c r="V5" s="763"/>
      <c r="W5" s="762"/>
      <c r="X5" s="767"/>
      <c r="AD5" s="2315"/>
    </row>
    <row r="6" spans="1:30" ht="15" customHeight="1" x14ac:dyDescent="0.25">
      <c r="A6" s="135" t="str">
        <f>'Org structure'!A2</f>
        <v>Vote 1 - Finance and Administration</v>
      </c>
      <c r="B6" s="769"/>
      <c r="C6" s="212">
        <f>SUM(C7:C16)</f>
        <v>0</v>
      </c>
      <c r="D6" s="212">
        <f t="shared" ref="D6:L6" si="0">SUM(D7:D16)</f>
        <v>0</v>
      </c>
      <c r="E6" s="213">
        <f t="shared" si="0"/>
        <v>0</v>
      </c>
      <c r="F6" s="214">
        <f t="shared" si="0"/>
        <v>0</v>
      </c>
      <c r="G6" s="212">
        <f t="shared" si="0"/>
        <v>0</v>
      </c>
      <c r="H6" s="213">
        <f t="shared" si="0"/>
        <v>0</v>
      </c>
      <c r="I6" s="770">
        <f>SUM(I7:I16)</f>
        <v>0</v>
      </c>
      <c r="J6" s="216">
        <f t="shared" si="0"/>
        <v>0</v>
      </c>
      <c r="K6" s="212">
        <f t="shared" si="0"/>
        <v>0</v>
      </c>
      <c r="L6" s="771">
        <f t="shared" si="0"/>
        <v>0</v>
      </c>
      <c r="M6" s="772"/>
      <c r="N6" s="214">
        <f t="shared" ref="N6:U6" si="1">SUM(N7:N16)</f>
        <v>0</v>
      </c>
      <c r="O6" s="212">
        <f t="shared" si="1"/>
        <v>0</v>
      </c>
      <c r="P6" s="213">
        <f t="shared" si="1"/>
        <v>0</v>
      </c>
      <c r="Q6" s="213">
        <f t="shared" si="1"/>
        <v>0</v>
      </c>
      <c r="R6" s="214">
        <f t="shared" si="1"/>
        <v>0</v>
      </c>
      <c r="S6" s="212">
        <f t="shared" si="1"/>
        <v>0</v>
      </c>
      <c r="T6" s="773">
        <f t="shared" si="1"/>
        <v>0</v>
      </c>
      <c r="U6" s="774">
        <f t="shared" si="1"/>
        <v>0</v>
      </c>
      <c r="V6" s="215">
        <f>SUM(V7:V16)</f>
        <v>0</v>
      </c>
      <c r="W6" s="212">
        <f>SUM(W7:W16)</f>
        <v>0</v>
      </c>
      <c r="X6" s="771">
        <f>SUM(X7:X16)</f>
        <v>0</v>
      </c>
      <c r="AD6" s="2315"/>
    </row>
    <row r="7" spans="1:30" ht="11.25" customHeight="1" x14ac:dyDescent="0.25">
      <c r="A7" s="136" t="str">
        <f>IF(RIGHT('Org structure'!D3,18)&lt;&gt;"[Name of sub-vote]",'Org structure'!D3,"")</f>
        <v>1.1 - Finance</v>
      </c>
      <c r="B7" s="711"/>
      <c r="C7" s="775"/>
      <c r="D7" s="775"/>
      <c r="E7" s="717"/>
      <c r="F7" s="776"/>
      <c r="G7" s="775"/>
      <c r="H7" s="777"/>
      <c r="I7" s="778"/>
      <c r="J7" s="779">
        <f>Q7+V7</f>
        <v>0</v>
      </c>
      <c r="K7" s="780">
        <f>U7+W7</f>
        <v>0</v>
      </c>
      <c r="L7" s="781">
        <f>X7</f>
        <v>0</v>
      </c>
      <c r="M7" s="782"/>
      <c r="N7" s="776"/>
      <c r="O7" s="775"/>
      <c r="P7" s="777"/>
      <c r="Q7" s="214">
        <f>SUM(N7:P7)</f>
        <v>0</v>
      </c>
      <c r="R7" s="776"/>
      <c r="S7" s="775"/>
      <c r="T7" s="778"/>
      <c r="U7" s="774">
        <f>SUM(R7:T7)</f>
        <v>0</v>
      </c>
      <c r="V7" s="778"/>
      <c r="W7" s="775"/>
      <c r="X7" s="783"/>
      <c r="AC7" s="2312">
        <v>11</v>
      </c>
      <c r="AD7" s="2318" t="s">
        <v>2805</v>
      </c>
    </row>
    <row r="8" spans="1:30" ht="11.25" customHeight="1" x14ac:dyDescent="0.25">
      <c r="A8" s="136" t="str">
        <f>IF(RIGHT('Org structure'!D4,18)&lt;&gt;"[Name of sub-vote]",'Org structure'!D4,"")</f>
        <v>1.2 - Fleet Management</v>
      </c>
      <c r="B8" s="711"/>
      <c r="C8" s="775"/>
      <c r="D8" s="775"/>
      <c r="E8" s="777"/>
      <c r="F8" s="776"/>
      <c r="G8" s="775"/>
      <c r="H8" s="777"/>
      <c r="I8" s="778"/>
      <c r="J8" s="779">
        <f>Q8+V8</f>
        <v>0</v>
      </c>
      <c r="K8" s="780">
        <f>U8+W8</f>
        <v>0</v>
      </c>
      <c r="L8" s="781">
        <f t="shared" ref="L8:L16" si="2">X8</f>
        <v>0</v>
      </c>
      <c r="M8" s="782"/>
      <c r="N8" s="776"/>
      <c r="O8" s="775"/>
      <c r="P8" s="777"/>
      <c r="Q8" s="214">
        <f t="shared" ref="Q8:Q16" si="3">SUM(N8:P8)</f>
        <v>0</v>
      </c>
      <c r="R8" s="776"/>
      <c r="S8" s="775"/>
      <c r="T8" s="778"/>
      <c r="U8" s="774">
        <f t="shared" ref="U8:U71" si="4">SUM(R8:T8)</f>
        <v>0</v>
      </c>
      <c r="V8" s="778"/>
      <c r="W8" s="775"/>
      <c r="X8" s="783"/>
      <c r="AC8" s="2312">
        <v>12</v>
      </c>
      <c r="AD8" s="2318" t="s">
        <v>2805</v>
      </c>
    </row>
    <row r="9" spans="1:30" ht="11.25" customHeight="1" x14ac:dyDescent="0.25">
      <c r="A9" s="136" t="str">
        <f>IF(RIGHT('Org structure'!D5,18)&lt;&gt;"[Name of sub-vote]",'Org structure'!D5,"")</f>
        <v>1.3 - Asset Management</v>
      </c>
      <c r="B9" s="711"/>
      <c r="C9" s="775"/>
      <c r="D9" s="775"/>
      <c r="E9" s="777"/>
      <c r="F9" s="776"/>
      <c r="G9" s="775"/>
      <c r="H9" s="777"/>
      <c r="I9" s="778"/>
      <c r="J9" s="779">
        <f t="shared" ref="J9:J16" si="5">Q9+V9</f>
        <v>0</v>
      </c>
      <c r="K9" s="780">
        <f t="shared" ref="K9:K16" si="6">U9+W9</f>
        <v>0</v>
      </c>
      <c r="L9" s="781">
        <f t="shared" si="2"/>
        <v>0</v>
      </c>
      <c r="M9" s="782"/>
      <c r="N9" s="776"/>
      <c r="O9" s="775"/>
      <c r="P9" s="777"/>
      <c r="Q9" s="214">
        <f t="shared" si="3"/>
        <v>0</v>
      </c>
      <c r="R9" s="776"/>
      <c r="S9" s="775"/>
      <c r="T9" s="778"/>
      <c r="U9" s="774">
        <f t="shared" si="4"/>
        <v>0</v>
      </c>
      <c r="V9" s="778"/>
      <c r="W9" s="775"/>
      <c r="X9" s="783"/>
      <c r="AC9" s="2312">
        <v>13</v>
      </c>
      <c r="AD9" s="2318" t="s">
        <v>2805</v>
      </c>
    </row>
    <row r="10" spans="1:30" ht="11.25" customHeight="1" x14ac:dyDescent="0.25">
      <c r="A10" s="136" t="str">
        <f>IF(RIGHT('Org structure'!D6,18)&lt;&gt;"[Name of sub-vote]",'Org structure'!D6,"")</f>
        <v>1.4 - Administrative and Corporate Support</v>
      </c>
      <c r="B10" s="711"/>
      <c r="C10" s="775"/>
      <c r="D10" s="775"/>
      <c r="E10" s="777"/>
      <c r="F10" s="776"/>
      <c r="G10" s="775"/>
      <c r="H10" s="777"/>
      <c r="I10" s="778"/>
      <c r="J10" s="779">
        <f t="shared" si="5"/>
        <v>0</v>
      </c>
      <c r="K10" s="780">
        <f t="shared" si="6"/>
        <v>0</v>
      </c>
      <c r="L10" s="781">
        <f t="shared" si="2"/>
        <v>0</v>
      </c>
      <c r="M10" s="782"/>
      <c r="N10" s="776"/>
      <c r="O10" s="775"/>
      <c r="P10" s="777"/>
      <c r="Q10" s="214">
        <f t="shared" si="3"/>
        <v>0</v>
      </c>
      <c r="R10" s="776"/>
      <c r="S10" s="775"/>
      <c r="T10" s="778"/>
      <c r="U10" s="774">
        <f t="shared" si="4"/>
        <v>0</v>
      </c>
      <c r="V10" s="778"/>
      <c r="W10" s="775"/>
      <c r="X10" s="783"/>
      <c r="AC10" s="2312">
        <v>14</v>
      </c>
      <c r="AD10" s="2318" t="s">
        <v>2805</v>
      </c>
    </row>
    <row r="11" spans="1:30" ht="11.25" customHeight="1" x14ac:dyDescent="0.25">
      <c r="A11" s="136" t="str">
        <f>IF(RIGHT('Org structure'!D7,18)&lt;&gt;"[Name of sub-vote]",'Org structure'!D7,"")</f>
        <v>1.5 - Human Resources</v>
      </c>
      <c r="B11" s="711"/>
      <c r="C11" s="775"/>
      <c r="D11" s="775"/>
      <c r="E11" s="777"/>
      <c r="F11" s="776"/>
      <c r="G11" s="775"/>
      <c r="H11" s="777"/>
      <c r="I11" s="778"/>
      <c r="J11" s="779">
        <f t="shared" si="5"/>
        <v>0</v>
      </c>
      <c r="K11" s="780">
        <f t="shared" si="6"/>
        <v>0</v>
      </c>
      <c r="L11" s="781">
        <f>X11</f>
        <v>0</v>
      </c>
      <c r="M11" s="782"/>
      <c r="N11" s="776"/>
      <c r="O11" s="775"/>
      <c r="P11" s="777"/>
      <c r="Q11" s="214">
        <f t="shared" si="3"/>
        <v>0</v>
      </c>
      <c r="R11" s="776"/>
      <c r="S11" s="775"/>
      <c r="T11" s="778"/>
      <c r="U11" s="774">
        <f t="shared" si="4"/>
        <v>0</v>
      </c>
      <c r="V11" s="778"/>
      <c r="W11" s="775"/>
      <c r="X11" s="783"/>
      <c r="AC11" s="2312">
        <v>15</v>
      </c>
      <c r="AD11" s="2318" t="s">
        <v>2805</v>
      </c>
    </row>
    <row r="12" spans="1:30" ht="11.25" customHeight="1" x14ac:dyDescent="0.25">
      <c r="A12" s="136" t="str">
        <f>IF(RIGHT('Org structure'!D8,18)&lt;&gt;"[Name of sub-vote]",'Org structure'!D8,"")</f>
        <v>1.6 - Property Services</v>
      </c>
      <c r="B12" s="711"/>
      <c r="C12" s="775"/>
      <c r="D12" s="775"/>
      <c r="E12" s="777"/>
      <c r="F12" s="776"/>
      <c r="G12" s="775"/>
      <c r="H12" s="777"/>
      <c r="I12" s="778"/>
      <c r="J12" s="779">
        <f t="shared" si="5"/>
        <v>0</v>
      </c>
      <c r="K12" s="780">
        <f t="shared" si="6"/>
        <v>0</v>
      </c>
      <c r="L12" s="781">
        <f t="shared" si="2"/>
        <v>0</v>
      </c>
      <c r="M12" s="782"/>
      <c r="N12" s="776"/>
      <c r="O12" s="775"/>
      <c r="P12" s="777"/>
      <c r="Q12" s="214">
        <f t="shared" si="3"/>
        <v>0</v>
      </c>
      <c r="R12" s="776"/>
      <c r="S12" s="775"/>
      <c r="T12" s="778"/>
      <c r="U12" s="774">
        <f t="shared" si="4"/>
        <v>0</v>
      </c>
      <c r="V12" s="778"/>
      <c r="W12" s="775"/>
      <c r="X12" s="783"/>
      <c r="AC12" s="2312">
        <v>16</v>
      </c>
      <c r="AD12" s="2318" t="s">
        <v>2805</v>
      </c>
    </row>
    <row r="13" spans="1:30" ht="11.25" customHeight="1" x14ac:dyDescent="0.25">
      <c r="A13" s="136" t="str">
        <f>IF(RIGHT('Org structure'!D9,18)&lt;&gt;"[Name of sub-vote]",'Org structure'!D9,"")</f>
        <v>1.7 - Legal Services</v>
      </c>
      <c r="B13" s="711"/>
      <c r="C13" s="775"/>
      <c r="D13" s="775"/>
      <c r="E13" s="777"/>
      <c r="F13" s="776"/>
      <c r="G13" s="775"/>
      <c r="H13" s="777"/>
      <c r="I13" s="778"/>
      <c r="J13" s="779">
        <f t="shared" si="5"/>
        <v>0</v>
      </c>
      <c r="K13" s="780">
        <f t="shared" si="6"/>
        <v>0</v>
      </c>
      <c r="L13" s="781">
        <f t="shared" si="2"/>
        <v>0</v>
      </c>
      <c r="M13" s="782"/>
      <c r="N13" s="776"/>
      <c r="O13" s="775"/>
      <c r="P13" s="777"/>
      <c r="Q13" s="214">
        <f t="shared" si="3"/>
        <v>0</v>
      </c>
      <c r="R13" s="776"/>
      <c r="S13" s="775"/>
      <c r="T13" s="778"/>
      <c r="U13" s="774">
        <f t="shared" si="4"/>
        <v>0</v>
      </c>
      <c r="V13" s="778"/>
      <c r="W13" s="775"/>
      <c r="X13" s="783"/>
      <c r="AC13" s="2312">
        <v>17</v>
      </c>
      <c r="AD13" s="2318" t="s">
        <v>2805</v>
      </c>
    </row>
    <row r="14" spans="1:30" ht="11.25" customHeight="1" x14ac:dyDescent="0.25">
      <c r="A14" s="136" t="str">
        <f>IF(RIGHT('Org structure'!D10,18)&lt;&gt;"[Name of sub-vote]",'Org structure'!D10,"")</f>
        <v>1.8 - Information Technology</v>
      </c>
      <c r="B14" s="711"/>
      <c r="C14" s="775"/>
      <c r="D14" s="775"/>
      <c r="E14" s="777"/>
      <c r="F14" s="776"/>
      <c r="G14" s="775"/>
      <c r="H14" s="777"/>
      <c r="I14" s="778"/>
      <c r="J14" s="779">
        <f t="shared" si="5"/>
        <v>0</v>
      </c>
      <c r="K14" s="780">
        <f t="shared" si="6"/>
        <v>0</v>
      </c>
      <c r="L14" s="781">
        <f t="shared" si="2"/>
        <v>0</v>
      </c>
      <c r="M14" s="782"/>
      <c r="N14" s="776"/>
      <c r="O14" s="775"/>
      <c r="P14" s="777"/>
      <c r="Q14" s="214">
        <f t="shared" si="3"/>
        <v>0</v>
      </c>
      <c r="R14" s="776"/>
      <c r="S14" s="775"/>
      <c r="T14" s="778"/>
      <c r="U14" s="774">
        <f t="shared" si="4"/>
        <v>0</v>
      </c>
      <c r="V14" s="778"/>
      <c r="W14" s="775"/>
      <c r="X14" s="783"/>
      <c r="AC14" s="2312">
        <v>18</v>
      </c>
      <c r="AD14" s="2318" t="s">
        <v>2805</v>
      </c>
    </row>
    <row r="15" spans="1:30" ht="11.25" customHeight="1" x14ac:dyDescent="0.25">
      <c r="A15" s="136" t="str">
        <f>IF(RIGHT('Org structure'!D11,18)&lt;&gt;"[Name of sub-vote]",'Org structure'!D11,"")</f>
        <v>1.9 - Marketing, Customer Relations, Publicity and Media Co-ordination</v>
      </c>
      <c r="B15" s="711"/>
      <c r="C15" s="775"/>
      <c r="D15" s="775"/>
      <c r="E15" s="777"/>
      <c r="F15" s="776"/>
      <c r="G15" s="775"/>
      <c r="H15" s="777"/>
      <c r="I15" s="778"/>
      <c r="J15" s="779">
        <f t="shared" si="5"/>
        <v>0</v>
      </c>
      <c r="K15" s="780">
        <f t="shared" si="6"/>
        <v>0</v>
      </c>
      <c r="L15" s="781">
        <f t="shared" si="2"/>
        <v>0</v>
      </c>
      <c r="M15" s="782"/>
      <c r="N15" s="776"/>
      <c r="O15" s="775"/>
      <c r="P15" s="777"/>
      <c r="Q15" s="214">
        <f t="shared" si="3"/>
        <v>0</v>
      </c>
      <c r="R15" s="776"/>
      <c r="S15" s="775"/>
      <c r="T15" s="778"/>
      <c r="U15" s="774">
        <f t="shared" si="4"/>
        <v>0</v>
      </c>
      <c r="V15" s="778"/>
      <c r="W15" s="775"/>
      <c r="X15" s="783"/>
      <c r="AC15" s="2312">
        <v>19</v>
      </c>
      <c r="AD15" s="2318" t="s">
        <v>2805</v>
      </c>
    </row>
    <row r="16" spans="1:30" ht="11.25" customHeight="1" x14ac:dyDescent="0.25">
      <c r="A16" s="136" t="str">
        <f>IF(RIGHT('Org structure'!D12,18)&lt;&gt;"[Name of sub-vote]",'Org structure'!D12,"")</f>
        <v/>
      </c>
      <c r="B16" s="711"/>
      <c r="C16" s="775"/>
      <c r="D16" s="775"/>
      <c r="E16" s="777"/>
      <c r="F16" s="776"/>
      <c r="G16" s="775"/>
      <c r="H16" s="777"/>
      <c r="I16" s="778"/>
      <c r="J16" s="779">
        <f t="shared" si="5"/>
        <v>0</v>
      </c>
      <c r="K16" s="780">
        <f t="shared" si="6"/>
        <v>0</v>
      </c>
      <c r="L16" s="781">
        <f t="shared" si="2"/>
        <v>0</v>
      </c>
      <c r="M16" s="784"/>
      <c r="N16" s="776"/>
      <c r="O16" s="775"/>
      <c r="P16" s="777"/>
      <c r="Q16" s="214">
        <f t="shared" si="3"/>
        <v>0</v>
      </c>
      <c r="R16" s="776"/>
      <c r="S16" s="775"/>
      <c r="T16" s="778"/>
      <c r="U16" s="774">
        <f t="shared" si="4"/>
        <v>0</v>
      </c>
      <c r="V16" s="778"/>
      <c r="W16" s="775"/>
      <c r="X16" s="783"/>
      <c r="AC16" s="2312">
        <v>110</v>
      </c>
      <c r="AD16" s="2318" t="s">
        <v>2805</v>
      </c>
    </row>
    <row r="17" spans="1:30" ht="15" customHeight="1" x14ac:dyDescent="0.25">
      <c r="A17" s="135" t="str">
        <f>'Org structure'!A3</f>
        <v>Vote 2 - Finance and Administration2</v>
      </c>
      <c r="B17" s="769"/>
      <c r="C17" s="212">
        <f>SUM(C18:C27)</f>
        <v>0</v>
      </c>
      <c r="D17" s="212">
        <f t="shared" ref="D17:L17" si="7">SUM(D18:D27)</f>
        <v>0</v>
      </c>
      <c r="E17" s="213">
        <f t="shared" si="7"/>
        <v>0</v>
      </c>
      <c r="F17" s="214">
        <f t="shared" si="7"/>
        <v>0</v>
      </c>
      <c r="G17" s="212">
        <f t="shared" si="7"/>
        <v>0</v>
      </c>
      <c r="H17" s="213">
        <f t="shared" si="7"/>
        <v>0</v>
      </c>
      <c r="I17" s="215">
        <f>SUM(I18:I27)</f>
        <v>0</v>
      </c>
      <c r="J17" s="779">
        <f t="shared" si="7"/>
        <v>0</v>
      </c>
      <c r="K17" s="780">
        <f t="shared" si="7"/>
        <v>0</v>
      </c>
      <c r="L17" s="781">
        <f t="shared" si="7"/>
        <v>0</v>
      </c>
      <c r="M17" s="785"/>
      <c r="N17" s="214">
        <f t="shared" ref="N17:X17" si="8">SUM(N18:N27)</f>
        <v>0</v>
      </c>
      <c r="O17" s="212">
        <f t="shared" si="8"/>
        <v>0</v>
      </c>
      <c r="P17" s="213">
        <f t="shared" si="8"/>
        <v>0</v>
      </c>
      <c r="Q17" s="214">
        <f t="shared" si="8"/>
        <v>0</v>
      </c>
      <c r="R17" s="214">
        <f t="shared" si="8"/>
        <v>0</v>
      </c>
      <c r="S17" s="212">
        <f t="shared" si="8"/>
        <v>0</v>
      </c>
      <c r="T17" s="773">
        <f t="shared" si="8"/>
        <v>0</v>
      </c>
      <c r="U17" s="774">
        <f t="shared" si="8"/>
        <v>0</v>
      </c>
      <c r="V17" s="786">
        <f t="shared" si="8"/>
        <v>0</v>
      </c>
      <c r="W17" s="212">
        <f t="shared" si="8"/>
        <v>0</v>
      </c>
      <c r="X17" s="771">
        <f t="shared" si="8"/>
        <v>0</v>
      </c>
      <c r="AD17" s="2315"/>
    </row>
    <row r="18" spans="1:30" ht="11.25" customHeight="1" x14ac:dyDescent="0.25">
      <c r="A18" s="136" t="str">
        <f>IF(RIGHT('Org structure'!D14,18)&lt;&gt;"[Name of sub-vote]",'Org structure'!D14,"")</f>
        <v>2.1 - Supply Chain Management</v>
      </c>
      <c r="B18" s="711"/>
      <c r="C18" s="775"/>
      <c r="D18" s="775"/>
      <c r="E18" s="777"/>
      <c r="F18" s="776"/>
      <c r="G18" s="775"/>
      <c r="H18" s="777"/>
      <c r="I18" s="778"/>
      <c r="J18" s="779">
        <f t="shared" ref="J18:J27" si="9">Q18+V18</f>
        <v>0</v>
      </c>
      <c r="K18" s="780">
        <f t="shared" ref="K18:K27" si="10">U18+W18</f>
        <v>0</v>
      </c>
      <c r="L18" s="781">
        <f t="shared" ref="L18:L27" si="11">X18</f>
        <v>0</v>
      </c>
      <c r="M18" s="782"/>
      <c r="N18" s="776"/>
      <c r="O18" s="775"/>
      <c r="P18" s="777"/>
      <c r="Q18" s="214">
        <f t="shared" ref="Q18:Q27" si="12">SUM(N18:P18)</f>
        <v>0</v>
      </c>
      <c r="R18" s="776"/>
      <c r="S18" s="775"/>
      <c r="T18" s="778"/>
      <c r="U18" s="774">
        <f t="shared" si="4"/>
        <v>0</v>
      </c>
      <c r="V18" s="778"/>
      <c r="W18" s="775"/>
      <c r="X18" s="783"/>
      <c r="AC18" s="2312">
        <v>21</v>
      </c>
      <c r="AD18" s="2318" t="s">
        <v>2805</v>
      </c>
    </row>
    <row r="19" spans="1:30" ht="11.25" customHeight="1" x14ac:dyDescent="0.25">
      <c r="A19" s="136" t="str">
        <f>IF(RIGHT('Org structure'!D15,18)&lt;&gt;"[Name of sub-vote]",'Org structure'!D15,"")</f>
        <v/>
      </c>
      <c r="B19" s="711"/>
      <c r="C19" s="775"/>
      <c r="D19" s="775"/>
      <c r="E19" s="777"/>
      <c r="F19" s="776"/>
      <c r="G19" s="775"/>
      <c r="H19" s="777"/>
      <c r="I19" s="778"/>
      <c r="J19" s="779">
        <f>Q19+V19</f>
        <v>0</v>
      </c>
      <c r="K19" s="780">
        <f>U19+W19</f>
        <v>0</v>
      </c>
      <c r="L19" s="781">
        <f t="shared" si="11"/>
        <v>0</v>
      </c>
      <c r="M19" s="782"/>
      <c r="N19" s="776"/>
      <c r="O19" s="775"/>
      <c r="P19" s="777"/>
      <c r="Q19" s="214">
        <f t="shared" si="12"/>
        <v>0</v>
      </c>
      <c r="R19" s="776"/>
      <c r="S19" s="775"/>
      <c r="T19" s="778"/>
      <c r="U19" s="774">
        <f t="shared" si="4"/>
        <v>0</v>
      </c>
      <c r="V19" s="778"/>
      <c r="W19" s="775"/>
      <c r="X19" s="783"/>
      <c r="AC19" s="2312">
        <v>22</v>
      </c>
      <c r="AD19" s="2318" t="s">
        <v>2805</v>
      </c>
    </row>
    <row r="20" spans="1:30" ht="11.25" customHeight="1" x14ac:dyDescent="0.25">
      <c r="A20" s="136" t="str">
        <f>IF(RIGHT('Org structure'!D16,18)&lt;&gt;"[Name of sub-vote]",'Org structure'!D16,"")</f>
        <v/>
      </c>
      <c r="B20" s="711"/>
      <c r="C20" s="775"/>
      <c r="D20" s="775"/>
      <c r="E20" s="777"/>
      <c r="F20" s="776"/>
      <c r="G20" s="775"/>
      <c r="H20" s="777"/>
      <c r="I20" s="778"/>
      <c r="J20" s="779">
        <f t="shared" si="9"/>
        <v>0</v>
      </c>
      <c r="K20" s="780">
        <f t="shared" si="10"/>
        <v>0</v>
      </c>
      <c r="L20" s="781">
        <f t="shared" si="11"/>
        <v>0</v>
      </c>
      <c r="M20" s="782"/>
      <c r="N20" s="776"/>
      <c r="O20" s="775"/>
      <c r="P20" s="777"/>
      <c r="Q20" s="214">
        <f t="shared" si="12"/>
        <v>0</v>
      </c>
      <c r="R20" s="776"/>
      <c r="S20" s="775"/>
      <c r="T20" s="778"/>
      <c r="U20" s="774">
        <f t="shared" si="4"/>
        <v>0</v>
      </c>
      <c r="V20" s="778"/>
      <c r="W20" s="775"/>
      <c r="X20" s="783"/>
      <c r="AC20" s="2312">
        <v>23</v>
      </c>
      <c r="AD20" s="2318" t="s">
        <v>2805</v>
      </c>
    </row>
    <row r="21" spans="1:30" ht="11.25" customHeight="1" x14ac:dyDescent="0.25">
      <c r="A21" s="136" t="str">
        <f>IF(RIGHT('Org structure'!D17,18)&lt;&gt;"[Name of sub-vote]",'Org structure'!D17,"")</f>
        <v/>
      </c>
      <c r="B21" s="711"/>
      <c r="C21" s="775"/>
      <c r="D21" s="775"/>
      <c r="E21" s="777"/>
      <c r="F21" s="776"/>
      <c r="G21" s="775"/>
      <c r="H21" s="777"/>
      <c r="I21" s="778"/>
      <c r="J21" s="779">
        <f t="shared" si="9"/>
        <v>0</v>
      </c>
      <c r="K21" s="780">
        <f>U21+W21</f>
        <v>0</v>
      </c>
      <c r="L21" s="781">
        <f t="shared" si="11"/>
        <v>0</v>
      </c>
      <c r="M21" s="782"/>
      <c r="N21" s="776"/>
      <c r="O21" s="775"/>
      <c r="P21" s="777"/>
      <c r="Q21" s="214">
        <f t="shared" si="12"/>
        <v>0</v>
      </c>
      <c r="R21" s="776"/>
      <c r="S21" s="775"/>
      <c r="T21" s="778"/>
      <c r="U21" s="774">
        <f t="shared" si="4"/>
        <v>0</v>
      </c>
      <c r="V21" s="778"/>
      <c r="W21" s="775"/>
      <c r="X21" s="783"/>
      <c r="AC21" s="2312">
        <v>24</v>
      </c>
      <c r="AD21" s="2318" t="s">
        <v>2805</v>
      </c>
    </row>
    <row r="22" spans="1:30" ht="11.25" customHeight="1" x14ac:dyDescent="0.25">
      <c r="A22" s="136" t="str">
        <f>IF(RIGHT('Org structure'!D18,18)&lt;&gt;"[Name of sub-vote]",'Org structure'!D18,"")</f>
        <v/>
      </c>
      <c r="B22" s="711"/>
      <c r="C22" s="775"/>
      <c r="D22" s="775"/>
      <c r="E22" s="777"/>
      <c r="F22" s="776"/>
      <c r="G22" s="775"/>
      <c r="H22" s="777"/>
      <c r="I22" s="778"/>
      <c r="J22" s="779">
        <f t="shared" si="9"/>
        <v>0</v>
      </c>
      <c r="K22" s="780">
        <f t="shared" si="10"/>
        <v>0</v>
      </c>
      <c r="L22" s="781">
        <f t="shared" si="11"/>
        <v>0</v>
      </c>
      <c r="M22" s="782"/>
      <c r="N22" s="776"/>
      <c r="O22" s="775"/>
      <c r="P22" s="777"/>
      <c r="Q22" s="214">
        <f t="shared" si="12"/>
        <v>0</v>
      </c>
      <c r="R22" s="776"/>
      <c r="S22" s="775"/>
      <c r="T22" s="778"/>
      <c r="U22" s="774">
        <f t="shared" si="4"/>
        <v>0</v>
      </c>
      <c r="V22" s="778"/>
      <c r="W22" s="775"/>
      <c r="X22" s="783"/>
      <c r="AC22" s="2312">
        <v>25</v>
      </c>
      <c r="AD22" s="2318" t="s">
        <v>2805</v>
      </c>
    </row>
    <row r="23" spans="1:30" ht="11.25" customHeight="1" x14ac:dyDescent="0.25">
      <c r="A23" s="136" t="str">
        <f>IF(RIGHT('Org structure'!D19,18)&lt;&gt;"[Name of sub-vote]",'Org structure'!D19,"")</f>
        <v/>
      </c>
      <c r="B23" s="711"/>
      <c r="C23" s="775"/>
      <c r="D23" s="775"/>
      <c r="E23" s="777"/>
      <c r="F23" s="776"/>
      <c r="G23" s="775"/>
      <c r="H23" s="777"/>
      <c r="I23" s="778"/>
      <c r="J23" s="779">
        <f t="shared" si="9"/>
        <v>0</v>
      </c>
      <c r="K23" s="780">
        <f t="shared" si="10"/>
        <v>0</v>
      </c>
      <c r="L23" s="781">
        <f t="shared" si="11"/>
        <v>0</v>
      </c>
      <c r="M23" s="782"/>
      <c r="N23" s="776"/>
      <c r="O23" s="775"/>
      <c r="P23" s="777"/>
      <c r="Q23" s="214">
        <f t="shared" si="12"/>
        <v>0</v>
      </c>
      <c r="R23" s="776"/>
      <c r="S23" s="775"/>
      <c r="T23" s="778"/>
      <c r="U23" s="774">
        <f t="shared" si="4"/>
        <v>0</v>
      </c>
      <c r="V23" s="778"/>
      <c r="W23" s="775"/>
      <c r="X23" s="783"/>
      <c r="AC23" s="2312">
        <v>26</v>
      </c>
      <c r="AD23" s="2318" t="s">
        <v>2805</v>
      </c>
    </row>
    <row r="24" spans="1:30" ht="11.25" customHeight="1" x14ac:dyDescent="0.25">
      <c r="A24" s="136" t="str">
        <f>IF(RIGHT('Org structure'!D20,18)&lt;&gt;"[Name of sub-vote]",'Org structure'!D20,"")</f>
        <v/>
      </c>
      <c r="B24" s="711"/>
      <c r="C24" s="775"/>
      <c r="D24" s="775"/>
      <c r="E24" s="777"/>
      <c r="F24" s="776"/>
      <c r="G24" s="775"/>
      <c r="H24" s="777"/>
      <c r="I24" s="778"/>
      <c r="J24" s="779">
        <f t="shared" si="9"/>
        <v>0</v>
      </c>
      <c r="K24" s="780">
        <f t="shared" si="10"/>
        <v>0</v>
      </c>
      <c r="L24" s="781">
        <f t="shared" si="11"/>
        <v>0</v>
      </c>
      <c r="M24" s="782"/>
      <c r="N24" s="776"/>
      <c r="O24" s="775"/>
      <c r="P24" s="777"/>
      <c r="Q24" s="214">
        <f t="shared" si="12"/>
        <v>0</v>
      </c>
      <c r="R24" s="776"/>
      <c r="S24" s="775"/>
      <c r="T24" s="778"/>
      <c r="U24" s="774">
        <f t="shared" si="4"/>
        <v>0</v>
      </c>
      <c r="V24" s="778"/>
      <c r="W24" s="775"/>
      <c r="X24" s="783"/>
      <c r="AC24" s="2312">
        <v>27</v>
      </c>
      <c r="AD24" s="2318" t="s">
        <v>2805</v>
      </c>
    </row>
    <row r="25" spans="1:30" ht="11.25" customHeight="1" x14ac:dyDescent="0.25">
      <c r="A25" s="136" t="str">
        <f>IF(RIGHT('Org structure'!D21,18)&lt;&gt;"[Name of sub-vote]",'Org structure'!D21,"")</f>
        <v/>
      </c>
      <c r="B25" s="711"/>
      <c r="C25" s="775"/>
      <c r="D25" s="775"/>
      <c r="E25" s="777"/>
      <c r="F25" s="776"/>
      <c r="G25" s="775"/>
      <c r="H25" s="777"/>
      <c r="I25" s="778"/>
      <c r="J25" s="779">
        <f t="shared" si="9"/>
        <v>0</v>
      </c>
      <c r="K25" s="780">
        <f t="shared" si="10"/>
        <v>0</v>
      </c>
      <c r="L25" s="781">
        <f t="shared" si="11"/>
        <v>0</v>
      </c>
      <c r="M25" s="782"/>
      <c r="N25" s="776"/>
      <c r="O25" s="775"/>
      <c r="P25" s="777"/>
      <c r="Q25" s="214">
        <f t="shared" si="12"/>
        <v>0</v>
      </c>
      <c r="R25" s="776"/>
      <c r="S25" s="775"/>
      <c r="T25" s="778"/>
      <c r="U25" s="774">
        <f t="shared" si="4"/>
        <v>0</v>
      </c>
      <c r="V25" s="778"/>
      <c r="W25" s="775"/>
      <c r="X25" s="783"/>
      <c r="AC25" s="2312">
        <v>28</v>
      </c>
      <c r="AD25" s="2318" t="s">
        <v>2805</v>
      </c>
    </row>
    <row r="26" spans="1:30" ht="11.25" customHeight="1" x14ac:dyDescent="0.25">
      <c r="A26" s="136" t="str">
        <f>IF(RIGHT('Org structure'!D22,18)&lt;&gt;"[Name of sub-vote]",'Org structure'!D22,"")</f>
        <v/>
      </c>
      <c r="B26" s="711"/>
      <c r="C26" s="775"/>
      <c r="D26" s="775"/>
      <c r="E26" s="777"/>
      <c r="F26" s="776"/>
      <c r="G26" s="775"/>
      <c r="H26" s="777"/>
      <c r="I26" s="778"/>
      <c r="J26" s="779">
        <f t="shared" si="9"/>
        <v>0</v>
      </c>
      <c r="K26" s="780">
        <f t="shared" si="10"/>
        <v>0</v>
      </c>
      <c r="L26" s="781">
        <f t="shared" si="11"/>
        <v>0</v>
      </c>
      <c r="M26" s="782"/>
      <c r="N26" s="776"/>
      <c r="O26" s="775"/>
      <c r="P26" s="777"/>
      <c r="Q26" s="214">
        <f t="shared" si="12"/>
        <v>0</v>
      </c>
      <c r="R26" s="776"/>
      <c r="S26" s="775"/>
      <c r="T26" s="778"/>
      <c r="U26" s="774">
        <f t="shared" si="4"/>
        <v>0</v>
      </c>
      <c r="V26" s="778"/>
      <c r="W26" s="775"/>
      <c r="X26" s="783"/>
      <c r="AC26" s="2312">
        <v>29</v>
      </c>
      <c r="AD26" s="2318" t="s">
        <v>2805</v>
      </c>
    </row>
    <row r="27" spans="1:30" ht="11.25" customHeight="1" x14ac:dyDescent="0.25">
      <c r="A27" s="136" t="str">
        <f>IF(RIGHT('Org structure'!D23,18)&lt;&gt;"[Name of sub-vote]",'Org structure'!D23,"")</f>
        <v/>
      </c>
      <c r="B27" s="711"/>
      <c r="C27" s="775"/>
      <c r="D27" s="775"/>
      <c r="E27" s="777"/>
      <c r="F27" s="776"/>
      <c r="G27" s="775"/>
      <c r="H27" s="777"/>
      <c r="I27" s="778"/>
      <c r="J27" s="779">
        <f t="shared" si="9"/>
        <v>0</v>
      </c>
      <c r="K27" s="780">
        <f t="shared" si="10"/>
        <v>0</v>
      </c>
      <c r="L27" s="781">
        <f t="shared" si="11"/>
        <v>0</v>
      </c>
      <c r="M27" s="782"/>
      <c r="N27" s="776"/>
      <c r="O27" s="775"/>
      <c r="P27" s="777"/>
      <c r="Q27" s="214">
        <f t="shared" si="12"/>
        <v>0</v>
      </c>
      <c r="R27" s="776"/>
      <c r="S27" s="775"/>
      <c r="T27" s="778"/>
      <c r="U27" s="774">
        <f t="shared" si="4"/>
        <v>0</v>
      </c>
      <c r="V27" s="778"/>
      <c r="W27" s="775"/>
      <c r="X27" s="783"/>
      <c r="AC27" s="2312">
        <v>210</v>
      </c>
      <c r="AD27" s="2318" t="s">
        <v>2805</v>
      </c>
    </row>
    <row r="28" spans="1:30" ht="15" customHeight="1" x14ac:dyDescent="0.25">
      <c r="A28" s="135" t="str">
        <f>'Org structure'!A4</f>
        <v>Vote 3 - Executive and Council</v>
      </c>
      <c r="B28" s="769"/>
      <c r="C28" s="212">
        <f>SUM(C29:C38)</f>
        <v>0</v>
      </c>
      <c r="D28" s="212">
        <f t="shared" ref="D28:L28" si="13">SUM(D29:D38)</f>
        <v>0</v>
      </c>
      <c r="E28" s="213">
        <f t="shared" si="13"/>
        <v>0</v>
      </c>
      <c r="F28" s="214">
        <f t="shared" si="13"/>
        <v>0</v>
      </c>
      <c r="G28" s="212">
        <f t="shared" si="13"/>
        <v>0</v>
      </c>
      <c r="H28" s="213">
        <f t="shared" si="13"/>
        <v>0</v>
      </c>
      <c r="I28" s="215">
        <f>SUM(I29:I38)</f>
        <v>0</v>
      </c>
      <c r="J28" s="779">
        <f t="shared" si="13"/>
        <v>0</v>
      </c>
      <c r="K28" s="780">
        <f t="shared" si="13"/>
        <v>0</v>
      </c>
      <c r="L28" s="781">
        <f t="shared" si="13"/>
        <v>0</v>
      </c>
      <c r="M28" s="782"/>
      <c r="N28" s="214">
        <f t="shared" ref="N28:X28" si="14">SUM(N29:N38)</f>
        <v>0</v>
      </c>
      <c r="O28" s="212">
        <f t="shared" si="14"/>
        <v>0</v>
      </c>
      <c r="P28" s="213">
        <f t="shared" si="14"/>
        <v>0</v>
      </c>
      <c r="Q28" s="214">
        <f t="shared" si="14"/>
        <v>0</v>
      </c>
      <c r="R28" s="214">
        <f t="shared" si="14"/>
        <v>0</v>
      </c>
      <c r="S28" s="212">
        <f t="shared" si="14"/>
        <v>0</v>
      </c>
      <c r="T28" s="773">
        <f t="shared" si="14"/>
        <v>0</v>
      </c>
      <c r="U28" s="774">
        <f t="shared" si="14"/>
        <v>0</v>
      </c>
      <c r="V28" s="786">
        <f t="shared" si="14"/>
        <v>0</v>
      </c>
      <c r="W28" s="212">
        <f t="shared" si="14"/>
        <v>0</v>
      </c>
      <c r="X28" s="771">
        <f t="shared" si="14"/>
        <v>0</v>
      </c>
      <c r="AD28" s="2315"/>
    </row>
    <row r="29" spans="1:30" ht="11.25" customHeight="1" x14ac:dyDescent="0.25">
      <c r="A29" s="136" t="str">
        <f>IF(RIGHT('Org structure'!D25,18)&lt;&gt;"[Name of sub-vote]",'Org structure'!D25,"")</f>
        <v>3.1 - Municipal Manager, Town Secretary and Chief Executive</v>
      </c>
      <c r="B29" s="711"/>
      <c r="C29" s="775"/>
      <c r="D29" s="775"/>
      <c r="E29" s="777"/>
      <c r="F29" s="776"/>
      <c r="G29" s="775"/>
      <c r="H29" s="777"/>
      <c r="I29" s="778"/>
      <c r="J29" s="779">
        <f t="shared" ref="J29:J38" si="15">Q29+V29</f>
        <v>0</v>
      </c>
      <c r="K29" s="780">
        <f t="shared" ref="K29:K38" si="16">U29+W29</f>
        <v>0</v>
      </c>
      <c r="L29" s="781">
        <f t="shared" ref="L29:L38" si="17">X29</f>
        <v>0</v>
      </c>
      <c r="M29" s="782"/>
      <c r="N29" s="776"/>
      <c r="O29" s="775"/>
      <c r="P29" s="777"/>
      <c r="Q29" s="214">
        <f t="shared" ref="Q29:Q38" si="18">SUM(N29:P29)</f>
        <v>0</v>
      </c>
      <c r="R29" s="776"/>
      <c r="S29" s="775"/>
      <c r="T29" s="778"/>
      <c r="U29" s="774">
        <f t="shared" si="4"/>
        <v>0</v>
      </c>
      <c r="V29" s="778"/>
      <c r="W29" s="775"/>
      <c r="X29" s="783"/>
      <c r="AC29" s="2312">
        <v>31</v>
      </c>
      <c r="AD29" s="2318" t="s">
        <v>2805</v>
      </c>
    </row>
    <row r="30" spans="1:30" ht="11.25" customHeight="1" x14ac:dyDescent="0.25">
      <c r="A30" s="136" t="str">
        <f>IF(RIGHT('Org structure'!D26,18)&lt;&gt;"[Name of sub-vote]",'Org structure'!D26,"")</f>
        <v>3.2 - Mayor and Council</v>
      </c>
      <c r="B30" s="711"/>
      <c r="C30" s="775"/>
      <c r="D30" s="775"/>
      <c r="E30" s="777"/>
      <c r="F30" s="776"/>
      <c r="G30" s="775"/>
      <c r="H30" s="777"/>
      <c r="I30" s="778"/>
      <c r="J30" s="779">
        <f t="shared" si="15"/>
        <v>0</v>
      </c>
      <c r="K30" s="780">
        <f t="shared" si="16"/>
        <v>0</v>
      </c>
      <c r="L30" s="781">
        <f t="shared" si="17"/>
        <v>0</v>
      </c>
      <c r="M30" s="782"/>
      <c r="N30" s="776"/>
      <c r="O30" s="775"/>
      <c r="P30" s="777"/>
      <c r="Q30" s="214">
        <f t="shared" si="18"/>
        <v>0</v>
      </c>
      <c r="R30" s="776"/>
      <c r="S30" s="775"/>
      <c r="T30" s="778"/>
      <c r="U30" s="774">
        <f t="shared" si="4"/>
        <v>0</v>
      </c>
      <c r="V30" s="778"/>
      <c r="W30" s="775"/>
      <c r="X30" s="783"/>
      <c r="AC30" s="2312">
        <v>32</v>
      </c>
      <c r="AD30" s="2318" t="s">
        <v>2805</v>
      </c>
    </row>
    <row r="31" spans="1:30" ht="11.25" customHeight="1" x14ac:dyDescent="0.25">
      <c r="A31" s="136" t="str">
        <f>IF(RIGHT('Org structure'!D27,18)&lt;&gt;"[Name of sub-vote]",'Org structure'!D27,"")</f>
        <v/>
      </c>
      <c r="B31" s="711"/>
      <c r="C31" s="775"/>
      <c r="D31" s="775"/>
      <c r="E31" s="777"/>
      <c r="F31" s="776"/>
      <c r="G31" s="775"/>
      <c r="H31" s="777"/>
      <c r="I31" s="778"/>
      <c r="J31" s="779">
        <f t="shared" si="15"/>
        <v>0</v>
      </c>
      <c r="K31" s="780">
        <f t="shared" si="16"/>
        <v>0</v>
      </c>
      <c r="L31" s="781">
        <f t="shared" si="17"/>
        <v>0</v>
      </c>
      <c r="M31" s="782"/>
      <c r="N31" s="776"/>
      <c r="O31" s="775"/>
      <c r="P31" s="777"/>
      <c r="Q31" s="214">
        <f t="shared" si="18"/>
        <v>0</v>
      </c>
      <c r="R31" s="776"/>
      <c r="S31" s="775"/>
      <c r="T31" s="778"/>
      <c r="U31" s="774">
        <f>SUM(R31:T31)</f>
        <v>0</v>
      </c>
      <c r="V31" s="778"/>
      <c r="W31" s="775"/>
      <c r="X31" s="783"/>
      <c r="AC31" s="2312">
        <v>33</v>
      </c>
      <c r="AD31" s="2318" t="s">
        <v>2805</v>
      </c>
    </row>
    <row r="32" spans="1:30" ht="11.25" customHeight="1" x14ac:dyDescent="0.25">
      <c r="A32" s="136" t="str">
        <f>IF(RIGHT('Org structure'!D28,18)&lt;&gt;"[Name of sub-vote]",'Org structure'!D28,"")</f>
        <v/>
      </c>
      <c r="B32" s="711"/>
      <c r="C32" s="775"/>
      <c r="D32" s="775"/>
      <c r="E32" s="777"/>
      <c r="F32" s="776"/>
      <c r="G32" s="775"/>
      <c r="H32" s="777"/>
      <c r="I32" s="778"/>
      <c r="J32" s="779">
        <f t="shared" si="15"/>
        <v>0</v>
      </c>
      <c r="K32" s="780">
        <f>U32+W32</f>
        <v>0</v>
      </c>
      <c r="L32" s="781">
        <f t="shared" si="17"/>
        <v>0</v>
      </c>
      <c r="M32" s="782"/>
      <c r="N32" s="776"/>
      <c r="O32" s="775"/>
      <c r="P32" s="777"/>
      <c r="Q32" s="214">
        <f t="shared" si="18"/>
        <v>0</v>
      </c>
      <c r="R32" s="776"/>
      <c r="S32" s="775"/>
      <c r="T32" s="778"/>
      <c r="U32" s="774">
        <f t="shared" si="4"/>
        <v>0</v>
      </c>
      <c r="V32" s="778"/>
      <c r="W32" s="775"/>
      <c r="X32" s="783"/>
      <c r="AC32" s="2312">
        <v>34</v>
      </c>
      <c r="AD32" s="2318" t="s">
        <v>2805</v>
      </c>
    </row>
    <row r="33" spans="1:30" ht="11.25" customHeight="1" x14ac:dyDescent="0.25">
      <c r="A33" s="136" t="str">
        <f>IF(RIGHT('Org structure'!D29,18)&lt;&gt;"[Name of sub-vote]",'Org structure'!D29,"")</f>
        <v/>
      </c>
      <c r="B33" s="711"/>
      <c r="C33" s="775"/>
      <c r="D33" s="775"/>
      <c r="E33" s="777"/>
      <c r="F33" s="776"/>
      <c r="G33" s="775"/>
      <c r="H33" s="777"/>
      <c r="I33" s="778"/>
      <c r="J33" s="779">
        <f>Q33+V33</f>
        <v>0</v>
      </c>
      <c r="K33" s="780">
        <f t="shared" si="16"/>
        <v>0</v>
      </c>
      <c r="L33" s="781">
        <f t="shared" si="17"/>
        <v>0</v>
      </c>
      <c r="M33" s="782"/>
      <c r="N33" s="776"/>
      <c r="O33" s="775"/>
      <c r="P33" s="777"/>
      <c r="Q33" s="214">
        <f t="shared" si="18"/>
        <v>0</v>
      </c>
      <c r="R33" s="776"/>
      <c r="S33" s="775"/>
      <c r="T33" s="778"/>
      <c r="U33" s="774">
        <f t="shared" si="4"/>
        <v>0</v>
      </c>
      <c r="V33" s="778"/>
      <c r="W33" s="775"/>
      <c r="X33" s="783"/>
      <c r="AC33" s="2312">
        <v>35</v>
      </c>
      <c r="AD33" s="2318" t="s">
        <v>2805</v>
      </c>
    </row>
    <row r="34" spans="1:30" ht="11.25" customHeight="1" x14ac:dyDescent="0.25">
      <c r="A34" s="136" t="str">
        <f>IF(RIGHT('Org structure'!D30,18)&lt;&gt;"[Name of sub-vote]",'Org structure'!D30,"")</f>
        <v/>
      </c>
      <c r="B34" s="711"/>
      <c r="C34" s="775"/>
      <c r="D34" s="775"/>
      <c r="E34" s="777"/>
      <c r="F34" s="776"/>
      <c r="G34" s="775"/>
      <c r="H34" s="777"/>
      <c r="I34" s="778"/>
      <c r="J34" s="779">
        <f t="shared" si="15"/>
        <v>0</v>
      </c>
      <c r="K34" s="780">
        <f t="shared" si="16"/>
        <v>0</v>
      </c>
      <c r="L34" s="781">
        <f t="shared" si="17"/>
        <v>0</v>
      </c>
      <c r="M34" s="782"/>
      <c r="N34" s="776"/>
      <c r="O34" s="775"/>
      <c r="P34" s="777"/>
      <c r="Q34" s="214">
        <f t="shared" si="18"/>
        <v>0</v>
      </c>
      <c r="R34" s="776"/>
      <c r="S34" s="775"/>
      <c r="T34" s="778"/>
      <c r="U34" s="774">
        <f t="shared" si="4"/>
        <v>0</v>
      </c>
      <c r="V34" s="778"/>
      <c r="W34" s="775"/>
      <c r="X34" s="783"/>
      <c r="AC34" s="2312">
        <v>36</v>
      </c>
      <c r="AD34" s="2318" t="s">
        <v>2805</v>
      </c>
    </row>
    <row r="35" spans="1:30" ht="11.25" customHeight="1" x14ac:dyDescent="0.25">
      <c r="A35" s="136" t="str">
        <f>IF(RIGHT('Org structure'!D31,18)&lt;&gt;"[Name of sub-vote]",'Org structure'!D31,"")</f>
        <v/>
      </c>
      <c r="B35" s="711"/>
      <c r="C35" s="775"/>
      <c r="D35" s="775"/>
      <c r="E35" s="777"/>
      <c r="F35" s="776"/>
      <c r="G35" s="775"/>
      <c r="H35" s="777"/>
      <c r="I35" s="778"/>
      <c r="J35" s="779">
        <f t="shared" si="15"/>
        <v>0</v>
      </c>
      <c r="K35" s="780">
        <f t="shared" si="16"/>
        <v>0</v>
      </c>
      <c r="L35" s="781">
        <f t="shared" si="17"/>
        <v>0</v>
      </c>
      <c r="M35" s="782"/>
      <c r="N35" s="776"/>
      <c r="O35" s="775"/>
      <c r="P35" s="777"/>
      <c r="Q35" s="214">
        <f t="shared" si="18"/>
        <v>0</v>
      </c>
      <c r="R35" s="776"/>
      <c r="S35" s="775"/>
      <c r="T35" s="778"/>
      <c r="U35" s="774">
        <f t="shared" si="4"/>
        <v>0</v>
      </c>
      <c r="V35" s="778"/>
      <c r="W35" s="775"/>
      <c r="X35" s="783"/>
      <c r="AC35" s="2312">
        <v>37</v>
      </c>
      <c r="AD35" s="2318" t="s">
        <v>2805</v>
      </c>
    </row>
    <row r="36" spans="1:30" ht="11.25" customHeight="1" x14ac:dyDescent="0.25">
      <c r="A36" s="136" t="str">
        <f>IF(RIGHT('Org structure'!D32,18)&lt;&gt;"[Name of sub-vote]",'Org structure'!D32,"")</f>
        <v/>
      </c>
      <c r="B36" s="711"/>
      <c r="C36" s="775"/>
      <c r="D36" s="775"/>
      <c r="E36" s="777"/>
      <c r="F36" s="776"/>
      <c r="G36" s="775"/>
      <c r="H36" s="777"/>
      <c r="I36" s="778"/>
      <c r="J36" s="779">
        <f t="shared" si="15"/>
        <v>0</v>
      </c>
      <c r="K36" s="780">
        <f t="shared" si="16"/>
        <v>0</v>
      </c>
      <c r="L36" s="781">
        <f t="shared" si="17"/>
        <v>0</v>
      </c>
      <c r="M36" s="782"/>
      <c r="N36" s="776"/>
      <c r="O36" s="775"/>
      <c r="P36" s="777"/>
      <c r="Q36" s="214">
        <f t="shared" si="18"/>
        <v>0</v>
      </c>
      <c r="R36" s="776"/>
      <c r="S36" s="775"/>
      <c r="T36" s="778"/>
      <c r="U36" s="774">
        <f t="shared" si="4"/>
        <v>0</v>
      </c>
      <c r="V36" s="778"/>
      <c r="W36" s="775"/>
      <c r="X36" s="783"/>
      <c r="AC36" s="2312">
        <v>38</v>
      </c>
      <c r="AD36" s="2318" t="s">
        <v>2805</v>
      </c>
    </row>
    <row r="37" spans="1:30" ht="11.25" customHeight="1" x14ac:dyDescent="0.25">
      <c r="A37" s="136" t="str">
        <f>IF(RIGHT('Org structure'!D33,18)&lt;&gt;"[Name of sub-vote]",'Org structure'!D33,"")</f>
        <v/>
      </c>
      <c r="B37" s="711"/>
      <c r="C37" s="775"/>
      <c r="D37" s="775"/>
      <c r="E37" s="777"/>
      <c r="F37" s="776"/>
      <c r="G37" s="775"/>
      <c r="H37" s="777"/>
      <c r="I37" s="778"/>
      <c r="J37" s="779">
        <f t="shared" si="15"/>
        <v>0</v>
      </c>
      <c r="K37" s="780">
        <f t="shared" si="16"/>
        <v>0</v>
      </c>
      <c r="L37" s="781">
        <f t="shared" si="17"/>
        <v>0</v>
      </c>
      <c r="M37" s="782"/>
      <c r="N37" s="776"/>
      <c r="O37" s="775"/>
      <c r="P37" s="777"/>
      <c r="Q37" s="214">
        <f t="shared" si="18"/>
        <v>0</v>
      </c>
      <c r="R37" s="776"/>
      <c r="S37" s="775"/>
      <c r="T37" s="778"/>
      <c r="U37" s="774">
        <f t="shared" si="4"/>
        <v>0</v>
      </c>
      <c r="V37" s="778"/>
      <c r="W37" s="775"/>
      <c r="X37" s="783"/>
      <c r="AC37" s="2312">
        <v>39</v>
      </c>
      <c r="AD37" s="2318" t="s">
        <v>2805</v>
      </c>
    </row>
    <row r="38" spans="1:30" ht="11.25" customHeight="1" x14ac:dyDescent="0.25">
      <c r="A38" s="136" t="str">
        <f>IF(RIGHT('Org structure'!D34,18)&lt;&gt;"[Name of sub-vote]",'Org structure'!D34,"")</f>
        <v/>
      </c>
      <c r="B38" s="711"/>
      <c r="C38" s="775"/>
      <c r="D38" s="775"/>
      <c r="E38" s="777"/>
      <c r="F38" s="776"/>
      <c r="G38" s="775"/>
      <c r="H38" s="777"/>
      <c r="I38" s="778"/>
      <c r="J38" s="779">
        <f t="shared" si="15"/>
        <v>0</v>
      </c>
      <c r="K38" s="780">
        <f t="shared" si="16"/>
        <v>0</v>
      </c>
      <c r="L38" s="781">
        <f t="shared" si="17"/>
        <v>0</v>
      </c>
      <c r="M38" s="782"/>
      <c r="N38" s="776"/>
      <c r="O38" s="775"/>
      <c r="P38" s="777"/>
      <c r="Q38" s="214">
        <f t="shared" si="18"/>
        <v>0</v>
      </c>
      <c r="R38" s="776"/>
      <c r="S38" s="775"/>
      <c r="T38" s="778"/>
      <c r="U38" s="774">
        <f t="shared" si="4"/>
        <v>0</v>
      </c>
      <c r="V38" s="778"/>
      <c r="W38" s="775"/>
      <c r="X38" s="783"/>
      <c r="AC38" s="2312">
        <v>310</v>
      </c>
      <c r="AD38" s="2318" t="s">
        <v>2805</v>
      </c>
    </row>
    <row r="39" spans="1:30" ht="15" customHeight="1" x14ac:dyDescent="0.25">
      <c r="A39" s="135" t="str">
        <f>'Org structure'!A5</f>
        <v>Vote 4 - Community and Social Services</v>
      </c>
      <c r="B39" s="769"/>
      <c r="C39" s="212">
        <f>SUM(C40:C49)</f>
        <v>0</v>
      </c>
      <c r="D39" s="212">
        <f t="shared" ref="D39:L39" si="19">SUM(D40:D49)</f>
        <v>0</v>
      </c>
      <c r="E39" s="213">
        <f t="shared" si="19"/>
        <v>0</v>
      </c>
      <c r="F39" s="787">
        <f t="shared" si="19"/>
        <v>0</v>
      </c>
      <c r="G39" s="212">
        <f t="shared" si="19"/>
        <v>0</v>
      </c>
      <c r="H39" s="213">
        <f t="shared" si="19"/>
        <v>0</v>
      </c>
      <c r="I39" s="215">
        <f>SUM(I40:I49)</f>
        <v>0</v>
      </c>
      <c r="J39" s="779">
        <f t="shared" si="19"/>
        <v>0</v>
      </c>
      <c r="K39" s="780">
        <f t="shared" si="19"/>
        <v>0</v>
      </c>
      <c r="L39" s="781">
        <f t="shared" si="19"/>
        <v>0</v>
      </c>
      <c r="M39" s="782"/>
      <c r="N39" s="214">
        <f t="shared" ref="N39:X39" si="20">SUM(N40:N49)</f>
        <v>0</v>
      </c>
      <c r="O39" s="212">
        <f t="shared" si="20"/>
        <v>0</v>
      </c>
      <c r="P39" s="788">
        <f t="shared" si="20"/>
        <v>0</v>
      </c>
      <c r="Q39" s="214">
        <f t="shared" si="20"/>
        <v>0</v>
      </c>
      <c r="R39" s="214">
        <f t="shared" si="20"/>
        <v>0</v>
      </c>
      <c r="S39" s="212">
        <f t="shared" si="20"/>
        <v>0</v>
      </c>
      <c r="T39" s="773">
        <f t="shared" si="20"/>
        <v>0</v>
      </c>
      <c r="U39" s="774">
        <f t="shared" si="20"/>
        <v>0</v>
      </c>
      <c r="V39" s="786">
        <f t="shared" si="20"/>
        <v>0</v>
      </c>
      <c r="W39" s="212">
        <f t="shared" si="20"/>
        <v>0</v>
      </c>
      <c r="X39" s="771">
        <f t="shared" si="20"/>
        <v>0</v>
      </c>
      <c r="AD39" s="2315"/>
    </row>
    <row r="40" spans="1:30" ht="11.25" customHeight="1" x14ac:dyDescent="0.25">
      <c r="A40" s="136" t="str">
        <f>IF(RIGHT('Org structure'!D36,18)&lt;&gt;"[Name of sub-vote]",'Org structure'!D36,"")</f>
        <v>4.1 - Disaster Management</v>
      </c>
      <c r="B40" s="711"/>
      <c r="C40" s="775"/>
      <c r="D40" s="775"/>
      <c r="E40" s="777"/>
      <c r="F40" s="776"/>
      <c r="G40" s="775"/>
      <c r="H40" s="777"/>
      <c r="I40" s="778"/>
      <c r="J40" s="779">
        <f t="shared" ref="J40:J49" si="21">Q40+V40</f>
        <v>0</v>
      </c>
      <c r="K40" s="780">
        <f t="shared" ref="K40:K49" si="22">U40+W40</f>
        <v>0</v>
      </c>
      <c r="L40" s="781">
        <f t="shared" ref="L40:L49" si="23">X40</f>
        <v>0</v>
      </c>
      <c r="M40" s="782"/>
      <c r="N40" s="776"/>
      <c r="O40" s="775"/>
      <c r="P40" s="777"/>
      <c r="Q40" s="214">
        <f t="shared" ref="Q40:Q49" si="24">SUM(N40:P40)</f>
        <v>0</v>
      </c>
      <c r="R40" s="776"/>
      <c r="S40" s="775"/>
      <c r="T40" s="778"/>
      <c r="U40" s="774">
        <f t="shared" si="4"/>
        <v>0</v>
      </c>
      <c r="V40" s="778"/>
      <c r="W40" s="775"/>
      <c r="X40" s="783"/>
      <c r="AC40" s="2312">
        <v>41</v>
      </c>
      <c r="AD40" s="2318" t="s">
        <v>2805</v>
      </c>
    </row>
    <row r="41" spans="1:30" ht="11.25" customHeight="1" x14ac:dyDescent="0.25">
      <c r="A41" s="136" t="str">
        <f>IF(RIGHT('Org structure'!D37,18)&lt;&gt;"[Name of sub-vote]",'Org structure'!D37,"")</f>
        <v>4.2 - Libraries and Archives</v>
      </c>
      <c r="B41" s="711"/>
      <c r="C41" s="775"/>
      <c r="D41" s="775"/>
      <c r="E41" s="777"/>
      <c r="F41" s="776"/>
      <c r="G41" s="775"/>
      <c r="H41" s="777"/>
      <c r="I41" s="778"/>
      <c r="J41" s="779">
        <f t="shared" si="21"/>
        <v>0</v>
      </c>
      <c r="K41" s="780">
        <f t="shared" si="22"/>
        <v>0</v>
      </c>
      <c r="L41" s="781">
        <f t="shared" si="23"/>
        <v>0</v>
      </c>
      <c r="M41" s="782"/>
      <c r="N41" s="776"/>
      <c r="O41" s="775"/>
      <c r="P41" s="777"/>
      <c r="Q41" s="214">
        <f t="shared" si="24"/>
        <v>0</v>
      </c>
      <c r="R41" s="776"/>
      <c r="S41" s="775"/>
      <c r="T41" s="778"/>
      <c r="U41" s="774">
        <f t="shared" si="4"/>
        <v>0</v>
      </c>
      <c r="V41" s="778"/>
      <c r="W41" s="775"/>
      <c r="X41" s="783"/>
      <c r="AC41" s="2312">
        <v>42</v>
      </c>
      <c r="AD41" s="2318" t="s">
        <v>2805</v>
      </c>
    </row>
    <row r="42" spans="1:30" ht="11.25" customHeight="1" x14ac:dyDescent="0.25">
      <c r="A42" s="136" t="str">
        <f>IF(RIGHT('Org structure'!D38,18)&lt;&gt;"[Name of sub-vote]",'Org structure'!D38,"")</f>
        <v>4.3 - Population Development</v>
      </c>
      <c r="B42" s="711"/>
      <c r="C42" s="775"/>
      <c r="D42" s="775"/>
      <c r="E42" s="777"/>
      <c r="F42" s="776"/>
      <c r="G42" s="775"/>
      <c r="H42" s="777"/>
      <c r="I42" s="778"/>
      <c r="J42" s="779">
        <f t="shared" si="21"/>
        <v>0</v>
      </c>
      <c r="K42" s="780">
        <f t="shared" si="22"/>
        <v>0</v>
      </c>
      <c r="L42" s="781">
        <f t="shared" si="23"/>
        <v>0</v>
      </c>
      <c r="M42" s="782"/>
      <c r="N42" s="776"/>
      <c r="O42" s="775"/>
      <c r="P42" s="777"/>
      <c r="Q42" s="214">
        <f t="shared" si="24"/>
        <v>0</v>
      </c>
      <c r="R42" s="776"/>
      <c r="S42" s="775"/>
      <c r="T42" s="778"/>
      <c r="U42" s="774">
        <f t="shared" si="4"/>
        <v>0</v>
      </c>
      <c r="V42" s="778"/>
      <c r="W42" s="775"/>
      <c r="X42" s="783"/>
      <c r="AC42" s="2312">
        <v>43</v>
      </c>
      <c r="AD42" s="2318" t="s">
        <v>2805</v>
      </c>
    </row>
    <row r="43" spans="1:30" ht="11.25" customHeight="1" x14ac:dyDescent="0.25">
      <c r="A43" s="136" t="str">
        <f>IF(RIGHT('Org structure'!D39,18)&lt;&gt;"[Name of sub-vote]",'Org structure'!D39,"")</f>
        <v>4.4 - Cultural Matters</v>
      </c>
      <c r="B43" s="711"/>
      <c r="C43" s="775"/>
      <c r="D43" s="775"/>
      <c r="E43" s="777"/>
      <c r="F43" s="776"/>
      <c r="G43" s="775"/>
      <c r="H43" s="777"/>
      <c r="I43" s="778"/>
      <c r="J43" s="779">
        <f t="shared" si="21"/>
        <v>0</v>
      </c>
      <c r="K43" s="780">
        <f t="shared" si="22"/>
        <v>0</v>
      </c>
      <c r="L43" s="781">
        <f t="shared" si="23"/>
        <v>0</v>
      </c>
      <c r="M43" s="782"/>
      <c r="N43" s="776"/>
      <c r="O43" s="775"/>
      <c r="P43" s="777"/>
      <c r="Q43" s="214">
        <f t="shared" si="24"/>
        <v>0</v>
      </c>
      <c r="R43" s="776"/>
      <c r="S43" s="775"/>
      <c r="T43" s="778"/>
      <c r="U43" s="774">
        <f t="shared" si="4"/>
        <v>0</v>
      </c>
      <c r="V43" s="778"/>
      <c r="W43" s="775"/>
      <c r="X43" s="783"/>
      <c r="AC43" s="2312">
        <v>44</v>
      </c>
      <c r="AD43" s="2318" t="s">
        <v>2805</v>
      </c>
    </row>
    <row r="44" spans="1:30" ht="11.25" customHeight="1" x14ac:dyDescent="0.25">
      <c r="A44" s="136" t="str">
        <f>IF(RIGHT('Org structure'!D40,18)&lt;&gt;"[Name of sub-vote]",'Org structure'!D40,"")</f>
        <v>4.5 - Indigenous and Customary Law</v>
      </c>
      <c r="B44" s="711"/>
      <c r="C44" s="775"/>
      <c r="D44" s="775"/>
      <c r="E44" s="777"/>
      <c r="F44" s="776"/>
      <c r="G44" s="775"/>
      <c r="H44" s="777"/>
      <c r="I44" s="778"/>
      <c r="J44" s="779">
        <f t="shared" si="21"/>
        <v>0</v>
      </c>
      <c r="K44" s="780">
        <f t="shared" si="22"/>
        <v>0</v>
      </c>
      <c r="L44" s="781">
        <f t="shared" si="23"/>
        <v>0</v>
      </c>
      <c r="M44" s="782"/>
      <c r="N44" s="776"/>
      <c r="O44" s="775"/>
      <c r="P44" s="777"/>
      <c r="Q44" s="214">
        <f t="shared" si="24"/>
        <v>0</v>
      </c>
      <c r="R44" s="776"/>
      <c r="S44" s="775"/>
      <c r="T44" s="778"/>
      <c r="U44" s="774">
        <f t="shared" si="4"/>
        <v>0</v>
      </c>
      <c r="V44" s="778"/>
      <c r="W44" s="775"/>
      <c r="X44" s="783"/>
      <c r="AC44" s="2312">
        <v>45</v>
      </c>
      <c r="AD44" s="2318" t="s">
        <v>2805</v>
      </c>
    </row>
    <row r="45" spans="1:30" ht="11.25" customHeight="1" x14ac:dyDescent="0.25">
      <c r="A45" s="136" t="str">
        <f>IF(RIGHT('Org structure'!D41,18)&lt;&gt;"[Name of sub-vote]",'Org structure'!D41,"")</f>
        <v>4.6 - Industrial Promotion</v>
      </c>
      <c r="B45" s="711"/>
      <c r="C45" s="775"/>
      <c r="D45" s="775"/>
      <c r="E45" s="777"/>
      <c r="F45" s="776"/>
      <c r="G45" s="775"/>
      <c r="H45" s="777"/>
      <c r="I45" s="778"/>
      <c r="J45" s="779">
        <f t="shared" si="21"/>
        <v>0</v>
      </c>
      <c r="K45" s="780">
        <f t="shared" si="22"/>
        <v>0</v>
      </c>
      <c r="L45" s="781">
        <f t="shared" si="23"/>
        <v>0</v>
      </c>
      <c r="M45" s="782"/>
      <c r="N45" s="776"/>
      <c r="O45" s="775"/>
      <c r="P45" s="777"/>
      <c r="Q45" s="214">
        <f t="shared" si="24"/>
        <v>0</v>
      </c>
      <c r="R45" s="776"/>
      <c r="S45" s="775"/>
      <c r="T45" s="778"/>
      <c r="U45" s="774">
        <f t="shared" si="4"/>
        <v>0</v>
      </c>
      <c r="V45" s="778"/>
      <c r="W45" s="775"/>
      <c r="X45" s="783"/>
      <c r="AC45" s="2312">
        <v>46</v>
      </c>
      <c r="AD45" s="2318" t="s">
        <v>2805</v>
      </c>
    </row>
    <row r="46" spans="1:30" ht="11.25" customHeight="1" x14ac:dyDescent="0.25">
      <c r="A46" s="136" t="str">
        <f>IF(RIGHT('Org structure'!D42,18)&lt;&gt;"[Name of sub-vote]",'Org structure'!D42,"")</f>
        <v>4.7 - Agricultural</v>
      </c>
      <c r="B46" s="711"/>
      <c r="C46" s="775"/>
      <c r="D46" s="775"/>
      <c r="E46" s="777"/>
      <c r="F46" s="776"/>
      <c r="G46" s="775"/>
      <c r="H46" s="777"/>
      <c r="I46" s="778"/>
      <c r="J46" s="779">
        <f t="shared" si="21"/>
        <v>0</v>
      </c>
      <c r="K46" s="780">
        <f t="shared" si="22"/>
        <v>0</v>
      </c>
      <c r="L46" s="781">
        <f t="shared" si="23"/>
        <v>0</v>
      </c>
      <c r="M46" s="782"/>
      <c r="N46" s="776"/>
      <c r="O46" s="775"/>
      <c r="P46" s="777"/>
      <c r="Q46" s="214">
        <f t="shared" si="24"/>
        <v>0</v>
      </c>
      <c r="R46" s="776"/>
      <c r="S46" s="775"/>
      <c r="T46" s="778"/>
      <c r="U46" s="774">
        <f t="shared" si="4"/>
        <v>0</v>
      </c>
      <c r="V46" s="778"/>
      <c r="W46" s="775"/>
      <c r="X46" s="783"/>
      <c r="AC46" s="2312">
        <v>47</v>
      </c>
      <c r="AD46" s="2318" t="s">
        <v>2805</v>
      </c>
    </row>
    <row r="47" spans="1:30" ht="11.25" customHeight="1" x14ac:dyDescent="0.25">
      <c r="A47" s="136" t="str">
        <f>IF(RIGHT('Org structure'!D43,18)&lt;&gt;"[Name of sub-vote]",'Org structure'!D43,"")</f>
        <v>4.8 - Aged Care</v>
      </c>
      <c r="B47" s="711"/>
      <c r="C47" s="775"/>
      <c r="D47" s="775"/>
      <c r="E47" s="777"/>
      <c r="F47" s="776"/>
      <c r="G47" s="775"/>
      <c r="H47" s="777"/>
      <c r="I47" s="778"/>
      <c r="J47" s="779">
        <f t="shared" si="21"/>
        <v>0</v>
      </c>
      <c r="K47" s="780">
        <f t="shared" si="22"/>
        <v>0</v>
      </c>
      <c r="L47" s="781">
        <f t="shared" si="23"/>
        <v>0</v>
      </c>
      <c r="M47" s="782"/>
      <c r="N47" s="776"/>
      <c r="O47" s="775"/>
      <c r="P47" s="777"/>
      <c r="Q47" s="214">
        <f t="shared" si="24"/>
        <v>0</v>
      </c>
      <c r="R47" s="776"/>
      <c r="S47" s="775"/>
      <c r="T47" s="778"/>
      <c r="U47" s="774">
        <f t="shared" si="4"/>
        <v>0</v>
      </c>
      <c r="V47" s="778"/>
      <c r="W47" s="775"/>
      <c r="X47" s="783"/>
      <c r="AC47" s="2312">
        <v>48</v>
      </c>
      <c r="AD47" s="2318" t="s">
        <v>2805</v>
      </c>
    </row>
    <row r="48" spans="1:30" ht="11.25" customHeight="1" x14ac:dyDescent="0.25">
      <c r="A48" s="136" t="str">
        <f>IF(RIGHT('Org structure'!D44,18)&lt;&gt;"[Name of sub-vote]",'Org structure'!D44,"")</f>
        <v>4.9 - Child Care Facilities</v>
      </c>
      <c r="B48" s="711"/>
      <c r="C48" s="775"/>
      <c r="D48" s="775"/>
      <c r="E48" s="777"/>
      <c r="F48" s="776"/>
      <c r="G48" s="775"/>
      <c r="H48" s="777"/>
      <c r="I48" s="778"/>
      <c r="J48" s="779">
        <f t="shared" si="21"/>
        <v>0</v>
      </c>
      <c r="K48" s="780">
        <f t="shared" si="22"/>
        <v>0</v>
      </c>
      <c r="L48" s="781">
        <f t="shared" si="23"/>
        <v>0</v>
      </c>
      <c r="M48" s="782"/>
      <c r="N48" s="776"/>
      <c r="O48" s="775"/>
      <c r="P48" s="777"/>
      <c r="Q48" s="214">
        <f t="shared" si="24"/>
        <v>0</v>
      </c>
      <c r="R48" s="776"/>
      <c r="S48" s="775"/>
      <c r="T48" s="778"/>
      <c r="U48" s="774">
        <f t="shared" si="4"/>
        <v>0</v>
      </c>
      <c r="V48" s="778"/>
      <c r="W48" s="775"/>
      <c r="X48" s="783"/>
      <c r="AC48" s="2312">
        <v>49</v>
      </c>
      <c r="AD48" s="2318" t="s">
        <v>2805</v>
      </c>
    </row>
    <row r="49" spans="1:30" ht="11.25" customHeight="1" x14ac:dyDescent="0.25">
      <c r="A49" s="136" t="str">
        <f>IF(RIGHT('Org structure'!D45,18)&lt;&gt;"[Name of sub-vote]",'Org structure'!D45,"")</f>
        <v/>
      </c>
      <c r="B49" s="711"/>
      <c r="C49" s="775"/>
      <c r="D49" s="775"/>
      <c r="E49" s="777"/>
      <c r="F49" s="776"/>
      <c r="G49" s="775"/>
      <c r="H49" s="777"/>
      <c r="I49" s="778"/>
      <c r="J49" s="779">
        <f t="shared" si="21"/>
        <v>0</v>
      </c>
      <c r="K49" s="780">
        <f t="shared" si="22"/>
        <v>0</v>
      </c>
      <c r="L49" s="781">
        <f t="shared" si="23"/>
        <v>0</v>
      </c>
      <c r="M49" s="782"/>
      <c r="N49" s="776"/>
      <c r="O49" s="775"/>
      <c r="P49" s="777"/>
      <c r="Q49" s="214">
        <f t="shared" si="24"/>
        <v>0</v>
      </c>
      <c r="R49" s="776"/>
      <c r="S49" s="775"/>
      <c r="T49" s="778"/>
      <c r="U49" s="774">
        <f t="shared" si="4"/>
        <v>0</v>
      </c>
      <c r="V49" s="778"/>
      <c r="W49" s="775"/>
      <c r="X49" s="783"/>
      <c r="AC49" s="2312">
        <v>410</v>
      </c>
      <c r="AD49" s="2318" t="s">
        <v>2805</v>
      </c>
    </row>
    <row r="50" spans="1:30" ht="15" customHeight="1" x14ac:dyDescent="0.25">
      <c r="A50" s="135" t="str">
        <f>'Org structure'!A6</f>
        <v>Vote 5 - Community and Social Services2</v>
      </c>
      <c r="B50" s="769"/>
      <c r="C50" s="212">
        <f>SUM(C51:C60)</f>
        <v>0</v>
      </c>
      <c r="D50" s="212">
        <f t="shared" ref="D50:L50" si="25">SUM(D51:D60)</f>
        <v>0</v>
      </c>
      <c r="E50" s="213">
        <f t="shared" si="25"/>
        <v>0</v>
      </c>
      <c r="F50" s="214">
        <f t="shared" si="25"/>
        <v>0</v>
      </c>
      <c r="G50" s="212">
        <f t="shared" si="25"/>
        <v>0</v>
      </c>
      <c r="H50" s="213">
        <f t="shared" si="25"/>
        <v>0</v>
      </c>
      <c r="I50" s="215">
        <f>SUM(I51:I60)</f>
        <v>0</v>
      </c>
      <c r="J50" s="779">
        <f t="shared" si="25"/>
        <v>0</v>
      </c>
      <c r="K50" s="780">
        <f t="shared" si="25"/>
        <v>0</v>
      </c>
      <c r="L50" s="781">
        <f t="shared" si="25"/>
        <v>0</v>
      </c>
      <c r="M50" s="782"/>
      <c r="N50" s="214">
        <f t="shared" ref="N50:X50" si="26">SUM(N51:N60)</f>
        <v>0</v>
      </c>
      <c r="O50" s="212">
        <f t="shared" si="26"/>
        <v>0</v>
      </c>
      <c r="P50" s="213">
        <f t="shared" si="26"/>
        <v>0</v>
      </c>
      <c r="Q50" s="214">
        <f t="shared" si="26"/>
        <v>0</v>
      </c>
      <c r="R50" s="214">
        <f t="shared" si="26"/>
        <v>0</v>
      </c>
      <c r="S50" s="212">
        <f t="shared" si="26"/>
        <v>0</v>
      </c>
      <c r="T50" s="773">
        <f t="shared" si="26"/>
        <v>0</v>
      </c>
      <c r="U50" s="774">
        <f t="shared" si="26"/>
        <v>0</v>
      </c>
      <c r="V50" s="786">
        <f t="shared" si="26"/>
        <v>0</v>
      </c>
      <c r="W50" s="212">
        <f t="shared" si="26"/>
        <v>0</v>
      </c>
      <c r="X50" s="771">
        <f t="shared" si="26"/>
        <v>0</v>
      </c>
      <c r="AD50" s="2315"/>
    </row>
    <row r="51" spans="1:30" ht="11.25" customHeight="1" x14ac:dyDescent="0.25">
      <c r="A51" s="136" t="str">
        <f>IF(RIGHT('Org structure'!D47,18)&lt;&gt;"[Name of sub-vote]",'Org structure'!D47,"")</f>
        <v>5.1 - Literacy Programmes</v>
      </c>
      <c r="B51" s="711"/>
      <c r="C51" s="775"/>
      <c r="D51" s="775"/>
      <c r="E51" s="777"/>
      <c r="F51" s="776"/>
      <c r="G51" s="775"/>
      <c r="H51" s="777"/>
      <c r="I51" s="778"/>
      <c r="J51" s="779">
        <f t="shared" ref="J51:J60" si="27">Q51+V51</f>
        <v>0</v>
      </c>
      <c r="K51" s="780">
        <f t="shared" ref="K51:K60" si="28">U51+W51</f>
        <v>0</v>
      </c>
      <c r="L51" s="781">
        <f t="shared" ref="L51:L60" si="29">X51</f>
        <v>0</v>
      </c>
      <c r="M51" s="782"/>
      <c r="N51" s="776"/>
      <c r="O51" s="775"/>
      <c r="P51" s="777"/>
      <c r="Q51" s="214">
        <f t="shared" ref="Q51:Q60" si="30">SUM(N51:P51)</f>
        <v>0</v>
      </c>
      <c r="R51" s="776"/>
      <c r="S51" s="775"/>
      <c r="T51" s="778"/>
      <c r="U51" s="774">
        <f t="shared" si="4"/>
        <v>0</v>
      </c>
      <c r="V51" s="778"/>
      <c r="W51" s="775"/>
      <c r="X51" s="783"/>
      <c r="AC51" s="2312">
        <v>51</v>
      </c>
      <c r="AD51" s="2318" t="s">
        <v>2805</v>
      </c>
    </row>
    <row r="52" spans="1:30" ht="11.25" customHeight="1" x14ac:dyDescent="0.25">
      <c r="A52" s="136" t="str">
        <f>IF(RIGHT('Org structure'!D48,18)&lt;&gt;"[Name of sub-vote]",'Org structure'!D48,"")</f>
        <v>5.2 - Education</v>
      </c>
      <c r="B52" s="711"/>
      <c r="C52" s="775"/>
      <c r="D52" s="775"/>
      <c r="E52" s="777"/>
      <c r="F52" s="776"/>
      <c r="G52" s="775"/>
      <c r="H52" s="777"/>
      <c r="I52" s="778"/>
      <c r="J52" s="779">
        <f t="shared" si="27"/>
        <v>0</v>
      </c>
      <c r="K52" s="780">
        <f t="shared" si="28"/>
        <v>0</v>
      </c>
      <c r="L52" s="781">
        <f t="shared" si="29"/>
        <v>0</v>
      </c>
      <c r="M52" s="782"/>
      <c r="N52" s="776"/>
      <c r="O52" s="775"/>
      <c r="P52" s="777"/>
      <c r="Q52" s="214">
        <f t="shared" si="30"/>
        <v>0</v>
      </c>
      <c r="R52" s="776"/>
      <c r="S52" s="775"/>
      <c r="T52" s="778"/>
      <c r="U52" s="774">
        <f t="shared" si="4"/>
        <v>0</v>
      </c>
      <c r="V52" s="778"/>
      <c r="W52" s="775"/>
      <c r="X52" s="783"/>
      <c r="AC52" s="2312">
        <v>52</v>
      </c>
      <c r="AD52" s="2318" t="s">
        <v>2805</v>
      </c>
    </row>
    <row r="53" spans="1:30" ht="11.25" customHeight="1" x14ac:dyDescent="0.25">
      <c r="A53" s="136" t="str">
        <f>IF(RIGHT('Org structure'!D49,18)&lt;&gt;"[Name of sub-vote]",'Org structure'!D49,"")</f>
        <v>5.3 - Community Halls and Facilities</v>
      </c>
      <c r="B53" s="711"/>
      <c r="C53" s="775"/>
      <c r="D53" s="775"/>
      <c r="E53" s="777"/>
      <c r="F53" s="776"/>
      <c r="G53" s="775"/>
      <c r="H53" s="777"/>
      <c r="I53" s="778"/>
      <c r="J53" s="779">
        <f t="shared" si="27"/>
        <v>0</v>
      </c>
      <c r="K53" s="780">
        <f t="shared" si="28"/>
        <v>0</v>
      </c>
      <c r="L53" s="781">
        <f t="shared" si="29"/>
        <v>0</v>
      </c>
      <c r="M53" s="782"/>
      <c r="N53" s="776"/>
      <c r="O53" s="775"/>
      <c r="P53" s="777"/>
      <c r="Q53" s="214">
        <f t="shared" si="30"/>
        <v>0</v>
      </c>
      <c r="R53" s="776"/>
      <c r="S53" s="775"/>
      <c r="T53" s="778"/>
      <c r="U53" s="774">
        <f t="shared" si="4"/>
        <v>0</v>
      </c>
      <c r="V53" s="778"/>
      <c r="W53" s="775"/>
      <c r="X53" s="783"/>
      <c r="AC53" s="2312">
        <v>53</v>
      </c>
      <c r="AD53" s="2318" t="s">
        <v>2805</v>
      </c>
    </row>
    <row r="54" spans="1:30" ht="11.25" customHeight="1" x14ac:dyDescent="0.25">
      <c r="A54" s="136" t="str">
        <f>IF(RIGHT('Org structure'!D50,18)&lt;&gt;"[Name of sub-vote]",'Org structure'!D50,"")</f>
        <v>5.4 - Tourism</v>
      </c>
      <c r="B54" s="711"/>
      <c r="C54" s="775"/>
      <c r="D54" s="775"/>
      <c r="E54" s="777"/>
      <c r="F54" s="776"/>
      <c r="G54" s="775"/>
      <c r="H54" s="777"/>
      <c r="I54" s="778"/>
      <c r="J54" s="779">
        <f t="shared" si="27"/>
        <v>0</v>
      </c>
      <c r="K54" s="780">
        <f t="shared" si="28"/>
        <v>0</v>
      </c>
      <c r="L54" s="781">
        <f t="shared" si="29"/>
        <v>0</v>
      </c>
      <c r="M54" s="782"/>
      <c r="N54" s="776"/>
      <c r="O54" s="775"/>
      <c r="P54" s="777"/>
      <c r="Q54" s="214">
        <f t="shared" si="30"/>
        <v>0</v>
      </c>
      <c r="R54" s="776"/>
      <c r="S54" s="775"/>
      <c r="T54" s="778"/>
      <c r="U54" s="774">
        <f t="shared" si="4"/>
        <v>0</v>
      </c>
      <c r="V54" s="778"/>
      <c r="W54" s="775"/>
      <c r="X54" s="783"/>
      <c r="AC54" s="2312">
        <v>54</v>
      </c>
      <c r="AD54" s="2318" t="s">
        <v>2805</v>
      </c>
    </row>
    <row r="55" spans="1:30" ht="11.25" customHeight="1" x14ac:dyDescent="0.25">
      <c r="A55" s="136" t="str">
        <f>IF(RIGHT('Org structure'!D51,18)&lt;&gt;"[Name of sub-vote]",'Org structure'!D51,"")</f>
        <v/>
      </c>
      <c r="B55" s="711"/>
      <c r="C55" s="775"/>
      <c r="D55" s="775"/>
      <c r="E55" s="777"/>
      <c r="F55" s="776"/>
      <c r="G55" s="775"/>
      <c r="H55" s="777"/>
      <c r="I55" s="778"/>
      <c r="J55" s="779">
        <f t="shared" si="27"/>
        <v>0</v>
      </c>
      <c r="K55" s="780">
        <f t="shared" si="28"/>
        <v>0</v>
      </c>
      <c r="L55" s="781">
        <f t="shared" si="29"/>
        <v>0</v>
      </c>
      <c r="M55" s="782"/>
      <c r="N55" s="776"/>
      <c r="O55" s="775"/>
      <c r="P55" s="777"/>
      <c r="Q55" s="214">
        <f t="shared" si="30"/>
        <v>0</v>
      </c>
      <c r="R55" s="776"/>
      <c r="S55" s="775"/>
      <c r="T55" s="778"/>
      <c r="U55" s="774">
        <f t="shared" si="4"/>
        <v>0</v>
      </c>
      <c r="V55" s="778"/>
      <c r="W55" s="775"/>
      <c r="X55" s="783"/>
      <c r="AC55" s="2312">
        <v>55</v>
      </c>
      <c r="AD55" s="2318" t="s">
        <v>2805</v>
      </c>
    </row>
    <row r="56" spans="1:30" ht="11.25" customHeight="1" x14ac:dyDescent="0.25">
      <c r="A56" s="136" t="str">
        <f>IF(RIGHT('Org structure'!D52,18)&lt;&gt;"[Name of sub-vote]",'Org structure'!D52,"")</f>
        <v/>
      </c>
      <c r="B56" s="711"/>
      <c r="C56" s="775"/>
      <c r="D56" s="775"/>
      <c r="E56" s="777"/>
      <c r="F56" s="776"/>
      <c r="G56" s="775"/>
      <c r="H56" s="777"/>
      <c r="I56" s="778"/>
      <c r="J56" s="779">
        <f t="shared" si="27"/>
        <v>0</v>
      </c>
      <c r="K56" s="780">
        <f t="shared" si="28"/>
        <v>0</v>
      </c>
      <c r="L56" s="781">
        <f t="shared" si="29"/>
        <v>0</v>
      </c>
      <c r="M56" s="782"/>
      <c r="N56" s="776"/>
      <c r="O56" s="775"/>
      <c r="P56" s="777"/>
      <c r="Q56" s="214">
        <f t="shared" si="30"/>
        <v>0</v>
      </c>
      <c r="R56" s="776"/>
      <c r="S56" s="775"/>
      <c r="T56" s="778"/>
      <c r="U56" s="774">
        <f t="shared" si="4"/>
        <v>0</v>
      </c>
      <c r="V56" s="778"/>
      <c r="W56" s="775"/>
      <c r="X56" s="783"/>
      <c r="AC56" s="2312">
        <v>56</v>
      </c>
      <c r="AD56" s="2318" t="s">
        <v>2805</v>
      </c>
    </row>
    <row r="57" spans="1:30" ht="11.25" customHeight="1" x14ac:dyDescent="0.25">
      <c r="A57" s="136" t="str">
        <f>IF(RIGHT('Org structure'!D53,18)&lt;&gt;"[Name of sub-vote]",'Org structure'!D53,"")</f>
        <v/>
      </c>
      <c r="B57" s="711"/>
      <c r="C57" s="775"/>
      <c r="D57" s="775"/>
      <c r="E57" s="777"/>
      <c r="F57" s="776"/>
      <c r="G57" s="775"/>
      <c r="H57" s="777"/>
      <c r="I57" s="778"/>
      <c r="J57" s="779">
        <f t="shared" si="27"/>
        <v>0</v>
      </c>
      <c r="K57" s="780">
        <f t="shared" si="28"/>
        <v>0</v>
      </c>
      <c r="L57" s="781">
        <f t="shared" si="29"/>
        <v>0</v>
      </c>
      <c r="M57" s="782"/>
      <c r="N57" s="776"/>
      <c r="O57" s="775"/>
      <c r="P57" s="777"/>
      <c r="Q57" s="214">
        <f t="shared" si="30"/>
        <v>0</v>
      </c>
      <c r="R57" s="776"/>
      <c r="S57" s="775"/>
      <c r="T57" s="778"/>
      <c r="U57" s="774">
        <f t="shared" si="4"/>
        <v>0</v>
      </c>
      <c r="V57" s="778"/>
      <c r="W57" s="775"/>
      <c r="X57" s="783"/>
      <c r="AC57" s="2312">
        <v>57</v>
      </c>
      <c r="AD57" s="2318" t="s">
        <v>2805</v>
      </c>
    </row>
    <row r="58" spans="1:30" ht="11.25" customHeight="1" x14ac:dyDescent="0.25">
      <c r="A58" s="136" t="str">
        <f>IF(RIGHT('Org structure'!D54,18)&lt;&gt;"[Name of sub-vote]",'Org structure'!D54,"")</f>
        <v/>
      </c>
      <c r="B58" s="711"/>
      <c r="C58" s="775"/>
      <c r="D58" s="775"/>
      <c r="E58" s="777"/>
      <c r="F58" s="776"/>
      <c r="G58" s="775"/>
      <c r="H58" s="777"/>
      <c r="I58" s="778"/>
      <c r="J58" s="779">
        <f t="shared" si="27"/>
        <v>0</v>
      </c>
      <c r="K58" s="780">
        <f t="shared" si="28"/>
        <v>0</v>
      </c>
      <c r="L58" s="781">
        <f t="shared" si="29"/>
        <v>0</v>
      </c>
      <c r="M58" s="782"/>
      <c r="N58" s="776"/>
      <c r="O58" s="775"/>
      <c r="P58" s="777"/>
      <c r="Q58" s="214">
        <f t="shared" si="30"/>
        <v>0</v>
      </c>
      <c r="R58" s="776"/>
      <c r="S58" s="775"/>
      <c r="T58" s="778"/>
      <c r="U58" s="774">
        <f t="shared" si="4"/>
        <v>0</v>
      </c>
      <c r="V58" s="778"/>
      <c r="W58" s="775"/>
      <c r="X58" s="783"/>
      <c r="AC58" s="2312">
        <v>58</v>
      </c>
      <c r="AD58" s="2318" t="s">
        <v>2805</v>
      </c>
    </row>
    <row r="59" spans="1:30" ht="11.25" customHeight="1" x14ac:dyDescent="0.25">
      <c r="A59" s="136" t="str">
        <f>IF(RIGHT('Org structure'!D55,18)&lt;&gt;"[Name of sub-vote]",'Org structure'!D55,"")</f>
        <v/>
      </c>
      <c r="B59" s="711"/>
      <c r="C59" s="775"/>
      <c r="D59" s="775"/>
      <c r="E59" s="777"/>
      <c r="F59" s="776"/>
      <c r="G59" s="775"/>
      <c r="H59" s="777"/>
      <c r="I59" s="778"/>
      <c r="J59" s="779">
        <f t="shared" si="27"/>
        <v>0</v>
      </c>
      <c r="K59" s="780">
        <f t="shared" si="28"/>
        <v>0</v>
      </c>
      <c r="L59" s="781">
        <f t="shared" si="29"/>
        <v>0</v>
      </c>
      <c r="M59" s="782"/>
      <c r="N59" s="776"/>
      <c r="O59" s="775"/>
      <c r="P59" s="777"/>
      <c r="Q59" s="214">
        <f t="shared" si="30"/>
        <v>0</v>
      </c>
      <c r="R59" s="776"/>
      <c r="S59" s="775"/>
      <c r="T59" s="778"/>
      <c r="U59" s="774">
        <f t="shared" si="4"/>
        <v>0</v>
      </c>
      <c r="V59" s="778"/>
      <c r="W59" s="775"/>
      <c r="X59" s="783"/>
      <c r="AC59" s="2312">
        <v>59</v>
      </c>
      <c r="AD59" s="2318" t="s">
        <v>2805</v>
      </c>
    </row>
    <row r="60" spans="1:30" ht="11.25" customHeight="1" x14ac:dyDescent="0.25">
      <c r="A60" s="136" t="str">
        <f>IF(RIGHT('Org structure'!D56,18)&lt;&gt;"[Name of sub-vote]",'Org structure'!D56,"")</f>
        <v/>
      </c>
      <c r="B60" s="711"/>
      <c r="C60" s="775"/>
      <c r="D60" s="775"/>
      <c r="E60" s="777"/>
      <c r="F60" s="776"/>
      <c r="G60" s="775"/>
      <c r="H60" s="777"/>
      <c r="I60" s="778"/>
      <c r="J60" s="779">
        <f t="shared" si="27"/>
        <v>0</v>
      </c>
      <c r="K60" s="780">
        <f t="shared" si="28"/>
        <v>0</v>
      </c>
      <c r="L60" s="781">
        <f t="shared" si="29"/>
        <v>0</v>
      </c>
      <c r="M60" s="782"/>
      <c r="N60" s="776"/>
      <c r="O60" s="775"/>
      <c r="P60" s="777"/>
      <c r="Q60" s="214">
        <f t="shared" si="30"/>
        <v>0</v>
      </c>
      <c r="R60" s="776"/>
      <c r="S60" s="775"/>
      <c r="T60" s="778"/>
      <c r="U60" s="774">
        <f t="shared" si="4"/>
        <v>0</v>
      </c>
      <c r="V60" s="778"/>
      <c r="W60" s="775"/>
      <c r="X60" s="783"/>
      <c r="AC60" s="2312">
        <v>510</v>
      </c>
      <c r="AD60" s="2318" t="s">
        <v>2805</v>
      </c>
    </row>
    <row r="61" spans="1:30" ht="15" customHeight="1" x14ac:dyDescent="0.25">
      <c r="A61" s="135" t="str">
        <f>'Org structure'!A7</f>
        <v>Vote 6 - Energy Sources</v>
      </c>
      <c r="B61" s="769"/>
      <c r="C61" s="212">
        <f>SUM(C62:C71)</f>
        <v>0</v>
      </c>
      <c r="D61" s="212">
        <f t="shared" ref="D61:L61" si="31">SUM(D62:D71)</f>
        <v>0</v>
      </c>
      <c r="E61" s="213">
        <f t="shared" si="31"/>
        <v>0</v>
      </c>
      <c r="F61" s="214">
        <f t="shared" si="31"/>
        <v>0</v>
      </c>
      <c r="G61" s="212">
        <f t="shared" si="31"/>
        <v>0</v>
      </c>
      <c r="H61" s="213">
        <f t="shared" si="31"/>
        <v>0</v>
      </c>
      <c r="I61" s="215">
        <f>SUM(I62:I71)</f>
        <v>0</v>
      </c>
      <c r="J61" s="779">
        <f t="shared" si="31"/>
        <v>0</v>
      </c>
      <c r="K61" s="780">
        <f t="shared" si="31"/>
        <v>0</v>
      </c>
      <c r="L61" s="781">
        <f t="shared" si="31"/>
        <v>0</v>
      </c>
      <c r="M61" s="782"/>
      <c r="N61" s="214">
        <f t="shared" ref="N61:X61" si="32">SUM(N62:N71)</f>
        <v>0</v>
      </c>
      <c r="O61" s="212">
        <f t="shared" si="32"/>
        <v>0</v>
      </c>
      <c r="P61" s="213">
        <f t="shared" si="32"/>
        <v>0</v>
      </c>
      <c r="Q61" s="214">
        <f t="shared" si="32"/>
        <v>0</v>
      </c>
      <c r="R61" s="214">
        <f t="shared" si="32"/>
        <v>0</v>
      </c>
      <c r="S61" s="212">
        <f t="shared" si="32"/>
        <v>0</v>
      </c>
      <c r="T61" s="773">
        <f t="shared" si="32"/>
        <v>0</v>
      </c>
      <c r="U61" s="774">
        <f t="shared" si="32"/>
        <v>0</v>
      </c>
      <c r="V61" s="786">
        <f t="shared" si="32"/>
        <v>0</v>
      </c>
      <c r="W61" s="212">
        <f t="shared" si="32"/>
        <v>0</v>
      </c>
      <c r="X61" s="771">
        <f t="shared" si="32"/>
        <v>0</v>
      </c>
      <c r="AD61" s="2315"/>
    </row>
    <row r="62" spans="1:30" ht="11.25" customHeight="1" x14ac:dyDescent="0.25">
      <c r="A62" s="136" t="str">
        <f>IF(RIGHT('Org structure'!D58,18)&lt;&gt;"[Name of sub-vote]",'Org structure'!D58,"")</f>
        <v>6.1 - Electricity</v>
      </c>
      <c r="B62" s="711"/>
      <c r="C62" s="775"/>
      <c r="D62" s="775"/>
      <c r="E62" s="777"/>
      <c r="F62" s="776"/>
      <c r="G62" s="775"/>
      <c r="H62" s="777"/>
      <c r="I62" s="778"/>
      <c r="J62" s="779">
        <f t="shared" ref="J62:J71" si="33">Q62+V62</f>
        <v>0</v>
      </c>
      <c r="K62" s="780">
        <f t="shared" ref="K62:K71" si="34">U62+W62</f>
        <v>0</v>
      </c>
      <c r="L62" s="781">
        <f t="shared" ref="L62:L71" si="35">X62</f>
        <v>0</v>
      </c>
      <c r="M62" s="782"/>
      <c r="N62" s="776"/>
      <c r="O62" s="775"/>
      <c r="P62" s="777"/>
      <c r="Q62" s="214">
        <f t="shared" ref="Q62:Q71" si="36">SUM(N62:P62)</f>
        <v>0</v>
      </c>
      <c r="R62" s="776"/>
      <c r="S62" s="775"/>
      <c r="T62" s="778"/>
      <c r="U62" s="774">
        <f t="shared" si="4"/>
        <v>0</v>
      </c>
      <c r="V62" s="778"/>
      <c r="W62" s="775"/>
      <c r="X62" s="783"/>
      <c r="AC62" s="2312">
        <v>61</v>
      </c>
      <c r="AD62" s="2318" t="s">
        <v>2805</v>
      </c>
    </row>
    <row r="63" spans="1:30" ht="11.25" customHeight="1" x14ac:dyDescent="0.25">
      <c r="A63" s="136" t="str">
        <f>IF(RIGHT('Org structure'!D59,18)&lt;&gt;"[Name of sub-vote]",'Org structure'!D59,"")</f>
        <v/>
      </c>
      <c r="B63" s="711"/>
      <c r="C63" s="775"/>
      <c r="D63" s="775"/>
      <c r="E63" s="777"/>
      <c r="F63" s="776"/>
      <c r="G63" s="775"/>
      <c r="H63" s="777"/>
      <c r="I63" s="778"/>
      <c r="J63" s="779">
        <f t="shared" si="33"/>
        <v>0</v>
      </c>
      <c r="K63" s="780">
        <f t="shared" si="34"/>
        <v>0</v>
      </c>
      <c r="L63" s="781">
        <f t="shared" si="35"/>
        <v>0</v>
      </c>
      <c r="M63" s="782"/>
      <c r="N63" s="776"/>
      <c r="O63" s="775"/>
      <c r="P63" s="777"/>
      <c r="Q63" s="214">
        <f t="shared" si="36"/>
        <v>0</v>
      </c>
      <c r="R63" s="776"/>
      <c r="S63" s="775"/>
      <c r="T63" s="778"/>
      <c r="U63" s="774">
        <f t="shared" si="4"/>
        <v>0</v>
      </c>
      <c r="V63" s="778"/>
      <c r="W63" s="775"/>
      <c r="X63" s="783"/>
      <c r="AC63" s="2312">
        <v>62</v>
      </c>
      <c r="AD63" s="2318" t="s">
        <v>2805</v>
      </c>
    </row>
    <row r="64" spans="1:30" ht="11.25" customHeight="1" x14ac:dyDescent="0.25">
      <c r="A64" s="136" t="str">
        <f>IF(RIGHT('Org structure'!D60,18)&lt;&gt;"[Name of sub-vote]",'Org structure'!D60,"")</f>
        <v/>
      </c>
      <c r="B64" s="711"/>
      <c r="C64" s="775"/>
      <c r="D64" s="775"/>
      <c r="E64" s="777"/>
      <c r="F64" s="776"/>
      <c r="G64" s="775"/>
      <c r="H64" s="777"/>
      <c r="I64" s="778"/>
      <c r="J64" s="779">
        <f t="shared" si="33"/>
        <v>0</v>
      </c>
      <c r="K64" s="780">
        <f t="shared" si="34"/>
        <v>0</v>
      </c>
      <c r="L64" s="781">
        <f t="shared" si="35"/>
        <v>0</v>
      </c>
      <c r="M64" s="782"/>
      <c r="N64" s="776"/>
      <c r="O64" s="775"/>
      <c r="P64" s="777"/>
      <c r="Q64" s="214">
        <f t="shared" si="36"/>
        <v>0</v>
      </c>
      <c r="R64" s="776"/>
      <c r="S64" s="775"/>
      <c r="T64" s="778"/>
      <c r="U64" s="774">
        <f t="shared" si="4"/>
        <v>0</v>
      </c>
      <c r="V64" s="778"/>
      <c r="W64" s="775"/>
      <c r="X64" s="783"/>
      <c r="AC64" s="2312">
        <v>63</v>
      </c>
      <c r="AD64" s="2318" t="s">
        <v>2805</v>
      </c>
    </row>
    <row r="65" spans="1:30" ht="11.25" customHeight="1" x14ac:dyDescent="0.25">
      <c r="A65" s="136" t="str">
        <f>IF(RIGHT('Org structure'!D61,18)&lt;&gt;"[Name of sub-vote]",'Org structure'!D61,"")</f>
        <v/>
      </c>
      <c r="B65" s="711"/>
      <c r="C65" s="775"/>
      <c r="D65" s="775"/>
      <c r="E65" s="777"/>
      <c r="F65" s="776"/>
      <c r="G65" s="775"/>
      <c r="H65" s="777"/>
      <c r="I65" s="778"/>
      <c r="J65" s="779">
        <f t="shared" si="33"/>
        <v>0</v>
      </c>
      <c r="K65" s="780">
        <f t="shared" si="34"/>
        <v>0</v>
      </c>
      <c r="L65" s="781">
        <f t="shared" si="35"/>
        <v>0</v>
      </c>
      <c r="M65" s="782"/>
      <c r="N65" s="776"/>
      <c r="O65" s="775"/>
      <c r="P65" s="777"/>
      <c r="Q65" s="214">
        <f t="shared" si="36"/>
        <v>0</v>
      </c>
      <c r="R65" s="776"/>
      <c r="S65" s="775"/>
      <c r="T65" s="778"/>
      <c r="U65" s="774">
        <f t="shared" si="4"/>
        <v>0</v>
      </c>
      <c r="V65" s="778"/>
      <c r="W65" s="775"/>
      <c r="X65" s="783"/>
      <c r="AC65" s="2312">
        <v>64</v>
      </c>
      <c r="AD65" s="2318" t="s">
        <v>2805</v>
      </c>
    </row>
    <row r="66" spans="1:30" ht="11.25" customHeight="1" x14ac:dyDescent="0.25">
      <c r="A66" s="136" t="str">
        <f>IF(RIGHT('Org structure'!D62,18)&lt;&gt;"[Name of sub-vote]",'Org structure'!D62,"")</f>
        <v/>
      </c>
      <c r="B66" s="711"/>
      <c r="C66" s="775"/>
      <c r="D66" s="775"/>
      <c r="E66" s="777"/>
      <c r="F66" s="776"/>
      <c r="G66" s="775"/>
      <c r="H66" s="777"/>
      <c r="I66" s="778"/>
      <c r="J66" s="779">
        <f t="shared" si="33"/>
        <v>0</v>
      </c>
      <c r="K66" s="780">
        <f t="shared" si="34"/>
        <v>0</v>
      </c>
      <c r="L66" s="781">
        <f t="shared" si="35"/>
        <v>0</v>
      </c>
      <c r="M66" s="782"/>
      <c r="N66" s="776"/>
      <c r="O66" s="775"/>
      <c r="P66" s="777"/>
      <c r="Q66" s="214">
        <f t="shared" si="36"/>
        <v>0</v>
      </c>
      <c r="R66" s="776"/>
      <c r="S66" s="775"/>
      <c r="T66" s="778"/>
      <c r="U66" s="774">
        <f t="shared" si="4"/>
        <v>0</v>
      </c>
      <c r="V66" s="778"/>
      <c r="W66" s="775"/>
      <c r="X66" s="783"/>
      <c r="AC66" s="2312">
        <v>65</v>
      </c>
      <c r="AD66" s="2318" t="s">
        <v>2805</v>
      </c>
    </row>
    <row r="67" spans="1:30" ht="11.25" customHeight="1" x14ac:dyDescent="0.25">
      <c r="A67" s="136" t="str">
        <f>IF(RIGHT('Org structure'!D63,18)&lt;&gt;"[Name of sub-vote]",'Org structure'!D63,"")</f>
        <v/>
      </c>
      <c r="B67" s="711"/>
      <c r="C67" s="775"/>
      <c r="D67" s="775"/>
      <c r="E67" s="777"/>
      <c r="F67" s="776"/>
      <c r="G67" s="775"/>
      <c r="H67" s="777"/>
      <c r="I67" s="778"/>
      <c r="J67" s="779">
        <f t="shared" si="33"/>
        <v>0</v>
      </c>
      <c r="K67" s="780">
        <f t="shared" si="34"/>
        <v>0</v>
      </c>
      <c r="L67" s="781">
        <f t="shared" si="35"/>
        <v>0</v>
      </c>
      <c r="M67" s="782"/>
      <c r="N67" s="776"/>
      <c r="O67" s="775"/>
      <c r="P67" s="777"/>
      <c r="Q67" s="214">
        <f t="shared" si="36"/>
        <v>0</v>
      </c>
      <c r="R67" s="776"/>
      <c r="S67" s="775"/>
      <c r="T67" s="778"/>
      <c r="U67" s="774">
        <f t="shared" si="4"/>
        <v>0</v>
      </c>
      <c r="V67" s="778"/>
      <c r="W67" s="775"/>
      <c r="X67" s="783"/>
      <c r="AC67" s="2312">
        <v>66</v>
      </c>
      <c r="AD67" s="2318" t="s">
        <v>2805</v>
      </c>
    </row>
    <row r="68" spans="1:30" ht="11.25" customHeight="1" x14ac:dyDescent="0.25">
      <c r="A68" s="136" t="str">
        <f>IF(RIGHT('Org structure'!D64,18)&lt;&gt;"[Name of sub-vote]",'Org structure'!D64,"")</f>
        <v/>
      </c>
      <c r="B68" s="711"/>
      <c r="C68" s="775"/>
      <c r="D68" s="775"/>
      <c r="E68" s="777"/>
      <c r="F68" s="776"/>
      <c r="G68" s="775"/>
      <c r="H68" s="777"/>
      <c r="I68" s="778"/>
      <c r="J68" s="779">
        <f t="shared" si="33"/>
        <v>0</v>
      </c>
      <c r="K68" s="780">
        <f t="shared" si="34"/>
        <v>0</v>
      </c>
      <c r="L68" s="781">
        <f t="shared" si="35"/>
        <v>0</v>
      </c>
      <c r="M68" s="782"/>
      <c r="N68" s="776"/>
      <c r="O68" s="775"/>
      <c r="P68" s="777"/>
      <c r="Q68" s="214">
        <f t="shared" si="36"/>
        <v>0</v>
      </c>
      <c r="R68" s="776"/>
      <c r="S68" s="775"/>
      <c r="T68" s="778"/>
      <c r="U68" s="774">
        <f t="shared" si="4"/>
        <v>0</v>
      </c>
      <c r="V68" s="778"/>
      <c r="W68" s="775"/>
      <c r="X68" s="783"/>
      <c r="AC68" s="2312">
        <v>67</v>
      </c>
      <c r="AD68" s="2318" t="s">
        <v>2805</v>
      </c>
    </row>
    <row r="69" spans="1:30" ht="11.25" customHeight="1" x14ac:dyDescent="0.25">
      <c r="A69" s="136" t="str">
        <f>IF(RIGHT('Org structure'!D65,18)&lt;&gt;"[Name of sub-vote]",'Org structure'!D65,"")</f>
        <v/>
      </c>
      <c r="B69" s="711"/>
      <c r="C69" s="775"/>
      <c r="D69" s="775"/>
      <c r="E69" s="777"/>
      <c r="F69" s="776"/>
      <c r="G69" s="775"/>
      <c r="H69" s="777"/>
      <c r="I69" s="778"/>
      <c r="J69" s="779">
        <f t="shared" si="33"/>
        <v>0</v>
      </c>
      <c r="K69" s="780">
        <f t="shared" si="34"/>
        <v>0</v>
      </c>
      <c r="L69" s="781">
        <f t="shared" si="35"/>
        <v>0</v>
      </c>
      <c r="M69" s="782"/>
      <c r="N69" s="776"/>
      <c r="O69" s="775"/>
      <c r="P69" s="777"/>
      <c r="Q69" s="214">
        <f t="shared" si="36"/>
        <v>0</v>
      </c>
      <c r="R69" s="776"/>
      <c r="S69" s="775"/>
      <c r="T69" s="778"/>
      <c r="U69" s="774">
        <f t="shared" si="4"/>
        <v>0</v>
      </c>
      <c r="V69" s="778"/>
      <c r="W69" s="775"/>
      <c r="X69" s="783"/>
      <c r="AC69" s="2312">
        <v>68</v>
      </c>
      <c r="AD69" s="2318" t="s">
        <v>2805</v>
      </c>
    </row>
    <row r="70" spans="1:30" ht="11.25" customHeight="1" x14ac:dyDescent="0.25">
      <c r="A70" s="136" t="str">
        <f>IF(RIGHT('Org structure'!D66,18)&lt;&gt;"[Name of sub-vote]",'Org structure'!D66,"")</f>
        <v/>
      </c>
      <c r="B70" s="711"/>
      <c r="C70" s="775"/>
      <c r="D70" s="775"/>
      <c r="E70" s="777"/>
      <c r="F70" s="776"/>
      <c r="G70" s="775"/>
      <c r="H70" s="777"/>
      <c r="I70" s="778"/>
      <c r="J70" s="779">
        <f t="shared" si="33"/>
        <v>0</v>
      </c>
      <c r="K70" s="780">
        <f t="shared" si="34"/>
        <v>0</v>
      </c>
      <c r="L70" s="781">
        <f t="shared" si="35"/>
        <v>0</v>
      </c>
      <c r="M70" s="782"/>
      <c r="N70" s="776"/>
      <c r="O70" s="775"/>
      <c r="P70" s="777"/>
      <c r="Q70" s="214">
        <f t="shared" si="36"/>
        <v>0</v>
      </c>
      <c r="R70" s="776"/>
      <c r="S70" s="775"/>
      <c r="T70" s="778"/>
      <c r="U70" s="774">
        <f t="shared" si="4"/>
        <v>0</v>
      </c>
      <c r="V70" s="778"/>
      <c r="W70" s="775"/>
      <c r="X70" s="783"/>
      <c r="AC70" s="2312">
        <v>69</v>
      </c>
      <c r="AD70" s="2318" t="s">
        <v>2805</v>
      </c>
    </row>
    <row r="71" spans="1:30" ht="11.25" customHeight="1" x14ac:dyDescent="0.25">
      <c r="A71" s="136" t="str">
        <f>IF(RIGHT('Org structure'!D67,18)&lt;&gt;"[Name of sub-vote]",'Org structure'!D67,"")</f>
        <v/>
      </c>
      <c r="B71" s="711"/>
      <c r="C71" s="775"/>
      <c r="D71" s="775"/>
      <c r="E71" s="777"/>
      <c r="F71" s="776"/>
      <c r="G71" s="775"/>
      <c r="H71" s="777"/>
      <c r="I71" s="778"/>
      <c r="J71" s="779">
        <f t="shared" si="33"/>
        <v>0</v>
      </c>
      <c r="K71" s="780">
        <f t="shared" si="34"/>
        <v>0</v>
      </c>
      <c r="L71" s="781">
        <f t="shared" si="35"/>
        <v>0</v>
      </c>
      <c r="M71" s="782"/>
      <c r="N71" s="776"/>
      <c r="O71" s="775"/>
      <c r="P71" s="777"/>
      <c r="Q71" s="214">
        <f t="shared" si="36"/>
        <v>0</v>
      </c>
      <c r="R71" s="776"/>
      <c r="S71" s="775"/>
      <c r="T71" s="778"/>
      <c r="U71" s="774">
        <f t="shared" si="4"/>
        <v>0</v>
      </c>
      <c r="V71" s="778"/>
      <c r="W71" s="775"/>
      <c r="X71" s="783"/>
      <c r="AC71" s="2312">
        <v>610</v>
      </c>
      <c r="AD71" s="2318" t="s">
        <v>2805</v>
      </c>
    </row>
    <row r="72" spans="1:30" ht="15" customHeight="1" x14ac:dyDescent="0.25">
      <c r="A72" s="135" t="str">
        <f>'Org structure'!A8</f>
        <v>Vote 7 - Road Transport</v>
      </c>
      <c r="B72" s="769"/>
      <c r="C72" s="212">
        <f t="shared" ref="C72:L72" si="37">SUM(C73:C82)</f>
        <v>0</v>
      </c>
      <c r="D72" s="212">
        <f t="shared" si="37"/>
        <v>0</v>
      </c>
      <c r="E72" s="213">
        <f t="shared" si="37"/>
        <v>0</v>
      </c>
      <c r="F72" s="214">
        <f t="shared" si="37"/>
        <v>0</v>
      </c>
      <c r="G72" s="212">
        <f t="shared" si="37"/>
        <v>0</v>
      </c>
      <c r="H72" s="213">
        <f t="shared" si="37"/>
        <v>0</v>
      </c>
      <c r="I72" s="215">
        <f t="shared" si="37"/>
        <v>0</v>
      </c>
      <c r="J72" s="779">
        <f t="shared" si="37"/>
        <v>0</v>
      </c>
      <c r="K72" s="780">
        <f t="shared" si="37"/>
        <v>0</v>
      </c>
      <c r="L72" s="781">
        <f t="shared" si="37"/>
        <v>0</v>
      </c>
      <c r="M72" s="782"/>
      <c r="N72" s="214">
        <f t="shared" ref="N72:X72" si="38">SUM(N73:N82)</f>
        <v>0</v>
      </c>
      <c r="O72" s="212">
        <f t="shared" si="38"/>
        <v>0</v>
      </c>
      <c r="P72" s="213">
        <f t="shared" si="38"/>
        <v>0</v>
      </c>
      <c r="Q72" s="214">
        <f t="shared" si="38"/>
        <v>0</v>
      </c>
      <c r="R72" s="214">
        <f t="shared" si="38"/>
        <v>0</v>
      </c>
      <c r="S72" s="212">
        <f t="shared" si="38"/>
        <v>0</v>
      </c>
      <c r="T72" s="773">
        <f t="shared" si="38"/>
        <v>0</v>
      </c>
      <c r="U72" s="774">
        <f t="shared" si="38"/>
        <v>0</v>
      </c>
      <c r="V72" s="786">
        <f t="shared" si="38"/>
        <v>0</v>
      </c>
      <c r="W72" s="212">
        <f t="shared" si="38"/>
        <v>0</v>
      </c>
      <c r="X72" s="771">
        <f t="shared" si="38"/>
        <v>0</v>
      </c>
      <c r="AD72" s="2315"/>
    </row>
    <row r="73" spans="1:30" ht="11.25" customHeight="1" x14ac:dyDescent="0.25">
      <c r="A73" s="136" t="str">
        <f>IF(RIGHT('Org structure'!D69,18)&lt;&gt;"[Name of sub-vote]",'Org structure'!D69,"")</f>
        <v>7.1 - Roads</v>
      </c>
      <c r="B73" s="711"/>
      <c r="C73" s="775"/>
      <c r="D73" s="775"/>
      <c r="E73" s="777"/>
      <c r="F73" s="776"/>
      <c r="G73" s="775"/>
      <c r="H73" s="777"/>
      <c r="I73" s="778"/>
      <c r="J73" s="779">
        <f t="shared" ref="J73:J82" si="39">Q73+V73</f>
        <v>0</v>
      </c>
      <c r="K73" s="780">
        <f t="shared" ref="K73:K82" si="40">U73+W73</f>
        <v>0</v>
      </c>
      <c r="L73" s="781">
        <f t="shared" ref="L73:L82" si="41">X73</f>
        <v>0</v>
      </c>
      <c r="M73" s="782"/>
      <c r="N73" s="776"/>
      <c r="O73" s="775"/>
      <c r="P73" s="777"/>
      <c r="Q73" s="214">
        <f t="shared" ref="Q73:Q82" si="42">SUM(N73:P73)</f>
        <v>0</v>
      </c>
      <c r="R73" s="776"/>
      <c r="S73" s="775"/>
      <c r="T73" s="778"/>
      <c r="U73" s="774">
        <f t="shared" ref="U73:U135" si="43">SUM(R73:T73)</f>
        <v>0</v>
      </c>
      <c r="V73" s="778"/>
      <c r="W73" s="775"/>
      <c r="X73" s="783"/>
      <c r="AC73" s="2312">
        <v>71</v>
      </c>
      <c r="AD73" s="2318" t="s">
        <v>2805</v>
      </c>
    </row>
    <row r="74" spans="1:30" ht="11.25" customHeight="1" x14ac:dyDescent="0.25">
      <c r="A74" s="136" t="str">
        <f>IF(RIGHT('Org structure'!D70,18)&lt;&gt;"[Name of sub-vote]",'Org structure'!D70,"")</f>
        <v/>
      </c>
      <c r="B74" s="711"/>
      <c r="C74" s="775"/>
      <c r="D74" s="775"/>
      <c r="E74" s="777"/>
      <c r="F74" s="776"/>
      <c r="G74" s="775"/>
      <c r="H74" s="777"/>
      <c r="I74" s="778"/>
      <c r="J74" s="779">
        <f t="shared" si="39"/>
        <v>0</v>
      </c>
      <c r="K74" s="780">
        <f t="shared" si="40"/>
        <v>0</v>
      </c>
      <c r="L74" s="781">
        <f t="shared" si="41"/>
        <v>0</v>
      </c>
      <c r="M74" s="782"/>
      <c r="N74" s="776"/>
      <c r="O74" s="775"/>
      <c r="P74" s="777"/>
      <c r="Q74" s="214">
        <f t="shared" si="42"/>
        <v>0</v>
      </c>
      <c r="R74" s="776"/>
      <c r="S74" s="775"/>
      <c r="T74" s="778"/>
      <c r="U74" s="774">
        <f t="shared" si="43"/>
        <v>0</v>
      </c>
      <c r="V74" s="778"/>
      <c r="W74" s="775"/>
      <c r="X74" s="783"/>
      <c r="AC74" s="2312">
        <v>72</v>
      </c>
      <c r="AD74" s="2318" t="s">
        <v>2805</v>
      </c>
    </row>
    <row r="75" spans="1:30" ht="11.25" customHeight="1" x14ac:dyDescent="0.25">
      <c r="A75" s="136" t="str">
        <f>IF(RIGHT('Org structure'!D71,18)&lt;&gt;"[Name of sub-vote]",'Org structure'!D71,"")</f>
        <v/>
      </c>
      <c r="B75" s="711"/>
      <c r="C75" s="775"/>
      <c r="D75" s="775"/>
      <c r="E75" s="777"/>
      <c r="F75" s="776"/>
      <c r="G75" s="775"/>
      <c r="H75" s="777"/>
      <c r="I75" s="778"/>
      <c r="J75" s="779">
        <f t="shared" si="39"/>
        <v>0</v>
      </c>
      <c r="K75" s="780">
        <f t="shared" si="40"/>
        <v>0</v>
      </c>
      <c r="L75" s="781">
        <f t="shared" si="41"/>
        <v>0</v>
      </c>
      <c r="M75" s="782"/>
      <c r="N75" s="776"/>
      <c r="O75" s="775"/>
      <c r="P75" s="777"/>
      <c r="Q75" s="214">
        <f t="shared" si="42"/>
        <v>0</v>
      </c>
      <c r="R75" s="776"/>
      <c r="S75" s="775"/>
      <c r="T75" s="778"/>
      <c r="U75" s="774">
        <f t="shared" si="43"/>
        <v>0</v>
      </c>
      <c r="V75" s="778"/>
      <c r="W75" s="775"/>
      <c r="X75" s="783"/>
      <c r="AC75" s="2312">
        <v>73</v>
      </c>
      <c r="AD75" s="2318" t="s">
        <v>2805</v>
      </c>
    </row>
    <row r="76" spans="1:30" ht="11.25" customHeight="1" x14ac:dyDescent="0.25">
      <c r="A76" s="136" t="str">
        <f>IF(RIGHT('Org structure'!D72,18)&lt;&gt;"[Name of sub-vote]",'Org structure'!D72,"")</f>
        <v/>
      </c>
      <c r="B76" s="711"/>
      <c r="C76" s="775"/>
      <c r="D76" s="775"/>
      <c r="E76" s="777"/>
      <c r="F76" s="776"/>
      <c r="G76" s="775"/>
      <c r="H76" s="777"/>
      <c r="I76" s="778"/>
      <c r="J76" s="779">
        <f t="shared" si="39"/>
        <v>0</v>
      </c>
      <c r="K76" s="780">
        <f t="shared" si="40"/>
        <v>0</v>
      </c>
      <c r="L76" s="781">
        <f t="shared" si="41"/>
        <v>0</v>
      </c>
      <c r="M76" s="782"/>
      <c r="N76" s="776"/>
      <c r="O76" s="775"/>
      <c r="P76" s="777"/>
      <c r="Q76" s="214">
        <f t="shared" si="42"/>
        <v>0</v>
      </c>
      <c r="R76" s="776"/>
      <c r="S76" s="775"/>
      <c r="T76" s="778"/>
      <c r="U76" s="774">
        <f t="shared" si="43"/>
        <v>0</v>
      </c>
      <c r="V76" s="778"/>
      <c r="W76" s="775"/>
      <c r="X76" s="783"/>
      <c r="AC76" s="2312">
        <v>74</v>
      </c>
      <c r="AD76" s="2318" t="s">
        <v>2805</v>
      </c>
    </row>
    <row r="77" spans="1:30" ht="11.25" customHeight="1" x14ac:dyDescent="0.25">
      <c r="A77" s="136" t="str">
        <f>IF(RIGHT('Org structure'!D73,18)&lt;&gt;"[Name of sub-vote]",'Org structure'!D73,"")</f>
        <v/>
      </c>
      <c r="B77" s="711"/>
      <c r="C77" s="775"/>
      <c r="D77" s="775"/>
      <c r="E77" s="777"/>
      <c r="F77" s="776"/>
      <c r="G77" s="775"/>
      <c r="H77" s="777"/>
      <c r="I77" s="778"/>
      <c r="J77" s="779">
        <f t="shared" si="39"/>
        <v>0</v>
      </c>
      <c r="K77" s="780">
        <f t="shared" si="40"/>
        <v>0</v>
      </c>
      <c r="L77" s="781">
        <f t="shared" si="41"/>
        <v>0</v>
      </c>
      <c r="M77" s="782"/>
      <c r="N77" s="776"/>
      <c r="O77" s="775"/>
      <c r="P77" s="777"/>
      <c r="Q77" s="214">
        <f t="shared" si="42"/>
        <v>0</v>
      </c>
      <c r="R77" s="776"/>
      <c r="S77" s="775"/>
      <c r="T77" s="778"/>
      <c r="U77" s="774">
        <f t="shared" si="43"/>
        <v>0</v>
      </c>
      <c r="V77" s="778"/>
      <c r="W77" s="775"/>
      <c r="X77" s="783"/>
      <c r="AC77" s="2312">
        <v>75</v>
      </c>
      <c r="AD77" s="2318" t="s">
        <v>2805</v>
      </c>
    </row>
    <row r="78" spans="1:30" ht="11.25" customHeight="1" x14ac:dyDescent="0.25">
      <c r="A78" s="136" t="str">
        <f>IF(RIGHT('Org structure'!D74,18)&lt;&gt;"[Name of sub-vote]",'Org structure'!D74,"")</f>
        <v/>
      </c>
      <c r="B78" s="711"/>
      <c r="C78" s="775"/>
      <c r="D78" s="775"/>
      <c r="E78" s="777"/>
      <c r="F78" s="776"/>
      <c r="G78" s="775"/>
      <c r="H78" s="777"/>
      <c r="I78" s="778"/>
      <c r="J78" s="779">
        <f t="shared" si="39"/>
        <v>0</v>
      </c>
      <c r="K78" s="780">
        <f t="shared" si="40"/>
        <v>0</v>
      </c>
      <c r="L78" s="781">
        <f t="shared" si="41"/>
        <v>0</v>
      </c>
      <c r="M78" s="782"/>
      <c r="N78" s="776"/>
      <c r="O78" s="775"/>
      <c r="P78" s="777"/>
      <c r="Q78" s="214">
        <f t="shared" si="42"/>
        <v>0</v>
      </c>
      <c r="R78" s="776"/>
      <c r="S78" s="775"/>
      <c r="T78" s="778"/>
      <c r="U78" s="774">
        <f t="shared" si="43"/>
        <v>0</v>
      </c>
      <c r="V78" s="778"/>
      <c r="W78" s="775"/>
      <c r="X78" s="783"/>
      <c r="AC78" s="2312">
        <v>76</v>
      </c>
      <c r="AD78" s="2318" t="s">
        <v>2805</v>
      </c>
    </row>
    <row r="79" spans="1:30" ht="11.25" customHeight="1" x14ac:dyDescent="0.25">
      <c r="A79" s="136" t="str">
        <f>IF(RIGHT('Org structure'!D75,18)&lt;&gt;"[Name of sub-vote]",'Org structure'!D75,"")</f>
        <v/>
      </c>
      <c r="B79" s="711"/>
      <c r="C79" s="775"/>
      <c r="D79" s="775"/>
      <c r="E79" s="777"/>
      <c r="F79" s="776"/>
      <c r="G79" s="775"/>
      <c r="H79" s="777"/>
      <c r="I79" s="778"/>
      <c r="J79" s="779">
        <f t="shared" si="39"/>
        <v>0</v>
      </c>
      <c r="K79" s="780">
        <f t="shared" si="40"/>
        <v>0</v>
      </c>
      <c r="L79" s="781">
        <f t="shared" si="41"/>
        <v>0</v>
      </c>
      <c r="M79" s="782"/>
      <c r="N79" s="776"/>
      <c r="O79" s="775"/>
      <c r="P79" s="777"/>
      <c r="Q79" s="214">
        <f t="shared" si="42"/>
        <v>0</v>
      </c>
      <c r="R79" s="776"/>
      <c r="S79" s="775"/>
      <c r="T79" s="778"/>
      <c r="U79" s="774">
        <f t="shared" si="43"/>
        <v>0</v>
      </c>
      <c r="V79" s="778"/>
      <c r="W79" s="775"/>
      <c r="X79" s="783"/>
      <c r="AC79" s="2312">
        <v>77</v>
      </c>
      <c r="AD79" s="2318" t="s">
        <v>2805</v>
      </c>
    </row>
    <row r="80" spans="1:30" ht="11.25" customHeight="1" x14ac:dyDescent="0.25">
      <c r="A80" s="136" t="str">
        <f>IF(RIGHT('Org structure'!D76,18)&lt;&gt;"[Name of sub-vote]",'Org structure'!D76,"")</f>
        <v/>
      </c>
      <c r="B80" s="711"/>
      <c r="C80" s="775"/>
      <c r="D80" s="775"/>
      <c r="E80" s="777"/>
      <c r="F80" s="776"/>
      <c r="G80" s="775"/>
      <c r="H80" s="777"/>
      <c r="I80" s="778"/>
      <c r="J80" s="779">
        <f t="shared" si="39"/>
        <v>0</v>
      </c>
      <c r="K80" s="780">
        <f t="shared" si="40"/>
        <v>0</v>
      </c>
      <c r="L80" s="781">
        <f t="shared" si="41"/>
        <v>0</v>
      </c>
      <c r="M80" s="782"/>
      <c r="N80" s="776"/>
      <c r="O80" s="775"/>
      <c r="P80" s="777"/>
      <c r="Q80" s="214">
        <f t="shared" si="42"/>
        <v>0</v>
      </c>
      <c r="R80" s="776"/>
      <c r="S80" s="775"/>
      <c r="T80" s="778"/>
      <c r="U80" s="774">
        <f t="shared" si="43"/>
        <v>0</v>
      </c>
      <c r="V80" s="778"/>
      <c r="W80" s="775"/>
      <c r="X80" s="783"/>
      <c r="AC80" s="2312">
        <v>78</v>
      </c>
      <c r="AD80" s="2318" t="s">
        <v>2805</v>
      </c>
    </row>
    <row r="81" spans="1:30" ht="11.25" customHeight="1" x14ac:dyDescent="0.25">
      <c r="A81" s="136" t="str">
        <f>IF(RIGHT('Org structure'!D77,18)&lt;&gt;"[Name of sub-vote]",'Org structure'!D77,"")</f>
        <v/>
      </c>
      <c r="B81" s="711"/>
      <c r="C81" s="775"/>
      <c r="D81" s="775"/>
      <c r="E81" s="777"/>
      <c r="F81" s="776"/>
      <c r="G81" s="775"/>
      <c r="H81" s="777"/>
      <c r="I81" s="778"/>
      <c r="J81" s="779">
        <f t="shared" si="39"/>
        <v>0</v>
      </c>
      <c r="K81" s="780">
        <f t="shared" si="40"/>
        <v>0</v>
      </c>
      <c r="L81" s="781">
        <f t="shared" si="41"/>
        <v>0</v>
      </c>
      <c r="M81" s="782"/>
      <c r="N81" s="776"/>
      <c r="O81" s="775"/>
      <c r="P81" s="777"/>
      <c r="Q81" s="214">
        <f t="shared" si="42"/>
        <v>0</v>
      </c>
      <c r="R81" s="776"/>
      <c r="S81" s="775"/>
      <c r="T81" s="778"/>
      <c r="U81" s="774">
        <f t="shared" si="43"/>
        <v>0</v>
      </c>
      <c r="V81" s="778"/>
      <c r="W81" s="775"/>
      <c r="X81" s="783"/>
      <c r="AC81" s="2312">
        <v>79</v>
      </c>
      <c r="AD81" s="2318" t="s">
        <v>2805</v>
      </c>
    </row>
    <row r="82" spans="1:30" ht="11.25" customHeight="1" x14ac:dyDescent="0.25">
      <c r="A82" s="136" t="str">
        <f>IF(RIGHT('Org structure'!D78,18)&lt;&gt;"[Name of sub-vote]",'Org structure'!D78,"")</f>
        <v/>
      </c>
      <c r="B82" s="711"/>
      <c r="C82" s="775"/>
      <c r="D82" s="775"/>
      <c r="E82" s="777"/>
      <c r="F82" s="776"/>
      <c r="G82" s="775"/>
      <c r="H82" s="777"/>
      <c r="I82" s="778"/>
      <c r="J82" s="779">
        <f t="shared" si="39"/>
        <v>0</v>
      </c>
      <c r="K82" s="780">
        <f t="shared" si="40"/>
        <v>0</v>
      </c>
      <c r="L82" s="781">
        <f t="shared" si="41"/>
        <v>0</v>
      </c>
      <c r="M82" s="782"/>
      <c r="N82" s="776"/>
      <c r="O82" s="775"/>
      <c r="P82" s="777"/>
      <c r="Q82" s="214">
        <f t="shared" si="42"/>
        <v>0</v>
      </c>
      <c r="R82" s="776"/>
      <c r="S82" s="775"/>
      <c r="T82" s="778"/>
      <c r="U82" s="774">
        <f t="shared" si="43"/>
        <v>0</v>
      </c>
      <c r="V82" s="778"/>
      <c r="W82" s="775"/>
      <c r="X82" s="783"/>
      <c r="AC82" s="2312">
        <v>710</v>
      </c>
      <c r="AD82" s="2318" t="s">
        <v>2805</v>
      </c>
    </row>
    <row r="83" spans="1:30" ht="15" customHeight="1" x14ac:dyDescent="0.25">
      <c r="A83" s="135" t="str">
        <f>'Org structure'!A9</f>
        <v>Vote 8 - Planning and Development</v>
      </c>
      <c r="B83" s="711"/>
      <c r="C83" s="212">
        <f t="shared" ref="C83:L83" si="44">SUM(C84:C93)</f>
        <v>0</v>
      </c>
      <c r="D83" s="212">
        <f t="shared" si="44"/>
        <v>0</v>
      </c>
      <c r="E83" s="213">
        <f t="shared" si="44"/>
        <v>0</v>
      </c>
      <c r="F83" s="214">
        <f t="shared" si="44"/>
        <v>0</v>
      </c>
      <c r="G83" s="212">
        <f t="shared" si="44"/>
        <v>0</v>
      </c>
      <c r="H83" s="213">
        <f t="shared" si="44"/>
        <v>0</v>
      </c>
      <c r="I83" s="215">
        <f t="shared" si="44"/>
        <v>0</v>
      </c>
      <c r="J83" s="779">
        <f t="shared" si="44"/>
        <v>0</v>
      </c>
      <c r="K83" s="780">
        <f t="shared" si="44"/>
        <v>0</v>
      </c>
      <c r="L83" s="781">
        <f t="shared" si="44"/>
        <v>0</v>
      </c>
      <c r="M83" s="784"/>
      <c r="N83" s="214">
        <f t="shared" ref="N83:X83" si="45">SUM(N84:N93)</f>
        <v>0</v>
      </c>
      <c r="O83" s="212">
        <f t="shared" si="45"/>
        <v>0</v>
      </c>
      <c r="P83" s="213">
        <f t="shared" si="45"/>
        <v>0</v>
      </c>
      <c r="Q83" s="214">
        <f t="shared" si="45"/>
        <v>0</v>
      </c>
      <c r="R83" s="214">
        <f t="shared" si="45"/>
        <v>0</v>
      </c>
      <c r="S83" s="212">
        <f t="shared" si="45"/>
        <v>0</v>
      </c>
      <c r="T83" s="773">
        <f t="shared" si="45"/>
        <v>0</v>
      </c>
      <c r="U83" s="774">
        <f t="shared" si="45"/>
        <v>0</v>
      </c>
      <c r="V83" s="786">
        <f t="shared" si="45"/>
        <v>0</v>
      </c>
      <c r="W83" s="212">
        <f t="shared" si="45"/>
        <v>0</v>
      </c>
      <c r="X83" s="771">
        <f t="shared" si="45"/>
        <v>0</v>
      </c>
      <c r="AD83" s="2315"/>
    </row>
    <row r="84" spans="1:30" ht="11.25" customHeight="1" x14ac:dyDescent="0.25">
      <c r="A84" s="136" t="str">
        <f>IF(RIGHT('Org structure'!D80,18)&lt;&gt;"[Name of sub-vote]",'Org structure'!D80,"")</f>
        <v>8.1 - Town Planning, Building Regulations and Enforcement, and City Engineer</v>
      </c>
      <c r="B84" s="711"/>
      <c r="C84" s="775"/>
      <c r="D84" s="775"/>
      <c r="E84" s="778"/>
      <c r="F84" s="776"/>
      <c r="G84" s="775"/>
      <c r="H84" s="777"/>
      <c r="I84" s="778"/>
      <c r="J84" s="779">
        <f t="shared" ref="J84:J93" si="46">Q84+V84</f>
        <v>0</v>
      </c>
      <c r="K84" s="780">
        <f t="shared" ref="K84:K93" si="47">U84+W84</f>
        <v>0</v>
      </c>
      <c r="L84" s="781">
        <f t="shared" ref="L84:L93" si="48">X84</f>
        <v>0</v>
      </c>
      <c r="M84" s="784"/>
      <c r="N84" s="776"/>
      <c r="O84" s="775"/>
      <c r="P84" s="777"/>
      <c r="Q84" s="214">
        <f t="shared" ref="Q84:Q93" si="49">SUM(N84:P84)</f>
        <v>0</v>
      </c>
      <c r="R84" s="776"/>
      <c r="S84" s="775"/>
      <c r="T84" s="778"/>
      <c r="U84" s="774">
        <f t="shared" si="43"/>
        <v>0</v>
      </c>
      <c r="V84" s="778"/>
      <c r="W84" s="775"/>
      <c r="X84" s="783"/>
      <c r="AC84" s="2312">
        <v>81</v>
      </c>
      <c r="AD84" s="2318" t="s">
        <v>2805</v>
      </c>
    </row>
    <row r="85" spans="1:30" ht="11.25" customHeight="1" x14ac:dyDescent="0.25">
      <c r="A85" s="136" t="str">
        <f>IF(RIGHT('Org structure'!D81,18)&lt;&gt;"[Name of sub-vote]",'Org structure'!D81,"")</f>
        <v>8.2 - Development Facilitation</v>
      </c>
      <c r="B85" s="711"/>
      <c r="C85" s="775"/>
      <c r="D85" s="775"/>
      <c r="E85" s="778"/>
      <c r="F85" s="776"/>
      <c r="G85" s="775"/>
      <c r="H85" s="777"/>
      <c r="I85" s="778"/>
      <c r="J85" s="779">
        <f t="shared" si="46"/>
        <v>0</v>
      </c>
      <c r="K85" s="780">
        <f t="shared" si="47"/>
        <v>0</v>
      </c>
      <c r="L85" s="781">
        <f t="shared" si="48"/>
        <v>0</v>
      </c>
      <c r="M85" s="784"/>
      <c r="N85" s="776"/>
      <c r="O85" s="775"/>
      <c r="P85" s="777"/>
      <c r="Q85" s="214">
        <f t="shared" si="49"/>
        <v>0</v>
      </c>
      <c r="R85" s="776"/>
      <c r="S85" s="775"/>
      <c r="T85" s="778"/>
      <c r="U85" s="774">
        <f t="shared" si="43"/>
        <v>0</v>
      </c>
      <c r="V85" s="778"/>
      <c r="W85" s="775"/>
      <c r="X85" s="783"/>
      <c r="AC85" s="2312">
        <v>82</v>
      </c>
      <c r="AD85" s="2318" t="s">
        <v>2805</v>
      </c>
    </row>
    <row r="86" spans="1:30" ht="11.25" customHeight="1" x14ac:dyDescent="0.25">
      <c r="A86" s="136" t="str">
        <f>IF(RIGHT('Org structure'!D82,18)&lt;&gt;"[Name of sub-vote]",'Org structure'!D82,"")</f>
        <v>8.3 - Economic Development/Planning</v>
      </c>
      <c r="B86" s="711"/>
      <c r="C86" s="775"/>
      <c r="D86" s="775"/>
      <c r="E86" s="778"/>
      <c r="F86" s="776"/>
      <c r="G86" s="775"/>
      <c r="H86" s="777"/>
      <c r="I86" s="778"/>
      <c r="J86" s="779">
        <f t="shared" si="46"/>
        <v>0</v>
      </c>
      <c r="K86" s="780">
        <f t="shared" si="47"/>
        <v>0</v>
      </c>
      <c r="L86" s="781">
        <f t="shared" si="48"/>
        <v>0</v>
      </c>
      <c r="M86" s="784"/>
      <c r="N86" s="776"/>
      <c r="O86" s="775"/>
      <c r="P86" s="777"/>
      <c r="Q86" s="214">
        <f t="shared" si="49"/>
        <v>0</v>
      </c>
      <c r="R86" s="776"/>
      <c r="S86" s="775"/>
      <c r="T86" s="778"/>
      <c r="U86" s="774">
        <f t="shared" si="43"/>
        <v>0</v>
      </c>
      <c r="V86" s="778"/>
      <c r="W86" s="775"/>
      <c r="X86" s="783"/>
      <c r="AC86" s="2312">
        <v>83</v>
      </c>
      <c r="AD86" s="2318" t="s">
        <v>2805</v>
      </c>
    </row>
    <row r="87" spans="1:30" ht="11.25" customHeight="1" x14ac:dyDescent="0.25">
      <c r="A87" s="136" t="str">
        <f>IF(RIGHT('Org structure'!D83,18)&lt;&gt;"[Name of sub-vote]",'Org structure'!D83,"")</f>
        <v>8.4 - Regional Planning and Development</v>
      </c>
      <c r="B87" s="711"/>
      <c r="C87" s="775"/>
      <c r="D87" s="775"/>
      <c r="E87" s="778"/>
      <c r="F87" s="776"/>
      <c r="G87" s="775"/>
      <c r="H87" s="777"/>
      <c r="I87" s="778"/>
      <c r="J87" s="779">
        <f t="shared" si="46"/>
        <v>0</v>
      </c>
      <c r="K87" s="780">
        <f t="shared" si="47"/>
        <v>0</v>
      </c>
      <c r="L87" s="781">
        <f t="shared" si="48"/>
        <v>0</v>
      </c>
      <c r="M87" s="784"/>
      <c r="N87" s="776"/>
      <c r="O87" s="775"/>
      <c r="P87" s="777"/>
      <c r="Q87" s="214">
        <f t="shared" si="49"/>
        <v>0</v>
      </c>
      <c r="R87" s="776"/>
      <c r="S87" s="775"/>
      <c r="T87" s="778"/>
      <c r="U87" s="774">
        <f t="shared" si="43"/>
        <v>0</v>
      </c>
      <c r="V87" s="778"/>
      <c r="W87" s="775"/>
      <c r="X87" s="783"/>
      <c r="AC87" s="2312">
        <v>84</v>
      </c>
      <c r="AD87" s="2318" t="s">
        <v>2805</v>
      </c>
    </row>
    <row r="88" spans="1:30" ht="11.25" customHeight="1" x14ac:dyDescent="0.25">
      <c r="A88" s="136" t="str">
        <f>IF(RIGHT('Org structure'!D84,18)&lt;&gt;"[Name of sub-vote]",'Org structure'!D84,"")</f>
        <v>8.5 - Corporate Wide Strategic Planning (IDPs, LEDs)</v>
      </c>
      <c r="B88" s="711"/>
      <c r="C88" s="775"/>
      <c r="D88" s="775"/>
      <c r="E88" s="778"/>
      <c r="F88" s="776"/>
      <c r="G88" s="775"/>
      <c r="H88" s="777"/>
      <c r="I88" s="778"/>
      <c r="J88" s="779">
        <f t="shared" si="46"/>
        <v>0</v>
      </c>
      <c r="K88" s="780">
        <f t="shared" si="47"/>
        <v>0</v>
      </c>
      <c r="L88" s="781">
        <f t="shared" si="48"/>
        <v>0</v>
      </c>
      <c r="M88" s="784"/>
      <c r="N88" s="776"/>
      <c r="O88" s="775"/>
      <c r="P88" s="777"/>
      <c r="Q88" s="214">
        <f t="shared" si="49"/>
        <v>0</v>
      </c>
      <c r="R88" s="776"/>
      <c r="S88" s="775"/>
      <c r="T88" s="778"/>
      <c r="U88" s="774">
        <f t="shared" si="43"/>
        <v>0</v>
      </c>
      <c r="V88" s="778"/>
      <c r="W88" s="775"/>
      <c r="X88" s="783"/>
      <c r="AC88" s="2312">
        <v>85</v>
      </c>
      <c r="AD88" s="2318" t="s">
        <v>2805</v>
      </c>
    </row>
    <row r="89" spans="1:30" ht="11.25" customHeight="1" x14ac:dyDescent="0.25">
      <c r="A89" s="136" t="str">
        <f>IF(RIGHT('Org structure'!D85,18)&lt;&gt;"[Name of sub-vote]",'Org structure'!D85,"")</f>
        <v>8.6 - Project Management Unit</v>
      </c>
      <c r="B89" s="711"/>
      <c r="C89" s="775"/>
      <c r="D89" s="775"/>
      <c r="E89" s="778"/>
      <c r="F89" s="776"/>
      <c r="G89" s="775"/>
      <c r="H89" s="777"/>
      <c r="I89" s="778"/>
      <c r="J89" s="779">
        <f t="shared" si="46"/>
        <v>0</v>
      </c>
      <c r="K89" s="780">
        <f t="shared" si="47"/>
        <v>0</v>
      </c>
      <c r="L89" s="781">
        <f t="shared" si="48"/>
        <v>0</v>
      </c>
      <c r="M89" s="784"/>
      <c r="N89" s="776"/>
      <c r="O89" s="775"/>
      <c r="P89" s="777"/>
      <c r="Q89" s="214">
        <f t="shared" si="49"/>
        <v>0</v>
      </c>
      <c r="R89" s="776"/>
      <c r="S89" s="775"/>
      <c r="T89" s="778"/>
      <c r="U89" s="774">
        <f t="shared" si="43"/>
        <v>0</v>
      </c>
      <c r="V89" s="778"/>
      <c r="W89" s="775"/>
      <c r="X89" s="783"/>
      <c r="AC89" s="2312">
        <v>86</v>
      </c>
      <c r="AD89" s="2318" t="s">
        <v>2805</v>
      </c>
    </row>
    <row r="90" spans="1:30" ht="11.25" customHeight="1" x14ac:dyDescent="0.25">
      <c r="A90" s="136" t="str">
        <f>IF(RIGHT('Org structure'!D86,18)&lt;&gt;"[Name of sub-vote]",'Org structure'!D86,"")</f>
        <v/>
      </c>
      <c r="B90" s="711"/>
      <c r="C90" s="775"/>
      <c r="D90" s="775"/>
      <c r="E90" s="778"/>
      <c r="F90" s="776"/>
      <c r="G90" s="775"/>
      <c r="H90" s="777"/>
      <c r="I90" s="778"/>
      <c r="J90" s="779">
        <f t="shared" si="46"/>
        <v>0</v>
      </c>
      <c r="K90" s="780">
        <f t="shared" si="47"/>
        <v>0</v>
      </c>
      <c r="L90" s="781">
        <f t="shared" si="48"/>
        <v>0</v>
      </c>
      <c r="M90" s="784"/>
      <c r="N90" s="776"/>
      <c r="O90" s="775"/>
      <c r="P90" s="777"/>
      <c r="Q90" s="214">
        <f t="shared" si="49"/>
        <v>0</v>
      </c>
      <c r="R90" s="776"/>
      <c r="S90" s="775"/>
      <c r="T90" s="778"/>
      <c r="U90" s="774">
        <f t="shared" si="43"/>
        <v>0</v>
      </c>
      <c r="V90" s="778"/>
      <c r="W90" s="775"/>
      <c r="X90" s="783"/>
      <c r="AC90" s="2312">
        <v>87</v>
      </c>
      <c r="AD90" s="2318" t="s">
        <v>2805</v>
      </c>
    </row>
    <row r="91" spans="1:30" ht="11.25" customHeight="1" x14ac:dyDescent="0.25">
      <c r="A91" s="136" t="str">
        <f>IF(RIGHT('Org structure'!D87,18)&lt;&gt;"[Name of sub-vote]",'Org structure'!D87,"")</f>
        <v/>
      </c>
      <c r="B91" s="711"/>
      <c r="C91" s="775"/>
      <c r="D91" s="775"/>
      <c r="E91" s="778"/>
      <c r="F91" s="776"/>
      <c r="G91" s="775"/>
      <c r="H91" s="777"/>
      <c r="I91" s="778"/>
      <c r="J91" s="779">
        <f t="shared" si="46"/>
        <v>0</v>
      </c>
      <c r="K91" s="780">
        <f t="shared" si="47"/>
        <v>0</v>
      </c>
      <c r="L91" s="781">
        <f t="shared" si="48"/>
        <v>0</v>
      </c>
      <c r="M91" s="784"/>
      <c r="N91" s="776"/>
      <c r="O91" s="775"/>
      <c r="P91" s="777"/>
      <c r="Q91" s="214">
        <f t="shared" si="49"/>
        <v>0</v>
      </c>
      <c r="R91" s="776"/>
      <c r="S91" s="775"/>
      <c r="T91" s="778"/>
      <c r="U91" s="774">
        <f t="shared" si="43"/>
        <v>0</v>
      </c>
      <c r="V91" s="778"/>
      <c r="W91" s="775"/>
      <c r="X91" s="783"/>
      <c r="AC91" s="2312">
        <v>88</v>
      </c>
      <c r="AD91" s="2318" t="s">
        <v>2805</v>
      </c>
    </row>
    <row r="92" spans="1:30" ht="11.25" customHeight="1" x14ac:dyDescent="0.25">
      <c r="A92" s="136" t="str">
        <f>IF(RIGHT('Org structure'!D88,18)&lt;&gt;"[Name of sub-vote]",'Org structure'!D88,"")</f>
        <v/>
      </c>
      <c r="B92" s="711"/>
      <c r="C92" s="775"/>
      <c r="D92" s="775"/>
      <c r="E92" s="778"/>
      <c r="F92" s="776"/>
      <c r="G92" s="775"/>
      <c r="H92" s="777"/>
      <c r="I92" s="778"/>
      <c r="J92" s="779">
        <f t="shared" si="46"/>
        <v>0</v>
      </c>
      <c r="K92" s="780">
        <f t="shared" si="47"/>
        <v>0</v>
      </c>
      <c r="L92" s="781">
        <f t="shared" si="48"/>
        <v>0</v>
      </c>
      <c r="M92" s="784"/>
      <c r="N92" s="776"/>
      <c r="O92" s="775"/>
      <c r="P92" s="777"/>
      <c r="Q92" s="214">
        <f t="shared" si="49"/>
        <v>0</v>
      </c>
      <c r="R92" s="776"/>
      <c r="S92" s="775"/>
      <c r="T92" s="778"/>
      <c r="U92" s="774">
        <f t="shared" si="43"/>
        <v>0</v>
      </c>
      <c r="V92" s="778"/>
      <c r="W92" s="775"/>
      <c r="X92" s="783"/>
      <c r="AC92" s="2312">
        <v>89</v>
      </c>
      <c r="AD92" s="2318" t="s">
        <v>2805</v>
      </c>
    </row>
    <row r="93" spans="1:30" ht="11.25" customHeight="1" x14ac:dyDescent="0.25">
      <c r="A93" s="136" t="str">
        <f>IF(RIGHT('Org structure'!D89,18)&lt;&gt;"[Name of sub-vote]",'Org structure'!D89,"")</f>
        <v/>
      </c>
      <c r="B93" s="711"/>
      <c r="C93" s="775"/>
      <c r="D93" s="775"/>
      <c r="E93" s="778"/>
      <c r="F93" s="776"/>
      <c r="G93" s="775"/>
      <c r="H93" s="777"/>
      <c r="I93" s="778"/>
      <c r="J93" s="779">
        <f t="shared" si="46"/>
        <v>0</v>
      </c>
      <c r="K93" s="780">
        <f t="shared" si="47"/>
        <v>0</v>
      </c>
      <c r="L93" s="781">
        <f t="shared" si="48"/>
        <v>0</v>
      </c>
      <c r="M93" s="784"/>
      <c r="N93" s="776"/>
      <c r="O93" s="775"/>
      <c r="P93" s="777"/>
      <c r="Q93" s="214">
        <f t="shared" si="49"/>
        <v>0</v>
      </c>
      <c r="R93" s="776"/>
      <c r="S93" s="775"/>
      <c r="T93" s="778"/>
      <c r="U93" s="774">
        <f t="shared" si="43"/>
        <v>0</v>
      </c>
      <c r="V93" s="778"/>
      <c r="W93" s="775"/>
      <c r="X93" s="783"/>
      <c r="AC93" s="2312">
        <v>810</v>
      </c>
      <c r="AD93" s="2318" t="s">
        <v>2805</v>
      </c>
    </row>
    <row r="94" spans="1:30" ht="15" customHeight="1" x14ac:dyDescent="0.25">
      <c r="A94" s="135" t="str">
        <f>'Org structure'!A10</f>
        <v>Vote 9 - Sport and Recreation</v>
      </c>
      <c r="B94" s="711"/>
      <c r="C94" s="212">
        <f>SUM(C95:C104)</f>
        <v>0</v>
      </c>
      <c r="D94" s="212">
        <f t="shared" ref="D94:L94" si="50">SUM(D95:D104)</f>
        <v>0</v>
      </c>
      <c r="E94" s="213">
        <f t="shared" si="50"/>
        <v>0</v>
      </c>
      <c r="F94" s="214">
        <f t="shared" si="50"/>
        <v>0</v>
      </c>
      <c r="G94" s="212">
        <f t="shared" si="50"/>
        <v>0</v>
      </c>
      <c r="H94" s="213">
        <f t="shared" si="50"/>
        <v>0</v>
      </c>
      <c r="I94" s="215">
        <f t="shared" si="50"/>
        <v>0</v>
      </c>
      <c r="J94" s="779">
        <f t="shared" si="50"/>
        <v>0</v>
      </c>
      <c r="K94" s="780">
        <f t="shared" si="50"/>
        <v>0</v>
      </c>
      <c r="L94" s="781">
        <f t="shared" si="50"/>
        <v>0</v>
      </c>
      <c r="M94" s="784"/>
      <c r="N94" s="214">
        <f t="shared" ref="N94:X94" si="51">SUM(N95:N104)</f>
        <v>0</v>
      </c>
      <c r="O94" s="212">
        <f t="shared" si="51"/>
        <v>0</v>
      </c>
      <c r="P94" s="213">
        <f t="shared" si="51"/>
        <v>0</v>
      </c>
      <c r="Q94" s="214">
        <f t="shared" si="51"/>
        <v>0</v>
      </c>
      <c r="R94" s="214">
        <f t="shared" si="51"/>
        <v>0</v>
      </c>
      <c r="S94" s="212">
        <f t="shared" si="51"/>
        <v>0</v>
      </c>
      <c r="T94" s="773">
        <f t="shared" si="51"/>
        <v>0</v>
      </c>
      <c r="U94" s="774">
        <f t="shared" si="51"/>
        <v>0</v>
      </c>
      <c r="V94" s="786">
        <f t="shared" si="51"/>
        <v>0</v>
      </c>
      <c r="W94" s="212">
        <f t="shared" si="51"/>
        <v>0</v>
      </c>
      <c r="X94" s="771">
        <f t="shared" si="51"/>
        <v>0</v>
      </c>
      <c r="AD94" s="2315"/>
    </row>
    <row r="95" spans="1:30" ht="11.25" customHeight="1" x14ac:dyDescent="0.25">
      <c r="A95" s="136" t="str">
        <f>IF(RIGHT('Org structure'!D91,18)&lt;&gt;"[Name of sub-vote]",'Org structure'!D91,"")</f>
        <v>9.1 - Sports Grounds and Stadiums</v>
      </c>
      <c r="B95" s="711"/>
      <c r="C95" s="775"/>
      <c r="D95" s="775"/>
      <c r="E95" s="778"/>
      <c r="F95" s="776"/>
      <c r="G95" s="775"/>
      <c r="H95" s="777"/>
      <c r="I95" s="778"/>
      <c r="J95" s="779">
        <f t="shared" ref="J95:J104" si="52">Q95+V95</f>
        <v>0</v>
      </c>
      <c r="K95" s="780">
        <f t="shared" ref="K95:K104" si="53">U95+W95</f>
        <v>0</v>
      </c>
      <c r="L95" s="781">
        <f t="shared" ref="L95:L104" si="54">X95</f>
        <v>0</v>
      </c>
      <c r="M95" s="784"/>
      <c r="N95" s="776"/>
      <c r="O95" s="775"/>
      <c r="P95" s="777"/>
      <c r="Q95" s="214">
        <f t="shared" ref="Q95:Q104" si="55">SUM(N95:P95)</f>
        <v>0</v>
      </c>
      <c r="R95" s="776"/>
      <c r="S95" s="775"/>
      <c r="T95" s="778"/>
      <c r="U95" s="774">
        <f t="shared" si="43"/>
        <v>0</v>
      </c>
      <c r="V95" s="778"/>
      <c r="W95" s="775"/>
      <c r="X95" s="783"/>
      <c r="AC95" s="2312">
        <v>91</v>
      </c>
      <c r="AD95" s="2318" t="s">
        <v>2805</v>
      </c>
    </row>
    <row r="96" spans="1:30" ht="11.25" customHeight="1" x14ac:dyDescent="0.25">
      <c r="A96" s="136" t="str">
        <f>IF(RIGHT('Org structure'!D92,18)&lt;&gt;"[Name of sub-vote]",'Org structure'!D92,"")</f>
        <v/>
      </c>
      <c r="B96" s="711"/>
      <c r="C96" s="775"/>
      <c r="D96" s="775"/>
      <c r="E96" s="778"/>
      <c r="F96" s="776"/>
      <c r="G96" s="775"/>
      <c r="H96" s="777"/>
      <c r="I96" s="778"/>
      <c r="J96" s="779">
        <f t="shared" si="52"/>
        <v>0</v>
      </c>
      <c r="K96" s="780">
        <f t="shared" si="53"/>
        <v>0</v>
      </c>
      <c r="L96" s="781">
        <f t="shared" si="54"/>
        <v>0</v>
      </c>
      <c r="M96" s="784"/>
      <c r="N96" s="776"/>
      <c r="O96" s="775"/>
      <c r="P96" s="777"/>
      <c r="Q96" s="214">
        <f t="shared" si="55"/>
        <v>0</v>
      </c>
      <c r="R96" s="776"/>
      <c r="S96" s="775"/>
      <c r="T96" s="778"/>
      <c r="U96" s="774">
        <f t="shared" si="43"/>
        <v>0</v>
      </c>
      <c r="V96" s="778"/>
      <c r="W96" s="775"/>
      <c r="X96" s="783"/>
      <c r="AC96" s="2312">
        <v>92</v>
      </c>
      <c r="AD96" s="2318" t="s">
        <v>2805</v>
      </c>
    </row>
    <row r="97" spans="1:30" ht="11.25" customHeight="1" x14ac:dyDescent="0.25">
      <c r="A97" s="136" t="str">
        <f>IF(RIGHT('Org structure'!D93,18)&lt;&gt;"[Name of sub-vote]",'Org structure'!D93,"")</f>
        <v/>
      </c>
      <c r="B97" s="711"/>
      <c r="C97" s="775"/>
      <c r="D97" s="775"/>
      <c r="E97" s="778"/>
      <c r="F97" s="776"/>
      <c r="G97" s="775"/>
      <c r="H97" s="777"/>
      <c r="I97" s="778"/>
      <c r="J97" s="779">
        <f t="shared" si="52"/>
        <v>0</v>
      </c>
      <c r="K97" s="780">
        <f t="shared" si="53"/>
        <v>0</v>
      </c>
      <c r="L97" s="781">
        <f t="shared" si="54"/>
        <v>0</v>
      </c>
      <c r="M97" s="784"/>
      <c r="N97" s="776"/>
      <c r="O97" s="775"/>
      <c r="P97" s="777"/>
      <c r="Q97" s="214">
        <f t="shared" si="55"/>
        <v>0</v>
      </c>
      <c r="R97" s="776"/>
      <c r="S97" s="775"/>
      <c r="T97" s="778"/>
      <c r="U97" s="774">
        <f t="shared" si="43"/>
        <v>0</v>
      </c>
      <c r="V97" s="778"/>
      <c r="W97" s="775"/>
      <c r="X97" s="783"/>
      <c r="AC97" s="2312">
        <v>93</v>
      </c>
      <c r="AD97" s="2318" t="s">
        <v>2805</v>
      </c>
    </row>
    <row r="98" spans="1:30" ht="11.25" customHeight="1" x14ac:dyDescent="0.25">
      <c r="A98" s="136" t="str">
        <f>IF(RIGHT('Org structure'!D94,18)&lt;&gt;"[Name of sub-vote]",'Org structure'!D94,"")</f>
        <v/>
      </c>
      <c r="B98" s="711"/>
      <c r="C98" s="775"/>
      <c r="D98" s="775"/>
      <c r="E98" s="778"/>
      <c r="F98" s="776"/>
      <c r="G98" s="775"/>
      <c r="H98" s="777"/>
      <c r="I98" s="778"/>
      <c r="J98" s="779">
        <f t="shared" si="52"/>
        <v>0</v>
      </c>
      <c r="K98" s="780">
        <f t="shared" si="53"/>
        <v>0</v>
      </c>
      <c r="L98" s="781">
        <f t="shared" si="54"/>
        <v>0</v>
      </c>
      <c r="M98" s="784"/>
      <c r="N98" s="776"/>
      <c r="O98" s="775"/>
      <c r="P98" s="777"/>
      <c r="Q98" s="214">
        <f t="shared" si="55"/>
        <v>0</v>
      </c>
      <c r="R98" s="776"/>
      <c r="S98" s="775"/>
      <c r="T98" s="778"/>
      <c r="U98" s="774">
        <f t="shared" si="43"/>
        <v>0</v>
      </c>
      <c r="V98" s="778"/>
      <c r="W98" s="775"/>
      <c r="X98" s="783"/>
      <c r="AC98" s="2312">
        <v>94</v>
      </c>
      <c r="AD98" s="2318" t="s">
        <v>2805</v>
      </c>
    </row>
    <row r="99" spans="1:30" ht="11.25" customHeight="1" x14ac:dyDescent="0.25">
      <c r="A99" s="136" t="str">
        <f>IF(RIGHT('Org structure'!D95,18)&lt;&gt;"[Name of sub-vote]",'Org structure'!D95,"")</f>
        <v/>
      </c>
      <c r="B99" s="711"/>
      <c r="C99" s="775"/>
      <c r="D99" s="775"/>
      <c r="E99" s="778"/>
      <c r="F99" s="776"/>
      <c r="G99" s="775"/>
      <c r="H99" s="777"/>
      <c r="I99" s="778"/>
      <c r="J99" s="779">
        <f t="shared" si="52"/>
        <v>0</v>
      </c>
      <c r="K99" s="780">
        <f t="shared" si="53"/>
        <v>0</v>
      </c>
      <c r="L99" s="781">
        <f t="shared" si="54"/>
        <v>0</v>
      </c>
      <c r="M99" s="784"/>
      <c r="N99" s="776"/>
      <c r="O99" s="775"/>
      <c r="P99" s="777"/>
      <c r="Q99" s="214">
        <f t="shared" si="55"/>
        <v>0</v>
      </c>
      <c r="R99" s="776"/>
      <c r="S99" s="775"/>
      <c r="T99" s="778"/>
      <c r="U99" s="774">
        <f t="shared" si="43"/>
        <v>0</v>
      </c>
      <c r="V99" s="778"/>
      <c r="W99" s="775"/>
      <c r="X99" s="783"/>
      <c r="AC99" s="2312">
        <v>95</v>
      </c>
      <c r="AD99" s="2318" t="s">
        <v>2805</v>
      </c>
    </row>
    <row r="100" spans="1:30" ht="11.25" customHeight="1" x14ac:dyDescent="0.25">
      <c r="A100" s="136" t="str">
        <f>IF(RIGHT('Org structure'!D96,18)&lt;&gt;"[Name of sub-vote]",'Org structure'!D96,"")</f>
        <v/>
      </c>
      <c r="B100" s="711"/>
      <c r="C100" s="775"/>
      <c r="D100" s="775"/>
      <c r="E100" s="778"/>
      <c r="F100" s="776"/>
      <c r="G100" s="775"/>
      <c r="H100" s="777"/>
      <c r="I100" s="778"/>
      <c r="J100" s="779">
        <f t="shared" si="52"/>
        <v>0</v>
      </c>
      <c r="K100" s="780">
        <f t="shared" si="53"/>
        <v>0</v>
      </c>
      <c r="L100" s="781">
        <f t="shared" si="54"/>
        <v>0</v>
      </c>
      <c r="M100" s="784"/>
      <c r="N100" s="776"/>
      <c r="O100" s="775"/>
      <c r="P100" s="777"/>
      <c r="Q100" s="214">
        <f t="shared" si="55"/>
        <v>0</v>
      </c>
      <c r="R100" s="776"/>
      <c r="S100" s="775"/>
      <c r="T100" s="778"/>
      <c r="U100" s="774">
        <f t="shared" si="43"/>
        <v>0</v>
      </c>
      <c r="V100" s="778"/>
      <c r="W100" s="775"/>
      <c r="X100" s="783"/>
      <c r="AC100" s="2312">
        <v>96</v>
      </c>
      <c r="AD100" s="2318" t="s">
        <v>2805</v>
      </c>
    </row>
    <row r="101" spans="1:30" ht="11.25" customHeight="1" x14ac:dyDescent="0.25">
      <c r="A101" s="136" t="str">
        <f>IF(RIGHT('Org structure'!D97,18)&lt;&gt;"[Name of sub-vote]",'Org structure'!D97,"")</f>
        <v/>
      </c>
      <c r="B101" s="711"/>
      <c r="C101" s="775"/>
      <c r="D101" s="775"/>
      <c r="E101" s="778"/>
      <c r="F101" s="776"/>
      <c r="G101" s="775"/>
      <c r="H101" s="777"/>
      <c r="I101" s="778"/>
      <c r="J101" s="779">
        <f t="shared" si="52"/>
        <v>0</v>
      </c>
      <c r="K101" s="780">
        <f t="shared" si="53"/>
        <v>0</v>
      </c>
      <c r="L101" s="781">
        <f t="shared" si="54"/>
        <v>0</v>
      </c>
      <c r="M101" s="784"/>
      <c r="N101" s="776"/>
      <c r="O101" s="775"/>
      <c r="P101" s="777"/>
      <c r="Q101" s="214">
        <f t="shared" si="55"/>
        <v>0</v>
      </c>
      <c r="R101" s="776"/>
      <c r="S101" s="775"/>
      <c r="T101" s="778"/>
      <c r="U101" s="774">
        <f t="shared" si="43"/>
        <v>0</v>
      </c>
      <c r="V101" s="778"/>
      <c r="W101" s="775"/>
      <c r="X101" s="783"/>
      <c r="AC101" s="2312">
        <v>97</v>
      </c>
      <c r="AD101" s="2318" t="s">
        <v>2805</v>
      </c>
    </row>
    <row r="102" spans="1:30" ht="11.25" customHeight="1" x14ac:dyDescent="0.25">
      <c r="A102" s="136" t="str">
        <f>IF(RIGHT('Org structure'!D98,18)&lt;&gt;"[Name of sub-vote]",'Org structure'!D98,"")</f>
        <v/>
      </c>
      <c r="B102" s="711"/>
      <c r="C102" s="775"/>
      <c r="D102" s="775"/>
      <c r="E102" s="778"/>
      <c r="F102" s="776"/>
      <c r="G102" s="775"/>
      <c r="H102" s="777"/>
      <c r="I102" s="778"/>
      <c r="J102" s="779">
        <f t="shared" si="52"/>
        <v>0</v>
      </c>
      <c r="K102" s="780">
        <f t="shared" si="53"/>
        <v>0</v>
      </c>
      <c r="L102" s="781">
        <f t="shared" si="54"/>
        <v>0</v>
      </c>
      <c r="M102" s="784"/>
      <c r="N102" s="776"/>
      <c r="O102" s="775"/>
      <c r="P102" s="777"/>
      <c r="Q102" s="214">
        <f t="shared" si="55"/>
        <v>0</v>
      </c>
      <c r="R102" s="776"/>
      <c r="S102" s="775"/>
      <c r="T102" s="778"/>
      <c r="U102" s="774">
        <f t="shared" si="43"/>
        <v>0</v>
      </c>
      <c r="V102" s="778"/>
      <c r="W102" s="775"/>
      <c r="X102" s="783"/>
      <c r="AC102" s="2312">
        <v>98</v>
      </c>
      <c r="AD102" s="2318" t="s">
        <v>2805</v>
      </c>
    </row>
    <row r="103" spans="1:30" ht="11.25" customHeight="1" x14ac:dyDescent="0.25">
      <c r="A103" s="136" t="str">
        <f>IF(RIGHT('Org structure'!D99,18)&lt;&gt;"[Name of sub-vote]",'Org structure'!D99,"")</f>
        <v/>
      </c>
      <c r="B103" s="711"/>
      <c r="C103" s="775"/>
      <c r="D103" s="775"/>
      <c r="E103" s="778"/>
      <c r="F103" s="776"/>
      <c r="G103" s="775"/>
      <c r="H103" s="777"/>
      <c r="I103" s="778"/>
      <c r="J103" s="779">
        <f t="shared" si="52"/>
        <v>0</v>
      </c>
      <c r="K103" s="780">
        <f t="shared" si="53"/>
        <v>0</v>
      </c>
      <c r="L103" s="781">
        <f t="shared" si="54"/>
        <v>0</v>
      </c>
      <c r="M103" s="784"/>
      <c r="N103" s="776"/>
      <c r="O103" s="775"/>
      <c r="P103" s="777"/>
      <c r="Q103" s="214">
        <f t="shared" si="55"/>
        <v>0</v>
      </c>
      <c r="R103" s="776"/>
      <c r="S103" s="775"/>
      <c r="T103" s="778"/>
      <c r="U103" s="774">
        <f t="shared" si="43"/>
        <v>0</v>
      </c>
      <c r="V103" s="778"/>
      <c r="W103" s="775"/>
      <c r="X103" s="783"/>
      <c r="AC103" s="2312">
        <v>99</v>
      </c>
      <c r="AD103" s="2318" t="s">
        <v>2805</v>
      </c>
    </row>
    <row r="104" spans="1:30" ht="11.25" customHeight="1" x14ac:dyDescent="0.25">
      <c r="A104" s="136" t="str">
        <f>IF(RIGHT('Org structure'!D100,18)&lt;&gt;"[Name of sub-vote]",'Org structure'!D100,"")</f>
        <v/>
      </c>
      <c r="B104" s="711"/>
      <c r="C104" s="775"/>
      <c r="D104" s="775"/>
      <c r="E104" s="778"/>
      <c r="F104" s="776"/>
      <c r="G104" s="775"/>
      <c r="H104" s="777"/>
      <c r="I104" s="778"/>
      <c r="J104" s="779">
        <f t="shared" si="52"/>
        <v>0</v>
      </c>
      <c r="K104" s="780">
        <f t="shared" si="53"/>
        <v>0</v>
      </c>
      <c r="L104" s="781">
        <f t="shared" si="54"/>
        <v>0</v>
      </c>
      <c r="M104" s="784"/>
      <c r="N104" s="776"/>
      <c r="O104" s="775"/>
      <c r="P104" s="777"/>
      <c r="Q104" s="214">
        <f t="shared" si="55"/>
        <v>0</v>
      </c>
      <c r="R104" s="776"/>
      <c r="S104" s="775"/>
      <c r="T104" s="778"/>
      <c r="U104" s="774">
        <f t="shared" si="43"/>
        <v>0</v>
      </c>
      <c r="V104" s="778"/>
      <c r="W104" s="775"/>
      <c r="X104" s="783"/>
      <c r="AC104" s="2312">
        <v>910</v>
      </c>
      <c r="AD104" s="2318" t="s">
        <v>2805</v>
      </c>
    </row>
    <row r="105" spans="1:30" ht="15" customHeight="1" x14ac:dyDescent="0.25">
      <c r="A105" s="135" t="str">
        <f>'Org structure'!A11</f>
        <v>Vote 10 - Public Safety</v>
      </c>
      <c r="B105" s="711"/>
      <c r="C105" s="212">
        <f>SUM(C106:C115)</f>
        <v>0</v>
      </c>
      <c r="D105" s="212">
        <f t="shared" ref="D105:L105" si="56">SUM(D106:D115)</f>
        <v>0</v>
      </c>
      <c r="E105" s="213">
        <f t="shared" si="56"/>
        <v>0</v>
      </c>
      <c r="F105" s="214">
        <f t="shared" si="56"/>
        <v>0</v>
      </c>
      <c r="G105" s="212">
        <f t="shared" si="56"/>
        <v>0</v>
      </c>
      <c r="H105" s="213">
        <f t="shared" si="56"/>
        <v>0</v>
      </c>
      <c r="I105" s="215">
        <f t="shared" si="56"/>
        <v>0</v>
      </c>
      <c r="J105" s="779">
        <f t="shared" si="56"/>
        <v>0</v>
      </c>
      <c r="K105" s="780">
        <f t="shared" si="56"/>
        <v>0</v>
      </c>
      <c r="L105" s="781">
        <f t="shared" si="56"/>
        <v>0</v>
      </c>
      <c r="M105" s="784"/>
      <c r="N105" s="214">
        <f t="shared" ref="N105:X105" si="57">SUM(N106:N115)</f>
        <v>0</v>
      </c>
      <c r="O105" s="212">
        <f t="shared" si="57"/>
        <v>0</v>
      </c>
      <c r="P105" s="213">
        <f t="shared" si="57"/>
        <v>0</v>
      </c>
      <c r="Q105" s="214">
        <f t="shared" si="57"/>
        <v>0</v>
      </c>
      <c r="R105" s="214">
        <f t="shared" si="57"/>
        <v>0</v>
      </c>
      <c r="S105" s="212">
        <f t="shared" si="57"/>
        <v>0</v>
      </c>
      <c r="T105" s="773">
        <f t="shared" si="57"/>
        <v>0</v>
      </c>
      <c r="U105" s="774">
        <f t="shared" si="57"/>
        <v>0</v>
      </c>
      <c r="V105" s="786">
        <f t="shared" si="57"/>
        <v>0</v>
      </c>
      <c r="W105" s="212">
        <f t="shared" si="57"/>
        <v>0</v>
      </c>
      <c r="X105" s="771">
        <f t="shared" si="57"/>
        <v>0</v>
      </c>
      <c r="AD105" s="2315"/>
    </row>
    <row r="106" spans="1:30" ht="11.25" customHeight="1" x14ac:dyDescent="0.25">
      <c r="A106" s="136" t="str">
        <f>IF(RIGHT('Org structure'!D102,18)&lt;&gt;"[Name of sub-vote]",'Org structure'!D102,"")</f>
        <v>10.1 - Fire Fighting and Protection</v>
      </c>
      <c r="B106" s="711"/>
      <c r="C106" s="775"/>
      <c r="D106" s="775"/>
      <c r="E106" s="778"/>
      <c r="F106" s="776"/>
      <c r="G106" s="775"/>
      <c r="H106" s="777"/>
      <c r="I106" s="778"/>
      <c r="J106" s="779">
        <f t="shared" ref="J106:J115" si="58">Q106+V106</f>
        <v>0</v>
      </c>
      <c r="K106" s="780">
        <f t="shared" ref="K106:K115" si="59">U106+W106</f>
        <v>0</v>
      </c>
      <c r="L106" s="781">
        <f t="shared" ref="L106:L115" si="60">X106</f>
        <v>0</v>
      </c>
      <c r="M106" s="784"/>
      <c r="N106" s="776"/>
      <c r="O106" s="775"/>
      <c r="P106" s="777"/>
      <c r="Q106" s="214">
        <f t="shared" ref="Q106:Q115" si="61">SUM(N106:P106)</f>
        <v>0</v>
      </c>
      <c r="R106" s="776"/>
      <c r="S106" s="775"/>
      <c r="T106" s="778"/>
      <c r="U106" s="774">
        <f t="shared" si="43"/>
        <v>0</v>
      </c>
      <c r="V106" s="778"/>
      <c r="W106" s="775"/>
      <c r="X106" s="783"/>
      <c r="AC106" s="2312">
        <v>101</v>
      </c>
      <c r="AD106" s="2318" t="s">
        <v>2805</v>
      </c>
    </row>
    <row r="107" spans="1:30" ht="11.25" customHeight="1" x14ac:dyDescent="0.25">
      <c r="A107" s="136" t="str">
        <f>IF(RIGHT('Org structure'!D103,18)&lt;&gt;"[Name of sub-vote]",'Org structure'!D103,"")</f>
        <v>10.2 - Fencing and Fences</v>
      </c>
      <c r="B107" s="711"/>
      <c r="C107" s="775"/>
      <c r="D107" s="775"/>
      <c r="E107" s="778"/>
      <c r="F107" s="776"/>
      <c r="G107" s="775"/>
      <c r="H107" s="777"/>
      <c r="I107" s="778"/>
      <c r="J107" s="779">
        <f t="shared" si="58"/>
        <v>0</v>
      </c>
      <c r="K107" s="780">
        <f t="shared" si="59"/>
        <v>0</v>
      </c>
      <c r="L107" s="781">
        <f t="shared" si="60"/>
        <v>0</v>
      </c>
      <c r="M107" s="784"/>
      <c r="N107" s="776"/>
      <c r="O107" s="775"/>
      <c r="P107" s="777"/>
      <c r="Q107" s="214">
        <f t="shared" si="61"/>
        <v>0</v>
      </c>
      <c r="R107" s="776"/>
      <c r="S107" s="775"/>
      <c r="T107" s="778"/>
      <c r="U107" s="774">
        <f t="shared" si="43"/>
        <v>0</v>
      </c>
      <c r="V107" s="778"/>
      <c r="W107" s="775"/>
      <c r="X107" s="783"/>
      <c r="AC107" s="2312">
        <v>102</v>
      </c>
      <c r="AD107" s="2318" t="s">
        <v>2805</v>
      </c>
    </row>
    <row r="108" spans="1:30" ht="11.25" customHeight="1" x14ac:dyDescent="0.25">
      <c r="A108" s="136" t="str">
        <f>IF(RIGHT('Org structure'!D104,18)&lt;&gt;"[Name of sub-vote]",'Org structure'!D104,"")</f>
        <v/>
      </c>
      <c r="B108" s="711"/>
      <c r="C108" s="775"/>
      <c r="D108" s="775"/>
      <c r="E108" s="778"/>
      <c r="F108" s="776"/>
      <c r="G108" s="775"/>
      <c r="H108" s="777"/>
      <c r="I108" s="778"/>
      <c r="J108" s="779">
        <f t="shared" si="58"/>
        <v>0</v>
      </c>
      <c r="K108" s="780">
        <f t="shared" si="59"/>
        <v>0</v>
      </c>
      <c r="L108" s="781">
        <f t="shared" si="60"/>
        <v>0</v>
      </c>
      <c r="M108" s="784"/>
      <c r="N108" s="776"/>
      <c r="O108" s="775"/>
      <c r="P108" s="777"/>
      <c r="Q108" s="214">
        <f t="shared" si="61"/>
        <v>0</v>
      </c>
      <c r="R108" s="776"/>
      <c r="S108" s="775"/>
      <c r="T108" s="778"/>
      <c r="U108" s="774">
        <f t="shared" si="43"/>
        <v>0</v>
      </c>
      <c r="V108" s="778"/>
      <c r="W108" s="775"/>
      <c r="X108" s="783"/>
      <c r="AC108" s="2312">
        <v>103</v>
      </c>
      <c r="AD108" s="2318" t="s">
        <v>2805</v>
      </c>
    </row>
    <row r="109" spans="1:30" ht="11.25" customHeight="1" x14ac:dyDescent="0.25">
      <c r="A109" s="136" t="str">
        <f>IF(RIGHT('Org structure'!D105,18)&lt;&gt;"[Name of sub-vote]",'Org structure'!D105,"")</f>
        <v/>
      </c>
      <c r="B109" s="711"/>
      <c r="C109" s="775"/>
      <c r="D109" s="775"/>
      <c r="E109" s="778"/>
      <c r="F109" s="776"/>
      <c r="G109" s="775"/>
      <c r="H109" s="777"/>
      <c r="I109" s="778"/>
      <c r="J109" s="779">
        <f t="shared" si="58"/>
        <v>0</v>
      </c>
      <c r="K109" s="780">
        <f t="shared" si="59"/>
        <v>0</v>
      </c>
      <c r="L109" s="781">
        <f t="shared" si="60"/>
        <v>0</v>
      </c>
      <c r="M109" s="784"/>
      <c r="N109" s="776"/>
      <c r="O109" s="775"/>
      <c r="P109" s="777"/>
      <c r="Q109" s="214">
        <f t="shared" si="61"/>
        <v>0</v>
      </c>
      <c r="R109" s="776"/>
      <c r="S109" s="775"/>
      <c r="T109" s="778"/>
      <c r="U109" s="774">
        <f t="shared" si="43"/>
        <v>0</v>
      </c>
      <c r="V109" s="778"/>
      <c r="W109" s="775"/>
      <c r="X109" s="783"/>
      <c r="AC109" s="2312">
        <v>104</v>
      </c>
      <c r="AD109" s="2318" t="s">
        <v>2805</v>
      </c>
    </row>
    <row r="110" spans="1:30" ht="11.25" customHeight="1" x14ac:dyDescent="0.25">
      <c r="A110" s="136" t="str">
        <f>IF(RIGHT('Org structure'!D106,18)&lt;&gt;"[Name of sub-vote]",'Org structure'!D106,"")</f>
        <v/>
      </c>
      <c r="B110" s="711"/>
      <c r="C110" s="775"/>
      <c r="D110" s="775"/>
      <c r="E110" s="778"/>
      <c r="F110" s="776"/>
      <c r="G110" s="775"/>
      <c r="H110" s="777"/>
      <c r="I110" s="778"/>
      <c r="J110" s="779">
        <f t="shared" si="58"/>
        <v>0</v>
      </c>
      <c r="K110" s="780">
        <f t="shared" si="59"/>
        <v>0</v>
      </c>
      <c r="L110" s="781">
        <f t="shared" si="60"/>
        <v>0</v>
      </c>
      <c r="M110" s="784"/>
      <c r="N110" s="776"/>
      <c r="O110" s="775"/>
      <c r="P110" s="777"/>
      <c r="Q110" s="214">
        <f t="shared" si="61"/>
        <v>0</v>
      </c>
      <c r="R110" s="776"/>
      <c r="S110" s="775"/>
      <c r="T110" s="778"/>
      <c r="U110" s="774">
        <f t="shared" si="43"/>
        <v>0</v>
      </c>
      <c r="V110" s="778"/>
      <c r="W110" s="775"/>
      <c r="X110" s="783"/>
      <c r="AC110" s="2312">
        <v>105</v>
      </c>
      <c r="AD110" s="2318" t="s">
        <v>2805</v>
      </c>
    </row>
    <row r="111" spans="1:30" ht="11.25" customHeight="1" x14ac:dyDescent="0.25">
      <c r="A111" s="136" t="str">
        <f>IF(RIGHT('Org structure'!D107,18)&lt;&gt;"[Name of sub-vote]",'Org structure'!D107,"")</f>
        <v/>
      </c>
      <c r="B111" s="711"/>
      <c r="C111" s="775"/>
      <c r="D111" s="775"/>
      <c r="E111" s="778"/>
      <c r="F111" s="776"/>
      <c r="G111" s="775"/>
      <c r="H111" s="777"/>
      <c r="I111" s="778"/>
      <c r="J111" s="779">
        <f t="shared" si="58"/>
        <v>0</v>
      </c>
      <c r="K111" s="780">
        <f t="shared" si="59"/>
        <v>0</v>
      </c>
      <c r="L111" s="781">
        <f t="shared" si="60"/>
        <v>0</v>
      </c>
      <c r="M111" s="784"/>
      <c r="N111" s="776"/>
      <c r="O111" s="775"/>
      <c r="P111" s="777"/>
      <c r="Q111" s="214">
        <f t="shared" si="61"/>
        <v>0</v>
      </c>
      <c r="R111" s="776"/>
      <c r="S111" s="775"/>
      <c r="T111" s="778"/>
      <c r="U111" s="774">
        <f t="shared" si="43"/>
        <v>0</v>
      </c>
      <c r="V111" s="778"/>
      <c r="W111" s="775"/>
      <c r="X111" s="783"/>
      <c r="AC111" s="2312">
        <v>106</v>
      </c>
      <c r="AD111" s="2318" t="s">
        <v>2805</v>
      </c>
    </row>
    <row r="112" spans="1:30" ht="11.25" customHeight="1" x14ac:dyDescent="0.25">
      <c r="A112" s="136" t="str">
        <f>IF(RIGHT('Org structure'!D108,18)&lt;&gt;"[Name of sub-vote]",'Org structure'!D108,"")</f>
        <v/>
      </c>
      <c r="B112" s="711"/>
      <c r="C112" s="775"/>
      <c r="D112" s="775"/>
      <c r="E112" s="778"/>
      <c r="F112" s="776"/>
      <c r="G112" s="775"/>
      <c r="H112" s="777"/>
      <c r="I112" s="778"/>
      <c r="J112" s="779">
        <f t="shared" si="58"/>
        <v>0</v>
      </c>
      <c r="K112" s="780">
        <f t="shared" si="59"/>
        <v>0</v>
      </c>
      <c r="L112" s="781">
        <f t="shared" si="60"/>
        <v>0</v>
      </c>
      <c r="M112" s="784"/>
      <c r="N112" s="776"/>
      <c r="O112" s="775"/>
      <c r="P112" s="777"/>
      <c r="Q112" s="214">
        <f t="shared" si="61"/>
        <v>0</v>
      </c>
      <c r="R112" s="776"/>
      <c r="S112" s="775"/>
      <c r="T112" s="778"/>
      <c r="U112" s="774">
        <f t="shared" si="43"/>
        <v>0</v>
      </c>
      <c r="V112" s="778"/>
      <c r="W112" s="775"/>
      <c r="X112" s="783"/>
      <c r="AC112" s="2312">
        <v>107</v>
      </c>
      <c r="AD112" s="2318" t="s">
        <v>2805</v>
      </c>
    </row>
    <row r="113" spans="1:30" ht="11.25" customHeight="1" x14ac:dyDescent="0.25">
      <c r="A113" s="136" t="str">
        <f>IF(RIGHT('Org structure'!D109,18)&lt;&gt;"[Name of sub-vote]",'Org structure'!D109,"")</f>
        <v/>
      </c>
      <c r="B113" s="711"/>
      <c r="C113" s="775"/>
      <c r="D113" s="775"/>
      <c r="E113" s="778"/>
      <c r="F113" s="776"/>
      <c r="G113" s="775"/>
      <c r="H113" s="777"/>
      <c r="I113" s="778"/>
      <c r="J113" s="779">
        <f t="shared" si="58"/>
        <v>0</v>
      </c>
      <c r="K113" s="780">
        <f t="shared" si="59"/>
        <v>0</v>
      </c>
      <c r="L113" s="781">
        <f t="shared" si="60"/>
        <v>0</v>
      </c>
      <c r="M113" s="784"/>
      <c r="N113" s="776"/>
      <c r="O113" s="775"/>
      <c r="P113" s="777"/>
      <c r="Q113" s="214">
        <f t="shared" si="61"/>
        <v>0</v>
      </c>
      <c r="R113" s="776"/>
      <c r="S113" s="775"/>
      <c r="T113" s="778"/>
      <c r="U113" s="774">
        <f t="shared" si="43"/>
        <v>0</v>
      </c>
      <c r="V113" s="778"/>
      <c r="W113" s="775"/>
      <c r="X113" s="783"/>
      <c r="AC113" s="2312">
        <v>108</v>
      </c>
      <c r="AD113" s="2318" t="s">
        <v>2805</v>
      </c>
    </row>
    <row r="114" spans="1:30" ht="11.25" customHeight="1" x14ac:dyDescent="0.25">
      <c r="A114" s="136" t="str">
        <f>IF(RIGHT('Org structure'!D110,18)&lt;&gt;"[Name of sub-vote]",'Org structure'!D110,"")</f>
        <v/>
      </c>
      <c r="B114" s="711"/>
      <c r="C114" s="775"/>
      <c r="D114" s="775"/>
      <c r="E114" s="778"/>
      <c r="F114" s="776"/>
      <c r="G114" s="775"/>
      <c r="H114" s="777"/>
      <c r="I114" s="778"/>
      <c r="J114" s="779">
        <f t="shared" si="58"/>
        <v>0</v>
      </c>
      <c r="K114" s="780">
        <f t="shared" si="59"/>
        <v>0</v>
      </c>
      <c r="L114" s="781">
        <f t="shared" si="60"/>
        <v>0</v>
      </c>
      <c r="M114" s="784"/>
      <c r="N114" s="776"/>
      <c r="O114" s="775"/>
      <c r="P114" s="777"/>
      <c r="Q114" s="214">
        <f t="shared" si="61"/>
        <v>0</v>
      </c>
      <c r="R114" s="776"/>
      <c r="S114" s="775"/>
      <c r="T114" s="778"/>
      <c r="U114" s="774">
        <f t="shared" si="43"/>
        <v>0</v>
      </c>
      <c r="V114" s="778"/>
      <c r="W114" s="775"/>
      <c r="X114" s="783"/>
      <c r="AC114" s="2312">
        <v>109</v>
      </c>
      <c r="AD114" s="2318" t="s">
        <v>2805</v>
      </c>
    </row>
    <row r="115" spans="1:30" ht="11.25" customHeight="1" x14ac:dyDescent="0.25">
      <c r="A115" s="136" t="str">
        <f>IF(RIGHT('Org structure'!D111,18)&lt;&gt;"[Name of sub-vote]",'Org structure'!D111,"")</f>
        <v/>
      </c>
      <c r="B115" s="711"/>
      <c r="C115" s="775"/>
      <c r="D115" s="775"/>
      <c r="E115" s="778"/>
      <c r="F115" s="776"/>
      <c r="G115" s="775"/>
      <c r="H115" s="777"/>
      <c r="I115" s="778"/>
      <c r="J115" s="779">
        <f t="shared" si="58"/>
        <v>0</v>
      </c>
      <c r="K115" s="780">
        <f t="shared" si="59"/>
        <v>0</v>
      </c>
      <c r="L115" s="781">
        <f t="shared" si="60"/>
        <v>0</v>
      </c>
      <c r="M115" s="784"/>
      <c r="N115" s="776"/>
      <c r="O115" s="775"/>
      <c r="P115" s="777"/>
      <c r="Q115" s="214">
        <f t="shared" si="61"/>
        <v>0</v>
      </c>
      <c r="R115" s="776"/>
      <c r="S115" s="775"/>
      <c r="T115" s="778"/>
      <c r="U115" s="774">
        <f t="shared" si="43"/>
        <v>0</v>
      </c>
      <c r="V115" s="778"/>
      <c r="W115" s="775"/>
      <c r="X115" s="783"/>
      <c r="AC115" s="2312">
        <v>1010</v>
      </c>
      <c r="AD115" s="2318" t="s">
        <v>2805</v>
      </c>
    </row>
    <row r="116" spans="1:30" ht="15" customHeight="1" x14ac:dyDescent="0.25">
      <c r="A116" s="135" t="str">
        <f>'Org structure'!A12</f>
        <v>Vote 11 - Other</v>
      </c>
      <c r="B116" s="711"/>
      <c r="C116" s="212">
        <f t="shared" ref="C116:L116" si="62">SUM(C117:C126)</f>
        <v>0</v>
      </c>
      <c r="D116" s="212">
        <f t="shared" si="62"/>
        <v>0</v>
      </c>
      <c r="E116" s="213">
        <f t="shared" si="62"/>
        <v>0</v>
      </c>
      <c r="F116" s="214">
        <f t="shared" si="62"/>
        <v>0</v>
      </c>
      <c r="G116" s="212">
        <f t="shared" si="62"/>
        <v>0</v>
      </c>
      <c r="H116" s="213">
        <f t="shared" si="62"/>
        <v>0</v>
      </c>
      <c r="I116" s="215">
        <f t="shared" si="62"/>
        <v>0</v>
      </c>
      <c r="J116" s="779">
        <f t="shared" si="62"/>
        <v>0</v>
      </c>
      <c r="K116" s="780">
        <f t="shared" si="62"/>
        <v>0</v>
      </c>
      <c r="L116" s="781">
        <f t="shared" si="62"/>
        <v>0</v>
      </c>
      <c r="M116" s="784"/>
      <c r="N116" s="214">
        <f t="shared" ref="N116:X116" si="63">SUM(N117:N126)</f>
        <v>0</v>
      </c>
      <c r="O116" s="212">
        <f t="shared" si="63"/>
        <v>0</v>
      </c>
      <c r="P116" s="213">
        <f t="shared" si="63"/>
        <v>0</v>
      </c>
      <c r="Q116" s="214">
        <f t="shared" si="63"/>
        <v>0</v>
      </c>
      <c r="R116" s="214">
        <f t="shared" si="63"/>
        <v>0</v>
      </c>
      <c r="S116" s="212">
        <f t="shared" si="63"/>
        <v>0</v>
      </c>
      <c r="T116" s="773">
        <f t="shared" si="63"/>
        <v>0</v>
      </c>
      <c r="U116" s="774">
        <f t="shared" si="63"/>
        <v>0</v>
      </c>
      <c r="V116" s="786">
        <f t="shared" si="63"/>
        <v>0</v>
      </c>
      <c r="W116" s="212">
        <f t="shared" si="63"/>
        <v>0</v>
      </c>
      <c r="X116" s="771">
        <f t="shared" si="63"/>
        <v>0</v>
      </c>
      <c r="AD116" s="2315"/>
    </row>
    <row r="117" spans="1:30" ht="11.25" customHeight="1" x14ac:dyDescent="0.25">
      <c r="A117" s="136" t="str">
        <f>IF(RIGHT('Org structure'!D113,18)&lt;&gt;"[Name of sub-vote]",'Org structure'!D113,"")</f>
        <v>11.1 - Licensing and Regulation</v>
      </c>
      <c r="B117" s="711"/>
      <c r="C117" s="775"/>
      <c r="D117" s="775"/>
      <c r="E117" s="778"/>
      <c r="F117" s="776"/>
      <c r="G117" s="775"/>
      <c r="H117" s="777"/>
      <c r="I117" s="778"/>
      <c r="J117" s="779">
        <f t="shared" ref="J117:J126" si="64">Q117+V117</f>
        <v>0</v>
      </c>
      <c r="K117" s="780">
        <f t="shared" ref="K117:K126" si="65">U117+W117</f>
        <v>0</v>
      </c>
      <c r="L117" s="781">
        <f t="shared" ref="L117:L126" si="66">X117</f>
        <v>0</v>
      </c>
      <c r="M117" s="784"/>
      <c r="N117" s="776"/>
      <c r="O117" s="775"/>
      <c r="P117" s="777"/>
      <c r="Q117" s="214">
        <f t="shared" ref="Q117:Q126" si="67">SUM(N117:P117)</f>
        <v>0</v>
      </c>
      <c r="R117" s="776"/>
      <c r="S117" s="775"/>
      <c r="T117" s="778"/>
      <c r="U117" s="774">
        <f t="shared" si="43"/>
        <v>0</v>
      </c>
      <c r="V117" s="778"/>
      <c r="W117" s="775"/>
      <c r="X117" s="783"/>
      <c r="AC117" s="2312">
        <v>111</v>
      </c>
      <c r="AD117" s="2318" t="s">
        <v>2805</v>
      </c>
    </row>
    <row r="118" spans="1:30" ht="11.25" customHeight="1" x14ac:dyDescent="0.25">
      <c r="A118" s="136" t="str">
        <f>IF(RIGHT('Org structure'!D114,18)&lt;&gt;"[Name of sub-vote]",'Org structure'!D114,"")</f>
        <v/>
      </c>
      <c r="B118" s="711"/>
      <c r="C118" s="775"/>
      <c r="D118" s="775"/>
      <c r="E118" s="778"/>
      <c r="F118" s="776"/>
      <c r="G118" s="775"/>
      <c r="H118" s="777"/>
      <c r="I118" s="778"/>
      <c r="J118" s="779">
        <f t="shared" si="64"/>
        <v>0</v>
      </c>
      <c r="K118" s="780">
        <f t="shared" si="65"/>
        <v>0</v>
      </c>
      <c r="L118" s="781">
        <f t="shared" si="66"/>
        <v>0</v>
      </c>
      <c r="M118" s="784"/>
      <c r="N118" s="776"/>
      <c r="O118" s="775"/>
      <c r="P118" s="777"/>
      <c r="Q118" s="214">
        <f t="shared" si="67"/>
        <v>0</v>
      </c>
      <c r="R118" s="776"/>
      <c r="S118" s="775"/>
      <c r="T118" s="778"/>
      <c r="U118" s="774">
        <f t="shared" si="43"/>
        <v>0</v>
      </c>
      <c r="V118" s="778"/>
      <c r="W118" s="775"/>
      <c r="X118" s="783"/>
      <c r="AC118" s="2312">
        <v>112</v>
      </c>
      <c r="AD118" s="2318" t="s">
        <v>2805</v>
      </c>
    </row>
    <row r="119" spans="1:30" ht="11.25" customHeight="1" x14ac:dyDescent="0.25">
      <c r="A119" s="136" t="str">
        <f>IF(RIGHT('Org structure'!D115,18)&lt;&gt;"[Name of sub-vote]",'Org structure'!D115,"")</f>
        <v/>
      </c>
      <c r="B119" s="711"/>
      <c r="C119" s="775"/>
      <c r="D119" s="775"/>
      <c r="E119" s="778"/>
      <c r="F119" s="776"/>
      <c r="G119" s="775"/>
      <c r="H119" s="777"/>
      <c r="I119" s="778"/>
      <c r="J119" s="779">
        <f t="shared" si="64"/>
        <v>0</v>
      </c>
      <c r="K119" s="780">
        <f t="shared" si="65"/>
        <v>0</v>
      </c>
      <c r="L119" s="781">
        <f t="shared" si="66"/>
        <v>0</v>
      </c>
      <c r="M119" s="784"/>
      <c r="N119" s="776"/>
      <c r="O119" s="775"/>
      <c r="P119" s="777"/>
      <c r="Q119" s="214">
        <f t="shared" si="67"/>
        <v>0</v>
      </c>
      <c r="R119" s="776"/>
      <c r="S119" s="775"/>
      <c r="T119" s="778"/>
      <c r="U119" s="774">
        <f t="shared" si="43"/>
        <v>0</v>
      </c>
      <c r="V119" s="778"/>
      <c r="W119" s="775"/>
      <c r="X119" s="783"/>
      <c r="AC119" s="2312">
        <v>113</v>
      </c>
      <c r="AD119" s="2318" t="s">
        <v>2805</v>
      </c>
    </row>
    <row r="120" spans="1:30" ht="11.25" customHeight="1" x14ac:dyDescent="0.25">
      <c r="A120" s="136" t="str">
        <f>IF(RIGHT('Org structure'!D116,18)&lt;&gt;"[Name of sub-vote]",'Org structure'!D116,"")</f>
        <v/>
      </c>
      <c r="B120" s="711"/>
      <c r="C120" s="775"/>
      <c r="D120" s="775"/>
      <c r="E120" s="778"/>
      <c r="F120" s="776"/>
      <c r="G120" s="775"/>
      <c r="H120" s="777"/>
      <c r="I120" s="778"/>
      <c r="J120" s="779">
        <f t="shared" si="64"/>
        <v>0</v>
      </c>
      <c r="K120" s="780">
        <f t="shared" si="65"/>
        <v>0</v>
      </c>
      <c r="L120" s="781">
        <f t="shared" si="66"/>
        <v>0</v>
      </c>
      <c r="M120" s="784"/>
      <c r="N120" s="776"/>
      <c r="O120" s="775"/>
      <c r="P120" s="777"/>
      <c r="Q120" s="214">
        <f t="shared" si="67"/>
        <v>0</v>
      </c>
      <c r="R120" s="776"/>
      <c r="S120" s="775"/>
      <c r="T120" s="778"/>
      <c r="U120" s="774">
        <f t="shared" si="43"/>
        <v>0</v>
      </c>
      <c r="V120" s="778"/>
      <c r="W120" s="775"/>
      <c r="X120" s="783"/>
      <c r="AC120" s="2312">
        <v>114</v>
      </c>
      <c r="AD120" s="2318" t="s">
        <v>2805</v>
      </c>
    </row>
    <row r="121" spans="1:30" ht="11.25" customHeight="1" x14ac:dyDescent="0.25">
      <c r="A121" s="136" t="str">
        <f>IF(RIGHT('Org structure'!D117,18)&lt;&gt;"[Name of sub-vote]",'Org structure'!D117,"")</f>
        <v/>
      </c>
      <c r="B121" s="711"/>
      <c r="C121" s="775"/>
      <c r="D121" s="775"/>
      <c r="E121" s="778"/>
      <c r="F121" s="776"/>
      <c r="G121" s="775"/>
      <c r="H121" s="777"/>
      <c r="I121" s="778"/>
      <c r="J121" s="779">
        <f t="shared" si="64"/>
        <v>0</v>
      </c>
      <c r="K121" s="780">
        <f t="shared" si="65"/>
        <v>0</v>
      </c>
      <c r="L121" s="781">
        <f t="shared" si="66"/>
        <v>0</v>
      </c>
      <c r="M121" s="784"/>
      <c r="N121" s="776"/>
      <c r="O121" s="775"/>
      <c r="P121" s="777"/>
      <c r="Q121" s="214">
        <f t="shared" si="67"/>
        <v>0</v>
      </c>
      <c r="R121" s="776"/>
      <c r="S121" s="775"/>
      <c r="T121" s="778"/>
      <c r="U121" s="774">
        <f t="shared" si="43"/>
        <v>0</v>
      </c>
      <c r="V121" s="778"/>
      <c r="W121" s="775"/>
      <c r="X121" s="783"/>
      <c r="AC121" s="2312">
        <v>115</v>
      </c>
      <c r="AD121" s="2318" t="s">
        <v>2805</v>
      </c>
    </row>
    <row r="122" spans="1:30" ht="11.25" customHeight="1" x14ac:dyDescent="0.25">
      <c r="A122" s="136" t="str">
        <f>IF(RIGHT('Org structure'!D118,18)&lt;&gt;"[Name of sub-vote]",'Org structure'!D118,"")</f>
        <v/>
      </c>
      <c r="B122" s="711"/>
      <c r="C122" s="775"/>
      <c r="D122" s="775"/>
      <c r="E122" s="778"/>
      <c r="F122" s="776"/>
      <c r="G122" s="775"/>
      <c r="H122" s="777"/>
      <c r="I122" s="778"/>
      <c r="J122" s="779">
        <f t="shared" si="64"/>
        <v>0</v>
      </c>
      <c r="K122" s="780">
        <f t="shared" si="65"/>
        <v>0</v>
      </c>
      <c r="L122" s="781">
        <f t="shared" si="66"/>
        <v>0</v>
      </c>
      <c r="M122" s="784"/>
      <c r="N122" s="776"/>
      <c r="O122" s="775"/>
      <c r="P122" s="777"/>
      <c r="Q122" s="214">
        <f t="shared" si="67"/>
        <v>0</v>
      </c>
      <c r="R122" s="776"/>
      <c r="S122" s="775"/>
      <c r="T122" s="778"/>
      <c r="U122" s="774">
        <f t="shared" si="43"/>
        <v>0</v>
      </c>
      <c r="V122" s="778"/>
      <c r="W122" s="775"/>
      <c r="X122" s="783"/>
      <c r="AC122" s="2312">
        <v>116</v>
      </c>
      <c r="AD122" s="2318" t="s">
        <v>2805</v>
      </c>
    </row>
    <row r="123" spans="1:30" ht="11.25" customHeight="1" x14ac:dyDescent="0.25">
      <c r="A123" s="136" t="str">
        <f>IF(RIGHT('Org structure'!D119,18)&lt;&gt;"[Name of sub-vote]",'Org structure'!D119,"")</f>
        <v/>
      </c>
      <c r="B123" s="711"/>
      <c r="C123" s="775"/>
      <c r="D123" s="775"/>
      <c r="E123" s="778"/>
      <c r="F123" s="776"/>
      <c r="G123" s="775"/>
      <c r="H123" s="777"/>
      <c r="I123" s="778"/>
      <c r="J123" s="779">
        <f t="shared" si="64"/>
        <v>0</v>
      </c>
      <c r="K123" s="780">
        <f t="shared" si="65"/>
        <v>0</v>
      </c>
      <c r="L123" s="781">
        <f t="shared" si="66"/>
        <v>0</v>
      </c>
      <c r="M123" s="784"/>
      <c r="N123" s="776"/>
      <c r="O123" s="775"/>
      <c r="P123" s="777"/>
      <c r="Q123" s="214">
        <f t="shared" si="67"/>
        <v>0</v>
      </c>
      <c r="R123" s="776"/>
      <c r="S123" s="775"/>
      <c r="T123" s="778"/>
      <c r="U123" s="774">
        <f t="shared" si="43"/>
        <v>0</v>
      </c>
      <c r="V123" s="778"/>
      <c r="W123" s="775"/>
      <c r="X123" s="783"/>
      <c r="AC123" s="2312">
        <v>117</v>
      </c>
      <c r="AD123" s="2318" t="s">
        <v>2805</v>
      </c>
    </row>
    <row r="124" spans="1:30" ht="11.25" customHeight="1" x14ac:dyDescent="0.25">
      <c r="A124" s="136" t="str">
        <f>IF(RIGHT('Org structure'!D120,18)&lt;&gt;"[Name of sub-vote]",'Org structure'!D120,"")</f>
        <v/>
      </c>
      <c r="B124" s="711"/>
      <c r="C124" s="775"/>
      <c r="D124" s="775"/>
      <c r="E124" s="778"/>
      <c r="F124" s="776"/>
      <c r="G124" s="775"/>
      <c r="H124" s="777"/>
      <c r="I124" s="778"/>
      <c r="J124" s="779">
        <f t="shared" si="64"/>
        <v>0</v>
      </c>
      <c r="K124" s="780">
        <f t="shared" si="65"/>
        <v>0</v>
      </c>
      <c r="L124" s="781">
        <f t="shared" si="66"/>
        <v>0</v>
      </c>
      <c r="M124" s="784"/>
      <c r="N124" s="776"/>
      <c r="O124" s="775"/>
      <c r="P124" s="777"/>
      <c r="Q124" s="214">
        <f t="shared" si="67"/>
        <v>0</v>
      </c>
      <c r="R124" s="776"/>
      <c r="S124" s="775"/>
      <c r="T124" s="778"/>
      <c r="U124" s="774">
        <f t="shared" si="43"/>
        <v>0</v>
      </c>
      <c r="V124" s="778"/>
      <c r="W124" s="775"/>
      <c r="X124" s="783"/>
      <c r="AC124" s="2312">
        <v>118</v>
      </c>
      <c r="AD124" s="2318" t="s">
        <v>2805</v>
      </c>
    </row>
    <row r="125" spans="1:30" ht="11.25" customHeight="1" x14ac:dyDescent="0.25">
      <c r="A125" s="136" t="str">
        <f>IF(RIGHT('Org structure'!D121,18)&lt;&gt;"[Name of sub-vote]",'Org structure'!D121,"")</f>
        <v/>
      </c>
      <c r="B125" s="711"/>
      <c r="C125" s="775"/>
      <c r="D125" s="775"/>
      <c r="E125" s="778"/>
      <c r="F125" s="776"/>
      <c r="G125" s="775"/>
      <c r="H125" s="777"/>
      <c r="I125" s="778"/>
      <c r="J125" s="779">
        <f t="shared" si="64"/>
        <v>0</v>
      </c>
      <c r="K125" s="780">
        <f t="shared" si="65"/>
        <v>0</v>
      </c>
      <c r="L125" s="781">
        <f t="shared" si="66"/>
        <v>0</v>
      </c>
      <c r="M125" s="784"/>
      <c r="N125" s="776"/>
      <c r="O125" s="775"/>
      <c r="P125" s="777"/>
      <c r="Q125" s="214">
        <f t="shared" si="67"/>
        <v>0</v>
      </c>
      <c r="R125" s="776"/>
      <c r="S125" s="775"/>
      <c r="T125" s="778"/>
      <c r="U125" s="774">
        <f t="shared" si="43"/>
        <v>0</v>
      </c>
      <c r="V125" s="778"/>
      <c r="W125" s="775"/>
      <c r="X125" s="783"/>
      <c r="AC125" s="2312">
        <v>119</v>
      </c>
      <c r="AD125" s="2318" t="s">
        <v>2805</v>
      </c>
    </row>
    <row r="126" spans="1:30" ht="11.25" customHeight="1" x14ac:dyDescent="0.25">
      <c r="A126" s="136" t="str">
        <f>IF(RIGHT('Org structure'!D122,18)&lt;&gt;"[Name of sub-vote]",'Org structure'!D122,"")</f>
        <v/>
      </c>
      <c r="B126" s="711"/>
      <c r="C126" s="775"/>
      <c r="D126" s="775"/>
      <c r="E126" s="778"/>
      <c r="F126" s="776"/>
      <c r="G126" s="775"/>
      <c r="H126" s="777"/>
      <c r="I126" s="778"/>
      <c r="J126" s="779">
        <f t="shared" si="64"/>
        <v>0</v>
      </c>
      <c r="K126" s="780">
        <f t="shared" si="65"/>
        <v>0</v>
      </c>
      <c r="L126" s="781">
        <f t="shared" si="66"/>
        <v>0</v>
      </c>
      <c r="M126" s="784"/>
      <c r="N126" s="776"/>
      <c r="O126" s="775"/>
      <c r="P126" s="777"/>
      <c r="Q126" s="214">
        <f t="shared" si="67"/>
        <v>0</v>
      </c>
      <c r="R126" s="776"/>
      <c r="S126" s="775"/>
      <c r="T126" s="778"/>
      <c r="U126" s="774">
        <f t="shared" si="43"/>
        <v>0</v>
      </c>
      <c r="V126" s="778"/>
      <c r="W126" s="775"/>
      <c r="X126" s="783"/>
      <c r="AC126" s="2312">
        <v>1110</v>
      </c>
      <c r="AD126" s="2318" t="s">
        <v>2805</v>
      </c>
    </row>
    <row r="127" spans="1:30" ht="15" customHeight="1" x14ac:dyDescent="0.25">
      <c r="A127" s="135" t="str">
        <f>'Org structure'!A13</f>
        <v>Vote 12 - Waste Management</v>
      </c>
      <c r="B127" s="711"/>
      <c r="C127" s="212">
        <f t="shared" ref="C127:L127" si="68">SUM(C128:C137)</f>
        <v>0</v>
      </c>
      <c r="D127" s="212">
        <f t="shared" si="68"/>
        <v>0</v>
      </c>
      <c r="E127" s="213">
        <f t="shared" si="68"/>
        <v>0</v>
      </c>
      <c r="F127" s="214">
        <f t="shared" si="68"/>
        <v>0</v>
      </c>
      <c r="G127" s="212">
        <f t="shared" si="68"/>
        <v>0</v>
      </c>
      <c r="H127" s="213">
        <f t="shared" si="68"/>
        <v>0</v>
      </c>
      <c r="I127" s="215">
        <f t="shared" si="68"/>
        <v>0</v>
      </c>
      <c r="J127" s="779">
        <f t="shared" si="68"/>
        <v>0</v>
      </c>
      <c r="K127" s="780">
        <f t="shared" si="68"/>
        <v>0</v>
      </c>
      <c r="L127" s="781">
        <f t="shared" si="68"/>
        <v>0</v>
      </c>
      <c r="M127" s="784"/>
      <c r="N127" s="214">
        <f t="shared" ref="N127:X127" si="69">SUM(N128:N137)</f>
        <v>0</v>
      </c>
      <c r="O127" s="212">
        <f t="shared" si="69"/>
        <v>0</v>
      </c>
      <c r="P127" s="213">
        <f t="shared" si="69"/>
        <v>0</v>
      </c>
      <c r="Q127" s="214">
        <f t="shared" si="69"/>
        <v>0</v>
      </c>
      <c r="R127" s="214">
        <f t="shared" si="69"/>
        <v>0</v>
      </c>
      <c r="S127" s="212">
        <f t="shared" si="69"/>
        <v>0</v>
      </c>
      <c r="T127" s="773">
        <f t="shared" si="69"/>
        <v>0</v>
      </c>
      <c r="U127" s="774">
        <f t="shared" si="69"/>
        <v>0</v>
      </c>
      <c r="V127" s="786">
        <f t="shared" si="69"/>
        <v>0</v>
      </c>
      <c r="W127" s="212">
        <f t="shared" si="69"/>
        <v>0</v>
      </c>
      <c r="X127" s="771">
        <f t="shared" si="69"/>
        <v>0</v>
      </c>
      <c r="AD127" s="2315"/>
    </row>
    <row r="128" spans="1:30" ht="11.25" customHeight="1" x14ac:dyDescent="0.25">
      <c r="A128" s="136" t="str">
        <f>IF(RIGHT('Org structure'!D124,18)&lt;&gt;"[Name of sub-vote]",'Org structure'!D124,"")</f>
        <v>12.1 - Solid Waste Removal</v>
      </c>
      <c r="B128" s="711"/>
      <c r="C128" s="775"/>
      <c r="D128" s="775"/>
      <c r="E128" s="778"/>
      <c r="F128" s="776"/>
      <c r="G128" s="775"/>
      <c r="H128" s="777"/>
      <c r="I128" s="778"/>
      <c r="J128" s="779">
        <f t="shared" ref="J128:J137" si="70">Q128+V128</f>
        <v>0</v>
      </c>
      <c r="K128" s="780">
        <f t="shared" ref="K128:K137" si="71">U128+W128</f>
        <v>0</v>
      </c>
      <c r="L128" s="781">
        <f t="shared" ref="L128:L137" si="72">X128</f>
        <v>0</v>
      </c>
      <c r="M128" s="784"/>
      <c r="N128" s="776"/>
      <c r="O128" s="775"/>
      <c r="P128" s="777"/>
      <c r="Q128" s="214">
        <f t="shared" ref="Q128:Q137" si="73">SUM(N128:P128)</f>
        <v>0</v>
      </c>
      <c r="R128" s="776"/>
      <c r="S128" s="775"/>
      <c r="T128" s="778"/>
      <c r="U128" s="774">
        <f t="shared" si="43"/>
        <v>0</v>
      </c>
      <c r="V128" s="778"/>
      <c r="W128" s="775"/>
      <c r="X128" s="783"/>
      <c r="AC128" s="2312">
        <v>121</v>
      </c>
      <c r="AD128" s="2318" t="s">
        <v>2805</v>
      </c>
    </row>
    <row r="129" spans="1:30" ht="11.25" customHeight="1" x14ac:dyDescent="0.25">
      <c r="A129" s="136" t="str">
        <f>IF(RIGHT('Org structure'!D125,18)&lt;&gt;"[Name of sub-vote]",'Org structure'!D125,"")</f>
        <v>12.2 - Street Cleaning</v>
      </c>
      <c r="B129" s="711"/>
      <c r="C129" s="775"/>
      <c r="D129" s="775"/>
      <c r="E129" s="778"/>
      <c r="F129" s="776"/>
      <c r="G129" s="775"/>
      <c r="H129" s="777"/>
      <c r="I129" s="778"/>
      <c r="J129" s="779">
        <f t="shared" si="70"/>
        <v>0</v>
      </c>
      <c r="K129" s="780">
        <f t="shared" si="71"/>
        <v>0</v>
      </c>
      <c r="L129" s="781">
        <f t="shared" si="72"/>
        <v>0</v>
      </c>
      <c r="M129" s="784"/>
      <c r="N129" s="776"/>
      <c r="O129" s="775"/>
      <c r="P129" s="777"/>
      <c r="Q129" s="214">
        <f t="shared" si="73"/>
        <v>0</v>
      </c>
      <c r="R129" s="776"/>
      <c r="S129" s="775"/>
      <c r="T129" s="778"/>
      <c r="U129" s="774">
        <f t="shared" si="43"/>
        <v>0</v>
      </c>
      <c r="V129" s="778"/>
      <c r="W129" s="775"/>
      <c r="X129" s="783"/>
      <c r="AC129" s="2312">
        <v>122</v>
      </c>
      <c r="AD129" s="2318" t="s">
        <v>2805</v>
      </c>
    </row>
    <row r="130" spans="1:30" ht="11.25" customHeight="1" x14ac:dyDescent="0.25">
      <c r="A130" s="136" t="str">
        <f>IF(RIGHT('Org structure'!D126,18)&lt;&gt;"[Name of sub-vote]",'Org structure'!D126,"")</f>
        <v>12.3 - Solid Waste Disposal (Landfill Sites)</v>
      </c>
      <c r="B130" s="711"/>
      <c r="C130" s="775"/>
      <c r="D130" s="775"/>
      <c r="E130" s="778"/>
      <c r="F130" s="776"/>
      <c r="G130" s="775"/>
      <c r="H130" s="777"/>
      <c r="I130" s="778"/>
      <c r="J130" s="779">
        <f t="shared" si="70"/>
        <v>0</v>
      </c>
      <c r="K130" s="780">
        <f t="shared" si="71"/>
        <v>0</v>
      </c>
      <c r="L130" s="781">
        <f t="shared" si="72"/>
        <v>0</v>
      </c>
      <c r="M130" s="784"/>
      <c r="N130" s="776"/>
      <c r="O130" s="775"/>
      <c r="P130" s="777"/>
      <c r="Q130" s="214">
        <f t="shared" si="73"/>
        <v>0</v>
      </c>
      <c r="R130" s="776"/>
      <c r="S130" s="775"/>
      <c r="T130" s="778"/>
      <c r="U130" s="774">
        <f t="shared" si="43"/>
        <v>0</v>
      </c>
      <c r="V130" s="778"/>
      <c r="W130" s="775"/>
      <c r="X130" s="783"/>
      <c r="AC130" s="2312">
        <v>123</v>
      </c>
      <c r="AD130" s="2318" t="s">
        <v>2805</v>
      </c>
    </row>
    <row r="131" spans="1:30" ht="11.25" customHeight="1" x14ac:dyDescent="0.25">
      <c r="A131" s="136" t="str">
        <f>IF(RIGHT('Org structure'!D127,18)&lt;&gt;"[Name of sub-vote]",'Org structure'!D127,"")</f>
        <v/>
      </c>
      <c r="B131" s="711"/>
      <c r="C131" s="775"/>
      <c r="D131" s="775"/>
      <c r="E131" s="778"/>
      <c r="F131" s="776"/>
      <c r="G131" s="775"/>
      <c r="H131" s="777"/>
      <c r="I131" s="778"/>
      <c r="J131" s="779">
        <f t="shared" si="70"/>
        <v>0</v>
      </c>
      <c r="K131" s="780">
        <f t="shared" si="71"/>
        <v>0</v>
      </c>
      <c r="L131" s="781">
        <f t="shared" si="72"/>
        <v>0</v>
      </c>
      <c r="M131" s="784"/>
      <c r="N131" s="776"/>
      <c r="O131" s="775"/>
      <c r="P131" s="777"/>
      <c r="Q131" s="214">
        <f t="shared" si="73"/>
        <v>0</v>
      </c>
      <c r="R131" s="776"/>
      <c r="S131" s="775"/>
      <c r="T131" s="778"/>
      <c r="U131" s="774">
        <f t="shared" si="43"/>
        <v>0</v>
      </c>
      <c r="V131" s="778"/>
      <c r="W131" s="775"/>
      <c r="X131" s="783"/>
      <c r="AC131" s="2312">
        <v>124</v>
      </c>
      <c r="AD131" s="2318" t="s">
        <v>2805</v>
      </c>
    </row>
    <row r="132" spans="1:30" ht="11.25" customHeight="1" x14ac:dyDescent="0.25">
      <c r="A132" s="136" t="str">
        <f>IF(RIGHT('Org structure'!D128,18)&lt;&gt;"[Name of sub-vote]",'Org structure'!D128,"")</f>
        <v/>
      </c>
      <c r="B132" s="711"/>
      <c r="C132" s="775"/>
      <c r="D132" s="775"/>
      <c r="E132" s="778"/>
      <c r="F132" s="776"/>
      <c r="G132" s="775"/>
      <c r="H132" s="777"/>
      <c r="I132" s="778"/>
      <c r="J132" s="779">
        <f t="shared" si="70"/>
        <v>0</v>
      </c>
      <c r="K132" s="780">
        <f t="shared" si="71"/>
        <v>0</v>
      </c>
      <c r="L132" s="781">
        <f t="shared" si="72"/>
        <v>0</v>
      </c>
      <c r="M132" s="784"/>
      <c r="N132" s="776"/>
      <c r="O132" s="775"/>
      <c r="P132" s="777"/>
      <c r="Q132" s="214">
        <f t="shared" si="73"/>
        <v>0</v>
      </c>
      <c r="R132" s="776"/>
      <c r="S132" s="775"/>
      <c r="T132" s="778"/>
      <c r="U132" s="774">
        <f t="shared" si="43"/>
        <v>0</v>
      </c>
      <c r="V132" s="778"/>
      <c r="W132" s="775"/>
      <c r="X132" s="783"/>
      <c r="AC132" s="2312">
        <v>125</v>
      </c>
      <c r="AD132" s="2318" t="s">
        <v>2805</v>
      </c>
    </row>
    <row r="133" spans="1:30" ht="11.25" customHeight="1" x14ac:dyDescent="0.25">
      <c r="A133" s="136" t="str">
        <f>IF(RIGHT('Org structure'!D129,18)&lt;&gt;"[Name of sub-vote]",'Org structure'!D129,"")</f>
        <v/>
      </c>
      <c r="B133" s="711"/>
      <c r="C133" s="775"/>
      <c r="D133" s="775"/>
      <c r="E133" s="778"/>
      <c r="F133" s="776"/>
      <c r="G133" s="775"/>
      <c r="H133" s="777"/>
      <c r="I133" s="778"/>
      <c r="J133" s="779">
        <f>Q133+V133</f>
        <v>0</v>
      </c>
      <c r="K133" s="780">
        <f t="shared" si="71"/>
        <v>0</v>
      </c>
      <c r="L133" s="781">
        <f t="shared" si="72"/>
        <v>0</v>
      </c>
      <c r="M133" s="784"/>
      <c r="N133" s="776"/>
      <c r="O133" s="775"/>
      <c r="P133" s="777"/>
      <c r="Q133" s="214">
        <f t="shared" si="73"/>
        <v>0</v>
      </c>
      <c r="R133" s="776"/>
      <c r="S133" s="775"/>
      <c r="T133" s="778"/>
      <c r="U133" s="774">
        <f t="shared" si="43"/>
        <v>0</v>
      </c>
      <c r="V133" s="778"/>
      <c r="W133" s="775"/>
      <c r="X133" s="783"/>
      <c r="AC133" s="2312">
        <v>126</v>
      </c>
      <c r="AD133" s="2318" t="s">
        <v>2805</v>
      </c>
    </row>
    <row r="134" spans="1:30" ht="11.25" customHeight="1" x14ac:dyDescent="0.25">
      <c r="A134" s="136" t="str">
        <f>IF(RIGHT('Org structure'!D130,18)&lt;&gt;"[Name of sub-vote]",'Org structure'!D130,"")</f>
        <v/>
      </c>
      <c r="B134" s="711"/>
      <c r="C134" s="775"/>
      <c r="D134" s="775"/>
      <c r="E134" s="778"/>
      <c r="F134" s="776"/>
      <c r="G134" s="775"/>
      <c r="H134" s="777"/>
      <c r="I134" s="778"/>
      <c r="J134" s="779">
        <f t="shared" si="70"/>
        <v>0</v>
      </c>
      <c r="K134" s="780">
        <f t="shared" si="71"/>
        <v>0</v>
      </c>
      <c r="L134" s="781">
        <f t="shared" si="72"/>
        <v>0</v>
      </c>
      <c r="M134" s="784"/>
      <c r="N134" s="776"/>
      <c r="O134" s="775"/>
      <c r="P134" s="777"/>
      <c r="Q134" s="214">
        <f t="shared" si="73"/>
        <v>0</v>
      </c>
      <c r="R134" s="776"/>
      <c r="S134" s="775"/>
      <c r="T134" s="778"/>
      <c r="U134" s="774">
        <f t="shared" si="43"/>
        <v>0</v>
      </c>
      <c r="V134" s="778"/>
      <c r="W134" s="775"/>
      <c r="X134" s="783"/>
      <c r="AC134" s="2312">
        <v>127</v>
      </c>
      <c r="AD134" s="2318" t="s">
        <v>2805</v>
      </c>
    </row>
    <row r="135" spans="1:30" ht="11.25" customHeight="1" x14ac:dyDescent="0.25">
      <c r="A135" s="136" t="str">
        <f>IF(RIGHT('Org structure'!D131,18)&lt;&gt;"[Name of sub-vote]",'Org structure'!D131,"")</f>
        <v/>
      </c>
      <c r="B135" s="711"/>
      <c r="C135" s="775"/>
      <c r="D135" s="775"/>
      <c r="E135" s="778"/>
      <c r="F135" s="776"/>
      <c r="G135" s="775"/>
      <c r="H135" s="777"/>
      <c r="I135" s="778"/>
      <c r="J135" s="779">
        <f t="shared" si="70"/>
        <v>0</v>
      </c>
      <c r="K135" s="780">
        <f t="shared" si="71"/>
        <v>0</v>
      </c>
      <c r="L135" s="781">
        <f t="shared" si="72"/>
        <v>0</v>
      </c>
      <c r="M135" s="784"/>
      <c r="N135" s="776"/>
      <c r="O135" s="775"/>
      <c r="P135" s="777"/>
      <c r="Q135" s="214">
        <f t="shared" si="73"/>
        <v>0</v>
      </c>
      <c r="R135" s="776"/>
      <c r="S135" s="775"/>
      <c r="T135" s="778"/>
      <c r="U135" s="774">
        <f t="shared" si="43"/>
        <v>0</v>
      </c>
      <c r="V135" s="778"/>
      <c r="W135" s="775"/>
      <c r="X135" s="783"/>
      <c r="AC135" s="2312">
        <v>128</v>
      </c>
      <c r="AD135" s="2318" t="s">
        <v>2805</v>
      </c>
    </row>
    <row r="136" spans="1:30" ht="11.25" customHeight="1" x14ac:dyDescent="0.25">
      <c r="A136" s="136" t="str">
        <f>IF(RIGHT('Org structure'!D132,18)&lt;&gt;"[Name of sub-vote]",'Org structure'!D132,"")</f>
        <v/>
      </c>
      <c r="B136" s="711"/>
      <c r="C136" s="775"/>
      <c r="D136" s="775"/>
      <c r="E136" s="778"/>
      <c r="F136" s="776"/>
      <c r="G136" s="775"/>
      <c r="H136" s="777"/>
      <c r="I136" s="778"/>
      <c r="J136" s="779">
        <f t="shared" si="70"/>
        <v>0</v>
      </c>
      <c r="K136" s="780">
        <f t="shared" si="71"/>
        <v>0</v>
      </c>
      <c r="L136" s="781">
        <f t="shared" si="72"/>
        <v>0</v>
      </c>
      <c r="M136" s="784"/>
      <c r="N136" s="776"/>
      <c r="O136" s="775"/>
      <c r="P136" s="777"/>
      <c r="Q136" s="214">
        <f t="shared" si="73"/>
        <v>0</v>
      </c>
      <c r="R136" s="776"/>
      <c r="S136" s="775"/>
      <c r="T136" s="778"/>
      <c r="U136" s="774">
        <f t="shared" ref="U136:U170" si="74">SUM(R136:T136)</f>
        <v>0</v>
      </c>
      <c r="V136" s="778"/>
      <c r="W136" s="775"/>
      <c r="X136" s="783"/>
      <c r="AC136" s="2312">
        <v>129</v>
      </c>
      <c r="AD136" s="2318" t="s">
        <v>2805</v>
      </c>
    </row>
    <row r="137" spans="1:30" ht="11.25" customHeight="1" x14ac:dyDescent="0.25">
      <c r="A137" s="136" t="str">
        <f>IF(RIGHT('Org structure'!D133,18)&lt;&gt;"[Name of sub-vote]",'Org structure'!D133,"")</f>
        <v/>
      </c>
      <c r="B137" s="711"/>
      <c r="C137" s="775"/>
      <c r="D137" s="775"/>
      <c r="E137" s="778"/>
      <c r="F137" s="776"/>
      <c r="G137" s="775"/>
      <c r="H137" s="777"/>
      <c r="I137" s="778"/>
      <c r="J137" s="779">
        <f t="shared" si="70"/>
        <v>0</v>
      </c>
      <c r="K137" s="780">
        <f t="shared" si="71"/>
        <v>0</v>
      </c>
      <c r="L137" s="781">
        <f t="shared" si="72"/>
        <v>0</v>
      </c>
      <c r="M137" s="784"/>
      <c r="N137" s="776"/>
      <c r="O137" s="775"/>
      <c r="P137" s="777"/>
      <c r="Q137" s="214">
        <f t="shared" si="73"/>
        <v>0</v>
      </c>
      <c r="R137" s="776"/>
      <c r="S137" s="775"/>
      <c r="T137" s="778"/>
      <c r="U137" s="774">
        <f t="shared" si="74"/>
        <v>0</v>
      </c>
      <c r="V137" s="778"/>
      <c r="W137" s="775"/>
      <c r="X137" s="783"/>
      <c r="AC137" s="2312">
        <v>1210</v>
      </c>
      <c r="AD137" s="2318" t="s">
        <v>2805</v>
      </c>
    </row>
    <row r="138" spans="1:30" ht="15" customHeight="1" x14ac:dyDescent="0.25">
      <c r="A138" s="135" t="str">
        <f>'Org structure'!A14</f>
        <v>Vote 13 - Housing</v>
      </c>
      <c r="B138" s="711"/>
      <c r="C138" s="212">
        <f t="shared" ref="C138:L138" si="75">SUM(C139:C148)</f>
        <v>0</v>
      </c>
      <c r="D138" s="212">
        <f t="shared" si="75"/>
        <v>0</v>
      </c>
      <c r="E138" s="213">
        <f t="shared" si="75"/>
        <v>0</v>
      </c>
      <c r="F138" s="214">
        <f t="shared" si="75"/>
        <v>0</v>
      </c>
      <c r="G138" s="212">
        <f t="shared" si="75"/>
        <v>0</v>
      </c>
      <c r="H138" s="213">
        <f t="shared" si="75"/>
        <v>0</v>
      </c>
      <c r="I138" s="215">
        <f t="shared" si="75"/>
        <v>0</v>
      </c>
      <c r="J138" s="779">
        <f t="shared" si="75"/>
        <v>0</v>
      </c>
      <c r="K138" s="780">
        <f t="shared" si="75"/>
        <v>0</v>
      </c>
      <c r="L138" s="781">
        <f t="shared" si="75"/>
        <v>0</v>
      </c>
      <c r="M138" s="784"/>
      <c r="N138" s="214">
        <f t="shared" ref="N138:X138" si="76">SUM(N139:N148)</f>
        <v>0</v>
      </c>
      <c r="O138" s="212">
        <f t="shared" si="76"/>
        <v>0</v>
      </c>
      <c r="P138" s="213">
        <f t="shared" si="76"/>
        <v>0</v>
      </c>
      <c r="Q138" s="214">
        <f t="shared" si="76"/>
        <v>0</v>
      </c>
      <c r="R138" s="214">
        <f t="shared" si="76"/>
        <v>0</v>
      </c>
      <c r="S138" s="212">
        <f t="shared" si="76"/>
        <v>0</v>
      </c>
      <c r="T138" s="773">
        <f t="shared" si="76"/>
        <v>0</v>
      </c>
      <c r="U138" s="774">
        <f t="shared" si="76"/>
        <v>0</v>
      </c>
      <c r="V138" s="786">
        <f t="shared" si="76"/>
        <v>0</v>
      </c>
      <c r="W138" s="212">
        <f t="shared" si="76"/>
        <v>0</v>
      </c>
      <c r="X138" s="771">
        <f t="shared" si="76"/>
        <v>0</v>
      </c>
      <c r="AD138" s="2315"/>
    </row>
    <row r="139" spans="1:30" ht="11.25" customHeight="1" x14ac:dyDescent="0.25">
      <c r="A139" s="136" t="str">
        <f>IF(RIGHT('Org structure'!D135,18)&lt;&gt;"[Name of sub-vote]",'Org structure'!D135,"")</f>
        <v>13.1 - Housing</v>
      </c>
      <c r="B139" s="711"/>
      <c r="C139" s="775"/>
      <c r="D139" s="775"/>
      <c r="E139" s="778"/>
      <c r="F139" s="776"/>
      <c r="G139" s="775"/>
      <c r="H139" s="777"/>
      <c r="I139" s="778"/>
      <c r="J139" s="779">
        <f t="shared" ref="J139:J148" si="77">Q139+V139</f>
        <v>0</v>
      </c>
      <c r="K139" s="780">
        <f t="shared" ref="K139:K148" si="78">U139+W139</f>
        <v>0</v>
      </c>
      <c r="L139" s="781">
        <f t="shared" ref="L139:L148" si="79">X139</f>
        <v>0</v>
      </c>
      <c r="M139" s="784"/>
      <c r="N139" s="776"/>
      <c r="O139" s="775"/>
      <c r="P139" s="777"/>
      <c r="Q139" s="214">
        <f t="shared" ref="Q139:Q148" si="80">SUM(N139:P139)</f>
        <v>0</v>
      </c>
      <c r="R139" s="776"/>
      <c r="S139" s="775"/>
      <c r="T139" s="778"/>
      <c r="U139" s="774">
        <f t="shared" si="74"/>
        <v>0</v>
      </c>
      <c r="V139" s="778"/>
      <c r="W139" s="775"/>
      <c r="X139" s="783"/>
      <c r="AC139" s="2312">
        <v>131</v>
      </c>
      <c r="AD139" s="2318" t="s">
        <v>2805</v>
      </c>
    </row>
    <row r="140" spans="1:30" ht="11.25" customHeight="1" x14ac:dyDescent="0.25">
      <c r="A140" s="136" t="str">
        <f>IF(RIGHT('Org structure'!D136,18)&lt;&gt;"[Name of sub-vote]",'Org structure'!D136,"")</f>
        <v/>
      </c>
      <c r="B140" s="711"/>
      <c r="C140" s="775"/>
      <c r="D140" s="775"/>
      <c r="E140" s="778"/>
      <c r="F140" s="776"/>
      <c r="G140" s="775"/>
      <c r="H140" s="777"/>
      <c r="I140" s="778"/>
      <c r="J140" s="779">
        <f t="shared" si="77"/>
        <v>0</v>
      </c>
      <c r="K140" s="780">
        <f t="shared" si="78"/>
        <v>0</v>
      </c>
      <c r="L140" s="781">
        <f t="shared" si="79"/>
        <v>0</v>
      </c>
      <c r="M140" s="784"/>
      <c r="N140" s="776"/>
      <c r="O140" s="775"/>
      <c r="P140" s="777"/>
      <c r="Q140" s="214">
        <f t="shared" si="80"/>
        <v>0</v>
      </c>
      <c r="R140" s="776"/>
      <c r="S140" s="775"/>
      <c r="T140" s="778"/>
      <c r="U140" s="774">
        <f t="shared" si="74"/>
        <v>0</v>
      </c>
      <c r="V140" s="778"/>
      <c r="W140" s="775"/>
      <c r="X140" s="783"/>
      <c r="AC140" s="2312">
        <v>132</v>
      </c>
      <c r="AD140" s="2318" t="s">
        <v>2805</v>
      </c>
    </row>
    <row r="141" spans="1:30" ht="11.25" customHeight="1" x14ac:dyDescent="0.25">
      <c r="A141" s="136" t="str">
        <f>IF(RIGHT('Org structure'!D137,18)&lt;&gt;"[Name of sub-vote]",'Org structure'!D137,"")</f>
        <v/>
      </c>
      <c r="B141" s="711"/>
      <c r="C141" s="775"/>
      <c r="D141" s="775"/>
      <c r="E141" s="778"/>
      <c r="F141" s="776"/>
      <c r="G141" s="775"/>
      <c r="H141" s="777"/>
      <c r="I141" s="778"/>
      <c r="J141" s="779">
        <f t="shared" si="77"/>
        <v>0</v>
      </c>
      <c r="K141" s="780">
        <f t="shared" si="78"/>
        <v>0</v>
      </c>
      <c r="L141" s="781">
        <f t="shared" si="79"/>
        <v>0</v>
      </c>
      <c r="M141" s="784"/>
      <c r="N141" s="776"/>
      <c r="O141" s="775"/>
      <c r="P141" s="777"/>
      <c r="Q141" s="214">
        <f t="shared" si="80"/>
        <v>0</v>
      </c>
      <c r="R141" s="776"/>
      <c r="S141" s="775"/>
      <c r="T141" s="778"/>
      <c r="U141" s="774">
        <f t="shared" si="74"/>
        <v>0</v>
      </c>
      <c r="V141" s="778"/>
      <c r="W141" s="775"/>
      <c r="X141" s="783"/>
      <c r="AC141" s="2312">
        <v>133</v>
      </c>
      <c r="AD141" s="2318" t="s">
        <v>2805</v>
      </c>
    </row>
    <row r="142" spans="1:30" ht="11.25" customHeight="1" x14ac:dyDescent="0.25">
      <c r="A142" s="136" t="str">
        <f>IF(RIGHT('Org structure'!D138,18)&lt;&gt;"[Name of sub-vote]",'Org structure'!D138,"")</f>
        <v/>
      </c>
      <c r="B142" s="711"/>
      <c r="C142" s="775"/>
      <c r="D142" s="775"/>
      <c r="E142" s="778"/>
      <c r="F142" s="776"/>
      <c r="G142" s="775"/>
      <c r="H142" s="777"/>
      <c r="I142" s="778"/>
      <c r="J142" s="779">
        <f t="shared" si="77"/>
        <v>0</v>
      </c>
      <c r="K142" s="780">
        <f t="shared" si="78"/>
        <v>0</v>
      </c>
      <c r="L142" s="781">
        <f t="shared" si="79"/>
        <v>0</v>
      </c>
      <c r="M142" s="784"/>
      <c r="N142" s="776"/>
      <c r="O142" s="775"/>
      <c r="P142" s="777"/>
      <c r="Q142" s="214">
        <f t="shared" si="80"/>
        <v>0</v>
      </c>
      <c r="R142" s="776"/>
      <c r="S142" s="775"/>
      <c r="T142" s="778"/>
      <c r="U142" s="774">
        <f t="shared" si="74"/>
        <v>0</v>
      </c>
      <c r="V142" s="778"/>
      <c r="W142" s="775"/>
      <c r="X142" s="783"/>
      <c r="AC142" s="2312">
        <v>134</v>
      </c>
      <c r="AD142" s="2318" t="s">
        <v>2805</v>
      </c>
    </row>
    <row r="143" spans="1:30" ht="11.25" customHeight="1" x14ac:dyDescent="0.25">
      <c r="A143" s="136" t="str">
        <f>IF(RIGHT('Org structure'!D139,18)&lt;&gt;"[Name of sub-vote]",'Org structure'!D139,"")</f>
        <v/>
      </c>
      <c r="B143" s="711"/>
      <c r="C143" s="775"/>
      <c r="D143" s="775"/>
      <c r="E143" s="778"/>
      <c r="F143" s="776"/>
      <c r="G143" s="775"/>
      <c r="H143" s="777"/>
      <c r="I143" s="778"/>
      <c r="J143" s="779">
        <f t="shared" si="77"/>
        <v>0</v>
      </c>
      <c r="K143" s="780">
        <f t="shared" si="78"/>
        <v>0</v>
      </c>
      <c r="L143" s="781">
        <f t="shared" si="79"/>
        <v>0</v>
      </c>
      <c r="M143" s="784"/>
      <c r="N143" s="776"/>
      <c r="O143" s="775"/>
      <c r="P143" s="777"/>
      <c r="Q143" s="214">
        <f t="shared" si="80"/>
        <v>0</v>
      </c>
      <c r="R143" s="776"/>
      <c r="S143" s="775"/>
      <c r="T143" s="778"/>
      <c r="U143" s="774">
        <f t="shared" si="74"/>
        <v>0</v>
      </c>
      <c r="V143" s="778"/>
      <c r="W143" s="775"/>
      <c r="X143" s="783"/>
      <c r="AC143" s="2312">
        <v>135</v>
      </c>
      <c r="AD143" s="2318" t="s">
        <v>2805</v>
      </c>
    </row>
    <row r="144" spans="1:30" ht="11.25" customHeight="1" x14ac:dyDescent="0.25">
      <c r="A144" s="136" t="str">
        <f>IF(RIGHT('Org structure'!D140,18)&lt;&gt;"[Name of sub-vote]",'Org structure'!D140,"")</f>
        <v/>
      </c>
      <c r="B144" s="711"/>
      <c r="C144" s="775"/>
      <c r="D144" s="775"/>
      <c r="E144" s="778"/>
      <c r="F144" s="776"/>
      <c r="G144" s="775"/>
      <c r="H144" s="777"/>
      <c r="I144" s="778"/>
      <c r="J144" s="779">
        <f t="shared" si="77"/>
        <v>0</v>
      </c>
      <c r="K144" s="780">
        <f t="shared" si="78"/>
        <v>0</v>
      </c>
      <c r="L144" s="781">
        <f t="shared" si="79"/>
        <v>0</v>
      </c>
      <c r="M144" s="784"/>
      <c r="N144" s="776"/>
      <c r="O144" s="775"/>
      <c r="P144" s="777"/>
      <c r="Q144" s="214">
        <f t="shared" si="80"/>
        <v>0</v>
      </c>
      <c r="R144" s="776"/>
      <c r="S144" s="775"/>
      <c r="T144" s="778"/>
      <c r="U144" s="774">
        <f t="shared" si="74"/>
        <v>0</v>
      </c>
      <c r="V144" s="778"/>
      <c r="W144" s="775"/>
      <c r="X144" s="783"/>
      <c r="AC144" s="2312">
        <v>136</v>
      </c>
      <c r="AD144" s="2318" t="s">
        <v>2805</v>
      </c>
    </row>
    <row r="145" spans="1:30" ht="11.25" customHeight="1" x14ac:dyDescent="0.25">
      <c r="A145" s="136" t="str">
        <f>IF(RIGHT('Org structure'!D141,18)&lt;&gt;"[Name of sub-vote]",'Org structure'!D141,"")</f>
        <v/>
      </c>
      <c r="B145" s="711"/>
      <c r="C145" s="775"/>
      <c r="D145" s="775"/>
      <c r="E145" s="778"/>
      <c r="F145" s="776"/>
      <c r="G145" s="775"/>
      <c r="H145" s="777"/>
      <c r="I145" s="778"/>
      <c r="J145" s="779">
        <f t="shared" si="77"/>
        <v>0</v>
      </c>
      <c r="K145" s="780">
        <f t="shared" si="78"/>
        <v>0</v>
      </c>
      <c r="L145" s="781">
        <f t="shared" si="79"/>
        <v>0</v>
      </c>
      <c r="M145" s="784"/>
      <c r="N145" s="776"/>
      <c r="O145" s="775"/>
      <c r="P145" s="777"/>
      <c r="Q145" s="214">
        <f t="shared" si="80"/>
        <v>0</v>
      </c>
      <c r="R145" s="776"/>
      <c r="S145" s="775"/>
      <c r="T145" s="778"/>
      <c r="U145" s="774">
        <f t="shared" si="74"/>
        <v>0</v>
      </c>
      <c r="V145" s="778"/>
      <c r="W145" s="775"/>
      <c r="X145" s="783"/>
      <c r="AC145" s="2312">
        <v>137</v>
      </c>
      <c r="AD145" s="2318" t="s">
        <v>2805</v>
      </c>
    </row>
    <row r="146" spans="1:30" ht="11.25" customHeight="1" x14ac:dyDescent="0.25">
      <c r="A146" s="136" t="str">
        <f>IF(RIGHT('Org structure'!D142,18)&lt;&gt;"[Name of sub-vote]",'Org structure'!D142,"")</f>
        <v/>
      </c>
      <c r="B146" s="711"/>
      <c r="C146" s="775"/>
      <c r="D146" s="775"/>
      <c r="E146" s="778"/>
      <c r="F146" s="776"/>
      <c r="G146" s="775"/>
      <c r="H146" s="777"/>
      <c r="I146" s="778"/>
      <c r="J146" s="779">
        <f t="shared" si="77"/>
        <v>0</v>
      </c>
      <c r="K146" s="780">
        <f t="shared" si="78"/>
        <v>0</v>
      </c>
      <c r="L146" s="781">
        <f t="shared" si="79"/>
        <v>0</v>
      </c>
      <c r="M146" s="784"/>
      <c r="N146" s="776"/>
      <c r="O146" s="775"/>
      <c r="P146" s="777"/>
      <c r="Q146" s="214">
        <f t="shared" si="80"/>
        <v>0</v>
      </c>
      <c r="R146" s="776"/>
      <c r="S146" s="775"/>
      <c r="T146" s="778"/>
      <c r="U146" s="774">
        <f t="shared" si="74"/>
        <v>0</v>
      </c>
      <c r="V146" s="778"/>
      <c r="W146" s="775"/>
      <c r="X146" s="783"/>
      <c r="AC146" s="2312">
        <v>138</v>
      </c>
      <c r="AD146" s="2318" t="s">
        <v>2805</v>
      </c>
    </row>
    <row r="147" spans="1:30" ht="11.25" customHeight="1" x14ac:dyDescent="0.25">
      <c r="A147" s="136" t="str">
        <f>IF(RIGHT('Org structure'!D143,18)&lt;&gt;"[Name of sub-vote]",'Org structure'!D143,"")</f>
        <v/>
      </c>
      <c r="B147" s="711"/>
      <c r="C147" s="775"/>
      <c r="D147" s="775"/>
      <c r="E147" s="778"/>
      <c r="F147" s="776"/>
      <c r="G147" s="775"/>
      <c r="H147" s="777"/>
      <c r="I147" s="778"/>
      <c r="J147" s="779">
        <f t="shared" si="77"/>
        <v>0</v>
      </c>
      <c r="K147" s="780">
        <f t="shared" si="78"/>
        <v>0</v>
      </c>
      <c r="L147" s="781">
        <f t="shared" si="79"/>
        <v>0</v>
      </c>
      <c r="M147" s="784"/>
      <c r="N147" s="776"/>
      <c r="O147" s="775"/>
      <c r="P147" s="777"/>
      <c r="Q147" s="214">
        <f t="shared" si="80"/>
        <v>0</v>
      </c>
      <c r="R147" s="776"/>
      <c r="S147" s="775"/>
      <c r="T147" s="778"/>
      <c r="U147" s="774">
        <f t="shared" si="74"/>
        <v>0</v>
      </c>
      <c r="V147" s="778"/>
      <c r="W147" s="775"/>
      <c r="X147" s="783"/>
      <c r="AC147" s="2312">
        <v>139</v>
      </c>
      <c r="AD147" s="2318" t="s">
        <v>2805</v>
      </c>
    </row>
    <row r="148" spans="1:30" ht="11.25" customHeight="1" x14ac:dyDescent="0.25">
      <c r="A148" s="136" t="str">
        <f>IF(RIGHT('Org structure'!D144,18)&lt;&gt;"[Name of sub-vote]",'Org structure'!D144,"")</f>
        <v/>
      </c>
      <c r="B148" s="711"/>
      <c r="C148" s="775"/>
      <c r="D148" s="775"/>
      <c r="E148" s="778"/>
      <c r="F148" s="776"/>
      <c r="G148" s="775"/>
      <c r="H148" s="777"/>
      <c r="I148" s="778"/>
      <c r="J148" s="779">
        <f t="shared" si="77"/>
        <v>0</v>
      </c>
      <c r="K148" s="780">
        <f t="shared" si="78"/>
        <v>0</v>
      </c>
      <c r="L148" s="781">
        <f t="shared" si="79"/>
        <v>0</v>
      </c>
      <c r="M148" s="784"/>
      <c r="N148" s="776"/>
      <c r="O148" s="775"/>
      <c r="P148" s="777"/>
      <c r="Q148" s="214">
        <f t="shared" si="80"/>
        <v>0</v>
      </c>
      <c r="R148" s="776"/>
      <c r="S148" s="775"/>
      <c r="T148" s="778"/>
      <c r="U148" s="774">
        <f t="shared" si="74"/>
        <v>0</v>
      </c>
      <c r="V148" s="778"/>
      <c r="W148" s="775"/>
      <c r="X148" s="783"/>
      <c r="AC148" s="2312">
        <v>1310</v>
      </c>
      <c r="AD148" s="2318" t="s">
        <v>2805</v>
      </c>
    </row>
    <row r="149" spans="1:30" ht="15" customHeight="1" x14ac:dyDescent="0.25">
      <c r="A149" s="135" t="str">
        <f>'Org structure'!A15</f>
        <v>Vote 14 - Waste Water Management</v>
      </c>
      <c r="B149" s="711"/>
      <c r="C149" s="212">
        <f t="shared" ref="C149:L149" si="81">SUM(C150:C159)</f>
        <v>0</v>
      </c>
      <c r="D149" s="212">
        <f t="shared" si="81"/>
        <v>0</v>
      </c>
      <c r="E149" s="213">
        <f t="shared" si="81"/>
        <v>0</v>
      </c>
      <c r="F149" s="214">
        <f t="shared" si="81"/>
        <v>0</v>
      </c>
      <c r="G149" s="212">
        <f t="shared" si="81"/>
        <v>0</v>
      </c>
      <c r="H149" s="213">
        <f t="shared" si="81"/>
        <v>0</v>
      </c>
      <c r="I149" s="215">
        <f t="shared" si="81"/>
        <v>0</v>
      </c>
      <c r="J149" s="779">
        <f t="shared" si="81"/>
        <v>0</v>
      </c>
      <c r="K149" s="780">
        <f t="shared" si="81"/>
        <v>0</v>
      </c>
      <c r="L149" s="781">
        <f t="shared" si="81"/>
        <v>0</v>
      </c>
      <c r="M149" s="784"/>
      <c r="N149" s="214">
        <f t="shared" ref="N149:X149" si="82">SUM(N150:N159)</f>
        <v>0</v>
      </c>
      <c r="O149" s="212">
        <f t="shared" si="82"/>
        <v>0</v>
      </c>
      <c r="P149" s="213">
        <f t="shared" si="82"/>
        <v>0</v>
      </c>
      <c r="Q149" s="214">
        <f t="shared" si="82"/>
        <v>0</v>
      </c>
      <c r="R149" s="214">
        <f t="shared" si="82"/>
        <v>0</v>
      </c>
      <c r="S149" s="212">
        <f t="shared" si="82"/>
        <v>0</v>
      </c>
      <c r="T149" s="773">
        <f t="shared" si="82"/>
        <v>0</v>
      </c>
      <c r="U149" s="774">
        <f t="shared" si="82"/>
        <v>0</v>
      </c>
      <c r="V149" s="786">
        <f t="shared" si="82"/>
        <v>0</v>
      </c>
      <c r="W149" s="212">
        <f t="shared" si="82"/>
        <v>0</v>
      </c>
      <c r="X149" s="771">
        <f t="shared" si="82"/>
        <v>0</v>
      </c>
      <c r="AD149" s="2315"/>
    </row>
    <row r="150" spans="1:30" ht="11.25" customHeight="1" x14ac:dyDescent="0.25">
      <c r="A150" s="136" t="str">
        <f>IF(RIGHT('Org structure'!D146,18)&lt;&gt;"[Name of sub-vote]",'Org structure'!D146,"")</f>
        <v>14.1 - Storm Water Management</v>
      </c>
      <c r="B150" s="711"/>
      <c r="C150" s="775"/>
      <c r="D150" s="775"/>
      <c r="E150" s="778"/>
      <c r="F150" s="776"/>
      <c r="G150" s="775"/>
      <c r="H150" s="777"/>
      <c r="I150" s="778"/>
      <c r="J150" s="779">
        <f t="shared" ref="J150:J159" si="83">Q150+V150</f>
        <v>0</v>
      </c>
      <c r="K150" s="780">
        <f t="shared" ref="K150:K159" si="84">U150+W150</f>
        <v>0</v>
      </c>
      <c r="L150" s="781">
        <f t="shared" ref="L150:L159" si="85">X150</f>
        <v>0</v>
      </c>
      <c r="M150" s="784"/>
      <c r="N150" s="776"/>
      <c r="O150" s="775"/>
      <c r="P150" s="777"/>
      <c r="Q150" s="214">
        <f t="shared" ref="Q150:Q159" si="86">SUM(N150:P150)</f>
        <v>0</v>
      </c>
      <c r="R150" s="776"/>
      <c r="S150" s="775"/>
      <c r="T150" s="778"/>
      <c r="U150" s="774">
        <f t="shared" si="74"/>
        <v>0</v>
      </c>
      <c r="V150" s="778"/>
      <c r="W150" s="775"/>
      <c r="X150" s="783"/>
      <c r="AC150" s="2312">
        <v>141</v>
      </c>
      <c r="AD150" s="2318" t="s">
        <v>2805</v>
      </c>
    </row>
    <row r="151" spans="1:30" ht="11.25" customHeight="1" x14ac:dyDescent="0.25">
      <c r="A151" s="136" t="str">
        <f>IF(RIGHT('Org structure'!D147,18)&lt;&gt;"[Name of sub-vote]",'Org structure'!D147,"")</f>
        <v/>
      </c>
      <c r="B151" s="711"/>
      <c r="C151" s="775"/>
      <c r="D151" s="775"/>
      <c r="E151" s="778"/>
      <c r="F151" s="776"/>
      <c r="G151" s="775"/>
      <c r="H151" s="777"/>
      <c r="I151" s="778"/>
      <c r="J151" s="779">
        <f t="shared" si="83"/>
        <v>0</v>
      </c>
      <c r="K151" s="780">
        <f t="shared" si="84"/>
        <v>0</v>
      </c>
      <c r="L151" s="781">
        <f t="shared" si="85"/>
        <v>0</v>
      </c>
      <c r="M151" s="784"/>
      <c r="N151" s="776"/>
      <c r="O151" s="775"/>
      <c r="P151" s="777"/>
      <c r="Q151" s="214">
        <f t="shared" si="86"/>
        <v>0</v>
      </c>
      <c r="R151" s="776"/>
      <c r="S151" s="775"/>
      <c r="T151" s="778"/>
      <c r="U151" s="774">
        <f t="shared" si="74"/>
        <v>0</v>
      </c>
      <c r="V151" s="778"/>
      <c r="W151" s="775"/>
      <c r="X151" s="783"/>
      <c r="AC151" s="2312">
        <v>142</v>
      </c>
      <c r="AD151" s="2318" t="s">
        <v>2805</v>
      </c>
    </row>
    <row r="152" spans="1:30" ht="11.25" customHeight="1" x14ac:dyDescent="0.25">
      <c r="A152" s="136" t="str">
        <f>IF(RIGHT('Org structure'!D148,18)&lt;&gt;"[Name of sub-vote]",'Org structure'!D148,"")</f>
        <v/>
      </c>
      <c r="B152" s="711"/>
      <c r="C152" s="775"/>
      <c r="D152" s="775"/>
      <c r="E152" s="778"/>
      <c r="F152" s="776"/>
      <c r="G152" s="775"/>
      <c r="H152" s="777"/>
      <c r="I152" s="778"/>
      <c r="J152" s="779">
        <f t="shared" si="83"/>
        <v>0</v>
      </c>
      <c r="K152" s="780">
        <f t="shared" si="84"/>
        <v>0</v>
      </c>
      <c r="L152" s="781">
        <f t="shared" si="85"/>
        <v>0</v>
      </c>
      <c r="M152" s="784"/>
      <c r="N152" s="776"/>
      <c r="O152" s="775"/>
      <c r="P152" s="777"/>
      <c r="Q152" s="214">
        <f t="shared" si="86"/>
        <v>0</v>
      </c>
      <c r="R152" s="776"/>
      <c r="S152" s="775"/>
      <c r="T152" s="778"/>
      <c r="U152" s="774">
        <f t="shared" si="74"/>
        <v>0</v>
      </c>
      <c r="V152" s="778"/>
      <c r="W152" s="775"/>
      <c r="X152" s="783"/>
      <c r="AC152" s="2312">
        <v>143</v>
      </c>
      <c r="AD152" s="2318" t="s">
        <v>2805</v>
      </c>
    </row>
    <row r="153" spans="1:30" ht="11.25" customHeight="1" x14ac:dyDescent="0.25">
      <c r="A153" s="136" t="str">
        <f>IF(RIGHT('Org structure'!D149,18)&lt;&gt;"[Name of sub-vote]",'Org structure'!D149,"")</f>
        <v/>
      </c>
      <c r="B153" s="711"/>
      <c r="C153" s="775"/>
      <c r="D153" s="775"/>
      <c r="E153" s="778"/>
      <c r="F153" s="776"/>
      <c r="G153" s="775"/>
      <c r="H153" s="777"/>
      <c r="I153" s="778"/>
      <c r="J153" s="779">
        <f t="shared" si="83"/>
        <v>0</v>
      </c>
      <c r="K153" s="780">
        <f t="shared" si="84"/>
        <v>0</v>
      </c>
      <c r="L153" s="781">
        <f t="shared" si="85"/>
        <v>0</v>
      </c>
      <c r="M153" s="784"/>
      <c r="N153" s="776"/>
      <c r="O153" s="775"/>
      <c r="P153" s="777"/>
      <c r="Q153" s="214">
        <f t="shared" si="86"/>
        <v>0</v>
      </c>
      <c r="R153" s="776"/>
      <c r="S153" s="775"/>
      <c r="T153" s="778"/>
      <c r="U153" s="774">
        <f t="shared" si="74"/>
        <v>0</v>
      </c>
      <c r="V153" s="778"/>
      <c r="W153" s="775"/>
      <c r="X153" s="783"/>
      <c r="AC153" s="2312">
        <v>144</v>
      </c>
      <c r="AD153" s="2318" t="s">
        <v>2805</v>
      </c>
    </row>
    <row r="154" spans="1:30" ht="11.25" customHeight="1" x14ac:dyDescent="0.25">
      <c r="A154" s="136" t="str">
        <f>IF(RIGHT('Org structure'!D150,18)&lt;&gt;"[Name of sub-vote]",'Org structure'!D150,"")</f>
        <v/>
      </c>
      <c r="B154" s="711"/>
      <c r="C154" s="775"/>
      <c r="D154" s="775"/>
      <c r="E154" s="778"/>
      <c r="F154" s="776"/>
      <c r="G154" s="775"/>
      <c r="H154" s="777"/>
      <c r="I154" s="778"/>
      <c r="J154" s="779">
        <f t="shared" si="83"/>
        <v>0</v>
      </c>
      <c r="K154" s="780">
        <f t="shared" si="84"/>
        <v>0</v>
      </c>
      <c r="L154" s="781">
        <f t="shared" si="85"/>
        <v>0</v>
      </c>
      <c r="M154" s="784"/>
      <c r="N154" s="776"/>
      <c r="O154" s="775"/>
      <c r="P154" s="777"/>
      <c r="Q154" s="214">
        <f t="shared" si="86"/>
        <v>0</v>
      </c>
      <c r="R154" s="776"/>
      <c r="S154" s="775"/>
      <c r="T154" s="778"/>
      <c r="U154" s="774">
        <f t="shared" si="74"/>
        <v>0</v>
      </c>
      <c r="V154" s="778"/>
      <c r="W154" s="775"/>
      <c r="X154" s="783"/>
      <c r="AC154" s="2312">
        <v>145</v>
      </c>
      <c r="AD154" s="2318" t="s">
        <v>2805</v>
      </c>
    </row>
    <row r="155" spans="1:30" ht="11.25" customHeight="1" x14ac:dyDescent="0.25">
      <c r="A155" s="136" t="str">
        <f>IF(RIGHT('Org structure'!D151,18)&lt;&gt;"[Name of sub-vote]",'Org structure'!D151,"")</f>
        <v/>
      </c>
      <c r="B155" s="711"/>
      <c r="C155" s="775"/>
      <c r="D155" s="775"/>
      <c r="E155" s="778"/>
      <c r="F155" s="776"/>
      <c r="G155" s="775"/>
      <c r="H155" s="777"/>
      <c r="I155" s="778"/>
      <c r="J155" s="779">
        <f t="shared" si="83"/>
        <v>0</v>
      </c>
      <c r="K155" s="780">
        <f t="shared" si="84"/>
        <v>0</v>
      </c>
      <c r="L155" s="781">
        <f t="shared" si="85"/>
        <v>0</v>
      </c>
      <c r="M155" s="784"/>
      <c r="N155" s="776"/>
      <c r="O155" s="775"/>
      <c r="P155" s="777"/>
      <c r="Q155" s="214">
        <f t="shared" si="86"/>
        <v>0</v>
      </c>
      <c r="R155" s="776"/>
      <c r="S155" s="775"/>
      <c r="T155" s="778"/>
      <c r="U155" s="774">
        <f t="shared" si="74"/>
        <v>0</v>
      </c>
      <c r="V155" s="778"/>
      <c r="W155" s="775"/>
      <c r="X155" s="783"/>
      <c r="AC155" s="2312">
        <v>146</v>
      </c>
      <c r="AD155" s="2318" t="s">
        <v>2805</v>
      </c>
    </row>
    <row r="156" spans="1:30" ht="11.25" customHeight="1" x14ac:dyDescent="0.25">
      <c r="A156" s="136" t="str">
        <f>IF(RIGHT('Org structure'!D152,18)&lt;&gt;"[Name of sub-vote]",'Org structure'!D152,"")</f>
        <v/>
      </c>
      <c r="B156" s="711"/>
      <c r="C156" s="775"/>
      <c r="D156" s="775"/>
      <c r="E156" s="778"/>
      <c r="F156" s="776"/>
      <c r="G156" s="775"/>
      <c r="H156" s="777"/>
      <c r="I156" s="778"/>
      <c r="J156" s="779">
        <f t="shared" si="83"/>
        <v>0</v>
      </c>
      <c r="K156" s="780">
        <f t="shared" si="84"/>
        <v>0</v>
      </c>
      <c r="L156" s="781">
        <f t="shared" si="85"/>
        <v>0</v>
      </c>
      <c r="M156" s="784"/>
      <c r="N156" s="776"/>
      <c r="O156" s="775"/>
      <c r="P156" s="777"/>
      <c r="Q156" s="214">
        <f t="shared" si="86"/>
        <v>0</v>
      </c>
      <c r="R156" s="776"/>
      <c r="S156" s="775"/>
      <c r="T156" s="778"/>
      <c r="U156" s="774">
        <f t="shared" si="74"/>
        <v>0</v>
      </c>
      <c r="V156" s="778"/>
      <c r="W156" s="775"/>
      <c r="X156" s="783"/>
      <c r="AC156" s="2312">
        <v>147</v>
      </c>
      <c r="AD156" s="2318" t="s">
        <v>2805</v>
      </c>
    </row>
    <row r="157" spans="1:30" ht="11.25" customHeight="1" x14ac:dyDescent="0.25">
      <c r="A157" s="136" t="str">
        <f>IF(RIGHT('Org structure'!D153,18)&lt;&gt;"[Name of sub-vote]",'Org structure'!D153,"")</f>
        <v/>
      </c>
      <c r="B157" s="711"/>
      <c r="C157" s="775"/>
      <c r="D157" s="775"/>
      <c r="E157" s="778"/>
      <c r="F157" s="776"/>
      <c r="G157" s="775"/>
      <c r="H157" s="777"/>
      <c r="I157" s="778"/>
      <c r="J157" s="779">
        <f t="shared" si="83"/>
        <v>0</v>
      </c>
      <c r="K157" s="780">
        <f t="shared" si="84"/>
        <v>0</v>
      </c>
      <c r="L157" s="781">
        <f t="shared" si="85"/>
        <v>0</v>
      </c>
      <c r="M157" s="784"/>
      <c r="N157" s="776"/>
      <c r="O157" s="775"/>
      <c r="P157" s="777"/>
      <c r="Q157" s="214">
        <f t="shared" si="86"/>
        <v>0</v>
      </c>
      <c r="R157" s="776"/>
      <c r="S157" s="775"/>
      <c r="T157" s="778"/>
      <c r="U157" s="774">
        <f t="shared" si="74"/>
        <v>0</v>
      </c>
      <c r="V157" s="778"/>
      <c r="W157" s="775"/>
      <c r="X157" s="783"/>
      <c r="AC157" s="2312">
        <v>148</v>
      </c>
      <c r="AD157" s="2318" t="s">
        <v>2805</v>
      </c>
    </row>
    <row r="158" spans="1:30" ht="11.25" customHeight="1" x14ac:dyDescent="0.25">
      <c r="A158" s="136" t="str">
        <f>IF(RIGHT('Org structure'!D154,18)&lt;&gt;"[Name of sub-vote]",'Org structure'!D154,"")</f>
        <v/>
      </c>
      <c r="B158" s="711"/>
      <c r="C158" s="775"/>
      <c r="D158" s="775"/>
      <c r="E158" s="778"/>
      <c r="F158" s="776"/>
      <c r="G158" s="775"/>
      <c r="H158" s="777"/>
      <c r="I158" s="778"/>
      <c r="J158" s="779">
        <f t="shared" si="83"/>
        <v>0</v>
      </c>
      <c r="K158" s="780">
        <f t="shared" si="84"/>
        <v>0</v>
      </c>
      <c r="L158" s="781">
        <f t="shared" si="85"/>
        <v>0</v>
      </c>
      <c r="M158" s="784"/>
      <c r="N158" s="776"/>
      <c r="O158" s="775"/>
      <c r="P158" s="777"/>
      <c r="Q158" s="214">
        <f t="shared" si="86"/>
        <v>0</v>
      </c>
      <c r="R158" s="776"/>
      <c r="S158" s="775"/>
      <c r="T158" s="778"/>
      <c r="U158" s="774">
        <f t="shared" si="74"/>
        <v>0</v>
      </c>
      <c r="V158" s="778"/>
      <c r="W158" s="775"/>
      <c r="X158" s="783"/>
      <c r="AC158" s="2312">
        <v>149</v>
      </c>
      <c r="AD158" s="2318" t="s">
        <v>2805</v>
      </c>
    </row>
    <row r="159" spans="1:30" ht="11.25" customHeight="1" x14ac:dyDescent="0.25">
      <c r="A159" s="136" t="str">
        <f>IF(RIGHT('Org structure'!D155,18)&lt;&gt;"[Name of sub-vote]",'Org structure'!D155,"")</f>
        <v/>
      </c>
      <c r="B159" s="711"/>
      <c r="C159" s="775"/>
      <c r="D159" s="775"/>
      <c r="E159" s="778"/>
      <c r="F159" s="776"/>
      <c r="G159" s="775"/>
      <c r="H159" s="777"/>
      <c r="I159" s="778"/>
      <c r="J159" s="779">
        <f t="shared" si="83"/>
        <v>0</v>
      </c>
      <c r="K159" s="780">
        <f t="shared" si="84"/>
        <v>0</v>
      </c>
      <c r="L159" s="781">
        <f t="shared" si="85"/>
        <v>0</v>
      </c>
      <c r="M159" s="784"/>
      <c r="N159" s="776"/>
      <c r="O159" s="775"/>
      <c r="P159" s="777"/>
      <c r="Q159" s="214">
        <f t="shared" si="86"/>
        <v>0</v>
      </c>
      <c r="R159" s="776"/>
      <c r="S159" s="775"/>
      <c r="T159" s="778"/>
      <c r="U159" s="774">
        <f t="shared" si="74"/>
        <v>0</v>
      </c>
      <c r="V159" s="778"/>
      <c r="W159" s="775"/>
      <c r="X159" s="783"/>
      <c r="AC159" s="2312">
        <v>1410</v>
      </c>
      <c r="AD159" s="2318" t="s">
        <v>2805</v>
      </c>
    </row>
    <row r="160" spans="1:30" ht="15" customHeight="1" x14ac:dyDescent="0.25">
      <c r="A160" s="135" t="str">
        <f>'Org structure'!A16</f>
        <v>Vote 15 - Health</v>
      </c>
      <c r="B160" s="711"/>
      <c r="C160" s="212">
        <f t="shared" ref="C160:L160" si="87">SUM(C161:C170)</f>
        <v>0</v>
      </c>
      <c r="D160" s="212">
        <f t="shared" si="87"/>
        <v>0</v>
      </c>
      <c r="E160" s="213">
        <f t="shared" si="87"/>
        <v>0</v>
      </c>
      <c r="F160" s="214">
        <f t="shared" si="87"/>
        <v>0</v>
      </c>
      <c r="G160" s="212">
        <f t="shared" si="87"/>
        <v>0</v>
      </c>
      <c r="H160" s="213">
        <f t="shared" si="87"/>
        <v>0</v>
      </c>
      <c r="I160" s="215">
        <f t="shared" si="87"/>
        <v>0</v>
      </c>
      <c r="J160" s="779">
        <f t="shared" si="87"/>
        <v>0</v>
      </c>
      <c r="K160" s="780">
        <f t="shared" si="87"/>
        <v>0</v>
      </c>
      <c r="L160" s="781">
        <f t="shared" si="87"/>
        <v>0</v>
      </c>
      <c r="M160" s="784"/>
      <c r="N160" s="214">
        <f t="shared" ref="N160:X160" si="88">SUM(N161:N170)</f>
        <v>0</v>
      </c>
      <c r="O160" s="212">
        <f t="shared" si="88"/>
        <v>0</v>
      </c>
      <c r="P160" s="213">
        <f t="shared" si="88"/>
        <v>0</v>
      </c>
      <c r="Q160" s="214">
        <f t="shared" si="88"/>
        <v>0</v>
      </c>
      <c r="R160" s="214">
        <f t="shared" si="88"/>
        <v>0</v>
      </c>
      <c r="S160" s="212">
        <f t="shared" si="88"/>
        <v>0</v>
      </c>
      <c r="T160" s="773">
        <f t="shared" si="88"/>
        <v>0</v>
      </c>
      <c r="U160" s="774">
        <f t="shared" si="88"/>
        <v>0</v>
      </c>
      <c r="V160" s="786">
        <f t="shared" si="88"/>
        <v>0</v>
      </c>
      <c r="W160" s="212">
        <f t="shared" si="88"/>
        <v>0</v>
      </c>
      <c r="X160" s="771">
        <f t="shared" si="88"/>
        <v>0</v>
      </c>
      <c r="AD160" s="2315"/>
    </row>
    <row r="161" spans="1:30" ht="11.25" customHeight="1" x14ac:dyDescent="0.25">
      <c r="A161" s="136" t="str">
        <f>IF(RIGHT('Org structure'!D157,18)&lt;&gt;"[Name of sub-vote]",'Org structure'!D157,"")</f>
        <v>15.1 - Health Services</v>
      </c>
      <c r="B161" s="711"/>
      <c r="C161" s="775"/>
      <c r="D161" s="775"/>
      <c r="E161" s="778"/>
      <c r="F161" s="776"/>
      <c r="G161" s="775"/>
      <c r="H161" s="777"/>
      <c r="I161" s="778"/>
      <c r="J161" s="779">
        <f t="shared" ref="J161:J170" si="89">Q161+V161</f>
        <v>0</v>
      </c>
      <c r="K161" s="780">
        <f t="shared" ref="K161:K170" si="90">U161+W161</f>
        <v>0</v>
      </c>
      <c r="L161" s="781">
        <f t="shared" ref="L161:L170" si="91">X161</f>
        <v>0</v>
      </c>
      <c r="M161" s="784"/>
      <c r="N161" s="776"/>
      <c r="O161" s="775"/>
      <c r="P161" s="777"/>
      <c r="Q161" s="214">
        <f t="shared" ref="Q161:Q170" si="92">SUM(N161:P161)</f>
        <v>0</v>
      </c>
      <c r="R161" s="776"/>
      <c r="S161" s="775"/>
      <c r="T161" s="778"/>
      <c r="U161" s="774">
        <f t="shared" si="74"/>
        <v>0</v>
      </c>
      <c r="V161" s="778"/>
      <c r="W161" s="775"/>
      <c r="X161" s="783"/>
      <c r="AC161" s="2312">
        <v>151</v>
      </c>
      <c r="AD161" s="2318" t="s">
        <v>2805</v>
      </c>
    </row>
    <row r="162" spans="1:30" ht="11.25" customHeight="1" x14ac:dyDescent="0.25">
      <c r="A162" s="136" t="str">
        <f>IF(RIGHT('Org structure'!D158,18)&lt;&gt;"[Name of sub-vote]",'Org structure'!D158,"")</f>
        <v/>
      </c>
      <c r="B162" s="711"/>
      <c r="C162" s="775"/>
      <c r="D162" s="775"/>
      <c r="E162" s="778"/>
      <c r="F162" s="776"/>
      <c r="G162" s="775"/>
      <c r="H162" s="777"/>
      <c r="I162" s="778"/>
      <c r="J162" s="779">
        <f t="shared" si="89"/>
        <v>0</v>
      </c>
      <c r="K162" s="780">
        <f t="shared" si="90"/>
        <v>0</v>
      </c>
      <c r="L162" s="781">
        <f t="shared" si="91"/>
        <v>0</v>
      </c>
      <c r="M162" s="784"/>
      <c r="N162" s="776"/>
      <c r="O162" s="775"/>
      <c r="P162" s="777"/>
      <c r="Q162" s="214">
        <f t="shared" si="92"/>
        <v>0</v>
      </c>
      <c r="R162" s="776"/>
      <c r="S162" s="775"/>
      <c r="T162" s="778"/>
      <c r="U162" s="774">
        <f t="shared" si="74"/>
        <v>0</v>
      </c>
      <c r="V162" s="778"/>
      <c r="W162" s="775"/>
      <c r="X162" s="783"/>
      <c r="AC162" s="2312">
        <v>152</v>
      </c>
      <c r="AD162" s="2318" t="s">
        <v>2805</v>
      </c>
    </row>
    <row r="163" spans="1:30" ht="11.25" customHeight="1" x14ac:dyDescent="0.25">
      <c r="A163" s="136" t="str">
        <f>IF(RIGHT('Org structure'!D159,18)&lt;&gt;"[Name of sub-vote]",'Org structure'!D159,"")</f>
        <v/>
      </c>
      <c r="B163" s="711"/>
      <c r="C163" s="775"/>
      <c r="D163" s="775"/>
      <c r="E163" s="778"/>
      <c r="F163" s="776"/>
      <c r="G163" s="775"/>
      <c r="H163" s="777"/>
      <c r="I163" s="778"/>
      <c r="J163" s="779">
        <f t="shared" si="89"/>
        <v>0</v>
      </c>
      <c r="K163" s="780">
        <f t="shared" si="90"/>
        <v>0</v>
      </c>
      <c r="L163" s="781">
        <f t="shared" si="91"/>
        <v>0</v>
      </c>
      <c r="M163" s="784"/>
      <c r="N163" s="776"/>
      <c r="O163" s="775"/>
      <c r="P163" s="777"/>
      <c r="Q163" s="214">
        <f t="shared" si="92"/>
        <v>0</v>
      </c>
      <c r="R163" s="776"/>
      <c r="S163" s="775"/>
      <c r="T163" s="778"/>
      <c r="U163" s="774">
        <f t="shared" si="74"/>
        <v>0</v>
      </c>
      <c r="V163" s="778"/>
      <c r="W163" s="775"/>
      <c r="X163" s="783"/>
      <c r="AC163" s="2312">
        <v>153</v>
      </c>
      <c r="AD163" s="2318" t="s">
        <v>2805</v>
      </c>
    </row>
    <row r="164" spans="1:30" ht="11.25" customHeight="1" x14ac:dyDescent="0.25">
      <c r="A164" s="136" t="str">
        <f>IF(RIGHT('Org structure'!D160,18)&lt;&gt;"[Name of sub-vote]",'Org structure'!D160,"")</f>
        <v/>
      </c>
      <c r="B164" s="711"/>
      <c r="C164" s="775"/>
      <c r="D164" s="775"/>
      <c r="E164" s="778"/>
      <c r="F164" s="776"/>
      <c r="G164" s="775"/>
      <c r="H164" s="777"/>
      <c r="I164" s="778"/>
      <c r="J164" s="779">
        <f t="shared" si="89"/>
        <v>0</v>
      </c>
      <c r="K164" s="780">
        <f t="shared" si="90"/>
        <v>0</v>
      </c>
      <c r="L164" s="781">
        <f t="shared" si="91"/>
        <v>0</v>
      </c>
      <c r="M164" s="784"/>
      <c r="N164" s="776"/>
      <c r="O164" s="775"/>
      <c r="P164" s="777"/>
      <c r="Q164" s="214">
        <f t="shared" si="92"/>
        <v>0</v>
      </c>
      <c r="R164" s="776"/>
      <c r="S164" s="775"/>
      <c r="T164" s="778"/>
      <c r="U164" s="774">
        <f t="shared" si="74"/>
        <v>0</v>
      </c>
      <c r="V164" s="778"/>
      <c r="W164" s="775"/>
      <c r="X164" s="783"/>
      <c r="AC164" s="2312">
        <v>154</v>
      </c>
      <c r="AD164" s="2318" t="s">
        <v>2805</v>
      </c>
    </row>
    <row r="165" spans="1:30" ht="11.25" customHeight="1" x14ac:dyDescent="0.25">
      <c r="A165" s="136" t="str">
        <f>IF(RIGHT('Org structure'!D161,18)&lt;&gt;"[Name of sub-vote]",'Org structure'!D161,"")</f>
        <v/>
      </c>
      <c r="B165" s="711"/>
      <c r="C165" s="775"/>
      <c r="D165" s="775"/>
      <c r="E165" s="778"/>
      <c r="F165" s="776"/>
      <c r="G165" s="775"/>
      <c r="H165" s="777"/>
      <c r="I165" s="778"/>
      <c r="J165" s="779">
        <f t="shared" si="89"/>
        <v>0</v>
      </c>
      <c r="K165" s="780">
        <f t="shared" si="90"/>
        <v>0</v>
      </c>
      <c r="L165" s="781">
        <f t="shared" si="91"/>
        <v>0</v>
      </c>
      <c r="M165" s="784"/>
      <c r="N165" s="776"/>
      <c r="O165" s="775"/>
      <c r="P165" s="777"/>
      <c r="Q165" s="214">
        <f t="shared" si="92"/>
        <v>0</v>
      </c>
      <c r="R165" s="776"/>
      <c r="S165" s="775"/>
      <c r="T165" s="778"/>
      <c r="U165" s="774">
        <f t="shared" si="74"/>
        <v>0</v>
      </c>
      <c r="V165" s="778"/>
      <c r="W165" s="775"/>
      <c r="X165" s="783"/>
      <c r="AC165" s="2312">
        <v>155</v>
      </c>
      <c r="AD165" s="2318" t="s">
        <v>2805</v>
      </c>
    </row>
    <row r="166" spans="1:30" ht="11.25" customHeight="1" x14ac:dyDescent="0.25">
      <c r="A166" s="136" t="str">
        <f>IF(RIGHT('Org structure'!D162,18)&lt;&gt;"[Name of sub-vote]",'Org structure'!D162,"")</f>
        <v/>
      </c>
      <c r="B166" s="711"/>
      <c r="C166" s="775"/>
      <c r="D166" s="775"/>
      <c r="E166" s="778"/>
      <c r="F166" s="776"/>
      <c r="G166" s="775"/>
      <c r="H166" s="777"/>
      <c r="I166" s="778"/>
      <c r="J166" s="779">
        <f t="shared" si="89"/>
        <v>0</v>
      </c>
      <c r="K166" s="780">
        <f t="shared" si="90"/>
        <v>0</v>
      </c>
      <c r="L166" s="781">
        <f t="shared" si="91"/>
        <v>0</v>
      </c>
      <c r="M166" s="784"/>
      <c r="N166" s="776"/>
      <c r="O166" s="775"/>
      <c r="P166" s="777"/>
      <c r="Q166" s="214">
        <f t="shared" si="92"/>
        <v>0</v>
      </c>
      <c r="R166" s="776"/>
      <c r="S166" s="775"/>
      <c r="T166" s="778"/>
      <c r="U166" s="774">
        <f t="shared" si="74"/>
        <v>0</v>
      </c>
      <c r="V166" s="778"/>
      <c r="W166" s="775"/>
      <c r="X166" s="783"/>
      <c r="AC166" s="2312">
        <v>156</v>
      </c>
      <c r="AD166" s="2318" t="s">
        <v>2805</v>
      </c>
    </row>
    <row r="167" spans="1:30" ht="11.25" customHeight="1" x14ac:dyDescent="0.25">
      <c r="A167" s="136" t="str">
        <f>IF(RIGHT('Org structure'!D163,18)&lt;&gt;"[Name of sub-vote]",'Org structure'!D163,"")</f>
        <v/>
      </c>
      <c r="B167" s="711"/>
      <c r="C167" s="775"/>
      <c r="D167" s="775"/>
      <c r="E167" s="778"/>
      <c r="F167" s="776"/>
      <c r="G167" s="775"/>
      <c r="H167" s="777"/>
      <c r="I167" s="778"/>
      <c r="J167" s="779">
        <f t="shared" si="89"/>
        <v>0</v>
      </c>
      <c r="K167" s="780">
        <f t="shared" si="90"/>
        <v>0</v>
      </c>
      <c r="L167" s="781">
        <f t="shared" si="91"/>
        <v>0</v>
      </c>
      <c r="M167" s="784"/>
      <c r="N167" s="776"/>
      <c r="O167" s="775"/>
      <c r="P167" s="777"/>
      <c r="Q167" s="214">
        <f t="shared" si="92"/>
        <v>0</v>
      </c>
      <c r="R167" s="776"/>
      <c r="S167" s="775"/>
      <c r="T167" s="778"/>
      <c r="U167" s="774">
        <f t="shared" si="74"/>
        <v>0</v>
      </c>
      <c r="V167" s="778"/>
      <c r="W167" s="775"/>
      <c r="X167" s="783"/>
      <c r="AC167" s="2312">
        <v>157</v>
      </c>
      <c r="AD167" s="2318" t="s">
        <v>2805</v>
      </c>
    </row>
    <row r="168" spans="1:30" ht="11.25" customHeight="1" x14ac:dyDescent="0.25">
      <c r="A168" s="136" t="str">
        <f>IF(RIGHT('Org structure'!D164,18)&lt;&gt;"[Name of sub-vote]",'Org structure'!D164,"")</f>
        <v/>
      </c>
      <c r="B168" s="711"/>
      <c r="C168" s="775"/>
      <c r="D168" s="775"/>
      <c r="E168" s="778"/>
      <c r="F168" s="776"/>
      <c r="G168" s="775"/>
      <c r="H168" s="777"/>
      <c r="I168" s="778"/>
      <c r="J168" s="779">
        <f t="shared" si="89"/>
        <v>0</v>
      </c>
      <c r="K168" s="780">
        <f t="shared" si="90"/>
        <v>0</v>
      </c>
      <c r="L168" s="781">
        <f t="shared" si="91"/>
        <v>0</v>
      </c>
      <c r="M168" s="784"/>
      <c r="N168" s="776"/>
      <c r="O168" s="775"/>
      <c r="P168" s="777"/>
      <c r="Q168" s="214">
        <f t="shared" si="92"/>
        <v>0</v>
      </c>
      <c r="R168" s="776"/>
      <c r="S168" s="775"/>
      <c r="T168" s="778"/>
      <c r="U168" s="774">
        <f t="shared" si="74"/>
        <v>0</v>
      </c>
      <c r="V168" s="778"/>
      <c r="W168" s="775"/>
      <c r="X168" s="783"/>
      <c r="AC168" s="2312">
        <v>158</v>
      </c>
      <c r="AD168" s="2318" t="s">
        <v>2805</v>
      </c>
    </row>
    <row r="169" spans="1:30" ht="11.25" customHeight="1" x14ac:dyDescent="0.25">
      <c r="A169" s="136" t="str">
        <f>IF(RIGHT('Org structure'!D165,18)&lt;&gt;"[Name of sub-vote]",'Org structure'!D165,"")</f>
        <v/>
      </c>
      <c r="B169" s="711"/>
      <c r="C169" s="775"/>
      <c r="D169" s="775"/>
      <c r="E169" s="778"/>
      <c r="F169" s="776"/>
      <c r="G169" s="775"/>
      <c r="H169" s="777"/>
      <c r="I169" s="778"/>
      <c r="J169" s="779">
        <f t="shared" si="89"/>
        <v>0</v>
      </c>
      <c r="K169" s="780">
        <f t="shared" si="90"/>
        <v>0</v>
      </c>
      <c r="L169" s="781">
        <f t="shared" si="91"/>
        <v>0</v>
      </c>
      <c r="M169" s="784"/>
      <c r="N169" s="776"/>
      <c r="O169" s="775"/>
      <c r="P169" s="777"/>
      <c r="Q169" s="214">
        <f t="shared" si="92"/>
        <v>0</v>
      </c>
      <c r="R169" s="776"/>
      <c r="S169" s="775"/>
      <c r="T169" s="778"/>
      <c r="U169" s="774">
        <f t="shared" si="74"/>
        <v>0</v>
      </c>
      <c r="V169" s="778"/>
      <c r="W169" s="775"/>
      <c r="X169" s="783"/>
      <c r="AC169" s="2312">
        <v>159</v>
      </c>
      <c r="AD169" s="2318" t="s">
        <v>2805</v>
      </c>
    </row>
    <row r="170" spans="1:30" ht="11.25" customHeight="1" x14ac:dyDescent="0.25">
      <c r="A170" s="136" t="str">
        <f>IF(RIGHT('Org structure'!D166,18)&lt;&gt;"[Name of sub-vote]",'Org structure'!D166,"")</f>
        <v/>
      </c>
      <c r="B170" s="711"/>
      <c r="C170" s="775"/>
      <c r="D170" s="775"/>
      <c r="E170" s="778"/>
      <c r="F170" s="776"/>
      <c r="G170" s="775"/>
      <c r="H170" s="777"/>
      <c r="I170" s="778"/>
      <c r="J170" s="779">
        <f t="shared" si="89"/>
        <v>0</v>
      </c>
      <c r="K170" s="780">
        <f t="shared" si="90"/>
        <v>0</v>
      </c>
      <c r="L170" s="781">
        <f t="shared" si="91"/>
        <v>0</v>
      </c>
      <c r="M170" s="784"/>
      <c r="N170" s="776"/>
      <c r="O170" s="775"/>
      <c r="P170" s="777"/>
      <c r="Q170" s="214">
        <f t="shared" si="92"/>
        <v>0</v>
      </c>
      <c r="R170" s="776"/>
      <c r="S170" s="775"/>
      <c r="T170" s="778"/>
      <c r="U170" s="774">
        <f t="shared" si="74"/>
        <v>0</v>
      </c>
      <c r="V170" s="778"/>
      <c r="W170" s="775"/>
      <c r="X170" s="783"/>
      <c r="AC170" s="2312">
        <v>1510</v>
      </c>
      <c r="AD170" s="2318" t="s">
        <v>2805</v>
      </c>
    </row>
    <row r="171" spans="1:30" ht="13.5" x14ac:dyDescent="0.25">
      <c r="A171" s="170" t="s">
        <v>168</v>
      </c>
      <c r="B171" s="711"/>
      <c r="C171" s="171">
        <f>C6+C17+C28+C39+C50+C61+C72+C83+C94+C105+C116+C127+C138+C149+C160</f>
        <v>0</v>
      </c>
      <c r="D171" s="171">
        <f t="shared" ref="D171:L171" si="93">D6+D17+D28+D39+D50+D61+D72+D83+D94+D105+D116+D127+D138+D149+D160</f>
        <v>0</v>
      </c>
      <c r="E171" s="789">
        <f t="shared" si="93"/>
        <v>0</v>
      </c>
      <c r="F171" s="790">
        <f t="shared" si="93"/>
        <v>0</v>
      </c>
      <c r="G171" s="171">
        <f t="shared" si="93"/>
        <v>0</v>
      </c>
      <c r="H171" s="789">
        <f t="shared" si="93"/>
        <v>0</v>
      </c>
      <c r="I171" s="173">
        <f t="shared" si="93"/>
        <v>0</v>
      </c>
      <c r="J171" s="791">
        <f t="shared" si="93"/>
        <v>0</v>
      </c>
      <c r="K171" s="792">
        <f t="shared" si="93"/>
        <v>0</v>
      </c>
      <c r="L171" s="793">
        <f t="shared" si="93"/>
        <v>0</v>
      </c>
      <c r="M171" s="322"/>
      <c r="N171" s="175">
        <f t="shared" ref="N171:U171" si="94">N6+N17+N28+N39+N50+N61+N72+N83+N94+N105+N116+N127+N138+N149+N160</f>
        <v>0</v>
      </c>
      <c r="O171" s="171">
        <f t="shared" si="94"/>
        <v>0</v>
      </c>
      <c r="P171" s="789">
        <f t="shared" si="94"/>
        <v>0</v>
      </c>
      <c r="Q171" s="174">
        <f t="shared" si="94"/>
        <v>0</v>
      </c>
      <c r="R171" s="175">
        <f t="shared" si="94"/>
        <v>0</v>
      </c>
      <c r="S171" s="171">
        <f t="shared" si="94"/>
        <v>0</v>
      </c>
      <c r="T171" s="794"/>
      <c r="U171" s="795">
        <f t="shared" si="94"/>
        <v>0</v>
      </c>
      <c r="V171" s="790">
        <f>V6+V17+V28+V39+V50+V61+V72+V83+V94+V105+V116+V127+V138+V149+V160</f>
        <v>0</v>
      </c>
      <c r="W171" s="171">
        <f>W6+W17+W28+W39+W50+W61+W72+W83+W94+W105+W116+W127+W138+W149+W160</f>
        <v>0</v>
      </c>
      <c r="X171" s="789"/>
      <c r="AD171" s="2315"/>
    </row>
    <row r="172" spans="1:30" ht="4.9000000000000004" customHeight="1" x14ac:dyDescent="0.25">
      <c r="A172" s="197"/>
      <c r="B172" s="796"/>
      <c r="C172" s="199"/>
      <c r="D172" s="797"/>
      <c r="E172" s="202"/>
      <c r="F172" s="201"/>
      <c r="G172" s="199"/>
      <c r="H172" s="200"/>
      <c r="I172" s="202"/>
      <c r="J172" s="201"/>
      <c r="K172" s="199"/>
      <c r="L172" s="200"/>
      <c r="M172" s="322"/>
      <c r="N172" s="201"/>
      <c r="O172" s="199"/>
      <c r="P172" s="200"/>
      <c r="Q172" s="202"/>
      <c r="R172" s="201"/>
      <c r="S172" s="199"/>
      <c r="T172" s="202"/>
      <c r="U172" s="798"/>
      <c r="V172" s="202"/>
      <c r="W172" s="199"/>
      <c r="X172" s="200"/>
      <c r="AD172" s="2315"/>
    </row>
    <row r="173" spans="1:30" ht="11.25" customHeight="1" x14ac:dyDescent="0.25">
      <c r="A173" s="158" t="s">
        <v>1564</v>
      </c>
      <c r="B173" s="705"/>
      <c r="C173" s="81"/>
      <c r="D173" s="81"/>
      <c r="E173" s="756"/>
      <c r="F173" s="757"/>
      <c r="G173" s="81"/>
      <c r="H173" s="758"/>
      <c r="I173" s="756"/>
      <c r="J173" s="757"/>
      <c r="K173" s="81"/>
      <c r="L173" s="758"/>
      <c r="M173" s="322"/>
      <c r="AD173" s="2315"/>
    </row>
    <row r="174" spans="1:30" ht="11.25" customHeight="1" x14ac:dyDescent="0.25">
      <c r="A174" s="158" t="s">
        <v>894</v>
      </c>
      <c r="B174" s="711">
        <v>2</v>
      </c>
      <c r="C174" s="762"/>
      <c r="D174" s="762"/>
      <c r="E174" s="763"/>
      <c r="F174" s="764"/>
      <c r="G174" s="762"/>
      <c r="H174" s="765"/>
      <c r="I174" s="763"/>
      <c r="J174" s="764"/>
      <c r="K174" s="762"/>
      <c r="L174" s="765"/>
      <c r="M174" s="799"/>
      <c r="AD174" s="2315"/>
    </row>
    <row r="175" spans="1:30" ht="15" customHeight="1" x14ac:dyDescent="0.25">
      <c r="A175" s="135" t="str">
        <f>A6</f>
        <v>Vote 1 - Finance and Administration</v>
      </c>
      <c r="B175" s="769"/>
      <c r="C175" s="212">
        <f t="shared" ref="C175:L175" si="95">SUM(C176:C185)</f>
        <v>28728245</v>
      </c>
      <c r="D175" s="212">
        <f t="shared" si="95"/>
        <v>31458590</v>
      </c>
      <c r="E175" s="213">
        <f t="shared" si="95"/>
        <v>33565076</v>
      </c>
      <c r="F175" s="214">
        <f t="shared" si="95"/>
        <v>6700000</v>
      </c>
      <c r="G175" s="212">
        <f t="shared" si="95"/>
        <v>3221951</v>
      </c>
      <c r="H175" s="213">
        <f t="shared" si="95"/>
        <v>3221951</v>
      </c>
      <c r="I175" s="770">
        <f t="shared" si="95"/>
        <v>33965697</v>
      </c>
      <c r="J175" s="214">
        <f t="shared" si="95"/>
        <v>905000</v>
      </c>
      <c r="K175" s="212">
        <f t="shared" si="95"/>
        <v>756392</v>
      </c>
      <c r="L175" s="213">
        <f t="shared" si="95"/>
        <v>786648</v>
      </c>
      <c r="M175" s="799"/>
      <c r="AD175" s="2315"/>
    </row>
    <row r="176" spans="1:30" ht="11.25" customHeight="1" x14ac:dyDescent="0.25">
      <c r="A176" s="136" t="str">
        <f>A7</f>
        <v>1.1 - Finance</v>
      </c>
      <c r="B176" s="711"/>
      <c r="C176" s="775">
        <f>SUMIFS(Sheet1!S71_PPPYearAmount,Sheet1!S71_SubMunicipalVoteNo,$AC:$AC,Sheet1!S71_A5CapexCode,$AD:$AD)</f>
        <v>0</v>
      </c>
      <c r="D176" s="775">
        <f>SUMIFS(Sheet1!S71_PPYearAmount,Sheet1!S71_SubMunicipalVoteNo,$AC:$AC,Sheet1!S71_A5CapexCode,$AD:$AD)</f>
        <v>0</v>
      </c>
      <c r="E176" s="717">
        <f>SUMIFS(Sheet1!S71_PYearAmount,Sheet1!S71_SubMunicipalVoteNo,$AC:$AC,Sheet1!S71_A5CapexCode,$AD:$AD)</f>
        <v>472275</v>
      </c>
      <c r="F176" s="776">
        <f>SUMIFS(Sheet1!S71_OriginalBudAmnt,Sheet1!S71_SubMunicipalVoteNo,$AC:$AC,Sheet1!S71_A5CapexCode,$AD:$AD)</f>
        <v>5000000</v>
      </c>
      <c r="G176" s="775">
        <f>SUMIFS(Sheet1!S71_AdjustmentBudAmnt,Sheet1!S71_SubMunicipalVoteNo,$AC:$AC,Sheet1!S71_A5CapexCode,$AD:$AD)</f>
        <v>1521951</v>
      </c>
      <c r="H176" s="777">
        <f>SUMIFS(Sheet1!S71_AdjustmentBudAmnt,Sheet1!S71_SubMunicipalVoteNo,$AC:$AC,Sheet1!S71_A5CapexCode,$AD:$AD)</f>
        <v>1521951</v>
      </c>
      <c r="I176" s="778">
        <f>SUMIFS(Sheet1!CD:CD,Sheet1!S71_SubMunicipalVoteNo,$AC:$AC,Sheet1!S71_A5CapexCode,$AD:$AD)</f>
        <v>472275</v>
      </c>
      <c r="J176" s="776">
        <f>SUMIFS(Sheet1!S71_ASBudgetAmount,Sheet1!S71_SubMunicipalVoteNo,$AC:$AC,Sheet1!S71_A5CapexCode,$AD:$AD)</f>
        <v>0</v>
      </c>
      <c r="K176" s="775">
        <f>SUMIFS(Sheet1!S71_OY1BudgetAmount,Sheet1!S71_SubMunicipalVoteNo,$AC:$AC,Sheet1!S71_A5CapexCode,$AD:$AD)</f>
        <v>0</v>
      </c>
      <c r="L176" s="777">
        <f>SUMIFS(Sheet1!S71_OY2BudgetAmount,Sheet1!S71_SubMunicipalVoteNo,$AC:$AC,Sheet1!S71_A5CapexCode,$AD:$AD)</f>
        <v>0</v>
      </c>
      <c r="M176" s="799"/>
      <c r="AC176" s="2312">
        <v>11</v>
      </c>
      <c r="AD176" s="2318" t="s">
        <v>2805</v>
      </c>
    </row>
    <row r="177" spans="1:30" ht="11.25" customHeight="1" x14ac:dyDescent="0.25">
      <c r="A177" s="136" t="str">
        <f t="shared" ref="A177:A239" si="96">A8</f>
        <v>1.2 - Fleet Management</v>
      </c>
      <c r="B177" s="711"/>
      <c r="C177" s="775">
        <f>SUMIFS(Sheet1!S71_PPPYearAmount,Sheet1!S71_SubMunicipalVoteNo,$AC:$AC,Sheet1!S71_A5CapexCode,$AD:$AD)</f>
        <v>2845481</v>
      </c>
      <c r="D177" s="775">
        <f>SUMIFS(Sheet1!S71_PPYearAmount,Sheet1!S71_SubMunicipalVoteNo,$AC:$AC,Sheet1!S71_A5CapexCode,$AD:$AD)</f>
        <v>2845481</v>
      </c>
      <c r="E177" s="717">
        <f>SUMIFS(Sheet1!S71_PYearAmount,Sheet1!S71_SubMunicipalVoteNo,$AC:$AC,Sheet1!S71_A5CapexCode,$AD:$AD)</f>
        <v>2845481</v>
      </c>
      <c r="F177" s="776">
        <f>SUMIFS(Sheet1!S71_OriginalBudAmnt,Sheet1!S71_SubMunicipalVoteNo,$AC:$AC,Sheet1!S71_A5CapexCode,$AD:$AD)</f>
        <v>0</v>
      </c>
      <c r="G177" s="775">
        <f>SUMIFS(Sheet1!S71_AdjustmentBudAmnt,Sheet1!S71_SubMunicipalVoteNo,$AC:$AC,Sheet1!S71_A5CapexCode,$AD:$AD)</f>
        <v>0</v>
      </c>
      <c r="H177" s="777">
        <f>SUMIFS(Sheet1!S71_AdjustmentBudAmnt,Sheet1!S71_SubMunicipalVoteNo,$AC:$AC,Sheet1!S71_A5CapexCode,$AD:$AD)</f>
        <v>0</v>
      </c>
      <c r="I177" s="778">
        <f>SUMIFS(Sheet1!CD:CD,Sheet1!S71_SubMunicipalVoteNo,$AC:$AC,Sheet1!S71_A5CapexCode,$AD:$AD)</f>
        <v>2845481</v>
      </c>
      <c r="J177" s="776">
        <f>SUMIFS(Sheet1!S71_ASBudgetAmount,Sheet1!S71_SubMunicipalVoteNo,$AC:$AC,Sheet1!S71_A5CapexCode,$AD:$AD)</f>
        <v>0</v>
      </c>
      <c r="K177" s="775">
        <f>SUMIFS(Sheet1!S71_OY1BudgetAmount,Sheet1!S71_SubMunicipalVoteNo,$AC:$AC,Sheet1!S71_A5CapexCode,$AD:$AD)</f>
        <v>0</v>
      </c>
      <c r="L177" s="777">
        <f>SUMIFS(Sheet1!S71_OY2BudgetAmount,Sheet1!S71_SubMunicipalVoteNo,$AC:$AC,Sheet1!S71_A5CapexCode,$AD:$AD)</f>
        <v>0</v>
      </c>
      <c r="M177" s="799"/>
      <c r="AC177" s="2312">
        <v>12</v>
      </c>
      <c r="AD177" s="2318" t="s">
        <v>2805</v>
      </c>
    </row>
    <row r="178" spans="1:30" ht="11.25" customHeight="1" x14ac:dyDescent="0.25">
      <c r="A178" s="136" t="str">
        <f t="shared" si="96"/>
        <v>1.3 - Asset Management</v>
      </c>
      <c r="B178" s="711"/>
      <c r="C178" s="775">
        <f>SUMIFS(Sheet1!S71_PPPYearAmount,Sheet1!S71_SubMunicipalVoteNo,$AC:$AC,Sheet1!S71_A5CapexCode,$AD:$AD)</f>
        <v>25882764</v>
      </c>
      <c r="D178" s="775">
        <f>SUMIFS(Sheet1!S71_PPYearAmount,Sheet1!S71_SubMunicipalVoteNo,$AC:$AC,Sheet1!S71_A5CapexCode,$AD:$AD)</f>
        <v>28613109</v>
      </c>
      <c r="E178" s="717">
        <f>SUMIFS(Sheet1!S71_PYearAmount,Sheet1!S71_SubMunicipalVoteNo,$AC:$AC,Sheet1!S71_A5CapexCode,$AD:$AD)</f>
        <v>30247320</v>
      </c>
      <c r="F178" s="776">
        <f>SUMIFS(Sheet1!S71_OriginalBudAmnt,Sheet1!S71_SubMunicipalVoteNo,$AC:$AC,Sheet1!S71_A5CapexCode,$AD:$AD)</f>
        <v>300000</v>
      </c>
      <c r="G178" s="775">
        <f>SUMIFS(Sheet1!S71_AdjustmentBudAmnt,Sheet1!S71_SubMunicipalVoteNo,$AC:$AC,Sheet1!S71_A5CapexCode,$AD:$AD)</f>
        <v>300000</v>
      </c>
      <c r="H178" s="777">
        <f>SUMIFS(Sheet1!S71_AdjustmentBudAmnt,Sheet1!S71_SubMunicipalVoteNo,$AC:$AC,Sheet1!S71_A5CapexCode,$AD:$AD)</f>
        <v>300000</v>
      </c>
      <c r="I178" s="778">
        <f>SUMIFS(Sheet1!CD:CD,Sheet1!S71_SubMunicipalVoteNo,$AC:$AC,Sheet1!S71_A5CapexCode,$AD:$AD)</f>
        <v>30501151</v>
      </c>
      <c r="J178" s="776">
        <f>SUMIFS(Sheet1!S71_ASBudgetAmount,Sheet1!S71_SubMunicipalVoteNo,$AC:$AC,Sheet1!S71_A5CapexCode,$AD:$AD)</f>
        <v>555000</v>
      </c>
      <c r="K178" s="775">
        <f>SUMIFS(Sheet1!S71_OY1BudgetAmount,Sheet1!S71_SubMunicipalVoteNo,$AC:$AC,Sheet1!S71_A5CapexCode,$AD:$AD)</f>
        <v>324168</v>
      </c>
      <c r="L178" s="777">
        <f>SUMIFS(Sheet1!S71_OY2BudgetAmount,Sheet1!S71_SubMunicipalVoteNo,$AC:$AC,Sheet1!S71_A5CapexCode,$AD:$AD)</f>
        <v>337135</v>
      </c>
      <c r="M178" s="799"/>
      <c r="AC178" s="2312">
        <v>13</v>
      </c>
      <c r="AD178" s="2318" t="s">
        <v>2805</v>
      </c>
    </row>
    <row r="179" spans="1:30" ht="11.25" customHeight="1" x14ac:dyDescent="0.25">
      <c r="A179" s="136" t="str">
        <f t="shared" si="96"/>
        <v>1.4 - Administrative and Corporate Support</v>
      </c>
      <c r="B179" s="711"/>
      <c r="C179" s="775">
        <f>SUMIFS(Sheet1!S71_PPPYearAmount,Sheet1!S71_SubMunicipalVoteNo,$AC:$AC,Sheet1!S71_A5CapexCode,$AD:$AD)</f>
        <v>0</v>
      </c>
      <c r="D179" s="775">
        <f>SUMIFS(Sheet1!S71_PPYearAmount,Sheet1!S71_SubMunicipalVoteNo,$AC:$AC,Sheet1!S71_A5CapexCode,$AD:$AD)</f>
        <v>0</v>
      </c>
      <c r="E179" s="717">
        <f>SUMIFS(Sheet1!S71_PYearAmount,Sheet1!S71_SubMunicipalVoteNo,$AC:$AC,Sheet1!S71_A5CapexCode,$AD:$AD)</f>
        <v>0</v>
      </c>
      <c r="F179" s="776">
        <f>SUMIFS(Sheet1!S71_OriginalBudAmnt,Sheet1!S71_SubMunicipalVoteNo,$AC:$AC,Sheet1!S71_A5CapexCode,$AD:$AD)</f>
        <v>1400000</v>
      </c>
      <c r="G179" s="775">
        <f>SUMIFS(Sheet1!S71_AdjustmentBudAmnt,Sheet1!S71_SubMunicipalVoteNo,$AC:$AC,Sheet1!S71_A5CapexCode,$AD:$AD)</f>
        <v>1400000</v>
      </c>
      <c r="H179" s="777">
        <f>SUMIFS(Sheet1!S71_AdjustmentBudAmnt,Sheet1!S71_SubMunicipalVoteNo,$AC:$AC,Sheet1!S71_A5CapexCode,$AD:$AD)</f>
        <v>1400000</v>
      </c>
      <c r="I179" s="778">
        <f>SUMIFS(Sheet1!CD:CD,Sheet1!S71_SubMunicipalVoteNo,$AC:$AC,Sheet1!S71_A5CapexCode,$AD:$AD)</f>
        <v>146790</v>
      </c>
      <c r="J179" s="776">
        <f>SUMIFS(Sheet1!S71_ASBudgetAmount,Sheet1!S71_SubMunicipalVoteNo,$AC:$AC,Sheet1!S71_A5CapexCode,$AD:$AD)</f>
        <v>350000</v>
      </c>
      <c r="K179" s="775">
        <f>SUMIFS(Sheet1!S71_OY1BudgetAmount,Sheet1!S71_SubMunicipalVoteNo,$AC:$AC,Sheet1!S71_A5CapexCode,$AD:$AD)</f>
        <v>432224</v>
      </c>
      <c r="L179" s="777">
        <f>SUMIFS(Sheet1!S71_OY2BudgetAmount,Sheet1!S71_SubMunicipalVoteNo,$AC:$AC,Sheet1!S71_A5CapexCode,$AD:$AD)</f>
        <v>449513</v>
      </c>
      <c r="M179" s="799"/>
      <c r="AC179" s="2312">
        <v>14</v>
      </c>
      <c r="AD179" s="2318" t="s">
        <v>2805</v>
      </c>
    </row>
    <row r="180" spans="1:30" ht="11.25" customHeight="1" x14ac:dyDescent="0.25">
      <c r="A180" s="136" t="str">
        <f t="shared" si="96"/>
        <v>1.5 - Human Resources</v>
      </c>
      <c r="B180" s="711"/>
      <c r="C180" s="775">
        <f>SUMIFS(Sheet1!S71_PPPYearAmount,Sheet1!S71_SubMunicipalVoteNo,$AC:$AC,Sheet1!S71_A5CapexCode,$AD:$AD)</f>
        <v>0</v>
      </c>
      <c r="D180" s="775">
        <f>SUMIFS(Sheet1!S71_PPYearAmount,Sheet1!S71_SubMunicipalVoteNo,$AC:$AC,Sheet1!S71_A5CapexCode,$AD:$AD)</f>
        <v>0</v>
      </c>
      <c r="E180" s="717">
        <f>SUMIFS(Sheet1!S71_PYearAmount,Sheet1!S71_SubMunicipalVoteNo,$AC:$AC,Sheet1!S71_A5CapexCode,$AD:$AD)</f>
        <v>0</v>
      </c>
      <c r="F180" s="776">
        <f>SUMIFS(Sheet1!S71_OriginalBudAmnt,Sheet1!S71_SubMunicipalVoteNo,$AC:$AC,Sheet1!S71_A5CapexCode,$AD:$AD)</f>
        <v>0</v>
      </c>
      <c r="G180" s="775">
        <f>SUMIFS(Sheet1!S71_AdjustmentBudAmnt,Sheet1!S71_SubMunicipalVoteNo,$AC:$AC,Sheet1!S71_A5CapexCode,$AD:$AD)</f>
        <v>0</v>
      </c>
      <c r="H180" s="777">
        <f>SUMIFS(Sheet1!S71_AdjustmentBudAmnt,Sheet1!S71_SubMunicipalVoteNo,$AC:$AC,Sheet1!S71_A5CapexCode,$AD:$AD)</f>
        <v>0</v>
      </c>
      <c r="I180" s="778">
        <f>SUMIFS(Sheet1!CD:CD,Sheet1!S71_SubMunicipalVoteNo,$AC:$AC,Sheet1!S71_A5CapexCode,$AD:$AD)</f>
        <v>0</v>
      </c>
      <c r="J180" s="776">
        <f>SUMIFS(Sheet1!S71_ASBudgetAmount,Sheet1!S71_SubMunicipalVoteNo,$AC:$AC,Sheet1!S71_A5CapexCode,$AD:$AD)</f>
        <v>0</v>
      </c>
      <c r="K180" s="775">
        <f>SUMIFS(Sheet1!S71_OY1BudgetAmount,Sheet1!S71_SubMunicipalVoteNo,$AC:$AC,Sheet1!S71_A5CapexCode,$AD:$AD)</f>
        <v>0</v>
      </c>
      <c r="L180" s="777">
        <f>SUMIFS(Sheet1!S71_OY2BudgetAmount,Sheet1!S71_SubMunicipalVoteNo,$AC:$AC,Sheet1!S71_A5CapexCode,$AD:$AD)</f>
        <v>0</v>
      </c>
      <c r="M180" s="799"/>
      <c r="AC180" s="2312">
        <v>15</v>
      </c>
      <c r="AD180" s="2318" t="s">
        <v>2805</v>
      </c>
    </row>
    <row r="181" spans="1:30" ht="11.25" customHeight="1" x14ac:dyDescent="0.25">
      <c r="A181" s="136" t="str">
        <f t="shared" si="96"/>
        <v>1.6 - Property Services</v>
      </c>
      <c r="B181" s="711"/>
      <c r="C181" s="775">
        <f>SUMIFS(Sheet1!S71_PPPYearAmount,Sheet1!S71_SubMunicipalVoteNo,$AC:$AC,Sheet1!S71_A5CapexCode,$AD:$AD)</f>
        <v>0</v>
      </c>
      <c r="D181" s="775">
        <f>SUMIFS(Sheet1!S71_PPYearAmount,Sheet1!S71_SubMunicipalVoteNo,$AC:$AC,Sheet1!S71_A5CapexCode,$AD:$AD)</f>
        <v>0</v>
      </c>
      <c r="E181" s="717">
        <f>SUMIFS(Sheet1!S71_PYearAmount,Sheet1!S71_SubMunicipalVoteNo,$AC:$AC,Sheet1!S71_A5CapexCode,$AD:$AD)</f>
        <v>0</v>
      </c>
      <c r="F181" s="776">
        <f>SUMIFS(Sheet1!S71_OriginalBudAmnt,Sheet1!S71_SubMunicipalVoteNo,$AC:$AC,Sheet1!S71_A5CapexCode,$AD:$AD)</f>
        <v>0</v>
      </c>
      <c r="G181" s="775">
        <f>SUMIFS(Sheet1!S71_AdjustmentBudAmnt,Sheet1!S71_SubMunicipalVoteNo,$AC:$AC,Sheet1!S71_A5CapexCode,$AD:$AD)</f>
        <v>0</v>
      </c>
      <c r="H181" s="777">
        <f>SUMIFS(Sheet1!S71_AdjustmentBudAmnt,Sheet1!S71_SubMunicipalVoteNo,$AC:$AC,Sheet1!S71_A5CapexCode,$AD:$AD)</f>
        <v>0</v>
      </c>
      <c r="I181" s="778">
        <f>SUMIFS(Sheet1!CD:CD,Sheet1!S71_SubMunicipalVoteNo,$AC:$AC,Sheet1!S71_A5CapexCode,$AD:$AD)</f>
        <v>0</v>
      </c>
      <c r="J181" s="776">
        <f>SUMIFS(Sheet1!S71_ASBudgetAmount,Sheet1!S71_SubMunicipalVoteNo,$AC:$AC,Sheet1!S71_A5CapexCode,$AD:$AD)</f>
        <v>0</v>
      </c>
      <c r="K181" s="775">
        <f>SUMIFS(Sheet1!S71_OY1BudgetAmount,Sheet1!S71_SubMunicipalVoteNo,$AC:$AC,Sheet1!S71_A5CapexCode,$AD:$AD)</f>
        <v>0</v>
      </c>
      <c r="L181" s="777">
        <f>SUMIFS(Sheet1!S71_OY2BudgetAmount,Sheet1!S71_SubMunicipalVoteNo,$AC:$AC,Sheet1!S71_A5CapexCode,$AD:$AD)</f>
        <v>0</v>
      </c>
      <c r="M181" s="799"/>
      <c r="AC181" s="2312">
        <v>16</v>
      </c>
      <c r="AD181" s="2318" t="s">
        <v>2805</v>
      </c>
    </row>
    <row r="182" spans="1:30" ht="11.25" customHeight="1" x14ac:dyDescent="0.25">
      <c r="A182" s="136" t="str">
        <f t="shared" si="96"/>
        <v>1.7 - Legal Services</v>
      </c>
      <c r="B182" s="711"/>
      <c r="C182" s="775">
        <f>SUMIFS(Sheet1!S71_PPPYearAmount,Sheet1!S71_SubMunicipalVoteNo,$AC:$AC,Sheet1!S71_A5CapexCode,$AD:$AD)</f>
        <v>0</v>
      </c>
      <c r="D182" s="775">
        <f>SUMIFS(Sheet1!S71_PPYearAmount,Sheet1!S71_SubMunicipalVoteNo,$AC:$AC,Sheet1!S71_A5CapexCode,$AD:$AD)</f>
        <v>0</v>
      </c>
      <c r="E182" s="717">
        <f>SUMIFS(Sheet1!S71_PYearAmount,Sheet1!S71_SubMunicipalVoteNo,$AC:$AC,Sheet1!S71_A5CapexCode,$AD:$AD)</f>
        <v>0</v>
      </c>
      <c r="F182" s="776">
        <f>SUMIFS(Sheet1!S71_OriginalBudAmnt,Sheet1!S71_SubMunicipalVoteNo,$AC:$AC,Sheet1!S71_A5CapexCode,$AD:$AD)</f>
        <v>0</v>
      </c>
      <c r="G182" s="775">
        <f>SUMIFS(Sheet1!S71_AdjustmentBudAmnt,Sheet1!S71_SubMunicipalVoteNo,$AC:$AC,Sheet1!S71_A5CapexCode,$AD:$AD)</f>
        <v>0</v>
      </c>
      <c r="H182" s="777">
        <f>SUMIFS(Sheet1!S71_AdjustmentBudAmnt,Sheet1!S71_SubMunicipalVoteNo,$AC:$AC,Sheet1!S71_A5CapexCode,$AD:$AD)</f>
        <v>0</v>
      </c>
      <c r="I182" s="778">
        <f>SUMIFS(Sheet1!CD:CD,Sheet1!S71_SubMunicipalVoteNo,$AC:$AC,Sheet1!S71_A5CapexCode,$AD:$AD)</f>
        <v>0</v>
      </c>
      <c r="J182" s="776">
        <f>SUMIFS(Sheet1!S71_ASBudgetAmount,Sheet1!S71_SubMunicipalVoteNo,$AC:$AC,Sheet1!S71_A5CapexCode,$AD:$AD)</f>
        <v>0</v>
      </c>
      <c r="K182" s="775">
        <f>SUMIFS(Sheet1!S71_OY1BudgetAmount,Sheet1!S71_SubMunicipalVoteNo,$AC:$AC,Sheet1!S71_A5CapexCode,$AD:$AD)</f>
        <v>0</v>
      </c>
      <c r="L182" s="777">
        <f>SUMIFS(Sheet1!S71_OY2BudgetAmount,Sheet1!S71_SubMunicipalVoteNo,$AC:$AC,Sheet1!S71_A5CapexCode,$AD:$AD)</f>
        <v>0</v>
      </c>
      <c r="M182" s="799"/>
      <c r="AC182" s="2312">
        <v>17</v>
      </c>
      <c r="AD182" s="2318" t="s">
        <v>2805</v>
      </c>
    </row>
    <row r="183" spans="1:30" ht="11.25" customHeight="1" x14ac:dyDescent="0.25">
      <c r="A183" s="136" t="str">
        <f t="shared" si="96"/>
        <v>1.8 - Information Technology</v>
      </c>
      <c r="B183" s="711"/>
      <c r="C183" s="775">
        <f>SUMIFS(Sheet1!S71_PPPYearAmount,Sheet1!S71_SubMunicipalVoteNo,$AC:$AC,Sheet1!S71_A5CapexCode,$AD:$AD)</f>
        <v>0</v>
      </c>
      <c r="D183" s="775">
        <f>SUMIFS(Sheet1!S71_PPYearAmount,Sheet1!S71_SubMunicipalVoteNo,$AC:$AC,Sheet1!S71_A5CapexCode,$AD:$AD)</f>
        <v>0</v>
      </c>
      <c r="E183" s="717">
        <f>SUMIFS(Sheet1!S71_PYearAmount,Sheet1!S71_SubMunicipalVoteNo,$AC:$AC,Sheet1!S71_A5CapexCode,$AD:$AD)</f>
        <v>0</v>
      </c>
      <c r="F183" s="776">
        <f>SUMIFS(Sheet1!S71_OriginalBudAmnt,Sheet1!S71_SubMunicipalVoteNo,$AC:$AC,Sheet1!S71_A5CapexCode,$AD:$AD)</f>
        <v>0</v>
      </c>
      <c r="G183" s="775">
        <f>SUMIFS(Sheet1!S71_AdjustmentBudAmnt,Sheet1!S71_SubMunicipalVoteNo,$AC:$AC,Sheet1!S71_A5CapexCode,$AD:$AD)</f>
        <v>0</v>
      </c>
      <c r="H183" s="777">
        <f>SUMIFS(Sheet1!S71_AdjustmentBudAmnt,Sheet1!S71_SubMunicipalVoteNo,$AC:$AC,Sheet1!S71_A5CapexCode,$AD:$AD)</f>
        <v>0</v>
      </c>
      <c r="I183" s="778">
        <f>SUMIFS(Sheet1!CD:CD,Sheet1!S71_SubMunicipalVoteNo,$AC:$AC,Sheet1!S71_A5CapexCode,$AD:$AD)</f>
        <v>0</v>
      </c>
      <c r="J183" s="776">
        <f>SUMIFS(Sheet1!S71_ASBudgetAmount,Sheet1!S71_SubMunicipalVoteNo,$AC:$AC,Sheet1!S71_A5CapexCode,$AD:$AD)</f>
        <v>0</v>
      </c>
      <c r="K183" s="775">
        <f>SUMIFS(Sheet1!S71_OY1BudgetAmount,Sheet1!S71_SubMunicipalVoteNo,$AC:$AC,Sheet1!S71_A5CapexCode,$AD:$AD)</f>
        <v>0</v>
      </c>
      <c r="L183" s="777">
        <f>SUMIFS(Sheet1!S71_OY2BudgetAmount,Sheet1!S71_SubMunicipalVoteNo,$AC:$AC,Sheet1!S71_A5CapexCode,$AD:$AD)</f>
        <v>0</v>
      </c>
      <c r="M183" s="799"/>
      <c r="AC183" s="2312">
        <v>18</v>
      </c>
      <c r="AD183" s="2318" t="s">
        <v>2805</v>
      </c>
    </row>
    <row r="184" spans="1:30" ht="11.25" customHeight="1" x14ac:dyDescent="0.25">
      <c r="A184" s="136" t="str">
        <f t="shared" si="96"/>
        <v>1.9 - Marketing, Customer Relations, Publicity and Media Co-ordination</v>
      </c>
      <c r="B184" s="711"/>
      <c r="C184" s="775">
        <f>SUMIFS(Sheet1!S71_PPPYearAmount,Sheet1!S71_SubMunicipalVoteNo,$AC:$AC,Sheet1!S71_A5CapexCode,$AD:$AD)</f>
        <v>0</v>
      </c>
      <c r="D184" s="775">
        <f>SUMIFS(Sheet1!S71_PPYearAmount,Sheet1!S71_SubMunicipalVoteNo,$AC:$AC,Sheet1!S71_A5CapexCode,$AD:$AD)</f>
        <v>0</v>
      </c>
      <c r="E184" s="717">
        <f>SUMIFS(Sheet1!S71_PYearAmount,Sheet1!S71_SubMunicipalVoteNo,$AC:$AC,Sheet1!S71_A5CapexCode,$AD:$AD)</f>
        <v>0</v>
      </c>
      <c r="F184" s="776">
        <f>SUMIFS(Sheet1!S71_OriginalBudAmnt,Sheet1!S71_SubMunicipalVoteNo,$AC:$AC,Sheet1!S71_A5CapexCode,$AD:$AD)</f>
        <v>0</v>
      </c>
      <c r="G184" s="775">
        <f>SUMIFS(Sheet1!S71_AdjustmentBudAmnt,Sheet1!S71_SubMunicipalVoteNo,$AC:$AC,Sheet1!S71_A5CapexCode,$AD:$AD)</f>
        <v>0</v>
      </c>
      <c r="H184" s="777">
        <f>SUMIFS(Sheet1!S71_AdjustmentBudAmnt,Sheet1!S71_SubMunicipalVoteNo,$AC:$AC,Sheet1!S71_A5CapexCode,$AD:$AD)</f>
        <v>0</v>
      </c>
      <c r="I184" s="778">
        <f>SUMIFS(Sheet1!CD:CD,Sheet1!S71_SubMunicipalVoteNo,$AC:$AC,Sheet1!S71_A5CapexCode,$AD:$AD)</f>
        <v>0</v>
      </c>
      <c r="J184" s="776">
        <f>SUMIFS(Sheet1!S71_ASBudgetAmount,Sheet1!S71_SubMunicipalVoteNo,$AC:$AC,Sheet1!S71_A5CapexCode,$AD:$AD)</f>
        <v>0</v>
      </c>
      <c r="K184" s="775">
        <f>SUMIFS(Sheet1!S71_OY1BudgetAmount,Sheet1!S71_SubMunicipalVoteNo,$AC:$AC,Sheet1!S71_A5CapexCode,$AD:$AD)</f>
        <v>0</v>
      </c>
      <c r="L184" s="777">
        <f>SUMIFS(Sheet1!S71_OY2BudgetAmount,Sheet1!S71_SubMunicipalVoteNo,$AC:$AC,Sheet1!S71_A5CapexCode,$AD:$AD)</f>
        <v>0</v>
      </c>
      <c r="M184" s="799"/>
      <c r="AC184" s="2312">
        <v>19</v>
      </c>
      <c r="AD184" s="2318" t="s">
        <v>2805</v>
      </c>
    </row>
    <row r="185" spans="1:30" ht="11.25" customHeight="1" x14ac:dyDescent="0.25">
      <c r="A185" s="136" t="str">
        <f t="shared" si="96"/>
        <v/>
      </c>
      <c r="B185" s="711"/>
      <c r="C185" s="775">
        <f>SUMIFS(Sheet1!S71_PPPYearAmount,Sheet1!S71_SubMunicipalVoteNo,$AC:$AC,Sheet1!S71_A5CapexCode,$AD:$AD)</f>
        <v>0</v>
      </c>
      <c r="D185" s="775">
        <f>SUMIFS(Sheet1!S71_PPYearAmount,Sheet1!S71_SubMunicipalVoteNo,$AC:$AC,Sheet1!S71_A5CapexCode,$AD:$AD)</f>
        <v>0</v>
      </c>
      <c r="E185" s="717">
        <f>SUMIFS(Sheet1!S71_PYearAmount,Sheet1!S71_SubMunicipalVoteNo,$AC:$AC,Sheet1!S71_A5CapexCode,$AD:$AD)</f>
        <v>0</v>
      </c>
      <c r="F185" s="776">
        <f>SUMIFS(Sheet1!S71_OriginalBudAmnt,Sheet1!S71_SubMunicipalVoteNo,$AC:$AC,Sheet1!S71_A5CapexCode,$AD:$AD)</f>
        <v>0</v>
      </c>
      <c r="G185" s="775">
        <f>SUMIFS(Sheet1!S71_AdjustmentBudAmnt,Sheet1!S71_SubMunicipalVoteNo,$AC:$AC,Sheet1!S71_A5CapexCode,$AD:$AD)</f>
        <v>0</v>
      </c>
      <c r="H185" s="777">
        <f>SUMIFS(Sheet1!S71_AdjustmentBudAmnt,Sheet1!S71_SubMunicipalVoteNo,$AC:$AC,Sheet1!S71_A5CapexCode,$AD:$AD)</f>
        <v>0</v>
      </c>
      <c r="I185" s="778">
        <f>SUMIFS(Sheet1!CD:CD,Sheet1!S71_SubMunicipalVoteNo,$AC:$AC,Sheet1!S71_A5CapexCode,$AD:$AD)</f>
        <v>0</v>
      </c>
      <c r="J185" s="776">
        <f>SUMIFS(Sheet1!S71_ASBudgetAmount,Sheet1!S71_SubMunicipalVoteNo,$AC:$AC,Sheet1!S71_A5CapexCode,$AD:$AD)</f>
        <v>0</v>
      </c>
      <c r="K185" s="775">
        <f>SUMIFS(Sheet1!S71_OY1BudgetAmount,Sheet1!S71_SubMunicipalVoteNo,$AC:$AC,Sheet1!S71_A5CapexCode,$AD:$AD)</f>
        <v>0</v>
      </c>
      <c r="L185" s="777">
        <f>SUMIFS(Sheet1!S71_OY2BudgetAmount,Sheet1!S71_SubMunicipalVoteNo,$AC:$AC,Sheet1!S71_A5CapexCode,$AD:$AD)</f>
        <v>0</v>
      </c>
      <c r="M185" s="799"/>
      <c r="AC185" s="2312">
        <v>110</v>
      </c>
      <c r="AD185" s="2318" t="s">
        <v>2805</v>
      </c>
    </row>
    <row r="186" spans="1:30" ht="15" customHeight="1" x14ac:dyDescent="0.25">
      <c r="A186" s="135" t="str">
        <f t="shared" si="96"/>
        <v>Vote 2 - Finance and Administration2</v>
      </c>
      <c r="B186" s="769"/>
      <c r="C186" s="212">
        <f t="shared" ref="C186:L186" si="97">SUM(C187:C196)</f>
        <v>0</v>
      </c>
      <c r="D186" s="212">
        <f t="shared" si="97"/>
        <v>0</v>
      </c>
      <c r="E186" s="213">
        <f t="shared" si="97"/>
        <v>0</v>
      </c>
      <c r="F186" s="214">
        <f t="shared" si="97"/>
        <v>0</v>
      </c>
      <c r="G186" s="212">
        <f t="shared" si="97"/>
        <v>0</v>
      </c>
      <c r="H186" s="213">
        <f t="shared" si="97"/>
        <v>0</v>
      </c>
      <c r="I186" s="215">
        <f t="shared" si="97"/>
        <v>0</v>
      </c>
      <c r="J186" s="214">
        <f t="shared" si="97"/>
        <v>0</v>
      </c>
      <c r="K186" s="212">
        <f t="shared" si="97"/>
        <v>0</v>
      </c>
      <c r="L186" s="213">
        <f t="shared" si="97"/>
        <v>0</v>
      </c>
      <c r="M186" s="799"/>
      <c r="AD186" s="2315"/>
    </row>
    <row r="187" spans="1:30" ht="11.25" customHeight="1" x14ac:dyDescent="0.25">
      <c r="A187" s="136" t="str">
        <f t="shared" si="96"/>
        <v>2.1 - Supply Chain Management</v>
      </c>
      <c r="B187" s="711"/>
      <c r="C187" s="775">
        <f>SUMIFS(Sheet1!S71_PPPYearAmount,Sheet1!S71_SubMunicipalVoteNo,$AC:$AC,Sheet1!S71_A5CapexCode,$AD:$AD)</f>
        <v>0</v>
      </c>
      <c r="D187" s="775">
        <f>SUMIFS(Sheet1!S71_PPYearAmount,Sheet1!S71_SubMunicipalVoteNo,$AC:$AC,Sheet1!S71_A5CapexCode,$AD:$AD)</f>
        <v>0</v>
      </c>
      <c r="E187" s="717">
        <f>SUMIFS(Sheet1!S71_PYearAmount,Sheet1!S71_SubMunicipalVoteNo,$AC:$AC,Sheet1!S71_A5CapexCode,$AD:$AD)</f>
        <v>0</v>
      </c>
      <c r="F187" s="776">
        <f>SUMIFS(Sheet1!S71_OriginalBudAmnt,Sheet1!S71_SubMunicipalVoteNo,$AC:$AC,Sheet1!S71_A5CapexCode,$AD:$AD)</f>
        <v>0</v>
      </c>
      <c r="G187" s="775">
        <f>SUMIFS(Sheet1!S71_AdjustmentBudAmnt,Sheet1!S71_SubMunicipalVoteNo,$AC:$AC,Sheet1!S71_A5CapexCode,$AD:$AD)</f>
        <v>0</v>
      </c>
      <c r="H187" s="777">
        <f>SUMIFS(Sheet1!S71_AdjustmentBudAmnt,Sheet1!S71_SubMunicipalVoteNo,$AC:$AC,Sheet1!S71_A5CapexCode,$AD:$AD)</f>
        <v>0</v>
      </c>
      <c r="I187" s="778">
        <f>SUMIFS(Sheet1!CD:CD,Sheet1!S71_SubMunicipalVoteNo,$AC:$AC,Sheet1!S71_A5CapexCode,$AD:$AD)</f>
        <v>0</v>
      </c>
      <c r="J187" s="776">
        <f>SUMIFS(Sheet1!S71_ASBudgetAmount,Sheet1!S71_SubMunicipalVoteNo,$AC:$AC,Sheet1!S71_A5CapexCode,$AD:$AD)</f>
        <v>0</v>
      </c>
      <c r="K187" s="775">
        <f>SUMIFS(Sheet1!S71_OY1BudgetAmount,Sheet1!S71_SubMunicipalVoteNo,$AC:$AC,Sheet1!S71_A5CapexCode,$AD:$AD)</f>
        <v>0</v>
      </c>
      <c r="L187" s="777">
        <f>SUMIFS(Sheet1!S71_OY2BudgetAmount,Sheet1!S71_SubMunicipalVoteNo,$AC:$AC,Sheet1!S71_A5CapexCode,$AD:$AD)</f>
        <v>0</v>
      </c>
      <c r="M187" s="799"/>
      <c r="AC187" s="2312">
        <v>21</v>
      </c>
      <c r="AD187" s="2318" t="s">
        <v>2805</v>
      </c>
    </row>
    <row r="188" spans="1:30" ht="11.25" customHeight="1" x14ac:dyDescent="0.25">
      <c r="A188" s="136" t="str">
        <f t="shared" si="96"/>
        <v/>
      </c>
      <c r="B188" s="711"/>
      <c r="C188" s="775">
        <f>SUMIFS(Sheet1!S71_PPPYearAmount,Sheet1!S71_SubMunicipalVoteNo,$AC:$AC,Sheet1!S71_A5CapexCode,$AD:$AD)</f>
        <v>0</v>
      </c>
      <c r="D188" s="775">
        <f>SUMIFS(Sheet1!S71_PPYearAmount,Sheet1!S71_SubMunicipalVoteNo,$AC:$AC,Sheet1!S71_A5CapexCode,$AD:$AD)</f>
        <v>0</v>
      </c>
      <c r="E188" s="717">
        <f>SUMIFS(Sheet1!S71_PYearAmount,Sheet1!S71_SubMunicipalVoteNo,$AC:$AC,Sheet1!S71_A5CapexCode,$AD:$AD)</f>
        <v>0</v>
      </c>
      <c r="F188" s="776">
        <f>SUMIFS(Sheet1!S71_OriginalBudAmnt,Sheet1!S71_SubMunicipalVoteNo,$AC:$AC,Sheet1!S71_A5CapexCode,$AD:$AD)</f>
        <v>0</v>
      </c>
      <c r="G188" s="775">
        <f>SUMIFS(Sheet1!S71_AdjustmentBudAmnt,Sheet1!S71_SubMunicipalVoteNo,$AC:$AC,Sheet1!S71_A5CapexCode,$AD:$AD)</f>
        <v>0</v>
      </c>
      <c r="H188" s="777">
        <f>SUMIFS(Sheet1!S71_AdjustmentBudAmnt,Sheet1!S71_SubMunicipalVoteNo,$AC:$AC,Sheet1!S71_A5CapexCode,$AD:$AD)</f>
        <v>0</v>
      </c>
      <c r="I188" s="778">
        <f>SUMIFS(Sheet1!CD:CD,Sheet1!S71_SubMunicipalVoteNo,$AC:$AC,Sheet1!S71_A5CapexCode,$AD:$AD)</f>
        <v>0</v>
      </c>
      <c r="J188" s="776">
        <f>SUMIFS(Sheet1!S71_ASBudgetAmount,Sheet1!S71_SubMunicipalVoteNo,$AC:$AC,Sheet1!S71_A5CapexCode,$AD:$AD)</f>
        <v>0</v>
      </c>
      <c r="K188" s="775">
        <f>SUMIFS(Sheet1!S71_OY1BudgetAmount,Sheet1!S71_SubMunicipalVoteNo,$AC:$AC,Sheet1!S71_A5CapexCode,$AD:$AD)</f>
        <v>0</v>
      </c>
      <c r="L188" s="777">
        <f>SUMIFS(Sheet1!S71_OY2BudgetAmount,Sheet1!S71_SubMunicipalVoteNo,$AC:$AC,Sheet1!S71_A5CapexCode,$AD:$AD)</f>
        <v>0</v>
      </c>
      <c r="M188" s="799"/>
      <c r="AC188" s="2312">
        <v>22</v>
      </c>
      <c r="AD188" s="2318" t="s">
        <v>2805</v>
      </c>
    </row>
    <row r="189" spans="1:30" ht="11.25" customHeight="1" x14ac:dyDescent="0.25">
      <c r="A189" s="136" t="str">
        <f t="shared" si="96"/>
        <v/>
      </c>
      <c r="B189" s="711"/>
      <c r="C189" s="775">
        <f>SUMIFS(Sheet1!S71_PPPYearAmount,Sheet1!S71_SubMunicipalVoteNo,$AC:$AC,Sheet1!S71_A5CapexCode,$AD:$AD)</f>
        <v>0</v>
      </c>
      <c r="D189" s="775">
        <f>SUMIFS(Sheet1!S71_PPYearAmount,Sheet1!S71_SubMunicipalVoteNo,$AC:$AC,Sheet1!S71_A5CapexCode,$AD:$AD)</f>
        <v>0</v>
      </c>
      <c r="E189" s="717">
        <f>SUMIFS(Sheet1!S71_PYearAmount,Sheet1!S71_SubMunicipalVoteNo,$AC:$AC,Sheet1!S71_A5CapexCode,$AD:$AD)</f>
        <v>0</v>
      </c>
      <c r="F189" s="776">
        <f>SUMIFS(Sheet1!S71_OriginalBudAmnt,Sheet1!S71_SubMunicipalVoteNo,$AC:$AC,Sheet1!S71_A5CapexCode,$AD:$AD)</f>
        <v>0</v>
      </c>
      <c r="G189" s="775">
        <f>SUMIFS(Sheet1!S71_AdjustmentBudAmnt,Sheet1!S71_SubMunicipalVoteNo,$AC:$AC,Sheet1!S71_A5CapexCode,$AD:$AD)</f>
        <v>0</v>
      </c>
      <c r="H189" s="777">
        <f>SUMIFS(Sheet1!S71_AdjustmentBudAmnt,Sheet1!S71_SubMunicipalVoteNo,$AC:$AC,Sheet1!S71_A5CapexCode,$AD:$AD)</f>
        <v>0</v>
      </c>
      <c r="I189" s="778">
        <f>SUMIFS(Sheet1!CD:CD,Sheet1!S71_SubMunicipalVoteNo,$AC:$AC,Sheet1!S71_A5CapexCode,$AD:$AD)</f>
        <v>0</v>
      </c>
      <c r="J189" s="776">
        <f>SUMIFS(Sheet1!S71_ASBudgetAmount,Sheet1!S71_SubMunicipalVoteNo,$AC:$AC,Sheet1!S71_A5CapexCode,$AD:$AD)</f>
        <v>0</v>
      </c>
      <c r="K189" s="775">
        <f>SUMIFS(Sheet1!S71_OY1BudgetAmount,Sheet1!S71_SubMunicipalVoteNo,$AC:$AC,Sheet1!S71_A5CapexCode,$AD:$AD)</f>
        <v>0</v>
      </c>
      <c r="L189" s="777">
        <f>SUMIFS(Sheet1!S71_OY2BudgetAmount,Sheet1!S71_SubMunicipalVoteNo,$AC:$AC,Sheet1!S71_A5CapexCode,$AD:$AD)</f>
        <v>0</v>
      </c>
      <c r="M189" s="799"/>
      <c r="AC189" s="2312">
        <v>23</v>
      </c>
      <c r="AD189" s="2318" t="s">
        <v>2805</v>
      </c>
    </row>
    <row r="190" spans="1:30" ht="11.25" customHeight="1" x14ac:dyDescent="0.25">
      <c r="A190" s="136" t="str">
        <f t="shared" si="96"/>
        <v/>
      </c>
      <c r="B190" s="711"/>
      <c r="C190" s="775">
        <f>SUMIFS(Sheet1!S71_PPPYearAmount,Sheet1!S71_SubMunicipalVoteNo,$AC:$AC,Sheet1!S71_A5CapexCode,$AD:$AD)</f>
        <v>0</v>
      </c>
      <c r="D190" s="775">
        <f>SUMIFS(Sheet1!S71_PPYearAmount,Sheet1!S71_SubMunicipalVoteNo,$AC:$AC,Sheet1!S71_A5CapexCode,$AD:$AD)</f>
        <v>0</v>
      </c>
      <c r="E190" s="717">
        <f>SUMIFS(Sheet1!S71_PYearAmount,Sheet1!S71_SubMunicipalVoteNo,$AC:$AC,Sheet1!S71_A5CapexCode,$AD:$AD)</f>
        <v>0</v>
      </c>
      <c r="F190" s="776">
        <f>SUMIFS(Sheet1!S71_OriginalBudAmnt,Sheet1!S71_SubMunicipalVoteNo,$AC:$AC,Sheet1!S71_A5CapexCode,$AD:$AD)</f>
        <v>0</v>
      </c>
      <c r="G190" s="775">
        <f>SUMIFS(Sheet1!S71_AdjustmentBudAmnt,Sheet1!S71_SubMunicipalVoteNo,$AC:$AC,Sheet1!S71_A5CapexCode,$AD:$AD)</f>
        <v>0</v>
      </c>
      <c r="H190" s="777">
        <f>SUMIFS(Sheet1!S71_AdjustmentBudAmnt,Sheet1!S71_SubMunicipalVoteNo,$AC:$AC,Sheet1!S71_A5CapexCode,$AD:$AD)</f>
        <v>0</v>
      </c>
      <c r="I190" s="778">
        <f>SUMIFS(Sheet1!CD:CD,Sheet1!S71_SubMunicipalVoteNo,$AC:$AC,Sheet1!S71_A5CapexCode,$AD:$AD)</f>
        <v>0</v>
      </c>
      <c r="J190" s="776">
        <f>SUMIFS(Sheet1!S71_ASBudgetAmount,Sheet1!S71_SubMunicipalVoteNo,$AC:$AC,Sheet1!S71_A5CapexCode,$AD:$AD)</f>
        <v>0</v>
      </c>
      <c r="K190" s="775">
        <f>SUMIFS(Sheet1!S71_OY1BudgetAmount,Sheet1!S71_SubMunicipalVoteNo,$AC:$AC,Sheet1!S71_A5CapexCode,$AD:$AD)</f>
        <v>0</v>
      </c>
      <c r="L190" s="777">
        <f>SUMIFS(Sheet1!S71_OY2BudgetAmount,Sheet1!S71_SubMunicipalVoteNo,$AC:$AC,Sheet1!S71_A5CapexCode,$AD:$AD)</f>
        <v>0</v>
      </c>
      <c r="M190" s="799"/>
      <c r="AC190" s="2312">
        <v>24</v>
      </c>
      <c r="AD190" s="2318" t="s">
        <v>2805</v>
      </c>
    </row>
    <row r="191" spans="1:30" ht="11.25" customHeight="1" x14ac:dyDescent="0.25">
      <c r="A191" s="136" t="str">
        <f t="shared" si="96"/>
        <v/>
      </c>
      <c r="B191" s="711"/>
      <c r="C191" s="775">
        <f>SUMIFS(Sheet1!S71_PPPYearAmount,Sheet1!S71_SubMunicipalVoteNo,$AC:$AC,Sheet1!S71_A5CapexCode,$AD:$AD)</f>
        <v>0</v>
      </c>
      <c r="D191" s="775">
        <f>SUMIFS(Sheet1!S71_PPYearAmount,Sheet1!S71_SubMunicipalVoteNo,$AC:$AC,Sheet1!S71_A5CapexCode,$AD:$AD)</f>
        <v>0</v>
      </c>
      <c r="E191" s="717">
        <f>SUMIFS(Sheet1!S71_PYearAmount,Sheet1!S71_SubMunicipalVoteNo,$AC:$AC,Sheet1!S71_A5CapexCode,$AD:$AD)</f>
        <v>0</v>
      </c>
      <c r="F191" s="776">
        <f>SUMIFS(Sheet1!S71_OriginalBudAmnt,Sheet1!S71_SubMunicipalVoteNo,$AC:$AC,Sheet1!S71_A5CapexCode,$AD:$AD)</f>
        <v>0</v>
      </c>
      <c r="G191" s="775">
        <f>SUMIFS(Sheet1!S71_AdjustmentBudAmnt,Sheet1!S71_SubMunicipalVoteNo,$AC:$AC,Sheet1!S71_A5CapexCode,$AD:$AD)</f>
        <v>0</v>
      </c>
      <c r="H191" s="777">
        <f>SUMIFS(Sheet1!S71_AdjustmentBudAmnt,Sheet1!S71_SubMunicipalVoteNo,$AC:$AC,Sheet1!S71_A5CapexCode,$AD:$AD)</f>
        <v>0</v>
      </c>
      <c r="I191" s="778">
        <f>SUMIFS(Sheet1!CD:CD,Sheet1!S71_SubMunicipalVoteNo,$AC:$AC,Sheet1!S71_A5CapexCode,$AD:$AD)</f>
        <v>0</v>
      </c>
      <c r="J191" s="776">
        <f>SUMIFS(Sheet1!S71_ASBudgetAmount,Sheet1!S71_SubMunicipalVoteNo,$AC:$AC,Sheet1!S71_A5CapexCode,$AD:$AD)</f>
        <v>0</v>
      </c>
      <c r="K191" s="775">
        <f>SUMIFS(Sheet1!S71_OY1BudgetAmount,Sheet1!S71_SubMunicipalVoteNo,$AC:$AC,Sheet1!S71_A5CapexCode,$AD:$AD)</f>
        <v>0</v>
      </c>
      <c r="L191" s="777">
        <f>SUMIFS(Sheet1!S71_OY2BudgetAmount,Sheet1!S71_SubMunicipalVoteNo,$AC:$AC,Sheet1!S71_A5CapexCode,$AD:$AD)</f>
        <v>0</v>
      </c>
      <c r="M191" s="799"/>
      <c r="AC191" s="2312">
        <v>25</v>
      </c>
      <c r="AD191" s="2318" t="s">
        <v>2805</v>
      </c>
    </row>
    <row r="192" spans="1:30" ht="11.25" customHeight="1" x14ac:dyDescent="0.25">
      <c r="A192" s="136" t="str">
        <f t="shared" si="96"/>
        <v/>
      </c>
      <c r="B192" s="711"/>
      <c r="C192" s="775">
        <f>SUMIFS(Sheet1!S71_PPPYearAmount,Sheet1!S71_SubMunicipalVoteNo,$AC:$AC,Sheet1!S71_A5CapexCode,$AD:$AD)</f>
        <v>0</v>
      </c>
      <c r="D192" s="775">
        <f>SUMIFS(Sheet1!S71_PPYearAmount,Sheet1!S71_SubMunicipalVoteNo,$AC:$AC,Sheet1!S71_A5CapexCode,$AD:$AD)</f>
        <v>0</v>
      </c>
      <c r="E192" s="717">
        <f>SUMIFS(Sheet1!S71_PYearAmount,Sheet1!S71_SubMunicipalVoteNo,$AC:$AC,Sheet1!S71_A5CapexCode,$AD:$AD)</f>
        <v>0</v>
      </c>
      <c r="F192" s="776">
        <f>SUMIFS(Sheet1!S71_OriginalBudAmnt,Sheet1!S71_SubMunicipalVoteNo,$AC:$AC,Sheet1!S71_A5CapexCode,$AD:$AD)</f>
        <v>0</v>
      </c>
      <c r="G192" s="775">
        <f>SUMIFS(Sheet1!S71_AdjustmentBudAmnt,Sheet1!S71_SubMunicipalVoteNo,$AC:$AC,Sheet1!S71_A5CapexCode,$AD:$AD)</f>
        <v>0</v>
      </c>
      <c r="H192" s="777">
        <f>SUMIFS(Sheet1!S71_AdjustmentBudAmnt,Sheet1!S71_SubMunicipalVoteNo,$AC:$AC,Sheet1!S71_A5CapexCode,$AD:$AD)</f>
        <v>0</v>
      </c>
      <c r="I192" s="778">
        <f>SUMIFS(Sheet1!CD:CD,Sheet1!S71_SubMunicipalVoteNo,$AC:$AC,Sheet1!S71_A5CapexCode,$AD:$AD)</f>
        <v>0</v>
      </c>
      <c r="J192" s="776">
        <f>SUMIFS(Sheet1!S71_ASBudgetAmount,Sheet1!S71_SubMunicipalVoteNo,$AC:$AC,Sheet1!S71_A5CapexCode,$AD:$AD)</f>
        <v>0</v>
      </c>
      <c r="K192" s="775">
        <f>SUMIFS(Sheet1!S71_OY1BudgetAmount,Sheet1!S71_SubMunicipalVoteNo,$AC:$AC,Sheet1!S71_A5CapexCode,$AD:$AD)</f>
        <v>0</v>
      </c>
      <c r="L192" s="777">
        <f>SUMIFS(Sheet1!S71_OY2BudgetAmount,Sheet1!S71_SubMunicipalVoteNo,$AC:$AC,Sheet1!S71_A5CapexCode,$AD:$AD)</f>
        <v>0</v>
      </c>
      <c r="M192" s="799"/>
      <c r="AC192" s="2312">
        <v>26</v>
      </c>
      <c r="AD192" s="2318" t="s">
        <v>2805</v>
      </c>
    </row>
    <row r="193" spans="1:30" ht="11.25" customHeight="1" x14ac:dyDescent="0.25">
      <c r="A193" s="136" t="str">
        <f t="shared" si="96"/>
        <v/>
      </c>
      <c r="B193" s="711"/>
      <c r="C193" s="775">
        <f>SUMIFS(Sheet1!S71_PPPYearAmount,Sheet1!S71_SubMunicipalVoteNo,$AC:$AC,Sheet1!S71_A5CapexCode,$AD:$AD)</f>
        <v>0</v>
      </c>
      <c r="D193" s="775">
        <f>SUMIFS(Sheet1!S71_PPYearAmount,Sheet1!S71_SubMunicipalVoteNo,$AC:$AC,Sheet1!S71_A5CapexCode,$AD:$AD)</f>
        <v>0</v>
      </c>
      <c r="E193" s="717">
        <f>SUMIFS(Sheet1!S71_PYearAmount,Sheet1!S71_SubMunicipalVoteNo,$AC:$AC,Sheet1!S71_A5CapexCode,$AD:$AD)</f>
        <v>0</v>
      </c>
      <c r="F193" s="776">
        <f>SUMIFS(Sheet1!S71_OriginalBudAmnt,Sheet1!S71_SubMunicipalVoteNo,$AC:$AC,Sheet1!S71_A5CapexCode,$AD:$AD)</f>
        <v>0</v>
      </c>
      <c r="G193" s="775">
        <f>SUMIFS(Sheet1!S71_AdjustmentBudAmnt,Sheet1!S71_SubMunicipalVoteNo,$AC:$AC,Sheet1!S71_A5CapexCode,$AD:$AD)</f>
        <v>0</v>
      </c>
      <c r="H193" s="777">
        <f>SUMIFS(Sheet1!S71_AdjustmentBudAmnt,Sheet1!S71_SubMunicipalVoteNo,$AC:$AC,Sheet1!S71_A5CapexCode,$AD:$AD)</f>
        <v>0</v>
      </c>
      <c r="I193" s="778">
        <f>SUMIFS(Sheet1!CD:CD,Sheet1!S71_SubMunicipalVoteNo,$AC:$AC,Sheet1!S71_A5CapexCode,$AD:$AD)</f>
        <v>0</v>
      </c>
      <c r="J193" s="776">
        <f>SUMIFS(Sheet1!S71_ASBudgetAmount,Sheet1!S71_SubMunicipalVoteNo,$AC:$AC,Sheet1!S71_A5CapexCode,$AD:$AD)</f>
        <v>0</v>
      </c>
      <c r="K193" s="775">
        <f>SUMIFS(Sheet1!S71_OY1BudgetAmount,Sheet1!S71_SubMunicipalVoteNo,$AC:$AC,Sheet1!S71_A5CapexCode,$AD:$AD)</f>
        <v>0</v>
      </c>
      <c r="L193" s="777">
        <f>SUMIFS(Sheet1!S71_OY2BudgetAmount,Sheet1!S71_SubMunicipalVoteNo,$AC:$AC,Sheet1!S71_A5CapexCode,$AD:$AD)</f>
        <v>0</v>
      </c>
      <c r="M193" s="799"/>
      <c r="AC193" s="2312">
        <v>27</v>
      </c>
      <c r="AD193" s="2318" t="s">
        <v>2805</v>
      </c>
    </row>
    <row r="194" spans="1:30" ht="13.5" x14ac:dyDescent="0.25">
      <c r="A194" s="136" t="str">
        <f t="shared" si="96"/>
        <v/>
      </c>
      <c r="B194" s="711"/>
      <c r="C194" s="775">
        <f>SUMIFS(Sheet1!S71_PPPYearAmount,Sheet1!S71_SubMunicipalVoteNo,$AC:$AC,Sheet1!S71_A5CapexCode,$AD:$AD)</f>
        <v>0</v>
      </c>
      <c r="D194" s="775">
        <f>SUMIFS(Sheet1!S71_PPYearAmount,Sheet1!S71_SubMunicipalVoteNo,$AC:$AC,Sheet1!S71_A5CapexCode,$AD:$AD)</f>
        <v>0</v>
      </c>
      <c r="E194" s="717">
        <f>SUMIFS(Sheet1!S71_PYearAmount,Sheet1!S71_SubMunicipalVoteNo,$AC:$AC,Sheet1!S71_A5CapexCode,$AD:$AD)</f>
        <v>0</v>
      </c>
      <c r="F194" s="776">
        <f>SUMIFS(Sheet1!S71_OriginalBudAmnt,Sheet1!S71_SubMunicipalVoteNo,$AC:$AC,Sheet1!S71_A5CapexCode,$AD:$AD)</f>
        <v>0</v>
      </c>
      <c r="G194" s="775">
        <f>SUMIFS(Sheet1!S71_AdjustmentBudAmnt,Sheet1!S71_SubMunicipalVoteNo,$AC:$AC,Sheet1!S71_A5CapexCode,$AD:$AD)</f>
        <v>0</v>
      </c>
      <c r="H194" s="777">
        <f>SUMIFS(Sheet1!S71_AdjustmentBudAmnt,Sheet1!S71_SubMunicipalVoteNo,$AC:$AC,Sheet1!S71_A5CapexCode,$AD:$AD)</f>
        <v>0</v>
      </c>
      <c r="I194" s="778">
        <f>SUMIFS(Sheet1!CD:CD,Sheet1!S71_SubMunicipalVoteNo,$AC:$AC,Sheet1!S71_A5CapexCode,$AD:$AD)</f>
        <v>0</v>
      </c>
      <c r="J194" s="776">
        <f>SUMIFS(Sheet1!S71_ASBudgetAmount,Sheet1!S71_SubMunicipalVoteNo,$AC:$AC,Sheet1!S71_A5CapexCode,$AD:$AD)</f>
        <v>0</v>
      </c>
      <c r="K194" s="775">
        <f>SUMIFS(Sheet1!S71_OY1BudgetAmount,Sheet1!S71_SubMunicipalVoteNo,$AC:$AC,Sheet1!S71_A5CapexCode,$AD:$AD)</f>
        <v>0</v>
      </c>
      <c r="L194" s="777">
        <f>SUMIFS(Sheet1!S71_OY2BudgetAmount,Sheet1!S71_SubMunicipalVoteNo,$AC:$AC,Sheet1!S71_A5CapexCode,$AD:$AD)</f>
        <v>0</v>
      </c>
      <c r="M194" s="799"/>
      <c r="AC194" s="2312">
        <v>28</v>
      </c>
      <c r="AD194" s="2318" t="s">
        <v>2805</v>
      </c>
    </row>
    <row r="195" spans="1:30" ht="11.25" customHeight="1" x14ac:dyDescent="0.25">
      <c r="A195" s="136" t="str">
        <f t="shared" si="96"/>
        <v/>
      </c>
      <c r="B195" s="711"/>
      <c r="C195" s="775">
        <f>SUMIFS(Sheet1!S71_PPPYearAmount,Sheet1!S71_SubMunicipalVoteNo,$AC:$AC,Sheet1!S71_A5CapexCode,$AD:$AD)</f>
        <v>0</v>
      </c>
      <c r="D195" s="775">
        <f>SUMIFS(Sheet1!S71_PPYearAmount,Sheet1!S71_SubMunicipalVoteNo,$AC:$AC,Sheet1!S71_A5CapexCode,$AD:$AD)</f>
        <v>0</v>
      </c>
      <c r="E195" s="717">
        <f>SUMIFS(Sheet1!S71_PYearAmount,Sheet1!S71_SubMunicipalVoteNo,$AC:$AC,Sheet1!S71_A5CapexCode,$AD:$AD)</f>
        <v>0</v>
      </c>
      <c r="F195" s="776">
        <f>SUMIFS(Sheet1!S71_OriginalBudAmnt,Sheet1!S71_SubMunicipalVoteNo,$AC:$AC,Sheet1!S71_A5CapexCode,$AD:$AD)</f>
        <v>0</v>
      </c>
      <c r="G195" s="775">
        <f>SUMIFS(Sheet1!S71_AdjustmentBudAmnt,Sheet1!S71_SubMunicipalVoteNo,$AC:$AC,Sheet1!S71_A5CapexCode,$AD:$AD)</f>
        <v>0</v>
      </c>
      <c r="H195" s="777">
        <f>SUMIFS(Sheet1!S71_AdjustmentBudAmnt,Sheet1!S71_SubMunicipalVoteNo,$AC:$AC,Sheet1!S71_A5CapexCode,$AD:$AD)</f>
        <v>0</v>
      </c>
      <c r="I195" s="778">
        <f>SUMIFS(Sheet1!CD:CD,Sheet1!S71_SubMunicipalVoteNo,$AC:$AC,Sheet1!S71_A5CapexCode,$AD:$AD)</f>
        <v>0</v>
      </c>
      <c r="J195" s="776">
        <f>SUMIFS(Sheet1!S71_ASBudgetAmount,Sheet1!S71_SubMunicipalVoteNo,$AC:$AC,Sheet1!S71_A5CapexCode,$AD:$AD)</f>
        <v>0</v>
      </c>
      <c r="K195" s="775">
        <f>SUMIFS(Sheet1!S71_OY1BudgetAmount,Sheet1!S71_SubMunicipalVoteNo,$AC:$AC,Sheet1!S71_A5CapexCode,$AD:$AD)</f>
        <v>0</v>
      </c>
      <c r="L195" s="777">
        <f>SUMIFS(Sheet1!S71_OY2BudgetAmount,Sheet1!S71_SubMunicipalVoteNo,$AC:$AC,Sheet1!S71_A5CapexCode,$AD:$AD)</f>
        <v>0</v>
      </c>
      <c r="M195" s="799"/>
      <c r="AC195" s="2312">
        <v>29</v>
      </c>
      <c r="AD195" s="2318" t="s">
        <v>2805</v>
      </c>
    </row>
    <row r="196" spans="1:30" ht="11.25" customHeight="1" x14ac:dyDescent="0.25">
      <c r="A196" s="136" t="str">
        <f t="shared" si="96"/>
        <v/>
      </c>
      <c r="B196" s="711"/>
      <c r="C196" s="775">
        <f>SUMIFS(Sheet1!S71_PPPYearAmount,Sheet1!S71_SubMunicipalVoteNo,$AC:$AC,Sheet1!S71_A5CapexCode,$AD:$AD)</f>
        <v>0</v>
      </c>
      <c r="D196" s="775">
        <f>SUMIFS(Sheet1!S71_PPYearAmount,Sheet1!S71_SubMunicipalVoteNo,$AC:$AC,Sheet1!S71_A5CapexCode,$AD:$AD)</f>
        <v>0</v>
      </c>
      <c r="E196" s="717">
        <f>SUMIFS(Sheet1!S71_PYearAmount,Sheet1!S71_SubMunicipalVoteNo,$AC:$AC,Sheet1!S71_A5CapexCode,$AD:$AD)</f>
        <v>0</v>
      </c>
      <c r="F196" s="776">
        <f>SUMIFS(Sheet1!S71_OriginalBudAmnt,Sheet1!S71_SubMunicipalVoteNo,$AC:$AC,Sheet1!S71_A5CapexCode,$AD:$AD)</f>
        <v>0</v>
      </c>
      <c r="G196" s="775">
        <f>SUMIFS(Sheet1!S71_AdjustmentBudAmnt,Sheet1!S71_SubMunicipalVoteNo,$AC:$AC,Sheet1!S71_A5CapexCode,$AD:$AD)</f>
        <v>0</v>
      </c>
      <c r="H196" s="777">
        <f>SUMIFS(Sheet1!S71_AdjustmentBudAmnt,Sheet1!S71_SubMunicipalVoteNo,$AC:$AC,Sheet1!S71_A5CapexCode,$AD:$AD)</f>
        <v>0</v>
      </c>
      <c r="I196" s="778">
        <f>SUMIFS(Sheet1!CD:CD,Sheet1!S71_SubMunicipalVoteNo,$AC:$AC,Sheet1!S71_A5CapexCode,$AD:$AD)</f>
        <v>0</v>
      </c>
      <c r="J196" s="776">
        <f>SUMIFS(Sheet1!S71_ASBudgetAmount,Sheet1!S71_SubMunicipalVoteNo,$AC:$AC,Sheet1!S71_A5CapexCode,$AD:$AD)</f>
        <v>0</v>
      </c>
      <c r="K196" s="775">
        <f>SUMIFS(Sheet1!S71_OY1BudgetAmount,Sheet1!S71_SubMunicipalVoteNo,$AC:$AC,Sheet1!S71_A5CapexCode,$AD:$AD)</f>
        <v>0</v>
      </c>
      <c r="L196" s="777">
        <f>SUMIFS(Sheet1!S71_OY2BudgetAmount,Sheet1!S71_SubMunicipalVoteNo,$AC:$AC,Sheet1!S71_A5CapexCode,$AD:$AD)</f>
        <v>0</v>
      </c>
      <c r="M196" s="799"/>
      <c r="AC196" s="2312">
        <v>210</v>
      </c>
      <c r="AD196" s="2318" t="s">
        <v>2805</v>
      </c>
    </row>
    <row r="197" spans="1:30" ht="15" customHeight="1" x14ac:dyDescent="0.25">
      <c r="A197" s="135" t="str">
        <f t="shared" si="96"/>
        <v>Vote 3 - Executive and Council</v>
      </c>
      <c r="B197" s="769"/>
      <c r="C197" s="212">
        <f t="shared" ref="C197:L197" si="98">SUM(C198:C207)</f>
        <v>0</v>
      </c>
      <c r="D197" s="212">
        <f t="shared" si="98"/>
        <v>0</v>
      </c>
      <c r="E197" s="213">
        <f t="shared" si="98"/>
        <v>0</v>
      </c>
      <c r="F197" s="214">
        <f t="shared" si="98"/>
        <v>0</v>
      </c>
      <c r="G197" s="212">
        <f t="shared" si="98"/>
        <v>0</v>
      </c>
      <c r="H197" s="213">
        <f t="shared" si="98"/>
        <v>0</v>
      </c>
      <c r="I197" s="215">
        <f t="shared" si="98"/>
        <v>0</v>
      </c>
      <c r="J197" s="214">
        <f t="shared" si="98"/>
        <v>0</v>
      </c>
      <c r="K197" s="212">
        <f t="shared" si="98"/>
        <v>0</v>
      </c>
      <c r="L197" s="213">
        <f t="shared" si="98"/>
        <v>0</v>
      </c>
      <c r="M197" s="799"/>
      <c r="AD197" s="2315"/>
    </row>
    <row r="198" spans="1:30" ht="11.25" customHeight="1" x14ac:dyDescent="0.25">
      <c r="A198" s="136" t="str">
        <f t="shared" si="96"/>
        <v>3.1 - Municipal Manager, Town Secretary and Chief Executive</v>
      </c>
      <c r="B198" s="711"/>
      <c r="C198" s="775">
        <f>SUMIFS(Sheet1!S71_PPPYearAmount,Sheet1!S71_SubMunicipalVoteNo,$AC:$AC,Sheet1!S71_A5CapexCode,$AD:$AD)</f>
        <v>0</v>
      </c>
      <c r="D198" s="775">
        <f>SUMIFS(Sheet1!S71_PPYearAmount,Sheet1!S71_SubMunicipalVoteNo,$AC:$AC,Sheet1!S71_A5CapexCode,$AD:$AD)</f>
        <v>0</v>
      </c>
      <c r="E198" s="717">
        <f>SUMIFS(Sheet1!S71_PYearAmount,Sheet1!S71_SubMunicipalVoteNo,$AC:$AC,Sheet1!S71_A5CapexCode,$AD:$AD)</f>
        <v>0</v>
      </c>
      <c r="F198" s="776">
        <f>SUMIFS(Sheet1!S71_OriginalBudAmnt,Sheet1!S71_SubMunicipalVoteNo,$AC:$AC,Sheet1!S71_A5CapexCode,$AD:$AD)</f>
        <v>0</v>
      </c>
      <c r="G198" s="775">
        <f>SUMIFS(Sheet1!S71_AdjustmentBudAmnt,Sheet1!S71_SubMunicipalVoteNo,$AC:$AC,Sheet1!S71_A5CapexCode,$AD:$AD)</f>
        <v>0</v>
      </c>
      <c r="H198" s="777">
        <f>SUMIFS(Sheet1!S71_AdjustmentBudAmnt,Sheet1!S71_SubMunicipalVoteNo,$AC:$AC,Sheet1!S71_A5CapexCode,$AD:$AD)</f>
        <v>0</v>
      </c>
      <c r="I198" s="778">
        <f>SUMIFS(Sheet1!CD:CD,Sheet1!S71_SubMunicipalVoteNo,$AC:$AC,Sheet1!S71_A5CapexCode,$AD:$AD)</f>
        <v>0</v>
      </c>
      <c r="J198" s="776">
        <f>SUMIFS(Sheet1!S71_ASBudgetAmount,Sheet1!S71_SubMunicipalVoteNo,$AC:$AC,Sheet1!S71_A5CapexCode,$AD:$AD)</f>
        <v>0</v>
      </c>
      <c r="K198" s="775">
        <f>SUMIFS(Sheet1!S71_OY1BudgetAmount,Sheet1!S71_SubMunicipalVoteNo,$AC:$AC,Sheet1!S71_A5CapexCode,$AD:$AD)</f>
        <v>0</v>
      </c>
      <c r="L198" s="777">
        <f>SUMIFS(Sheet1!S71_OY2BudgetAmount,Sheet1!S71_SubMunicipalVoteNo,$AC:$AC,Sheet1!S71_A5CapexCode,$AD:$AD)</f>
        <v>0</v>
      </c>
      <c r="M198" s="799"/>
      <c r="AC198" s="2312">
        <v>31</v>
      </c>
      <c r="AD198" s="2318" t="s">
        <v>2805</v>
      </c>
    </row>
    <row r="199" spans="1:30" ht="11.25" customHeight="1" x14ac:dyDescent="0.25">
      <c r="A199" s="136" t="str">
        <f t="shared" si="96"/>
        <v>3.2 - Mayor and Council</v>
      </c>
      <c r="B199" s="711"/>
      <c r="C199" s="775">
        <f>SUMIFS(Sheet1!S71_PPPYearAmount,Sheet1!S71_SubMunicipalVoteNo,$AC:$AC,Sheet1!S71_A5CapexCode,$AD:$AD)</f>
        <v>0</v>
      </c>
      <c r="D199" s="775">
        <f>SUMIFS(Sheet1!S71_PPYearAmount,Sheet1!S71_SubMunicipalVoteNo,$AC:$AC,Sheet1!S71_A5CapexCode,$AD:$AD)</f>
        <v>0</v>
      </c>
      <c r="E199" s="717">
        <f>SUMIFS(Sheet1!S71_PYearAmount,Sheet1!S71_SubMunicipalVoteNo,$AC:$AC,Sheet1!S71_A5CapexCode,$AD:$AD)</f>
        <v>0</v>
      </c>
      <c r="F199" s="776">
        <f>SUMIFS(Sheet1!S71_OriginalBudAmnt,Sheet1!S71_SubMunicipalVoteNo,$AC:$AC,Sheet1!S71_A5CapexCode,$AD:$AD)</f>
        <v>0</v>
      </c>
      <c r="G199" s="775">
        <f>SUMIFS(Sheet1!S71_AdjustmentBudAmnt,Sheet1!S71_SubMunicipalVoteNo,$AC:$AC,Sheet1!S71_A5CapexCode,$AD:$AD)</f>
        <v>0</v>
      </c>
      <c r="H199" s="777">
        <f>SUMIFS(Sheet1!S71_AdjustmentBudAmnt,Sheet1!S71_SubMunicipalVoteNo,$AC:$AC,Sheet1!S71_A5CapexCode,$AD:$AD)</f>
        <v>0</v>
      </c>
      <c r="I199" s="778">
        <f>SUMIFS(Sheet1!CD:CD,Sheet1!S71_SubMunicipalVoteNo,$AC:$AC,Sheet1!S71_A5CapexCode,$AD:$AD)</f>
        <v>0</v>
      </c>
      <c r="J199" s="776">
        <f>SUMIFS(Sheet1!S71_ASBudgetAmount,Sheet1!S71_SubMunicipalVoteNo,$AC:$AC,Sheet1!S71_A5CapexCode,$AD:$AD)</f>
        <v>0</v>
      </c>
      <c r="K199" s="775">
        <f>SUMIFS(Sheet1!S71_OY1BudgetAmount,Sheet1!S71_SubMunicipalVoteNo,$AC:$AC,Sheet1!S71_A5CapexCode,$AD:$AD)</f>
        <v>0</v>
      </c>
      <c r="L199" s="777">
        <f>SUMIFS(Sheet1!S71_OY2BudgetAmount,Sheet1!S71_SubMunicipalVoteNo,$AC:$AC,Sheet1!S71_A5CapexCode,$AD:$AD)</f>
        <v>0</v>
      </c>
      <c r="M199" s="799"/>
      <c r="AC199" s="2312">
        <v>32</v>
      </c>
      <c r="AD199" s="2318" t="s">
        <v>2805</v>
      </c>
    </row>
    <row r="200" spans="1:30" ht="11.25" customHeight="1" x14ac:dyDescent="0.25">
      <c r="A200" s="136" t="str">
        <f t="shared" si="96"/>
        <v/>
      </c>
      <c r="B200" s="711"/>
      <c r="C200" s="775">
        <f>SUMIFS(Sheet1!S71_PPPYearAmount,Sheet1!S71_SubMunicipalVoteNo,$AC:$AC,Sheet1!S71_A5CapexCode,$AD:$AD)</f>
        <v>0</v>
      </c>
      <c r="D200" s="775">
        <f>SUMIFS(Sheet1!S71_PPYearAmount,Sheet1!S71_SubMunicipalVoteNo,$AC:$AC,Sheet1!S71_A5CapexCode,$AD:$AD)</f>
        <v>0</v>
      </c>
      <c r="E200" s="717">
        <f>SUMIFS(Sheet1!S71_PYearAmount,Sheet1!S71_SubMunicipalVoteNo,$AC:$AC,Sheet1!S71_A5CapexCode,$AD:$AD)</f>
        <v>0</v>
      </c>
      <c r="F200" s="776">
        <f>SUMIFS(Sheet1!S71_OriginalBudAmnt,Sheet1!S71_SubMunicipalVoteNo,$AC:$AC,Sheet1!S71_A5CapexCode,$AD:$AD)</f>
        <v>0</v>
      </c>
      <c r="G200" s="775">
        <f>SUMIFS(Sheet1!S71_AdjustmentBudAmnt,Sheet1!S71_SubMunicipalVoteNo,$AC:$AC,Sheet1!S71_A5CapexCode,$AD:$AD)</f>
        <v>0</v>
      </c>
      <c r="H200" s="777">
        <f>SUMIFS(Sheet1!S71_AdjustmentBudAmnt,Sheet1!S71_SubMunicipalVoteNo,$AC:$AC,Sheet1!S71_A5CapexCode,$AD:$AD)</f>
        <v>0</v>
      </c>
      <c r="I200" s="778">
        <f>SUMIFS(Sheet1!CD:CD,Sheet1!S71_SubMunicipalVoteNo,$AC:$AC,Sheet1!S71_A5CapexCode,$AD:$AD)</f>
        <v>0</v>
      </c>
      <c r="J200" s="776">
        <f>SUMIFS(Sheet1!S71_ASBudgetAmount,Sheet1!S71_SubMunicipalVoteNo,$AC:$AC,Sheet1!S71_A5CapexCode,$AD:$AD)</f>
        <v>0</v>
      </c>
      <c r="K200" s="775">
        <f>SUMIFS(Sheet1!S71_OY1BudgetAmount,Sheet1!S71_SubMunicipalVoteNo,$AC:$AC,Sheet1!S71_A5CapexCode,$AD:$AD)</f>
        <v>0</v>
      </c>
      <c r="L200" s="777">
        <f>SUMIFS(Sheet1!S71_OY2BudgetAmount,Sheet1!S71_SubMunicipalVoteNo,$AC:$AC,Sheet1!S71_A5CapexCode,$AD:$AD)</f>
        <v>0</v>
      </c>
      <c r="M200" s="799"/>
      <c r="AC200" s="2312">
        <v>33</v>
      </c>
      <c r="AD200" s="2318" t="s">
        <v>2805</v>
      </c>
    </row>
    <row r="201" spans="1:30" ht="11.25" customHeight="1" x14ac:dyDescent="0.25">
      <c r="A201" s="136" t="str">
        <f t="shared" si="96"/>
        <v/>
      </c>
      <c r="B201" s="711"/>
      <c r="C201" s="775">
        <f>SUMIFS(Sheet1!S71_PPPYearAmount,Sheet1!S71_SubMunicipalVoteNo,$AC:$AC,Sheet1!S71_A5CapexCode,$AD:$AD)</f>
        <v>0</v>
      </c>
      <c r="D201" s="775">
        <f>SUMIFS(Sheet1!S71_PPYearAmount,Sheet1!S71_SubMunicipalVoteNo,$AC:$AC,Sheet1!S71_A5CapexCode,$AD:$AD)</f>
        <v>0</v>
      </c>
      <c r="E201" s="717">
        <f>SUMIFS(Sheet1!S71_PYearAmount,Sheet1!S71_SubMunicipalVoteNo,$AC:$AC,Sheet1!S71_A5CapexCode,$AD:$AD)</f>
        <v>0</v>
      </c>
      <c r="F201" s="776">
        <f>SUMIFS(Sheet1!S71_OriginalBudAmnt,Sheet1!S71_SubMunicipalVoteNo,$AC:$AC,Sheet1!S71_A5CapexCode,$AD:$AD)</f>
        <v>0</v>
      </c>
      <c r="G201" s="775">
        <f>SUMIFS(Sheet1!S71_AdjustmentBudAmnt,Sheet1!S71_SubMunicipalVoteNo,$AC:$AC,Sheet1!S71_A5CapexCode,$AD:$AD)</f>
        <v>0</v>
      </c>
      <c r="H201" s="777">
        <f>SUMIFS(Sheet1!S71_AdjustmentBudAmnt,Sheet1!S71_SubMunicipalVoteNo,$AC:$AC,Sheet1!S71_A5CapexCode,$AD:$AD)</f>
        <v>0</v>
      </c>
      <c r="I201" s="778">
        <f>SUMIFS(Sheet1!CD:CD,Sheet1!S71_SubMunicipalVoteNo,$AC:$AC,Sheet1!S71_A5CapexCode,$AD:$AD)</f>
        <v>0</v>
      </c>
      <c r="J201" s="776">
        <f>SUMIFS(Sheet1!S71_ASBudgetAmount,Sheet1!S71_SubMunicipalVoteNo,$AC:$AC,Sheet1!S71_A5CapexCode,$AD:$AD)</f>
        <v>0</v>
      </c>
      <c r="K201" s="775">
        <f>SUMIFS(Sheet1!S71_OY1BudgetAmount,Sheet1!S71_SubMunicipalVoteNo,$AC:$AC,Sheet1!S71_A5CapexCode,$AD:$AD)</f>
        <v>0</v>
      </c>
      <c r="L201" s="777">
        <f>SUMIFS(Sheet1!S71_OY2BudgetAmount,Sheet1!S71_SubMunicipalVoteNo,$AC:$AC,Sheet1!S71_A5CapexCode,$AD:$AD)</f>
        <v>0</v>
      </c>
      <c r="M201" s="799"/>
      <c r="AC201" s="2312">
        <v>34</v>
      </c>
      <c r="AD201" s="2318" t="s">
        <v>2805</v>
      </c>
    </row>
    <row r="202" spans="1:30" ht="11.25" customHeight="1" x14ac:dyDescent="0.25">
      <c r="A202" s="136" t="str">
        <f t="shared" si="96"/>
        <v/>
      </c>
      <c r="B202" s="711"/>
      <c r="C202" s="775">
        <f>SUMIFS(Sheet1!S71_PPPYearAmount,Sheet1!S71_SubMunicipalVoteNo,$AC:$AC,Sheet1!S71_A5CapexCode,$AD:$AD)</f>
        <v>0</v>
      </c>
      <c r="D202" s="775">
        <f>SUMIFS(Sheet1!S71_PPYearAmount,Sheet1!S71_SubMunicipalVoteNo,$AC:$AC,Sheet1!S71_A5CapexCode,$AD:$AD)</f>
        <v>0</v>
      </c>
      <c r="E202" s="717">
        <f>SUMIFS(Sheet1!S71_PYearAmount,Sheet1!S71_SubMunicipalVoteNo,$AC:$AC,Sheet1!S71_A5CapexCode,$AD:$AD)</f>
        <v>0</v>
      </c>
      <c r="F202" s="776">
        <f>SUMIFS(Sheet1!S71_OriginalBudAmnt,Sheet1!S71_SubMunicipalVoteNo,$AC:$AC,Sheet1!S71_A5CapexCode,$AD:$AD)</f>
        <v>0</v>
      </c>
      <c r="G202" s="775">
        <f>SUMIFS(Sheet1!S71_AdjustmentBudAmnt,Sheet1!S71_SubMunicipalVoteNo,$AC:$AC,Sheet1!S71_A5CapexCode,$AD:$AD)</f>
        <v>0</v>
      </c>
      <c r="H202" s="777">
        <f>SUMIFS(Sheet1!S71_AdjustmentBudAmnt,Sheet1!S71_SubMunicipalVoteNo,$AC:$AC,Sheet1!S71_A5CapexCode,$AD:$AD)</f>
        <v>0</v>
      </c>
      <c r="I202" s="778">
        <f>SUMIFS(Sheet1!CD:CD,Sheet1!S71_SubMunicipalVoteNo,$AC:$AC,Sheet1!S71_A5CapexCode,$AD:$AD)</f>
        <v>0</v>
      </c>
      <c r="J202" s="776">
        <f>SUMIFS(Sheet1!S71_ASBudgetAmount,Sheet1!S71_SubMunicipalVoteNo,$AC:$AC,Sheet1!S71_A5CapexCode,$AD:$AD)</f>
        <v>0</v>
      </c>
      <c r="K202" s="775">
        <f>SUMIFS(Sheet1!S71_OY1BudgetAmount,Sheet1!S71_SubMunicipalVoteNo,$AC:$AC,Sheet1!S71_A5CapexCode,$AD:$AD)</f>
        <v>0</v>
      </c>
      <c r="L202" s="777">
        <f>SUMIFS(Sheet1!S71_OY2BudgetAmount,Sheet1!S71_SubMunicipalVoteNo,$AC:$AC,Sheet1!S71_A5CapexCode,$AD:$AD)</f>
        <v>0</v>
      </c>
      <c r="M202" s="799"/>
      <c r="AC202" s="2312">
        <v>35</v>
      </c>
      <c r="AD202" s="2318" t="s">
        <v>2805</v>
      </c>
    </row>
    <row r="203" spans="1:30" ht="11.25" customHeight="1" x14ac:dyDescent="0.25">
      <c r="A203" s="136" t="str">
        <f t="shared" si="96"/>
        <v/>
      </c>
      <c r="B203" s="711"/>
      <c r="C203" s="775">
        <f>SUMIFS(Sheet1!S71_PPPYearAmount,Sheet1!S71_SubMunicipalVoteNo,$AC:$AC,Sheet1!S71_A5CapexCode,$AD:$AD)</f>
        <v>0</v>
      </c>
      <c r="D203" s="775">
        <f>SUMIFS(Sheet1!S71_PPYearAmount,Sheet1!S71_SubMunicipalVoteNo,$AC:$AC,Sheet1!S71_A5CapexCode,$AD:$AD)</f>
        <v>0</v>
      </c>
      <c r="E203" s="717">
        <f>SUMIFS(Sheet1!S71_PYearAmount,Sheet1!S71_SubMunicipalVoteNo,$AC:$AC,Sheet1!S71_A5CapexCode,$AD:$AD)</f>
        <v>0</v>
      </c>
      <c r="F203" s="776">
        <f>SUMIFS(Sheet1!S71_OriginalBudAmnt,Sheet1!S71_SubMunicipalVoteNo,$AC:$AC,Sheet1!S71_A5CapexCode,$AD:$AD)</f>
        <v>0</v>
      </c>
      <c r="G203" s="775">
        <f>SUMIFS(Sheet1!S71_AdjustmentBudAmnt,Sheet1!S71_SubMunicipalVoteNo,$AC:$AC,Sheet1!S71_A5CapexCode,$AD:$AD)</f>
        <v>0</v>
      </c>
      <c r="H203" s="777">
        <f>SUMIFS(Sheet1!S71_AdjustmentBudAmnt,Sheet1!S71_SubMunicipalVoteNo,$AC:$AC,Sheet1!S71_A5CapexCode,$AD:$AD)</f>
        <v>0</v>
      </c>
      <c r="I203" s="778">
        <f>SUMIFS(Sheet1!CD:CD,Sheet1!S71_SubMunicipalVoteNo,$AC:$AC,Sheet1!S71_A5CapexCode,$AD:$AD)</f>
        <v>0</v>
      </c>
      <c r="J203" s="776">
        <f>SUMIFS(Sheet1!S71_ASBudgetAmount,Sheet1!S71_SubMunicipalVoteNo,$AC:$AC,Sheet1!S71_A5CapexCode,$AD:$AD)</f>
        <v>0</v>
      </c>
      <c r="K203" s="775">
        <f>SUMIFS(Sheet1!S71_OY1BudgetAmount,Sheet1!S71_SubMunicipalVoteNo,$AC:$AC,Sheet1!S71_A5CapexCode,$AD:$AD)</f>
        <v>0</v>
      </c>
      <c r="L203" s="777">
        <f>SUMIFS(Sheet1!S71_OY2BudgetAmount,Sheet1!S71_SubMunicipalVoteNo,$AC:$AC,Sheet1!S71_A5CapexCode,$AD:$AD)</f>
        <v>0</v>
      </c>
      <c r="M203" s="799"/>
      <c r="AC203" s="2312">
        <v>36</v>
      </c>
      <c r="AD203" s="2318" t="s">
        <v>2805</v>
      </c>
    </row>
    <row r="204" spans="1:30" ht="13.5" x14ac:dyDescent="0.25">
      <c r="A204" s="136" t="str">
        <f t="shared" si="96"/>
        <v/>
      </c>
      <c r="B204" s="711"/>
      <c r="C204" s="775">
        <f>SUMIFS(Sheet1!S71_PPPYearAmount,Sheet1!S71_SubMunicipalVoteNo,$AC:$AC,Sheet1!S71_A5CapexCode,$AD:$AD)</f>
        <v>0</v>
      </c>
      <c r="D204" s="775">
        <f>SUMIFS(Sheet1!S71_PPYearAmount,Sheet1!S71_SubMunicipalVoteNo,$AC:$AC,Sheet1!S71_A5CapexCode,$AD:$AD)</f>
        <v>0</v>
      </c>
      <c r="E204" s="717">
        <f>SUMIFS(Sheet1!S71_PYearAmount,Sheet1!S71_SubMunicipalVoteNo,$AC:$AC,Sheet1!S71_A5CapexCode,$AD:$AD)</f>
        <v>0</v>
      </c>
      <c r="F204" s="776">
        <f>SUMIFS(Sheet1!S71_OriginalBudAmnt,Sheet1!S71_SubMunicipalVoteNo,$AC:$AC,Sheet1!S71_A5CapexCode,$AD:$AD)</f>
        <v>0</v>
      </c>
      <c r="G204" s="775">
        <f>SUMIFS(Sheet1!S71_AdjustmentBudAmnt,Sheet1!S71_SubMunicipalVoteNo,$AC:$AC,Sheet1!S71_A5CapexCode,$AD:$AD)</f>
        <v>0</v>
      </c>
      <c r="H204" s="777">
        <f>SUMIFS(Sheet1!S71_AdjustmentBudAmnt,Sheet1!S71_SubMunicipalVoteNo,$AC:$AC,Sheet1!S71_A5CapexCode,$AD:$AD)</f>
        <v>0</v>
      </c>
      <c r="I204" s="778">
        <f>SUMIFS(Sheet1!CD:CD,Sheet1!S71_SubMunicipalVoteNo,$AC:$AC,Sheet1!S71_A5CapexCode,$AD:$AD)</f>
        <v>0</v>
      </c>
      <c r="J204" s="776">
        <f>SUMIFS(Sheet1!S71_ASBudgetAmount,Sheet1!S71_SubMunicipalVoteNo,$AC:$AC,Sheet1!S71_A5CapexCode,$AD:$AD)</f>
        <v>0</v>
      </c>
      <c r="K204" s="775">
        <f>SUMIFS(Sheet1!S71_OY1BudgetAmount,Sheet1!S71_SubMunicipalVoteNo,$AC:$AC,Sheet1!S71_A5CapexCode,$AD:$AD)</f>
        <v>0</v>
      </c>
      <c r="L204" s="777">
        <f>SUMIFS(Sheet1!S71_OY2BudgetAmount,Sheet1!S71_SubMunicipalVoteNo,$AC:$AC,Sheet1!S71_A5CapexCode,$AD:$AD)</f>
        <v>0</v>
      </c>
      <c r="M204" s="799"/>
      <c r="AC204" s="2312">
        <v>37</v>
      </c>
      <c r="AD204" s="2318" t="s">
        <v>2805</v>
      </c>
    </row>
    <row r="205" spans="1:30" ht="13.5" x14ac:dyDescent="0.25">
      <c r="A205" s="136" t="str">
        <f t="shared" si="96"/>
        <v/>
      </c>
      <c r="B205" s="711"/>
      <c r="C205" s="775">
        <f>SUMIFS(Sheet1!S71_PPPYearAmount,Sheet1!S71_SubMunicipalVoteNo,$AC:$AC,Sheet1!S71_A5CapexCode,$AD:$AD)</f>
        <v>0</v>
      </c>
      <c r="D205" s="775">
        <f>SUMIFS(Sheet1!S71_PPYearAmount,Sheet1!S71_SubMunicipalVoteNo,$AC:$AC,Sheet1!S71_A5CapexCode,$AD:$AD)</f>
        <v>0</v>
      </c>
      <c r="E205" s="717">
        <f>SUMIFS(Sheet1!S71_PYearAmount,Sheet1!S71_SubMunicipalVoteNo,$AC:$AC,Sheet1!S71_A5CapexCode,$AD:$AD)</f>
        <v>0</v>
      </c>
      <c r="F205" s="776">
        <f>SUMIFS(Sheet1!S71_OriginalBudAmnt,Sheet1!S71_SubMunicipalVoteNo,$AC:$AC,Sheet1!S71_A5CapexCode,$AD:$AD)</f>
        <v>0</v>
      </c>
      <c r="G205" s="775">
        <f>SUMIFS(Sheet1!S71_AdjustmentBudAmnt,Sheet1!S71_SubMunicipalVoteNo,$AC:$AC,Sheet1!S71_A5CapexCode,$AD:$AD)</f>
        <v>0</v>
      </c>
      <c r="H205" s="777">
        <f>SUMIFS(Sheet1!S71_AdjustmentBudAmnt,Sheet1!S71_SubMunicipalVoteNo,$AC:$AC,Sheet1!S71_A5CapexCode,$AD:$AD)</f>
        <v>0</v>
      </c>
      <c r="I205" s="778">
        <f>SUMIFS(Sheet1!CD:CD,Sheet1!S71_SubMunicipalVoteNo,$AC:$AC,Sheet1!S71_A5CapexCode,$AD:$AD)</f>
        <v>0</v>
      </c>
      <c r="J205" s="776">
        <f>SUMIFS(Sheet1!S71_ASBudgetAmount,Sheet1!S71_SubMunicipalVoteNo,$AC:$AC,Sheet1!S71_A5CapexCode,$AD:$AD)</f>
        <v>0</v>
      </c>
      <c r="K205" s="775">
        <f>SUMIFS(Sheet1!S71_OY1BudgetAmount,Sheet1!S71_SubMunicipalVoteNo,$AC:$AC,Sheet1!S71_A5CapexCode,$AD:$AD)</f>
        <v>0</v>
      </c>
      <c r="L205" s="777">
        <f>SUMIFS(Sheet1!S71_OY2BudgetAmount,Sheet1!S71_SubMunicipalVoteNo,$AC:$AC,Sheet1!S71_A5CapexCode,$AD:$AD)</f>
        <v>0</v>
      </c>
      <c r="M205" s="799"/>
      <c r="AC205" s="2312">
        <v>38</v>
      </c>
      <c r="AD205" s="2318" t="s">
        <v>2805</v>
      </c>
    </row>
    <row r="206" spans="1:30" ht="11.25" customHeight="1" x14ac:dyDescent="0.25">
      <c r="A206" s="136" t="str">
        <f t="shared" si="96"/>
        <v/>
      </c>
      <c r="B206" s="711"/>
      <c r="C206" s="775">
        <f>SUMIFS(Sheet1!S71_PPPYearAmount,Sheet1!S71_SubMunicipalVoteNo,$AC:$AC,Sheet1!S71_A5CapexCode,$AD:$AD)</f>
        <v>0</v>
      </c>
      <c r="D206" s="775">
        <f>SUMIFS(Sheet1!S71_PPYearAmount,Sheet1!S71_SubMunicipalVoteNo,$AC:$AC,Sheet1!S71_A5CapexCode,$AD:$AD)</f>
        <v>0</v>
      </c>
      <c r="E206" s="717">
        <f>SUMIFS(Sheet1!S71_PYearAmount,Sheet1!S71_SubMunicipalVoteNo,$AC:$AC,Sheet1!S71_A5CapexCode,$AD:$AD)</f>
        <v>0</v>
      </c>
      <c r="F206" s="776">
        <f>SUMIFS(Sheet1!S71_OriginalBudAmnt,Sheet1!S71_SubMunicipalVoteNo,$AC:$AC,Sheet1!S71_A5CapexCode,$AD:$AD)</f>
        <v>0</v>
      </c>
      <c r="G206" s="775">
        <f>SUMIFS(Sheet1!S71_AdjustmentBudAmnt,Sheet1!S71_SubMunicipalVoteNo,$AC:$AC,Sheet1!S71_A5CapexCode,$AD:$AD)</f>
        <v>0</v>
      </c>
      <c r="H206" s="777">
        <f>SUMIFS(Sheet1!S71_AdjustmentBudAmnt,Sheet1!S71_SubMunicipalVoteNo,$AC:$AC,Sheet1!S71_A5CapexCode,$AD:$AD)</f>
        <v>0</v>
      </c>
      <c r="I206" s="778">
        <f>SUMIFS(Sheet1!CD:CD,Sheet1!S71_SubMunicipalVoteNo,$AC:$AC,Sheet1!S71_A5CapexCode,$AD:$AD)</f>
        <v>0</v>
      </c>
      <c r="J206" s="776">
        <f>SUMIFS(Sheet1!S71_ASBudgetAmount,Sheet1!S71_SubMunicipalVoteNo,$AC:$AC,Sheet1!S71_A5CapexCode,$AD:$AD)</f>
        <v>0</v>
      </c>
      <c r="K206" s="775">
        <f>SUMIFS(Sheet1!S71_OY1BudgetAmount,Sheet1!S71_SubMunicipalVoteNo,$AC:$AC,Sheet1!S71_A5CapexCode,$AD:$AD)</f>
        <v>0</v>
      </c>
      <c r="L206" s="777">
        <f>SUMIFS(Sheet1!S71_OY2BudgetAmount,Sheet1!S71_SubMunicipalVoteNo,$AC:$AC,Sheet1!S71_A5CapexCode,$AD:$AD)</f>
        <v>0</v>
      </c>
      <c r="M206" s="799"/>
      <c r="AC206" s="2312">
        <v>39</v>
      </c>
      <c r="AD206" s="2318" t="s">
        <v>2805</v>
      </c>
    </row>
    <row r="207" spans="1:30" ht="13.5" x14ac:dyDescent="0.25">
      <c r="A207" s="136" t="str">
        <f t="shared" si="96"/>
        <v/>
      </c>
      <c r="B207" s="711"/>
      <c r="C207" s="775">
        <f>SUMIFS(Sheet1!S71_PPPYearAmount,Sheet1!S71_SubMunicipalVoteNo,$AC:$AC,Sheet1!S71_A5CapexCode,$AD:$AD)</f>
        <v>0</v>
      </c>
      <c r="D207" s="775">
        <f>SUMIFS(Sheet1!S71_PPYearAmount,Sheet1!S71_SubMunicipalVoteNo,$AC:$AC,Sheet1!S71_A5CapexCode,$AD:$AD)</f>
        <v>0</v>
      </c>
      <c r="E207" s="717">
        <f>SUMIFS(Sheet1!S71_PYearAmount,Sheet1!S71_SubMunicipalVoteNo,$AC:$AC,Sheet1!S71_A5CapexCode,$AD:$AD)</f>
        <v>0</v>
      </c>
      <c r="F207" s="776">
        <f>SUMIFS(Sheet1!S71_OriginalBudAmnt,Sheet1!S71_SubMunicipalVoteNo,$AC:$AC,Sheet1!S71_A5CapexCode,$AD:$AD)</f>
        <v>0</v>
      </c>
      <c r="G207" s="775">
        <f>SUMIFS(Sheet1!S71_AdjustmentBudAmnt,Sheet1!S71_SubMunicipalVoteNo,$AC:$AC,Sheet1!S71_A5CapexCode,$AD:$AD)</f>
        <v>0</v>
      </c>
      <c r="H207" s="777">
        <f>SUMIFS(Sheet1!S71_AdjustmentBudAmnt,Sheet1!S71_SubMunicipalVoteNo,$AC:$AC,Sheet1!S71_A5CapexCode,$AD:$AD)</f>
        <v>0</v>
      </c>
      <c r="I207" s="778">
        <f>SUMIFS(Sheet1!CD:CD,Sheet1!S71_SubMunicipalVoteNo,$AC:$AC,Sheet1!S71_A5CapexCode,$AD:$AD)</f>
        <v>0</v>
      </c>
      <c r="J207" s="776">
        <f>SUMIFS(Sheet1!S71_ASBudgetAmount,Sheet1!S71_SubMunicipalVoteNo,$AC:$AC,Sheet1!S71_A5CapexCode,$AD:$AD)</f>
        <v>0</v>
      </c>
      <c r="K207" s="775">
        <f>SUMIFS(Sheet1!S71_OY1BudgetAmount,Sheet1!S71_SubMunicipalVoteNo,$AC:$AC,Sheet1!S71_A5CapexCode,$AD:$AD)</f>
        <v>0</v>
      </c>
      <c r="L207" s="777">
        <f>SUMIFS(Sheet1!S71_OY2BudgetAmount,Sheet1!S71_SubMunicipalVoteNo,$AC:$AC,Sheet1!S71_A5CapexCode,$AD:$AD)</f>
        <v>0</v>
      </c>
      <c r="M207" s="799"/>
      <c r="AC207" s="2312">
        <v>310</v>
      </c>
      <c r="AD207" s="2318" t="s">
        <v>2805</v>
      </c>
    </row>
    <row r="208" spans="1:30" ht="15" customHeight="1" x14ac:dyDescent="0.25">
      <c r="A208" s="135" t="str">
        <f t="shared" si="96"/>
        <v>Vote 4 - Community and Social Services</v>
      </c>
      <c r="B208" s="769"/>
      <c r="C208" s="212">
        <f t="shared" ref="C208:L208" si="99">SUM(C209:C218)</f>
        <v>3732920</v>
      </c>
      <c r="D208" s="212">
        <f t="shared" si="99"/>
        <v>0</v>
      </c>
      <c r="E208" s="213">
        <f t="shared" si="99"/>
        <v>0</v>
      </c>
      <c r="F208" s="787">
        <f t="shared" si="99"/>
        <v>1538516</v>
      </c>
      <c r="G208" s="212">
        <f t="shared" si="99"/>
        <v>2045598</v>
      </c>
      <c r="H208" s="213">
        <f t="shared" si="99"/>
        <v>2045598</v>
      </c>
      <c r="I208" s="215">
        <f t="shared" si="99"/>
        <v>124175</v>
      </c>
      <c r="J208" s="214">
        <f t="shared" si="99"/>
        <v>0</v>
      </c>
      <c r="K208" s="212">
        <f t="shared" si="99"/>
        <v>0</v>
      </c>
      <c r="L208" s="788">
        <f t="shared" si="99"/>
        <v>0</v>
      </c>
      <c r="M208" s="799"/>
      <c r="AD208" s="2315"/>
    </row>
    <row r="209" spans="1:30" ht="13.5" x14ac:dyDescent="0.25">
      <c r="A209" s="136" t="str">
        <f t="shared" si="96"/>
        <v>4.1 - Disaster Management</v>
      </c>
      <c r="B209" s="711"/>
      <c r="C209" s="775">
        <f>SUMIFS(Sheet1!S71_PPPYearAmount,Sheet1!S71_SubMunicipalVoteNo,$AC:$AC,Sheet1!S71_A5CapexCode,$AD:$AD)</f>
        <v>0</v>
      </c>
      <c r="D209" s="775">
        <f>SUMIFS(Sheet1!S71_PPYearAmount,Sheet1!S71_SubMunicipalVoteNo,$AC:$AC,Sheet1!S71_A5CapexCode,$AD:$AD)</f>
        <v>0</v>
      </c>
      <c r="E209" s="717">
        <f>SUMIFS(Sheet1!S71_PYearAmount,Sheet1!S71_SubMunicipalVoteNo,$AC:$AC,Sheet1!S71_A5CapexCode,$AD:$AD)</f>
        <v>0</v>
      </c>
      <c r="F209" s="776">
        <f>SUMIFS(Sheet1!S71_OriginalBudAmnt,Sheet1!S71_SubMunicipalVoteNo,$AC:$AC,Sheet1!S71_A5CapexCode,$AD:$AD)</f>
        <v>0</v>
      </c>
      <c r="G209" s="775">
        <f>SUMIFS(Sheet1!S71_AdjustmentBudAmnt,Sheet1!S71_SubMunicipalVoteNo,$AC:$AC,Sheet1!S71_A5CapexCode,$AD:$AD)</f>
        <v>0</v>
      </c>
      <c r="H209" s="777">
        <f>SUMIFS(Sheet1!S71_AdjustmentBudAmnt,Sheet1!S71_SubMunicipalVoteNo,$AC:$AC,Sheet1!S71_A5CapexCode,$AD:$AD)</f>
        <v>0</v>
      </c>
      <c r="I209" s="778">
        <f>SUMIFS(Sheet1!CD:CD,Sheet1!S71_SubMunicipalVoteNo,$AC:$AC,Sheet1!S71_A5CapexCode,$AD:$AD)</f>
        <v>0</v>
      </c>
      <c r="J209" s="776">
        <f>SUMIFS(Sheet1!S71_ASBudgetAmount,Sheet1!S71_SubMunicipalVoteNo,$AC:$AC,Sheet1!S71_A5CapexCode,$AD:$AD)</f>
        <v>0</v>
      </c>
      <c r="K209" s="775">
        <f>SUMIFS(Sheet1!S71_OY1BudgetAmount,Sheet1!S71_SubMunicipalVoteNo,$AC:$AC,Sheet1!S71_A5CapexCode,$AD:$AD)</f>
        <v>0</v>
      </c>
      <c r="L209" s="777">
        <f>SUMIFS(Sheet1!S71_OY2BudgetAmount,Sheet1!S71_SubMunicipalVoteNo,$AC:$AC,Sheet1!S71_A5CapexCode,$AD:$AD)</f>
        <v>0</v>
      </c>
      <c r="M209" s="799"/>
      <c r="AC209" s="2312">
        <v>41</v>
      </c>
      <c r="AD209" s="2318" t="s">
        <v>2805</v>
      </c>
    </row>
    <row r="210" spans="1:30" ht="13.5" x14ac:dyDescent="0.25">
      <c r="A210" s="136" t="str">
        <f t="shared" si="96"/>
        <v>4.2 - Libraries and Archives</v>
      </c>
      <c r="B210" s="711"/>
      <c r="C210" s="775">
        <f>SUMIFS(Sheet1!S71_PPPYearAmount,Sheet1!S71_SubMunicipalVoteNo,$AC:$AC,Sheet1!S71_A5CapexCode,$AD:$AD)</f>
        <v>0</v>
      </c>
      <c r="D210" s="775">
        <f>SUMIFS(Sheet1!S71_PPYearAmount,Sheet1!S71_SubMunicipalVoteNo,$AC:$AC,Sheet1!S71_A5CapexCode,$AD:$AD)</f>
        <v>0</v>
      </c>
      <c r="E210" s="717">
        <f>SUMIFS(Sheet1!S71_PYearAmount,Sheet1!S71_SubMunicipalVoteNo,$AC:$AC,Sheet1!S71_A5CapexCode,$AD:$AD)</f>
        <v>0</v>
      </c>
      <c r="F210" s="776">
        <f>SUMIFS(Sheet1!S71_OriginalBudAmnt,Sheet1!S71_SubMunicipalVoteNo,$AC:$AC,Sheet1!S71_A5CapexCode,$AD:$AD)</f>
        <v>0</v>
      </c>
      <c r="G210" s="775">
        <f>SUMIFS(Sheet1!S71_AdjustmentBudAmnt,Sheet1!S71_SubMunicipalVoteNo,$AC:$AC,Sheet1!S71_A5CapexCode,$AD:$AD)</f>
        <v>0</v>
      </c>
      <c r="H210" s="777">
        <f>SUMIFS(Sheet1!S71_AdjustmentBudAmnt,Sheet1!S71_SubMunicipalVoteNo,$AC:$AC,Sheet1!S71_A5CapexCode,$AD:$AD)</f>
        <v>0</v>
      </c>
      <c r="I210" s="778">
        <f>SUMIFS(Sheet1!CD:CD,Sheet1!S71_SubMunicipalVoteNo,$AC:$AC,Sheet1!S71_A5CapexCode,$AD:$AD)</f>
        <v>0</v>
      </c>
      <c r="J210" s="776">
        <f>SUMIFS(Sheet1!S71_ASBudgetAmount,Sheet1!S71_SubMunicipalVoteNo,$AC:$AC,Sheet1!S71_A5CapexCode,$AD:$AD)</f>
        <v>0</v>
      </c>
      <c r="K210" s="775">
        <f>SUMIFS(Sheet1!S71_OY1BudgetAmount,Sheet1!S71_SubMunicipalVoteNo,$AC:$AC,Sheet1!S71_A5CapexCode,$AD:$AD)</f>
        <v>0</v>
      </c>
      <c r="L210" s="777">
        <f>SUMIFS(Sheet1!S71_OY2BudgetAmount,Sheet1!S71_SubMunicipalVoteNo,$AC:$AC,Sheet1!S71_A5CapexCode,$AD:$AD)</f>
        <v>0</v>
      </c>
      <c r="M210" s="799"/>
      <c r="AC210" s="2312">
        <v>42</v>
      </c>
      <c r="AD210" s="2318" t="s">
        <v>2805</v>
      </c>
    </row>
    <row r="211" spans="1:30" ht="11.25" customHeight="1" x14ac:dyDescent="0.25">
      <c r="A211" s="136" t="str">
        <f t="shared" si="96"/>
        <v>4.3 - Population Development</v>
      </c>
      <c r="B211" s="711"/>
      <c r="C211" s="775">
        <f>SUMIFS(Sheet1!S71_PPPYearAmount,Sheet1!S71_SubMunicipalVoteNo,$AC:$AC,Sheet1!S71_A5CapexCode,$AD:$AD)</f>
        <v>0</v>
      </c>
      <c r="D211" s="775">
        <f>SUMIFS(Sheet1!S71_PPYearAmount,Sheet1!S71_SubMunicipalVoteNo,$AC:$AC,Sheet1!S71_A5CapexCode,$AD:$AD)</f>
        <v>0</v>
      </c>
      <c r="E211" s="717">
        <f>SUMIFS(Sheet1!S71_PYearAmount,Sheet1!S71_SubMunicipalVoteNo,$AC:$AC,Sheet1!S71_A5CapexCode,$AD:$AD)</f>
        <v>0</v>
      </c>
      <c r="F211" s="776">
        <f>SUMIFS(Sheet1!S71_OriginalBudAmnt,Sheet1!S71_SubMunicipalVoteNo,$AC:$AC,Sheet1!S71_A5CapexCode,$AD:$AD)</f>
        <v>0</v>
      </c>
      <c r="G211" s="775">
        <f>SUMIFS(Sheet1!S71_AdjustmentBudAmnt,Sheet1!S71_SubMunicipalVoteNo,$AC:$AC,Sheet1!S71_A5CapexCode,$AD:$AD)</f>
        <v>0</v>
      </c>
      <c r="H211" s="777">
        <f>SUMIFS(Sheet1!S71_AdjustmentBudAmnt,Sheet1!S71_SubMunicipalVoteNo,$AC:$AC,Sheet1!S71_A5CapexCode,$AD:$AD)</f>
        <v>0</v>
      </c>
      <c r="I211" s="778">
        <f>SUMIFS(Sheet1!CD:CD,Sheet1!S71_SubMunicipalVoteNo,$AC:$AC,Sheet1!S71_A5CapexCode,$AD:$AD)</f>
        <v>0</v>
      </c>
      <c r="J211" s="776">
        <f>SUMIFS(Sheet1!S71_ASBudgetAmount,Sheet1!S71_SubMunicipalVoteNo,$AC:$AC,Sheet1!S71_A5CapexCode,$AD:$AD)</f>
        <v>0</v>
      </c>
      <c r="K211" s="775">
        <f>SUMIFS(Sheet1!S71_OY1BudgetAmount,Sheet1!S71_SubMunicipalVoteNo,$AC:$AC,Sheet1!S71_A5CapexCode,$AD:$AD)</f>
        <v>0</v>
      </c>
      <c r="L211" s="777">
        <f>SUMIFS(Sheet1!S71_OY2BudgetAmount,Sheet1!S71_SubMunicipalVoteNo,$AC:$AC,Sheet1!S71_A5CapexCode,$AD:$AD)</f>
        <v>0</v>
      </c>
      <c r="M211" s="799"/>
      <c r="AC211" s="2312">
        <v>43</v>
      </c>
      <c r="AD211" s="2318" t="s">
        <v>2805</v>
      </c>
    </row>
    <row r="212" spans="1:30" s="800" customFormat="1" ht="11.25" customHeight="1" x14ac:dyDescent="0.25">
      <c r="A212" s="136" t="str">
        <f t="shared" si="96"/>
        <v>4.4 - Cultural Matters</v>
      </c>
      <c r="B212" s="711"/>
      <c r="C212" s="775">
        <f>SUMIFS(Sheet1!S71_PPPYearAmount,Sheet1!S71_SubMunicipalVoteNo,$AC:$AC,Sheet1!S71_A5CapexCode,$AD:$AD)</f>
        <v>0</v>
      </c>
      <c r="D212" s="775">
        <f>SUMIFS(Sheet1!S71_PPYearAmount,Sheet1!S71_SubMunicipalVoteNo,$AC:$AC,Sheet1!S71_A5CapexCode,$AD:$AD)</f>
        <v>0</v>
      </c>
      <c r="E212" s="717">
        <f>SUMIFS(Sheet1!S71_PYearAmount,Sheet1!S71_SubMunicipalVoteNo,$AC:$AC,Sheet1!S71_A5CapexCode,$AD:$AD)</f>
        <v>0</v>
      </c>
      <c r="F212" s="776">
        <f>SUMIFS(Sheet1!S71_OriginalBudAmnt,Sheet1!S71_SubMunicipalVoteNo,$AC:$AC,Sheet1!S71_A5CapexCode,$AD:$AD)</f>
        <v>0</v>
      </c>
      <c r="G212" s="775">
        <f>SUMIFS(Sheet1!S71_AdjustmentBudAmnt,Sheet1!S71_SubMunicipalVoteNo,$AC:$AC,Sheet1!S71_A5CapexCode,$AD:$AD)</f>
        <v>0</v>
      </c>
      <c r="H212" s="777">
        <f>SUMIFS(Sheet1!S71_AdjustmentBudAmnt,Sheet1!S71_SubMunicipalVoteNo,$AC:$AC,Sheet1!S71_A5CapexCode,$AD:$AD)</f>
        <v>0</v>
      </c>
      <c r="I212" s="778">
        <f>SUMIFS(Sheet1!CD:CD,Sheet1!S71_SubMunicipalVoteNo,$AC:$AC,Sheet1!S71_A5CapexCode,$AD:$AD)</f>
        <v>0</v>
      </c>
      <c r="J212" s="776">
        <f>SUMIFS(Sheet1!S71_ASBudgetAmount,Sheet1!S71_SubMunicipalVoteNo,$AC:$AC,Sheet1!S71_A5CapexCode,$AD:$AD)</f>
        <v>0</v>
      </c>
      <c r="K212" s="775">
        <f>SUMIFS(Sheet1!S71_OY1BudgetAmount,Sheet1!S71_SubMunicipalVoteNo,$AC:$AC,Sheet1!S71_A5CapexCode,$AD:$AD)</f>
        <v>0</v>
      </c>
      <c r="L212" s="777">
        <f>SUMIFS(Sheet1!S71_OY2BudgetAmount,Sheet1!S71_SubMunicipalVoteNo,$AC:$AC,Sheet1!S71_A5CapexCode,$AD:$AD)</f>
        <v>0</v>
      </c>
      <c r="M212" s="799"/>
      <c r="AC212" s="2312">
        <v>44</v>
      </c>
      <c r="AD212" s="2318" t="s">
        <v>2805</v>
      </c>
    </row>
    <row r="213" spans="1:30" s="800" customFormat="1" ht="11.25" customHeight="1" x14ac:dyDescent="0.25">
      <c r="A213" s="136" t="str">
        <f t="shared" si="96"/>
        <v>4.5 - Indigenous and Customary Law</v>
      </c>
      <c r="B213" s="711"/>
      <c r="C213" s="775">
        <f>SUMIFS(Sheet1!S71_PPPYearAmount,Sheet1!S71_SubMunicipalVoteNo,$AC:$AC,Sheet1!S71_A5CapexCode,$AD:$AD)</f>
        <v>0</v>
      </c>
      <c r="D213" s="775">
        <f>SUMIFS(Sheet1!S71_PPYearAmount,Sheet1!S71_SubMunicipalVoteNo,$AC:$AC,Sheet1!S71_A5CapexCode,$AD:$AD)</f>
        <v>0</v>
      </c>
      <c r="E213" s="717">
        <f>SUMIFS(Sheet1!S71_PYearAmount,Sheet1!S71_SubMunicipalVoteNo,$AC:$AC,Sheet1!S71_A5CapexCode,$AD:$AD)</f>
        <v>0</v>
      </c>
      <c r="F213" s="776">
        <f>SUMIFS(Sheet1!S71_OriginalBudAmnt,Sheet1!S71_SubMunicipalVoteNo,$AC:$AC,Sheet1!S71_A5CapexCode,$AD:$AD)</f>
        <v>0</v>
      </c>
      <c r="G213" s="775">
        <f>SUMIFS(Sheet1!S71_AdjustmentBudAmnt,Sheet1!S71_SubMunicipalVoteNo,$AC:$AC,Sheet1!S71_A5CapexCode,$AD:$AD)</f>
        <v>0</v>
      </c>
      <c r="H213" s="777">
        <f>SUMIFS(Sheet1!S71_AdjustmentBudAmnt,Sheet1!S71_SubMunicipalVoteNo,$AC:$AC,Sheet1!S71_A5CapexCode,$AD:$AD)</f>
        <v>0</v>
      </c>
      <c r="I213" s="778">
        <f>SUMIFS(Sheet1!CD:CD,Sheet1!S71_SubMunicipalVoteNo,$AC:$AC,Sheet1!S71_A5CapexCode,$AD:$AD)</f>
        <v>0</v>
      </c>
      <c r="J213" s="776">
        <f>SUMIFS(Sheet1!S71_ASBudgetAmount,Sheet1!S71_SubMunicipalVoteNo,$AC:$AC,Sheet1!S71_A5CapexCode,$AD:$AD)</f>
        <v>0</v>
      </c>
      <c r="K213" s="775">
        <f>SUMIFS(Sheet1!S71_OY1BudgetAmount,Sheet1!S71_SubMunicipalVoteNo,$AC:$AC,Sheet1!S71_A5CapexCode,$AD:$AD)</f>
        <v>0</v>
      </c>
      <c r="L213" s="777">
        <f>SUMIFS(Sheet1!S71_OY2BudgetAmount,Sheet1!S71_SubMunicipalVoteNo,$AC:$AC,Sheet1!S71_A5CapexCode,$AD:$AD)</f>
        <v>0</v>
      </c>
      <c r="M213" s="799"/>
      <c r="AC213" s="2312">
        <v>45</v>
      </c>
      <c r="AD213" s="2318" t="s">
        <v>2805</v>
      </c>
    </row>
    <row r="214" spans="1:30" ht="11.25" customHeight="1" x14ac:dyDescent="0.25">
      <c r="A214" s="136" t="str">
        <f t="shared" si="96"/>
        <v>4.6 - Industrial Promotion</v>
      </c>
      <c r="B214" s="711"/>
      <c r="C214" s="775">
        <f>SUMIFS(Sheet1!S71_PPPYearAmount,Sheet1!S71_SubMunicipalVoteNo,$AC:$AC,Sheet1!S71_A5CapexCode,$AD:$AD)</f>
        <v>0</v>
      </c>
      <c r="D214" s="775">
        <f>SUMIFS(Sheet1!S71_PPYearAmount,Sheet1!S71_SubMunicipalVoteNo,$AC:$AC,Sheet1!S71_A5CapexCode,$AD:$AD)</f>
        <v>0</v>
      </c>
      <c r="E214" s="717">
        <f>SUMIFS(Sheet1!S71_PYearAmount,Sheet1!S71_SubMunicipalVoteNo,$AC:$AC,Sheet1!S71_A5CapexCode,$AD:$AD)</f>
        <v>0</v>
      </c>
      <c r="F214" s="776">
        <f>SUMIFS(Sheet1!S71_OriginalBudAmnt,Sheet1!S71_SubMunicipalVoteNo,$AC:$AC,Sheet1!S71_A5CapexCode,$AD:$AD)</f>
        <v>0</v>
      </c>
      <c r="G214" s="775">
        <f>SUMIFS(Sheet1!S71_AdjustmentBudAmnt,Sheet1!S71_SubMunicipalVoteNo,$AC:$AC,Sheet1!S71_A5CapexCode,$AD:$AD)</f>
        <v>0</v>
      </c>
      <c r="H214" s="777">
        <f>SUMIFS(Sheet1!S71_AdjustmentBudAmnt,Sheet1!S71_SubMunicipalVoteNo,$AC:$AC,Sheet1!S71_A5CapexCode,$AD:$AD)</f>
        <v>0</v>
      </c>
      <c r="I214" s="778">
        <f>SUMIFS(Sheet1!CD:CD,Sheet1!S71_SubMunicipalVoteNo,$AC:$AC,Sheet1!S71_A5CapexCode,$AD:$AD)</f>
        <v>0</v>
      </c>
      <c r="J214" s="776">
        <f>SUMIFS(Sheet1!S71_ASBudgetAmount,Sheet1!S71_SubMunicipalVoteNo,$AC:$AC,Sheet1!S71_A5CapexCode,$AD:$AD)</f>
        <v>0</v>
      </c>
      <c r="K214" s="775">
        <f>SUMIFS(Sheet1!S71_OY1BudgetAmount,Sheet1!S71_SubMunicipalVoteNo,$AC:$AC,Sheet1!S71_A5CapexCode,$AD:$AD)</f>
        <v>0</v>
      </c>
      <c r="L214" s="777">
        <f>SUMIFS(Sheet1!S71_OY2BudgetAmount,Sheet1!S71_SubMunicipalVoteNo,$AC:$AC,Sheet1!S71_A5CapexCode,$AD:$AD)</f>
        <v>0</v>
      </c>
      <c r="M214" s="799"/>
      <c r="AC214" s="2312">
        <v>46</v>
      </c>
      <c r="AD214" s="2318" t="s">
        <v>2805</v>
      </c>
    </row>
    <row r="215" spans="1:30" ht="11.25" customHeight="1" x14ac:dyDescent="0.25">
      <c r="A215" s="136" t="str">
        <f t="shared" si="96"/>
        <v>4.7 - Agricultural</v>
      </c>
      <c r="B215" s="711"/>
      <c r="C215" s="775">
        <f>SUMIFS(Sheet1!S71_PPPYearAmount,Sheet1!S71_SubMunicipalVoteNo,$AC:$AC,Sheet1!S71_A5CapexCode,$AD:$AD)</f>
        <v>0</v>
      </c>
      <c r="D215" s="775">
        <f>SUMIFS(Sheet1!S71_PPYearAmount,Sheet1!S71_SubMunicipalVoteNo,$AC:$AC,Sheet1!S71_A5CapexCode,$AD:$AD)</f>
        <v>0</v>
      </c>
      <c r="E215" s="717">
        <f>SUMIFS(Sheet1!S71_PYearAmount,Sheet1!S71_SubMunicipalVoteNo,$AC:$AC,Sheet1!S71_A5CapexCode,$AD:$AD)</f>
        <v>0</v>
      </c>
      <c r="F215" s="776">
        <f>SUMIFS(Sheet1!S71_OriginalBudAmnt,Sheet1!S71_SubMunicipalVoteNo,$AC:$AC,Sheet1!S71_A5CapexCode,$AD:$AD)</f>
        <v>0</v>
      </c>
      <c r="G215" s="775">
        <f>SUMIFS(Sheet1!S71_AdjustmentBudAmnt,Sheet1!S71_SubMunicipalVoteNo,$AC:$AC,Sheet1!S71_A5CapexCode,$AD:$AD)</f>
        <v>0</v>
      </c>
      <c r="H215" s="777">
        <f>SUMIFS(Sheet1!S71_AdjustmentBudAmnt,Sheet1!S71_SubMunicipalVoteNo,$AC:$AC,Sheet1!S71_A5CapexCode,$AD:$AD)</f>
        <v>0</v>
      </c>
      <c r="I215" s="778">
        <f>SUMIFS(Sheet1!CD:CD,Sheet1!S71_SubMunicipalVoteNo,$AC:$AC,Sheet1!S71_A5CapexCode,$AD:$AD)</f>
        <v>0</v>
      </c>
      <c r="J215" s="776">
        <f>SUMIFS(Sheet1!S71_ASBudgetAmount,Sheet1!S71_SubMunicipalVoteNo,$AC:$AC,Sheet1!S71_A5CapexCode,$AD:$AD)</f>
        <v>0</v>
      </c>
      <c r="K215" s="775">
        <f>SUMIFS(Sheet1!S71_OY1BudgetAmount,Sheet1!S71_SubMunicipalVoteNo,$AC:$AC,Sheet1!S71_A5CapexCode,$AD:$AD)</f>
        <v>0</v>
      </c>
      <c r="L215" s="777">
        <f>SUMIFS(Sheet1!S71_OY2BudgetAmount,Sheet1!S71_SubMunicipalVoteNo,$AC:$AC,Sheet1!S71_A5CapexCode,$AD:$AD)</f>
        <v>0</v>
      </c>
      <c r="M215" s="799"/>
      <c r="AC215" s="2312">
        <v>47</v>
      </c>
      <c r="AD215" s="2318" t="s">
        <v>2805</v>
      </c>
    </row>
    <row r="216" spans="1:30" ht="11.25" customHeight="1" x14ac:dyDescent="0.25">
      <c r="A216" s="136" t="str">
        <f t="shared" si="96"/>
        <v>4.8 - Aged Care</v>
      </c>
      <c r="B216" s="711"/>
      <c r="C216" s="775">
        <f>SUMIFS(Sheet1!S71_PPPYearAmount,Sheet1!S71_SubMunicipalVoteNo,$AC:$AC,Sheet1!S71_A5CapexCode,$AD:$AD)</f>
        <v>0</v>
      </c>
      <c r="D216" s="775">
        <f>SUMIFS(Sheet1!S71_PPYearAmount,Sheet1!S71_SubMunicipalVoteNo,$AC:$AC,Sheet1!S71_A5CapexCode,$AD:$AD)</f>
        <v>0</v>
      </c>
      <c r="E216" s="717">
        <f>SUMIFS(Sheet1!S71_PYearAmount,Sheet1!S71_SubMunicipalVoteNo,$AC:$AC,Sheet1!S71_A5CapexCode,$AD:$AD)</f>
        <v>0</v>
      </c>
      <c r="F216" s="776">
        <f>SUMIFS(Sheet1!S71_OriginalBudAmnt,Sheet1!S71_SubMunicipalVoteNo,$AC:$AC,Sheet1!S71_A5CapexCode,$AD:$AD)</f>
        <v>0</v>
      </c>
      <c r="G216" s="775">
        <f>SUMIFS(Sheet1!S71_AdjustmentBudAmnt,Sheet1!S71_SubMunicipalVoteNo,$AC:$AC,Sheet1!S71_A5CapexCode,$AD:$AD)</f>
        <v>0</v>
      </c>
      <c r="H216" s="777">
        <f>SUMIFS(Sheet1!S71_AdjustmentBudAmnt,Sheet1!S71_SubMunicipalVoteNo,$AC:$AC,Sheet1!S71_A5CapexCode,$AD:$AD)</f>
        <v>0</v>
      </c>
      <c r="I216" s="778">
        <f>SUMIFS(Sheet1!CD:CD,Sheet1!S71_SubMunicipalVoteNo,$AC:$AC,Sheet1!S71_A5CapexCode,$AD:$AD)</f>
        <v>0</v>
      </c>
      <c r="J216" s="776">
        <f>SUMIFS(Sheet1!S71_ASBudgetAmount,Sheet1!S71_SubMunicipalVoteNo,$AC:$AC,Sheet1!S71_A5CapexCode,$AD:$AD)</f>
        <v>0</v>
      </c>
      <c r="K216" s="775">
        <f>SUMIFS(Sheet1!S71_OY1BudgetAmount,Sheet1!S71_SubMunicipalVoteNo,$AC:$AC,Sheet1!S71_A5CapexCode,$AD:$AD)</f>
        <v>0</v>
      </c>
      <c r="L216" s="777">
        <f>SUMIFS(Sheet1!S71_OY2BudgetAmount,Sheet1!S71_SubMunicipalVoteNo,$AC:$AC,Sheet1!S71_A5CapexCode,$AD:$AD)</f>
        <v>0</v>
      </c>
      <c r="M216" s="799"/>
      <c r="AC216" s="2312">
        <v>48</v>
      </c>
      <c r="AD216" s="2318" t="s">
        <v>2805</v>
      </c>
    </row>
    <row r="217" spans="1:30" ht="11.25" customHeight="1" x14ac:dyDescent="0.25">
      <c r="A217" s="136" t="str">
        <f t="shared" si="96"/>
        <v>4.9 - Child Care Facilities</v>
      </c>
      <c r="B217" s="711"/>
      <c r="C217" s="775">
        <f>SUMIFS(Sheet1!S71_PPPYearAmount,Sheet1!S71_SubMunicipalVoteNo,$AC:$AC,Sheet1!S71_A5CapexCode,$AD:$AD)</f>
        <v>3732920</v>
      </c>
      <c r="D217" s="775">
        <f>SUMIFS(Sheet1!S71_PPYearAmount,Sheet1!S71_SubMunicipalVoteNo,$AC:$AC,Sheet1!S71_A5CapexCode,$AD:$AD)</f>
        <v>0</v>
      </c>
      <c r="E217" s="717">
        <f>SUMIFS(Sheet1!S71_PYearAmount,Sheet1!S71_SubMunicipalVoteNo,$AC:$AC,Sheet1!S71_A5CapexCode,$AD:$AD)</f>
        <v>0</v>
      </c>
      <c r="F217" s="776">
        <f>SUMIFS(Sheet1!S71_OriginalBudAmnt,Sheet1!S71_SubMunicipalVoteNo,$AC:$AC,Sheet1!S71_A5CapexCode,$AD:$AD)</f>
        <v>1538516</v>
      </c>
      <c r="G217" s="775">
        <f>SUMIFS(Sheet1!S71_AdjustmentBudAmnt,Sheet1!S71_SubMunicipalVoteNo,$AC:$AC,Sheet1!S71_A5CapexCode,$AD:$AD)</f>
        <v>2045598</v>
      </c>
      <c r="H217" s="777">
        <f>SUMIFS(Sheet1!S71_AdjustmentBudAmnt,Sheet1!S71_SubMunicipalVoteNo,$AC:$AC,Sheet1!S71_A5CapexCode,$AD:$AD)</f>
        <v>2045598</v>
      </c>
      <c r="I217" s="778">
        <f>SUMIFS(Sheet1!CD:CD,Sheet1!S71_SubMunicipalVoteNo,$AC:$AC,Sheet1!S71_A5CapexCode,$AD:$AD)</f>
        <v>124175</v>
      </c>
      <c r="J217" s="776">
        <f>SUMIFS(Sheet1!S71_ASBudgetAmount,Sheet1!S71_SubMunicipalVoteNo,$AC:$AC,Sheet1!S71_A5CapexCode,$AD:$AD)</f>
        <v>0</v>
      </c>
      <c r="K217" s="775">
        <f>SUMIFS(Sheet1!S71_OY1BudgetAmount,Sheet1!S71_SubMunicipalVoteNo,$AC:$AC,Sheet1!S71_A5CapexCode,$AD:$AD)</f>
        <v>0</v>
      </c>
      <c r="L217" s="777">
        <f>SUMIFS(Sheet1!S71_OY2BudgetAmount,Sheet1!S71_SubMunicipalVoteNo,$AC:$AC,Sheet1!S71_A5CapexCode,$AD:$AD)</f>
        <v>0</v>
      </c>
      <c r="M217" s="799"/>
      <c r="AC217" s="2312">
        <v>49</v>
      </c>
      <c r="AD217" s="2318" t="s">
        <v>2805</v>
      </c>
    </row>
    <row r="218" spans="1:30" ht="11.25" customHeight="1" x14ac:dyDescent="0.25">
      <c r="A218" s="136" t="str">
        <f t="shared" si="96"/>
        <v/>
      </c>
      <c r="B218" s="711"/>
      <c r="C218" s="775">
        <f>SUMIFS(Sheet1!S71_PPPYearAmount,Sheet1!S71_SubMunicipalVoteNo,$AC:$AC,Sheet1!S71_A5CapexCode,$AD:$AD)</f>
        <v>0</v>
      </c>
      <c r="D218" s="775">
        <f>SUMIFS(Sheet1!S71_PPYearAmount,Sheet1!S71_SubMunicipalVoteNo,$AC:$AC,Sheet1!S71_A5CapexCode,$AD:$AD)</f>
        <v>0</v>
      </c>
      <c r="E218" s="717">
        <f>SUMIFS(Sheet1!S71_PYearAmount,Sheet1!S71_SubMunicipalVoteNo,$AC:$AC,Sheet1!S71_A5CapexCode,$AD:$AD)</f>
        <v>0</v>
      </c>
      <c r="F218" s="776">
        <f>SUMIFS(Sheet1!S71_OriginalBudAmnt,Sheet1!S71_SubMunicipalVoteNo,$AC:$AC,Sheet1!S71_A5CapexCode,$AD:$AD)</f>
        <v>0</v>
      </c>
      <c r="G218" s="775">
        <f>SUMIFS(Sheet1!S71_AdjustmentBudAmnt,Sheet1!S71_SubMunicipalVoteNo,$AC:$AC,Sheet1!S71_A5CapexCode,$AD:$AD)</f>
        <v>0</v>
      </c>
      <c r="H218" s="777">
        <f>SUMIFS(Sheet1!S71_AdjustmentBudAmnt,Sheet1!S71_SubMunicipalVoteNo,$AC:$AC,Sheet1!S71_A5CapexCode,$AD:$AD)</f>
        <v>0</v>
      </c>
      <c r="I218" s="778">
        <f>SUMIFS(Sheet1!CD:CD,Sheet1!S71_SubMunicipalVoteNo,$AC:$AC,Sheet1!S71_A5CapexCode,$AD:$AD)</f>
        <v>0</v>
      </c>
      <c r="J218" s="776">
        <f>SUMIFS(Sheet1!S71_ASBudgetAmount,Sheet1!S71_SubMunicipalVoteNo,$AC:$AC,Sheet1!S71_A5CapexCode,$AD:$AD)</f>
        <v>0</v>
      </c>
      <c r="K218" s="775">
        <f>SUMIFS(Sheet1!S71_OY1BudgetAmount,Sheet1!S71_SubMunicipalVoteNo,$AC:$AC,Sheet1!S71_A5CapexCode,$AD:$AD)</f>
        <v>0</v>
      </c>
      <c r="L218" s="777">
        <f>SUMIFS(Sheet1!S71_OY2BudgetAmount,Sheet1!S71_SubMunicipalVoteNo,$AC:$AC,Sheet1!S71_A5CapexCode,$AD:$AD)</f>
        <v>0</v>
      </c>
      <c r="M218" s="799"/>
      <c r="AC218" s="2312">
        <v>410</v>
      </c>
      <c r="AD218" s="2318" t="s">
        <v>2805</v>
      </c>
    </row>
    <row r="219" spans="1:30" ht="15" customHeight="1" x14ac:dyDescent="0.25">
      <c r="A219" s="135" t="str">
        <f t="shared" si="96"/>
        <v>Vote 5 - Community and Social Services2</v>
      </c>
      <c r="B219" s="769"/>
      <c r="C219" s="212">
        <f t="shared" ref="C219:L219" si="100">SUM(C220:C229)</f>
        <v>3551619</v>
      </c>
      <c r="D219" s="212">
        <f t="shared" si="100"/>
        <v>6454770</v>
      </c>
      <c r="E219" s="213">
        <f t="shared" si="100"/>
        <v>9953437</v>
      </c>
      <c r="F219" s="214">
        <f t="shared" si="100"/>
        <v>7990468</v>
      </c>
      <c r="G219" s="212">
        <f t="shared" si="100"/>
        <v>11892935</v>
      </c>
      <c r="H219" s="213">
        <f t="shared" si="100"/>
        <v>11892935</v>
      </c>
      <c r="I219" s="215">
        <f t="shared" si="100"/>
        <v>15860579</v>
      </c>
      <c r="J219" s="214">
        <f t="shared" si="100"/>
        <v>2964575</v>
      </c>
      <c r="K219" s="212">
        <f t="shared" si="100"/>
        <v>3000000</v>
      </c>
      <c r="L219" s="213">
        <f t="shared" si="100"/>
        <v>3200000</v>
      </c>
      <c r="M219" s="799"/>
      <c r="AD219" s="2315"/>
    </row>
    <row r="220" spans="1:30" ht="11.25" customHeight="1" x14ac:dyDescent="0.25">
      <c r="A220" s="136" t="str">
        <f t="shared" si="96"/>
        <v>5.1 - Literacy Programmes</v>
      </c>
      <c r="B220" s="711"/>
      <c r="C220" s="775">
        <f>SUMIFS(Sheet1!S71_PPPYearAmount,Sheet1!S71_SubMunicipalVoteNo,$AC:$AC,Sheet1!S71_A5CapexCode,$AD:$AD)</f>
        <v>0</v>
      </c>
      <c r="D220" s="775">
        <f>SUMIFS(Sheet1!S71_PPYearAmount,Sheet1!S71_SubMunicipalVoteNo,$AC:$AC,Sheet1!S71_A5CapexCode,$AD:$AD)</f>
        <v>0</v>
      </c>
      <c r="E220" s="717">
        <f>SUMIFS(Sheet1!S71_PYearAmount,Sheet1!S71_SubMunicipalVoteNo,$AC:$AC,Sheet1!S71_A5CapexCode,$AD:$AD)</f>
        <v>0</v>
      </c>
      <c r="F220" s="776">
        <f>SUMIFS(Sheet1!S71_OriginalBudAmnt,Sheet1!S71_SubMunicipalVoteNo,$AC:$AC,Sheet1!S71_A5CapexCode,$AD:$AD)</f>
        <v>0</v>
      </c>
      <c r="G220" s="775">
        <f>SUMIFS(Sheet1!S71_AdjustmentBudAmnt,Sheet1!S71_SubMunicipalVoteNo,$AC:$AC,Sheet1!S71_A5CapexCode,$AD:$AD)</f>
        <v>0</v>
      </c>
      <c r="H220" s="777">
        <f>SUMIFS(Sheet1!S71_AdjustmentBudAmnt,Sheet1!S71_SubMunicipalVoteNo,$AC:$AC,Sheet1!S71_A5CapexCode,$AD:$AD)</f>
        <v>0</v>
      </c>
      <c r="I220" s="778">
        <f>SUMIFS(Sheet1!CD:CD,Sheet1!S71_SubMunicipalVoteNo,$AC:$AC,Sheet1!S71_A5CapexCode,$AD:$AD)</f>
        <v>0</v>
      </c>
      <c r="J220" s="776">
        <f>SUMIFS(Sheet1!S71_ASBudgetAmount,Sheet1!S71_SubMunicipalVoteNo,$AC:$AC,Sheet1!S71_A5CapexCode,$AD:$AD)</f>
        <v>0</v>
      </c>
      <c r="K220" s="775">
        <f>SUMIFS(Sheet1!S71_OY1BudgetAmount,Sheet1!S71_SubMunicipalVoteNo,$AC:$AC,Sheet1!S71_A5CapexCode,$AD:$AD)</f>
        <v>0</v>
      </c>
      <c r="L220" s="777">
        <f>SUMIFS(Sheet1!S71_OY2BudgetAmount,Sheet1!S71_SubMunicipalVoteNo,$AC:$AC,Sheet1!S71_A5CapexCode,$AD:$AD)</f>
        <v>0</v>
      </c>
      <c r="M220" s="799"/>
      <c r="AC220" s="2312">
        <v>51</v>
      </c>
      <c r="AD220" s="2318" t="s">
        <v>2805</v>
      </c>
    </row>
    <row r="221" spans="1:30" ht="11.25" customHeight="1" x14ac:dyDescent="0.25">
      <c r="A221" s="136" t="str">
        <f t="shared" si="96"/>
        <v>5.2 - Education</v>
      </c>
      <c r="B221" s="711"/>
      <c r="C221" s="775">
        <f>SUMIFS(Sheet1!S71_PPPYearAmount,Sheet1!S71_SubMunicipalVoteNo,$AC:$AC,Sheet1!S71_A5CapexCode,$AD:$AD)</f>
        <v>0</v>
      </c>
      <c r="D221" s="775">
        <f>SUMIFS(Sheet1!S71_PPYearAmount,Sheet1!S71_SubMunicipalVoteNo,$AC:$AC,Sheet1!S71_A5CapexCode,$AD:$AD)</f>
        <v>0</v>
      </c>
      <c r="E221" s="717">
        <f>SUMIFS(Sheet1!S71_PYearAmount,Sheet1!S71_SubMunicipalVoteNo,$AC:$AC,Sheet1!S71_A5CapexCode,$AD:$AD)</f>
        <v>0</v>
      </c>
      <c r="F221" s="776">
        <f>SUMIFS(Sheet1!S71_OriginalBudAmnt,Sheet1!S71_SubMunicipalVoteNo,$AC:$AC,Sheet1!S71_A5CapexCode,$AD:$AD)</f>
        <v>0</v>
      </c>
      <c r="G221" s="775">
        <f>SUMIFS(Sheet1!S71_AdjustmentBudAmnt,Sheet1!S71_SubMunicipalVoteNo,$AC:$AC,Sheet1!S71_A5CapexCode,$AD:$AD)</f>
        <v>0</v>
      </c>
      <c r="H221" s="777">
        <f>SUMIFS(Sheet1!S71_AdjustmentBudAmnt,Sheet1!S71_SubMunicipalVoteNo,$AC:$AC,Sheet1!S71_A5CapexCode,$AD:$AD)</f>
        <v>0</v>
      </c>
      <c r="I221" s="778">
        <f>SUMIFS(Sheet1!CD:CD,Sheet1!S71_SubMunicipalVoteNo,$AC:$AC,Sheet1!S71_A5CapexCode,$AD:$AD)</f>
        <v>0</v>
      </c>
      <c r="J221" s="776">
        <f>SUMIFS(Sheet1!S71_ASBudgetAmount,Sheet1!S71_SubMunicipalVoteNo,$AC:$AC,Sheet1!S71_A5CapexCode,$AD:$AD)</f>
        <v>0</v>
      </c>
      <c r="K221" s="775">
        <f>SUMIFS(Sheet1!S71_OY1BudgetAmount,Sheet1!S71_SubMunicipalVoteNo,$AC:$AC,Sheet1!S71_A5CapexCode,$AD:$AD)</f>
        <v>0</v>
      </c>
      <c r="L221" s="777">
        <f>SUMIFS(Sheet1!S71_OY2BudgetAmount,Sheet1!S71_SubMunicipalVoteNo,$AC:$AC,Sheet1!S71_A5CapexCode,$AD:$AD)</f>
        <v>0</v>
      </c>
      <c r="M221" s="799"/>
      <c r="AC221" s="2312">
        <v>52</v>
      </c>
      <c r="AD221" s="2318" t="s">
        <v>2805</v>
      </c>
    </row>
    <row r="222" spans="1:30" ht="11.25" customHeight="1" x14ac:dyDescent="0.25">
      <c r="A222" s="136" t="str">
        <f t="shared" si="96"/>
        <v>5.3 - Community Halls and Facilities</v>
      </c>
      <c r="B222" s="711"/>
      <c r="C222" s="775">
        <f>SUMIFS(Sheet1!S71_PPPYearAmount,Sheet1!S71_SubMunicipalVoteNo,$AC:$AC,Sheet1!S71_A5CapexCode,$AD:$AD)</f>
        <v>3551619</v>
      </c>
      <c r="D222" s="775">
        <f>SUMIFS(Sheet1!S71_PPYearAmount,Sheet1!S71_SubMunicipalVoteNo,$AC:$AC,Sheet1!S71_A5CapexCode,$AD:$AD)</f>
        <v>6454770</v>
      </c>
      <c r="E222" s="717">
        <f>SUMIFS(Sheet1!S71_PYearAmount,Sheet1!S71_SubMunicipalVoteNo,$AC:$AC,Sheet1!S71_A5CapexCode,$AD:$AD)</f>
        <v>9953437</v>
      </c>
      <c r="F222" s="776">
        <f>SUMIFS(Sheet1!S71_OriginalBudAmnt,Sheet1!S71_SubMunicipalVoteNo,$AC:$AC,Sheet1!S71_A5CapexCode,$AD:$AD)</f>
        <v>7990468</v>
      </c>
      <c r="G222" s="775">
        <f>SUMIFS(Sheet1!S71_AdjustmentBudAmnt,Sheet1!S71_SubMunicipalVoteNo,$AC:$AC,Sheet1!S71_A5CapexCode,$AD:$AD)</f>
        <v>11892935</v>
      </c>
      <c r="H222" s="777">
        <f>SUMIFS(Sheet1!S71_AdjustmentBudAmnt,Sheet1!S71_SubMunicipalVoteNo,$AC:$AC,Sheet1!S71_A5CapexCode,$AD:$AD)</f>
        <v>11892935</v>
      </c>
      <c r="I222" s="778">
        <f>SUMIFS(Sheet1!CD:CD,Sheet1!S71_SubMunicipalVoteNo,$AC:$AC,Sheet1!S71_A5CapexCode,$AD:$AD)</f>
        <v>15860579</v>
      </c>
      <c r="J222" s="776">
        <f>SUMIFS(Sheet1!S71_ASBudgetAmount,Sheet1!S71_SubMunicipalVoteNo,$AC:$AC,Sheet1!S71_A5CapexCode,$AD:$AD)</f>
        <v>2964575</v>
      </c>
      <c r="K222" s="775">
        <f>SUMIFS(Sheet1!S71_OY1BudgetAmount,Sheet1!S71_SubMunicipalVoteNo,$AC:$AC,Sheet1!S71_A5CapexCode,$AD:$AD)</f>
        <v>3000000</v>
      </c>
      <c r="L222" s="777">
        <f>SUMIFS(Sheet1!S71_OY2BudgetAmount,Sheet1!S71_SubMunicipalVoteNo,$AC:$AC,Sheet1!S71_A5CapexCode,$AD:$AD)</f>
        <v>3200000</v>
      </c>
      <c r="M222" s="799"/>
      <c r="AC222" s="2312">
        <v>53</v>
      </c>
      <c r="AD222" s="2318" t="s">
        <v>2805</v>
      </c>
    </row>
    <row r="223" spans="1:30" ht="11.25" customHeight="1" x14ac:dyDescent="0.25">
      <c r="A223" s="136" t="str">
        <f t="shared" si="96"/>
        <v>5.4 - Tourism</v>
      </c>
      <c r="B223" s="711"/>
      <c r="C223" s="775">
        <f>SUMIFS(Sheet1!S71_PPPYearAmount,Sheet1!S71_SubMunicipalVoteNo,$AC:$AC,Sheet1!S71_A5CapexCode,$AD:$AD)</f>
        <v>0</v>
      </c>
      <c r="D223" s="775">
        <f>SUMIFS(Sheet1!S71_PPYearAmount,Sheet1!S71_SubMunicipalVoteNo,$AC:$AC,Sheet1!S71_A5CapexCode,$AD:$AD)</f>
        <v>0</v>
      </c>
      <c r="E223" s="717">
        <f>SUMIFS(Sheet1!S71_PYearAmount,Sheet1!S71_SubMunicipalVoteNo,$AC:$AC,Sheet1!S71_A5CapexCode,$AD:$AD)</f>
        <v>0</v>
      </c>
      <c r="F223" s="776">
        <f>SUMIFS(Sheet1!S71_OriginalBudAmnt,Sheet1!S71_SubMunicipalVoteNo,$AC:$AC,Sheet1!S71_A5CapexCode,$AD:$AD)</f>
        <v>0</v>
      </c>
      <c r="G223" s="775">
        <f>SUMIFS(Sheet1!S71_AdjustmentBudAmnt,Sheet1!S71_SubMunicipalVoteNo,$AC:$AC,Sheet1!S71_A5CapexCode,$AD:$AD)</f>
        <v>0</v>
      </c>
      <c r="H223" s="777">
        <f>SUMIFS(Sheet1!S71_AdjustmentBudAmnt,Sheet1!S71_SubMunicipalVoteNo,$AC:$AC,Sheet1!S71_A5CapexCode,$AD:$AD)</f>
        <v>0</v>
      </c>
      <c r="I223" s="778">
        <f>SUMIFS(Sheet1!CD:CD,Sheet1!S71_SubMunicipalVoteNo,$AC:$AC,Sheet1!S71_A5CapexCode,$AD:$AD)</f>
        <v>0</v>
      </c>
      <c r="J223" s="776">
        <f>SUMIFS(Sheet1!S71_ASBudgetAmount,Sheet1!S71_SubMunicipalVoteNo,$AC:$AC,Sheet1!S71_A5CapexCode,$AD:$AD)</f>
        <v>0</v>
      </c>
      <c r="K223" s="775">
        <f>SUMIFS(Sheet1!S71_OY1BudgetAmount,Sheet1!S71_SubMunicipalVoteNo,$AC:$AC,Sheet1!S71_A5CapexCode,$AD:$AD)</f>
        <v>0</v>
      </c>
      <c r="L223" s="777">
        <f>SUMIFS(Sheet1!S71_OY2BudgetAmount,Sheet1!S71_SubMunicipalVoteNo,$AC:$AC,Sheet1!S71_A5CapexCode,$AD:$AD)</f>
        <v>0</v>
      </c>
      <c r="M223" s="799"/>
      <c r="AC223" s="2312">
        <v>54</v>
      </c>
      <c r="AD223" s="2318" t="s">
        <v>2805</v>
      </c>
    </row>
    <row r="224" spans="1:30" ht="11.25" customHeight="1" x14ac:dyDescent="0.25">
      <c r="A224" s="136" t="str">
        <f t="shared" si="96"/>
        <v/>
      </c>
      <c r="B224" s="711"/>
      <c r="C224" s="775">
        <f>SUMIFS(Sheet1!S71_PPPYearAmount,Sheet1!S71_SubMunicipalVoteNo,$AC:$AC,Sheet1!S71_A5CapexCode,$AD:$AD)</f>
        <v>0</v>
      </c>
      <c r="D224" s="775">
        <f>SUMIFS(Sheet1!S71_PPYearAmount,Sheet1!S71_SubMunicipalVoteNo,$AC:$AC,Sheet1!S71_A5CapexCode,$AD:$AD)</f>
        <v>0</v>
      </c>
      <c r="E224" s="717">
        <f>SUMIFS(Sheet1!S71_PYearAmount,Sheet1!S71_SubMunicipalVoteNo,$AC:$AC,Sheet1!S71_A5CapexCode,$AD:$AD)</f>
        <v>0</v>
      </c>
      <c r="F224" s="776">
        <f>SUMIFS(Sheet1!S71_OriginalBudAmnt,Sheet1!S71_SubMunicipalVoteNo,$AC:$AC,Sheet1!S71_A5CapexCode,$AD:$AD)</f>
        <v>0</v>
      </c>
      <c r="G224" s="775">
        <f>SUMIFS(Sheet1!S71_AdjustmentBudAmnt,Sheet1!S71_SubMunicipalVoteNo,$AC:$AC,Sheet1!S71_A5CapexCode,$AD:$AD)</f>
        <v>0</v>
      </c>
      <c r="H224" s="777">
        <f>SUMIFS(Sheet1!S71_AdjustmentBudAmnt,Sheet1!S71_SubMunicipalVoteNo,$AC:$AC,Sheet1!S71_A5CapexCode,$AD:$AD)</f>
        <v>0</v>
      </c>
      <c r="I224" s="778">
        <f>SUMIFS(Sheet1!CD:CD,Sheet1!S71_SubMunicipalVoteNo,$AC:$AC,Sheet1!S71_A5CapexCode,$AD:$AD)</f>
        <v>0</v>
      </c>
      <c r="J224" s="776">
        <f>SUMIFS(Sheet1!S71_ASBudgetAmount,Sheet1!S71_SubMunicipalVoteNo,$AC:$AC,Sheet1!S71_A5CapexCode,$AD:$AD)</f>
        <v>0</v>
      </c>
      <c r="K224" s="775">
        <f>SUMIFS(Sheet1!S71_OY1BudgetAmount,Sheet1!S71_SubMunicipalVoteNo,$AC:$AC,Sheet1!S71_A5CapexCode,$AD:$AD)</f>
        <v>0</v>
      </c>
      <c r="L224" s="777">
        <f>SUMIFS(Sheet1!S71_OY2BudgetAmount,Sheet1!S71_SubMunicipalVoteNo,$AC:$AC,Sheet1!S71_A5CapexCode,$AD:$AD)</f>
        <v>0</v>
      </c>
      <c r="M224" s="799"/>
      <c r="AC224" s="2312">
        <v>55</v>
      </c>
      <c r="AD224" s="2318" t="s">
        <v>2805</v>
      </c>
    </row>
    <row r="225" spans="1:30" ht="11.25" customHeight="1" x14ac:dyDescent="0.25">
      <c r="A225" s="136" t="str">
        <f t="shared" si="96"/>
        <v/>
      </c>
      <c r="B225" s="711"/>
      <c r="C225" s="775">
        <f>SUMIFS(Sheet1!S71_PPPYearAmount,Sheet1!S71_SubMunicipalVoteNo,$AC:$AC,Sheet1!S71_A5CapexCode,$AD:$AD)</f>
        <v>0</v>
      </c>
      <c r="D225" s="775">
        <f>SUMIFS(Sheet1!S71_PPYearAmount,Sheet1!S71_SubMunicipalVoteNo,$AC:$AC,Sheet1!S71_A5CapexCode,$AD:$AD)</f>
        <v>0</v>
      </c>
      <c r="E225" s="717">
        <f>SUMIFS(Sheet1!S71_PYearAmount,Sheet1!S71_SubMunicipalVoteNo,$AC:$AC,Sheet1!S71_A5CapexCode,$AD:$AD)</f>
        <v>0</v>
      </c>
      <c r="F225" s="776">
        <f>SUMIFS(Sheet1!S71_OriginalBudAmnt,Sheet1!S71_SubMunicipalVoteNo,$AC:$AC,Sheet1!S71_A5CapexCode,$AD:$AD)</f>
        <v>0</v>
      </c>
      <c r="G225" s="775">
        <f>SUMIFS(Sheet1!S71_AdjustmentBudAmnt,Sheet1!S71_SubMunicipalVoteNo,$AC:$AC,Sheet1!S71_A5CapexCode,$AD:$AD)</f>
        <v>0</v>
      </c>
      <c r="H225" s="777">
        <f>SUMIFS(Sheet1!S71_AdjustmentBudAmnt,Sheet1!S71_SubMunicipalVoteNo,$AC:$AC,Sheet1!S71_A5CapexCode,$AD:$AD)</f>
        <v>0</v>
      </c>
      <c r="I225" s="778">
        <f>SUMIFS(Sheet1!CD:CD,Sheet1!S71_SubMunicipalVoteNo,$AC:$AC,Sheet1!S71_A5CapexCode,$AD:$AD)</f>
        <v>0</v>
      </c>
      <c r="J225" s="776">
        <f>SUMIFS(Sheet1!S71_ASBudgetAmount,Sheet1!S71_SubMunicipalVoteNo,$AC:$AC,Sheet1!S71_A5CapexCode,$AD:$AD)</f>
        <v>0</v>
      </c>
      <c r="K225" s="775">
        <f>SUMIFS(Sheet1!S71_OY1BudgetAmount,Sheet1!S71_SubMunicipalVoteNo,$AC:$AC,Sheet1!S71_A5CapexCode,$AD:$AD)</f>
        <v>0</v>
      </c>
      <c r="L225" s="777">
        <f>SUMIFS(Sheet1!S71_OY2BudgetAmount,Sheet1!S71_SubMunicipalVoteNo,$AC:$AC,Sheet1!S71_A5CapexCode,$AD:$AD)</f>
        <v>0</v>
      </c>
      <c r="M225" s="799"/>
      <c r="AC225" s="2312">
        <v>56</v>
      </c>
      <c r="AD225" s="2318" t="s">
        <v>2805</v>
      </c>
    </row>
    <row r="226" spans="1:30" ht="11.25" customHeight="1" x14ac:dyDescent="0.25">
      <c r="A226" s="136" t="str">
        <f t="shared" si="96"/>
        <v/>
      </c>
      <c r="B226" s="711"/>
      <c r="C226" s="775">
        <f>SUMIFS(Sheet1!S71_PPPYearAmount,Sheet1!S71_SubMunicipalVoteNo,$AC:$AC,Sheet1!S71_A5CapexCode,$AD:$AD)</f>
        <v>0</v>
      </c>
      <c r="D226" s="775">
        <f>SUMIFS(Sheet1!S71_PPYearAmount,Sheet1!S71_SubMunicipalVoteNo,$AC:$AC,Sheet1!S71_A5CapexCode,$AD:$AD)</f>
        <v>0</v>
      </c>
      <c r="E226" s="717">
        <f>SUMIFS(Sheet1!S71_PYearAmount,Sheet1!S71_SubMunicipalVoteNo,$AC:$AC,Sheet1!S71_A5CapexCode,$AD:$AD)</f>
        <v>0</v>
      </c>
      <c r="F226" s="776">
        <f>SUMIFS(Sheet1!S71_OriginalBudAmnt,Sheet1!S71_SubMunicipalVoteNo,$AC:$AC,Sheet1!S71_A5CapexCode,$AD:$AD)</f>
        <v>0</v>
      </c>
      <c r="G226" s="775">
        <f>SUMIFS(Sheet1!S71_AdjustmentBudAmnt,Sheet1!S71_SubMunicipalVoteNo,$AC:$AC,Sheet1!S71_A5CapexCode,$AD:$AD)</f>
        <v>0</v>
      </c>
      <c r="H226" s="777">
        <f>SUMIFS(Sheet1!S71_AdjustmentBudAmnt,Sheet1!S71_SubMunicipalVoteNo,$AC:$AC,Sheet1!S71_A5CapexCode,$AD:$AD)</f>
        <v>0</v>
      </c>
      <c r="I226" s="778">
        <f>SUMIFS(Sheet1!CD:CD,Sheet1!S71_SubMunicipalVoteNo,$AC:$AC,Sheet1!S71_A5CapexCode,$AD:$AD)</f>
        <v>0</v>
      </c>
      <c r="J226" s="776">
        <f>SUMIFS(Sheet1!S71_ASBudgetAmount,Sheet1!S71_SubMunicipalVoteNo,$AC:$AC,Sheet1!S71_A5CapexCode,$AD:$AD)</f>
        <v>0</v>
      </c>
      <c r="K226" s="775">
        <f>SUMIFS(Sheet1!S71_OY1BudgetAmount,Sheet1!S71_SubMunicipalVoteNo,$AC:$AC,Sheet1!S71_A5CapexCode,$AD:$AD)</f>
        <v>0</v>
      </c>
      <c r="L226" s="777">
        <f>SUMIFS(Sheet1!S71_OY2BudgetAmount,Sheet1!S71_SubMunicipalVoteNo,$AC:$AC,Sheet1!S71_A5CapexCode,$AD:$AD)</f>
        <v>0</v>
      </c>
      <c r="M226" s="799"/>
      <c r="AC226" s="2312">
        <v>57</v>
      </c>
      <c r="AD226" s="2318" t="s">
        <v>2805</v>
      </c>
    </row>
    <row r="227" spans="1:30" ht="11.25" customHeight="1" x14ac:dyDescent="0.25">
      <c r="A227" s="136" t="str">
        <f t="shared" si="96"/>
        <v/>
      </c>
      <c r="B227" s="711"/>
      <c r="C227" s="775">
        <f>SUMIFS(Sheet1!S71_PPPYearAmount,Sheet1!S71_SubMunicipalVoteNo,$AC:$AC,Sheet1!S71_A5CapexCode,$AD:$AD)</f>
        <v>0</v>
      </c>
      <c r="D227" s="775">
        <f>SUMIFS(Sheet1!S71_PPYearAmount,Sheet1!S71_SubMunicipalVoteNo,$AC:$AC,Sheet1!S71_A5CapexCode,$AD:$AD)</f>
        <v>0</v>
      </c>
      <c r="E227" s="717">
        <f>SUMIFS(Sheet1!S71_PYearAmount,Sheet1!S71_SubMunicipalVoteNo,$AC:$AC,Sheet1!S71_A5CapexCode,$AD:$AD)</f>
        <v>0</v>
      </c>
      <c r="F227" s="776">
        <f>SUMIFS(Sheet1!S71_OriginalBudAmnt,Sheet1!S71_SubMunicipalVoteNo,$AC:$AC,Sheet1!S71_A5CapexCode,$AD:$AD)</f>
        <v>0</v>
      </c>
      <c r="G227" s="775">
        <f>SUMIFS(Sheet1!S71_AdjustmentBudAmnt,Sheet1!S71_SubMunicipalVoteNo,$AC:$AC,Sheet1!S71_A5CapexCode,$AD:$AD)</f>
        <v>0</v>
      </c>
      <c r="H227" s="777">
        <f>SUMIFS(Sheet1!S71_AdjustmentBudAmnt,Sheet1!S71_SubMunicipalVoteNo,$AC:$AC,Sheet1!S71_A5CapexCode,$AD:$AD)</f>
        <v>0</v>
      </c>
      <c r="I227" s="778">
        <f>SUMIFS(Sheet1!CD:CD,Sheet1!S71_SubMunicipalVoteNo,$AC:$AC,Sheet1!S71_A5CapexCode,$AD:$AD)</f>
        <v>0</v>
      </c>
      <c r="J227" s="776">
        <f>SUMIFS(Sheet1!S71_ASBudgetAmount,Sheet1!S71_SubMunicipalVoteNo,$AC:$AC,Sheet1!S71_A5CapexCode,$AD:$AD)</f>
        <v>0</v>
      </c>
      <c r="K227" s="775">
        <f>SUMIFS(Sheet1!S71_OY1BudgetAmount,Sheet1!S71_SubMunicipalVoteNo,$AC:$AC,Sheet1!S71_A5CapexCode,$AD:$AD)</f>
        <v>0</v>
      </c>
      <c r="L227" s="777">
        <f>SUMIFS(Sheet1!S71_OY2BudgetAmount,Sheet1!S71_SubMunicipalVoteNo,$AC:$AC,Sheet1!S71_A5CapexCode,$AD:$AD)</f>
        <v>0</v>
      </c>
      <c r="M227" s="799"/>
      <c r="AC227" s="2312">
        <v>58</v>
      </c>
      <c r="AD227" s="2318" t="s">
        <v>2805</v>
      </c>
    </row>
    <row r="228" spans="1:30" ht="11.25" customHeight="1" x14ac:dyDescent="0.25">
      <c r="A228" s="136" t="str">
        <f t="shared" si="96"/>
        <v/>
      </c>
      <c r="B228" s="711"/>
      <c r="C228" s="775">
        <f>SUMIFS(Sheet1!S71_PPPYearAmount,Sheet1!S71_SubMunicipalVoteNo,$AC:$AC,Sheet1!S71_A5CapexCode,$AD:$AD)</f>
        <v>0</v>
      </c>
      <c r="D228" s="775">
        <f>SUMIFS(Sheet1!S71_PPYearAmount,Sheet1!S71_SubMunicipalVoteNo,$AC:$AC,Sheet1!S71_A5CapexCode,$AD:$AD)</f>
        <v>0</v>
      </c>
      <c r="E228" s="717">
        <f>SUMIFS(Sheet1!S71_PYearAmount,Sheet1!S71_SubMunicipalVoteNo,$AC:$AC,Sheet1!S71_A5CapexCode,$AD:$AD)</f>
        <v>0</v>
      </c>
      <c r="F228" s="776">
        <f>SUMIFS(Sheet1!S71_OriginalBudAmnt,Sheet1!S71_SubMunicipalVoteNo,$AC:$AC,Sheet1!S71_A5CapexCode,$AD:$AD)</f>
        <v>0</v>
      </c>
      <c r="G228" s="775">
        <f>SUMIFS(Sheet1!S71_AdjustmentBudAmnt,Sheet1!S71_SubMunicipalVoteNo,$AC:$AC,Sheet1!S71_A5CapexCode,$AD:$AD)</f>
        <v>0</v>
      </c>
      <c r="H228" s="777">
        <f>SUMIFS(Sheet1!S71_AdjustmentBudAmnt,Sheet1!S71_SubMunicipalVoteNo,$AC:$AC,Sheet1!S71_A5CapexCode,$AD:$AD)</f>
        <v>0</v>
      </c>
      <c r="I228" s="778">
        <f>SUMIFS(Sheet1!CD:CD,Sheet1!S71_SubMunicipalVoteNo,$AC:$AC,Sheet1!S71_A5CapexCode,$AD:$AD)</f>
        <v>0</v>
      </c>
      <c r="J228" s="776">
        <f>SUMIFS(Sheet1!S71_ASBudgetAmount,Sheet1!S71_SubMunicipalVoteNo,$AC:$AC,Sheet1!S71_A5CapexCode,$AD:$AD)</f>
        <v>0</v>
      </c>
      <c r="K228" s="775">
        <f>SUMIFS(Sheet1!S71_OY1BudgetAmount,Sheet1!S71_SubMunicipalVoteNo,$AC:$AC,Sheet1!S71_A5CapexCode,$AD:$AD)</f>
        <v>0</v>
      </c>
      <c r="L228" s="777">
        <f>SUMIFS(Sheet1!S71_OY2BudgetAmount,Sheet1!S71_SubMunicipalVoteNo,$AC:$AC,Sheet1!S71_A5CapexCode,$AD:$AD)</f>
        <v>0</v>
      </c>
      <c r="M228" s="799"/>
      <c r="AC228" s="2312">
        <v>59</v>
      </c>
      <c r="AD228" s="2318" t="s">
        <v>2805</v>
      </c>
    </row>
    <row r="229" spans="1:30" ht="11.25" customHeight="1" x14ac:dyDescent="0.25">
      <c r="A229" s="136" t="str">
        <f t="shared" si="96"/>
        <v/>
      </c>
      <c r="B229" s="711"/>
      <c r="C229" s="775">
        <f>SUMIFS(Sheet1!S71_PPPYearAmount,Sheet1!S71_SubMunicipalVoteNo,$AC:$AC,Sheet1!S71_A5CapexCode,$AD:$AD)</f>
        <v>0</v>
      </c>
      <c r="D229" s="775">
        <f>SUMIFS(Sheet1!S71_PPYearAmount,Sheet1!S71_SubMunicipalVoteNo,$AC:$AC,Sheet1!S71_A5CapexCode,$AD:$AD)</f>
        <v>0</v>
      </c>
      <c r="E229" s="717">
        <f>SUMIFS(Sheet1!S71_PYearAmount,Sheet1!S71_SubMunicipalVoteNo,$AC:$AC,Sheet1!S71_A5CapexCode,$AD:$AD)</f>
        <v>0</v>
      </c>
      <c r="F229" s="776">
        <f>SUMIFS(Sheet1!S71_OriginalBudAmnt,Sheet1!S71_SubMunicipalVoteNo,$AC:$AC,Sheet1!S71_A5CapexCode,$AD:$AD)</f>
        <v>0</v>
      </c>
      <c r="G229" s="775">
        <f>SUMIFS(Sheet1!S71_AdjustmentBudAmnt,Sheet1!S71_SubMunicipalVoteNo,$AC:$AC,Sheet1!S71_A5CapexCode,$AD:$AD)</f>
        <v>0</v>
      </c>
      <c r="H229" s="777">
        <f>SUMIFS(Sheet1!S71_AdjustmentBudAmnt,Sheet1!S71_SubMunicipalVoteNo,$AC:$AC,Sheet1!S71_A5CapexCode,$AD:$AD)</f>
        <v>0</v>
      </c>
      <c r="I229" s="778">
        <f>SUMIFS(Sheet1!CD:CD,Sheet1!S71_SubMunicipalVoteNo,$AC:$AC,Sheet1!S71_A5CapexCode,$AD:$AD)</f>
        <v>0</v>
      </c>
      <c r="J229" s="776">
        <f>SUMIFS(Sheet1!S71_ASBudgetAmount,Sheet1!S71_SubMunicipalVoteNo,$AC:$AC,Sheet1!S71_A5CapexCode,$AD:$AD)</f>
        <v>0</v>
      </c>
      <c r="K229" s="775">
        <f>SUMIFS(Sheet1!S71_OY1BudgetAmount,Sheet1!S71_SubMunicipalVoteNo,$AC:$AC,Sheet1!S71_A5CapexCode,$AD:$AD)</f>
        <v>0</v>
      </c>
      <c r="L229" s="777">
        <f>SUMIFS(Sheet1!S71_OY2BudgetAmount,Sheet1!S71_SubMunicipalVoteNo,$AC:$AC,Sheet1!S71_A5CapexCode,$AD:$AD)</f>
        <v>0</v>
      </c>
      <c r="M229" s="799"/>
      <c r="AC229" s="2312">
        <v>510</v>
      </c>
      <c r="AD229" s="2318" t="s">
        <v>2805</v>
      </c>
    </row>
    <row r="230" spans="1:30" ht="15" customHeight="1" x14ac:dyDescent="0.25">
      <c r="A230" s="135" t="str">
        <f t="shared" si="96"/>
        <v>Vote 6 - Energy Sources</v>
      </c>
      <c r="B230" s="769"/>
      <c r="C230" s="212">
        <f t="shared" ref="C230:L230" si="101">SUM(C231:C240)</f>
        <v>0</v>
      </c>
      <c r="D230" s="212">
        <f t="shared" si="101"/>
        <v>0</v>
      </c>
      <c r="E230" s="213">
        <f t="shared" si="101"/>
        <v>0</v>
      </c>
      <c r="F230" s="214">
        <f t="shared" si="101"/>
        <v>0</v>
      </c>
      <c r="G230" s="212">
        <f t="shared" si="101"/>
        <v>0</v>
      </c>
      <c r="H230" s="213">
        <f t="shared" si="101"/>
        <v>0</v>
      </c>
      <c r="I230" s="215">
        <f t="shared" si="101"/>
        <v>0</v>
      </c>
      <c r="J230" s="214">
        <f t="shared" si="101"/>
        <v>0</v>
      </c>
      <c r="K230" s="212">
        <f t="shared" si="101"/>
        <v>0</v>
      </c>
      <c r="L230" s="213">
        <f t="shared" si="101"/>
        <v>0</v>
      </c>
      <c r="M230" s="322"/>
      <c r="AD230" s="2315"/>
    </row>
    <row r="231" spans="1:30" ht="11.25" customHeight="1" x14ac:dyDescent="0.25">
      <c r="A231" s="136" t="str">
        <f t="shared" si="96"/>
        <v>6.1 - Electricity</v>
      </c>
      <c r="B231" s="711"/>
      <c r="C231" s="775">
        <f>SUMIFS(Sheet1!S71_PPPYearAmount,Sheet1!S71_SubMunicipalVoteNo,$AC:$AC,Sheet1!S71_A5CapexCode,$AD:$AD)</f>
        <v>0</v>
      </c>
      <c r="D231" s="775">
        <f>SUMIFS(Sheet1!S71_PPYearAmount,Sheet1!S71_SubMunicipalVoteNo,$AC:$AC,Sheet1!S71_A5CapexCode,$AD:$AD)</f>
        <v>0</v>
      </c>
      <c r="E231" s="717">
        <f>SUMIFS(Sheet1!S71_PYearAmount,Sheet1!S71_SubMunicipalVoteNo,$AC:$AC,Sheet1!S71_A5CapexCode,$AD:$AD)</f>
        <v>0</v>
      </c>
      <c r="F231" s="776">
        <f>SUMIFS(Sheet1!S71_OriginalBudAmnt,Sheet1!S71_SubMunicipalVoteNo,$AC:$AC,Sheet1!S71_A5CapexCode,$AD:$AD)</f>
        <v>0</v>
      </c>
      <c r="G231" s="775">
        <f>SUMIFS(Sheet1!S71_AdjustmentBudAmnt,Sheet1!S71_SubMunicipalVoteNo,$AC:$AC,Sheet1!S71_A5CapexCode,$AD:$AD)</f>
        <v>0</v>
      </c>
      <c r="H231" s="777">
        <f>SUMIFS(Sheet1!S71_AdjustmentBudAmnt,Sheet1!S71_SubMunicipalVoteNo,$AC:$AC,Sheet1!S71_A5CapexCode,$AD:$AD)</f>
        <v>0</v>
      </c>
      <c r="I231" s="778">
        <f>SUMIFS(Sheet1!CD:CD,Sheet1!S71_SubMunicipalVoteNo,$AC:$AC,Sheet1!S71_A5CapexCode,$AD:$AD)</f>
        <v>0</v>
      </c>
      <c r="J231" s="776">
        <f>SUMIFS(Sheet1!S71_ASBudgetAmount,Sheet1!S71_SubMunicipalVoteNo,$AC:$AC,Sheet1!S71_A5CapexCode,$AD:$AD)</f>
        <v>0</v>
      </c>
      <c r="K231" s="775">
        <f>SUMIFS(Sheet1!S71_OY1BudgetAmount,Sheet1!S71_SubMunicipalVoteNo,$AC:$AC,Sheet1!S71_A5CapexCode,$AD:$AD)</f>
        <v>0</v>
      </c>
      <c r="L231" s="777">
        <f>SUMIFS(Sheet1!S71_OY2BudgetAmount,Sheet1!S71_SubMunicipalVoteNo,$AC:$AC,Sheet1!S71_A5CapexCode,$AD:$AD)</f>
        <v>0</v>
      </c>
      <c r="M231" s="322"/>
      <c r="AC231" s="2312">
        <v>61</v>
      </c>
      <c r="AD231" s="2318" t="s">
        <v>2805</v>
      </c>
    </row>
    <row r="232" spans="1:30" ht="11.25" customHeight="1" x14ac:dyDescent="0.25">
      <c r="A232" s="136" t="str">
        <f t="shared" si="96"/>
        <v/>
      </c>
      <c r="B232" s="711"/>
      <c r="C232" s="775">
        <f>SUMIFS(Sheet1!S71_PPPYearAmount,Sheet1!S71_SubMunicipalVoteNo,$AC:$AC,Sheet1!S71_A5CapexCode,$AD:$AD)</f>
        <v>0</v>
      </c>
      <c r="D232" s="775">
        <f>SUMIFS(Sheet1!S71_PPYearAmount,Sheet1!S71_SubMunicipalVoteNo,$AC:$AC,Sheet1!S71_A5CapexCode,$AD:$AD)</f>
        <v>0</v>
      </c>
      <c r="E232" s="717">
        <f>SUMIFS(Sheet1!S71_PYearAmount,Sheet1!S71_SubMunicipalVoteNo,$AC:$AC,Sheet1!S71_A5CapexCode,$AD:$AD)</f>
        <v>0</v>
      </c>
      <c r="F232" s="776">
        <f>SUMIFS(Sheet1!S71_OriginalBudAmnt,Sheet1!S71_SubMunicipalVoteNo,$AC:$AC,Sheet1!S71_A5CapexCode,$AD:$AD)</f>
        <v>0</v>
      </c>
      <c r="G232" s="775">
        <f>SUMIFS(Sheet1!S71_AdjustmentBudAmnt,Sheet1!S71_SubMunicipalVoteNo,$AC:$AC,Sheet1!S71_A5CapexCode,$AD:$AD)</f>
        <v>0</v>
      </c>
      <c r="H232" s="777">
        <f>SUMIFS(Sheet1!S71_AdjustmentBudAmnt,Sheet1!S71_SubMunicipalVoteNo,$AC:$AC,Sheet1!S71_A5CapexCode,$AD:$AD)</f>
        <v>0</v>
      </c>
      <c r="I232" s="778">
        <f>SUMIFS(Sheet1!CD:CD,Sheet1!S71_SubMunicipalVoteNo,$AC:$AC,Sheet1!S71_A5CapexCode,$AD:$AD)</f>
        <v>0</v>
      </c>
      <c r="J232" s="776">
        <f>SUMIFS(Sheet1!S71_ASBudgetAmount,Sheet1!S71_SubMunicipalVoteNo,$AC:$AC,Sheet1!S71_A5CapexCode,$AD:$AD)</f>
        <v>0</v>
      </c>
      <c r="K232" s="775">
        <f>SUMIFS(Sheet1!S71_OY1BudgetAmount,Sheet1!S71_SubMunicipalVoteNo,$AC:$AC,Sheet1!S71_A5CapexCode,$AD:$AD)</f>
        <v>0</v>
      </c>
      <c r="L232" s="777">
        <f>SUMIFS(Sheet1!S71_OY2BudgetAmount,Sheet1!S71_SubMunicipalVoteNo,$AC:$AC,Sheet1!S71_A5CapexCode,$AD:$AD)</f>
        <v>0</v>
      </c>
      <c r="M232" s="322"/>
      <c r="AC232" s="2312">
        <v>62</v>
      </c>
      <c r="AD232" s="2318" t="s">
        <v>2805</v>
      </c>
    </row>
    <row r="233" spans="1:30" ht="11.25" customHeight="1" x14ac:dyDescent="0.25">
      <c r="A233" s="136" t="str">
        <f t="shared" si="96"/>
        <v/>
      </c>
      <c r="B233" s="711"/>
      <c r="C233" s="775">
        <f>SUMIFS(Sheet1!S71_PPPYearAmount,Sheet1!S71_SubMunicipalVoteNo,$AC:$AC,Sheet1!S71_A5CapexCode,$AD:$AD)</f>
        <v>0</v>
      </c>
      <c r="D233" s="775">
        <f>SUMIFS(Sheet1!S71_PPYearAmount,Sheet1!S71_SubMunicipalVoteNo,$AC:$AC,Sheet1!S71_A5CapexCode,$AD:$AD)</f>
        <v>0</v>
      </c>
      <c r="E233" s="717">
        <f>SUMIFS(Sheet1!S71_PYearAmount,Sheet1!S71_SubMunicipalVoteNo,$AC:$AC,Sheet1!S71_A5CapexCode,$AD:$AD)</f>
        <v>0</v>
      </c>
      <c r="F233" s="776">
        <f>SUMIFS(Sheet1!S71_OriginalBudAmnt,Sheet1!S71_SubMunicipalVoteNo,$AC:$AC,Sheet1!S71_A5CapexCode,$AD:$AD)</f>
        <v>0</v>
      </c>
      <c r="G233" s="775">
        <f>SUMIFS(Sheet1!S71_AdjustmentBudAmnt,Sheet1!S71_SubMunicipalVoteNo,$AC:$AC,Sheet1!S71_A5CapexCode,$AD:$AD)</f>
        <v>0</v>
      </c>
      <c r="H233" s="777">
        <f>SUMIFS(Sheet1!S71_AdjustmentBudAmnt,Sheet1!S71_SubMunicipalVoteNo,$AC:$AC,Sheet1!S71_A5CapexCode,$AD:$AD)</f>
        <v>0</v>
      </c>
      <c r="I233" s="778">
        <f>SUMIFS(Sheet1!CD:CD,Sheet1!S71_SubMunicipalVoteNo,$AC:$AC,Sheet1!S71_A5CapexCode,$AD:$AD)</f>
        <v>0</v>
      </c>
      <c r="J233" s="776">
        <f>SUMIFS(Sheet1!S71_ASBudgetAmount,Sheet1!S71_SubMunicipalVoteNo,$AC:$AC,Sheet1!S71_A5CapexCode,$AD:$AD)</f>
        <v>0</v>
      </c>
      <c r="K233" s="775">
        <f>SUMIFS(Sheet1!S71_OY1BudgetAmount,Sheet1!S71_SubMunicipalVoteNo,$AC:$AC,Sheet1!S71_A5CapexCode,$AD:$AD)</f>
        <v>0</v>
      </c>
      <c r="L233" s="777">
        <f>SUMIFS(Sheet1!S71_OY2BudgetAmount,Sheet1!S71_SubMunicipalVoteNo,$AC:$AC,Sheet1!S71_A5CapexCode,$AD:$AD)</f>
        <v>0</v>
      </c>
      <c r="M233" s="322"/>
      <c r="AC233" s="2312">
        <v>63</v>
      </c>
      <c r="AD233" s="2318" t="s">
        <v>2805</v>
      </c>
    </row>
    <row r="234" spans="1:30" ht="11.25" customHeight="1" x14ac:dyDescent="0.25">
      <c r="A234" s="136" t="str">
        <f t="shared" si="96"/>
        <v/>
      </c>
      <c r="B234" s="711"/>
      <c r="C234" s="775">
        <f>SUMIFS(Sheet1!S71_PPPYearAmount,Sheet1!S71_SubMunicipalVoteNo,$AC:$AC,Sheet1!S71_A5CapexCode,$AD:$AD)</f>
        <v>0</v>
      </c>
      <c r="D234" s="775">
        <f>SUMIFS(Sheet1!S71_PPYearAmount,Sheet1!S71_SubMunicipalVoteNo,$AC:$AC,Sheet1!S71_A5CapexCode,$AD:$AD)</f>
        <v>0</v>
      </c>
      <c r="E234" s="717">
        <f>SUMIFS(Sheet1!S71_PYearAmount,Sheet1!S71_SubMunicipalVoteNo,$AC:$AC,Sheet1!S71_A5CapexCode,$AD:$AD)</f>
        <v>0</v>
      </c>
      <c r="F234" s="776">
        <f>SUMIFS(Sheet1!S71_OriginalBudAmnt,Sheet1!S71_SubMunicipalVoteNo,$AC:$AC,Sheet1!S71_A5CapexCode,$AD:$AD)</f>
        <v>0</v>
      </c>
      <c r="G234" s="775">
        <f>SUMIFS(Sheet1!S71_AdjustmentBudAmnt,Sheet1!S71_SubMunicipalVoteNo,$AC:$AC,Sheet1!S71_A5CapexCode,$AD:$AD)</f>
        <v>0</v>
      </c>
      <c r="H234" s="777">
        <f>SUMIFS(Sheet1!S71_AdjustmentBudAmnt,Sheet1!S71_SubMunicipalVoteNo,$AC:$AC,Sheet1!S71_A5CapexCode,$AD:$AD)</f>
        <v>0</v>
      </c>
      <c r="I234" s="778">
        <f>SUMIFS(Sheet1!CD:CD,Sheet1!S71_SubMunicipalVoteNo,$AC:$AC,Sheet1!S71_A5CapexCode,$AD:$AD)</f>
        <v>0</v>
      </c>
      <c r="J234" s="776">
        <f>SUMIFS(Sheet1!S71_ASBudgetAmount,Sheet1!S71_SubMunicipalVoteNo,$AC:$AC,Sheet1!S71_A5CapexCode,$AD:$AD)</f>
        <v>0</v>
      </c>
      <c r="K234" s="775">
        <f>SUMIFS(Sheet1!S71_OY1BudgetAmount,Sheet1!S71_SubMunicipalVoteNo,$AC:$AC,Sheet1!S71_A5CapexCode,$AD:$AD)</f>
        <v>0</v>
      </c>
      <c r="L234" s="777">
        <f>SUMIFS(Sheet1!S71_OY2BudgetAmount,Sheet1!S71_SubMunicipalVoteNo,$AC:$AC,Sheet1!S71_A5CapexCode,$AD:$AD)</f>
        <v>0</v>
      </c>
      <c r="M234" s="322"/>
      <c r="AC234" s="2312">
        <v>64</v>
      </c>
      <c r="AD234" s="2318" t="s">
        <v>2805</v>
      </c>
    </row>
    <row r="235" spans="1:30" ht="11.25" customHeight="1" x14ac:dyDescent="0.25">
      <c r="A235" s="136" t="str">
        <f t="shared" si="96"/>
        <v/>
      </c>
      <c r="B235" s="711"/>
      <c r="C235" s="775">
        <f>SUMIFS(Sheet1!S71_PPPYearAmount,Sheet1!S71_SubMunicipalVoteNo,$AC:$AC,Sheet1!S71_A5CapexCode,$AD:$AD)</f>
        <v>0</v>
      </c>
      <c r="D235" s="775">
        <f>SUMIFS(Sheet1!S71_PPYearAmount,Sheet1!S71_SubMunicipalVoteNo,$AC:$AC,Sheet1!S71_A5CapexCode,$AD:$AD)</f>
        <v>0</v>
      </c>
      <c r="E235" s="717">
        <f>SUMIFS(Sheet1!S71_PYearAmount,Sheet1!S71_SubMunicipalVoteNo,$AC:$AC,Sheet1!S71_A5CapexCode,$AD:$AD)</f>
        <v>0</v>
      </c>
      <c r="F235" s="776">
        <f>SUMIFS(Sheet1!S71_OriginalBudAmnt,Sheet1!S71_SubMunicipalVoteNo,$AC:$AC,Sheet1!S71_A5CapexCode,$AD:$AD)</f>
        <v>0</v>
      </c>
      <c r="G235" s="775">
        <f>SUMIFS(Sheet1!S71_AdjustmentBudAmnt,Sheet1!S71_SubMunicipalVoteNo,$AC:$AC,Sheet1!S71_A5CapexCode,$AD:$AD)</f>
        <v>0</v>
      </c>
      <c r="H235" s="777">
        <f>SUMIFS(Sheet1!S71_AdjustmentBudAmnt,Sheet1!S71_SubMunicipalVoteNo,$AC:$AC,Sheet1!S71_A5CapexCode,$AD:$AD)</f>
        <v>0</v>
      </c>
      <c r="I235" s="778">
        <f>SUMIFS(Sheet1!CD:CD,Sheet1!S71_SubMunicipalVoteNo,$AC:$AC,Sheet1!S71_A5CapexCode,$AD:$AD)</f>
        <v>0</v>
      </c>
      <c r="J235" s="776">
        <f>SUMIFS(Sheet1!S71_ASBudgetAmount,Sheet1!S71_SubMunicipalVoteNo,$AC:$AC,Sheet1!S71_A5CapexCode,$AD:$AD)</f>
        <v>0</v>
      </c>
      <c r="K235" s="775">
        <f>SUMIFS(Sheet1!S71_OY1BudgetAmount,Sheet1!S71_SubMunicipalVoteNo,$AC:$AC,Sheet1!S71_A5CapexCode,$AD:$AD)</f>
        <v>0</v>
      </c>
      <c r="L235" s="777">
        <f>SUMIFS(Sheet1!S71_OY2BudgetAmount,Sheet1!S71_SubMunicipalVoteNo,$AC:$AC,Sheet1!S71_A5CapexCode,$AD:$AD)</f>
        <v>0</v>
      </c>
      <c r="M235" s="322"/>
      <c r="AC235" s="2312">
        <v>65</v>
      </c>
      <c r="AD235" s="2318" t="s">
        <v>2805</v>
      </c>
    </row>
    <row r="236" spans="1:30" ht="11.25" customHeight="1" x14ac:dyDescent="0.25">
      <c r="A236" s="136" t="str">
        <f t="shared" si="96"/>
        <v/>
      </c>
      <c r="B236" s="711"/>
      <c r="C236" s="775">
        <f>SUMIFS(Sheet1!S71_PPPYearAmount,Sheet1!S71_SubMunicipalVoteNo,$AC:$AC,Sheet1!S71_A5CapexCode,$AD:$AD)</f>
        <v>0</v>
      </c>
      <c r="D236" s="775">
        <f>SUMIFS(Sheet1!S71_PPYearAmount,Sheet1!S71_SubMunicipalVoteNo,$AC:$AC,Sheet1!S71_A5CapexCode,$AD:$AD)</f>
        <v>0</v>
      </c>
      <c r="E236" s="717">
        <f>SUMIFS(Sheet1!S71_PYearAmount,Sheet1!S71_SubMunicipalVoteNo,$AC:$AC,Sheet1!S71_A5CapexCode,$AD:$AD)</f>
        <v>0</v>
      </c>
      <c r="F236" s="776">
        <f>SUMIFS(Sheet1!S71_OriginalBudAmnt,Sheet1!S71_SubMunicipalVoteNo,$AC:$AC,Sheet1!S71_A5CapexCode,$AD:$AD)</f>
        <v>0</v>
      </c>
      <c r="G236" s="775">
        <f>SUMIFS(Sheet1!S71_AdjustmentBudAmnt,Sheet1!S71_SubMunicipalVoteNo,$AC:$AC,Sheet1!S71_A5CapexCode,$AD:$AD)</f>
        <v>0</v>
      </c>
      <c r="H236" s="777">
        <f>SUMIFS(Sheet1!S71_AdjustmentBudAmnt,Sheet1!S71_SubMunicipalVoteNo,$AC:$AC,Sheet1!S71_A5CapexCode,$AD:$AD)</f>
        <v>0</v>
      </c>
      <c r="I236" s="778">
        <f>SUMIFS(Sheet1!CD:CD,Sheet1!S71_SubMunicipalVoteNo,$AC:$AC,Sheet1!S71_A5CapexCode,$AD:$AD)</f>
        <v>0</v>
      </c>
      <c r="J236" s="776">
        <f>SUMIFS(Sheet1!S71_ASBudgetAmount,Sheet1!S71_SubMunicipalVoteNo,$AC:$AC,Sheet1!S71_A5CapexCode,$AD:$AD)</f>
        <v>0</v>
      </c>
      <c r="K236" s="775">
        <f>SUMIFS(Sheet1!S71_OY1BudgetAmount,Sheet1!S71_SubMunicipalVoteNo,$AC:$AC,Sheet1!S71_A5CapexCode,$AD:$AD)</f>
        <v>0</v>
      </c>
      <c r="L236" s="777">
        <f>SUMIFS(Sheet1!S71_OY2BudgetAmount,Sheet1!S71_SubMunicipalVoteNo,$AC:$AC,Sheet1!S71_A5CapexCode,$AD:$AD)</f>
        <v>0</v>
      </c>
      <c r="M236" s="322"/>
      <c r="AC236" s="2312">
        <v>66</v>
      </c>
      <c r="AD236" s="2318" t="s">
        <v>2805</v>
      </c>
    </row>
    <row r="237" spans="1:30" ht="11.25" customHeight="1" x14ac:dyDescent="0.25">
      <c r="A237" s="136" t="str">
        <f t="shared" si="96"/>
        <v/>
      </c>
      <c r="B237" s="711"/>
      <c r="C237" s="775">
        <f>SUMIFS(Sheet1!S71_PPPYearAmount,Sheet1!S71_SubMunicipalVoteNo,$AC:$AC,Sheet1!S71_A5CapexCode,$AD:$AD)</f>
        <v>0</v>
      </c>
      <c r="D237" s="775">
        <f>SUMIFS(Sheet1!S71_PPYearAmount,Sheet1!S71_SubMunicipalVoteNo,$AC:$AC,Sheet1!S71_A5CapexCode,$AD:$AD)</f>
        <v>0</v>
      </c>
      <c r="E237" s="717">
        <f>SUMIFS(Sheet1!S71_PYearAmount,Sheet1!S71_SubMunicipalVoteNo,$AC:$AC,Sheet1!S71_A5CapexCode,$AD:$AD)</f>
        <v>0</v>
      </c>
      <c r="F237" s="776">
        <f>SUMIFS(Sheet1!S71_OriginalBudAmnt,Sheet1!S71_SubMunicipalVoteNo,$AC:$AC,Sheet1!S71_A5CapexCode,$AD:$AD)</f>
        <v>0</v>
      </c>
      <c r="G237" s="775">
        <f>SUMIFS(Sheet1!S71_AdjustmentBudAmnt,Sheet1!S71_SubMunicipalVoteNo,$AC:$AC,Sheet1!S71_A5CapexCode,$AD:$AD)</f>
        <v>0</v>
      </c>
      <c r="H237" s="777">
        <f>SUMIFS(Sheet1!S71_AdjustmentBudAmnt,Sheet1!S71_SubMunicipalVoteNo,$AC:$AC,Sheet1!S71_A5CapexCode,$AD:$AD)</f>
        <v>0</v>
      </c>
      <c r="I237" s="778">
        <f>SUMIFS(Sheet1!CD:CD,Sheet1!S71_SubMunicipalVoteNo,$AC:$AC,Sheet1!S71_A5CapexCode,$AD:$AD)</f>
        <v>0</v>
      </c>
      <c r="J237" s="776">
        <f>SUMIFS(Sheet1!S71_ASBudgetAmount,Sheet1!S71_SubMunicipalVoteNo,$AC:$AC,Sheet1!S71_A5CapexCode,$AD:$AD)</f>
        <v>0</v>
      </c>
      <c r="K237" s="775">
        <f>SUMIFS(Sheet1!S71_OY1BudgetAmount,Sheet1!S71_SubMunicipalVoteNo,$AC:$AC,Sheet1!S71_A5CapexCode,$AD:$AD)</f>
        <v>0</v>
      </c>
      <c r="L237" s="777">
        <f>SUMIFS(Sheet1!S71_OY2BudgetAmount,Sheet1!S71_SubMunicipalVoteNo,$AC:$AC,Sheet1!S71_A5CapexCode,$AD:$AD)</f>
        <v>0</v>
      </c>
      <c r="M237" s="322"/>
      <c r="AC237" s="2312">
        <v>67</v>
      </c>
      <c r="AD237" s="2318" t="s">
        <v>2805</v>
      </c>
    </row>
    <row r="238" spans="1:30" ht="11.25" customHeight="1" x14ac:dyDescent="0.25">
      <c r="A238" s="136" t="str">
        <f t="shared" si="96"/>
        <v/>
      </c>
      <c r="B238" s="711"/>
      <c r="C238" s="775">
        <f>SUMIFS(Sheet1!S71_PPPYearAmount,Sheet1!S71_SubMunicipalVoteNo,$AC:$AC,Sheet1!S71_A5CapexCode,$AD:$AD)</f>
        <v>0</v>
      </c>
      <c r="D238" s="775">
        <f>SUMIFS(Sheet1!S71_PPYearAmount,Sheet1!S71_SubMunicipalVoteNo,$AC:$AC,Sheet1!S71_A5CapexCode,$AD:$AD)</f>
        <v>0</v>
      </c>
      <c r="E238" s="717">
        <f>SUMIFS(Sheet1!S71_PYearAmount,Sheet1!S71_SubMunicipalVoteNo,$AC:$AC,Sheet1!S71_A5CapexCode,$AD:$AD)</f>
        <v>0</v>
      </c>
      <c r="F238" s="776">
        <f>SUMIFS(Sheet1!S71_OriginalBudAmnt,Sheet1!S71_SubMunicipalVoteNo,$AC:$AC,Sheet1!S71_A5CapexCode,$AD:$AD)</f>
        <v>0</v>
      </c>
      <c r="G238" s="775">
        <f>SUMIFS(Sheet1!S71_AdjustmentBudAmnt,Sheet1!S71_SubMunicipalVoteNo,$AC:$AC,Sheet1!S71_A5CapexCode,$AD:$AD)</f>
        <v>0</v>
      </c>
      <c r="H238" s="777">
        <f>SUMIFS(Sheet1!S71_AdjustmentBudAmnt,Sheet1!S71_SubMunicipalVoteNo,$AC:$AC,Sheet1!S71_A5CapexCode,$AD:$AD)</f>
        <v>0</v>
      </c>
      <c r="I238" s="778">
        <f>SUMIFS(Sheet1!CD:CD,Sheet1!S71_SubMunicipalVoteNo,$AC:$AC,Sheet1!S71_A5CapexCode,$AD:$AD)</f>
        <v>0</v>
      </c>
      <c r="J238" s="776">
        <f>SUMIFS(Sheet1!S71_ASBudgetAmount,Sheet1!S71_SubMunicipalVoteNo,$AC:$AC,Sheet1!S71_A5CapexCode,$AD:$AD)</f>
        <v>0</v>
      </c>
      <c r="K238" s="775">
        <f>SUMIFS(Sheet1!S71_OY1BudgetAmount,Sheet1!S71_SubMunicipalVoteNo,$AC:$AC,Sheet1!S71_A5CapexCode,$AD:$AD)</f>
        <v>0</v>
      </c>
      <c r="L238" s="777">
        <f>SUMIFS(Sheet1!S71_OY2BudgetAmount,Sheet1!S71_SubMunicipalVoteNo,$AC:$AC,Sheet1!S71_A5CapexCode,$AD:$AD)</f>
        <v>0</v>
      </c>
      <c r="M238" s="322"/>
      <c r="AC238" s="2312">
        <v>68</v>
      </c>
      <c r="AD238" s="2318" t="s">
        <v>2805</v>
      </c>
    </row>
    <row r="239" spans="1:30" ht="11.25" customHeight="1" x14ac:dyDescent="0.25">
      <c r="A239" s="136" t="str">
        <f t="shared" si="96"/>
        <v/>
      </c>
      <c r="B239" s="711"/>
      <c r="C239" s="775">
        <f>SUMIFS(Sheet1!S71_PPPYearAmount,Sheet1!S71_SubMunicipalVoteNo,$AC:$AC,Sheet1!S71_A5CapexCode,$AD:$AD)</f>
        <v>0</v>
      </c>
      <c r="D239" s="775">
        <f>SUMIFS(Sheet1!S71_PPYearAmount,Sheet1!S71_SubMunicipalVoteNo,$AC:$AC,Sheet1!S71_A5CapexCode,$AD:$AD)</f>
        <v>0</v>
      </c>
      <c r="E239" s="717">
        <f>SUMIFS(Sheet1!S71_PYearAmount,Sheet1!S71_SubMunicipalVoteNo,$AC:$AC,Sheet1!S71_A5CapexCode,$AD:$AD)</f>
        <v>0</v>
      </c>
      <c r="F239" s="776">
        <f>SUMIFS(Sheet1!S71_OriginalBudAmnt,Sheet1!S71_SubMunicipalVoteNo,$AC:$AC,Sheet1!S71_A5CapexCode,$AD:$AD)</f>
        <v>0</v>
      </c>
      <c r="G239" s="775">
        <f>SUMIFS(Sheet1!S71_AdjustmentBudAmnt,Sheet1!S71_SubMunicipalVoteNo,$AC:$AC,Sheet1!S71_A5CapexCode,$AD:$AD)</f>
        <v>0</v>
      </c>
      <c r="H239" s="777">
        <f>SUMIFS(Sheet1!S71_AdjustmentBudAmnt,Sheet1!S71_SubMunicipalVoteNo,$AC:$AC,Sheet1!S71_A5CapexCode,$AD:$AD)</f>
        <v>0</v>
      </c>
      <c r="I239" s="778">
        <f>SUMIFS(Sheet1!CD:CD,Sheet1!S71_SubMunicipalVoteNo,$AC:$AC,Sheet1!S71_A5CapexCode,$AD:$AD)</f>
        <v>0</v>
      </c>
      <c r="J239" s="776">
        <f>SUMIFS(Sheet1!S71_ASBudgetAmount,Sheet1!S71_SubMunicipalVoteNo,$AC:$AC,Sheet1!S71_A5CapexCode,$AD:$AD)</f>
        <v>0</v>
      </c>
      <c r="K239" s="775">
        <f>SUMIFS(Sheet1!S71_OY1BudgetAmount,Sheet1!S71_SubMunicipalVoteNo,$AC:$AC,Sheet1!S71_A5CapexCode,$AD:$AD)</f>
        <v>0</v>
      </c>
      <c r="L239" s="777">
        <f>SUMIFS(Sheet1!S71_OY2BudgetAmount,Sheet1!S71_SubMunicipalVoteNo,$AC:$AC,Sheet1!S71_A5CapexCode,$AD:$AD)</f>
        <v>0</v>
      </c>
      <c r="M239" s="322"/>
      <c r="AC239" s="2312">
        <v>69</v>
      </c>
      <c r="AD239" s="2318" t="s">
        <v>2805</v>
      </c>
    </row>
    <row r="240" spans="1:30" ht="11.25" customHeight="1" x14ac:dyDescent="0.25">
      <c r="A240" s="136" t="str">
        <f t="shared" ref="A240:A303" si="102">A71</f>
        <v/>
      </c>
      <c r="B240" s="711"/>
      <c r="C240" s="775">
        <f>SUMIFS(Sheet1!S71_PPPYearAmount,Sheet1!S71_SubMunicipalVoteNo,$AC:$AC,Sheet1!S71_A5CapexCode,$AD:$AD)</f>
        <v>0</v>
      </c>
      <c r="D240" s="775">
        <f>SUMIFS(Sheet1!S71_PPYearAmount,Sheet1!S71_SubMunicipalVoteNo,$AC:$AC,Sheet1!S71_A5CapexCode,$AD:$AD)</f>
        <v>0</v>
      </c>
      <c r="E240" s="717">
        <f>SUMIFS(Sheet1!S71_PYearAmount,Sheet1!S71_SubMunicipalVoteNo,$AC:$AC,Sheet1!S71_A5CapexCode,$AD:$AD)</f>
        <v>0</v>
      </c>
      <c r="F240" s="776">
        <f>SUMIFS(Sheet1!S71_OriginalBudAmnt,Sheet1!S71_SubMunicipalVoteNo,$AC:$AC,Sheet1!S71_A5CapexCode,$AD:$AD)</f>
        <v>0</v>
      </c>
      <c r="G240" s="775">
        <f>SUMIFS(Sheet1!S71_AdjustmentBudAmnt,Sheet1!S71_SubMunicipalVoteNo,$AC:$AC,Sheet1!S71_A5CapexCode,$AD:$AD)</f>
        <v>0</v>
      </c>
      <c r="H240" s="777">
        <f>SUMIFS(Sheet1!S71_AdjustmentBudAmnt,Sheet1!S71_SubMunicipalVoteNo,$AC:$AC,Sheet1!S71_A5CapexCode,$AD:$AD)</f>
        <v>0</v>
      </c>
      <c r="I240" s="778">
        <f>SUMIFS(Sheet1!CD:CD,Sheet1!S71_SubMunicipalVoteNo,$AC:$AC,Sheet1!S71_A5CapexCode,$AD:$AD)</f>
        <v>0</v>
      </c>
      <c r="J240" s="776">
        <f>SUMIFS(Sheet1!S71_ASBudgetAmount,Sheet1!S71_SubMunicipalVoteNo,$AC:$AC,Sheet1!S71_A5CapexCode,$AD:$AD)</f>
        <v>0</v>
      </c>
      <c r="K240" s="775">
        <f>SUMIFS(Sheet1!S71_OY1BudgetAmount,Sheet1!S71_SubMunicipalVoteNo,$AC:$AC,Sheet1!S71_A5CapexCode,$AD:$AD)</f>
        <v>0</v>
      </c>
      <c r="L240" s="777">
        <f>SUMIFS(Sheet1!S71_OY2BudgetAmount,Sheet1!S71_SubMunicipalVoteNo,$AC:$AC,Sheet1!S71_A5CapexCode,$AD:$AD)</f>
        <v>0</v>
      </c>
      <c r="M240" s="322"/>
      <c r="AC240" s="2312">
        <v>610</v>
      </c>
      <c r="AD240" s="2318" t="s">
        <v>2805</v>
      </c>
    </row>
    <row r="241" spans="1:30" ht="15" customHeight="1" x14ac:dyDescent="0.25">
      <c r="A241" s="135" t="str">
        <f t="shared" si="102"/>
        <v>Vote 7 - Road Transport</v>
      </c>
      <c r="B241" s="769"/>
      <c r="C241" s="212">
        <f t="shared" ref="C241:L241" si="103">SUM(C242:C251)</f>
        <v>54841760</v>
      </c>
      <c r="D241" s="212">
        <f t="shared" si="103"/>
        <v>65641142</v>
      </c>
      <c r="E241" s="213">
        <f t="shared" si="103"/>
        <v>73517349</v>
      </c>
      <c r="F241" s="214">
        <f t="shared" si="103"/>
        <v>9467783</v>
      </c>
      <c r="G241" s="212">
        <f t="shared" si="103"/>
        <v>26602004</v>
      </c>
      <c r="H241" s="213">
        <f t="shared" si="103"/>
        <v>26602004</v>
      </c>
      <c r="I241" s="215">
        <f t="shared" si="103"/>
        <v>94959972</v>
      </c>
      <c r="J241" s="214">
        <f t="shared" si="103"/>
        <v>14590425</v>
      </c>
      <c r="K241" s="212">
        <f t="shared" si="103"/>
        <v>0</v>
      </c>
      <c r="L241" s="213">
        <f t="shared" si="103"/>
        <v>0</v>
      </c>
      <c r="M241" s="322"/>
      <c r="AD241" s="2315"/>
    </row>
    <row r="242" spans="1:30" ht="11.25" customHeight="1" x14ac:dyDescent="0.25">
      <c r="A242" s="136" t="str">
        <f t="shared" si="102"/>
        <v>7.1 - Roads</v>
      </c>
      <c r="B242" s="711"/>
      <c r="C242" s="775">
        <f>SUMIFS(Sheet1!S71_PPPYearAmount,Sheet1!S71_SubMunicipalVoteNo,$AC:$AC,Sheet1!S71_A5CapexCode,$AD:$AD)</f>
        <v>54841760</v>
      </c>
      <c r="D242" s="775">
        <f>SUMIFS(Sheet1!S71_PPYearAmount,Sheet1!S71_SubMunicipalVoteNo,$AC:$AC,Sheet1!S71_A5CapexCode,$AD:$AD)</f>
        <v>65641142</v>
      </c>
      <c r="E242" s="717">
        <f>SUMIFS(Sheet1!S71_PYearAmount,Sheet1!S71_SubMunicipalVoteNo,$AC:$AC,Sheet1!S71_A5CapexCode,$AD:$AD)</f>
        <v>73517349</v>
      </c>
      <c r="F242" s="776">
        <f>SUMIFS(Sheet1!S71_OriginalBudAmnt,Sheet1!S71_SubMunicipalVoteNo,$AC:$AC,Sheet1!S71_A5CapexCode,$AD:$AD)</f>
        <v>9467783</v>
      </c>
      <c r="G242" s="775">
        <f>SUMIFS(Sheet1!S71_AdjustmentBudAmnt,Sheet1!S71_SubMunicipalVoteNo,$AC:$AC,Sheet1!S71_A5CapexCode,$AD:$AD)</f>
        <v>26602004</v>
      </c>
      <c r="H242" s="777">
        <f>SUMIFS(Sheet1!S71_AdjustmentBudAmnt,Sheet1!S71_SubMunicipalVoteNo,$AC:$AC,Sheet1!S71_A5CapexCode,$AD:$AD)</f>
        <v>26602004</v>
      </c>
      <c r="I242" s="778">
        <f>SUMIFS(Sheet1!CD:CD,Sheet1!S71_SubMunicipalVoteNo,$AC:$AC,Sheet1!S71_A5CapexCode,$AD:$AD)</f>
        <v>94959972</v>
      </c>
      <c r="J242" s="776">
        <f>SUMIFS(Sheet1!S71_ASBudgetAmount,Sheet1!S71_SubMunicipalVoteNo,$AC:$AC,Sheet1!S71_A5CapexCode,$AD:$AD)</f>
        <v>14590425</v>
      </c>
      <c r="K242" s="775">
        <f>SUMIFS(Sheet1!S71_OY1BudgetAmount,Sheet1!S71_SubMunicipalVoteNo,$AC:$AC,Sheet1!S71_A5CapexCode,$AD:$AD)</f>
        <v>0</v>
      </c>
      <c r="L242" s="777">
        <f>SUMIFS(Sheet1!S71_OY2BudgetAmount,Sheet1!S71_SubMunicipalVoteNo,$AC:$AC,Sheet1!S71_A5CapexCode,$AD:$AD)</f>
        <v>0</v>
      </c>
      <c r="M242" s="322"/>
      <c r="AC242" s="2312">
        <v>71</v>
      </c>
      <c r="AD242" s="2318" t="s">
        <v>2805</v>
      </c>
    </row>
    <row r="243" spans="1:30" ht="11.25" customHeight="1" x14ac:dyDescent="0.25">
      <c r="A243" s="136" t="str">
        <f t="shared" si="102"/>
        <v/>
      </c>
      <c r="B243" s="711"/>
      <c r="C243" s="775">
        <f>SUMIFS(Sheet1!S71_PPPYearAmount,Sheet1!S71_SubMunicipalVoteNo,$AC:$AC,Sheet1!S71_A5CapexCode,$AD:$AD)</f>
        <v>0</v>
      </c>
      <c r="D243" s="775">
        <f>SUMIFS(Sheet1!S71_PPYearAmount,Sheet1!S71_SubMunicipalVoteNo,$AC:$AC,Sheet1!S71_A5CapexCode,$AD:$AD)</f>
        <v>0</v>
      </c>
      <c r="E243" s="717">
        <f>SUMIFS(Sheet1!S71_PYearAmount,Sheet1!S71_SubMunicipalVoteNo,$AC:$AC,Sheet1!S71_A5CapexCode,$AD:$AD)</f>
        <v>0</v>
      </c>
      <c r="F243" s="776">
        <f>SUMIFS(Sheet1!S71_OriginalBudAmnt,Sheet1!S71_SubMunicipalVoteNo,$AC:$AC,Sheet1!S71_A5CapexCode,$AD:$AD)</f>
        <v>0</v>
      </c>
      <c r="G243" s="775">
        <f>SUMIFS(Sheet1!S71_AdjustmentBudAmnt,Sheet1!S71_SubMunicipalVoteNo,$AC:$AC,Sheet1!S71_A5CapexCode,$AD:$AD)</f>
        <v>0</v>
      </c>
      <c r="H243" s="777">
        <f>SUMIFS(Sheet1!S71_AdjustmentBudAmnt,Sheet1!S71_SubMunicipalVoteNo,$AC:$AC,Sheet1!S71_A5CapexCode,$AD:$AD)</f>
        <v>0</v>
      </c>
      <c r="I243" s="778">
        <f>SUMIFS(Sheet1!CD:CD,Sheet1!S71_SubMunicipalVoteNo,$AC:$AC,Sheet1!S71_A5CapexCode,$AD:$AD)</f>
        <v>0</v>
      </c>
      <c r="J243" s="776">
        <f>SUMIFS(Sheet1!S71_ASBudgetAmount,Sheet1!S71_SubMunicipalVoteNo,$AC:$AC,Sheet1!S71_A5CapexCode,$AD:$AD)</f>
        <v>0</v>
      </c>
      <c r="K243" s="775">
        <f>SUMIFS(Sheet1!S71_OY1BudgetAmount,Sheet1!S71_SubMunicipalVoteNo,$AC:$AC,Sheet1!S71_A5CapexCode,$AD:$AD)</f>
        <v>0</v>
      </c>
      <c r="L243" s="777">
        <f>SUMIFS(Sheet1!S71_OY2BudgetAmount,Sheet1!S71_SubMunicipalVoteNo,$AC:$AC,Sheet1!S71_A5CapexCode,$AD:$AD)</f>
        <v>0</v>
      </c>
      <c r="M243" s="322"/>
      <c r="AC243" s="2312">
        <v>72</v>
      </c>
      <c r="AD243" s="2318" t="s">
        <v>2805</v>
      </c>
    </row>
    <row r="244" spans="1:30" ht="11.25" customHeight="1" x14ac:dyDescent="0.25">
      <c r="A244" s="136" t="str">
        <f t="shared" si="102"/>
        <v/>
      </c>
      <c r="B244" s="711"/>
      <c r="C244" s="775">
        <f>SUMIFS(Sheet1!S71_PPPYearAmount,Sheet1!S71_SubMunicipalVoteNo,$AC:$AC,Sheet1!S71_A5CapexCode,$AD:$AD)</f>
        <v>0</v>
      </c>
      <c r="D244" s="775">
        <f>SUMIFS(Sheet1!S71_PPYearAmount,Sheet1!S71_SubMunicipalVoteNo,$AC:$AC,Sheet1!S71_A5CapexCode,$AD:$AD)</f>
        <v>0</v>
      </c>
      <c r="E244" s="717">
        <f>SUMIFS(Sheet1!S71_PYearAmount,Sheet1!S71_SubMunicipalVoteNo,$AC:$AC,Sheet1!S71_A5CapexCode,$AD:$AD)</f>
        <v>0</v>
      </c>
      <c r="F244" s="776">
        <f>SUMIFS(Sheet1!S71_OriginalBudAmnt,Sheet1!S71_SubMunicipalVoteNo,$AC:$AC,Sheet1!S71_A5CapexCode,$AD:$AD)</f>
        <v>0</v>
      </c>
      <c r="G244" s="775">
        <f>SUMIFS(Sheet1!S71_AdjustmentBudAmnt,Sheet1!S71_SubMunicipalVoteNo,$AC:$AC,Sheet1!S71_A5CapexCode,$AD:$AD)</f>
        <v>0</v>
      </c>
      <c r="H244" s="777">
        <f>SUMIFS(Sheet1!S71_AdjustmentBudAmnt,Sheet1!S71_SubMunicipalVoteNo,$AC:$AC,Sheet1!S71_A5CapexCode,$AD:$AD)</f>
        <v>0</v>
      </c>
      <c r="I244" s="778">
        <f>SUMIFS(Sheet1!CD:CD,Sheet1!S71_SubMunicipalVoteNo,$AC:$AC,Sheet1!S71_A5CapexCode,$AD:$AD)</f>
        <v>0</v>
      </c>
      <c r="J244" s="776">
        <f>SUMIFS(Sheet1!S71_ASBudgetAmount,Sheet1!S71_SubMunicipalVoteNo,$AC:$AC,Sheet1!S71_A5CapexCode,$AD:$AD)</f>
        <v>0</v>
      </c>
      <c r="K244" s="775">
        <f>SUMIFS(Sheet1!S71_OY1BudgetAmount,Sheet1!S71_SubMunicipalVoteNo,$AC:$AC,Sheet1!S71_A5CapexCode,$AD:$AD)</f>
        <v>0</v>
      </c>
      <c r="L244" s="777">
        <f>SUMIFS(Sheet1!S71_OY2BudgetAmount,Sheet1!S71_SubMunicipalVoteNo,$AC:$AC,Sheet1!S71_A5CapexCode,$AD:$AD)</f>
        <v>0</v>
      </c>
      <c r="M244" s="322"/>
      <c r="AC244" s="2312">
        <v>73</v>
      </c>
      <c r="AD244" s="2318" t="s">
        <v>2805</v>
      </c>
    </row>
    <row r="245" spans="1:30" ht="11.25" customHeight="1" x14ac:dyDescent="0.25">
      <c r="A245" s="136" t="str">
        <f t="shared" si="102"/>
        <v/>
      </c>
      <c r="B245" s="711"/>
      <c r="C245" s="775">
        <f>SUMIFS(Sheet1!S71_PPPYearAmount,Sheet1!S71_SubMunicipalVoteNo,$AC:$AC,Sheet1!S71_A5CapexCode,$AD:$AD)</f>
        <v>0</v>
      </c>
      <c r="D245" s="775">
        <f>SUMIFS(Sheet1!S71_PPYearAmount,Sheet1!S71_SubMunicipalVoteNo,$AC:$AC,Sheet1!S71_A5CapexCode,$AD:$AD)</f>
        <v>0</v>
      </c>
      <c r="E245" s="717">
        <f>SUMIFS(Sheet1!S71_PYearAmount,Sheet1!S71_SubMunicipalVoteNo,$AC:$AC,Sheet1!S71_A5CapexCode,$AD:$AD)</f>
        <v>0</v>
      </c>
      <c r="F245" s="776">
        <f>SUMIFS(Sheet1!S71_OriginalBudAmnt,Sheet1!S71_SubMunicipalVoteNo,$AC:$AC,Sheet1!S71_A5CapexCode,$AD:$AD)</f>
        <v>0</v>
      </c>
      <c r="G245" s="775">
        <f>SUMIFS(Sheet1!S71_AdjustmentBudAmnt,Sheet1!S71_SubMunicipalVoteNo,$AC:$AC,Sheet1!S71_A5CapexCode,$AD:$AD)</f>
        <v>0</v>
      </c>
      <c r="H245" s="777">
        <f>SUMIFS(Sheet1!S71_AdjustmentBudAmnt,Sheet1!S71_SubMunicipalVoteNo,$AC:$AC,Sheet1!S71_A5CapexCode,$AD:$AD)</f>
        <v>0</v>
      </c>
      <c r="I245" s="778">
        <f>SUMIFS(Sheet1!CD:CD,Sheet1!S71_SubMunicipalVoteNo,$AC:$AC,Sheet1!S71_A5CapexCode,$AD:$AD)</f>
        <v>0</v>
      </c>
      <c r="J245" s="776">
        <f>SUMIFS(Sheet1!S71_ASBudgetAmount,Sheet1!S71_SubMunicipalVoteNo,$AC:$AC,Sheet1!S71_A5CapexCode,$AD:$AD)</f>
        <v>0</v>
      </c>
      <c r="K245" s="775">
        <f>SUMIFS(Sheet1!S71_OY1BudgetAmount,Sheet1!S71_SubMunicipalVoteNo,$AC:$AC,Sheet1!S71_A5CapexCode,$AD:$AD)</f>
        <v>0</v>
      </c>
      <c r="L245" s="777">
        <f>SUMIFS(Sheet1!S71_OY2BudgetAmount,Sheet1!S71_SubMunicipalVoteNo,$AC:$AC,Sheet1!S71_A5CapexCode,$AD:$AD)</f>
        <v>0</v>
      </c>
      <c r="M245" s="322"/>
      <c r="AC245" s="2312">
        <v>74</v>
      </c>
      <c r="AD245" s="2318" t="s">
        <v>2805</v>
      </c>
    </row>
    <row r="246" spans="1:30" ht="11.25" customHeight="1" x14ac:dyDescent="0.25">
      <c r="A246" s="136" t="str">
        <f t="shared" si="102"/>
        <v/>
      </c>
      <c r="B246" s="711"/>
      <c r="C246" s="775">
        <f>SUMIFS(Sheet1!S71_PPPYearAmount,Sheet1!S71_SubMunicipalVoteNo,$AC:$AC,Sheet1!S71_A5CapexCode,$AD:$AD)</f>
        <v>0</v>
      </c>
      <c r="D246" s="775">
        <f>SUMIFS(Sheet1!S71_PPYearAmount,Sheet1!S71_SubMunicipalVoteNo,$AC:$AC,Sheet1!S71_A5CapexCode,$AD:$AD)</f>
        <v>0</v>
      </c>
      <c r="E246" s="717">
        <f>SUMIFS(Sheet1!S71_PYearAmount,Sheet1!S71_SubMunicipalVoteNo,$AC:$AC,Sheet1!S71_A5CapexCode,$AD:$AD)</f>
        <v>0</v>
      </c>
      <c r="F246" s="776">
        <f>SUMIFS(Sheet1!S71_OriginalBudAmnt,Sheet1!S71_SubMunicipalVoteNo,$AC:$AC,Sheet1!S71_A5CapexCode,$AD:$AD)</f>
        <v>0</v>
      </c>
      <c r="G246" s="775">
        <f>SUMIFS(Sheet1!S71_AdjustmentBudAmnt,Sheet1!S71_SubMunicipalVoteNo,$AC:$AC,Sheet1!S71_A5CapexCode,$AD:$AD)</f>
        <v>0</v>
      </c>
      <c r="H246" s="777">
        <f>SUMIFS(Sheet1!S71_AdjustmentBudAmnt,Sheet1!S71_SubMunicipalVoteNo,$AC:$AC,Sheet1!S71_A5CapexCode,$AD:$AD)</f>
        <v>0</v>
      </c>
      <c r="I246" s="778">
        <f>SUMIFS(Sheet1!CD:CD,Sheet1!S71_SubMunicipalVoteNo,$AC:$AC,Sheet1!S71_A5CapexCode,$AD:$AD)</f>
        <v>0</v>
      </c>
      <c r="J246" s="776">
        <f>SUMIFS(Sheet1!S71_ASBudgetAmount,Sheet1!S71_SubMunicipalVoteNo,$AC:$AC,Sheet1!S71_A5CapexCode,$AD:$AD)</f>
        <v>0</v>
      </c>
      <c r="K246" s="775">
        <f>SUMIFS(Sheet1!S71_OY1BudgetAmount,Sheet1!S71_SubMunicipalVoteNo,$AC:$AC,Sheet1!S71_A5CapexCode,$AD:$AD)</f>
        <v>0</v>
      </c>
      <c r="L246" s="777">
        <f>SUMIFS(Sheet1!S71_OY2BudgetAmount,Sheet1!S71_SubMunicipalVoteNo,$AC:$AC,Sheet1!S71_A5CapexCode,$AD:$AD)</f>
        <v>0</v>
      </c>
      <c r="M246" s="322"/>
      <c r="AC246" s="2312">
        <v>75</v>
      </c>
      <c r="AD246" s="2318" t="s">
        <v>2805</v>
      </c>
    </row>
    <row r="247" spans="1:30" ht="11.25" customHeight="1" x14ac:dyDescent="0.25">
      <c r="A247" s="136" t="str">
        <f t="shared" si="102"/>
        <v/>
      </c>
      <c r="B247" s="711"/>
      <c r="C247" s="775">
        <f>SUMIFS(Sheet1!S71_PPPYearAmount,Sheet1!S71_SubMunicipalVoteNo,$AC:$AC,Sheet1!S71_A5CapexCode,$AD:$AD)</f>
        <v>0</v>
      </c>
      <c r="D247" s="775">
        <f>SUMIFS(Sheet1!S71_PPYearAmount,Sheet1!S71_SubMunicipalVoteNo,$AC:$AC,Sheet1!S71_A5CapexCode,$AD:$AD)</f>
        <v>0</v>
      </c>
      <c r="E247" s="717">
        <f>SUMIFS(Sheet1!S71_PYearAmount,Sheet1!S71_SubMunicipalVoteNo,$AC:$AC,Sheet1!S71_A5CapexCode,$AD:$AD)</f>
        <v>0</v>
      </c>
      <c r="F247" s="776">
        <f>SUMIFS(Sheet1!S71_OriginalBudAmnt,Sheet1!S71_SubMunicipalVoteNo,$AC:$AC,Sheet1!S71_A5CapexCode,$AD:$AD)</f>
        <v>0</v>
      </c>
      <c r="G247" s="775">
        <f>SUMIFS(Sheet1!S71_AdjustmentBudAmnt,Sheet1!S71_SubMunicipalVoteNo,$AC:$AC,Sheet1!S71_A5CapexCode,$AD:$AD)</f>
        <v>0</v>
      </c>
      <c r="H247" s="777">
        <f>SUMIFS(Sheet1!S71_AdjustmentBudAmnt,Sheet1!S71_SubMunicipalVoteNo,$AC:$AC,Sheet1!S71_A5CapexCode,$AD:$AD)</f>
        <v>0</v>
      </c>
      <c r="I247" s="778">
        <f>SUMIFS(Sheet1!CD:CD,Sheet1!S71_SubMunicipalVoteNo,$AC:$AC,Sheet1!S71_A5CapexCode,$AD:$AD)</f>
        <v>0</v>
      </c>
      <c r="J247" s="776">
        <f>SUMIFS(Sheet1!S71_ASBudgetAmount,Sheet1!S71_SubMunicipalVoteNo,$AC:$AC,Sheet1!S71_A5CapexCode,$AD:$AD)</f>
        <v>0</v>
      </c>
      <c r="K247" s="775">
        <f>SUMIFS(Sheet1!S71_OY1BudgetAmount,Sheet1!S71_SubMunicipalVoteNo,$AC:$AC,Sheet1!S71_A5CapexCode,$AD:$AD)</f>
        <v>0</v>
      </c>
      <c r="L247" s="777">
        <f>SUMIFS(Sheet1!S71_OY2BudgetAmount,Sheet1!S71_SubMunicipalVoteNo,$AC:$AC,Sheet1!S71_A5CapexCode,$AD:$AD)</f>
        <v>0</v>
      </c>
      <c r="M247" s="322"/>
      <c r="AC247" s="2312">
        <v>76</v>
      </c>
      <c r="AD247" s="2318" t="s">
        <v>2805</v>
      </c>
    </row>
    <row r="248" spans="1:30" ht="11.25" customHeight="1" x14ac:dyDescent="0.25">
      <c r="A248" s="136" t="str">
        <f t="shared" si="102"/>
        <v/>
      </c>
      <c r="B248" s="711"/>
      <c r="C248" s="775">
        <f>SUMIFS(Sheet1!S71_PPPYearAmount,Sheet1!S71_SubMunicipalVoteNo,$AC:$AC,Sheet1!S71_A5CapexCode,$AD:$AD)</f>
        <v>0</v>
      </c>
      <c r="D248" s="775">
        <f>SUMIFS(Sheet1!S71_PPYearAmount,Sheet1!S71_SubMunicipalVoteNo,$AC:$AC,Sheet1!S71_A5CapexCode,$AD:$AD)</f>
        <v>0</v>
      </c>
      <c r="E248" s="717">
        <f>SUMIFS(Sheet1!S71_PYearAmount,Sheet1!S71_SubMunicipalVoteNo,$AC:$AC,Sheet1!S71_A5CapexCode,$AD:$AD)</f>
        <v>0</v>
      </c>
      <c r="F248" s="776">
        <f>SUMIFS(Sheet1!S71_OriginalBudAmnt,Sheet1!S71_SubMunicipalVoteNo,$AC:$AC,Sheet1!S71_A5CapexCode,$AD:$AD)</f>
        <v>0</v>
      </c>
      <c r="G248" s="775">
        <f>SUMIFS(Sheet1!S71_AdjustmentBudAmnt,Sheet1!S71_SubMunicipalVoteNo,$AC:$AC,Sheet1!S71_A5CapexCode,$AD:$AD)</f>
        <v>0</v>
      </c>
      <c r="H248" s="777">
        <f>SUMIFS(Sheet1!S71_AdjustmentBudAmnt,Sheet1!S71_SubMunicipalVoteNo,$AC:$AC,Sheet1!S71_A5CapexCode,$AD:$AD)</f>
        <v>0</v>
      </c>
      <c r="I248" s="778">
        <f>SUMIFS(Sheet1!CD:CD,Sheet1!S71_SubMunicipalVoteNo,$AC:$AC,Sheet1!S71_A5CapexCode,$AD:$AD)</f>
        <v>0</v>
      </c>
      <c r="J248" s="776">
        <f>SUMIFS(Sheet1!S71_ASBudgetAmount,Sheet1!S71_SubMunicipalVoteNo,$AC:$AC,Sheet1!S71_A5CapexCode,$AD:$AD)</f>
        <v>0</v>
      </c>
      <c r="K248" s="775">
        <f>SUMIFS(Sheet1!S71_OY1BudgetAmount,Sheet1!S71_SubMunicipalVoteNo,$AC:$AC,Sheet1!S71_A5CapexCode,$AD:$AD)</f>
        <v>0</v>
      </c>
      <c r="L248" s="777">
        <f>SUMIFS(Sheet1!S71_OY2BudgetAmount,Sheet1!S71_SubMunicipalVoteNo,$AC:$AC,Sheet1!S71_A5CapexCode,$AD:$AD)</f>
        <v>0</v>
      </c>
      <c r="M248" s="322"/>
      <c r="AC248" s="2312">
        <v>77</v>
      </c>
      <c r="AD248" s="2318" t="s">
        <v>2805</v>
      </c>
    </row>
    <row r="249" spans="1:30" ht="11.25" customHeight="1" x14ac:dyDescent="0.25">
      <c r="A249" s="136" t="str">
        <f t="shared" si="102"/>
        <v/>
      </c>
      <c r="B249" s="711"/>
      <c r="C249" s="775">
        <f>SUMIFS(Sheet1!S71_PPPYearAmount,Sheet1!S71_SubMunicipalVoteNo,$AC:$AC,Sheet1!S71_A5CapexCode,$AD:$AD)</f>
        <v>0</v>
      </c>
      <c r="D249" s="775">
        <f>SUMIFS(Sheet1!S71_PPYearAmount,Sheet1!S71_SubMunicipalVoteNo,$AC:$AC,Sheet1!S71_A5CapexCode,$AD:$AD)</f>
        <v>0</v>
      </c>
      <c r="E249" s="717">
        <f>SUMIFS(Sheet1!S71_PYearAmount,Sheet1!S71_SubMunicipalVoteNo,$AC:$AC,Sheet1!S71_A5CapexCode,$AD:$AD)</f>
        <v>0</v>
      </c>
      <c r="F249" s="776">
        <f>SUMIFS(Sheet1!S71_OriginalBudAmnt,Sheet1!S71_SubMunicipalVoteNo,$AC:$AC,Sheet1!S71_A5CapexCode,$AD:$AD)</f>
        <v>0</v>
      </c>
      <c r="G249" s="775">
        <f>SUMIFS(Sheet1!S71_AdjustmentBudAmnt,Sheet1!S71_SubMunicipalVoteNo,$AC:$AC,Sheet1!S71_A5CapexCode,$AD:$AD)</f>
        <v>0</v>
      </c>
      <c r="H249" s="777">
        <f>SUMIFS(Sheet1!S71_AdjustmentBudAmnt,Sheet1!S71_SubMunicipalVoteNo,$AC:$AC,Sheet1!S71_A5CapexCode,$AD:$AD)</f>
        <v>0</v>
      </c>
      <c r="I249" s="778">
        <f>SUMIFS(Sheet1!CD:CD,Sheet1!S71_SubMunicipalVoteNo,$AC:$AC,Sheet1!S71_A5CapexCode,$AD:$AD)</f>
        <v>0</v>
      </c>
      <c r="J249" s="776">
        <f>SUMIFS(Sheet1!S71_ASBudgetAmount,Sheet1!S71_SubMunicipalVoteNo,$AC:$AC,Sheet1!S71_A5CapexCode,$AD:$AD)</f>
        <v>0</v>
      </c>
      <c r="K249" s="775">
        <f>SUMIFS(Sheet1!S71_OY1BudgetAmount,Sheet1!S71_SubMunicipalVoteNo,$AC:$AC,Sheet1!S71_A5CapexCode,$AD:$AD)</f>
        <v>0</v>
      </c>
      <c r="L249" s="777">
        <f>SUMIFS(Sheet1!S71_OY2BudgetAmount,Sheet1!S71_SubMunicipalVoteNo,$AC:$AC,Sheet1!S71_A5CapexCode,$AD:$AD)</f>
        <v>0</v>
      </c>
      <c r="M249" s="322"/>
      <c r="AC249" s="2312">
        <v>78</v>
      </c>
      <c r="AD249" s="2318" t="s">
        <v>2805</v>
      </c>
    </row>
    <row r="250" spans="1:30" ht="11.25" customHeight="1" x14ac:dyDescent="0.25">
      <c r="A250" s="136" t="str">
        <f t="shared" si="102"/>
        <v/>
      </c>
      <c r="B250" s="711"/>
      <c r="C250" s="775">
        <f>SUMIFS(Sheet1!S71_PPPYearAmount,Sheet1!S71_SubMunicipalVoteNo,$AC:$AC,Sheet1!S71_A5CapexCode,$AD:$AD)</f>
        <v>0</v>
      </c>
      <c r="D250" s="775">
        <f>SUMIFS(Sheet1!S71_PPYearAmount,Sheet1!S71_SubMunicipalVoteNo,$AC:$AC,Sheet1!S71_A5CapexCode,$AD:$AD)</f>
        <v>0</v>
      </c>
      <c r="E250" s="717">
        <f>SUMIFS(Sheet1!S71_PYearAmount,Sheet1!S71_SubMunicipalVoteNo,$AC:$AC,Sheet1!S71_A5CapexCode,$AD:$AD)</f>
        <v>0</v>
      </c>
      <c r="F250" s="776">
        <f>SUMIFS(Sheet1!S71_OriginalBudAmnt,Sheet1!S71_SubMunicipalVoteNo,$AC:$AC,Sheet1!S71_A5CapexCode,$AD:$AD)</f>
        <v>0</v>
      </c>
      <c r="G250" s="775">
        <f>SUMIFS(Sheet1!S71_AdjustmentBudAmnt,Sheet1!S71_SubMunicipalVoteNo,$AC:$AC,Sheet1!S71_A5CapexCode,$AD:$AD)</f>
        <v>0</v>
      </c>
      <c r="H250" s="777">
        <f>SUMIFS(Sheet1!S71_AdjustmentBudAmnt,Sheet1!S71_SubMunicipalVoteNo,$AC:$AC,Sheet1!S71_A5CapexCode,$AD:$AD)</f>
        <v>0</v>
      </c>
      <c r="I250" s="778">
        <f>SUMIFS(Sheet1!CD:CD,Sheet1!S71_SubMunicipalVoteNo,$AC:$AC,Sheet1!S71_A5CapexCode,$AD:$AD)</f>
        <v>0</v>
      </c>
      <c r="J250" s="776">
        <f>SUMIFS(Sheet1!S71_ASBudgetAmount,Sheet1!S71_SubMunicipalVoteNo,$AC:$AC,Sheet1!S71_A5CapexCode,$AD:$AD)</f>
        <v>0</v>
      </c>
      <c r="K250" s="775">
        <f>SUMIFS(Sheet1!S71_OY1BudgetAmount,Sheet1!S71_SubMunicipalVoteNo,$AC:$AC,Sheet1!S71_A5CapexCode,$AD:$AD)</f>
        <v>0</v>
      </c>
      <c r="L250" s="777">
        <f>SUMIFS(Sheet1!S71_OY2BudgetAmount,Sheet1!S71_SubMunicipalVoteNo,$AC:$AC,Sheet1!S71_A5CapexCode,$AD:$AD)</f>
        <v>0</v>
      </c>
      <c r="M250" s="322"/>
      <c r="AC250" s="2312">
        <v>79</v>
      </c>
      <c r="AD250" s="2318" t="s">
        <v>2805</v>
      </c>
    </row>
    <row r="251" spans="1:30" ht="11.25" customHeight="1" x14ac:dyDescent="0.25">
      <c r="A251" s="136" t="str">
        <f t="shared" si="102"/>
        <v/>
      </c>
      <c r="B251" s="711"/>
      <c r="C251" s="775">
        <f>SUMIFS(Sheet1!S71_PPPYearAmount,Sheet1!S71_SubMunicipalVoteNo,$AC:$AC,Sheet1!S71_A5CapexCode,$AD:$AD)</f>
        <v>0</v>
      </c>
      <c r="D251" s="775">
        <f>SUMIFS(Sheet1!S71_PPYearAmount,Sheet1!S71_SubMunicipalVoteNo,$AC:$AC,Sheet1!S71_A5CapexCode,$AD:$AD)</f>
        <v>0</v>
      </c>
      <c r="E251" s="717">
        <f>SUMIFS(Sheet1!S71_PYearAmount,Sheet1!S71_SubMunicipalVoteNo,$AC:$AC,Sheet1!S71_A5CapexCode,$AD:$AD)</f>
        <v>0</v>
      </c>
      <c r="F251" s="776">
        <f>SUMIFS(Sheet1!S71_OriginalBudAmnt,Sheet1!S71_SubMunicipalVoteNo,$AC:$AC,Sheet1!S71_A5CapexCode,$AD:$AD)</f>
        <v>0</v>
      </c>
      <c r="G251" s="775">
        <f>SUMIFS(Sheet1!S71_AdjustmentBudAmnt,Sheet1!S71_SubMunicipalVoteNo,$AC:$AC,Sheet1!S71_A5CapexCode,$AD:$AD)</f>
        <v>0</v>
      </c>
      <c r="H251" s="777">
        <f>SUMIFS(Sheet1!S71_AdjustmentBudAmnt,Sheet1!S71_SubMunicipalVoteNo,$AC:$AC,Sheet1!S71_A5CapexCode,$AD:$AD)</f>
        <v>0</v>
      </c>
      <c r="I251" s="778">
        <f>SUMIFS(Sheet1!CD:CD,Sheet1!S71_SubMunicipalVoteNo,$AC:$AC,Sheet1!S71_A5CapexCode,$AD:$AD)</f>
        <v>0</v>
      </c>
      <c r="J251" s="776">
        <f>SUMIFS(Sheet1!S71_ASBudgetAmount,Sheet1!S71_SubMunicipalVoteNo,$AC:$AC,Sheet1!S71_A5CapexCode,$AD:$AD)</f>
        <v>0</v>
      </c>
      <c r="K251" s="775">
        <f>SUMIFS(Sheet1!S71_OY1BudgetAmount,Sheet1!S71_SubMunicipalVoteNo,$AC:$AC,Sheet1!S71_A5CapexCode,$AD:$AD)</f>
        <v>0</v>
      </c>
      <c r="L251" s="777">
        <f>SUMIFS(Sheet1!S71_OY2BudgetAmount,Sheet1!S71_SubMunicipalVoteNo,$AC:$AC,Sheet1!S71_A5CapexCode,$AD:$AD)</f>
        <v>0</v>
      </c>
      <c r="M251" s="322"/>
      <c r="AC251" s="2312">
        <v>710</v>
      </c>
      <c r="AD251" s="2318" t="s">
        <v>2805</v>
      </c>
    </row>
    <row r="252" spans="1:30" ht="15" customHeight="1" x14ac:dyDescent="0.25">
      <c r="A252" s="135" t="str">
        <f t="shared" si="102"/>
        <v>Vote 8 - Planning and Development</v>
      </c>
      <c r="B252" s="711"/>
      <c r="C252" s="212">
        <f t="shared" ref="C252:L252" si="104">SUM(C253:C262)</f>
        <v>75339699</v>
      </c>
      <c r="D252" s="212">
        <f t="shared" si="104"/>
        <v>90719296</v>
      </c>
      <c r="E252" s="213">
        <f t="shared" si="104"/>
        <v>96606302</v>
      </c>
      <c r="F252" s="214">
        <f t="shared" si="104"/>
        <v>0</v>
      </c>
      <c r="G252" s="212">
        <f t="shared" si="104"/>
        <v>0</v>
      </c>
      <c r="H252" s="213">
        <f t="shared" si="104"/>
        <v>0</v>
      </c>
      <c r="I252" s="215">
        <f t="shared" si="104"/>
        <v>96606302</v>
      </c>
      <c r="J252" s="214">
        <f t="shared" si="104"/>
        <v>0</v>
      </c>
      <c r="K252" s="212">
        <f t="shared" si="104"/>
        <v>0</v>
      </c>
      <c r="L252" s="213">
        <f t="shared" si="104"/>
        <v>0</v>
      </c>
      <c r="M252" s="322"/>
      <c r="AD252" s="2315"/>
    </row>
    <row r="253" spans="1:30" x14ac:dyDescent="0.25">
      <c r="A253" s="136" t="str">
        <f t="shared" si="102"/>
        <v>8.1 - Town Planning, Building Regulations and Enforcement, and City Engineer</v>
      </c>
      <c r="B253" s="711"/>
      <c r="C253" s="775">
        <f>SUMIFS(Sheet1!S71_PPPYearAmount,Sheet1!S71_SubMunicipalVoteNo,$AC:$AC,Sheet1!S71_A5CapexCode,$AD:$AD)</f>
        <v>75339699</v>
      </c>
      <c r="D253" s="775">
        <f>SUMIFS(Sheet1!S71_PPYearAmount,Sheet1!S71_SubMunicipalVoteNo,$AC:$AC,Sheet1!S71_A5CapexCode,$AD:$AD)</f>
        <v>90719296</v>
      </c>
      <c r="E253" s="717">
        <f>SUMIFS(Sheet1!S71_PYearAmount,Sheet1!S71_SubMunicipalVoteNo,$AC:$AC,Sheet1!S71_A5CapexCode,$AD:$AD)</f>
        <v>96606302</v>
      </c>
      <c r="F253" s="776">
        <f>SUMIFS(Sheet1!S71_OriginalBudAmnt,Sheet1!S71_SubMunicipalVoteNo,$AC:$AC,Sheet1!S71_A5CapexCode,$AD:$AD)</f>
        <v>0</v>
      </c>
      <c r="G253" s="775">
        <f>SUMIFS(Sheet1!S71_AdjustmentBudAmnt,Sheet1!S71_SubMunicipalVoteNo,$AC:$AC,Sheet1!S71_A5CapexCode,$AD:$AD)</f>
        <v>0</v>
      </c>
      <c r="H253" s="777">
        <f>SUMIFS(Sheet1!S71_AdjustmentBudAmnt,Sheet1!S71_SubMunicipalVoteNo,$AC:$AC,Sheet1!S71_A5CapexCode,$AD:$AD)</f>
        <v>0</v>
      </c>
      <c r="I253" s="778">
        <f>SUMIFS(Sheet1!CD:CD,Sheet1!S71_SubMunicipalVoteNo,$AC:$AC,Sheet1!S71_A5CapexCode,$AD:$AD)</f>
        <v>96606302</v>
      </c>
      <c r="J253" s="776">
        <f>SUMIFS(Sheet1!S71_ASBudgetAmount,Sheet1!S71_SubMunicipalVoteNo,$AC:$AC,Sheet1!S71_A5CapexCode,$AD:$AD)</f>
        <v>0</v>
      </c>
      <c r="K253" s="775">
        <f>SUMIFS(Sheet1!S71_OY1BudgetAmount,Sheet1!S71_SubMunicipalVoteNo,$AC:$AC,Sheet1!S71_A5CapexCode,$AD:$AD)</f>
        <v>0</v>
      </c>
      <c r="L253" s="777">
        <f>SUMIFS(Sheet1!S71_OY2BudgetAmount,Sheet1!S71_SubMunicipalVoteNo,$AC:$AC,Sheet1!S71_A5CapexCode,$AD:$AD)</f>
        <v>0</v>
      </c>
      <c r="M253" s="322"/>
      <c r="AC253" s="2312">
        <v>81</v>
      </c>
      <c r="AD253" s="2318" t="s">
        <v>2805</v>
      </c>
    </row>
    <row r="254" spans="1:30" x14ac:dyDescent="0.25">
      <c r="A254" s="136" t="str">
        <f t="shared" si="102"/>
        <v>8.2 - Development Facilitation</v>
      </c>
      <c r="B254" s="711"/>
      <c r="C254" s="775">
        <f>SUMIFS(Sheet1!S71_PPPYearAmount,Sheet1!S71_SubMunicipalVoteNo,$AC:$AC,Sheet1!S71_A5CapexCode,$AD:$AD)</f>
        <v>0</v>
      </c>
      <c r="D254" s="775">
        <f>SUMIFS(Sheet1!S71_PPYearAmount,Sheet1!S71_SubMunicipalVoteNo,$AC:$AC,Sheet1!S71_A5CapexCode,$AD:$AD)</f>
        <v>0</v>
      </c>
      <c r="E254" s="717">
        <f>SUMIFS(Sheet1!S71_PYearAmount,Sheet1!S71_SubMunicipalVoteNo,$AC:$AC,Sheet1!S71_A5CapexCode,$AD:$AD)</f>
        <v>0</v>
      </c>
      <c r="F254" s="776">
        <f>SUMIFS(Sheet1!S71_OriginalBudAmnt,Sheet1!S71_SubMunicipalVoteNo,$AC:$AC,Sheet1!S71_A5CapexCode,$AD:$AD)</f>
        <v>0</v>
      </c>
      <c r="G254" s="775">
        <f>SUMIFS(Sheet1!S71_AdjustmentBudAmnt,Sheet1!S71_SubMunicipalVoteNo,$AC:$AC,Sheet1!S71_A5CapexCode,$AD:$AD)</f>
        <v>0</v>
      </c>
      <c r="H254" s="777">
        <f>SUMIFS(Sheet1!S71_AdjustmentBudAmnt,Sheet1!S71_SubMunicipalVoteNo,$AC:$AC,Sheet1!S71_A5CapexCode,$AD:$AD)</f>
        <v>0</v>
      </c>
      <c r="I254" s="778">
        <f>SUMIFS(Sheet1!CD:CD,Sheet1!S71_SubMunicipalVoteNo,$AC:$AC,Sheet1!S71_A5CapexCode,$AD:$AD)</f>
        <v>0</v>
      </c>
      <c r="J254" s="776">
        <f>SUMIFS(Sheet1!S71_ASBudgetAmount,Sheet1!S71_SubMunicipalVoteNo,$AC:$AC,Sheet1!S71_A5CapexCode,$AD:$AD)</f>
        <v>0</v>
      </c>
      <c r="K254" s="775">
        <f>SUMIFS(Sheet1!S71_OY1BudgetAmount,Sheet1!S71_SubMunicipalVoteNo,$AC:$AC,Sheet1!S71_A5CapexCode,$AD:$AD)</f>
        <v>0</v>
      </c>
      <c r="L254" s="777">
        <f>SUMIFS(Sheet1!S71_OY2BudgetAmount,Sheet1!S71_SubMunicipalVoteNo,$AC:$AC,Sheet1!S71_A5CapexCode,$AD:$AD)</f>
        <v>0</v>
      </c>
      <c r="M254" s="322"/>
      <c r="AC254" s="2312">
        <v>82</v>
      </c>
      <c r="AD254" s="2318" t="s">
        <v>2805</v>
      </c>
    </row>
    <row r="255" spans="1:30" x14ac:dyDescent="0.25">
      <c r="A255" s="136" t="str">
        <f t="shared" si="102"/>
        <v>8.3 - Economic Development/Planning</v>
      </c>
      <c r="B255" s="711"/>
      <c r="C255" s="775">
        <f>SUMIFS(Sheet1!S71_PPPYearAmount,Sheet1!S71_SubMunicipalVoteNo,$AC:$AC,Sheet1!S71_A5CapexCode,$AD:$AD)</f>
        <v>0</v>
      </c>
      <c r="D255" s="775">
        <f>SUMIFS(Sheet1!S71_PPYearAmount,Sheet1!S71_SubMunicipalVoteNo,$AC:$AC,Sheet1!S71_A5CapexCode,$AD:$AD)</f>
        <v>0</v>
      </c>
      <c r="E255" s="717">
        <f>SUMIFS(Sheet1!S71_PYearAmount,Sheet1!S71_SubMunicipalVoteNo,$AC:$AC,Sheet1!S71_A5CapexCode,$AD:$AD)</f>
        <v>0</v>
      </c>
      <c r="F255" s="776">
        <f>SUMIFS(Sheet1!S71_OriginalBudAmnt,Sheet1!S71_SubMunicipalVoteNo,$AC:$AC,Sheet1!S71_A5CapexCode,$AD:$AD)</f>
        <v>0</v>
      </c>
      <c r="G255" s="775">
        <f>SUMIFS(Sheet1!S71_AdjustmentBudAmnt,Sheet1!S71_SubMunicipalVoteNo,$AC:$AC,Sheet1!S71_A5CapexCode,$AD:$AD)</f>
        <v>0</v>
      </c>
      <c r="H255" s="777">
        <f>SUMIFS(Sheet1!S71_AdjustmentBudAmnt,Sheet1!S71_SubMunicipalVoteNo,$AC:$AC,Sheet1!S71_A5CapexCode,$AD:$AD)</f>
        <v>0</v>
      </c>
      <c r="I255" s="778">
        <f>SUMIFS(Sheet1!CD:CD,Sheet1!S71_SubMunicipalVoteNo,$AC:$AC,Sheet1!S71_A5CapexCode,$AD:$AD)</f>
        <v>0</v>
      </c>
      <c r="J255" s="776">
        <f>SUMIFS(Sheet1!S71_ASBudgetAmount,Sheet1!S71_SubMunicipalVoteNo,$AC:$AC,Sheet1!S71_A5CapexCode,$AD:$AD)</f>
        <v>0</v>
      </c>
      <c r="K255" s="775">
        <f>SUMIFS(Sheet1!S71_OY1BudgetAmount,Sheet1!S71_SubMunicipalVoteNo,$AC:$AC,Sheet1!S71_A5CapexCode,$AD:$AD)</f>
        <v>0</v>
      </c>
      <c r="L255" s="777">
        <f>SUMIFS(Sheet1!S71_OY2BudgetAmount,Sheet1!S71_SubMunicipalVoteNo,$AC:$AC,Sheet1!S71_A5CapexCode,$AD:$AD)</f>
        <v>0</v>
      </c>
      <c r="M255" s="322"/>
      <c r="AC255" s="2312">
        <v>83</v>
      </c>
      <c r="AD255" s="2318" t="s">
        <v>2805</v>
      </c>
    </row>
    <row r="256" spans="1:30" x14ac:dyDescent="0.25">
      <c r="A256" s="136" t="str">
        <f t="shared" si="102"/>
        <v>8.4 - Regional Planning and Development</v>
      </c>
      <c r="B256" s="711"/>
      <c r="C256" s="775">
        <f>SUMIFS(Sheet1!S71_PPPYearAmount,Sheet1!S71_SubMunicipalVoteNo,$AC:$AC,Sheet1!S71_A5CapexCode,$AD:$AD)</f>
        <v>0</v>
      </c>
      <c r="D256" s="775">
        <f>SUMIFS(Sheet1!S71_PPYearAmount,Sheet1!S71_SubMunicipalVoteNo,$AC:$AC,Sheet1!S71_A5CapexCode,$AD:$AD)</f>
        <v>0</v>
      </c>
      <c r="E256" s="717">
        <f>SUMIFS(Sheet1!S71_PYearAmount,Sheet1!S71_SubMunicipalVoteNo,$AC:$AC,Sheet1!S71_A5CapexCode,$AD:$AD)</f>
        <v>0</v>
      </c>
      <c r="F256" s="776">
        <f>SUMIFS(Sheet1!S71_OriginalBudAmnt,Sheet1!S71_SubMunicipalVoteNo,$AC:$AC,Sheet1!S71_A5CapexCode,$AD:$AD)</f>
        <v>0</v>
      </c>
      <c r="G256" s="775">
        <f>SUMIFS(Sheet1!S71_AdjustmentBudAmnt,Sheet1!S71_SubMunicipalVoteNo,$AC:$AC,Sheet1!S71_A5CapexCode,$AD:$AD)</f>
        <v>0</v>
      </c>
      <c r="H256" s="777">
        <f>SUMIFS(Sheet1!S71_AdjustmentBudAmnt,Sheet1!S71_SubMunicipalVoteNo,$AC:$AC,Sheet1!S71_A5CapexCode,$AD:$AD)</f>
        <v>0</v>
      </c>
      <c r="I256" s="778">
        <f>SUMIFS(Sheet1!CD:CD,Sheet1!S71_SubMunicipalVoteNo,$AC:$AC,Sheet1!S71_A5CapexCode,$AD:$AD)</f>
        <v>0</v>
      </c>
      <c r="J256" s="776">
        <f>SUMIFS(Sheet1!S71_ASBudgetAmount,Sheet1!S71_SubMunicipalVoteNo,$AC:$AC,Sheet1!S71_A5CapexCode,$AD:$AD)</f>
        <v>0</v>
      </c>
      <c r="K256" s="775">
        <f>SUMIFS(Sheet1!S71_OY1BudgetAmount,Sheet1!S71_SubMunicipalVoteNo,$AC:$AC,Sheet1!S71_A5CapexCode,$AD:$AD)</f>
        <v>0</v>
      </c>
      <c r="L256" s="777">
        <f>SUMIFS(Sheet1!S71_OY2BudgetAmount,Sheet1!S71_SubMunicipalVoteNo,$AC:$AC,Sheet1!S71_A5CapexCode,$AD:$AD)</f>
        <v>0</v>
      </c>
      <c r="M256" s="322"/>
      <c r="AC256" s="2312">
        <v>84</v>
      </c>
      <c r="AD256" s="2318" t="s">
        <v>2805</v>
      </c>
    </row>
    <row r="257" spans="1:30" x14ac:dyDescent="0.25">
      <c r="A257" s="136" t="str">
        <f t="shared" si="102"/>
        <v>8.5 - Corporate Wide Strategic Planning (IDPs, LEDs)</v>
      </c>
      <c r="B257" s="711"/>
      <c r="C257" s="775">
        <f>SUMIFS(Sheet1!S71_PPPYearAmount,Sheet1!S71_SubMunicipalVoteNo,$AC:$AC,Sheet1!S71_A5CapexCode,$AD:$AD)</f>
        <v>0</v>
      </c>
      <c r="D257" s="775">
        <f>SUMIFS(Sheet1!S71_PPYearAmount,Sheet1!S71_SubMunicipalVoteNo,$AC:$AC,Sheet1!S71_A5CapexCode,$AD:$AD)</f>
        <v>0</v>
      </c>
      <c r="E257" s="717">
        <f>SUMIFS(Sheet1!S71_PYearAmount,Sheet1!S71_SubMunicipalVoteNo,$AC:$AC,Sheet1!S71_A5CapexCode,$AD:$AD)</f>
        <v>0</v>
      </c>
      <c r="F257" s="776">
        <f>SUMIFS(Sheet1!S71_OriginalBudAmnt,Sheet1!S71_SubMunicipalVoteNo,$AC:$AC,Sheet1!S71_A5CapexCode,$AD:$AD)</f>
        <v>0</v>
      </c>
      <c r="G257" s="775">
        <f>SUMIFS(Sheet1!S71_AdjustmentBudAmnt,Sheet1!S71_SubMunicipalVoteNo,$AC:$AC,Sheet1!S71_A5CapexCode,$AD:$AD)</f>
        <v>0</v>
      </c>
      <c r="H257" s="777">
        <f>SUMIFS(Sheet1!S71_AdjustmentBudAmnt,Sheet1!S71_SubMunicipalVoteNo,$AC:$AC,Sheet1!S71_A5CapexCode,$AD:$AD)</f>
        <v>0</v>
      </c>
      <c r="I257" s="778">
        <f>SUMIFS(Sheet1!CD:CD,Sheet1!S71_SubMunicipalVoteNo,$AC:$AC,Sheet1!S71_A5CapexCode,$AD:$AD)</f>
        <v>0</v>
      </c>
      <c r="J257" s="776">
        <f>SUMIFS(Sheet1!S71_ASBudgetAmount,Sheet1!S71_SubMunicipalVoteNo,$AC:$AC,Sheet1!S71_A5CapexCode,$AD:$AD)</f>
        <v>0</v>
      </c>
      <c r="K257" s="775">
        <f>SUMIFS(Sheet1!S71_OY1BudgetAmount,Sheet1!S71_SubMunicipalVoteNo,$AC:$AC,Sheet1!S71_A5CapexCode,$AD:$AD)</f>
        <v>0</v>
      </c>
      <c r="L257" s="777">
        <f>SUMIFS(Sheet1!S71_OY2BudgetAmount,Sheet1!S71_SubMunicipalVoteNo,$AC:$AC,Sheet1!S71_A5CapexCode,$AD:$AD)</f>
        <v>0</v>
      </c>
      <c r="M257" s="322"/>
      <c r="AC257" s="2312">
        <v>85</v>
      </c>
      <c r="AD257" s="2318" t="s">
        <v>2805</v>
      </c>
    </row>
    <row r="258" spans="1:30" x14ac:dyDescent="0.25">
      <c r="A258" s="136" t="str">
        <f t="shared" si="102"/>
        <v>8.6 - Project Management Unit</v>
      </c>
      <c r="B258" s="711"/>
      <c r="C258" s="775">
        <f>SUMIFS(Sheet1!S71_PPPYearAmount,Sheet1!S71_SubMunicipalVoteNo,$AC:$AC,Sheet1!S71_A5CapexCode,$AD:$AD)</f>
        <v>0</v>
      </c>
      <c r="D258" s="775">
        <f>SUMIFS(Sheet1!S71_PPYearAmount,Sheet1!S71_SubMunicipalVoteNo,$AC:$AC,Sheet1!S71_A5CapexCode,$AD:$AD)</f>
        <v>0</v>
      </c>
      <c r="E258" s="717">
        <f>SUMIFS(Sheet1!S71_PYearAmount,Sheet1!S71_SubMunicipalVoteNo,$AC:$AC,Sheet1!S71_A5CapexCode,$AD:$AD)</f>
        <v>0</v>
      </c>
      <c r="F258" s="776">
        <f>SUMIFS(Sheet1!S71_OriginalBudAmnt,Sheet1!S71_SubMunicipalVoteNo,$AC:$AC,Sheet1!S71_A5CapexCode,$AD:$AD)</f>
        <v>0</v>
      </c>
      <c r="G258" s="775">
        <f>SUMIFS(Sheet1!S71_AdjustmentBudAmnt,Sheet1!S71_SubMunicipalVoteNo,$AC:$AC,Sheet1!S71_A5CapexCode,$AD:$AD)</f>
        <v>0</v>
      </c>
      <c r="H258" s="777">
        <f>SUMIFS(Sheet1!S71_AdjustmentBudAmnt,Sheet1!S71_SubMunicipalVoteNo,$AC:$AC,Sheet1!S71_A5CapexCode,$AD:$AD)</f>
        <v>0</v>
      </c>
      <c r="I258" s="778">
        <f>SUMIFS(Sheet1!CD:CD,Sheet1!S71_SubMunicipalVoteNo,$AC:$AC,Sheet1!S71_A5CapexCode,$AD:$AD)</f>
        <v>0</v>
      </c>
      <c r="J258" s="776">
        <f>SUMIFS(Sheet1!S71_ASBudgetAmount,Sheet1!S71_SubMunicipalVoteNo,$AC:$AC,Sheet1!S71_A5CapexCode,$AD:$AD)</f>
        <v>0</v>
      </c>
      <c r="K258" s="775">
        <f>SUMIFS(Sheet1!S71_OY1BudgetAmount,Sheet1!S71_SubMunicipalVoteNo,$AC:$AC,Sheet1!S71_A5CapexCode,$AD:$AD)</f>
        <v>0</v>
      </c>
      <c r="L258" s="777">
        <f>SUMIFS(Sheet1!S71_OY2BudgetAmount,Sheet1!S71_SubMunicipalVoteNo,$AC:$AC,Sheet1!S71_A5CapexCode,$AD:$AD)</f>
        <v>0</v>
      </c>
      <c r="M258" s="322"/>
      <c r="AC258" s="2312">
        <v>86</v>
      </c>
      <c r="AD258" s="2318" t="s">
        <v>2805</v>
      </c>
    </row>
    <row r="259" spans="1:30" x14ac:dyDescent="0.25">
      <c r="A259" s="136" t="str">
        <f t="shared" si="102"/>
        <v/>
      </c>
      <c r="B259" s="711"/>
      <c r="C259" s="775">
        <f>SUMIFS(Sheet1!S71_PPPYearAmount,Sheet1!S71_SubMunicipalVoteNo,$AC:$AC,Sheet1!S71_A5CapexCode,$AD:$AD)</f>
        <v>0</v>
      </c>
      <c r="D259" s="775">
        <f>SUMIFS(Sheet1!S71_PPYearAmount,Sheet1!S71_SubMunicipalVoteNo,$AC:$AC,Sheet1!S71_A5CapexCode,$AD:$AD)</f>
        <v>0</v>
      </c>
      <c r="E259" s="717">
        <f>SUMIFS(Sheet1!S71_PYearAmount,Sheet1!S71_SubMunicipalVoteNo,$AC:$AC,Sheet1!S71_A5CapexCode,$AD:$AD)</f>
        <v>0</v>
      </c>
      <c r="F259" s="776">
        <f>SUMIFS(Sheet1!S71_OriginalBudAmnt,Sheet1!S71_SubMunicipalVoteNo,$AC:$AC,Sheet1!S71_A5CapexCode,$AD:$AD)</f>
        <v>0</v>
      </c>
      <c r="G259" s="775">
        <f>SUMIFS(Sheet1!S71_AdjustmentBudAmnt,Sheet1!S71_SubMunicipalVoteNo,$AC:$AC,Sheet1!S71_A5CapexCode,$AD:$AD)</f>
        <v>0</v>
      </c>
      <c r="H259" s="777">
        <f>SUMIFS(Sheet1!S71_AdjustmentBudAmnt,Sheet1!S71_SubMunicipalVoteNo,$AC:$AC,Sheet1!S71_A5CapexCode,$AD:$AD)</f>
        <v>0</v>
      </c>
      <c r="I259" s="778">
        <f>SUMIFS(Sheet1!CD:CD,Sheet1!S71_SubMunicipalVoteNo,$AC:$AC,Sheet1!S71_A5CapexCode,$AD:$AD)</f>
        <v>0</v>
      </c>
      <c r="J259" s="776">
        <f>SUMIFS(Sheet1!S71_ASBudgetAmount,Sheet1!S71_SubMunicipalVoteNo,$AC:$AC,Sheet1!S71_A5CapexCode,$AD:$AD)</f>
        <v>0</v>
      </c>
      <c r="K259" s="775">
        <f>SUMIFS(Sheet1!S71_OY1BudgetAmount,Sheet1!S71_SubMunicipalVoteNo,$AC:$AC,Sheet1!S71_A5CapexCode,$AD:$AD)</f>
        <v>0</v>
      </c>
      <c r="L259" s="777">
        <f>SUMIFS(Sheet1!S71_OY2BudgetAmount,Sheet1!S71_SubMunicipalVoteNo,$AC:$AC,Sheet1!S71_A5CapexCode,$AD:$AD)</f>
        <v>0</v>
      </c>
      <c r="M259" s="322"/>
      <c r="AC259" s="2312">
        <v>87</v>
      </c>
      <c r="AD259" s="2318" t="s">
        <v>2805</v>
      </c>
    </row>
    <row r="260" spans="1:30" x14ac:dyDescent="0.25">
      <c r="A260" s="136" t="str">
        <f t="shared" si="102"/>
        <v/>
      </c>
      <c r="B260" s="711"/>
      <c r="C260" s="775">
        <f>SUMIFS(Sheet1!S71_PPPYearAmount,Sheet1!S71_SubMunicipalVoteNo,$AC:$AC,Sheet1!S71_A5CapexCode,$AD:$AD)</f>
        <v>0</v>
      </c>
      <c r="D260" s="775">
        <f>SUMIFS(Sheet1!S71_PPYearAmount,Sheet1!S71_SubMunicipalVoteNo,$AC:$AC,Sheet1!S71_A5CapexCode,$AD:$AD)</f>
        <v>0</v>
      </c>
      <c r="E260" s="717">
        <f>SUMIFS(Sheet1!S71_PYearAmount,Sheet1!S71_SubMunicipalVoteNo,$AC:$AC,Sheet1!S71_A5CapexCode,$AD:$AD)</f>
        <v>0</v>
      </c>
      <c r="F260" s="776">
        <f>SUMIFS(Sheet1!S71_OriginalBudAmnt,Sheet1!S71_SubMunicipalVoteNo,$AC:$AC,Sheet1!S71_A5CapexCode,$AD:$AD)</f>
        <v>0</v>
      </c>
      <c r="G260" s="775">
        <f>SUMIFS(Sheet1!S71_AdjustmentBudAmnt,Sheet1!S71_SubMunicipalVoteNo,$AC:$AC,Sheet1!S71_A5CapexCode,$AD:$AD)</f>
        <v>0</v>
      </c>
      <c r="H260" s="777">
        <f>SUMIFS(Sheet1!S71_AdjustmentBudAmnt,Sheet1!S71_SubMunicipalVoteNo,$AC:$AC,Sheet1!S71_A5CapexCode,$AD:$AD)</f>
        <v>0</v>
      </c>
      <c r="I260" s="778">
        <f>SUMIFS(Sheet1!CD:CD,Sheet1!S71_SubMunicipalVoteNo,$AC:$AC,Sheet1!S71_A5CapexCode,$AD:$AD)</f>
        <v>0</v>
      </c>
      <c r="J260" s="776">
        <f>SUMIFS(Sheet1!S71_ASBudgetAmount,Sheet1!S71_SubMunicipalVoteNo,$AC:$AC,Sheet1!S71_A5CapexCode,$AD:$AD)</f>
        <v>0</v>
      </c>
      <c r="K260" s="775">
        <f>SUMIFS(Sheet1!S71_OY1BudgetAmount,Sheet1!S71_SubMunicipalVoteNo,$AC:$AC,Sheet1!S71_A5CapexCode,$AD:$AD)</f>
        <v>0</v>
      </c>
      <c r="L260" s="777">
        <f>SUMIFS(Sheet1!S71_OY2BudgetAmount,Sheet1!S71_SubMunicipalVoteNo,$AC:$AC,Sheet1!S71_A5CapexCode,$AD:$AD)</f>
        <v>0</v>
      </c>
      <c r="M260" s="322"/>
      <c r="AC260" s="2312">
        <v>88</v>
      </c>
      <c r="AD260" s="2318" t="s">
        <v>2805</v>
      </c>
    </row>
    <row r="261" spans="1:30" x14ac:dyDescent="0.25">
      <c r="A261" s="136" t="str">
        <f t="shared" si="102"/>
        <v/>
      </c>
      <c r="B261" s="711"/>
      <c r="C261" s="775">
        <f>SUMIFS(Sheet1!S71_PPPYearAmount,Sheet1!S71_SubMunicipalVoteNo,$AC:$AC,Sheet1!S71_A5CapexCode,$AD:$AD)</f>
        <v>0</v>
      </c>
      <c r="D261" s="775">
        <f>SUMIFS(Sheet1!S71_PPYearAmount,Sheet1!S71_SubMunicipalVoteNo,$AC:$AC,Sheet1!S71_A5CapexCode,$AD:$AD)</f>
        <v>0</v>
      </c>
      <c r="E261" s="717">
        <f>SUMIFS(Sheet1!S71_PYearAmount,Sheet1!S71_SubMunicipalVoteNo,$AC:$AC,Sheet1!S71_A5CapexCode,$AD:$AD)</f>
        <v>0</v>
      </c>
      <c r="F261" s="776">
        <f>SUMIFS(Sheet1!S71_OriginalBudAmnt,Sheet1!S71_SubMunicipalVoteNo,$AC:$AC,Sheet1!S71_A5CapexCode,$AD:$AD)</f>
        <v>0</v>
      </c>
      <c r="G261" s="775">
        <f>SUMIFS(Sheet1!S71_AdjustmentBudAmnt,Sheet1!S71_SubMunicipalVoteNo,$AC:$AC,Sheet1!S71_A5CapexCode,$AD:$AD)</f>
        <v>0</v>
      </c>
      <c r="H261" s="777">
        <f>SUMIFS(Sheet1!S71_AdjustmentBudAmnt,Sheet1!S71_SubMunicipalVoteNo,$AC:$AC,Sheet1!S71_A5CapexCode,$AD:$AD)</f>
        <v>0</v>
      </c>
      <c r="I261" s="778">
        <f>SUMIFS(Sheet1!CD:CD,Sheet1!S71_SubMunicipalVoteNo,$AC:$AC,Sheet1!S71_A5CapexCode,$AD:$AD)</f>
        <v>0</v>
      </c>
      <c r="J261" s="776">
        <f>SUMIFS(Sheet1!S71_ASBudgetAmount,Sheet1!S71_SubMunicipalVoteNo,$AC:$AC,Sheet1!S71_A5CapexCode,$AD:$AD)</f>
        <v>0</v>
      </c>
      <c r="K261" s="775">
        <f>SUMIFS(Sheet1!S71_OY1BudgetAmount,Sheet1!S71_SubMunicipalVoteNo,$AC:$AC,Sheet1!S71_A5CapexCode,$AD:$AD)</f>
        <v>0</v>
      </c>
      <c r="L261" s="777">
        <f>SUMIFS(Sheet1!S71_OY2BudgetAmount,Sheet1!S71_SubMunicipalVoteNo,$AC:$AC,Sheet1!S71_A5CapexCode,$AD:$AD)</f>
        <v>0</v>
      </c>
      <c r="M261" s="322"/>
      <c r="AC261" s="2312">
        <v>89</v>
      </c>
      <c r="AD261" s="2318" t="s">
        <v>2805</v>
      </c>
    </row>
    <row r="262" spans="1:30" x14ac:dyDescent="0.25">
      <c r="A262" s="136" t="str">
        <f t="shared" si="102"/>
        <v/>
      </c>
      <c r="B262" s="711"/>
      <c r="C262" s="775">
        <f>SUMIFS(Sheet1!S71_PPPYearAmount,Sheet1!S71_SubMunicipalVoteNo,$AC:$AC,Sheet1!S71_A5CapexCode,$AD:$AD)</f>
        <v>0</v>
      </c>
      <c r="D262" s="775">
        <f>SUMIFS(Sheet1!S71_PPYearAmount,Sheet1!S71_SubMunicipalVoteNo,$AC:$AC,Sheet1!S71_A5CapexCode,$AD:$AD)</f>
        <v>0</v>
      </c>
      <c r="E262" s="717">
        <f>SUMIFS(Sheet1!S71_PYearAmount,Sheet1!S71_SubMunicipalVoteNo,$AC:$AC,Sheet1!S71_A5CapexCode,$AD:$AD)</f>
        <v>0</v>
      </c>
      <c r="F262" s="776">
        <f>SUMIFS(Sheet1!S71_OriginalBudAmnt,Sheet1!S71_SubMunicipalVoteNo,$AC:$AC,Sheet1!S71_A5CapexCode,$AD:$AD)</f>
        <v>0</v>
      </c>
      <c r="G262" s="775">
        <f>SUMIFS(Sheet1!S71_AdjustmentBudAmnt,Sheet1!S71_SubMunicipalVoteNo,$AC:$AC,Sheet1!S71_A5CapexCode,$AD:$AD)</f>
        <v>0</v>
      </c>
      <c r="H262" s="777">
        <f>SUMIFS(Sheet1!S71_AdjustmentBudAmnt,Sheet1!S71_SubMunicipalVoteNo,$AC:$AC,Sheet1!S71_A5CapexCode,$AD:$AD)</f>
        <v>0</v>
      </c>
      <c r="I262" s="778">
        <f>SUMIFS(Sheet1!CD:CD,Sheet1!S71_SubMunicipalVoteNo,$AC:$AC,Sheet1!S71_A5CapexCode,$AD:$AD)</f>
        <v>0</v>
      </c>
      <c r="J262" s="776">
        <f>SUMIFS(Sheet1!S71_ASBudgetAmount,Sheet1!S71_SubMunicipalVoteNo,$AC:$AC,Sheet1!S71_A5CapexCode,$AD:$AD)</f>
        <v>0</v>
      </c>
      <c r="K262" s="775">
        <f>SUMIFS(Sheet1!S71_OY1BudgetAmount,Sheet1!S71_SubMunicipalVoteNo,$AC:$AC,Sheet1!S71_A5CapexCode,$AD:$AD)</f>
        <v>0</v>
      </c>
      <c r="L262" s="777">
        <f>SUMIFS(Sheet1!S71_OY2BudgetAmount,Sheet1!S71_SubMunicipalVoteNo,$AC:$AC,Sheet1!S71_A5CapexCode,$AD:$AD)</f>
        <v>0</v>
      </c>
      <c r="M262" s="322"/>
      <c r="AC262" s="2312">
        <v>810</v>
      </c>
      <c r="AD262" s="2318" t="s">
        <v>2805</v>
      </c>
    </row>
    <row r="263" spans="1:30" ht="15" customHeight="1" x14ac:dyDescent="0.25">
      <c r="A263" s="135" t="str">
        <f t="shared" si="102"/>
        <v>Vote 9 - Sport and Recreation</v>
      </c>
      <c r="B263" s="711"/>
      <c r="C263" s="212">
        <f t="shared" ref="C263:L263" si="105">SUM(C264:C273)</f>
        <v>0</v>
      </c>
      <c r="D263" s="212">
        <f t="shared" si="105"/>
        <v>0</v>
      </c>
      <c r="E263" s="213">
        <f t="shared" si="105"/>
        <v>0</v>
      </c>
      <c r="F263" s="214">
        <f t="shared" si="105"/>
        <v>0</v>
      </c>
      <c r="G263" s="212">
        <f t="shared" si="105"/>
        <v>0</v>
      </c>
      <c r="H263" s="213">
        <f t="shared" si="105"/>
        <v>0</v>
      </c>
      <c r="I263" s="215">
        <f t="shared" si="105"/>
        <v>0</v>
      </c>
      <c r="J263" s="214">
        <f t="shared" si="105"/>
        <v>13161000</v>
      </c>
      <c r="K263" s="212">
        <f t="shared" si="105"/>
        <v>0</v>
      </c>
      <c r="L263" s="213">
        <f t="shared" si="105"/>
        <v>0</v>
      </c>
      <c r="M263" s="322"/>
      <c r="AD263" s="2315"/>
    </row>
    <row r="264" spans="1:30" x14ac:dyDescent="0.25">
      <c r="A264" s="136" t="str">
        <f t="shared" si="102"/>
        <v>9.1 - Sports Grounds and Stadiums</v>
      </c>
      <c r="B264" s="711"/>
      <c r="C264" s="775">
        <f>SUMIFS(Sheet1!S71_PPPYearAmount,Sheet1!S71_SubMunicipalVoteNo,$AC:$AC,Sheet1!S71_A5CapexCode,$AD:$AD)</f>
        <v>0</v>
      </c>
      <c r="D264" s="775">
        <f>SUMIFS(Sheet1!S71_PPYearAmount,Sheet1!S71_SubMunicipalVoteNo,$AC:$AC,Sheet1!S71_A5CapexCode,$AD:$AD)</f>
        <v>0</v>
      </c>
      <c r="E264" s="717">
        <f>SUMIFS(Sheet1!S71_PYearAmount,Sheet1!S71_SubMunicipalVoteNo,$AC:$AC,Sheet1!S71_A5CapexCode,$AD:$AD)</f>
        <v>0</v>
      </c>
      <c r="F264" s="776">
        <f>SUMIFS(Sheet1!S71_OriginalBudAmnt,Sheet1!S71_SubMunicipalVoteNo,$AC:$AC,Sheet1!S71_A5CapexCode,$AD:$AD)</f>
        <v>0</v>
      </c>
      <c r="G264" s="775">
        <f>SUMIFS(Sheet1!S71_AdjustmentBudAmnt,Sheet1!S71_SubMunicipalVoteNo,$AC:$AC,Sheet1!S71_A5CapexCode,$AD:$AD)</f>
        <v>0</v>
      </c>
      <c r="H264" s="777">
        <f>SUMIFS(Sheet1!S71_AdjustmentBudAmnt,Sheet1!S71_SubMunicipalVoteNo,$AC:$AC,Sheet1!S71_A5CapexCode,$AD:$AD)</f>
        <v>0</v>
      </c>
      <c r="I264" s="778">
        <f>SUMIFS(Sheet1!CD:CD,Sheet1!S71_SubMunicipalVoteNo,$AC:$AC,Sheet1!S71_A5CapexCode,$AD:$AD)</f>
        <v>0</v>
      </c>
      <c r="J264" s="776">
        <f>SUMIFS(Sheet1!S71_ASBudgetAmount,Sheet1!S71_SubMunicipalVoteNo,$AC:$AC,Sheet1!S71_A5CapexCode,$AD:$AD)</f>
        <v>13161000</v>
      </c>
      <c r="K264" s="775">
        <f>SUMIFS(Sheet1!S71_OY1BudgetAmount,Sheet1!S71_SubMunicipalVoteNo,$AC:$AC,Sheet1!S71_A5CapexCode,$AD:$AD)</f>
        <v>0</v>
      </c>
      <c r="L264" s="777">
        <f>SUMIFS(Sheet1!S71_OY2BudgetAmount,Sheet1!S71_SubMunicipalVoteNo,$AC:$AC,Sheet1!S71_A5CapexCode,$AD:$AD)</f>
        <v>0</v>
      </c>
      <c r="M264" s="322"/>
      <c r="AC264" s="2312">
        <v>91</v>
      </c>
      <c r="AD264" s="2318" t="s">
        <v>2805</v>
      </c>
    </row>
    <row r="265" spans="1:30" x14ac:dyDescent="0.25">
      <c r="A265" s="136" t="str">
        <f t="shared" si="102"/>
        <v/>
      </c>
      <c r="B265" s="711"/>
      <c r="C265" s="775">
        <f>SUMIFS(Sheet1!S71_PPPYearAmount,Sheet1!S71_SubMunicipalVoteNo,$AC:$AC,Sheet1!S71_A5CapexCode,$AD:$AD)</f>
        <v>0</v>
      </c>
      <c r="D265" s="775">
        <f>SUMIFS(Sheet1!S71_PPYearAmount,Sheet1!S71_SubMunicipalVoteNo,$AC:$AC,Sheet1!S71_A5CapexCode,$AD:$AD)</f>
        <v>0</v>
      </c>
      <c r="E265" s="717">
        <f>SUMIFS(Sheet1!S71_PYearAmount,Sheet1!S71_SubMunicipalVoteNo,$AC:$AC,Sheet1!S71_A5CapexCode,$AD:$AD)</f>
        <v>0</v>
      </c>
      <c r="F265" s="776">
        <f>SUMIFS(Sheet1!S71_OriginalBudAmnt,Sheet1!S71_SubMunicipalVoteNo,$AC:$AC,Sheet1!S71_A5CapexCode,$AD:$AD)</f>
        <v>0</v>
      </c>
      <c r="G265" s="775">
        <f>SUMIFS(Sheet1!S71_AdjustmentBudAmnt,Sheet1!S71_SubMunicipalVoteNo,$AC:$AC,Sheet1!S71_A5CapexCode,$AD:$AD)</f>
        <v>0</v>
      </c>
      <c r="H265" s="777">
        <f>SUMIFS(Sheet1!S71_AdjustmentBudAmnt,Sheet1!S71_SubMunicipalVoteNo,$AC:$AC,Sheet1!S71_A5CapexCode,$AD:$AD)</f>
        <v>0</v>
      </c>
      <c r="I265" s="778">
        <f>SUMIFS(Sheet1!CD:CD,Sheet1!S71_SubMunicipalVoteNo,$AC:$AC,Sheet1!S71_A5CapexCode,$AD:$AD)</f>
        <v>0</v>
      </c>
      <c r="J265" s="776">
        <f>SUMIFS(Sheet1!S71_ASBudgetAmount,Sheet1!S71_SubMunicipalVoteNo,$AC:$AC,Sheet1!S71_A5CapexCode,$AD:$AD)</f>
        <v>0</v>
      </c>
      <c r="K265" s="775">
        <f>SUMIFS(Sheet1!S71_OY1BudgetAmount,Sheet1!S71_SubMunicipalVoteNo,$AC:$AC,Sheet1!S71_A5CapexCode,$AD:$AD)</f>
        <v>0</v>
      </c>
      <c r="L265" s="777">
        <f>SUMIFS(Sheet1!S71_OY2BudgetAmount,Sheet1!S71_SubMunicipalVoteNo,$AC:$AC,Sheet1!S71_A5CapexCode,$AD:$AD)</f>
        <v>0</v>
      </c>
      <c r="M265" s="322"/>
      <c r="AC265" s="2312">
        <v>92</v>
      </c>
      <c r="AD265" s="2318" t="s">
        <v>2805</v>
      </c>
    </row>
    <row r="266" spans="1:30" x14ac:dyDescent="0.25">
      <c r="A266" s="136" t="str">
        <f t="shared" si="102"/>
        <v/>
      </c>
      <c r="B266" s="711"/>
      <c r="C266" s="775">
        <f>SUMIFS(Sheet1!S71_PPPYearAmount,Sheet1!S71_SubMunicipalVoteNo,$AC:$AC,Sheet1!S71_A5CapexCode,$AD:$AD)</f>
        <v>0</v>
      </c>
      <c r="D266" s="775">
        <f>SUMIFS(Sheet1!S71_PPYearAmount,Sheet1!S71_SubMunicipalVoteNo,$AC:$AC,Sheet1!S71_A5CapexCode,$AD:$AD)</f>
        <v>0</v>
      </c>
      <c r="E266" s="717">
        <f>SUMIFS(Sheet1!S71_PYearAmount,Sheet1!S71_SubMunicipalVoteNo,$AC:$AC,Sheet1!S71_A5CapexCode,$AD:$AD)</f>
        <v>0</v>
      </c>
      <c r="F266" s="776">
        <f>SUMIFS(Sheet1!S71_OriginalBudAmnt,Sheet1!S71_SubMunicipalVoteNo,$AC:$AC,Sheet1!S71_A5CapexCode,$AD:$AD)</f>
        <v>0</v>
      </c>
      <c r="G266" s="775">
        <f>SUMIFS(Sheet1!S71_AdjustmentBudAmnt,Sheet1!S71_SubMunicipalVoteNo,$AC:$AC,Sheet1!S71_A5CapexCode,$AD:$AD)</f>
        <v>0</v>
      </c>
      <c r="H266" s="777">
        <f>SUMIFS(Sheet1!S71_AdjustmentBudAmnt,Sheet1!S71_SubMunicipalVoteNo,$AC:$AC,Sheet1!S71_A5CapexCode,$AD:$AD)</f>
        <v>0</v>
      </c>
      <c r="I266" s="778">
        <f>SUMIFS(Sheet1!CD:CD,Sheet1!S71_SubMunicipalVoteNo,$AC:$AC,Sheet1!S71_A5CapexCode,$AD:$AD)</f>
        <v>0</v>
      </c>
      <c r="J266" s="776">
        <f>SUMIFS(Sheet1!S71_ASBudgetAmount,Sheet1!S71_SubMunicipalVoteNo,$AC:$AC,Sheet1!S71_A5CapexCode,$AD:$AD)</f>
        <v>0</v>
      </c>
      <c r="K266" s="775">
        <f>SUMIFS(Sheet1!S71_OY1BudgetAmount,Sheet1!S71_SubMunicipalVoteNo,$AC:$AC,Sheet1!S71_A5CapexCode,$AD:$AD)</f>
        <v>0</v>
      </c>
      <c r="L266" s="777">
        <f>SUMIFS(Sheet1!S71_OY2BudgetAmount,Sheet1!S71_SubMunicipalVoteNo,$AC:$AC,Sheet1!S71_A5CapexCode,$AD:$AD)</f>
        <v>0</v>
      </c>
      <c r="M266" s="322"/>
      <c r="AC266" s="2312">
        <v>93</v>
      </c>
      <c r="AD266" s="2318" t="s">
        <v>2805</v>
      </c>
    </row>
    <row r="267" spans="1:30" x14ac:dyDescent="0.25">
      <c r="A267" s="136" t="str">
        <f t="shared" si="102"/>
        <v/>
      </c>
      <c r="B267" s="711"/>
      <c r="C267" s="775">
        <f>SUMIFS(Sheet1!S71_PPPYearAmount,Sheet1!S71_SubMunicipalVoteNo,$AC:$AC,Sheet1!S71_A5CapexCode,$AD:$AD)</f>
        <v>0</v>
      </c>
      <c r="D267" s="775">
        <f>SUMIFS(Sheet1!S71_PPYearAmount,Sheet1!S71_SubMunicipalVoteNo,$AC:$AC,Sheet1!S71_A5CapexCode,$AD:$AD)</f>
        <v>0</v>
      </c>
      <c r="E267" s="717">
        <f>SUMIFS(Sheet1!S71_PYearAmount,Sheet1!S71_SubMunicipalVoteNo,$AC:$AC,Sheet1!S71_A5CapexCode,$AD:$AD)</f>
        <v>0</v>
      </c>
      <c r="F267" s="776">
        <f>SUMIFS(Sheet1!S71_OriginalBudAmnt,Sheet1!S71_SubMunicipalVoteNo,$AC:$AC,Sheet1!S71_A5CapexCode,$AD:$AD)</f>
        <v>0</v>
      </c>
      <c r="G267" s="775">
        <f>SUMIFS(Sheet1!S71_AdjustmentBudAmnt,Sheet1!S71_SubMunicipalVoteNo,$AC:$AC,Sheet1!S71_A5CapexCode,$AD:$AD)</f>
        <v>0</v>
      </c>
      <c r="H267" s="777">
        <f>SUMIFS(Sheet1!S71_AdjustmentBudAmnt,Sheet1!S71_SubMunicipalVoteNo,$AC:$AC,Sheet1!S71_A5CapexCode,$AD:$AD)</f>
        <v>0</v>
      </c>
      <c r="I267" s="778">
        <f>SUMIFS(Sheet1!CD:CD,Sheet1!S71_SubMunicipalVoteNo,$AC:$AC,Sheet1!S71_A5CapexCode,$AD:$AD)</f>
        <v>0</v>
      </c>
      <c r="J267" s="776">
        <f>SUMIFS(Sheet1!S71_ASBudgetAmount,Sheet1!S71_SubMunicipalVoteNo,$AC:$AC,Sheet1!S71_A5CapexCode,$AD:$AD)</f>
        <v>0</v>
      </c>
      <c r="K267" s="775">
        <f>SUMIFS(Sheet1!S71_OY1BudgetAmount,Sheet1!S71_SubMunicipalVoteNo,$AC:$AC,Sheet1!S71_A5CapexCode,$AD:$AD)</f>
        <v>0</v>
      </c>
      <c r="L267" s="777">
        <f>SUMIFS(Sheet1!S71_OY2BudgetAmount,Sheet1!S71_SubMunicipalVoteNo,$AC:$AC,Sheet1!S71_A5CapexCode,$AD:$AD)</f>
        <v>0</v>
      </c>
      <c r="M267" s="322"/>
      <c r="AC267" s="2312">
        <v>94</v>
      </c>
      <c r="AD267" s="2318" t="s">
        <v>2805</v>
      </c>
    </row>
    <row r="268" spans="1:30" x14ac:dyDescent="0.25">
      <c r="A268" s="136" t="str">
        <f t="shared" si="102"/>
        <v/>
      </c>
      <c r="B268" s="711"/>
      <c r="C268" s="775">
        <f>SUMIFS(Sheet1!S71_PPPYearAmount,Sheet1!S71_SubMunicipalVoteNo,$AC:$AC,Sheet1!S71_A5CapexCode,$AD:$AD)</f>
        <v>0</v>
      </c>
      <c r="D268" s="775">
        <f>SUMIFS(Sheet1!S71_PPYearAmount,Sheet1!S71_SubMunicipalVoteNo,$AC:$AC,Sheet1!S71_A5CapexCode,$AD:$AD)</f>
        <v>0</v>
      </c>
      <c r="E268" s="717">
        <f>SUMIFS(Sheet1!S71_PYearAmount,Sheet1!S71_SubMunicipalVoteNo,$AC:$AC,Sheet1!S71_A5CapexCode,$AD:$AD)</f>
        <v>0</v>
      </c>
      <c r="F268" s="776">
        <f>SUMIFS(Sheet1!S71_OriginalBudAmnt,Sheet1!S71_SubMunicipalVoteNo,$AC:$AC,Sheet1!S71_A5CapexCode,$AD:$AD)</f>
        <v>0</v>
      </c>
      <c r="G268" s="775">
        <f>SUMIFS(Sheet1!S71_AdjustmentBudAmnt,Sheet1!S71_SubMunicipalVoteNo,$AC:$AC,Sheet1!S71_A5CapexCode,$AD:$AD)</f>
        <v>0</v>
      </c>
      <c r="H268" s="777">
        <f>SUMIFS(Sheet1!S71_AdjustmentBudAmnt,Sheet1!S71_SubMunicipalVoteNo,$AC:$AC,Sheet1!S71_A5CapexCode,$AD:$AD)</f>
        <v>0</v>
      </c>
      <c r="I268" s="778">
        <f>SUMIFS(Sheet1!CD:CD,Sheet1!S71_SubMunicipalVoteNo,$AC:$AC,Sheet1!S71_A5CapexCode,$AD:$AD)</f>
        <v>0</v>
      </c>
      <c r="J268" s="776">
        <f>SUMIFS(Sheet1!S71_ASBudgetAmount,Sheet1!S71_SubMunicipalVoteNo,$AC:$AC,Sheet1!S71_A5CapexCode,$AD:$AD)</f>
        <v>0</v>
      </c>
      <c r="K268" s="775">
        <f>SUMIFS(Sheet1!S71_OY1BudgetAmount,Sheet1!S71_SubMunicipalVoteNo,$AC:$AC,Sheet1!S71_A5CapexCode,$AD:$AD)</f>
        <v>0</v>
      </c>
      <c r="L268" s="777">
        <f>SUMIFS(Sheet1!S71_OY2BudgetAmount,Sheet1!S71_SubMunicipalVoteNo,$AC:$AC,Sheet1!S71_A5CapexCode,$AD:$AD)</f>
        <v>0</v>
      </c>
      <c r="M268" s="322"/>
      <c r="AC268" s="2312">
        <v>95</v>
      </c>
      <c r="AD268" s="2318" t="s">
        <v>2805</v>
      </c>
    </row>
    <row r="269" spans="1:30" x14ac:dyDescent="0.25">
      <c r="A269" s="136" t="str">
        <f t="shared" si="102"/>
        <v/>
      </c>
      <c r="B269" s="711"/>
      <c r="C269" s="775">
        <f>SUMIFS(Sheet1!S71_PPPYearAmount,Sheet1!S71_SubMunicipalVoteNo,$AC:$AC,Sheet1!S71_A5CapexCode,$AD:$AD)</f>
        <v>0</v>
      </c>
      <c r="D269" s="775">
        <f>SUMIFS(Sheet1!S71_PPYearAmount,Sheet1!S71_SubMunicipalVoteNo,$AC:$AC,Sheet1!S71_A5CapexCode,$AD:$AD)</f>
        <v>0</v>
      </c>
      <c r="E269" s="717">
        <f>SUMIFS(Sheet1!S71_PYearAmount,Sheet1!S71_SubMunicipalVoteNo,$AC:$AC,Sheet1!S71_A5CapexCode,$AD:$AD)</f>
        <v>0</v>
      </c>
      <c r="F269" s="776">
        <f>SUMIFS(Sheet1!S71_OriginalBudAmnt,Sheet1!S71_SubMunicipalVoteNo,$AC:$AC,Sheet1!S71_A5CapexCode,$AD:$AD)</f>
        <v>0</v>
      </c>
      <c r="G269" s="775">
        <f>SUMIFS(Sheet1!S71_AdjustmentBudAmnt,Sheet1!S71_SubMunicipalVoteNo,$AC:$AC,Sheet1!S71_A5CapexCode,$AD:$AD)</f>
        <v>0</v>
      </c>
      <c r="H269" s="777">
        <f>SUMIFS(Sheet1!S71_AdjustmentBudAmnt,Sheet1!S71_SubMunicipalVoteNo,$AC:$AC,Sheet1!S71_A5CapexCode,$AD:$AD)</f>
        <v>0</v>
      </c>
      <c r="I269" s="778">
        <f>SUMIFS(Sheet1!CD:CD,Sheet1!S71_SubMunicipalVoteNo,$AC:$AC,Sheet1!S71_A5CapexCode,$AD:$AD)</f>
        <v>0</v>
      </c>
      <c r="J269" s="776">
        <f>SUMIFS(Sheet1!S71_ASBudgetAmount,Sheet1!S71_SubMunicipalVoteNo,$AC:$AC,Sheet1!S71_A5CapexCode,$AD:$AD)</f>
        <v>0</v>
      </c>
      <c r="K269" s="775">
        <f>SUMIFS(Sheet1!S71_OY1BudgetAmount,Sheet1!S71_SubMunicipalVoteNo,$AC:$AC,Sheet1!S71_A5CapexCode,$AD:$AD)</f>
        <v>0</v>
      </c>
      <c r="L269" s="777">
        <f>SUMIFS(Sheet1!S71_OY2BudgetAmount,Sheet1!S71_SubMunicipalVoteNo,$AC:$AC,Sheet1!S71_A5CapexCode,$AD:$AD)</f>
        <v>0</v>
      </c>
      <c r="M269" s="322"/>
      <c r="AC269" s="2312">
        <v>96</v>
      </c>
      <c r="AD269" s="2318" t="s">
        <v>2805</v>
      </c>
    </row>
    <row r="270" spans="1:30" x14ac:dyDescent="0.25">
      <c r="A270" s="136" t="str">
        <f t="shared" si="102"/>
        <v/>
      </c>
      <c r="B270" s="711"/>
      <c r="C270" s="775">
        <f>SUMIFS(Sheet1!S71_PPPYearAmount,Sheet1!S71_SubMunicipalVoteNo,$AC:$AC,Sheet1!S71_A5CapexCode,$AD:$AD)</f>
        <v>0</v>
      </c>
      <c r="D270" s="775">
        <f>SUMIFS(Sheet1!S71_PPYearAmount,Sheet1!S71_SubMunicipalVoteNo,$AC:$AC,Sheet1!S71_A5CapexCode,$AD:$AD)</f>
        <v>0</v>
      </c>
      <c r="E270" s="717">
        <f>SUMIFS(Sheet1!S71_PYearAmount,Sheet1!S71_SubMunicipalVoteNo,$AC:$AC,Sheet1!S71_A5CapexCode,$AD:$AD)</f>
        <v>0</v>
      </c>
      <c r="F270" s="776">
        <f>SUMIFS(Sheet1!S71_OriginalBudAmnt,Sheet1!S71_SubMunicipalVoteNo,$AC:$AC,Sheet1!S71_A5CapexCode,$AD:$AD)</f>
        <v>0</v>
      </c>
      <c r="G270" s="775">
        <f>SUMIFS(Sheet1!S71_AdjustmentBudAmnt,Sheet1!S71_SubMunicipalVoteNo,$AC:$AC,Sheet1!S71_A5CapexCode,$AD:$AD)</f>
        <v>0</v>
      </c>
      <c r="H270" s="777">
        <f>SUMIFS(Sheet1!S71_AdjustmentBudAmnt,Sheet1!S71_SubMunicipalVoteNo,$AC:$AC,Sheet1!S71_A5CapexCode,$AD:$AD)</f>
        <v>0</v>
      </c>
      <c r="I270" s="778">
        <f>SUMIFS(Sheet1!CD:CD,Sheet1!S71_SubMunicipalVoteNo,$AC:$AC,Sheet1!S71_A5CapexCode,$AD:$AD)</f>
        <v>0</v>
      </c>
      <c r="J270" s="776">
        <f>SUMIFS(Sheet1!S71_ASBudgetAmount,Sheet1!S71_SubMunicipalVoteNo,$AC:$AC,Sheet1!S71_A5CapexCode,$AD:$AD)</f>
        <v>0</v>
      </c>
      <c r="K270" s="775">
        <f>SUMIFS(Sheet1!S71_OY1BudgetAmount,Sheet1!S71_SubMunicipalVoteNo,$AC:$AC,Sheet1!S71_A5CapexCode,$AD:$AD)</f>
        <v>0</v>
      </c>
      <c r="L270" s="777">
        <f>SUMIFS(Sheet1!S71_OY2BudgetAmount,Sheet1!S71_SubMunicipalVoteNo,$AC:$AC,Sheet1!S71_A5CapexCode,$AD:$AD)</f>
        <v>0</v>
      </c>
      <c r="M270" s="322"/>
      <c r="AC270" s="2312">
        <v>97</v>
      </c>
      <c r="AD270" s="2318" t="s">
        <v>2805</v>
      </c>
    </row>
    <row r="271" spans="1:30" x14ac:dyDescent="0.25">
      <c r="A271" s="136" t="str">
        <f t="shared" si="102"/>
        <v/>
      </c>
      <c r="B271" s="711"/>
      <c r="C271" s="775">
        <f>SUMIFS(Sheet1!S71_PPPYearAmount,Sheet1!S71_SubMunicipalVoteNo,$AC:$AC,Sheet1!S71_A5CapexCode,$AD:$AD)</f>
        <v>0</v>
      </c>
      <c r="D271" s="775">
        <f>SUMIFS(Sheet1!S71_PPYearAmount,Sheet1!S71_SubMunicipalVoteNo,$AC:$AC,Sheet1!S71_A5CapexCode,$AD:$AD)</f>
        <v>0</v>
      </c>
      <c r="E271" s="717">
        <f>SUMIFS(Sheet1!S71_PYearAmount,Sheet1!S71_SubMunicipalVoteNo,$AC:$AC,Sheet1!S71_A5CapexCode,$AD:$AD)</f>
        <v>0</v>
      </c>
      <c r="F271" s="776">
        <f>SUMIFS(Sheet1!S71_OriginalBudAmnt,Sheet1!S71_SubMunicipalVoteNo,$AC:$AC,Sheet1!S71_A5CapexCode,$AD:$AD)</f>
        <v>0</v>
      </c>
      <c r="G271" s="775">
        <f>SUMIFS(Sheet1!S71_AdjustmentBudAmnt,Sheet1!S71_SubMunicipalVoteNo,$AC:$AC,Sheet1!S71_A5CapexCode,$AD:$AD)</f>
        <v>0</v>
      </c>
      <c r="H271" s="777">
        <f>SUMIFS(Sheet1!S71_AdjustmentBudAmnt,Sheet1!S71_SubMunicipalVoteNo,$AC:$AC,Sheet1!S71_A5CapexCode,$AD:$AD)</f>
        <v>0</v>
      </c>
      <c r="I271" s="778">
        <f>SUMIFS(Sheet1!CD:CD,Sheet1!S71_SubMunicipalVoteNo,$AC:$AC,Sheet1!S71_A5CapexCode,$AD:$AD)</f>
        <v>0</v>
      </c>
      <c r="J271" s="776">
        <f>SUMIFS(Sheet1!S71_ASBudgetAmount,Sheet1!S71_SubMunicipalVoteNo,$AC:$AC,Sheet1!S71_A5CapexCode,$AD:$AD)</f>
        <v>0</v>
      </c>
      <c r="K271" s="775">
        <f>SUMIFS(Sheet1!S71_OY1BudgetAmount,Sheet1!S71_SubMunicipalVoteNo,$AC:$AC,Sheet1!S71_A5CapexCode,$AD:$AD)</f>
        <v>0</v>
      </c>
      <c r="L271" s="777">
        <f>SUMIFS(Sheet1!S71_OY2BudgetAmount,Sheet1!S71_SubMunicipalVoteNo,$AC:$AC,Sheet1!S71_A5CapexCode,$AD:$AD)</f>
        <v>0</v>
      </c>
      <c r="M271" s="322"/>
      <c r="AC271" s="2312">
        <v>98</v>
      </c>
      <c r="AD271" s="2318" t="s">
        <v>2805</v>
      </c>
    </row>
    <row r="272" spans="1:30" x14ac:dyDescent="0.25">
      <c r="A272" s="136" t="str">
        <f t="shared" si="102"/>
        <v/>
      </c>
      <c r="B272" s="711"/>
      <c r="C272" s="775">
        <f>SUMIFS(Sheet1!S71_PPPYearAmount,Sheet1!S71_SubMunicipalVoteNo,$AC:$AC,Sheet1!S71_A5CapexCode,$AD:$AD)</f>
        <v>0</v>
      </c>
      <c r="D272" s="775">
        <f>SUMIFS(Sheet1!S71_PPYearAmount,Sheet1!S71_SubMunicipalVoteNo,$AC:$AC,Sheet1!S71_A5CapexCode,$AD:$AD)</f>
        <v>0</v>
      </c>
      <c r="E272" s="717">
        <f>SUMIFS(Sheet1!S71_PYearAmount,Sheet1!S71_SubMunicipalVoteNo,$AC:$AC,Sheet1!S71_A5CapexCode,$AD:$AD)</f>
        <v>0</v>
      </c>
      <c r="F272" s="776">
        <f>SUMIFS(Sheet1!S71_OriginalBudAmnt,Sheet1!S71_SubMunicipalVoteNo,$AC:$AC,Sheet1!S71_A5CapexCode,$AD:$AD)</f>
        <v>0</v>
      </c>
      <c r="G272" s="775">
        <f>SUMIFS(Sheet1!S71_AdjustmentBudAmnt,Sheet1!S71_SubMunicipalVoteNo,$AC:$AC,Sheet1!S71_A5CapexCode,$AD:$AD)</f>
        <v>0</v>
      </c>
      <c r="H272" s="777">
        <f>SUMIFS(Sheet1!S71_AdjustmentBudAmnt,Sheet1!S71_SubMunicipalVoteNo,$AC:$AC,Sheet1!S71_A5CapexCode,$AD:$AD)</f>
        <v>0</v>
      </c>
      <c r="I272" s="778">
        <f>SUMIFS(Sheet1!CD:CD,Sheet1!S71_SubMunicipalVoteNo,$AC:$AC,Sheet1!S71_A5CapexCode,$AD:$AD)</f>
        <v>0</v>
      </c>
      <c r="J272" s="776">
        <f>SUMIFS(Sheet1!S71_ASBudgetAmount,Sheet1!S71_SubMunicipalVoteNo,$AC:$AC,Sheet1!S71_A5CapexCode,$AD:$AD)</f>
        <v>0</v>
      </c>
      <c r="K272" s="775">
        <f>SUMIFS(Sheet1!S71_OY1BudgetAmount,Sheet1!S71_SubMunicipalVoteNo,$AC:$AC,Sheet1!S71_A5CapexCode,$AD:$AD)</f>
        <v>0</v>
      </c>
      <c r="L272" s="777">
        <f>SUMIFS(Sheet1!S71_OY2BudgetAmount,Sheet1!S71_SubMunicipalVoteNo,$AC:$AC,Sheet1!S71_A5CapexCode,$AD:$AD)</f>
        <v>0</v>
      </c>
      <c r="M272" s="322"/>
      <c r="AC272" s="2312">
        <v>99</v>
      </c>
      <c r="AD272" s="2318" t="s">
        <v>2805</v>
      </c>
    </row>
    <row r="273" spans="1:30" x14ac:dyDescent="0.25">
      <c r="A273" s="136" t="str">
        <f t="shared" si="102"/>
        <v/>
      </c>
      <c r="B273" s="711"/>
      <c r="C273" s="775">
        <f>SUMIFS(Sheet1!S71_PPPYearAmount,Sheet1!S71_SubMunicipalVoteNo,$AC:$AC,Sheet1!S71_A5CapexCode,$AD:$AD)</f>
        <v>0</v>
      </c>
      <c r="D273" s="775">
        <f>SUMIFS(Sheet1!S71_PPYearAmount,Sheet1!S71_SubMunicipalVoteNo,$AC:$AC,Sheet1!S71_A5CapexCode,$AD:$AD)</f>
        <v>0</v>
      </c>
      <c r="E273" s="717">
        <f>SUMIFS(Sheet1!S71_PYearAmount,Sheet1!S71_SubMunicipalVoteNo,$AC:$AC,Sheet1!S71_A5CapexCode,$AD:$AD)</f>
        <v>0</v>
      </c>
      <c r="F273" s="776">
        <f>SUMIFS(Sheet1!S71_OriginalBudAmnt,Sheet1!S71_SubMunicipalVoteNo,$AC:$AC,Sheet1!S71_A5CapexCode,$AD:$AD)</f>
        <v>0</v>
      </c>
      <c r="G273" s="775">
        <f>SUMIFS(Sheet1!S71_AdjustmentBudAmnt,Sheet1!S71_SubMunicipalVoteNo,$AC:$AC,Sheet1!S71_A5CapexCode,$AD:$AD)</f>
        <v>0</v>
      </c>
      <c r="H273" s="777">
        <f>SUMIFS(Sheet1!S71_AdjustmentBudAmnt,Sheet1!S71_SubMunicipalVoteNo,$AC:$AC,Sheet1!S71_A5CapexCode,$AD:$AD)</f>
        <v>0</v>
      </c>
      <c r="I273" s="778">
        <f>SUMIFS(Sheet1!CD:CD,Sheet1!S71_SubMunicipalVoteNo,$AC:$AC,Sheet1!S71_A5CapexCode,$AD:$AD)</f>
        <v>0</v>
      </c>
      <c r="J273" s="776">
        <f>SUMIFS(Sheet1!S71_ASBudgetAmount,Sheet1!S71_SubMunicipalVoteNo,$AC:$AC,Sheet1!S71_A5CapexCode,$AD:$AD)</f>
        <v>0</v>
      </c>
      <c r="K273" s="775">
        <f>SUMIFS(Sheet1!S71_OY1BudgetAmount,Sheet1!S71_SubMunicipalVoteNo,$AC:$AC,Sheet1!S71_A5CapexCode,$AD:$AD)</f>
        <v>0</v>
      </c>
      <c r="L273" s="777">
        <f>SUMIFS(Sheet1!S71_OY2BudgetAmount,Sheet1!S71_SubMunicipalVoteNo,$AC:$AC,Sheet1!S71_A5CapexCode,$AD:$AD)</f>
        <v>0</v>
      </c>
      <c r="M273" s="322"/>
      <c r="AC273" s="2312">
        <v>910</v>
      </c>
      <c r="AD273" s="2318" t="s">
        <v>2805</v>
      </c>
    </row>
    <row r="274" spans="1:30" ht="15" customHeight="1" x14ac:dyDescent="0.25">
      <c r="A274" s="135" t="str">
        <f t="shared" si="102"/>
        <v>Vote 10 - Public Safety</v>
      </c>
      <c r="B274" s="711"/>
      <c r="C274" s="212">
        <f t="shared" ref="C274:L274" si="106">SUM(C275:C284)</f>
        <v>0</v>
      </c>
      <c r="D274" s="212">
        <f t="shared" si="106"/>
        <v>0</v>
      </c>
      <c r="E274" s="213">
        <f t="shared" si="106"/>
        <v>0</v>
      </c>
      <c r="F274" s="214">
        <f t="shared" si="106"/>
        <v>0</v>
      </c>
      <c r="G274" s="212">
        <f t="shared" si="106"/>
        <v>0</v>
      </c>
      <c r="H274" s="213">
        <f t="shared" si="106"/>
        <v>0</v>
      </c>
      <c r="I274" s="215">
        <f t="shared" si="106"/>
        <v>0</v>
      </c>
      <c r="J274" s="214">
        <f t="shared" si="106"/>
        <v>0</v>
      </c>
      <c r="K274" s="212">
        <f t="shared" si="106"/>
        <v>0</v>
      </c>
      <c r="L274" s="213">
        <f t="shared" si="106"/>
        <v>0</v>
      </c>
      <c r="M274" s="322"/>
      <c r="AD274" s="2315"/>
    </row>
    <row r="275" spans="1:30" x14ac:dyDescent="0.25">
      <c r="A275" s="136" t="str">
        <f t="shared" si="102"/>
        <v>10.1 - Fire Fighting and Protection</v>
      </c>
      <c r="B275" s="711"/>
      <c r="C275" s="775">
        <f>SUMIFS(Sheet1!S71_PPPYearAmount,Sheet1!S71_SubMunicipalVoteNo,$AC:$AC,Sheet1!S71_A5CapexCode,$AD:$AD)</f>
        <v>0</v>
      </c>
      <c r="D275" s="775">
        <f>SUMIFS(Sheet1!S71_PPYearAmount,Sheet1!S71_SubMunicipalVoteNo,$AC:$AC,Sheet1!S71_A5CapexCode,$AD:$AD)</f>
        <v>0</v>
      </c>
      <c r="E275" s="717">
        <f>SUMIFS(Sheet1!S71_PYearAmount,Sheet1!S71_SubMunicipalVoteNo,$AC:$AC,Sheet1!S71_A5CapexCode,$AD:$AD)</f>
        <v>0</v>
      </c>
      <c r="F275" s="776">
        <f>SUMIFS(Sheet1!S71_OriginalBudAmnt,Sheet1!S71_SubMunicipalVoteNo,$AC:$AC,Sheet1!S71_A5CapexCode,$AD:$AD)</f>
        <v>0</v>
      </c>
      <c r="G275" s="775">
        <f>SUMIFS(Sheet1!S71_AdjustmentBudAmnt,Sheet1!S71_SubMunicipalVoteNo,$AC:$AC,Sheet1!S71_A5CapexCode,$AD:$AD)</f>
        <v>0</v>
      </c>
      <c r="H275" s="777">
        <f>SUMIFS(Sheet1!S71_AdjustmentBudAmnt,Sheet1!S71_SubMunicipalVoteNo,$AC:$AC,Sheet1!S71_A5CapexCode,$AD:$AD)</f>
        <v>0</v>
      </c>
      <c r="I275" s="778">
        <f>SUMIFS(Sheet1!CD:CD,Sheet1!S71_SubMunicipalVoteNo,$AC:$AC,Sheet1!S71_A5CapexCode,$AD:$AD)</f>
        <v>0</v>
      </c>
      <c r="J275" s="776">
        <f>SUMIFS(Sheet1!S71_ASBudgetAmount,Sheet1!S71_SubMunicipalVoteNo,$AC:$AC,Sheet1!S71_A5CapexCode,$AD:$AD)</f>
        <v>0</v>
      </c>
      <c r="K275" s="775">
        <f>SUMIFS(Sheet1!S71_OY1BudgetAmount,Sheet1!S71_SubMunicipalVoteNo,$AC:$AC,Sheet1!S71_A5CapexCode,$AD:$AD)</f>
        <v>0</v>
      </c>
      <c r="L275" s="777">
        <f>SUMIFS(Sheet1!S71_OY2BudgetAmount,Sheet1!S71_SubMunicipalVoteNo,$AC:$AC,Sheet1!S71_A5CapexCode,$AD:$AD)</f>
        <v>0</v>
      </c>
      <c r="M275" s="322"/>
      <c r="AC275" s="2312">
        <v>101</v>
      </c>
      <c r="AD275" s="2318" t="s">
        <v>2805</v>
      </c>
    </row>
    <row r="276" spans="1:30" x14ac:dyDescent="0.25">
      <c r="A276" s="136" t="str">
        <f t="shared" si="102"/>
        <v>10.2 - Fencing and Fences</v>
      </c>
      <c r="B276" s="711"/>
      <c r="C276" s="775">
        <f>SUMIFS(Sheet1!S71_PPPYearAmount,Sheet1!S71_SubMunicipalVoteNo,$AC:$AC,Sheet1!S71_A5CapexCode,$AD:$AD)</f>
        <v>0</v>
      </c>
      <c r="D276" s="775">
        <f>SUMIFS(Sheet1!S71_PPYearAmount,Sheet1!S71_SubMunicipalVoteNo,$AC:$AC,Sheet1!S71_A5CapexCode,$AD:$AD)</f>
        <v>0</v>
      </c>
      <c r="E276" s="717">
        <f>SUMIFS(Sheet1!S71_PYearAmount,Sheet1!S71_SubMunicipalVoteNo,$AC:$AC,Sheet1!S71_A5CapexCode,$AD:$AD)</f>
        <v>0</v>
      </c>
      <c r="F276" s="776">
        <f>SUMIFS(Sheet1!S71_OriginalBudAmnt,Sheet1!S71_SubMunicipalVoteNo,$AC:$AC,Sheet1!S71_A5CapexCode,$AD:$AD)</f>
        <v>0</v>
      </c>
      <c r="G276" s="775">
        <f>SUMIFS(Sheet1!S71_AdjustmentBudAmnt,Sheet1!S71_SubMunicipalVoteNo,$AC:$AC,Sheet1!S71_A5CapexCode,$AD:$AD)</f>
        <v>0</v>
      </c>
      <c r="H276" s="777">
        <f>SUMIFS(Sheet1!S71_AdjustmentBudAmnt,Sheet1!S71_SubMunicipalVoteNo,$AC:$AC,Sheet1!S71_A5CapexCode,$AD:$AD)</f>
        <v>0</v>
      </c>
      <c r="I276" s="778">
        <f>SUMIFS(Sheet1!CD:CD,Sheet1!S71_SubMunicipalVoteNo,$AC:$AC,Sheet1!S71_A5CapexCode,$AD:$AD)</f>
        <v>0</v>
      </c>
      <c r="J276" s="776">
        <f>SUMIFS(Sheet1!S71_ASBudgetAmount,Sheet1!S71_SubMunicipalVoteNo,$AC:$AC,Sheet1!S71_A5CapexCode,$AD:$AD)</f>
        <v>0</v>
      </c>
      <c r="K276" s="775">
        <f>SUMIFS(Sheet1!S71_OY1BudgetAmount,Sheet1!S71_SubMunicipalVoteNo,$AC:$AC,Sheet1!S71_A5CapexCode,$AD:$AD)</f>
        <v>0</v>
      </c>
      <c r="L276" s="777">
        <f>SUMIFS(Sheet1!S71_OY2BudgetAmount,Sheet1!S71_SubMunicipalVoteNo,$AC:$AC,Sheet1!S71_A5CapexCode,$AD:$AD)</f>
        <v>0</v>
      </c>
      <c r="M276" s="322"/>
      <c r="AC276" s="2312">
        <v>102</v>
      </c>
      <c r="AD276" s="2318" t="s">
        <v>2805</v>
      </c>
    </row>
    <row r="277" spans="1:30" x14ac:dyDescent="0.25">
      <c r="A277" s="136" t="str">
        <f t="shared" si="102"/>
        <v/>
      </c>
      <c r="B277" s="711"/>
      <c r="C277" s="775">
        <f>SUMIFS(Sheet1!S71_PPPYearAmount,Sheet1!S71_SubMunicipalVoteNo,$AC:$AC,Sheet1!S71_A5CapexCode,$AD:$AD)</f>
        <v>0</v>
      </c>
      <c r="D277" s="775">
        <f>SUMIFS(Sheet1!S71_PPYearAmount,Sheet1!S71_SubMunicipalVoteNo,$AC:$AC,Sheet1!S71_A5CapexCode,$AD:$AD)</f>
        <v>0</v>
      </c>
      <c r="E277" s="717">
        <f>SUMIFS(Sheet1!S71_PYearAmount,Sheet1!S71_SubMunicipalVoteNo,$AC:$AC,Sheet1!S71_A5CapexCode,$AD:$AD)</f>
        <v>0</v>
      </c>
      <c r="F277" s="776">
        <f>SUMIFS(Sheet1!S71_OriginalBudAmnt,Sheet1!S71_SubMunicipalVoteNo,$AC:$AC,Sheet1!S71_A5CapexCode,$AD:$AD)</f>
        <v>0</v>
      </c>
      <c r="G277" s="775">
        <f>SUMIFS(Sheet1!S71_AdjustmentBudAmnt,Sheet1!S71_SubMunicipalVoteNo,$AC:$AC,Sheet1!S71_A5CapexCode,$AD:$AD)</f>
        <v>0</v>
      </c>
      <c r="H277" s="777">
        <f>SUMIFS(Sheet1!S71_AdjustmentBudAmnt,Sheet1!S71_SubMunicipalVoteNo,$AC:$AC,Sheet1!S71_A5CapexCode,$AD:$AD)</f>
        <v>0</v>
      </c>
      <c r="I277" s="778">
        <f>SUMIFS(Sheet1!CD:CD,Sheet1!S71_SubMunicipalVoteNo,$AC:$AC,Sheet1!S71_A5CapexCode,$AD:$AD)</f>
        <v>0</v>
      </c>
      <c r="J277" s="776">
        <f>SUMIFS(Sheet1!S71_ASBudgetAmount,Sheet1!S71_SubMunicipalVoteNo,$AC:$AC,Sheet1!S71_A5CapexCode,$AD:$AD)</f>
        <v>0</v>
      </c>
      <c r="K277" s="775">
        <f>SUMIFS(Sheet1!S71_OY1BudgetAmount,Sheet1!S71_SubMunicipalVoteNo,$AC:$AC,Sheet1!S71_A5CapexCode,$AD:$AD)</f>
        <v>0</v>
      </c>
      <c r="L277" s="777">
        <f>SUMIFS(Sheet1!S71_OY2BudgetAmount,Sheet1!S71_SubMunicipalVoteNo,$AC:$AC,Sheet1!S71_A5CapexCode,$AD:$AD)</f>
        <v>0</v>
      </c>
      <c r="M277" s="322"/>
      <c r="AC277" s="2312">
        <v>103</v>
      </c>
      <c r="AD277" s="2318" t="s">
        <v>2805</v>
      </c>
    </row>
    <row r="278" spans="1:30" x14ac:dyDescent="0.25">
      <c r="A278" s="136" t="str">
        <f t="shared" si="102"/>
        <v/>
      </c>
      <c r="B278" s="711"/>
      <c r="C278" s="775">
        <f>SUMIFS(Sheet1!S71_PPPYearAmount,Sheet1!S71_SubMunicipalVoteNo,$AC:$AC,Sheet1!S71_A5CapexCode,$AD:$AD)</f>
        <v>0</v>
      </c>
      <c r="D278" s="775">
        <f>SUMIFS(Sheet1!S71_PPYearAmount,Sheet1!S71_SubMunicipalVoteNo,$AC:$AC,Sheet1!S71_A5CapexCode,$AD:$AD)</f>
        <v>0</v>
      </c>
      <c r="E278" s="717">
        <f>SUMIFS(Sheet1!S71_PYearAmount,Sheet1!S71_SubMunicipalVoteNo,$AC:$AC,Sheet1!S71_A5CapexCode,$AD:$AD)</f>
        <v>0</v>
      </c>
      <c r="F278" s="776">
        <f>SUMIFS(Sheet1!S71_OriginalBudAmnt,Sheet1!S71_SubMunicipalVoteNo,$AC:$AC,Sheet1!S71_A5CapexCode,$AD:$AD)</f>
        <v>0</v>
      </c>
      <c r="G278" s="775">
        <f>SUMIFS(Sheet1!S71_AdjustmentBudAmnt,Sheet1!S71_SubMunicipalVoteNo,$AC:$AC,Sheet1!S71_A5CapexCode,$AD:$AD)</f>
        <v>0</v>
      </c>
      <c r="H278" s="777">
        <f>SUMIFS(Sheet1!S71_AdjustmentBudAmnt,Sheet1!S71_SubMunicipalVoteNo,$AC:$AC,Sheet1!S71_A5CapexCode,$AD:$AD)</f>
        <v>0</v>
      </c>
      <c r="I278" s="778">
        <f>SUMIFS(Sheet1!CD:CD,Sheet1!S71_SubMunicipalVoteNo,$AC:$AC,Sheet1!S71_A5CapexCode,$AD:$AD)</f>
        <v>0</v>
      </c>
      <c r="J278" s="776">
        <f>SUMIFS(Sheet1!S71_ASBudgetAmount,Sheet1!S71_SubMunicipalVoteNo,$AC:$AC,Sheet1!S71_A5CapexCode,$AD:$AD)</f>
        <v>0</v>
      </c>
      <c r="K278" s="775">
        <f>SUMIFS(Sheet1!S71_OY1BudgetAmount,Sheet1!S71_SubMunicipalVoteNo,$AC:$AC,Sheet1!S71_A5CapexCode,$AD:$AD)</f>
        <v>0</v>
      </c>
      <c r="L278" s="777">
        <f>SUMIFS(Sheet1!S71_OY2BudgetAmount,Sheet1!S71_SubMunicipalVoteNo,$AC:$AC,Sheet1!S71_A5CapexCode,$AD:$AD)</f>
        <v>0</v>
      </c>
      <c r="M278" s="322"/>
      <c r="AC278" s="2312">
        <v>104</v>
      </c>
      <c r="AD278" s="2318" t="s">
        <v>2805</v>
      </c>
    </row>
    <row r="279" spans="1:30" x14ac:dyDescent="0.25">
      <c r="A279" s="136" t="str">
        <f t="shared" si="102"/>
        <v/>
      </c>
      <c r="B279" s="711"/>
      <c r="C279" s="775">
        <f>SUMIFS(Sheet1!S71_PPPYearAmount,Sheet1!S71_SubMunicipalVoteNo,$AC:$AC,Sheet1!S71_A5CapexCode,$AD:$AD)</f>
        <v>0</v>
      </c>
      <c r="D279" s="775">
        <f>SUMIFS(Sheet1!S71_PPYearAmount,Sheet1!S71_SubMunicipalVoteNo,$AC:$AC,Sheet1!S71_A5CapexCode,$AD:$AD)</f>
        <v>0</v>
      </c>
      <c r="E279" s="717">
        <f>SUMIFS(Sheet1!S71_PYearAmount,Sheet1!S71_SubMunicipalVoteNo,$AC:$AC,Sheet1!S71_A5CapexCode,$AD:$AD)</f>
        <v>0</v>
      </c>
      <c r="F279" s="776">
        <f>SUMIFS(Sheet1!S71_OriginalBudAmnt,Sheet1!S71_SubMunicipalVoteNo,$AC:$AC,Sheet1!S71_A5CapexCode,$AD:$AD)</f>
        <v>0</v>
      </c>
      <c r="G279" s="775">
        <f>SUMIFS(Sheet1!S71_AdjustmentBudAmnt,Sheet1!S71_SubMunicipalVoteNo,$AC:$AC,Sheet1!S71_A5CapexCode,$AD:$AD)</f>
        <v>0</v>
      </c>
      <c r="H279" s="777">
        <f>SUMIFS(Sheet1!S71_AdjustmentBudAmnt,Sheet1!S71_SubMunicipalVoteNo,$AC:$AC,Sheet1!S71_A5CapexCode,$AD:$AD)</f>
        <v>0</v>
      </c>
      <c r="I279" s="778">
        <f>SUMIFS(Sheet1!CD:CD,Sheet1!S71_SubMunicipalVoteNo,$AC:$AC,Sheet1!S71_A5CapexCode,$AD:$AD)</f>
        <v>0</v>
      </c>
      <c r="J279" s="776">
        <f>SUMIFS(Sheet1!S71_ASBudgetAmount,Sheet1!S71_SubMunicipalVoteNo,$AC:$AC,Sheet1!S71_A5CapexCode,$AD:$AD)</f>
        <v>0</v>
      </c>
      <c r="K279" s="775">
        <f>SUMIFS(Sheet1!S71_OY1BudgetAmount,Sheet1!S71_SubMunicipalVoteNo,$AC:$AC,Sheet1!S71_A5CapexCode,$AD:$AD)</f>
        <v>0</v>
      </c>
      <c r="L279" s="777">
        <f>SUMIFS(Sheet1!S71_OY2BudgetAmount,Sheet1!S71_SubMunicipalVoteNo,$AC:$AC,Sheet1!S71_A5CapexCode,$AD:$AD)</f>
        <v>0</v>
      </c>
      <c r="M279" s="322"/>
      <c r="AC279" s="2312">
        <v>105</v>
      </c>
      <c r="AD279" s="2318" t="s">
        <v>2805</v>
      </c>
    </row>
    <row r="280" spans="1:30" x14ac:dyDescent="0.25">
      <c r="A280" s="136" t="str">
        <f t="shared" si="102"/>
        <v/>
      </c>
      <c r="B280" s="711"/>
      <c r="C280" s="775">
        <f>SUMIFS(Sheet1!S71_PPPYearAmount,Sheet1!S71_SubMunicipalVoteNo,$AC:$AC,Sheet1!S71_A5CapexCode,$AD:$AD)</f>
        <v>0</v>
      </c>
      <c r="D280" s="775">
        <f>SUMIFS(Sheet1!S71_PPYearAmount,Sheet1!S71_SubMunicipalVoteNo,$AC:$AC,Sheet1!S71_A5CapexCode,$AD:$AD)</f>
        <v>0</v>
      </c>
      <c r="E280" s="717">
        <f>SUMIFS(Sheet1!S71_PYearAmount,Sheet1!S71_SubMunicipalVoteNo,$AC:$AC,Sheet1!S71_A5CapexCode,$AD:$AD)</f>
        <v>0</v>
      </c>
      <c r="F280" s="776">
        <f>SUMIFS(Sheet1!S71_OriginalBudAmnt,Sheet1!S71_SubMunicipalVoteNo,$AC:$AC,Sheet1!S71_A5CapexCode,$AD:$AD)</f>
        <v>0</v>
      </c>
      <c r="G280" s="775">
        <f>SUMIFS(Sheet1!S71_AdjustmentBudAmnt,Sheet1!S71_SubMunicipalVoteNo,$AC:$AC,Sheet1!S71_A5CapexCode,$AD:$AD)</f>
        <v>0</v>
      </c>
      <c r="H280" s="777">
        <f>SUMIFS(Sheet1!S71_AdjustmentBudAmnt,Sheet1!S71_SubMunicipalVoteNo,$AC:$AC,Sheet1!S71_A5CapexCode,$AD:$AD)</f>
        <v>0</v>
      </c>
      <c r="I280" s="778">
        <f>SUMIFS(Sheet1!CD:CD,Sheet1!S71_SubMunicipalVoteNo,$AC:$AC,Sheet1!S71_A5CapexCode,$AD:$AD)</f>
        <v>0</v>
      </c>
      <c r="J280" s="776">
        <f>SUMIFS(Sheet1!S71_ASBudgetAmount,Sheet1!S71_SubMunicipalVoteNo,$AC:$AC,Sheet1!S71_A5CapexCode,$AD:$AD)</f>
        <v>0</v>
      </c>
      <c r="K280" s="775">
        <f>SUMIFS(Sheet1!S71_OY1BudgetAmount,Sheet1!S71_SubMunicipalVoteNo,$AC:$AC,Sheet1!S71_A5CapexCode,$AD:$AD)</f>
        <v>0</v>
      </c>
      <c r="L280" s="777">
        <f>SUMIFS(Sheet1!S71_OY2BudgetAmount,Sheet1!S71_SubMunicipalVoteNo,$AC:$AC,Sheet1!S71_A5CapexCode,$AD:$AD)</f>
        <v>0</v>
      </c>
      <c r="M280" s="322"/>
      <c r="AC280" s="2312">
        <v>106</v>
      </c>
      <c r="AD280" s="2318" t="s">
        <v>2805</v>
      </c>
    </row>
    <row r="281" spans="1:30" x14ac:dyDescent="0.25">
      <c r="A281" s="136" t="str">
        <f t="shared" si="102"/>
        <v/>
      </c>
      <c r="B281" s="711"/>
      <c r="C281" s="775">
        <f>SUMIFS(Sheet1!S71_PPPYearAmount,Sheet1!S71_SubMunicipalVoteNo,$AC:$AC,Sheet1!S71_A5CapexCode,$AD:$AD)</f>
        <v>0</v>
      </c>
      <c r="D281" s="775">
        <f>SUMIFS(Sheet1!S71_PPYearAmount,Sheet1!S71_SubMunicipalVoteNo,$AC:$AC,Sheet1!S71_A5CapexCode,$AD:$AD)</f>
        <v>0</v>
      </c>
      <c r="E281" s="717">
        <f>SUMIFS(Sheet1!S71_PYearAmount,Sheet1!S71_SubMunicipalVoteNo,$AC:$AC,Sheet1!S71_A5CapexCode,$AD:$AD)</f>
        <v>0</v>
      </c>
      <c r="F281" s="776">
        <f>SUMIFS(Sheet1!S71_OriginalBudAmnt,Sheet1!S71_SubMunicipalVoteNo,$AC:$AC,Sheet1!S71_A5CapexCode,$AD:$AD)</f>
        <v>0</v>
      </c>
      <c r="G281" s="775">
        <f>SUMIFS(Sheet1!S71_AdjustmentBudAmnt,Sheet1!S71_SubMunicipalVoteNo,$AC:$AC,Sheet1!S71_A5CapexCode,$AD:$AD)</f>
        <v>0</v>
      </c>
      <c r="H281" s="777">
        <f>SUMIFS(Sheet1!S71_AdjustmentBudAmnt,Sheet1!S71_SubMunicipalVoteNo,$AC:$AC,Sheet1!S71_A5CapexCode,$AD:$AD)</f>
        <v>0</v>
      </c>
      <c r="I281" s="778">
        <f>SUMIFS(Sheet1!CD:CD,Sheet1!S71_SubMunicipalVoteNo,$AC:$AC,Sheet1!S71_A5CapexCode,$AD:$AD)</f>
        <v>0</v>
      </c>
      <c r="J281" s="776">
        <f>SUMIFS(Sheet1!S71_ASBudgetAmount,Sheet1!S71_SubMunicipalVoteNo,$AC:$AC,Sheet1!S71_A5CapexCode,$AD:$AD)</f>
        <v>0</v>
      </c>
      <c r="K281" s="775">
        <f>SUMIFS(Sheet1!S71_OY1BudgetAmount,Sheet1!S71_SubMunicipalVoteNo,$AC:$AC,Sheet1!S71_A5CapexCode,$AD:$AD)</f>
        <v>0</v>
      </c>
      <c r="L281" s="777">
        <f>SUMIFS(Sheet1!S71_OY2BudgetAmount,Sheet1!S71_SubMunicipalVoteNo,$AC:$AC,Sheet1!S71_A5CapexCode,$AD:$AD)</f>
        <v>0</v>
      </c>
      <c r="M281" s="322"/>
      <c r="AC281" s="2312">
        <v>107</v>
      </c>
      <c r="AD281" s="2318" t="s">
        <v>2805</v>
      </c>
    </row>
    <row r="282" spans="1:30" x14ac:dyDescent="0.25">
      <c r="A282" s="136" t="str">
        <f t="shared" si="102"/>
        <v/>
      </c>
      <c r="B282" s="711"/>
      <c r="C282" s="775">
        <f>SUMIFS(Sheet1!S71_PPPYearAmount,Sheet1!S71_SubMunicipalVoteNo,$AC:$AC,Sheet1!S71_A5CapexCode,$AD:$AD)</f>
        <v>0</v>
      </c>
      <c r="D282" s="775">
        <f>SUMIFS(Sheet1!S71_PPYearAmount,Sheet1!S71_SubMunicipalVoteNo,$AC:$AC,Sheet1!S71_A5CapexCode,$AD:$AD)</f>
        <v>0</v>
      </c>
      <c r="E282" s="717">
        <f>SUMIFS(Sheet1!S71_PYearAmount,Sheet1!S71_SubMunicipalVoteNo,$AC:$AC,Sheet1!S71_A5CapexCode,$AD:$AD)</f>
        <v>0</v>
      </c>
      <c r="F282" s="776">
        <f>SUMIFS(Sheet1!S71_OriginalBudAmnt,Sheet1!S71_SubMunicipalVoteNo,$AC:$AC,Sheet1!S71_A5CapexCode,$AD:$AD)</f>
        <v>0</v>
      </c>
      <c r="G282" s="775">
        <f>SUMIFS(Sheet1!S71_AdjustmentBudAmnt,Sheet1!S71_SubMunicipalVoteNo,$AC:$AC,Sheet1!S71_A5CapexCode,$AD:$AD)</f>
        <v>0</v>
      </c>
      <c r="H282" s="777">
        <f>SUMIFS(Sheet1!S71_AdjustmentBudAmnt,Sheet1!S71_SubMunicipalVoteNo,$AC:$AC,Sheet1!S71_A5CapexCode,$AD:$AD)</f>
        <v>0</v>
      </c>
      <c r="I282" s="778">
        <f>SUMIFS(Sheet1!CD:CD,Sheet1!S71_SubMunicipalVoteNo,$AC:$AC,Sheet1!S71_A5CapexCode,$AD:$AD)</f>
        <v>0</v>
      </c>
      <c r="J282" s="776">
        <f>SUMIFS(Sheet1!S71_ASBudgetAmount,Sheet1!S71_SubMunicipalVoteNo,$AC:$AC,Sheet1!S71_A5CapexCode,$AD:$AD)</f>
        <v>0</v>
      </c>
      <c r="K282" s="775">
        <f>SUMIFS(Sheet1!S71_OY1BudgetAmount,Sheet1!S71_SubMunicipalVoteNo,$AC:$AC,Sheet1!S71_A5CapexCode,$AD:$AD)</f>
        <v>0</v>
      </c>
      <c r="L282" s="777">
        <f>SUMIFS(Sheet1!S71_OY2BudgetAmount,Sheet1!S71_SubMunicipalVoteNo,$AC:$AC,Sheet1!S71_A5CapexCode,$AD:$AD)</f>
        <v>0</v>
      </c>
      <c r="M282" s="322"/>
      <c r="AC282" s="2312">
        <v>108</v>
      </c>
      <c r="AD282" s="2318" t="s">
        <v>2805</v>
      </c>
    </row>
    <row r="283" spans="1:30" x14ac:dyDescent="0.25">
      <c r="A283" s="136" t="str">
        <f t="shared" si="102"/>
        <v/>
      </c>
      <c r="B283" s="711"/>
      <c r="C283" s="775">
        <f>SUMIFS(Sheet1!S71_PPPYearAmount,Sheet1!S71_SubMunicipalVoteNo,$AC:$AC,Sheet1!S71_A5CapexCode,$AD:$AD)</f>
        <v>0</v>
      </c>
      <c r="D283" s="775">
        <f>SUMIFS(Sheet1!S71_PPYearAmount,Sheet1!S71_SubMunicipalVoteNo,$AC:$AC,Sheet1!S71_A5CapexCode,$AD:$AD)</f>
        <v>0</v>
      </c>
      <c r="E283" s="717">
        <f>SUMIFS(Sheet1!S71_PYearAmount,Sheet1!S71_SubMunicipalVoteNo,$AC:$AC,Sheet1!S71_A5CapexCode,$AD:$AD)</f>
        <v>0</v>
      </c>
      <c r="F283" s="776">
        <f>SUMIFS(Sheet1!S71_OriginalBudAmnt,Sheet1!S71_SubMunicipalVoteNo,$AC:$AC,Sheet1!S71_A5CapexCode,$AD:$AD)</f>
        <v>0</v>
      </c>
      <c r="G283" s="775">
        <f>SUMIFS(Sheet1!S71_AdjustmentBudAmnt,Sheet1!S71_SubMunicipalVoteNo,$AC:$AC,Sheet1!S71_A5CapexCode,$AD:$AD)</f>
        <v>0</v>
      </c>
      <c r="H283" s="777">
        <f>SUMIFS(Sheet1!S71_AdjustmentBudAmnt,Sheet1!S71_SubMunicipalVoteNo,$AC:$AC,Sheet1!S71_A5CapexCode,$AD:$AD)</f>
        <v>0</v>
      </c>
      <c r="I283" s="778">
        <f>SUMIFS(Sheet1!CD:CD,Sheet1!S71_SubMunicipalVoteNo,$AC:$AC,Sheet1!S71_A5CapexCode,$AD:$AD)</f>
        <v>0</v>
      </c>
      <c r="J283" s="776">
        <f>SUMIFS(Sheet1!S71_ASBudgetAmount,Sheet1!S71_SubMunicipalVoteNo,$AC:$AC,Sheet1!S71_A5CapexCode,$AD:$AD)</f>
        <v>0</v>
      </c>
      <c r="K283" s="775">
        <f>SUMIFS(Sheet1!S71_OY1BudgetAmount,Sheet1!S71_SubMunicipalVoteNo,$AC:$AC,Sheet1!S71_A5CapexCode,$AD:$AD)</f>
        <v>0</v>
      </c>
      <c r="L283" s="777">
        <f>SUMIFS(Sheet1!S71_OY2BudgetAmount,Sheet1!S71_SubMunicipalVoteNo,$AC:$AC,Sheet1!S71_A5CapexCode,$AD:$AD)</f>
        <v>0</v>
      </c>
      <c r="M283" s="322"/>
      <c r="AC283" s="2312">
        <v>109</v>
      </c>
      <c r="AD283" s="2318" t="s">
        <v>2805</v>
      </c>
    </row>
    <row r="284" spans="1:30" x14ac:dyDescent="0.25">
      <c r="A284" s="136" t="str">
        <f t="shared" si="102"/>
        <v/>
      </c>
      <c r="B284" s="711"/>
      <c r="C284" s="775">
        <f>SUMIFS(Sheet1!S71_PPPYearAmount,Sheet1!S71_SubMunicipalVoteNo,$AC:$AC,Sheet1!S71_A5CapexCode,$AD:$AD)</f>
        <v>0</v>
      </c>
      <c r="D284" s="775">
        <f>SUMIFS(Sheet1!S71_PPYearAmount,Sheet1!S71_SubMunicipalVoteNo,$AC:$AC,Sheet1!S71_A5CapexCode,$AD:$AD)</f>
        <v>0</v>
      </c>
      <c r="E284" s="717">
        <f>SUMIFS(Sheet1!S71_PYearAmount,Sheet1!S71_SubMunicipalVoteNo,$AC:$AC,Sheet1!S71_A5CapexCode,$AD:$AD)</f>
        <v>0</v>
      </c>
      <c r="F284" s="776">
        <f>SUMIFS(Sheet1!S71_OriginalBudAmnt,Sheet1!S71_SubMunicipalVoteNo,$AC:$AC,Sheet1!S71_A5CapexCode,$AD:$AD)</f>
        <v>0</v>
      </c>
      <c r="G284" s="775">
        <f>SUMIFS(Sheet1!S71_AdjustmentBudAmnt,Sheet1!S71_SubMunicipalVoteNo,$AC:$AC,Sheet1!S71_A5CapexCode,$AD:$AD)</f>
        <v>0</v>
      </c>
      <c r="H284" s="777">
        <f>SUMIFS(Sheet1!S71_AdjustmentBudAmnt,Sheet1!S71_SubMunicipalVoteNo,$AC:$AC,Sheet1!S71_A5CapexCode,$AD:$AD)</f>
        <v>0</v>
      </c>
      <c r="I284" s="778">
        <f>SUMIFS(Sheet1!CD:CD,Sheet1!S71_SubMunicipalVoteNo,$AC:$AC,Sheet1!S71_A5CapexCode,$AD:$AD)</f>
        <v>0</v>
      </c>
      <c r="J284" s="776">
        <f>SUMIFS(Sheet1!S71_ASBudgetAmount,Sheet1!S71_SubMunicipalVoteNo,$AC:$AC,Sheet1!S71_A5CapexCode,$AD:$AD)</f>
        <v>0</v>
      </c>
      <c r="K284" s="775">
        <f>SUMIFS(Sheet1!S71_OY1BudgetAmount,Sheet1!S71_SubMunicipalVoteNo,$AC:$AC,Sheet1!S71_A5CapexCode,$AD:$AD)</f>
        <v>0</v>
      </c>
      <c r="L284" s="777">
        <f>SUMIFS(Sheet1!S71_OY2BudgetAmount,Sheet1!S71_SubMunicipalVoteNo,$AC:$AC,Sheet1!S71_A5CapexCode,$AD:$AD)</f>
        <v>0</v>
      </c>
      <c r="M284" s="322"/>
      <c r="AC284" s="2312">
        <v>1010</v>
      </c>
      <c r="AD284" s="2318" t="s">
        <v>2805</v>
      </c>
    </row>
    <row r="285" spans="1:30" ht="15" customHeight="1" x14ac:dyDescent="0.25">
      <c r="A285" s="135" t="str">
        <f t="shared" si="102"/>
        <v>Vote 11 - Other</v>
      </c>
      <c r="B285" s="711"/>
      <c r="C285" s="212">
        <f t="shared" ref="C285:L285" si="107">SUM(C286:C295)</f>
        <v>0</v>
      </c>
      <c r="D285" s="212">
        <f t="shared" si="107"/>
        <v>0</v>
      </c>
      <c r="E285" s="213">
        <f t="shared" si="107"/>
        <v>0</v>
      </c>
      <c r="F285" s="214">
        <f t="shared" si="107"/>
        <v>0</v>
      </c>
      <c r="G285" s="212">
        <f t="shared" si="107"/>
        <v>0</v>
      </c>
      <c r="H285" s="213">
        <f t="shared" si="107"/>
        <v>0</v>
      </c>
      <c r="I285" s="215">
        <f t="shared" si="107"/>
        <v>0</v>
      </c>
      <c r="J285" s="214">
        <f t="shared" si="107"/>
        <v>0</v>
      </c>
      <c r="K285" s="212">
        <f t="shared" si="107"/>
        <v>0</v>
      </c>
      <c r="L285" s="213">
        <f t="shared" si="107"/>
        <v>0</v>
      </c>
      <c r="M285" s="322"/>
      <c r="AD285" s="2315"/>
    </row>
    <row r="286" spans="1:30" x14ac:dyDescent="0.25">
      <c r="A286" s="136" t="str">
        <f t="shared" si="102"/>
        <v>11.1 - Licensing and Regulation</v>
      </c>
      <c r="B286" s="711"/>
      <c r="C286" s="775">
        <f>SUMIFS(Sheet1!S71_PPPYearAmount,Sheet1!S71_SubMunicipalVoteNo,$AC:$AC,Sheet1!S71_A5CapexCode,$AD:$AD)</f>
        <v>0</v>
      </c>
      <c r="D286" s="775">
        <f>SUMIFS(Sheet1!S71_PPYearAmount,Sheet1!S71_SubMunicipalVoteNo,$AC:$AC,Sheet1!S71_A5CapexCode,$AD:$AD)</f>
        <v>0</v>
      </c>
      <c r="E286" s="717">
        <f>SUMIFS(Sheet1!S71_PYearAmount,Sheet1!S71_SubMunicipalVoteNo,$AC:$AC,Sheet1!S71_A5CapexCode,$AD:$AD)</f>
        <v>0</v>
      </c>
      <c r="F286" s="776">
        <f>SUMIFS(Sheet1!S71_OriginalBudAmnt,Sheet1!S71_SubMunicipalVoteNo,$AC:$AC,Sheet1!S71_A5CapexCode,$AD:$AD)</f>
        <v>0</v>
      </c>
      <c r="G286" s="775">
        <f>SUMIFS(Sheet1!S71_AdjustmentBudAmnt,Sheet1!S71_SubMunicipalVoteNo,$AC:$AC,Sheet1!S71_A5CapexCode,$AD:$AD)</f>
        <v>0</v>
      </c>
      <c r="H286" s="777">
        <f>SUMIFS(Sheet1!S71_AdjustmentBudAmnt,Sheet1!S71_SubMunicipalVoteNo,$AC:$AC,Sheet1!S71_A5CapexCode,$AD:$AD)</f>
        <v>0</v>
      </c>
      <c r="I286" s="778">
        <f>SUMIFS(Sheet1!CD:CD,Sheet1!S71_SubMunicipalVoteNo,$AC:$AC,Sheet1!S71_A5CapexCode,$AD:$AD)</f>
        <v>0</v>
      </c>
      <c r="J286" s="776">
        <f>SUMIFS(Sheet1!S71_ASBudgetAmount,Sheet1!S71_SubMunicipalVoteNo,$AC:$AC,Sheet1!S71_A5CapexCode,$AD:$AD)</f>
        <v>0</v>
      </c>
      <c r="K286" s="775">
        <f>SUMIFS(Sheet1!S71_OY1BudgetAmount,Sheet1!S71_SubMunicipalVoteNo,$AC:$AC,Sheet1!S71_A5CapexCode,$AD:$AD)</f>
        <v>0</v>
      </c>
      <c r="L286" s="777">
        <f>SUMIFS(Sheet1!S71_OY2BudgetAmount,Sheet1!S71_SubMunicipalVoteNo,$AC:$AC,Sheet1!S71_A5CapexCode,$AD:$AD)</f>
        <v>0</v>
      </c>
      <c r="M286" s="322"/>
      <c r="AC286" s="2312">
        <v>111</v>
      </c>
      <c r="AD286" s="2318" t="s">
        <v>2805</v>
      </c>
    </row>
    <row r="287" spans="1:30" x14ac:dyDescent="0.25">
      <c r="A287" s="136" t="str">
        <f t="shared" si="102"/>
        <v/>
      </c>
      <c r="B287" s="711"/>
      <c r="C287" s="775">
        <f>SUMIFS(Sheet1!S71_PPPYearAmount,Sheet1!S71_SubMunicipalVoteNo,$AC:$AC,Sheet1!S71_A5CapexCode,$AD:$AD)</f>
        <v>0</v>
      </c>
      <c r="D287" s="775">
        <f>SUMIFS(Sheet1!S71_PPYearAmount,Sheet1!S71_SubMunicipalVoteNo,$AC:$AC,Sheet1!S71_A5CapexCode,$AD:$AD)</f>
        <v>0</v>
      </c>
      <c r="E287" s="717">
        <f>SUMIFS(Sheet1!S71_PYearAmount,Sheet1!S71_SubMunicipalVoteNo,$AC:$AC,Sheet1!S71_A5CapexCode,$AD:$AD)</f>
        <v>0</v>
      </c>
      <c r="F287" s="776">
        <f>SUMIFS(Sheet1!S71_OriginalBudAmnt,Sheet1!S71_SubMunicipalVoteNo,$AC:$AC,Sheet1!S71_A5CapexCode,$AD:$AD)</f>
        <v>0</v>
      </c>
      <c r="G287" s="775">
        <f>SUMIFS(Sheet1!S71_AdjustmentBudAmnt,Sheet1!S71_SubMunicipalVoteNo,$AC:$AC,Sheet1!S71_A5CapexCode,$AD:$AD)</f>
        <v>0</v>
      </c>
      <c r="H287" s="777">
        <f>SUMIFS(Sheet1!S71_AdjustmentBudAmnt,Sheet1!S71_SubMunicipalVoteNo,$AC:$AC,Sheet1!S71_A5CapexCode,$AD:$AD)</f>
        <v>0</v>
      </c>
      <c r="I287" s="778">
        <f>SUMIFS(Sheet1!CD:CD,Sheet1!S71_SubMunicipalVoteNo,$AC:$AC,Sheet1!S71_A5CapexCode,$AD:$AD)</f>
        <v>0</v>
      </c>
      <c r="J287" s="776">
        <f>SUMIFS(Sheet1!S71_ASBudgetAmount,Sheet1!S71_SubMunicipalVoteNo,$AC:$AC,Sheet1!S71_A5CapexCode,$AD:$AD)</f>
        <v>0</v>
      </c>
      <c r="K287" s="775">
        <f>SUMIFS(Sheet1!S71_OY1BudgetAmount,Sheet1!S71_SubMunicipalVoteNo,$AC:$AC,Sheet1!S71_A5CapexCode,$AD:$AD)</f>
        <v>0</v>
      </c>
      <c r="L287" s="777">
        <f>SUMIFS(Sheet1!S71_OY2BudgetAmount,Sheet1!S71_SubMunicipalVoteNo,$AC:$AC,Sheet1!S71_A5CapexCode,$AD:$AD)</f>
        <v>0</v>
      </c>
      <c r="M287" s="322"/>
      <c r="AC287" s="2312">
        <v>112</v>
      </c>
      <c r="AD287" s="2318" t="s">
        <v>2805</v>
      </c>
    </row>
    <row r="288" spans="1:30" x14ac:dyDescent="0.25">
      <c r="A288" s="136" t="str">
        <f t="shared" si="102"/>
        <v/>
      </c>
      <c r="B288" s="711"/>
      <c r="C288" s="775">
        <f>SUMIFS(Sheet1!S71_PPPYearAmount,Sheet1!S71_SubMunicipalVoteNo,$AC:$AC,Sheet1!S71_A5CapexCode,$AD:$AD)</f>
        <v>0</v>
      </c>
      <c r="D288" s="775">
        <f>SUMIFS(Sheet1!S71_PPYearAmount,Sheet1!S71_SubMunicipalVoteNo,$AC:$AC,Sheet1!S71_A5CapexCode,$AD:$AD)</f>
        <v>0</v>
      </c>
      <c r="E288" s="717">
        <f>SUMIFS(Sheet1!S71_PYearAmount,Sheet1!S71_SubMunicipalVoteNo,$AC:$AC,Sheet1!S71_A5CapexCode,$AD:$AD)</f>
        <v>0</v>
      </c>
      <c r="F288" s="776">
        <f>SUMIFS(Sheet1!S71_OriginalBudAmnt,Sheet1!S71_SubMunicipalVoteNo,$AC:$AC,Sheet1!S71_A5CapexCode,$AD:$AD)</f>
        <v>0</v>
      </c>
      <c r="G288" s="775">
        <f>SUMIFS(Sheet1!S71_AdjustmentBudAmnt,Sheet1!S71_SubMunicipalVoteNo,$AC:$AC,Sheet1!S71_A5CapexCode,$AD:$AD)</f>
        <v>0</v>
      </c>
      <c r="H288" s="777">
        <f>SUMIFS(Sheet1!S71_AdjustmentBudAmnt,Sheet1!S71_SubMunicipalVoteNo,$AC:$AC,Sheet1!S71_A5CapexCode,$AD:$AD)</f>
        <v>0</v>
      </c>
      <c r="I288" s="778">
        <f>SUMIFS(Sheet1!CD:CD,Sheet1!S71_SubMunicipalVoteNo,$AC:$AC,Sheet1!S71_A5CapexCode,$AD:$AD)</f>
        <v>0</v>
      </c>
      <c r="J288" s="776">
        <f>SUMIFS(Sheet1!S71_ASBudgetAmount,Sheet1!S71_SubMunicipalVoteNo,$AC:$AC,Sheet1!S71_A5CapexCode,$AD:$AD)</f>
        <v>0</v>
      </c>
      <c r="K288" s="775">
        <f>SUMIFS(Sheet1!S71_OY1BudgetAmount,Sheet1!S71_SubMunicipalVoteNo,$AC:$AC,Sheet1!S71_A5CapexCode,$AD:$AD)</f>
        <v>0</v>
      </c>
      <c r="L288" s="777">
        <f>SUMIFS(Sheet1!S71_OY2BudgetAmount,Sheet1!S71_SubMunicipalVoteNo,$AC:$AC,Sheet1!S71_A5CapexCode,$AD:$AD)</f>
        <v>0</v>
      </c>
      <c r="M288" s="322"/>
      <c r="AC288" s="2312">
        <v>113</v>
      </c>
      <c r="AD288" s="2318" t="s">
        <v>2805</v>
      </c>
    </row>
    <row r="289" spans="1:30" x14ac:dyDescent="0.25">
      <c r="A289" s="136" t="str">
        <f t="shared" si="102"/>
        <v/>
      </c>
      <c r="B289" s="711"/>
      <c r="C289" s="775">
        <f>SUMIFS(Sheet1!S71_PPPYearAmount,Sheet1!S71_SubMunicipalVoteNo,$AC:$AC,Sheet1!S71_A5CapexCode,$AD:$AD)</f>
        <v>0</v>
      </c>
      <c r="D289" s="775">
        <f>SUMIFS(Sheet1!S71_PPYearAmount,Sheet1!S71_SubMunicipalVoteNo,$AC:$AC,Sheet1!S71_A5CapexCode,$AD:$AD)</f>
        <v>0</v>
      </c>
      <c r="E289" s="717">
        <f>SUMIFS(Sheet1!S71_PYearAmount,Sheet1!S71_SubMunicipalVoteNo,$AC:$AC,Sheet1!S71_A5CapexCode,$AD:$AD)</f>
        <v>0</v>
      </c>
      <c r="F289" s="776">
        <f>SUMIFS(Sheet1!S71_OriginalBudAmnt,Sheet1!S71_SubMunicipalVoteNo,$AC:$AC,Sheet1!S71_A5CapexCode,$AD:$AD)</f>
        <v>0</v>
      </c>
      <c r="G289" s="775">
        <f>SUMIFS(Sheet1!S71_AdjustmentBudAmnt,Sheet1!S71_SubMunicipalVoteNo,$AC:$AC,Sheet1!S71_A5CapexCode,$AD:$AD)</f>
        <v>0</v>
      </c>
      <c r="H289" s="777">
        <f>SUMIFS(Sheet1!S71_AdjustmentBudAmnt,Sheet1!S71_SubMunicipalVoteNo,$AC:$AC,Sheet1!S71_A5CapexCode,$AD:$AD)</f>
        <v>0</v>
      </c>
      <c r="I289" s="778">
        <f>SUMIFS(Sheet1!CD:CD,Sheet1!S71_SubMunicipalVoteNo,$AC:$AC,Sheet1!S71_A5CapexCode,$AD:$AD)</f>
        <v>0</v>
      </c>
      <c r="J289" s="776">
        <f>SUMIFS(Sheet1!S71_ASBudgetAmount,Sheet1!S71_SubMunicipalVoteNo,$AC:$AC,Sheet1!S71_A5CapexCode,$AD:$AD)</f>
        <v>0</v>
      </c>
      <c r="K289" s="775">
        <f>SUMIFS(Sheet1!S71_OY1BudgetAmount,Sheet1!S71_SubMunicipalVoteNo,$AC:$AC,Sheet1!S71_A5CapexCode,$AD:$AD)</f>
        <v>0</v>
      </c>
      <c r="L289" s="777">
        <f>SUMIFS(Sheet1!S71_OY2BudgetAmount,Sheet1!S71_SubMunicipalVoteNo,$AC:$AC,Sheet1!S71_A5CapexCode,$AD:$AD)</f>
        <v>0</v>
      </c>
      <c r="M289" s="322"/>
      <c r="AC289" s="2312">
        <v>114</v>
      </c>
      <c r="AD289" s="2318" t="s">
        <v>2805</v>
      </c>
    </row>
    <row r="290" spans="1:30" x14ac:dyDescent="0.25">
      <c r="A290" s="136" t="str">
        <f t="shared" si="102"/>
        <v/>
      </c>
      <c r="B290" s="711"/>
      <c r="C290" s="775">
        <f>SUMIFS(Sheet1!S71_PPPYearAmount,Sheet1!S71_SubMunicipalVoteNo,$AC:$AC,Sheet1!S71_A5CapexCode,$AD:$AD)</f>
        <v>0</v>
      </c>
      <c r="D290" s="775">
        <f>SUMIFS(Sheet1!S71_PPYearAmount,Sheet1!S71_SubMunicipalVoteNo,$AC:$AC,Sheet1!S71_A5CapexCode,$AD:$AD)</f>
        <v>0</v>
      </c>
      <c r="E290" s="717">
        <f>SUMIFS(Sheet1!S71_PYearAmount,Sheet1!S71_SubMunicipalVoteNo,$AC:$AC,Sheet1!S71_A5CapexCode,$AD:$AD)</f>
        <v>0</v>
      </c>
      <c r="F290" s="776">
        <f>SUMIFS(Sheet1!S71_OriginalBudAmnt,Sheet1!S71_SubMunicipalVoteNo,$AC:$AC,Sheet1!S71_A5CapexCode,$AD:$AD)</f>
        <v>0</v>
      </c>
      <c r="G290" s="775">
        <f>SUMIFS(Sheet1!S71_AdjustmentBudAmnt,Sheet1!S71_SubMunicipalVoteNo,$AC:$AC,Sheet1!S71_A5CapexCode,$AD:$AD)</f>
        <v>0</v>
      </c>
      <c r="H290" s="777">
        <f>SUMIFS(Sheet1!S71_AdjustmentBudAmnt,Sheet1!S71_SubMunicipalVoteNo,$AC:$AC,Sheet1!S71_A5CapexCode,$AD:$AD)</f>
        <v>0</v>
      </c>
      <c r="I290" s="778">
        <f>SUMIFS(Sheet1!CD:CD,Sheet1!S71_SubMunicipalVoteNo,$AC:$AC,Sheet1!S71_A5CapexCode,$AD:$AD)</f>
        <v>0</v>
      </c>
      <c r="J290" s="776">
        <f>SUMIFS(Sheet1!S71_ASBudgetAmount,Sheet1!S71_SubMunicipalVoteNo,$AC:$AC,Sheet1!S71_A5CapexCode,$AD:$AD)</f>
        <v>0</v>
      </c>
      <c r="K290" s="775">
        <f>SUMIFS(Sheet1!S71_OY1BudgetAmount,Sheet1!S71_SubMunicipalVoteNo,$AC:$AC,Sheet1!S71_A5CapexCode,$AD:$AD)</f>
        <v>0</v>
      </c>
      <c r="L290" s="777">
        <f>SUMIFS(Sheet1!S71_OY2BudgetAmount,Sheet1!S71_SubMunicipalVoteNo,$AC:$AC,Sheet1!S71_A5CapexCode,$AD:$AD)</f>
        <v>0</v>
      </c>
      <c r="M290" s="322"/>
      <c r="AC290" s="2312">
        <v>115</v>
      </c>
      <c r="AD290" s="2318" t="s">
        <v>2805</v>
      </c>
    </row>
    <row r="291" spans="1:30" x14ac:dyDescent="0.25">
      <c r="A291" s="136" t="str">
        <f t="shared" si="102"/>
        <v/>
      </c>
      <c r="B291" s="711"/>
      <c r="C291" s="775">
        <f>SUMIFS(Sheet1!S71_PPPYearAmount,Sheet1!S71_SubMunicipalVoteNo,$AC:$AC,Sheet1!S71_A5CapexCode,$AD:$AD)</f>
        <v>0</v>
      </c>
      <c r="D291" s="775">
        <f>SUMIFS(Sheet1!S71_PPYearAmount,Sheet1!S71_SubMunicipalVoteNo,$AC:$AC,Sheet1!S71_A5CapexCode,$AD:$AD)</f>
        <v>0</v>
      </c>
      <c r="E291" s="717">
        <f>SUMIFS(Sheet1!S71_PYearAmount,Sheet1!S71_SubMunicipalVoteNo,$AC:$AC,Sheet1!S71_A5CapexCode,$AD:$AD)</f>
        <v>0</v>
      </c>
      <c r="F291" s="776">
        <f>SUMIFS(Sheet1!S71_OriginalBudAmnt,Sheet1!S71_SubMunicipalVoteNo,$AC:$AC,Sheet1!S71_A5CapexCode,$AD:$AD)</f>
        <v>0</v>
      </c>
      <c r="G291" s="775">
        <f>SUMIFS(Sheet1!S71_AdjustmentBudAmnt,Sheet1!S71_SubMunicipalVoteNo,$AC:$AC,Sheet1!S71_A5CapexCode,$AD:$AD)</f>
        <v>0</v>
      </c>
      <c r="H291" s="777">
        <f>SUMIFS(Sheet1!S71_AdjustmentBudAmnt,Sheet1!S71_SubMunicipalVoteNo,$AC:$AC,Sheet1!S71_A5CapexCode,$AD:$AD)</f>
        <v>0</v>
      </c>
      <c r="I291" s="778">
        <f>SUMIFS(Sheet1!CD:CD,Sheet1!S71_SubMunicipalVoteNo,$AC:$AC,Sheet1!S71_A5CapexCode,$AD:$AD)</f>
        <v>0</v>
      </c>
      <c r="J291" s="776">
        <f>SUMIFS(Sheet1!S71_ASBudgetAmount,Sheet1!S71_SubMunicipalVoteNo,$AC:$AC,Sheet1!S71_A5CapexCode,$AD:$AD)</f>
        <v>0</v>
      </c>
      <c r="K291" s="775">
        <f>SUMIFS(Sheet1!S71_OY1BudgetAmount,Sheet1!S71_SubMunicipalVoteNo,$AC:$AC,Sheet1!S71_A5CapexCode,$AD:$AD)</f>
        <v>0</v>
      </c>
      <c r="L291" s="777">
        <f>SUMIFS(Sheet1!S71_OY2BudgetAmount,Sheet1!S71_SubMunicipalVoteNo,$AC:$AC,Sheet1!S71_A5CapexCode,$AD:$AD)</f>
        <v>0</v>
      </c>
      <c r="M291" s="322"/>
      <c r="AC291" s="2312">
        <v>116</v>
      </c>
      <c r="AD291" s="2318" t="s">
        <v>2805</v>
      </c>
    </row>
    <row r="292" spans="1:30" x14ac:dyDescent="0.25">
      <c r="A292" s="136" t="str">
        <f t="shared" si="102"/>
        <v/>
      </c>
      <c r="B292" s="711"/>
      <c r="C292" s="775">
        <f>SUMIFS(Sheet1!S71_PPPYearAmount,Sheet1!S71_SubMunicipalVoteNo,$AC:$AC,Sheet1!S71_A5CapexCode,$AD:$AD)</f>
        <v>0</v>
      </c>
      <c r="D292" s="775">
        <f>SUMIFS(Sheet1!S71_PPYearAmount,Sheet1!S71_SubMunicipalVoteNo,$AC:$AC,Sheet1!S71_A5CapexCode,$AD:$AD)</f>
        <v>0</v>
      </c>
      <c r="E292" s="717">
        <f>SUMIFS(Sheet1!S71_PYearAmount,Sheet1!S71_SubMunicipalVoteNo,$AC:$AC,Sheet1!S71_A5CapexCode,$AD:$AD)</f>
        <v>0</v>
      </c>
      <c r="F292" s="776">
        <f>SUMIFS(Sheet1!S71_OriginalBudAmnt,Sheet1!S71_SubMunicipalVoteNo,$AC:$AC,Sheet1!S71_A5CapexCode,$AD:$AD)</f>
        <v>0</v>
      </c>
      <c r="G292" s="775">
        <f>SUMIFS(Sheet1!S71_AdjustmentBudAmnt,Sheet1!S71_SubMunicipalVoteNo,$AC:$AC,Sheet1!S71_A5CapexCode,$AD:$AD)</f>
        <v>0</v>
      </c>
      <c r="H292" s="777">
        <f>SUMIFS(Sheet1!S71_AdjustmentBudAmnt,Sheet1!S71_SubMunicipalVoteNo,$AC:$AC,Sheet1!S71_A5CapexCode,$AD:$AD)</f>
        <v>0</v>
      </c>
      <c r="I292" s="778">
        <f>SUMIFS(Sheet1!CD:CD,Sheet1!S71_SubMunicipalVoteNo,$AC:$AC,Sheet1!S71_A5CapexCode,$AD:$AD)</f>
        <v>0</v>
      </c>
      <c r="J292" s="776">
        <f>SUMIFS(Sheet1!S71_ASBudgetAmount,Sheet1!S71_SubMunicipalVoteNo,$AC:$AC,Sheet1!S71_A5CapexCode,$AD:$AD)</f>
        <v>0</v>
      </c>
      <c r="K292" s="775">
        <f>SUMIFS(Sheet1!S71_OY1BudgetAmount,Sheet1!S71_SubMunicipalVoteNo,$AC:$AC,Sheet1!S71_A5CapexCode,$AD:$AD)</f>
        <v>0</v>
      </c>
      <c r="L292" s="777">
        <f>SUMIFS(Sheet1!S71_OY2BudgetAmount,Sheet1!S71_SubMunicipalVoteNo,$AC:$AC,Sheet1!S71_A5CapexCode,$AD:$AD)</f>
        <v>0</v>
      </c>
      <c r="M292" s="322"/>
      <c r="AC292" s="2312">
        <v>117</v>
      </c>
      <c r="AD292" s="2318" t="s">
        <v>2805</v>
      </c>
    </row>
    <row r="293" spans="1:30" x14ac:dyDescent="0.25">
      <c r="A293" s="136" t="str">
        <f t="shared" si="102"/>
        <v/>
      </c>
      <c r="B293" s="711"/>
      <c r="C293" s="775">
        <f>SUMIFS(Sheet1!S71_PPPYearAmount,Sheet1!S71_SubMunicipalVoteNo,$AC:$AC,Sheet1!S71_A5CapexCode,$AD:$AD)</f>
        <v>0</v>
      </c>
      <c r="D293" s="775">
        <f>SUMIFS(Sheet1!S71_PPYearAmount,Sheet1!S71_SubMunicipalVoteNo,$AC:$AC,Sheet1!S71_A5CapexCode,$AD:$AD)</f>
        <v>0</v>
      </c>
      <c r="E293" s="717">
        <f>SUMIFS(Sheet1!S71_PYearAmount,Sheet1!S71_SubMunicipalVoteNo,$AC:$AC,Sheet1!S71_A5CapexCode,$AD:$AD)</f>
        <v>0</v>
      </c>
      <c r="F293" s="776">
        <f>SUMIFS(Sheet1!S71_OriginalBudAmnt,Sheet1!S71_SubMunicipalVoteNo,$AC:$AC,Sheet1!S71_A5CapexCode,$AD:$AD)</f>
        <v>0</v>
      </c>
      <c r="G293" s="775">
        <f>SUMIFS(Sheet1!S71_AdjustmentBudAmnt,Sheet1!S71_SubMunicipalVoteNo,$AC:$AC,Sheet1!S71_A5CapexCode,$AD:$AD)</f>
        <v>0</v>
      </c>
      <c r="H293" s="777">
        <f>SUMIFS(Sheet1!S71_AdjustmentBudAmnt,Sheet1!S71_SubMunicipalVoteNo,$AC:$AC,Sheet1!S71_A5CapexCode,$AD:$AD)</f>
        <v>0</v>
      </c>
      <c r="I293" s="778">
        <f>SUMIFS(Sheet1!CD:CD,Sheet1!S71_SubMunicipalVoteNo,$AC:$AC,Sheet1!S71_A5CapexCode,$AD:$AD)</f>
        <v>0</v>
      </c>
      <c r="J293" s="776">
        <f>SUMIFS(Sheet1!S71_ASBudgetAmount,Sheet1!S71_SubMunicipalVoteNo,$AC:$AC,Sheet1!S71_A5CapexCode,$AD:$AD)</f>
        <v>0</v>
      </c>
      <c r="K293" s="775">
        <f>SUMIFS(Sheet1!S71_OY1BudgetAmount,Sheet1!S71_SubMunicipalVoteNo,$AC:$AC,Sheet1!S71_A5CapexCode,$AD:$AD)</f>
        <v>0</v>
      </c>
      <c r="L293" s="777">
        <f>SUMIFS(Sheet1!S71_OY2BudgetAmount,Sheet1!S71_SubMunicipalVoteNo,$AC:$AC,Sheet1!S71_A5CapexCode,$AD:$AD)</f>
        <v>0</v>
      </c>
      <c r="M293" s="322"/>
      <c r="AC293" s="2312">
        <v>118</v>
      </c>
      <c r="AD293" s="2318" t="s">
        <v>2805</v>
      </c>
    </row>
    <row r="294" spans="1:30" x14ac:dyDescent="0.25">
      <c r="A294" s="136" t="str">
        <f t="shared" si="102"/>
        <v/>
      </c>
      <c r="B294" s="711"/>
      <c r="C294" s="775">
        <f>SUMIFS(Sheet1!S71_PPPYearAmount,Sheet1!S71_SubMunicipalVoteNo,$AC:$AC,Sheet1!S71_A5CapexCode,$AD:$AD)</f>
        <v>0</v>
      </c>
      <c r="D294" s="775">
        <f>SUMIFS(Sheet1!S71_PPYearAmount,Sheet1!S71_SubMunicipalVoteNo,$AC:$AC,Sheet1!S71_A5CapexCode,$AD:$AD)</f>
        <v>0</v>
      </c>
      <c r="E294" s="717">
        <f>SUMIFS(Sheet1!S71_PYearAmount,Sheet1!S71_SubMunicipalVoteNo,$AC:$AC,Sheet1!S71_A5CapexCode,$AD:$AD)</f>
        <v>0</v>
      </c>
      <c r="F294" s="776">
        <f>SUMIFS(Sheet1!S71_OriginalBudAmnt,Sheet1!S71_SubMunicipalVoteNo,$AC:$AC,Sheet1!S71_A5CapexCode,$AD:$AD)</f>
        <v>0</v>
      </c>
      <c r="G294" s="775">
        <f>SUMIFS(Sheet1!S71_AdjustmentBudAmnt,Sheet1!S71_SubMunicipalVoteNo,$AC:$AC,Sheet1!S71_A5CapexCode,$AD:$AD)</f>
        <v>0</v>
      </c>
      <c r="H294" s="777">
        <f>SUMIFS(Sheet1!S71_AdjustmentBudAmnt,Sheet1!S71_SubMunicipalVoteNo,$AC:$AC,Sheet1!S71_A5CapexCode,$AD:$AD)</f>
        <v>0</v>
      </c>
      <c r="I294" s="778">
        <f>SUMIFS(Sheet1!CD:CD,Sheet1!S71_SubMunicipalVoteNo,$AC:$AC,Sheet1!S71_A5CapexCode,$AD:$AD)</f>
        <v>0</v>
      </c>
      <c r="J294" s="776">
        <f>SUMIFS(Sheet1!S71_ASBudgetAmount,Sheet1!S71_SubMunicipalVoteNo,$AC:$AC,Sheet1!S71_A5CapexCode,$AD:$AD)</f>
        <v>0</v>
      </c>
      <c r="K294" s="775">
        <f>SUMIFS(Sheet1!S71_OY1BudgetAmount,Sheet1!S71_SubMunicipalVoteNo,$AC:$AC,Sheet1!S71_A5CapexCode,$AD:$AD)</f>
        <v>0</v>
      </c>
      <c r="L294" s="777">
        <f>SUMIFS(Sheet1!S71_OY2BudgetAmount,Sheet1!S71_SubMunicipalVoteNo,$AC:$AC,Sheet1!S71_A5CapexCode,$AD:$AD)</f>
        <v>0</v>
      </c>
      <c r="M294" s="322"/>
      <c r="AC294" s="2312">
        <v>119</v>
      </c>
      <c r="AD294" s="2318" t="s">
        <v>2805</v>
      </c>
    </row>
    <row r="295" spans="1:30" x14ac:dyDescent="0.25">
      <c r="A295" s="136" t="str">
        <f t="shared" si="102"/>
        <v/>
      </c>
      <c r="B295" s="711"/>
      <c r="C295" s="775">
        <f>SUMIFS(Sheet1!S71_PPPYearAmount,Sheet1!S71_SubMunicipalVoteNo,$AC:$AC,Sheet1!S71_A5CapexCode,$AD:$AD)</f>
        <v>0</v>
      </c>
      <c r="D295" s="775">
        <f>SUMIFS(Sheet1!S71_PPYearAmount,Sheet1!S71_SubMunicipalVoteNo,$AC:$AC,Sheet1!S71_A5CapexCode,$AD:$AD)</f>
        <v>0</v>
      </c>
      <c r="E295" s="717">
        <f>SUMIFS(Sheet1!S71_PYearAmount,Sheet1!S71_SubMunicipalVoteNo,$AC:$AC,Sheet1!S71_A5CapexCode,$AD:$AD)</f>
        <v>0</v>
      </c>
      <c r="F295" s="776">
        <f>SUMIFS(Sheet1!S71_OriginalBudAmnt,Sheet1!S71_SubMunicipalVoteNo,$AC:$AC,Sheet1!S71_A5CapexCode,$AD:$AD)</f>
        <v>0</v>
      </c>
      <c r="G295" s="775">
        <f>SUMIFS(Sheet1!S71_AdjustmentBudAmnt,Sheet1!S71_SubMunicipalVoteNo,$AC:$AC,Sheet1!S71_A5CapexCode,$AD:$AD)</f>
        <v>0</v>
      </c>
      <c r="H295" s="777">
        <f>SUMIFS(Sheet1!S71_AdjustmentBudAmnt,Sheet1!S71_SubMunicipalVoteNo,$AC:$AC,Sheet1!S71_A5CapexCode,$AD:$AD)</f>
        <v>0</v>
      </c>
      <c r="I295" s="778">
        <f>SUMIFS(Sheet1!CD:CD,Sheet1!S71_SubMunicipalVoteNo,$AC:$AC,Sheet1!S71_A5CapexCode,$AD:$AD)</f>
        <v>0</v>
      </c>
      <c r="J295" s="776">
        <f>SUMIFS(Sheet1!S71_ASBudgetAmount,Sheet1!S71_SubMunicipalVoteNo,$AC:$AC,Sheet1!S71_A5CapexCode,$AD:$AD)</f>
        <v>0</v>
      </c>
      <c r="K295" s="775">
        <f>SUMIFS(Sheet1!S71_OY1BudgetAmount,Sheet1!S71_SubMunicipalVoteNo,$AC:$AC,Sheet1!S71_A5CapexCode,$AD:$AD)</f>
        <v>0</v>
      </c>
      <c r="L295" s="777">
        <f>SUMIFS(Sheet1!S71_OY2BudgetAmount,Sheet1!S71_SubMunicipalVoteNo,$AC:$AC,Sheet1!S71_A5CapexCode,$AD:$AD)</f>
        <v>0</v>
      </c>
      <c r="M295" s="322"/>
      <c r="AC295" s="2312">
        <v>1110</v>
      </c>
      <c r="AD295" s="2318" t="s">
        <v>2805</v>
      </c>
    </row>
    <row r="296" spans="1:30" ht="15" customHeight="1" x14ac:dyDescent="0.25">
      <c r="A296" s="135" t="str">
        <f t="shared" si="102"/>
        <v>Vote 12 - Waste Management</v>
      </c>
      <c r="B296" s="711"/>
      <c r="C296" s="212">
        <f t="shared" ref="C296:L296" si="108">SUM(C297:C306)</f>
        <v>0</v>
      </c>
      <c r="D296" s="212">
        <f t="shared" si="108"/>
        <v>0</v>
      </c>
      <c r="E296" s="213">
        <f t="shared" si="108"/>
        <v>0</v>
      </c>
      <c r="F296" s="214">
        <f t="shared" si="108"/>
        <v>0</v>
      </c>
      <c r="G296" s="212">
        <f t="shared" si="108"/>
        <v>0</v>
      </c>
      <c r="H296" s="213">
        <f t="shared" si="108"/>
        <v>0</v>
      </c>
      <c r="I296" s="215">
        <f t="shared" si="108"/>
        <v>0</v>
      </c>
      <c r="J296" s="214">
        <f t="shared" si="108"/>
        <v>0</v>
      </c>
      <c r="K296" s="212">
        <f t="shared" si="108"/>
        <v>0</v>
      </c>
      <c r="L296" s="213">
        <f t="shared" si="108"/>
        <v>0</v>
      </c>
      <c r="M296" s="322"/>
      <c r="AD296" s="2315"/>
    </row>
    <row r="297" spans="1:30" x14ac:dyDescent="0.25">
      <c r="A297" s="136" t="str">
        <f t="shared" si="102"/>
        <v>12.1 - Solid Waste Removal</v>
      </c>
      <c r="B297" s="711"/>
      <c r="C297" s="775">
        <f>SUMIFS(Sheet1!S71_PPPYearAmount,Sheet1!S71_SubMunicipalVoteNo,$AC:$AC,Sheet1!S71_A5CapexCode,$AD:$AD)</f>
        <v>0</v>
      </c>
      <c r="D297" s="775">
        <f>SUMIFS(Sheet1!S71_PPYearAmount,Sheet1!S71_SubMunicipalVoteNo,$AC:$AC,Sheet1!S71_A5CapexCode,$AD:$AD)</f>
        <v>0</v>
      </c>
      <c r="E297" s="717">
        <f>SUMIFS(Sheet1!S71_PYearAmount,Sheet1!S71_SubMunicipalVoteNo,$AC:$AC,Sheet1!S71_A5CapexCode,$AD:$AD)</f>
        <v>0</v>
      </c>
      <c r="F297" s="776">
        <f>SUMIFS(Sheet1!S71_OriginalBudAmnt,Sheet1!S71_SubMunicipalVoteNo,$AC:$AC,Sheet1!S71_A5CapexCode,$AD:$AD)</f>
        <v>0</v>
      </c>
      <c r="G297" s="775">
        <f>SUMIFS(Sheet1!S71_AdjustmentBudAmnt,Sheet1!S71_SubMunicipalVoteNo,$AC:$AC,Sheet1!S71_A5CapexCode,$AD:$AD)</f>
        <v>0</v>
      </c>
      <c r="H297" s="777">
        <f>SUMIFS(Sheet1!S71_AdjustmentBudAmnt,Sheet1!S71_SubMunicipalVoteNo,$AC:$AC,Sheet1!S71_A5CapexCode,$AD:$AD)</f>
        <v>0</v>
      </c>
      <c r="I297" s="778">
        <f>SUMIFS(Sheet1!CD:CD,Sheet1!S71_SubMunicipalVoteNo,$AC:$AC,Sheet1!S71_A5CapexCode,$AD:$AD)</f>
        <v>0</v>
      </c>
      <c r="J297" s="776">
        <f>SUMIFS(Sheet1!S71_ASBudgetAmount,Sheet1!S71_SubMunicipalVoteNo,$AC:$AC,Sheet1!S71_A5CapexCode,$AD:$AD)</f>
        <v>0</v>
      </c>
      <c r="K297" s="775">
        <f>SUMIFS(Sheet1!S71_OY1BudgetAmount,Sheet1!S71_SubMunicipalVoteNo,$AC:$AC,Sheet1!S71_A5CapexCode,$AD:$AD)</f>
        <v>0</v>
      </c>
      <c r="L297" s="777">
        <f>SUMIFS(Sheet1!S71_OY2BudgetAmount,Sheet1!S71_SubMunicipalVoteNo,$AC:$AC,Sheet1!S71_A5CapexCode,$AD:$AD)</f>
        <v>0</v>
      </c>
      <c r="M297" s="322"/>
      <c r="AC297" s="2312">
        <v>121</v>
      </c>
      <c r="AD297" s="2318" t="s">
        <v>2805</v>
      </c>
    </row>
    <row r="298" spans="1:30" x14ac:dyDescent="0.25">
      <c r="A298" s="136" t="str">
        <f t="shared" si="102"/>
        <v>12.2 - Street Cleaning</v>
      </c>
      <c r="B298" s="711"/>
      <c r="C298" s="775">
        <f>SUMIFS(Sheet1!S71_PPPYearAmount,Sheet1!S71_SubMunicipalVoteNo,$AC:$AC,Sheet1!S71_A5CapexCode,$AD:$AD)</f>
        <v>0</v>
      </c>
      <c r="D298" s="775">
        <f>SUMIFS(Sheet1!S71_PPYearAmount,Sheet1!S71_SubMunicipalVoteNo,$AC:$AC,Sheet1!S71_A5CapexCode,$AD:$AD)</f>
        <v>0</v>
      </c>
      <c r="E298" s="717">
        <f>SUMIFS(Sheet1!S71_PYearAmount,Sheet1!S71_SubMunicipalVoteNo,$AC:$AC,Sheet1!S71_A5CapexCode,$AD:$AD)</f>
        <v>0</v>
      </c>
      <c r="F298" s="776">
        <f>SUMIFS(Sheet1!S71_OriginalBudAmnt,Sheet1!S71_SubMunicipalVoteNo,$AC:$AC,Sheet1!S71_A5CapexCode,$AD:$AD)</f>
        <v>0</v>
      </c>
      <c r="G298" s="775">
        <f>SUMIFS(Sheet1!S71_AdjustmentBudAmnt,Sheet1!S71_SubMunicipalVoteNo,$AC:$AC,Sheet1!S71_A5CapexCode,$AD:$AD)</f>
        <v>0</v>
      </c>
      <c r="H298" s="777">
        <f>SUMIFS(Sheet1!S71_AdjustmentBudAmnt,Sheet1!S71_SubMunicipalVoteNo,$AC:$AC,Sheet1!S71_A5CapexCode,$AD:$AD)</f>
        <v>0</v>
      </c>
      <c r="I298" s="778">
        <f>SUMIFS(Sheet1!CD:CD,Sheet1!S71_SubMunicipalVoteNo,$AC:$AC,Sheet1!S71_A5CapexCode,$AD:$AD)</f>
        <v>0</v>
      </c>
      <c r="J298" s="776">
        <f>SUMIFS(Sheet1!S71_ASBudgetAmount,Sheet1!S71_SubMunicipalVoteNo,$AC:$AC,Sheet1!S71_A5CapexCode,$AD:$AD)</f>
        <v>0</v>
      </c>
      <c r="K298" s="775">
        <f>SUMIFS(Sheet1!S71_OY1BudgetAmount,Sheet1!S71_SubMunicipalVoteNo,$AC:$AC,Sheet1!S71_A5CapexCode,$AD:$AD)</f>
        <v>0</v>
      </c>
      <c r="L298" s="777">
        <f>SUMIFS(Sheet1!S71_OY2BudgetAmount,Sheet1!S71_SubMunicipalVoteNo,$AC:$AC,Sheet1!S71_A5CapexCode,$AD:$AD)</f>
        <v>0</v>
      </c>
      <c r="M298" s="322"/>
      <c r="AC298" s="2312">
        <v>122</v>
      </c>
      <c r="AD298" s="2318" t="s">
        <v>2805</v>
      </c>
    </row>
    <row r="299" spans="1:30" x14ac:dyDescent="0.25">
      <c r="A299" s="136" t="str">
        <f t="shared" si="102"/>
        <v>12.3 - Solid Waste Disposal (Landfill Sites)</v>
      </c>
      <c r="B299" s="711"/>
      <c r="C299" s="775">
        <f>SUMIFS(Sheet1!S71_PPPYearAmount,Sheet1!S71_SubMunicipalVoteNo,$AC:$AC,Sheet1!S71_A5CapexCode,$AD:$AD)</f>
        <v>0</v>
      </c>
      <c r="D299" s="775">
        <f>SUMIFS(Sheet1!S71_PPYearAmount,Sheet1!S71_SubMunicipalVoteNo,$AC:$AC,Sheet1!S71_A5CapexCode,$AD:$AD)</f>
        <v>0</v>
      </c>
      <c r="E299" s="717">
        <f>SUMIFS(Sheet1!S71_PYearAmount,Sheet1!S71_SubMunicipalVoteNo,$AC:$AC,Sheet1!S71_A5CapexCode,$AD:$AD)</f>
        <v>0</v>
      </c>
      <c r="F299" s="776">
        <f>SUMIFS(Sheet1!S71_OriginalBudAmnt,Sheet1!S71_SubMunicipalVoteNo,$AC:$AC,Sheet1!S71_A5CapexCode,$AD:$AD)</f>
        <v>0</v>
      </c>
      <c r="G299" s="775">
        <f>SUMIFS(Sheet1!S71_AdjustmentBudAmnt,Sheet1!S71_SubMunicipalVoteNo,$AC:$AC,Sheet1!S71_A5CapexCode,$AD:$AD)</f>
        <v>0</v>
      </c>
      <c r="H299" s="777">
        <f>SUMIFS(Sheet1!S71_AdjustmentBudAmnt,Sheet1!S71_SubMunicipalVoteNo,$AC:$AC,Sheet1!S71_A5CapexCode,$AD:$AD)</f>
        <v>0</v>
      </c>
      <c r="I299" s="778">
        <f>SUMIFS(Sheet1!CD:CD,Sheet1!S71_SubMunicipalVoteNo,$AC:$AC,Sheet1!S71_A5CapexCode,$AD:$AD)</f>
        <v>0</v>
      </c>
      <c r="J299" s="776">
        <f>SUMIFS(Sheet1!S71_ASBudgetAmount,Sheet1!S71_SubMunicipalVoteNo,$AC:$AC,Sheet1!S71_A5CapexCode,$AD:$AD)</f>
        <v>0</v>
      </c>
      <c r="K299" s="775">
        <f>SUMIFS(Sheet1!S71_OY1BudgetAmount,Sheet1!S71_SubMunicipalVoteNo,$AC:$AC,Sheet1!S71_A5CapexCode,$AD:$AD)</f>
        <v>0</v>
      </c>
      <c r="L299" s="777">
        <f>SUMIFS(Sheet1!S71_OY2BudgetAmount,Sheet1!S71_SubMunicipalVoteNo,$AC:$AC,Sheet1!S71_A5CapexCode,$AD:$AD)</f>
        <v>0</v>
      </c>
      <c r="M299" s="322"/>
      <c r="AC299" s="2312">
        <v>123</v>
      </c>
      <c r="AD299" s="2318" t="s">
        <v>2805</v>
      </c>
    </row>
    <row r="300" spans="1:30" x14ac:dyDescent="0.25">
      <c r="A300" s="136" t="str">
        <f t="shared" si="102"/>
        <v/>
      </c>
      <c r="B300" s="711"/>
      <c r="C300" s="775">
        <f>SUMIFS(Sheet1!S71_PPPYearAmount,Sheet1!S71_SubMunicipalVoteNo,$AC:$AC,Sheet1!S71_A5CapexCode,$AD:$AD)</f>
        <v>0</v>
      </c>
      <c r="D300" s="775">
        <f>SUMIFS(Sheet1!S71_PPYearAmount,Sheet1!S71_SubMunicipalVoteNo,$AC:$AC,Sheet1!S71_A5CapexCode,$AD:$AD)</f>
        <v>0</v>
      </c>
      <c r="E300" s="717">
        <f>SUMIFS(Sheet1!S71_PYearAmount,Sheet1!S71_SubMunicipalVoteNo,$AC:$AC,Sheet1!S71_A5CapexCode,$AD:$AD)</f>
        <v>0</v>
      </c>
      <c r="F300" s="776">
        <f>SUMIFS(Sheet1!S71_OriginalBudAmnt,Sheet1!S71_SubMunicipalVoteNo,$AC:$AC,Sheet1!S71_A5CapexCode,$AD:$AD)</f>
        <v>0</v>
      </c>
      <c r="G300" s="775">
        <f>SUMIFS(Sheet1!S71_AdjustmentBudAmnt,Sheet1!S71_SubMunicipalVoteNo,$AC:$AC,Sheet1!S71_A5CapexCode,$AD:$AD)</f>
        <v>0</v>
      </c>
      <c r="H300" s="777">
        <f>SUMIFS(Sheet1!S71_AdjustmentBudAmnt,Sheet1!S71_SubMunicipalVoteNo,$AC:$AC,Sheet1!S71_A5CapexCode,$AD:$AD)</f>
        <v>0</v>
      </c>
      <c r="I300" s="778">
        <f>SUMIFS(Sheet1!CD:CD,Sheet1!S71_SubMunicipalVoteNo,$AC:$AC,Sheet1!S71_A5CapexCode,$AD:$AD)</f>
        <v>0</v>
      </c>
      <c r="J300" s="776">
        <f>SUMIFS(Sheet1!S71_ASBudgetAmount,Sheet1!S71_SubMunicipalVoteNo,$AC:$AC,Sheet1!S71_A5CapexCode,$AD:$AD)</f>
        <v>0</v>
      </c>
      <c r="K300" s="775">
        <f>SUMIFS(Sheet1!S71_OY1BudgetAmount,Sheet1!S71_SubMunicipalVoteNo,$AC:$AC,Sheet1!S71_A5CapexCode,$AD:$AD)</f>
        <v>0</v>
      </c>
      <c r="L300" s="777">
        <f>SUMIFS(Sheet1!S71_OY2BudgetAmount,Sheet1!S71_SubMunicipalVoteNo,$AC:$AC,Sheet1!S71_A5CapexCode,$AD:$AD)</f>
        <v>0</v>
      </c>
      <c r="M300" s="322"/>
      <c r="AC300" s="2312">
        <v>124</v>
      </c>
      <c r="AD300" s="2318" t="s">
        <v>2805</v>
      </c>
    </row>
    <row r="301" spans="1:30" x14ac:dyDescent="0.25">
      <c r="A301" s="136" t="str">
        <f t="shared" si="102"/>
        <v/>
      </c>
      <c r="B301" s="711"/>
      <c r="C301" s="775">
        <f>SUMIFS(Sheet1!S71_PPPYearAmount,Sheet1!S71_SubMunicipalVoteNo,$AC:$AC,Sheet1!S71_A5CapexCode,$AD:$AD)</f>
        <v>0</v>
      </c>
      <c r="D301" s="775">
        <f>SUMIFS(Sheet1!S71_PPYearAmount,Sheet1!S71_SubMunicipalVoteNo,$AC:$AC,Sheet1!S71_A5CapexCode,$AD:$AD)</f>
        <v>0</v>
      </c>
      <c r="E301" s="717">
        <f>SUMIFS(Sheet1!S71_PYearAmount,Sheet1!S71_SubMunicipalVoteNo,$AC:$AC,Sheet1!S71_A5CapexCode,$AD:$AD)</f>
        <v>0</v>
      </c>
      <c r="F301" s="776">
        <f>SUMIFS(Sheet1!S71_OriginalBudAmnt,Sheet1!S71_SubMunicipalVoteNo,$AC:$AC,Sheet1!S71_A5CapexCode,$AD:$AD)</f>
        <v>0</v>
      </c>
      <c r="G301" s="775">
        <f>SUMIFS(Sheet1!S71_AdjustmentBudAmnt,Sheet1!S71_SubMunicipalVoteNo,$AC:$AC,Sheet1!S71_A5CapexCode,$AD:$AD)</f>
        <v>0</v>
      </c>
      <c r="H301" s="777">
        <f>SUMIFS(Sheet1!S71_AdjustmentBudAmnt,Sheet1!S71_SubMunicipalVoteNo,$AC:$AC,Sheet1!S71_A5CapexCode,$AD:$AD)</f>
        <v>0</v>
      </c>
      <c r="I301" s="778">
        <f>SUMIFS(Sheet1!CD:CD,Sheet1!S71_SubMunicipalVoteNo,$AC:$AC,Sheet1!S71_A5CapexCode,$AD:$AD)</f>
        <v>0</v>
      </c>
      <c r="J301" s="776">
        <f>SUMIFS(Sheet1!S71_ASBudgetAmount,Sheet1!S71_SubMunicipalVoteNo,$AC:$AC,Sheet1!S71_A5CapexCode,$AD:$AD)</f>
        <v>0</v>
      </c>
      <c r="K301" s="775">
        <f>SUMIFS(Sheet1!S71_OY1BudgetAmount,Sheet1!S71_SubMunicipalVoteNo,$AC:$AC,Sheet1!S71_A5CapexCode,$AD:$AD)</f>
        <v>0</v>
      </c>
      <c r="L301" s="777">
        <f>SUMIFS(Sheet1!S71_OY2BudgetAmount,Sheet1!S71_SubMunicipalVoteNo,$AC:$AC,Sheet1!S71_A5CapexCode,$AD:$AD)</f>
        <v>0</v>
      </c>
      <c r="M301" s="322"/>
      <c r="AC301" s="2312">
        <v>125</v>
      </c>
      <c r="AD301" s="2318" t="s">
        <v>2805</v>
      </c>
    </row>
    <row r="302" spans="1:30" x14ac:dyDescent="0.25">
      <c r="A302" s="136" t="str">
        <f t="shared" si="102"/>
        <v/>
      </c>
      <c r="B302" s="711"/>
      <c r="C302" s="775">
        <f>SUMIFS(Sheet1!S71_PPPYearAmount,Sheet1!S71_SubMunicipalVoteNo,$AC:$AC,Sheet1!S71_A5CapexCode,$AD:$AD)</f>
        <v>0</v>
      </c>
      <c r="D302" s="775">
        <f>SUMIFS(Sheet1!S71_PPYearAmount,Sheet1!S71_SubMunicipalVoteNo,$AC:$AC,Sheet1!S71_A5CapexCode,$AD:$AD)</f>
        <v>0</v>
      </c>
      <c r="E302" s="717">
        <f>SUMIFS(Sheet1!S71_PYearAmount,Sheet1!S71_SubMunicipalVoteNo,$AC:$AC,Sheet1!S71_A5CapexCode,$AD:$AD)</f>
        <v>0</v>
      </c>
      <c r="F302" s="776">
        <f>SUMIFS(Sheet1!S71_OriginalBudAmnt,Sheet1!S71_SubMunicipalVoteNo,$AC:$AC,Sheet1!S71_A5CapexCode,$AD:$AD)</f>
        <v>0</v>
      </c>
      <c r="G302" s="775">
        <f>SUMIFS(Sheet1!S71_AdjustmentBudAmnt,Sheet1!S71_SubMunicipalVoteNo,$AC:$AC,Sheet1!S71_A5CapexCode,$AD:$AD)</f>
        <v>0</v>
      </c>
      <c r="H302" s="777">
        <f>SUMIFS(Sheet1!S71_AdjustmentBudAmnt,Sheet1!S71_SubMunicipalVoteNo,$AC:$AC,Sheet1!S71_A5CapexCode,$AD:$AD)</f>
        <v>0</v>
      </c>
      <c r="I302" s="778">
        <f>SUMIFS(Sheet1!CD:CD,Sheet1!S71_SubMunicipalVoteNo,$AC:$AC,Sheet1!S71_A5CapexCode,$AD:$AD)</f>
        <v>0</v>
      </c>
      <c r="J302" s="776">
        <f>SUMIFS(Sheet1!S71_ASBudgetAmount,Sheet1!S71_SubMunicipalVoteNo,$AC:$AC,Sheet1!S71_A5CapexCode,$AD:$AD)</f>
        <v>0</v>
      </c>
      <c r="K302" s="775">
        <f>SUMIFS(Sheet1!S71_OY1BudgetAmount,Sheet1!S71_SubMunicipalVoteNo,$AC:$AC,Sheet1!S71_A5CapexCode,$AD:$AD)</f>
        <v>0</v>
      </c>
      <c r="L302" s="777">
        <f>SUMIFS(Sheet1!S71_OY2BudgetAmount,Sheet1!S71_SubMunicipalVoteNo,$AC:$AC,Sheet1!S71_A5CapexCode,$AD:$AD)</f>
        <v>0</v>
      </c>
      <c r="M302" s="322"/>
      <c r="AC302" s="2312">
        <v>126</v>
      </c>
      <c r="AD302" s="2318" t="s">
        <v>2805</v>
      </c>
    </row>
    <row r="303" spans="1:30" x14ac:dyDescent="0.25">
      <c r="A303" s="136" t="str">
        <f t="shared" si="102"/>
        <v/>
      </c>
      <c r="B303" s="711"/>
      <c r="C303" s="775">
        <f>SUMIFS(Sheet1!S71_PPPYearAmount,Sheet1!S71_SubMunicipalVoteNo,$AC:$AC,Sheet1!S71_A5CapexCode,$AD:$AD)</f>
        <v>0</v>
      </c>
      <c r="D303" s="775">
        <f>SUMIFS(Sheet1!S71_PPYearAmount,Sheet1!S71_SubMunicipalVoteNo,$AC:$AC,Sheet1!S71_A5CapexCode,$AD:$AD)</f>
        <v>0</v>
      </c>
      <c r="E303" s="717">
        <f>SUMIFS(Sheet1!S71_PYearAmount,Sheet1!S71_SubMunicipalVoteNo,$AC:$AC,Sheet1!S71_A5CapexCode,$AD:$AD)</f>
        <v>0</v>
      </c>
      <c r="F303" s="776">
        <f>SUMIFS(Sheet1!S71_OriginalBudAmnt,Sheet1!S71_SubMunicipalVoteNo,$AC:$AC,Sheet1!S71_A5CapexCode,$AD:$AD)</f>
        <v>0</v>
      </c>
      <c r="G303" s="775">
        <f>SUMIFS(Sheet1!S71_AdjustmentBudAmnt,Sheet1!S71_SubMunicipalVoteNo,$AC:$AC,Sheet1!S71_A5CapexCode,$AD:$AD)</f>
        <v>0</v>
      </c>
      <c r="H303" s="777">
        <f>SUMIFS(Sheet1!S71_AdjustmentBudAmnt,Sheet1!S71_SubMunicipalVoteNo,$AC:$AC,Sheet1!S71_A5CapexCode,$AD:$AD)</f>
        <v>0</v>
      </c>
      <c r="I303" s="778">
        <f>SUMIFS(Sheet1!CD:CD,Sheet1!S71_SubMunicipalVoteNo,$AC:$AC,Sheet1!S71_A5CapexCode,$AD:$AD)</f>
        <v>0</v>
      </c>
      <c r="J303" s="776">
        <f>SUMIFS(Sheet1!S71_ASBudgetAmount,Sheet1!S71_SubMunicipalVoteNo,$AC:$AC,Sheet1!S71_A5CapexCode,$AD:$AD)</f>
        <v>0</v>
      </c>
      <c r="K303" s="775">
        <f>SUMIFS(Sheet1!S71_OY1BudgetAmount,Sheet1!S71_SubMunicipalVoteNo,$AC:$AC,Sheet1!S71_A5CapexCode,$AD:$AD)</f>
        <v>0</v>
      </c>
      <c r="L303" s="777">
        <f>SUMIFS(Sheet1!S71_OY2BudgetAmount,Sheet1!S71_SubMunicipalVoteNo,$AC:$AC,Sheet1!S71_A5CapexCode,$AD:$AD)</f>
        <v>0</v>
      </c>
      <c r="M303" s="322"/>
      <c r="AC303" s="2312">
        <v>127</v>
      </c>
      <c r="AD303" s="2318" t="s">
        <v>2805</v>
      </c>
    </row>
    <row r="304" spans="1:30" x14ac:dyDescent="0.25">
      <c r="A304" s="136" t="str">
        <f t="shared" ref="A304:A339" si="109">A135</f>
        <v/>
      </c>
      <c r="B304" s="711"/>
      <c r="C304" s="775">
        <f>SUMIFS(Sheet1!S71_PPPYearAmount,Sheet1!S71_SubMunicipalVoteNo,$AC:$AC,Sheet1!S71_A5CapexCode,$AD:$AD)</f>
        <v>0</v>
      </c>
      <c r="D304" s="775">
        <f>SUMIFS(Sheet1!S71_PPYearAmount,Sheet1!S71_SubMunicipalVoteNo,$AC:$AC,Sheet1!S71_A5CapexCode,$AD:$AD)</f>
        <v>0</v>
      </c>
      <c r="E304" s="717">
        <f>SUMIFS(Sheet1!S71_PYearAmount,Sheet1!S71_SubMunicipalVoteNo,$AC:$AC,Sheet1!S71_A5CapexCode,$AD:$AD)</f>
        <v>0</v>
      </c>
      <c r="F304" s="776">
        <f>SUMIFS(Sheet1!S71_OriginalBudAmnt,Sheet1!S71_SubMunicipalVoteNo,$AC:$AC,Sheet1!S71_A5CapexCode,$AD:$AD)</f>
        <v>0</v>
      </c>
      <c r="G304" s="775">
        <f>SUMIFS(Sheet1!S71_AdjustmentBudAmnt,Sheet1!S71_SubMunicipalVoteNo,$AC:$AC,Sheet1!S71_A5CapexCode,$AD:$AD)</f>
        <v>0</v>
      </c>
      <c r="H304" s="777">
        <f>SUMIFS(Sheet1!S71_AdjustmentBudAmnt,Sheet1!S71_SubMunicipalVoteNo,$AC:$AC,Sheet1!S71_A5CapexCode,$AD:$AD)</f>
        <v>0</v>
      </c>
      <c r="I304" s="778">
        <f>SUMIFS(Sheet1!CD:CD,Sheet1!S71_SubMunicipalVoteNo,$AC:$AC,Sheet1!S71_A5CapexCode,$AD:$AD)</f>
        <v>0</v>
      </c>
      <c r="J304" s="776">
        <f>SUMIFS(Sheet1!S71_ASBudgetAmount,Sheet1!S71_SubMunicipalVoteNo,$AC:$AC,Sheet1!S71_A5CapexCode,$AD:$AD)</f>
        <v>0</v>
      </c>
      <c r="K304" s="775">
        <f>SUMIFS(Sheet1!S71_OY1BudgetAmount,Sheet1!S71_SubMunicipalVoteNo,$AC:$AC,Sheet1!S71_A5CapexCode,$AD:$AD)</f>
        <v>0</v>
      </c>
      <c r="L304" s="777">
        <f>SUMIFS(Sheet1!S71_OY2BudgetAmount,Sheet1!S71_SubMunicipalVoteNo,$AC:$AC,Sheet1!S71_A5CapexCode,$AD:$AD)</f>
        <v>0</v>
      </c>
      <c r="M304" s="322"/>
      <c r="AC304" s="2312">
        <v>128</v>
      </c>
      <c r="AD304" s="2318" t="s">
        <v>2805</v>
      </c>
    </row>
    <row r="305" spans="1:30" x14ac:dyDescent="0.25">
      <c r="A305" s="136" t="str">
        <f t="shared" si="109"/>
        <v/>
      </c>
      <c r="B305" s="711"/>
      <c r="C305" s="775">
        <f>SUMIFS(Sheet1!S71_PPPYearAmount,Sheet1!S71_SubMunicipalVoteNo,$AC:$AC,Sheet1!S71_A5CapexCode,$AD:$AD)</f>
        <v>0</v>
      </c>
      <c r="D305" s="775">
        <f>SUMIFS(Sheet1!S71_PPYearAmount,Sheet1!S71_SubMunicipalVoteNo,$AC:$AC,Sheet1!S71_A5CapexCode,$AD:$AD)</f>
        <v>0</v>
      </c>
      <c r="E305" s="717">
        <f>SUMIFS(Sheet1!S71_PYearAmount,Sheet1!S71_SubMunicipalVoteNo,$AC:$AC,Sheet1!S71_A5CapexCode,$AD:$AD)</f>
        <v>0</v>
      </c>
      <c r="F305" s="776">
        <f>SUMIFS(Sheet1!S71_OriginalBudAmnt,Sheet1!S71_SubMunicipalVoteNo,$AC:$AC,Sheet1!S71_A5CapexCode,$AD:$AD)</f>
        <v>0</v>
      </c>
      <c r="G305" s="775">
        <f>SUMIFS(Sheet1!S71_AdjustmentBudAmnt,Sheet1!S71_SubMunicipalVoteNo,$AC:$AC,Sheet1!S71_A5CapexCode,$AD:$AD)</f>
        <v>0</v>
      </c>
      <c r="H305" s="777">
        <f>SUMIFS(Sheet1!S71_AdjustmentBudAmnt,Sheet1!S71_SubMunicipalVoteNo,$AC:$AC,Sheet1!S71_A5CapexCode,$AD:$AD)</f>
        <v>0</v>
      </c>
      <c r="I305" s="778">
        <f>SUMIFS(Sheet1!CD:CD,Sheet1!S71_SubMunicipalVoteNo,$AC:$AC,Sheet1!S71_A5CapexCode,$AD:$AD)</f>
        <v>0</v>
      </c>
      <c r="J305" s="776">
        <f>SUMIFS(Sheet1!S71_ASBudgetAmount,Sheet1!S71_SubMunicipalVoteNo,$AC:$AC,Sheet1!S71_A5CapexCode,$AD:$AD)</f>
        <v>0</v>
      </c>
      <c r="K305" s="775">
        <f>SUMIFS(Sheet1!S71_OY1BudgetAmount,Sheet1!S71_SubMunicipalVoteNo,$AC:$AC,Sheet1!S71_A5CapexCode,$AD:$AD)</f>
        <v>0</v>
      </c>
      <c r="L305" s="777">
        <f>SUMIFS(Sheet1!S71_OY2BudgetAmount,Sheet1!S71_SubMunicipalVoteNo,$AC:$AC,Sheet1!S71_A5CapexCode,$AD:$AD)</f>
        <v>0</v>
      </c>
      <c r="M305" s="322"/>
      <c r="AC305" s="2312">
        <v>129</v>
      </c>
      <c r="AD305" s="2318" t="s">
        <v>2805</v>
      </c>
    </row>
    <row r="306" spans="1:30" x14ac:dyDescent="0.25">
      <c r="A306" s="136" t="str">
        <f t="shared" si="109"/>
        <v/>
      </c>
      <c r="B306" s="711"/>
      <c r="C306" s="775">
        <f>SUMIFS(Sheet1!S71_PPPYearAmount,Sheet1!S71_SubMunicipalVoteNo,$AC:$AC,Sheet1!S71_A5CapexCode,$AD:$AD)</f>
        <v>0</v>
      </c>
      <c r="D306" s="775">
        <f>SUMIFS(Sheet1!S71_PPYearAmount,Sheet1!S71_SubMunicipalVoteNo,$AC:$AC,Sheet1!S71_A5CapexCode,$AD:$AD)</f>
        <v>0</v>
      </c>
      <c r="E306" s="717">
        <f>SUMIFS(Sheet1!S71_PYearAmount,Sheet1!S71_SubMunicipalVoteNo,$AC:$AC,Sheet1!S71_A5CapexCode,$AD:$AD)</f>
        <v>0</v>
      </c>
      <c r="F306" s="776">
        <f>SUMIFS(Sheet1!S71_OriginalBudAmnt,Sheet1!S71_SubMunicipalVoteNo,$AC:$AC,Sheet1!S71_A5CapexCode,$AD:$AD)</f>
        <v>0</v>
      </c>
      <c r="G306" s="775">
        <f>SUMIFS(Sheet1!S71_AdjustmentBudAmnt,Sheet1!S71_SubMunicipalVoteNo,$AC:$AC,Sheet1!S71_A5CapexCode,$AD:$AD)</f>
        <v>0</v>
      </c>
      <c r="H306" s="777">
        <f>SUMIFS(Sheet1!S71_AdjustmentBudAmnt,Sheet1!S71_SubMunicipalVoteNo,$AC:$AC,Sheet1!S71_A5CapexCode,$AD:$AD)</f>
        <v>0</v>
      </c>
      <c r="I306" s="778">
        <f>SUMIFS(Sheet1!CD:CD,Sheet1!S71_SubMunicipalVoteNo,$AC:$AC,Sheet1!S71_A5CapexCode,$AD:$AD)</f>
        <v>0</v>
      </c>
      <c r="J306" s="776">
        <f>SUMIFS(Sheet1!S71_ASBudgetAmount,Sheet1!S71_SubMunicipalVoteNo,$AC:$AC,Sheet1!S71_A5CapexCode,$AD:$AD)</f>
        <v>0</v>
      </c>
      <c r="K306" s="775">
        <f>SUMIFS(Sheet1!S71_OY1BudgetAmount,Sheet1!S71_SubMunicipalVoteNo,$AC:$AC,Sheet1!S71_A5CapexCode,$AD:$AD)</f>
        <v>0</v>
      </c>
      <c r="L306" s="777">
        <f>SUMIFS(Sheet1!S71_OY2BudgetAmount,Sheet1!S71_SubMunicipalVoteNo,$AC:$AC,Sheet1!S71_A5CapexCode,$AD:$AD)</f>
        <v>0</v>
      </c>
      <c r="M306" s="322"/>
      <c r="AC306" s="2312">
        <v>1210</v>
      </c>
      <c r="AD306" s="2318" t="s">
        <v>2805</v>
      </c>
    </row>
    <row r="307" spans="1:30" ht="15" customHeight="1" x14ac:dyDescent="0.25">
      <c r="A307" s="135" t="str">
        <f t="shared" si="109"/>
        <v>Vote 13 - Housing</v>
      </c>
      <c r="B307" s="711"/>
      <c r="C307" s="212">
        <f t="shared" ref="C307:L307" si="110">SUM(C308:C317)</f>
        <v>0</v>
      </c>
      <c r="D307" s="212">
        <f t="shared" si="110"/>
        <v>0</v>
      </c>
      <c r="E307" s="213">
        <f t="shared" si="110"/>
        <v>0</v>
      </c>
      <c r="F307" s="214">
        <f t="shared" si="110"/>
        <v>0</v>
      </c>
      <c r="G307" s="212">
        <f t="shared" si="110"/>
        <v>0</v>
      </c>
      <c r="H307" s="213">
        <f t="shared" si="110"/>
        <v>0</v>
      </c>
      <c r="I307" s="215">
        <f t="shared" si="110"/>
        <v>0</v>
      </c>
      <c r="J307" s="214">
        <f t="shared" si="110"/>
        <v>0</v>
      </c>
      <c r="K307" s="212">
        <f t="shared" si="110"/>
        <v>0</v>
      </c>
      <c r="L307" s="213">
        <f t="shared" si="110"/>
        <v>0</v>
      </c>
      <c r="M307" s="322"/>
      <c r="AD307" s="2315"/>
    </row>
    <row r="308" spans="1:30" x14ac:dyDescent="0.25">
      <c r="A308" s="136" t="str">
        <f t="shared" si="109"/>
        <v>13.1 - Housing</v>
      </c>
      <c r="B308" s="711"/>
      <c r="C308" s="775">
        <f>SUMIFS(Sheet1!S71_PPPYearAmount,Sheet1!S71_SubMunicipalVoteNo,$AC:$AC,Sheet1!S71_A5CapexCode,$AD:$AD)</f>
        <v>0</v>
      </c>
      <c r="D308" s="775">
        <f>SUMIFS(Sheet1!S71_PPYearAmount,Sheet1!S71_SubMunicipalVoteNo,$AC:$AC,Sheet1!S71_A5CapexCode,$AD:$AD)</f>
        <v>0</v>
      </c>
      <c r="E308" s="717">
        <f>SUMIFS(Sheet1!S71_PYearAmount,Sheet1!S71_SubMunicipalVoteNo,$AC:$AC,Sheet1!S71_A5CapexCode,$AD:$AD)</f>
        <v>0</v>
      </c>
      <c r="F308" s="776">
        <f>SUMIFS(Sheet1!S71_OriginalBudAmnt,Sheet1!S71_SubMunicipalVoteNo,$AC:$AC,Sheet1!S71_A5CapexCode,$AD:$AD)</f>
        <v>0</v>
      </c>
      <c r="G308" s="775">
        <f>SUMIFS(Sheet1!S71_AdjustmentBudAmnt,Sheet1!S71_SubMunicipalVoteNo,$AC:$AC,Sheet1!S71_A5CapexCode,$AD:$AD)</f>
        <v>0</v>
      </c>
      <c r="H308" s="777">
        <f>SUMIFS(Sheet1!S71_AdjustmentBudAmnt,Sheet1!S71_SubMunicipalVoteNo,$AC:$AC,Sheet1!S71_A5CapexCode,$AD:$AD)</f>
        <v>0</v>
      </c>
      <c r="I308" s="778">
        <f>SUMIFS(Sheet1!CD:CD,Sheet1!S71_SubMunicipalVoteNo,$AC:$AC,Sheet1!S71_A5CapexCode,$AD:$AD)</f>
        <v>0</v>
      </c>
      <c r="J308" s="776">
        <f>SUMIFS(Sheet1!S71_ASBudgetAmount,Sheet1!S71_SubMunicipalVoteNo,$AC:$AC,Sheet1!S71_A5CapexCode,$AD:$AD)</f>
        <v>0</v>
      </c>
      <c r="K308" s="775">
        <f>SUMIFS(Sheet1!S71_OY1BudgetAmount,Sheet1!S71_SubMunicipalVoteNo,$AC:$AC,Sheet1!S71_A5CapexCode,$AD:$AD)</f>
        <v>0</v>
      </c>
      <c r="L308" s="777">
        <f>SUMIFS(Sheet1!S71_OY2BudgetAmount,Sheet1!S71_SubMunicipalVoteNo,$AC:$AC,Sheet1!S71_A5CapexCode,$AD:$AD)</f>
        <v>0</v>
      </c>
      <c r="M308" s="322"/>
      <c r="AC308" s="2312">
        <v>131</v>
      </c>
      <c r="AD308" s="2318" t="s">
        <v>2805</v>
      </c>
    </row>
    <row r="309" spans="1:30" x14ac:dyDescent="0.25">
      <c r="A309" s="136" t="str">
        <f t="shared" si="109"/>
        <v/>
      </c>
      <c r="B309" s="711"/>
      <c r="C309" s="775">
        <f>SUMIFS(Sheet1!S71_PPPYearAmount,Sheet1!S71_SubMunicipalVoteNo,$AC:$AC,Sheet1!S71_A5CapexCode,$AD:$AD)</f>
        <v>0</v>
      </c>
      <c r="D309" s="775">
        <f>SUMIFS(Sheet1!S71_PPYearAmount,Sheet1!S71_SubMunicipalVoteNo,$AC:$AC,Sheet1!S71_A5CapexCode,$AD:$AD)</f>
        <v>0</v>
      </c>
      <c r="E309" s="717">
        <f>SUMIFS(Sheet1!S71_PYearAmount,Sheet1!S71_SubMunicipalVoteNo,$AC:$AC,Sheet1!S71_A5CapexCode,$AD:$AD)</f>
        <v>0</v>
      </c>
      <c r="F309" s="776">
        <f>SUMIFS(Sheet1!S71_OriginalBudAmnt,Sheet1!S71_SubMunicipalVoteNo,$AC:$AC,Sheet1!S71_A5CapexCode,$AD:$AD)</f>
        <v>0</v>
      </c>
      <c r="G309" s="775">
        <f>SUMIFS(Sheet1!S71_AdjustmentBudAmnt,Sheet1!S71_SubMunicipalVoteNo,$AC:$AC,Sheet1!S71_A5CapexCode,$AD:$AD)</f>
        <v>0</v>
      </c>
      <c r="H309" s="777">
        <f>SUMIFS(Sheet1!S71_AdjustmentBudAmnt,Sheet1!S71_SubMunicipalVoteNo,$AC:$AC,Sheet1!S71_A5CapexCode,$AD:$AD)</f>
        <v>0</v>
      </c>
      <c r="I309" s="778">
        <f>SUMIFS(Sheet1!CD:CD,Sheet1!S71_SubMunicipalVoteNo,$AC:$AC,Sheet1!S71_A5CapexCode,$AD:$AD)</f>
        <v>0</v>
      </c>
      <c r="J309" s="776">
        <f>SUMIFS(Sheet1!S71_ASBudgetAmount,Sheet1!S71_SubMunicipalVoteNo,$AC:$AC,Sheet1!S71_A5CapexCode,$AD:$AD)</f>
        <v>0</v>
      </c>
      <c r="K309" s="775">
        <f>SUMIFS(Sheet1!S71_OY1BudgetAmount,Sheet1!S71_SubMunicipalVoteNo,$AC:$AC,Sheet1!S71_A5CapexCode,$AD:$AD)</f>
        <v>0</v>
      </c>
      <c r="L309" s="777">
        <f>SUMIFS(Sheet1!S71_OY2BudgetAmount,Sheet1!S71_SubMunicipalVoteNo,$AC:$AC,Sheet1!S71_A5CapexCode,$AD:$AD)</f>
        <v>0</v>
      </c>
      <c r="M309" s="322"/>
      <c r="AC309" s="2312">
        <v>132</v>
      </c>
      <c r="AD309" s="2318" t="s">
        <v>2805</v>
      </c>
    </row>
    <row r="310" spans="1:30" x14ac:dyDescent="0.25">
      <c r="A310" s="136" t="str">
        <f t="shared" si="109"/>
        <v/>
      </c>
      <c r="B310" s="711"/>
      <c r="C310" s="775">
        <f>SUMIFS(Sheet1!S71_PPPYearAmount,Sheet1!S71_SubMunicipalVoteNo,$AC:$AC,Sheet1!S71_A5CapexCode,$AD:$AD)</f>
        <v>0</v>
      </c>
      <c r="D310" s="775">
        <f>SUMIFS(Sheet1!S71_PPYearAmount,Sheet1!S71_SubMunicipalVoteNo,$AC:$AC,Sheet1!S71_A5CapexCode,$AD:$AD)</f>
        <v>0</v>
      </c>
      <c r="E310" s="717">
        <f>SUMIFS(Sheet1!S71_PYearAmount,Sheet1!S71_SubMunicipalVoteNo,$AC:$AC,Sheet1!S71_A5CapexCode,$AD:$AD)</f>
        <v>0</v>
      </c>
      <c r="F310" s="776">
        <f>SUMIFS(Sheet1!S71_OriginalBudAmnt,Sheet1!S71_SubMunicipalVoteNo,$AC:$AC,Sheet1!S71_A5CapexCode,$AD:$AD)</f>
        <v>0</v>
      </c>
      <c r="G310" s="775">
        <f>SUMIFS(Sheet1!S71_AdjustmentBudAmnt,Sheet1!S71_SubMunicipalVoteNo,$AC:$AC,Sheet1!S71_A5CapexCode,$AD:$AD)</f>
        <v>0</v>
      </c>
      <c r="H310" s="777">
        <f>SUMIFS(Sheet1!S71_AdjustmentBudAmnt,Sheet1!S71_SubMunicipalVoteNo,$AC:$AC,Sheet1!S71_A5CapexCode,$AD:$AD)</f>
        <v>0</v>
      </c>
      <c r="I310" s="778">
        <f>SUMIFS(Sheet1!CD:CD,Sheet1!S71_SubMunicipalVoteNo,$AC:$AC,Sheet1!S71_A5CapexCode,$AD:$AD)</f>
        <v>0</v>
      </c>
      <c r="J310" s="776">
        <f>SUMIFS(Sheet1!S71_ASBudgetAmount,Sheet1!S71_SubMunicipalVoteNo,$AC:$AC,Sheet1!S71_A5CapexCode,$AD:$AD)</f>
        <v>0</v>
      </c>
      <c r="K310" s="775">
        <f>SUMIFS(Sheet1!S71_OY1BudgetAmount,Sheet1!S71_SubMunicipalVoteNo,$AC:$AC,Sheet1!S71_A5CapexCode,$AD:$AD)</f>
        <v>0</v>
      </c>
      <c r="L310" s="777">
        <f>SUMIFS(Sheet1!S71_OY2BudgetAmount,Sheet1!S71_SubMunicipalVoteNo,$AC:$AC,Sheet1!S71_A5CapexCode,$AD:$AD)</f>
        <v>0</v>
      </c>
      <c r="M310" s="322"/>
      <c r="AC310" s="2312">
        <v>133</v>
      </c>
      <c r="AD310" s="2318" t="s">
        <v>2805</v>
      </c>
    </row>
    <row r="311" spans="1:30" x14ac:dyDescent="0.25">
      <c r="A311" s="136" t="str">
        <f t="shared" si="109"/>
        <v/>
      </c>
      <c r="B311" s="711"/>
      <c r="C311" s="775">
        <f>SUMIFS(Sheet1!S71_PPPYearAmount,Sheet1!S71_SubMunicipalVoteNo,$AC:$AC,Sheet1!S71_A5CapexCode,$AD:$AD)</f>
        <v>0</v>
      </c>
      <c r="D311" s="775">
        <f>SUMIFS(Sheet1!S71_PPYearAmount,Sheet1!S71_SubMunicipalVoteNo,$AC:$AC,Sheet1!S71_A5CapexCode,$AD:$AD)</f>
        <v>0</v>
      </c>
      <c r="E311" s="717">
        <f>SUMIFS(Sheet1!S71_PYearAmount,Sheet1!S71_SubMunicipalVoteNo,$AC:$AC,Sheet1!S71_A5CapexCode,$AD:$AD)</f>
        <v>0</v>
      </c>
      <c r="F311" s="776">
        <f>SUMIFS(Sheet1!S71_OriginalBudAmnt,Sheet1!S71_SubMunicipalVoteNo,$AC:$AC,Sheet1!S71_A5CapexCode,$AD:$AD)</f>
        <v>0</v>
      </c>
      <c r="G311" s="775">
        <f>SUMIFS(Sheet1!S71_AdjustmentBudAmnt,Sheet1!S71_SubMunicipalVoteNo,$AC:$AC,Sheet1!S71_A5CapexCode,$AD:$AD)</f>
        <v>0</v>
      </c>
      <c r="H311" s="777">
        <f>SUMIFS(Sheet1!S71_AdjustmentBudAmnt,Sheet1!S71_SubMunicipalVoteNo,$AC:$AC,Sheet1!S71_A5CapexCode,$AD:$AD)</f>
        <v>0</v>
      </c>
      <c r="I311" s="778">
        <f>SUMIFS(Sheet1!CD:CD,Sheet1!S71_SubMunicipalVoteNo,$AC:$AC,Sheet1!S71_A5CapexCode,$AD:$AD)</f>
        <v>0</v>
      </c>
      <c r="J311" s="776">
        <f>SUMIFS(Sheet1!S71_ASBudgetAmount,Sheet1!S71_SubMunicipalVoteNo,$AC:$AC,Sheet1!S71_A5CapexCode,$AD:$AD)</f>
        <v>0</v>
      </c>
      <c r="K311" s="775">
        <f>SUMIFS(Sheet1!S71_OY1BudgetAmount,Sheet1!S71_SubMunicipalVoteNo,$AC:$AC,Sheet1!S71_A5CapexCode,$AD:$AD)</f>
        <v>0</v>
      </c>
      <c r="L311" s="777">
        <f>SUMIFS(Sheet1!S71_OY2BudgetAmount,Sheet1!S71_SubMunicipalVoteNo,$AC:$AC,Sheet1!S71_A5CapexCode,$AD:$AD)</f>
        <v>0</v>
      </c>
      <c r="M311" s="322"/>
      <c r="AC311" s="2312">
        <v>134</v>
      </c>
      <c r="AD311" s="2318" t="s">
        <v>2805</v>
      </c>
    </row>
    <row r="312" spans="1:30" x14ac:dyDescent="0.25">
      <c r="A312" s="136" t="str">
        <f t="shared" si="109"/>
        <v/>
      </c>
      <c r="B312" s="711"/>
      <c r="C312" s="775">
        <f>SUMIFS(Sheet1!S71_PPPYearAmount,Sheet1!S71_SubMunicipalVoteNo,$AC:$AC,Sheet1!S71_A5CapexCode,$AD:$AD)</f>
        <v>0</v>
      </c>
      <c r="D312" s="775">
        <f>SUMIFS(Sheet1!S71_PPYearAmount,Sheet1!S71_SubMunicipalVoteNo,$AC:$AC,Sheet1!S71_A5CapexCode,$AD:$AD)</f>
        <v>0</v>
      </c>
      <c r="E312" s="717">
        <f>SUMIFS(Sheet1!S71_PYearAmount,Sheet1!S71_SubMunicipalVoteNo,$AC:$AC,Sheet1!S71_A5CapexCode,$AD:$AD)</f>
        <v>0</v>
      </c>
      <c r="F312" s="776">
        <f>SUMIFS(Sheet1!S71_OriginalBudAmnt,Sheet1!S71_SubMunicipalVoteNo,$AC:$AC,Sheet1!S71_A5CapexCode,$AD:$AD)</f>
        <v>0</v>
      </c>
      <c r="G312" s="775">
        <f>SUMIFS(Sheet1!S71_AdjustmentBudAmnt,Sheet1!S71_SubMunicipalVoteNo,$AC:$AC,Sheet1!S71_A5CapexCode,$AD:$AD)</f>
        <v>0</v>
      </c>
      <c r="H312" s="777">
        <f>SUMIFS(Sheet1!S71_AdjustmentBudAmnt,Sheet1!S71_SubMunicipalVoteNo,$AC:$AC,Sheet1!S71_A5CapexCode,$AD:$AD)</f>
        <v>0</v>
      </c>
      <c r="I312" s="778">
        <f>SUMIFS(Sheet1!CD:CD,Sheet1!S71_SubMunicipalVoteNo,$AC:$AC,Sheet1!S71_A5CapexCode,$AD:$AD)</f>
        <v>0</v>
      </c>
      <c r="J312" s="776">
        <f>SUMIFS(Sheet1!S71_ASBudgetAmount,Sheet1!S71_SubMunicipalVoteNo,$AC:$AC,Sheet1!S71_A5CapexCode,$AD:$AD)</f>
        <v>0</v>
      </c>
      <c r="K312" s="775">
        <f>SUMIFS(Sheet1!S71_OY1BudgetAmount,Sheet1!S71_SubMunicipalVoteNo,$AC:$AC,Sheet1!S71_A5CapexCode,$AD:$AD)</f>
        <v>0</v>
      </c>
      <c r="L312" s="777">
        <f>SUMIFS(Sheet1!S71_OY2BudgetAmount,Sheet1!S71_SubMunicipalVoteNo,$AC:$AC,Sheet1!S71_A5CapexCode,$AD:$AD)</f>
        <v>0</v>
      </c>
      <c r="M312" s="322"/>
      <c r="AC312" s="2312">
        <v>135</v>
      </c>
      <c r="AD312" s="2318" t="s">
        <v>2805</v>
      </c>
    </row>
    <row r="313" spans="1:30" x14ac:dyDescent="0.25">
      <c r="A313" s="136" t="str">
        <f t="shared" si="109"/>
        <v/>
      </c>
      <c r="B313" s="711"/>
      <c r="C313" s="775">
        <f>SUMIFS(Sheet1!S71_PPPYearAmount,Sheet1!S71_SubMunicipalVoteNo,$AC:$AC,Sheet1!S71_A5CapexCode,$AD:$AD)</f>
        <v>0</v>
      </c>
      <c r="D313" s="775">
        <f>SUMIFS(Sheet1!S71_PPYearAmount,Sheet1!S71_SubMunicipalVoteNo,$AC:$AC,Sheet1!S71_A5CapexCode,$AD:$AD)</f>
        <v>0</v>
      </c>
      <c r="E313" s="717">
        <f>SUMIFS(Sheet1!S71_PYearAmount,Sheet1!S71_SubMunicipalVoteNo,$AC:$AC,Sheet1!S71_A5CapexCode,$AD:$AD)</f>
        <v>0</v>
      </c>
      <c r="F313" s="776">
        <f>SUMIFS(Sheet1!S71_OriginalBudAmnt,Sheet1!S71_SubMunicipalVoteNo,$AC:$AC,Sheet1!S71_A5CapexCode,$AD:$AD)</f>
        <v>0</v>
      </c>
      <c r="G313" s="775">
        <f>SUMIFS(Sheet1!S71_AdjustmentBudAmnt,Sheet1!S71_SubMunicipalVoteNo,$AC:$AC,Sheet1!S71_A5CapexCode,$AD:$AD)</f>
        <v>0</v>
      </c>
      <c r="H313" s="777">
        <f>SUMIFS(Sheet1!S71_AdjustmentBudAmnt,Sheet1!S71_SubMunicipalVoteNo,$AC:$AC,Sheet1!S71_A5CapexCode,$AD:$AD)</f>
        <v>0</v>
      </c>
      <c r="I313" s="778">
        <f>SUMIFS(Sheet1!CD:CD,Sheet1!S71_SubMunicipalVoteNo,$AC:$AC,Sheet1!S71_A5CapexCode,$AD:$AD)</f>
        <v>0</v>
      </c>
      <c r="J313" s="776">
        <f>SUMIFS(Sheet1!S71_ASBudgetAmount,Sheet1!S71_SubMunicipalVoteNo,$AC:$AC,Sheet1!S71_A5CapexCode,$AD:$AD)</f>
        <v>0</v>
      </c>
      <c r="K313" s="775">
        <f>SUMIFS(Sheet1!S71_OY1BudgetAmount,Sheet1!S71_SubMunicipalVoteNo,$AC:$AC,Sheet1!S71_A5CapexCode,$AD:$AD)</f>
        <v>0</v>
      </c>
      <c r="L313" s="777">
        <f>SUMIFS(Sheet1!S71_OY2BudgetAmount,Sheet1!S71_SubMunicipalVoteNo,$AC:$AC,Sheet1!S71_A5CapexCode,$AD:$AD)</f>
        <v>0</v>
      </c>
      <c r="M313" s="322"/>
      <c r="AC313" s="2312">
        <v>136</v>
      </c>
      <c r="AD313" s="2318" t="s">
        <v>2805</v>
      </c>
    </row>
    <row r="314" spans="1:30" x14ac:dyDescent="0.25">
      <c r="A314" s="136" t="str">
        <f t="shared" si="109"/>
        <v/>
      </c>
      <c r="B314" s="711"/>
      <c r="C314" s="775">
        <f>SUMIFS(Sheet1!S71_PPPYearAmount,Sheet1!S71_SubMunicipalVoteNo,$AC:$AC,Sheet1!S71_A5CapexCode,$AD:$AD)</f>
        <v>0</v>
      </c>
      <c r="D314" s="775">
        <f>SUMIFS(Sheet1!S71_PPYearAmount,Sheet1!S71_SubMunicipalVoteNo,$AC:$AC,Sheet1!S71_A5CapexCode,$AD:$AD)</f>
        <v>0</v>
      </c>
      <c r="E314" s="717">
        <f>SUMIFS(Sheet1!S71_PYearAmount,Sheet1!S71_SubMunicipalVoteNo,$AC:$AC,Sheet1!S71_A5CapexCode,$AD:$AD)</f>
        <v>0</v>
      </c>
      <c r="F314" s="776">
        <f>SUMIFS(Sheet1!S71_OriginalBudAmnt,Sheet1!S71_SubMunicipalVoteNo,$AC:$AC,Sheet1!S71_A5CapexCode,$AD:$AD)</f>
        <v>0</v>
      </c>
      <c r="G314" s="775">
        <f>SUMIFS(Sheet1!S71_AdjustmentBudAmnt,Sheet1!S71_SubMunicipalVoteNo,$AC:$AC,Sheet1!S71_A5CapexCode,$AD:$AD)</f>
        <v>0</v>
      </c>
      <c r="H314" s="777">
        <f>SUMIFS(Sheet1!S71_AdjustmentBudAmnt,Sheet1!S71_SubMunicipalVoteNo,$AC:$AC,Sheet1!S71_A5CapexCode,$AD:$AD)</f>
        <v>0</v>
      </c>
      <c r="I314" s="778">
        <f>SUMIFS(Sheet1!CD:CD,Sheet1!S71_SubMunicipalVoteNo,$AC:$AC,Sheet1!S71_A5CapexCode,$AD:$AD)</f>
        <v>0</v>
      </c>
      <c r="J314" s="776">
        <f>SUMIFS(Sheet1!S71_ASBudgetAmount,Sheet1!S71_SubMunicipalVoteNo,$AC:$AC,Sheet1!S71_A5CapexCode,$AD:$AD)</f>
        <v>0</v>
      </c>
      <c r="K314" s="775">
        <f>SUMIFS(Sheet1!S71_OY1BudgetAmount,Sheet1!S71_SubMunicipalVoteNo,$AC:$AC,Sheet1!S71_A5CapexCode,$AD:$AD)</f>
        <v>0</v>
      </c>
      <c r="L314" s="777">
        <f>SUMIFS(Sheet1!S71_OY2BudgetAmount,Sheet1!S71_SubMunicipalVoteNo,$AC:$AC,Sheet1!S71_A5CapexCode,$AD:$AD)</f>
        <v>0</v>
      </c>
      <c r="M314" s="322"/>
      <c r="AC314" s="2312">
        <v>137</v>
      </c>
      <c r="AD314" s="2318" t="s">
        <v>2805</v>
      </c>
    </row>
    <row r="315" spans="1:30" x14ac:dyDescent="0.25">
      <c r="A315" s="136" t="str">
        <f t="shared" si="109"/>
        <v/>
      </c>
      <c r="B315" s="711"/>
      <c r="C315" s="775">
        <f>SUMIFS(Sheet1!S71_PPPYearAmount,Sheet1!S71_SubMunicipalVoteNo,$AC:$AC,Sheet1!S71_A5CapexCode,$AD:$AD)</f>
        <v>0</v>
      </c>
      <c r="D315" s="775">
        <f>SUMIFS(Sheet1!S71_PPYearAmount,Sheet1!S71_SubMunicipalVoteNo,$AC:$AC,Sheet1!S71_A5CapexCode,$AD:$AD)</f>
        <v>0</v>
      </c>
      <c r="E315" s="717">
        <f>SUMIFS(Sheet1!S71_PYearAmount,Sheet1!S71_SubMunicipalVoteNo,$AC:$AC,Sheet1!S71_A5CapexCode,$AD:$AD)</f>
        <v>0</v>
      </c>
      <c r="F315" s="776">
        <f>SUMIFS(Sheet1!S71_OriginalBudAmnt,Sheet1!S71_SubMunicipalVoteNo,$AC:$AC,Sheet1!S71_A5CapexCode,$AD:$AD)</f>
        <v>0</v>
      </c>
      <c r="G315" s="775">
        <f>SUMIFS(Sheet1!S71_AdjustmentBudAmnt,Sheet1!S71_SubMunicipalVoteNo,$AC:$AC,Sheet1!S71_A5CapexCode,$AD:$AD)</f>
        <v>0</v>
      </c>
      <c r="H315" s="777">
        <f>SUMIFS(Sheet1!S71_AdjustmentBudAmnt,Sheet1!S71_SubMunicipalVoteNo,$AC:$AC,Sheet1!S71_A5CapexCode,$AD:$AD)</f>
        <v>0</v>
      </c>
      <c r="I315" s="778">
        <f>SUMIFS(Sheet1!CD:CD,Sheet1!S71_SubMunicipalVoteNo,$AC:$AC,Sheet1!S71_A5CapexCode,$AD:$AD)</f>
        <v>0</v>
      </c>
      <c r="J315" s="776">
        <f>SUMIFS(Sheet1!S71_ASBudgetAmount,Sheet1!S71_SubMunicipalVoteNo,$AC:$AC,Sheet1!S71_A5CapexCode,$AD:$AD)</f>
        <v>0</v>
      </c>
      <c r="K315" s="775">
        <f>SUMIFS(Sheet1!S71_OY1BudgetAmount,Sheet1!S71_SubMunicipalVoteNo,$AC:$AC,Sheet1!S71_A5CapexCode,$AD:$AD)</f>
        <v>0</v>
      </c>
      <c r="L315" s="777">
        <f>SUMIFS(Sheet1!S71_OY2BudgetAmount,Sheet1!S71_SubMunicipalVoteNo,$AC:$AC,Sheet1!S71_A5CapexCode,$AD:$AD)</f>
        <v>0</v>
      </c>
      <c r="M315" s="322"/>
      <c r="AC315" s="2312">
        <v>138</v>
      </c>
      <c r="AD315" s="2318" t="s">
        <v>2805</v>
      </c>
    </row>
    <row r="316" spans="1:30" x14ac:dyDescent="0.25">
      <c r="A316" s="136" t="str">
        <f t="shared" si="109"/>
        <v/>
      </c>
      <c r="B316" s="711"/>
      <c r="C316" s="775">
        <f>SUMIFS(Sheet1!S71_PPPYearAmount,Sheet1!S71_SubMunicipalVoteNo,$AC:$AC,Sheet1!S71_A5CapexCode,$AD:$AD)</f>
        <v>0</v>
      </c>
      <c r="D316" s="775">
        <f>SUMIFS(Sheet1!S71_PPYearAmount,Sheet1!S71_SubMunicipalVoteNo,$AC:$AC,Sheet1!S71_A5CapexCode,$AD:$AD)</f>
        <v>0</v>
      </c>
      <c r="E316" s="717">
        <f>SUMIFS(Sheet1!S71_PYearAmount,Sheet1!S71_SubMunicipalVoteNo,$AC:$AC,Sheet1!S71_A5CapexCode,$AD:$AD)</f>
        <v>0</v>
      </c>
      <c r="F316" s="776">
        <f>SUMIFS(Sheet1!S71_OriginalBudAmnt,Sheet1!S71_SubMunicipalVoteNo,$AC:$AC,Sheet1!S71_A5CapexCode,$AD:$AD)</f>
        <v>0</v>
      </c>
      <c r="G316" s="775">
        <f>SUMIFS(Sheet1!S71_AdjustmentBudAmnt,Sheet1!S71_SubMunicipalVoteNo,$AC:$AC,Sheet1!S71_A5CapexCode,$AD:$AD)</f>
        <v>0</v>
      </c>
      <c r="H316" s="777">
        <f>SUMIFS(Sheet1!S71_AdjustmentBudAmnt,Sheet1!S71_SubMunicipalVoteNo,$AC:$AC,Sheet1!S71_A5CapexCode,$AD:$AD)</f>
        <v>0</v>
      </c>
      <c r="I316" s="778">
        <f>SUMIFS(Sheet1!CD:CD,Sheet1!S71_SubMunicipalVoteNo,$AC:$AC,Sheet1!S71_A5CapexCode,$AD:$AD)</f>
        <v>0</v>
      </c>
      <c r="J316" s="776">
        <f>SUMIFS(Sheet1!S71_ASBudgetAmount,Sheet1!S71_SubMunicipalVoteNo,$AC:$AC,Sheet1!S71_A5CapexCode,$AD:$AD)</f>
        <v>0</v>
      </c>
      <c r="K316" s="775">
        <f>SUMIFS(Sheet1!S71_OY1BudgetAmount,Sheet1!S71_SubMunicipalVoteNo,$AC:$AC,Sheet1!S71_A5CapexCode,$AD:$AD)</f>
        <v>0</v>
      </c>
      <c r="L316" s="777">
        <f>SUMIFS(Sheet1!S71_OY2BudgetAmount,Sheet1!S71_SubMunicipalVoteNo,$AC:$AC,Sheet1!S71_A5CapexCode,$AD:$AD)</f>
        <v>0</v>
      </c>
      <c r="M316" s="322"/>
      <c r="AC316" s="2312">
        <v>139</v>
      </c>
      <c r="AD316" s="2318" t="s">
        <v>2805</v>
      </c>
    </row>
    <row r="317" spans="1:30" x14ac:dyDescent="0.25">
      <c r="A317" s="136" t="str">
        <f t="shared" si="109"/>
        <v/>
      </c>
      <c r="B317" s="711"/>
      <c r="C317" s="775">
        <f>SUMIFS(Sheet1!S71_PPPYearAmount,Sheet1!S71_SubMunicipalVoteNo,$AC:$AC,Sheet1!S71_A5CapexCode,$AD:$AD)</f>
        <v>0</v>
      </c>
      <c r="D317" s="775">
        <f>SUMIFS(Sheet1!S71_PPYearAmount,Sheet1!S71_SubMunicipalVoteNo,$AC:$AC,Sheet1!S71_A5CapexCode,$AD:$AD)</f>
        <v>0</v>
      </c>
      <c r="E317" s="717">
        <f>SUMIFS(Sheet1!S71_PYearAmount,Sheet1!S71_SubMunicipalVoteNo,$AC:$AC,Sheet1!S71_A5CapexCode,$AD:$AD)</f>
        <v>0</v>
      </c>
      <c r="F317" s="776">
        <f>SUMIFS(Sheet1!S71_OriginalBudAmnt,Sheet1!S71_SubMunicipalVoteNo,$AC:$AC,Sheet1!S71_A5CapexCode,$AD:$AD)</f>
        <v>0</v>
      </c>
      <c r="G317" s="775">
        <f>SUMIFS(Sheet1!S71_AdjustmentBudAmnt,Sheet1!S71_SubMunicipalVoteNo,$AC:$AC,Sheet1!S71_A5CapexCode,$AD:$AD)</f>
        <v>0</v>
      </c>
      <c r="H317" s="777">
        <f>SUMIFS(Sheet1!S71_AdjustmentBudAmnt,Sheet1!S71_SubMunicipalVoteNo,$AC:$AC,Sheet1!S71_A5CapexCode,$AD:$AD)</f>
        <v>0</v>
      </c>
      <c r="I317" s="778">
        <f>SUMIFS(Sheet1!CD:CD,Sheet1!S71_SubMunicipalVoteNo,$AC:$AC,Sheet1!S71_A5CapexCode,$AD:$AD)</f>
        <v>0</v>
      </c>
      <c r="J317" s="776">
        <f>SUMIFS(Sheet1!S71_ASBudgetAmount,Sheet1!S71_SubMunicipalVoteNo,$AC:$AC,Sheet1!S71_A5CapexCode,$AD:$AD)</f>
        <v>0</v>
      </c>
      <c r="K317" s="775">
        <f>SUMIFS(Sheet1!S71_OY1BudgetAmount,Sheet1!S71_SubMunicipalVoteNo,$AC:$AC,Sheet1!S71_A5CapexCode,$AD:$AD)</f>
        <v>0</v>
      </c>
      <c r="L317" s="777">
        <f>SUMIFS(Sheet1!S71_OY2BudgetAmount,Sheet1!S71_SubMunicipalVoteNo,$AC:$AC,Sheet1!S71_A5CapexCode,$AD:$AD)</f>
        <v>0</v>
      </c>
      <c r="M317" s="322"/>
      <c r="AC317" s="2312">
        <v>1310</v>
      </c>
      <c r="AD317" s="2318" t="s">
        <v>2805</v>
      </c>
    </row>
    <row r="318" spans="1:30" ht="15" customHeight="1" x14ac:dyDescent="0.25">
      <c r="A318" s="135" t="str">
        <f t="shared" si="109"/>
        <v>Vote 14 - Waste Water Management</v>
      </c>
      <c r="B318" s="711"/>
      <c r="C318" s="212">
        <f t="shared" ref="C318:L318" si="111">SUM(C319:C328)</f>
        <v>0</v>
      </c>
      <c r="D318" s="212">
        <f t="shared" si="111"/>
        <v>0</v>
      </c>
      <c r="E318" s="213">
        <f t="shared" si="111"/>
        <v>0</v>
      </c>
      <c r="F318" s="214">
        <f t="shared" si="111"/>
        <v>0</v>
      </c>
      <c r="G318" s="212">
        <f t="shared" si="111"/>
        <v>0</v>
      </c>
      <c r="H318" s="213">
        <f t="shared" si="111"/>
        <v>0</v>
      </c>
      <c r="I318" s="215">
        <f t="shared" si="111"/>
        <v>0</v>
      </c>
      <c r="J318" s="214">
        <f t="shared" si="111"/>
        <v>0</v>
      </c>
      <c r="K318" s="212">
        <f t="shared" si="111"/>
        <v>0</v>
      </c>
      <c r="L318" s="213">
        <f t="shared" si="111"/>
        <v>0</v>
      </c>
      <c r="M318" s="322"/>
      <c r="AD318" s="2315"/>
    </row>
    <row r="319" spans="1:30" x14ac:dyDescent="0.25">
      <c r="A319" s="136" t="str">
        <f t="shared" si="109"/>
        <v>14.1 - Storm Water Management</v>
      </c>
      <c r="B319" s="711"/>
      <c r="C319" s="775">
        <f>SUMIFS(Sheet1!S71_PPPYearAmount,Sheet1!S71_SubMunicipalVoteNo,$AC:$AC,Sheet1!S71_A5CapexCode,$AD:$AD)</f>
        <v>0</v>
      </c>
      <c r="D319" s="775">
        <f>SUMIFS(Sheet1!S71_PPYearAmount,Sheet1!S71_SubMunicipalVoteNo,$AC:$AC,Sheet1!S71_A5CapexCode,$AD:$AD)</f>
        <v>0</v>
      </c>
      <c r="E319" s="717">
        <f>SUMIFS(Sheet1!S71_PYearAmount,Sheet1!S71_SubMunicipalVoteNo,$AC:$AC,Sheet1!S71_A5CapexCode,$AD:$AD)</f>
        <v>0</v>
      </c>
      <c r="F319" s="776">
        <f>SUMIFS(Sheet1!S71_OriginalBudAmnt,Sheet1!S71_SubMunicipalVoteNo,$AC:$AC,Sheet1!S71_A5CapexCode,$AD:$AD)</f>
        <v>0</v>
      </c>
      <c r="G319" s="775">
        <f>SUMIFS(Sheet1!S71_AdjustmentBudAmnt,Sheet1!S71_SubMunicipalVoteNo,$AC:$AC,Sheet1!S71_A5CapexCode,$AD:$AD)</f>
        <v>0</v>
      </c>
      <c r="H319" s="777">
        <f>SUMIFS(Sheet1!S71_AdjustmentBudAmnt,Sheet1!S71_SubMunicipalVoteNo,$AC:$AC,Sheet1!S71_A5CapexCode,$AD:$AD)</f>
        <v>0</v>
      </c>
      <c r="I319" s="778">
        <f>SUMIFS(Sheet1!CD:CD,Sheet1!S71_SubMunicipalVoteNo,$AC:$AC,Sheet1!S71_A5CapexCode,$AD:$AD)</f>
        <v>0</v>
      </c>
      <c r="J319" s="776">
        <f>SUMIFS(Sheet1!S71_ASBudgetAmount,Sheet1!S71_SubMunicipalVoteNo,$AC:$AC,Sheet1!S71_A5CapexCode,$AD:$AD)</f>
        <v>0</v>
      </c>
      <c r="K319" s="775">
        <f>SUMIFS(Sheet1!S71_OY1BudgetAmount,Sheet1!S71_SubMunicipalVoteNo,$AC:$AC,Sheet1!S71_A5CapexCode,$AD:$AD)</f>
        <v>0</v>
      </c>
      <c r="L319" s="777">
        <f>SUMIFS(Sheet1!S71_OY2BudgetAmount,Sheet1!S71_SubMunicipalVoteNo,$AC:$AC,Sheet1!S71_A5CapexCode,$AD:$AD)</f>
        <v>0</v>
      </c>
      <c r="M319" s="322"/>
      <c r="AC319" s="2312">
        <v>141</v>
      </c>
      <c r="AD319" s="2318" t="s">
        <v>2805</v>
      </c>
    </row>
    <row r="320" spans="1:30" x14ac:dyDescent="0.25">
      <c r="A320" s="136" t="str">
        <f t="shared" si="109"/>
        <v/>
      </c>
      <c r="B320" s="711"/>
      <c r="C320" s="775">
        <f>SUMIFS(Sheet1!S71_PPPYearAmount,Sheet1!S71_SubMunicipalVoteNo,$AC:$AC,Sheet1!S71_A5CapexCode,$AD:$AD)</f>
        <v>0</v>
      </c>
      <c r="D320" s="775">
        <f>SUMIFS(Sheet1!S71_PPYearAmount,Sheet1!S71_SubMunicipalVoteNo,$AC:$AC,Sheet1!S71_A5CapexCode,$AD:$AD)</f>
        <v>0</v>
      </c>
      <c r="E320" s="717">
        <f>SUMIFS(Sheet1!S71_PYearAmount,Sheet1!S71_SubMunicipalVoteNo,$AC:$AC,Sheet1!S71_A5CapexCode,$AD:$AD)</f>
        <v>0</v>
      </c>
      <c r="F320" s="776">
        <f>SUMIFS(Sheet1!S71_OriginalBudAmnt,Sheet1!S71_SubMunicipalVoteNo,$AC:$AC,Sheet1!S71_A5CapexCode,$AD:$AD)</f>
        <v>0</v>
      </c>
      <c r="G320" s="775">
        <f>SUMIFS(Sheet1!S71_AdjustmentBudAmnt,Sheet1!S71_SubMunicipalVoteNo,$AC:$AC,Sheet1!S71_A5CapexCode,$AD:$AD)</f>
        <v>0</v>
      </c>
      <c r="H320" s="777">
        <f>SUMIFS(Sheet1!S71_AdjustmentBudAmnt,Sheet1!S71_SubMunicipalVoteNo,$AC:$AC,Sheet1!S71_A5CapexCode,$AD:$AD)</f>
        <v>0</v>
      </c>
      <c r="I320" s="778">
        <f>SUMIFS(Sheet1!CD:CD,Sheet1!S71_SubMunicipalVoteNo,$AC:$AC,Sheet1!S71_A5CapexCode,$AD:$AD)</f>
        <v>0</v>
      </c>
      <c r="J320" s="776">
        <f>SUMIFS(Sheet1!S71_ASBudgetAmount,Sheet1!S71_SubMunicipalVoteNo,$AC:$AC,Sheet1!S71_A5CapexCode,$AD:$AD)</f>
        <v>0</v>
      </c>
      <c r="K320" s="775">
        <f>SUMIFS(Sheet1!S71_OY1BudgetAmount,Sheet1!S71_SubMunicipalVoteNo,$AC:$AC,Sheet1!S71_A5CapexCode,$AD:$AD)</f>
        <v>0</v>
      </c>
      <c r="L320" s="777">
        <f>SUMIFS(Sheet1!S71_OY2BudgetAmount,Sheet1!S71_SubMunicipalVoteNo,$AC:$AC,Sheet1!S71_A5CapexCode,$AD:$AD)</f>
        <v>0</v>
      </c>
      <c r="M320" s="322"/>
      <c r="AC320" s="2312">
        <v>142</v>
      </c>
      <c r="AD320" s="2318" t="s">
        <v>2805</v>
      </c>
    </row>
    <row r="321" spans="1:30" x14ac:dyDescent="0.25">
      <c r="A321" s="136" t="str">
        <f t="shared" si="109"/>
        <v/>
      </c>
      <c r="B321" s="711"/>
      <c r="C321" s="775">
        <f>SUMIFS(Sheet1!S71_PPPYearAmount,Sheet1!S71_SubMunicipalVoteNo,$AC:$AC,Sheet1!S71_A5CapexCode,$AD:$AD)</f>
        <v>0</v>
      </c>
      <c r="D321" s="775">
        <f>SUMIFS(Sheet1!S71_PPYearAmount,Sheet1!S71_SubMunicipalVoteNo,$AC:$AC,Sheet1!S71_A5CapexCode,$AD:$AD)</f>
        <v>0</v>
      </c>
      <c r="E321" s="717">
        <f>SUMIFS(Sheet1!S71_PYearAmount,Sheet1!S71_SubMunicipalVoteNo,$AC:$AC,Sheet1!S71_A5CapexCode,$AD:$AD)</f>
        <v>0</v>
      </c>
      <c r="F321" s="776">
        <f>SUMIFS(Sheet1!S71_OriginalBudAmnt,Sheet1!S71_SubMunicipalVoteNo,$AC:$AC,Sheet1!S71_A5CapexCode,$AD:$AD)</f>
        <v>0</v>
      </c>
      <c r="G321" s="775">
        <f>SUMIFS(Sheet1!S71_AdjustmentBudAmnt,Sheet1!S71_SubMunicipalVoteNo,$AC:$AC,Sheet1!S71_A5CapexCode,$AD:$AD)</f>
        <v>0</v>
      </c>
      <c r="H321" s="777">
        <f>SUMIFS(Sheet1!S71_AdjustmentBudAmnt,Sheet1!S71_SubMunicipalVoteNo,$AC:$AC,Sheet1!S71_A5CapexCode,$AD:$AD)</f>
        <v>0</v>
      </c>
      <c r="I321" s="778">
        <f>SUMIFS(Sheet1!CD:CD,Sheet1!S71_SubMunicipalVoteNo,$AC:$AC,Sheet1!S71_A5CapexCode,$AD:$AD)</f>
        <v>0</v>
      </c>
      <c r="J321" s="776">
        <f>SUMIFS(Sheet1!S71_ASBudgetAmount,Sheet1!S71_SubMunicipalVoteNo,$AC:$AC,Sheet1!S71_A5CapexCode,$AD:$AD)</f>
        <v>0</v>
      </c>
      <c r="K321" s="775">
        <f>SUMIFS(Sheet1!S71_OY1BudgetAmount,Sheet1!S71_SubMunicipalVoteNo,$AC:$AC,Sheet1!S71_A5CapexCode,$AD:$AD)</f>
        <v>0</v>
      </c>
      <c r="L321" s="777">
        <f>SUMIFS(Sheet1!S71_OY2BudgetAmount,Sheet1!S71_SubMunicipalVoteNo,$AC:$AC,Sheet1!S71_A5CapexCode,$AD:$AD)</f>
        <v>0</v>
      </c>
      <c r="M321" s="322"/>
      <c r="AC321" s="2312">
        <v>143</v>
      </c>
      <c r="AD321" s="2318" t="s">
        <v>2805</v>
      </c>
    </row>
    <row r="322" spans="1:30" x14ac:dyDescent="0.25">
      <c r="A322" s="136" t="str">
        <f t="shared" si="109"/>
        <v/>
      </c>
      <c r="B322" s="711"/>
      <c r="C322" s="775">
        <f>SUMIFS(Sheet1!S71_PPPYearAmount,Sheet1!S71_SubMunicipalVoteNo,$AC:$AC,Sheet1!S71_A5CapexCode,$AD:$AD)</f>
        <v>0</v>
      </c>
      <c r="D322" s="775">
        <f>SUMIFS(Sheet1!S71_PPYearAmount,Sheet1!S71_SubMunicipalVoteNo,$AC:$AC,Sheet1!S71_A5CapexCode,$AD:$AD)</f>
        <v>0</v>
      </c>
      <c r="E322" s="717">
        <f>SUMIFS(Sheet1!S71_PYearAmount,Sheet1!S71_SubMunicipalVoteNo,$AC:$AC,Sheet1!S71_A5CapexCode,$AD:$AD)</f>
        <v>0</v>
      </c>
      <c r="F322" s="776">
        <f>SUMIFS(Sheet1!S71_OriginalBudAmnt,Sheet1!S71_SubMunicipalVoteNo,$AC:$AC,Sheet1!S71_A5CapexCode,$AD:$AD)</f>
        <v>0</v>
      </c>
      <c r="G322" s="775">
        <f>SUMIFS(Sheet1!S71_AdjustmentBudAmnt,Sheet1!S71_SubMunicipalVoteNo,$AC:$AC,Sheet1!S71_A5CapexCode,$AD:$AD)</f>
        <v>0</v>
      </c>
      <c r="H322" s="777">
        <f>SUMIFS(Sheet1!S71_AdjustmentBudAmnt,Sheet1!S71_SubMunicipalVoteNo,$AC:$AC,Sheet1!S71_A5CapexCode,$AD:$AD)</f>
        <v>0</v>
      </c>
      <c r="I322" s="778">
        <f>SUMIFS(Sheet1!CD:CD,Sheet1!S71_SubMunicipalVoteNo,$AC:$AC,Sheet1!S71_A5CapexCode,$AD:$AD)</f>
        <v>0</v>
      </c>
      <c r="J322" s="776">
        <f>SUMIFS(Sheet1!S71_ASBudgetAmount,Sheet1!S71_SubMunicipalVoteNo,$AC:$AC,Sheet1!S71_A5CapexCode,$AD:$AD)</f>
        <v>0</v>
      </c>
      <c r="K322" s="775">
        <f>SUMIFS(Sheet1!S71_OY1BudgetAmount,Sheet1!S71_SubMunicipalVoteNo,$AC:$AC,Sheet1!S71_A5CapexCode,$AD:$AD)</f>
        <v>0</v>
      </c>
      <c r="L322" s="777">
        <f>SUMIFS(Sheet1!S71_OY2BudgetAmount,Sheet1!S71_SubMunicipalVoteNo,$AC:$AC,Sheet1!S71_A5CapexCode,$AD:$AD)</f>
        <v>0</v>
      </c>
      <c r="M322" s="322"/>
      <c r="AC322" s="2312">
        <v>144</v>
      </c>
      <c r="AD322" s="2318" t="s">
        <v>2805</v>
      </c>
    </row>
    <row r="323" spans="1:30" x14ac:dyDescent="0.25">
      <c r="A323" s="136" t="str">
        <f t="shared" si="109"/>
        <v/>
      </c>
      <c r="B323" s="711"/>
      <c r="C323" s="775">
        <f>SUMIFS(Sheet1!S71_PPPYearAmount,Sheet1!S71_SubMunicipalVoteNo,$AC:$AC,Sheet1!S71_A5CapexCode,$AD:$AD)</f>
        <v>0</v>
      </c>
      <c r="D323" s="775">
        <f>SUMIFS(Sheet1!S71_PPYearAmount,Sheet1!S71_SubMunicipalVoteNo,$AC:$AC,Sheet1!S71_A5CapexCode,$AD:$AD)</f>
        <v>0</v>
      </c>
      <c r="E323" s="717">
        <f>SUMIFS(Sheet1!S71_PYearAmount,Sheet1!S71_SubMunicipalVoteNo,$AC:$AC,Sheet1!S71_A5CapexCode,$AD:$AD)</f>
        <v>0</v>
      </c>
      <c r="F323" s="776">
        <f>SUMIFS(Sheet1!S71_OriginalBudAmnt,Sheet1!S71_SubMunicipalVoteNo,$AC:$AC,Sheet1!S71_A5CapexCode,$AD:$AD)</f>
        <v>0</v>
      </c>
      <c r="G323" s="775">
        <f>SUMIFS(Sheet1!S71_AdjustmentBudAmnt,Sheet1!S71_SubMunicipalVoteNo,$AC:$AC,Sheet1!S71_A5CapexCode,$AD:$AD)</f>
        <v>0</v>
      </c>
      <c r="H323" s="777">
        <f>SUMIFS(Sheet1!S71_AdjustmentBudAmnt,Sheet1!S71_SubMunicipalVoteNo,$AC:$AC,Sheet1!S71_A5CapexCode,$AD:$AD)</f>
        <v>0</v>
      </c>
      <c r="I323" s="778">
        <f>SUMIFS(Sheet1!CD:CD,Sheet1!S71_SubMunicipalVoteNo,$AC:$AC,Sheet1!S71_A5CapexCode,$AD:$AD)</f>
        <v>0</v>
      </c>
      <c r="J323" s="776">
        <f>SUMIFS(Sheet1!S71_ASBudgetAmount,Sheet1!S71_SubMunicipalVoteNo,$AC:$AC,Sheet1!S71_A5CapexCode,$AD:$AD)</f>
        <v>0</v>
      </c>
      <c r="K323" s="775">
        <f>SUMIFS(Sheet1!S71_OY1BudgetAmount,Sheet1!S71_SubMunicipalVoteNo,$AC:$AC,Sheet1!S71_A5CapexCode,$AD:$AD)</f>
        <v>0</v>
      </c>
      <c r="L323" s="777">
        <f>SUMIFS(Sheet1!S71_OY2BudgetAmount,Sheet1!S71_SubMunicipalVoteNo,$AC:$AC,Sheet1!S71_A5CapexCode,$AD:$AD)</f>
        <v>0</v>
      </c>
      <c r="M323" s="322"/>
      <c r="AC323" s="2312">
        <v>145</v>
      </c>
      <c r="AD323" s="2318" t="s">
        <v>2805</v>
      </c>
    </row>
    <row r="324" spans="1:30" x14ac:dyDescent="0.25">
      <c r="A324" s="136" t="str">
        <f t="shared" si="109"/>
        <v/>
      </c>
      <c r="B324" s="711"/>
      <c r="C324" s="775">
        <f>SUMIFS(Sheet1!S71_PPPYearAmount,Sheet1!S71_SubMunicipalVoteNo,$AC:$AC,Sheet1!S71_A5CapexCode,$AD:$AD)</f>
        <v>0</v>
      </c>
      <c r="D324" s="775">
        <f>SUMIFS(Sheet1!S71_PPYearAmount,Sheet1!S71_SubMunicipalVoteNo,$AC:$AC,Sheet1!S71_A5CapexCode,$AD:$AD)</f>
        <v>0</v>
      </c>
      <c r="E324" s="717">
        <f>SUMIFS(Sheet1!S71_PYearAmount,Sheet1!S71_SubMunicipalVoteNo,$AC:$AC,Sheet1!S71_A5CapexCode,$AD:$AD)</f>
        <v>0</v>
      </c>
      <c r="F324" s="776">
        <f>SUMIFS(Sheet1!S71_OriginalBudAmnt,Sheet1!S71_SubMunicipalVoteNo,$AC:$AC,Sheet1!S71_A5CapexCode,$AD:$AD)</f>
        <v>0</v>
      </c>
      <c r="G324" s="775">
        <f>SUMIFS(Sheet1!S71_AdjustmentBudAmnt,Sheet1!S71_SubMunicipalVoteNo,$AC:$AC,Sheet1!S71_A5CapexCode,$AD:$AD)</f>
        <v>0</v>
      </c>
      <c r="H324" s="777">
        <f>SUMIFS(Sheet1!S71_AdjustmentBudAmnt,Sheet1!S71_SubMunicipalVoteNo,$AC:$AC,Sheet1!S71_A5CapexCode,$AD:$AD)</f>
        <v>0</v>
      </c>
      <c r="I324" s="778">
        <f>SUMIFS(Sheet1!CD:CD,Sheet1!S71_SubMunicipalVoteNo,$AC:$AC,Sheet1!S71_A5CapexCode,$AD:$AD)</f>
        <v>0</v>
      </c>
      <c r="J324" s="776">
        <f>SUMIFS(Sheet1!S71_ASBudgetAmount,Sheet1!S71_SubMunicipalVoteNo,$AC:$AC,Sheet1!S71_A5CapexCode,$AD:$AD)</f>
        <v>0</v>
      </c>
      <c r="K324" s="775">
        <f>SUMIFS(Sheet1!S71_OY1BudgetAmount,Sheet1!S71_SubMunicipalVoteNo,$AC:$AC,Sheet1!S71_A5CapexCode,$AD:$AD)</f>
        <v>0</v>
      </c>
      <c r="L324" s="777">
        <f>SUMIFS(Sheet1!S71_OY2BudgetAmount,Sheet1!S71_SubMunicipalVoteNo,$AC:$AC,Sheet1!S71_A5CapexCode,$AD:$AD)</f>
        <v>0</v>
      </c>
      <c r="M324" s="322"/>
      <c r="AC324" s="2312">
        <v>146</v>
      </c>
      <c r="AD324" s="2318" t="s">
        <v>2805</v>
      </c>
    </row>
    <row r="325" spans="1:30" x14ac:dyDescent="0.25">
      <c r="A325" s="136" t="str">
        <f t="shared" si="109"/>
        <v/>
      </c>
      <c r="B325" s="711"/>
      <c r="C325" s="775">
        <f>SUMIFS(Sheet1!S71_PPPYearAmount,Sheet1!S71_SubMunicipalVoteNo,$AC:$AC,Sheet1!S71_A5CapexCode,$AD:$AD)</f>
        <v>0</v>
      </c>
      <c r="D325" s="775">
        <f>SUMIFS(Sheet1!S71_PPYearAmount,Sheet1!S71_SubMunicipalVoteNo,$AC:$AC,Sheet1!S71_A5CapexCode,$AD:$AD)</f>
        <v>0</v>
      </c>
      <c r="E325" s="717">
        <f>SUMIFS(Sheet1!S71_PYearAmount,Sheet1!S71_SubMunicipalVoteNo,$AC:$AC,Sheet1!S71_A5CapexCode,$AD:$AD)</f>
        <v>0</v>
      </c>
      <c r="F325" s="776">
        <f>SUMIFS(Sheet1!S71_OriginalBudAmnt,Sheet1!S71_SubMunicipalVoteNo,$AC:$AC,Sheet1!S71_A5CapexCode,$AD:$AD)</f>
        <v>0</v>
      </c>
      <c r="G325" s="775">
        <f>SUMIFS(Sheet1!S71_AdjustmentBudAmnt,Sheet1!S71_SubMunicipalVoteNo,$AC:$AC,Sheet1!S71_A5CapexCode,$AD:$AD)</f>
        <v>0</v>
      </c>
      <c r="H325" s="777">
        <f>SUMIFS(Sheet1!S71_AdjustmentBudAmnt,Sheet1!S71_SubMunicipalVoteNo,$AC:$AC,Sheet1!S71_A5CapexCode,$AD:$AD)</f>
        <v>0</v>
      </c>
      <c r="I325" s="778">
        <f>SUMIFS(Sheet1!CD:CD,Sheet1!S71_SubMunicipalVoteNo,$AC:$AC,Sheet1!S71_A5CapexCode,$AD:$AD)</f>
        <v>0</v>
      </c>
      <c r="J325" s="776">
        <f>SUMIFS(Sheet1!S71_ASBudgetAmount,Sheet1!S71_SubMunicipalVoteNo,$AC:$AC,Sheet1!S71_A5CapexCode,$AD:$AD)</f>
        <v>0</v>
      </c>
      <c r="K325" s="775">
        <f>SUMIFS(Sheet1!S71_OY1BudgetAmount,Sheet1!S71_SubMunicipalVoteNo,$AC:$AC,Sheet1!S71_A5CapexCode,$AD:$AD)</f>
        <v>0</v>
      </c>
      <c r="L325" s="777">
        <f>SUMIFS(Sheet1!S71_OY2BudgetAmount,Sheet1!S71_SubMunicipalVoteNo,$AC:$AC,Sheet1!S71_A5CapexCode,$AD:$AD)</f>
        <v>0</v>
      </c>
      <c r="M325" s="322"/>
      <c r="AC325" s="2312">
        <v>147</v>
      </c>
      <c r="AD325" s="2318" t="s">
        <v>2805</v>
      </c>
    </row>
    <row r="326" spans="1:30" x14ac:dyDescent="0.25">
      <c r="A326" s="136" t="str">
        <f t="shared" si="109"/>
        <v/>
      </c>
      <c r="B326" s="711"/>
      <c r="C326" s="775">
        <f>SUMIFS(Sheet1!S71_PPPYearAmount,Sheet1!S71_SubMunicipalVoteNo,$AC:$AC,Sheet1!S71_A5CapexCode,$AD:$AD)</f>
        <v>0</v>
      </c>
      <c r="D326" s="775">
        <f>SUMIFS(Sheet1!S71_PPYearAmount,Sheet1!S71_SubMunicipalVoteNo,$AC:$AC,Sheet1!S71_A5CapexCode,$AD:$AD)</f>
        <v>0</v>
      </c>
      <c r="E326" s="717">
        <f>SUMIFS(Sheet1!S71_PYearAmount,Sheet1!S71_SubMunicipalVoteNo,$AC:$AC,Sheet1!S71_A5CapexCode,$AD:$AD)</f>
        <v>0</v>
      </c>
      <c r="F326" s="776">
        <f>SUMIFS(Sheet1!S71_OriginalBudAmnt,Sheet1!S71_SubMunicipalVoteNo,$AC:$AC,Sheet1!S71_A5CapexCode,$AD:$AD)</f>
        <v>0</v>
      </c>
      <c r="G326" s="775">
        <f>SUMIFS(Sheet1!S71_AdjustmentBudAmnt,Sheet1!S71_SubMunicipalVoteNo,$AC:$AC,Sheet1!S71_A5CapexCode,$AD:$AD)</f>
        <v>0</v>
      </c>
      <c r="H326" s="777">
        <f>SUMIFS(Sheet1!S71_AdjustmentBudAmnt,Sheet1!S71_SubMunicipalVoteNo,$AC:$AC,Sheet1!S71_A5CapexCode,$AD:$AD)</f>
        <v>0</v>
      </c>
      <c r="I326" s="778">
        <f>SUMIFS(Sheet1!CD:CD,Sheet1!S71_SubMunicipalVoteNo,$AC:$AC,Sheet1!S71_A5CapexCode,$AD:$AD)</f>
        <v>0</v>
      </c>
      <c r="J326" s="776">
        <f>SUMIFS(Sheet1!S71_ASBudgetAmount,Sheet1!S71_SubMunicipalVoteNo,$AC:$AC,Sheet1!S71_A5CapexCode,$AD:$AD)</f>
        <v>0</v>
      </c>
      <c r="K326" s="775">
        <f>SUMIFS(Sheet1!S71_OY1BudgetAmount,Sheet1!S71_SubMunicipalVoteNo,$AC:$AC,Sheet1!S71_A5CapexCode,$AD:$AD)</f>
        <v>0</v>
      </c>
      <c r="L326" s="777">
        <f>SUMIFS(Sheet1!S71_OY2BudgetAmount,Sheet1!S71_SubMunicipalVoteNo,$AC:$AC,Sheet1!S71_A5CapexCode,$AD:$AD)</f>
        <v>0</v>
      </c>
      <c r="M326" s="322"/>
      <c r="AC326" s="2312">
        <v>148</v>
      </c>
      <c r="AD326" s="2318" t="s">
        <v>2805</v>
      </c>
    </row>
    <row r="327" spans="1:30" x14ac:dyDescent="0.25">
      <c r="A327" s="136" t="str">
        <f t="shared" si="109"/>
        <v/>
      </c>
      <c r="B327" s="711"/>
      <c r="C327" s="775">
        <f>SUMIFS(Sheet1!S71_PPPYearAmount,Sheet1!S71_SubMunicipalVoteNo,$AC:$AC,Sheet1!S71_A5CapexCode,$AD:$AD)</f>
        <v>0</v>
      </c>
      <c r="D327" s="775">
        <f>SUMIFS(Sheet1!S71_PPYearAmount,Sheet1!S71_SubMunicipalVoteNo,$AC:$AC,Sheet1!S71_A5CapexCode,$AD:$AD)</f>
        <v>0</v>
      </c>
      <c r="E327" s="717">
        <f>SUMIFS(Sheet1!S71_PYearAmount,Sheet1!S71_SubMunicipalVoteNo,$AC:$AC,Sheet1!S71_A5CapexCode,$AD:$AD)</f>
        <v>0</v>
      </c>
      <c r="F327" s="776">
        <f>SUMIFS(Sheet1!S71_OriginalBudAmnt,Sheet1!S71_SubMunicipalVoteNo,$AC:$AC,Sheet1!S71_A5CapexCode,$AD:$AD)</f>
        <v>0</v>
      </c>
      <c r="G327" s="775">
        <f>SUMIFS(Sheet1!S71_AdjustmentBudAmnt,Sheet1!S71_SubMunicipalVoteNo,$AC:$AC,Sheet1!S71_A5CapexCode,$AD:$AD)</f>
        <v>0</v>
      </c>
      <c r="H327" s="777">
        <f>SUMIFS(Sheet1!S71_AdjustmentBudAmnt,Sheet1!S71_SubMunicipalVoteNo,$AC:$AC,Sheet1!S71_A5CapexCode,$AD:$AD)</f>
        <v>0</v>
      </c>
      <c r="I327" s="778">
        <f>SUMIFS(Sheet1!CD:CD,Sheet1!S71_SubMunicipalVoteNo,$AC:$AC,Sheet1!S71_A5CapexCode,$AD:$AD)</f>
        <v>0</v>
      </c>
      <c r="J327" s="776">
        <f>SUMIFS(Sheet1!S71_ASBudgetAmount,Sheet1!S71_SubMunicipalVoteNo,$AC:$AC,Sheet1!S71_A5CapexCode,$AD:$AD)</f>
        <v>0</v>
      </c>
      <c r="K327" s="775">
        <f>SUMIFS(Sheet1!S71_OY1BudgetAmount,Sheet1!S71_SubMunicipalVoteNo,$AC:$AC,Sheet1!S71_A5CapexCode,$AD:$AD)</f>
        <v>0</v>
      </c>
      <c r="L327" s="777">
        <f>SUMIFS(Sheet1!S71_OY2BudgetAmount,Sheet1!S71_SubMunicipalVoteNo,$AC:$AC,Sheet1!S71_A5CapexCode,$AD:$AD)</f>
        <v>0</v>
      </c>
      <c r="M327" s="322"/>
      <c r="AC327" s="2312">
        <v>149</v>
      </c>
      <c r="AD327" s="2318" t="s">
        <v>2805</v>
      </c>
    </row>
    <row r="328" spans="1:30" x14ac:dyDescent="0.25">
      <c r="A328" s="136" t="str">
        <f t="shared" si="109"/>
        <v/>
      </c>
      <c r="B328" s="711"/>
      <c r="C328" s="775">
        <f>SUMIFS(Sheet1!S71_PPPYearAmount,Sheet1!S71_SubMunicipalVoteNo,$AC:$AC,Sheet1!S71_A5CapexCode,$AD:$AD)</f>
        <v>0</v>
      </c>
      <c r="D328" s="775">
        <f>SUMIFS(Sheet1!S71_PPYearAmount,Sheet1!S71_SubMunicipalVoteNo,$AC:$AC,Sheet1!S71_A5CapexCode,$AD:$AD)</f>
        <v>0</v>
      </c>
      <c r="E328" s="717">
        <f>SUMIFS(Sheet1!S71_PYearAmount,Sheet1!S71_SubMunicipalVoteNo,$AC:$AC,Sheet1!S71_A5CapexCode,$AD:$AD)</f>
        <v>0</v>
      </c>
      <c r="F328" s="776">
        <f>SUMIFS(Sheet1!S71_OriginalBudAmnt,Sheet1!S71_SubMunicipalVoteNo,$AC:$AC,Sheet1!S71_A5CapexCode,$AD:$AD)</f>
        <v>0</v>
      </c>
      <c r="G328" s="775">
        <f>SUMIFS(Sheet1!S71_AdjustmentBudAmnt,Sheet1!S71_SubMunicipalVoteNo,$AC:$AC,Sheet1!S71_A5CapexCode,$AD:$AD)</f>
        <v>0</v>
      </c>
      <c r="H328" s="777">
        <f>SUMIFS(Sheet1!S71_AdjustmentBudAmnt,Sheet1!S71_SubMunicipalVoteNo,$AC:$AC,Sheet1!S71_A5CapexCode,$AD:$AD)</f>
        <v>0</v>
      </c>
      <c r="I328" s="778">
        <f>SUMIFS(Sheet1!CD:CD,Sheet1!S71_SubMunicipalVoteNo,$AC:$AC,Sheet1!S71_A5CapexCode,$AD:$AD)</f>
        <v>0</v>
      </c>
      <c r="J328" s="776">
        <f>SUMIFS(Sheet1!S71_ASBudgetAmount,Sheet1!S71_SubMunicipalVoteNo,$AC:$AC,Sheet1!S71_A5CapexCode,$AD:$AD)</f>
        <v>0</v>
      </c>
      <c r="K328" s="775">
        <f>SUMIFS(Sheet1!S71_OY1BudgetAmount,Sheet1!S71_SubMunicipalVoteNo,$AC:$AC,Sheet1!S71_A5CapexCode,$AD:$AD)</f>
        <v>0</v>
      </c>
      <c r="L328" s="777">
        <f>SUMIFS(Sheet1!S71_OY2BudgetAmount,Sheet1!S71_SubMunicipalVoteNo,$AC:$AC,Sheet1!S71_A5CapexCode,$AD:$AD)</f>
        <v>0</v>
      </c>
      <c r="M328" s="322"/>
      <c r="AC328" s="2312">
        <v>1410</v>
      </c>
      <c r="AD328" s="2318" t="s">
        <v>2805</v>
      </c>
    </row>
    <row r="329" spans="1:30" ht="15" customHeight="1" x14ac:dyDescent="0.25">
      <c r="A329" s="135" t="str">
        <f t="shared" si="109"/>
        <v>Vote 15 - Health</v>
      </c>
      <c r="B329" s="711"/>
      <c r="C329" s="212">
        <f t="shared" ref="C329:L329" si="112">SUM(C330:C339)</f>
        <v>0</v>
      </c>
      <c r="D329" s="212">
        <f t="shared" si="112"/>
        <v>0</v>
      </c>
      <c r="E329" s="213">
        <f t="shared" si="112"/>
        <v>0</v>
      </c>
      <c r="F329" s="214">
        <f t="shared" si="112"/>
        <v>0</v>
      </c>
      <c r="G329" s="212">
        <f t="shared" si="112"/>
        <v>0</v>
      </c>
      <c r="H329" s="213">
        <f t="shared" si="112"/>
        <v>0</v>
      </c>
      <c r="I329" s="215">
        <f t="shared" si="112"/>
        <v>0</v>
      </c>
      <c r="J329" s="214">
        <f t="shared" si="112"/>
        <v>0</v>
      </c>
      <c r="K329" s="212">
        <f t="shared" si="112"/>
        <v>0</v>
      </c>
      <c r="L329" s="213">
        <f t="shared" si="112"/>
        <v>0</v>
      </c>
      <c r="M329" s="322"/>
      <c r="AD329" s="2315"/>
    </row>
    <row r="330" spans="1:30" x14ac:dyDescent="0.25">
      <c r="A330" s="136" t="str">
        <f t="shared" si="109"/>
        <v>15.1 - Health Services</v>
      </c>
      <c r="B330" s="711"/>
      <c r="C330" s="775">
        <f>SUMIFS(Sheet1!S71_PPPYearAmount,Sheet1!S71_SubMunicipalVoteNo,$AC:$AC,Sheet1!S71_A5CapexCode,$AD:$AD)</f>
        <v>0</v>
      </c>
      <c r="D330" s="775">
        <f>SUMIFS(Sheet1!S71_PPYearAmount,Sheet1!S71_SubMunicipalVoteNo,$AC:$AC,Sheet1!S71_A5CapexCode,$AD:$AD)</f>
        <v>0</v>
      </c>
      <c r="E330" s="717">
        <f>SUMIFS(Sheet1!S71_PYearAmount,Sheet1!S71_SubMunicipalVoteNo,$AC:$AC,Sheet1!S71_A5CapexCode,$AD:$AD)</f>
        <v>0</v>
      </c>
      <c r="F330" s="776">
        <f>SUMIFS(Sheet1!S71_OriginalBudAmnt,Sheet1!S71_SubMunicipalVoteNo,$AC:$AC,Sheet1!S71_A5CapexCode,$AD:$AD)</f>
        <v>0</v>
      </c>
      <c r="G330" s="775">
        <f>SUMIFS(Sheet1!S71_AdjustmentBudAmnt,Sheet1!S71_SubMunicipalVoteNo,$AC:$AC,Sheet1!S71_A5CapexCode,$AD:$AD)</f>
        <v>0</v>
      </c>
      <c r="H330" s="777">
        <f>SUMIFS(Sheet1!S71_AdjustmentBudAmnt,Sheet1!S71_SubMunicipalVoteNo,$AC:$AC,Sheet1!S71_A5CapexCode,$AD:$AD)</f>
        <v>0</v>
      </c>
      <c r="I330" s="778">
        <f>SUMIFS(Sheet1!CD:CD,Sheet1!S71_SubMunicipalVoteNo,$AC:$AC,Sheet1!S71_A5CapexCode,$AD:$AD)</f>
        <v>0</v>
      </c>
      <c r="J330" s="776">
        <f>SUMIFS(Sheet1!S71_ASBudgetAmount,Sheet1!S71_SubMunicipalVoteNo,$AC:$AC,Sheet1!S71_A5CapexCode,$AD:$AD)</f>
        <v>0</v>
      </c>
      <c r="K330" s="775">
        <f>SUMIFS(Sheet1!S71_OY1BudgetAmount,Sheet1!S71_SubMunicipalVoteNo,$AC:$AC,Sheet1!S71_A5CapexCode,$AD:$AD)</f>
        <v>0</v>
      </c>
      <c r="L330" s="777">
        <f>SUMIFS(Sheet1!S71_OY2BudgetAmount,Sheet1!S71_SubMunicipalVoteNo,$AC:$AC,Sheet1!S71_A5CapexCode,$AD:$AD)</f>
        <v>0</v>
      </c>
      <c r="M330" s="322"/>
      <c r="AC330" s="2312">
        <v>151</v>
      </c>
      <c r="AD330" s="2318" t="s">
        <v>2805</v>
      </c>
    </row>
    <row r="331" spans="1:30" x14ac:dyDescent="0.25">
      <c r="A331" s="136" t="str">
        <f t="shared" si="109"/>
        <v/>
      </c>
      <c r="B331" s="711"/>
      <c r="C331" s="775">
        <f>SUMIFS(Sheet1!S71_PPPYearAmount,Sheet1!S71_SubMunicipalVoteNo,$AC:$AC,Sheet1!S71_A5CapexCode,$AD:$AD)</f>
        <v>0</v>
      </c>
      <c r="D331" s="775">
        <f>SUMIFS(Sheet1!S71_PPYearAmount,Sheet1!S71_SubMunicipalVoteNo,$AC:$AC,Sheet1!S71_A5CapexCode,$AD:$AD)</f>
        <v>0</v>
      </c>
      <c r="E331" s="717">
        <f>SUMIFS(Sheet1!S71_PYearAmount,Sheet1!S71_SubMunicipalVoteNo,$AC:$AC,Sheet1!S71_A5CapexCode,$AD:$AD)</f>
        <v>0</v>
      </c>
      <c r="F331" s="776">
        <f>SUMIFS(Sheet1!S71_OriginalBudAmnt,Sheet1!S71_SubMunicipalVoteNo,$AC:$AC,Sheet1!S71_A5CapexCode,$AD:$AD)</f>
        <v>0</v>
      </c>
      <c r="G331" s="775">
        <f>SUMIFS(Sheet1!S71_AdjustmentBudAmnt,Sheet1!S71_SubMunicipalVoteNo,$AC:$AC,Sheet1!S71_A5CapexCode,$AD:$AD)</f>
        <v>0</v>
      </c>
      <c r="H331" s="777">
        <f>SUMIFS(Sheet1!S71_AdjustmentBudAmnt,Sheet1!S71_SubMunicipalVoteNo,$AC:$AC,Sheet1!S71_A5CapexCode,$AD:$AD)</f>
        <v>0</v>
      </c>
      <c r="I331" s="778">
        <f>SUMIFS(Sheet1!CD:CD,Sheet1!S71_SubMunicipalVoteNo,$AC:$AC,Sheet1!S71_A5CapexCode,$AD:$AD)</f>
        <v>0</v>
      </c>
      <c r="J331" s="776">
        <f>SUMIFS(Sheet1!S71_ASBudgetAmount,Sheet1!S71_SubMunicipalVoteNo,$AC:$AC,Sheet1!S71_A5CapexCode,$AD:$AD)</f>
        <v>0</v>
      </c>
      <c r="K331" s="775">
        <f>SUMIFS(Sheet1!S71_OY1BudgetAmount,Sheet1!S71_SubMunicipalVoteNo,$AC:$AC,Sheet1!S71_A5CapexCode,$AD:$AD)</f>
        <v>0</v>
      </c>
      <c r="L331" s="777">
        <f>SUMIFS(Sheet1!S71_OY2BudgetAmount,Sheet1!S71_SubMunicipalVoteNo,$AC:$AC,Sheet1!S71_A5CapexCode,$AD:$AD)</f>
        <v>0</v>
      </c>
      <c r="M331" s="322"/>
      <c r="AC331" s="2312">
        <v>152</v>
      </c>
      <c r="AD331" s="2318" t="s">
        <v>2805</v>
      </c>
    </row>
    <row r="332" spans="1:30" x14ac:dyDescent="0.25">
      <c r="A332" s="136" t="str">
        <f t="shared" si="109"/>
        <v/>
      </c>
      <c r="B332" s="711"/>
      <c r="C332" s="775">
        <f>SUMIFS(Sheet1!S71_PPPYearAmount,Sheet1!S71_SubMunicipalVoteNo,$AC:$AC,Sheet1!S71_A5CapexCode,$AD:$AD)</f>
        <v>0</v>
      </c>
      <c r="D332" s="775">
        <f>SUMIFS(Sheet1!S71_PPYearAmount,Sheet1!S71_SubMunicipalVoteNo,$AC:$AC,Sheet1!S71_A5CapexCode,$AD:$AD)</f>
        <v>0</v>
      </c>
      <c r="E332" s="717">
        <f>SUMIFS(Sheet1!S71_PYearAmount,Sheet1!S71_SubMunicipalVoteNo,$AC:$AC,Sheet1!S71_A5CapexCode,$AD:$AD)</f>
        <v>0</v>
      </c>
      <c r="F332" s="776">
        <f>SUMIFS(Sheet1!S71_OriginalBudAmnt,Sheet1!S71_SubMunicipalVoteNo,$AC:$AC,Sheet1!S71_A5CapexCode,$AD:$AD)</f>
        <v>0</v>
      </c>
      <c r="G332" s="775">
        <f>SUMIFS(Sheet1!S71_AdjustmentBudAmnt,Sheet1!S71_SubMunicipalVoteNo,$AC:$AC,Sheet1!S71_A5CapexCode,$AD:$AD)</f>
        <v>0</v>
      </c>
      <c r="H332" s="777">
        <f>SUMIFS(Sheet1!S71_AdjustmentBudAmnt,Sheet1!S71_SubMunicipalVoteNo,$AC:$AC,Sheet1!S71_A5CapexCode,$AD:$AD)</f>
        <v>0</v>
      </c>
      <c r="I332" s="778">
        <f>SUMIFS(Sheet1!CD:CD,Sheet1!S71_SubMunicipalVoteNo,$AC:$AC,Sheet1!S71_A5CapexCode,$AD:$AD)</f>
        <v>0</v>
      </c>
      <c r="J332" s="776">
        <f>SUMIFS(Sheet1!S71_ASBudgetAmount,Sheet1!S71_SubMunicipalVoteNo,$AC:$AC,Sheet1!S71_A5CapexCode,$AD:$AD)</f>
        <v>0</v>
      </c>
      <c r="K332" s="775">
        <f>SUMIFS(Sheet1!S71_OY1BudgetAmount,Sheet1!S71_SubMunicipalVoteNo,$AC:$AC,Sheet1!S71_A5CapexCode,$AD:$AD)</f>
        <v>0</v>
      </c>
      <c r="L332" s="777">
        <f>SUMIFS(Sheet1!S71_OY2BudgetAmount,Sheet1!S71_SubMunicipalVoteNo,$AC:$AC,Sheet1!S71_A5CapexCode,$AD:$AD)</f>
        <v>0</v>
      </c>
      <c r="M332" s="322"/>
      <c r="AC332" s="2312">
        <v>153</v>
      </c>
      <c r="AD332" s="2318" t="s">
        <v>2805</v>
      </c>
    </row>
    <row r="333" spans="1:30" x14ac:dyDescent="0.25">
      <c r="A333" s="136" t="str">
        <f t="shared" si="109"/>
        <v/>
      </c>
      <c r="B333" s="711"/>
      <c r="C333" s="775">
        <f>SUMIFS(Sheet1!S71_PPPYearAmount,Sheet1!S71_SubMunicipalVoteNo,$AC:$AC,Sheet1!S71_A5CapexCode,$AD:$AD)</f>
        <v>0</v>
      </c>
      <c r="D333" s="775">
        <f>SUMIFS(Sheet1!S71_PPYearAmount,Sheet1!S71_SubMunicipalVoteNo,$AC:$AC,Sheet1!S71_A5CapexCode,$AD:$AD)</f>
        <v>0</v>
      </c>
      <c r="E333" s="717">
        <f>SUMIFS(Sheet1!S71_PYearAmount,Sheet1!S71_SubMunicipalVoteNo,$AC:$AC,Sheet1!S71_A5CapexCode,$AD:$AD)</f>
        <v>0</v>
      </c>
      <c r="F333" s="776">
        <f>SUMIFS(Sheet1!S71_OriginalBudAmnt,Sheet1!S71_SubMunicipalVoteNo,$AC:$AC,Sheet1!S71_A5CapexCode,$AD:$AD)</f>
        <v>0</v>
      </c>
      <c r="G333" s="775">
        <f>SUMIFS(Sheet1!S71_AdjustmentBudAmnt,Sheet1!S71_SubMunicipalVoteNo,$AC:$AC,Sheet1!S71_A5CapexCode,$AD:$AD)</f>
        <v>0</v>
      </c>
      <c r="H333" s="777">
        <f>SUMIFS(Sheet1!S71_AdjustmentBudAmnt,Sheet1!S71_SubMunicipalVoteNo,$AC:$AC,Sheet1!S71_A5CapexCode,$AD:$AD)</f>
        <v>0</v>
      </c>
      <c r="I333" s="778">
        <f>SUMIFS(Sheet1!CD:CD,Sheet1!S71_SubMunicipalVoteNo,$AC:$AC,Sheet1!S71_A5CapexCode,$AD:$AD)</f>
        <v>0</v>
      </c>
      <c r="J333" s="776">
        <f>SUMIFS(Sheet1!S71_ASBudgetAmount,Sheet1!S71_SubMunicipalVoteNo,$AC:$AC,Sheet1!S71_A5CapexCode,$AD:$AD)</f>
        <v>0</v>
      </c>
      <c r="K333" s="775">
        <f>SUMIFS(Sheet1!S71_OY1BudgetAmount,Sheet1!S71_SubMunicipalVoteNo,$AC:$AC,Sheet1!S71_A5CapexCode,$AD:$AD)</f>
        <v>0</v>
      </c>
      <c r="L333" s="777">
        <f>SUMIFS(Sheet1!S71_OY2BudgetAmount,Sheet1!S71_SubMunicipalVoteNo,$AC:$AC,Sheet1!S71_A5CapexCode,$AD:$AD)</f>
        <v>0</v>
      </c>
      <c r="M333" s="322"/>
      <c r="AC333" s="2312">
        <v>154</v>
      </c>
      <c r="AD333" s="2318" t="s">
        <v>2805</v>
      </c>
    </row>
    <row r="334" spans="1:30" x14ac:dyDescent="0.25">
      <c r="A334" s="136" t="str">
        <f t="shared" si="109"/>
        <v/>
      </c>
      <c r="B334" s="711"/>
      <c r="C334" s="775">
        <f>SUMIFS(Sheet1!S71_PPPYearAmount,Sheet1!S71_SubMunicipalVoteNo,$AC:$AC,Sheet1!S71_A5CapexCode,$AD:$AD)</f>
        <v>0</v>
      </c>
      <c r="D334" s="775">
        <f>SUMIFS(Sheet1!S71_PPYearAmount,Sheet1!S71_SubMunicipalVoteNo,$AC:$AC,Sheet1!S71_A5CapexCode,$AD:$AD)</f>
        <v>0</v>
      </c>
      <c r="E334" s="717">
        <f>SUMIFS(Sheet1!S71_PYearAmount,Sheet1!S71_SubMunicipalVoteNo,$AC:$AC,Sheet1!S71_A5CapexCode,$AD:$AD)</f>
        <v>0</v>
      </c>
      <c r="F334" s="776">
        <f>SUMIFS(Sheet1!S71_OriginalBudAmnt,Sheet1!S71_SubMunicipalVoteNo,$AC:$AC,Sheet1!S71_A5CapexCode,$AD:$AD)</f>
        <v>0</v>
      </c>
      <c r="G334" s="775">
        <f>SUMIFS(Sheet1!S71_AdjustmentBudAmnt,Sheet1!S71_SubMunicipalVoteNo,$AC:$AC,Sheet1!S71_A5CapexCode,$AD:$AD)</f>
        <v>0</v>
      </c>
      <c r="H334" s="777">
        <f>SUMIFS(Sheet1!S71_AdjustmentBudAmnt,Sheet1!S71_SubMunicipalVoteNo,$AC:$AC,Sheet1!S71_A5CapexCode,$AD:$AD)</f>
        <v>0</v>
      </c>
      <c r="I334" s="778">
        <f>SUMIFS(Sheet1!CD:CD,Sheet1!S71_SubMunicipalVoteNo,$AC:$AC,Sheet1!S71_A5CapexCode,$AD:$AD)</f>
        <v>0</v>
      </c>
      <c r="J334" s="776">
        <f>SUMIFS(Sheet1!S71_ASBudgetAmount,Sheet1!S71_SubMunicipalVoteNo,$AC:$AC,Sheet1!S71_A5CapexCode,$AD:$AD)</f>
        <v>0</v>
      </c>
      <c r="K334" s="775">
        <f>SUMIFS(Sheet1!S71_OY1BudgetAmount,Sheet1!S71_SubMunicipalVoteNo,$AC:$AC,Sheet1!S71_A5CapexCode,$AD:$AD)</f>
        <v>0</v>
      </c>
      <c r="L334" s="777">
        <f>SUMIFS(Sheet1!S71_OY2BudgetAmount,Sheet1!S71_SubMunicipalVoteNo,$AC:$AC,Sheet1!S71_A5CapexCode,$AD:$AD)</f>
        <v>0</v>
      </c>
      <c r="M334" s="322"/>
      <c r="AC334" s="2312">
        <v>155</v>
      </c>
      <c r="AD334" s="2318" t="s">
        <v>2805</v>
      </c>
    </row>
    <row r="335" spans="1:30" x14ac:dyDescent="0.25">
      <c r="A335" s="136" t="str">
        <f t="shared" si="109"/>
        <v/>
      </c>
      <c r="B335" s="711"/>
      <c r="C335" s="775">
        <f>SUMIFS(Sheet1!S71_PPPYearAmount,Sheet1!S71_SubMunicipalVoteNo,$AC:$AC,Sheet1!S71_A5CapexCode,$AD:$AD)</f>
        <v>0</v>
      </c>
      <c r="D335" s="775">
        <f>SUMIFS(Sheet1!S71_PPYearAmount,Sheet1!S71_SubMunicipalVoteNo,$AC:$AC,Sheet1!S71_A5CapexCode,$AD:$AD)</f>
        <v>0</v>
      </c>
      <c r="E335" s="717">
        <f>SUMIFS(Sheet1!S71_PYearAmount,Sheet1!S71_SubMunicipalVoteNo,$AC:$AC,Sheet1!S71_A5CapexCode,$AD:$AD)</f>
        <v>0</v>
      </c>
      <c r="F335" s="776">
        <f>SUMIFS(Sheet1!S71_OriginalBudAmnt,Sheet1!S71_SubMunicipalVoteNo,$AC:$AC,Sheet1!S71_A5CapexCode,$AD:$AD)</f>
        <v>0</v>
      </c>
      <c r="G335" s="775">
        <f>SUMIFS(Sheet1!S71_AdjustmentBudAmnt,Sheet1!S71_SubMunicipalVoteNo,$AC:$AC,Sheet1!S71_A5CapexCode,$AD:$AD)</f>
        <v>0</v>
      </c>
      <c r="H335" s="777">
        <f>SUMIFS(Sheet1!S71_AdjustmentBudAmnt,Sheet1!S71_SubMunicipalVoteNo,$AC:$AC,Sheet1!S71_A5CapexCode,$AD:$AD)</f>
        <v>0</v>
      </c>
      <c r="I335" s="778">
        <f>SUMIFS(Sheet1!CD:CD,Sheet1!S71_SubMunicipalVoteNo,$AC:$AC,Sheet1!S71_A5CapexCode,$AD:$AD)</f>
        <v>0</v>
      </c>
      <c r="J335" s="776">
        <f>SUMIFS(Sheet1!S71_ASBudgetAmount,Sheet1!S71_SubMunicipalVoteNo,$AC:$AC,Sheet1!S71_A5CapexCode,$AD:$AD)</f>
        <v>0</v>
      </c>
      <c r="K335" s="775">
        <f>SUMIFS(Sheet1!S71_OY1BudgetAmount,Sheet1!S71_SubMunicipalVoteNo,$AC:$AC,Sheet1!S71_A5CapexCode,$AD:$AD)</f>
        <v>0</v>
      </c>
      <c r="L335" s="777">
        <f>SUMIFS(Sheet1!S71_OY2BudgetAmount,Sheet1!S71_SubMunicipalVoteNo,$AC:$AC,Sheet1!S71_A5CapexCode,$AD:$AD)</f>
        <v>0</v>
      </c>
      <c r="M335" s="322"/>
      <c r="AC335" s="2312">
        <v>156</v>
      </c>
      <c r="AD335" s="2318" t="s">
        <v>2805</v>
      </c>
    </row>
    <row r="336" spans="1:30" x14ac:dyDescent="0.25">
      <c r="A336" s="136" t="str">
        <f t="shared" si="109"/>
        <v/>
      </c>
      <c r="B336" s="711"/>
      <c r="C336" s="775">
        <f>SUMIFS(Sheet1!S71_PPPYearAmount,Sheet1!S71_SubMunicipalVoteNo,$AC:$AC,Sheet1!S71_A5CapexCode,$AD:$AD)</f>
        <v>0</v>
      </c>
      <c r="D336" s="775">
        <f>SUMIFS(Sheet1!S71_PPYearAmount,Sheet1!S71_SubMunicipalVoteNo,$AC:$AC,Sheet1!S71_A5CapexCode,$AD:$AD)</f>
        <v>0</v>
      </c>
      <c r="E336" s="717">
        <f>SUMIFS(Sheet1!S71_PYearAmount,Sheet1!S71_SubMunicipalVoteNo,$AC:$AC,Sheet1!S71_A5CapexCode,$AD:$AD)</f>
        <v>0</v>
      </c>
      <c r="F336" s="776">
        <f>SUMIFS(Sheet1!S71_OriginalBudAmnt,Sheet1!S71_SubMunicipalVoteNo,$AC:$AC,Sheet1!S71_A5CapexCode,$AD:$AD)</f>
        <v>0</v>
      </c>
      <c r="G336" s="775">
        <f>SUMIFS(Sheet1!S71_AdjustmentBudAmnt,Sheet1!S71_SubMunicipalVoteNo,$AC:$AC,Sheet1!S71_A5CapexCode,$AD:$AD)</f>
        <v>0</v>
      </c>
      <c r="H336" s="777">
        <f>SUMIFS(Sheet1!S71_AdjustmentBudAmnt,Sheet1!S71_SubMunicipalVoteNo,$AC:$AC,Sheet1!S71_A5CapexCode,$AD:$AD)</f>
        <v>0</v>
      </c>
      <c r="I336" s="778">
        <f>SUMIFS(Sheet1!CD:CD,Sheet1!S71_SubMunicipalVoteNo,$AC:$AC,Sheet1!S71_A5CapexCode,$AD:$AD)</f>
        <v>0</v>
      </c>
      <c r="J336" s="776">
        <f>SUMIFS(Sheet1!S71_ASBudgetAmount,Sheet1!S71_SubMunicipalVoteNo,$AC:$AC,Sheet1!S71_A5CapexCode,$AD:$AD)</f>
        <v>0</v>
      </c>
      <c r="K336" s="775">
        <f>SUMIFS(Sheet1!S71_OY1BudgetAmount,Sheet1!S71_SubMunicipalVoteNo,$AC:$AC,Sheet1!S71_A5CapexCode,$AD:$AD)</f>
        <v>0</v>
      </c>
      <c r="L336" s="777">
        <f>SUMIFS(Sheet1!S71_OY2BudgetAmount,Sheet1!S71_SubMunicipalVoteNo,$AC:$AC,Sheet1!S71_A5CapexCode,$AD:$AD)</f>
        <v>0</v>
      </c>
      <c r="M336" s="322"/>
      <c r="AC336" s="2312">
        <v>157</v>
      </c>
      <c r="AD336" s="2318" t="s">
        <v>2805</v>
      </c>
    </row>
    <row r="337" spans="1:30" x14ac:dyDescent="0.25">
      <c r="A337" s="136" t="str">
        <f t="shared" si="109"/>
        <v/>
      </c>
      <c r="B337" s="711"/>
      <c r="C337" s="775">
        <f>SUMIFS(Sheet1!S71_PPPYearAmount,Sheet1!S71_SubMunicipalVoteNo,$AC:$AC,Sheet1!S71_A5CapexCode,$AD:$AD)</f>
        <v>0</v>
      </c>
      <c r="D337" s="775">
        <f>SUMIFS(Sheet1!S71_PPYearAmount,Sheet1!S71_SubMunicipalVoteNo,$AC:$AC,Sheet1!S71_A5CapexCode,$AD:$AD)</f>
        <v>0</v>
      </c>
      <c r="E337" s="717">
        <f>SUMIFS(Sheet1!S71_PYearAmount,Sheet1!S71_SubMunicipalVoteNo,$AC:$AC,Sheet1!S71_A5CapexCode,$AD:$AD)</f>
        <v>0</v>
      </c>
      <c r="F337" s="776">
        <f>SUMIFS(Sheet1!S71_OriginalBudAmnt,Sheet1!S71_SubMunicipalVoteNo,$AC:$AC,Sheet1!S71_A5CapexCode,$AD:$AD)</f>
        <v>0</v>
      </c>
      <c r="G337" s="775">
        <f>SUMIFS(Sheet1!S71_AdjustmentBudAmnt,Sheet1!S71_SubMunicipalVoteNo,$AC:$AC,Sheet1!S71_A5CapexCode,$AD:$AD)</f>
        <v>0</v>
      </c>
      <c r="H337" s="777">
        <f>SUMIFS(Sheet1!S71_AdjustmentBudAmnt,Sheet1!S71_SubMunicipalVoteNo,$AC:$AC,Sheet1!S71_A5CapexCode,$AD:$AD)</f>
        <v>0</v>
      </c>
      <c r="I337" s="778">
        <f>SUMIFS(Sheet1!CD:CD,Sheet1!S71_SubMunicipalVoteNo,$AC:$AC,Sheet1!S71_A5CapexCode,$AD:$AD)</f>
        <v>0</v>
      </c>
      <c r="J337" s="776">
        <f>SUMIFS(Sheet1!S71_ASBudgetAmount,Sheet1!S71_SubMunicipalVoteNo,$AC:$AC,Sheet1!S71_A5CapexCode,$AD:$AD)</f>
        <v>0</v>
      </c>
      <c r="K337" s="775">
        <f>SUMIFS(Sheet1!S71_OY1BudgetAmount,Sheet1!S71_SubMunicipalVoteNo,$AC:$AC,Sheet1!S71_A5CapexCode,$AD:$AD)</f>
        <v>0</v>
      </c>
      <c r="L337" s="777">
        <f>SUMIFS(Sheet1!S71_OY2BudgetAmount,Sheet1!S71_SubMunicipalVoteNo,$AC:$AC,Sheet1!S71_A5CapexCode,$AD:$AD)</f>
        <v>0</v>
      </c>
      <c r="M337" s="322"/>
      <c r="AC337" s="2312">
        <v>158</v>
      </c>
      <c r="AD337" s="2318" t="s">
        <v>2805</v>
      </c>
    </row>
    <row r="338" spans="1:30" x14ac:dyDescent="0.25">
      <c r="A338" s="136" t="str">
        <f t="shared" si="109"/>
        <v/>
      </c>
      <c r="B338" s="711"/>
      <c r="C338" s="775">
        <f>SUMIFS(Sheet1!S71_PPPYearAmount,Sheet1!S71_SubMunicipalVoteNo,$AC:$AC,Sheet1!S71_A5CapexCode,$AD:$AD)</f>
        <v>0</v>
      </c>
      <c r="D338" s="775">
        <f>SUMIFS(Sheet1!S71_PPYearAmount,Sheet1!S71_SubMunicipalVoteNo,$AC:$AC,Sheet1!S71_A5CapexCode,$AD:$AD)</f>
        <v>0</v>
      </c>
      <c r="E338" s="717">
        <f>SUMIFS(Sheet1!S71_PYearAmount,Sheet1!S71_SubMunicipalVoteNo,$AC:$AC,Sheet1!S71_A5CapexCode,$AD:$AD)</f>
        <v>0</v>
      </c>
      <c r="F338" s="776">
        <f>SUMIFS(Sheet1!S71_OriginalBudAmnt,Sheet1!S71_SubMunicipalVoteNo,$AC:$AC,Sheet1!S71_A5CapexCode,$AD:$AD)</f>
        <v>0</v>
      </c>
      <c r="G338" s="775">
        <f>SUMIFS(Sheet1!S71_AdjustmentBudAmnt,Sheet1!S71_SubMunicipalVoteNo,$AC:$AC,Sheet1!S71_A5CapexCode,$AD:$AD)</f>
        <v>0</v>
      </c>
      <c r="H338" s="777">
        <f>SUMIFS(Sheet1!S71_AdjustmentBudAmnt,Sheet1!S71_SubMunicipalVoteNo,$AC:$AC,Sheet1!S71_A5CapexCode,$AD:$AD)</f>
        <v>0</v>
      </c>
      <c r="I338" s="778">
        <f>SUMIFS(Sheet1!CD:CD,Sheet1!S71_SubMunicipalVoteNo,$AC:$AC,Sheet1!S71_A5CapexCode,$AD:$AD)</f>
        <v>0</v>
      </c>
      <c r="J338" s="776">
        <f>SUMIFS(Sheet1!S71_ASBudgetAmount,Sheet1!S71_SubMunicipalVoteNo,$AC:$AC,Sheet1!S71_A5CapexCode,$AD:$AD)</f>
        <v>0</v>
      </c>
      <c r="K338" s="775">
        <f>SUMIFS(Sheet1!S71_OY1BudgetAmount,Sheet1!S71_SubMunicipalVoteNo,$AC:$AC,Sheet1!S71_A5CapexCode,$AD:$AD)</f>
        <v>0</v>
      </c>
      <c r="L338" s="777">
        <f>SUMIFS(Sheet1!S71_OY2BudgetAmount,Sheet1!S71_SubMunicipalVoteNo,$AC:$AC,Sheet1!S71_A5CapexCode,$AD:$AD)</f>
        <v>0</v>
      </c>
      <c r="M338" s="322"/>
      <c r="AC338" s="2312">
        <v>159</v>
      </c>
      <c r="AD338" s="2318" t="s">
        <v>2805</v>
      </c>
    </row>
    <row r="339" spans="1:30" x14ac:dyDescent="0.25">
      <c r="A339" s="136" t="str">
        <f t="shared" si="109"/>
        <v/>
      </c>
      <c r="B339" s="711"/>
      <c r="C339" s="775">
        <f>SUMIFS(Sheet1!S71_PPPYearAmount,Sheet1!S71_SubMunicipalVoteNo,$AC:$AC,Sheet1!S71_A5CapexCode,$AD:$AD)</f>
        <v>0</v>
      </c>
      <c r="D339" s="775">
        <f>SUMIFS(Sheet1!S71_PPYearAmount,Sheet1!S71_SubMunicipalVoteNo,$AC:$AC,Sheet1!S71_A5CapexCode,$AD:$AD)</f>
        <v>0</v>
      </c>
      <c r="E339" s="717">
        <f>SUMIFS(Sheet1!S71_PYearAmount,Sheet1!S71_SubMunicipalVoteNo,$AC:$AC,Sheet1!S71_A5CapexCode,$AD:$AD)</f>
        <v>0</v>
      </c>
      <c r="F339" s="776">
        <f>SUMIFS(Sheet1!S71_OriginalBudAmnt,Sheet1!S71_SubMunicipalVoteNo,$AC:$AC,Sheet1!S71_A5CapexCode,$AD:$AD)</f>
        <v>0</v>
      </c>
      <c r="G339" s="775">
        <f>SUMIFS(Sheet1!S71_AdjustmentBudAmnt,Sheet1!S71_SubMunicipalVoteNo,$AC:$AC,Sheet1!S71_A5CapexCode,$AD:$AD)</f>
        <v>0</v>
      </c>
      <c r="H339" s="777">
        <f>SUMIFS(Sheet1!S71_AdjustmentBudAmnt,Sheet1!S71_SubMunicipalVoteNo,$AC:$AC,Sheet1!S71_A5CapexCode,$AD:$AD)</f>
        <v>0</v>
      </c>
      <c r="I339" s="778">
        <f>SUMIFS(Sheet1!CD:CD,Sheet1!S71_SubMunicipalVoteNo,$AC:$AC,Sheet1!S71_A5CapexCode,$AD:$AD)</f>
        <v>0</v>
      </c>
      <c r="J339" s="776">
        <f>SUMIFS(Sheet1!S71_ASBudgetAmount,Sheet1!S71_SubMunicipalVoteNo,$AC:$AC,Sheet1!S71_A5CapexCode,$AD:$AD)</f>
        <v>0</v>
      </c>
      <c r="K339" s="775">
        <f>SUMIFS(Sheet1!S71_OY1BudgetAmount,Sheet1!S71_SubMunicipalVoteNo,$AC:$AC,Sheet1!S71_A5CapexCode,$AD:$AD)</f>
        <v>0</v>
      </c>
      <c r="L339" s="777">
        <f>SUMIFS(Sheet1!S71_OY2BudgetAmount,Sheet1!S71_SubMunicipalVoteNo,$AC:$AC,Sheet1!S71_A5CapexCode,$AD:$AD)</f>
        <v>0</v>
      </c>
      <c r="M339" s="322"/>
      <c r="AC339" s="2312">
        <v>1510</v>
      </c>
      <c r="AD339" s="2318" t="s">
        <v>2805</v>
      </c>
    </row>
    <row r="340" spans="1:30" ht="13.5" x14ac:dyDescent="0.25">
      <c r="A340" s="801" t="s">
        <v>1158</v>
      </c>
      <c r="B340" s="711"/>
      <c r="C340" s="171">
        <f>C175+C186+C197+C208+C219+C230+C241+C252+C263+C274+C285+C296+C307+C318+C329</f>
        <v>166194243</v>
      </c>
      <c r="D340" s="171">
        <f t="shared" ref="D340:L340" si="113">D175+D186+D197+D208+D219+D230+D241+D252+D263+D274+D285+D296+D307+D318+D329</f>
        <v>194273798</v>
      </c>
      <c r="E340" s="802">
        <f t="shared" si="113"/>
        <v>213642164</v>
      </c>
      <c r="F340" s="790">
        <f t="shared" si="113"/>
        <v>25696767</v>
      </c>
      <c r="G340" s="171">
        <f t="shared" si="113"/>
        <v>43762488</v>
      </c>
      <c r="H340" s="802">
        <f t="shared" si="113"/>
        <v>43762488</v>
      </c>
      <c r="I340" s="803">
        <f t="shared" si="113"/>
        <v>241516725</v>
      </c>
      <c r="J340" s="790">
        <f t="shared" si="113"/>
        <v>31621000</v>
      </c>
      <c r="K340" s="171">
        <f t="shared" si="113"/>
        <v>3756392</v>
      </c>
      <c r="L340" s="171">
        <f t="shared" si="113"/>
        <v>3986648</v>
      </c>
      <c r="M340" s="322"/>
      <c r="AD340" s="2315"/>
    </row>
    <row r="341" spans="1:30" ht="13.5" x14ac:dyDescent="0.25">
      <c r="A341" s="804" t="s">
        <v>523</v>
      </c>
      <c r="B341" s="805"/>
      <c r="C341" s="806">
        <f>C171+C340</f>
        <v>166194243</v>
      </c>
      <c r="D341" s="806">
        <f t="shared" ref="D341:L341" si="114">D171+D340</f>
        <v>194273798</v>
      </c>
      <c r="E341" s="807">
        <f t="shared" si="114"/>
        <v>213642164</v>
      </c>
      <c r="F341" s="808">
        <f t="shared" si="114"/>
        <v>25696767</v>
      </c>
      <c r="G341" s="809">
        <f t="shared" si="114"/>
        <v>43762488</v>
      </c>
      <c r="H341" s="810">
        <f t="shared" si="114"/>
        <v>43762488</v>
      </c>
      <c r="I341" s="807">
        <f t="shared" si="114"/>
        <v>241516725</v>
      </c>
      <c r="J341" s="808">
        <f t="shared" si="114"/>
        <v>31621000</v>
      </c>
      <c r="K341" s="809">
        <f t="shared" si="114"/>
        <v>3756392</v>
      </c>
      <c r="L341" s="810">
        <f t="shared" si="114"/>
        <v>3986648</v>
      </c>
      <c r="M341" s="322"/>
      <c r="AD341" s="2315"/>
    </row>
    <row r="342" spans="1:30" x14ac:dyDescent="0.25">
      <c r="M342" s="322"/>
    </row>
  </sheetData>
  <dataConsolidate/>
  <mergeCells count="5">
    <mergeCell ref="F2:I2"/>
    <mergeCell ref="J2:L2"/>
    <mergeCell ref="N2:Q2"/>
    <mergeCell ref="R2:U2"/>
    <mergeCell ref="V2:X2"/>
  </mergeCells>
  <phoneticPr fontId="7" type="noConversion"/>
  <pageMargins left="0.35433070866141736" right="0.15748031496062992" top="0.78740157480314965" bottom="0.59055118110236227" header="0.51181102362204722" footer="0.39370078740157483"/>
  <pageSetup paperSize="9" scale="70" fitToHeight="2" orientation="portrait" r:id="rId1"/>
  <headerFooter alignWithMargins="0"/>
  <rowBreaks count="3" manualBreakCount="3">
    <brk id="82" max="16383" man="1"/>
    <brk id="172" max="16383" man="1"/>
    <brk id="262" max="16383" man="1"/>
  </rowBreaks>
  <colBreaks count="1" manualBreakCount="1">
    <brk id="12" max="1048575" man="1"/>
  </colBreaks>
  <ignoredErrors>
    <ignoredError sqref="J17:L17 J28:L28 J39:L39 J50:L50 J61:L61 J72:L72 J83:L83 J94:L94 J105:L105 J116:L116 J127:L127 J138:L138 J149:L149 J160:L160 Q17 U17 Q28 Q160 U28 U39 Q39 Q50 U50 Q61 U61 Q72 U72 Q83 U83 Q94 U94 Q105 U105 Q116 U116 Q127 U127 Q138 U138 Q149 U149 U160" formula="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AD90"/>
  <sheetViews>
    <sheetView showGridLines="0" zoomScale="110" zoomScaleNormal="110" workbookViewId="0">
      <pane xSplit="2" ySplit="3" topLeftCell="E18" activePane="bottomRight" state="frozen"/>
      <selection pane="topRight"/>
      <selection pane="bottomLeft"/>
      <selection pane="bottomRight" activeCell="J54" sqref="J54"/>
    </sheetView>
  </sheetViews>
  <sheetFormatPr defaultColWidth="9.140625" defaultRowHeight="12.75" x14ac:dyDescent="0.25"/>
  <cols>
    <col min="1" max="1" width="30.7109375" style="58" customWidth="1"/>
    <col min="2" max="2" width="3" style="55" customWidth="1"/>
    <col min="3" max="8" width="9.28515625" style="58" customWidth="1"/>
    <col min="9" max="9" width="9.140625" style="58" customWidth="1"/>
    <col min="10" max="12" width="9.28515625" style="58" customWidth="1"/>
    <col min="13" max="13" width="9.7109375" style="58" customWidth="1"/>
    <col min="14" max="14" width="9.42578125" style="58" customWidth="1"/>
    <col min="15" max="15" width="9.7109375" style="58" customWidth="1"/>
    <col min="16" max="18" width="9.42578125" style="58" customWidth="1"/>
    <col min="19" max="19" width="9.7109375" style="58" customWidth="1"/>
    <col min="20" max="22" width="9.42578125" style="58" customWidth="1"/>
    <col min="23" max="24" width="9.7109375" style="58" customWidth="1"/>
    <col min="25" max="27" width="9.140625" style="58" customWidth="1"/>
    <col min="28" max="28" width="0.140625" style="58" customWidth="1"/>
    <col min="29" max="29" width="9.140625" style="2342"/>
    <col min="30" max="16384" width="9.140625" style="58"/>
  </cols>
  <sheetData>
    <row r="1" spans="1:30" s="93" customFormat="1" x14ac:dyDescent="0.2">
      <c r="A1" s="92" t="str">
        <f>muni&amp;" - "&amp;Approve6</f>
        <v>KZN226 Mkhambathini - Table A6 Budgeted Financial Position</v>
      </c>
      <c r="B1" s="92"/>
      <c r="C1" s="92"/>
      <c r="D1" s="92"/>
      <c r="E1" s="92"/>
      <c r="F1" s="92"/>
      <c r="G1" s="92"/>
      <c r="H1" s="92"/>
      <c r="I1" s="92"/>
      <c r="J1" s="92"/>
      <c r="K1" s="92"/>
      <c r="L1" s="92"/>
      <c r="AC1" s="2334"/>
    </row>
    <row r="2" spans="1:30" ht="28.5" customHeight="1" x14ac:dyDescent="0.25">
      <c r="A2" s="696" t="str">
        <f>desc</f>
        <v>Description</v>
      </c>
      <c r="B2" s="155" t="str">
        <f>head27</f>
        <v>Ref</v>
      </c>
      <c r="C2" s="837" t="str">
        <f>head1b</f>
        <v>2017/18</v>
      </c>
      <c r="D2" s="837" t="str">
        <f>head1A</f>
        <v>2018/19</v>
      </c>
      <c r="E2" s="684" t="str">
        <f>Head1</f>
        <v>2019/20</v>
      </c>
      <c r="F2" s="2447" t="str">
        <f>Head2</f>
        <v>Current Year 2020/21</v>
      </c>
      <c r="G2" s="2448"/>
      <c r="H2" s="2448"/>
      <c r="I2" s="2448"/>
      <c r="J2" s="2450" t="str">
        <f>Head3</f>
        <v>2021/22 Medium Term Revenue &amp; Expenditure Framework</v>
      </c>
      <c r="K2" s="2451"/>
      <c r="L2" s="2452"/>
      <c r="AC2" s="2335"/>
    </row>
    <row r="3" spans="1:30" ht="25.5" x14ac:dyDescent="0.25">
      <c r="A3" s="156" t="s">
        <v>568</v>
      </c>
      <c r="B3" s="157"/>
      <c r="C3" s="698" t="str">
        <f>Head5</f>
        <v>Audited Outcome</v>
      </c>
      <c r="D3" s="698" t="str">
        <f>Head5</f>
        <v>Audited Outcome</v>
      </c>
      <c r="E3" s="94" t="str">
        <f>Head5</f>
        <v>Audited Outcome</v>
      </c>
      <c r="F3" s="95" t="str">
        <f>Head6</f>
        <v>Original Budget</v>
      </c>
      <c r="G3" s="698" t="str">
        <f>Head7</f>
        <v>Adjusted Budget</v>
      </c>
      <c r="H3" s="94" t="str">
        <f>Head8</f>
        <v>Full Year Forecast</v>
      </c>
      <c r="I3" s="702" t="str">
        <f>Head5b</f>
        <v>Pre-audit outcome</v>
      </c>
      <c r="J3" s="95" t="str">
        <f>Head9</f>
        <v>Budget Year 2021/22</v>
      </c>
      <c r="K3" s="698" t="str">
        <f>Head10</f>
        <v>Budget Year +1 2022/23</v>
      </c>
      <c r="L3" s="94" t="str">
        <f>Head11</f>
        <v>Budget Year +2 2023/24</v>
      </c>
      <c r="AC3" s="2335"/>
    </row>
    <row r="4" spans="1:30" ht="11.25" customHeight="1" x14ac:dyDescent="0.25">
      <c r="A4" s="801" t="s">
        <v>880</v>
      </c>
      <c r="B4" s="705"/>
      <c r="C4" s="81"/>
      <c r="D4" s="81"/>
      <c r="E4" s="758"/>
      <c r="F4" s="757"/>
      <c r="G4" s="81"/>
      <c r="H4" s="758"/>
      <c r="I4" s="756"/>
      <c r="J4" s="759"/>
      <c r="K4" s="81"/>
      <c r="L4" s="758"/>
      <c r="AC4" s="2336"/>
    </row>
    <row r="5" spans="1:30" ht="11.25" customHeight="1" x14ac:dyDescent="0.25">
      <c r="A5" s="801" t="s">
        <v>881</v>
      </c>
      <c r="B5" s="711"/>
      <c r="C5" s="177"/>
      <c r="D5" s="177"/>
      <c r="E5" s="178"/>
      <c r="F5" s="179"/>
      <c r="G5" s="177"/>
      <c r="H5" s="178"/>
      <c r="I5" s="180"/>
      <c r="J5" s="181"/>
      <c r="K5" s="724"/>
      <c r="L5" s="178"/>
      <c r="AC5" s="2336"/>
    </row>
    <row r="6" spans="1:30" ht="11.25" customHeight="1" x14ac:dyDescent="0.25">
      <c r="A6" s="164" t="s">
        <v>599</v>
      </c>
      <c r="B6" s="711"/>
      <c r="C6" s="712">
        <f>SUMIFS(Sheet1!S71_PPPYearAmount,Sheet1!S71_A6Code,$AC:$AC)</f>
        <v>1597576</v>
      </c>
      <c r="D6" s="712">
        <f>SUMIFS(Sheet1!S71_PPYearAmount,Sheet1!S71_A6Code,$AC:$AC)</f>
        <v>6807334</v>
      </c>
      <c r="E6" s="717">
        <f>SUMIFS(Sheet1!S71_PYearAmount,Sheet1!S71_A6Code,$AC:$AC)</f>
        <v>20222132</v>
      </c>
      <c r="F6" s="718">
        <f>SUMIFS(Sheet1!S71_OriginalBudAmnt,Sheet1!S71_A6Code,$AC:$AC)</f>
        <v>0</v>
      </c>
      <c r="G6" s="712">
        <f>SUMIFS(Sheet1!S71_AdjustmentBudAmnt,Sheet1!S71_A6Code,$AC:$AC)</f>
        <v>34535194</v>
      </c>
      <c r="H6" s="717">
        <f>SUMIFS(Sheet1!S71_AdjustmentBudAmnt,Sheet1!S71_A6Code,$AC:$AC)</f>
        <v>34535194</v>
      </c>
      <c r="I6" s="719">
        <f>SUMIFS(Sheet1!CD:CD,Sheet1!S71_A6Code,$AC:$AC)</f>
        <v>13168283</v>
      </c>
      <c r="J6" s="725">
        <f>SUMIFS(Sheet1!S71_ASBudgetAmount,Sheet1!S71_A6Code,$AC:$AC)</f>
        <v>30811927</v>
      </c>
      <c r="K6" s="714">
        <f>SUMIFS(Sheet1!S71_OY1BudgetAmount,Sheet1!S71_A6Code,$AC:$AC)</f>
        <v>9562235</v>
      </c>
      <c r="L6" s="717">
        <f>SUMIFS(Sheet1!S71_OY2BudgetAmount,Sheet1!S71_A6Code,$AC:$AC)</f>
        <v>-16645179</v>
      </c>
      <c r="AC6" s="2337" t="s">
        <v>2773</v>
      </c>
      <c r="AD6" s="2312" t="s">
        <v>2759</v>
      </c>
    </row>
    <row r="7" spans="1:30" ht="11.25" customHeight="1" x14ac:dyDescent="0.25">
      <c r="A7" s="164" t="s">
        <v>1329</v>
      </c>
      <c r="B7" s="711">
        <v>1</v>
      </c>
      <c r="C7" s="712">
        <f>SUMIFS(Sheet1!S71_PPPYearAmount,Sheet1!S71_A6Code,$AC:$AC)</f>
        <v>57375565</v>
      </c>
      <c r="D7" s="712">
        <f>SUMIFS(Sheet1!S71_PPYearAmount,Sheet1!S71_A6Code,$AC:$AC)</f>
        <v>57134917</v>
      </c>
      <c r="E7" s="717">
        <f>SUMIFS(Sheet1!S71_PYearAmount,Sheet1!S71_A6Code,$AC:$AC)</f>
        <v>45233789</v>
      </c>
      <c r="F7" s="718">
        <f>SUMIFS(Sheet1!S71_OriginalBudAmnt,Sheet1!S71_A6Code,$AC:$AC)</f>
        <v>60543564</v>
      </c>
      <c r="G7" s="712">
        <f>SUMIFS(Sheet1!S71_AdjustmentBudAmnt,Sheet1!S71_A6Code,$AC:$AC)</f>
        <v>0</v>
      </c>
      <c r="H7" s="717">
        <f>SUMIFS(Sheet1!S71_AdjustmentBudAmnt,Sheet1!S71_A6Code,$AC:$AC)</f>
        <v>0</v>
      </c>
      <c r="I7" s="719">
        <f>SUMIFS(Sheet1!CD:CD,Sheet1!S71_A6Code,$AC:$AC)</f>
        <v>26315052</v>
      </c>
      <c r="J7" s="725">
        <f>SUMIFS(Sheet1!S71_ASBudgetAmount,Sheet1!S71_A6Code,$AC:$AC)</f>
        <v>0</v>
      </c>
      <c r="K7" s="714">
        <f>SUMIFS(Sheet1!S71_OY1BudgetAmount,Sheet1!S71_A6Code,$AC:$AC)</f>
        <v>0</v>
      </c>
      <c r="L7" s="717">
        <f>SUMIFS(Sheet1!S71_OY2BudgetAmount,Sheet1!S71_A6Code,$AC:$AC)</f>
        <v>0</v>
      </c>
      <c r="M7" s="736"/>
      <c r="N7" s="322"/>
      <c r="O7" s="322"/>
      <c r="P7" s="322"/>
      <c r="Q7" s="322"/>
      <c r="R7" s="322"/>
      <c r="AC7" s="2337" t="s">
        <v>2774</v>
      </c>
      <c r="AD7" s="2312" t="s">
        <v>2754</v>
      </c>
    </row>
    <row r="8" spans="1:30" ht="11.25" customHeight="1" x14ac:dyDescent="0.25">
      <c r="A8" s="164" t="s">
        <v>1327</v>
      </c>
      <c r="B8" s="711">
        <v>1</v>
      </c>
      <c r="C8" s="177">
        <f>'SA3'!C14</f>
        <v>13942242</v>
      </c>
      <c r="D8" s="177">
        <f>'SA3'!D14</f>
        <v>19224680</v>
      </c>
      <c r="E8" s="72">
        <f>'SA3'!E14</f>
        <v>19641896</v>
      </c>
      <c r="F8" s="179">
        <f>'SA3'!F14</f>
        <v>-1367327</v>
      </c>
      <c r="G8" s="177">
        <f>'SA3'!G14</f>
        <v>20813885</v>
      </c>
      <c r="H8" s="72">
        <f>'SA3'!H14</f>
        <v>20813885</v>
      </c>
      <c r="I8" s="74">
        <f>'SA3'!I14</f>
        <v>20813885</v>
      </c>
      <c r="J8" s="75">
        <f>'SA3'!J14</f>
        <v>25380477</v>
      </c>
      <c r="K8" s="656">
        <f>'SA3'!K14</f>
        <v>25871892</v>
      </c>
      <c r="L8" s="72">
        <f>'SA3'!L14</f>
        <v>27413829</v>
      </c>
      <c r="M8" s="322"/>
      <c r="N8" s="322"/>
      <c r="O8" s="322"/>
      <c r="P8" s="322"/>
      <c r="Q8" s="322"/>
      <c r="R8" s="322"/>
      <c r="AC8" s="2337" t="s">
        <v>2775</v>
      </c>
    </row>
    <row r="9" spans="1:30" ht="11.25" customHeight="1" x14ac:dyDescent="0.25">
      <c r="A9" s="164" t="s">
        <v>1328</v>
      </c>
      <c r="B9" s="711"/>
      <c r="C9" s="712">
        <f>SUMIFS(Sheet1!S71_PPPYearAmount,Sheet1!S71_A6Code,$AC:$AC)</f>
        <v>4303217</v>
      </c>
      <c r="D9" s="712">
        <f>SUMIFS(Sheet1!S71_PPYearAmount,Sheet1!S71_A6Code,$AC:$AC)</f>
        <v>4623448</v>
      </c>
      <c r="E9" s="717">
        <f>SUMIFS(Sheet1!S71_PYearAmount,Sheet1!S71_A6Code,$AC:$AC)</f>
        <v>4873407</v>
      </c>
      <c r="F9" s="718">
        <f>SUMIFS(Sheet1!S71_OriginalBudAmnt,Sheet1!S71_A6Code,$AC:$AC)</f>
        <v>543000</v>
      </c>
      <c r="G9" s="712">
        <f>SUMIFS(Sheet1!S71_AdjustmentBudAmnt,Sheet1!S71_A6Code,$AC:$AC)</f>
        <v>88400</v>
      </c>
      <c r="H9" s="717">
        <f>SUMIFS(Sheet1!S71_AdjustmentBudAmnt,Sheet1!S71_A6Code,$AC:$AC)</f>
        <v>88400</v>
      </c>
      <c r="I9" s="719">
        <f>SUMIFS(Sheet1!CD:CD,Sheet1!S71_A6Code,$AC:$AC)</f>
        <v>10546585</v>
      </c>
      <c r="J9" s="725">
        <f>SUMIFS(Sheet1!S71_ASBudgetAmount,Sheet1!S71_A6Code,$AC:$AC)</f>
        <v>1083762</v>
      </c>
      <c r="K9" s="714">
        <f>SUMIFS(Sheet1!S71_OY1BudgetAmount,Sheet1!S71_A6Code,$AC:$AC)</f>
        <v>586744</v>
      </c>
      <c r="L9" s="717">
        <f>SUMIFS(Sheet1!S71_OY2BudgetAmount,Sheet1!S71_A6Code,$AC:$AC)</f>
        <v>610214</v>
      </c>
      <c r="M9" s="322"/>
      <c r="N9" s="322"/>
      <c r="O9" s="322"/>
      <c r="P9" s="322"/>
      <c r="Q9" s="322"/>
      <c r="R9" s="322"/>
      <c r="AC9" s="2337" t="s">
        <v>2776</v>
      </c>
    </row>
    <row r="10" spans="1:30" ht="11.25" customHeight="1" x14ac:dyDescent="0.25">
      <c r="A10" s="164" t="s">
        <v>600</v>
      </c>
      <c r="B10" s="711"/>
      <c r="C10" s="712">
        <f>SUMIFS(Sheet1!S71_PPPYearAmount,Sheet1!S71_A6Code,$AC:$AC)</f>
        <v>0</v>
      </c>
      <c r="D10" s="712">
        <f>SUMIFS(Sheet1!S71_PPYearAmount,Sheet1!S71_A6Code,$AC:$AC)</f>
        <v>0</v>
      </c>
      <c r="E10" s="717">
        <f>SUMIFS(Sheet1!S71_PYearAmount,Sheet1!S71_A6Code,$AC:$AC)</f>
        <v>0</v>
      </c>
      <c r="F10" s="718">
        <f>SUMIFS(Sheet1!S71_OriginalBudAmnt,Sheet1!S71_A6Code,$AC:$AC)</f>
        <v>0</v>
      </c>
      <c r="G10" s="712">
        <f>SUMIFS(Sheet1!S71_AdjustmentBudAmnt,Sheet1!S71_A6Code,$AC:$AC)</f>
        <v>0</v>
      </c>
      <c r="H10" s="717">
        <f>SUMIFS(Sheet1!S71_AdjustmentBudAmnt,Sheet1!S71_A6Code,$AC:$AC)</f>
        <v>0</v>
      </c>
      <c r="I10" s="719">
        <f>SUMIFS(Sheet1!CD:CD,Sheet1!S71_A6Code,$AC:$AC)</f>
        <v>0</v>
      </c>
      <c r="J10" s="725">
        <f>SUMIFS(Sheet1!S71_ASBudgetAmount,Sheet1!S71_A6Code,$AC:$AC)</f>
        <v>0</v>
      </c>
      <c r="K10" s="714">
        <f>SUMIFS(Sheet1!S71_OY1BudgetAmount,Sheet1!S71_A6Code,$AC:$AC)</f>
        <v>0</v>
      </c>
      <c r="L10" s="717">
        <f>SUMIFS(Sheet1!S71_OY2BudgetAmount,Sheet1!S71_A6Code,$AC:$AC)</f>
        <v>0</v>
      </c>
      <c r="M10" s="322"/>
      <c r="N10" s="322"/>
      <c r="O10" s="322"/>
      <c r="P10" s="322"/>
      <c r="Q10" s="322"/>
      <c r="R10" s="322"/>
      <c r="AC10" s="2337" t="s">
        <v>2777</v>
      </c>
    </row>
    <row r="11" spans="1:30" ht="11.25" customHeight="1" x14ac:dyDescent="0.25">
      <c r="A11" s="164" t="s">
        <v>1326</v>
      </c>
      <c r="B11" s="711">
        <v>2</v>
      </c>
      <c r="C11" s="71">
        <f>'SA3'!C115</f>
        <v>8091</v>
      </c>
      <c r="D11" s="71">
        <f>'SA3'!D115</f>
        <v>0</v>
      </c>
      <c r="E11" s="72">
        <f>'SA3'!E115</f>
        <v>221071</v>
      </c>
      <c r="F11" s="73">
        <f>'SA3'!F115</f>
        <v>0</v>
      </c>
      <c r="G11" s="71">
        <f>'SA3'!G115</f>
        <v>0</v>
      </c>
      <c r="H11" s="72">
        <f>'SA3'!H115</f>
        <v>0</v>
      </c>
      <c r="I11" s="74">
        <f>'SA3'!I115</f>
        <v>661452</v>
      </c>
      <c r="J11" s="75">
        <f>'SA3'!J115</f>
        <v>221071</v>
      </c>
      <c r="K11" s="656">
        <f>'SA3'!K115</f>
        <v>0</v>
      </c>
      <c r="L11" s="72">
        <f>'SA3'!L115</f>
        <v>0</v>
      </c>
      <c r="M11" s="736"/>
      <c r="N11" s="322"/>
      <c r="O11" s="322"/>
      <c r="P11" s="322"/>
      <c r="Q11" s="322"/>
      <c r="R11" s="322"/>
      <c r="AC11" s="2337" t="s">
        <v>2778</v>
      </c>
    </row>
    <row r="12" spans="1:30" ht="11.25" customHeight="1" x14ac:dyDescent="0.25">
      <c r="A12" s="811" t="s">
        <v>498</v>
      </c>
      <c r="B12" s="812"/>
      <c r="C12" s="264">
        <f t="shared" ref="C12:L12" si="0">SUM(C6:C11)</f>
        <v>77226691</v>
      </c>
      <c r="D12" s="264">
        <f t="shared" si="0"/>
        <v>87790379</v>
      </c>
      <c r="E12" s="265">
        <f t="shared" si="0"/>
        <v>90192295</v>
      </c>
      <c r="F12" s="266">
        <f t="shared" si="0"/>
        <v>59719237</v>
      </c>
      <c r="G12" s="264">
        <f t="shared" si="0"/>
        <v>55437479</v>
      </c>
      <c r="H12" s="265">
        <f t="shared" si="0"/>
        <v>55437479</v>
      </c>
      <c r="I12" s="583">
        <f t="shared" si="0"/>
        <v>71505257</v>
      </c>
      <c r="J12" s="268">
        <f t="shared" si="0"/>
        <v>57497237</v>
      </c>
      <c r="K12" s="813">
        <f t="shared" si="0"/>
        <v>36020871</v>
      </c>
      <c r="L12" s="265">
        <f t="shared" si="0"/>
        <v>11378864</v>
      </c>
      <c r="AC12" s="2336"/>
    </row>
    <row r="13" spans="1:30" ht="4.9000000000000004" customHeight="1" x14ac:dyDescent="0.25">
      <c r="A13" s="176"/>
      <c r="B13" s="711"/>
      <c r="C13" s="177"/>
      <c r="D13" s="177"/>
      <c r="E13" s="178"/>
      <c r="F13" s="179"/>
      <c r="G13" s="177"/>
      <c r="H13" s="178"/>
      <c r="I13" s="74"/>
      <c r="J13" s="181"/>
      <c r="K13" s="724"/>
      <c r="L13" s="178"/>
      <c r="AC13" s="2336"/>
    </row>
    <row r="14" spans="1:30" ht="11.25" customHeight="1" x14ac:dyDescent="0.25">
      <c r="A14" s="801" t="s">
        <v>492</v>
      </c>
      <c r="B14" s="711"/>
      <c r="C14" s="177"/>
      <c r="D14" s="177"/>
      <c r="E14" s="178"/>
      <c r="F14" s="179"/>
      <c r="G14" s="177"/>
      <c r="H14" s="178"/>
      <c r="I14" s="74"/>
      <c r="J14" s="181"/>
      <c r="K14" s="724"/>
      <c r="L14" s="178"/>
      <c r="AC14" s="2336"/>
    </row>
    <row r="15" spans="1:30" ht="11.25" customHeight="1" x14ac:dyDescent="0.25">
      <c r="A15" s="164" t="s">
        <v>1325</v>
      </c>
      <c r="B15" s="711"/>
      <c r="C15" s="712">
        <f>SUMIFS(Sheet1!S71_PPPYearAmount,Sheet1!S71_A6Code,$AC:$AC)</f>
        <v>0</v>
      </c>
      <c r="D15" s="712">
        <f>SUMIFS(Sheet1!S71_PPYearAmount,Sheet1!S71_A6Code,$AC:$AC)</f>
        <v>0</v>
      </c>
      <c r="E15" s="717">
        <f>SUMIFS(Sheet1!S71_PYearAmount,Sheet1!S71_A6Code,$AC:$AC)</f>
        <v>0</v>
      </c>
      <c r="F15" s="718">
        <f>SUMIFS(Sheet1!S71_OriginalBudAmnt,Sheet1!S71_A6Code,$AC:$AC)</f>
        <v>0</v>
      </c>
      <c r="G15" s="712">
        <f>SUMIFS(Sheet1!S71_AdjustmentBudAmnt,Sheet1!S71_A6Code,$AC:$AC)</f>
        <v>0</v>
      </c>
      <c r="H15" s="717">
        <f>SUMIFS(Sheet1!S71_AdjustmentBudAmnt,Sheet1!S71_A6Code,$AC:$AC)</f>
        <v>0</v>
      </c>
      <c r="I15" s="719">
        <f>SUMIFS(Sheet1!CD:CD,Sheet1!S71_A6Code,$AC:$AC)</f>
        <v>0</v>
      </c>
      <c r="J15" s="725">
        <f>SUMIFS(Sheet1!S71_ASBudgetAmount,Sheet1!S71_A6Code,$AC:$AC)</f>
        <v>0</v>
      </c>
      <c r="K15" s="714">
        <f>SUMIFS(Sheet1!S71_OY1BudgetAmount,Sheet1!S71_A6Code,$AC:$AC)</f>
        <v>0</v>
      </c>
      <c r="L15" s="717">
        <f>SUMIFS(Sheet1!S71_OY2BudgetAmount,Sheet1!S71_A6Code,$AC:$AC)</f>
        <v>0</v>
      </c>
      <c r="AC15" s="2337" t="s">
        <v>2696</v>
      </c>
    </row>
    <row r="16" spans="1:30" ht="11.25" customHeight="1" x14ac:dyDescent="0.25">
      <c r="A16" s="164" t="s">
        <v>882</v>
      </c>
      <c r="B16" s="711"/>
      <c r="C16" s="712">
        <f>SUMIFS(Sheet1!S71_PPPYearAmount,Sheet1!S71_A6Code,$AC:$AC)</f>
        <v>0</v>
      </c>
      <c r="D16" s="712">
        <f>SUMIFS(Sheet1!S71_PPYearAmount,Sheet1!S71_A6Code,$AC:$AC)</f>
        <v>0</v>
      </c>
      <c r="E16" s="717">
        <f>SUMIFS(Sheet1!S71_PYearAmount,Sheet1!S71_A6Code,$AC:$AC)</f>
        <v>0</v>
      </c>
      <c r="F16" s="718">
        <f>SUMIFS(Sheet1!S71_OriginalBudAmnt,Sheet1!S71_A6Code,$AC:$AC)</f>
        <v>0</v>
      </c>
      <c r="G16" s="712">
        <f>SUMIFS(Sheet1!S71_AdjustmentBudAmnt,Sheet1!S71_A6Code,$AC:$AC)</f>
        <v>0</v>
      </c>
      <c r="H16" s="717">
        <f>SUMIFS(Sheet1!S71_AdjustmentBudAmnt,Sheet1!S71_A6Code,$AC:$AC)</f>
        <v>0</v>
      </c>
      <c r="I16" s="719">
        <f>SUMIFS(Sheet1!CD:CD,Sheet1!S71_A6Code,$AC:$AC)</f>
        <v>0</v>
      </c>
      <c r="J16" s="725">
        <f>SUMIFS(Sheet1!S71_ASBudgetAmount,Sheet1!S71_A6Code,$AC:$AC)</f>
        <v>0</v>
      </c>
      <c r="K16" s="714">
        <f>SUMIFS(Sheet1!S71_OY1BudgetAmount,Sheet1!S71_A6Code,$AC:$AC)</f>
        <v>0</v>
      </c>
      <c r="L16" s="717">
        <f>SUMIFS(Sheet1!S71_OY2BudgetAmount,Sheet1!S71_A6Code,$AC:$AC)</f>
        <v>0</v>
      </c>
      <c r="AC16" s="2337" t="s">
        <v>2767</v>
      </c>
    </row>
    <row r="17" spans="1:29" ht="11.25" customHeight="1" x14ac:dyDescent="0.25">
      <c r="A17" s="164" t="s">
        <v>1324</v>
      </c>
      <c r="B17" s="711"/>
      <c r="C17" s="712">
        <f>SUMIFS(Sheet1!S71_PPPYearAmount,Sheet1!S71_A6Code,$AC:$AC)</f>
        <v>0</v>
      </c>
      <c r="D17" s="712">
        <f>SUMIFS(Sheet1!S71_PPYearAmount,Sheet1!S71_A6Code,$AC:$AC)</f>
        <v>0</v>
      </c>
      <c r="E17" s="717">
        <f>SUMIFS(Sheet1!S71_PYearAmount,Sheet1!S71_A6Code,$AC:$AC)</f>
        <v>0</v>
      </c>
      <c r="F17" s="718">
        <f>SUMIFS(Sheet1!S71_OriginalBudAmnt,Sheet1!S71_A6Code,$AC:$AC)</f>
        <v>4523600</v>
      </c>
      <c r="G17" s="712">
        <f>SUMIFS(Sheet1!S71_AdjustmentBudAmnt,Sheet1!S71_A6Code,$AC:$AC)</f>
        <v>10405000</v>
      </c>
      <c r="H17" s="717">
        <f>SUMIFS(Sheet1!S71_AdjustmentBudAmnt,Sheet1!S71_A6Code,$AC:$AC)</f>
        <v>10405000</v>
      </c>
      <c r="I17" s="719">
        <f>SUMIFS(Sheet1!CD:CD,Sheet1!S71_A6Code,$AC:$AC)</f>
        <v>0</v>
      </c>
      <c r="J17" s="725">
        <f>SUMIFS(Sheet1!S71_ASBudgetAmount,Sheet1!S71_A6Code,$AC:$AC)</f>
        <v>10405000</v>
      </c>
      <c r="K17" s="714">
        <f>SUMIFS(Sheet1!S71_OY1BudgetAmount,Sheet1!S71_A6Code,$AC:$AC)</f>
        <v>11243227</v>
      </c>
      <c r="L17" s="717">
        <f>SUMIFS(Sheet1!S71_OY2BudgetAmount,Sheet1!S71_A6Code,$AC:$AC)</f>
        <v>11692956</v>
      </c>
      <c r="AC17" s="2337" t="s">
        <v>2768</v>
      </c>
    </row>
    <row r="18" spans="1:29" ht="11.25" customHeight="1" x14ac:dyDescent="0.25">
      <c r="A18" s="164" t="s">
        <v>670</v>
      </c>
      <c r="B18" s="711"/>
      <c r="C18" s="712">
        <f>SUMIFS(Sheet1!S71_PPPYearAmount,Sheet1!S71_A6Code,$AC:$AC)</f>
        <v>0</v>
      </c>
      <c r="D18" s="712">
        <f>SUMIFS(Sheet1!S71_PPYearAmount,Sheet1!S71_A6Code,$AC:$AC)</f>
        <v>0</v>
      </c>
      <c r="E18" s="717">
        <f>SUMIFS(Sheet1!S71_PYearAmount,Sheet1!S71_A6Code,$AC:$AC)</f>
        <v>0</v>
      </c>
      <c r="F18" s="718">
        <f>SUMIFS(Sheet1!S71_OriginalBudAmnt,Sheet1!S71_A6Code,$AC:$AC)</f>
        <v>0</v>
      </c>
      <c r="G18" s="712">
        <f>SUMIFS(Sheet1!S71_AdjustmentBudAmnt,Sheet1!S71_A6Code,$AC:$AC)</f>
        <v>0</v>
      </c>
      <c r="H18" s="717">
        <f>SUMIFS(Sheet1!S71_AdjustmentBudAmnt,Sheet1!S71_A6Code,$AC:$AC)</f>
        <v>0</v>
      </c>
      <c r="I18" s="719">
        <f>SUMIFS(Sheet1!CD:CD,Sheet1!S71_A6Code,$AC:$AC)</f>
        <v>0</v>
      </c>
      <c r="J18" s="725">
        <f>SUMIFS(Sheet1!S71_ASBudgetAmount,Sheet1!S71_A6Code,$AC:$AC)</f>
        <v>0</v>
      </c>
      <c r="K18" s="714">
        <f>SUMIFS(Sheet1!S71_OY1BudgetAmount,Sheet1!S71_A6Code,$AC:$AC)</f>
        <v>0</v>
      </c>
      <c r="L18" s="717">
        <f>SUMIFS(Sheet1!S71_OY2BudgetAmount,Sheet1!S71_A6Code,$AC:$AC)</f>
        <v>0</v>
      </c>
      <c r="AC18" s="2337" t="s">
        <v>2779</v>
      </c>
    </row>
    <row r="19" spans="1:29" ht="11.25" customHeight="1" x14ac:dyDescent="0.25">
      <c r="A19" s="164" t="s">
        <v>1323</v>
      </c>
      <c r="B19" s="711">
        <v>3</v>
      </c>
      <c r="C19" s="177">
        <f>'SA3'!C121</f>
        <v>123538755</v>
      </c>
      <c r="D19" s="177">
        <f>'SA3'!D121</f>
        <v>145931054</v>
      </c>
      <c r="E19" s="72">
        <f>'SA3'!E121</f>
        <v>158279402</v>
      </c>
      <c r="F19" s="179">
        <f>'SA3'!F121</f>
        <v>166122288</v>
      </c>
      <c r="G19" s="177">
        <f>'SA3'!G121</f>
        <v>194670027</v>
      </c>
      <c r="H19" s="178">
        <f>'SA3'!H121</f>
        <v>194670027</v>
      </c>
      <c r="I19" s="180">
        <f>'SA3'!I121</f>
        <v>303864160</v>
      </c>
      <c r="J19" s="181">
        <f>'SA3'!J121</f>
        <v>184787191</v>
      </c>
      <c r="K19" s="724">
        <f>'SA3'!K121</f>
        <v>141523738</v>
      </c>
      <c r="L19" s="178">
        <f>'SA3'!L121</f>
        <v>146527250</v>
      </c>
      <c r="AC19" s="2337" t="s">
        <v>2780</v>
      </c>
    </row>
    <row r="20" spans="1:29" ht="1.9" customHeight="1" x14ac:dyDescent="0.25">
      <c r="A20" s="164"/>
      <c r="B20" s="711"/>
      <c r="C20" s="71"/>
      <c r="D20" s="71"/>
      <c r="E20" s="72"/>
      <c r="F20" s="73"/>
      <c r="G20" s="71"/>
      <c r="H20" s="72"/>
      <c r="I20" s="74"/>
      <c r="J20" s="75"/>
      <c r="K20" s="656"/>
      <c r="L20" s="72"/>
      <c r="AC20" s="2336"/>
    </row>
    <row r="21" spans="1:29" ht="11.25" customHeight="1" x14ac:dyDescent="0.25">
      <c r="A21" s="164" t="s">
        <v>813</v>
      </c>
      <c r="B21" s="711"/>
      <c r="C21" s="712">
        <f>SUMIFS(Sheet1!S71_PPPYearAmount,Sheet1!S71_A6Code,$AC:$AC)</f>
        <v>0</v>
      </c>
      <c r="D21" s="712">
        <f>SUMIFS(Sheet1!S71_PPYearAmount,Sheet1!S71_A6Code,$AC:$AC)</f>
        <v>0</v>
      </c>
      <c r="E21" s="717">
        <f>SUMIFS(Sheet1!S71_PYearAmount,Sheet1!S71_A6Code,$AC:$AC)</f>
        <v>0</v>
      </c>
      <c r="F21" s="718">
        <f>SUMIFS(Sheet1!S71_OriginalBudAmnt,Sheet1!S71_A6Code,$AC:$AC)</f>
        <v>0</v>
      </c>
      <c r="G21" s="712">
        <f>SUMIFS(Sheet1!S71_AdjustmentBudAmnt,Sheet1!S71_A6Code,$AC:$AC)</f>
        <v>0</v>
      </c>
      <c r="H21" s="717">
        <f>SUMIFS(Sheet1!S71_AdjustmentBudAmnt,Sheet1!S71_A6Code,$AC:$AC)</f>
        <v>0</v>
      </c>
      <c r="I21" s="719">
        <f>SUMIFS(Sheet1!CD:CD,Sheet1!S71_A6Code,$AC:$AC)</f>
        <v>0</v>
      </c>
      <c r="J21" s="725">
        <f>SUMIFS(Sheet1!S71_ASBudgetAmount,Sheet1!S71_A6Code,$AC:$AC)</f>
        <v>0</v>
      </c>
      <c r="K21" s="714">
        <f>SUMIFS(Sheet1!S71_OY1BudgetAmount,Sheet1!S71_A6Code,$AC:$AC)</f>
        <v>0</v>
      </c>
      <c r="L21" s="717">
        <f>SUMIFS(Sheet1!S71_OY2BudgetAmount,Sheet1!S71_A6Code,$AC:$AC)</f>
        <v>0</v>
      </c>
      <c r="AC21" s="2337" t="s">
        <v>2769</v>
      </c>
    </row>
    <row r="22" spans="1:29" ht="11.25" customHeight="1" x14ac:dyDescent="0.25">
      <c r="A22" s="164" t="s">
        <v>814</v>
      </c>
      <c r="B22" s="711"/>
      <c r="C22" s="712">
        <f>SUMIFS(Sheet1!S71_PPPYearAmount,Sheet1!S71_A6Code,$AC:$AC)</f>
        <v>606613</v>
      </c>
      <c r="D22" s="712">
        <f>SUMIFS(Sheet1!S71_PPYearAmount,Sheet1!S71_A6Code,$AC:$AC)</f>
        <v>409323</v>
      </c>
      <c r="E22" s="717">
        <f>SUMIFS(Sheet1!S71_PYearAmount,Sheet1!S71_A6Code,$AC:$AC)</f>
        <v>488430</v>
      </c>
      <c r="F22" s="718">
        <f>SUMIFS(Sheet1!S71_OriginalBudAmnt,Sheet1!S71_A6Code,$AC:$AC)</f>
        <v>0</v>
      </c>
      <c r="G22" s="712">
        <f>SUMIFS(Sheet1!S71_AdjustmentBudAmnt,Sheet1!S71_A6Code,$AC:$AC)</f>
        <v>488430</v>
      </c>
      <c r="H22" s="717">
        <f>SUMIFS(Sheet1!S71_AdjustmentBudAmnt,Sheet1!S71_A6Code,$AC:$AC)</f>
        <v>488430</v>
      </c>
      <c r="I22" s="719">
        <f>SUMIFS(Sheet1!CD:CD,Sheet1!S71_A6Code,$AC:$AC)</f>
        <v>286252</v>
      </c>
      <c r="J22" s="725">
        <f>SUMIFS(Sheet1!S71_ASBudgetAmount,Sheet1!S71_A6Code,$AC:$AC)</f>
        <v>488430</v>
      </c>
      <c r="K22" s="714">
        <f>SUMIFS(Sheet1!S71_OY1BudgetAmount,Sheet1!S71_A6Code,$AC:$AC)</f>
        <v>527778</v>
      </c>
      <c r="L22" s="717">
        <f>SUMIFS(Sheet1!S71_OY2BudgetAmount,Sheet1!S71_A6Code,$AC:$AC)</f>
        <v>548889</v>
      </c>
      <c r="AC22" s="2337" t="s">
        <v>2781</v>
      </c>
    </row>
    <row r="23" spans="1:29" ht="11.25" customHeight="1" x14ac:dyDescent="0.25">
      <c r="A23" s="164" t="s">
        <v>1470</v>
      </c>
      <c r="B23" s="711"/>
      <c r="C23" s="712">
        <f>SUMIFS(Sheet1!S71_PPPYearAmount,Sheet1!S71_A6Code,$AC:$AC)</f>
        <v>0</v>
      </c>
      <c r="D23" s="712">
        <f>SUMIFS(Sheet1!S71_PPYearAmount,Sheet1!S71_A6Code,$AC:$AC)</f>
        <v>0</v>
      </c>
      <c r="E23" s="717">
        <f>SUMIFS(Sheet1!S71_PYearAmount,Sheet1!S71_A6Code,$AC:$AC)</f>
        <v>0</v>
      </c>
      <c r="F23" s="718">
        <f>SUMIFS(Sheet1!S71_OriginalBudAmnt,Sheet1!S71_A6Code,$AC:$AC)</f>
        <v>0</v>
      </c>
      <c r="G23" s="712">
        <f>SUMIFS(Sheet1!S71_AdjustmentBudAmnt,Sheet1!S71_A6Code,$AC:$AC)</f>
        <v>0</v>
      </c>
      <c r="H23" s="717">
        <f>SUMIFS(Sheet1!S71_AdjustmentBudAmnt,Sheet1!S71_A6Code,$AC:$AC)</f>
        <v>0</v>
      </c>
      <c r="I23" s="719">
        <f>SUMIFS(Sheet1!CD:CD,Sheet1!S71_A6Code,$AC:$AC)</f>
        <v>0</v>
      </c>
      <c r="J23" s="725">
        <f>SUMIFS(Sheet1!S71_ASBudgetAmount,Sheet1!S71_A6Code,$AC:$AC)</f>
        <v>0</v>
      </c>
      <c r="K23" s="714">
        <f>SUMIFS(Sheet1!S71_OY1BudgetAmount,Sheet1!S71_A6Code,$AC:$AC)</f>
        <v>0</v>
      </c>
      <c r="L23" s="717">
        <f>SUMIFS(Sheet1!S71_OY2BudgetAmount,Sheet1!S71_A6Code,$AC:$AC)</f>
        <v>0</v>
      </c>
      <c r="AC23" s="2337" t="s">
        <v>2782</v>
      </c>
    </row>
    <row r="24" spans="1:29" ht="11.25" customHeight="1" x14ac:dyDescent="0.25">
      <c r="A24" s="811" t="s">
        <v>497</v>
      </c>
      <c r="B24" s="815"/>
      <c r="C24" s="534">
        <f>SUM(C15:C19)+SUM(C21:C23)</f>
        <v>124145368</v>
      </c>
      <c r="D24" s="535">
        <f t="shared" ref="D24:L24" si="1">SUM(D15:D19)+SUM(D21:D23)</f>
        <v>146340377</v>
      </c>
      <c r="E24" s="665">
        <f t="shared" si="1"/>
        <v>158767832</v>
      </c>
      <c r="F24" s="666">
        <f t="shared" si="1"/>
        <v>170645888</v>
      </c>
      <c r="G24" s="535">
        <f t="shared" si="1"/>
        <v>205563457</v>
      </c>
      <c r="H24" s="665">
        <f t="shared" si="1"/>
        <v>205563457</v>
      </c>
      <c r="I24" s="667">
        <f t="shared" si="1"/>
        <v>304150412</v>
      </c>
      <c r="J24" s="668">
        <f t="shared" si="1"/>
        <v>195680621</v>
      </c>
      <c r="K24" s="534">
        <f t="shared" si="1"/>
        <v>153294743</v>
      </c>
      <c r="L24" s="665">
        <f t="shared" si="1"/>
        <v>158769095</v>
      </c>
      <c r="AC24" s="2336"/>
    </row>
    <row r="25" spans="1:29" ht="11.25" customHeight="1" x14ac:dyDescent="0.25">
      <c r="A25" s="811" t="s">
        <v>501</v>
      </c>
      <c r="B25" s="812"/>
      <c r="C25" s="264">
        <f>C12+C24</f>
        <v>201372059</v>
      </c>
      <c r="D25" s="264">
        <f>D12+D24</f>
        <v>234130756</v>
      </c>
      <c r="E25" s="265">
        <f>E12+E24</f>
        <v>248960127</v>
      </c>
      <c r="F25" s="266">
        <f t="shared" ref="F25:L25" si="2">F12+F24</f>
        <v>230365125</v>
      </c>
      <c r="G25" s="264">
        <f t="shared" si="2"/>
        <v>261000936</v>
      </c>
      <c r="H25" s="265">
        <f t="shared" si="2"/>
        <v>261000936</v>
      </c>
      <c r="I25" s="267">
        <f t="shared" si="2"/>
        <v>375655669</v>
      </c>
      <c r="J25" s="268">
        <f t="shared" si="2"/>
        <v>253177858</v>
      </c>
      <c r="K25" s="813">
        <f t="shared" si="2"/>
        <v>189315614</v>
      </c>
      <c r="L25" s="265">
        <f t="shared" si="2"/>
        <v>170147959</v>
      </c>
      <c r="AC25" s="2336"/>
    </row>
    <row r="26" spans="1:29" ht="4.9000000000000004" customHeight="1" x14ac:dyDescent="0.25">
      <c r="A26" s="176"/>
      <c r="B26" s="711"/>
      <c r="C26" s="177"/>
      <c r="D26" s="177"/>
      <c r="E26" s="178"/>
      <c r="F26" s="179"/>
      <c r="G26" s="177"/>
      <c r="H26" s="178"/>
      <c r="I26" s="180"/>
      <c r="J26" s="181"/>
      <c r="K26" s="724"/>
      <c r="L26" s="178"/>
      <c r="AC26" s="2336"/>
    </row>
    <row r="27" spans="1:29" ht="11.25" customHeight="1" x14ac:dyDescent="0.25">
      <c r="A27" s="801" t="s">
        <v>493</v>
      </c>
      <c r="B27" s="711"/>
      <c r="C27" s="177"/>
      <c r="D27" s="177"/>
      <c r="E27" s="178"/>
      <c r="F27" s="179"/>
      <c r="G27" s="177"/>
      <c r="H27" s="178"/>
      <c r="I27" s="180"/>
      <c r="J27" s="181"/>
      <c r="K27" s="724"/>
      <c r="L27" s="178"/>
      <c r="AC27" s="2336"/>
    </row>
    <row r="28" spans="1:29" ht="11.25" customHeight="1" x14ac:dyDescent="0.25">
      <c r="A28" s="801" t="s">
        <v>883</v>
      </c>
      <c r="B28" s="734"/>
      <c r="C28" s="177"/>
      <c r="D28" s="177"/>
      <c r="E28" s="178"/>
      <c r="F28" s="179"/>
      <c r="G28" s="177"/>
      <c r="H28" s="178"/>
      <c r="I28" s="180"/>
      <c r="J28" s="181"/>
      <c r="K28" s="724"/>
      <c r="L28" s="178"/>
      <c r="AC28" s="2336"/>
    </row>
    <row r="29" spans="1:29" ht="11.25" customHeight="1" x14ac:dyDescent="0.25">
      <c r="A29" s="164" t="s">
        <v>1127</v>
      </c>
      <c r="B29" s="711">
        <v>1</v>
      </c>
      <c r="C29" s="712">
        <f>SUMIFS(Sheet1!S71_PPPYearAmount,Sheet1!S71_A6Code,$AC:$AC)</f>
        <v>0</v>
      </c>
      <c r="D29" s="712">
        <f>SUMIFS(Sheet1!S71_PPYearAmount,Sheet1!S71_A6Code,$AC:$AC)</f>
        <v>0</v>
      </c>
      <c r="E29" s="717">
        <f>SUMIFS(Sheet1!S71_PYearAmount,Sheet1!S71_A6Code,$AC:$AC)</f>
        <v>0</v>
      </c>
      <c r="F29" s="718">
        <f>SUMIFS(Sheet1!S71_OriginalBudAmnt,Sheet1!S71_A6Code,$AC:$AC)</f>
        <v>0</v>
      </c>
      <c r="G29" s="712">
        <f>SUMIFS(Sheet1!S71_AdjustmentBudAmnt,Sheet1!S71_A6Code,$AC:$AC)</f>
        <v>0</v>
      </c>
      <c r="H29" s="717">
        <f>SUMIFS(Sheet1!S71_AdjustmentBudAmnt,Sheet1!S71_A6Code,$AC:$AC)</f>
        <v>0</v>
      </c>
      <c r="I29" s="719">
        <f>SUMIFS(Sheet1!CD:CD,Sheet1!S71_A6Code,$AC:$AC)</f>
        <v>0</v>
      </c>
      <c r="J29" s="725">
        <f>SUMIFS(Sheet1!S71_ASBudgetAmount,Sheet1!S71_A6Code,$AC:$AC)</f>
        <v>0</v>
      </c>
      <c r="K29" s="714">
        <f>SUMIFS(Sheet1!S71_OY1BudgetAmount,Sheet1!S71_A6Code,$AC:$AC)</f>
        <v>0</v>
      </c>
      <c r="L29" s="717">
        <f>SUMIFS(Sheet1!S71_OY2BudgetAmount,Sheet1!S71_A6Code,$AC:$AC)</f>
        <v>0</v>
      </c>
      <c r="AC29" s="2337" t="s">
        <v>2783</v>
      </c>
    </row>
    <row r="30" spans="1:29" ht="11.25" customHeight="1" x14ac:dyDescent="0.25">
      <c r="A30" s="164" t="s">
        <v>1115</v>
      </c>
      <c r="B30" s="711">
        <v>4</v>
      </c>
      <c r="C30" s="177">
        <f>'SA3'!C127</f>
        <v>0</v>
      </c>
      <c r="D30" s="177">
        <f>'SA3'!D127</f>
        <v>0</v>
      </c>
      <c r="E30" s="72">
        <f>'SA3'!E127</f>
        <v>0</v>
      </c>
      <c r="F30" s="179">
        <f>'SA3'!F127</f>
        <v>0</v>
      </c>
      <c r="G30" s="177">
        <f>'SA3'!G127</f>
        <v>0</v>
      </c>
      <c r="H30" s="178">
        <f>'SA3'!H127</f>
        <v>0</v>
      </c>
      <c r="I30" s="180">
        <f>'SA3'!I127</f>
        <v>0</v>
      </c>
      <c r="J30" s="181">
        <f>'SA3'!J127</f>
        <v>0</v>
      </c>
      <c r="K30" s="724">
        <f>'SA3'!K127</f>
        <v>0</v>
      </c>
      <c r="L30" s="178">
        <f>'SA3'!L127</f>
        <v>0</v>
      </c>
      <c r="AC30" s="2337" t="s">
        <v>2784</v>
      </c>
    </row>
    <row r="31" spans="1:29" ht="11.25" customHeight="1" x14ac:dyDescent="0.25">
      <c r="A31" s="164" t="s">
        <v>1320</v>
      </c>
      <c r="B31" s="711"/>
      <c r="C31" s="712">
        <f>SUMIFS(Sheet1!S71_PPPYearAmount,Sheet1!S71_A6Code,$AC:$AC)</f>
        <v>73728</v>
      </c>
      <c r="D31" s="712">
        <f>SUMIFS(Sheet1!S71_PPYearAmount,Sheet1!S71_A6Code,$AC:$AC)</f>
        <v>71200</v>
      </c>
      <c r="E31" s="717">
        <f>SUMIFS(Sheet1!S71_PYearAmount,Sheet1!S71_A6Code,$AC:$AC)</f>
        <v>71200</v>
      </c>
      <c r="F31" s="718">
        <f>-SUMIFS(Sheet1!S71_OriginalBudAmnt,Sheet1!S71_A6Code,$AC:$AC)</f>
        <v>0</v>
      </c>
      <c r="G31" s="712">
        <f>-SUMIFS(Sheet1!S71_AdjustmentBudAmnt,Sheet1!S71_A6Code,$AC:$AC)</f>
        <v>0</v>
      </c>
      <c r="H31" s="717">
        <f>-SUMIFS(Sheet1!S71_AdjustmentBudAmnt,Sheet1!S71_A6Code,$AC:$AC)</f>
        <v>0</v>
      </c>
      <c r="I31" s="719">
        <f>SUMIFS(Sheet1!CD:CD,Sheet1!S71_A6Code,$AC:$AC)</f>
        <v>71200</v>
      </c>
      <c r="J31" s="725">
        <f>-SUMIFS(Sheet1!S71_ASBudgetAmount,Sheet1!S71_A6Code,$AC:$AC)</f>
        <v>0</v>
      </c>
      <c r="K31" s="714">
        <f>-SUMIFS(Sheet1!S71_OY1BudgetAmount,Sheet1!S71_A6Code,$AC:$AC)</f>
        <v>0</v>
      </c>
      <c r="L31" s="717">
        <f>-SUMIFS(Sheet1!S71_OY2BudgetAmount,Sheet1!S71_A6Code,$AC:$AC)</f>
        <v>0</v>
      </c>
      <c r="M31" s="322"/>
      <c r="AC31" s="2337" t="s">
        <v>2770</v>
      </c>
    </row>
    <row r="32" spans="1:29" ht="11.25" customHeight="1" x14ac:dyDescent="0.25">
      <c r="A32" s="164" t="s">
        <v>601</v>
      </c>
      <c r="B32" s="711">
        <v>4</v>
      </c>
      <c r="C32" s="177">
        <f>'SA3'!C134</f>
        <v>12885549</v>
      </c>
      <c r="D32" s="177">
        <f>'SA3'!D134</f>
        <v>13194372</v>
      </c>
      <c r="E32" s="72">
        <f>'SA3'!E134</f>
        <v>13139398</v>
      </c>
      <c r="F32" s="73">
        <f>'SA3'!F134</f>
        <v>352812</v>
      </c>
      <c r="G32" s="177">
        <f>'SA3'!G134</f>
        <v>4520776</v>
      </c>
      <c r="H32" s="178">
        <f>'SA3'!H134</f>
        <v>4520776</v>
      </c>
      <c r="I32" s="180">
        <f>'SA3'!I134</f>
        <v>-22803050</v>
      </c>
      <c r="J32" s="181">
        <f>'SA3'!J134</f>
        <v>5408912</v>
      </c>
      <c r="K32" s="724">
        <f>'SA3'!K134</f>
        <v>6265817</v>
      </c>
      <c r="L32" s="178">
        <f>'SA3'!L134</f>
        <v>529564</v>
      </c>
      <c r="M32" s="322"/>
      <c r="AC32" s="2337" t="s">
        <v>2771</v>
      </c>
    </row>
    <row r="33" spans="1:29" ht="11.25" customHeight="1" x14ac:dyDescent="0.25">
      <c r="A33" s="164" t="s">
        <v>884</v>
      </c>
      <c r="B33" s="711"/>
      <c r="C33" s="712">
        <f>SUMIFS(Sheet1!S71_PPPYearAmount,Sheet1!S71_A6Code,$AC:$AC)</f>
        <v>0</v>
      </c>
      <c r="D33" s="712">
        <f>SUMIFS(Sheet1!S71_PPYearAmount,Sheet1!S71_A6Code,$AC:$AC)</f>
        <v>0</v>
      </c>
      <c r="E33" s="717">
        <f>SUMIFS(Sheet1!S71_PYearAmount,Sheet1!S71_A6Code,$AC:$AC)</f>
        <v>0</v>
      </c>
      <c r="F33" s="718">
        <f>-SUMIFS(Sheet1!S71_OriginalBudAmnt,Sheet1!S71_A6Code,$AC:$AC)</f>
        <v>2608095</v>
      </c>
      <c r="G33" s="712">
        <f>-SUMIFS(Sheet1!S71_AdjustmentBudAmnt,Sheet1!S71_A6Code,$AC:$AC)</f>
        <v>2576332</v>
      </c>
      <c r="H33" s="717">
        <f>-SUMIFS(Sheet1!S71_AdjustmentBudAmnt,Sheet1!S71_A6Code,$AC:$AC)</f>
        <v>2576332</v>
      </c>
      <c r="I33" s="719">
        <f>SUMIFS(Sheet1!CD:CD,Sheet1!S71_A6Code,$AC:$AC)</f>
        <v>0</v>
      </c>
      <c r="J33" s="725">
        <f>-SUMIFS(Sheet1!S71_ASBudgetAmount,Sheet1!S71_A6Code,$AC:$AC)</f>
        <v>2576332</v>
      </c>
      <c r="K33" s="714">
        <f>-SUMIFS(Sheet1!S71_OY1BudgetAmount,Sheet1!S71_A6Code,$AC:$AC)</f>
        <v>2576332</v>
      </c>
      <c r="L33" s="717">
        <f>-SUMIFS(Sheet1!S71_OY2BudgetAmount,Sheet1!S71_A6Code,$AC:$AC)</f>
        <v>2576332</v>
      </c>
      <c r="M33" s="322"/>
      <c r="AC33" s="2337" t="s">
        <v>2785</v>
      </c>
    </row>
    <row r="34" spans="1:29" ht="11.25" customHeight="1" x14ac:dyDescent="0.25">
      <c r="A34" s="811" t="s">
        <v>496</v>
      </c>
      <c r="B34" s="812"/>
      <c r="C34" s="264">
        <f t="shared" ref="C34:L34" si="3">SUM(C29:C33)</f>
        <v>12959277</v>
      </c>
      <c r="D34" s="264">
        <f t="shared" si="3"/>
        <v>13265572</v>
      </c>
      <c r="E34" s="265">
        <f t="shared" si="3"/>
        <v>13210598</v>
      </c>
      <c r="F34" s="266">
        <f t="shared" si="3"/>
        <v>2960907</v>
      </c>
      <c r="G34" s="264">
        <f t="shared" si="3"/>
        <v>7097108</v>
      </c>
      <c r="H34" s="265">
        <f t="shared" si="3"/>
        <v>7097108</v>
      </c>
      <c r="I34" s="267">
        <f t="shared" si="3"/>
        <v>-22731850</v>
      </c>
      <c r="J34" s="268">
        <f t="shared" si="3"/>
        <v>7985244</v>
      </c>
      <c r="K34" s="813">
        <f t="shared" si="3"/>
        <v>8842149</v>
      </c>
      <c r="L34" s="265">
        <f t="shared" si="3"/>
        <v>3105896</v>
      </c>
      <c r="M34" s="322"/>
      <c r="AC34" s="2336"/>
    </row>
    <row r="35" spans="1:29" ht="4.9000000000000004" customHeight="1" x14ac:dyDescent="0.25">
      <c r="A35" s="176"/>
      <c r="B35" s="711"/>
      <c r="C35" s="177"/>
      <c r="D35" s="177"/>
      <c r="E35" s="178"/>
      <c r="F35" s="179"/>
      <c r="G35" s="177"/>
      <c r="H35" s="178"/>
      <c r="I35" s="180"/>
      <c r="J35" s="181"/>
      <c r="K35" s="724"/>
      <c r="L35" s="178"/>
      <c r="M35" s="322"/>
      <c r="AC35" s="2336"/>
    </row>
    <row r="36" spans="1:29" ht="11.25" customHeight="1" x14ac:dyDescent="0.25">
      <c r="A36" s="801" t="s">
        <v>494</v>
      </c>
      <c r="B36" s="711"/>
      <c r="C36" s="177"/>
      <c r="D36" s="177"/>
      <c r="E36" s="178"/>
      <c r="F36" s="179"/>
      <c r="G36" s="177"/>
      <c r="H36" s="178"/>
      <c r="I36" s="180"/>
      <c r="J36" s="181"/>
      <c r="K36" s="724"/>
      <c r="L36" s="178"/>
      <c r="M36" s="322"/>
      <c r="AC36" s="2336"/>
    </row>
    <row r="37" spans="1:29" ht="11.25" customHeight="1" x14ac:dyDescent="0.25">
      <c r="A37" s="164" t="s">
        <v>1115</v>
      </c>
      <c r="B37" s="711"/>
      <c r="C37" s="177">
        <f>'SA3'!C139</f>
        <v>0</v>
      </c>
      <c r="D37" s="177">
        <f>'SA3'!D139</f>
        <v>0</v>
      </c>
      <c r="E37" s="72">
        <f>'SA3'!E139</f>
        <v>0</v>
      </c>
      <c r="F37" s="179">
        <f>'SA3'!F139</f>
        <v>0</v>
      </c>
      <c r="G37" s="177">
        <f>'SA3'!G139</f>
        <v>0</v>
      </c>
      <c r="H37" s="178">
        <f>'SA3'!H139</f>
        <v>0</v>
      </c>
      <c r="I37" s="180">
        <f>'SA3'!I139</f>
        <v>0</v>
      </c>
      <c r="J37" s="181">
        <f>'SA3'!J139</f>
        <v>0</v>
      </c>
      <c r="K37" s="724">
        <f>'SA3'!K139</f>
        <v>0</v>
      </c>
      <c r="L37" s="178">
        <f>'SA3'!L139</f>
        <v>0</v>
      </c>
      <c r="M37" s="322"/>
      <c r="AC37" s="2337" t="s">
        <v>2698</v>
      </c>
    </row>
    <row r="38" spans="1:29" ht="11.25" customHeight="1" x14ac:dyDescent="0.25">
      <c r="A38" s="164" t="s">
        <v>884</v>
      </c>
      <c r="B38" s="711"/>
      <c r="C38" s="177">
        <f>'SA3'!C146</f>
        <v>2157960</v>
      </c>
      <c r="D38" s="177">
        <f>'SA3'!D146</f>
        <v>2590571</v>
      </c>
      <c r="E38" s="72">
        <f>'SA3'!E146</f>
        <v>2374000</v>
      </c>
      <c r="F38" s="179">
        <f>'SA3'!F146</f>
        <v>5110195</v>
      </c>
      <c r="G38" s="177">
        <f>'SA3'!G146</f>
        <v>6734332</v>
      </c>
      <c r="H38" s="178">
        <f>'SA3'!H146</f>
        <v>6734332</v>
      </c>
      <c r="I38" s="180">
        <f>'SA3'!I146</f>
        <v>-2374000</v>
      </c>
      <c r="J38" s="181">
        <f>'SA3'!J146</f>
        <v>4158000</v>
      </c>
      <c r="K38" s="724">
        <f>'SA3'!K146</f>
        <v>4158000</v>
      </c>
      <c r="L38" s="178">
        <f>'SA3'!L146</f>
        <v>4158000</v>
      </c>
      <c r="M38" s="322"/>
      <c r="AC38" s="2337" t="s">
        <v>2786</v>
      </c>
    </row>
    <row r="39" spans="1:29" ht="11.25" customHeight="1" x14ac:dyDescent="0.25">
      <c r="A39" s="811" t="s">
        <v>495</v>
      </c>
      <c r="B39" s="815"/>
      <c r="C39" s="534">
        <f>SUM(C37:C38)</f>
        <v>2157960</v>
      </c>
      <c r="D39" s="535">
        <f>SUM(D37:D38)</f>
        <v>2590571</v>
      </c>
      <c r="E39" s="665">
        <f>SUM(E37:E38)</f>
        <v>2374000</v>
      </c>
      <c r="F39" s="666">
        <f t="shared" ref="F39:L39" si="4">SUM(F37:F38)</f>
        <v>5110195</v>
      </c>
      <c r="G39" s="535">
        <f t="shared" si="4"/>
        <v>6734332</v>
      </c>
      <c r="H39" s="665">
        <f t="shared" si="4"/>
        <v>6734332</v>
      </c>
      <c r="I39" s="666">
        <f t="shared" si="4"/>
        <v>-2374000</v>
      </c>
      <c r="J39" s="668">
        <f t="shared" si="4"/>
        <v>4158000</v>
      </c>
      <c r="K39" s="534">
        <f>SUM(K37:K38)</f>
        <v>4158000</v>
      </c>
      <c r="L39" s="665">
        <f t="shared" si="4"/>
        <v>4158000</v>
      </c>
      <c r="AC39" s="2336"/>
    </row>
    <row r="40" spans="1:29" ht="11.25" customHeight="1" x14ac:dyDescent="0.25">
      <c r="A40" s="811" t="s">
        <v>936</v>
      </c>
      <c r="B40" s="812"/>
      <c r="C40" s="264">
        <f>C34+C39</f>
        <v>15117237</v>
      </c>
      <c r="D40" s="264">
        <f>D34+D39</f>
        <v>15856143</v>
      </c>
      <c r="E40" s="265">
        <f>E34+E39</f>
        <v>15584598</v>
      </c>
      <c r="F40" s="266">
        <f t="shared" ref="F40:L40" si="5">F34+F39</f>
        <v>8071102</v>
      </c>
      <c r="G40" s="264">
        <f t="shared" si="5"/>
        <v>13831440</v>
      </c>
      <c r="H40" s="265">
        <f t="shared" si="5"/>
        <v>13831440</v>
      </c>
      <c r="I40" s="267">
        <f t="shared" si="5"/>
        <v>-25105850</v>
      </c>
      <c r="J40" s="268">
        <f t="shared" si="5"/>
        <v>12143244</v>
      </c>
      <c r="K40" s="813">
        <f>K34+K39</f>
        <v>13000149</v>
      </c>
      <c r="L40" s="265">
        <f t="shared" si="5"/>
        <v>7263896</v>
      </c>
      <c r="AC40" s="2336"/>
    </row>
    <row r="41" spans="1:29" s="220" customFormat="1" ht="4.5" customHeight="1" x14ac:dyDescent="0.25">
      <c r="A41" s="176"/>
      <c r="B41" s="711"/>
      <c r="C41" s="177"/>
      <c r="D41" s="177"/>
      <c r="E41" s="178"/>
      <c r="F41" s="179"/>
      <c r="G41" s="177"/>
      <c r="H41" s="178"/>
      <c r="I41" s="180"/>
      <c r="J41" s="181"/>
      <c r="K41" s="724"/>
      <c r="L41" s="178"/>
      <c r="O41" s="58"/>
      <c r="AC41" s="2336"/>
    </row>
    <row r="42" spans="1:29" ht="11.25" customHeight="1" x14ac:dyDescent="0.25">
      <c r="A42" s="816" t="s">
        <v>500</v>
      </c>
      <c r="B42" s="796">
        <v>5</v>
      </c>
      <c r="C42" s="549">
        <f t="shared" ref="C42:L42" si="6">C25-C40</f>
        <v>186254822</v>
      </c>
      <c r="D42" s="549">
        <f t="shared" si="6"/>
        <v>218274613</v>
      </c>
      <c r="E42" s="817">
        <f t="shared" si="6"/>
        <v>233375529</v>
      </c>
      <c r="F42" s="818">
        <f t="shared" si="6"/>
        <v>222294023</v>
      </c>
      <c r="G42" s="549">
        <f t="shared" si="6"/>
        <v>247169496</v>
      </c>
      <c r="H42" s="817">
        <f t="shared" si="6"/>
        <v>247169496</v>
      </c>
      <c r="I42" s="819">
        <f t="shared" si="6"/>
        <v>400761519</v>
      </c>
      <c r="J42" s="820">
        <f t="shared" si="6"/>
        <v>241034614</v>
      </c>
      <c r="K42" s="821">
        <f t="shared" si="6"/>
        <v>176315465</v>
      </c>
      <c r="L42" s="817">
        <f t="shared" si="6"/>
        <v>162884063</v>
      </c>
      <c r="AC42" s="2336"/>
    </row>
    <row r="43" spans="1:29" ht="4.9000000000000004" customHeight="1" x14ac:dyDescent="0.25">
      <c r="A43" s="176"/>
      <c r="B43" s="711"/>
      <c r="C43" s="177"/>
      <c r="D43" s="177"/>
      <c r="E43" s="178"/>
      <c r="F43" s="179"/>
      <c r="G43" s="177"/>
      <c r="H43" s="178"/>
      <c r="I43" s="180"/>
      <c r="J43" s="181"/>
      <c r="K43" s="724"/>
      <c r="L43" s="178"/>
      <c r="AC43" s="2336"/>
    </row>
    <row r="44" spans="1:29" ht="11.25" customHeight="1" x14ac:dyDescent="0.25">
      <c r="A44" s="664" t="s">
        <v>499</v>
      </c>
      <c r="B44" s="711"/>
      <c r="C44" s="177"/>
      <c r="D44" s="177"/>
      <c r="E44" s="178"/>
      <c r="F44" s="179"/>
      <c r="G44" s="177"/>
      <c r="H44" s="178"/>
      <c r="I44" s="180"/>
      <c r="J44" s="181"/>
      <c r="K44" s="724"/>
      <c r="L44" s="178"/>
      <c r="AC44" s="2336"/>
    </row>
    <row r="45" spans="1:29" ht="11.25" customHeight="1" x14ac:dyDescent="0.25">
      <c r="A45" s="164" t="s">
        <v>363</v>
      </c>
      <c r="B45" s="711"/>
      <c r="C45" s="712">
        <f>SUMIFS(Sheet1!S71_PPPYearAmount,Sheet1!S71_A6Code,$AC:$AC)</f>
        <v>139308231</v>
      </c>
      <c r="D45" s="712">
        <f>SUMIFS(Sheet1!S71_PPYearAmount,Sheet1!S71_A6Code,$AC:$AC)</f>
        <v>144864424</v>
      </c>
      <c r="E45" s="717">
        <f>SUMIFS(Sheet1!S71_PYearAmount,Sheet1!S71_A6Code,$AC:$AC)</f>
        <v>145557824</v>
      </c>
      <c r="F45" s="718">
        <f>-SUMIFS(Sheet1!S71_OriginalBudAmnt,Sheet1!S71_A6Code,$AC:$AC)-SUMIFS(Sheet1!S71_OriginalBudAmnt,Sheet1!S71_ItemType,$AD$6)-SUMIFS(Sheet1!S71_OriginalBudAmnt,Sheet1!S71_ItemType,$AD$7)</f>
        <v>240175353</v>
      </c>
      <c r="G45" s="712">
        <f>-SUMIFS(Sheet1!S71_AdjustmentBudAmnt,Sheet1!S71_A6Code,$AC:$AC)-SUMIFS(Sheet1!S71_AdjustmentBudAmnt,Sheet1!S71_ItemType,$AD$6)-SUMIFS(Sheet1!S71_AdjustmentBudAmnt,Sheet1!S71_ItemType,$AD$7)</f>
        <v>247169496</v>
      </c>
      <c r="H45" s="717">
        <f>-SUMIFS(Sheet1!S71_AdjustmentBudAmnt,Sheet1!S71_A6Code,$AC:$AC)-SUMIFS(Sheet1!S71_AdjustmentBudAmnt,Sheet1!S71_ItemType,$AD$6)-SUMIFS(Sheet1!S71_AdjustmentBudAmnt,Sheet1!S71_ItemType,$AD$7)</f>
        <v>247169496</v>
      </c>
      <c r="I45" s="719">
        <f>-SUMIFS(Sheet1!CD:CD,Sheet1!S71_A6Code,$AC:$AC)-SUMIFS(Sheet1!CD:CD,Sheet1!S71_ItemType,$AD$6)-SUMIFS(Sheet1!CD:CD,Sheet1!S71_ItemType,$AD$7)</f>
        <v>-381095714</v>
      </c>
      <c r="J45" s="725">
        <f>-SUMIFS(Sheet1!S71_ASBudgetAmount,Sheet1!S71_A6Code,$AC:$AC)-SUMIFS(Sheet1!S71_ASBudgetAmount,Sheet1!S71_ItemType,$AD$6)-SUMIFS(Sheet1!S71_ASBudgetAmount,Sheet1!S71_ItemType,$AD$7)</f>
        <v>241034614</v>
      </c>
      <c r="K45" s="714">
        <f>-SUMIFS(Sheet1!S71_OY1BudgetAmount,Sheet1!S71_A6Code,$AC:$AC)-SUMIFS(Sheet1!S71_OY1BudgetAmount,Sheet1!S71_ItemType,$AD$6)-SUMIFS(Sheet1!S71_OY1BudgetAmount,Sheet1!S71_ItemType,$AD$7)</f>
        <v>176315465</v>
      </c>
      <c r="L45" s="717">
        <f>-SUMIFS(Sheet1!S71_OY2BudgetAmount,Sheet1!S71_A6Code,$AC:$AC)-SUMIFS(Sheet1!S71_OY2BudgetAmount,Sheet1!S71_ItemType,$AD$6)-SUMIFS(Sheet1!S71_OY2BudgetAmount,Sheet1!S71_ItemType,$AD$7)</f>
        <v>162884063</v>
      </c>
      <c r="AC45" s="2337" t="s">
        <v>2787</v>
      </c>
    </row>
    <row r="46" spans="1:29" ht="11.25" customHeight="1" x14ac:dyDescent="0.25">
      <c r="A46" s="164" t="s">
        <v>638</v>
      </c>
      <c r="B46" s="711">
        <v>4</v>
      </c>
      <c r="C46" s="177">
        <f>'SA3'!C165</f>
        <v>0</v>
      </c>
      <c r="D46" s="177">
        <f>'SA3'!D165</f>
        <v>0</v>
      </c>
      <c r="E46" s="72">
        <f>'SA3'!E165</f>
        <v>0</v>
      </c>
      <c r="F46" s="73">
        <f>'SA3'!F165</f>
        <v>0</v>
      </c>
      <c r="G46" s="177">
        <f>'SA3'!G165</f>
        <v>0</v>
      </c>
      <c r="H46" s="178">
        <f>'SA3'!H165</f>
        <v>0</v>
      </c>
      <c r="I46" s="180">
        <f>'SA3'!I165</f>
        <v>0</v>
      </c>
      <c r="J46" s="181">
        <f>'SA3'!J165</f>
        <v>0</v>
      </c>
      <c r="K46" s="724">
        <f>'SA3'!K165</f>
        <v>0</v>
      </c>
      <c r="L46" s="178">
        <f>'SA3'!L165</f>
        <v>0</v>
      </c>
      <c r="AC46" s="2337" t="s">
        <v>2788</v>
      </c>
    </row>
    <row r="47" spans="1:29" ht="1.9" customHeight="1" x14ac:dyDescent="0.25">
      <c r="A47" s="164"/>
      <c r="B47" s="711"/>
      <c r="C47" s="71"/>
      <c r="D47" s="71"/>
      <c r="E47" s="72"/>
      <c r="F47" s="73"/>
      <c r="G47" s="71"/>
      <c r="H47" s="72"/>
      <c r="I47" s="74"/>
      <c r="J47" s="75"/>
      <c r="K47" s="656"/>
      <c r="L47" s="72"/>
      <c r="AC47" s="2336"/>
    </row>
    <row r="48" spans="1:29" x14ac:dyDescent="0.25">
      <c r="A48" s="182" t="s">
        <v>937</v>
      </c>
      <c r="B48" s="751">
        <v>5</v>
      </c>
      <c r="C48" s="185">
        <f>SUM(C45:C46)</f>
        <v>139308231</v>
      </c>
      <c r="D48" s="185">
        <f t="shared" ref="D48:L48" si="7">SUM(D45:D46)</f>
        <v>144864424</v>
      </c>
      <c r="E48" s="183">
        <f t="shared" si="7"/>
        <v>145557824</v>
      </c>
      <c r="F48" s="184">
        <f t="shared" si="7"/>
        <v>240175353</v>
      </c>
      <c r="G48" s="185">
        <f t="shared" si="7"/>
        <v>247169496</v>
      </c>
      <c r="H48" s="183">
        <f t="shared" si="7"/>
        <v>247169496</v>
      </c>
      <c r="I48" s="186">
        <f t="shared" si="7"/>
        <v>-381095714</v>
      </c>
      <c r="J48" s="187">
        <f t="shared" si="7"/>
        <v>241034614</v>
      </c>
      <c r="K48" s="822">
        <f t="shared" si="7"/>
        <v>176315465</v>
      </c>
      <c r="L48" s="183">
        <f t="shared" si="7"/>
        <v>162884063</v>
      </c>
      <c r="AC48" s="2336"/>
    </row>
    <row r="49" spans="1:29" x14ac:dyDescent="0.25">
      <c r="A49" s="188" t="str">
        <f>head27a</f>
        <v>References</v>
      </c>
      <c r="B49" s="150"/>
      <c r="C49" s="153"/>
      <c r="D49" s="153"/>
      <c r="E49" s="153"/>
      <c r="F49" s="153"/>
      <c r="G49" s="153"/>
      <c r="H49" s="153"/>
      <c r="I49" s="153"/>
      <c r="J49" s="153"/>
      <c r="K49" s="153"/>
      <c r="L49" s="153"/>
      <c r="AC49" s="2338"/>
    </row>
    <row r="50" spans="1:29" x14ac:dyDescent="0.25">
      <c r="A50" s="2463" t="s">
        <v>1271</v>
      </c>
      <c r="B50" s="2463"/>
      <c r="C50" s="2463"/>
      <c r="D50" s="2463"/>
      <c r="E50" s="2463"/>
      <c r="F50" s="2463"/>
      <c r="G50" s="2463"/>
      <c r="H50" s="2463"/>
      <c r="I50" s="2463"/>
      <c r="J50" s="2463"/>
      <c r="K50" s="2463"/>
      <c r="L50" s="2463"/>
      <c r="AC50" s="2339"/>
    </row>
    <row r="51" spans="1:29" ht="12.75" customHeight="1" x14ac:dyDescent="0.25">
      <c r="A51" s="151" t="s">
        <v>916</v>
      </c>
      <c r="B51" s="151"/>
      <c r="C51" s="151"/>
      <c r="D51" s="151"/>
      <c r="E51" s="151"/>
      <c r="F51" s="151"/>
      <c r="G51" s="151"/>
      <c r="H51" s="151"/>
      <c r="I51" s="151"/>
      <c r="J51" s="151"/>
      <c r="K51" s="151"/>
      <c r="L51" s="151"/>
      <c r="AC51" s="2339"/>
    </row>
    <row r="52" spans="1:29" ht="12.75" customHeight="1" x14ac:dyDescent="0.25">
      <c r="A52" s="151" t="s">
        <v>1573</v>
      </c>
      <c r="B52" s="151"/>
      <c r="C52" s="151"/>
      <c r="D52" s="151"/>
      <c r="E52" s="151"/>
      <c r="F52" s="151"/>
      <c r="G52" s="151"/>
      <c r="H52" s="151"/>
      <c r="I52" s="151"/>
      <c r="J52" s="151"/>
      <c r="K52" s="151"/>
      <c r="L52" s="151"/>
      <c r="AC52" s="2339"/>
    </row>
    <row r="53" spans="1:29" ht="12.75" customHeight="1" x14ac:dyDescent="0.25">
      <c r="A53" s="151" t="s">
        <v>384</v>
      </c>
      <c r="B53" s="151"/>
      <c r="C53" s="151"/>
      <c r="D53" s="151"/>
      <c r="E53" s="125"/>
      <c r="F53" s="125"/>
      <c r="G53" s="151"/>
      <c r="H53" s="151"/>
      <c r="I53" s="151"/>
      <c r="J53" s="151"/>
      <c r="K53" s="151"/>
      <c r="L53" s="151"/>
      <c r="AC53" s="2339"/>
    </row>
    <row r="54" spans="1:29" ht="11.25" customHeight="1" x14ac:dyDescent="0.25">
      <c r="A54" s="151" t="s">
        <v>114</v>
      </c>
      <c r="B54" s="150"/>
      <c r="C54" s="152"/>
      <c r="D54" s="152"/>
      <c r="E54" s="153"/>
      <c r="F54" s="153"/>
      <c r="G54" s="153"/>
      <c r="H54" s="153"/>
      <c r="I54" s="153"/>
      <c r="J54" s="153"/>
      <c r="K54" s="153"/>
      <c r="L54" s="153"/>
      <c r="AC54" s="2339"/>
    </row>
    <row r="55" spans="1:29" ht="11.25" customHeight="1" x14ac:dyDescent="0.25">
      <c r="A55" s="219" t="s">
        <v>248</v>
      </c>
      <c r="B55" s="150"/>
      <c r="C55" s="222" t="str">
        <f>IF((C42-C48)=0,0,"Unbalanced")</f>
        <v>Unbalanced</v>
      </c>
      <c r="D55" s="222" t="str">
        <f t="shared" ref="D55:L55" si="8">IF((D42-D48)=0,0,"Unbalanced")</f>
        <v>Unbalanced</v>
      </c>
      <c r="E55" s="222" t="str">
        <f t="shared" si="8"/>
        <v>Unbalanced</v>
      </c>
      <c r="F55" s="222" t="str">
        <f t="shared" si="8"/>
        <v>Unbalanced</v>
      </c>
      <c r="G55" s="222">
        <f t="shared" si="8"/>
        <v>0</v>
      </c>
      <c r="H55" s="222">
        <f t="shared" si="8"/>
        <v>0</v>
      </c>
      <c r="I55" s="222" t="str">
        <f t="shared" si="8"/>
        <v>Unbalanced</v>
      </c>
      <c r="J55" s="222">
        <f t="shared" si="8"/>
        <v>0</v>
      </c>
      <c r="K55" s="222">
        <f t="shared" si="8"/>
        <v>0</v>
      </c>
      <c r="L55" s="222">
        <f t="shared" si="8"/>
        <v>0</v>
      </c>
      <c r="M55" s="220"/>
      <c r="N55" s="220"/>
      <c r="AC55" s="2340"/>
    </row>
    <row r="56" spans="1:29" ht="11.25" customHeight="1" x14ac:dyDescent="0.25">
      <c r="AC56" s="2340"/>
    </row>
    <row r="57" spans="1:29" ht="11.25" customHeight="1" x14ac:dyDescent="0.25">
      <c r="B57" s="58"/>
      <c r="AC57" s="2340"/>
    </row>
    <row r="58" spans="1:29" ht="11.25" customHeight="1" x14ac:dyDescent="0.25">
      <c r="B58" s="58"/>
      <c r="AC58" s="2340"/>
    </row>
    <row r="59" spans="1:29" ht="11.25" customHeight="1" x14ac:dyDescent="0.25">
      <c r="B59" s="58"/>
      <c r="AC59" s="2340"/>
    </row>
    <row r="60" spans="1:29" ht="11.25" customHeight="1" x14ac:dyDescent="0.25">
      <c r="B60" s="58"/>
      <c r="AC60" s="2340"/>
    </row>
    <row r="61" spans="1:29" ht="11.25" customHeight="1" x14ac:dyDescent="0.25">
      <c r="AC61" s="2340"/>
    </row>
    <row r="62" spans="1:29" ht="11.25" customHeight="1" x14ac:dyDescent="0.25">
      <c r="AC62" s="2340"/>
    </row>
    <row r="63" spans="1:29" ht="11.25" customHeight="1" x14ac:dyDescent="0.25">
      <c r="AC63" s="2340"/>
    </row>
    <row r="64" spans="1:29" ht="11.25" customHeight="1" x14ac:dyDescent="0.25">
      <c r="AC64" s="2340"/>
    </row>
    <row r="65" spans="2:29" ht="11.25" customHeight="1" x14ac:dyDescent="0.25">
      <c r="AC65" s="2340"/>
    </row>
    <row r="66" spans="2:29" ht="11.25" customHeight="1" x14ac:dyDescent="0.25">
      <c r="AC66" s="2340"/>
    </row>
    <row r="67" spans="2:29" ht="11.25" customHeight="1" x14ac:dyDescent="0.25">
      <c r="AC67" s="2340"/>
    </row>
    <row r="68" spans="2:29" ht="11.25" customHeight="1" x14ac:dyDescent="0.25">
      <c r="AC68" s="2340"/>
    </row>
    <row r="69" spans="2:29" ht="11.25" customHeight="1" x14ac:dyDescent="0.25">
      <c r="AC69" s="2340"/>
    </row>
    <row r="70" spans="2:29" ht="11.25" customHeight="1" x14ac:dyDescent="0.25">
      <c r="AC70" s="2340"/>
    </row>
    <row r="71" spans="2:29" s="296" customFormat="1" ht="11.25" customHeight="1" x14ac:dyDescent="0.25">
      <c r="B71" s="441"/>
      <c r="C71" s="823"/>
      <c r="D71" s="824"/>
      <c r="E71" s="824"/>
      <c r="F71" s="824"/>
      <c r="G71" s="824"/>
      <c r="H71" s="824"/>
      <c r="I71" s="824"/>
      <c r="J71" s="824"/>
      <c r="K71" s="824"/>
      <c r="L71" s="824"/>
      <c r="AC71" s="2341"/>
    </row>
    <row r="72" spans="2:29" ht="11.25" customHeight="1" x14ac:dyDescent="0.25">
      <c r="AC72" s="2340"/>
    </row>
    <row r="73" spans="2:29" ht="11.25" customHeight="1" x14ac:dyDescent="0.25">
      <c r="AC73" s="2340"/>
    </row>
    <row r="74" spans="2:29" ht="11.25" customHeight="1" x14ac:dyDescent="0.25">
      <c r="AC74" s="2340"/>
    </row>
    <row r="75" spans="2:29" ht="11.25" customHeight="1" x14ac:dyDescent="0.25">
      <c r="AC75" s="2340"/>
    </row>
    <row r="76" spans="2:29" ht="11.25" customHeight="1" x14ac:dyDescent="0.25">
      <c r="AC76" s="2340"/>
    </row>
    <row r="77" spans="2:29" ht="11.25" customHeight="1" x14ac:dyDescent="0.25">
      <c r="AC77" s="2340"/>
    </row>
    <row r="78" spans="2:29" ht="11.25" customHeight="1" x14ac:dyDescent="0.25">
      <c r="AC78" s="2340"/>
    </row>
    <row r="79" spans="2:29" ht="11.25" customHeight="1" x14ac:dyDescent="0.25">
      <c r="AC79" s="2340"/>
    </row>
    <row r="80" spans="2:29" ht="11.25" customHeight="1" x14ac:dyDescent="0.25">
      <c r="AC80" s="2340"/>
    </row>
    <row r="81" ht="11.25" customHeight="1" x14ac:dyDescent="0.25"/>
    <row r="82" ht="11.25" customHeight="1" x14ac:dyDescent="0.25"/>
    <row r="83" ht="11.25" customHeight="1" x14ac:dyDescent="0.25"/>
    <row r="84" ht="11.25" customHeight="1" x14ac:dyDescent="0.25"/>
    <row r="85" ht="11.25" customHeight="1" x14ac:dyDescent="0.25"/>
    <row r="86" ht="11.25" customHeight="1" x14ac:dyDescent="0.25"/>
    <row r="87" ht="11.25" customHeight="1" x14ac:dyDescent="0.25"/>
    <row r="88" ht="11.25" customHeight="1" x14ac:dyDescent="0.25"/>
    <row r="89" ht="11.25" customHeight="1" x14ac:dyDescent="0.25"/>
    <row r="90" ht="11.25" customHeight="1" x14ac:dyDescent="0.25"/>
  </sheetData>
  <sheetProtection algorithmName="SHA-512" hashValue="lMGI5kx4A+2gJZSrJGSU7rGvFTIV7LYg71b8t42BwSANHWJbAzufvCFOtBSyyg/bvQepF2Wq3Smtk19WoaSesg==" saltValue="KJBRFN0UJywv9JlBK99Qrg==" spinCount="100000" sheet="1" objects="1" scenarios="1"/>
  <mergeCells count="3">
    <mergeCell ref="A50:L50"/>
    <mergeCell ref="J2:L2"/>
    <mergeCell ref="F2:I2"/>
  </mergeCells>
  <phoneticPr fontId="7" type="noConversion"/>
  <conditionalFormatting sqref="C71:L71">
    <cfRule type="cellIs" dxfId="1" priority="2" stopIfTrue="1" operator="greaterThan">
      <formula>" –  "</formula>
    </cfRule>
  </conditionalFormatting>
  <conditionalFormatting sqref="C55:L55">
    <cfRule type="cellIs" dxfId="0" priority="1" stopIfTrue="1" operator="notEqual">
      <formula>0</formula>
    </cfRule>
  </conditionalFormatting>
  <printOptions horizontalCentered="1"/>
  <pageMargins left="0" right="0" top="0.78740157480314965" bottom="0.59055118110236227" header="0.51181102362204722" footer="0.39370078740157483"/>
  <pageSetup paperSize="9" scale="81"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5">
    <pageSetUpPr fitToPage="1"/>
  </sheetPr>
  <dimension ref="A1:AD79"/>
  <sheetViews>
    <sheetView showGridLines="0" zoomScale="110" zoomScaleNormal="110" workbookViewId="0">
      <pane xSplit="2" ySplit="3" topLeftCell="D22" activePane="bottomRight" state="frozen"/>
      <selection pane="topRight"/>
      <selection pane="bottomLeft"/>
      <selection pane="bottomRight" activeCell="D21" sqref="D21"/>
    </sheetView>
  </sheetViews>
  <sheetFormatPr defaultColWidth="9.140625" defaultRowHeight="12.75" x14ac:dyDescent="0.25"/>
  <cols>
    <col min="1" max="1" width="30.7109375" style="58" customWidth="1"/>
    <col min="2" max="2" width="3" style="55" customWidth="1"/>
    <col min="3" max="8" width="9.28515625" style="58" customWidth="1"/>
    <col min="9" max="9" width="9.140625" style="58" customWidth="1"/>
    <col min="10" max="12" width="9.28515625" style="58" customWidth="1"/>
    <col min="13" max="13" width="9.7109375" style="58" customWidth="1"/>
    <col min="14" max="14" width="9.42578125" style="58" customWidth="1"/>
    <col min="15" max="15" width="9.7109375" style="58" customWidth="1"/>
    <col min="16" max="18" width="9.42578125" style="58" customWidth="1"/>
    <col min="19" max="19" width="9.7109375" style="58" customWidth="1"/>
    <col min="20" max="22" width="9.42578125" style="58" customWidth="1"/>
    <col min="23" max="24" width="9.7109375" style="58" customWidth="1"/>
    <col min="25" max="27" width="9.140625" style="58" customWidth="1"/>
    <col min="28" max="28" width="10.7109375" style="1514" hidden="1" customWidth="1"/>
    <col min="29" max="29" width="4.42578125" style="2312" hidden="1" customWidth="1"/>
    <col min="30" max="30" width="5.140625" style="1514" hidden="1" customWidth="1"/>
    <col min="31" max="16384" width="9.140625" style="58"/>
  </cols>
  <sheetData>
    <row r="1" spans="1:30" s="93" customFormat="1" x14ac:dyDescent="0.2">
      <c r="A1" s="92" t="str">
        <f>muni&amp;" - "&amp;Approve7</f>
        <v>KZN226 Mkhambathini - Table A7 Budgeted Cash Flows</v>
      </c>
      <c r="B1" s="92"/>
      <c r="C1" s="92"/>
      <c r="D1" s="92"/>
      <c r="E1" s="92"/>
      <c r="F1" s="92"/>
      <c r="G1" s="92"/>
      <c r="H1" s="92"/>
      <c r="I1" s="92"/>
      <c r="J1" s="92"/>
      <c r="K1" s="92"/>
      <c r="L1" s="92"/>
      <c r="AB1" s="2373"/>
      <c r="AC1" s="2375"/>
      <c r="AD1" s="2373"/>
    </row>
    <row r="2" spans="1:30" ht="28.5" customHeight="1" x14ac:dyDescent="0.25">
      <c r="A2" s="696" t="str">
        <f>desc</f>
        <v>Description</v>
      </c>
      <c r="B2" s="155" t="str">
        <f>head27</f>
        <v>Ref</v>
      </c>
      <c r="C2" s="837" t="str">
        <f>head1b</f>
        <v>2017/18</v>
      </c>
      <c r="D2" s="837" t="str">
        <f>head1A</f>
        <v>2018/19</v>
      </c>
      <c r="E2" s="684" t="str">
        <f>Head1</f>
        <v>2019/20</v>
      </c>
      <c r="F2" s="2447" t="str">
        <f>Head2</f>
        <v>Current Year 2020/21</v>
      </c>
      <c r="G2" s="2448"/>
      <c r="H2" s="2448"/>
      <c r="I2" s="2448"/>
      <c r="J2" s="2450" t="str">
        <f>Head3</f>
        <v>2021/22 Medium Term Revenue &amp; Expenditure Framework</v>
      </c>
      <c r="K2" s="2451"/>
      <c r="L2" s="2452"/>
      <c r="AC2" s="2376"/>
    </row>
    <row r="3" spans="1:30" ht="25.5" x14ac:dyDescent="0.25">
      <c r="A3" s="156" t="s">
        <v>568</v>
      </c>
      <c r="B3" s="157"/>
      <c r="C3" s="698" t="str">
        <f>Head5</f>
        <v>Audited Outcome</v>
      </c>
      <c r="D3" s="698" t="str">
        <f>Head5</f>
        <v>Audited Outcome</v>
      </c>
      <c r="E3" s="94" t="str">
        <f>Head5</f>
        <v>Audited Outcome</v>
      </c>
      <c r="F3" s="825" t="str">
        <f>Head6</f>
        <v>Original Budget</v>
      </c>
      <c r="G3" s="527" t="str">
        <f>Head7</f>
        <v>Adjusted Budget</v>
      </c>
      <c r="H3" s="527" t="str">
        <f>Head8</f>
        <v>Full Year Forecast</v>
      </c>
      <c r="I3" s="528" t="str">
        <f>Head5b</f>
        <v>Pre-audit outcome</v>
      </c>
      <c r="J3" s="825" t="str">
        <f>Head9</f>
        <v>Budget Year 2021/22</v>
      </c>
      <c r="K3" s="527" t="str">
        <f>Head10</f>
        <v>Budget Year +1 2022/23</v>
      </c>
      <c r="L3" s="826" t="str">
        <f>Head11</f>
        <v>Budget Year +2 2023/24</v>
      </c>
      <c r="AC3" s="2376"/>
    </row>
    <row r="4" spans="1:30" ht="11.25" customHeight="1" x14ac:dyDescent="0.25">
      <c r="A4" s="801" t="s">
        <v>806</v>
      </c>
      <c r="B4" s="705"/>
      <c r="C4" s="81"/>
      <c r="D4" s="81"/>
      <c r="E4" s="760"/>
      <c r="F4" s="759"/>
      <c r="G4" s="81"/>
      <c r="H4" s="81"/>
      <c r="I4" s="758"/>
      <c r="J4" s="759"/>
      <c r="K4" s="81"/>
      <c r="L4" s="760"/>
      <c r="AC4" s="2376"/>
    </row>
    <row r="5" spans="1:30" ht="11.25" customHeight="1" x14ac:dyDescent="0.25">
      <c r="A5" s="664" t="s">
        <v>709</v>
      </c>
      <c r="B5" s="711"/>
      <c r="C5" s="177"/>
      <c r="D5" s="177"/>
      <c r="E5" s="388"/>
      <c r="F5" s="181"/>
      <c r="G5" s="177"/>
      <c r="H5" s="177"/>
      <c r="I5" s="178"/>
      <c r="J5" s="181"/>
      <c r="K5" s="177"/>
      <c r="L5" s="388"/>
      <c r="AC5" s="2376"/>
    </row>
    <row r="6" spans="1:30" ht="11.25" customHeight="1" x14ac:dyDescent="0.25">
      <c r="A6" s="104" t="s">
        <v>467</v>
      </c>
      <c r="B6" s="711"/>
      <c r="C6" s="712">
        <f>SUMIFS(Sheet1!S71_PPPYearAmount,Sheet1!S71_A7Code,$AC:$AC)</f>
        <v>0</v>
      </c>
      <c r="D6" s="712">
        <f>SUMIFS(Sheet1!S71_PPYearAmount,Sheet1!S71_A7Code,$AC:$AC)</f>
        <v>0</v>
      </c>
      <c r="E6" s="717">
        <f>SUMIFS(Sheet1!S71_PYearAmount,Sheet1!S71_A7Code,$AC:$AC)</f>
        <v>0</v>
      </c>
      <c r="F6" s="718">
        <f>SUMIFS(Sheet1!S71_OriginalBudAmnt,Sheet1!S71_A7Code,$AC:$AC)</f>
        <v>16814377</v>
      </c>
      <c r="G6" s="712">
        <f>SUMIFS(Sheet1!S71_AdjustmentBudAmnt,Sheet1!S71_A7Code,$AC:$AC)</f>
        <v>16814377</v>
      </c>
      <c r="H6" s="712">
        <f>SUMIFS(Sheet1!S71_AdjustmentBudAmnt,Sheet1!S71_A7Code,$AC:$AC)</f>
        <v>16814377</v>
      </c>
      <c r="I6" s="717">
        <f>SUMIFS(Sheet1!CD:CD,Sheet1!S71_A7Code,$AC:$AC)</f>
        <v>0</v>
      </c>
      <c r="J6" s="75">
        <f>'SA30'!N5</f>
        <v>17470140</v>
      </c>
      <c r="K6" s="71">
        <f>'SA30'!O5</f>
        <v>17886172</v>
      </c>
      <c r="L6" s="117">
        <f>'SA30'!P5</f>
        <v>19022273</v>
      </c>
      <c r="AC6" s="2343" t="s">
        <v>2765</v>
      </c>
    </row>
    <row r="7" spans="1:30" ht="11.25" customHeight="1" x14ac:dyDescent="0.25">
      <c r="A7" s="104" t="s">
        <v>1403</v>
      </c>
      <c r="B7" s="711"/>
      <c r="C7" s="712">
        <f>SUMIFS(Sheet1!S71_PPPYearAmount,Sheet1!S71_A7Code,$AC:$AC)</f>
        <v>0</v>
      </c>
      <c r="D7" s="712">
        <f>SUMIFS(Sheet1!S71_PPYearAmount,Sheet1!S71_A7Code,$AC:$AC)</f>
        <v>0</v>
      </c>
      <c r="E7" s="717">
        <f>SUMIFS(Sheet1!S71_PYearAmount,Sheet1!S71_A7Code,$AC:$AC)</f>
        <v>0</v>
      </c>
      <c r="F7" s="718">
        <f>SUMIFS(Sheet1!S71_OriginalBudAmnt,Sheet1!S71_A7Code,$AC:$AC)</f>
        <v>574284</v>
      </c>
      <c r="G7" s="712">
        <f>SUMIFS(Sheet1!S71_AdjustmentBudAmnt,Sheet1!S71_A7Code,$AC:$AC)</f>
        <v>574284</v>
      </c>
      <c r="H7" s="712">
        <f>SUMIFS(Sheet1!S71_AdjustmentBudAmnt,Sheet1!S71_A7Code,$AC:$AC)</f>
        <v>574284</v>
      </c>
      <c r="I7" s="717">
        <f>SUMIFS(Sheet1!CD:CD,Sheet1!S71_A7Code,$AC:$AC)</f>
        <v>0</v>
      </c>
      <c r="J7" s="75">
        <f>'SA30'!N6+'SA30'!N7+'SA30'!N8+'SA30'!N9</f>
        <v>507182</v>
      </c>
      <c r="K7" s="71">
        <f>'SA30'!O6+'SA30'!O7+'SA30'!O8+'SA30'!O9</f>
        <v>527469</v>
      </c>
      <c r="L7" s="117">
        <f>'SA30'!P6+'SA30'!P7+'SA30'!P8+'SA30'!P9</f>
        <v>548568</v>
      </c>
      <c r="AC7" s="2343" t="s">
        <v>2757</v>
      </c>
    </row>
    <row r="8" spans="1:30" ht="11.25" customHeight="1" x14ac:dyDescent="0.25">
      <c r="A8" s="104" t="s">
        <v>1360</v>
      </c>
      <c r="B8" s="711"/>
      <c r="C8" s="712">
        <f>SUMIFS(Sheet1!S71_PPPYearAmount,Sheet1!S71_A7Code,$AC:$AC)</f>
        <v>0</v>
      </c>
      <c r="D8" s="712">
        <f>SUMIFS(Sheet1!S71_PPYearAmount,Sheet1!S71_A7Code,$AC:$AC)</f>
        <v>0</v>
      </c>
      <c r="E8" s="717">
        <f>SUMIFS(Sheet1!S71_PYearAmount,Sheet1!S71_A7Code,$AC:$AC)</f>
        <v>0</v>
      </c>
      <c r="F8" s="718">
        <f>SUMIFS(Sheet1!S71_OriginalBudAmnt,Sheet1!S71_A7Code,$AC:$AC)</f>
        <v>8674725</v>
      </c>
      <c r="G8" s="712">
        <f>SUMIFS(Sheet1!S71_AdjustmentBudAmnt,Sheet1!S71_A7Code,$AC:$AC)</f>
        <v>8675000</v>
      </c>
      <c r="H8" s="712">
        <f>SUMIFS(Sheet1!S71_AdjustmentBudAmnt,Sheet1!S71_A7Code,$AC:$AC)</f>
        <v>8675000</v>
      </c>
      <c r="I8" s="717">
        <f>SUMIFS(Sheet1!CD:CD,Sheet1!S71_A7Code,$AC:$AC)</f>
        <v>0</v>
      </c>
      <c r="J8" s="75">
        <f>'SA30'!N11+'SA30'!N15+'SA30'!N16+'SA30'!N17+'SA30'!N19</f>
        <v>8979185</v>
      </c>
      <c r="K8" s="71">
        <f>'SA30'!O11+'SA30'!O15+'SA30'!O16+'SA30'!O17+'SA30'!O19</f>
        <v>9338352</v>
      </c>
      <c r="L8" s="117">
        <f>'SA30'!P11+'SA30'!P15+'SA30'!P16+'SA30'!P17+'SA30'!P19</f>
        <v>9711886</v>
      </c>
      <c r="AC8" s="2343" t="s">
        <v>2758</v>
      </c>
    </row>
    <row r="9" spans="1:30" ht="11.25" customHeight="1" x14ac:dyDescent="0.25">
      <c r="A9" s="136" t="s">
        <v>2529</v>
      </c>
      <c r="B9" s="711">
        <v>1</v>
      </c>
      <c r="C9" s="712">
        <f>SUMIFS(Sheet1!S71_PPPYearAmount,Sheet1!S71_A7Code,$AC:$AC)</f>
        <v>0</v>
      </c>
      <c r="D9" s="712">
        <f>SUMIFS(Sheet1!S71_PPYearAmount,Sheet1!S71_A7Code,$AC:$AC)</f>
        <v>0</v>
      </c>
      <c r="E9" s="717">
        <f>SUMIFS(Sheet1!S71_PYearAmount,Sheet1!S71_A7Code,$AC:$AC)</f>
        <v>0</v>
      </c>
      <c r="F9" s="718">
        <f>SUMIFS(Sheet1!S71_OriginalBudAmnt,Sheet1!S71_A7Code,$AC:$AC)</f>
        <v>76871147</v>
      </c>
      <c r="G9" s="712">
        <f>SUMIFS(Sheet1!S71_AdjustmentBudAmnt,Sheet1!S71_A7Code,$AC:$AC)</f>
        <v>85495000</v>
      </c>
      <c r="H9" s="712">
        <f>SUMIFS(Sheet1!S71_AdjustmentBudAmnt,Sheet1!S71_A7Code,$AC:$AC)</f>
        <v>85495000</v>
      </c>
      <c r="I9" s="717">
        <f>SUMIFS(Sheet1!CD:CD,Sheet1!S71_A7Code,$AC:$AC)</f>
        <v>0</v>
      </c>
      <c r="J9" s="75">
        <f>'SA30'!N18</f>
        <v>94669000</v>
      </c>
      <c r="K9" s="71">
        <f>'SA30'!O18</f>
        <v>97397000</v>
      </c>
      <c r="L9" s="117">
        <f>'SA30'!P18</f>
        <v>96521000</v>
      </c>
      <c r="AC9" s="2343" t="s">
        <v>2755</v>
      </c>
    </row>
    <row r="10" spans="1:30" ht="11.25" customHeight="1" x14ac:dyDescent="0.25">
      <c r="A10" s="136" t="s">
        <v>2530</v>
      </c>
      <c r="B10" s="711">
        <v>1</v>
      </c>
      <c r="C10" s="712">
        <f>SUMIFS(Sheet1!S71_PPPYearAmount,Sheet1!S71_A7Code,$AC:$AC)</f>
        <v>0</v>
      </c>
      <c r="D10" s="712">
        <f>SUMIFS(Sheet1!S71_PPYearAmount,Sheet1!S71_A7Code,$AC:$AC)</f>
        <v>0</v>
      </c>
      <c r="E10" s="717">
        <f>SUMIFS(Sheet1!S71_PYearAmount,Sheet1!S71_A7Code,$AC:$AC)</f>
        <v>0</v>
      </c>
      <c r="F10" s="718">
        <f>SUMIFS(Sheet1!S71_OriginalBudAmnt,Sheet1!S71_A7Code,$AC:$AC)</f>
        <v>15996000</v>
      </c>
      <c r="G10" s="712">
        <f>SUMIFS(Sheet1!S71_AdjustmentBudAmnt,Sheet1!S71_A7Code,$AC:$AC)</f>
        <v>25800000</v>
      </c>
      <c r="H10" s="712">
        <f>SUMIFS(Sheet1!S71_AdjustmentBudAmnt,Sheet1!S71_A7Code,$AC:$AC)</f>
        <v>25800000</v>
      </c>
      <c r="I10" s="717">
        <f>SUMIFS(Sheet1!CD:CD,Sheet1!S71_A7Code,$AC:$AC)</f>
        <v>0</v>
      </c>
      <c r="J10" s="75">
        <f>'SA30'!N23</f>
        <v>24755000</v>
      </c>
      <c r="K10" s="71">
        <f>'SA30'!O23</f>
        <v>17027000</v>
      </c>
      <c r="L10" s="117">
        <f>'SA30'!P23</f>
        <v>17781000</v>
      </c>
      <c r="AC10" s="2343" t="s">
        <v>2756</v>
      </c>
    </row>
    <row r="11" spans="1:30" ht="11.25" customHeight="1" x14ac:dyDescent="0.25">
      <c r="A11" s="136" t="s">
        <v>292</v>
      </c>
      <c r="B11" s="711"/>
      <c r="C11" s="712">
        <f>SUMIFS(Sheet1!S71_PPPYearAmount,Sheet1!S71_A7Code,$AC:$AC)</f>
        <v>0</v>
      </c>
      <c r="D11" s="712">
        <f>SUMIFS(Sheet1!S71_PPYearAmount,Sheet1!S71_A7Code,$AC:$AC)</f>
        <v>0</v>
      </c>
      <c r="E11" s="717">
        <f>SUMIFS(Sheet1!S71_PYearAmount,Sheet1!S71_A7Code,$AC:$AC)</f>
        <v>0</v>
      </c>
      <c r="F11" s="718">
        <f>SUMIFS(Sheet1!S71_OriginalBudAmnt,Sheet1!S71_A7Code,$AC:$AC)</f>
        <v>0</v>
      </c>
      <c r="G11" s="712">
        <f>SUMIFS(Sheet1!S71_AdjustmentBudAmnt,Sheet1!S71_A7Code,$AC:$AC)</f>
        <v>3408647</v>
      </c>
      <c r="H11" s="712">
        <f>SUMIFS(Sheet1!S71_AdjustmentBudAmnt,Sheet1!S71_A7Code,$AC:$AC)</f>
        <v>3408647</v>
      </c>
      <c r="I11" s="717">
        <f>SUMIFS(Sheet1!CD:CD,Sheet1!S71_A7Code,$AC:$AC)</f>
        <v>0</v>
      </c>
      <c r="J11" s="75">
        <f>'SA30'!N12+'SA30'!N13</f>
        <v>4000000</v>
      </c>
      <c r="K11" s="71">
        <f>'SA30'!O12+'SA30'!O13</f>
        <v>4160000</v>
      </c>
      <c r="L11" s="117">
        <f>'SA30'!P12+'SA30'!P13</f>
        <v>4326400</v>
      </c>
      <c r="AC11" s="2343" t="s">
        <v>2772</v>
      </c>
    </row>
    <row r="12" spans="1:30" ht="11.25" customHeight="1" x14ac:dyDescent="0.25">
      <c r="A12" s="136" t="s">
        <v>524</v>
      </c>
      <c r="B12" s="711"/>
      <c r="C12" s="712">
        <f>SUMIFS(Sheet1!S71_PPPYearAmount,Sheet1!S71_A7Code,$AC:$AC)</f>
        <v>0</v>
      </c>
      <c r="D12" s="712">
        <f>SUMIFS(Sheet1!S71_PPYearAmount,Sheet1!S71_A7Code,$AC:$AC)</f>
        <v>0</v>
      </c>
      <c r="E12" s="717">
        <f>SUMIFS(Sheet1!S71_PYearAmount,Sheet1!S71_A7Code,$AC:$AC)</f>
        <v>0</v>
      </c>
      <c r="F12" s="718">
        <f>SUMIFS(Sheet1!S71_OriginalBudAmnt,Sheet1!S71_A7Code,$AC:$AC)</f>
        <v>0</v>
      </c>
      <c r="G12" s="712">
        <f>SUMIFS(Sheet1!S71_AdjustmentBudAmnt,Sheet1!S71_A7Code,$AC:$AC)</f>
        <v>0</v>
      </c>
      <c r="H12" s="712">
        <f>SUMIFS(Sheet1!S71_AdjustmentBudAmnt,Sheet1!S71_A7Code,$AC:$AC)</f>
        <v>0</v>
      </c>
      <c r="I12" s="717">
        <f>SUMIFS(Sheet1!CD:CD,Sheet1!S71_A7Code,$AC:$AC)</f>
        <v>0</v>
      </c>
      <c r="J12" s="75">
        <f>'SA30'!N14</f>
        <v>0</v>
      </c>
      <c r="K12" s="71">
        <f>'SA30'!O14</f>
        <v>0</v>
      </c>
      <c r="L12" s="117">
        <f>'SA30'!P14</f>
        <v>0</v>
      </c>
      <c r="AC12" s="2343" t="s">
        <v>2766</v>
      </c>
    </row>
    <row r="13" spans="1:30" ht="11.25" customHeight="1" x14ac:dyDescent="0.25">
      <c r="A13" s="664" t="s">
        <v>710</v>
      </c>
      <c r="B13" s="711"/>
      <c r="C13" s="71"/>
      <c r="D13" s="177"/>
      <c r="E13" s="388"/>
      <c r="F13" s="181"/>
      <c r="G13" s="177"/>
      <c r="H13" s="177"/>
      <c r="I13" s="178"/>
      <c r="J13" s="181"/>
      <c r="K13" s="177"/>
      <c r="L13" s="388"/>
      <c r="AC13" s="2376"/>
    </row>
    <row r="14" spans="1:30" ht="11.25" customHeight="1" x14ac:dyDescent="0.25">
      <c r="A14" s="136" t="s">
        <v>1294</v>
      </c>
      <c r="B14" s="711"/>
      <c r="C14" s="712">
        <f>SUMIFS(Sheet1!S71_PPPYearAmount,Sheet1!S71_A7CodePayments,$AC:$AC)</f>
        <v>0</v>
      </c>
      <c r="D14" s="712">
        <f>SUMIFS(Sheet1!S71_PPYearAmount,Sheet1!S71_A7CodePayments,$AC:$AC)</f>
        <v>0</v>
      </c>
      <c r="E14" s="713">
        <f>SUMIFS(Sheet1!S71_PYearAmount,Sheet1!S71_A7CodePayments,$AC:$AC)</f>
        <v>0</v>
      </c>
      <c r="F14" s="725">
        <f>-SUMIFS(Sheet1!S71_OriginalBudAmnt,Sheet1!S71_A7CodePayments,$AC:$AC)</f>
        <v>0</v>
      </c>
      <c r="G14" s="712">
        <f>-SUMIFS(Sheet1!S71_AdjustmentBudAmnt,Sheet1!S71_A7CodePayments,$AC:$AC)</f>
        <v>-127916770</v>
      </c>
      <c r="H14" s="712">
        <f>-SUMIFS(Sheet1!S71_AdjustmentBudAmnt,Sheet1!S71_A7CodePayments,$AC:$AC)</f>
        <v>-127916770</v>
      </c>
      <c r="I14" s="717">
        <f>-SUMIFS(Sheet1!CD:CD,Sheet1!S71_A7CodePayments,$AC:$AC)</f>
        <v>0</v>
      </c>
      <c r="J14" s="75">
        <f>-('SA30'!N35+'SA30'!N36+'SA30'!N38+'SA30'!N39+'SA30'!N40+'SA30'!N41+'SA30'!N44+'SA30'!N50)</f>
        <v>-144263232</v>
      </c>
      <c r="K14" s="71">
        <f>-('SA30'!O35+'SA30'!O36+'SA30'!O38+'SA30'!O39+'SA30'!O40+'SA30'!O41+'SA30'!O44+'SA30'!O50)</f>
        <v>-149714410</v>
      </c>
      <c r="L14" s="117">
        <f>-('SA30'!P35+'SA30'!P36+'SA30'!P38+'SA30'!P39+'SA30'!P40+'SA30'!P41+'SA30'!P44+'SA30'!P50)</f>
        <v>-155724958</v>
      </c>
      <c r="M14" s="736"/>
      <c r="N14" s="322"/>
      <c r="O14" s="322"/>
      <c r="P14" s="322"/>
      <c r="Q14" s="322"/>
      <c r="R14" s="322"/>
      <c r="S14" s="322"/>
      <c r="T14" s="322"/>
      <c r="U14" s="322"/>
      <c r="V14" s="322"/>
      <c r="AC14" s="2343" t="s">
        <v>2696</v>
      </c>
    </row>
    <row r="15" spans="1:30" ht="11.25" customHeight="1" x14ac:dyDescent="0.25">
      <c r="A15" s="136" t="s">
        <v>1359</v>
      </c>
      <c r="B15" s="711"/>
      <c r="C15" s="712">
        <f>SUMIFS(Sheet1!S71_PPPYearAmount,Sheet1!S71_A7CodePayments,$AC:$AC)</f>
        <v>0</v>
      </c>
      <c r="D15" s="712">
        <f>SUMIFS(Sheet1!S71_PPYearAmount,Sheet1!S71_A7CodePayments,$AC:$AC)</f>
        <v>0</v>
      </c>
      <c r="E15" s="713">
        <f>SUMIFS(Sheet1!S71_PYearAmount,Sheet1!S71_A7CodePayments,$AC:$AC)</f>
        <v>0</v>
      </c>
      <c r="F15" s="725">
        <f>-SUMIFS(Sheet1!S71_OriginalBudAmnt,Sheet1!S71_A7CodePayments,$AC:$AC)</f>
        <v>0</v>
      </c>
      <c r="G15" s="712">
        <f>-SUMIFS(Sheet1!S71_AdjustmentBudAmnt,Sheet1!S71_A7CodePayments,$AC:$AC)</f>
        <v>0</v>
      </c>
      <c r="H15" s="712">
        <f>-SUMIFS(Sheet1!S71_AdjustmentBudAmnt,Sheet1!S71_A7CodePayments,$AC:$AC)</f>
        <v>0</v>
      </c>
      <c r="I15" s="717">
        <f>-SUMIFS(Sheet1!CD:CD,Sheet1!S71_A7CodePayments,$AC:$AC)</f>
        <v>0</v>
      </c>
      <c r="J15" s="75">
        <f>-('SA30'!N37)</f>
        <v>0</v>
      </c>
      <c r="K15" s="71">
        <f>-('SA30'!O37)</f>
        <v>0</v>
      </c>
      <c r="L15" s="117">
        <f>-('SA30'!P37)</f>
        <v>0</v>
      </c>
      <c r="AC15" s="2343" t="s">
        <v>2767</v>
      </c>
    </row>
    <row r="16" spans="1:30" ht="11.25" customHeight="1" x14ac:dyDescent="0.25">
      <c r="A16" s="136" t="s">
        <v>1113</v>
      </c>
      <c r="B16" s="711">
        <v>1</v>
      </c>
      <c r="C16" s="712">
        <f>SUMIFS(Sheet1!S71_PPPYearAmount,Sheet1!S71_A7CodePayments,$AC:$AC)</f>
        <v>0</v>
      </c>
      <c r="D16" s="712">
        <f>SUMIFS(Sheet1!S71_PPYearAmount,Sheet1!S71_A7CodePayments,$AC:$AC)</f>
        <v>0</v>
      </c>
      <c r="E16" s="713">
        <f>SUMIFS(Sheet1!S71_PYearAmount,Sheet1!S71_A7CodePayments,$AC:$AC)</f>
        <v>0</v>
      </c>
      <c r="F16" s="725">
        <f>-SUMIFS(Sheet1!S71_OriginalBudAmnt,Sheet1!S71_A7CodePayments,$AC:$AC)</f>
        <v>0</v>
      </c>
      <c r="G16" s="712">
        <f>-SUMIFS(Sheet1!S71_AdjustmentBudAmnt,Sheet1!S71_A7CodePayments,$AC:$AC)</f>
        <v>0</v>
      </c>
      <c r="H16" s="712">
        <f>-SUMIFS(Sheet1!S71_AdjustmentBudAmnt,Sheet1!S71_A7CodePayments,$AC:$AC)</f>
        <v>0</v>
      </c>
      <c r="I16" s="717">
        <f>-SUMIFS(Sheet1!CD:CD,Sheet1!S71_A7CodePayments,$AC:$AC)</f>
        <v>0</v>
      </c>
      <c r="J16" s="114">
        <f>-('SA30'!N42+'SA30'!N43)</f>
        <v>0</v>
      </c>
      <c r="K16" s="110">
        <f>-('SA30'!O42+'SA30'!O43)</f>
        <v>0</v>
      </c>
      <c r="L16" s="543">
        <f>-('SA30'!P42+'SA30'!P43)</f>
        <v>0</v>
      </c>
      <c r="AC16" s="2343" t="s">
        <v>2768</v>
      </c>
    </row>
    <row r="17" spans="1:30" ht="11.25" customHeight="1" x14ac:dyDescent="0.25">
      <c r="A17" s="811" t="s">
        <v>596</v>
      </c>
      <c r="B17" s="812"/>
      <c r="C17" s="243">
        <f t="shared" ref="C17:L17" si="0">SUM(C6:C12)+SUM(C14:C16)</f>
        <v>0</v>
      </c>
      <c r="D17" s="243">
        <f t="shared" si="0"/>
        <v>0</v>
      </c>
      <c r="E17" s="581">
        <f t="shared" si="0"/>
        <v>0</v>
      </c>
      <c r="F17" s="582">
        <f t="shared" si="0"/>
        <v>118930533</v>
      </c>
      <c r="G17" s="243">
        <f t="shared" si="0"/>
        <v>12850538</v>
      </c>
      <c r="H17" s="243">
        <f t="shared" si="0"/>
        <v>12850538</v>
      </c>
      <c r="I17" s="583">
        <f t="shared" si="0"/>
        <v>0</v>
      </c>
      <c r="J17" s="244">
        <f t="shared" si="0"/>
        <v>6117275</v>
      </c>
      <c r="K17" s="243">
        <f t="shared" si="0"/>
        <v>-3378417</v>
      </c>
      <c r="L17" s="358">
        <f t="shared" si="0"/>
        <v>-7813831</v>
      </c>
      <c r="AC17" s="2376"/>
    </row>
    <row r="18" spans="1:30" ht="4.9000000000000004" customHeight="1" x14ac:dyDescent="0.25">
      <c r="A18" s="176"/>
      <c r="B18" s="711"/>
      <c r="C18" s="177"/>
      <c r="D18" s="177"/>
      <c r="E18" s="178"/>
      <c r="F18" s="179"/>
      <c r="G18" s="177"/>
      <c r="H18" s="177"/>
      <c r="I18" s="180"/>
      <c r="J18" s="181"/>
      <c r="K18" s="177"/>
      <c r="L18" s="388"/>
      <c r="AC18" s="2376"/>
    </row>
    <row r="19" spans="1:30" ht="11.25" customHeight="1" x14ac:dyDescent="0.25">
      <c r="A19" s="801" t="s">
        <v>249</v>
      </c>
      <c r="B19" s="711"/>
      <c r="C19" s="177"/>
      <c r="D19" s="177"/>
      <c r="E19" s="178"/>
      <c r="F19" s="179"/>
      <c r="G19" s="177"/>
      <c r="H19" s="177"/>
      <c r="I19" s="180"/>
      <c r="J19" s="181"/>
      <c r="K19" s="177"/>
      <c r="L19" s="388"/>
      <c r="AC19" s="2376"/>
    </row>
    <row r="20" spans="1:30" ht="11.25" customHeight="1" x14ac:dyDescent="0.25">
      <c r="A20" s="801" t="s">
        <v>709</v>
      </c>
      <c r="B20" s="711"/>
      <c r="C20" s="545"/>
      <c r="D20" s="545"/>
      <c r="E20" s="742"/>
      <c r="F20" s="743"/>
      <c r="G20" s="545"/>
      <c r="H20" s="545"/>
      <c r="I20" s="831"/>
      <c r="J20" s="544"/>
      <c r="K20" s="545"/>
      <c r="L20" s="546"/>
      <c r="AC20" s="2376"/>
    </row>
    <row r="21" spans="1:30" ht="11.25" customHeight="1" x14ac:dyDescent="0.25">
      <c r="A21" s="136" t="s">
        <v>1336</v>
      </c>
      <c r="B21" s="711"/>
      <c r="C21" s="712">
        <f>SUMIFS(Sheet1!S71_PPPYearAmount,Sheet1!S71_A7Code,$AC:$AC)</f>
        <v>0</v>
      </c>
      <c r="D21" s="712">
        <f>SUMIFS(Sheet1!S71_PPYearAmount,Sheet1!S71_A7Code,$AC:$AC)</f>
        <v>0</v>
      </c>
      <c r="E21" s="717">
        <f>SUMIFS(Sheet1!S71_PYearAmount,Sheet1!S71_A7Code,$AC:$AC)</f>
        <v>0</v>
      </c>
      <c r="F21" s="718">
        <f>SUMIFS(Sheet1!S71_OriginalBudAmnt,Sheet1!S71_A7Code,$AC:$AC)</f>
        <v>0</v>
      </c>
      <c r="G21" s="712">
        <f>SUMIFS(Sheet1!S71_AdjustmentBudAmnt,Sheet1!S71_A7Code,$AC:$AC)</f>
        <v>0</v>
      </c>
      <c r="H21" s="712">
        <f>SUMIFS(Sheet1!S71_AdjustmentBudAmnt,Sheet1!S71_A7Code,$AC:$AC)</f>
        <v>0</v>
      </c>
      <c r="I21" s="717">
        <f>SUMIFS(Sheet1!CD:CD,Sheet1!S71_A7Code,$AC:$AC)</f>
        <v>0</v>
      </c>
      <c r="J21" s="327">
        <f>'SA30'!N25</f>
        <v>0</v>
      </c>
      <c r="K21" s="323">
        <f>'SA30'!O25</f>
        <v>0</v>
      </c>
      <c r="L21" s="547">
        <f>'SA30'!P25</f>
        <v>0</v>
      </c>
      <c r="AC21" s="2343" t="s">
        <v>2819</v>
      </c>
    </row>
    <row r="22" spans="1:30" ht="1.9" customHeight="1" x14ac:dyDescent="0.25">
      <c r="A22" s="136"/>
      <c r="B22" s="711"/>
      <c r="C22" s="71"/>
      <c r="D22" s="323"/>
      <c r="E22" s="324"/>
      <c r="F22" s="73"/>
      <c r="G22" s="71"/>
      <c r="H22" s="71"/>
      <c r="I22" s="74"/>
      <c r="J22" s="75"/>
      <c r="K22" s="71"/>
      <c r="L22" s="117"/>
      <c r="AC22" s="2376"/>
    </row>
    <row r="23" spans="1:30" ht="11.25" customHeight="1" x14ac:dyDescent="0.25">
      <c r="A23" s="136" t="s">
        <v>2528</v>
      </c>
      <c r="B23" s="711"/>
      <c r="C23" s="720"/>
      <c r="D23" s="712"/>
      <c r="E23" s="717"/>
      <c r="F23" s="737"/>
      <c r="G23" s="720"/>
      <c r="H23" s="720"/>
      <c r="I23" s="719"/>
      <c r="J23" s="327">
        <f>'SA30'!N30</f>
        <v>0</v>
      </c>
      <c r="K23" s="323">
        <f>'SA30'!O30</f>
        <v>0</v>
      </c>
      <c r="L23" s="547">
        <f>'SA30'!P30</f>
        <v>0</v>
      </c>
      <c r="AC23" s="2376"/>
    </row>
    <row r="24" spans="1:30" ht="11.25" customHeight="1" x14ac:dyDescent="0.25">
      <c r="A24" s="136" t="s">
        <v>595</v>
      </c>
      <c r="B24" s="711"/>
      <c r="C24" s="712"/>
      <c r="D24" s="712"/>
      <c r="E24" s="717"/>
      <c r="F24" s="718"/>
      <c r="G24" s="712"/>
      <c r="H24" s="712"/>
      <c r="I24" s="719"/>
      <c r="J24" s="75">
        <f>'SA30'!N31</f>
        <v>0</v>
      </c>
      <c r="K24" s="71">
        <f>'SA30'!O31</f>
        <v>0</v>
      </c>
      <c r="L24" s="117">
        <f>'SA30'!P31</f>
        <v>0</v>
      </c>
      <c r="AC24" s="2376"/>
    </row>
    <row r="25" spans="1:30" ht="11.25" customHeight="1" x14ac:dyDescent="0.25">
      <c r="A25" s="801" t="s">
        <v>710</v>
      </c>
      <c r="B25" s="711"/>
      <c r="C25" s="71"/>
      <c r="D25" s="71"/>
      <c r="E25" s="72"/>
      <c r="F25" s="73"/>
      <c r="G25" s="71"/>
      <c r="H25" s="71"/>
      <c r="I25" s="74"/>
      <c r="J25" s="75"/>
      <c r="K25" s="71"/>
      <c r="L25" s="117"/>
      <c r="AC25" s="2376"/>
    </row>
    <row r="26" spans="1:30" ht="11.25" customHeight="1" x14ac:dyDescent="0.25">
      <c r="A26" s="164" t="s">
        <v>1295</v>
      </c>
      <c r="B26" s="711"/>
      <c r="C26" s="712">
        <f>SUMIFS(Sheet1!S71_PPPYearAmount,Sheet1!S71_A7CodePayments,$AC:$AC)</f>
        <v>0</v>
      </c>
      <c r="D26" s="712">
        <f>SUMIFS(Sheet1!S71_PPYearAmount,Sheet1!S71_A7CodePayments,$AC:$AC)</f>
        <v>0</v>
      </c>
      <c r="E26" s="713">
        <f>SUMIFS(Sheet1!S71_PYearAmount,Sheet1!S71_A7CodePayments,$AC:$AC)</f>
        <v>0</v>
      </c>
      <c r="F26" s="725">
        <f>SUMIFS(Sheet1!S71_OriginalBudAmnt,Sheet1!S71_A7CodePayments,$AC:$AC)</f>
        <v>0</v>
      </c>
      <c r="G26" s="712">
        <f>SUMIFS(Sheet1!S71_AdjustmentBudAmnt,Sheet1!S71_A7CodePayments,$AC:$AC)</f>
        <v>-43762488</v>
      </c>
      <c r="H26" s="712">
        <f>SUMIFS(Sheet1!S71_AdjustmentBudAmnt,Sheet1!S71_A7CodePayments,$AC:$AC)</f>
        <v>-43762488</v>
      </c>
      <c r="I26" s="717">
        <f>SUMIFS(Sheet1!CD:CD,Sheet1!S71_A7CodePayments,$AC:$AC)</f>
        <v>0</v>
      </c>
      <c r="J26" s="75">
        <f>-('SA30'!N48)</f>
        <v>-31621000</v>
      </c>
      <c r="K26" s="71">
        <f>-('SA30'!O48)</f>
        <v>-17871000</v>
      </c>
      <c r="L26" s="117">
        <f>-('SA30'!P48)</f>
        <v>-18394000</v>
      </c>
      <c r="AC26" s="2343" t="s">
        <v>2834</v>
      </c>
    </row>
    <row r="27" spans="1:30" ht="11.25" customHeight="1" x14ac:dyDescent="0.25">
      <c r="A27" s="811" t="s">
        <v>597</v>
      </c>
      <c r="B27" s="812"/>
      <c r="C27" s="243">
        <f>+C21+C23+C24+C26</f>
        <v>0</v>
      </c>
      <c r="D27" s="243">
        <f t="shared" ref="D27:L27" si="1">+D21+D23+D24+D26</f>
        <v>0</v>
      </c>
      <c r="E27" s="581">
        <f t="shared" si="1"/>
        <v>0</v>
      </c>
      <c r="F27" s="582">
        <f t="shared" si="1"/>
        <v>0</v>
      </c>
      <c r="G27" s="243">
        <f t="shared" si="1"/>
        <v>-43762488</v>
      </c>
      <c r="H27" s="243">
        <f t="shared" si="1"/>
        <v>-43762488</v>
      </c>
      <c r="I27" s="583">
        <f t="shared" si="1"/>
        <v>0</v>
      </c>
      <c r="J27" s="244">
        <f t="shared" si="1"/>
        <v>-31621000</v>
      </c>
      <c r="K27" s="243">
        <f t="shared" si="1"/>
        <v>-17871000</v>
      </c>
      <c r="L27" s="358">
        <f t="shared" si="1"/>
        <v>-18394000</v>
      </c>
      <c r="AC27" s="2376"/>
    </row>
    <row r="28" spans="1:30" ht="4.9000000000000004" customHeight="1" x14ac:dyDescent="0.25">
      <c r="A28" s="176"/>
      <c r="B28" s="711"/>
      <c r="C28" s="177"/>
      <c r="D28" s="177"/>
      <c r="E28" s="178"/>
      <c r="F28" s="179"/>
      <c r="G28" s="177"/>
      <c r="H28" s="177"/>
      <c r="I28" s="180"/>
      <c r="J28" s="181"/>
      <c r="K28" s="177"/>
      <c r="L28" s="388"/>
      <c r="AC28" s="2376"/>
    </row>
    <row r="29" spans="1:30" ht="11.25" customHeight="1" x14ac:dyDescent="0.25">
      <c r="A29" s="801" t="s">
        <v>1126</v>
      </c>
      <c r="B29" s="711"/>
      <c r="C29" s="177"/>
      <c r="D29" s="177"/>
      <c r="E29" s="178"/>
      <c r="F29" s="179"/>
      <c r="G29" s="177"/>
      <c r="H29" s="177"/>
      <c r="I29" s="180"/>
      <c r="J29" s="181"/>
      <c r="K29" s="177"/>
      <c r="L29" s="388"/>
      <c r="AC29" s="2376"/>
    </row>
    <row r="30" spans="1:30" ht="11.25" customHeight="1" x14ac:dyDescent="0.25">
      <c r="A30" s="801" t="s">
        <v>709</v>
      </c>
      <c r="B30" s="711"/>
      <c r="C30" s="177"/>
      <c r="D30" s="177"/>
      <c r="E30" s="178"/>
      <c r="F30" s="179"/>
      <c r="G30" s="177"/>
      <c r="H30" s="177"/>
      <c r="I30" s="180"/>
      <c r="J30" s="181"/>
      <c r="K30" s="177"/>
      <c r="L30" s="388"/>
      <c r="AC30" s="2376"/>
    </row>
    <row r="31" spans="1:30" ht="11.25" customHeight="1" x14ac:dyDescent="0.25">
      <c r="A31" s="164" t="s">
        <v>712</v>
      </c>
      <c r="B31" s="711"/>
      <c r="C31" s="712">
        <f>SUMIFS(Sheet1!S71_PPPYearAmount,Sheet1!S71_SA30FDSubCode,$AC:$AC,Sheet1!S71_CFCode,$AD:$AD)</f>
        <v>0</v>
      </c>
      <c r="D31" s="712">
        <f>SUMIFS(Sheet1!S71_PPYearAmount,Sheet1!S71_SA30FDSubCode,$AC:$AC,Sheet1!S71_CFCode,$AD:$AD)</f>
        <v>0</v>
      </c>
      <c r="E31" s="717">
        <f>SUMIFS(Sheet1!S71_PYearAmount,Sheet1!S71_SA30FDSubCode,$AC:$AC,Sheet1!S71_CFCode,$AD:$AD)</f>
        <v>0</v>
      </c>
      <c r="F31" s="718">
        <f>SUMIFS(Sheet1!S71_OriginalBudAmnt,Sheet1!S71_SA30FDSubCode,$AC:$AC,Sheet1!S71_CFCode,$AD:$AD)</f>
        <v>0</v>
      </c>
      <c r="G31" s="712">
        <f>SUMIFS(Sheet1!S71_AdjustmentBudAmnt,Sheet1!S71_SA30FDSubCode,$AC:$AC,Sheet1!S71_CFCode,$AD:$AD)</f>
        <v>0</v>
      </c>
      <c r="H31" s="712">
        <f>SUMIFS(Sheet1!S71_AdjustmentBudAmnt,Sheet1!S71_SA30FDSubCode,$AC:$AC,Sheet1!S71_CFCode,$AD:$AD)</f>
        <v>0</v>
      </c>
      <c r="I31" s="717">
        <f>SUMIFS(Sheet1!CD:CD,Sheet1!S71_SA30FDSubCode,$AC:$AC,Sheet1!S71_CFCode,$AD:$AD)</f>
        <v>0</v>
      </c>
      <c r="J31" s="75">
        <f>'SA30'!N26</f>
        <v>0</v>
      </c>
      <c r="K31" s="71">
        <f>'SA30'!O26</f>
        <v>0</v>
      </c>
      <c r="L31" s="117">
        <f>'SA30'!P26</f>
        <v>0</v>
      </c>
      <c r="AC31" s="2343" t="s">
        <v>2770</v>
      </c>
      <c r="AD31" s="2374" t="s">
        <v>472</v>
      </c>
    </row>
    <row r="32" spans="1:30" ht="11.25" customHeight="1" x14ac:dyDescent="0.25">
      <c r="A32" s="136" t="s">
        <v>683</v>
      </c>
      <c r="B32" s="711"/>
      <c r="C32" s="712">
        <f>SUMIFS(Sheet1!S71_PPPYearAmount,Sheet1!S71_A7SubCode,$AC:$AC,Sheet1!S71_CFCode,$AD:$AD)</f>
        <v>0</v>
      </c>
      <c r="D32" s="712">
        <f>SUMIFS(Sheet1!S71_PPYearAmount,Sheet1!S71_A7SubCode,$AC:$AC,Sheet1!S71_CFCode,$AD:$AD)</f>
        <v>0</v>
      </c>
      <c r="E32" s="717">
        <f>SUMIFS(Sheet1!S71_PYearAmount,Sheet1!S71_A7SubCode,$AC:$AC,Sheet1!S71_CFCode,$AD:$AD)</f>
        <v>0</v>
      </c>
      <c r="F32" s="718">
        <f>SUMIFS(Sheet1!S71_OriginalBudAmnt,Sheet1!S71_A7SubCode,$AC:$AC,Sheet1!S71_CFCode,$AD:$AD)</f>
        <v>0</v>
      </c>
      <c r="G32" s="712">
        <f>SUMIFS(Sheet1!S71_AdjustmentBudAmnt,Sheet1!S71_A7SubCode,$AC:$AC,Sheet1!S71_CFCode,$AD:$AD)</f>
        <v>0</v>
      </c>
      <c r="H32" s="712">
        <f>SUMIFS(Sheet1!S71_AdjustmentBudAmnt,Sheet1!S71_A7SubCode,$AC:$AC,Sheet1!S71_CFCode,$AD:$AD)</f>
        <v>0</v>
      </c>
      <c r="I32" s="717">
        <f>SUMIFS(Sheet1!CD:CD,Sheet1!S71_A7SubCode,$AC:$AC,Sheet1!S71_CFCode,$AD:$AD)</f>
        <v>0</v>
      </c>
      <c r="J32" s="75">
        <f>'SA30'!N27</f>
        <v>0</v>
      </c>
      <c r="K32" s="71">
        <f>'SA30'!O27</f>
        <v>0</v>
      </c>
      <c r="L32" s="117">
        <f>'SA30'!P27</f>
        <v>0</v>
      </c>
      <c r="AC32" s="2343" t="s">
        <v>2771</v>
      </c>
      <c r="AD32" s="2374" t="s">
        <v>472</v>
      </c>
    </row>
    <row r="33" spans="1:29" ht="11.25" customHeight="1" x14ac:dyDescent="0.25">
      <c r="A33" s="136" t="s">
        <v>329</v>
      </c>
      <c r="B33" s="711"/>
      <c r="C33" s="712">
        <f>SUMIFS(Sheet1!S71_PPPYearAmount,Sheet1!S71_A7Code,$AC:$AC)</f>
        <v>0</v>
      </c>
      <c r="D33" s="712">
        <f>SUMIFS(Sheet1!S71_PPYearAmount,Sheet1!S71_A7Code,$AC:$AC)</f>
        <v>0</v>
      </c>
      <c r="E33" s="717">
        <f>SUMIFS(Sheet1!S71_PYearAmount,Sheet1!S71_A7Code,$AC:$AC)</f>
        <v>0</v>
      </c>
      <c r="F33" s="718">
        <f>SUMIFS(Sheet1!S71_OriginalBudAmnt,Sheet1!S71_A7Code,$AC:$AC)</f>
        <v>0</v>
      </c>
      <c r="G33" s="712">
        <f>SUMIFS(Sheet1!S71_AdjustmentBudAmnt,Sheet1!S71_A7Code,$AC:$AC)</f>
        <v>0</v>
      </c>
      <c r="H33" s="712">
        <f>SUMIFS(Sheet1!S71_AdjustmentBudAmnt,Sheet1!S71_A7Code,$AC:$AC)</f>
        <v>0</v>
      </c>
      <c r="I33" s="717">
        <f>SUMIFS(Sheet1!CD:CD,Sheet1!S71_SA30FDSubCode,$AC:$AC,Sheet1!S71_CFCode,$AD:$AD)</f>
        <v>0</v>
      </c>
      <c r="J33" s="75">
        <f>'SA30'!N28</f>
        <v>0</v>
      </c>
      <c r="K33" s="71">
        <f>'SA30'!O28</f>
        <v>0</v>
      </c>
      <c r="L33" s="117">
        <f>'SA30'!P28</f>
        <v>0</v>
      </c>
    </row>
    <row r="34" spans="1:29" ht="11.25" customHeight="1" x14ac:dyDescent="0.25">
      <c r="A34" s="664" t="s">
        <v>710</v>
      </c>
      <c r="B34" s="711"/>
      <c r="C34" s="71"/>
      <c r="D34" s="71"/>
      <c r="E34" s="72"/>
      <c r="F34" s="73"/>
      <c r="G34" s="71"/>
      <c r="H34" s="71"/>
      <c r="I34" s="74"/>
      <c r="J34" s="75"/>
      <c r="K34" s="71"/>
      <c r="L34" s="117"/>
    </row>
    <row r="35" spans="1:29" ht="11.25" customHeight="1" x14ac:dyDescent="0.25">
      <c r="A35" s="136" t="s">
        <v>711</v>
      </c>
      <c r="B35" s="711"/>
      <c r="C35" s="712">
        <f>SUMIFS(Sheet1!S71_PPPYearAmount,Sheet1!S71_A7CodePayments,$AC:$AC)</f>
        <v>0</v>
      </c>
      <c r="D35" s="712">
        <f>SUMIFS(Sheet1!S71_PPYearAmount,Sheet1!S71_A7CodePayments,$AC:$AC)</f>
        <v>0</v>
      </c>
      <c r="E35" s="713">
        <f>SUMIFS(Sheet1!S71_PYearAmount,Sheet1!S71_A7CodePayments,$AC:$AC)</f>
        <v>0</v>
      </c>
      <c r="F35" s="725">
        <f>-SUMIFS(Sheet1!S71_OriginalBudAmnt,Sheet1!S71_A7CodePayments,$AC:$AC)</f>
        <v>0</v>
      </c>
      <c r="G35" s="712">
        <f>-SUMIFS(Sheet1!S71_AdjustmentBudAmnt,Sheet1!S71_A7CodePayments,$AC:$AC)</f>
        <v>0</v>
      </c>
      <c r="H35" s="712">
        <f>-SUMIFS(Sheet1!S71_AdjustmentBudAmnt,Sheet1!S71_A7CodePayments,$AC:$AC)</f>
        <v>0</v>
      </c>
      <c r="I35" s="717">
        <f>SUMIFS(Sheet1!CD:CD,Sheet1!S71_A7CodePayments,$AC:$AC)</f>
        <v>0</v>
      </c>
      <c r="J35" s="75">
        <f>-('SA30'!N49)</f>
        <v>0</v>
      </c>
      <c r="K35" s="71">
        <f>-('SA30'!O49)</f>
        <v>0</v>
      </c>
      <c r="L35" s="117">
        <f>-('SA30'!P49)</f>
        <v>0</v>
      </c>
      <c r="AC35" s="2344" t="s">
        <v>2806</v>
      </c>
    </row>
    <row r="36" spans="1:29" ht="11.25" customHeight="1" x14ac:dyDescent="0.25">
      <c r="A36" s="811" t="s">
        <v>708</v>
      </c>
      <c r="B36" s="812"/>
      <c r="C36" s="243">
        <f>SUM(C31:C33)+C35</f>
        <v>0</v>
      </c>
      <c r="D36" s="243">
        <f t="shared" ref="D36:L36" si="2">SUM(D31:D33)+D35</f>
        <v>0</v>
      </c>
      <c r="E36" s="581">
        <f t="shared" si="2"/>
        <v>0</v>
      </c>
      <c r="F36" s="582">
        <f t="shared" si="2"/>
        <v>0</v>
      </c>
      <c r="G36" s="243">
        <f t="shared" si="2"/>
        <v>0</v>
      </c>
      <c r="H36" s="243">
        <f t="shared" si="2"/>
        <v>0</v>
      </c>
      <c r="I36" s="583">
        <f t="shared" si="2"/>
        <v>0</v>
      </c>
      <c r="J36" s="244">
        <f t="shared" si="2"/>
        <v>0</v>
      </c>
      <c r="K36" s="243">
        <f t="shared" si="2"/>
        <v>0</v>
      </c>
      <c r="L36" s="358">
        <f t="shared" si="2"/>
        <v>0</v>
      </c>
      <c r="AC36" s="2343"/>
    </row>
    <row r="37" spans="1:29" ht="4.9000000000000004" customHeight="1" x14ac:dyDescent="0.25">
      <c r="A37" s="176"/>
      <c r="B37" s="711"/>
      <c r="C37" s="177"/>
      <c r="D37" s="177"/>
      <c r="E37" s="178"/>
      <c r="F37" s="179"/>
      <c r="G37" s="177"/>
      <c r="H37" s="177"/>
      <c r="I37" s="180"/>
      <c r="J37" s="181"/>
      <c r="K37" s="177"/>
      <c r="L37" s="388"/>
      <c r="AC37" s="2343"/>
    </row>
    <row r="38" spans="1:29" ht="11.25" customHeight="1" x14ac:dyDescent="0.25">
      <c r="A38" s="801" t="s">
        <v>1367</v>
      </c>
      <c r="B38" s="711"/>
      <c r="C38" s="545">
        <f>C17+C27+C36</f>
        <v>0</v>
      </c>
      <c r="D38" s="545">
        <f t="shared" ref="D38:L38" si="3">D17+D27+D36</f>
        <v>0</v>
      </c>
      <c r="E38" s="742">
        <f t="shared" si="3"/>
        <v>0</v>
      </c>
      <c r="F38" s="743">
        <f t="shared" si="3"/>
        <v>118930533</v>
      </c>
      <c r="G38" s="545">
        <f t="shared" si="3"/>
        <v>-30911950</v>
      </c>
      <c r="H38" s="545">
        <f t="shared" si="3"/>
        <v>-30911950</v>
      </c>
      <c r="I38" s="831">
        <f t="shared" si="3"/>
        <v>0</v>
      </c>
      <c r="J38" s="544">
        <f t="shared" si="3"/>
        <v>-25503725</v>
      </c>
      <c r="K38" s="545">
        <f t="shared" si="3"/>
        <v>-21249417</v>
      </c>
      <c r="L38" s="546">
        <f t="shared" si="3"/>
        <v>-26207831</v>
      </c>
      <c r="AC38" s="2343"/>
    </row>
    <row r="39" spans="1:29" ht="11.25" customHeight="1" x14ac:dyDescent="0.25">
      <c r="A39" s="164" t="s">
        <v>807</v>
      </c>
      <c r="B39" s="711">
        <v>2</v>
      </c>
      <c r="C39" s="712">
        <f>SUMIFS(Sheet1!S71_PPPYearAmount,Sheet1!S71_A7CodePayments,$AC:$AC)</f>
        <v>0</v>
      </c>
      <c r="D39" s="712">
        <f>SUMIFS(Sheet1!S71_PPYearAmount,Sheet1!S71_A7CodePayments,$AC:$AC)</f>
        <v>0</v>
      </c>
      <c r="E39" s="713">
        <f>SUMIFS(Sheet1!S71_PYearAmount,Sheet1!S71_A7CodePayments,$AC:$AC)</f>
        <v>0</v>
      </c>
      <c r="F39" s="725">
        <f>SUMIFS(Sheet1!S71_OriginalBudAmnt,Sheet1!S71_A7CodePayments,$AC:$AC)</f>
        <v>0</v>
      </c>
      <c r="G39" s="712">
        <f>SUMIFS(Sheet1!S71_AdjustmentBudAmnt,Sheet1!S71_A7CodePayments,$AC:$AC)</f>
        <v>0</v>
      </c>
      <c r="H39" s="712">
        <f>SUMIFS(Sheet1!S71_AdjustmentBudAmnt,Sheet1!S71_A7CodePayments,$AC:$AC)</f>
        <v>0</v>
      </c>
      <c r="I39" s="717">
        <f>SUMIFS(Sheet1!CD:CD,Sheet1!S71_A7CodePayments,$AC:$AC)</f>
        <v>0</v>
      </c>
      <c r="J39" s="102">
        <f>'SA30'!N54</f>
        <v>56315652</v>
      </c>
      <c r="K39" s="545">
        <f>J40</f>
        <v>30811927</v>
      </c>
      <c r="L39" s="546">
        <f>K40</f>
        <v>9562510</v>
      </c>
      <c r="AC39" s="2344" t="s">
        <v>2807</v>
      </c>
    </row>
    <row r="40" spans="1:29" ht="11.25" customHeight="1" x14ac:dyDescent="0.25">
      <c r="A40" s="834" t="s">
        <v>1114</v>
      </c>
      <c r="B40" s="796">
        <v>2</v>
      </c>
      <c r="C40" s="549">
        <f>C38+C39</f>
        <v>0</v>
      </c>
      <c r="D40" s="677">
        <f>D38+D39</f>
        <v>0</v>
      </c>
      <c r="E40" s="817">
        <f>E38+E39</f>
        <v>0</v>
      </c>
      <c r="F40" s="818">
        <f t="shared" ref="F40:L40" si="4">F38+F39</f>
        <v>118930533</v>
      </c>
      <c r="G40" s="549">
        <f t="shared" si="4"/>
        <v>-30911950</v>
      </c>
      <c r="H40" s="549">
        <f t="shared" si="4"/>
        <v>-30911950</v>
      </c>
      <c r="I40" s="835">
        <f t="shared" si="4"/>
        <v>0</v>
      </c>
      <c r="J40" s="548">
        <f t="shared" si="4"/>
        <v>30811927</v>
      </c>
      <c r="K40" s="549">
        <f t="shared" si="4"/>
        <v>9562510</v>
      </c>
      <c r="L40" s="550">
        <f t="shared" si="4"/>
        <v>-16645321</v>
      </c>
      <c r="AC40" s="2343"/>
    </row>
    <row r="41" spans="1:29" ht="11.25" customHeight="1" x14ac:dyDescent="0.25">
      <c r="A41" s="188" t="str">
        <f>head27a</f>
        <v>References</v>
      </c>
      <c r="B41" s="189"/>
      <c r="C41" s="193"/>
      <c r="D41" s="191"/>
      <c r="E41" s="193"/>
      <c r="F41" s="193"/>
      <c r="G41" s="193"/>
      <c r="H41" s="193"/>
      <c r="I41" s="193"/>
      <c r="J41" s="193"/>
      <c r="K41" s="193"/>
      <c r="L41" s="193"/>
    </row>
    <row r="42" spans="1:29" ht="11.25" customHeight="1" x14ac:dyDescent="0.25">
      <c r="A42" s="151" t="s">
        <v>981</v>
      </c>
      <c r="B42" s="189"/>
      <c r="C42" s="193"/>
      <c r="D42" s="191"/>
      <c r="E42" s="193"/>
      <c r="F42" s="193"/>
      <c r="G42" s="193"/>
      <c r="H42" s="193"/>
      <c r="I42" s="193"/>
      <c r="J42" s="193"/>
      <c r="K42" s="193"/>
      <c r="L42" s="193"/>
    </row>
    <row r="43" spans="1:29" ht="11.25" customHeight="1" x14ac:dyDescent="0.25">
      <c r="A43" s="151" t="s">
        <v>808</v>
      </c>
      <c r="B43" s="189"/>
      <c r="C43" s="192"/>
      <c r="D43" s="192"/>
      <c r="E43" s="193"/>
      <c r="F43" s="193"/>
      <c r="G43" s="193"/>
      <c r="H43" s="193"/>
      <c r="I43" s="193"/>
      <c r="J43" s="193"/>
      <c r="K43" s="193"/>
      <c r="L43" s="193"/>
    </row>
    <row r="44" spans="1:29" ht="11.25" customHeight="1" x14ac:dyDescent="0.25">
      <c r="A44" s="542" t="s">
        <v>2011</v>
      </c>
      <c r="B44" s="150"/>
      <c r="C44" s="195"/>
      <c r="D44" s="195"/>
      <c r="E44" s="221"/>
      <c r="F44" s="196"/>
      <c r="G44" s="196"/>
      <c r="H44" s="196"/>
      <c r="I44" s="196"/>
      <c r="J44" s="196"/>
      <c r="K44" s="196"/>
      <c r="L44" s="196"/>
    </row>
    <row r="45" spans="1:29" ht="11.25" customHeight="1" x14ac:dyDescent="0.25">
      <c r="A45" s="220" t="s">
        <v>526</v>
      </c>
      <c r="B45" s="189"/>
      <c r="C45" s="180">
        <f t="shared" ref="C45:L45" si="5">SUM(C6:C12)+SUM(C21:C23)</f>
        <v>0</v>
      </c>
      <c r="D45" s="180">
        <f t="shared" si="5"/>
        <v>0</v>
      </c>
      <c r="E45" s="180">
        <f t="shared" si="5"/>
        <v>0</v>
      </c>
      <c r="F45" s="180">
        <f t="shared" si="5"/>
        <v>118930533</v>
      </c>
      <c r="G45" s="180">
        <f t="shared" si="5"/>
        <v>140767308</v>
      </c>
      <c r="H45" s="180">
        <f t="shared" si="5"/>
        <v>140767308</v>
      </c>
      <c r="I45" s="180">
        <f t="shared" si="5"/>
        <v>0</v>
      </c>
      <c r="J45" s="180">
        <f t="shared" si="5"/>
        <v>150380507</v>
      </c>
      <c r="K45" s="180">
        <f t="shared" si="5"/>
        <v>146335993</v>
      </c>
      <c r="L45" s="180">
        <f t="shared" si="5"/>
        <v>147911127</v>
      </c>
    </row>
    <row r="46" spans="1:29" ht="11.25" customHeight="1" x14ac:dyDescent="0.25">
      <c r="A46" s="220" t="s">
        <v>232</v>
      </c>
      <c r="B46" s="189"/>
      <c r="C46" s="180">
        <f>SUM(C14:C16)+C26</f>
        <v>0</v>
      </c>
      <c r="D46" s="180">
        <f t="shared" ref="D46:L46" si="6">SUM(D14:D16)+D26</f>
        <v>0</v>
      </c>
      <c r="E46" s="180">
        <f t="shared" si="6"/>
        <v>0</v>
      </c>
      <c r="F46" s="180">
        <f t="shared" si="6"/>
        <v>0</v>
      </c>
      <c r="G46" s="180">
        <f t="shared" si="6"/>
        <v>-171679258</v>
      </c>
      <c r="H46" s="180">
        <f t="shared" si="6"/>
        <v>-171679258</v>
      </c>
      <c r="I46" s="180">
        <f t="shared" si="6"/>
        <v>0</v>
      </c>
      <c r="J46" s="180">
        <f t="shared" si="6"/>
        <v>-175884232</v>
      </c>
      <c r="K46" s="180">
        <f t="shared" si="6"/>
        <v>-167585410</v>
      </c>
      <c r="L46" s="180">
        <f t="shared" si="6"/>
        <v>-174118958</v>
      </c>
    </row>
    <row r="47" spans="1:29" ht="11.25" customHeight="1" x14ac:dyDescent="0.25">
      <c r="A47" s="220"/>
      <c r="B47" s="189"/>
      <c r="C47" s="180">
        <f>C45+C46</f>
        <v>0</v>
      </c>
      <c r="D47" s="180">
        <f t="shared" ref="D47:L47" si="7">D45+D46</f>
        <v>0</v>
      </c>
      <c r="E47" s="180">
        <f t="shared" si="7"/>
        <v>0</v>
      </c>
      <c r="F47" s="180">
        <f t="shared" si="7"/>
        <v>118930533</v>
      </c>
      <c r="G47" s="180">
        <f t="shared" si="7"/>
        <v>-30911950</v>
      </c>
      <c r="H47" s="180">
        <f t="shared" si="7"/>
        <v>-30911950</v>
      </c>
      <c r="I47" s="180">
        <f t="shared" si="7"/>
        <v>0</v>
      </c>
      <c r="J47" s="180">
        <f t="shared" si="7"/>
        <v>-25503725</v>
      </c>
      <c r="K47" s="180">
        <f t="shared" si="7"/>
        <v>-21249417</v>
      </c>
      <c r="L47" s="180">
        <f t="shared" si="7"/>
        <v>-26207831</v>
      </c>
    </row>
    <row r="48" spans="1:29" ht="11.25" customHeight="1" x14ac:dyDescent="0.25">
      <c r="A48" s="220" t="s">
        <v>291</v>
      </c>
      <c r="C48" s="180">
        <f>C24+C32+C33</f>
        <v>0</v>
      </c>
      <c r="D48" s="180">
        <f t="shared" ref="D48:L48" si="8">D24+D32+D33</f>
        <v>0</v>
      </c>
      <c r="E48" s="180">
        <f t="shared" si="8"/>
        <v>0</v>
      </c>
      <c r="F48" s="180">
        <f t="shared" si="8"/>
        <v>0</v>
      </c>
      <c r="G48" s="180">
        <f t="shared" si="8"/>
        <v>0</v>
      </c>
      <c r="H48" s="180">
        <f t="shared" si="8"/>
        <v>0</v>
      </c>
      <c r="I48" s="180">
        <f t="shared" si="8"/>
        <v>0</v>
      </c>
      <c r="J48" s="180">
        <f t="shared" si="8"/>
        <v>0</v>
      </c>
      <c r="K48" s="180">
        <f t="shared" si="8"/>
        <v>0</v>
      </c>
      <c r="L48" s="180">
        <f t="shared" si="8"/>
        <v>0</v>
      </c>
    </row>
    <row r="49" spans="1:12" ht="11.25" customHeight="1" x14ac:dyDescent="0.25">
      <c r="A49" s="220" t="str">
        <f>A35</f>
        <v>Repayment of borrowing</v>
      </c>
      <c r="C49" s="180">
        <f>C35</f>
        <v>0</v>
      </c>
      <c r="D49" s="180">
        <f t="shared" ref="D49:L49" si="9">D35</f>
        <v>0</v>
      </c>
      <c r="E49" s="180">
        <f t="shared" si="9"/>
        <v>0</v>
      </c>
      <c r="F49" s="180">
        <f t="shared" si="9"/>
        <v>0</v>
      </c>
      <c r="G49" s="180">
        <f t="shared" si="9"/>
        <v>0</v>
      </c>
      <c r="H49" s="180">
        <f t="shared" si="9"/>
        <v>0</v>
      </c>
      <c r="I49" s="180">
        <f>I35</f>
        <v>0</v>
      </c>
      <c r="J49" s="180">
        <f t="shared" si="9"/>
        <v>0</v>
      </c>
      <c r="K49" s="180">
        <f t="shared" si="9"/>
        <v>0</v>
      </c>
      <c r="L49" s="180">
        <f t="shared" si="9"/>
        <v>0</v>
      </c>
    </row>
    <row r="50" spans="1:12" ht="11.25" customHeight="1" x14ac:dyDescent="0.25">
      <c r="C50" s="180">
        <f>C47+C48+C49</f>
        <v>0</v>
      </c>
      <c r="D50" s="180">
        <f t="shared" ref="D50:L50" si="10">D47+D48+D49</f>
        <v>0</v>
      </c>
      <c r="E50" s="180">
        <f t="shared" si="10"/>
        <v>0</v>
      </c>
      <c r="F50" s="180">
        <f t="shared" si="10"/>
        <v>118930533</v>
      </c>
      <c r="G50" s="180">
        <f t="shared" si="10"/>
        <v>-30911950</v>
      </c>
      <c r="H50" s="180">
        <f t="shared" si="10"/>
        <v>-30911950</v>
      </c>
      <c r="I50" s="180">
        <f t="shared" si="10"/>
        <v>0</v>
      </c>
      <c r="J50" s="180">
        <f t="shared" si="10"/>
        <v>-25503725</v>
      </c>
      <c r="K50" s="180">
        <f t="shared" si="10"/>
        <v>-21249417</v>
      </c>
      <c r="L50" s="180">
        <f t="shared" si="10"/>
        <v>-26207831</v>
      </c>
    </row>
    <row r="51" spans="1:12" ht="11.25" customHeight="1" x14ac:dyDescent="0.25">
      <c r="C51" s="223">
        <f t="shared" ref="C51:L51" si="11">C38-C50</f>
        <v>0</v>
      </c>
      <c r="D51" s="223">
        <f t="shared" si="11"/>
        <v>0</v>
      </c>
      <c r="E51" s="223">
        <f t="shared" si="11"/>
        <v>0</v>
      </c>
      <c r="F51" s="223">
        <f t="shared" si="11"/>
        <v>0</v>
      </c>
      <c r="G51" s="223">
        <f t="shared" si="11"/>
        <v>0</v>
      </c>
      <c r="H51" s="223">
        <f t="shared" si="11"/>
        <v>0</v>
      </c>
      <c r="I51" s="223">
        <f t="shared" si="11"/>
        <v>0</v>
      </c>
      <c r="J51" s="223">
        <f t="shared" si="11"/>
        <v>0</v>
      </c>
      <c r="K51" s="223">
        <f t="shared" si="11"/>
        <v>0</v>
      </c>
      <c r="L51" s="223">
        <f t="shared" si="11"/>
        <v>0</v>
      </c>
    </row>
    <row r="52" spans="1:12" ht="11.25" customHeight="1" x14ac:dyDescent="0.25"/>
    <row r="53" spans="1:12" ht="11.25" customHeight="1" x14ac:dyDescent="0.25"/>
    <row r="54" spans="1:12" ht="11.25" customHeight="1" x14ac:dyDescent="0.25"/>
    <row r="55" spans="1:12" ht="11.25" customHeight="1" x14ac:dyDescent="0.25"/>
    <row r="56" spans="1:12" ht="11.25" customHeight="1" x14ac:dyDescent="0.25"/>
    <row r="57" spans="1:12" ht="11.25" customHeight="1" x14ac:dyDescent="0.25"/>
    <row r="58" spans="1:12" ht="11.25" customHeight="1" x14ac:dyDescent="0.25"/>
    <row r="59" spans="1:12" ht="11.25" customHeight="1" x14ac:dyDescent="0.25"/>
    <row r="60" spans="1:12" ht="11.25" customHeight="1" x14ac:dyDescent="0.25"/>
    <row r="61" spans="1:12" ht="11.25" customHeight="1" x14ac:dyDescent="0.25"/>
    <row r="62" spans="1:12" ht="11.25" customHeight="1" x14ac:dyDescent="0.25"/>
    <row r="63" spans="1:12" ht="11.25" customHeight="1" x14ac:dyDescent="0.25"/>
    <row r="64" spans="1:12" ht="11.25" customHeight="1" x14ac:dyDescent="0.25"/>
    <row r="65" ht="11.25" customHeight="1" x14ac:dyDescent="0.25"/>
    <row r="66" ht="11.25" customHeight="1" x14ac:dyDescent="0.25"/>
    <row r="67" ht="11.25" customHeight="1" x14ac:dyDescent="0.25"/>
    <row r="68" ht="11.25" customHeight="1" x14ac:dyDescent="0.25"/>
    <row r="69" ht="11.25" customHeight="1" x14ac:dyDescent="0.25"/>
    <row r="70" ht="11.25" customHeight="1" x14ac:dyDescent="0.25"/>
    <row r="71" ht="11.25" customHeight="1" x14ac:dyDescent="0.25"/>
    <row r="72" ht="11.25" customHeight="1" x14ac:dyDescent="0.25"/>
    <row r="73" ht="11.25" customHeight="1" x14ac:dyDescent="0.25"/>
    <row r="74" ht="11.25" customHeight="1" x14ac:dyDescent="0.25"/>
    <row r="75" ht="11.25" customHeight="1" x14ac:dyDescent="0.25"/>
    <row r="76" ht="11.25" customHeight="1" x14ac:dyDescent="0.25"/>
    <row r="77" ht="11.25" customHeight="1" x14ac:dyDescent="0.25"/>
    <row r="78" ht="11.25" customHeight="1" x14ac:dyDescent="0.25"/>
    <row r="79" ht="11.25" customHeight="1" x14ac:dyDescent="0.25"/>
  </sheetData>
  <sheetProtection algorithmName="SHA-512" hashValue="iPFicoVfvcoN7+l2lYHjEA2JftRUI/98xLS6QbO3Xe4yzsI8Cu5MK1VLFcMcqHZXdWQ5PdPGuDmTZ0u/SN4Rog==" saltValue="DtVdbpyV6o//MG0HNy238g==" spinCount="100000" sheet="1" objects="1" scenarios="1"/>
  <mergeCells count="2">
    <mergeCell ref="J2:L2"/>
    <mergeCell ref="F2:I2"/>
  </mergeCells>
  <phoneticPr fontId="7" type="noConversion"/>
  <printOptions horizontalCentered="1"/>
  <pageMargins left="0" right="0" top="0.78740157480314965" bottom="0.59055118110236227" header="0.51181102362204722" footer="0.39370078740157483"/>
  <pageSetup paperSize="9" scale="81"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6">
    <pageSetUpPr fitToPage="1"/>
  </sheetPr>
  <dimension ref="A1:N98"/>
  <sheetViews>
    <sheetView showGridLines="0" zoomScale="110" zoomScaleNormal="110" workbookViewId="0">
      <pane xSplit="2" ySplit="3" topLeftCell="C4" activePane="bottomRight" state="frozen"/>
      <selection pane="topRight"/>
      <selection pane="bottomLeft"/>
      <selection pane="bottomRight" activeCell="E42" sqref="E42"/>
    </sheetView>
  </sheetViews>
  <sheetFormatPr defaultColWidth="9.140625" defaultRowHeight="12.75" x14ac:dyDescent="0.25"/>
  <cols>
    <col min="1" max="1" width="30.7109375" style="58" customWidth="1"/>
    <col min="2" max="2" width="3" style="55" customWidth="1"/>
    <col min="3" max="8" width="9.28515625" style="58" customWidth="1"/>
    <col min="9" max="9" width="9.140625" style="58" customWidth="1"/>
    <col min="10" max="12" width="9.28515625" style="58" customWidth="1"/>
    <col min="13" max="13" width="9.7109375" style="58" customWidth="1"/>
    <col min="14" max="14" width="9.42578125" style="58" customWidth="1"/>
    <col min="15" max="15" width="9.7109375" style="58" customWidth="1"/>
    <col min="16" max="18" width="9.42578125" style="58" customWidth="1"/>
    <col min="19" max="19" width="9.7109375" style="58" customWidth="1"/>
    <col min="20" max="22" width="9.42578125" style="58" customWidth="1"/>
    <col min="23" max="24" width="9.7109375" style="58" customWidth="1"/>
    <col min="25" max="16384" width="9.140625" style="58"/>
  </cols>
  <sheetData>
    <row r="1" spans="1:12" s="93" customFormat="1" x14ac:dyDescent="0.2">
      <c r="A1" s="92" t="str">
        <f>muni&amp;" - "&amp;Approve8</f>
        <v>KZN226 Mkhambathini - Table A8 Cash backed reserves/accumulated surplus reconciliation</v>
      </c>
      <c r="B1" s="92"/>
      <c r="C1" s="92"/>
      <c r="D1" s="92"/>
      <c r="E1" s="92"/>
      <c r="F1" s="92"/>
      <c r="G1" s="92"/>
      <c r="H1" s="92"/>
      <c r="I1" s="92"/>
      <c r="J1" s="92"/>
      <c r="K1" s="92"/>
      <c r="L1" s="92"/>
    </row>
    <row r="2" spans="1:12" ht="28.5" customHeight="1" x14ac:dyDescent="0.25">
      <c r="A2" s="696" t="str">
        <f>desc</f>
        <v>Description</v>
      </c>
      <c r="B2" s="155" t="str">
        <f>head27</f>
        <v>Ref</v>
      </c>
      <c r="C2" s="837" t="str">
        <f>head1b</f>
        <v>2017/18</v>
      </c>
      <c r="D2" s="837" t="str">
        <f>head1A</f>
        <v>2018/19</v>
      </c>
      <c r="E2" s="684" t="str">
        <f>Head1</f>
        <v>2019/20</v>
      </c>
      <c r="F2" s="2447" t="str">
        <f>Head2</f>
        <v>Current Year 2020/21</v>
      </c>
      <c r="G2" s="2448"/>
      <c r="H2" s="2448"/>
      <c r="I2" s="2448"/>
      <c r="J2" s="2465" t="str">
        <f>Head3</f>
        <v>2021/22 Medium Term Revenue &amp; Expenditure Framework</v>
      </c>
      <c r="K2" s="2466"/>
      <c r="L2" s="2467"/>
    </row>
    <row r="3" spans="1:12" ht="25.5" x14ac:dyDescent="0.25">
      <c r="A3" s="156" t="s">
        <v>568</v>
      </c>
      <c r="B3" s="157"/>
      <c r="C3" s="698" t="str">
        <f>Head5</f>
        <v>Audited Outcome</v>
      </c>
      <c r="D3" s="698" t="str">
        <f>Head5</f>
        <v>Audited Outcome</v>
      </c>
      <c r="E3" s="94" t="str">
        <f>Head5</f>
        <v>Audited Outcome</v>
      </c>
      <c r="F3" s="95" t="str">
        <f>Head6</f>
        <v>Original Budget</v>
      </c>
      <c r="G3" s="698" t="str">
        <f>Head7</f>
        <v>Adjusted Budget</v>
      </c>
      <c r="H3" s="94" t="str">
        <f>Head8</f>
        <v>Full Year Forecast</v>
      </c>
      <c r="I3" s="702" t="str">
        <f>Head5b</f>
        <v>Pre-audit outcome</v>
      </c>
      <c r="J3" s="839" t="str">
        <f>Head9</f>
        <v>Budget Year 2021/22</v>
      </c>
      <c r="K3" s="698" t="str">
        <f>Head10</f>
        <v>Budget Year +1 2022/23</v>
      </c>
      <c r="L3" s="699" t="str">
        <f>Head11</f>
        <v>Budget Year +2 2023/24</v>
      </c>
    </row>
    <row r="4" spans="1:12" x14ac:dyDescent="0.25">
      <c r="A4" s="96" t="s">
        <v>1052</v>
      </c>
      <c r="B4" s="97"/>
      <c r="C4" s="71"/>
      <c r="D4" s="71"/>
      <c r="E4" s="72"/>
      <c r="F4" s="73"/>
      <c r="G4" s="71"/>
      <c r="H4" s="72"/>
      <c r="I4" s="74"/>
      <c r="J4" s="840"/>
      <c r="K4" s="71"/>
      <c r="L4" s="117"/>
    </row>
    <row r="5" spans="1:12" ht="11.25" customHeight="1" x14ac:dyDescent="0.25">
      <c r="A5" s="104" t="str">
        <f>LEFT('A7-CFlow'!A40,37)</f>
        <v>Cash/cash equivalents at the year end</v>
      </c>
      <c r="B5" s="97">
        <v>1</v>
      </c>
      <c r="C5" s="71">
        <f>'A7-CFlow'!C40</f>
        <v>0</v>
      </c>
      <c r="D5" s="71">
        <f>'A7-CFlow'!D40</f>
        <v>0</v>
      </c>
      <c r="E5" s="72">
        <f>'A7-CFlow'!E40</f>
        <v>0</v>
      </c>
      <c r="F5" s="73">
        <f>'A7-CFlow'!F40</f>
        <v>118930533</v>
      </c>
      <c r="G5" s="71">
        <f>'A7-CFlow'!G40</f>
        <v>-30911950</v>
      </c>
      <c r="H5" s="72">
        <f>'A7-CFlow'!H40</f>
        <v>-30911950</v>
      </c>
      <c r="I5" s="74">
        <f>'A7-CFlow'!I40</f>
        <v>0</v>
      </c>
      <c r="J5" s="75">
        <f>'A7-CFlow'!J40</f>
        <v>30811927</v>
      </c>
      <c r="K5" s="71">
        <f>'A7-CFlow'!K40</f>
        <v>9562510</v>
      </c>
      <c r="L5" s="117">
        <f>'A7-CFlow'!L40</f>
        <v>-16645321</v>
      </c>
    </row>
    <row r="6" spans="1:12" ht="11.25" customHeight="1" x14ac:dyDescent="0.25">
      <c r="A6" s="164" t="s">
        <v>1364</v>
      </c>
      <c r="B6" s="97"/>
      <c r="C6" s="71">
        <f>'A6-FinPos'!C6+'A6-FinPos'!C7-'A6-FinPos'!C29-'A8-ResRecon'!C5</f>
        <v>58973141</v>
      </c>
      <c r="D6" s="71">
        <f>'A6-FinPos'!D6+'A6-FinPos'!D7-'A6-FinPos'!D29-'A8-ResRecon'!D5</f>
        <v>63942251</v>
      </c>
      <c r="E6" s="72">
        <f>'A6-FinPos'!E6+'A6-FinPos'!E7-'A6-FinPos'!E29-'A8-ResRecon'!E5</f>
        <v>65455921</v>
      </c>
      <c r="F6" s="73">
        <f>'A6-FinPos'!F6+'A6-FinPos'!F7-'A6-FinPos'!F29-'A8-ResRecon'!F5</f>
        <v>-58386969</v>
      </c>
      <c r="G6" s="71">
        <f>'A6-FinPos'!G6+'A6-FinPos'!G7-'A6-FinPos'!G29-'A8-ResRecon'!G5</f>
        <v>65447144</v>
      </c>
      <c r="H6" s="72">
        <f>'A6-FinPos'!H6+'A6-FinPos'!H7-'A6-FinPos'!H29-'A8-ResRecon'!H5</f>
        <v>65447144</v>
      </c>
      <c r="I6" s="74">
        <f>'A6-FinPos'!I6+'A6-FinPos'!I7-'A6-FinPos'!I29-'A8-ResRecon'!I5</f>
        <v>39483335</v>
      </c>
      <c r="J6" s="75">
        <f>'A6-FinPos'!J6+'A6-FinPos'!J7-'A6-FinPos'!J29-'A8-ResRecon'!J5</f>
        <v>0</v>
      </c>
      <c r="K6" s="71">
        <f>'A6-FinPos'!K6+'A6-FinPos'!K7-'A6-FinPos'!K29-'A8-ResRecon'!K5</f>
        <v>-275</v>
      </c>
      <c r="L6" s="117">
        <f>'A6-FinPos'!L6+'A6-FinPos'!L7-'A6-FinPos'!L29-'A8-ResRecon'!L5</f>
        <v>142</v>
      </c>
    </row>
    <row r="7" spans="1:12" ht="11.25" customHeight="1" x14ac:dyDescent="0.25">
      <c r="A7" s="104" t="str">
        <f>'A6-FinPos'!A14&amp;" - "&amp;'A6-FinPos'!A16</f>
        <v>Non current assets - Investments</v>
      </c>
      <c r="B7" s="97">
        <v>1</v>
      </c>
      <c r="C7" s="71">
        <f>'A6-FinPos'!C16</f>
        <v>0</v>
      </c>
      <c r="D7" s="71">
        <f>'A6-FinPos'!D16</f>
        <v>0</v>
      </c>
      <c r="E7" s="72">
        <f>'A6-FinPos'!E16</f>
        <v>0</v>
      </c>
      <c r="F7" s="325">
        <f>'A6-FinPos'!F16</f>
        <v>0</v>
      </c>
      <c r="G7" s="323">
        <f>'A6-FinPos'!G16</f>
        <v>0</v>
      </c>
      <c r="H7" s="324">
        <f>'A6-FinPos'!H16</f>
        <v>0</v>
      </c>
      <c r="I7" s="74">
        <f>'A6-FinPos'!I16</f>
        <v>0</v>
      </c>
      <c r="J7" s="327">
        <f>'A6-FinPos'!J16</f>
        <v>0</v>
      </c>
      <c r="K7" s="323">
        <f>'A6-FinPos'!K16</f>
        <v>0</v>
      </c>
      <c r="L7" s="547">
        <f>'A6-FinPos'!L16</f>
        <v>0</v>
      </c>
    </row>
    <row r="8" spans="1:12" ht="11.25" customHeight="1" x14ac:dyDescent="0.25">
      <c r="A8" s="256" t="s">
        <v>1053</v>
      </c>
      <c r="B8" s="841"/>
      <c r="C8" s="243">
        <f>SUM(C5:C7)</f>
        <v>58973141</v>
      </c>
      <c r="D8" s="243">
        <f t="shared" ref="D8:L8" si="0">SUM(D5:D7)</f>
        <v>63942251</v>
      </c>
      <c r="E8" s="581">
        <f t="shared" si="0"/>
        <v>65455921</v>
      </c>
      <c r="F8" s="582">
        <f t="shared" si="0"/>
        <v>60543564</v>
      </c>
      <c r="G8" s="243">
        <f t="shared" si="0"/>
        <v>34535194</v>
      </c>
      <c r="H8" s="581">
        <f t="shared" si="0"/>
        <v>34535194</v>
      </c>
      <c r="I8" s="583">
        <f t="shared" si="0"/>
        <v>39483335</v>
      </c>
      <c r="J8" s="244">
        <f t="shared" si="0"/>
        <v>30811927</v>
      </c>
      <c r="K8" s="243">
        <f t="shared" si="0"/>
        <v>9562235</v>
      </c>
      <c r="L8" s="358">
        <f t="shared" si="0"/>
        <v>-16645179</v>
      </c>
    </row>
    <row r="9" spans="1:12" ht="4.9000000000000004" customHeight="1" x14ac:dyDescent="0.25">
      <c r="A9" s="116"/>
      <c r="B9" s="97"/>
      <c r="C9" s="71"/>
      <c r="D9" s="71"/>
      <c r="E9" s="72"/>
      <c r="F9" s="73"/>
      <c r="G9" s="71"/>
      <c r="H9" s="72"/>
      <c r="I9" s="74"/>
      <c r="J9" s="75"/>
      <c r="K9" s="71"/>
      <c r="L9" s="117"/>
    </row>
    <row r="10" spans="1:12" ht="11.25" customHeight="1" x14ac:dyDescent="0.25">
      <c r="A10" s="96" t="s">
        <v>982</v>
      </c>
      <c r="B10" s="97"/>
      <c r="C10" s="71"/>
      <c r="D10" s="71"/>
      <c r="E10" s="72"/>
      <c r="F10" s="73"/>
      <c r="G10" s="71"/>
      <c r="H10" s="72"/>
      <c r="I10" s="74"/>
      <c r="J10" s="75"/>
      <c r="K10" s="71"/>
      <c r="L10" s="117"/>
    </row>
    <row r="11" spans="1:12" ht="11.25" customHeight="1" x14ac:dyDescent="0.25">
      <c r="A11" s="104" t="str">
        <f>'SA3'!A132</f>
        <v>Unspent conditional transfers</v>
      </c>
      <c r="B11" s="97"/>
      <c r="C11" s="323">
        <f>'SA3'!C132</f>
        <v>965671</v>
      </c>
      <c r="D11" s="71">
        <f>'SA3'!D132</f>
        <v>469127</v>
      </c>
      <c r="E11" s="72">
        <f>'SA3'!E132</f>
        <v>444067</v>
      </c>
      <c r="F11" s="73">
        <f>'SA3'!F132</f>
        <v>-5000000</v>
      </c>
      <c r="G11" s="71">
        <f>'SA3'!G132</f>
        <v>-444068</v>
      </c>
      <c r="H11" s="72">
        <f>'SA3'!H132</f>
        <v>-444068</v>
      </c>
      <c r="I11" s="74">
        <f>'SA3'!I132</f>
        <v>-9517569</v>
      </c>
      <c r="J11" s="75">
        <f>'SA3'!J132</f>
        <v>444068</v>
      </c>
      <c r="K11" s="71">
        <f>'SA3'!K132</f>
        <v>444068</v>
      </c>
      <c r="L11" s="117">
        <f>'SA3'!L132</f>
        <v>444068</v>
      </c>
    </row>
    <row r="12" spans="1:12" ht="11.25" customHeight="1" x14ac:dyDescent="0.25">
      <c r="A12" s="104" t="s">
        <v>132</v>
      </c>
      <c r="B12" s="97"/>
      <c r="C12" s="323">
        <f>'SA17'!C67</f>
        <v>0</v>
      </c>
      <c r="D12" s="323">
        <f>'SA17'!D67</f>
        <v>0</v>
      </c>
      <c r="E12" s="324">
        <f>'SA17'!E67</f>
        <v>0</v>
      </c>
      <c r="F12" s="325">
        <f>'SA17'!F67</f>
        <v>0</v>
      </c>
      <c r="G12" s="323">
        <f>'SA17'!G67</f>
        <v>0</v>
      </c>
      <c r="H12" s="324">
        <f>'SA17'!H67</f>
        <v>0</v>
      </c>
      <c r="I12" s="326"/>
      <c r="J12" s="327">
        <f>'SA17'!I67</f>
        <v>0</v>
      </c>
      <c r="K12" s="323">
        <f>'SA17'!J67</f>
        <v>0</v>
      </c>
      <c r="L12" s="547">
        <f>'SA17'!K67</f>
        <v>0</v>
      </c>
    </row>
    <row r="13" spans="1:12" ht="11.25" customHeight="1" x14ac:dyDescent="0.25">
      <c r="A13" s="104" t="s">
        <v>983</v>
      </c>
      <c r="B13" s="97">
        <v>2</v>
      </c>
      <c r="C13" s="720"/>
      <c r="D13" s="720"/>
      <c r="E13" s="722"/>
      <c r="F13" s="737"/>
      <c r="G13" s="720"/>
      <c r="H13" s="722"/>
      <c r="I13" s="832"/>
      <c r="J13" s="738"/>
      <c r="K13" s="720"/>
      <c r="L13" s="721"/>
    </row>
    <row r="14" spans="1:12" ht="11.25" customHeight="1" x14ac:dyDescent="0.25">
      <c r="A14" s="104" t="s">
        <v>334</v>
      </c>
      <c r="B14" s="97">
        <v>3</v>
      </c>
      <c r="C14" s="71">
        <f>-C32</f>
        <v>9191220</v>
      </c>
      <c r="D14" s="71">
        <f t="shared" ref="D14:L14" si="1">-D32</f>
        <v>8771855</v>
      </c>
      <c r="E14" s="72">
        <f t="shared" si="1"/>
        <v>7852186</v>
      </c>
      <c r="F14" s="73">
        <f>-F32</f>
        <v>6047812</v>
      </c>
      <c r="G14" s="71">
        <f t="shared" si="1"/>
        <v>-13892565</v>
      </c>
      <c r="H14" s="72">
        <f t="shared" si="1"/>
        <v>-13892565</v>
      </c>
      <c r="I14" s="74">
        <f t="shared" si="1"/>
        <v>-7288881</v>
      </c>
      <c r="J14" s="75">
        <f t="shared" si="1"/>
        <v>-19742565</v>
      </c>
      <c r="K14" s="71">
        <f t="shared" si="1"/>
        <v>-17445660</v>
      </c>
      <c r="L14" s="117">
        <f t="shared" si="1"/>
        <v>-24840913</v>
      </c>
    </row>
    <row r="15" spans="1:12" ht="11.25" customHeight="1" x14ac:dyDescent="0.25">
      <c r="A15" s="104" t="s">
        <v>507</v>
      </c>
      <c r="B15" s="97"/>
      <c r="C15" s="720"/>
      <c r="D15" s="720"/>
      <c r="E15" s="722"/>
      <c r="F15" s="737"/>
      <c r="G15" s="720"/>
      <c r="H15" s="722"/>
      <c r="I15" s="832"/>
      <c r="J15" s="738"/>
      <c r="K15" s="720"/>
      <c r="L15" s="721"/>
    </row>
    <row r="16" spans="1:12" ht="11.25" customHeight="1" x14ac:dyDescent="0.25">
      <c r="A16" s="104" t="s">
        <v>335</v>
      </c>
      <c r="B16" s="97">
        <v>4</v>
      </c>
      <c r="C16" s="71">
        <f>C52</f>
        <v>0</v>
      </c>
      <c r="D16" s="71">
        <f t="shared" ref="D16:L16" si="2">D52</f>
        <v>0</v>
      </c>
      <c r="E16" s="72">
        <f t="shared" si="2"/>
        <v>0</v>
      </c>
      <c r="F16" s="325">
        <f t="shared" si="2"/>
        <v>0</v>
      </c>
      <c r="G16" s="323">
        <f t="shared" si="2"/>
        <v>0</v>
      </c>
      <c r="H16" s="324">
        <f t="shared" si="2"/>
        <v>0</v>
      </c>
      <c r="I16" s="326">
        <f t="shared" si="2"/>
        <v>0</v>
      </c>
      <c r="J16" s="327">
        <f t="shared" si="2"/>
        <v>0</v>
      </c>
      <c r="K16" s="323">
        <f t="shared" si="2"/>
        <v>0</v>
      </c>
      <c r="L16" s="547">
        <f t="shared" si="2"/>
        <v>0</v>
      </c>
    </row>
    <row r="17" spans="1:14" ht="11.25" customHeight="1" x14ac:dyDescent="0.25">
      <c r="A17" s="104" t="s">
        <v>1054</v>
      </c>
      <c r="B17" s="97">
        <v>5</v>
      </c>
      <c r="C17" s="712"/>
      <c r="D17" s="712"/>
      <c r="E17" s="717"/>
      <c r="F17" s="718"/>
      <c r="G17" s="712"/>
      <c r="H17" s="717"/>
      <c r="I17" s="719"/>
      <c r="J17" s="725"/>
      <c r="K17" s="712"/>
      <c r="L17" s="713"/>
    </row>
    <row r="18" spans="1:14" ht="11.25" customHeight="1" x14ac:dyDescent="0.25">
      <c r="A18" s="256" t="str">
        <f>"Total "&amp;A10&amp;":"</f>
        <v>Total Application of cash and investments:</v>
      </c>
      <c r="B18" s="841"/>
      <c r="C18" s="243">
        <f>SUM(C11:C17)</f>
        <v>10156891</v>
      </c>
      <c r="D18" s="243">
        <f t="shared" ref="D18:L18" si="3">SUM(D11:D17)</f>
        <v>9240982</v>
      </c>
      <c r="E18" s="581">
        <f t="shared" si="3"/>
        <v>8296253</v>
      </c>
      <c r="F18" s="582">
        <f t="shared" si="3"/>
        <v>1047812</v>
      </c>
      <c r="G18" s="243">
        <f t="shared" si="3"/>
        <v>-14336633</v>
      </c>
      <c r="H18" s="581">
        <f t="shared" si="3"/>
        <v>-14336633</v>
      </c>
      <c r="I18" s="583">
        <f t="shared" si="3"/>
        <v>-16806450</v>
      </c>
      <c r="J18" s="244">
        <f t="shared" si="3"/>
        <v>-19298497</v>
      </c>
      <c r="K18" s="243">
        <f t="shared" si="3"/>
        <v>-17001592</v>
      </c>
      <c r="L18" s="358">
        <f t="shared" si="3"/>
        <v>-24396845</v>
      </c>
      <c r="N18" s="842"/>
    </row>
    <row r="19" spans="1:14" ht="11.25" customHeight="1" x14ac:dyDescent="0.25">
      <c r="A19" s="571" t="s">
        <v>244</v>
      </c>
      <c r="B19" s="118"/>
      <c r="C19" s="677">
        <f>C8-C18</f>
        <v>48816250</v>
      </c>
      <c r="D19" s="677">
        <f t="shared" ref="D19:L19" si="4">D8-D18</f>
        <v>54701269</v>
      </c>
      <c r="E19" s="843">
        <f t="shared" si="4"/>
        <v>57159668</v>
      </c>
      <c r="F19" s="679">
        <f t="shared" si="4"/>
        <v>59495752</v>
      </c>
      <c r="G19" s="677">
        <f t="shared" si="4"/>
        <v>48871827</v>
      </c>
      <c r="H19" s="843">
        <f t="shared" si="4"/>
        <v>48871827</v>
      </c>
      <c r="I19" s="835">
        <f t="shared" si="4"/>
        <v>56289785</v>
      </c>
      <c r="J19" s="548">
        <f t="shared" si="4"/>
        <v>50110424</v>
      </c>
      <c r="K19" s="677">
        <f t="shared" si="4"/>
        <v>26563827</v>
      </c>
      <c r="L19" s="678">
        <f t="shared" si="4"/>
        <v>7751666</v>
      </c>
      <c r="N19" s="842"/>
    </row>
    <row r="20" spans="1:14" ht="11.25" customHeight="1" x14ac:dyDescent="0.25">
      <c r="A20" s="124" t="str">
        <f>head27a</f>
        <v>References</v>
      </c>
      <c r="B20" s="58"/>
      <c r="C20" s="754"/>
      <c r="D20" s="754"/>
      <c r="E20" s="754"/>
      <c r="F20" s="754"/>
      <c r="G20" s="754"/>
      <c r="H20" s="754"/>
      <c r="I20" s="754"/>
      <c r="J20" s="754"/>
      <c r="K20" s="754"/>
      <c r="L20" s="754"/>
    </row>
    <row r="21" spans="1:14" ht="11.25" customHeight="1" x14ac:dyDescent="0.25">
      <c r="A21" s="844" t="s">
        <v>1296</v>
      </c>
      <c r="B21" s="58"/>
    </row>
    <row r="22" spans="1:14" ht="11.25" customHeight="1" x14ac:dyDescent="0.25">
      <c r="A22" s="844" t="s">
        <v>984</v>
      </c>
      <c r="B22" s="58"/>
    </row>
    <row r="23" spans="1:14" ht="11.25" customHeight="1" x14ac:dyDescent="0.25">
      <c r="A23" s="844" t="s">
        <v>250</v>
      </c>
      <c r="B23" s="58"/>
    </row>
    <row r="24" spans="1:14" ht="11.25" customHeight="1" x14ac:dyDescent="0.25">
      <c r="A24" s="844" t="s">
        <v>253</v>
      </c>
      <c r="B24" s="58"/>
    </row>
    <row r="25" spans="1:14" ht="11.25" customHeight="1" x14ac:dyDescent="0.25">
      <c r="A25" s="844" t="s">
        <v>252</v>
      </c>
      <c r="B25" s="58"/>
    </row>
    <row r="26" spans="1:14" ht="6" customHeight="1" x14ac:dyDescent="0.25">
      <c r="B26" s="58"/>
    </row>
    <row r="27" spans="1:14" ht="11.25" customHeight="1" x14ac:dyDescent="0.25">
      <c r="A27" s="845"/>
      <c r="B27" s="58"/>
      <c r="C27" s="101"/>
      <c r="D27" s="101"/>
      <c r="E27" s="101"/>
      <c r="F27" s="101"/>
      <c r="G27" s="101"/>
      <c r="H27" s="101"/>
      <c r="I27" s="101"/>
      <c r="J27" s="101"/>
      <c r="K27" s="101"/>
      <c r="L27" s="101"/>
    </row>
    <row r="28" spans="1:14" ht="11.25" customHeight="1" x14ac:dyDescent="0.25">
      <c r="A28" s="846" t="s">
        <v>334</v>
      </c>
      <c r="B28" s="58"/>
      <c r="C28" s="101"/>
      <c r="D28" s="101"/>
      <c r="E28" s="101"/>
      <c r="F28" s="101"/>
      <c r="G28" s="101"/>
      <c r="H28" s="101"/>
      <c r="I28" s="101"/>
      <c r="J28" s="101"/>
      <c r="K28" s="101"/>
      <c r="L28" s="101"/>
    </row>
    <row r="29" spans="1:14" ht="11.25" customHeight="1" x14ac:dyDescent="0.25">
      <c r="A29" s="126" t="s">
        <v>1957</v>
      </c>
      <c r="B29" s="58"/>
      <c r="C29" s="74">
        <f>IF(ISERROR(ROUND(C35*C36,-3)),0,(ROUND(C35*C36,-3)))</f>
        <v>0</v>
      </c>
      <c r="D29" s="74">
        <f t="shared" ref="D29:L29" si="5">IF(ISERROR(ROUND(D35*D36,-3)),0,(ROUND(D35*D36,-3)))</f>
        <v>0</v>
      </c>
      <c r="E29" s="74">
        <f t="shared" si="5"/>
        <v>0</v>
      </c>
      <c r="F29" s="74">
        <f t="shared" si="5"/>
        <v>-695000</v>
      </c>
      <c r="G29" s="74">
        <f t="shared" si="5"/>
        <v>17828000</v>
      </c>
      <c r="H29" s="74">
        <f t="shared" si="5"/>
        <v>17828000</v>
      </c>
      <c r="I29" s="74">
        <f t="shared" si="5"/>
        <v>0</v>
      </c>
      <c r="J29" s="74">
        <f t="shared" si="5"/>
        <v>23678000</v>
      </c>
      <c r="K29" s="74">
        <f t="shared" si="5"/>
        <v>22238000</v>
      </c>
      <c r="L29" s="74">
        <f t="shared" si="5"/>
        <v>23897000</v>
      </c>
    </row>
    <row r="30" spans="1:14" s="322" customFormat="1" ht="3" customHeight="1" x14ac:dyDescent="0.25">
      <c r="A30" s="126"/>
      <c r="C30" s="74"/>
      <c r="D30" s="74"/>
      <c r="E30" s="74"/>
      <c r="F30" s="74"/>
      <c r="G30" s="74"/>
      <c r="H30" s="74"/>
      <c r="I30" s="74"/>
      <c r="J30" s="74"/>
      <c r="K30" s="74"/>
      <c r="L30" s="74"/>
    </row>
    <row r="31" spans="1:14" ht="11.25" customHeight="1" x14ac:dyDescent="0.25">
      <c r="A31" s="126" t="s">
        <v>1955</v>
      </c>
      <c r="B31" s="58"/>
      <c r="C31" s="74">
        <f>'SA3'!C130+'SA3'!C131</f>
        <v>9191220</v>
      </c>
      <c r="D31" s="74">
        <f>'SA3'!D130+'SA3'!D131</f>
        <v>8771855</v>
      </c>
      <c r="E31" s="74">
        <f>'SA3'!E130+'SA3'!E131</f>
        <v>7852186</v>
      </c>
      <c r="F31" s="74">
        <f>'SA3'!F130+'SA3'!F131</f>
        <v>5352812</v>
      </c>
      <c r="G31" s="74">
        <f>'SA3'!G130+'SA3'!G131</f>
        <v>3935435</v>
      </c>
      <c r="H31" s="74">
        <f>'SA3'!H130+'SA3'!H131</f>
        <v>3935435</v>
      </c>
      <c r="I31" s="74">
        <f>'SA3'!I130+'SA3'!I131</f>
        <v>-7288881</v>
      </c>
      <c r="J31" s="74">
        <f>'SA3'!J130+'SA3'!J131</f>
        <v>3935435</v>
      </c>
      <c r="K31" s="74">
        <f>'SA3'!K130+'SA3'!K131</f>
        <v>4792340</v>
      </c>
      <c r="L31" s="74">
        <f>'SA3'!L130+'SA3'!L131</f>
        <v>-943913</v>
      </c>
    </row>
    <row r="32" spans="1:14" ht="11.25" customHeight="1" x14ac:dyDescent="0.25">
      <c r="A32" s="126" t="s">
        <v>660</v>
      </c>
      <c r="B32" s="58"/>
      <c r="C32" s="847">
        <f>C29-C31</f>
        <v>-9191220</v>
      </c>
      <c r="D32" s="847">
        <f t="shared" ref="D32:L32" si="6">D29-D31</f>
        <v>-8771855</v>
      </c>
      <c r="E32" s="847">
        <f t="shared" si="6"/>
        <v>-7852186</v>
      </c>
      <c r="F32" s="847">
        <f t="shared" si="6"/>
        <v>-6047812</v>
      </c>
      <c r="G32" s="847">
        <f t="shared" si="6"/>
        <v>13892565</v>
      </c>
      <c r="H32" s="847">
        <f t="shared" si="6"/>
        <v>13892565</v>
      </c>
      <c r="I32" s="847">
        <f t="shared" si="6"/>
        <v>7288881</v>
      </c>
      <c r="J32" s="847">
        <f t="shared" si="6"/>
        <v>19742565</v>
      </c>
      <c r="K32" s="847">
        <f t="shared" si="6"/>
        <v>17445660</v>
      </c>
      <c r="L32" s="847">
        <f t="shared" si="6"/>
        <v>24840913</v>
      </c>
    </row>
    <row r="33" spans="1:12" ht="6" customHeight="1" x14ac:dyDescent="0.25">
      <c r="B33" s="58"/>
      <c r="C33" s="74"/>
      <c r="D33" s="74"/>
      <c r="E33" s="74"/>
      <c r="F33" s="74"/>
      <c r="G33" s="74"/>
      <c r="H33" s="74"/>
      <c r="I33" s="74"/>
      <c r="J33" s="74"/>
      <c r="K33" s="74"/>
      <c r="L33" s="74"/>
    </row>
    <row r="34" spans="1:12" ht="11.25" customHeight="1" x14ac:dyDescent="0.25">
      <c r="A34" s="846" t="s">
        <v>1950</v>
      </c>
      <c r="B34" s="58"/>
      <c r="C34" s="674"/>
      <c r="D34" s="674"/>
      <c r="E34" s="674"/>
      <c r="F34" s="674"/>
      <c r="G34" s="674"/>
      <c r="H34" s="674"/>
      <c r="I34" s="674"/>
      <c r="J34" s="674"/>
      <c r="K34" s="674"/>
      <c r="L34" s="674"/>
    </row>
    <row r="35" spans="1:12" ht="11.25" customHeight="1" x14ac:dyDescent="0.25">
      <c r="A35" s="126" t="s">
        <v>1953</v>
      </c>
      <c r="B35" s="58"/>
      <c r="C35" s="74">
        <f>'A6-FinPos'!C8+'A6-FinPos'!C9+'A6-FinPos'!C15</f>
        <v>18245459</v>
      </c>
      <c r="D35" s="74">
        <f>'A6-FinPos'!D8+'A6-FinPos'!D9+'A6-FinPos'!D15</f>
        <v>23848128</v>
      </c>
      <c r="E35" s="74">
        <f>'A6-FinPos'!E8+'A6-FinPos'!E9+'A6-FinPos'!E15</f>
        <v>24515303</v>
      </c>
      <c r="F35" s="74">
        <f>'A6-FinPos'!F8+'A6-FinPos'!F9+'A6-FinPos'!F15</f>
        <v>-824327</v>
      </c>
      <c r="G35" s="74">
        <f>'A6-FinPos'!G8+'A6-FinPos'!G9+'A6-FinPos'!G15</f>
        <v>20902285</v>
      </c>
      <c r="H35" s="74">
        <f>'A6-FinPos'!H8+'A6-FinPos'!H9+'A6-FinPos'!H15</f>
        <v>20902285</v>
      </c>
      <c r="I35" s="74">
        <f>'A6-FinPos'!I8+'A6-FinPos'!I9+'A6-FinPos'!I15</f>
        <v>31360470</v>
      </c>
      <c r="J35" s="74">
        <f>'A6-FinPos'!J8+'A6-FinPos'!J9+'A6-FinPos'!J15</f>
        <v>26464239</v>
      </c>
      <c r="K35" s="74">
        <f>'A6-FinPos'!K8+'A6-FinPos'!K9+'A6-FinPos'!K15</f>
        <v>26458636</v>
      </c>
      <c r="L35" s="74">
        <f>'A6-FinPos'!L8+'A6-FinPos'!L9+'A6-FinPos'!L15</f>
        <v>28024043</v>
      </c>
    </row>
    <row r="36" spans="1:12" ht="11.25" customHeight="1" x14ac:dyDescent="0.25">
      <c r="A36" s="126" t="s">
        <v>1954</v>
      </c>
      <c r="B36" s="58"/>
      <c r="C36" s="848">
        <f>IF(ISERROR('SA10'!D10),0,('SA10'!D10))</f>
        <v>0</v>
      </c>
      <c r="D36" s="848">
        <f>IF(ISERROR('SA10'!E10),0,('SA10'!E10))</f>
        <v>0</v>
      </c>
      <c r="E36" s="848">
        <f>IF(ISERROR('SA10'!F10),0,('SA10'!F10))</f>
        <v>0</v>
      </c>
      <c r="F36" s="848">
        <f>IF(ISERROR('SA10'!G10),0,('SA10'!G10))</f>
        <v>0.84309451831705129</v>
      </c>
      <c r="G36" s="848">
        <f>IF(ISERROR('SA10'!H10),0,('SA10'!H10))</f>
        <v>0.85292305185099371</v>
      </c>
      <c r="H36" s="848">
        <f>IF(ISERROR('SA10'!I10),0,('SA10'!I10))</f>
        <v>0.85292305185099371</v>
      </c>
      <c r="I36" s="848">
        <f>IF(ISERROR('SA10'!J10),0,('SA10'!J10))</f>
        <v>0</v>
      </c>
      <c r="J36" s="848">
        <f>IF(ISERROR('SA10'!K10),0,('SA10'!K10))</f>
        <v>0.89470384187021046</v>
      </c>
      <c r="K36" s="848">
        <f>IF(ISERROR('SA10'!L10),0,('SA10'!L10))</f>
        <v>0.8404651039115798</v>
      </c>
      <c r="L36" s="848">
        <f>IF(ISERROR('SA10'!M10),0,('SA10'!M10))</f>
        <v>0.85271460788608933</v>
      </c>
    </row>
    <row r="37" spans="1:12" s="322" customFormat="1" ht="3" customHeight="1" x14ac:dyDescent="0.25">
      <c r="A37" s="126"/>
      <c r="C37" s="74"/>
      <c r="D37" s="74"/>
      <c r="E37" s="74"/>
      <c r="F37" s="74"/>
      <c r="G37" s="74"/>
      <c r="H37" s="74"/>
      <c r="I37" s="74"/>
      <c r="J37" s="74"/>
      <c r="K37" s="74"/>
      <c r="L37" s="74"/>
    </row>
    <row r="38" spans="1:12" s="322" customFormat="1" ht="3" customHeight="1" x14ac:dyDescent="0.25">
      <c r="A38" s="126"/>
      <c r="C38" s="849"/>
      <c r="D38" s="849"/>
      <c r="E38" s="849"/>
      <c r="F38" s="849"/>
      <c r="G38" s="849"/>
      <c r="H38" s="849"/>
      <c r="I38" s="849"/>
      <c r="J38" s="849"/>
      <c r="K38" s="849"/>
      <c r="L38" s="849"/>
    </row>
    <row r="39" spans="1:12" ht="11.25" customHeight="1" x14ac:dyDescent="0.25">
      <c r="B39" s="58"/>
      <c r="C39" s="322"/>
      <c r="D39" s="322"/>
      <c r="E39" s="322"/>
      <c r="F39" s="322"/>
      <c r="G39" s="322"/>
      <c r="H39" s="322"/>
      <c r="I39" s="322"/>
      <c r="J39" s="322"/>
      <c r="K39" s="322" t="s">
        <v>1952</v>
      </c>
      <c r="L39" s="322"/>
    </row>
    <row r="40" spans="1:12" ht="11.25" customHeight="1" x14ac:dyDescent="0.25">
      <c r="A40" s="850" t="str">
        <f>A16</f>
        <v>Long term investments committed</v>
      </c>
      <c r="B40" s="58"/>
      <c r="I40" s="851"/>
    </row>
    <row r="41" spans="1:12" ht="11.25" customHeight="1" x14ac:dyDescent="0.25">
      <c r="A41" s="852" t="s">
        <v>817</v>
      </c>
      <c r="B41" s="58"/>
      <c r="C41" s="719"/>
      <c r="D41" s="719"/>
      <c r="E41" s="719"/>
      <c r="F41" s="719"/>
      <c r="G41" s="719"/>
      <c r="H41" s="719"/>
      <c r="I41" s="719"/>
      <c r="J41" s="719"/>
      <c r="K41" s="719"/>
      <c r="L41" s="719"/>
    </row>
    <row r="42" spans="1:12" ht="11.25" customHeight="1" x14ac:dyDescent="0.25">
      <c r="A42" s="853"/>
      <c r="B42" s="58"/>
      <c r="C42" s="719"/>
      <c r="D42" s="719"/>
      <c r="E42" s="719"/>
      <c r="F42" s="719"/>
      <c r="G42" s="719"/>
      <c r="H42" s="719"/>
      <c r="I42" s="719"/>
      <c r="J42" s="719"/>
      <c r="K42" s="719"/>
      <c r="L42" s="719"/>
    </row>
    <row r="43" spans="1:12" ht="11.25" customHeight="1" x14ac:dyDescent="0.25">
      <c r="A43" s="853"/>
      <c r="B43" s="58"/>
      <c r="C43" s="719"/>
      <c r="D43" s="719"/>
      <c r="E43" s="719"/>
      <c r="F43" s="719"/>
      <c r="G43" s="719"/>
      <c r="H43" s="719"/>
      <c r="I43" s="719"/>
      <c r="J43" s="719"/>
      <c r="K43" s="719"/>
      <c r="L43" s="719"/>
    </row>
    <row r="44" spans="1:12" ht="11.25" customHeight="1" x14ac:dyDescent="0.25">
      <c r="A44" s="853"/>
      <c r="B44" s="58"/>
      <c r="C44" s="719"/>
      <c r="D44" s="719"/>
      <c r="E44" s="719"/>
      <c r="F44" s="719"/>
      <c r="G44" s="719"/>
      <c r="H44" s="719"/>
      <c r="I44" s="719"/>
      <c r="J44" s="719"/>
      <c r="K44" s="719"/>
      <c r="L44" s="719"/>
    </row>
    <row r="45" spans="1:12" ht="11.25" customHeight="1" x14ac:dyDescent="0.25">
      <c r="A45" s="853"/>
      <c r="B45" s="58"/>
      <c r="C45" s="719"/>
      <c r="D45" s="719"/>
      <c r="E45" s="719"/>
      <c r="F45" s="719"/>
      <c r="G45" s="719"/>
      <c r="H45" s="719"/>
      <c r="I45" s="719"/>
      <c r="J45" s="719"/>
      <c r="K45" s="719"/>
      <c r="L45" s="719"/>
    </row>
    <row r="46" spans="1:12" ht="11.25" customHeight="1" x14ac:dyDescent="0.25">
      <c r="A46" s="853"/>
      <c r="B46" s="58"/>
      <c r="C46" s="719"/>
      <c r="D46" s="719"/>
      <c r="E46" s="719"/>
      <c r="F46" s="719"/>
      <c r="G46" s="719"/>
      <c r="H46" s="719"/>
      <c r="I46" s="719"/>
      <c r="J46" s="719"/>
      <c r="K46" s="719"/>
      <c r="L46" s="719"/>
    </row>
    <row r="47" spans="1:12" ht="11.25" customHeight="1" x14ac:dyDescent="0.25">
      <c r="A47" s="853"/>
      <c r="B47" s="58"/>
      <c r="C47" s="719"/>
      <c r="D47" s="719"/>
      <c r="E47" s="719"/>
      <c r="F47" s="719"/>
      <c r="G47" s="719"/>
      <c r="H47" s="719"/>
      <c r="I47" s="719"/>
      <c r="J47" s="719"/>
      <c r="K47" s="719"/>
      <c r="L47" s="719"/>
    </row>
    <row r="48" spans="1:12" ht="11.25" customHeight="1" x14ac:dyDescent="0.25">
      <c r="A48" s="853"/>
      <c r="B48" s="58"/>
      <c r="C48" s="719"/>
      <c r="D48" s="719"/>
      <c r="E48" s="719"/>
      <c r="F48" s="719"/>
      <c r="G48" s="719"/>
      <c r="H48" s="719"/>
      <c r="I48" s="719"/>
      <c r="J48" s="719"/>
      <c r="K48" s="719"/>
      <c r="L48" s="719"/>
    </row>
    <row r="49" spans="1:12" ht="11.25" customHeight="1" x14ac:dyDescent="0.25">
      <c r="A49" s="853"/>
      <c r="B49" s="58"/>
      <c r="C49" s="719"/>
      <c r="D49" s="719"/>
      <c r="E49" s="719"/>
      <c r="F49" s="719"/>
      <c r="G49" s="719"/>
      <c r="H49" s="719"/>
      <c r="I49" s="719"/>
      <c r="J49" s="719"/>
      <c r="K49" s="719"/>
      <c r="L49" s="719"/>
    </row>
    <row r="50" spans="1:12" ht="11.25" customHeight="1" x14ac:dyDescent="0.25">
      <c r="A50" s="853"/>
      <c r="B50" s="58"/>
      <c r="C50" s="719"/>
      <c r="D50" s="719"/>
      <c r="E50" s="719"/>
      <c r="F50" s="719"/>
      <c r="G50" s="719"/>
      <c r="H50" s="719"/>
      <c r="I50" s="719"/>
      <c r="J50" s="719"/>
      <c r="K50" s="719"/>
      <c r="L50" s="719"/>
    </row>
    <row r="51" spans="1:12" ht="11.25" customHeight="1" x14ac:dyDescent="0.25">
      <c r="A51" s="853"/>
      <c r="B51" s="58"/>
      <c r="C51" s="719"/>
      <c r="D51" s="719"/>
      <c r="E51" s="719"/>
      <c r="F51" s="719"/>
      <c r="G51" s="719"/>
      <c r="H51" s="719"/>
      <c r="I51" s="719"/>
      <c r="J51" s="719"/>
      <c r="K51" s="719"/>
      <c r="L51" s="719"/>
    </row>
    <row r="52" spans="1:12" ht="11.25" customHeight="1" thickBot="1" x14ac:dyDescent="0.3">
      <c r="A52" s="850"/>
      <c r="B52" s="58"/>
      <c r="C52" s="854">
        <f>SUM(C41:C51)</f>
        <v>0</v>
      </c>
      <c r="D52" s="854">
        <f t="shared" ref="D52:L52" si="7">SUM(D41:D51)</f>
        <v>0</v>
      </c>
      <c r="E52" s="854">
        <f t="shared" si="7"/>
        <v>0</v>
      </c>
      <c r="F52" s="854">
        <f t="shared" si="7"/>
        <v>0</v>
      </c>
      <c r="G52" s="854">
        <f t="shared" si="7"/>
        <v>0</v>
      </c>
      <c r="H52" s="854">
        <f t="shared" si="7"/>
        <v>0</v>
      </c>
      <c r="I52" s="854">
        <f t="shared" si="7"/>
        <v>0</v>
      </c>
      <c r="J52" s="854">
        <f t="shared" si="7"/>
        <v>0</v>
      </c>
      <c r="K52" s="854">
        <f t="shared" si="7"/>
        <v>0</v>
      </c>
      <c r="L52" s="854">
        <f t="shared" si="7"/>
        <v>0</v>
      </c>
    </row>
    <row r="53" spans="1:12" ht="11.25" customHeight="1" thickTop="1" x14ac:dyDescent="0.25">
      <c r="A53" s="850" t="str">
        <f>A17</f>
        <v>Reserves to be backed by cash/investments</v>
      </c>
      <c r="B53" s="58"/>
      <c r="I53" s="851"/>
    </row>
    <row r="54" spans="1:12" ht="11.25" customHeight="1" x14ac:dyDescent="0.25">
      <c r="A54" s="58" t="str">
        <f>'SA3'!A160</f>
        <v>Housing Development Fund</v>
      </c>
      <c r="B54" s="58"/>
      <c r="C54" s="74">
        <f>'SA3'!C160</f>
        <v>0</v>
      </c>
      <c r="D54" s="74">
        <f>'SA3'!D160</f>
        <v>0</v>
      </c>
      <c r="E54" s="74">
        <f>'SA3'!E160</f>
        <v>0</v>
      </c>
      <c r="F54" s="74">
        <f>'SA3'!F160</f>
        <v>0</v>
      </c>
      <c r="G54" s="74">
        <f>'SA3'!G160</f>
        <v>0</v>
      </c>
      <c r="H54" s="74">
        <f>'SA3'!H160</f>
        <v>0</v>
      </c>
      <c r="I54" s="74">
        <f>'SA3'!I160</f>
        <v>0</v>
      </c>
      <c r="J54" s="74">
        <f>'SA3'!J160</f>
        <v>0</v>
      </c>
      <c r="K54" s="74">
        <f>'SA3'!K160</f>
        <v>0</v>
      </c>
      <c r="L54" s="74">
        <f>'SA3'!L160</f>
        <v>0</v>
      </c>
    </row>
    <row r="55" spans="1:12" ht="11.25" customHeight="1" x14ac:dyDescent="0.25">
      <c r="A55" s="58" t="str">
        <f>'SA3'!A161</f>
        <v>Capital replacement</v>
      </c>
      <c r="B55" s="58"/>
      <c r="C55" s="719"/>
      <c r="D55" s="719"/>
      <c r="E55" s="719"/>
      <c r="F55" s="719"/>
      <c r="G55" s="719"/>
      <c r="H55" s="719"/>
      <c r="I55" s="719"/>
      <c r="J55" s="719"/>
      <c r="K55" s="719"/>
      <c r="L55" s="719"/>
    </row>
    <row r="56" spans="1:12" ht="11.25" customHeight="1" x14ac:dyDescent="0.25">
      <c r="A56" s="58" t="str">
        <f>'SA3'!A162</f>
        <v>Self-insurance</v>
      </c>
      <c r="B56" s="58"/>
      <c r="C56" s="719"/>
      <c r="D56" s="719"/>
      <c r="E56" s="719"/>
      <c r="F56" s="719"/>
      <c r="G56" s="719"/>
      <c r="H56" s="719"/>
      <c r="I56" s="719"/>
      <c r="J56" s="719"/>
      <c r="K56" s="719"/>
      <c r="L56" s="719"/>
    </row>
    <row r="57" spans="1:12" ht="11.25" customHeight="1" x14ac:dyDescent="0.25">
      <c r="A57" s="852" t="s">
        <v>1229</v>
      </c>
      <c r="B57" s="322"/>
      <c r="C57" s="719"/>
      <c r="D57" s="719"/>
      <c r="E57" s="719"/>
      <c r="F57" s="719"/>
      <c r="G57" s="719"/>
      <c r="H57" s="719"/>
      <c r="I57" s="719"/>
      <c r="J57" s="719"/>
      <c r="K57" s="719"/>
      <c r="L57" s="719"/>
    </row>
    <row r="58" spans="1:12" ht="11.25" customHeight="1" x14ac:dyDescent="0.25">
      <c r="A58" s="852"/>
      <c r="B58" s="322"/>
      <c r="C58" s="719"/>
      <c r="D58" s="719"/>
      <c r="E58" s="719"/>
      <c r="F58" s="719"/>
      <c r="G58" s="719"/>
      <c r="H58" s="719"/>
      <c r="I58" s="719"/>
      <c r="J58" s="719"/>
      <c r="K58" s="719"/>
      <c r="L58" s="719"/>
    </row>
    <row r="59" spans="1:12" ht="11.25" customHeight="1" x14ac:dyDescent="0.25">
      <c r="A59" s="852"/>
      <c r="B59" s="322"/>
      <c r="C59" s="719"/>
      <c r="D59" s="719"/>
      <c r="E59" s="719"/>
      <c r="F59" s="719"/>
      <c r="G59" s="719"/>
      <c r="H59" s="719"/>
      <c r="I59" s="719"/>
      <c r="J59" s="719"/>
      <c r="K59" s="719"/>
      <c r="L59" s="719"/>
    </row>
    <row r="60" spans="1:12" ht="11.25" customHeight="1" x14ac:dyDescent="0.25">
      <c r="A60" s="852"/>
      <c r="B60" s="322"/>
      <c r="C60" s="719"/>
      <c r="D60" s="719"/>
      <c r="E60" s="719"/>
      <c r="F60" s="719"/>
      <c r="G60" s="719"/>
      <c r="H60" s="719"/>
      <c r="I60" s="719"/>
      <c r="J60" s="719"/>
      <c r="K60" s="719"/>
      <c r="L60" s="719"/>
    </row>
    <row r="61" spans="1:12" ht="11.25" customHeight="1" x14ac:dyDescent="0.25">
      <c r="A61" s="852"/>
      <c r="B61" s="322"/>
      <c r="C61" s="719"/>
      <c r="D61" s="719"/>
      <c r="E61" s="719"/>
      <c r="F61" s="719"/>
      <c r="G61" s="719"/>
      <c r="H61" s="719"/>
      <c r="I61" s="719"/>
      <c r="J61" s="719"/>
      <c r="K61" s="719"/>
      <c r="L61" s="719"/>
    </row>
    <row r="62" spans="1:12" ht="11.25" customHeight="1" x14ac:dyDescent="0.25">
      <c r="A62" s="852"/>
      <c r="B62" s="322"/>
      <c r="C62" s="719"/>
      <c r="D62" s="719"/>
      <c r="E62" s="719"/>
      <c r="F62" s="719"/>
      <c r="G62" s="719"/>
      <c r="H62" s="719"/>
      <c r="I62" s="719"/>
      <c r="J62" s="719"/>
      <c r="K62" s="719"/>
      <c r="L62" s="719"/>
    </row>
    <row r="63" spans="1:12" ht="11.25" customHeight="1" x14ac:dyDescent="0.25">
      <c r="A63" s="852"/>
      <c r="B63" s="322"/>
      <c r="C63" s="719"/>
      <c r="D63" s="719"/>
      <c r="E63" s="719"/>
      <c r="F63" s="719"/>
      <c r="G63" s="719"/>
      <c r="H63" s="719"/>
      <c r="I63" s="719"/>
      <c r="J63" s="719"/>
      <c r="K63" s="719"/>
      <c r="L63" s="719"/>
    </row>
    <row r="64" spans="1:12" ht="11.25" customHeight="1" x14ac:dyDescent="0.25">
      <c r="A64" s="852"/>
      <c r="B64" s="322"/>
      <c r="C64" s="719"/>
      <c r="D64" s="719"/>
      <c r="E64" s="719"/>
      <c r="F64" s="719"/>
      <c r="G64" s="719"/>
      <c r="H64" s="719"/>
      <c r="I64" s="719"/>
      <c r="J64" s="719"/>
      <c r="K64" s="719"/>
      <c r="L64" s="719"/>
    </row>
    <row r="65" spans="1:12" ht="11.25" customHeight="1" x14ac:dyDescent="0.25">
      <c r="A65" s="852"/>
      <c r="B65" s="322"/>
      <c r="C65" s="719"/>
      <c r="D65" s="719"/>
      <c r="E65" s="719"/>
      <c r="F65" s="719"/>
      <c r="G65" s="719"/>
      <c r="H65" s="719"/>
      <c r="I65" s="719"/>
      <c r="J65" s="719"/>
      <c r="K65" s="719"/>
      <c r="L65" s="719"/>
    </row>
    <row r="67" spans="1:12" ht="11.25" customHeight="1" thickBot="1" x14ac:dyDescent="0.3">
      <c r="B67" s="58"/>
      <c r="C67" s="854">
        <f t="shared" ref="C67:L67" si="8">SUM(C54:C65)</f>
        <v>0</v>
      </c>
      <c r="D67" s="854">
        <f t="shared" si="8"/>
        <v>0</v>
      </c>
      <c r="E67" s="854">
        <f t="shared" si="8"/>
        <v>0</v>
      </c>
      <c r="F67" s="854">
        <f t="shared" si="8"/>
        <v>0</v>
      </c>
      <c r="G67" s="854">
        <f t="shared" si="8"/>
        <v>0</v>
      </c>
      <c r="H67" s="854">
        <f t="shared" si="8"/>
        <v>0</v>
      </c>
      <c r="I67" s="854">
        <f t="shared" si="8"/>
        <v>0</v>
      </c>
      <c r="J67" s="854">
        <f t="shared" si="8"/>
        <v>0</v>
      </c>
      <c r="K67" s="854">
        <f t="shared" si="8"/>
        <v>0</v>
      </c>
      <c r="L67" s="854">
        <f t="shared" si="8"/>
        <v>0</v>
      </c>
    </row>
    <row r="68" spans="1:12" ht="11.25" customHeight="1" thickTop="1" x14ac:dyDescent="0.25">
      <c r="B68" s="58"/>
    </row>
    <row r="69" spans="1:12" ht="11.25" customHeight="1" x14ac:dyDescent="0.25">
      <c r="B69" s="58"/>
    </row>
    <row r="70" spans="1:12" ht="11.25" customHeight="1" x14ac:dyDescent="0.25">
      <c r="B70" s="58"/>
    </row>
    <row r="71" spans="1:12" ht="11.25" customHeight="1" x14ac:dyDescent="0.25">
      <c r="B71" s="58"/>
    </row>
    <row r="72" spans="1:12" ht="11.25" customHeight="1" x14ac:dyDescent="0.25">
      <c r="B72" s="58"/>
    </row>
    <row r="73" spans="1:12" ht="11.25" customHeight="1" x14ac:dyDescent="0.25">
      <c r="B73" s="58"/>
    </row>
    <row r="74" spans="1:12" ht="11.25" customHeight="1" x14ac:dyDescent="0.25">
      <c r="B74" s="58"/>
    </row>
    <row r="75" spans="1:12" ht="11.25" customHeight="1" x14ac:dyDescent="0.25">
      <c r="B75" s="58"/>
    </row>
    <row r="76" spans="1:12" ht="11.25" customHeight="1" x14ac:dyDescent="0.25">
      <c r="B76" s="58"/>
    </row>
    <row r="77" spans="1:12" ht="11.25" customHeight="1" x14ac:dyDescent="0.25"/>
    <row r="78" spans="1:12" ht="11.25" customHeight="1" x14ac:dyDescent="0.25"/>
    <row r="79" spans="1:12" ht="11.25" customHeight="1" x14ac:dyDescent="0.25"/>
    <row r="80" spans="1:12" ht="11.25" customHeight="1" x14ac:dyDescent="0.25"/>
    <row r="81" ht="11.25" customHeight="1" x14ac:dyDescent="0.25"/>
    <row r="82" ht="11.25" customHeight="1" x14ac:dyDescent="0.25"/>
    <row r="83" ht="11.25" customHeight="1" x14ac:dyDescent="0.25"/>
    <row r="84" ht="11.25" customHeight="1" x14ac:dyDescent="0.25"/>
    <row r="85" ht="11.25" customHeight="1" x14ac:dyDescent="0.25"/>
    <row r="86" ht="11.25" customHeight="1" x14ac:dyDescent="0.25"/>
    <row r="87" ht="11.25" customHeight="1" x14ac:dyDescent="0.25"/>
    <row r="88" ht="11.25" customHeight="1" x14ac:dyDescent="0.25"/>
    <row r="89" ht="11.25" customHeight="1" x14ac:dyDescent="0.25"/>
    <row r="90" ht="11.25" customHeight="1" x14ac:dyDescent="0.25"/>
    <row r="91" ht="11.25" customHeight="1" x14ac:dyDescent="0.25"/>
    <row r="92" ht="11.25" customHeight="1" x14ac:dyDescent="0.25"/>
    <row r="93" ht="11.25" customHeight="1" x14ac:dyDescent="0.25"/>
    <row r="94" ht="11.25" customHeight="1" x14ac:dyDescent="0.25"/>
    <row r="95" ht="11.25" customHeight="1" x14ac:dyDescent="0.25"/>
    <row r="96" ht="11.25" customHeight="1" x14ac:dyDescent="0.25"/>
    <row r="97" ht="11.25" customHeight="1" x14ac:dyDescent="0.25"/>
    <row r="98" ht="11.25" customHeight="1" x14ac:dyDescent="0.25"/>
  </sheetData>
  <sheetProtection algorithmName="SHA-512" hashValue="h9qB+slpLdoAPtbvgdlZzlyU/mm+h+FI6lrSu1x7fl/OKOjx4Ds5RfJ/D/VEJ/kYXsA4ZlFukaBgoRV2sYdE6w==" saltValue="qjdLECRpC1pyBIKJWzsWow==" spinCount="100000" sheet="1" objects="1" scenarios="1"/>
  <mergeCells count="2">
    <mergeCell ref="J2:L2"/>
    <mergeCell ref="F2:I2"/>
  </mergeCells>
  <phoneticPr fontId="7" type="noConversion"/>
  <dataValidations count="1">
    <dataValidation type="decimal" allowBlank="1" showInputMessage="1" showErrorMessage="1" sqref="C12:L13 C15:L15 C17:L17 C41:L51 C38 C29:L31 C55:L65" xr:uid="{00000000-0002-0000-1100-000000000000}">
      <formula1>-99999999999999900000</formula1>
      <formula2>99999999999999900000</formula2>
    </dataValidation>
  </dataValidations>
  <printOptions horizontalCentered="1"/>
  <pageMargins left="0" right="0" top="0.78740157480314965" bottom="0.59055118110236227" header="0.51181102362204722" footer="0.39370078740157483"/>
  <pageSetup paperSize="9" scale="81"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33C9EF-4BD7-4941-85E5-4253A2D8E03C}">
  <sheetPr codeName="Sheet5"/>
  <dimension ref="B1:F2"/>
  <sheetViews>
    <sheetView workbookViewId="0">
      <selection activeCell="F30" sqref="F30"/>
    </sheetView>
  </sheetViews>
  <sheetFormatPr defaultRowHeight="12.75" x14ac:dyDescent="0.2"/>
  <sheetData>
    <row r="1" spans="2:6" x14ac:dyDescent="0.2">
      <c r="B1" t="s">
        <v>2613</v>
      </c>
      <c r="F1" t="s">
        <v>2614</v>
      </c>
    </row>
    <row r="2" spans="2:6" x14ac:dyDescent="0.2">
      <c r="D2" s="2299"/>
    </row>
  </sheetData>
  <sheetProtection algorithmName="SHA-512" hashValue="Td8ONboE3qGV6cy9M5DV4lEGDUpfGMryLocRELCvt29HS78ajSpaAKNRYoZ1z0q+xNTLC6y27iD3WtewoYGBiw==" saltValue="0olWtJugBahNiKnWJ+CmCQ==" spinCount="100000" sheet="1" objects="1" scenarios="1"/>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7">
    <pageSetUpPr fitToPage="1"/>
  </sheetPr>
  <dimension ref="A1:AE250"/>
  <sheetViews>
    <sheetView showGridLines="0" zoomScale="110" zoomScaleNormal="110" workbookViewId="0">
      <pane xSplit="2" ySplit="3" topLeftCell="E181" activePane="bottomRight" state="frozen"/>
      <selection pane="topRight"/>
      <selection pane="bottomLeft"/>
      <selection pane="bottomRight" activeCell="M196" sqref="M196"/>
    </sheetView>
  </sheetViews>
  <sheetFormatPr defaultColWidth="9.140625" defaultRowHeight="12.75" x14ac:dyDescent="0.25"/>
  <cols>
    <col min="1" max="1" width="37.7109375" style="58" customWidth="1"/>
    <col min="2" max="2" width="3" style="55" customWidth="1"/>
    <col min="3" max="11" width="9.28515625" style="58" customWidth="1"/>
    <col min="12" max="12" width="9.7109375" style="58" customWidth="1"/>
    <col min="13" max="13" width="9.42578125" style="58" customWidth="1"/>
    <col min="14" max="14" width="9.7109375" style="58" customWidth="1"/>
    <col min="15" max="17" width="9.42578125" style="58" customWidth="1"/>
    <col min="18" max="18" width="9.7109375" style="58" customWidth="1"/>
    <col min="19" max="21" width="9.42578125" style="58" customWidth="1"/>
    <col min="22" max="23" width="9.7109375" style="58" customWidth="1"/>
    <col min="24" max="28" width="9.140625" style="58" customWidth="1"/>
    <col min="29" max="29" width="9.140625" style="2312"/>
    <col min="30" max="16384" width="9.140625" style="58"/>
  </cols>
  <sheetData>
    <row r="1" spans="1:29" s="93" customFormat="1" x14ac:dyDescent="0.2">
      <c r="A1" s="92" t="str">
        <f>muni&amp;" - "&amp;Approve9</f>
        <v>KZN226 Mkhambathini - Table A9 Asset Management</v>
      </c>
      <c r="B1" s="92"/>
      <c r="C1" s="92"/>
      <c r="D1" s="92"/>
      <c r="E1" s="92"/>
      <c r="F1" s="92"/>
      <c r="G1" s="92"/>
      <c r="H1" s="92"/>
      <c r="I1" s="92"/>
      <c r="J1" s="92"/>
      <c r="K1" s="92"/>
      <c r="AC1" s="2313"/>
    </row>
    <row r="2" spans="1:29" ht="28.5" customHeight="1" x14ac:dyDescent="0.25">
      <c r="A2" s="696" t="str">
        <f>desc</f>
        <v>Description</v>
      </c>
      <c r="B2" s="155" t="str">
        <f>head27</f>
        <v>Ref</v>
      </c>
      <c r="C2" s="837" t="str">
        <f>head1b</f>
        <v>2017/18</v>
      </c>
      <c r="D2" s="837" t="str">
        <f>head1A</f>
        <v>2018/19</v>
      </c>
      <c r="E2" s="684" t="str">
        <f>Head1</f>
        <v>2019/20</v>
      </c>
      <c r="F2" s="2447" t="str">
        <f>Head2</f>
        <v>Current Year 2020/21</v>
      </c>
      <c r="G2" s="2448"/>
      <c r="H2" s="2449"/>
      <c r="I2" s="2450" t="str">
        <f>Head3</f>
        <v>2021/22 Medium Term Revenue &amp; Expenditure Framework</v>
      </c>
      <c r="J2" s="2451"/>
      <c r="K2" s="2452"/>
    </row>
    <row r="3" spans="1:29" ht="25.5" x14ac:dyDescent="0.25">
      <c r="A3" s="855" t="s">
        <v>568</v>
      </c>
      <c r="B3" s="157"/>
      <c r="C3" s="698" t="str">
        <f>Head5</f>
        <v>Audited Outcome</v>
      </c>
      <c r="D3" s="698" t="str">
        <f>Head5</f>
        <v>Audited Outcome</v>
      </c>
      <c r="E3" s="94" t="str">
        <f>Head5</f>
        <v>Audited Outcome</v>
      </c>
      <c r="F3" s="95" t="str">
        <f>Head6</f>
        <v>Original Budget</v>
      </c>
      <c r="G3" s="698" t="str">
        <f>Head7</f>
        <v>Adjusted Budget</v>
      </c>
      <c r="H3" s="94" t="str">
        <f>Head8</f>
        <v>Full Year Forecast</v>
      </c>
      <c r="I3" s="95" t="str">
        <f>Head9</f>
        <v>Budget Year 2021/22</v>
      </c>
      <c r="J3" s="698" t="str">
        <f>Head10</f>
        <v>Budget Year +1 2022/23</v>
      </c>
      <c r="K3" s="94" t="str">
        <f>Head11</f>
        <v>Budget Year +2 2023/24</v>
      </c>
    </row>
    <row r="4" spans="1:29" ht="11.25" customHeight="1" x14ac:dyDescent="0.25">
      <c r="A4" s="856" t="s">
        <v>1251</v>
      </c>
      <c r="B4" s="144"/>
      <c r="C4" s="545"/>
      <c r="D4" s="545"/>
      <c r="E4" s="742"/>
      <c r="F4" s="743"/>
      <c r="G4" s="545"/>
      <c r="H4" s="831"/>
      <c r="I4" s="544"/>
      <c r="J4" s="545"/>
      <c r="K4" s="742"/>
    </row>
    <row r="5" spans="1:29" ht="11.25" customHeight="1" x14ac:dyDescent="0.25">
      <c r="A5" s="857" t="s">
        <v>926</v>
      </c>
      <c r="B5" s="144">
        <v>1</v>
      </c>
      <c r="C5" s="545">
        <f>C15+C18+C19+C22+C25+C26+SUM(C29:C35)</f>
        <v>165590749</v>
      </c>
      <c r="D5" s="545">
        <f t="shared" ref="D5:K5" si="0">D15+D18+D19+D22+D25+D26+SUM(D29:D35)</f>
        <v>192059456</v>
      </c>
      <c r="E5" s="742">
        <f t="shared" si="0"/>
        <v>213642163</v>
      </c>
      <c r="F5" s="743">
        <f t="shared" si="0"/>
        <v>24696767</v>
      </c>
      <c r="G5" s="545">
        <f t="shared" si="0"/>
        <v>42212488</v>
      </c>
      <c r="H5" s="831">
        <f t="shared" si="0"/>
        <v>42212488</v>
      </c>
      <c r="I5" s="544">
        <f t="shared" si="0"/>
        <v>26460000</v>
      </c>
      <c r="J5" s="545">
        <f t="shared" si="0"/>
        <v>3756392</v>
      </c>
      <c r="K5" s="742">
        <f t="shared" si="0"/>
        <v>3986648</v>
      </c>
    </row>
    <row r="6" spans="1:29" ht="11.25" customHeight="1" x14ac:dyDescent="0.25">
      <c r="A6" s="858" t="s">
        <v>2230</v>
      </c>
      <c r="B6" s="97"/>
      <c r="C6" s="71">
        <f>SA34a!C7</f>
        <v>54238266</v>
      </c>
      <c r="D6" s="71">
        <f>SA34a!D7</f>
        <v>62146800</v>
      </c>
      <c r="E6" s="72">
        <f>SA34a!E7</f>
        <v>71583669</v>
      </c>
      <c r="F6" s="73">
        <f>SA34a!F7</f>
        <v>9467783</v>
      </c>
      <c r="G6" s="71">
        <f>SA34a!G7</f>
        <v>21910731</v>
      </c>
      <c r="H6" s="74">
        <f>SA34a!H7</f>
        <v>21910731</v>
      </c>
      <c r="I6" s="75">
        <f>SA34a!I7</f>
        <v>13790425</v>
      </c>
      <c r="J6" s="71">
        <f>SA34a!J7</f>
        <v>0</v>
      </c>
      <c r="K6" s="72">
        <f>SA34a!K7</f>
        <v>0</v>
      </c>
    </row>
    <row r="7" spans="1:29" ht="11.25" customHeight="1" x14ac:dyDescent="0.25">
      <c r="A7" s="858" t="s">
        <v>2234</v>
      </c>
      <c r="B7" s="97"/>
      <c r="C7" s="71">
        <f>SA34a!C12</f>
        <v>0</v>
      </c>
      <c r="D7" s="71">
        <f>SA34a!D12</f>
        <v>0</v>
      </c>
      <c r="E7" s="72">
        <f>SA34a!E12</f>
        <v>0</v>
      </c>
      <c r="F7" s="73">
        <f>SA34a!F12</f>
        <v>0</v>
      </c>
      <c r="G7" s="71">
        <f>SA34a!G12</f>
        <v>0</v>
      </c>
      <c r="H7" s="74">
        <f>SA34a!H12</f>
        <v>0</v>
      </c>
      <c r="I7" s="75">
        <f>SA34a!I12</f>
        <v>0</v>
      </c>
      <c r="J7" s="71">
        <f>SA34a!J12</f>
        <v>0</v>
      </c>
      <c r="K7" s="72">
        <f>SA34a!K12</f>
        <v>0</v>
      </c>
    </row>
    <row r="8" spans="1:29" ht="11.25" customHeight="1" x14ac:dyDescent="0.25">
      <c r="A8" s="858" t="s">
        <v>2279</v>
      </c>
      <c r="B8" s="97"/>
      <c r="C8" s="71">
        <f>SA34a!C16</f>
        <v>0</v>
      </c>
      <c r="D8" s="71">
        <f>SA34a!D16</f>
        <v>0</v>
      </c>
      <c r="E8" s="72">
        <f>SA34a!E16</f>
        <v>0</v>
      </c>
      <c r="F8" s="73">
        <f>SA34a!F16</f>
        <v>0</v>
      </c>
      <c r="G8" s="71">
        <f>SA34a!G16</f>
        <v>0</v>
      </c>
      <c r="H8" s="74">
        <f>SA34a!H16</f>
        <v>0</v>
      </c>
      <c r="I8" s="75">
        <f>SA34a!I16</f>
        <v>0</v>
      </c>
      <c r="J8" s="71">
        <f>SA34a!J16</f>
        <v>0</v>
      </c>
      <c r="K8" s="72">
        <f>SA34a!K16</f>
        <v>0</v>
      </c>
    </row>
    <row r="9" spans="1:29" ht="11.25" customHeight="1" x14ac:dyDescent="0.25">
      <c r="A9" s="858" t="s">
        <v>2280</v>
      </c>
      <c r="B9" s="97"/>
      <c r="C9" s="71">
        <f>SA34a!C26</f>
        <v>0</v>
      </c>
      <c r="D9" s="71">
        <f>SA34a!D26</f>
        <v>0</v>
      </c>
      <c r="E9" s="72">
        <f>SA34a!E26</f>
        <v>0</v>
      </c>
      <c r="F9" s="73">
        <f>SA34a!F26</f>
        <v>0</v>
      </c>
      <c r="G9" s="71">
        <f>SA34a!G26</f>
        <v>0</v>
      </c>
      <c r="H9" s="74">
        <f>SA34a!H26</f>
        <v>0</v>
      </c>
      <c r="I9" s="75">
        <f>SA34a!I26</f>
        <v>0</v>
      </c>
      <c r="J9" s="71">
        <f>SA34a!J26</f>
        <v>0</v>
      </c>
      <c r="K9" s="72">
        <f>SA34a!K26</f>
        <v>0</v>
      </c>
    </row>
    <row r="10" spans="1:29" ht="11.25" customHeight="1" x14ac:dyDescent="0.25">
      <c r="A10" s="858" t="s">
        <v>2281</v>
      </c>
      <c r="B10" s="97"/>
      <c r="C10" s="71">
        <f>SA34a!C37</f>
        <v>0</v>
      </c>
      <c r="D10" s="71">
        <f>SA34a!D37</f>
        <v>0</v>
      </c>
      <c r="E10" s="72">
        <f>SA34a!E37</f>
        <v>0</v>
      </c>
      <c r="F10" s="73">
        <f>SA34a!F37</f>
        <v>0</v>
      </c>
      <c r="G10" s="71">
        <f>SA34a!G37</f>
        <v>0</v>
      </c>
      <c r="H10" s="74">
        <f>SA34a!H37</f>
        <v>0</v>
      </c>
      <c r="I10" s="75">
        <f>SA34a!I37</f>
        <v>0</v>
      </c>
      <c r="J10" s="71">
        <f>SA34a!J37</f>
        <v>0</v>
      </c>
      <c r="K10" s="72">
        <f>SA34a!K37</f>
        <v>0</v>
      </c>
    </row>
    <row r="11" spans="1:29" ht="11.25" customHeight="1" x14ac:dyDescent="0.25">
      <c r="A11" s="858" t="s">
        <v>2259</v>
      </c>
      <c r="B11" s="97"/>
      <c r="C11" s="71">
        <f>SA34a!C44</f>
        <v>0</v>
      </c>
      <c r="D11" s="71">
        <f>SA34a!D44</f>
        <v>0</v>
      </c>
      <c r="E11" s="72">
        <f>SA34a!E44</f>
        <v>0</v>
      </c>
      <c r="F11" s="73">
        <f>SA34a!F44</f>
        <v>0</v>
      </c>
      <c r="G11" s="71">
        <f>SA34a!G44</f>
        <v>0</v>
      </c>
      <c r="H11" s="74">
        <f>SA34a!H44</f>
        <v>0</v>
      </c>
      <c r="I11" s="75">
        <f>SA34a!I44</f>
        <v>0</v>
      </c>
      <c r="J11" s="71">
        <f>SA34a!J44</f>
        <v>0</v>
      </c>
      <c r="K11" s="72">
        <f>SA34a!K44</f>
        <v>0</v>
      </c>
    </row>
    <row r="12" spans="1:29" ht="11.25" customHeight="1" x14ac:dyDescent="0.25">
      <c r="A12" s="858" t="s">
        <v>2275</v>
      </c>
      <c r="B12" s="97"/>
      <c r="C12" s="71">
        <f>SA34a!C52</f>
        <v>0</v>
      </c>
      <c r="D12" s="71">
        <f>SA34a!D52</f>
        <v>0</v>
      </c>
      <c r="E12" s="72">
        <f>SA34a!E52</f>
        <v>0</v>
      </c>
      <c r="F12" s="73">
        <f>SA34a!F52</f>
        <v>0</v>
      </c>
      <c r="G12" s="71">
        <f>SA34a!G52</f>
        <v>0</v>
      </c>
      <c r="H12" s="74">
        <f>SA34a!H52</f>
        <v>0</v>
      </c>
      <c r="I12" s="75">
        <f>SA34a!I52</f>
        <v>0</v>
      </c>
      <c r="J12" s="71">
        <f>SA34a!J52</f>
        <v>0</v>
      </c>
      <c r="K12" s="72">
        <f>SA34a!K52</f>
        <v>0</v>
      </c>
    </row>
    <row r="13" spans="1:29" ht="11.25" customHeight="1" x14ac:dyDescent="0.25">
      <c r="A13" s="858" t="s">
        <v>2270</v>
      </c>
      <c r="B13" s="97"/>
      <c r="C13" s="71">
        <f>SA34a!C62</f>
        <v>0</v>
      </c>
      <c r="D13" s="71">
        <f>SA34a!D62</f>
        <v>0</v>
      </c>
      <c r="E13" s="72">
        <f>SA34a!E62</f>
        <v>0</v>
      </c>
      <c r="F13" s="73">
        <f>SA34a!F62</f>
        <v>0</v>
      </c>
      <c r="G13" s="71">
        <f>SA34a!G62</f>
        <v>0</v>
      </c>
      <c r="H13" s="74">
        <f>SA34a!H62</f>
        <v>0</v>
      </c>
      <c r="I13" s="75">
        <f>SA34a!I62</f>
        <v>0</v>
      </c>
      <c r="J13" s="71">
        <f>SA34a!J62</f>
        <v>0</v>
      </c>
      <c r="K13" s="72">
        <f>SA34a!K62</f>
        <v>0</v>
      </c>
    </row>
    <row r="14" spans="1:29" ht="11.25" customHeight="1" x14ac:dyDescent="0.25">
      <c r="A14" s="858" t="s">
        <v>2266</v>
      </c>
      <c r="B14" s="97"/>
      <c r="C14" s="71">
        <f>SA34a!C68</f>
        <v>0</v>
      </c>
      <c r="D14" s="71">
        <f>SA34a!D68</f>
        <v>0</v>
      </c>
      <c r="E14" s="72">
        <f>SA34a!E68</f>
        <v>0</v>
      </c>
      <c r="F14" s="73">
        <f>SA34a!F68</f>
        <v>0</v>
      </c>
      <c r="G14" s="71">
        <f>SA34a!G68</f>
        <v>0</v>
      </c>
      <c r="H14" s="74">
        <f>SA34a!H68</f>
        <v>0</v>
      </c>
      <c r="I14" s="75">
        <f>SA34a!I68</f>
        <v>0</v>
      </c>
      <c r="J14" s="71">
        <f>SA34a!J68</f>
        <v>0</v>
      </c>
      <c r="K14" s="72">
        <f>SA34a!K68</f>
        <v>0</v>
      </c>
    </row>
    <row r="15" spans="1:29" ht="11.25" customHeight="1" x14ac:dyDescent="0.25">
      <c r="A15" s="859" t="s">
        <v>838</v>
      </c>
      <c r="B15" s="860"/>
      <c r="C15" s="642">
        <f>SUM(C6:C14)</f>
        <v>54238266</v>
      </c>
      <c r="D15" s="642">
        <f t="shared" ref="D15:K15" si="1">SUM(D6:D14)</f>
        <v>62146800</v>
      </c>
      <c r="E15" s="643">
        <f t="shared" si="1"/>
        <v>71583669</v>
      </c>
      <c r="F15" s="644">
        <f t="shared" si="1"/>
        <v>9467783</v>
      </c>
      <c r="G15" s="642">
        <f t="shared" si="1"/>
        <v>21910731</v>
      </c>
      <c r="H15" s="645">
        <f t="shared" si="1"/>
        <v>21910731</v>
      </c>
      <c r="I15" s="646">
        <f t="shared" si="1"/>
        <v>13790425</v>
      </c>
      <c r="J15" s="642">
        <f t="shared" si="1"/>
        <v>0</v>
      </c>
      <c r="K15" s="643">
        <f t="shared" si="1"/>
        <v>0</v>
      </c>
    </row>
    <row r="16" spans="1:29" ht="11.25" customHeight="1" x14ac:dyDescent="0.25">
      <c r="A16" s="861" t="s">
        <v>2283</v>
      </c>
      <c r="B16" s="144"/>
      <c r="C16" s="71">
        <f>SA34a!C75</f>
        <v>82457646</v>
      </c>
      <c r="D16" s="71">
        <f>SA34a!D75</f>
        <v>96973071</v>
      </c>
      <c r="E16" s="72">
        <f>SA34a!E75</f>
        <v>105941807</v>
      </c>
      <c r="F16" s="73">
        <f>SA34a!F75</f>
        <v>9528984</v>
      </c>
      <c r="G16" s="71">
        <f>SA34a!G75</f>
        <v>18079806</v>
      </c>
      <c r="H16" s="74">
        <f>SA34a!H75</f>
        <v>18079806</v>
      </c>
      <c r="I16" s="75">
        <f>SA34a!I75</f>
        <v>2964575</v>
      </c>
      <c r="J16" s="71">
        <f>SA34a!J75</f>
        <v>3000000</v>
      </c>
      <c r="K16" s="72">
        <f>SA34a!K75</f>
        <v>3200000</v>
      </c>
    </row>
    <row r="17" spans="1:11" ht="11.25" customHeight="1" x14ac:dyDescent="0.25">
      <c r="A17" s="861" t="s">
        <v>2301</v>
      </c>
      <c r="B17" s="144"/>
      <c r="C17" s="323">
        <f>SA34a!C98</f>
        <v>0</v>
      </c>
      <c r="D17" s="323">
        <f>SA34a!D98</f>
        <v>0</v>
      </c>
      <c r="E17" s="324">
        <f>SA34a!E98</f>
        <v>0</v>
      </c>
      <c r="F17" s="325">
        <f>SA34a!F98</f>
        <v>0</v>
      </c>
      <c r="G17" s="323">
        <f>SA34a!G98</f>
        <v>0</v>
      </c>
      <c r="H17" s="326">
        <f>SA34a!H98</f>
        <v>0</v>
      </c>
      <c r="I17" s="327">
        <f>SA34a!I98</f>
        <v>8000000</v>
      </c>
      <c r="J17" s="323">
        <f>SA34a!J98</f>
        <v>0</v>
      </c>
      <c r="K17" s="324">
        <f>SA34a!K98</f>
        <v>0</v>
      </c>
    </row>
    <row r="18" spans="1:11" ht="11.25" customHeight="1" x14ac:dyDescent="0.25">
      <c r="A18" s="859" t="s">
        <v>2282</v>
      </c>
      <c r="B18" s="860"/>
      <c r="C18" s="642">
        <f>SUM(C16:C17)</f>
        <v>82457646</v>
      </c>
      <c r="D18" s="642">
        <f t="shared" ref="D18:K18" si="2">SUM(D16:D17)</f>
        <v>96973071</v>
      </c>
      <c r="E18" s="643">
        <f t="shared" si="2"/>
        <v>105941807</v>
      </c>
      <c r="F18" s="644">
        <f t="shared" si="2"/>
        <v>9528984</v>
      </c>
      <c r="G18" s="642">
        <f t="shared" si="2"/>
        <v>18079806</v>
      </c>
      <c r="H18" s="645">
        <f t="shared" si="2"/>
        <v>18079806</v>
      </c>
      <c r="I18" s="646">
        <f t="shared" si="2"/>
        <v>10964575</v>
      </c>
      <c r="J18" s="642">
        <f t="shared" si="2"/>
        <v>3000000</v>
      </c>
      <c r="K18" s="643">
        <f t="shared" si="2"/>
        <v>3200000</v>
      </c>
    </row>
    <row r="19" spans="1:11" ht="11.25" customHeight="1" x14ac:dyDescent="0.25">
      <c r="A19" s="862" t="s">
        <v>1733</v>
      </c>
      <c r="B19" s="211"/>
      <c r="C19" s="98">
        <f>SA34a!C103</f>
        <v>0</v>
      </c>
      <c r="D19" s="98">
        <f>SA34a!D103</f>
        <v>0</v>
      </c>
      <c r="E19" s="99">
        <f>SA34a!E103</f>
        <v>0</v>
      </c>
      <c r="F19" s="100">
        <f>SA34a!F103</f>
        <v>0</v>
      </c>
      <c r="G19" s="98">
        <f>SA34a!G103</f>
        <v>0</v>
      </c>
      <c r="H19" s="101">
        <f>SA34a!H103</f>
        <v>0</v>
      </c>
      <c r="I19" s="102">
        <f>SA34a!I103</f>
        <v>0</v>
      </c>
      <c r="J19" s="98">
        <f>SA34a!J103</f>
        <v>0</v>
      </c>
      <c r="K19" s="99">
        <f>SA34a!K103</f>
        <v>0</v>
      </c>
    </row>
    <row r="20" spans="1:11" ht="11.25" customHeight="1" x14ac:dyDescent="0.25">
      <c r="A20" s="861" t="s">
        <v>2338</v>
      </c>
      <c r="B20" s="144"/>
      <c r="C20" s="71">
        <f>SA34a!C111</f>
        <v>0</v>
      </c>
      <c r="D20" s="71">
        <f>SA34a!D111</f>
        <v>0</v>
      </c>
      <c r="E20" s="72">
        <f>SA34a!E111</f>
        <v>0</v>
      </c>
      <c r="F20" s="73">
        <f>SA34a!F111</f>
        <v>0</v>
      </c>
      <c r="G20" s="71">
        <f>SA34a!G111</f>
        <v>0</v>
      </c>
      <c r="H20" s="74">
        <f>SA34a!H111</f>
        <v>0</v>
      </c>
      <c r="I20" s="75">
        <f>SA34a!I111</f>
        <v>0</v>
      </c>
      <c r="J20" s="71">
        <f>SA34a!J111</f>
        <v>0</v>
      </c>
      <c r="K20" s="72">
        <f>SA34a!K111</f>
        <v>0</v>
      </c>
    </row>
    <row r="21" spans="1:11" ht="11.25" customHeight="1" x14ac:dyDescent="0.25">
      <c r="A21" s="861" t="s">
        <v>2341</v>
      </c>
      <c r="B21" s="144"/>
      <c r="C21" s="323">
        <f>SA34a!C114</f>
        <v>0</v>
      </c>
      <c r="D21" s="323">
        <f>SA34a!D114</f>
        <v>0</v>
      </c>
      <c r="E21" s="324">
        <f>SA34a!E114</f>
        <v>0</v>
      </c>
      <c r="F21" s="325">
        <f>SA34a!F114</f>
        <v>0</v>
      </c>
      <c r="G21" s="323">
        <f>SA34a!G114</f>
        <v>0</v>
      </c>
      <c r="H21" s="326">
        <f>SA34a!H114</f>
        <v>0</v>
      </c>
      <c r="I21" s="327">
        <f>SA34a!I114</f>
        <v>0</v>
      </c>
      <c r="J21" s="323">
        <f>SA34a!J114</f>
        <v>0</v>
      </c>
      <c r="K21" s="324">
        <f>SA34a!K114</f>
        <v>0</v>
      </c>
    </row>
    <row r="22" spans="1:11" ht="11.25" customHeight="1" x14ac:dyDescent="0.25">
      <c r="A22" s="859" t="s">
        <v>829</v>
      </c>
      <c r="B22" s="860"/>
      <c r="C22" s="642">
        <f>SUM(C20:C21)</f>
        <v>0</v>
      </c>
      <c r="D22" s="642">
        <f t="shared" ref="D22:K22" si="3">SUM(D20:D21)</f>
        <v>0</v>
      </c>
      <c r="E22" s="643">
        <f t="shared" si="3"/>
        <v>0</v>
      </c>
      <c r="F22" s="644">
        <f t="shared" si="3"/>
        <v>0</v>
      </c>
      <c r="G22" s="642">
        <f t="shared" si="3"/>
        <v>0</v>
      </c>
      <c r="H22" s="645">
        <f t="shared" si="3"/>
        <v>0</v>
      </c>
      <c r="I22" s="646">
        <f t="shared" si="3"/>
        <v>0</v>
      </c>
      <c r="J22" s="642">
        <f t="shared" si="3"/>
        <v>0</v>
      </c>
      <c r="K22" s="643">
        <f t="shared" si="3"/>
        <v>0</v>
      </c>
    </row>
    <row r="23" spans="1:11" ht="11.25" customHeight="1" x14ac:dyDescent="0.25">
      <c r="A23" s="861" t="s">
        <v>2309</v>
      </c>
      <c r="B23" s="144"/>
      <c r="C23" s="71">
        <f>SA34a!C119</f>
        <v>13527172</v>
      </c>
      <c r="D23" s="71">
        <f>SA34a!D119</f>
        <v>12980672</v>
      </c>
      <c r="E23" s="72">
        <f>SA34a!E119</f>
        <v>13182084</v>
      </c>
      <c r="F23" s="73">
        <f>SA34a!F119</f>
        <v>5000000</v>
      </c>
      <c r="G23" s="71">
        <f>SA34a!G119</f>
        <v>1521951</v>
      </c>
      <c r="H23" s="74">
        <f>SA34a!H119</f>
        <v>1521951</v>
      </c>
      <c r="I23" s="75">
        <f>SA34a!I119</f>
        <v>0</v>
      </c>
      <c r="J23" s="71">
        <f>SA34a!J119</f>
        <v>0</v>
      </c>
      <c r="K23" s="72">
        <f>SA34a!K119</f>
        <v>0</v>
      </c>
    </row>
    <row r="24" spans="1:11" ht="11.25" customHeight="1" x14ac:dyDescent="0.25">
      <c r="A24" s="861" t="s">
        <v>1487</v>
      </c>
      <c r="B24" s="144"/>
      <c r="C24" s="323">
        <f>SA34a!C131</f>
        <v>0</v>
      </c>
      <c r="D24" s="323">
        <f>SA34a!D131</f>
        <v>0</v>
      </c>
      <c r="E24" s="324">
        <f>SA34a!E131</f>
        <v>0</v>
      </c>
      <c r="F24" s="325">
        <f>SA34a!F131</f>
        <v>0</v>
      </c>
      <c r="G24" s="323">
        <f>SA34a!G131</f>
        <v>0</v>
      </c>
      <c r="H24" s="326">
        <f>SA34a!H131</f>
        <v>0</v>
      </c>
      <c r="I24" s="327">
        <f>SA34a!I131</f>
        <v>0</v>
      </c>
      <c r="J24" s="323">
        <f>SA34a!J131</f>
        <v>0</v>
      </c>
      <c r="K24" s="324">
        <f>SA34a!K131</f>
        <v>0</v>
      </c>
    </row>
    <row r="25" spans="1:11" ht="11.25" customHeight="1" x14ac:dyDescent="0.25">
      <c r="A25" s="859" t="s">
        <v>1738</v>
      </c>
      <c r="B25" s="860"/>
      <c r="C25" s="642">
        <f>SUM(C23:C24)</f>
        <v>13527172</v>
      </c>
      <c r="D25" s="642">
        <f t="shared" ref="D25:K25" si="4">SUM(D23:D24)</f>
        <v>12980672</v>
      </c>
      <c r="E25" s="643">
        <f t="shared" si="4"/>
        <v>13182084</v>
      </c>
      <c r="F25" s="644">
        <f t="shared" si="4"/>
        <v>5000000</v>
      </c>
      <c r="G25" s="642">
        <f t="shared" si="4"/>
        <v>1521951</v>
      </c>
      <c r="H25" s="645">
        <f t="shared" si="4"/>
        <v>1521951</v>
      </c>
      <c r="I25" s="646">
        <f t="shared" si="4"/>
        <v>0</v>
      </c>
      <c r="J25" s="642">
        <f t="shared" si="4"/>
        <v>0</v>
      </c>
      <c r="K25" s="643">
        <f t="shared" si="4"/>
        <v>0</v>
      </c>
    </row>
    <row r="26" spans="1:11" ht="11.25" customHeight="1" x14ac:dyDescent="0.25">
      <c r="A26" s="862" t="s">
        <v>2322</v>
      </c>
      <c r="B26" s="211"/>
      <c r="C26" s="98">
        <f>SA34a!C136</f>
        <v>0</v>
      </c>
      <c r="D26" s="98">
        <f>SA34a!D136</f>
        <v>0</v>
      </c>
      <c r="E26" s="99">
        <f>SA34a!E136</f>
        <v>0</v>
      </c>
      <c r="F26" s="100">
        <f>SA34a!F136</f>
        <v>0</v>
      </c>
      <c r="G26" s="98">
        <f>SA34a!G136</f>
        <v>0</v>
      </c>
      <c r="H26" s="101">
        <f>SA34a!H136</f>
        <v>0</v>
      </c>
      <c r="I26" s="102">
        <f>SA34a!I136</f>
        <v>0</v>
      </c>
      <c r="J26" s="98">
        <f>SA34a!J136</f>
        <v>0</v>
      </c>
      <c r="K26" s="99">
        <f>SA34a!K136</f>
        <v>0</v>
      </c>
    </row>
    <row r="27" spans="1:11" ht="11.25" customHeight="1" x14ac:dyDescent="0.25">
      <c r="A27" s="861" t="s">
        <v>2323</v>
      </c>
      <c r="B27" s="144"/>
      <c r="C27" s="71">
        <f>SA34a!C140</f>
        <v>0</v>
      </c>
      <c r="D27" s="71">
        <f>SA34a!D140</f>
        <v>0</v>
      </c>
      <c r="E27" s="72">
        <f>SA34a!E140</f>
        <v>0</v>
      </c>
      <c r="F27" s="73">
        <f>SA34a!F140</f>
        <v>0</v>
      </c>
      <c r="G27" s="71">
        <f>SA34a!G140</f>
        <v>0</v>
      </c>
      <c r="H27" s="74">
        <f>SA34a!H140</f>
        <v>0</v>
      </c>
      <c r="I27" s="75">
        <f>SA34a!I140</f>
        <v>0</v>
      </c>
      <c r="J27" s="71">
        <f>SA34a!J140</f>
        <v>0</v>
      </c>
      <c r="K27" s="72">
        <f>SA34a!K140</f>
        <v>0</v>
      </c>
    </row>
    <row r="28" spans="1:11" ht="11.25" customHeight="1" x14ac:dyDescent="0.25">
      <c r="A28" s="861" t="s">
        <v>2324</v>
      </c>
      <c r="B28" s="144"/>
      <c r="C28" s="323">
        <f>SA34a!C141</f>
        <v>1082624</v>
      </c>
      <c r="D28" s="323">
        <f>SA34a!D141</f>
        <v>1082624</v>
      </c>
      <c r="E28" s="324">
        <f>SA34a!E141</f>
        <v>1383449</v>
      </c>
      <c r="F28" s="325">
        <f>SA34a!F141</f>
        <v>0</v>
      </c>
      <c r="G28" s="323">
        <f>SA34a!G141</f>
        <v>0</v>
      </c>
      <c r="H28" s="326">
        <f>SA34a!H141</f>
        <v>0</v>
      </c>
      <c r="I28" s="327">
        <f>SA34a!I141</f>
        <v>0</v>
      </c>
      <c r="J28" s="323">
        <f>SA34a!J141</f>
        <v>0</v>
      </c>
      <c r="K28" s="324">
        <f>SA34a!K141</f>
        <v>0</v>
      </c>
    </row>
    <row r="29" spans="1:11" ht="11.25" customHeight="1" x14ac:dyDescent="0.25">
      <c r="A29" s="859" t="s">
        <v>2325</v>
      </c>
      <c r="B29" s="860"/>
      <c r="C29" s="642">
        <f>SUM(C27:C28)</f>
        <v>1082624</v>
      </c>
      <c r="D29" s="642">
        <f t="shared" ref="D29:K29" si="5">SUM(D27:D28)</f>
        <v>1082624</v>
      </c>
      <c r="E29" s="643">
        <f t="shared" si="5"/>
        <v>1383449</v>
      </c>
      <c r="F29" s="644">
        <f t="shared" si="5"/>
        <v>0</v>
      </c>
      <c r="G29" s="642">
        <f t="shared" si="5"/>
        <v>0</v>
      </c>
      <c r="H29" s="645">
        <f t="shared" si="5"/>
        <v>0</v>
      </c>
      <c r="I29" s="646">
        <f t="shared" si="5"/>
        <v>0</v>
      </c>
      <c r="J29" s="642">
        <f t="shared" si="5"/>
        <v>0</v>
      </c>
      <c r="K29" s="643">
        <f t="shared" si="5"/>
        <v>0</v>
      </c>
    </row>
    <row r="30" spans="1:11" x14ac:dyDescent="0.25">
      <c r="A30" s="863" t="s">
        <v>2332</v>
      </c>
      <c r="B30" s="864"/>
      <c r="C30" s="98">
        <f>SA34a!C149</f>
        <v>241468</v>
      </c>
      <c r="D30" s="98">
        <f>SA34a!D149</f>
        <v>321813</v>
      </c>
      <c r="E30" s="99">
        <f>SA34a!E149</f>
        <v>977996</v>
      </c>
      <c r="F30" s="100">
        <f>SA34a!F149</f>
        <v>300000</v>
      </c>
      <c r="G30" s="98">
        <f>SA34a!G149</f>
        <v>300000</v>
      </c>
      <c r="H30" s="101">
        <f>SA34a!H149</f>
        <v>300000</v>
      </c>
      <c r="I30" s="102">
        <f>SA34a!I149</f>
        <v>555000</v>
      </c>
      <c r="J30" s="98">
        <f>SA34a!J149</f>
        <v>324168</v>
      </c>
      <c r="K30" s="99">
        <f>SA34a!K149</f>
        <v>337135</v>
      </c>
    </row>
    <row r="31" spans="1:11" ht="11.25" customHeight="1" x14ac:dyDescent="0.25">
      <c r="A31" s="862" t="s">
        <v>2333</v>
      </c>
      <c r="B31" s="144"/>
      <c r="C31" s="98">
        <f>SA34a!C152</f>
        <v>6674492</v>
      </c>
      <c r="D31" s="98">
        <f>SA34a!D152</f>
        <v>4717395</v>
      </c>
      <c r="E31" s="99">
        <f>SA34a!E152</f>
        <v>5388998</v>
      </c>
      <c r="F31" s="100">
        <f>SA34a!F152</f>
        <v>400000</v>
      </c>
      <c r="G31" s="98">
        <f>SA34a!G152</f>
        <v>400000</v>
      </c>
      <c r="H31" s="101">
        <f>SA34a!H152</f>
        <v>400000</v>
      </c>
      <c r="I31" s="102">
        <f>SA34a!I152</f>
        <v>350000</v>
      </c>
      <c r="J31" s="98">
        <f>SA34a!J152</f>
        <v>432224</v>
      </c>
      <c r="K31" s="99">
        <f>SA34a!K152</f>
        <v>449513</v>
      </c>
    </row>
    <row r="32" spans="1:11" ht="11.25" customHeight="1" x14ac:dyDescent="0.25">
      <c r="A32" s="862" t="s">
        <v>2334</v>
      </c>
      <c r="B32" s="144"/>
      <c r="C32" s="98">
        <f>SA34a!C155</f>
        <v>0</v>
      </c>
      <c r="D32" s="98">
        <f>SA34a!D155</f>
        <v>0</v>
      </c>
      <c r="E32" s="99">
        <f>SA34a!E155</f>
        <v>0</v>
      </c>
      <c r="F32" s="100">
        <f>SA34a!F155</f>
        <v>0</v>
      </c>
      <c r="G32" s="98">
        <f>SA34a!G155</f>
        <v>0</v>
      </c>
      <c r="H32" s="101">
        <f>SA34a!H155</f>
        <v>0</v>
      </c>
      <c r="I32" s="102">
        <f>SA34a!I155</f>
        <v>0</v>
      </c>
      <c r="J32" s="98">
        <f>SA34a!J155</f>
        <v>0</v>
      </c>
      <c r="K32" s="99">
        <f>SA34a!K155</f>
        <v>0</v>
      </c>
    </row>
    <row r="33" spans="1:11" x14ac:dyDescent="0.25">
      <c r="A33" s="863" t="s">
        <v>2335</v>
      </c>
      <c r="B33" s="864"/>
      <c r="C33" s="98">
        <f>SA34a!C158</f>
        <v>2845481</v>
      </c>
      <c r="D33" s="98">
        <f>SA34a!D158</f>
        <v>4125481</v>
      </c>
      <c r="E33" s="99">
        <f>SA34a!E158</f>
        <v>4779160</v>
      </c>
      <c r="F33" s="100">
        <f>SA34a!F158</f>
        <v>0</v>
      </c>
      <c r="G33" s="98">
        <f>SA34a!G158</f>
        <v>0</v>
      </c>
      <c r="H33" s="101">
        <f>SA34a!H158</f>
        <v>0</v>
      </c>
      <c r="I33" s="102">
        <f>SA34a!I158</f>
        <v>800000</v>
      </c>
      <c r="J33" s="98">
        <f>SA34a!J158</f>
        <v>0</v>
      </c>
      <c r="K33" s="99">
        <f>SA34a!K158</f>
        <v>0</v>
      </c>
    </row>
    <row r="34" spans="1:11" ht="11.25" customHeight="1" x14ac:dyDescent="0.25">
      <c r="A34" s="862" t="s">
        <v>2470</v>
      </c>
      <c r="B34" s="144"/>
      <c r="C34" s="98">
        <f>SA34a!C161</f>
        <v>4523600</v>
      </c>
      <c r="D34" s="98">
        <f>SA34a!D161</f>
        <v>9711600</v>
      </c>
      <c r="E34" s="99">
        <f>SA34a!E161</f>
        <v>10405000</v>
      </c>
      <c r="F34" s="100">
        <f>SA34a!F161</f>
        <v>0</v>
      </c>
      <c r="G34" s="98">
        <f>SA34a!G161</f>
        <v>0</v>
      </c>
      <c r="H34" s="101">
        <f>SA34a!H161</f>
        <v>0</v>
      </c>
      <c r="I34" s="102">
        <f>SA34a!I161</f>
        <v>0</v>
      </c>
      <c r="J34" s="98">
        <f>SA34a!J161</f>
        <v>0</v>
      </c>
      <c r="K34" s="99">
        <f>SA34a!K161</f>
        <v>0</v>
      </c>
    </row>
    <row r="35" spans="1:11" ht="11.25" customHeight="1" x14ac:dyDescent="0.25">
      <c r="A35" s="862" t="s">
        <v>2336</v>
      </c>
      <c r="B35" s="144"/>
      <c r="C35" s="650">
        <f>SA34a!C164</f>
        <v>0</v>
      </c>
      <c r="D35" s="650">
        <f>SA34a!D164</f>
        <v>0</v>
      </c>
      <c r="E35" s="651">
        <f>SA34a!E164</f>
        <v>0</v>
      </c>
      <c r="F35" s="652">
        <f>SA34a!F164</f>
        <v>0</v>
      </c>
      <c r="G35" s="650">
        <f>SA34a!G164</f>
        <v>0</v>
      </c>
      <c r="H35" s="653">
        <f>SA34a!H164</f>
        <v>0</v>
      </c>
      <c r="I35" s="654">
        <f>SA34a!I164</f>
        <v>0</v>
      </c>
      <c r="J35" s="650">
        <f>SA34a!J164</f>
        <v>0</v>
      </c>
      <c r="K35" s="651">
        <f>SA34a!K164</f>
        <v>0</v>
      </c>
    </row>
    <row r="36" spans="1:11" ht="4.9000000000000004" customHeight="1" x14ac:dyDescent="0.25">
      <c r="A36" s="865"/>
      <c r="B36" s="144"/>
      <c r="C36" s="71"/>
      <c r="D36" s="71"/>
      <c r="E36" s="72"/>
      <c r="F36" s="73"/>
      <c r="G36" s="71"/>
      <c r="H36" s="74"/>
      <c r="I36" s="75"/>
      <c r="J36" s="71"/>
      <c r="K36" s="72"/>
    </row>
    <row r="37" spans="1:11" ht="11.25" customHeight="1" x14ac:dyDescent="0.25">
      <c r="A37" s="857" t="s">
        <v>377</v>
      </c>
      <c r="B37" s="144">
        <v>2</v>
      </c>
      <c r="C37" s="545">
        <f>C47+C50+C51+C54+C57+C58+SUM(C61:C67)</f>
        <v>124</v>
      </c>
      <c r="D37" s="545">
        <f t="shared" ref="D37:K37" si="6">D47+D50+D51+D54+D57+D58+SUM(D61:D67)</f>
        <v>1</v>
      </c>
      <c r="E37" s="742">
        <f t="shared" si="6"/>
        <v>1</v>
      </c>
      <c r="F37" s="743">
        <f t="shared" si="6"/>
        <v>0</v>
      </c>
      <c r="G37" s="545">
        <f t="shared" si="6"/>
        <v>550000</v>
      </c>
      <c r="H37" s="831">
        <f t="shared" si="6"/>
        <v>550000</v>
      </c>
      <c r="I37" s="544">
        <f t="shared" si="6"/>
        <v>0</v>
      </c>
      <c r="J37" s="545">
        <f t="shared" si="6"/>
        <v>0</v>
      </c>
      <c r="K37" s="742">
        <f t="shared" si="6"/>
        <v>0</v>
      </c>
    </row>
    <row r="38" spans="1:11" ht="11.25" customHeight="1" x14ac:dyDescent="0.25">
      <c r="A38" s="858" t="s">
        <v>2230</v>
      </c>
      <c r="B38" s="97"/>
      <c r="C38" s="71">
        <f>SA34b!C7</f>
        <v>124</v>
      </c>
      <c r="D38" s="71">
        <f>SA34b!D7</f>
        <v>1</v>
      </c>
      <c r="E38" s="72">
        <f>SA34b!E7</f>
        <v>1</v>
      </c>
      <c r="F38" s="73">
        <f>SA34b!F7</f>
        <v>0</v>
      </c>
      <c r="G38" s="71">
        <f>SA34b!G7</f>
        <v>0</v>
      </c>
      <c r="H38" s="74">
        <f>SA34b!H7</f>
        <v>0</v>
      </c>
      <c r="I38" s="75">
        <f>SA34b!I7</f>
        <v>0</v>
      </c>
      <c r="J38" s="71">
        <f>SA34b!J7</f>
        <v>0</v>
      </c>
      <c r="K38" s="72">
        <f>SA34b!K7</f>
        <v>0</v>
      </c>
    </row>
    <row r="39" spans="1:11" ht="11.25" customHeight="1" x14ac:dyDescent="0.25">
      <c r="A39" s="858" t="s">
        <v>2234</v>
      </c>
      <c r="B39" s="97"/>
      <c r="C39" s="71">
        <f>SA34b!C12</f>
        <v>0</v>
      </c>
      <c r="D39" s="71">
        <f>SA34b!D12</f>
        <v>0</v>
      </c>
      <c r="E39" s="72">
        <f>SA34b!E12</f>
        <v>0</v>
      </c>
      <c r="F39" s="73">
        <f>SA34b!F12</f>
        <v>0</v>
      </c>
      <c r="G39" s="71">
        <f>SA34b!G12</f>
        <v>0</v>
      </c>
      <c r="H39" s="74">
        <f>SA34b!H12</f>
        <v>0</v>
      </c>
      <c r="I39" s="75">
        <f>SA34b!I12</f>
        <v>0</v>
      </c>
      <c r="J39" s="71">
        <f>SA34b!J12</f>
        <v>0</v>
      </c>
      <c r="K39" s="72">
        <f>SA34b!K12</f>
        <v>0</v>
      </c>
    </row>
    <row r="40" spans="1:11" ht="11.25" customHeight="1" x14ac:dyDescent="0.25">
      <c r="A40" s="858" t="s">
        <v>2279</v>
      </c>
      <c r="B40" s="97"/>
      <c r="C40" s="71">
        <f>SA34b!C16</f>
        <v>0</v>
      </c>
      <c r="D40" s="71">
        <f>SA34b!D16</f>
        <v>0</v>
      </c>
      <c r="E40" s="72">
        <f>SA34b!E16</f>
        <v>0</v>
      </c>
      <c r="F40" s="73">
        <f>SA34b!F16</f>
        <v>0</v>
      </c>
      <c r="G40" s="71">
        <f>SA34b!G16</f>
        <v>0</v>
      </c>
      <c r="H40" s="74">
        <f>SA34b!H16</f>
        <v>0</v>
      </c>
      <c r="I40" s="75">
        <f>SA34b!I16</f>
        <v>0</v>
      </c>
      <c r="J40" s="71">
        <f>SA34b!J16</f>
        <v>0</v>
      </c>
      <c r="K40" s="72">
        <f>SA34b!K16</f>
        <v>0</v>
      </c>
    </row>
    <row r="41" spans="1:11" ht="11.25" customHeight="1" x14ac:dyDescent="0.25">
      <c r="A41" s="858" t="s">
        <v>2280</v>
      </c>
      <c r="B41" s="97"/>
      <c r="C41" s="71">
        <f>SA34b!C26</f>
        <v>0</v>
      </c>
      <c r="D41" s="71">
        <f>SA34b!D26</f>
        <v>0</v>
      </c>
      <c r="E41" s="72">
        <f>SA34b!E26</f>
        <v>0</v>
      </c>
      <c r="F41" s="73">
        <f>SA34b!F26</f>
        <v>0</v>
      </c>
      <c r="G41" s="71">
        <f>SA34b!G26</f>
        <v>0</v>
      </c>
      <c r="H41" s="74">
        <f>SA34b!H26</f>
        <v>0</v>
      </c>
      <c r="I41" s="75">
        <f>SA34b!I26</f>
        <v>0</v>
      </c>
      <c r="J41" s="71">
        <f>SA34b!J26</f>
        <v>0</v>
      </c>
      <c r="K41" s="72">
        <f>SA34b!K26</f>
        <v>0</v>
      </c>
    </row>
    <row r="42" spans="1:11" ht="11.25" customHeight="1" x14ac:dyDescent="0.25">
      <c r="A42" s="858" t="s">
        <v>2281</v>
      </c>
      <c r="B42" s="97"/>
      <c r="C42" s="71">
        <f>SA34b!C37</f>
        <v>0</v>
      </c>
      <c r="D42" s="71">
        <f>SA34b!D37</f>
        <v>0</v>
      </c>
      <c r="E42" s="72">
        <f>SA34b!E37</f>
        <v>0</v>
      </c>
      <c r="F42" s="73">
        <f>SA34b!F37</f>
        <v>0</v>
      </c>
      <c r="G42" s="71">
        <f>SA34b!G37</f>
        <v>0</v>
      </c>
      <c r="H42" s="74">
        <f>SA34b!H37</f>
        <v>0</v>
      </c>
      <c r="I42" s="75">
        <f>SA34b!I37</f>
        <v>0</v>
      </c>
      <c r="J42" s="71">
        <f>SA34b!J37</f>
        <v>0</v>
      </c>
      <c r="K42" s="72">
        <f>SA34b!K37</f>
        <v>0</v>
      </c>
    </row>
    <row r="43" spans="1:11" ht="11.25" customHeight="1" x14ac:dyDescent="0.25">
      <c r="A43" s="858" t="s">
        <v>2259</v>
      </c>
      <c r="B43" s="97"/>
      <c r="C43" s="71">
        <f>SA34b!C44</f>
        <v>0</v>
      </c>
      <c r="D43" s="71">
        <f>SA34b!D44</f>
        <v>0</v>
      </c>
      <c r="E43" s="72">
        <f>SA34b!E44</f>
        <v>0</v>
      </c>
      <c r="F43" s="73">
        <f>SA34b!F44</f>
        <v>0</v>
      </c>
      <c r="G43" s="71">
        <f>SA34b!G44</f>
        <v>0</v>
      </c>
      <c r="H43" s="74">
        <f>SA34b!H44</f>
        <v>0</v>
      </c>
      <c r="I43" s="75">
        <f>SA34b!I44</f>
        <v>0</v>
      </c>
      <c r="J43" s="71">
        <f>SA34b!J44</f>
        <v>0</v>
      </c>
      <c r="K43" s="72">
        <f>SA34b!K44</f>
        <v>0</v>
      </c>
    </row>
    <row r="44" spans="1:11" ht="11.25" customHeight="1" x14ac:dyDescent="0.25">
      <c r="A44" s="858" t="s">
        <v>2275</v>
      </c>
      <c r="B44" s="97"/>
      <c r="C44" s="71">
        <f>SA34b!C52</f>
        <v>0</v>
      </c>
      <c r="D44" s="71">
        <f>SA34b!D52</f>
        <v>0</v>
      </c>
      <c r="E44" s="72">
        <f>SA34b!E52</f>
        <v>0</v>
      </c>
      <c r="F44" s="73">
        <f>SA34b!F52</f>
        <v>0</v>
      </c>
      <c r="G44" s="71">
        <f>SA34b!G52</f>
        <v>0</v>
      </c>
      <c r="H44" s="74">
        <f>SA34b!H52</f>
        <v>0</v>
      </c>
      <c r="I44" s="75">
        <f>SA34b!I52</f>
        <v>0</v>
      </c>
      <c r="J44" s="71">
        <f>SA34b!J52</f>
        <v>0</v>
      </c>
      <c r="K44" s="72">
        <f>SA34b!K52</f>
        <v>0</v>
      </c>
    </row>
    <row r="45" spans="1:11" ht="11.25" customHeight="1" x14ac:dyDescent="0.25">
      <c r="A45" s="858" t="s">
        <v>2270</v>
      </c>
      <c r="B45" s="97"/>
      <c r="C45" s="71">
        <f>SA34b!C62</f>
        <v>0</v>
      </c>
      <c r="D45" s="71">
        <f>SA34b!D62</f>
        <v>0</v>
      </c>
      <c r="E45" s="72">
        <f>SA34b!E62</f>
        <v>0</v>
      </c>
      <c r="F45" s="73">
        <f>SA34b!F62</f>
        <v>0</v>
      </c>
      <c r="G45" s="71">
        <f>SA34b!G62</f>
        <v>0</v>
      </c>
      <c r="H45" s="74">
        <f>SA34b!H62</f>
        <v>0</v>
      </c>
      <c r="I45" s="75">
        <f>SA34b!I62</f>
        <v>0</v>
      </c>
      <c r="J45" s="71">
        <f>SA34b!J62</f>
        <v>0</v>
      </c>
      <c r="K45" s="72">
        <f>SA34b!K62</f>
        <v>0</v>
      </c>
    </row>
    <row r="46" spans="1:11" ht="11.25" customHeight="1" x14ac:dyDescent="0.25">
      <c r="A46" s="858" t="s">
        <v>2266</v>
      </c>
      <c r="B46" s="97"/>
      <c r="C46" s="71">
        <f>SA34b!C68</f>
        <v>0</v>
      </c>
      <c r="D46" s="71">
        <f>SA34b!D68</f>
        <v>0</v>
      </c>
      <c r="E46" s="72">
        <f>SA34b!E68</f>
        <v>0</v>
      </c>
      <c r="F46" s="73">
        <f>SA34b!F68</f>
        <v>0</v>
      </c>
      <c r="G46" s="71">
        <f>SA34b!G68</f>
        <v>0</v>
      </c>
      <c r="H46" s="74">
        <f>SA34b!H68</f>
        <v>0</v>
      </c>
      <c r="I46" s="75">
        <f>SA34b!I68</f>
        <v>0</v>
      </c>
      <c r="J46" s="71">
        <f>SA34b!J68</f>
        <v>0</v>
      </c>
      <c r="K46" s="72">
        <f>SA34b!K68</f>
        <v>0</v>
      </c>
    </row>
    <row r="47" spans="1:11" ht="11.25" customHeight="1" x14ac:dyDescent="0.25">
      <c r="A47" s="859" t="s">
        <v>838</v>
      </c>
      <c r="B47" s="860"/>
      <c r="C47" s="642">
        <f>SUM(C38:C46)</f>
        <v>124</v>
      </c>
      <c r="D47" s="642">
        <f t="shared" ref="D47:K47" si="7">SUM(D38:D46)</f>
        <v>1</v>
      </c>
      <c r="E47" s="643">
        <f t="shared" si="7"/>
        <v>1</v>
      </c>
      <c r="F47" s="644">
        <f t="shared" si="7"/>
        <v>0</v>
      </c>
      <c r="G47" s="642">
        <f t="shared" si="7"/>
        <v>0</v>
      </c>
      <c r="H47" s="645">
        <f t="shared" si="7"/>
        <v>0</v>
      </c>
      <c r="I47" s="646">
        <f t="shared" si="7"/>
        <v>0</v>
      </c>
      <c r="J47" s="642">
        <f t="shared" si="7"/>
        <v>0</v>
      </c>
      <c r="K47" s="643">
        <f t="shared" si="7"/>
        <v>0</v>
      </c>
    </row>
    <row r="48" spans="1:11" ht="11.25" customHeight="1" x14ac:dyDescent="0.25">
      <c r="A48" s="861" t="s">
        <v>2283</v>
      </c>
      <c r="B48" s="144"/>
      <c r="C48" s="71">
        <f>SA34b!C75</f>
        <v>0</v>
      </c>
      <c r="D48" s="71">
        <f>SA34b!D75</f>
        <v>0</v>
      </c>
      <c r="E48" s="72">
        <f>SA34b!E75</f>
        <v>0</v>
      </c>
      <c r="F48" s="73">
        <f>SA34b!F75</f>
        <v>0</v>
      </c>
      <c r="G48" s="71">
        <f>SA34b!G75</f>
        <v>0</v>
      </c>
      <c r="H48" s="74">
        <f>SA34b!H75</f>
        <v>0</v>
      </c>
      <c r="I48" s="75">
        <f>SA34b!I75</f>
        <v>0</v>
      </c>
      <c r="J48" s="71">
        <f>SA34b!J75</f>
        <v>0</v>
      </c>
      <c r="K48" s="72">
        <f>SA34b!K75</f>
        <v>0</v>
      </c>
    </row>
    <row r="49" spans="1:11" ht="11.25" customHeight="1" x14ac:dyDescent="0.25">
      <c r="A49" s="861" t="s">
        <v>2301</v>
      </c>
      <c r="B49" s="144"/>
      <c r="C49" s="323">
        <f>SA34b!C98</f>
        <v>0</v>
      </c>
      <c r="D49" s="323">
        <f>SA34b!D98</f>
        <v>0</v>
      </c>
      <c r="E49" s="324">
        <f>SA34b!E98</f>
        <v>0</v>
      </c>
      <c r="F49" s="325">
        <f>SA34b!F98</f>
        <v>0</v>
      </c>
      <c r="G49" s="323">
        <f>SA34b!G98</f>
        <v>0</v>
      </c>
      <c r="H49" s="326">
        <f>SA34b!H98</f>
        <v>0</v>
      </c>
      <c r="I49" s="327">
        <f>SA34b!I98</f>
        <v>0</v>
      </c>
      <c r="J49" s="323">
        <f>SA34b!J98</f>
        <v>0</v>
      </c>
      <c r="K49" s="324">
        <f>SA34b!K98</f>
        <v>0</v>
      </c>
    </row>
    <row r="50" spans="1:11" ht="11.25" customHeight="1" x14ac:dyDescent="0.25">
      <c r="A50" s="859" t="s">
        <v>2282</v>
      </c>
      <c r="B50" s="860"/>
      <c r="C50" s="642">
        <f>SUM(C48:C49)</f>
        <v>0</v>
      </c>
      <c r="D50" s="642">
        <f t="shared" ref="D50:K50" si="8">SUM(D48:D49)</f>
        <v>0</v>
      </c>
      <c r="E50" s="643">
        <f t="shared" si="8"/>
        <v>0</v>
      </c>
      <c r="F50" s="644">
        <f t="shared" si="8"/>
        <v>0</v>
      </c>
      <c r="G50" s="642">
        <f t="shared" si="8"/>
        <v>0</v>
      </c>
      <c r="H50" s="645">
        <f t="shared" si="8"/>
        <v>0</v>
      </c>
      <c r="I50" s="646">
        <f t="shared" si="8"/>
        <v>0</v>
      </c>
      <c r="J50" s="642">
        <f t="shared" si="8"/>
        <v>0</v>
      </c>
      <c r="K50" s="643">
        <f t="shared" si="8"/>
        <v>0</v>
      </c>
    </row>
    <row r="51" spans="1:11" ht="11.25" customHeight="1" x14ac:dyDescent="0.25">
      <c r="A51" s="862" t="s">
        <v>1733</v>
      </c>
      <c r="B51" s="211"/>
      <c r="C51" s="98">
        <f>SA34b!C103</f>
        <v>0</v>
      </c>
      <c r="D51" s="98">
        <f>SA34b!D103</f>
        <v>0</v>
      </c>
      <c r="E51" s="99">
        <f>SA34b!E103</f>
        <v>0</v>
      </c>
      <c r="F51" s="100">
        <f>SA34b!F103</f>
        <v>0</v>
      </c>
      <c r="G51" s="98">
        <f>SA34b!G103</f>
        <v>0</v>
      </c>
      <c r="H51" s="101">
        <f>SA34b!H103</f>
        <v>0</v>
      </c>
      <c r="I51" s="102">
        <f>SA34b!I103</f>
        <v>0</v>
      </c>
      <c r="J51" s="98">
        <f>SA34b!J103</f>
        <v>0</v>
      </c>
      <c r="K51" s="99">
        <f>SA34b!K103</f>
        <v>0</v>
      </c>
    </row>
    <row r="52" spans="1:11" ht="11.25" customHeight="1" x14ac:dyDescent="0.25">
      <c r="A52" s="861" t="s">
        <v>2338</v>
      </c>
      <c r="B52" s="144"/>
      <c r="C52" s="71">
        <f>SA34b!C111</f>
        <v>0</v>
      </c>
      <c r="D52" s="71">
        <f>SA34b!D111</f>
        <v>0</v>
      </c>
      <c r="E52" s="72">
        <f>SA34b!E111</f>
        <v>0</v>
      </c>
      <c r="F52" s="73">
        <f>SA34b!F111</f>
        <v>0</v>
      </c>
      <c r="G52" s="71">
        <f>SA34b!G111</f>
        <v>0</v>
      </c>
      <c r="H52" s="74">
        <f>SA34b!H111</f>
        <v>0</v>
      </c>
      <c r="I52" s="75">
        <f>SA34b!I111</f>
        <v>0</v>
      </c>
      <c r="J52" s="71">
        <f>SA34b!J111</f>
        <v>0</v>
      </c>
      <c r="K52" s="72">
        <f>SA34b!K111</f>
        <v>0</v>
      </c>
    </row>
    <row r="53" spans="1:11" ht="11.25" customHeight="1" x14ac:dyDescent="0.25">
      <c r="A53" s="861" t="s">
        <v>2341</v>
      </c>
      <c r="B53" s="144"/>
      <c r="C53" s="323">
        <f>SA34b!C114</f>
        <v>0</v>
      </c>
      <c r="D53" s="323">
        <f>SA34b!D114</f>
        <v>0</v>
      </c>
      <c r="E53" s="324">
        <f>SA34b!E114</f>
        <v>0</v>
      </c>
      <c r="F53" s="325">
        <f>SA34b!F114</f>
        <v>0</v>
      </c>
      <c r="G53" s="323">
        <f>SA34b!G114</f>
        <v>0</v>
      </c>
      <c r="H53" s="326">
        <f>SA34b!H114</f>
        <v>0</v>
      </c>
      <c r="I53" s="327">
        <f>SA34b!I114</f>
        <v>0</v>
      </c>
      <c r="J53" s="323">
        <f>SA34b!J114</f>
        <v>0</v>
      </c>
      <c r="K53" s="324">
        <f>SA34b!K114</f>
        <v>0</v>
      </c>
    </row>
    <row r="54" spans="1:11" ht="11.25" customHeight="1" x14ac:dyDescent="0.25">
      <c r="A54" s="859" t="s">
        <v>829</v>
      </c>
      <c r="B54" s="860"/>
      <c r="C54" s="642">
        <f>SUM(C52:C53)</f>
        <v>0</v>
      </c>
      <c r="D54" s="642">
        <f t="shared" ref="D54:K54" si="9">SUM(D52:D53)</f>
        <v>0</v>
      </c>
      <c r="E54" s="643">
        <f t="shared" si="9"/>
        <v>0</v>
      </c>
      <c r="F54" s="644">
        <f t="shared" si="9"/>
        <v>0</v>
      </c>
      <c r="G54" s="642">
        <f t="shared" si="9"/>
        <v>0</v>
      </c>
      <c r="H54" s="645">
        <f t="shared" si="9"/>
        <v>0</v>
      </c>
      <c r="I54" s="646">
        <f t="shared" si="9"/>
        <v>0</v>
      </c>
      <c r="J54" s="642">
        <f t="shared" si="9"/>
        <v>0</v>
      </c>
      <c r="K54" s="643">
        <f t="shared" si="9"/>
        <v>0</v>
      </c>
    </row>
    <row r="55" spans="1:11" ht="11.25" customHeight="1" x14ac:dyDescent="0.25">
      <c r="A55" s="861" t="s">
        <v>2309</v>
      </c>
      <c r="B55" s="144"/>
      <c r="C55" s="71">
        <f>SA34b!C119</f>
        <v>0</v>
      </c>
      <c r="D55" s="71">
        <f>SA34b!D119</f>
        <v>0</v>
      </c>
      <c r="E55" s="72">
        <f>SA34b!E119</f>
        <v>0</v>
      </c>
      <c r="F55" s="73">
        <f>SA34b!F119</f>
        <v>0</v>
      </c>
      <c r="G55" s="71">
        <f>SA34b!G119</f>
        <v>550000</v>
      </c>
      <c r="H55" s="74">
        <f>SA34b!H119</f>
        <v>550000</v>
      </c>
      <c r="I55" s="75">
        <f>SA34b!I119</f>
        <v>0</v>
      </c>
      <c r="J55" s="71">
        <f>SA34b!J119</f>
        <v>0</v>
      </c>
      <c r="K55" s="72">
        <f>SA34b!K119</f>
        <v>0</v>
      </c>
    </row>
    <row r="56" spans="1:11" ht="11.25" customHeight="1" x14ac:dyDescent="0.25">
      <c r="A56" s="861" t="s">
        <v>1487</v>
      </c>
      <c r="B56" s="144"/>
      <c r="C56" s="323">
        <f>SA34b!C131</f>
        <v>0</v>
      </c>
      <c r="D56" s="323">
        <f>SA34b!D131</f>
        <v>0</v>
      </c>
      <c r="E56" s="324">
        <f>SA34b!E131</f>
        <v>0</v>
      </c>
      <c r="F56" s="325">
        <f>SA34b!F131</f>
        <v>0</v>
      </c>
      <c r="G56" s="323">
        <f>SA34b!G131</f>
        <v>0</v>
      </c>
      <c r="H56" s="326">
        <f>SA34b!H131</f>
        <v>0</v>
      </c>
      <c r="I56" s="327">
        <f>SA34b!I131</f>
        <v>0</v>
      </c>
      <c r="J56" s="323">
        <f>SA34b!J131</f>
        <v>0</v>
      </c>
      <c r="K56" s="324">
        <f>SA34b!K131</f>
        <v>0</v>
      </c>
    </row>
    <row r="57" spans="1:11" ht="11.25" customHeight="1" x14ac:dyDescent="0.25">
      <c r="A57" s="859" t="s">
        <v>1738</v>
      </c>
      <c r="B57" s="860"/>
      <c r="C57" s="642">
        <f>SUM(C55:C56)</f>
        <v>0</v>
      </c>
      <c r="D57" s="642">
        <f t="shared" ref="D57:K57" si="10">SUM(D55:D56)</f>
        <v>0</v>
      </c>
      <c r="E57" s="643">
        <f t="shared" si="10"/>
        <v>0</v>
      </c>
      <c r="F57" s="644">
        <f t="shared" si="10"/>
        <v>0</v>
      </c>
      <c r="G57" s="642">
        <f t="shared" si="10"/>
        <v>550000</v>
      </c>
      <c r="H57" s="645">
        <f t="shared" si="10"/>
        <v>550000</v>
      </c>
      <c r="I57" s="646">
        <f t="shared" si="10"/>
        <v>0</v>
      </c>
      <c r="J57" s="642">
        <f t="shared" si="10"/>
        <v>0</v>
      </c>
      <c r="K57" s="643">
        <f t="shared" si="10"/>
        <v>0</v>
      </c>
    </row>
    <row r="58" spans="1:11" ht="11.25" customHeight="1" x14ac:dyDescent="0.25">
      <c r="A58" s="862" t="s">
        <v>2322</v>
      </c>
      <c r="B58" s="211"/>
      <c r="C58" s="98">
        <f>SA34b!C136</f>
        <v>0</v>
      </c>
      <c r="D58" s="98">
        <f>SA34b!D136</f>
        <v>0</v>
      </c>
      <c r="E58" s="99">
        <f>SA34b!E136</f>
        <v>0</v>
      </c>
      <c r="F58" s="100">
        <f>SA34b!F136</f>
        <v>0</v>
      </c>
      <c r="G58" s="98">
        <f>SA34b!G136</f>
        <v>0</v>
      </c>
      <c r="H58" s="101">
        <f>SA34b!H136</f>
        <v>0</v>
      </c>
      <c r="I58" s="102">
        <f>SA34b!I136</f>
        <v>0</v>
      </c>
      <c r="J58" s="98">
        <f>SA34b!J136</f>
        <v>0</v>
      </c>
      <c r="K58" s="99">
        <f>SA34b!K136</f>
        <v>0</v>
      </c>
    </row>
    <row r="59" spans="1:11" ht="11.25" customHeight="1" x14ac:dyDescent="0.25">
      <c r="A59" s="861" t="s">
        <v>2323</v>
      </c>
      <c r="B59" s="144"/>
      <c r="C59" s="71">
        <f>SA34b!C140</f>
        <v>0</v>
      </c>
      <c r="D59" s="71">
        <f>SA34b!D140</f>
        <v>0</v>
      </c>
      <c r="E59" s="72">
        <f>SA34b!E140</f>
        <v>0</v>
      </c>
      <c r="F59" s="73">
        <f>SA34b!F140</f>
        <v>0</v>
      </c>
      <c r="G59" s="71">
        <f>SA34b!G140</f>
        <v>0</v>
      </c>
      <c r="H59" s="74">
        <f>SA34b!H140</f>
        <v>0</v>
      </c>
      <c r="I59" s="75">
        <f>SA34b!I140</f>
        <v>0</v>
      </c>
      <c r="J59" s="71">
        <f>SA34b!J140</f>
        <v>0</v>
      </c>
      <c r="K59" s="72">
        <f>SA34b!K140</f>
        <v>0</v>
      </c>
    </row>
    <row r="60" spans="1:11" ht="11.25" customHeight="1" x14ac:dyDescent="0.25">
      <c r="A60" s="861" t="s">
        <v>2324</v>
      </c>
      <c r="B60" s="144"/>
      <c r="C60" s="323">
        <f>SA34b!C141</f>
        <v>0</v>
      </c>
      <c r="D60" s="323">
        <f>SA34b!D141</f>
        <v>0</v>
      </c>
      <c r="E60" s="324">
        <f>SA34b!E141</f>
        <v>0</v>
      </c>
      <c r="F60" s="325">
        <f>SA34b!F141</f>
        <v>0</v>
      </c>
      <c r="G60" s="323">
        <f>SA34b!G141</f>
        <v>0</v>
      </c>
      <c r="H60" s="326">
        <f>SA34b!H141</f>
        <v>0</v>
      </c>
      <c r="I60" s="327">
        <f>SA34b!I141</f>
        <v>0</v>
      </c>
      <c r="J60" s="323">
        <f>SA34b!J141</f>
        <v>0</v>
      </c>
      <c r="K60" s="324">
        <f>SA34b!K141</f>
        <v>0</v>
      </c>
    </row>
    <row r="61" spans="1:11" ht="11.25" customHeight="1" x14ac:dyDescent="0.25">
      <c r="A61" s="859" t="s">
        <v>2325</v>
      </c>
      <c r="B61" s="860"/>
      <c r="C61" s="642">
        <f>SUM(C59:C60)</f>
        <v>0</v>
      </c>
      <c r="D61" s="642">
        <f t="shared" ref="D61:K61" si="11">SUM(D59:D60)</f>
        <v>0</v>
      </c>
      <c r="E61" s="643">
        <f t="shared" si="11"/>
        <v>0</v>
      </c>
      <c r="F61" s="644">
        <f t="shared" si="11"/>
        <v>0</v>
      </c>
      <c r="G61" s="642">
        <f t="shared" si="11"/>
        <v>0</v>
      </c>
      <c r="H61" s="645">
        <f t="shared" si="11"/>
        <v>0</v>
      </c>
      <c r="I61" s="646">
        <f t="shared" si="11"/>
        <v>0</v>
      </c>
      <c r="J61" s="642">
        <f t="shared" si="11"/>
        <v>0</v>
      </c>
      <c r="K61" s="643">
        <f t="shared" si="11"/>
        <v>0</v>
      </c>
    </row>
    <row r="62" spans="1:11" x14ac:dyDescent="0.25">
      <c r="A62" s="863" t="s">
        <v>2332</v>
      </c>
      <c r="B62" s="864"/>
      <c r="C62" s="98">
        <f>SA34b!C149</f>
        <v>0</v>
      </c>
      <c r="D62" s="98">
        <f>SA34b!D149</f>
        <v>0</v>
      </c>
      <c r="E62" s="99">
        <f>SA34b!E149</f>
        <v>0</v>
      </c>
      <c r="F62" s="100">
        <f>SA34b!F149</f>
        <v>0</v>
      </c>
      <c r="G62" s="98">
        <f>SA34b!G149</f>
        <v>0</v>
      </c>
      <c r="H62" s="101">
        <f>SA34b!H149</f>
        <v>0</v>
      </c>
      <c r="I62" s="102">
        <f>SA34b!I149</f>
        <v>0</v>
      </c>
      <c r="J62" s="98">
        <f>SA34b!J149</f>
        <v>0</v>
      </c>
      <c r="K62" s="99">
        <f>SA34b!K149</f>
        <v>0</v>
      </c>
    </row>
    <row r="63" spans="1:11" ht="11.25" customHeight="1" x14ac:dyDescent="0.25">
      <c r="A63" s="862" t="s">
        <v>2333</v>
      </c>
      <c r="B63" s="144"/>
      <c r="C63" s="98">
        <f>SA34b!C152</f>
        <v>0</v>
      </c>
      <c r="D63" s="98">
        <f>SA34b!D152</f>
        <v>0</v>
      </c>
      <c r="E63" s="99">
        <f>SA34b!E152</f>
        <v>0</v>
      </c>
      <c r="F63" s="100">
        <f>SA34b!F152</f>
        <v>0</v>
      </c>
      <c r="G63" s="98">
        <f>SA34b!G152</f>
        <v>0</v>
      </c>
      <c r="H63" s="101">
        <f>SA34b!H152</f>
        <v>0</v>
      </c>
      <c r="I63" s="102">
        <f>SA34b!I152</f>
        <v>0</v>
      </c>
      <c r="J63" s="98">
        <f>SA34b!J152</f>
        <v>0</v>
      </c>
      <c r="K63" s="99">
        <f>SA34b!K152</f>
        <v>0</v>
      </c>
    </row>
    <row r="64" spans="1:11" ht="11.25" customHeight="1" x14ac:dyDescent="0.25">
      <c r="A64" s="862" t="s">
        <v>2334</v>
      </c>
      <c r="B64" s="144"/>
      <c r="C64" s="98">
        <f>SA34b!C155</f>
        <v>0</v>
      </c>
      <c r="D64" s="98">
        <f>SA34b!D155</f>
        <v>0</v>
      </c>
      <c r="E64" s="99">
        <f>SA34b!E155</f>
        <v>0</v>
      </c>
      <c r="F64" s="100">
        <f>SA34b!F155</f>
        <v>0</v>
      </c>
      <c r="G64" s="98">
        <f>SA34b!G155</f>
        <v>0</v>
      </c>
      <c r="H64" s="101">
        <f>SA34b!H155</f>
        <v>0</v>
      </c>
      <c r="I64" s="102">
        <f>SA34b!I155</f>
        <v>0</v>
      </c>
      <c r="J64" s="98">
        <f>SA34b!J155</f>
        <v>0</v>
      </c>
      <c r="K64" s="99">
        <f>SA34b!K155</f>
        <v>0</v>
      </c>
    </row>
    <row r="65" spans="1:11" x14ac:dyDescent="0.25">
      <c r="A65" s="863" t="s">
        <v>2335</v>
      </c>
      <c r="B65" s="864"/>
      <c r="C65" s="98">
        <f>SA34b!C158</f>
        <v>0</v>
      </c>
      <c r="D65" s="98">
        <f>SA34b!D158</f>
        <v>0</v>
      </c>
      <c r="E65" s="99">
        <f>SA34b!E158</f>
        <v>0</v>
      </c>
      <c r="F65" s="100">
        <f>SA34b!F158</f>
        <v>0</v>
      </c>
      <c r="G65" s="98">
        <f>SA34b!G158</f>
        <v>0</v>
      </c>
      <c r="H65" s="101">
        <f>SA34b!H158</f>
        <v>0</v>
      </c>
      <c r="I65" s="102">
        <f>SA34b!I158</f>
        <v>0</v>
      </c>
      <c r="J65" s="98">
        <f>SA34b!J158</f>
        <v>0</v>
      </c>
      <c r="K65" s="99">
        <f>SA34b!K158</f>
        <v>0</v>
      </c>
    </row>
    <row r="66" spans="1:11" ht="11.25" customHeight="1" x14ac:dyDescent="0.25">
      <c r="A66" s="862" t="s">
        <v>2470</v>
      </c>
      <c r="B66" s="144"/>
      <c r="C66" s="98">
        <f>SA34b!C161</f>
        <v>0</v>
      </c>
      <c r="D66" s="98">
        <f>SA34b!D161</f>
        <v>0</v>
      </c>
      <c r="E66" s="99">
        <f>SA34b!E161</f>
        <v>0</v>
      </c>
      <c r="F66" s="100">
        <f>SA34b!F161</f>
        <v>0</v>
      </c>
      <c r="G66" s="98">
        <f>SA34b!G161</f>
        <v>0</v>
      </c>
      <c r="H66" s="101">
        <f>SA34b!H161</f>
        <v>0</v>
      </c>
      <c r="I66" s="102">
        <f>SA34b!I161</f>
        <v>0</v>
      </c>
      <c r="J66" s="98">
        <f>SA34b!J161</f>
        <v>0</v>
      </c>
      <c r="K66" s="99">
        <f>SA34b!K161</f>
        <v>0</v>
      </c>
    </row>
    <row r="67" spans="1:11" ht="11.25" customHeight="1" x14ac:dyDescent="0.25">
      <c r="A67" s="862" t="s">
        <v>2336</v>
      </c>
      <c r="B67" s="144"/>
      <c r="C67" s="650">
        <f>SA34b!C164</f>
        <v>0</v>
      </c>
      <c r="D67" s="650">
        <f>SA34b!D164</f>
        <v>0</v>
      </c>
      <c r="E67" s="651">
        <f>SA34b!E164</f>
        <v>0</v>
      </c>
      <c r="F67" s="652">
        <f>SA34b!F164</f>
        <v>0</v>
      </c>
      <c r="G67" s="650">
        <f>SA34b!G164</f>
        <v>0</v>
      </c>
      <c r="H67" s="653">
        <f>SA34b!H164</f>
        <v>0</v>
      </c>
      <c r="I67" s="654">
        <f>SA34b!I164</f>
        <v>0</v>
      </c>
      <c r="J67" s="650">
        <f>SA34b!J164</f>
        <v>0</v>
      </c>
      <c r="K67" s="651">
        <f>SA34b!K164</f>
        <v>0</v>
      </c>
    </row>
    <row r="68" spans="1:11" ht="4.9000000000000004" customHeight="1" x14ac:dyDescent="0.25">
      <c r="A68" s="865"/>
      <c r="B68" s="144"/>
      <c r="C68" s="71"/>
      <c r="D68" s="71"/>
      <c r="E68" s="72"/>
      <c r="F68" s="73"/>
      <c r="G68" s="71"/>
      <c r="H68" s="74"/>
      <c r="I68" s="75"/>
      <c r="J68" s="71"/>
      <c r="K68" s="72"/>
    </row>
    <row r="69" spans="1:11" ht="11.25" customHeight="1" x14ac:dyDescent="0.25">
      <c r="A69" s="857" t="s">
        <v>2356</v>
      </c>
      <c r="B69" s="144">
        <v>6</v>
      </c>
      <c r="C69" s="545">
        <f>C79+C82+C83+C86+C89+C90+SUM(C93:C99)</f>
        <v>603370</v>
      </c>
      <c r="D69" s="545">
        <f t="shared" ref="D69:K69" si="12">D79+D82+D83+D86+D89+D90+SUM(D93:D99)</f>
        <v>2214341</v>
      </c>
      <c r="E69" s="742">
        <f t="shared" si="12"/>
        <v>0</v>
      </c>
      <c r="F69" s="743">
        <f t="shared" si="12"/>
        <v>1000000</v>
      </c>
      <c r="G69" s="545">
        <f t="shared" si="12"/>
        <v>1000000</v>
      </c>
      <c r="H69" s="831">
        <f t="shared" si="12"/>
        <v>1000000</v>
      </c>
      <c r="I69" s="544">
        <f t="shared" si="12"/>
        <v>5161000</v>
      </c>
      <c r="J69" s="545">
        <f t="shared" si="12"/>
        <v>0</v>
      </c>
      <c r="K69" s="742">
        <f t="shared" si="12"/>
        <v>0</v>
      </c>
    </row>
    <row r="70" spans="1:11" ht="11.25" customHeight="1" x14ac:dyDescent="0.25">
      <c r="A70" s="858" t="s">
        <v>2230</v>
      </c>
      <c r="B70" s="97"/>
      <c r="C70" s="71">
        <f>SA34e!C7</f>
        <v>603370</v>
      </c>
      <c r="D70" s="71">
        <f>SA34e!D7</f>
        <v>2214341</v>
      </c>
      <c r="E70" s="72">
        <f>SA34e!E7</f>
        <v>0</v>
      </c>
      <c r="F70" s="73">
        <f>SA34e!F7</f>
        <v>0</v>
      </c>
      <c r="G70" s="71">
        <f>SA34e!G7</f>
        <v>0</v>
      </c>
      <c r="H70" s="74">
        <f>SA34e!H7</f>
        <v>0</v>
      </c>
      <c r="I70" s="75">
        <f>SA34e!I7</f>
        <v>0</v>
      </c>
      <c r="J70" s="71">
        <f>SA34e!J7</f>
        <v>0</v>
      </c>
      <c r="K70" s="72">
        <f>SA34e!K7</f>
        <v>0</v>
      </c>
    </row>
    <row r="71" spans="1:11" ht="11.25" customHeight="1" x14ac:dyDescent="0.25">
      <c r="A71" s="858" t="s">
        <v>2234</v>
      </c>
      <c r="B71" s="97"/>
      <c r="C71" s="71">
        <f>SA34e!C12</f>
        <v>0</v>
      </c>
      <c r="D71" s="71">
        <f>SA34e!D12</f>
        <v>0</v>
      </c>
      <c r="E71" s="72">
        <f>SA34e!E12</f>
        <v>0</v>
      </c>
      <c r="F71" s="73">
        <f>SA34e!F12</f>
        <v>0</v>
      </c>
      <c r="G71" s="71">
        <f>SA34e!G12</f>
        <v>0</v>
      </c>
      <c r="H71" s="74">
        <f>SA34e!H12</f>
        <v>0</v>
      </c>
      <c r="I71" s="75">
        <f>SA34e!I12</f>
        <v>0</v>
      </c>
      <c r="J71" s="71">
        <f>SA34e!J12</f>
        <v>0</v>
      </c>
      <c r="K71" s="72">
        <f>SA34e!K12</f>
        <v>0</v>
      </c>
    </row>
    <row r="72" spans="1:11" ht="11.25" customHeight="1" x14ac:dyDescent="0.25">
      <c r="A72" s="858" t="s">
        <v>2279</v>
      </c>
      <c r="B72" s="97"/>
      <c r="C72" s="71">
        <f>SA34e!C16</f>
        <v>0</v>
      </c>
      <c r="D72" s="71">
        <f>SA34e!D16</f>
        <v>0</v>
      </c>
      <c r="E72" s="72">
        <f>SA34e!E16</f>
        <v>0</v>
      </c>
      <c r="F72" s="73">
        <f>SA34e!F16</f>
        <v>0</v>
      </c>
      <c r="G72" s="71">
        <f>SA34e!G16</f>
        <v>0</v>
      </c>
      <c r="H72" s="74">
        <f>SA34e!H16</f>
        <v>0</v>
      </c>
      <c r="I72" s="75">
        <f>SA34e!I16</f>
        <v>0</v>
      </c>
      <c r="J72" s="71">
        <f>SA34e!J16</f>
        <v>0</v>
      </c>
      <c r="K72" s="72">
        <f>SA34e!K16</f>
        <v>0</v>
      </c>
    </row>
    <row r="73" spans="1:11" ht="11.25" customHeight="1" x14ac:dyDescent="0.25">
      <c r="A73" s="858" t="s">
        <v>2280</v>
      </c>
      <c r="B73" s="97"/>
      <c r="C73" s="71">
        <f>SA34e!C26</f>
        <v>0</v>
      </c>
      <c r="D73" s="71">
        <f>SA34e!D26</f>
        <v>0</v>
      </c>
      <c r="E73" s="72">
        <f>SA34e!E26</f>
        <v>0</v>
      </c>
      <c r="F73" s="73">
        <f>SA34e!F26</f>
        <v>0</v>
      </c>
      <c r="G73" s="71">
        <f>SA34e!G26</f>
        <v>0</v>
      </c>
      <c r="H73" s="74">
        <f>SA34e!H26</f>
        <v>0</v>
      </c>
      <c r="I73" s="75">
        <f>SA34e!I26</f>
        <v>0</v>
      </c>
      <c r="J73" s="71">
        <f>SA34e!J26</f>
        <v>0</v>
      </c>
      <c r="K73" s="72">
        <f>SA34e!K26</f>
        <v>0</v>
      </c>
    </row>
    <row r="74" spans="1:11" ht="11.25" customHeight="1" x14ac:dyDescent="0.25">
      <c r="A74" s="858" t="s">
        <v>2281</v>
      </c>
      <c r="B74" s="97"/>
      <c r="C74" s="71">
        <f>SA34e!C37</f>
        <v>0</v>
      </c>
      <c r="D74" s="71">
        <f>SA34e!D37</f>
        <v>0</v>
      </c>
      <c r="E74" s="72">
        <f>SA34e!E37</f>
        <v>0</v>
      </c>
      <c r="F74" s="73">
        <f>SA34e!F37</f>
        <v>0</v>
      </c>
      <c r="G74" s="71">
        <f>SA34e!G37</f>
        <v>0</v>
      </c>
      <c r="H74" s="74">
        <f>SA34e!H37</f>
        <v>0</v>
      </c>
      <c r="I74" s="75">
        <f>SA34e!I37</f>
        <v>0</v>
      </c>
      <c r="J74" s="71">
        <f>SA34e!J37</f>
        <v>0</v>
      </c>
      <c r="K74" s="72">
        <f>SA34e!K37</f>
        <v>0</v>
      </c>
    </row>
    <row r="75" spans="1:11" ht="11.25" customHeight="1" x14ac:dyDescent="0.25">
      <c r="A75" s="858" t="s">
        <v>2259</v>
      </c>
      <c r="B75" s="97"/>
      <c r="C75" s="71">
        <f>SA34e!C44</f>
        <v>0</v>
      </c>
      <c r="D75" s="71">
        <f>SA34e!D44</f>
        <v>0</v>
      </c>
      <c r="E75" s="72">
        <f>SA34e!E44</f>
        <v>0</v>
      </c>
      <c r="F75" s="73">
        <f>SA34e!F44</f>
        <v>0</v>
      </c>
      <c r="G75" s="71">
        <f>SA34e!G44</f>
        <v>0</v>
      </c>
      <c r="H75" s="74">
        <f>SA34e!H44</f>
        <v>0</v>
      </c>
      <c r="I75" s="75">
        <f>SA34e!I44</f>
        <v>0</v>
      </c>
      <c r="J75" s="71">
        <f>SA34e!J44</f>
        <v>0</v>
      </c>
      <c r="K75" s="72">
        <f>SA34e!K44</f>
        <v>0</v>
      </c>
    </row>
    <row r="76" spans="1:11" ht="11.25" customHeight="1" x14ac:dyDescent="0.25">
      <c r="A76" s="858" t="s">
        <v>2275</v>
      </c>
      <c r="B76" s="97"/>
      <c r="C76" s="71">
        <f>SA34e!C52</f>
        <v>0</v>
      </c>
      <c r="D76" s="71">
        <f>SA34e!D52</f>
        <v>0</v>
      </c>
      <c r="E76" s="72">
        <f>SA34e!E52</f>
        <v>0</v>
      </c>
      <c r="F76" s="73">
        <f>SA34e!F52</f>
        <v>0</v>
      </c>
      <c r="G76" s="71">
        <f>SA34e!G52</f>
        <v>0</v>
      </c>
      <c r="H76" s="74">
        <f>SA34e!H52</f>
        <v>0</v>
      </c>
      <c r="I76" s="75">
        <f>SA34e!I52</f>
        <v>0</v>
      </c>
      <c r="J76" s="71">
        <f>SA34e!J52</f>
        <v>0</v>
      </c>
      <c r="K76" s="72">
        <f>SA34e!K52</f>
        <v>0</v>
      </c>
    </row>
    <row r="77" spans="1:11" ht="11.25" customHeight="1" x14ac:dyDescent="0.25">
      <c r="A77" s="858" t="s">
        <v>2270</v>
      </c>
      <c r="B77" s="97"/>
      <c r="C77" s="71">
        <f>SA34e!C62</f>
        <v>0</v>
      </c>
      <c r="D77" s="71">
        <f>SA34e!D62</f>
        <v>0</v>
      </c>
      <c r="E77" s="72">
        <f>SA34e!E62</f>
        <v>0</v>
      </c>
      <c r="F77" s="73">
        <f>SA34e!F62</f>
        <v>0</v>
      </c>
      <c r="G77" s="71">
        <f>SA34e!G62</f>
        <v>0</v>
      </c>
      <c r="H77" s="74">
        <f>SA34e!H62</f>
        <v>0</v>
      </c>
      <c r="I77" s="75">
        <f>SA34e!I62</f>
        <v>0</v>
      </c>
      <c r="J77" s="71">
        <f>SA34e!J62</f>
        <v>0</v>
      </c>
      <c r="K77" s="72">
        <f>SA34e!K62</f>
        <v>0</v>
      </c>
    </row>
    <row r="78" spans="1:11" ht="11.25" customHeight="1" x14ac:dyDescent="0.25">
      <c r="A78" s="858" t="s">
        <v>2266</v>
      </c>
      <c r="B78" s="97"/>
      <c r="C78" s="71">
        <f>SA34e!C68</f>
        <v>0</v>
      </c>
      <c r="D78" s="71">
        <f>SA34e!D68</f>
        <v>0</v>
      </c>
      <c r="E78" s="72">
        <f>SA34e!E68</f>
        <v>0</v>
      </c>
      <c r="F78" s="73">
        <f>SA34e!F68</f>
        <v>0</v>
      </c>
      <c r="G78" s="71">
        <f>SA34e!G68</f>
        <v>0</v>
      </c>
      <c r="H78" s="74">
        <f>SA34e!H68</f>
        <v>0</v>
      </c>
      <c r="I78" s="75">
        <f>SA34e!I68</f>
        <v>0</v>
      </c>
      <c r="J78" s="71">
        <f>SA34e!J68</f>
        <v>0</v>
      </c>
      <c r="K78" s="72">
        <f>SA34e!K68</f>
        <v>0</v>
      </c>
    </row>
    <row r="79" spans="1:11" ht="11.25" customHeight="1" x14ac:dyDescent="0.25">
      <c r="A79" s="859" t="s">
        <v>838</v>
      </c>
      <c r="B79" s="860"/>
      <c r="C79" s="642">
        <f t="shared" ref="C79:K79" si="13">SUM(C70:C78)</f>
        <v>603370</v>
      </c>
      <c r="D79" s="642">
        <f t="shared" si="13"/>
        <v>2214341</v>
      </c>
      <c r="E79" s="643">
        <f t="shared" si="13"/>
        <v>0</v>
      </c>
      <c r="F79" s="644">
        <f t="shared" si="13"/>
        <v>0</v>
      </c>
      <c r="G79" s="642">
        <f t="shared" si="13"/>
        <v>0</v>
      </c>
      <c r="H79" s="645">
        <f t="shared" si="13"/>
        <v>0</v>
      </c>
      <c r="I79" s="646">
        <f t="shared" si="13"/>
        <v>0</v>
      </c>
      <c r="J79" s="642">
        <f t="shared" si="13"/>
        <v>0</v>
      </c>
      <c r="K79" s="643">
        <f t="shared" si="13"/>
        <v>0</v>
      </c>
    </row>
    <row r="80" spans="1:11" ht="11.25" customHeight="1" x14ac:dyDescent="0.25">
      <c r="A80" s="861" t="s">
        <v>2283</v>
      </c>
      <c r="B80" s="144"/>
      <c r="C80" s="71">
        <f>SA34e!C75</f>
        <v>0</v>
      </c>
      <c r="D80" s="71">
        <f>SA34e!D75</f>
        <v>0</v>
      </c>
      <c r="E80" s="72">
        <f>SA34e!E75</f>
        <v>0</v>
      </c>
      <c r="F80" s="73">
        <f>SA34e!F75</f>
        <v>0</v>
      </c>
      <c r="G80" s="71">
        <f>SA34e!G75</f>
        <v>0</v>
      </c>
      <c r="H80" s="74">
        <f>SA34e!H75</f>
        <v>0</v>
      </c>
      <c r="I80" s="75">
        <f>SA34e!I75</f>
        <v>0</v>
      </c>
      <c r="J80" s="71">
        <f>SA34e!J75</f>
        <v>0</v>
      </c>
      <c r="K80" s="72">
        <f>SA34e!K75</f>
        <v>0</v>
      </c>
    </row>
    <row r="81" spans="1:11" ht="11.25" customHeight="1" x14ac:dyDescent="0.25">
      <c r="A81" s="861" t="s">
        <v>2301</v>
      </c>
      <c r="B81" s="144"/>
      <c r="C81" s="323">
        <f>SA34e!C98</f>
        <v>0</v>
      </c>
      <c r="D81" s="323">
        <f>SA34e!D98</f>
        <v>0</v>
      </c>
      <c r="E81" s="324">
        <f>SA34e!E98</f>
        <v>0</v>
      </c>
      <c r="F81" s="325">
        <f>SA34e!F98</f>
        <v>0</v>
      </c>
      <c r="G81" s="323">
        <f>SA34e!G98</f>
        <v>0</v>
      </c>
      <c r="H81" s="326">
        <f>SA34e!H98</f>
        <v>0</v>
      </c>
      <c r="I81" s="327">
        <f>SA34e!I98</f>
        <v>5161000</v>
      </c>
      <c r="J81" s="323">
        <f>SA34e!J98</f>
        <v>0</v>
      </c>
      <c r="K81" s="324">
        <f>SA34e!K98</f>
        <v>0</v>
      </c>
    </row>
    <row r="82" spans="1:11" ht="11.25" customHeight="1" x14ac:dyDescent="0.25">
      <c r="A82" s="859" t="s">
        <v>2282</v>
      </c>
      <c r="B82" s="860"/>
      <c r="C82" s="642">
        <f t="shared" ref="C82:K82" si="14">SUM(C80:C81)</f>
        <v>0</v>
      </c>
      <c r="D82" s="642">
        <f t="shared" si="14"/>
        <v>0</v>
      </c>
      <c r="E82" s="643">
        <f t="shared" si="14"/>
        <v>0</v>
      </c>
      <c r="F82" s="644">
        <f t="shared" si="14"/>
        <v>0</v>
      </c>
      <c r="G82" s="642">
        <f t="shared" si="14"/>
        <v>0</v>
      </c>
      <c r="H82" s="645">
        <f t="shared" si="14"/>
        <v>0</v>
      </c>
      <c r="I82" s="646">
        <f t="shared" si="14"/>
        <v>5161000</v>
      </c>
      <c r="J82" s="642">
        <f t="shared" si="14"/>
        <v>0</v>
      </c>
      <c r="K82" s="643">
        <f t="shared" si="14"/>
        <v>0</v>
      </c>
    </row>
    <row r="83" spans="1:11" ht="11.25" customHeight="1" x14ac:dyDescent="0.25">
      <c r="A83" s="862" t="s">
        <v>1733</v>
      </c>
      <c r="B83" s="211"/>
      <c r="C83" s="98">
        <f>SA34e!C103</f>
        <v>0</v>
      </c>
      <c r="D83" s="98">
        <f>SA34e!D103</f>
        <v>0</v>
      </c>
      <c r="E83" s="99">
        <f>SA34e!E103</f>
        <v>0</v>
      </c>
      <c r="F83" s="100">
        <f>SA34e!F103</f>
        <v>0</v>
      </c>
      <c r="G83" s="98">
        <f>SA34e!G103</f>
        <v>0</v>
      </c>
      <c r="H83" s="101">
        <f>SA34e!H103</f>
        <v>0</v>
      </c>
      <c r="I83" s="102">
        <f>SA34e!I103</f>
        <v>0</v>
      </c>
      <c r="J83" s="98">
        <f>SA34e!J103</f>
        <v>0</v>
      </c>
      <c r="K83" s="99">
        <f>SA34e!K103</f>
        <v>0</v>
      </c>
    </row>
    <row r="84" spans="1:11" ht="11.25" customHeight="1" x14ac:dyDescent="0.25">
      <c r="A84" s="861" t="s">
        <v>2338</v>
      </c>
      <c r="B84" s="144"/>
      <c r="C84" s="71">
        <f>SA34e!C111</f>
        <v>0</v>
      </c>
      <c r="D84" s="71">
        <f>SA34e!D111</f>
        <v>0</v>
      </c>
      <c r="E84" s="72">
        <f>SA34e!E111</f>
        <v>0</v>
      </c>
      <c r="F84" s="73">
        <f>SA34e!F111</f>
        <v>0</v>
      </c>
      <c r="G84" s="71">
        <f>SA34e!G111</f>
        <v>0</v>
      </c>
      <c r="H84" s="74">
        <f>SA34e!H111</f>
        <v>0</v>
      </c>
      <c r="I84" s="75">
        <f>SA34e!I111</f>
        <v>0</v>
      </c>
      <c r="J84" s="71">
        <f>SA34e!J111</f>
        <v>0</v>
      </c>
      <c r="K84" s="72">
        <f>SA34e!K111</f>
        <v>0</v>
      </c>
    </row>
    <row r="85" spans="1:11" ht="11.25" customHeight="1" x14ac:dyDescent="0.25">
      <c r="A85" s="861" t="s">
        <v>2341</v>
      </c>
      <c r="B85" s="144"/>
      <c r="C85" s="323">
        <f>SA34e!C114</f>
        <v>0</v>
      </c>
      <c r="D85" s="323">
        <f>SA34e!D114</f>
        <v>0</v>
      </c>
      <c r="E85" s="324">
        <f>SA34e!E114</f>
        <v>0</v>
      </c>
      <c r="F85" s="325">
        <f>SA34e!F114</f>
        <v>0</v>
      </c>
      <c r="G85" s="323">
        <f>SA34e!G114</f>
        <v>0</v>
      </c>
      <c r="H85" s="326">
        <f>SA34e!H114</f>
        <v>0</v>
      </c>
      <c r="I85" s="327">
        <f>SA34e!I114</f>
        <v>0</v>
      </c>
      <c r="J85" s="323">
        <f>SA34e!J114</f>
        <v>0</v>
      </c>
      <c r="K85" s="324">
        <f>SA34e!K114</f>
        <v>0</v>
      </c>
    </row>
    <row r="86" spans="1:11" ht="11.25" customHeight="1" x14ac:dyDescent="0.25">
      <c r="A86" s="859" t="s">
        <v>829</v>
      </c>
      <c r="B86" s="860"/>
      <c r="C86" s="642">
        <f t="shared" ref="C86:K86" si="15">SUM(C84:C85)</f>
        <v>0</v>
      </c>
      <c r="D86" s="642">
        <f t="shared" si="15"/>
        <v>0</v>
      </c>
      <c r="E86" s="643">
        <f t="shared" si="15"/>
        <v>0</v>
      </c>
      <c r="F86" s="644">
        <f t="shared" si="15"/>
        <v>0</v>
      </c>
      <c r="G86" s="642">
        <f t="shared" si="15"/>
        <v>0</v>
      </c>
      <c r="H86" s="645">
        <f t="shared" si="15"/>
        <v>0</v>
      </c>
      <c r="I86" s="646">
        <f t="shared" si="15"/>
        <v>0</v>
      </c>
      <c r="J86" s="642">
        <f t="shared" si="15"/>
        <v>0</v>
      </c>
      <c r="K86" s="643">
        <f t="shared" si="15"/>
        <v>0</v>
      </c>
    </row>
    <row r="87" spans="1:11" ht="11.25" customHeight="1" x14ac:dyDescent="0.25">
      <c r="A87" s="861" t="s">
        <v>2309</v>
      </c>
      <c r="B87" s="144"/>
      <c r="C87" s="71">
        <f>SA34e!C119</f>
        <v>0</v>
      </c>
      <c r="D87" s="71">
        <f>SA34e!D119</f>
        <v>0</v>
      </c>
      <c r="E87" s="72">
        <f>SA34e!E119</f>
        <v>0</v>
      </c>
      <c r="F87" s="73">
        <f>SA34e!F119</f>
        <v>1000000</v>
      </c>
      <c r="G87" s="71">
        <f>SA34e!G119</f>
        <v>1000000</v>
      </c>
      <c r="H87" s="74">
        <f>SA34e!H119</f>
        <v>1000000</v>
      </c>
      <c r="I87" s="75">
        <f>SA34e!I119</f>
        <v>0</v>
      </c>
      <c r="J87" s="71">
        <f>SA34e!J119</f>
        <v>0</v>
      </c>
      <c r="K87" s="72">
        <f>SA34e!K119</f>
        <v>0</v>
      </c>
    </row>
    <row r="88" spans="1:11" ht="11.25" customHeight="1" x14ac:dyDescent="0.25">
      <c r="A88" s="861" t="s">
        <v>1487</v>
      </c>
      <c r="B88" s="144"/>
      <c r="C88" s="323">
        <f>SA34e!C131</f>
        <v>0</v>
      </c>
      <c r="D88" s="323">
        <f>SA34e!D131</f>
        <v>0</v>
      </c>
      <c r="E88" s="324">
        <f>SA34e!E131</f>
        <v>0</v>
      </c>
      <c r="F88" s="325">
        <f>SA34e!F131</f>
        <v>0</v>
      </c>
      <c r="G88" s="323">
        <f>SA34e!G131</f>
        <v>0</v>
      </c>
      <c r="H88" s="326">
        <f>SA34e!H131</f>
        <v>0</v>
      </c>
      <c r="I88" s="327">
        <f>SA34e!I131</f>
        <v>0</v>
      </c>
      <c r="J88" s="323">
        <f>SA34e!J131</f>
        <v>0</v>
      </c>
      <c r="K88" s="324">
        <f>SA34e!K131</f>
        <v>0</v>
      </c>
    </row>
    <row r="89" spans="1:11" ht="11.25" customHeight="1" x14ac:dyDescent="0.25">
      <c r="A89" s="859" t="s">
        <v>1738</v>
      </c>
      <c r="B89" s="860"/>
      <c r="C89" s="642">
        <f t="shared" ref="C89:K89" si="16">SUM(C87:C88)</f>
        <v>0</v>
      </c>
      <c r="D89" s="642">
        <f t="shared" si="16"/>
        <v>0</v>
      </c>
      <c r="E89" s="643">
        <f t="shared" si="16"/>
        <v>0</v>
      </c>
      <c r="F89" s="644">
        <f t="shared" si="16"/>
        <v>1000000</v>
      </c>
      <c r="G89" s="642">
        <f t="shared" si="16"/>
        <v>1000000</v>
      </c>
      <c r="H89" s="645">
        <f t="shared" si="16"/>
        <v>1000000</v>
      </c>
      <c r="I89" s="646">
        <f t="shared" si="16"/>
        <v>0</v>
      </c>
      <c r="J89" s="642">
        <f t="shared" si="16"/>
        <v>0</v>
      </c>
      <c r="K89" s="643">
        <f t="shared" si="16"/>
        <v>0</v>
      </c>
    </row>
    <row r="90" spans="1:11" ht="11.25" customHeight="1" x14ac:dyDescent="0.25">
      <c r="A90" s="862" t="s">
        <v>2322</v>
      </c>
      <c r="B90" s="211"/>
      <c r="C90" s="98">
        <f>SA34e!C136</f>
        <v>0</v>
      </c>
      <c r="D90" s="98">
        <f>SA34e!D136</f>
        <v>0</v>
      </c>
      <c r="E90" s="99">
        <f>SA34e!E136</f>
        <v>0</v>
      </c>
      <c r="F90" s="100">
        <f>SA34e!F136</f>
        <v>0</v>
      </c>
      <c r="G90" s="98">
        <f>SA34e!G136</f>
        <v>0</v>
      </c>
      <c r="H90" s="101">
        <f>SA34e!H136</f>
        <v>0</v>
      </c>
      <c r="I90" s="102">
        <f>SA34e!I136</f>
        <v>0</v>
      </c>
      <c r="J90" s="98">
        <f>SA34e!J136</f>
        <v>0</v>
      </c>
      <c r="K90" s="99">
        <f>SA34e!K136</f>
        <v>0</v>
      </c>
    </row>
    <row r="91" spans="1:11" ht="11.25" customHeight="1" x14ac:dyDescent="0.25">
      <c r="A91" s="861" t="s">
        <v>2323</v>
      </c>
      <c r="B91" s="144"/>
      <c r="C91" s="71">
        <f>SA34e!C140</f>
        <v>0</v>
      </c>
      <c r="D91" s="71">
        <f>SA34e!D140</f>
        <v>0</v>
      </c>
      <c r="E91" s="72">
        <f>SA34e!E140</f>
        <v>0</v>
      </c>
      <c r="F91" s="73">
        <f>SA34e!F140</f>
        <v>0</v>
      </c>
      <c r="G91" s="71">
        <f>SA34e!G140</f>
        <v>0</v>
      </c>
      <c r="H91" s="74">
        <f>SA34e!H140</f>
        <v>0</v>
      </c>
      <c r="I91" s="75">
        <f>SA34e!I140</f>
        <v>0</v>
      </c>
      <c r="J91" s="71">
        <f>SA34e!J140</f>
        <v>0</v>
      </c>
      <c r="K91" s="72">
        <f>SA34e!K140</f>
        <v>0</v>
      </c>
    </row>
    <row r="92" spans="1:11" ht="11.25" customHeight="1" x14ac:dyDescent="0.25">
      <c r="A92" s="861" t="s">
        <v>2324</v>
      </c>
      <c r="B92" s="144"/>
      <c r="C92" s="323">
        <f>SA34e!C141</f>
        <v>0</v>
      </c>
      <c r="D92" s="323">
        <f>SA34e!D141</f>
        <v>0</v>
      </c>
      <c r="E92" s="324">
        <f>SA34e!E141</f>
        <v>0</v>
      </c>
      <c r="F92" s="325">
        <f>SA34e!F141</f>
        <v>0</v>
      </c>
      <c r="G92" s="323">
        <f>SA34e!G141</f>
        <v>0</v>
      </c>
      <c r="H92" s="326">
        <f>SA34e!H141</f>
        <v>0</v>
      </c>
      <c r="I92" s="327">
        <f>SA34e!I141</f>
        <v>0</v>
      </c>
      <c r="J92" s="323">
        <f>SA34e!J141</f>
        <v>0</v>
      </c>
      <c r="K92" s="324">
        <f>SA34e!K141</f>
        <v>0</v>
      </c>
    </row>
    <row r="93" spans="1:11" ht="11.25" customHeight="1" x14ac:dyDescent="0.25">
      <c r="A93" s="859" t="s">
        <v>2325</v>
      </c>
      <c r="B93" s="860"/>
      <c r="C93" s="642">
        <f t="shared" ref="C93:K93" si="17">SUM(C91:C92)</f>
        <v>0</v>
      </c>
      <c r="D93" s="642">
        <f t="shared" si="17"/>
        <v>0</v>
      </c>
      <c r="E93" s="643">
        <f t="shared" si="17"/>
        <v>0</v>
      </c>
      <c r="F93" s="644">
        <f t="shared" si="17"/>
        <v>0</v>
      </c>
      <c r="G93" s="642">
        <f t="shared" si="17"/>
        <v>0</v>
      </c>
      <c r="H93" s="645">
        <f t="shared" si="17"/>
        <v>0</v>
      </c>
      <c r="I93" s="646">
        <f t="shared" si="17"/>
        <v>0</v>
      </c>
      <c r="J93" s="642">
        <f t="shared" si="17"/>
        <v>0</v>
      </c>
      <c r="K93" s="643">
        <f t="shared" si="17"/>
        <v>0</v>
      </c>
    </row>
    <row r="94" spans="1:11" x14ac:dyDescent="0.25">
      <c r="A94" s="863" t="s">
        <v>2332</v>
      </c>
      <c r="B94" s="864"/>
      <c r="C94" s="98">
        <f>SA34e!C149</f>
        <v>0</v>
      </c>
      <c r="D94" s="98">
        <f>SA34e!D149</f>
        <v>0</v>
      </c>
      <c r="E94" s="99">
        <f>SA34e!E149</f>
        <v>0</v>
      </c>
      <c r="F94" s="100">
        <f>SA34e!F149</f>
        <v>0</v>
      </c>
      <c r="G94" s="98">
        <f>SA34e!G149</f>
        <v>0</v>
      </c>
      <c r="H94" s="101">
        <f>SA34e!H149</f>
        <v>0</v>
      </c>
      <c r="I94" s="102">
        <f>SA34e!I149</f>
        <v>0</v>
      </c>
      <c r="J94" s="98">
        <f>SA34e!J149</f>
        <v>0</v>
      </c>
      <c r="K94" s="99">
        <f>SA34e!K149</f>
        <v>0</v>
      </c>
    </row>
    <row r="95" spans="1:11" ht="11.25" customHeight="1" x14ac:dyDescent="0.25">
      <c r="A95" s="862" t="s">
        <v>2333</v>
      </c>
      <c r="B95" s="144"/>
      <c r="C95" s="98">
        <f>SA34e!C152</f>
        <v>0</v>
      </c>
      <c r="D95" s="98">
        <f>SA34e!D152</f>
        <v>0</v>
      </c>
      <c r="E95" s="99">
        <f>SA34e!E152</f>
        <v>0</v>
      </c>
      <c r="F95" s="100">
        <f>SA34e!F152</f>
        <v>0</v>
      </c>
      <c r="G95" s="98">
        <f>SA34e!G152</f>
        <v>0</v>
      </c>
      <c r="H95" s="101">
        <f>SA34e!H152</f>
        <v>0</v>
      </c>
      <c r="I95" s="102">
        <f>SA34e!I152</f>
        <v>0</v>
      </c>
      <c r="J95" s="98">
        <f>SA34e!J152</f>
        <v>0</v>
      </c>
      <c r="K95" s="99">
        <f>SA34e!K152</f>
        <v>0</v>
      </c>
    </row>
    <row r="96" spans="1:11" ht="11.25" customHeight="1" x14ac:dyDescent="0.25">
      <c r="A96" s="862" t="s">
        <v>2334</v>
      </c>
      <c r="B96" s="144"/>
      <c r="C96" s="98">
        <f>SA34e!C155</f>
        <v>0</v>
      </c>
      <c r="D96" s="98">
        <f>SA34e!D155</f>
        <v>0</v>
      </c>
      <c r="E96" s="99">
        <f>SA34e!E155</f>
        <v>0</v>
      </c>
      <c r="F96" s="100">
        <f>SA34e!F155</f>
        <v>0</v>
      </c>
      <c r="G96" s="98">
        <f>SA34e!G155</f>
        <v>0</v>
      </c>
      <c r="H96" s="101">
        <f>SA34e!H155</f>
        <v>0</v>
      </c>
      <c r="I96" s="102">
        <f>SA34e!I155</f>
        <v>0</v>
      </c>
      <c r="J96" s="98">
        <f>SA34e!J155</f>
        <v>0</v>
      </c>
      <c r="K96" s="99">
        <f>SA34e!K155</f>
        <v>0</v>
      </c>
    </row>
    <row r="97" spans="1:11" x14ac:dyDescent="0.25">
      <c r="A97" s="863" t="s">
        <v>2335</v>
      </c>
      <c r="B97" s="864"/>
      <c r="C97" s="98">
        <f>SA34e!C158</f>
        <v>0</v>
      </c>
      <c r="D97" s="98">
        <f>SA34e!D158</f>
        <v>0</v>
      </c>
      <c r="E97" s="99">
        <f>SA34e!E158</f>
        <v>0</v>
      </c>
      <c r="F97" s="100">
        <f>SA34e!F158</f>
        <v>0</v>
      </c>
      <c r="G97" s="98">
        <f>SA34e!G158</f>
        <v>0</v>
      </c>
      <c r="H97" s="101">
        <f>SA34e!H158</f>
        <v>0</v>
      </c>
      <c r="I97" s="102">
        <f>SA34e!I158</f>
        <v>0</v>
      </c>
      <c r="J97" s="98">
        <f>SA34e!J158</f>
        <v>0</v>
      </c>
      <c r="K97" s="99">
        <f>SA34e!K158</f>
        <v>0</v>
      </c>
    </row>
    <row r="98" spans="1:11" ht="11.25" customHeight="1" x14ac:dyDescent="0.25">
      <c r="A98" s="862" t="s">
        <v>2470</v>
      </c>
      <c r="B98" s="144"/>
      <c r="C98" s="98">
        <f>SA34e!C161</f>
        <v>0</v>
      </c>
      <c r="D98" s="98">
        <f>SA34e!D161</f>
        <v>0</v>
      </c>
      <c r="E98" s="99">
        <f>SA34e!E161</f>
        <v>0</v>
      </c>
      <c r="F98" s="100">
        <f>SA34e!F161</f>
        <v>0</v>
      </c>
      <c r="G98" s="98">
        <f>SA34e!G161</f>
        <v>0</v>
      </c>
      <c r="H98" s="101">
        <f>SA34e!H161</f>
        <v>0</v>
      </c>
      <c r="I98" s="102">
        <f>SA34e!I161</f>
        <v>0</v>
      </c>
      <c r="J98" s="98">
        <f>SA34e!J161</f>
        <v>0</v>
      </c>
      <c r="K98" s="99">
        <f>SA34e!K161</f>
        <v>0</v>
      </c>
    </row>
    <row r="99" spans="1:11" ht="11.25" customHeight="1" x14ac:dyDescent="0.25">
      <c r="A99" s="862" t="s">
        <v>2336</v>
      </c>
      <c r="B99" s="144"/>
      <c r="C99" s="650">
        <f>SA34e!C164</f>
        <v>0</v>
      </c>
      <c r="D99" s="650">
        <f>SA34e!D164</f>
        <v>0</v>
      </c>
      <c r="E99" s="651">
        <f>SA34e!E164</f>
        <v>0</v>
      </c>
      <c r="F99" s="652">
        <f>SA34e!F164</f>
        <v>0</v>
      </c>
      <c r="G99" s="650">
        <f>SA34e!G164</f>
        <v>0</v>
      </c>
      <c r="H99" s="653">
        <f>SA34e!H164</f>
        <v>0</v>
      </c>
      <c r="I99" s="654">
        <f>SA34e!I164</f>
        <v>0</v>
      </c>
      <c r="J99" s="650">
        <f>SA34e!J164</f>
        <v>0</v>
      </c>
      <c r="K99" s="651">
        <f>SA34e!K164</f>
        <v>0</v>
      </c>
    </row>
    <row r="100" spans="1:11" ht="4.9000000000000004" customHeight="1" x14ac:dyDescent="0.25">
      <c r="A100" s="865"/>
      <c r="B100" s="144"/>
      <c r="C100" s="71"/>
      <c r="D100" s="71"/>
      <c r="E100" s="72"/>
      <c r="F100" s="73"/>
      <c r="G100" s="71"/>
      <c r="H100" s="74"/>
      <c r="I100" s="75"/>
      <c r="J100" s="71"/>
      <c r="K100" s="72"/>
    </row>
    <row r="101" spans="1:11" ht="11.25" customHeight="1" x14ac:dyDescent="0.25">
      <c r="A101" s="857" t="s">
        <v>523</v>
      </c>
      <c r="B101" s="144">
        <v>4</v>
      </c>
      <c r="C101" s="545">
        <f>+C5+C37+C69</f>
        <v>166194243</v>
      </c>
      <c r="D101" s="545">
        <f t="shared" ref="D101:K101" si="18">+D5+D37+D69</f>
        <v>194273798</v>
      </c>
      <c r="E101" s="742">
        <f t="shared" si="18"/>
        <v>213642164</v>
      </c>
      <c r="F101" s="743">
        <f t="shared" si="18"/>
        <v>25696767</v>
      </c>
      <c r="G101" s="545">
        <f t="shared" si="18"/>
        <v>43762488</v>
      </c>
      <c r="H101" s="831">
        <f t="shared" si="18"/>
        <v>43762488</v>
      </c>
      <c r="I101" s="544">
        <f t="shared" si="18"/>
        <v>31621000</v>
      </c>
      <c r="J101" s="545">
        <f t="shared" si="18"/>
        <v>3756392</v>
      </c>
      <c r="K101" s="742">
        <f t="shared" si="18"/>
        <v>3986648</v>
      </c>
    </row>
    <row r="102" spans="1:11" ht="11.25" customHeight="1" x14ac:dyDescent="0.25">
      <c r="A102" s="858" t="s">
        <v>2230</v>
      </c>
      <c r="B102" s="97"/>
      <c r="C102" s="71">
        <f>+C6+C38+C70</f>
        <v>54841760</v>
      </c>
      <c r="D102" s="71">
        <f t="shared" ref="D102:K102" si="19">+D6+D38+D70</f>
        <v>64361142</v>
      </c>
      <c r="E102" s="72">
        <f t="shared" si="19"/>
        <v>71583670</v>
      </c>
      <c r="F102" s="73">
        <f t="shared" si="19"/>
        <v>9467783</v>
      </c>
      <c r="G102" s="71">
        <f t="shared" si="19"/>
        <v>21910731</v>
      </c>
      <c r="H102" s="74">
        <f t="shared" si="19"/>
        <v>21910731</v>
      </c>
      <c r="I102" s="75">
        <f t="shared" si="19"/>
        <v>13790425</v>
      </c>
      <c r="J102" s="71">
        <f t="shared" si="19"/>
        <v>0</v>
      </c>
      <c r="K102" s="72">
        <f t="shared" si="19"/>
        <v>0</v>
      </c>
    </row>
    <row r="103" spans="1:11" ht="11.25" customHeight="1" x14ac:dyDescent="0.25">
      <c r="A103" s="858" t="s">
        <v>2234</v>
      </c>
      <c r="B103" s="97"/>
      <c r="C103" s="71">
        <f t="shared" ref="C103:K110" si="20">+C7+C39+C71</f>
        <v>0</v>
      </c>
      <c r="D103" s="71">
        <f t="shared" si="20"/>
        <v>0</v>
      </c>
      <c r="E103" s="72">
        <f t="shared" si="20"/>
        <v>0</v>
      </c>
      <c r="F103" s="73">
        <f t="shared" si="20"/>
        <v>0</v>
      </c>
      <c r="G103" s="71">
        <f t="shared" si="20"/>
        <v>0</v>
      </c>
      <c r="H103" s="74">
        <f t="shared" si="20"/>
        <v>0</v>
      </c>
      <c r="I103" s="75">
        <f t="shared" si="20"/>
        <v>0</v>
      </c>
      <c r="J103" s="71">
        <f t="shared" si="20"/>
        <v>0</v>
      </c>
      <c r="K103" s="72">
        <f t="shared" si="20"/>
        <v>0</v>
      </c>
    </row>
    <row r="104" spans="1:11" ht="11.25" customHeight="1" x14ac:dyDescent="0.25">
      <c r="A104" s="858" t="s">
        <v>2279</v>
      </c>
      <c r="B104" s="97"/>
      <c r="C104" s="71">
        <f t="shared" si="20"/>
        <v>0</v>
      </c>
      <c r="D104" s="71">
        <f t="shared" si="20"/>
        <v>0</v>
      </c>
      <c r="E104" s="72">
        <f t="shared" si="20"/>
        <v>0</v>
      </c>
      <c r="F104" s="73">
        <f t="shared" si="20"/>
        <v>0</v>
      </c>
      <c r="G104" s="71">
        <f t="shared" si="20"/>
        <v>0</v>
      </c>
      <c r="H104" s="74">
        <f t="shared" si="20"/>
        <v>0</v>
      </c>
      <c r="I104" s="75">
        <f t="shared" si="20"/>
        <v>0</v>
      </c>
      <c r="J104" s="71">
        <f t="shared" si="20"/>
        <v>0</v>
      </c>
      <c r="K104" s="72">
        <f t="shared" si="20"/>
        <v>0</v>
      </c>
    </row>
    <row r="105" spans="1:11" ht="11.25" customHeight="1" x14ac:dyDescent="0.25">
      <c r="A105" s="858" t="s">
        <v>2280</v>
      </c>
      <c r="B105" s="97"/>
      <c r="C105" s="71">
        <f t="shared" si="20"/>
        <v>0</v>
      </c>
      <c r="D105" s="71">
        <f t="shared" si="20"/>
        <v>0</v>
      </c>
      <c r="E105" s="72">
        <f t="shared" si="20"/>
        <v>0</v>
      </c>
      <c r="F105" s="73">
        <f t="shared" si="20"/>
        <v>0</v>
      </c>
      <c r="G105" s="71">
        <f t="shared" si="20"/>
        <v>0</v>
      </c>
      <c r="H105" s="74">
        <f t="shared" si="20"/>
        <v>0</v>
      </c>
      <c r="I105" s="75">
        <f t="shared" si="20"/>
        <v>0</v>
      </c>
      <c r="J105" s="71">
        <f t="shared" si="20"/>
        <v>0</v>
      </c>
      <c r="K105" s="72">
        <f t="shared" si="20"/>
        <v>0</v>
      </c>
    </row>
    <row r="106" spans="1:11" ht="11.25" customHeight="1" x14ac:dyDescent="0.25">
      <c r="A106" s="858" t="s">
        <v>2281</v>
      </c>
      <c r="B106" s="97"/>
      <c r="C106" s="71">
        <f t="shared" si="20"/>
        <v>0</v>
      </c>
      <c r="D106" s="71">
        <f t="shared" si="20"/>
        <v>0</v>
      </c>
      <c r="E106" s="72">
        <f t="shared" si="20"/>
        <v>0</v>
      </c>
      <c r="F106" s="73">
        <f t="shared" si="20"/>
        <v>0</v>
      </c>
      <c r="G106" s="71">
        <f t="shared" si="20"/>
        <v>0</v>
      </c>
      <c r="H106" s="74">
        <f t="shared" si="20"/>
        <v>0</v>
      </c>
      <c r="I106" s="75">
        <f t="shared" si="20"/>
        <v>0</v>
      </c>
      <c r="J106" s="71">
        <f t="shared" si="20"/>
        <v>0</v>
      </c>
      <c r="K106" s="72">
        <f t="shared" si="20"/>
        <v>0</v>
      </c>
    </row>
    <row r="107" spans="1:11" ht="11.25" customHeight="1" x14ac:dyDescent="0.25">
      <c r="A107" s="858" t="s">
        <v>2259</v>
      </c>
      <c r="B107" s="97"/>
      <c r="C107" s="71">
        <f t="shared" si="20"/>
        <v>0</v>
      </c>
      <c r="D107" s="71">
        <f t="shared" si="20"/>
        <v>0</v>
      </c>
      <c r="E107" s="72">
        <f t="shared" si="20"/>
        <v>0</v>
      </c>
      <c r="F107" s="73">
        <f t="shared" si="20"/>
        <v>0</v>
      </c>
      <c r="G107" s="71">
        <f t="shared" si="20"/>
        <v>0</v>
      </c>
      <c r="H107" s="74">
        <f t="shared" si="20"/>
        <v>0</v>
      </c>
      <c r="I107" s="75">
        <f t="shared" si="20"/>
        <v>0</v>
      </c>
      <c r="J107" s="71">
        <f t="shared" si="20"/>
        <v>0</v>
      </c>
      <c r="K107" s="72">
        <f t="shared" si="20"/>
        <v>0</v>
      </c>
    </row>
    <row r="108" spans="1:11" ht="11.25" customHeight="1" x14ac:dyDescent="0.25">
      <c r="A108" s="858" t="s">
        <v>2275</v>
      </c>
      <c r="B108" s="97"/>
      <c r="C108" s="71">
        <f t="shared" si="20"/>
        <v>0</v>
      </c>
      <c r="D108" s="71">
        <f t="shared" si="20"/>
        <v>0</v>
      </c>
      <c r="E108" s="72">
        <f t="shared" si="20"/>
        <v>0</v>
      </c>
      <c r="F108" s="73">
        <f t="shared" si="20"/>
        <v>0</v>
      </c>
      <c r="G108" s="71">
        <f t="shared" si="20"/>
        <v>0</v>
      </c>
      <c r="H108" s="74">
        <f t="shared" si="20"/>
        <v>0</v>
      </c>
      <c r="I108" s="75">
        <f t="shared" si="20"/>
        <v>0</v>
      </c>
      <c r="J108" s="71">
        <f t="shared" si="20"/>
        <v>0</v>
      </c>
      <c r="K108" s="72">
        <f t="shared" si="20"/>
        <v>0</v>
      </c>
    </row>
    <row r="109" spans="1:11" ht="11.25" customHeight="1" x14ac:dyDescent="0.25">
      <c r="A109" s="858" t="s">
        <v>2270</v>
      </c>
      <c r="B109" s="97"/>
      <c r="C109" s="71">
        <f t="shared" si="20"/>
        <v>0</v>
      </c>
      <c r="D109" s="71">
        <f t="shared" si="20"/>
        <v>0</v>
      </c>
      <c r="E109" s="72">
        <f t="shared" si="20"/>
        <v>0</v>
      </c>
      <c r="F109" s="73">
        <f t="shared" si="20"/>
        <v>0</v>
      </c>
      <c r="G109" s="71">
        <f t="shared" si="20"/>
        <v>0</v>
      </c>
      <c r="H109" s="74">
        <f t="shared" si="20"/>
        <v>0</v>
      </c>
      <c r="I109" s="75">
        <f t="shared" si="20"/>
        <v>0</v>
      </c>
      <c r="J109" s="71">
        <f t="shared" si="20"/>
        <v>0</v>
      </c>
      <c r="K109" s="72">
        <f t="shared" si="20"/>
        <v>0</v>
      </c>
    </row>
    <row r="110" spans="1:11" ht="11.25" customHeight="1" x14ac:dyDescent="0.25">
      <c r="A110" s="858" t="s">
        <v>2266</v>
      </c>
      <c r="B110" s="97"/>
      <c r="C110" s="71">
        <f t="shared" si="20"/>
        <v>0</v>
      </c>
      <c r="D110" s="71">
        <f t="shared" si="20"/>
        <v>0</v>
      </c>
      <c r="E110" s="72">
        <f t="shared" si="20"/>
        <v>0</v>
      </c>
      <c r="F110" s="73">
        <f t="shared" si="20"/>
        <v>0</v>
      </c>
      <c r="G110" s="71">
        <f t="shared" si="20"/>
        <v>0</v>
      </c>
      <c r="H110" s="74">
        <f t="shared" si="20"/>
        <v>0</v>
      </c>
      <c r="I110" s="75">
        <f t="shared" si="20"/>
        <v>0</v>
      </c>
      <c r="J110" s="71">
        <f t="shared" si="20"/>
        <v>0</v>
      </c>
      <c r="K110" s="72">
        <f t="shared" si="20"/>
        <v>0</v>
      </c>
    </row>
    <row r="111" spans="1:11" ht="11.25" customHeight="1" x14ac:dyDescent="0.25">
      <c r="A111" s="859" t="s">
        <v>838</v>
      </c>
      <c r="B111" s="860"/>
      <c r="C111" s="642">
        <f>SUM(C102:C110)</f>
        <v>54841760</v>
      </c>
      <c r="D111" s="642">
        <f t="shared" ref="D111:K111" si="21">SUM(D102:D110)</f>
        <v>64361142</v>
      </c>
      <c r="E111" s="643">
        <f t="shared" si="21"/>
        <v>71583670</v>
      </c>
      <c r="F111" s="644">
        <f t="shared" si="21"/>
        <v>9467783</v>
      </c>
      <c r="G111" s="642">
        <f t="shared" si="21"/>
        <v>21910731</v>
      </c>
      <c r="H111" s="645">
        <f t="shared" si="21"/>
        <v>21910731</v>
      </c>
      <c r="I111" s="646">
        <f t="shared" si="21"/>
        <v>13790425</v>
      </c>
      <c r="J111" s="642">
        <f t="shared" si="21"/>
        <v>0</v>
      </c>
      <c r="K111" s="643">
        <f t="shared" si="21"/>
        <v>0</v>
      </c>
    </row>
    <row r="112" spans="1:11" ht="11.25" customHeight="1" x14ac:dyDescent="0.25">
      <c r="A112" s="861" t="s">
        <v>2283</v>
      </c>
      <c r="B112" s="144"/>
      <c r="C112" s="71">
        <f>+C16+C48+C80</f>
        <v>82457646</v>
      </c>
      <c r="D112" s="71">
        <f t="shared" ref="D112:K112" si="22">+D16+D48+D80</f>
        <v>96973071</v>
      </c>
      <c r="E112" s="72">
        <f t="shared" si="22"/>
        <v>105941807</v>
      </c>
      <c r="F112" s="73">
        <f t="shared" si="22"/>
        <v>9528984</v>
      </c>
      <c r="G112" s="71">
        <f t="shared" si="22"/>
        <v>18079806</v>
      </c>
      <c r="H112" s="74">
        <f t="shared" si="22"/>
        <v>18079806</v>
      </c>
      <c r="I112" s="75">
        <f t="shared" si="22"/>
        <v>2964575</v>
      </c>
      <c r="J112" s="71">
        <f t="shared" si="22"/>
        <v>3000000</v>
      </c>
      <c r="K112" s="72">
        <f t="shared" si="22"/>
        <v>3200000</v>
      </c>
    </row>
    <row r="113" spans="1:11" ht="11.25" customHeight="1" x14ac:dyDescent="0.25">
      <c r="A113" s="861" t="s">
        <v>2301</v>
      </c>
      <c r="B113" s="144"/>
      <c r="C113" s="323">
        <f>+C17+C49+C81</f>
        <v>0</v>
      </c>
      <c r="D113" s="323">
        <f t="shared" ref="D113:K113" si="23">+D17+D49+D81</f>
        <v>0</v>
      </c>
      <c r="E113" s="324">
        <f t="shared" si="23"/>
        <v>0</v>
      </c>
      <c r="F113" s="325">
        <f t="shared" si="23"/>
        <v>0</v>
      </c>
      <c r="G113" s="323">
        <f t="shared" si="23"/>
        <v>0</v>
      </c>
      <c r="H113" s="326">
        <f t="shared" si="23"/>
        <v>0</v>
      </c>
      <c r="I113" s="327">
        <f t="shared" si="23"/>
        <v>13161000</v>
      </c>
      <c r="J113" s="323">
        <f t="shared" si="23"/>
        <v>0</v>
      </c>
      <c r="K113" s="324">
        <f t="shared" si="23"/>
        <v>0</v>
      </c>
    </row>
    <row r="114" spans="1:11" ht="11.25" customHeight="1" x14ac:dyDescent="0.25">
      <c r="A114" s="859" t="s">
        <v>2282</v>
      </c>
      <c r="B114" s="860"/>
      <c r="C114" s="642">
        <f>SUM(C112:C113)</f>
        <v>82457646</v>
      </c>
      <c r="D114" s="642">
        <f t="shared" ref="D114:K114" si="24">SUM(D112:D113)</f>
        <v>96973071</v>
      </c>
      <c r="E114" s="643">
        <f t="shared" si="24"/>
        <v>105941807</v>
      </c>
      <c r="F114" s="644">
        <f t="shared" si="24"/>
        <v>9528984</v>
      </c>
      <c r="G114" s="642">
        <f t="shared" si="24"/>
        <v>18079806</v>
      </c>
      <c r="H114" s="645">
        <f t="shared" si="24"/>
        <v>18079806</v>
      </c>
      <c r="I114" s="646">
        <f t="shared" si="24"/>
        <v>16125575</v>
      </c>
      <c r="J114" s="642">
        <f t="shared" si="24"/>
        <v>3000000</v>
      </c>
      <c r="K114" s="643">
        <f t="shared" si="24"/>
        <v>3200000</v>
      </c>
    </row>
    <row r="115" spans="1:11" ht="11.25" customHeight="1" x14ac:dyDescent="0.25">
      <c r="A115" s="862" t="s">
        <v>1733</v>
      </c>
      <c r="B115" s="211"/>
      <c r="C115" s="98">
        <f>+C19+C51+C83</f>
        <v>0</v>
      </c>
      <c r="D115" s="98">
        <f t="shared" ref="D115:K115" si="25">+D19+D51+D83</f>
        <v>0</v>
      </c>
      <c r="E115" s="99">
        <f t="shared" si="25"/>
        <v>0</v>
      </c>
      <c r="F115" s="100">
        <f t="shared" si="25"/>
        <v>0</v>
      </c>
      <c r="G115" s="98">
        <f t="shared" si="25"/>
        <v>0</v>
      </c>
      <c r="H115" s="101">
        <f t="shared" si="25"/>
        <v>0</v>
      </c>
      <c r="I115" s="102">
        <f t="shared" si="25"/>
        <v>0</v>
      </c>
      <c r="J115" s="98">
        <f t="shared" si="25"/>
        <v>0</v>
      </c>
      <c r="K115" s="99">
        <f t="shared" si="25"/>
        <v>0</v>
      </c>
    </row>
    <row r="116" spans="1:11" ht="11.25" customHeight="1" x14ac:dyDescent="0.25">
      <c r="A116" s="861" t="s">
        <v>2338</v>
      </c>
      <c r="B116" s="144"/>
      <c r="C116" s="71">
        <f>+C20+C52+C84</f>
        <v>0</v>
      </c>
      <c r="D116" s="71">
        <f t="shared" ref="D116:K116" si="26">+D20+D52+D84</f>
        <v>0</v>
      </c>
      <c r="E116" s="72">
        <f t="shared" si="26"/>
        <v>0</v>
      </c>
      <c r="F116" s="73">
        <f t="shared" si="26"/>
        <v>0</v>
      </c>
      <c r="G116" s="71">
        <f t="shared" si="26"/>
        <v>0</v>
      </c>
      <c r="H116" s="74">
        <f t="shared" si="26"/>
        <v>0</v>
      </c>
      <c r="I116" s="75">
        <f t="shared" si="26"/>
        <v>0</v>
      </c>
      <c r="J116" s="71">
        <f t="shared" si="26"/>
        <v>0</v>
      </c>
      <c r="K116" s="72">
        <f t="shared" si="26"/>
        <v>0</v>
      </c>
    </row>
    <row r="117" spans="1:11" ht="11.25" customHeight="1" x14ac:dyDescent="0.25">
      <c r="A117" s="861" t="s">
        <v>2341</v>
      </c>
      <c r="B117" s="144"/>
      <c r="C117" s="323">
        <f>+C21+C53+C85</f>
        <v>0</v>
      </c>
      <c r="D117" s="323">
        <f t="shared" ref="D117:K117" si="27">+D21+D53+D85</f>
        <v>0</v>
      </c>
      <c r="E117" s="324">
        <f t="shared" si="27"/>
        <v>0</v>
      </c>
      <c r="F117" s="325">
        <f t="shared" si="27"/>
        <v>0</v>
      </c>
      <c r="G117" s="323">
        <f t="shared" si="27"/>
        <v>0</v>
      </c>
      <c r="H117" s="326">
        <f t="shared" si="27"/>
        <v>0</v>
      </c>
      <c r="I117" s="327">
        <f t="shared" si="27"/>
        <v>0</v>
      </c>
      <c r="J117" s="323">
        <f t="shared" si="27"/>
        <v>0</v>
      </c>
      <c r="K117" s="324">
        <f t="shared" si="27"/>
        <v>0</v>
      </c>
    </row>
    <row r="118" spans="1:11" ht="11.25" customHeight="1" x14ac:dyDescent="0.25">
      <c r="A118" s="859" t="s">
        <v>829</v>
      </c>
      <c r="B118" s="860"/>
      <c r="C118" s="642">
        <f>SUM(C116:C117)</f>
        <v>0</v>
      </c>
      <c r="D118" s="642">
        <f t="shared" ref="D118:K118" si="28">SUM(D116:D117)</f>
        <v>0</v>
      </c>
      <c r="E118" s="643">
        <f t="shared" si="28"/>
        <v>0</v>
      </c>
      <c r="F118" s="644">
        <f t="shared" si="28"/>
        <v>0</v>
      </c>
      <c r="G118" s="642">
        <f t="shared" si="28"/>
        <v>0</v>
      </c>
      <c r="H118" s="645">
        <f t="shared" si="28"/>
        <v>0</v>
      </c>
      <c r="I118" s="646">
        <f t="shared" si="28"/>
        <v>0</v>
      </c>
      <c r="J118" s="642">
        <f t="shared" si="28"/>
        <v>0</v>
      </c>
      <c r="K118" s="643">
        <f t="shared" si="28"/>
        <v>0</v>
      </c>
    </row>
    <row r="119" spans="1:11" ht="11.25" customHeight="1" x14ac:dyDescent="0.25">
      <c r="A119" s="861" t="s">
        <v>2309</v>
      </c>
      <c r="B119" s="144"/>
      <c r="C119" s="71">
        <f>+C23+C55+C87</f>
        <v>13527172</v>
      </c>
      <c r="D119" s="71">
        <f t="shared" ref="D119:K119" si="29">+D23+D55+D87</f>
        <v>12980672</v>
      </c>
      <c r="E119" s="72">
        <f t="shared" si="29"/>
        <v>13182084</v>
      </c>
      <c r="F119" s="73">
        <f t="shared" si="29"/>
        <v>6000000</v>
      </c>
      <c r="G119" s="71">
        <f t="shared" si="29"/>
        <v>3071951</v>
      </c>
      <c r="H119" s="74">
        <f t="shared" si="29"/>
        <v>3071951</v>
      </c>
      <c r="I119" s="75">
        <f t="shared" si="29"/>
        <v>0</v>
      </c>
      <c r="J119" s="71">
        <f t="shared" si="29"/>
        <v>0</v>
      </c>
      <c r="K119" s="72">
        <f t="shared" si="29"/>
        <v>0</v>
      </c>
    </row>
    <row r="120" spans="1:11" ht="11.25" customHeight="1" x14ac:dyDescent="0.25">
      <c r="A120" s="861" t="s">
        <v>1487</v>
      </c>
      <c r="B120" s="144"/>
      <c r="C120" s="323">
        <f>+C24+C56+C88</f>
        <v>0</v>
      </c>
      <c r="D120" s="323">
        <f t="shared" ref="D120:K120" si="30">+D24+D56+D88</f>
        <v>0</v>
      </c>
      <c r="E120" s="324">
        <f t="shared" si="30"/>
        <v>0</v>
      </c>
      <c r="F120" s="325">
        <f t="shared" si="30"/>
        <v>0</v>
      </c>
      <c r="G120" s="323">
        <f t="shared" si="30"/>
        <v>0</v>
      </c>
      <c r="H120" s="326">
        <f t="shared" si="30"/>
        <v>0</v>
      </c>
      <c r="I120" s="327">
        <f t="shared" si="30"/>
        <v>0</v>
      </c>
      <c r="J120" s="323">
        <f t="shared" si="30"/>
        <v>0</v>
      </c>
      <c r="K120" s="324">
        <f t="shared" si="30"/>
        <v>0</v>
      </c>
    </row>
    <row r="121" spans="1:11" ht="11.25" customHeight="1" x14ac:dyDescent="0.25">
      <c r="A121" s="859" t="s">
        <v>1738</v>
      </c>
      <c r="B121" s="860"/>
      <c r="C121" s="642">
        <f t="shared" ref="C121:K121" si="31">SUM(C119:C120)</f>
        <v>13527172</v>
      </c>
      <c r="D121" s="642">
        <f t="shared" si="31"/>
        <v>12980672</v>
      </c>
      <c r="E121" s="643">
        <f t="shared" si="31"/>
        <v>13182084</v>
      </c>
      <c r="F121" s="644">
        <f t="shared" si="31"/>
        <v>6000000</v>
      </c>
      <c r="G121" s="642">
        <f t="shared" si="31"/>
        <v>3071951</v>
      </c>
      <c r="H121" s="645">
        <f t="shared" si="31"/>
        <v>3071951</v>
      </c>
      <c r="I121" s="646">
        <f t="shared" si="31"/>
        <v>0</v>
      </c>
      <c r="J121" s="642">
        <f t="shared" si="31"/>
        <v>0</v>
      </c>
      <c r="K121" s="643">
        <f t="shared" si="31"/>
        <v>0</v>
      </c>
    </row>
    <row r="122" spans="1:11" ht="11.25" customHeight="1" x14ac:dyDescent="0.25">
      <c r="A122" s="862" t="s">
        <v>2322</v>
      </c>
      <c r="B122" s="211"/>
      <c r="C122" s="98">
        <f>+C26+C58+C90</f>
        <v>0</v>
      </c>
      <c r="D122" s="98">
        <f t="shared" ref="D122:K122" si="32">+D26+D58+D90</f>
        <v>0</v>
      </c>
      <c r="E122" s="99">
        <f t="shared" si="32"/>
        <v>0</v>
      </c>
      <c r="F122" s="100">
        <f t="shared" si="32"/>
        <v>0</v>
      </c>
      <c r="G122" s="98">
        <f t="shared" si="32"/>
        <v>0</v>
      </c>
      <c r="H122" s="101">
        <f t="shared" si="32"/>
        <v>0</v>
      </c>
      <c r="I122" s="102">
        <f t="shared" si="32"/>
        <v>0</v>
      </c>
      <c r="J122" s="98">
        <f t="shared" si="32"/>
        <v>0</v>
      </c>
      <c r="K122" s="99">
        <f t="shared" si="32"/>
        <v>0</v>
      </c>
    </row>
    <row r="123" spans="1:11" ht="11.25" customHeight="1" x14ac:dyDescent="0.25">
      <c r="A123" s="861" t="s">
        <v>2323</v>
      </c>
      <c r="B123" s="144"/>
      <c r="C123" s="71">
        <f>+C27+C59+C91</f>
        <v>0</v>
      </c>
      <c r="D123" s="71">
        <f t="shared" ref="D123:K123" si="33">+D27+D59+D91</f>
        <v>0</v>
      </c>
      <c r="E123" s="72">
        <f t="shared" si="33"/>
        <v>0</v>
      </c>
      <c r="F123" s="73">
        <f t="shared" si="33"/>
        <v>0</v>
      </c>
      <c r="G123" s="71">
        <f t="shared" si="33"/>
        <v>0</v>
      </c>
      <c r="H123" s="74">
        <f t="shared" si="33"/>
        <v>0</v>
      </c>
      <c r="I123" s="75">
        <f t="shared" si="33"/>
        <v>0</v>
      </c>
      <c r="J123" s="71">
        <f t="shared" si="33"/>
        <v>0</v>
      </c>
      <c r="K123" s="72">
        <f t="shared" si="33"/>
        <v>0</v>
      </c>
    </row>
    <row r="124" spans="1:11" ht="11.25" customHeight="1" x14ac:dyDescent="0.25">
      <c r="A124" s="861" t="s">
        <v>2324</v>
      </c>
      <c r="B124" s="144"/>
      <c r="C124" s="323">
        <f>+C28+C60+C92</f>
        <v>1082624</v>
      </c>
      <c r="D124" s="323">
        <f t="shared" ref="D124:K124" si="34">+D28+D60+D92</f>
        <v>1082624</v>
      </c>
      <c r="E124" s="324">
        <f t="shared" si="34"/>
        <v>1383449</v>
      </c>
      <c r="F124" s="325">
        <f t="shared" si="34"/>
        <v>0</v>
      </c>
      <c r="G124" s="323">
        <f t="shared" si="34"/>
        <v>0</v>
      </c>
      <c r="H124" s="326">
        <f t="shared" si="34"/>
        <v>0</v>
      </c>
      <c r="I124" s="327">
        <f t="shared" si="34"/>
        <v>0</v>
      </c>
      <c r="J124" s="323">
        <f t="shared" si="34"/>
        <v>0</v>
      </c>
      <c r="K124" s="324">
        <f t="shared" si="34"/>
        <v>0</v>
      </c>
    </row>
    <row r="125" spans="1:11" ht="11.25" customHeight="1" x14ac:dyDescent="0.25">
      <c r="A125" s="859" t="s">
        <v>2325</v>
      </c>
      <c r="B125" s="860"/>
      <c r="C125" s="642">
        <f>SUM(C123:C124)</f>
        <v>1082624</v>
      </c>
      <c r="D125" s="642">
        <f t="shared" ref="D125:K125" si="35">SUM(D123:D124)</f>
        <v>1082624</v>
      </c>
      <c r="E125" s="643">
        <f t="shared" si="35"/>
        <v>1383449</v>
      </c>
      <c r="F125" s="644">
        <f t="shared" si="35"/>
        <v>0</v>
      </c>
      <c r="G125" s="642">
        <f t="shared" si="35"/>
        <v>0</v>
      </c>
      <c r="H125" s="645">
        <f t="shared" si="35"/>
        <v>0</v>
      </c>
      <c r="I125" s="646">
        <f t="shared" si="35"/>
        <v>0</v>
      </c>
      <c r="J125" s="642">
        <f t="shared" si="35"/>
        <v>0</v>
      </c>
      <c r="K125" s="643">
        <f t="shared" si="35"/>
        <v>0</v>
      </c>
    </row>
    <row r="126" spans="1:11" x14ac:dyDescent="0.25">
      <c r="A126" s="863" t="s">
        <v>2332</v>
      </c>
      <c r="B126" s="864"/>
      <c r="C126" s="98">
        <f>+C30+C62+C94</f>
        <v>241468</v>
      </c>
      <c r="D126" s="98">
        <f t="shared" ref="D126:K126" si="36">+D30+D62+D94</f>
        <v>321813</v>
      </c>
      <c r="E126" s="99">
        <f t="shared" si="36"/>
        <v>977996</v>
      </c>
      <c r="F126" s="100">
        <f t="shared" si="36"/>
        <v>300000</v>
      </c>
      <c r="G126" s="98">
        <f t="shared" si="36"/>
        <v>300000</v>
      </c>
      <c r="H126" s="101">
        <f t="shared" si="36"/>
        <v>300000</v>
      </c>
      <c r="I126" s="102">
        <f t="shared" si="36"/>
        <v>555000</v>
      </c>
      <c r="J126" s="98">
        <f t="shared" si="36"/>
        <v>324168</v>
      </c>
      <c r="K126" s="99">
        <f t="shared" si="36"/>
        <v>337135</v>
      </c>
    </row>
    <row r="127" spans="1:11" ht="11.25" customHeight="1" x14ac:dyDescent="0.25">
      <c r="A127" s="862" t="s">
        <v>2333</v>
      </c>
      <c r="B127" s="144"/>
      <c r="C127" s="98">
        <f t="shared" ref="C127:K131" si="37">+C31+C63+C95</f>
        <v>6674492</v>
      </c>
      <c r="D127" s="98">
        <f t="shared" si="37"/>
        <v>4717395</v>
      </c>
      <c r="E127" s="99">
        <f t="shared" si="37"/>
        <v>5388998</v>
      </c>
      <c r="F127" s="100">
        <f t="shared" si="37"/>
        <v>400000</v>
      </c>
      <c r="G127" s="98">
        <f t="shared" si="37"/>
        <v>400000</v>
      </c>
      <c r="H127" s="101">
        <f t="shared" si="37"/>
        <v>400000</v>
      </c>
      <c r="I127" s="102">
        <f t="shared" si="37"/>
        <v>350000</v>
      </c>
      <c r="J127" s="98">
        <f t="shared" si="37"/>
        <v>432224</v>
      </c>
      <c r="K127" s="99">
        <f t="shared" si="37"/>
        <v>449513</v>
      </c>
    </row>
    <row r="128" spans="1:11" ht="11.25" customHeight="1" x14ac:dyDescent="0.25">
      <c r="A128" s="862" t="s">
        <v>2334</v>
      </c>
      <c r="B128" s="144"/>
      <c r="C128" s="98">
        <f t="shared" si="37"/>
        <v>0</v>
      </c>
      <c r="D128" s="98">
        <f t="shared" si="37"/>
        <v>0</v>
      </c>
      <c r="E128" s="99">
        <f t="shared" si="37"/>
        <v>0</v>
      </c>
      <c r="F128" s="100">
        <f t="shared" si="37"/>
        <v>0</v>
      </c>
      <c r="G128" s="98">
        <f t="shared" si="37"/>
        <v>0</v>
      </c>
      <c r="H128" s="101">
        <f t="shared" si="37"/>
        <v>0</v>
      </c>
      <c r="I128" s="102">
        <f t="shared" si="37"/>
        <v>0</v>
      </c>
      <c r="J128" s="98">
        <f t="shared" si="37"/>
        <v>0</v>
      </c>
      <c r="K128" s="99">
        <f t="shared" si="37"/>
        <v>0</v>
      </c>
    </row>
    <row r="129" spans="1:31" x14ac:dyDescent="0.25">
      <c r="A129" s="863" t="s">
        <v>2335</v>
      </c>
      <c r="B129" s="864"/>
      <c r="C129" s="98">
        <f t="shared" si="37"/>
        <v>2845481</v>
      </c>
      <c r="D129" s="98">
        <f t="shared" si="37"/>
        <v>4125481</v>
      </c>
      <c r="E129" s="99">
        <f t="shared" si="37"/>
        <v>4779160</v>
      </c>
      <c r="F129" s="100">
        <f t="shared" si="37"/>
        <v>0</v>
      </c>
      <c r="G129" s="98">
        <f t="shared" si="37"/>
        <v>0</v>
      </c>
      <c r="H129" s="101">
        <f t="shared" si="37"/>
        <v>0</v>
      </c>
      <c r="I129" s="102">
        <f t="shared" si="37"/>
        <v>800000</v>
      </c>
      <c r="J129" s="98">
        <f t="shared" si="37"/>
        <v>0</v>
      </c>
      <c r="K129" s="99">
        <f t="shared" si="37"/>
        <v>0</v>
      </c>
    </row>
    <row r="130" spans="1:31" ht="11.25" customHeight="1" x14ac:dyDescent="0.25">
      <c r="A130" s="862" t="s">
        <v>2470</v>
      </c>
      <c r="B130" s="144"/>
      <c r="C130" s="98">
        <f t="shared" si="37"/>
        <v>4523600</v>
      </c>
      <c r="D130" s="98">
        <f t="shared" si="37"/>
        <v>9711600</v>
      </c>
      <c r="E130" s="99">
        <f t="shared" si="37"/>
        <v>10405000</v>
      </c>
      <c r="F130" s="100">
        <f t="shared" si="37"/>
        <v>0</v>
      </c>
      <c r="G130" s="98">
        <f t="shared" si="37"/>
        <v>0</v>
      </c>
      <c r="H130" s="101">
        <f t="shared" si="37"/>
        <v>0</v>
      </c>
      <c r="I130" s="102">
        <f t="shared" si="37"/>
        <v>0</v>
      </c>
      <c r="J130" s="98">
        <f t="shared" si="37"/>
        <v>0</v>
      </c>
      <c r="K130" s="99">
        <f t="shared" si="37"/>
        <v>0</v>
      </c>
    </row>
    <row r="131" spans="1:31" ht="11.25" customHeight="1" x14ac:dyDescent="0.25">
      <c r="A131" s="862" t="s">
        <v>2336</v>
      </c>
      <c r="B131" s="144"/>
      <c r="C131" s="650">
        <f t="shared" si="37"/>
        <v>0</v>
      </c>
      <c r="D131" s="650">
        <f t="shared" si="37"/>
        <v>0</v>
      </c>
      <c r="E131" s="651">
        <f t="shared" si="37"/>
        <v>0</v>
      </c>
      <c r="F131" s="652">
        <f t="shared" si="37"/>
        <v>0</v>
      </c>
      <c r="G131" s="650">
        <f t="shared" si="37"/>
        <v>0</v>
      </c>
      <c r="H131" s="653">
        <f t="shared" si="37"/>
        <v>0</v>
      </c>
      <c r="I131" s="654">
        <f t="shared" si="37"/>
        <v>0</v>
      </c>
      <c r="J131" s="650">
        <f t="shared" si="37"/>
        <v>0</v>
      </c>
      <c r="K131" s="651">
        <f t="shared" si="37"/>
        <v>0</v>
      </c>
    </row>
    <row r="132" spans="1:31" x14ac:dyDescent="0.25">
      <c r="A132" s="866" t="s">
        <v>1252</v>
      </c>
      <c r="B132" s="148"/>
      <c r="C132" s="185">
        <f>+C5+C37+C69</f>
        <v>166194243</v>
      </c>
      <c r="D132" s="185">
        <f t="shared" ref="D132:K132" si="38">+D5+D37+D69</f>
        <v>194273798</v>
      </c>
      <c r="E132" s="183">
        <f t="shared" si="38"/>
        <v>213642164</v>
      </c>
      <c r="F132" s="184">
        <f t="shared" si="38"/>
        <v>25696767</v>
      </c>
      <c r="G132" s="185">
        <f t="shared" si="38"/>
        <v>43762488</v>
      </c>
      <c r="H132" s="186">
        <f t="shared" si="38"/>
        <v>43762488</v>
      </c>
      <c r="I132" s="187">
        <f t="shared" si="38"/>
        <v>31621000</v>
      </c>
      <c r="J132" s="185">
        <f t="shared" si="38"/>
        <v>3756392</v>
      </c>
      <c r="K132" s="183">
        <f t="shared" si="38"/>
        <v>3986648</v>
      </c>
    </row>
    <row r="133" spans="1:31" ht="4.9000000000000004" customHeight="1" x14ac:dyDescent="0.25">
      <c r="A133" s="104"/>
      <c r="B133" s="144"/>
      <c r="D133" s="177"/>
      <c r="E133" s="178"/>
      <c r="F133" s="179"/>
      <c r="G133" s="177"/>
      <c r="H133" s="180"/>
      <c r="I133" s="181"/>
      <c r="J133" s="177"/>
      <c r="K133" s="178"/>
    </row>
    <row r="134" spans="1:31" ht="11.25" customHeight="1" x14ac:dyDescent="0.25">
      <c r="A134" s="801" t="s">
        <v>1256</v>
      </c>
      <c r="B134" s="144">
        <v>5</v>
      </c>
      <c r="C134" s="177">
        <f>C144+C147+C148+C151+C154+C155+C158+C159+C160+C161+C162+C163+C164</f>
        <v>124145368</v>
      </c>
      <c r="D134" s="177">
        <f t="shared" ref="D134:K134" si="39">D144+D147+D148+D151+D154+D155+D158+D159+D160+D161+D162+D163+D164</f>
        <v>146340377</v>
      </c>
      <c r="E134" s="178">
        <f t="shared" si="39"/>
        <v>158767832</v>
      </c>
      <c r="F134" s="179">
        <f t="shared" si="39"/>
        <v>170645888</v>
      </c>
      <c r="G134" s="177">
        <f t="shared" si="39"/>
        <v>221147723</v>
      </c>
      <c r="H134" s="180">
        <f t="shared" si="39"/>
        <v>221147723</v>
      </c>
      <c r="I134" s="181">
        <f t="shared" si="39"/>
        <v>211264887</v>
      </c>
      <c r="J134" s="177">
        <f t="shared" si="39"/>
        <v>170134478</v>
      </c>
      <c r="K134" s="178">
        <f t="shared" si="39"/>
        <v>176282419</v>
      </c>
    </row>
    <row r="135" spans="1:31" ht="11.25" customHeight="1" x14ac:dyDescent="0.25">
      <c r="A135" s="858" t="s">
        <v>2230</v>
      </c>
      <c r="B135" s="97"/>
      <c r="C135" s="712">
        <f>SUMIFS(Sheet1!S71_PPPYearAmount,Sheet1!S71_A9Code,$AC:$AC)+SUMIFS(Sheet1!S71_PPPYearAmount,Sheet1!S71_WIPCode,$AC:$AC)+SUMIFS(Sheet1!S71_PPPYearAmount,Sheet1!S71_WIPOPBalance,$AE:$AE)</f>
        <v>40468364</v>
      </c>
      <c r="D135" s="712">
        <f>SUMIFS(Sheet1!S71_PPYearAmount,Sheet1!S71_A9Code,$AC:$AC)+SUMIFS(Sheet1!S71_PPYearAmount,Sheet1!S71_WIPCode,$AC:$AC)+SUMIFS(Sheet1!S71_PPYearAmount,Sheet1!S71_WIPOPBalance,$AE:$AE)</f>
        <v>46686540</v>
      </c>
      <c r="E135" s="717">
        <f>SUMIFS(Sheet1!S71_PYearAmount,Sheet1!S71_A9Code,$AC:$AC)+SUMIFS(Sheet1!S71_PYearAmount,Sheet1!S71_WIPCode,$AC:$AC)+SUMIFS(Sheet1!S71_PYearAmount,Sheet1!S71_WIPOPBalance,$AE:$AE)</f>
        <v>50334245</v>
      </c>
      <c r="F135" s="718">
        <f>SUMIFS(Sheet1!S71_OriginalBudAmnt,Sheet1!S71_A9Code,$AC:$AC)+SUMIFS(Sheet1!S71_OriginalBudAmnt,Sheet1!S71_WIPCode,$AC:$AC)+SUMIFS(Sheet1!S71_OriginalBudAmnt,Sheet1!S71_WIPOPBalance,$AE:$AE)</f>
        <v>62774086</v>
      </c>
      <c r="G135" s="712">
        <f>SUMIFS(Sheet1!S71_AdjustmentBudAmnt,Sheet1!S71_A9Code,$AC:$AC)+SUMIFS(Sheet1!S71_AdjustmentBudAmnt,Sheet1!S71_WIPCode,$AC:$AC)+SUMIFS(Sheet1!S71_ASBudgetAmount,Sheet1!S71_WIPOPBalance,$AE:$AE)</f>
        <v>100815641</v>
      </c>
      <c r="H135" s="719">
        <f>SUMIFS(Sheet1!S71_AdjustmentBudAmnt,Sheet1!S71_A9Code,$AC:$AC)+SUMIFS(Sheet1!S71_AdjustmentBudAmnt,Sheet1!S71_WIPCode,$AC:$AC)++SUMIFS(Sheet1!S71_ASBudgetAmount,Sheet1!S71_WIPOPBalance,$AE:$AE)</f>
        <v>100815641</v>
      </c>
      <c r="I135" s="725">
        <f>SUMIFS(Sheet1!S71_ASBudgetAmount,Sheet1!S71_A9Code,$AC:$AC)+SUMIFS(Sheet1!S71_ASBudgetAmount,Sheet1!S71_WIPCode,$AC:$AC)+SUMIFS(Sheet1!S71_ASBudgetAmount,Sheet1!S71_WIPOPBalance,$AE:$AE)</f>
        <v>88760019</v>
      </c>
      <c r="J135" s="714">
        <f>SUMIFS(Sheet1!S71_OY1BudgetAmount,Sheet1!S71_A9Code,$AC:$AC)+SUMIFS(Sheet1!S71_OY1BudgetAmount,Sheet1!S71_WIPCode,$AC:$AC)++SUMIFS(Sheet1!S71_OY1BudgetAmount,Sheet1!S71_WIPOPBalance,$AE:$AE)</f>
        <v>81095130</v>
      </c>
      <c r="K135" s="717">
        <f>SUMIFS(Sheet1!S71_OY2BudgetAmount,Sheet1!S71_A9Code,$AC:$AC)+SUMIFS(Sheet1!S71_OY2BudgetAmount,Sheet1!S71_WIPCode,$AC:$AC)+SUMIFS(Sheet1!S71_OY2BudgetAmount,Sheet1!S71_WIPOPBalance,$AE:$AE)</f>
        <v>84088953</v>
      </c>
      <c r="AC135" s="2345" t="s">
        <v>2789</v>
      </c>
      <c r="AE135" s="58" t="s">
        <v>3107</v>
      </c>
    </row>
    <row r="136" spans="1:31" ht="11.25" customHeight="1" x14ac:dyDescent="0.25">
      <c r="A136" s="858" t="s">
        <v>2234</v>
      </c>
      <c r="B136" s="97"/>
      <c r="C136" s="712">
        <f>SUMIFS(Sheet1!S71_PPPYearAmount,Sheet1!S71_A9Code,$AC:$AC)+SUMIFS(Sheet1!S71_PPPYearAmount,Sheet1!S71_WIPCode,$AC:$AC)</f>
        <v>0</v>
      </c>
      <c r="D136" s="712">
        <f>SUMIFS(Sheet1!S71_PPYearAmount,Sheet1!S71_A9Code,$AC:$AC)+SUMIFS(Sheet1!S71_PPYearAmount,Sheet1!S71_WIPCode,$AC:$AC)</f>
        <v>0</v>
      </c>
      <c r="E136" s="717">
        <f>SUMIFS(Sheet1!S71_PYearAmount,Sheet1!S71_A9Code,$AC:$AC)+SUMIFS(Sheet1!S71_PYearAmount,Sheet1!S71_WIPCode,$AC:$AC)</f>
        <v>0</v>
      </c>
      <c r="F136" s="718">
        <f>SUMIFS(Sheet1!S71_OriginalBudAmnt,Sheet1!S71_A9Code,$AC:$AC)+SUMIFS(Sheet1!S71_OriginalBudAmnt,Sheet1!S71_WIPCode,$AC:$AC)</f>
        <v>0</v>
      </c>
      <c r="G136" s="712">
        <f>SUMIFS(Sheet1!S71_AdjustmentBudAmnt,Sheet1!S71_A9Code,$AC:$AC)+SUMIFS(Sheet1!S71_AdjustmentBudAmnt,Sheet1!S71_WIPCode,$AC:$AC)</f>
        <v>0</v>
      </c>
      <c r="H136" s="719">
        <f>SUMIFS(Sheet1!S71_AdjustmentBudAmnt,Sheet1!S71_A9Code,$AC:$AC)+SUMIFS(Sheet1!S71_AdjustmentBudAmnt,Sheet1!S71_WIPCode,$AC:$AC)</f>
        <v>0</v>
      </c>
      <c r="I136" s="725">
        <f>SUMIFS(Sheet1!S71_ASBudgetAmount,Sheet1!S71_A9Code,$AC:$AC)+SUMIFS(Sheet1!S71_ASBudgetAmount,Sheet1!S71_WIPCode,$AC:$AC)</f>
        <v>0</v>
      </c>
      <c r="J136" s="714">
        <f>SUMIFS(Sheet1!S71_OY1BudgetAmount,Sheet1!S71_A9Code,$AC:$AC)+SUMIFS(Sheet1!S71_OY1BudgetAmount,Sheet1!S71_WIPCode,$AC:$AC)</f>
        <v>0</v>
      </c>
      <c r="K136" s="717">
        <f>SUMIFS(Sheet1!S71_OY2BudgetAmount,Sheet1!S71_A9Code,$AC:$AC)+SUMIFS(Sheet1!S71_OY2BudgetAmount,Sheet1!S71_WIPCode,$AC:$AC)</f>
        <v>0</v>
      </c>
      <c r="AC136" s="2345" t="s">
        <v>2777</v>
      </c>
    </row>
    <row r="137" spans="1:31" ht="11.25" customHeight="1" x14ac:dyDescent="0.25">
      <c r="A137" s="858" t="s">
        <v>2279</v>
      </c>
      <c r="B137" s="97"/>
      <c r="C137" s="712">
        <f>SUMIFS(Sheet1!S71_PPPYearAmount,Sheet1!S71_A9Code,$AC:$AC)+SUMIFS(Sheet1!S71_PPPYearAmount,Sheet1!S71_WIPCode,$AC:$AC)</f>
        <v>0</v>
      </c>
      <c r="D137" s="712">
        <f>SUMIFS(Sheet1!S71_PPYearAmount,Sheet1!S71_A9Code,$AC:$AC)+SUMIFS(Sheet1!S71_PPYearAmount,Sheet1!S71_WIPCode,$AC:$AC)</f>
        <v>0</v>
      </c>
      <c r="E137" s="717">
        <f>SUMIFS(Sheet1!S71_PYearAmount,Sheet1!S71_A9Code,$AC:$AC)+SUMIFS(Sheet1!S71_PYearAmount,Sheet1!S71_WIPCode,$AC:$AC)</f>
        <v>0</v>
      </c>
      <c r="F137" s="718">
        <f>SUMIFS(Sheet1!S71_OriginalBudAmnt,Sheet1!S71_A9Code,$AC:$AC)+SUMIFS(Sheet1!S71_OriginalBudAmnt,Sheet1!S71_WIPCode,$AC:$AC)</f>
        <v>0</v>
      </c>
      <c r="G137" s="712">
        <f>SUMIFS(Sheet1!S71_AdjustmentBudAmnt,Sheet1!S71_A9Code,$AC:$AC)+SUMIFS(Sheet1!S71_AdjustmentBudAmnt,Sheet1!S71_WIPCode,$AC:$AC)</f>
        <v>0</v>
      </c>
      <c r="H137" s="719">
        <f>SUMIFS(Sheet1!S71_AdjustmentBudAmnt,Sheet1!S71_A9Code,$AC:$AC)+SUMIFS(Sheet1!S71_AdjustmentBudAmnt,Sheet1!S71_WIPCode,$AC:$AC)</f>
        <v>0</v>
      </c>
      <c r="I137" s="725">
        <f>SUMIFS(Sheet1!S71_ASBudgetAmount,Sheet1!S71_A9Code,$AC:$AC)+SUMIFS(Sheet1!S71_ASBudgetAmount,Sheet1!S71_WIPCode,$AC:$AC)</f>
        <v>0</v>
      </c>
      <c r="J137" s="714">
        <f>SUMIFS(Sheet1!S71_OY1BudgetAmount,Sheet1!S71_A9Code,$AC:$AC)+SUMIFS(Sheet1!S71_OY1BudgetAmount,Sheet1!S71_WIPCode,$AC:$AC)</f>
        <v>0</v>
      </c>
      <c r="K137" s="717">
        <f>SUMIFS(Sheet1!S71_OY2BudgetAmount,Sheet1!S71_A9Code,$AC:$AC)+SUMIFS(Sheet1!S71_OY2BudgetAmount,Sheet1!S71_WIPCode,$AC:$AC)</f>
        <v>0</v>
      </c>
      <c r="AC137" s="2345" t="s">
        <v>2696</v>
      </c>
    </row>
    <row r="138" spans="1:31" ht="11.25" customHeight="1" x14ac:dyDescent="0.25">
      <c r="A138" s="858" t="s">
        <v>2280</v>
      </c>
      <c r="B138" s="97"/>
      <c r="C138" s="712">
        <f>SUMIFS(Sheet1!S71_PPPYearAmount,Sheet1!S71_A9Code,$AC:$AC)+SUMIFS(Sheet1!S71_PPPYearAmount,Sheet1!S71_WIPCode,$AC:$AC)</f>
        <v>0</v>
      </c>
      <c r="D138" s="712">
        <f>SUMIFS(Sheet1!S71_PPYearAmount,Sheet1!S71_A9Code,$AC:$AC)+SUMIFS(Sheet1!S71_PPYearAmount,Sheet1!S71_WIPCode,$AC:$AC)</f>
        <v>0</v>
      </c>
      <c r="E138" s="717">
        <f>SUMIFS(Sheet1!S71_PYearAmount,Sheet1!S71_A9Code,$AC:$AC)+SUMIFS(Sheet1!S71_PYearAmount,Sheet1!S71_WIPCode,$AC:$AC)</f>
        <v>0</v>
      </c>
      <c r="F138" s="718">
        <f>SUMIFS(Sheet1!S71_OriginalBudAmnt,Sheet1!S71_A9Code,$AC:$AC)+SUMIFS(Sheet1!S71_OriginalBudAmnt,Sheet1!S71_WIPCode,$AC:$AC)</f>
        <v>0</v>
      </c>
      <c r="G138" s="712">
        <f>SUMIFS(Sheet1!S71_AdjustmentBudAmnt,Sheet1!S71_A9Code,$AC:$AC)+SUMIFS(Sheet1!S71_AdjustmentBudAmnt,Sheet1!S71_WIPCode,$AC:$AC)</f>
        <v>0</v>
      </c>
      <c r="H138" s="719">
        <f>SUMIFS(Sheet1!S71_AdjustmentBudAmnt,Sheet1!S71_A9Code,$AC:$AC)+SUMIFS(Sheet1!S71_AdjustmentBudAmnt,Sheet1!S71_WIPCode,$AC:$AC)</f>
        <v>0</v>
      </c>
      <c r="I138" s="725">
        <f>SUMIFS(Sheet1!S71_ASBudgetAmount,Sheet1!S71_A9Code,$AC:$AC)+SUMIFS(Sheet1!S71_ASBudgetAmount,Sheet1!S71_WIPCode,$AC:$AC)</f>
        <v>0</v>
      </c>
      <c r="J138" s="714">
        <f>SUMIFS(Sheet1!S71_OY1BudgetAmount,Sheet1!S71_A9Code,$AC:$AC)+SUMIFS(Sheet1!S71_OY1BudgetAmount,Sheet1!S71_WIPCode,$AC:$AC)</f>
        <v>0</v>
      </c>
      <c r="K138" s="717">
        <f>SUMIFS(Sheet1!S71_OY2BudgetAmount,Sheet1!S71_A9Code,$AC:$AC)+SUMIFS(Sheet1!S71_OY2BudgetAmount,Sheet1!S71_WIPCode,$AC:$AC)</f>
        <v>0</v>
      </c>
      <c r="AC138" s="2345" t="s">
        <v>2697</v>
      </c>
    </row>
    <row r="139" spans="1:31" ht="11.25" customHeight="1" x14ac:dyDescent="0.25">
      <c r="A139" s="858" t="s">
        <v>2281</v>
      </c>
      <c r="B139" s="97"/>
      <c r="C139" s="712">
        <f>SUMIFS(Sheet1!S71_PPPYearAmount,Sheet1!S71_A9Code,$AC:$AC)+SUMIFS(Sheet1!S71_PPPYearAmount,Sheet1!S71_WIPCode,$AC:$AC)</f>
        <v>0</v>
      </c>
      <c r="D139" s="712">
        <f>SUMIFS(Sheet1!S71_PPYearAmount,Sheet1!S71_A9Code,$AC:$AC)+SUMIFS(Sheet1!S71_PPYearAmount,Sheet1!S71_WIPCode,$AC:$AC)</f>
        <v>0</v>
      </c>
      <c r="E139" s="717">
        <f>SUMIFS(Sheet1!S71_PYearAmount,Sheet1!S71_A9Code,$AC:$AC)+SUMIFS(Sheet1!S71_PYearAmount,Sheet1!S71_WIPCode,$AC:$AC)</f>
        <v>0</v>
      </c>
      <c r="F139" s="718">
        <f>SUMIFS(Sheet1!S71_OriginalBudAmnt,Sheet1!S71_A9Code,$AC:$AC)+SUMIFS(Sheet1!S71_OriginalBudAmnt,Sheet1!S71_WIPCode,$AC:$AC)</f>
        <v>0</v>
      </c>
      <c r="G139" s="712">
        <f>SUMIFS(Sheet1!S71_AdjustmentBudAmnt,Sheet1!S71_A9Code,$AC:$AC)+SUMIFS(Sheet1!S71_AdjustmentBudAmnt,Sheet1!S71_WIPCode,$AC:$AC)</f>
        <v>0</v>
      </c>
      <c r="H139" s="719">
        <f>SUMIFS(Sheet1!S71_AdjustmentBudAmnt,Sheet1!S71_A9Code,$AC:$AC)+SUMIFS(Sheet1!S71_AdjustmentBudAmnt,Sheet1!S71_WIPCode,$AC:$AC)</f>
        <v>0</v>
      </c>
      <c r="I139" s="725">
        <f>SUMIFS(Sheet1!S71_ASBudgetAmount,Sheet1!S71_A9Code,$AC:$AC)+SUMIFS(Sheet1!S71_ASBudgetAmount,Sheet1!S71_WIPCode,$AC:$AC)</f>
        <v>0</v>
      </c>
      <c r="J139" s="714">
        <f>SUMIFS(Sheet1!S71_OY1BudgetAmount,Sheet1!S71_A9Code,$AC:$AC)+SUMIFS(Sheet1!S71_OY1BudgetAmount,Sheet1!S71_WIPCode,$AC:$AC)</f>
        <v>0</v>
      </c>
      <c r="K139" s="717">
        <f>SUMIFS(Sheet1!S71_OY2BudgetAmount,Sheet1!S71_A9Code,$AC:$AC)+SUMIFS(Sheet1!S71_OY2BudgetAmount,Sheet1!S71_WIPCode,$AC:$AC)</f>
        <v>0</v>
      </c>
      <c r="AC139" s="2345" t="s">
        <v>2786</v>
      </c>
    </row>
    <row r="140" spans="1:31" ht="11.25" customHeight="1" x14ac:dyDescent="0.25">
      <c r="A140" s="858" t="s">
        <v>2259</v>
      </c>
      <c r="B140" s="97"/>
      <c r="C140" s="712">
        <f>SUMIFS(Sheet1!S71_PPPYearAmount,Sheet1!S71_A9Code,$AC:$AC)+SUMIFS(Sheet1!S71_PPPYearAmount,Sheet1!S71_WIPCode,$AC:$AC)</f>
        <v>0</v>
      </c>
      <c r="D140" s="712">
        <f>SUMIFS(Sheet1!S71_PPYearAmount,Sheet1!S71_A9Code,$AC:$AC)+SUMIFS(Sheet1!S71_PPYearAmount,Sheet1!S71_WIPCode,$AC:$AC)</f>
        <v>0</v>
      </c>
      <c r="E140" s="717">
        <f>SUMIFS(Sheet1!S71_PYearAmount,Sheet1!S71_A9Code,$AC:$AC)+SUMIFS(Sheet1!S71_PYearAmount,Sheet1!S71_WIPCode,$AC:$AC)</f>
        <v>0</v>
      </c>
      <c r="F140" s="718">
        <f>SUMIFS(Sheet1!S71_OriginalBudAmnt,Sheet1!S71_A9Code,$AC:$AC)+SUMIFS(Sheet1!S71_OriginalBudAmnt,Sheet1!S71_WIPCode,$AC:$AC)</f>
        <v>0</v>
      </c>
      <c r="G140" s="712">
        <f>SUMIFS(Sheet1!S71_AdjustmentBudAmnt,Sheet1!S71_A9Code,$AC:$AC)+SUMIFS(Sheet1!S71_AdjustmentBudAmnt,Sheet1!S71_WIPCode,$AC:$AC)</f>
        <v>0</v>
      </c>
      <c r="H140" s="719">
        <f>SUMIFS(Sheet1!S71_AdjustmentBudAmnt,Sheet1!S71_A9Code,$AC:$AC)+SUMIFS(Sheet1!S71_AdjustmentBudAmnt,Sheet1!S71_WIPCode,$AC:$AC)</f>
        <v>0</v>
      </c>
      <c r="I140" s="725">
        <f>SUMIFS(Sheet1!S71_ASBudgetAmount,Sheet1!S71_A9Code,$AC:$AC)+SUMIFS(Sheet1!S71_ASBudgetAmount,Sheet1!S71_WIPCode,$AC:$AC)</f>
        <v>0</v>
      </c>
      <c r="J140" s="714">
        <f>SUMIFS(Sheet1!S71_OY1BudgetAmount,Sheet1!S71_A9Code,$AC:$AC)+SUMIFS(Sheet1!S71_OY1BudgetAmount,Sheet1!S71_WIPCode,$AC:$AC)</f>
        <v>0</v>
      </c>
      <c r="K140" s="717">
        <f>SUMIFS(Sheet1!S71_OY2BudgetAmount,Sheet1!S71_A9Code,$AC:$AC)+SUMIFS(Sheet1!S71_OY2BudgetAmount,Sheet1!S71_WIPCode,$AC:$AC)</f>
        <v>0</v>
      </c>
      <c r="AC140" s="2345" t="s">
        <v>2790</v>
      </c>
    </row>
    <row r="141" spans="1:31" ht="11.25" customHeight="1" x14ac:dyDescent="0.25">
      <c r="A141" s="858" t="s">
        <v>2275</v>
      </c>
      <c r="B141" s="97"/>
      <c r="C141" s="712">
        <f>SUMIFS(Sheet1!S71_PPPYearAmount,Sheet1!S71_A9Code,$AC:$AC)+SUMIFS(Sheet1!S71_PPPYearAmount,Sheet1!S71_WIPCode,$AC:$AC)</f>
        <v>0</v>
      </c>
      <c r="D141" s="712">
        <f>SUMIFS(Sheet1!S71_PPYearAmount,Sheet1!S71_A9Code,$AC:$AC)+SUMIFS(Sheet1!S71_PPYearAmount,Sheet1!S71_WIPCode,$AC:$AC)</f>
        <v>0</v>
      </c>
      <c r="E141" s="717">
        <f>SUMIFS(Sheet1!S71_PYearAmount,Sheet1!S71_A9Code,$AC:$AC)+SUMIFS(Sheet1!S71_PYearAmount,Sheet1!S71_WIPCode,$AC:$AC)</f>
        <v>0</v>
      </c>
      <c r="F141" s="718">
        <f>SUMIFS(Sheet1!S71_OriginalBudAmnt,Sheet1!S71_A9Code,$AC:$AC)+SUMIFS(Sheet1!S71_OriginalBudAmnt,Sheet1!S71_WIPCode,$AC:$AC)</f>
        <v>0</v>
      </c>
      <c r="G141" s="712">
        <f>SUMIFS(Sheet1!S71_AdjustmentBudAmnt,Sheet1!S71_A9Code,$AC:$AC)+SUMIFS(Sheet1!S71_AdjustmentBudAmnt,Sheet1!S71_WIPCode,$AC:$AC)</f>
        <v>0</v>
      </c>
      <c r="H141" s="719">
        <f>SUMIFS(Sheet1!S71_AdjustmentBudAmnt,Sheet1!S71_A9Code,$AC:$AC)+SUMIFS(Sheet1!S71_AdjustmentBudAmnt,Sheet1!S71_WIPCode,$AC:$AC)</f>
        <v>0</v>
      </c>
      <c r="I141" s="725">
        <f>SUMIFS(Sheet1!S71_ASBudgetAmount,Sheet1!S71_A9Code,$AC:$AC)+SUMIFS(Sheet1!S71_ASBudgetAmount,Sheet1!S71_WIPCode,$AC:$AC)</f>
        <v>0</v>
      </c>
      <c r="J141" s="714">
        <f>SUMIFS(Sheet1!S71_OY1BudgetAmount,Sheet1!S71_A9Code,$AC:$AC)+SUMIFS(Sheet1!S71_OY1BudgetAmount,Sheet1!S71_WIPCode,$AC:$AC)</f>
        <v>0</v>
      </c>
      <c r="K141" s="717">
        <f>SUMIFS(Sheet1!S71_OY2BudgetAmount,Sheet1!S71_A9Code,$AC:$AC)+SUMIFS(Sheet1!S71_OY2BudgetAmount,Sheet1!S71_WIPCode,$AC:$AC)</f>
        <v>0</v>
      </c>
      <c r="AC141" s="2345" t="s">
        <v>2791</v>
      </c>
    </row>
    <row r="142" spans="1:31" ht="11.25" customHeight="1" x14ac:dyDescent="0.25">
      <c r="A142" s="858" t="s">
        <v>2270</v>
      </c>
      <c r="B142" s="97"/>
      <c r="C142" s="712">
        <f>SUMIFS(Sheet1!S71_PPPYearAmount,Sheet1!S71_A9Code,$AC:$AC)+SUMIFS(Sheet1!S71_PPPYearAmount,Sheet1!S71_WIPCode,$AC:$AC)</f>
        <v>0</v>
      </c>
      <c r="D142" s="712">
        <f>SUMIFS(Sheet1!S71_PPYearAmount,Sheet1!S71_A9Code,$AC:$AC)+SUMIFS(Sheet1!S71_PPYearAmount,Sheet1!S71_WIPCode,$AC:$AC)</f>
        <v>0</v>
      </c>
      <c r="E142" s="717">
        <f>SUMIFS(Sheet1!S71_PYearAmount,Sheet1!S71_A9Code,$AC:$AC)+SUMIFS(Sheet1!S71_PYearAmount,Sheet1!S71_WIPCode,$AC:$AC)</f>
        <v>0</v>
      </c>
      <c r="F142" s="718">
        <f>SUMIFS(Sheet1!S71_OriginalBudAmnt,Sheet1!S71_A9Code,$AC:$AC)+SUMIFS(Sheet1!S71_OriginalBudAmnt,Sheet1!S71_WIPCode,$AC:$AC)</f>
        <v>0</v>
      </c>
      <c r="G142" s="712">
        <f>SUMIFS(Sheet1!S71_AdjustmentBudAmnt,Sheet1!S71_A9Code,$AC:$AC)+SUMIFS(Sheet1!S71_AdjustmentBudAmnt,Sheet1!S71_WIPCode,$AC:$AC)</f>
        <v>0</v>
      </c>
      <c r="H142" s="719">
        <f>SUMIFS(Sheet1!S71_AdjustmentBudAmnt,Sheet1!S71_A9Code,$AC:$AC)+SUMIFS(Sheet1!S71_AdjustmentBudAmnt,Sheet1!S71_WIPCode,$AC:$AC)</f>
        <v>0</v>
      </c>
      <c r="I142" s="725">
        <f>SUMIFS(Sheet1!S71_ASBudgetAmount,Sheet1!S71_A9Code,$AC:$AC)+SUMIFS(Sheet1!S71_ASBudgetAmount,Sheet1!S71_WIPCode,$AC:$AC)</f>
        <v>0</v>
      </c>
      <c r="J142" s="714">
        <f>SUMIFS(Sheet1!S71_OY1BudgetAmount,Sheet1!S71_A9Code,$AC:$AC)+SUMIFS(Sheet1!S71_OY1BudgetAmount,Sheet1!S71_WIPCode,$AC:$AC)</f>
        <v>0</v>
      </c>
      <c r="K142" s="717">
        <f>SUMIFS(Sheet1!S71_OY2BudgetAmount,Sheet1!S71_A9Code,$AC:$AC)+SUMIFS(Sheet1!S71_OY2BudgetAmount,Sheet1!S71_WIPCode,$AC:$AC)</f>
        <v>0</v>
      </c>
      <c r="AC142" s="2345" t="s">
        <v>2792</v>
      </c>
    </row>
    <row r="143" spans="1:31" ht="11.25" customHeight="1" x14ac:dyDescent="0.25">
      <c r="A143" s="858" t="s">
        <v>2266</v>
      </c>
      <c r="B143" s="97"/>
      <c r="C143" s="712">
        <f>SUMIFS(Sheet1!S71_PPPYearAmount,Sheet1!S71_A9Code,$AC:$AC)+SUMIFS(Sheet1!S71_PPPYearAmount,Sheet1!S71_WIPCode,$AC:$AC)</f>
        <v>0</v>
      </c>
      <c r="D143" s="712">
        <f>SUMIFS(Sheet1!S71_PPYearAmount,Sheet1!S71_A9Code,$AC:$AC)+SUMIFS(Sheet1!S71_PPYearAmount,Sheet1!S71_WIPCode,$AC:$AC)</f>
        <v>0</v>
      </c>
      <c r="E143" s="717">
        <f>SUMIFS(Sheet1!S71_PYearAmount,Sheet1!S71_A9Code,$AC:$AC)+SUMIFS(Sheet1!S71_PYearAmount,Sheet1!S71_WIPCode,$AC:$AC)</f>
        <v>0</v>
      </c>
      <c r="F143" s="718">
        <f>SUMIFS(Sheet1!S71_OriginalBudAmnt,Sheet1!S71_A9Code,$AC:$AC)+SUMIFS(Sheet1!S71_OriginalBudAmnt,Sheet1!S71_WIPCode,$AC:$AC)</f>
        <v>0</v>
      </c>
      <c r="G143" s="712">
        <f>SUMIFS(Sheet1!S71_AdjustmentBudAmnt,Sheet1!S71_A9Code,$AC:$AC)+SUMIFS(Sheet1!S71_AdjustmentBudAmnt,Sheet1!S71_WIPCode,$AC:$AC)</f>
        <v>0</v>
      </c>
      <c r="H143" s="719">
        <f>SUMIFS(Sheet1!S71_AdjustmentBudAmnt,Sheet1!S71_A9Code,$AC:$AC)+SUMIFS(Sheet1!S71_AdjustmentBudAmnt,Sheet1!S71_WIPCode,$AC:$AC)</f>
        <v>0</v>
      </c>
      <c r="I143" s="725">
        <f>SUMIFS(Sheet1!S71_ASBudgetAmount,Sheet1!S71_A9Code,$AC:$AC)+SUMIFS(Sheet1!S71_ASBudgetAmount,Sheet1!S71_WIPCode,$AC:$AC)</f>
        <v>0</v>
      </c>
      <c r="J143" s="714">
        <f>SUMIFS(Sheet1!S71_OY1BudgetAmount,Sheet1!S71_A9Code,$AC:$AC)+SUMIFS(Sheet1!S71_OY1BudgetAmount,Sheet1!S71_WIPCode,$AC:$AC)</f>
        <v>0</v>
      </c>
      <c r="K143" s="717">
        <f>SUMIFS(Sheet1!S71_OY2BudgetAmount,Sheet1!S71_A9Code,$AC:$AC)+SUMIFS(Sheet1!S71_OY2BudgetAmount,Sheet1!S71_WIPCode,$AC:$AC)</f>
        <v>0</v>
      </c>
      <c r="AC143" s="2345" t="s">
        <v>2793</v>
      </c>
    </row>
    <row r="144" spans="1:31" ht="11.25" customHeight="1" x14ac:dyDescent="0.25">
      <c r="A144" s="859" t="s">
        <v>838</v>
      </c>
      <c r="B144" s="860"/>
      <c r="C144" s="642">
        <f>SUM(C135:C143)</f>
        <v>40468364</v>
      </c>
      <c r="D144" s="642">
        <f t="shared" ref="D144:K144" si="40">SUM(D135:D143)</f>
        <v>46686540</v>
      </c>
      <c r="E144" s="643">
        <f t="shared" si="40"/>
        <v>50334245</v>
      </c>
      <c r="F144" s="644">
        <f t="shared" si="40"/>
        <v>62774086</v>
      </c>
      <c r="G144" s="642">
        <f t="shared" si="40"/>
        <v>100815641</v>
      </c>
      <c r="H144" s="645">
        <f t="shared" si="40"/>
        <v>100815641</v>
      </c>
      <c r="I144" s="646">
        <f t="shared" si="40"/>
        <v>88760019</v>
      </c>
      <c r="J144" s="642">
        <f t="shared" si="40"/>
        <v>81095130</v>
      </c>
      <c r="K144" s="643">
        <f t="shared" si="40"/>
        <v>84088953</v>
      </c>
      <c r="AC144" s="2315"/>
    </row>
    <row r="145" spans="1:29" ht="1.1499999999999999" customHeight="1" x14ac:dyDescent="0.25">
      <c r="A145" s="861"/>
      <c r="B145" s="144"/>
      <c r="C145" s="71"/>
      <c r="D145" s="71"/>
      <c r="E145" s="72"/>
      <c r="F145" s="73"/>
      <c r="G145" s="71"/>
      <c r="H145" s="74"/>
      <c r="I145" s="75"/>
      <c r="J145" s="71"/>
      <c r="K145" s="72"/>
      <c r="AC145" s="2315"/>
    </row>
    <row r="146" spans="1:29" ht="1.1499999999999999" customHeight="1" x14ac:dyDescent="0.25">
      <c r="A146" s="861"/>
      <c r="B146" s="144"/>
      <c r="C146" s="71"/>
      <c r="D146" s="71"/>
      <c r="E146" s="72"/>
      <c r="F146" s="73"/>
      <c r="G146" s="71"/>
      <c r="H146" s="74"/>
      <c r="I146" s="75"/>
      <c r="J146" s="71"/>
      <c r="K146" s="72"/>
      <c r="AC146" s="2315"/>
    </row>
    <row r="147" spans="1:29" ht="11.25" customHeight="1" x14ac:dyDescent="0.25">
      <c r="A147" s="859" t="s">
        <v>2282</v>
      </c>
      <c r="B147" s="860"/>
      <c r="C147" s="712">
        <f>SUMIFS(Sheet1!S71_PPPYearAmount,Sheet1!S71_A9Code,$AC:$AC)+SUMIFS(Sheet1!S71_PPPYearAmount,Sheet1!S71_WIPCode,$AC:$AC)</f>
        <v>63201055</v>
      </c>
      <c r="D147" s="712">
        <f>SUMIFS(Sheet1!S71_PPYearAmount,Sheet1!S71_A9Code,$AC:$AC)+SUMIFS(Sheet1!S71_PPYearAmount,Sheet1!S71_WIPCode,$AC:$AC)</f>
        <v>73942353</v>
      </c>
      <c r="E147" s="717">
        <f>SUMIFS(Sheet1!S71_PYearAmount,Sheet1!S71_A9Code,$AC:$AC)+SUMIFS(Sheet1!S71_PYearAmount,Sheet1!S71_WIPCode,$AC:$AC)</f>
        <v>78038469</v>
      </c>
      <c r="F147" s="718">
        <f>SUMIFS(Sheet1!S71_OriginalBudAmnt,Sheet1!S71_A9Code,$AC:$AC)+SUMIFS(Sheet1!S71_OriginalBudAmnt,Sheet1!S71_WIPCode,$AC:$AC)</f>
        <v>77217562</v>
      </c>
      <c r="G147" s="712">
        <f>SUMIFS(Sheet1!S71_AdjustmentBudAmnt,Sheet1!S71_A9Code,$AC:$AC)+SUMIFS(Sheet1!S71_AdjustmentBudAmnt,Sheet1!S71_WIPCode,$AC:$AC)</f>
        <v>96708205</v>
      </c>
      <c r="H147" s="719">
        <f>SUMIFS(Sheet1!S71_AdjustmentBudAmnt,Sheet1!S71_A9Code,$AC:$AC)+SUMIFS(Sheet1!S71_AdjustmentBudAmnt,Sheet1!S71_WIPCode,$AC:$AC)</f>
        <v>96708205</v>
      </c>
      <c r="I147" s="725">
        <f>SUMIFS(Sheet1!S71_ASBudgetAmount,Sheet1!S71_A9Code,$AC:$AC)+SUMIFS(Sheet1!S71_ASBudgetAmount,Sheet1!S71_WIPCode,$AC:$AC)</f>
        <v>81889103</v>
      </c>
      <c r="J147" s="714">
        <f>SUMIFS(Sheet1!S71_OY1BudgetAmount,Sheet1!S71_A9Code,$AC:$AC)+SUMIFS(Sheet1!S71_OY1BudgetAmount,Sheet1!S71_WIPCode,$AC:$AC)</f>
        <v>70062631</v>
      </c>
      <c r="K147" s="717">
        <f>SUMIFS(Sheet1!S71_OY2BudgetAmount,Sheet1!S71_A9Code,$AC:$AC)+SUMIFS(Sheet1!S71_OY2BudgetAmount,Sheet1!S71_WIPCode,$AC:$AC)</f>
        <v>72695155</v>
      </c>
      <c r="AC147" s="2318" t="s">
        <v>2794</v>
      </c>
    </row>
    <row r="148" spans="1:29" ht="11.25" customHeight="1" x14ac:dyDescent="0.25">
      <c r="A148" s="862" t="s">
        <v>1733</v>
      </c>
      <c r="B148" s="211"/>
      <c r="C148" s="712">
        <f>SUMIFS(Sheet1!S71_PPPYearAmount,Sheet1!S71_A9Code,$AC:$AC)+SUMIFS(Sheet1!S71_PPPYearAmount,Sheet1!S71_WIPCode,$AC:$AC)</f>
        <v>0</v>
      </c>
      <c r="D148" s="712">
        <f>SUMIFS(Sheet1!S71_PPYearAmount,Sheet1!S71_A9Code,$AC:$AC)+SUMIFS(Sheet1!S71_PPYearAmount,Sheet1!S71_WIPCode,$AC:$AC)</f>
        <v>0</v>
      </c>
      <c r="E148" s="717">
        <f>SUMIFS(Sheet1!S71_PYearAmount,Sheet1!S71_A9Code,$AC:$AC)+SUMIFS(Sheet1!S71_PYearAmount,Sheet1!S71_WIPCode,$AC:$AC)</f>
        <v>0</v>
      </c>
      <c r="F148" s="718">
        <f>SUMIFS(Sheet1!S71_OriginalBudAmnt,Sheet1!S71_A9Code,$AC:$AC)+SUMIFS(Sheet1!S71_OriginalBudAmnt,Sheet1!S71_WIPCode,$AC:$AC)</f>
        <v>0</v>
      </c>
      <c r="G148" s="712">
        <f>SUMIFS(Sheet1!S71_AdjustmentBudAmnt,Sheet1!S71_A9Code,$AC:$AC)+SUMIFS(Sheet1!S71_AdjustmentBudAmnt,Sheet1!S71_WIPCode,$AC:$AC)</f>
        <v>0</v>
      </c>
      <c r="H148" s="719">
        <f>SUMIFS(Sheet1!S71_AdjustmentBudAmnt,Sheet1!S71_A9Code,$AC:$AC)+SUMIFS(Sheet1!S71_AdjustmentBudAmnt,Sheet1!S71_WIPCode,$AC:$AC)</f>
        <v>0</v>
      </c>
      <c r="I148" s="725">
        <f>SUMIFS(Sheet1!S71_ASBudgetAmount,Sheet1!S71_A9Code,$AC:$AC)+SUMIFS(Sheet1!S71_ASBudgetAmount,Sheet1!S71_WIPCode,$AC:$AC)</f>
        <v>0</v>
      </c>
      <c r="J148" s="714">
        <f>SUMIFS(Sheet1!S71_OY1BudgetAmount,Sheet1!S71_A9Code,$AC:$AC)+SUMIFS(Sheet1!S71_OY1BudgetAmount,Sheet1!S71_WIPCode,$AC:$AC)</f>
        <v>0</v>
      </c>
      <c r="K148" s="717">
        <f>SUMIFS(Sheet1!S71_OY2BudgetAmount,Sheet1!S71_A9Code,$AC:$AC)+SUMIFS(Sheet1!S71_OY2BudgetAmount,Sheet1!S71_WIPCode,$AC:$AC)</f>
        <v>0</v>
      </c>
      <c r="AC148" s="2318" t="s">
        <v>2795</v>
      </c>
    </row>
    <row r="149" spans="1:29" ht="1.1499999999999999" customHeight="1" x14ac:dyDescent="0.25">
      <c r="A149" s="861"/>
      <c r="B149" s="144"/>
      <c r="C149" s="71"/>
      <c r="D149" s="71"/>
      <c r="E149" s="72"/>
      <c r="F149" s="73"/>
      <c r="G149" s="71"/>
      <c r="H149" s="74"/>
      <c r="I149" s="75"/>
      <c r="J149" s="71"/>
      <c r="K149" s="72"/>
      <c r="AC149" s="2318"/>
    </row>
    <row r="150" spans="1:29" ht="1.1499999999999999" customHeight="1" x14ac:dyDescent="0.25">
      <c r="A150" s="861"/>
      <c r="B150" s="144"/>
      <c r="C150" s="71"/>
      <c r="D150" s="71"/>
      <c r="E150" s="72"/>
      <c r="F150" s="73"/>
      <c r="G150" s="71"/>
      <c r="H150" s="74"/>
      <c r="I150" s="75"/>
      <c r="J150" s="71"/>
      <c r="K150" s="72"/>
      <c r="AC150" s="2318"/>
    </row>
    <row r="151" spans="1:29" ht="11.25" customHeight="1" x14ac:dyDescent="0.25">
      <c r="A151" s="859" t="s">
        <v>829</v>
      </c>
      <c r="B151" s="860"/>
      <c r="C151" s="712">
        <f>SUMIFS(Sheet1!S71_PPPYearAmount,Sheet1!S71_A9Code,$AC:$AC)+SUMIFS(Sheet1!S71_PPPYearAmount,Sheet1!S71_WIPCode,$AC:$AC)</f>
        <v>0</v>
      </c>
      <c r="D151" s="712">
        <f>SUMIFS(Sheet1!S71_PPYearAmount,Sheet1!S71_A9Code,$AC:$AC)+SUMIFS(Sheet1!S71_PPYearAmount,Sheet1!S71_WIPCode,$AC:$AC)</f>
        <v>0</v>
      </c>
      <c r="E151" s="717">
        <f>SUMIFS(Sheet1!S71_PYearAmount,Sheet1!S71_A9Code,$AC:$AC)+SUMIFS(Sheet1!S71_PYearAmount,Sheet1!S71_WIPCode,$AC:$AC)</f>
        <v>0</v>
      </c>
      <c r="F151" s="718">
        <f>SUMIFS(Sheet1!S71_OriginalBudAmnt,Sheet1!S71_A9Code,$AC:$AC)+SUMIFS(Sheet1!S71_OriginalBudAmnt,Sheet1!S71_WIPCode,$AC:$AC)</f>
        <v>4523600</v>
      </c>
      <c r="G151" s="712">
        <f>SUMIFS(Sheet1!S71_AdjustmentBudAmnt,Sheet1!S71_A9Code,$AC:$AC)+SUMIFS(Sheet1!S71_AdjustmentBudAmnt,Sheet1!S71_WIPCode,$AC:$AC)</f>
        <v>10405000</v>
      </c>
      <c r="H151" s="719">
        <f>SUMIFS(Sheet1!S71_AdjustmentBudAmnt,Sheet1!S71_A9Code,$AC:$AC)+SUMIFS(Sheet1!S71_AdjustmentBudAmnt,Sheet1!S71_WIPCode,$AC:$AC)</f>
        <v>10405000</v>
      </c>
      <c r="I151" s="725">
        <f>SUMIFS(Sheet1!S71_ASBudgetAmount,Sheet1!S71_A9Code,$AC:$AC)+SUMIFS(Sheet1!S71_ASBudgetAmount,Sheet1!S71_WIPCode,$AC:$AC)</f>
        <v>10405000</v>
      </c>
      <c r="J151" s="714">
        <f>SUMIFS(Sheet1!S71_OY1BudgetAmount,Sheet1!S71_A9Code,$AC:$AC)+SUMIFS(Sheet1!S71_OY1BudgetAmount,Sheet1!S71_WIPCode,$AC:$AC)</f>
        <v>11243227</v>
      </c>
      <c r="K151" s="717">
        <f>SUMIFS(Sheet1!S71_OY2BudgetAmount,Sheet1!S71_A9Code,$AC:$AC)+SUMIFS(Sheet1!S71_OY2BudgetAmount,Sheet1!S71_WIPCode,$AC:$AC)</f>
        <v>11692956</v>
      </c>
      <c r="AC151" s="2318" t="s">
        <v>2058</v>
      </c>
    </row>
    <row r="152" spans="1:29" ht="1.1499999999999999" customHeight="1" x14ac:dyDescent="0.25">
      <c r="A152" s="861"/>
      <c r="B152" s="144"/>
      <c r="C152" s="71"/>
      <c r="D152" s="71"/>
      <c r="E152" s="72"/>
      <c r="F152" s="73"/>
      <c r="G152" s="71"/>
      <c r="H152" s="74"/>
      <c r="I152" s="75"/>
      <c r="J152" s="71"/>
      <c r="K152" s="72"/>
      <c r="AC152" s="2318"/>
    </row>
    <row r="153" spans="1:29" ht="1.1499999999999999" customHeight="1" x14ac:dyDescent="0.25">
      <c r="A153" s="861"/>
      <c r="B153" s="144"/>
      <c r="C153" s="71"/>
      <c r="D153" s="71"/>
      <c r="E153" s="72"/>
      <c r="F153" s="73"/>
      <c r="G153" s="71"/>
      <c r="H153" s="74"/>
      <c r="I153" s="75"/>
      <c r="J153" s="71"/>
      <c r="K153" s="72"/>
      <c r="AC153" s="2318"/>
    </row>
    <row r="154" spans="1:29" ht="11.25" customHeight="1" x14ac:dyDescent="0.25">
      <c r="A154" s="859" t="s">
        <v>1738</v>
      </c>
      <c r="B154" s="860"/>
      <c r="C154" s="712">
        <f>SUMIFS(Sheet1!S71_PPPYearAmount,Sheet1!S71_A9Code,$AC:$AC)+SUMIFS(Sheet1!S71_PPPYearAmount,Sheet1!S71_WIPCode,$AC:$AC)</f>
        <v>12092195</v>
      </c>
      <c r="D154" s="712">
        <f>SUMIFS(Sheet1!S71_PPYearAmount,Sheet1!S71_A9Code,$AC:$AC)+SUMIFS(Sheet1!S71_PPYearAmount,Sheet1!S71_WIPCode,$AC:$AC)</f>
        <v>8601903</v>
      </c>
      <c r="E154" s="717">
        <f>SUMIFS(Sheet1!S71_PYearAmount,Sheet1!S71_A9Code,$AC:$AC)+SUMIFS(Sheet1!S71_PYearAmount,Sheet1!S71_WIPCode,$AC:$AC)</f>
        <v>13439145</v>
      </c>
      <c r="F154" s="718">
        <f>SUMIFS(Sheet1!S71_OriginalBudAmnt,Sheet1!S71_A9Code,$AC:$AC)+SUMIFS(Sheet1!S71_OriginalBudAmnt,Sheet1!S71_WIPCode,$AC:$AC)</f>
        <v>18980672</v>
      </c>
      <c r="G154" s="712">
        <f>SUMIFS(Sheet1!S71_AdjustmentBudAmnt,Sheet1!S71_A9Code,$AC:$AC)+SUMIFS(Sheet1!S71_AdjustmentBudAmnt,Sheet1!S71_WIPCode,$AC:$AC)</f>
        <v>3071951</v>
      </c>
      <c r="H154" s="719">
        <f>SUMIFS(Sheet1!S71_AdjustmentBudAmnt,Sheet1!S71_A9Code,$AC:$AC)+SUMIFS(Sheet1!S71_AdjustmentBudAmnt,Sheet1!S71_WIPCode,$AC:$AC)</f>
        <v>3071951</v>
      </c>
      <c r="I154" s="725">
        <f>SUMIFS(Sheet1!S71_ASBudgetAmount,Sheet1!S71_A9Code,$AC:$AC)+SUMIFS(Sheet1!S71_ASBudgetAmount,Sheet1!S71_WIPCode,$AC:$AC)</f>
        <v>-5331360</v>
      </c>
      <c r="J154" s="714">
        <f>SUMIFS(Sheet1!S71_OY1BudgetAmount,Sheet1!S71_A9Code,$AC:$AC)+SUMIFS(Sheet1!S71_OY1BudgetAmount,Sheet1!S71_WIPCode,$AC:$AC)</f>
        <v>-1642172</v>
      </c>
      <c r="K154" s="717">
        <f>SUMIFS(Sheet1!S71_OY2BudgetAmount,Sheet1!S71_A9Code,$AC:$AC)+SUMIFS(Sheet1!S71_OY2BudgetAmount,Sheet1!S71_WIPCode,$AC:$AC)</f>
        <v>-1806389</v>
      </c>
      <c r="AC154" s="2318" t="s">
        <v>2796</v>
      </c>
    </row>
    <row r="155" spans="1:29" ht="11.25" customHeight="1" x14ac:dyDescent="0.25">
      <c r="A155" s="862" t="s">
        <v>2322</v>
      </c>
      <c r="B155" s="211"/>
      <c r="C155" s="712">
        <f>SUMIFS(Sheet1!S71_PPPYearAmount,Sheet1!S71_A9Code,$AC:$AC)+SUMIFS(Sheet1!S71_PPPYearAmount,Sheet1!S71_WIPCode,$AC:$AC)</f>
        <v>0</v>
      </c>
      <c r="D155" s="712">
        <f>SUMIFS(Sheet1!S71_PPYearAmount,Sheet1!S71_A9Code,$AC:$AC)+SUMIFS(Sheet1!S71_PPYearAmount,Sheet1!S71_WIPCode,$AC:$AC)</f>
        <v>0</v>
      </c>
      <c r="E155" s="717">
        <f>SUMIFS(Sheet1!S71_PYearAmount,Sheet1!S71_A9Code,$AC:$AC)+SUMIFS(Sheet1!S71_PYearAmount,Sheet1!S71_WIPCode,$AC:$AC)</f>
        <v>0</v>
      </c>
      <c r="F155" s="718">
        <f>SUMIFS(Sheet1!S71_OriginalBudAmnt,Sheet1!S71_A9Code,$AC:$AC)+SUMIFS(Sheet1!S71_OriginalBudAmnt,Sheet1!S71_WIPCode,$AC:$AC)</f>
        <v>0</v>
      </c>
      <c r="G155" s="712">
        <f>SUMIFS(Sheet1!S71_AdjustmentBudAmnt,Sheet1!S71_A9Code,$AC:$AC)+SUMIFS(Sheet1!S71_AdjustmentBudAmnt,Sheet1!S71_WIPCode,$AC:$AC)</f>
        <v>0</v>
      </c>
      <c r="H155" s="719">
        <f>SUMIFS(Sheet1!S71_AdjustmentBudAmnt,Sheet1!S71_A9Code,$AC:$AC)+SUMIFS(Sheet1!S71_AdjustmentBudAmnt,Sheet1!S71_WIPCode,$AC:$AC)</f>
        <v>0</v>
      </c>
      <c r="I155" s="725">
        <f>SUMIFS(Sheet1!S71_ASBudgetAmount,Sheet1!S71_A9Code,$AC:$AC)+SUMIFS(Sheet1!S71_ASBudgetAmount,Sheet1!S71_WIPCode,$AC:$AC)</f>
        <v>0</v>
      </c>
      <c r="J155" s="714">
        <f>SUMIFS(Sheet1!S71_OY1BudgetAmount,Sheet1!S71_A9Code,$AC:$AC)+SUMIFS(Sheet1!S71_OY1BudgetAmount,Sheet1!S71_WIPCode,$AC:$AC)</f>
        <v>0</v>
      </c>
      <c r="K155" s="717">
        <f>SUMIFS(Sheet1!S71_OY2BudgetAmount,Sheet1!S71_A9Code,$AC:$AC)+SUMIFS(Sheet1!S71_OY2BudgetAmount,Sheet1!S71_WIPCode,$AC:$AC)</f>
        <v>0</v>
      </c>
      <c r="AC155" s="2318" t="s">
        <v>2797</v>
      </c>
    </row>
    <row r="156" spans="1:29" ht="1.1499999999999999" customHeight="1" x14ac:dyDescent="0.25">
      <c r="A156" s="861"/>
      <c r="B156" s="144"/>
      <c r="C156" s="71"/>
      <c r="D156" s="71"/>
      <c r="E156" s="72"/>
      <c r="F156" s="73"/>
      <c r="G156" s="71"/>
      <c r="H156" s="74"/>
      <c r="I156" s="75"/>
      <c r="J156" s="71"/>
      <c r="K156" s="72"/>
      <c r="AC156" s="2318"/>
    </row>
    <row r="157" spans="1:29" ht="1.1499999999999999" customHeight="1" x14ac:dyDescent="0.25">
      <c r="A157" s="861"/>
      <c r="B157" s="144"/>
      <c r="C157" s="71"/>
      <c r="D157" s="71"/>
      <c r="E157" s="72"/>
      <c r="F157" s="73"/>
      <c r="G157" s="71"/>
      <c r="H157" s="74"/>
      <c r="I157" s="75"/>
      <c r="J157" s="71"/>
      <c r="K157" s="72"/>
      <c r="AC157" s="2318"/>
    </row>
    <row r="158" spans="1:29" ht="11.25" customHeight="1" x14ac:dyDescent="0.25">
      <c r="A158" s="859" t="s">
        <v>2325</v>
      </c>
      <c r="B158" s="860"/>
      <c r="C158" s="712">
        <f>SUMIFS(Sheet1!S71_PPPYearAmount,Sheet1!S71_A9Code,$AC:$AC)+SUMIFS(Sheet1!S71_PPPYearAmount,Sheet1!S71_WIPCode,$AC:$AC)</f>
        <v>606613</v>
      </c>
      <c r="D158" s="712">
        <f>SUMIFS(Sheet1!S71_PPYearAmount,Sheet1!S71_A9Code,$AC:$AC)+SUMIFS(Sheet1!S71_PPYearAmount,Sheet1!S71_WIPCode,$AC:$AC)</f>
        <v>409323</v>
      </c>
      <c r="E158" s="717">
        <f>SUMIFS(Sheet1!S71_PYearAmount,Sheet1!S71_A9Code,$AC:$AC)+SUMIFS(Sheet1!S71_PYearAmount,Sheet1!S71_WIPCode,$AC:$AC)</f>
        <v>488430</v>
      </c>
      <c r="F158" s="718">
        <f>SUMIFS(Sheet1!S71_OriginalBudAmnt,Sheet1!S71_A9Code,$AC:$AC)+SUMIFS(Sheet1!S71_OriginalBudAmnt,Sheet1!S71_WIPCode,$AC:$AC)</f>
        <v>0</v>
      </c>
      <c r="G158" s="712">
        <f>SUMIFS(Sheet1!S71_AdjustmentBudAmnt,Sheet1!S71_A9Code,$AC:$AC)+SUMIFS(Sheet1!S71_AdjustmentBudAmnt,Sheet1!S71_WIPCode,$AC:$AC)</f>
        <v>488430</v>
      </c>
      <c r="H158" s="719">
        <f>SUMIFS(Sheet1!S71_AdjustmentBudAmnt,Sheet1!S71_A9Code,$AC:$AC)+SUMIFS(Sheet1!S71_AdjustmentBudAmnt,Sheet1!S71_WIPCode,$AC:$AC)</f>
        <v>488430</v>
      </c>
      <c r="I158" s="725">
        <f>SUMIFS(Sheet1!S71_ASBudgetAmount,Sheet1!S71_A9Code,$AC:$AC)+SUMIFS(Sheet1!S71_ASBudgetAmount,Sheet1!S71_WIPCode,$AC:$AC)</f>
        <v>488430</v>
      </c>
      <c r="J158" s="714">
        <f>SUMIFS(Sheet1!S71_OY1BudgetAmount,Sheet1!S71_A9Code,$AC:$AC)+SUMIFS(Sheet1!S71_OY1BudgetAmount,Sheet1!S71_WIPCode,$AC:$AC)</f>
        <v>527778</v>
      </c>
      <c r="K158" s="717">
        <f>SUMIFS(Sheet1!S71_OY2BudgetAmount,Sheet1!S71_A9Code,$AC:$AC)+SUMIFS(Sheet1!S71_OY2BudgetAmount,Sheet1!S71_WIPCode,$AC:$AC)</f>
        <v>548889</v>
      </c>
      <c r="AC158" s="2318" t="s">
        <v>2798</v>
      </c>
    </row>
    <row r="159" spans="1:29" x14ac:dyDescent="0.25">
      <c r="A159" s="863" t="s">
        <v>2332</v>
      </c>
      <c r="B159" s="864"/>
      <c r="C159" s="712">
        <f>SUMIFS(Sheet1!S71_PPPYearAmount,Sheet1!S71_A9Code,$AC:$AC)+SUMIFS(Sheet1!S71_PPPYearAmount,Sheet1!S71_WIPCode,$AC:$AC)</f>
        <v>241468</v>
      </c>
      <c r="D159" s="712">
        <f>SUMIFS(Sheet1!S71_PPYearAmount,Sheet1!S71_A9Code,$AC:$AC)+SUMIFS(Sheet1!S71_PPYearAmount,Sheet1!S71_WIPCode,$AC:$AC)</f>
        <v>894011</v>
      </c>
      <c r="E159" s="717">
        <f>SUMIFS(Sheet1!S71_PYearAmount,Sheet1!S71_A9Code,$AC:$AC)+SUMIFS(Sheet1!S71_PYearAmount,Sheet1!S71_WIPCode,$AC:$AC)</f>
        <v>1550194</v>
      </c>
      <c r="F159" s="718">
        <f>SUMIFS(Sheet1!S71_OriginalBudAmnt,Sheet1!S71_A9Code,$AC:$AC)+SUMIFS(Sheet1!S71_OriginalBudAmnt,Sheet1!S71_WIPCode,$AC:$AC)</f>
        <v>868270</v>
      </c>
      <c r="G159" s="712">
        <f>SUMIFS(Sheet1!S71_AdjustmentBudAmnt,Sheet1!S71_A9Code,$AC:$AC)+SUMIFS(Sheet1!S71_AdjustmentBudAmnt,Sheet1!S71_WIPCode,$AC:$AC)</f>
        <v>1320347</v>
      </c>
      <c r="H159" s="719">
        <f>SUMIFS(Sheet1!S71_AdjustmentBudAmnt,Sheet1!S71_A9Code,$AC:$AC)+SUMIFS(Sheet1!S71_AdjustmentBudAmnt,Sheet1!S71_WIPCode,$AC:$AC)</f>
        <v>1320347</v>
      </c>
      <c r="I159" s="725">
        <f>SUMIFS(Sheet1!S71_ASBudgetAmount,Sheet1!S71_A9Code,$AC:$AC)+SUMIFS(Sheet1!S71_ASBudgetAmount,Sheet1!S71_WIPCode,$AC:$AC)</f>
        <v>3923097</v>
      </c>
      <c r="J159" s="714">
        <f>SUMIFS(Sheet1!S71_OY1BudgetAmount,Sheet1!S71_A9Code,$AC:$AC)+SUMIFS(Sheet1!S71_OY1BudgetAmount,Sheet1!S71_WIPCode,$AC:$AC)</f>
        <v>1426714</v>
      </c>
      <c r="K159" s="717">
        <f>SUMIFS(Sheet1!S71_OY2BudgetAmount,Sheet1!S71_A9Code,$AC:$AC)+SUMIFS(Sheet1!S71_OY2BudgetAmount,Sheet1!S71_WIPCode,$AC:$AC)</f>
        <v>1483783</v>
      </c>
      <c r="AC159" s="2318" t="s">
        <v>2799</v>
      </c>
    </row>
    <row r="160" spans="1:29" ht="11.25" customHeight="1" x14ac:dyDescent="0.25">
      <c r="A160" s="862" t="s">
        <v>2333</v>
      </c>
      <c r="B160" s="144"/>
      <c r="C160" s="712">
        <f>SUMIFS(Sheet1!S71_PPPYearAmount,Sheet1!S71_A9Code,$AC:$AC)+SUMIFS(Sheet1!S71_PPPYearAmount,Sheet1!S71_WIPCode,$AC:$AC)</f>
        <v>166592</v>
      </c>
      <c r="D160" s="712">
        <f>SUMIFS(Sheet1!S71_PPYearAmount,Sheet1!S71_A9Code,$AC:$AC)+SUMIFS(Sheet1!S71_PPYearAmount,Sheet1!S71_WIPCode,$AC:$AC)</f>
        <v>661958</v>
      </c>
      <c r="E160" s="717">
        <f>SUMIFS(Sheet1!S71_PYearAmount,Sheet1!S71_A9Code,$AC:$AC)+SUMIFS(Sheet1!S71_PYearAmount,Sheet1!S71_WIPCode,$AC:$AC)</f>
        <v>1231776</v>
      </c>
      <c r="F160" s="718">
        <f>SUMIFS(Sheet1!S71_OriginalBudAmnt,Sheet1!S71_A9Code,$AC:$AC)+SUMIFS(Sheet1!S71_OriginalBudAmnt,Sheet1!S71_WIPCode,$AC:$AC)</f>
        <v>849009</v>
      </c>
      <c r="G160" s="712">
        <f>SUMIFS(Sheet1!S71_AdjustmentBudAmnt,Sheet1!S71_A9Code,$AC:$AC)+SUMIFS(Sheet1!S71_AdjustmentBudAmnt,Sheet1!S71_WIPCode,$AC:$AC)</f>
        <v>1773142</v>
      </c>
      <c r="H160" s="719">
        <f>SUMIFS(Sheet1!S71_AdjustmentBudAmnt,Sheet1!S71_A9Code,$AC:$AC)+SUMIFS(Sheet1!S71_AdjustmentBudAmnt,Sheet1!S71_WIPCode,$AC:$AC)</f>
        <v>1773142</v>
      </c>
      <c r="I160" s="725">
        <f>SUMIFS(Sheet1!S71_ASBudgetAmount,Sheet1!S71_A9Code,$AC:$AC)+SUMIFS(Sheet1!S71_ASBudgetAmount,Sheet1!S71_WIPCode,$AC:$AC)</f>
        <v>12018858</v>
      </c>
      <c r="J160" s="714">
        <f>SUMIFS(Sheet1!S71_OY1BudgetAmount,Sheet1!S71_A9Code,$AC:$AC)+SUMIFS(Sheet1!S71_OY1BudgetAmount,Sheet1!S71_WIPCode,$AC:$AC)</f>
        <v>1346905</v>
      </c>
      <c r="K160" s="717">
        <f>SUMIFS(Sheet1!S71_OY2BudgetAmount,Sheet1!S71_A9Code,$AC:$AC)+SUMIFS(Sheet1!S71_OY2BudgetAmount,Sheet1!S71_WIPCode,$AC:$AC)</f>
        <v>1323012</v>
      </c>
      <c r="AC160" s="2318" t="s">
        <v>2800</v>
      </c>
    </row>
    <row r="161" spans="1:29" ht="11.25" customHeight="1" x14ac:dyDescent="0.25">
      <c r="A161" s="862" t="s">
        <v>2334</v>
      </c>
      <c r="B161" s="144"/>
      <c r="C161" s="712">
        <f>SUMIFS(Sheet1!S71_PPPYearAmount,Sheet1!S71_A9Code,$AC:$AC)+SUMIFS(Sheet1!S71_PPPYearAmount,Sheet1!S71_WIPCode,$AC:$AC)</f>
        <v>0</v>
      </c>
      <c r="D161" s="712">
        <f>SUMIFS(Sheet1!S71_PPYearAmount,Sheet1!S71_A9Code,$AC:$AC)+SUMIFS(Sheet1!S71_PPYearAmount,Sheet1!S71_WIPCode,$AC:$AC)</f>
        <v>100226</v>
      </c>
      <c r="E161" s="717">
        <f>SUMIFS(Sheet1!S71_PYearAmount,Sheet1!S71_A9Code,$AC:$AC)+SUMIFS(Sheet1!S71_PYearAmount,Sheet1!S71_WIPCode,$AC:$AC)</f>
        <v>293857</v>
      </c>
      <c r="F161" s="718">
        <f>SUMIFS(Sheet1!S71_OriginalBudAmnt,Sheet1!S71_A9Code,$AC:$AC)+SUMIFS(Sheet1!S71_OriginalBudAmnt,Sheet1!S71_WIPCode,$AC:$AC)</f>
        <v>100226</v>
      </c>
      <c r="G161" s="712">
        <f>SUMIFS(Sheet1!S71_AdjustmentBudAmnt,Sheet1!S71_A9Code,$AC:$AC)+SUMIFS(Sheet1!S71_AdjustmentBudAmnt,Sheet1!S71_WIPCode,$AC:$AC)</f>
        <v>1057847</v>
      </c>
      <c r="H161" s="719">
        <f>SUMIFS(Sheet1!S71_AdjustmentBudAmnt,Sheet1!S71_A9Code,$AC:$AC)+SUMIFS(Sheet1!S71_AdjustmentBudAmnt,Sheet1!S71_WIPCode,$AC:$AC)</f>
        <v>1057847</v>
      </c>
      <c r="I161" s="725">
        <f>SUMIFS(Sheet1!S71_ASBudgetAmount,Sheet1!S71_A9Code,$AC:$AC)+SUMIFS(Sheet1!S71_ASBudgetAmount,Sheet1!S71_WIPCode,$AC:$AC)</f>
        <v>1057847</v>
      </c>
      <c r="J161" s="714">
        <f>SUMIFS(Sheet1!S71_OY1BudgetAmount,Sheet1!S71_A9Code,$AC:$AC)+SUMIFS(Sheet1!S71_OY1BudgetAmount,Sheet1!S71_WIPCode,$AC:$AC)</f>
        <v>1143067</v>
      </c>
      <c r="K161" s="717">
        <f>SUMIFS(Sheet1!S71_OY2BudgetAmount,Sheet1!S71_A9Code,$AC:$AC)+SUMIFS(Sheet1!S71_OY2BudgetAmount,Sheet1!S71_WIPCode,$AC:$AC)</f>
        <v>1188790</v>
      </c>
      <c r="AC161" s="2318" t="s">
        <v>2801</v>
      </c>
    </row>
    <row r="162" spans="1:29" x14ac:dyDescent="0.25">
      <c r="A162" s="863" t="s">
        <v>2335</v>
      </c>
      <c r="B162" s="864"/>
      <c r="C162" s="712">
        <f>SUMIFS(Sheet1!S71_PPPYearAmount,Sheet1!S71_A9Code,$AC:$AC)+SUMIFS(Sheet1!S71_PPPYearAmount,Sheet1!S71_WIPCode,$AC:$AC)</f>
        <v>2845481</v>
      </c>
      <c r="D162" s="712">
        <f>SUMIFS(Sheet1!S71_PPYearAmount,Sheet1!S71_A9Code,$AC:$AC)+SUMIFS(Sheet1!S71_PPYearAmount,Sheet1!S71_WIPCode,$AC:$AC)</f>
        <v>4604463</v>
      </c>
      <c r="E162" s="717">
        <f>SUMIFS(Sheet1!S71_PYearAmount,Sheet1!S71_A9Code,$AC:$AC)+SUMIFS(Sheet1!S71_PYearAmount,Sheet1!S71_WIPCode,$AC:$AC)</f>
        <v>2258716</v>
      </c>
      <c r="F162" s="718">
        <f>SUMIFS(Sheet1!S71_OriginalBudAmnt,Sheet1!S71_A9Code,$AC:$AC)+SUMIFS(Sheet1!S71_OriginalBudAmnt,Sheet1!S71_WIPCode,$AC:$AC)</f>
        <v>4604463</v>
      </c>
      <c r="G162" s="712">
        <f>SUMIFS(Sheet1!S71_AdjustmentBudAmnt,Sheet1!S71_A9Code,$AC:$AC)+SUMIFS(Sheet1!S71_AdjustmentBudAmnt,Sheet1!S71_WIPCode,$AC:$AC)</f>
        <v>4779160</v>
      </c>
      <c r="H162" s="719">
        <f>SUMIFS(Sheet1!S71_AdjustmentBudAmnt,Sheet1!S71_A9Code,$AC:$AC)+SUMIFS(Sheet1!S71_AdjustmentBudAmnt,Sheet1!S71_WIPCode,$AC:$AC)</f>
        <v>4779160</v>
      </c>
      <c r="I162" s="725">
        <f>SUMIFS(Sheet1!S71_ASBudgetAmount,Sheet1!S71_A9Code,$AC:$AC)+SUMIFS(Sheet1!S71_ASBudgetAmount,Sheet1!S71_WIPCode,$AC:$AC)</f>
        <v>4616084</v>
      </c>
      <c r="J162" s="714">
        <f>SUMIFS(Sheet1!S71_OY1BudgetAmount,Sheet1!S71_A9Code,$AC:$AC)+SUMIFS(Sheet1!S71_OY1BudgetAmount,Sheet1!S71_WIPCode,$AC:$AC)</f>
        <v>4144550</v>
      </c>
      <c r="K162" s="717">
        <f>SUMIFS(Sheet1!S71_OY2BudgetAmount,Sheet1!S71_A9Code,$AC:$AC)+SUMIFS(Sheet1!S71_OY2BudgetAmount,Sheet1!S71_WIPCode,$AC:$AC)</f>
        <v>4249156</v>
      </c>
      <c r="AC162" s="2318" t="s">
        <v>2802</v>
      </c>
    </row>
    <row r="163" spans="1:29" ht="11.25" customHeight="1" x14ac:dyDescent="0.25">
      <c r="A163" s="862" t="s">
        <v>2470</v>
      </c>
      <c r="B163" s="144"/>
      <c r="C163" s="712">
        <f>SUMIFS(Sheet1!S71_PPPYearAmount,Sheet1!S71_A9Code,$AC:$AC)+SUMIFS(Sheet1!S71_PPPYearAmount,Sheet1!S71_WIPCode,$AC:$AC)</f>
        <v>4523600</v>
      </c>
      <c r="D163" s="712">
        <f>SUMIFS(Sheet1!S71_PPYearAmount,Sheet1!S71_A9Code,$AC:$AC)+SUMIFS(Sheet1!S71_PPYearAmount,Sheet1!S71_WIPCode,$AC:$AC)</f>
        <v>10439600</v>
      </c>
      <c r="E163" s="717">
        <f>SUMIFS(Sheet1!S71_PYearAmount,Sheet1!S71_A9Code,$AC:$AC)+SUMIFS(Sheet1!S71_PYearAmount,Sheet1!S71_WIPCode,$AC:$AC)</f>
        <v>11133000</v>
      </c>
      <c r="F163" s="718">
        <f>SUMIFS(Sheet1!S71_OriginalBudAmnt,Sheet1!S71_A9Code,$AC:$AC)+SUMIFS(Sheet1!S71_OriginalBudAmnt,Sheet1!S71_WIPCode,$AC:$AC)</f>
        <v>728000</v>
      </c>
      <c r="G163" s="712">
        <f>SUMIFS(Sheet1!S71_AdjustmentBudAmnt,Sheet1!S71_A9Code,$AC:$AC)+SUMIFS(Sheet1!S71_AdjustmentBudAmnt,Sheet1!S71_WIPCode,$AC:$AC)</f>
        <v>728000</v>
      </c>
      <c r="H163" s="719">
        <f>SUMIFS(Sheet1!S71_AdjustmentBudAmnt,Sheet1!S71_A9Code,$AC:$AC)+SUMIFS(Sheet1!S71_AdjustmentBudAmnt,Sheet1!S71_WIPCode,$AC:$AC)</f>
        <v>728000</v>
      </c>
      <c r="I163" s="725">
        <f>SUMIFS(Sheet1!S71_ASBudgetAmount,Sheet1!S71_A9Code,$AC:$AC)+SUMIFS(Sheet1!S71_ASBudgetAmount,Sheet1!S71_WIPCode,$AC:$AC)</f>
        <v>13437809</v>
      </c>
      <c r="J163" s="714">
        <f>SUMIFS(Sheet1!S71_OY1BudgetAmount,Sheet1!S71_A9Code,$AC:$AC)+SUMIFS(Sheet1!S71_OY1BudgetAmount,Sheet1!S71_WIPCode,$AC:$AC)</f>
        <v>786648</v>
      </c>
      <c r="K163" s="717">
        <f>SUMIFS(Sheet1!S71_OY2BudgetAmount,Sheet1!S71_A9Code,$AC:$AC)+SUMIFS(Sheet1!S71_OY2BudgetAmount,Sheet1!S71_WIPCode,$AC:$AC)</f>
        <v>818114</v>
      </c>
      <c r="AC163" s="2318" t="s">
        <v>2803</v>
      </c>
    </row>
    <row r="164" spans="1:29" ht="11.25" customHeight="1" x14ac:dyDescent="0.25">
      <c r="A164" s="862" t="s">
        <v>2336</v>
      </c>
      <c r="B164" s="144"/>
      <c r="C164" s="712">
        <f>SUMIFS(Sheet1!S71_PPPYearAmount,Sheet1!S71_A9Code,$AC:$AC)+SUMIFS(Sheet1!S71_PPPYearAmount,Sheet1!S71_WIPCode,$AC:$AC)</f>
        <v>0</v>
      </c>
      <c r="D164" s="712">
        <f>SUMIFS(Sheet1!S71_PPYearAmount,Sheet1!S71_A9Code,$AC:$AC)+SUMIFS(Sheet1!S71_PPYearAmount,Sheet1!S71_WIPCode,$AC:$AC)</f>
        <v>0</v>
      </c>
      <c r="E164" s="717">
        <f>SUMIFS(Sheet1!S71_PYearAmount,Sheet1!S71_A9Code,$AC:$AC)+SUMIFS(Sheet1!S71_PYearAmount,Sheet1!S71_WIPCode,$AC:$AC)</f>
        <v>0</v>
      </c>
      <c r="F164" s="718">
        <f>SUMIFS(Sheet1!S71_OriginalBudAmnt,Sheet1!S71_A9Code,$AC:$AC)+SUMIFS(Sheet1!S71_OriginalBudAmnt,Sheet1!S71_WIPCode,$AC:$AC)</f>
        <v>0</v>
      </c>
      <c r="G164" s="712">
        <f>SUMIFS(Sheet1!S71_AdjustmentBudAmnt,Sheet1!S71_A9Code,$AC:$AC)+SUMIFS(Sheet1!S71_AdjustmentBudAmnt,Sheet1!S71_WIPCode,$AC:$AC)</f>
        <v>0</v>
      </c>
      <c r="H164" s="719">
        <f>SUMIFS(Sheet1!S71_AdjustmentBudAmnt,Sheet1!S71_A9Code,$AC:$AC)+SUMIFS(Sheet1!S71_AdjustmentBudAmnt,Sheet1!S71_WIPCode,$AC:$AC)</f>
        <v>0</v>
      </c>
      <c r="I164" s="725">
        <f>SUMIFS(Sheet1!S71_ASBudgetAmount,Sheet1!S71_A9Code,$AC:$AC)+SUMIFS(Sheet1!S71_ASBudgetAmount,Sheet1!S71_WIPCode,$AC:$AC)</f>
        <v>0</v>
      </c>
      <c r="J164" s="714">
        <f>SUMIFS(Sheet1!S71_OY1BudgetAmount,Sheet1!S71_A9Code,$AC:$AC)+SUMIFS(Sheet1!S71_OY1BudgetAmount,Sheet1!S71_WIPCode,$AC:$AC)</f>
        <v>0</v>
      </c>
      <c r="K164" s="717">
        <f>SUMIFS(Sheet1!S71_OY2BudgetAmount,Sheet1!S71_A9Code,$AC:$AC)+SUMIFS(Sheet1!S71_OY2BudgetAmount,Sheet1!S71_WIPCode,$AC:$AC)</f>
        <v>0</v>
      </c>
      <c r="AC164" s="2318" t="s">
        <v>2804</v>
      </c>
    </row>
    <row r="165" spans="1:29" ht="11.25" customHeight="1" x14ac:dyDescent="0.25">
      <c r="A165" s="866" t="s">
        <v>1257</v>
      </c>
      <c r="B165" s="148">
        <v>5</v>
      </c>
      <c r="C165" s="185">
        <f>C144+C147+C148+C151+C154+C155+C158+C159+C160+C161+C162+C163+C164</f>
        <v>124145368</v>
      </c>
      <c r="D165" s="185">
        <f t="shared" ref="D165:K165" si="41">D144+D147+D148+D151+D154+D155+D158+D159+D160+D161+D162+D163+D164</f>
        <v>146340377</v>
      </c>
      <c r="E165" s="183">
        <f t="shared" si="41"/>
        <v>158767832</v>
      </c>
      <c r="F165" s="184">
        <f t="shared" si="41"/>
        <v>170645888</v>
      </c>
      <c r="G165" s="185">
        <f t="shared" si="41"/>
        <v>221147723</v>
      </c>
      <c r="H165" s="186">
        <f t="shared" si="41"/>
        <v>221147723</v>
      </c>
      <c r="I165" s="123">
        <f t="shared" si="41"/>
        <v>211264887</v>
      </c>
      <c r="J165" s="185">
        <f t="shared" si="41"/>
        <v>170134478</v>
      </c>
      <c r="K165" s="183">
        <f t="shared" si="41"/>
        <v>176282419</v>
      </c>
    </row>
    <row r="166" spans="1:29" ht="4.9000000000000004" customHeight="1" x14ac:dyDescent="0.25">
      <c r="A166" s="104"/>
      <c r="B166" s="144"/>
      <c r="C166" s="177"/>
      <c r="D166" s="177"/>
      <c r="E166" s="178"/>
      <c r="F166" s="179"/>
      <c r="G166" s="177"/>
      <c r="H166" s="180"/>
      <c r="I166" s="181"/>
      <c r="J166" s="177"/>
      <c r="K166" s="178"/>
    </row>
    <row r="167" spans="1:29" ht="11.25" customHeight="1" x14ac:dyDescent="0.25">
      <c r="A167" s="870" t="s">
        <v>1253</v>
      </c>
      <c r="B167" s="144"/>
      <c r="C167" s="545">
        <f>SUM(C168:C169)</f>
        <v>12042506</v>
      </c>
      <c r="D167" s="545">
        <f t="shared" ref="D167:K167" si="42">SUM(D168:D169)</f>
        <v>13353856</v>
      </c>
      <c r="E167" s="742">
        <f t="shared" si="42"/>
        <v>17634600</v>
      </c>
      <c r="F167" s="743">
        <f t="shared" si="42"/>
        <v>28053339</v>
      </c>
      <c r="G167" s="545">
        <f t="shared" si="42"/>
        <v>42003859</v>
      </c>
      <c r="H167" s="831">
        <f t="shared" si="42"/>
        <v>42003859</v>
      </c>
      <c r="I167" s="544">
        <f t="shared" si="42"/>
        <v>39827317</v>
      </c>
      <c r="J167" s="545">
        <f t="shared" si="42"/>
        <v>33874412</v>
      </c>
      <c r="K167" s="742">
        <f t="shared" si="42"/>
        <v>35412389</v>
      </c>
    </row>
    <row r="168" spans="1:29" ht="11.25" customHeight="1" x14ac:dyDescent="0.25">
      <c r="A168" s="871" t="s">
        <v>2362</v>
      </c>
      <c r="B168" s="144">
        <v>7</v>
      </c>
      <c r="C168" s="177">
        <f>SA34d!C167</f>
        <v>8790784</v>
      </c>
      <c r="D168" s="177">
        <f>SA34d!D167</f>
        <v>8722456</v>
      </c>
      <c r="E168" s="388">
        <f>SA34d!E167</f>
        <v>9318525</v>
      </c>
      <c r="F168" s="724">
        <f>SA34d!F167</f>
        <v>11173339</v>
      </c>
      <c r="G168" s="177">
        <f>SA34d!G167</f>
        <v>11173339</v>
      </c>
      <c r="H168" s="388">
        <f>SA34d!H167</f>
        <v>11173339</v>
      </c>
      <c r="I168" s="724">
        <f>SA34d!I167</f>
        <v>11609097</v>
      </c>
      <c r="J168" s="177">
        <f>SA34d!J167</f>
        <v>12073463</v>
      </c>
      <c r="K168" s="388">
        <f>SA34d!K167</f>
        <v>12556402</v>
      </c>
    </row>
    <row r="169" spans="1:29" ht="11.25" customHeight="1" x14ac:dyDescent="0.25">
      <c r="A169" s="857" t="s">
        <v>331</v>
      </c>
      <c r="B169" s="144">
        <v>3</v>
      </c>
      <c r="C169" s="545">
        <f>C179+C182+C183+C186+C189+C190+SUM(C193:C199)</f>
        <v>3251722</v>
      </c>
      <c r="D169" s="545">
        <f t="shared" ref="D169:K169" si="43">D179+D182+D183+D186+D189+D190+SUM(D193:D199)</f>
        <v>4631400</v>
      </c>
      <c r="E169" s="742">
        <f t="shared" si="43"/>
        <v>8316075</v>
      </c>
      <c r="F169" s="743">
        <f t="shared" si="43"/>
        <v>16880000</v>
      </c>
      <c r="G169" s="545">
        <f t="shared" si="43"/>
        <v>30830520</v>
      </c>
      <c r="H169" s="831">
        <f t="shared" si="43"/>
        <v>30830520</v>
      </c>
      <c r="I169" s="544">
        <f t="shared" si="43"/>
        <v>28218220</v>
      </c>
      <c r="J169" s="545">
        <f t="shared" si="43"/>
        <v>21800949</v>
      </c>
      <c r="K169" s="742">
        <f t="shared" si="43"/>
        <v>22855987</v>
      </c>
    </row>
    <row r="170" spans="1:29" ht="11.25" customHeight="1" x14ac:dyDescent="0.25">
      <c r="A170" s="858" t="s">
        <v>2230</v>
      </c>
      <c r="B170" s="97"/>
      <c r="C170" s="71">
        <f>SA34c!C7</f>
        <v>0</v>
      </c>
      <c r="D170" s="71">
        <f>SA34c!D7</f>
        <v>1163601</v>
      </c>
      <c r="E170" s="72">
        <f>SA34c!E7</f>
        <v>1568075</v>
      </c>
      <c r="F170" s="73">
        <f>SA34c!F7</f>
        <v>11000000</v>
      </c>
      <c r="G170" s="71">
        <f>SA34c!G7</f>
        <v>15551245</v>
      </c>
      <c r="H170" s="74">
        <f>SA34c!H7</f>
        <v>15551245</v>
      </c>
      <c r="I170" s="75">
        <f>SA34c!I7</f>
        <v>9800000</v>
      </c>
      <c r="J170" s="71">
        <f>SA34c!J7</f>
        <v>14692000</v>
      </c>
      <c r="K170" s="72">
        <f>SA34c!K7</f>
        <v>15099680</v>
      </c>
    </row>
    <row r="171" spans="1:29" ht="11.25" customHeight="1" x14ac:dyDescent="0.25">
      <c r="A171" s="858" t="s">
        <v>2234</v>
      </c>
      <c r="B171" s="97"/>
      <c r="C171" s="71">
        <f>SA34c!C12</f>
        <v>0</v>
      </c>
      <c r="D171" s="71">
        <f>SA34c!D12</f>
        <v>0</v>
      </c>
      <c r="E171" s="72">
        <f>SA34c!E12</f>
        <v>0</v>
      </c>
      <c r="F171" s="73">
        <f>SA34c!F12</f>
        <v>0</v>
      </c>
      <c r="G171" s="71">
        <f>SA34c!G12</f>
        <v>0</v>
      </c>
      <c r="H171" s="74">
        <f>SA34c!H12</f>
        <v>0</v>
      </c>
      <c r="I171" s="75">
        <f>SA34c!I12</f>
        <v>0</v>
      </c>
      <c r="J171" s="71">
        <f>SA34c!J12</f>
        <v>0</v>
      </c>
      <c r="K171" s="72">
        <f>SA34c!K12</f>
        <v>0</v>
      </c>
    </row>
    <row r="172" spans="1:29" ht="11.25" customHeight="1" x14ac:dyDescent="0.25">
      <c r="A172" s="858" t="s">
        <v>2279</v>
      </c>
      <c r="B172" s="97"/>
      <c r="C172" s="71">
        <f>SA34c!C16</f>
        <v>0</v>
      </c>
      <c r="D172" s="71">
        <f>SA34c!D16</f>
        <v>0</v>
      </c>
      <c r="E172" s="72">
        <f>SA34c!E16</f>
        <v>0</v>
      </c>
      <c r="F172" s="73">
        <f>SA34c!F16</f>
        <v>0</v>
      </c>
      <c r="G172" s="71">
        <f>SA34c!G16</f>
        <v>0</v>
      </c>
      <c r="H172" s="74">
        <f>SA34c!H16</f>
        <v>0</v>
      </c>
      <c r="I172" s="75">
        <f>SA34c!I16</f>
        <v>0</v>
      </c>
      <c r="J172" s="71">
        <f>SA34c!J16</f>
        <v>0</v>
      </c>
      <c r="K172" s="72">
        <f>SA34c!K16</f>
        <v>0</v>
      </c>
    </row>
    <row r="173" spans="1:29" ht="11.25" customHeight="1" x14ac:dyDescent="0.25">
      <c r="A173" s="858" t="s">
        <v>2280</v>
      </c>
      <c r="B173" s="97"/>
      <c r="C173" s="71">
        <f>SA34c!C26</f>
        <v>0</v>
      </c>
      <c r="D173" s="71">
        <f>SA34c!D26</f>
        <v>0</v>
      </c>
      <c r="E173" s="72">
        <f>SA34c!E26</f>
        <v>0</v>
      </c>
      <c r="F173" s="73">
        <f>SA34c!F26</f>
        <v>0</v>
      </c>
      <c r="G173" s="71">
        <f>SA34c!G26</f>
        <v>0</v>
      </c>
      <c r="H173" s="74">
        <f>SA34c!H26</f>
        <v>0</v>
      </c>
      <c r="I173" s="75">
        <f>SA34c!I26</f>
        <v>0</v>
      </c>
      <c r="J173" s="71">
        <f>SA34c!J26</f>
        <v>0</v>
      </c>
      <c r="K173" s="72">
        <f>SA34c!K26</f>
        <v>0</v>
      </c>
    </row>
    <row r="174" spans="1:29" ht="11.25" customHeight="1" x14ac:dyDescent="0.25">
      <c r="A174" s="858" t="s">
        <v>2281</v>
      </c>
      <c r="B174" s="97"/>
      <c r="C174" s="71">
        <f>SA34c!C37</f>
        <v>0</v>
      </c>
      <c r="D174" s="71">
        <f>SA34c!D37</f>
        <v>0</v>
      </c>
      <c r="E174" s="72">
        <f>SA34c!E37</f>
        <v>0</v>
      </c>
      <c r="F174" s="73">
        <f>SA34c!F37</f>
        <v>0</v>
      </c>
      <c r="G174" s="71">
        <f>SA34c!G37</f>
        <v>0</v>
      </c>
      <c r="H174" s="74">
        <f>SA34c!H37</f>
        <v>0</v>
      </c>
      <c r="I174" s="75">
        <f>SA34c!I37</f>
        <v>0</v>
      </c>
      <c r="J174" s="71">
        <f>SA34c!J37</f>
        <v>0</v>
      </c>
      <c r="K174" s="72">
        <f>SA34c!K37</f>
        <v>0</v>
      </c>
    </row>
    <row r="175" spans="1:29" ht="11.25" customHeight="1" x14ac:dyDescent="0.25">
      <c r="A175" s="858" t="s">
        <v>2259</v>
      </c>
      <c r="B175" s="97"/>
      <c r="C175" s="71">
        <f>SA34c!C44</f>
        <v>0</v>
      </c>
      <c r="D175" s="71">
        <f>SA34c!D44</f>
        <v>0</v>
      </c>
      <c r="E175" s="72">
        <f>SA34c!E44</f>
        <v>0</v>
      </c>
      <c r="F175" s="73">
        <f>SA34c!F44</f>
        <v>0</v>
      </c>
      <c r="G175" s="71">
        <f>SA34c!G44</f>
        <v>0</v>
      </c>
      <c r="H175" s="74">
        <f>SA34c!H44</f>
        <v>0</v>
      </c>
      <c r="I175" s="75">
        <f>SA34c!I44</f>
        <v>0</v>
      </c>
      <c r="J175" s="71">
        <f>SA34c!J44</f>
        <v>0</v>
      </c>
      <c r="K175" s="72">
        <f>SA34c!K44</f>
        <v>0</v>
      </c>
    </row>
    <row r="176" spans="1:29" ht="11.25" customHeight="1" x14ac:dyDescent="0.25">
      <c r="A176" s="858" t="s">
        <v>2275</v>
      </c>
      <c r="B176" s="97"/>
      <c r="C176" s="71">
        <f>SA34c!C52</f>
        <v>0</v>
      </c>
      <c r="D176" s="71">
        <f>SA34c!D52</f>
        <v>0</v>
      </c>
      <c r="E176" s="72">
        <f>SA34c!E52</f>
        <v>0</v>
      </c>
      <c r="F176" s="73">
        <f>SA34c!F52</f>
        <v>0</v>
      </c>
      <c r="G176" s="71">
        <f>SA34c!G52</f>
        <v>0</v>
      </c>
      <c r="H176" s="74">
        <f>SA34c!H52</f>
        <v>0</v>
      </c>
      <c r="I176" s="75">
        <f>SA34c!I52</f>
        <v>0</v>
      </c>
      <c r="J176" s="71">
        <f>SA34c!J52</f>
        <v>0</v>
      </c>
      <c r="K176" s="72">
        <f>SA34c!K52</f>
        <v>0</v>
      </c>
    </row>
    <row r="177" spans="1:11" ht="11.25" customHeight="1" x14ac:dyDescent="0.25">
      <c r="A177" s="858" t="s">
        <v>2270</v>
      </c>
      <c r="B177" s="97"/>
      <c r="C177" s="71">
        <f>SA34c!C62</f>
        <v>0</v>
      </c>
      <c r="D177" s="71">
        <f>SA34c!D62</f>
        <v>0</v>
      </c>
      <c r="E177" s="72">
        <f>SA34c!E62</f>
        <v>0</v>
      </c>
      <c r="F177" s="73">
        <f>SA34c!F62</f>
        <v>0</v>
      </c>
      <c r="G177" s="71">
        <f>SA34c!G62</f>
        <v>0</v>
      </c>
      <c r="H177" s="74">
        <f>SA34c!H62</f>
        <v>0</v>
      </c>
      <c r="I177" s="75">
        <f>SA34c!I62</f>
        <v>0</v>
      </c>
      <c r="J177" s="71">
        <f>SA34c!J62</f>
        <v>0</v>
      </c>
      <c r="K177" s="72">
        <f>SA34c!K62</f>
        <v>0</v>
      </c>
    </row>
    <row r="178" spans="1:11" ht="11.25" customHeight="1" x14ac:dyDescent="0.25">
      <c r="A178" s="858" t="s">
        <v>2266</v>
      </c>
      <c r="B178" s="97"/>
      <c r="C178" s="71">
        <f>SA34c!C68</f>
        <v>0</v>
      </c>
      <c r="D178" s="71">
        <f>SA34c!D68</f>
        <v>0</v>
      </c>
      <c r="E178" s="72">
        <f>SA34c!E68</f>
        <v>0</v>
      </c>
      <c r="F178" s="73">
        <f>SA34c!F68</f>
        <v>0</v>
      </c>
      <c r="G178" s="71">
        <f>SA34c!G68</f>
        <v>0</v>
      </c>
      <c r="H178" s="74">
        <f>SA34c!H68</f>
        <v>0</v>
      </c>
      <c r="I178" s="75">
        <f>SA34c!I68</f>
        <v>0</v>
      </c>
      <c r="J178" s="71">
        <f>SA34c!J68</f>
        <v>0</v>
      </c>
      <c r="K178" s="72">
        <f>SA34c!K68</f>
        <v>0</v>
      </c>
    </row>
    <row r="179" spans="1:11" ht="11.25" customHeight="1" x14ac:dyDescent="0.25">
      <c r="A179" s="859" t="s">
        <v>838</v>
      </c>
      <c r="B179" s="860"/>
      <c r="C179" s="642">
        <f>SUM(C170:C178)</f>
        <v>0</v>
      </c>
      <c r="D179" s="642">
        <f t="shared" ref="D179:K179" si="44">SUM(D170:D178)</f>
        <v>1163601</v>
      </c>
      <c r="E179" s="643">
        <f t="shared" si="44"/>
        <v>1568075</v>
      </c>
      <c r="F179" s="644">
        <f t="shared" si="44"/>
        <v>11000000</v>
      </c>
      <c r="G179" s="642">
        <f t="shared" si="44"/>
        <v>15551245</v>
      </c>
      <c r="H179" s="645">
        <f t="shared" si="44"/>
        <v>15551245</v>
      </c>
      <c r="I179" s="646">
        <f t="shared" si="44"/>
        <v>9800000</v>
      </c>
      <c r="J179" s="642">
        <f t="shared" si="44"/>
        <v>14692000</v>
      </c>
      <c r="K179" s="643">
        <f t="shared" si="44"/>
        <v>15099680</v>
      </c>
    </row>
    <row r="180" spans="1:11" ht="11.25" customHeight="1" x14ac:dyDescent="0.25">
      <c r="A180" s="861" t="s">
        <v>2283</v>
      </c>
      <c r="B180" s="144"/>
      <c r="C180" s="71">
        <f>SA34c!C75</f>
        <v>0</v>
      </c>
      <c r="D180" s="71">
        <f>SA34c!D75</f>
        <v>1436085</v>
      </c>
      <c r="E180" s="72">
        <f>SA34c!E75</f>
        <v>1950906</v>
      </c>
      <c r="F180" s="73">
        <f>SA34c!F75</f>
        <v>2000000</v>
      </c>
      <c r="G180" s="71">
        <f>SA34c!G75</f>
        <v>4979775</v>
      </c>
      <c r="H180" s="74">
        <f>SA34c!H75</f>
        <v>4979775</v>
      </c>
      <c r="I180" s="75">
        <f>SA34c!I75</f>
        <v>5000000</v>
      </c>
      <c r="J180" s="71">
        <f>SA34c!J75</f>
        <v>2200000</v>
      </c>
      <c r="K180" s="72">
        <f>SA34c!K75</f>
        <v>2420000</v>
      </c>
    </row>
    <row r="181" spans="1:11" ht="11.25" customHeight="1" x14ac:dyDescent="0.25">
      <c r="A181" s="861" t="s">
        <v>2301</v>
      </c>
      <c r="B181" s="144"/>
      <c r="C181" s="323">
        <f>SA34c!C98</f>
        <v>0</v>
      </c>
      <c r="D181" s="323">
        <f>SA34c!D98</f>
        <v>1399823</v>
      </c>
      <c r="E181" s="324">
        <f>SA34c!E98</f>
        <v>3132764</v>
      </c>
      <c r="F181" s="325">
        <f>SA34c!F98</f>
        <v>1500000</v>
      </c>
      <c r="G181" s="323">
        <f>SA34c!G98</f>
        <v>1500000</v>
      </c>
      <c r="H181" s="326">
        <f>SA34c!H98</f>
        <v>1500000</v>
      </c>
      <c r="I181" s="327">
        <f>SA34c!I98</f>
        <v>1900000</v>
      </c>
      <c r="J181" s="323">
        <f>SA34c!J98</f>
        <v>1650000</v>
      </c>
      <c r="K181" s="324">
        <f>SA34c!K98</f>
        <v>1815000</v>
      </c>
    </row>
    <row r="182" spans="1:11" ht="11.25" customHeight="1" x14ac:dyDescent="0.25">
      <c r="A182" s="859" t="s">
        <v>2282</v>
      </c>
      <c r="B182" s="860"/>
      <c r="C182" s="642">
        <f t="shared" ref="C182:K182" si="45">SUM(C180:C181)</f>
        <v>0</v>
      </c>
      <c r="D182" s="642">
        <f t="shared" si="45"/>
        <v>2835908</v>
      </c>
      <c r="E182" s="643">
        <f t="shared" si="45"/>
        <v>5083670</v>
      </c>
      <c r="F182" s="644">
        <f t="shared" si="45"/>
        <v>3500000</v>
      </c>
      <c r="G182" s="642">
        <f t="shared" si="45"/>
        <v>6479775</v>
      </c>
      <c r="H182" s="645">
        <f t="shared" si="45"/>
        <v>6479775</v>
      </c>
      <c r="I182" s="646">
        <f t="shared" si="45"/>
        <v>6900000</v>
      </c>
      <c r="J182" s="642">
        <f t="shared" si="45"/>
        <v>3850000</v>
      </c>
      <c r="K182" s="643">
        <f t="shared" si="45"/>
        <v>4235000</v>
      </c>
    </row>
    <row r="183" spans="1:11" ht="11.25" customHeight="1" x14ac:dyDescent="0.25">
      <c r="A183" s="862" t="s">
        <v>1733</v>
      </c>
      <c r="B183" s="211"/>
      <c r="C183" s="98">
        <f>SA34c!C103</f>
        <v>0</v>
      </c>
      <c r="D183" s="98">
        <f>SA34c!D103</f>
        <v>0</v>
      </c>
      <c r="E183" s="99">
        <f>SA34c!E103</f>
        <v>0</v>
      </c>
      <c r="F183" s="100">
        <f>SA34c!F103</f>
        <v>0</v>
      </c>
      <c r="G183" s="98">
        <f>SA34c!G103</f>
        <v>0</v>
      </c>
      <c r="H183" s="101">
        <f>SA34c!H103</f>
        <v>0</v>
      </c>
      <c r="I183" s="102">
        <f>SA34c!I103</f>
        <v>0</v>
      </c>
      <c r="J183" s="98">
        <f>SA34c!J103</f>
        <v>0</v>
      </c>
      <c r="K183" s="99">
        <f>SA34c!K103</f>
        <v>0</v>
      </c>
    </row>
    <row r="184" spans="1:11" ht="11.25" customHeight="1" x14ac:dyDescent="0.25">
      <c r="A184" s="861" t="s">
        <v>2338</v>
      </c>
      <c r="B184" s="144"/>
      <c r="C184" s="71">
        <f>SA34c!C111</f>
        <v>0</v>
      </c>
      <c r="D184" s="71">
        <f>SA34c!D111</f>
        <v>0</v>
      </c>
      <c r="E184" s="72">
        <f>SA34c!E111</f>
        <v>0</v>
      </c>
      <c r="F184" s="73">
        <f>SA34c!F111</f>
        <v>0</v>
      </c>
      <c r="G184" s="71">
        <f>SA34c!G111</f>
        <v>0</v>
      </c>
      <c r="H184" s="74">
        <f>SA34c!H111</f>
        <v>0</v>
      </c>
      <c r="I184" s="75">
        <f>SA34c!I111</f>
        <v>0</v>
      </c>
      <c r="J184" s="71">
        <f>SA34c!J111</f>
        <v>0</v>
      </c>
      <c r="K184" s="72">
        <f>SA34c!K111</f>
        <v>0</v>
      </c>
    </row>
    <row r="185" spans="1:11" ht="11.25" customHeight="1" x14ac:dyDescent="0.25">
      <c r="A185" s="861" t="s">
        <v>2341</v>
      </c>
      <c r="B185" s="144"/>
      <c r="C185" s="323">
        <f>SA34c!C114</f>
        <v>0</v>
      </c>
      <c r="D185" s="323">
        <f>SA34c!D114</f>
        <v>0</v>
      </c>
      <c r="E185" s="324">
        <f>SA34c!E114</f>
        <v>0</v>
      </c>
      <c r="F185" s="325">
        <f>SA34c!F114</f>
        <v>0</v>
      </c>
      <c r="G185" s="323">
        <f>SA34c!G114</f>
        <v>0</v>
      </c>
      <c r="H185" s="326">
        <f>SA34c!H114</f>
        <v>0</v>
      </c>
      <c r="I185" s="327">
        <f>SA34c!I114</f>
        <v>0</v>
      </c>
      <c r="J185" s="323">
        <f>SA34c!J114</f>
        <v>0</v>
      </c>
      <c r="K185" s="324">
        <f>SA34c!K114</f>
        <v>0</v>
      </c>
    </row>
    <row r="186" spans="1:11" ht="11.25" customHeight="1" x14ac:dyDescent="0.25">
      <c r="A186" s="859" t="s">
        <v>829</v>
      </c>
      <c r="B186" s="860"/>
      <c r="C186" s="642">
        <f t="shared" ref="C186:K186" si="46">SUM(C184:C185)</f>
        <v>0</v>
      </c>
      <c r="D186" s="642">
        <f t="shared" si="46"/>
        <v>0</v>
      </c>
      <c r="E186" s="643">
        <f t="shared" si="46"/>
        <v>0</v>
      </c>
      <c r="F186" s="644">
        <f t="shared" si="46"/>
        <v>0</v>
      </c>
      <c r="G186" s="642">
        <f t="shared" si="46"/>
        <v>0</v>
      </c>
      <c r="H186" s="645">
        <f t="shared" si="46"/>
        <v>0</v>
      </c>
      <c r="I186" s="646">
        <f t="shared" si="46"/>
        <v>0</v>
      </c>
      <c r="J186" s="642">
        <f t="shared" si="46"/>
        <v>0</v>
      </c>
      <c r="K186" s="643">
        <f t="shared" si="46"/>
        <v>0</v>
      </c>
    </row>
    <row r="187" spans="1:11" ht="11.25" customHeight="1" x14ac:dyDescent="0.25">
      <c r="A187" s="861" t="s">
        <v>2309</v>
      </c>
      <c r="B187" s="144"/>
      <c r="C187" s="71">
        <f>SA34c!C119</f>
        <v>3026908</v>
      </c>
      <c r="D187" s="71">
        <f>SA34c!D119</f>
        <v>263909</v>
      </c>
      <c r="E187" s="72">
        <f>SA34c!E119</f>
        <v>1064569</v>
      </c>
      <c r="F187" s="73">
        <f>SA34c!F119</f>
        <v>2000000</v>
      </c>
      <c r="G187" s="71">
        <f>SA34c!G119</f>
        <v>7819500</v>
      </c>
      <c r="H187" s="74">
        <f>SA34c!H119</f>
        <v>7819500</v>
      </c>
      <c r="I187" s="75">
        <f>SA34c!I119</f>
        <v>10500000</v>
      </c>
      <c r="J187" s="71">
        <f>SA34c!J119</f>
        <v>2200000</v>
      </c>
      <c r="K187" s="72">
        <f>SA34c!K119</f>
        <v>2420000</v>
      </c>
    </row>
    <row r="188" spans="1:11" ht="11.25" customHeight="1" x14ac:dyDescent="0.25">
      <c r="A188" s="861" t="s">
        <v>1487</v>
      </c>
      <c r="B188" s="144"/>
      <c r="C188" s="323">
        <f>SA34c!C131</f>
        <v>0</v>
      </c>
      <c r="D188" s="323">
        <f>SA34c!D131</f>
        <v>0</v>
      </c>
      <c r="E188" s="324">
        <f>SA34c!E131</f>
        <v>0</v>
      </c>
      <c r="F188" s="325">
        <f>SA34c!F131</f>
        <v>0</v>
      </c>
      <c r="G188" s="323">
        <f>SA34c!G131</f>
        <v>0</v>
      </c>
      <c r="H188" s="326">
        <f>SA34c!H131</f>
        <v>0</v>
      </c>
      <c r="I188" s="327">
        <f>SA34c!I131</f>
        <v>0</v>
      </c>
      <c r="J188" s="323">
        <f>SA34c!J131</f>
        <v>0</v>
      </c>
      <c r="K188" s="324">
        <f>SA34c!K131</f>
        <v>0</v>
      </c>
    </row>
    <row r="189" spans="1:11" ht="11.25" customHeight="1" x14ac:dyDescent="0.25">
      <c r="A189" s="859" t="s">
        <v>1738</v>
      </c>
      <c r="B189" s="860"/>
      <c r="C189" s="642">
        <f t="shared" ref="C189:K189" si="47">SUM(C187:C188)</f>
        <v>3026908</v>
      </c>
      <c r="D189" s="642">
        <f t="shared" si="47"/>
        <v>263909</v>
      </c>
      <c r="E189" s="643">
        <f t="shared" si="47"/>
        <v>1064569</v>
      </c>
      <c r="F189" s="644">
        <f t="shared" si="47"/>
        <v>2000000</v>
      </c>
      <c r="G189" s="642">
        <f t="shared" si="47"/>
        <v>7819500</v>
      </c>
      <c r="H189" s="645">
        <f t="shared" si="47"/>
        <v>7819500</v>
      </c>
      <c r="I189" s="646">
        <f t="shared" si="47"/>
        <v>10500000</v>
      </c>
      <c r="J189" s="642">
        <f t="shared" si="47"/>
        <v>2200000</v>
      </c>
      <c r="K189" s="643">
        <f t="shared" si="47"/>
        <v>2420000</v>
      </c>
    </row>
    <row r="190" spans="1:11" ht="11.25" customHeight="1" x14ac:dyDescent="0.25">
      <c r="A190" s="862" t="s">
        <v>2322</v>
      </c>
      <c r="B190" s="211"/>
      <c r="C190" s="98">
        <f>SA34c!C136</f>
        <v>0</v>
      </c>
      <c r="D190" s="98">
        <f>SA34c!D136</f>
        <v>0</v>
      </c>
      <c r="E190" s="99">
        <f>SA34c!E136</f>
        <v>0</v>
      </c>
      <c r="F190" s="100">
        <f>SA34c!F136</f>
        <v>0</v>
      </c>
      <c r="G190" s="98">
        <f>SA34c!G136</f>
        <v>0</v>
      </c>
      <c r="H190" s="101">
        <f>SA34c!H136</f>
        <v>0</v>
      </c>
      <c r="I190" s="102">
        <f>SA34c!I136</f>
        <v>0</v>
      </c>
      <c r="J190" s="98">
        <f>SA34c!J136</f>
        <v>0</v>
      </c>
      <c r="K190" s="99">
        <f>SA34c!K136</f>
        <v>0</v>
      </c>
    </row>
    <row r="191" spans="1:11" ht="11.25" customHeight="1" x14ac:dyDescent="0.25">
      <c r="A191" s="861" t="s">
        <v>2323</v>
      </c>
      <c r="B191" s="144"/>
      <c r="C191" s="71">
        <f>SA34c!C140</f>
        <v>0</v>
      </c>
      <c r="D191" s="71">
        <f>SA34c!D140</f>
        <v>0</v>
      </c>
      <c r="E191" s="72">
        <f>SA34c!E140</f>
        <v>0</v>
      </c>
      <c r="F191" s="73">
        <f>SA34c!F140</f>
        <v>0</v>
      </c>
      <c r="G191" s="71">
        <f>SA34c!G140</f>
        <v>0</v>
      </c>
      <c r="H191" s="74">
        <f>SA34c!H140</f>
        <v>0</v>
      </c>
      <c r="I191" s="75">
        <f>SA34c!I140</f>
        <v>0</v>
      </c>
      <c r="J191" s="71">
        <f>SA34c!J140</f>
        <v>0</v>
      </c>
      <c r="K191" s="72">
        <f>SA34c!K140</f>
        <v>0</v>
      </c>
    </row>
    <row r="192" spans="1:11" ht="11.25" customHeight="1" x14ac:dyDescent="0.25">
      <c r="A192" s="861" t="s">
        <v>2324</v>
      </c>
      <c r="B192" s="144"/>
      <c r="C192" s="323">
        <f>SA34c!C141</f>
        <v>0</v>
      </c>
      <c r="D192" s="323">
        <f>SA34c!D141</f>
        <v>0</v>
      </c>
      <c r="E192" s="324">
        <f>SA34c!E141</f>
        <v>0</v>
      </c>
      <c r="F192" s="325">
        <f>SA34c!F141</f>
        <v>0</v>
      </c>
      <c r="G192" s="323">
        <f>SA34c!G141</f>
        <v>0</v>
      </c>
      <c r="H192" s="326">
        <f>SA34c!H141</f>
        <v>0</v>
      </c>
      <c r="I192" s="327">
        <f>SA34c!I141</f>
        <v>0</v>
      </c>
      <c r="J192" s="323">
        <f>SA34c!J141</f>
        <v>0</v>
      </c>
      <c r="K192" s="324">
        <f>SA34c!K141</f>
        <v>0</v>
      </c>
    </row>
    <row r="193" spans="1:11" ht="11.25" customHeight="1" x14ac:dyDescent="0.25">
      <c r="A193" s="859" t="s">
        <v>2325</v>
      </c>
      <c r="B193" s="860"/>
      <c r="C193" s="642">
        <f t="shared" ref="C193:K193" si="48">SUM(C191:C192)</f>
        <v>0</v>
      </c>
      <c r="D193" s="642">
        <f t="shared" si="48"/>
        <v>0</v>
      </c>
      <c r="E193" s="643">
        <f t="shared" si="48"/>
        <v>0</v>
      </c>
      <c r="F193" s="644">
        <f t="shared" si="48"/>
        <v>0</v>
      </c>
      <c r="G193" s="642">
        <f t="shared" si="48"/>
        <v>0</v>
      </c>
      <c r="H193" s="645">
        <f t="shared" si="48"/>
        <v>0</v>
      </c>
      <c r="I193" s="646">
        <f t="shared" si="48"/>
        <v>0</v>
      </c>
      <c r="J193" s="642">
        <f t="shared" si="48"/>
        <v>0</v>
      </c>
      <c r="K193" s="643">
        <f t="shared" si="48"/>
        <v>0</v>
      </c>
    </row>
    <row r="194" spans="1:11" x14ac:dyDescent="0.25">
      <c r="A194" s="863" t="s">
        <v>2332</v>
      </c>
      <c r="B194" s="864"/>
      <c r="C194" s="98">
        <f>SA34c!C149</f>
        <v>0</v>
      </c>
      <c r="D194" s="98">
        <f>SA34c!D149</f>
        <v>0</v>
      </c>
      <c r="E194" s="99">
        <f>SA34c!E149</f>
        <v>0</v>
      </c>
      <c r="F194" s="100">
        <f>SA34c!F149</f>
        <v>0</v>
      </c>
      <c r="G194" s="98">
        <f>SA34c!G149</f>
        <v>0</v>
      </c>
      <c r="H194" s="101">
        <f>SA34c!H149</f>
        <v>0</v>
      </c>
      <c r="I194" s="102">
        <f>SA34c!I149</f>
        <v>0</v>
      </c>
      <c r="J194" s="98">
        <f>SA34c!J149</f>
        <v>0</v>
      </c>
      <c r="K194" s="99">
        <f>SA34c!K149</f>
        <v>0</v>
      </c>
    </row>
    <row r="195" spans="1:11" ht="11.25" customHeight="1" x14ac:dyDescent="0.25">
      <c r="A195" s="862" t="s">
        <v>2333</v>
      </c>
      <c r="B195" s="144"/>
      <c r="C195" s="98">
        <f>SA34c!C152</f>
        <v>0</v>
      </c>
      <c r="D195" s="98">
        <f>SA34c!D152</f>
        <v>0</v>
      </c>
      <c r="E195" s="99">
        <f>SA34c!E152</f>
        <v>0</v>
      </c>
      <c r="F195" s="100">
        <f>SA34c!F152</f>
        <v>0</v>
      </c>
      <c r="G195" s="98">
        <f>SA34c!G152</f>
        <v>0</v>
      </c>
      <c r="H195" s="101">
        <f>SA34c!H152</f>
        <v>0</v>
      </c>
      <c r="I195" s="102">
        <f>SA34c!I152</f>
        <v>0</v>
      </c>
      <c r="J195" s="98">
        <f>SA34c!J152</f>
        <v>0</v>
      </c>
      <c r="K195" s="99">
        <f>SA34c!K152</f>
        <v>0</v>
      </c>
    </row>
    <row r="196" spans="1:11" ht="11.25" customHeight="1" x14ac:dyDescent="0.25">
      <c r="A196" s="862" t="s">
        <v>2334</v>
      </c>
      <c r="B196" s="144"/>
      <c r="C196" s="98">
        <f>SA34c!C155</f>
        <v>13553</v>
      </c>
      <c r="D196" s="98">
        <f>SA34c!D155</f>
        <v>0</v>
      </c>
      <c r="E196" s="99">
        <f>SA34c!E155</f>
        <v>0</v>
      </c>
      <c r="F196" s="100">
        <f>SA34c!F155</f>
        <v>0</v>
      </c>
      <c r="G196" s="98">
        <f>SA34c!G155</f>
        <v>0</v>
      </c>
      <c r="H196" s="101">
        <f>SA34c!H155</f>
        <v>0</v>
      </c>
      <c r="I196" s="102">
        <f>SA34c!I155</f>
        <v>0</v>
      </c>
      <c r="J196" s="98">
        <f>SA34c!J155</f>
        <v>0</v>
      </c>
      <c r="K196" s="99">
        <f>SA34c!K155</f>
        <v>0</v>
      </c>
    </row>
    <row r="197" spans="1:11" x14ac:dyDescent="0.25">
      <c r="A197" s="863" t="s">
        <v>2335</v>
      </c>
      <c r="B197" s="864"/>
      <c r="C197" s="98">
        <f>SA34c!C158</f>
        <v>211261</v>
      </c>
      <c r="D197" s="98">
        <f>SA34c!D158</f>
        <v>367982</v>
      </c>
      <c r="E197" s="99">
        <f>SA34c!E158</f>
        <v>599761</v>
      </c>
      <c r="F197" s="100">
        <f>SA34c!F158</f>
        <v>380000</v>
      </c>
      <c r="G197" s="98">
        <f>SA34c!G158</f>
        <v>980000</v>
      </c>
      <c r="H197" s="101">
        <f>SA34c!H158</f>
        <v>980000</v>
      </c>
      <c r="I197" s="102">
        <f>SA34c!I158</f>
        <v>1018220</v>
      </c>
      <c r="J197" s="98">
        <f>SA34c!J158</f>
        <v>1058949</v>
      </c>
      <c r="K197" s="99">
        <f>SA34c!K158</f>
        <v>1101307</v>
      </c>
    </row>
    <row r="198" spans="1:11" ht="11.25" customHeight="1" x14ac:dyDescent="0.25">
      <c r="A198" s="862" t="s">
        <v>2470</v>
      </c>
      <c r="B198" s="144"/>
      <c r="C198" s="98">
        <f>SA34c!C161</f>
        <v>0</v>
      </c>
      <c r="D198" s="98">
        <f>SA34c!D161</f>
        <v>0</v>
      </c>
      <c r="E198" s="99">
        <f>SA34c!E161</f>
        <v>0</v>
      </c>
      <c r="F198" s="100">
        <f>SA34c!F161</f>
        <v>0</v>
      </c>
      <c r="G198" s="98">
        <f>SA34c!G161</f>
        <v>0</v>
      </c>
      <c r="H198" s="101">
        <f>SA34c!H161</f>
        <v>0</v>
      </c>
      <c r="I198" s="102">
        <f>SA34c!I161</f>
        <v>0</v>
      </c>
      <c r="J198" s="98">
        <f>SA34c!J161</f>
        <v>0</v>
      </c>
      <c r="K198" s="99">
        <f>SA34c!K161</f>
        <v>0</v>
      </c>
    </row>
    <row r="199" spans="1:11" ht="11.25" customHeight="1" x14ac:dyDescent="0.25">
      <c r="A199" s="862" t="s">
        <v>2336</v>
      </c>
      <c r="B199" s="144"/>
      <c r="C199" s="650">
        <f>SA34c!C164</f>
        <v>0</v>
      </c>
      <c r="D199" s="650">
        <f>SA34c!D164</f>
        <v>0</v>
      </c>
      <c r="E199" s="651">
        <f>SA34c!E164</f>
        <v>0</v>
      </c>
      <c r="F199" s="652">
        <f>SA34c!F164</f>
        <v>0</v>
      </c>
      <c r="G199" s="650">
        <f>SA34c!G164</f>
        <v>0</v>
      </c>
      <c r="H199" s="653">
        <f>SA34c!H164</f>
        <v>0</v>
      </c>
      <c r="I199" s="654">
        <f>SA34c!I164</f>
        <v>0</v>
      </c>
      <c r="J199" s="650">
        <f>SA34c!J164</f>
        <v>0</v>
      </c>
      <c r="K199" s="651">
        <f>SA34c!K164</f>
        <v>0</v>
      </c>
    </row>
    <row r="200" spans="1:11" ht="4.9000000000000004" customHeight="1" x14ac:dyDescent="0.25">
      <c r="A200" s="865"/>
      <c r="B200" s="144"/>
      <c r="C200" s="71"/>
      <c r="D200" s="71"/>
      <c r="E200" s="72"/>
      <c r="F200" s="73"/>
      <c r="G200" s="71"/>
      <c r="H200" s="74"/>
      <c r="I200" s="75"/>
      <c r="J200" s="71"/>
      <c r="K200" s="72"/>
    </row>
    <row r="201" spans="1:11" ht="11.25" customHeight="1" x14ac:dyDescent="0.25">
      <c r="A201" s="182" t="s">
        <v>1254</v>
      </c>
      <c r="B201" s="148"/>
      <c r="C201" s="535">
        <f t="shared" ref="C201:K201" si="49">SUM(C168:C169)</f>
        <v>12042506</v>
      </c>
      <c r="D201" s="535">
        <f t="shared" si="49"/>
        <v>13353856</v>
      </c>
      <c r="E201" s="665">
        <f t="shared" si="49"/>
        <v>17634600</v>
      </c>
      <c r="F201" s="666">
        <f t="shared" si="49"/>
        <v>28053339</v>
      </c>
      <c r="G201" s="535">
        <f t="shared" si="49"/>
        <v>42003859</v>
      </c>
      <c r="H201" s="667">
        <f t="shared" si="49"/>
        <v>42003859</v>
      </c>
      <c r="I201" s="668">
        <f t="shared" si="49"/>
        <v>39827317</v>
      </c>
      <c r="J201" s="535">
        <f t="shared" si="49"/>
        <v>33874412</v>
      </c>
      <c r="K201" s="665">
        <f t="shared" si="49"/>
        <v>35412389</v>
      </c>
    </row>
    <row r="202" spans="1:11" ht="6.75" customHeight="1" x14ac:dyDescent="0.25">
      <c r="A202" s="872"/>
      <c r="B202" s="205"/>
      <c r="C202" s="873"/>
      <c r="D202" s="873"/>
      <c r="E202" s="874"/>
      <c r="F202" s="875"/>
      <c r="G202" s="873"/>
      <c r="H202" s="876"/>
      <c r="I202" s="877"/>
      <c r="J202" s="873"/>
      <c r="K202" s="874"/>
    </row>
    <row r="203" spans="1:11" ht="11.25" customHeight="1" x14ac:dyDescent="0.25">
      <c r="A203" s="878" t="s">
        <v>2359</v>
      </c>
      <c r="B203" s="879"/>
      <c r="C203" s="880">
        <f>IF(ISERROR((C37+C69)/C132),0,((C37+C69)/C132))</f>
        <v>3.6312569503385264E-3</v>
      </c>
      <c r="D203" s="880">
        <f t="shared" ref="D203:K203" si="50">IF(ISERROR((D37+D69)/D132),0,((D37+D69)/D132))</f>
        <v>1.1398047615252779E-2</v>
      </c>
      <c r="E203" s="881">
        <f t="shared" si="50"/>
        <v>4.6807239791860558E-9</v>
      </c>
      <c r="F203" s="882">
        <f t="shared" si="50"/>
        <v>3.891540130320674E-2</v>
      </c>
      <c r="G203" s="880">
        <f t="shared" si="50"/>
        <v>3.5418461582897208E-2</v>
      </c>
      <c r="H203" s="883">
        <f t="shared" si="50"/>
        <v>3.5418461582897208E-2</v>
      </c>
      <c r="I203" s="884">
        <f t="shared" si="50"/>
        <v>0.16321431959773569</v>
      </c>
      <c r="J203" s="880">
        <f t="shared" si="50"/>
        <v>0</v>
      </c>
      <c r="K203" s="881">
        <f t="shared" si="50"/>
        <v>0</v>
      </c>
    </row>
    <row r="204" spans="1:11" ht="11.25" customHeight="1" x14ac:dyDescent="0.25">
      <c r="A204" s="878" t="s">
        <v>2360</v>
      </c>
      <c r="B204" s="879"/>
      <c r="C204" s="880">
        <f>IF(ISERROR((C37+C69)/C168),0,((C37+C69)/C168))</f>
        <v>6.8650759704708936E-2</v>
      </c>
      <c r="D204" s="880">
        <f t="shared" ref="D204:K204" si="51">IF(ISERROR((D37+D69)/D168),0,((D37+D69)/D168))</f>
        <v>0.25386680081848506</v>
      </c>
      <c r="E204" s="881">
        <f t="shared" si="51"/>
        <v>1.0731312090701049E-7</v>
      </c>
      <c r="F204" s="882">
        <f t="shared" si="51"/>
        <v>8.9498761292394327E-2</v>
      </c>
      <c r="G204" s="880">
        <f t="shared" si="51"/>
        <v>0.13872308000321121</v>
      </c>
      <c r="H204" s="883">
        <f t="shared" si="51"/>
        <v>0.13872308000321121</v>
      </c>
      <c r="I204" s="884">
        <f t="shared" si="51"/>
        <v>0.44456515437850164</v>
      </c>
      <c r="J204" s="880">
        <f t="shared" si="51"/>
        <v>0</v>
      </c>
      <c r="K204" s="881">
        <f t="shared" si="51"/>
        <v>0</v>
      </c>
    </row>
    <row r="205" spans="1:11" ht="11.25" customHeight="1" x14ac:dyDescent="0.25">
      <c r="A205" s="878" t="s">
        <v>798</v>
      </c>
      <c r="B205" s="879"/>
      <c r="C205" s="880">
        <f>IF(ISERROR(ROUND(C169/'A6-FinPos'!C19,3)),0,(ROUND(C169/'A6-FinPos'!C19,3)))</f>
        <v>2.5999999999999999E-2</v>
      </c>
      <c r="D205" s="880">
        <f>IF(ISERROR(ROUND(D169/'A6-FinPos'!D19,3)),0,(ROUND(D169/'A6-FinPos'!D19,3)))</f>
        <v>3.2000000000000001E-2</v>
      </c>
      <c r="E205" s="881">
        <f>IF(ISERROR(ROUND(E169/'A6-FinPos'!E19,3)),0,(ROUND(E169/'A6-FinPos'!E19,3)))</f>
        <v>5.2999999999999999E-2</v>
      </c>
      <c r="F205" s="882">
        <f>IF(ISERROR(ROUND(F169/'A6-FinPos'!F19,3)),0,(ROUND(F169/'A6-FinPos'!F19,3)))</f>
        <v>0.10199999999999999</v>
      </c>
      <c r="G205" s="880">
        <f>IF(ISERROR(ROUND(G169/'A6-FinPos'!G19,3)),0,(ROUND(G169/'A6-FinPos'!G19,3)))</f>
        <v>0.158</v>
      </c>
      <c r="H205" s="883">
        <f>IF(ISERROR(ROUND(H169/'A6-FinPos'!H19,3)),0,(ROUND(H169/'A6-FinPos'!H19,3)))</f>
        <v>0.158</v>
      </c>
      <c r="I205" s="884">
        <f>IF(ISERROR(ROUND(I169/'A6-FinPos'!J19,3)),0,(ROUND(I169/'A6-FinPos'!J19,3)))</f>
        <v>0.153</v>
      </c>
      <c r="J205" s="880">
        <f>IF(ISERROR(ROUND(J169/'A6-FinPos'!K19,3)),0,(ROUND(J169/'A6-FinPos'!K19,3)))</f>
        <v>0.154</v>
      </c>
      <c r="K205" s="881">
        <f>IF(ISERROR(ROUND(K169/'A6-FinPos'!L19,3)),0,(ROUND(K169/'A6-FinPos'!L19,3)))</f>
        <v>0.156</v>
      </c>
    </row>
    <row r="206" spans="1:11" ht="11.25" customHeight="1" x14ac:dyDescent="0.25">
      <c r="A206" s="878" t="s">
        <v>2358</v>
      </c>
      <c r="B206" s="879"/>
      <c r="C206" s="880">
        <f>IF(ISERROR(ROUND((C37+C69+C169)/C165,2)),0,(ROUND((C37+C69+C169)/C165,2)))</f>
        <v>0.03</v>
      </c>
      <c r="D206" s="880">
        <f t="shared" ref="D206:K206" si="52">IF(ISERROR(ROUND((D37+D69+D169)/D165,2)),0,(ROUND((D37+D69+D169)/D165,2)))</f>
        <v>0.05</v>
      </c>
      <c r="E206" s="881">
        <f t="shared" si="52"/>
        <v>0.05</v>
      </c>
      <c r="F206" s="882">
        <f t="shared" si="52"/>
        <v>0.1</v>
      </c>
      <c r="G206" s="880">
        <f t="shared" si="52"/>
        <v>0.15</v>
      </c>
      <c r="H206" s="883">
        <f t="shared" si="52"/>
        <v>0.15</v>
      </c>
      <c r="I206" s="884">
        <f t="shared" si="52"/>
        <v>0.16</v>
      </c>
      <c r="J206" s="880">
        <f t="shared" si="52"/>
        <v>0.13</v>
      </c>
      <c r="K206" s="881">
        <f t="shared" si="52"/>
        <v>0.13</v>
      </c>
    </row>
    <row r="207" spans="1:11" ht="4.9000000000000004" customHeight="1" x14ac:dyDescent="0.25">
      <c r="A207" s="885"/>
      <c r="B207" s="198"/>
      <c r="C207" s="886"/>
      <c r="D207" s="886"/>
      <c r="E207" s="887"/>
      <c r="F207" s="888"/>
      <c r="G207" s="886"/>
      <c r="H207" s="889"/>
      <c r="I207" s="890"/>
      <c r="J207" s="886"/>
      <c r="K207" s="887"/>
    </row>
    <row r="208" spans="1:11" x14ac:dyDescent="0.25">
      <c r="A208" s="188" t="str">
        <f>head27a</f>
        <v>References</v>
      </c>
      <c r="B208" s="189"/>
      <c r="C208" s="193"/>
      <c r="D208" s="193"/>
      <c r="E208" s="193"/>
      <c r="F208" s="193"/>
      <c r="G208" s="193"/>
      <c r="H208" s="193"/>
      <c r="I208" s="193"/>
      <c r="J208" s="193"/>
      <c r="K208" s="193"/>
    </row>
    <row r="209" spans="1:11" x14ac:dyDescent="0.25">
      <c r="A209" s="154" t="s">
        <v>385</v>
      </c>
      <c r="B209" s="189"/>
      <c r="C209" s="193"/>
      <c r="D209" s="193"/>
      <c r="E209" s="193"/>
      <c r="F209" s="193"/>
      <c r="G209" s="193"/>
      <c r="H209" s="193"/>
      <c r="I209" s="193"/>
      <c r="J209" s="193"/>
      <c r="K209" s="193"/>
    </row>
    <row r="210" spans="1:11" x14ac:dyDescent="0.25">
      <c r="A210" s="154" t="s">
        <v>386</v>
      </c>
      <c r="B210" s="189"/>
      <c r="C210" s="193"/>
      <c r="D210" s="193"/>
      <c r="E210" s="193"/>
      <c r="F210" s="193"/>
      <c r="G210" s="193"/>
      <c r="H210" s="193"/>
      <c r="I210" s="193"/>
      <c r="J210" s="193"/>
      <c r="K210" s="193"/>
    </row>
    <row r="211" spans="1:11" x14ac:dyDescent="0.25">
      <c r="A211" s="154" t="s">
        <v>387</v>
      </c>
      <c r="B211" s="189"/>
      <c r="C211" s="193"/>
      <c r="D211" s="193"/>
      <c r="E211" s="193"/>
      <c r="F211" s="193"/>
      <c r="G211" s="193"/>
      <c r="H211" s="193"/>
      <c r="I211" s="193"/>
      <c r="J211" s="193"/>
      <c r="K211" s="193"/>
    </row>
    <row r="212" spans="1:11" x14ac:dyDescent="0.25">
      <c r="A212" s="151" t="s">
        <v>388</v>
      </c>
      <c r="B212" s="189"/>
      <c r="C212" s="193"/>
      <c r="D212" s="193"/>
      <c r="E212" s="193"/>
      <c r="F212" s="193"/>
      <c r="G212" s="193"/>
      <c r="H212" s="193"/>
      <c r="I212" s="193"/>
      <c r="J212" s="193"/>
      <c r="K212" s="193"/>
    </row>
    <row r="213" spans="1:11" x14ac:dyDescent="0.25">
      <c r="A213" s="154" t="s">
        <v>389</v>
      </c>
      <c r="B213" s="189"/>
      <c r="C213" s="193"/>
      <c r="D213" s="193"/>
      <c r="E213" s="193"/>
      <c r="F213" s="193"/>
      <c r="G213" s="193"/>
      <c r="H213" s="193"/>
      <c r="I213" s="193"/>
      <c r="J213" s="193"/>
      <c r="K213" s="193"/>
    </row>
    <row r="214" spans="1:11" x14ac:dyDescent="0.25">
      <c r="A214" s="154" t="s">
        <v>2357</v>
      </c>
      <c r="B214" s="189"/>
      <c r="C214" s="193"/>
      <c r="D214" s="193"/>
      <c r="E214" s="193"/>
      <c r="F214" s="193"/>
      <c r="G214" s="193"/>
      <c r="H214" s="193"/>
      <c r="I214" s="193"/>
      <c r="J214" s="193"/>
      <c r="K214" s="193"/>
    </row>
    <row r="215" spans="1:11" x14ac:dyDescent="0.25">
      <c r="A215" s="154" t="s">
        <v>2361</v>
      </c>
      <c r="B215" s="189"/>
      <c r="C215" s="193"/>
      <c r="D215" s="193"/>
      <c r="E215" s="193"/>
      <c r="F215" s="193"/>
      <c r="G215" s="193"/>
      <c r="H215" s="193"/>
      <c r="I215" s="193"/>
      <c r="J215" s="193"/>
      <c r="K215" s="193"/>
    </row>
    <row r="216" spans="1:11" ht="11.25" customHeight="1" x14ac:dyDescent="0.25">
      <c r="A216" s="220"/>
      <c r="B216" s="189"/>
      <c r="C216" s="220"/>
      <c r="D216" s="220"/>
      <c r="E216" s="220"/>
      <c r="F216" s="220"/>
      <c r="G216" s="220"/>
    </row>
    <row r="217" spans="1:11" ht="11.25" customHeight="1" x14ac:dyDescent="0.25">
      <c r="A217" s="224" t="s">
        <v>1809</v>
      </c>
      <c r="B217" s="220"/>
      <c r="C217" s="223">
        <f>C165-'A6-FinPos'!D17-'A6-FinPos'!D19-'A6-FinPos'!D20-'A6-FinPos'!D21-'A6-FinPos'!D22-C148</f>
        <v>-22195009</v>
      </c>
      <c r="D217" s="223">
        <f>D165-'A6-FinPos'!E17-'A6-FinPos'!E19-'A6-FinPos'!E20-'A6-FinPos'!E21-'A6-FinPos'!E22-D148</f>
        <v>-12427455</v>
      </c>
      <c r="E217" s="223">
        <f>E165-'A6-FinPos'!F17-'A6-FinPos'!F19-'A6-FinPos'!F20-'A6-FinPos'!F21-'A6-FinPos'!F22-E148</f>
        <v>-11878056</v>
      </c>
      <c r="F217" s="223">
        <f>F165-'A6-FinPos'!G17-'A6-FinPos'!G19-'A6-FinPos'!G20-'A6-FinPos'!G21-'A6-FinPos'!G22-F148</f>
        <v>-34917569</v>
      </c>
      <c r="G217" s="223">
        <f>G165-'A6-FinPos'!H17-'A6-FinPos'!H19-'A6-FinPos'!H20-'A6-FinPos'!H21-'A6-FinPos'!H22-G148</f>
        <v>15584266</v>
      </c>
      <c r="H217" s="223">
        <f>H165-'A6-FinPos'!I17-'A6-FinPos'!I19-'A6-FinPos'!I20-'A6-FinPos'!I21-'A6-FinPos'!I22-H148</f>
        <v>-83002689</v>
      </c>
      <c r="I217" s="223">
        <f>I165-'A6-FinPos'!J17-'A6-FinPos'!J19-'A6-FinPos'!J20-'A6-FinPos'!J21-'A6-FinPos'!J22-I148</f>
        <v>15584266</v>
      </c>
      <c r="J217" s="223">
        <f>J165-'A6-FinPos'!K17-'A6-FinPos'!K19-'A6-FinPos'!K20-'A6-FinPos'!K21-'A6-FinPos'!K22-J148</f>
        <v>16839735</v>
      </c>
      <c r="K217" s="223">
        <f>K165-'A6-FinPos'!L17-'A6-FinPos'!L19-'A6-FinPos'!L20-'A6-FinPos'!L21-'A6-FinPos'!L22-K148</f>
        <v>17513324</v>
      </c>
    </row>
    <row r="218" spans="1:11" ht="11.25" customHeight="1" x14ac:dyDescent="0.25">
      <c r="A218" s="220"/>
      <c r="B218" s="220"/>
      <c r="C218" s="220"/>
      <c r="D218" s="220"/>
      <c r="E218" s="220"/>
      <c r="F218" s="220"/>
      <c r="G218" s="220"/>
    </row>
    <row r="219" spans="1:11" ht="11.25" customHeight="1" x14ac:dyDescent="0.25">
      <c r="A219" s="220"/>
      <c r="B219" s="220"/>
      <c r="C219" s="220"/>
      <c r="D219" s="220"/>
      <c r="E219" s="220"/>
      <c r="F219" s="220"/>
      <c r="G219" s="220"/>
    </row>
    <row r="220" spans="1:11" ht="11.25" customHeight="1" x14ac:dyDescent="0.25">
      <c r="A220" s="220"/>
      <c r="B220" s="220"/>
      <c r="C220" s="220"/>
      <c r="D220" s="220"/>
      <c r="E220" s="220"/>
      <c r="F220" s="220"/>
      <c r="G220" s="220"/>
    </row>
    <row r="221" spans="1:11" ht="11.25" customHeight="1" x14ac:dyDescent="0.25">
      <c r="A221" s="220"/>
      <c r="B221" s="189"/>
      <c r="C221" s="220"/>
      <c r="D221" s="220"/>
      <c r="E221" s="220"/>
      <c r="F221" s="220"/>
      <c r="G221" s="220"/>
    </row>
    <row r="222" spans="1:11" ht="11.25" customHeight="1" x14ac:dyDescent="0.25"/>
    <row r="223" spans="1:11" ht="11.25" customHeight="1" x14ac:dyDescent="0.25"/>
    <row r="224" spans="1:11" ht="11.25" customHeight="1" x14ac:dyDescent="0.25"/>
    <row r="225" ht="11.25" customHeight="1" x14ac:dyDescent="0.25"/>
    <row r="226" ht="11.25" customHeight="1" x14ac:dyDescent="0.25"/>
    <row r="227" ht="11.25" customHeight="1" x14ac:dyDescent="0.25"/>
    <row r="228" ht="11.25" customHeight="1" x14ac:dyDescent="0.25"/>
    <row r="229" ht="11.25" customHeight="1" x14ac:dyDescent="0.25"/>
    <row r="230" ht="11.25" customHeight="1" x14ac:dyDescent="0.25"/>
    <row r="231" ht="11.25" customHeight="1" x14ac:dyDescent="0.25"/>
    <row r="232" ht="11.25" customHeight="1" x14ac:dyDescent="0.25"/>
    <row r="233" ht="11.25" customHeight="1" x14ac:dyDescent="0.25"/>
    <row r="234" ht="11.25" customHeight="1" x14ac:dyDescent="0.25"/>
    <row r="235" ht="11.25" customHeight="1" x14ac:dyDescent="0.25"/>
    <row r="236" ht="11.25" customHeight="1" x14ac:dyDescent="0.25"/>
    <row r="237" ht="11.25" customHeight="1" x14ac:dyDescent="0.25"/>
    <row r="238" ht="11.25" customHeight="1" x14ac:dyDescent="0.25"/>
    <row r="239" ht="11.25" customHeight="1" x14ac:dyDescent="0.25"/>
    <row r="240" ht="11.25" customHeight="1" x14ac:dyDescent="0.25"/>
    <row r="241" ht="11.25" customHeight="1" x14ac:dyDescent="0.25"/>
    <row r="242" ht="11.25" customHeight="1" x14ac:dyDescent="0.25"/>
    <row r="243" ht="11.25" customHeight="1" x14ac:dyDescent="0.25"/>
    <row r="244" ht="11.25" customHeight="1" x14ac:dyDescent="0.25"/>
    <row r="245" ht="11.25" customHeight="1" x14ac:dyDescent="0.25"/>
    <row r="246" ht="11.25" customHeight="1" x14ac:dyDescent="0.25"/>
    <row r="247" ht="11.25" customHeight="1" x14ac:dyDescent="0.25"/>
    <row r="248" ht="11.25" customHeight="1" x14ac:dyDescent="0.25"/>
    <row r="249" ht="11.25" customHeight="1" x14ac:dyDescent="0.25"/>
    <row r="250" ht="11.25" customHeight="1" x14ac:dyDescent="0.25"/>
  </sheetData>
  <sheetProtection algorithmName="SHA-512" hashValue="xgu6Rsbx9/qeiwX2WzqhKGQhWGNu7dPkNSXBKiL/jK2dnfbhJeVpRZNsJmjxYKZZX4ClBULDMtXGFChb5tlXAw==" saltValue="O6yNqXIK3sKyu4YOYb51aA==" spinCount="100000" sheet="1" objects="1" scenarios="1"/>
  <dataConsolidate/>
  <mergeCells count="2">
    <mergeCell ref="F2:H2"/>
    <mergeCell ref="I2:K2"/>
  </mergeCells>
  <phoneticPr fontId="7" type="noConversion"/>
  <printOptions horizontalCentered="1"/>
  <pageMargins left="0.37" right="0.2" top="0.6" bottom="0.5" header="0.511811023622047" footer="0.39370078740157499"/>
  <pageSetup paperSize="9" scale="80" fitToHeight="0" orientation="portrait" r:id="rId1"/>
  <headerFooter alignWithMargins="0"/>
  <rowBreaks count="2" manualBreakCount="2">
    <brk id="67" max="10" man="1"/>
    <brk id="132" max="10" man="1"/>
  </rowBreaks>
  <ignoredErrors>
    <ignoredError sqref="C111:K111 C114:K114 C118:F118 C125:G125 J118:K118 H118:I118 G118 C121:K121 H125 I125:K125" formula="1"/>
  </ignoredError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8"/>
  <dimension ref="A1:M134"/>
  <sheetViews>
    <sheetView showGridLines="0" zoomScale="110" zoomScaleNormal="110" workbookViewId="0">
      <pane xSplit="2" ySplit="3" topLeftCell="C52" activePane="bottomRight" state="frozen"/>
      <selection pane="topRight"/>
      <selection pane="bottomLeft"/>
      <selection pane="bottomRight" activeCell="C73" sqref="C73"/>
    </sheetView>
  </sheetViews>
  <sheetFormatPr defaultColWidth="9.140625" defaultRowHeight="12.75" x14ac:dyDescent="0.25"/>
  <cols>
    <col min="1" max="1" width="54.7109375" style="58" customWidth="1"/>
    <col min="2" max="2" width="3" style="55" customWidth="1"/>
    <col min="3" max="8" width="9.28515625" style="58" customWidth="1"/>
    <col min="9" max="9" width="9.7109375" style="58" customWidth="1"/>
    <col min="10" max="11" width="9.28515625" style="58" customWidth="1"/>
    <col min="12" max="12" width="9.7109375" style="58" customWidth="1"/>
    <col min="13" max="13" width="9.42578125" style="58" customWidth="1"/>
    <col min="14" max="14" width="9.7109375" style="58" customWidth="1"/>
    <col min="15" max="17" width="9.42578125" style="58" customWidth="1"/>
    <col min="18" max="18" width="9.7109375" style="58" customWidth="1"/>
    <col min="19" max="21" width="9.42578125" style="58" customWidth="1"/>
    <col min="22" max="23" width="9.7109375" style="58" customWidth="1"/>
    <col min="24" max="16384" width="9.140625" style="58"/>
  </cols>
  <sheetData>
    <row r="1" spans="1:13" s="93" customFormat="1" x14ac:dyDescent="0.2">
      <c r="A1" s="92" t="str">
        <f>muni&amp;" - "&amp;Approve10</f>
        <v>KZN226 Mkhambathini - Table A10 Basic service delivery measurement</v>
      </c>
      <c r="B1" s="92"/>
      <c r="C1" s="92"/>
      <c r="D1" s="92"/>
      <c r="E1" s="92"/>
      <c r="F1" s="92"/>
      <c r="G1" s="92"/>
      <c r="H1" s="92"/>
      <c r="I1" s="92"/>
      <c r="J1" s="92"/>
      <c r="K1" s="92"/>
    </row>
    <row r="2" spans="1:13" ht="28.5" customHeight="1" x14ac:dyDescent="0.25">
      <c r="A2" s="2468" t="str">
        <f>desc</f>
        <v>Description</v>
      </c>
      <c r="B2" s="2470" t="str">
        <f>head27</f>
        <v>Ref</v>
      </c>
      <c r="C2" s="837" t="str">
        <f>head1b</f>
        <v>2017/18</v>
      </c>
      <c r="D2" s="837" t="str">
        <f>head1A</f>
        <v>2018/19</v>
      </c>
      <c r="E2" s="684" t="str">
        <f>Head1</f>
        <v>2019/20</v>
      </c>
      <c r="F2" s="2447" t="str">
        <f>Head2</f>
        <v>Current Year 2020/21</v>
      </c>
      <c r="G2" s="2448"/>
      <c r="H2" s="2449"/>
      <c r="I2" s="2450" t="str">
        <f>Head3</f>
        <v>2021/22 Medium Term Revenue &amp; Expenditure Framework</v>
      </c>
      <c r="J2" s="2451"/>
      <c r="K2" s="2452"/>
    </row>
    <row r="3" spans="1:13" ht="25.5" x14ac:dyDescent="0.25">
      <c r="A3" s="2469"/>
      <c r="B3" s="2471"/>
      <c r="C3" s="698" t="str">
        <f>Head5A</f>
        <v>Outcome</v>
      </c>
      <c r="D3" s="698" t="str">
        <f>Head5A</f>
        <v>Outcome</v>
      </c>
      <c r="E3" s="94" t="str">
        <f>Head5A</f>
        <v>Outcome</v>
      </c>
      <c r="F3" s="95" t="str">
        <f>Head6</f>
        <v>Original Budget</v>
      </c>
      <c r="G3" s="698" t="str">
        <f>Head7</f>
        <v>Adjusted Budget</v>
      </c>
      <c r="H3" s="94" t="str">
        <f>Head8</f>
        <v>Full Year Forecast</v>
      </c>
      <c r="I3" s="95" t="str">
        <f>Head9</f>
        <v>Budget Year 2021/22</v>
      </c>
      <c r="J3" s="698" t="str">
        <f>Head10</f>
        <v>Budget Year +1 2022/23</v>
      </c>
      <c r="K3" s="94" t="str">
        <f>Head11</f>
        <v>Budget Year +2 2023/24</v>
      </c>
    </row>
    <row r="4" spans="1:13" s="472" customFormat="1" ht="11.25" customHeight="1" x14ac:dyDescent="0.25">
      <c r="A4" s="96" t="s">
        <v>1956</v>
      </c>
      <c r="B4" s="97">
        <v>1</v>
      </c>
      <c r="C4" s="473"/>
      <c r="D4" s="473"/>
      <c r="E4" s="474"/>
      <c r="F4" s="475"/>
      <c r="G4" s="473"/>
      <c r="H4" s="476"/>
      <c r="I4" s="477"/>
      <c r="J4" s="473"/>
      <c r="K4" s="474"/>
    </row>
    <row r="5" spans="1:13" s="472" customFormat="1" x14ac:dyDescent="0.25">
      <c r="A5" s="103" t="s">
        <v>1609</v>
      </c>
      <c r="B5" s="97"/>
      <c r="C5" s="446"/>
      <c r="D5" s="446"/>
      <c r="E5" s="447"/>
      <c r="F5" s="448"/>
      <c r="G5" s="446"/>
      <c r="H5" s="449"/>
      <c r="I5" s="450"/>
      <c r="J5" s="446"/>
      <c r="K5" s="447"/>
    </row>
    <row r="6" spans="1:13" ht="11.25" customHeight="1" x14ac:dyDescent="0.25">
      <c r="A6" s="104" t="s">
        <v>1442</v>
      </c>
      <c r="B6" s="97"/>
      <c r="C6" s="466">
        <f>'SA9'!E67</f>
        <v>0</v>
      </c>
      <c r="D6" s="466">
        <f>'SA9'!F67</f>
        <v>0</v>
      </c>
      <c r="E6" s="577">
        <f>'SA9'!G67</f>
        <v>0</v>
      </c>
      <c r="F6" s="470">
        <f>'SA9'!H67</f>
        <v>0</v>
      </c>
      <c r="G6" s="466">
        <f>'SA9'!I67</f>
        <v>0</v>
      </c>
      <c r="H6" s="577">
        <f>'SA9'!J67</f>
        <v>0</v>
      </c>
      <c r="I6" s="470">
        <f>'SA9'!K67</f>
        <v>0</v>
      </c>
      <c r="J6" s="466">
        <f>'SA9'!L67</f>
        <v>0</v>
      </c>
      <c r="K6" s="577">
        <f>'SA9'!M67</f>
        <v>0</v>
      </c>
      <c r="L6" s="322"/>
      <c r="M6" s="322"/>
    </row>
    <row r="7" spans="1:13" ht="11.25" customHeight="1" x14ac:dyDescent="0.25">
      <c r="A7" s="104" t="s">
        <v>1608</v>
      </c>
      <c r="B7" s="97"/>
      <c r="C7" s="466">
        <f>'SA9'!E68</f>
        <v>0</v>
      </c>
      <c r="D7" s="466">
        <f>'SA9'!F68</f>
        <v>0</v>
      </c>
      <c r="E7" s="577">
        <f>'SA9'!G68</f>
        <v>0</v>
      </c>
      <c r="F7" s="470">
        <f>'SA9'!H68</f>
        <v>0</v>
      </c>
      <c r="G7" s="466">
        <f>'SA9'!I68</f>
        <v>0</v>
      </c>
      <c r="H7" s="577">
        <f>'SA9'!J68</f>
        <v>0</v>
      </c>
      <c r="I7" s="470">
        <f>'SA9'!K68</f>
        <v>0</v>
      </c>
      <c r="J7" s="466">
        <f>'SA9'!L68</f>
        <v>0</v>
      </c>
      <c r="K7" s="577">
        <f>'SA9'!M68</f>
        <v>0</v>
      </c>
      <c r="L7" s="322"/>
      <c r="M7" s="322"/>
    </row>
    <row r="8" spans="1:13" ht="11.25" customHeight="1" x14ac:dyDescent="0.25">
      <c r="A8" s="104" t="s">
        <v>111</v>
      </c>
      <c r="B8" s="97">
        <v>2</v>
      </c>
      <c r="C8" s="466">
        <f>'SA9'!E69</f>
        <v>0</v>
      </c>
      <c r="D8" s="466">
        <f>'SA9'!F69</f>
        <v>0</v>
      </c>
      <c r="E8" s="577">
        <f>'SA9'!G69</f>
        <v>0</v>
      </c>
      <c r="F8" s="470">
        <f>'SA9'!H69</f>
        <v>0</v>
      </c>
      <c r="G8" s="466">
        <f>'SA9'!I69</f>
        <v>0</v>
      </c>
      <c r="H8" s="577">
        <f>'SA9'!J69</f>
        <v>0</v>
      </c>
      <c r="I8" s="470">
        <f>'SA9'!K69</f>
        <v>0</v>
      </c>
      <c r="J8" s="466">
        <f>'SA9'!L69</f>
        <v>0</v>
      </c>
      <c r="K8" s="577">
        <f>'SA9'!M69</f>
        <v>0</v>
      </c>
      <c r="L8" s="322"/>
      <c r="M8" s="322"/>
    </row>
    <row r="9" spans="1:13" ht="11.25" customHeight="1" x14ac:dyDescent="0.25">
      <c r="A9" s="104" t="s">
        <v>112</v>
      </c>
      <c r="B9" s="97">
        <v>4</v>
      </c>
      <c r="C9" s="466">
        <f>'SA9'!E70</f>
        <v>0</v>
      </c>
      <c r="D9" s="466">
        <f>'SA9'!F70</f>
        <v>0</v>
      </c>
      <c r="E9" s="577">
        <f>'SA9'!G70</f>
        <v>0</v>
      </c>
      <c r="F9" s="470">
        <f>'SA9'!H70</f>
        <v>0</v>
      </c>
      <c r="G9" s="466">
        <f>'SA9'!I70</f>
        <v>0</v>
      </c>
      <c r="H9" s="577">
        <f>'SA9'!J70</f>
        <v>0</v>
      </c>
      <c r="I9" s="470">
        <f>'SA9'!K70</f>
        <v>0</v>
      </c>
      <c r="J9" s="466">
        <f>'SA9'!L70</f>
        <v>0</v>
      </c>
      <c r="K9" s="577">
        <f>'SA9'!M70</f>
        <v>0</v>
      </c>
      <c r="L9" s="322"/>
      <c r="M9" s="322"/>
    </row>
    <row r="10" spans="1:13" ht="11.25" customHeight="1" x14ac:dyDescent="0.25">
      <c r="A10" s="374" t="s">
        <v>323</v>
      </c>
      <c r="B10" s="97"/>
      <c r="C10" s="451">
        <f>SUM(C6:C9)</f>
        <v>0</v>
      </c>
      <c r="D10" s="451">
        <f t="shared" ref="D10:K10" si="0">SUM(D6:D9)</f>
        <v>0</v>
      </c>
      <c r="E10" s="452">
        <f t="shared" si="0"/>
        <v>0</v>
      </c>
      <c r="F10" s="453">
        <f t="shared" si="0"/>
        <v>0</v>
      </c>
      <c r="G10" s="451">
        <f t="shared" si="0"/>
        <v>0</v>
      </c>
      <c r="H10" s="454">
        <f t="shared" si="0"/>
        <v>0</v>
      </c>
      <c r="I10" s="455">
        <f t="shared" si="0"/>
        <v>0</v>
      </c>
      <c r="J10" s="451">
        <f t="shared" si="0"/>
        <v>0</v>
      </c>
      <c r="K10" s="452">
        <f t="shared" si="0"/>
        <v>0</v>
      </c>
      <c r="L10" s="322"/>
      <c r="M10" s="322"/>
    </row>
    <row r="11" spans="1:13" ht="11.25" customHeight="1" x14ac:dyDescent="0.25">
      <c r="A11" s="104" t="s">
        <v>434</v>
      </c>
      <c r="B11" s="97">
        <v>3</v>
      </c>
      <c r="C11" s="466">
        <f>'SA9'!E72</f>
        <v>0</v>
      </c>
      <c r="D11" s="466">
        <f>'SA9'!F72</f>
        <v>0</v>
      </c>
      <c r="E11" s="577">
        <f>'SA9'!G72</f>
        <v>0</v>
      </c>
      <c r="F11" s="470">
        <f>'SA9'!H72</f>
        <v>0</v>
      </c>
      <c r="G11" s="466">
        <f>'SA9'!I72</f>
        <v>0</v>
      </c>
      <c r="H11" s="577">
        <f>'SA9'!J72</f>
        <v>0</v>
      </c>
      <c r="I11" s="470">
        <f>'SA9'!K72</f>
        <v>0</v>
      </c>
      <c r="J11" s="466">
        <f>'SA9'!L72</f>
        <v>0</v>
      </c>
      <c r="K11" s="577">
        <f>'SA9'!M72</f>
        <v>0</v>
      </c>
      <c r="L11" s="322"/>
      <c r="M11" s="322"/>
    </row>
    <row r="12" spans="1:13" ht="11.25" customHeight="1" x14ac:dyDescent="0.25">
      <c r="A12" s="104" t="s">
        <v>435</v>
      </c>
      <c r="B12" s="97">
        <f>B9</f>
        <v>4</v>
      </c>
      <c r="C12" s="466">
        <f>'SA9'!E73</f>
        <v>0</v>
      </c>
      <c r="D12" s="466">
        <f>'SA9'!F73</f>
        <v>0</v>
      </c>
      <c r="E12" s="577">
        <f>'SA9'!G73</f>
        <v>0</v>
      </c>
      <c r="F12" s="470">
        <f>'SA9'!H73</f>
        <v>0</v>
      </c>
      <c r="G12" s="466">
        <f>'SA9'!I73</f>
        <v>0</v>
      </c>
      <c r="H12" s="577">
        <f>'SA9'!J73</f>
        <v>0</v>
      </c>
      <c r="I12" s="470">
        <f>'SA9'!K73</f>
        <v>0</v>
      </c>
      <c r="J12" s="466">
        <f>'SA9'!L73</f>
        <v>0</v>
      </c>
      <c r="K12" s="577">
        <f>'SA9'!M73</f>
        <v>0</v>
      </c>
      <c r="L12" s="322"/>
      <c r="M12" s="322"/>
    </row>
    <row r="13" spans="1:13" ht="11.25" customHeight="1" x14ac:dyDescent="0.25">
      <c r="A13" s="104" t="s">
        <v>835</v>
      </c>
      <c r="B13" s="97"/>
      <c r="C13" s="466">
        <f>'SA9'!E74</f>
        <v>0</v>
      </c>
      <c r="D13" s="466">
        <f>'SA9'!F74</f>
        <v>0</v>
      </c>
      <c r="E13" s="577">
        <f>'SA9'!G74</f>
        <v>0</v>
      </c>
      <c r="F13" s="470">
        <f>'SA9'!H74</f>
        <v>0</v>
      </c>
      <c r="G13" s="466">
        <f>'SA9'!I74</f>
        <v>0</v>
      </c>
      <c r="H13" s="577">
        <f>'SA9'!J74</f>
        <v>0</v>
      </c>
      <c r="I13" s="470">
        <f>'SA9'!K74</f>
        <v>0</v>
      </c>
      <c r="J13" s="466">
        <f>'SA9'!L74</f>
        <v>0</v>
      </c>
      <c r="K13" s="577">
        <f>'SA9'!M74</f>
        <v>0</v>
      </c>
      <c r="L13" s="322"/>
      <c r="M13" s="322"/>
    </row>
    <row r="14" spans="1:13" ht="11.25" customHeight="1" x14ac:dyDescent="0.25">
      <c r="A14" s="374" t="s">
        <v>1124</v>
      </c>
      <c r="B14" s="97"/>
      <c r="C14" s="456">
        <f>SUM(C11:C13)</f>
        <v>0</v>
      </c>
      <c r="D14" s="456">
        <f t="shared" ref="D14:K14" si="1">SUM(D11:D13)</f>
        <v>0</v>
      </c>
      <c r="E14" s="457">
        <f t="shared" si="1"/>
        <v>0</v>
      </c>
      <c r="F14" s="458">
        <f t="shared" si="1"/>
        <v>0</v>
      </c>
      <c r="G14" s="456">
        <f t="shared" si="1"/>
        <v>0</v>
      </c>
      <c r="H14" s="459">
        <f t="shared" si="1"/>
        <v>0</v>
      </c>
      <c r="I14" s="460">
        <f t="shared" si="1"/>
        <v>0</v>
      </c>
      <c r="J14" s="456">
        <f t="shared" si="1"/>
        <v>0</v>
      </c>
      <c r="K14" s="457">
        <f t="shared" si="1"/>
        <v>0</v>
      </c>
      <c r="L14" s="322"/>
      <c r="M14" s="322"/>
    </row>
    <row r="15" spans="1:13" ht="11.25" customHeight="1" x14ac:dyDescent="0.25">
      <c r="A15" s="105" t="s">
        <v>1160</v>
      </c>
      <c r="B15" s="97">
        <v>5</v>
      </c>
      <c r="C15" s="461">
        <f>C10+C14</f>
        <v>0</v>
      </c>
      <c r="D15" s="461">
        <f t="shared" ref="D15:K15" si="2">D10+D14</f>
        <v>0</v>
      </c>
      <c r="E15" s="462">
        <f t="shared" si="2"/>
        <v>0</v>
      </c>
      <c r="F15" s="463">
        <f t="shared" si="2"/>
        <v>0</v>
      </c>
      <c r="G15" s="461">
        <f t="shared" si="2"/>
        <v>0</v>
      </c>
      <c r="H15" s="464">
        <f t="shared" si="2"/>
        <v>0</v>
      </c>
      <c r="I15" s="465">
        <f t="shared" si="2"/>
        <v>0</v>
      </c>
      <c r="J15" s="461">
        <f t="shared" si="2"/>
        <v>0</v>
      </c>
      <c r="K15" s="462">
        <f t="shared" si="2"/>
        <v>0</v>
      </c>
      <c r="L15" s="322"/>
      <c r="M15" s="322"/>
    </row>
    <row r="16" spans="1:13" s="472" customFormat="1" ht="15.75" customHeight="1" x14ac:dyDescent="0.25">
      <c r="A16" s="103" t="s">
        <v>1161</v>
      </c>
      <c r="B16" s="97"/>
      <c r="C16" s="446"/>
      <c r="D16" s="446"/>
      <c r="E16" s="447"/>
      <c r="F16" s="448"/>
      <c r="G16" s="446"/>
      <c r="H16" s="449"/>
      <c r="I16" s="450"/>
      <c r="J16" s="446"/>
      <c r="K16" s="447"/>
      <c r="L16" s="471"/>
      <c r="M16" s="471"/>
    </row>
    <row r="17" spans="1:13" ht="11.25" customHeight="1" x14ac:dyDescent="0.25">
      <c r="A17" s="104" t="s">
        <v>1162</v>
      </c>
      <c r="B17" s="97"/>
      <c r="C17" s="466">
        <f>'SA9'!E78</f>
        <v>0</v>
      </c>
      <c r="D17" s="466">
        <f>'SA9'!F78</f>
        <v>0</v>
      </c>
      <c r="E17" s="577">
        <f>'SA9'!G78</f>
        <v>0</v>
      </c>
      <c r="F17" s="470">
        <f>'SA9'!H78</f>
        <v>0</v>
      </c>
      <c r="G17" s="466">
        <f>'SA9'!I78</f>
        <v>0</v>
      </c>
      <c r="H17" s="577">
        <f>'SA9'!J78</f>
        <v>0</v>
      </c>
      <c r="I17" s="470">
        <f>'SA9'!K78</f>
        <v>0</v>
      </c>
      <c r="J17" s="466">
        <f>'SA9'!L78</f>
        <v>0</v>
      </c>
      <c r="K17" s="577">
        <f>'SA9'!M78</f>
        <v>0</v>
      </c>
      <c r="L17" s="322"/>
      <c r="M17" s="322"/>
    </row>
    <row r="18" spans="1:13" ht="11.25" customHeight="1" x14ac:dyDescent="0.25">
      <c r="A18" s="104" t="s">
        <v>1163</v>
      </c>
      <c r="B18" s="97"/>
      <c r="C18" s="466">
        <f>'SA9'!E79</f>
        <v>0</v>
      </c>
      <c r="D18" s="466">
        <f>'SA9'!F79</f>
        <v>0</v>
      </c>
      <c r="E18" s="577">
        <f>'SA9'!G79</f>
        <v>0</v>
      </c>
      <c r="F18" s="470">
        <f>'SA9'!H79</f>
        <v>0</v>
      </c>
      <c r="G18" s="466">
        <f>'SA9'!I79</f>
        <v>0</v>
      </c>
      <c r="H18" s="577">
        <f>'SA9'!J79</f>
        <v>0</v>
      </c>
      <c r="I18" s="470">
        <f>'SA9'!K79</f>
        <v>0</v>
      </c>
      <c r="J18" s="466">
        <f>'SA9'!L79</f>
        <v>0</v>
      </c>
      <c r="K18" s="577">
        <f>'SA9'!M79</f>
        <v>0</v>
      </c>
      <c r="L18" s="322"/>
      <c r="M18" s="322"/>
    </row>
    <row r="19" spans="1:13" ht="11.25" customHeight="1" x14ac:dyDescent="0.25">
      <c r="A19" s="104" t="s">
        <v>1228</v>
      </c>
      <c r="B19" s="97"/>
      <c r="C19" s="466">
        <f>'SA9'!E80</f>
        <v>0</v>
      </c>
      <c r="D19" s="466">
        <f>'SA9'!F80</f>
        <v>0</v>
      </c>
      <c r="E19" s="577">
        <f>'SA9'!G80</f>
        <v>0</v>
      </c>
      <c r="F19" s="470">
        <f>'SA9'!H80</f>
        <v>0</v>
      </c>
      <c r="G19" s="466">
        <f>'SA9'!I80</f>
        <v>0</v>
      </c>
      <c r="H19" s="577">
        <f>'SA9'!J80</f>
        <v>0</v>
      </c>
      <c r="I19" s="470">
        <f>'SA9'!K80</f>
        <v>0</v>
      </c>
      <c r="J19" s="466">
        <f>'SA9'!L80</f>
        <v>0</v>
      </c>
      <c r="K19" s="577">
        <f>'SA9'!M80</f>
        <v>0</v>
      </c>
      <c r="L19" s="322"/>
      <c r="M19" s="322"/>
    </row>
    <row r="20" spans="1:13" ht="11.25" customHeight="1" x14ac:dyDescent="0.25">
      <c r="A20" s="104" t="s">
        <v>211</v>
      </c>
      <c r="B20" s="97"/>
      <c r="C20" s="466">
        <f>'SA9'!E81</f>
        <v>0</v>
      </c>
      <c r="D20" s="466">
        <f>'SA9'!F81</f>
        <v>0</v>
      </c>
      <c r="E20" s="577">
        <f>'SA9'!G81</f>
        <v>0</v>
      </c>
      <c r="F20" s="470">
        <f>'SA9'!H81</f>
        <v>0</v>
      </c>
      <c r="G20" s="466">
        <f>'SA9'!I81</f>
        <v>0</v>
      </c>
      <c r="H20" s="577">
        <f>'SA9'!J81</f>
        <v>0</v>
      </c>
      <c r="I20" s="470">
        <f>'SA9'!K81</f>
        <v>0</v>
      </c>
      <c r="J20" s="466">
        <f>'SA9'!L81</f>
        <v>0</v>
      </c>
      <c r="K20" s="577">
        <f>'SA9'!M81</f>
        <v>0</v>
      </c>
      <c r="L20" s="322"/>
      <c r="M20" s="322"/>
    </row>
    <row r="21" spans="1:13" ht="11.25" customHeight="1" x14ac:dyDescent="0.25">
      <c r="A21" s="104" t="s">
        <v>213</v>
      </c>
      <c r="B21" s="97"/>
      <c r="C21" s="466">
        <f>'SA9'!E82</f>
        <v>0</v>
      </c>
      <c r="D21" s="466">
        <f>'SA9'!F82</f>
        <v>0</v>
      </c>
      <c r="E21" s="577">
        <f>'SA9'!G82</f>
        <v>0</v>
      </c>
      <c r="F21" s="470">
        <f>'SA9'!H82</f>
        <v>0</v>
      </c>
      <c r="G21" s="466">
        <f>'SA9'!I82</f>
        <v>0</v>
      </c>
      <c r="H21" s="577">
        <f>'SA9'!J82</f>
        <v>0</v>
      </c>
      <c r="I21" s="470">
        <f>'SA9'!K82</f>
        <v>0</v>
      </c>
      <c r="J21" s="466">
        <f>'SA9'!L82</f>
        <v>0</v>
      </c>
      <c r="K21" s="577">
        <f>'SA9'!M82</f>
        <v>0</v>
      </c>
      <c r="L21" s="322"/>
      <c r="M21" s="322"/>
    </row>
    <row r="22" spans="1:13" ht="11.25" customHeight="1" x14ac:dyDescent="0.25">
      <c r="A22" s="374" t="str">
        <f>$A$10</f>
        <v>Minimum Service Level and Above sub-total</v>
      </c>
      <c r="B22" s="97"/>
      <c r="C22" s="451">
        <f>SUM(C17:C21)</f>
        <v>0</v>
      </c>
      <c r="D22" s="451">
        <f t="shared" ref="D22:K22" si="3">SUM(D17:D21)</f>
        <v>0</v>
      </c>
      <c r="E22" s="452">
        <f t="shared" si="3"/>
        <v>0</v>
      </c>
      <c r="F22" s="453">
        <f t="shared" si="3"/>
        <v>0</v>
      </c>
      <c r="G22" s="451">
        <f t="shared" si="3"/>
        <v>0</v>
      </c>
      <c r="H22" s="454">
        <f t="shared" si="3"/>
        <v>0</v>
      </c>
      <c r="I22" s="455">
        <f t="shared" si="3"/>
        <v>0</v>
      </c>
      <c r="J22" s="451">
        <f t="shared" si="3"/>
        <v>0</v>
      </c>
      <c r="K22" s="452">
        <f t="shared" si="3"/>
        <v>0</v>
      </c>
      <c r="L22" s="322"/>
      <c r="M22" s="322"/>
    </row>
    <row r="23" spans="1:13" ht="11.25" customHeight="1" x14ac:dyDescent="0.25">
      <c r="A23" s="104" t="s">
        <v>212</v>
      </c>
      <c r="B23" s="97"/>
      <c r="C23" s="466">
        <f>'SA9'!E84</f>
        <v>0</v>
      </c>
      <c r="D23" s="466">
        <f>'SA9'!F84</f>
        <v>0</v>
      </c>
      <c r="E23" s="577">
        <f>'SA9'!G84</f>
        <v>0</v>
      </c>
      <c r="F23" s="470">
        <f>'SA9'!H84</f>
        <v>0</v>
      </c>
      <c r="G23" s="466">
        <f>'SA9'!I84</f>
        <v>0</v>
      </c>
      <c r="H23" s="577">
        <f>'SA9'!J84</f>
        <v>0</v>
      </c>
      <c r="I23" s="470">
        <f>'SA9'!K84</f>
        <v>0</v>
      </c>
      <c r="J23" s="466">
        <f>'SA9'!L84</f>
        <v>0</v>
      </c>
      <c r="K23" s="577">
        <f>'SA9'!M84</f>
        <v>0</v>
      </c>
      <c r="L23" s="322"/>
      <c r="M23" s="322"/>
    </row>
    <row r="24" spans="1:13" ht="11.25" customHeight="1" x14ac:dyDescent="0.25">
      <c r="A24" s="104" t="s">
        <v>1071</v>
      </c>
      <c r="B24" s="97"/>
      <c r="C24" s="466">
        <f>'SA9'!E85</f>
        <v>0</v>
      </c>
      <c r="D24" s="466">
        <f>'SA9'!F85</f>
        <v>0</v>
      </c>
      <c r="E24" s="577">
        <f>'SA9'!G85</f>
        <v>0</v>
      </c>
      <c r="F24" s="470">
        <f>'SA9'!H85</f>
        <v>0</v>
      </c>
      <c r="G24" s="466">
        <f>'SA9'!I85</f>
        <v>0</v>
      </c>
      <c r="H24" s="577">
        <f>'SA9'!J85</f>
        <v>0</v>
      </c>
      <c r="I24" s="470">
        <f>'SA9'!K85</f>
        <v>0</v>
      </c>
      <c r="J24" s="466">
        <f>'SA9'!L85</f>
        <v>0</v>
      </c>
      <c r="K24" s="577">
        <f>'SA9'!M85</f>
        <v>0</v>
      </c>
      <c r="L24" s="322"/>
      <c r="M24" s="322"/>
    </row>
    <row r="25" spans="1:13" ht="11.25" customHeight="1" x14ac:dyDescent="0.25">
      <c r="A25" s="104" t="s">
        <v>1230</v>
      </c>
      <c r="B25" s="97"/>
      <c r="C25" s="466">
        <f>'SA9'!E86</f>
        <v>0</v>
      </c>
      <c r="D25" s="466">
        <f>'SA9'!F86</f>
        <v>0</v>
      </c>
      <c r="E25" s="577">
        <f>'SA9'!G86</f>
        <v>0</v>
      </c>
      <c r="F25" s="470">
        <f>'SA9'!H86</f>
        <v>0</v>
      </c>
      <c r="G25" s="466">
        <f>'SA9'!I86</f>
        <v>0</v>
      </c>
      <c r="H25" s="577">
        <f>'SA9'!J86</f>
        <v>0</v>
      </c>
      <c r="I25" s="470">
        <f>'SA9'!K86</f>
        <v>0</v>
      </c>
      <c r="J25" s="466">
        <f>'SA9'!L86</f>
        <v>0</v>
      </c>
      <c r="K25" s="577">
        <f>'SA9'!M86</f>
        <v>0</v>
      </c>
      <c r="L25" s="322"/>
      <c r="M25" s="322"/>
    </row>
    <row r="26" spans="1:13" ht="11.25" customHeight="1" x14ac:dyDescent="0.25">
      <c r="A26" s="374" t="str">
        <f>$A$14</f>
        <v>Below Minimum Service Level sub-total</v>
      </c>
      <c r="B26" s="97"/>
      <c r="C26" s="456">
        <f>SUM(C23:C25)</f>
        <v>0</v>
      </c>
      <c r="D26" s="456">
        <f t="shared" ref="D26:K26" si="4">SUM(D23:D25)</f>
        <v>0</v>
      </c>
      <c r="E26" s="457">
        <f t="shared" si="4"/>
        <v>0</v>
      </c>
      <c r="F26" s="458">
        <f t="shared" si="4"/>
        <v>0</v>
      </c>
      <c r="G26" s="456">
        <f t="shared" si="4"/>
        <v>0</v>
      </c>
      <c r="H26" s="459">
        <f t="shared" si="4"/>
        <v>0</v>
      </c>
      <c r="I26" s="460">
        <f t="shared" si="4"/>
        <v>0</v>
      </c>
      <c r="J26" s="456">
        <f t="shared" si="4"/>
        <v>0</v>
      </c>
      <c r="K26" s="457">
        <f t="shared" si="4"/>
        <v>0</v>
      </c>
      <c r="L26" s="322"/>
      <c r="M26" s="322"/>
    </row>
    <row r="27" spans="1:13" ht="11.25" customHeight="1" x14ac:dyDescent="0.25">
      <c r="A27" s="105" t="str">
        <f>$A$15</f>
        <v>Total number of households</v>
      </c>
      <c r="B27" s="97">
        <f>$B$15</f>
        <v>5</v>
      </c>
      <c r="C27" s="461">
        <f>C22+C26</f>
        <v>0</v>
      </c>
      <c r="D27" s="461">
        <f t="shared" ref="D27:K27" si="5">D22+D26</f>
        <v>0</v>
      </c>
      <c r="E27" s="462">
        <f t="shared" si="5"/>
        <v>0</v>
      </c>
      <c r="F27" s="463">
        <f t="shared" si="5"/>
        <v>0</v>
      </c>
      <c r="G27" s="461">
        <f t="shared" si="5"/>
        <v>0</v>
      </c>
      <c r="H27" s="464">
        <f t="shared" si="5"/>
        <v>0</v>
      </c>
      <c r="I27" s="465">
        <f t="shared" si="5"/>
        <v>0</v>
      </c>
      <c r="J27" s="461">
        <f t="shared" si="5"/>
        <v>0</v>
      </c>
      <c r="K27" s="462">
        <f t="shared" si="5"/>
        <v>0</v>
      </c>
      <c r="L27" s="322"/>
      <c r="M27" s="322"/>
    </row>
    <row r="28" spans="1:13" s="472" customFormat="1" ht="15.75" customHeight="1" x14ac:dyDescent="0.25">
      <c r="A28" s="103" t="s">
        <v>589</v>
      </c>
      <c r="B28" s="97"/>
      <c r="C28" s="446"/>
      <c r="D28" s="446"/>
      <c r="E28" s="447"/>
      <c r="F28" s="448"/>
      <c r="G28" s="446"/>
      <c r="H28" s="449"/>
      <c r="I28" s="450"/>
      <c r="J28" s="446"/>
      <c r="K28" s="447"/>
      <c r="L28" s="471"/>
      <c r="M28" s="471"/>
    </row>
    <row r="29" spans="1:13" ht="11.25" customHeight="1" x14ac:dyDescent="0.25">
      <c r="A29" s="104" t="s">
        <v>1072</v>
      </c>
      <c r="B29" s="97"/>
      <c r="C29" s="466">
        <f>'SA9'!E90</f>
        <v>0</v>
      </c>
      <c r="D29" s="466">
        <f>'SA9'!F90</f>
        <v>0</v>
      </c>
      <c r="E29" s="577">
        <f>'SA9'!G90</f>
        <v>0</v>
      </c>
      <c r="F29" s="470">
        <f>'SA9'!H90</f>
        <v>0</v>
      </c>
      <c r="G29" s="466">
        <f>'SA9'!I90</f>
        <v>0</v>
      </c>
      <c r="H29" s="577">
        <f>'SA9'!J90</f>
        <v>0</v>
      </c>
      <c r="I29" s="470">
        <f>'SA9'!K90</f>
        <v>0</v>
      </c>
      <c r="J29" s="466">
        <f>'SA9'!L90</f>
        <v>0</v>
      </c>
      <c r="K29" s="577">
        <f>'SA9'!M90</f>
        <v>0</v>
      </c>
      <c r="L29" s="322"/>
      <c r="M29" s="322"/>
    </row>
    <row r="30" spans="1:13" ht="11.25" customHeight="1" x14ac:dyDescent="0.25">
      <c r="A30" s="104" t="s">
        <v>436</v>
      </c>
      <c r="B30" s="97"/>
      <c r="C30" s="466">
        <f>'SA9'!E91</f>
        <v>0</v>
      </c>
      <c r="D30" s="466">
        <f>'SA9'!F91</f>
        <v>0</v>
      </c>
      <c r="E30" s="577">
        <f>'SA9'!G91</f>
        <v>0</v>
      </c>
      <c r="F30" s="470">
        <f>'SA9'!H91</f>
        <v>0</v>
      </c>
      <c r="G30" s="466">
        <f>'SA9'!I91</f>
        <v>0</v>
      </c>
      <c r="H30" s="577">
        <f>'SA9'!J91</f>
        <v>0</v>
      </c>
      <c r="I30" s="470">
        <f>'SA9'!K91</f>
        <v>0</v>
      </c>
      <c r="J30" s="466">
        <f>'SA9'!L91</f>
        <v>0</v>
      </c>
      <c r="K30" s="577">
        <f>'SA9'!M91</f>
        <v>0</v>
      </c>
      <c r="L30" s="322"/>
      <c r="M30" s="322"/>
    </row>
    <row r="31" spans="1:13" ht="11.25" customHeight="1" x14ac:dyDescent="0.25">
      <c r="A31" s="374" t="str">
        <f>$A$10</f>
        <v>Minimum Service Level and Above sub-total</v>
      </c>
      <c r="B31" s="97"/>
      <c r="C31" s="451">
        <f>SUM(C29:C30)</f>
        <v>0</v>
      </c>
      <c r="D31" s="451">
        <f t="shared" ref="D31:K31" si="6">SUM(D29:D30)</f>
        <v>0</v>
      </c>
      <c r="E31" s="452">
        <f t="shared" si="6"/>
        <v>0</v>
      </c>
      <c r="F31" s="453">
        <f t="shared" si="6"/>
        <v>0</v>
      </c>
      <c r="G31" s="451">
        <f t="shared" si="6"/>
        <v>0</v>
      </c>
      <c r="H31" s="454">
        <f t="shared" si="6"/>
        <v>0</v>
      </c>
      <c r="I31" s="455">
        <f t="shared" si="6"/>
        <v>0</v>
      </c>
      <c r="J31" s="451">
        <f t="shared" si="6"/>
        <v>0</v>
      </c>
      <c r="K31" s="452">
        <f t="shared" si="6"/>
        <v>0</v>
      </c>
      <c r="L31" s="322"/>
      <c r="M31" s="322"/>
    </row>
    <row r="32" spans="1:13" ht="11.25" customHeight="1" x14ac:dyDescent="0.25">
      <c r="A32" s="104" t="s">
        <v>437</v>
      </c>
      <c r="B32" s="97"/>
      <c r="C32" s="466">
        <f>'SA9'!E93</f>
        <v>0</v>
      </c>
      <c r="D32" s="466">
        <f>'SA9'!F93</f>
        <v>0</v>
      </c>
      <c r="E32" s="577">
        <f>'SA9'!G93</f>
        <v>0</v>
      </c>
      <c r="F32" s="470">
        <f>'SA9'!H93</f>
        <v>0</v>
      </c>
      <c r="G32" s="466">
        <f>'SA9'!I93</f>
        <v>0</v>
      </c>
      <c r="H32" s="577">
        <f>'SA9'!J93</f>
        <v>0</v>
      </c>
      <c r="I32" s="470">
        <f>'SA9'!K93</f>
        <v>0</v>
      </c>
      <c r="J32" s="466">
        <f>'SA9'!L93</f>
        <v>0</v>
      </c>
      <c r="K32" s="577">
        <f>'SA9'!M93</f>
        <v>0</v>
      </c>
      <c r="L32" s="322"/>
      <c r="M32" s="322"/>
    </row>
    <row r="33" spans="1:13" ht="11.25" customHeight="1" x14ac:dyDescent="0.25">
      <c r="A33" s="104" t="s">
        <v>438</v>
      </c>
      <c r="B33" s="97"/>
      <c r="C33" s="466">
        <f>'SA9'!E94</f>
        <v>0</v>
      </c>
      <c r="D33" s="466">
        <f>'SA9'!F94</f>
        <v>0</v>
      </c>
      <c r="E33" s="577">
        <f>'SA9'!G94</f>
        <v>0</v>
      </c>
      <c r="F33" s="470">
        <f>'SA9'!H94</f>
        <v>0</v>
      </c>
      <c r="G33" s="466">
        <f>'SA9'!I94</f>
        <v>0</v>
      </c>
      <c r="H33" s="577">
        <f>'SA9'!J94</f>
        <v>0</v>
      </c>
      <c r="I33" s="470">
        <f>'SA9'!K94</f>
        <v>0</v>
      </c>
      <c r="J33" s="466">
        <f>'SA9'!L94</f>
        <v>0</v>
      </c>
      <c r="K33" s="577">
        <f>'SA9'!M94</f>
        <v>0</v>
      </c>
      <c r="L33" s="322"/>
      <c r="M33" s="322"/>
    </row>
    <row r="34" spans="1:13" ht="11.25" customHeight="1" x14ac:dyDescent="0.25">
      <c r="A34" s="104" t="s">
        <v>590</v>
      </c>
      <c r="B34" s="97"/>
      <c r="C34" s="466">
        <f>'SA9'!E95</f>
        <v>0</v>
      </c>
      <c r="D34" s="466">
        <f>'SA9'!F95</f>
        <v>0</v>
      </c>
      <c r="E34" s="577">
        <f>'SA9'!G95</f>
        <v>0</v>
      </c>
      <c r="F34" s="470">
        <f>'SA9'!H95</f>
        <v>0</v>
      </c>
      <c r="G34" s="466">
        <f>'SA9'!I95</f>
        <v>0</v>
      </c>
      <c r="H34" s="577">
        <f>'SA9'!J95</f>
        <v>0</v>
      </c>
      <c r="I34" s="470">
        <f>'SA9'!K95</f>
        <v>0</v>
      </c>
      <c r="J34" s="466">
        <f>'SA9'!L95</f>
        <v>0</v>
      </c>
      <c r="K34" s="577">
        <f>'SA9'!M95</f>
        <v>0</v>
      </c>
      <c r="L34" s="322"/>
      <c r="M34" s="322"/>
    </row>
    <row r="35" spans="1:13" ht="11.25" customHeight="1" x14ac:dyDescent="0.25">
      <c r="A35" s="374" t="str">
        <f>$A$14</f>
        <v>Below Minimum Service Level sub-total</v>
      </c>
      <c r="B35" s="97"/>
      <c r="C35" s="456">
        <f>SUM(C32:C34)</f>
        <v>0</v>
      </c>
      <c r="D35" s="456">
        <f t="shared" ref="D35:K35" si="7">SUM(D32:D34)</f>
        <v>0</v>
      </c>
      <c r="E35" s="457">
        <f t="shared" si="7"/>
        <v>0</v>
      </c>
      <c r="F35" s="458">
        <f t="shared" si="7"/>
        <v>0</v>
      </c>
      <c r="G35" s="456">
        <f t="shared" si="7"/>
        <v>0</v>
      </c>
      <c r="H35" s="459">
        <f t="shared" si="7"/>
        <v>0</v>
      </c>
      <c r="I35" s="460">
        <f t="shared" si="7"/>
        <v>0</v>
      </c>
      <c r="J35" s="456">
        <f t="shared" si="7"/>
        <v>0</v>
      </c>
      <c r="K35" s="457">
        <f t="shared" si="7"/>
        <v>0</v>
      </c>
      <c r="L35" s="322"/>
      <c r="M35" s="322"/>
    </row>
    <row r="36" spans="1:13" ht="11.25" customHeight="1" x14ac:dyDescent="0.25">
      <c r="A36" s="105" t="str">
        <f>$A$15</f>
        <v>Total number of households</v>
      </c>
      <c r="B36" s="97">
        <f>$B$15</f>
        <v>5</v>
      </c>
      <c r="C36" s="461">
        <f>C31+C35</f>
        <v>0</v>
      </c>
      <c r="D36" s="461">
        <f t="shared" ref="D36:K36" si="8">D31+D35</f>
        <v>0</v>
      </c>
      <c r="E36" s="462">
        <f t="shared" si="8"/>
        <v>0</v>
      </c>
      <c r="F36" s="463">
        <f t="shared" si="8"/>
        <v>0</v>
      </c>
      <c r="G36" s="461">
        <f t="shared" si="8"/>
        <v>0</v>
      </c>
      <c r="H36" s="464">
        <f t="shared" si="8"/>
        <v>0</v>
      </c>
      <c r="I36" s="465">
        <f t="shared" si="8"/>
        <v>0</v>
      </c>
      <c r="J36" s="461">
        <f t="shared" si="8"/>
        <v>0</v>
      </c>
      <c r="K36" s="462">
        <f t="shared" si="8"/>
        <v>0</v>
      </c>
      <c r="L36" s="322"/>
      <c r="M36" s="322"/>
    </row>
    <row r="37" spans="1:13" s="472" customFormat="1" ht="15.75" customHeight="1" x14ac:dyDescent="0.25">
      <c r="A37" s="103" t="s">
        <v>592</v>
      </c>
      <c r="B37" s="97"/>
      <c r="C37" s="446"/>
      <c r="D37" s="446"/>
      <c r="E37" s="447"/>
      <c r="F37" s="448"/>
      <c r="G37" s="446"/>
      <c r="H37" s="449"/>
      <c r="I37" s="450"/>
      <c r="J37" s="446"/>
      <c r="K37" s="447"/>
      <c r="L37" s="471"/>
      <c r="M37" s="471"/>
    </row>
    <row r="38" spans="1:13" ht="11.25" customHeight="1" x14ac:dyDescent="0.25">
      <c r="A38" s="104" t="s">
        <v>633</v>
      </c>
      <c r="B38" s="97"/>
      <c r="C38" s="466">
        <f>'SA9'!E99</f>
        <v>0</v>
      </c>
      <c r="D38" s="466">
        <f>'SA9'!F99</f>
        <v>0</v>
      </c>
      <c r="E38" s="577">
        <f>'SA9'!G99</f>
        <v>0</v>
      </c>
      <c r="F38" s="470">
        <f>'SA9'!H99</f>
        <v>0</v>
      </c>
      <c r="G38" s="466">
        <f>'SA9'!I99</f>
        <v>0</v>
      </c>
      <c r="H38" s="577">
        <f>'SA9'!J99</f>
        <v>0</v>
      </c>
      <c r="I38" s="470">
        <f>'SA9'!K99</f>
        <v>0</v>
      </c>
      <c r="J38" s="466">
        <f>'SA9'!L99</f>
        <v>0</v>
      </c>
      <c r="K38" s="577">
        <f>'SA9'!M99</f>
        <v>0</v>
      </c>
      <c r="L38" s="322"/>
      <c r="M38" s="322"/>
    </row>
    <row r="39" spans="1:13" ht="11.25" customHeight="1" x14ac:dyDescent="0.25">
      <c r="A39" s="374" t="str">
        <f>$A$10</f>
        <v>Minimum Service Level and Above sub-total</v>
      </c>
      <c r="B39" s="97"/>
      <c r="C39" s="466">
        <f>SUM(C38)</f>
        <v>0</v>
      </c>
      <c r="D39" s="466">
        <f t="shared" ref="D39:K39" si="9">SUM(D38)</f>
        <v>0</v>
      </c>
      <c r="E39" s="467">
        <f t="shared" si="9"/>
        <v>0</v>
      </c>
      <c r="F39" s="468">
        <f t="shared" si="9"/>
        <v>0</v>
      </c>
      <c r="G39" s="466">
        <f t="shared" si="9"/>
        <v>0</v>
      </c>
      <c r="H39" s="469">
        <f t="shared" si="9"/>
        <v>0</v>
      </c>
      <c r="I39" s="470">
        <f t="shared" si="9"/>
        <v>0</v>
      </c>
      <c r="J39" s="466">
        <f t="shared" si="9"/>
        <v>0</v>
      </c>
      <c r="K39" s="467">
        <f t="shared" si="9"/>
        <v>0</v>
      </c>
      <c r="L39" s="322"/>
      <c r="M39" s="322"/>
    </row>
    <row r="40" spans="1:13" ht="11.25" customHeight="1" x14ac:dyDescent="0.25">
      <c r="A40" s="104" t="s">
        <v>593</v>
      </c>
      <c r="B40" s="97"/>
      <c r="C40" s="466">
        <f>'SA9'!E101</f>
        <v>0</v>
      </c>
      <c r="D40" s="466">
        <f>'SA9'!F101</f>
        <v>0</v>
      </c>
      <c r="E40" s="577">
        <f>'SA9'!G101</f>
        <v>0</v>
      </c>
      <c r="F40" s="470">
        <f>'SA9'!H101</f>
        <v>0</v>
      </c>
      <c r="G40" s="466">
        <f>'SA9'!I101</f>
        <v>0</v>
      </c>
      <c r="H40" s="577">
        <f>'SA9'!J101</f>
        <v>0</v>
      </c>
      <c r="I40" s="470">
        <f>'SA9'!K101</f>
        <v>0</v>
      </c>
      <c r="J40" s="466">
        <f>'SA9'!L101</f>
        <v>0</v>
      </c>
      <c r="K40" s="577">
        <f>'SA9'!M101</f>
        <v>0</v>
      </c>
      <c r="L40" s="322"/>
      <c r="M40" s="322"/>
    </row>
    <row r="41" spans="1:13" ht="11.25" customHeight="1" x14ac:dyDescent="0.25">
      <c r="A41" s="104" t="s">
        <v>594</v>
      </c>
      <c r="B41" s="97"/>
      <c r="C41" s="466">
        <f>'SA9'!E102</f>
        <v>0</v>
      </c>
      <c r="D41" s="466">
        <f>'SA9'!F102</f>
        <v>0</v>
      </c>
      <c r="E41" s="577">
        <f>'SA9'!G102</f>
        <v>0</v>
      </c>
      <c r="F41" s="470">
        <f>'SA9'!H102</f>
        <v>0</v>
      </c>
      <c r="G41" s="466">
        <f>'SA9'!I102</f>
        <v>0</v>
      </c>
      <c r="H41" s="577">
        <f>'SA9'!J102</f>
        <v>0</v>
      </c>
      <c r="I41" s="470">
        <f>'SA9'!K102</f>
        <v>0</v>
      </c>
      <c r="J41" s="466">
        <f>'SA9'!L102</f>
        <v>0</v>
      </c>
      <c r="K41" s="577">
        <f>'SA9'!M102</f>
        <v>0</v>
      </c>
      <c r="L41" s="322"/>
      <c r="M41" s="322"/>
    </row>
    <row r="42" spans="1:13" ht="11.25" customHeight="1" x14ac:dyDescent="0.25">
      <c r="A42" s="104" t="s">
        <v>755</v>
      </c>
      <c r="B42" s="97"/>
      <c r="C42" s="466">
        <f>'SA9'!E103</f>
        <v>0</v>
      </c>
      <c r="D42" s="466">
        <f>'SA9'!F103</f>
        <v>0</v>
      </c>
      <c r="E42" s="577">
        <f>'SA9'!G103</f>
        <v>0</v>
      </c>
      <c r="F42" s="470">
        <f>'SA9'!H103</f>
        <v>0</v>
      </c>
      <c r="G42" s="466">
        <f>'SA9'!I103</f>
        <v>0</v>
      </c>
      <c r="H42" s="577">
        <f>'SA9'!J103</f>
        <v>0</v>
      </c>
      <c r="I42" s="470">
        <f>'SA9'!K103</f>
        <v>0</v>
      </c>
      <c r="J42" s="466">
        <f>'SA9'!L103</f>
        <v>0</v>
      </c>
      <c r="K42" s="577">
        <f>'SA9'!M103</f>
        <v>0</v>
      </c>
      <c r="L42" s="322"/>
      <c r="M42" s="322"/>
    </row>
    <row r="43" spans="1:13" ht="11.25" customHeight="1" x14ac:dyDescent="0.25">
      <c r="A43" s="104" t="s">
        <v>756</v>
      </c>
      <c r="B43" s="97"/>
      <c r="C43" s="466">
        <f>'SA9'!E104</f>
        <v>0</v>
      </c>
      <c r="D43" s="466">
        <f>'SA9'!F104</f>
        <v>0</v>
      </c>
      <c r="E43" s="577">
        <f>'SA9'!G104</f>
        <v>0</v>
      </c>
      <c r="F43" s="470">
        <f>'SA9'!H104</f>
        <v>0</v>
      </c>
      <c r="G43" s="466">
        <f>'SA9'!I104</f>
        <v>0</v>
      </c>
      <c r="H43" s="577">
        <f>'SA9'!J104</f>
        <v>0</v>
      </c>
      <c r="I43" s="470">
        <f>'SA9'!K104</f>
        <v>0</v>
      </c>
      <c r="J43" s="466">
        <f>'SA9'!L104</f>
        <v>0</v>
      </c>
      <c r="K43" s="577">
        <f>'SA9'!M104</f>
        <v>0</v>
      </c>
      <c r="L43" s="322"/>
      <c r="M43" s="322"/>
    </row>
    <row r="44" spans="1:13" ht="11.25" customHeight="1" x14ac:dyDescent="0.25">
      <c r="A44" s="104" t="s">
        <v>170</v>
      </c>
      <c r="B44" s="97"/>
      <c r="C44" s="466">
        <f>'SA9'!E105</f>
        <v>0</v>
      </c>
      <c r="D44" s="466">
        <f>'SA9'!F105</f>
        <v>0</v>
      </c>
      <c r="E44" s="577">
        <f>'SA9'!G105</f>
        <v>0</v>
      </c>
      <c r="F44" s="470">
        <f>'SA9'!H105</f>
        <v>0</v>
      </c>
      <c r="G44" s="466">
        <f>'SA9'!I105</f>
        <v>0</v>
      </c>
      <c r="H44" s="577">
        <f>'SA9'!J105</f>
        <v>0</v>
      </c>
      <c r="I44" s="470">
        <f>'SA9'!K105</f>
        <v>0</v>
      </c>
      <c r="J44" s="466">
        <f>'SA9'!L105</f>
        <v>0</v>
      </c>
      <c r="K44" s="577">
        <f>'SA9'!M105</f>
        <v>0</v>
      </c>
      <c r="L44" s="322"/>
      <c r="M44" s="322"/>
    </row>
    <row r="45" spans="1:13" ht="11.25" customHeight="1" x14ac:dyDescent="0.25">
      <c r="A45" s="374" t="str">
        <f>$A$14</f>
        <v>Below Minimum Service Level sub-total</v>
      </c>
      <c r="B45" s="97"/>
      <c r="C45" s="456">
        <f t="shared" ref="C45:K45" si="10">SUM(C40:C44)</f>
        <v>0</v>
      </c>
      <c r="D45" s="456">
        <f t="shared" si="10"/>
        <v>0</v>
      </c>
      <c r="E45" s="457">
        <f t="shared" si="10"/>
        <v>0</v>
      </c>
      <c r="F45" s="458">
        <f t="shared" si="10"/>
        <v>0</v>
      </c>
      <c r="G45" s="456">
        <f t="shared" si="10"/>
        <v>0</v>
      </c>
      <c r="H45" s="459">
        <f t="shared" si="10"/>
        <v>0</v>
      </c>
      <c r="I45" s="460">
        <f t="shared" si="10"/>
        <v>0</v>
      </c>
      <c r="J45" s="456">
        <f t="shared" si="10"/>
        <v>0</v>
      </c>
      <c r="K45" s="457">
        <f t="shared" si="10"/>
        <v>0</v>
      </c>
      <c r="L45" s="322"/>
      <c r="M45" s="322"/>
    </row>
    <row r="46" spans="1:13" ht="11.25" customHeight="1" x14ac:dyDescent="0.25">
      <c r="A46" s="105" t="str">
        <f>$A$15</f>
        <v>Total number of households</v>
      </c>
      <c r="B46" s="97">
        <f>$B$15</f>
        <v>5</v>
      </c>
      <c r="C46" s="461">
        <f>C39+C45</f>
        <v>0</v>
      </c>
      <c r="D46" s="461">
        <f t="shared" ref="D46:K46" si="11">D39+D45</f>
        <v>0</v>
      </c>
      <c r="E46" s="462">
        <f t="shared" si="11"/>
        <v>0</v>
      </c>
      <c r="F46" s="463">
        <f t="shared" si="11"/>
        <v>0</v>
      </c>
      <c r="G46" s="461">
        <f t="shared" si="11"/>
        <v>0</v>
      </c>
      <c r="H46" s="464">
        <f t="shared" si="11"/>
        <v>0</v>
      </c>
      <c r="I46" s="465">
        <f t="shared" si="11"/>
        <v>0</v>
      </c>
      <c r="J46" s="461">
        <f t="shared" si="11"/>
        <v>0</v>
      </c>
      <c r="K46" s="462">
        <f t="shared" si="11"/>
        <v>0</v>
      </c>
      <c r="L46" s="322"/>
      <c r="M46" s="322"/>
    </row>
    <row r="47" spans="1:13" ht="4.9000000000000004" customHeight="1" x14ac:dyDescent="0.25">
      <c r="A47" s="108"/>
      <c r="B47" s="109"/>
      <c r="C47" s="110"/>
      <c r="D47" s="110"/>
      <c r="E47" s="111"/>
      <c r="F47" s="112"/>
      <c r="G47" s="110"/>
      <c r="H47" s="113"/>
      <c r="I47" s="114"/>
      <c r="J47" s="110"/>
      <c r="K47" s="111"/>
      <c r="L47" s="322"/>
      <c r="M47" s="322"/>
    </row>
    <row r="48" spans="1:13" ht="15.75" customHeight="1" x14ac:dyDescent="0.25">
      <c r="A48" s="574" t="s">
        <v>171</v>
      </c>
      <c r="B48" s="97">
        <v>7</v>
      </c>
      <c r="C48" s="71"/>
      <c r="D48" s="71"/>
      <c r="E48" s="115"/>
      <c r="F48" s="83"/>
      <c r="G48" s="71"/>
      <c r="H48" s="74"/>
      <c r="I48" s="75"/>
      <c r="J48" s="71"/>
      <c r="K48" s="72"/>
      <c r="L48" s="322"/>
      <c r="M48" s="322"/>
    </row>
    <row r="49" spans="1:13" ht="11.25" customHeight="1" x14ac:dyDescent="0.25">
      <c r="A49" s="137" t="s">
        <v>1145</v>
      </c>
      <c r="B49" s="97"/>
      <c r="C49" s="466">
        <f>'SA9'!E263</f>
        <v>0</v>
      </c>
      <c r="D49" s="466">
        <f>'SA9'!F263</f>
        <v>0</v>
      </c>
      <c r="E49" s="577">
        <f>'SA9'!G263</f>
        <v>0</v>
      </c>
      <c r="F49" s="470">
        <f>'SA9'!H263</f>
        <v>0</v>
      </c>
      <c r="G49" s="466">
        <f>'SA9'!I263</f>
        <v>0</v>
      </c>
      <c r="H49" s="577">
        <f>'SA9'!J263</f>
        <v>0</v>
      </c>
      <c r="I49" s="470">
        <f>'SA9'!K263</f>
        <v>0</v>
      </c>
      <c r="J49" s="466">
        <f>'SA9'!L263</f>
        <v>0</v>
      </c>
      <c r="K49" s="577">
        <f>'SA9'!M263</f>
        <v>0</v>
      </c>
      <c r="L49" s="322"/>
      <c r="M49" s="322"/>
    </row>
    <row r="50" spans="1:13" ht="11.25" customHeight="1" x14ac:dyDescent="0.25">
      <c r="A50" s="137" t="s">
        <v>324</v>
      </c>
      <c r="B50" s="97"/>
      <c r="C50" s="466">
        <f>'SA9'!E275</f>
        <v>0</v>
      </c>
      <c r="D50" s="466">
        <f>'SA9'!F275</f>
        <v>0</v>
      </c>
      <c r="E50" s="577">
        <f>'SA9'!G275</f>
        <v>0</v>
      </c>
      <c r="F50" s="470">
        <f>'SA9'!H275</f>
        <v>0</v>
      </c>
      <c r="G50" s="466">
        <f>'SA9'!I275</f>
        <v>0</v>
      </c>
      <c r="H50" s="577">
        <f>'SA9'!J275</f>
        <v>0</v>
      </c>
      <c r="I50" s="470">
        <f>'SA9'!K275</f>
        <v>0</v>
      </c>
      <c r="J50" s="466">
        <f>'SA9'!L275</f>
        <v>0</v>
      </c>
      <c r="K50" s="577">
        <f>'SA9'!M275</f>
        <v>0</v>
      </c>
      <c r="L50" s="322"/>
      <c r="M50" s="322"/>
    </row>
    <row r="51" spans="1:13" ht="11.25" customHeight="1" x14ac:dyDescent="0.25">
      <c r="A51" s="137" t="s">
        <v>1146</v>
      </c>
      <c r="B51" s="97"/>
      <c r="C51" s="466">
        <f>'SA9'!E251</f>
        <v>0</v>
      </c>
      <c r="D51" s="466">
        <f>'SA9'!F251</f>
        <v>0</v>
      </c>
      <c r="E51" s="577">
        <f>'SA9'!G251</f>
        <v>0</v>
      </c>
      <c r="F51" s="470">
        <f>'SA9'!H251</f>
        <v>0</v>
      </c>
      <c r="G51" s="466">
        <f>'SA9'!I251</f>
        <v>0</v>
      </c>
      <c r="H51" s="577">
        <f>'SA9'!J251</f>
        <v>0</v>
      </c>
      <c r="I51" s="470">
        <f>'SA9'!K251</f>
        <v>0</v>
      </c>
      <c r="J51" s="466">
        <f>'SA9'!L251</f>
        <v>0</v>
      </c>
      <c r="K51" s="577">
        <f>'SA9'!M251</f>
        <v>0</v>
      </c>
      <c r="L51" s="322"/>
      <c r="M51" s="322"/>
    </row>
    <row r="52" spans="1:13" ht="11.25" customHeight="1" x14ac:dyDescent="0.25">
      <c r="A52" s="575" t="s">
        <v>325</v>
      </c>
      <c r="B52" s="109"/>
      <c r="C52" s="578">
        <f>'SA9'!E287</f>
        <v>0</v>
      </c>
      <c r="D52" s="578">
        <f>'SA9'!F287</f>
        <v>0</v>
      </c>
      <c r="E52" s="579">
        <f>'SA9'!G287</f>
        <v>0</v>
      </c>
      <c r="F52" s="580">
        <f>'SA9'!H287</f>
        <v>0</v>
      </c>
      <c r="G52" s="578">
        <f>'SA9'!I287</f>
        <v>0</v>
      </c>
      <c r="H52" s="579">
        <f>'SA9'!J287</f>
        <v>0</v>
      </c>
      <c r="I52" s="580">
        <f>'SA9'!K287</f>
        <v>0</v>
      </c>
      <c r="J52" s="578">
        <f>'SA9'!L287</f>
        <v>0</v>
      </c>
      <c r="K52" s="579">
        <f>'SA9'!M287</f>
        <v>0</v>
      </c>
      <c r="L52" s="322"/>
      <c r="M52" s="322"/>
    </row>
    <row r="53" spans="1:13" ht="4.5" customHeight="1" x14ac:dyDescent="0.25">
      <c r="A53" s="116"/>
      <c r="B53" s="97"/>
      <c r="C53" s="71"/>
      <c r="D53" s="71"/>
      <c r="E53" s="117"/>
      <c r="F53" s="75"/>
      <c r="G53" s="71"/>
      <c r="H53" s="74"/>
      <c r="I53" s="75"/>
      <c r="J53" s="71"/>
      <c r="K53" s="117"/>
      <c r="L53" s="322"/>
      <c r="M53" s="322"/>
    </row>
    <row r="54" spans="1:13" ht="11.25" customHeight="1" x14ac:dyDescent="0.25">
      <c r="A54" s="587" t="s">
        <v>2031</v>
      </c>
      <c r="B54" s="97">
        <v>8</v>
      </c>
      <c r="C54" s="71"/>
      <c r="D54" s="71"/>
      <c r="E54" s="72"/>
      <c r="F54" s="73"/>
      <c r="G54" s="71"/>
      <c r="H54" s="74"/>
      <c r="I54" s="75"/>
      <c r="J54" s="71"/>
      <c r="K54" s="72"/>
      <c r="L54" s="322"/>
      <c r="M54" s="322"/>
    </row>
    <row r="55" spans="1:13" ht="11.25" customHeight="1" x14ac:dyDescent="0.25">
      <c r="A55" s="104" t="s">
        <v>2032</v>
      </c>
      <c r="B55" s="97"/>
      <c r="C55" s="71">
        <f>'SA1'!C20</f>
        <v>0</v>
      </c>
      <c r="D55" s="71">
        <f>'SA1'!D20</f>
        <v>0</v>
      </c>
      <c r="E55" s="72">
        <f>'SA1'!E20</f>
        <v>0</v>
      </c>
      <c r="F55" s="73">
        <f>'SA1'!F20</f>
        <v>0</v>
      </c>
      <c r="G55" s="71">
        <f>'SA1'!G20</f>
        <v>0</v>
      </c>
      <c r="H55" s="74">
        <f>'SA1'!H20</f>
        <v>0</v>
      </c>
      <c r="I55" s="75">
        <f>'SA1'!J20</f>
        <v>0</v>
      </c>
      <c r="J55" s="71">
        <f>'SA1'!K20</f>
        <v>0</v>
      </c>
      <c r="K55" s="72">
        <f>'SA1'!L20</f>
        <v>0</v>
      </c>
      <c r="L55" s="322"/>
      <c r="M55" s="322"/>
    </row>
    <row r="56" spans="1:13" ht="11.25" customHeight="1" x14ac:dyDescent="0.25">
      <c r="A56" s="104" t="s">
        <v>2033</v>
      </c>
      <c r="B56" s="97"/>
      <c r="C56" s="71">
        <f>'SA1'!C26</f>
        <v>0</v>
      </c>
      <c r="D56" s="71">
        <f>'SA1'!D26</f>
        <v>0</v>
      </c>
      <c r="E56" s="72">
        <f>'SA1'!E26</f>
        <v>0</v>
      </c>
      <c r="F56" s="73">
        <f>'SA1'!F26</f>
        <v>0</v>
      </c>
      <c r="G56" s="71">
        <f>'SA1'!G26</f>
        <v>0</v>
      </c>
      <c r="H56" s="74">
        <f>'SA1'!H26</f>
        <v>0</v>
      </c>
      <c r="I56" s="75">
        <f>'SA1'!J26</f>
        <v>0</v>
      </c>
      <c r="J56" s="71">
        <f>'SA1'!K26</f>
        <v>0</v>
      </c>
      <c r="K56" s="72">
        <f>'SA1'!L26</f>
        <v>0</v>
      </c>
      <c r="L56" s="322"/>
      <c r="M56" s="322"/>
    </row>
    <row r="57" spans="1:13" ht="11.25" customHeight="1" x14ac:dyDescent="0.25">
      <c r="A57" s="104" t="s">
        <v>2034</v>
      </c>
      <c r="B57" s="97"/>
      <c r="C57" s="71">
        <f>'SA1'!C14</f>
        <v>0</v>
      </c>
      <c r="D57" s="71">
        <f>'SA1'!D14</f>
        <v>0</v>
      </c>
      <c r="E57" s="72">
        <f>'SA1'!E14</f>
        <v>0</v>
      </c>
      <c r="F57" s="73">
        <f>'SA1'!F14</f>
        <v>0</v>
      </c>
      <c r="G57" s="71">
        <f>'SA1'!G14</f>
        <v>0</v>
      </c>
      <c r="H57" s="74">
        <f>'SA1'!H14</f>
        <v>0</v>
      </c>
      <c r="I57" s="75">
        <f>'SA1'!J14</f>
        <v>0</v>
      </c>
      <c r="J57" s="71">
        <f>'SA1'!K14</f>
        <v>0</v>
      </c>
      <c r="K57" s="72">
        <f>'SA1'!L14</f>
        <v>0</v>
      </c>
      <c r="L57" s="322"/>
      <c r="M57" s="322"/>
    </row>
    <row r="58" spans="1:13" ht="11.25" customHeight="1" x14ac:dyDescent="0.25">
      <c r="A58" s="104" t="s">
        <v>2035</v>
      </c>
      <c r="B58" s="97"/>
      <c r="C58" s="71">
        <f>'SA1'!C33</f>
        <v>0</v>
      </c>
      <c r="D58" s="71">
        <f>'SA1'!D33</f>
        <v>0</v>
      </c>
      <c r="E58" s="72">
        <f>'SA1'!E33</f>
        <v>0</v>
      </c>
      <c r="F58" s="73">
        <f>'SA1'!F33</f>
        <v>0</v>
      </c>
      <c r="G58" s="71">
        <f>'SA1'!G33</f>
        <v>0</v>
      </c>
      <c r="H58" s="74">
        <f>'SA1'!H33</f>
        <v>0</v>
      </c>
      <c r="I58" s="75">
        <f>'SA1'!J33</f>
        <v>0</v>
      </c>
      <c r="J58" s="71">
        <f>'SA1'!K33</f>
        <v>0</v>
      </c>
      <c r="K58" s="72">
        <f>'SA1'!L33</f>
        <v>0</v>
      </c>
      <c r="L58" s="322"/>
      <c r="M58" s="322"/>
    </row>
    <row r="59" spans="1:13" ht="11.25" customHeight="1" x14ac:dyDescent="0.25">
      <c r="A59" s="587" t="s">
        <v>2022</v>
      </c>
      <c r="B59" s="97"/>
      <c r="C59" s="71">
        <f>'SA9'!E260+'SA9'!E272+'SA9'!E284+'SA9'!E296</f>
        <v>0</v>
      </c>
      <c r="D59" s="71">
        <f>'SA9'!F260+'SA9'!F272+'SA9'!F284+'SA9'!F296</f>
        <v>0</v>
      </c>
      <c r="E59" s="72">
        <f>'SA9'!G260+'SA9'!G272+'SA9'!G284+'SA9'!G296</f>
        <v>0</v>
      </c>
      <c r="F59" s="73">
        <f>'SA9'!H260+'SA9'!H272+'SA9'!H284+'SA9'!H296</f>
        <v>0</v>
      </c>
      <c r="G59" s="71">
        <f>'SA9'!I260+'SA9'!I272+'SA9'!I284+'SA9'!I296</f>
        <v>0</v>
      </c>
      <c r="H59" s="74">
        <f>'SA9'!J260+'SA9'!J272+'SA9'!J284+'SA9'!J296</f>
        <v>0</v>
      </c>
      <c r="I59" s="75">
        <f>'SA9'!K260+'SA9'!K272+'SA9'!K284+'SA9'!K296</f>
        <v>0</v>
      </c>
      <c r="J59" s="71">
        <f>'SA9'!L260+'SA9'!L272+'SA9'!L284+'SA9'!L296</f>
        <v>0</v>
      </c>
      <c r="K59" s="72">
        <f>'SA9'!M260+'SA9'!M272+'SA9'!M284+'SA9'!M296</f>
        <v>0</v>
      </c>
      <c r="L59" s="322"/>
      <c r="M59" s="322"/>
    </row>
    <row r="60" spans="1:13" ht="11.25" customHeight="1" x14ac:dyDescent="0.25">
      <c r="A60" s="242" t="s">
        <v>2036</v>
      </c>
      <c r="B60" s="109"/>
      <c r="C60" s="243">
        <f t="shared" ref="C60:K60" si="12">SUM(C55:C59)</f>
        <v>0</v>
      </c>
      <c r="D60" s="243">
        <f t="shared" si="12"/>
        <v>0</v>
      </c>
      <c r="E60" s="581">
        <f t="shared" si="12"/>
        <v>0</v>
      </c>
      <c r="F60" s="582">
        <f t="shared" si="12"/>
        <v>0</v>
      </c>
      <c r="G60" s="243">
        <f t="shared" si="12"/>
        <v>0</v>
      </c>
      <c r="H60" s="583">
        <f t="shared" si="12"/>
        <v>0</v>
      </c>
      <c r="I60" s="244">
        <f t="shared" si="12"/>
        <v>0</v>
      </c>
      <c r="J60" s="243">
        <f t="shared" si="12"/>
        <v>0</v>
      </c>
      <c r="K60" s="581">
        <f t="shared" si="12"/>
        <v>0</v>
      </c>
      <c r="L60" s="322"/>
      <c r="M60" s="322"/>
    </row>
    <row r="61" spans="1:13" ht="3.75" customHeight="1" x14ac:dyDescent="0.25">
      <c r="A61" s="145"/>
      <c r="B61" s="97"/>
      <c r="C61" s="98"/>
      <c r="D61" s="98"/>
      <c r="E61" s="99"/>
      <c r="F61" s="100"/>
      <c r="G61" s="98"/>
      <c r="H61" s="101"/>
      <c r="I61" s="102"/>
      <c r="J61" s="98"/>
      <c r="K61" s="99"/>
      <c r="L61" s="322"/>
      <c r="M61" s="322"/>
    </row>
    <row r="62" spans="1:13" ht="11.25" customHeight="1" x14ac:dyDescent="0.25">
      <c r="A62" s="574" t="s">
        <v>2030</v>
      </c>
      <c r="B62" s="97"/>
      <c r="C62" s="71"/>
      <c r="D62" s="71"/>
      <c r="E62" s="72"/>
      <c r="F62" s="73"/>
      <c r="G62" s="71"/>
      <c r="H62" s="74"/>
      <c r="I62" s="75"/>
      <c r="J62" s="71"/>
      <c r="K62" s="72"/>
      <c r="L62" s="322"/>
      <c r="M62" s="322"/>
    </row>
    <row r="63" spans="1:13" ht="11.25" customHeight="1" x14ac:dyDescent="0.25">
      <c r="A63" s="137" t="s">
        <v>1657</v>
      </c>
      <c r="B63" s="97"/>
      <c r="C63" s="891"/>
      <c r="D63" s="891"/>
      <c r="E63" s="892"/>
      <c r="F63" s="893"/>
      <c r="G63" s="891"/>
      <c r="H63" s="894"/>
      <c r="I63" s="895"/>
      <c r="J63" s="891"/>
      <c r="K63" s="892"/>
      <c r="L63" s="322"/>
      <c r="M63" s="322"/>
    </row>
    <row r="64" spans="1:13" ht="11.25" customHeight="1" x14ac:dyDescent="0.25">
      <c r="A64" s="137" t="s">
        <v>1231</v>
      </c>
      <c r="B64" s="97"/>
      <c r="C64" s="891"/>
      <c r="D64" s="896"/>
      <c r="E64" s="897"/>
      <c r="F64" s="893"/>
      <c r="G64" s="896"/>
      <c r="H64" s="898"/>
      <c r="I64" s="899"/>
      <c r="J64" s="891"/>
      <c r="K64" s="892"/>
      <c r="L64" s="322"/>
      <c r="M64" s="322"/>
    </row>
    <row r="65" spans="1:13" ht="11.25" customHeight="1" x14ac:dyDescent="0.25">
      <c r="A65" s="137" t="s">
        <v>1232</v>
      </c>
      <c r="B65" s="97"/>
      <c r="C65" s="891"/>
      <c r="D65" s="891"/>
      <c r="E65" s="892"/>
      <c r="F65" s="893"/>
      <c r="G65" s="896"/>
      <c r="H65" s="898"/>
      <c r="I65" s="895"/>
      <c r="J65" s="891"/>
      <c r="K65" s="892"/>
      <c r="L65" s="322"/>
      <c r="M65" s="322"/>
    </row>
    <row r="66" spans="1:13" ht="11.25" customHeight="1" x14ac:dyDescent="0.25">
      <c r="A66" s="137" t="s">
        <v>588</v>
      </c>
      <c r="B66" s="97"/>
      <c r="C66" s="891"/>
      <c r="D66" s="891"/>
      <c r="E66" s="892"/>
      <c r="F66" s="893"/>
      <c r="G66" s="896"/>
      <c r="H66" s="898"/>
      <c r="I66" s="895"/>
      <c r="J66" s="891"/>
      <c r="K66" s="892"/>
      <c r="L66" s="322"/>
      <c r="M66" s="322"/>
    </row>
    <row r="67" spans="1:13" ht="11.25" customHeight="1" x14ac:dyDescent="0.25">
      <c r="A67" s="137" t="s">
        <v>326</v>
      </c>
      <c r="B67" s="97"/>
      <c r="C67" s="891"/>
      <c r="D67" s="896"/>
      <c r="E67" s="897"/>
      <c r="F67" s="893"/>
      <c r="G67" s="896"/>
      <c r="H67" s="898"/>
      <c r="I67" s="899"/>
      <c r="J67" s="891"/>
      <c r="K67" s="892"/>
      <c r="L67" s="322"/>
      <c r="M67" s="322"/>
    </row>
    <row r="68" spans="1:13" ht="11.25" customHeight="1" x14ac:dyDescent="0.25">
      <c r="A68" s="576" t="s">
        <v>591</v>
      </c>
      <c r="B68" s="109"/>
      <c r="C68" s="900"/>
      <c r="D68" s="900"/>
      <c r="E68" s="901"/>
      <c r="F68" s="902"/>
      <c r="G68" s="903"/>
      <c r="H68" s="904"/>
      <c r="I68" s="905"/>
      <c r="J68" s="900"/>
      <c r="K68" s="901"/>
      <c r="L68" s="322"/>
      <c r="M68" s="322"/>
    </row>
    <row r="69" spans="1:13" ht="15.75" customHeight="1" x14ac:dyDescent="0.25">
      <c r="A69" s="96" t="s">
        <v>2037</v>
      </c>
      <c r="B69" s="97">
        <v>9</v>
      </c>
      <c r="C69" s="71"/>
      <c r="D69" s="71"/>
      <c r="E69" s="72"/>
      <c r="F69" s="73"/>
      <c r="G69" s="71"/>
      <c r="H69" s="74"/>
      <c r="I69" s="75"/>
      <c r="J69" s="71"/>
      <c r="K69" s="72"/>
      <c r="L69" s="322"/>
      <c r="M69" s="322"/>
    </row>
    <row r="70" spans="1:13" ht="25.5" x14ac:dyDescent="0.25">
      <c r="A70" s="478" t="s">
        <v>2042</v>
      </c>
      <c r="B70" s="97"/>
      <c r="C70" s="712"/>
      <c r="D70" s="712"/>
      <c r="E70" s="717"/>
      <c r="F70" s="718"/>
      <c r="G70" s="712"/>
      <c r="H70" s="719"/>
      <c r="I70" s="725"/>
      <c r="J70" s="712"/>
      <c r="K70" s="717"/>
      <c r="L70" s="322"/>
      <c r="M70" s="322"/>
    </row>
    <row r="71" spans="1:13" ht="24" customHeight="1" x14ac:dyDescent="0.25">
      <c r="A71" s="478" t="s">
        <v>2043</v>
      </c>
      <c r="B71" s="97"/>
      <c r="C71" s="71">
        <f>'SA1'!C8</f>
        <v>-1535370</v>
      </c>
      <c r="D71" s="71">
        <f>'SA1'!D8</f>
        <v>-1594316</v>
      </c>
      <c r="E71" s="72">
        <f>'SA1'!E8</f>
        <v>-2240852</v>
      </c>
      <c r="F71" s="73">
        <f>'SA1'!F8</f>
        <v>1507430</v>
      </c>
      <c r="G71" s="71">
        <f>'SA1'!G8</f>
        <v>1507430</v>
      </c>
      <c r="H71" s="74">
        <f>'SA1'!H8</f>
        <v>1507430</v>
      </c>
      <c r="I71" s="75">
        <f>'SA1'!J8</f>
        <v>1566222</v>
      </c>
      <c r="J71" s="71">
        <f>'SA1'!K8</f>
        <v>1628867</v>
      </c>
      <c r="K71" s="72">
        <f>'SA1'!L8</f>
        <v>1694023</v>
      </c>
      <c r="L71" s="322"/>
      <c r="M71" s="322"/>
    </row>
    <row r="72" spans="1:13" ht="11.25" customHeight="1" x14ac:dyDescent="0.25">
      <c r="A72" s="104" t="s">
        <v>2038</v>
      </c>
      <c r="B72" s="97"/>
      <c r="C72" s="71">
        <f>'SA1'!C19</f>
        <v>0</v>
      </c>
      <c r="D72" s="71">
        <f>'SA1'!D19</f>
        <v>0</v>
      </c>
      <c r="E72" s="72">
        <f>'SA1'!E19</f>
        <v>0</v>
      </c>
      <c r="F72" s="73">
        <f>'SA1'!F19</f>
        <v>0</v>
      </c>
      <c r="G72" s="71">
        <f>'SA1'!G19</f>
        <v>0</v>
      </c>
      <c r="H72" s="74">
        <f>'SA1'!H19</f>
        <v>0</v>
      </c>
      <c r="I72" s="75">
        <f>'SA1'!J19</f>
        <v>0</v>
      </c>
      <c r="J72" s="71">
        <f>'SA1'!K19</f>
        <v>0</v>
      </c>
      <c r="K72" s="72">
        <f>'SA1'!L19</f>
        <v>0</v>
      </c>
      <c r="L72" s="322"/>
      <c r="M72" s="322"/>
    </row>
    <row r="73" spans="1:13" ht="11.25" customHeight="1" x14ac:dyDescent="0.25">
      <c r="A73" s="104" t="s">
        <v>2039</v>
      </c>
      <c r="B73" s="97"/>
      <c r="C73" s="71">
        <f>'SA1'!C25</f>
        <v>0</v>
      </c>
      <c r="D73" s="71">
        <f>'SA1'!D25</f>
        <v>0</v>
      </c>
      <c r="E73" s="72">
        <f>'SA1'!E25</f>
        <v>0</v>
      </c>
      <c r="F73" s="73">
        <f>'SA1'!F25</f>
        <v>0</v>
      </c>
      <c r="G73" s="71">
        <f>'SA1'!G25</f>
        <v>0</v>
      </c>
      <c r="H73" s="74">
        <f>'SA1'!H25</f>
        <v>0</v>
      </c>
      <c r="I73" s="75">
        <f>'SA1'!J25</f>
        <v>0</v>
      </c>
      <c r="J73" s="71">
        <f>'SA1'!K25</f>
        <v>0</v>
      </c>
      <c r="K73" s="72">
        <f>'SA1'!L25</f>
        <v>0</v>
      </c>
      <c r="L73" s="322"/>
      <c r="M73" s="322"/>
    </row>
    <row r="74" spans="1:13" ht="11.25" customHeight="1" x14ac:dyDescent="0.25">
      <c r="A74" s="104" t="s">
        <v>2040</v>
      </c>
      <c r="B74" s="97"/>
      <c r="C74" s="71">
        <f>'SA1'!C13</f>
        <v>0</v>
      </c>
      <c r="D74" s="71">
        <f>'SA1'!D13</f>
        <v>0</v>
      </c>
      <c r="E74" s="72">
        <f>'SA1'!E13</f>
        <v>0</v>
      </c>
      <c r="F74" s="73">
        <f>'SA1'!F13</f>
        <v>0</v>
      </c>
      <c r="G74" s="71">
        <f>'SA1'!G13</f>
        <v>0</v>
      </c>
      <c r="H74" s="74">
        <f>'SA1'!H13</f>
        <v>0</v>
      </c>
      <c r="I74" s="75">
        <f>'SA1'!J13</f>
        <v>0</v>
      </c>
      <c r="J74" s="71">
        <f>'SA1'!K13</f>
        <v>0</v>
      </c>
      <c r="K74" s="72">
        <f>'SA1'!L13</f>
        <v>0</v>
      </c>
      <c r="L74" s="322"/>
      <c r="M74" s="322"/>
    </row>
    <row r="75" spans="1:13" ht="11.25" customHeight="1" x14ac:dyDescent="0.25">
      <c r="A75" s="104" t="s">
        <v>2041</v>
      </c>
      <c r="B75" s="97"/>
      <c r="C75" s="71">
        <f>'SA1'!C32</f>
        <v>0</v>
      </c>
      <c r="D75" s="71">
        <f>'SA1'!D32</f>
        <v>0</v>
      </c>
      <c r="E75" s="72">
        <f>'SA1'!E32</f>
        <v>0</v>
      </c>
      <c r="F75" s="73">
        <f>'SA1'!F32</f>
        <v>0</v>
      </c>
      <c r="G75" s="71">
        <f>'SA1'!G32</f>
        <v>0</v>
      </c>
      <c r="H75" s="74">
        <f>'SA1'!H32</f>
        <v>0</v>
      </c>
      <c r="I75" s="75">
        <f>'SA1'!J32</f>
        <v>0</v>
      </c>
      <c r="J75" s="71">
        <f>'SA1'!K32</f>
        <v>0</v>
      </c>
      <c r="K75" s="72">
        <f>'SA1'!L32</f>
        <v>0</v>
      </c>
      <c r="L75" s="322"/>
      <c r="M75" s="322"/>
    </row>
    <row r="76" spans="1:13" ht="11.25" customHeight="1" x14ac:dyDescent="0.25">
      <c r="A76" s="104" t="s">
        <v>327</v>
      </c>
      <c r="B76" s="97"/>
      <c r="C76" s="712"/>
      <c r="D76" s="712"/>
      <c r="E76" s="717"/>
      <c r="F76" s="718"/>
      <c r="G76" s="712"/>
      <c r="H76" s="719"/>
      <c r="I76" s="725"/>
      <c r="J76" s="712"/>
      <c r="K76" s="717"/>
      <c r="L76" s="322"/>
      <c r="M76" s="322"/>
    </row>
    <row r="77" spans="1:13" ht="11.25" customHeight="1" x14ac:dyDescent="0.25">
      <c r="A77" s="104" t="s">
        <v>328</v>
      </c>
      <c r="B77" s="97">
        <v>6</v>
      </c>
      <c r="C77" s="712"/>
      <c r="D77" s="712"/>
      <c r="E77" s="717"/>
      <c r="F77" s="718"/>
      <c r="G77" s="712"/>
      <c r="H77" s="719"/>
      <c r="I77" s="725"/>
      <c r="J77" s="712"/>
      <c r="K77" s="717"/>
      <c r="L77" s="322"/>
      <c r="M77" s="322"/>
    </row>
    <row r="78" spans="1:13" ht="11.25" customHeight="1" x14ac:dyDescent="0.25">
      <c r="A78" s="104" t="s">
        <v>245</v>
      </c>
      <c r="B78" s="97"/>
      <c r="C78" s="712"/>
      <c r="D78" s="712"/>
      <c r="E78" s="717"/>
      <c r="F78" s="718"/>
      <c r="G78" s="712"/>
      <c r="H78" s="719"/>
      <c r="I78" s="725"/>
      <c r="J78" s="712"/>
      <c r="K78" s="717"/>
      <c r="L78" s="322"/>
      <c r="M78" s="322"/>
    </row>
    <row r="79" spans="1:13" x14ac:dyDescent="0.25">
      <c r="A79" s="310" t="s">
        <v>2044</v>
      </c>
      <c r="B79" s="118"/>
      <c r="C79" s="119">
        <f>SUM(C70:C78)</f>
        <v>-1535370</v>
      </c>
      <c r="D79" s="119">
        <f t="shared" ref="D79:I79" si="13">SUM(D70:D78)</f>
        <v>-1594316</v>
      </c>
      <c r="E79" s="120">
        <f t="shared" si="13"/>
        <v>-2240852</v>
      </c>
      <c r="F79" s="121">
        <f t="shared" si="13"/>
        <v>1507430</v>
      </c>
      <c r="G79" s="119">
        <f t="shared" si="13"/>
        <v>1507430</v>
      </c>
      <c r="H79" s="122">
        <f t="shared" si="13"/>
        <v>1507430</v>
      </c>
      <c r="I79" s="123">
        <f t="shared" si="13"/>
        <v>1566222</v>
      </c>
      <c r="J79" s="119">
        <f>SUM(J70:J78)</f>
        <v>1628867</v>
      </c>
      <c r="K79" s="120">
        <f>SUM(K70:K78)</f>
        <v>1694023</v>
      </c>
      <c r="L79" s="322"/>
      <c r="M79" s="322"/>
    </row>
    <row r="80" spans="1:13" ht="11.25" customHeight="1" x14ac:dyDescent="0.25">
      <c r="A80" s="124" t="str">
        <f>head27a</f>
        <v>References</v>
      </c>
      <c r="B80" s="58"/>
      <c r="L80" s="322"/>
      <c r="M80" s="322"/>
    </row>
    <row r="81" spans="1:11" ht="11.25" customHeight="1" x14ac:dyDescent="0.25">
      <c r="A81" s="125" t="s">
        <v>439</v>
      </c>
      <c r="B81" s="58"/>
    </row>
    <row r="82" spans="1:11" ht="11.25" customHeight="1" x14ac:dyDescent="0.25">
      <c r="A82" s="125" t="s">
        <v>440</v>
      </c>
      <c r="B82" s="58"/>
    </row>
    <row r="83" spans="1:11" ht="11.25" customHeight="1" x14ac:dyDescent="0.25">
      <c r="A83" s="125" t="s">
        <v>441</v>
      </c>
      <c r="B83" s="58"/>
    </row>
    <row r="84" spans="1:11" ht="11.25" customHeight="1" x14ac:dyDescent="0.25">
      <c r="A84" s="125" t="s">
        <v>442</v>
      </c>
      <c r="B84" s="126"/>
      <c r="C84" s="126"/>
      <c r="D84" s="126"/>
      <c r="E84" s="126"/>
      <c r="F84" s="126"/>
      <c r="G84" s="126"/>
      <c r="H84" s="126"/>
      <c r="I84" s="126"/>
      <c r="J84" s="126"/>
      <c r="K84" s="126"/>
    </row>
    <row r="85" spans="1:11" ht="11.25" customHeight="1" x14ac:dyDescent="0.25">
      <c r="A85" s="125" t="s">
        <v>2015</v>
      </c>
      <c r="B85" s="126"/>
      <c r="C85" s="126"/>
      <c r="D85" s="126"/>
      <c r="E85" s="126"/>
      <c r="F85" s="126"/>
      <c r="G85" s="126"/>
      <c r="H85" s="126"/>
      <c r="I85" s="126"/>
      <c r="J85" s="126"/>
      <c r="K85" s="126"/>
    </row>
    <row r="86" spans="1:11" ht="11.25" customHeight="1" x14ac:dyDescent="0.25">
      <c r="A86" s="125" t="s">
        <v>443</v>
      </c>
      <c r="B86" s="126"/>
      <c r="C86" s="126"/>
      <c r="D86" s="126"/>
      <c r="E86" s="126"/>
      <c r="F86" s="126"/>
      <c r="G86" s="126"/>
      <c r="H86" s="126"/>
      <c r="I86" s="126"/>
      <c r="J86" s="126"/>
      <c r="K86" s="126"/>
    </row>
    <row r="87" spans="1:11" ht="11.25" customHeight="1" x14ac:dyDescent="0.25">
      <c r="A87" s="125" t="s">
        <v>2014</v>
      </c>
      <c r="B87" s="126"/>
      <c r="C87" s="126"/>
      <c r="D87" s="126"/>
      <c r="E87" s="126"/>
      <c r="F87" s="126"/>
      <c r="G87" s="126"/>
      <c r="H87" s="126"/>
      <c r="I87" s="126"/>
      <c r="J87" s="126"/>
      <c r="K87" s="126"/>
    </row>
    <row r="88" spans="1:11" ht="11.25" customHeight="1" x14ac:dyDescent="0.25">
      <c r="A88" s="125" t="s">
        <v>701</v>
      </c>
      <c r="B88" s="126"/>
      <c r="C88" s="126"/>
      <c r="D88" s="126"/>
      <c r="E88" s="126"/>
      <c r="F88" s="126"/>
      <c r="G88" s="126"/>
      <c r="H88" s="126"/>
      <c r="I88" s="126"/>
      <c r="J88" s="126"/>
      <c r="K88" s="126"/>
    </row>
    <row r="89" spans="1:11" ht="11.25" customHeight="1" x14ac:dyDescent="0.25">
      <c r="A89" s="125" t="s">
        <v>1349</v>
      </c>
      <c r="B89" s="125"/>
      <c r="C89" s="126"/>
      <c r="D89" s="126"/>
      <c r="E89" s="126"/>
      <c r="F89" s="126"/>
      <c r="G89" s="126"/>
      <c r="H89" s="126"/>
      <c r="I89" s="126"/>
      <c r="J89" s="126"/>
      <c r="K89" s="126"/>
    </row>
    <row r="90" spans="1:11" ht="11.25" customHeight="1" x14ac:dyDescent="0.25">
      <c r="A90" s="126"/>
      <c r="B90" s="126"/>
      <c r="C90" s="126"/>
      <c r="D90" s="126"/>
      <c r="E90" s="126"/>
      <c r="F90" s="126"/>
      <c r="G90" s="126"/>
      <c r="H90" s="126"/>
      <c r="I90" s="126"/>
      <c r="J90" s="126"/>
      <c r="K90" s="126"/>
    </row>
    <row r="91" spans="1:11" ht="11.25" customHeight="1" x14ac:dyDescent="0.25">
      <c r="A91" s="126"/>
      <c r="B91" s="126"/>
      <c r="C91" s="126"/>
      <c r="D91" s="126"/>
      <c r="E91" s="126"/>
      <c r="F91" s="126"/>
      <c r="G91" s="126"/>
      <c r="H91" s="126"/>
      <c r="I91" s="126"/>
      <c r="J91" s="126"/>
      <c r="K91" s="126"/>
    </row>
    <row r="92" spans="1:11" ht="11.25" customHeight="1" x14ac:dyDescent="0.25">
      <c r="A92" s="479"/>
      <c r="B92" s="126"/>
      <c r="D92" s="126"/>
      <c r="E92" s="126"/>
      <c r="F92" s="126"/>
      <c r="G92" s="126"/>
      <c r="H92" s="126"/>
      <c r="I92" s="126"/>
      <c r="J92" s="126"/>
      <c r="K92" s="126"/>
    </row>
    <row r="93" spans="1:11" ht="11.25" customHeight="1" x14ac:dyDescent="0.25">
      <c r="A93" s="480"/>
      <c r="B93" s="126"/>
      <c r="C93" s="469"/>
      <c r="D93" s="469"/>
      <c r="E93" s="469"/>
      <c r="F93" s="469"/>
      <c r="G93" s="469"/>
      <c r="H93" s="469"/>
      <c r="I93" s="469"/>
      <c r="J93" s="469"/>
      <c r="K93" s="469"/>
    </row>
    <row r="94" spans="1:11" ht="11.25" customHeight="1" x14ac:dyDescent="0.25">
      <c r="A94" s="480"/>
      <c r="B94" s="126"/>
      <c r="C94" s="469"/>
      <c r="D94" s="469"/>
      <c r="E94" s="469"/>
      <c r="F94" s="469"/>
      <c r="G94" s="469"/>
      <c r="H94" s="469"/>
      <c r="I94" s="469"/>
      <c r="J94" s="469"/>
      <c r="K94" s="469"/>
    </row>
    <row r="95" spans="1:11" ht="11.25" customHeight="1" x14ac:dyDescent="0.25">
      <c r="A95" s="480"/>
      <c r="B95" s="126"/>
      <c r="C95" s="469"/>
      <c r="D95" s="469"/>
      <c r="E95" s="469"/>
      <c r="F95" s="469"/>
      <c r="G95" s="469"/>
      <c r="H95" s="469"/>
      <c r="I95" s="469"/>
      <c r="J95" s="469"/>
      <c r="K95" s="469"/>
    </row>
    <row r="96" spans="1:11" ht="11.25" customHeight="1" x14ac:dyDescent="0.25">
      <c r="A96" s="480"/>
      <c r="B96" s="126"/>
      <c r="C96" s="469"/>
      <c r="D96" s="469"/>
      <c r="E96" s="469"/>
      <c r="F96" s="469"/>
      <c r="G96" s="469"/>
      <c r="H96" s="469"/>
      <c r="I96" s="469"/>
      <c r="J96" s="469"/>
      <c r="K96" s="469"/>
    </row>
    <row r="97" spans="1:11" ht="11.25" customHeight="1" x14ac:dyDescent="0.25">
      <c r="A97" s="126"/>
      <c r="B97" s="126"/>
      <c r="C97" s="126"/>
      <c r="D97" s="126"/>
      <c r="E97" s="126"/>
      <c r="F97" s="126"/>
      <c r="G97" s="126"/>
      <c r="H97" s="126"/>
      <c r="I97" s="126"/>
      <c r="J97" s="126"/>
      <c r="K97" s="126"/>
    </row>
    <row r="98" spans="1:11" ht="11.25" customHeight="1" x14ac:dyDescent="0.25">
      <c r="A98" s="126"/>
      <c r="B98" s="126"/>
      <c r="C98" s="126"/>
      <c r="D98" s="126"/>
      <c r="E98" s="126"/>
      <c r="F98" s="126"/>
      <c r="G98" s="126"/>
      <c r="H98" s="126"/>
      <c r="I98" s="126"/>
      <c r="J98" s="126"/>
      <c r="K98" s="126"/>
    </row>
    <row r="99" spans="1:11" ht="11.25" customHeight="1" x14ac:dyDescent="0.25">
      <c r="A99" s="126"/>
      <c r="B99" s="126"/>
      <c r="C99" s="126"/>
      <c r="D99" s="126"/>
      <c r="E99" s="126"/>
      <c r="F99" s="126"/>
      <c r="G99" s="126"/>
      <c r="H99" s="126"/>
      <c r="I99" s="126"/>
      <c r="J99" s="126"/>
      <c r="K99" s="126"/>
    </row>
    <row r="100" spans="1:11" ht="11.25" customHeight="1" x14ac:dyDescent="0.25">
      <c r="B100" s="58"/>
    </row>
    <row r="101" spans="1:11" ht="11.25" customHeight="1" x14ac:dyDescent="0.25">
      <c r="B101" s="58"/>
    </row>
    <row r="102" spans="1:11" ht="11.25" customHeight="1" x14ac:dyDescent="0.25">
      <c r="B102" s="58"/>
    </row>
    <row r="103" spans="1:11" ht="11.25" customHeight="1" x14ac:dyDescent="0.25">
      <c r="B103" s="58"/>
    </row>
    <row r="104" spans="1:11" ht="11.25" customHeight="1" x14ac:dyDescent="0.25">
      <c r="B104" s="58"/>
    </row>
    <row r="105" spans="1:11" ht="11.25" customHeight="1" x14ac:dyDescent="0.25">
      <c r="B105" s="58"/>
    </row>
    <row r="106" spans="1:11" ht="11.25" customHeight="1" x14ac:dyDescent="0.25">
      <c r="B106" s="58"/>
    </row>
    <row r="107" spans="1:11" ht="11.25" customHeight="1" x14ac:dyDescent="0.25">
      <c r="B107" s="58"/>
    </row>
    <row r="108" spans="1:11" ht="11.25" customHeight="1" x14ac:dyDescent="0.25">
      <c r="B108" s="58"/>
    </row>
    <row r="109" spans="1:11" ht="11.25" customHeight="1" x14ac:dyDescent="0.25">
      <c r="B109" s="58"/>
    </row>
    <row r="110" spans="1:11" ht="11.25" customHeight="1" x14ac:dyDescent="0.25">
      <c r="B110" s="58"/>
    </row>
    <row r="111" spans="1:11" ht="11.25" customHeight="1" x14ac:dyDescent="0.25">
      <c r="B111" s="58"/>
    </row>
    <row r="112" spans="1:11" ht="11.25" customHeight="1" x14ac:dyDescent="0.25">
      <c r="B112" s="58"/>
    </row>
    <row r="113" ht="11.25" customHeight="1" x14ac:dyDescent="0.25"/>
    <row r="114" ht="11.25" customHeight="1" x14ac:dyDescent="0.25"/>
    <row r="115" ht="11.25" customHeight="1" x14ac:dyDescent="0.25"/>
    <row r="116" ht="11.25" customHeight="1" x14ac:dyDescent="0.25"/>
    <row r="117" ht="11.25" customHeight="1" x14ac:dyDescent="0.25"/>
    <row r="118" ht="11.25" customHeight="1" x14ac:dyDescent="0.25"/>
    <row r="119" ht="11.25" customHeight="1" x14ac:dyDescent="0.25"/>
    <row r="120" ht="11.25" customHeight="1" x14ac:dyDescent="0.25"/>
    <row r="121" ht="11.25" customHeight="1" x14ac:dyDescent="0.25"/>
    <row r="122" ht="11.25" customHeight="1" x14ac:dyDescent="0.25"/>
    <row r="123" ht="11.25" customHeight="1" x14ac:dyDescent="0.25"/>
    <row r="124" ht="11.25" customHeight="1" x14ac:dyDescent="0.25"/>
    <row r="125" ht="11.25" customHeight="1" x14ac:dyDescent="0.25"/>
    <row r="126" ht="11.25" customHeight="1" x14ac:dyDescent="0.25"/>
    <row r="127" ht="11.25" customHeight="1" x14ac:dyDescent="0.25"/>
    <row r="128" ht="11.25" customHeight="1" x14ac:dyDescent="0.25"/>
    <row r="129" ht="11.25" customHeight="1" x14ac:dyDescent="0.25"/>
    <row r="130" ht="11.25" customHeight="1" x14ac:dyDescent="0.25"/>
    <row r="131" ht="11.25" customHeight="1" x14ac:dyDescent="0.25"/>
    <row r="132" ht="11.25" customHeight="1" x14ac:dyDescent="0.25"/>
    <row r="133" ht="11.25" customHeight="1" x14ac:dyDescent="0.25"/>
    <row r="134" ht="11.25" customHeight="1" x14ac:dyDescent="0.25"/>
  </sheetData>
  <sheetProtection algorithmName="SHA-512" hashValue="000i9BvZG24mhTsflz45jdUGik5qoTDs77d/4h2FYTOM4xcWXryf8zWFXt1QBMlbalLubF1b/AkxpdacpZeVRg==" saltValue="VFQ9J9NXpwGQp62g6l1DDg==" spinCount="100000" sheet="1" objects="1" scenarios="1"/>
  <mergeCells count="4">
    <mergeCell ref="F2:H2"/>
    <mergeCell ref="I2:K2"/>
    <mergeCell ref="A2:A3"/>
    <mergeCell ref="B2:B3"/>
  </mergeCells>
  <phoneticPr fontId="7" type="noConversion"/>
  <dataValidations count="1">
    <dataValidation type="decimal" allowBlank="1" showInputMessage="1" showErrorMessage="1" sqref="C70:K78 C6:K9 C11:K13 C17:K21 C23:K25 C29:K30 C38:K38 C32:K34 C49:K52 C63:K68 C40:K44 C54:K59" xr:uid="{00000000-0002-0000-1300-000000000000}">
      <formula1>-9999999999999990000</formula1>
      <formula2>99999999999999900000</formula2>
    </dataValidation>
  </dataValidations>
  <printOptions horizontalCentered="1"/>
  <pageMargins left="0" right="0" top="0.78740157480314965" bottom="0.59055118110236227" header="0.51181102362204722" footer="0.39370078740157483"/>
  <pageSetup paperSize="9" scale="70" fitToHeight="2" orientation="portrait" r:id="rId1"/>
  <headerFooter alignWithMargins="0"/>
  <ignoredErrors>
    <ignoredError sqref="C58:H58 C71:H71 C75:H75 C59:K59 C49:K52 C55:H55 C56:H56 C57:H57 C72:H72 C73:H73 C74:H74" unlockedFormula="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0"/>
  <dimension ref="A1:AD299"/>
  <sheetViews>
    <sheetView showGridLines="0" zoomScale="110" zoomScaleNormal="110" workbookViewId="0">
      <pane xSplit="1" ySplit="4" topLeftCell="F85" activePane="bottomRight" state="frozen"/>
      <selection pane="topRight"/>
      <selection pane="bottomLeft"/>
      <selection pane="bottomRight" activeCell="C25" sqref="C25"/>
    </sheetView>
  </sheetViews>
  <sheetFormatPr defaultColWidth="9.140625" defaultRowHeight="12.75" x14ac:dyDescent="0.25"/>
  <cols>
    <col min="1" max="1" width="38.140625" style="58" customWidth="1"/>
    <col min="2" max="2" width="3" style="55" customWidth="1"/>
    <col min="3" max="8" width="9.28515625" style="58" customWidth="1"/>
    <col min="9" max="9" width="9.140625" style="58" customWidth="1"/>
    <col min="10" max="12" width="9.28515625" style="58" customWidth="1"/>
    <col min="13" max="13" width="9.7109375" style="58" customWidth="1"/>
    <col min="14" max="28" width="9.140625" style="58" customWidth="1"/>
    <col min="29" max="29" width="9.140625" style="2312"/>
    <col min="30" max="16384" width="9.140625" style="58"/>
  </cols>
  <sheetData>
    <row r="1" spans="1:30" s="93" customFormat="1" x14ac:dyDescent="0.2">
      <c r="A1" s="92" t="str">
        <f>muni&amp;" - "&amp;TableA1</f>
        <v>KZN226 Mkhambathini - Supporting Table SA1 Supportinging detail to 'Budgeted Financial Performance'</v>
      </c>
      <c r="B1" s="92"/>
      <c r="C1" s="92"/>
      <c r="D1" s="92"/>
      <c r="E1" s="92"/>
      <c r="F1" s="92"/>
      <c r="G1" s="92"/>
      <c r="H1" s="92"/>
      <c r="I1" s="92"/>
      <c r="J1" s="92"/>
      <c r="K1" s="92"/>
      <c r="L1" s="92"/>
      <c r="AC1" s="2346"/>
      <c r="AD1" s="2307"/>
    </row>
    <row r="2" spans="1:30" ht="28.5" customHeight="1" x14ac:dyDescent="0.25">
      <c r="A2" s="2468" t="str">
        <f>desc</f>
        <v>Description</v>
      </c>
      <c r="B2" s="2470" t="str">
        <f>head27</f>
        <v>Ref</v>
      </c>
      <c r="C2" s="837" t="str">
        <f>head1b</f>
        <v>2017/18</v>
      </c>
      <c r="D2" s="837" t="str">
        <f>head1A</f>
        <v>2018/19</v>
      </c>
      <c r="E2" s="684" t="str">
        <f>Head1</f>
        <v>2019/20</v>
      </c>
      <c r="F2" s="2447" t="str">
        <f>Head2</f>
        <v>Current Year 2020/21</v>
      </c>
      <c r="G2" s="2448"/>
      <c r="H2" s="2448"/>
      <c r="I2" s="2448"/>
      <c r="J2" s="2450" t="str">
        <f>Head3</f>
        <v>2021/22 Medium Term Revenue &amp; Expenditure Framework</v>
      </c>
      <c r="K2" s="2451"/>
      <c r="L2" s="2452"/>
      <c r="AC2" s="2347"/>
      <c r="AD2" s="2305"/>
    </row>
    <row r="3" spans="1:30" ht="25.5" x14ac:dyDescent="0.25">
      <c r="A3" s="2472"/>
      <c r="B3" s="2473"/>
      <c r="C3" s="421" t="str">
        <f>Head5</f>
        <v>Audited Outcome</v>
      </c>
      <c r="D3" s="421" t="str">
        <f>Head5</f>
        <v>Audited Outcome</v>
      </c>
      <c r="E3" s="422" t="str">
        <f>Head5</f>
        <v>Audited Outcome</v>
      </c>
      <c r="F3" s="423" t="str">
        <f>Head6</f>
        <v>Original Budget</v>
      </c>
      <c r="G3" s="421" t="str">
        <f>Head7</f>
        <v>Adjusted Budget</v>
      </c>
      <c r="H3" s="422" t="str">
        <f>Head8</f>
        <v>Full Year Forecast</v>
      </c>
      <c r="I3" s="906" t="str">
        <f>Head5b</f>
        <v>Pre-audit outcome</v>
      </c>
      <c r="J3" s="423" t="str">
        <f>Head9</f>
        <v>Budget Year 2021/22</v>
      </c>
      <c r="K3" s="421" t="str">
        <f>Head10</f>
        <v>Budget Year +1 2022/23</v>
      </c>
      <c r="L3" s="422" t="str">
        <f>Head11</f>
        <v>Budget Year +2 2023/24</v>
      </c>
      <c r="AC3" s="2315"/>
      <c r="AD3" s="2305"/>
    </row>
    <row r="4" spans="1:30" ht="13.5" x14ac:dyDescent="0.25">
      <c r="A4" s="156" t="s">
        <v>568</v>
      </c>
      <c r="B4" s="701"/>
      <c r="C4" s="691"/>
      <c r="D4" s="691"/>
      <c r="E4" s="907"/>
      <c r="F4" s="908"/>
      <c r="G4" s="691"/>
      <c r="H4" s="907"/>
      <c r="I4" s="909"/>
      <c r="J4" s="908"/>
      <c r="K4" s="691"/>
      <c r="L4" s="907"/>
      <c r="AC4" s="2315"/>
      <c r="AD4" s="2305"/>
    </row>
    <row r="5" spans="1:30" ht="13.5" x14ac:dyDescent="0.25">
      <c r="A5" s="664" t="s">
        <v>466</v>
      </c>
      <c r="B5" s="705"/>
      <c r="C5" s="910"/>
      <c r="D5" s="910"/>
      <c r="E5" s="709"/>
      <c r="F5" s="911"/>
      <c r="G5" s="910"/>
      <c r="H5" s="709"/>
      <c r="I5" s="221"/>
      <c r="J5" s="912"/>
      <c r="K5" s="910"/>
      <c r="L5" s="709"/>
      <c r="AC5" s="2315"/>
      <c r="AD5" s="2305"/>
    </row>
    <row r="6" spans="1:30" ht="13.5" x14ac:dyDescent="0.25">
      <c r="A6" s="913" t="str">
        <f>'A4-FinPerf RE'!A5</f>
        <v>Property rates</v>
      </c>
      <c r="B6" s="711">
        <v>6</v>
      </c>
      <c r="C6" s="914"/>
      <c r="D6" s="914"/>
      <c r="E6" s="709"/>
      <c r="F6" s="911"/>
      <c r="G6" s="914"/>
      <c r="H6" s="709"/>
      <c r="I6" s="221"/>
      <c r="J6" s="915"/>
      <c r="K6" s="914"/>
      <c r="L6" s="709"/>
      <c r="AC6" s="2315"/>
      <c r="AD6" s="2305"/>
    </row>
    <row r="7" spans="1:30" x14ac:dyDescent="0.25">
      <c r="A7" s="669" t="s">
        <v>378</v>
      </c>
      <c r="B7" s="711"/>
      <c r="C7" s="916">
        <f>SUMIFS(Sheet1!S71_PPPYearAmount,Sheet1!S71_A4Code,$AC:$AC,Sheet1!S71_ProjectType,$AD:$AD)</f>
        <v>15608413</v>
      </c>
      <c r="D7" s="916">
        <f>SUMIFS(Sheet1!S71_PPYearAmount,Sheet1!S71_A4Code,$AC:$AC,Sheet1!S71_ProjectType,$AD:$AD)</f>
        <v>15886174</v>
      </c>
      <c r="E7" s="917">
        <f>SUMIFS(Sheet1!S71_PYearAmount,Sheet1!S71_A4Code,$AC:$AC,Sheet1!S71_ProjectType,$AD:$AD)</f>
        <v>19608539</v>
      </c>
      <c r="F7" s="918">
        <f>-SUMIFS(Sheet1!S71_OriginalBudAmnt,Sheet1!S71_A4Code,$AC:$AC,Sheet1!S71_ProjectType,$AD:$AD)</f>
        <v>21289052</v>
      </c>
      <c r="G7" s="916">
        <f>-SUMIFS(Sheet1!S71_AdjustmentBudAmnt,Sheet1!S71_A4Code,$AC:$AC,Sheet1!S71_ProjectType,$AD:$AD)</f>
        <v>21289052</v>
      </c>
      <c r="H7" s="917">
        <f>-SUMIFS(Sheet1!S71_AdjustmentBudAmnt,Sheet1!S71_A4Code,$AC:$AC,Sheet1!S71_ProjectType,$AD:$AD)</f>
        <v>21289052</v>
      </c>
      <c r="I7" s="919">
        <f>SUMIFS(Sheet1!S71_AdjustmentBudAmnt,Sheet1!S71_A4Code,$AC:$AC,Sheet1!S71_ProjectType,$AD:$AD)</f>
        <v>-21289052</v>
      </c>
      <c r="J7" s="920">
        <f>-SUMIFS(Sheet1!S71_ASBudgetAmount,Sheet1!S71_A4Code,$AC:$AC,Sheet1!S71_ProjectType,$AD:$AD)</f>
        <v>22119325</v>
      </c>
      <c r="K7" s="916">
        <f>-SUMIFS(Sheet1!S71_OY1BudgetAmount,Sheet1!S71_A4Code,$AC:$AC,Sheet1!S71_ProjectType,$AD:$AD)</f>
        <v>23004098</v>
      </c>
      <c r="L7" s="917">
        <f>-SUMIFS(Sheet1!S71_OY2BudgetAmount,Sheet1!S71_A4Code,$AC:$AC,Sheet1!S71_ProjectType,$AD:$AD)</f>
        <v>23924262</v>
      </c>
      <c r="AC7" s="2348" t="s">
        <v>2696</v>
      </c>
      <c r="AD7" s="2306" t="s">
        <v>472</v>
      </c>
    </row>
    <row r="8" spans="1:30" ht="38.25" x14ac:dyDescent="0.25">
      <c r="A8" s="921" t="s">
        <v>2595</v>
      </c>
      <c r="B8" s="711"/>
      <c r="C8" s="916">
        <f>SUMIFS(Sheet1!S71_PPPYearAmount,Sheet1!S71_A4Code,$AC:$AC,Sheet1!S71_ProjectType,$AD:$AD)</f>
        <v>-1535370</v>
      </c>
      <c r="D8" s="916">
        <f>SUMIFS(Sheet1!S71_PPYearAmount,Sheet1!S71_A4Code,$AC:$AC,Sheet1!S71_ProjectType,$AD:$AD)</f>
        <v>-1594316</v>
      </c>
      <c r="E8" s="917">
        <f>SUMIFS(Sheet1!S71_PYearAmount,Sheet1!S71_A4Code,$AC:$AC,Sheet1!S71_ProjectType,$AD:$AD)</f>
        <v>-2240852</v>
      </c>
      <c r="F8" s="918">
        <f>SUMIFS(Sheet1!S71_OriginalBudAmnt,Sheet1!S71_A4Code,$AC:$AC,Sheet1!S71_ProjectType,$AD:$AD)</f>
        <v>1507430</v>
      </c>
      <c r="G8" s="916">
        <f>SUMIFS(Sheet1!S71_AdjustmentBudAmnt,Sheet1!S71_A4Code,$AC:$AC,Sheet1!S71_ProjectType,$AD:$AD)</f>
        <v>1507430</v>
      </c>
      <c r="H8" s="917">
        <f>SUMIFS(Sheet1!S71_AdjustmentBudAmnt,Sheet1!S71_A4Code,$AC:$AC,Sheet1!S71_ProjectType,$AD:$AD)</f>
        <v>1507430</v>
      </c>
      <c r="I8" s="919">
        <f>SUMIFS(Sheet1!S71_AdjustmentBudAmnt,Sheet1!S71_A4Code,$AC:$AC,Sheet1!S71_ProjectType,$AD:$AD)</f>
        <v>1507430</v>
      </c>
      <c r="J8" s="920">
        <f>SUMIFS(Sheet1!S71_ASBudgetAmount,Sheet1!S71_A4Code,$AC:$AC,Sheet1!S71_ProjectType,$AD:$AD)</f>
        <v>1566222</v>
      </c>
      <c r="K8" s="916">
        <f>SUMIFS(Sheet1!S71_OY1BudgetAmount,Sheet1!S71_A4Code,$AC:$AC,Sheet1!S71_ProjectType,$AD:$AD)</f>
        <v>1628867</v>
      </c>
      <c r="L8" s="917">
        <f>SUMIFS(Sheet1!S71_OY2BudgetAmount,Sheet1!S71_A4Code,$AC:$AC,Sheet1!S71_ProjectType,$AD:$AD)</f>
        <v>1694023</v>
      </c>
      <c r="AC8" s="2348" t="s">
        <v>2696</v>
      </c>
      <c r="AD8" s="2306" t="s">
        <v>810</v>
      </c>
    </row>
    <row r="9" spans="1:30" ht="13.5" x14ac:dyDescent="0.25">
      <c r="A9" s="922" t="s">
        <v>379</v>
      </c>
      <c r="B9" s="711"/>
      <c r="C9" s="106">
        <f>C7-C8</f>
        <v>17143783</v>
      </c>
      <c r="D9" s="106">
        <f t="shared" ref="D9:L9" si="0">D7-D8</f>
        <v>17480490</v>
      </c>
      <c r="E9" s="923">
        <f t="shared" si="0"/>
        <v>21849391</v>
      </c>
      <c r="F9" s="924">
        <f t="shared" si="0"/>
        <v>19781622</v>
      </c>
      <c r="G9" s="106">
        <f t="shared" si="0"/>
        <v>19781622</v>
      </c>
      <c r="H9" s="923">
        <f t="shared" si="0"/>
        <v>19781622</v>
      </c>
      <c r="I9" s="925">
        <f t="shared" si="0"/>
        <v>-22796482</v>
      </c>
      <c r="J9" s="107">
        <f t="shared" si="0"/>
        <v>20553103</v>
      </c>
      <c r="K9" s="106">
        <f t="shared" si="0"/>
        <v>21375231</v>
      </c>
      <c r="L9" s="923">
        <f t="shared" si="0"/>
        <v>22230239</v>
      </c>
      <c r="AC9" s="2315"/>
      <c r="AD9" s="2305"/>
    </row>
    <row r="10" spans="1:30" ht="4.9000000000000004" customHeight="1" x14ac:dyDescent="0.25">
      <c r="A10" s="136"/>
      <c r="B10" s="711"/>
      <c r="C10" s="914"/>
      <c r="D10" s="914"/>
      <c r="E10" s="709"/>
      <c r="F10" s="911"/>
      <c r="G10" s="914"/>
      <c r="H10" s="709"/>
      <c r="I10" s="221"/>
      <c r="J10" s="915"/>
      <c r="K10" s="914"/>
      <c r="L10" s="709"/>
      <c r="AC10" s="2315"/>
      <c r="AD10" s="2305"/>
    </row>
    <row r="11" spans="1:30" ht="13.5" x14ac:dyDescent="0.25">
      <c r="A11" s="913" t="str">
        <f>'A4-FinPerf RE'!A6</f>
        <v>Service charges - electricity revenue</v>
      </c>
      <c r="B11" s="711">
        <v>6</v>
      </c>
      <c r="C11" s="914"/>
      <c r="D11" s="914"/>
      <c r="E11" s="709"/>
      <c r="F11" s="911"/>
      <c r="G11" s="914"/>
      <c r="H11" s="709"/>
      <c r="I11" s="221"/>
      <c r="J11" s="915"/>
      <c r="K11" s="914"/>
      <c r="L11" s="709"/>
      <c r="AC11" s="2315"/>
      <c r="AD11" s="2305"/>
    </row>
    <row r="12" spans="1:30" x14ac:dyDescent="0.25">
      <c r="A12" s="669" t="str">
        <f>"Total "&amp;A11</f>
        <v>Total Service charges - electricity revenue</v>
      </c>
      <c r="B12" s="711"/>
      <c r="C12" s="916">
        <f>SUMIFS(Sheet1!S71_PPPYearAmount,Sheet1!S71_A4Code,$AC:$AC,Sheet1!S71_ProjectType,$AD:$AD)</f>
        <v>0</v>
      </c>
      <c r="D12" s="916">
        <f>SUMIFS(Sheet1!S71_PPYearAmount,Sheet1!S71_A4Code,$AC:$AC,Sheet1!S71_ProjectType,$AD:$AD)</f>
        <v>0</v>
      </c>
      <c r="E12" s="917">
        <f>SUMIFS(Sheet1!S71_PYearAmount,Sheet1!S71_A4Code,$AC:$AC,Sheet1!S71_ProjectType,$AD:$AD)</f>
        <v>0</v>
      </c>
      <c r="F12" s="918">
        <f>-SUMIFS(Sheet1!S71_OriginalBudAmnt,Sheet1!S71_A4Code,$AC:$AC,Sheet1!S71_ProjectType,$AD:$AD)</f>
        <v>0</v>
      </c>
      <c r="G12" s="916">
        <f>-SUMIFS(Sheet1!S71_AdjustmentBudAmnt,Sheet1!S71_A4Code,$AC:$AC,Sheet1!S71_ProjectType,$AD:$AD)</f>
        <v>0</v>
      </c>
      <c r="H12" s="917">
        <f>-SUMIFS(Sheet1!S71_AdjustmentBudAmnt,Sheet1!S71_A4Code,$AC:$AC,Sheet1!S71_ProjectType,$AD:$AD)</f>
        <v>0</v>
      </c>
      <c r="I12" s="919">
        <f>SUMIFS(Sheet1!S71_AdjustmentBudAmnt,Sheet1!S71_A4Code,$AC:$AC,Sheet1!S71_ProjectType,$AD:$AD)</f>
        <v>0</v>
      </c>
      <c r="J12" s="920">
        <f>-SUMIFS(Sheet1!S71_ASBudgetAmount,Sheet1!S71_A4Code,$AC:$AC,Sheet1!S71_ProjectType,$AD:$AD)</f>
        <v>0</v>
      </c>
      <c r="K12" s="916">
        <f>-SUMIFS(Sheet1!S71_OY1BudgetAmount,Sheet1!S71_A4Code,$AC:$AC,Sheet1!S71_ProjectType,$AD:$AD)</f>
        <v>0</v>
      </c>
      <c r="L12" s="917">
        <f>-SUMIFS(Sheet1!S71_OY2BudgetAmount,Sheet1!S71_A4Code,$AC:$AC,Sheet1!S71_ProjectType,$AD:$AD)</f>
        <v>0</v>
      </c>
      <c r="AC12" s="2348" t="s">
        <v>2697</v>
      </c>
      <c r="AD12" s="2306" t="s">
        <v>472</v>
      </c>
    </row>
    <row r="13" spans="1:30" ht="25.5" x14ac:dyDescent="0.25">
      <c r="A13" s="921" t="s">
        <v>2596</v>
      </c>
      <c r="B13" s="711"/>
      <c r="C13" s="916">
        <f>SUMIFS(Sheet1!S71_PPPYearAmount,Sheet1!S71_A4Code,$AC:$AC,Sheet1!S71_ProjectType,$AD:$AD)</f>
        <v>0</v>
      </c>
      <c r="D13" s="916">
        <f>SUMIFS(Sheet1!S71_PPYearAmount,Sheet1!S71_A4Code,$AC:$AC,Sheet1!S71_ProjectType,$AD:$AD)</f>
        <v>0</v>
      </c>
      <c r="E13" s="917">
        <f>SUMIFS(Sheet1!S71_PYearAmount,Sheet1!S71_A4Code,$AC:$AC,Sheet1!S71_ProjectType,$AD:$AD)</f>
        <v>0</v>
      </c>
      <c r="F13" s="918">
        <f>SUMIFS(Sheet1!S71_OriginalBudAmnt,Sheet1!S71_A4Code,$AC:$AC,Sheet1!S71_ProjectType,$AD:$AD)</f>
        <v>0</v>
      </c>
      <c r="G13" s="916">
        <f>SUMIFS(Sheet1!S71_AdjustmentBudAmnt,Sheet1!S71_A4Code,$AC:$AC,Sheet1!S71_ProjectType,$AD:$AD)</f>
        <v>0</v>
      </c>
      <c r="H13" s="917">
        <f>SUMIFS(Sheet1!S71_AdjustmentBudAmnt,Sheet1!S71_A4Code,$AC:$AC,Sheet1!S71_ProjectType,$AD:$AD)</f>
        <v>0</v>
      </c>
      <c r="I13" s="919">
        <f>SUMIFS(Sheet1!S71_AdjustmentBudAmnt,Sheet1!S71_A4Code,$AC:$AC,Sheet1!S71_ProjectType,$AD:$AD)</f>
        <v>0</v>
      </c>
      <c r="J13" s="920">
        <f>SUMIFS(Sheet1!S71_ASBudgetAmount,Sheet1!S71_A4Code,$AC:$AC,Sheet1!S71_ProjectType,$AD:$AD)</f>
        <v>0</v>
      </c>
      <c r="K13" s="916">
        <f>SUMIFS(Sheet1!S71_OY1BudgetAmount,Sheet1!S71_A4Code,$AC:$AC,Sheet1!S71_ProjectType,$AD:$AD)</f>
        <v>0</v>
      </c>
      <c r="L13" s="917">
        <f>SUMIFS(Sheet1!S71_OY2BudgetAmount,Sheet1!S71_A4Code,$AC:$AC,Sheet1!S71_ProjectType,$AD:$AD)</f>
        <v>0</v>
      </c>
      <c r="AC13" s="2348" t="s">
        <v>2697</v>
      </c>
      <c r="AD13" s="2306" t="s">
        <v>810</v>
      </c>
    </row>
    <row r="14" spans="1:30" ht="25.5" x14ac:dyDescent="0.25">
      <c r="A14" s="926" t="s">
        <v>2597</v>
      </c>
      <c r="B14" s="711"/>
      <c r="C14" s="110">
        <f>'SA9'!E250</f>
        <v>0</v>
      </c>
      <c r="D14" s="110">
        <f>'SA9'!F250</f>
        <v>0</v>
      </c>
      <c r="E14" s="111">
        <f>'SA9'!G250</f>
        <v>0</v>
      </c>
      <c r="F14" s="112">
        <f>'SA9'!H250</f>
        <v>0</v>
      </c>
      <c r="G14" s="110">
        <f>'SA9'!I250</f>
        <v>0</v>
      </c>
      <c r="H14" s="111">
        <f>'SA9'!J250</f>
        <v>0</v>
      </c>
      <c r="I14" s="919"/>
      <c r="J14" s="114">
        <f>'SA9'!K250</f>
        <v>0</v>
      </c>
      <c r="K14" s="110">
        <f>'SA9'!L250</f>
        <v>0</v>
      </c>
      <c r="L14" s="111">
        <f>'SA9'!M250</f>
        <v>0</v>
      </c>
      <c r="AC14" s="2348" t="s">
        <v>2697</v>
      </c>
      <c r="AD14" s="2306" t="s">
        <v>2753</v>
      </c>
    </row>
    <row r="15" spans="1:30" ht="12.75" customHeight="1" x14ac:dyDescent="0.25">
      <c r="A15" s="135" t="str">
        <f>"Net "&amp; A11</f>
        <v>Net Service charges - electricity revenue</v>
      </c>
      <c r="B15" s="711"/>
      <c r="C15" s="106">
        <f>C12-C13-C14</f>
        <v>0</v>
      </c>
      <c r="D15" s="106">
        <f t="shared" ref="D15:L15" si="1">D12-D13-D14</f>
        <v>0</v>
      </c>
      <c r="E15" s="923">
        <f t="shared" si="1"/>
        <v>0</v>
      </c>
      <c r="F15" s="924">
        <f t="shared" si="1"/>
        <v>0</v>
      </c>
      <c r="G15" s="106">
        <f t="shared" si="1"/>
        <v>0</v>
      </c>
      <c r="H15" s="923">
        <f t="shared" si="1"/>
        <v>0</v>
      </c>
      <c r="I15" s="925">
        <f t="shared" si="1"/>
        <v>0</v>
      </c>
      <c r="J15" s="107">
        <f t="shared" si="1"/>
        <v>0</v>
      </c>
      <c r="K15" s="106">
        <f t="shared" si="1"/>
        <v>0</v>
      </c>
      <c r="L15" s="923">
        <f t="shared" si="1"/>
        <v>0</v>
      </c>
      <c r="AC15" s="2315"/>
      <c r="AD15" s="2305"/>
    </row>
    <row r="16" spans="1:30" ht="4.9000000000000004" customHeight="1" x14ac:dyDescent="0.25">
      <c r="A16" s="322"/>
      <c r="B16" s="711"/>
      <c r="C16" s="927"/>
      <c r="D16" s="927"/>
      <c r="E16" s="740"/>
      <c r="F16" s="928"/>
      <c r="G16" s="927"/>
      <c r="H16" s="740"/>
      <c r="I16" s="193"/>
      <c r="J16" s="929"/>
      <c r="K16" s="927"/>
      <c r="L16" s="740"/>
      <c r="AC16" s="2315"/>
      <c r="AD16" s="2305"/>
    </row>
    <row r="17" spans="1:30" ht="13.5" x14ac:dyDescent="0.25">
      <c r="A17" s="930" t="str">
        <f>'A4-FinPerf RE'!A7</f>
        <v>Service charges - water revenue</v>
      </c>
      <c r="B17" s="711">
        <v>6</v>
      </c>
      <c r="C17" s="927"/>
      <c r="D17" s="927"/>
      <c r="E17" s="740"/>
      <c r="F17" s="928"/>
      <c r="G17" s="927"/>
      <c r="H17" s="740"/>
      <c r="I17" s="193"/>
      <c r="J17" s="929"/>
      <c r="K17" s="927"/>
      <c r="L17" s="740"/>
      <c r="AC17" s="2315"/>
      <c r="AD17" s="2305"/>
    </row>
    <row r="18" spans="1:30" x14ac:dyDescent="0.25">
      <c r="A18" s="669" t="str">
        <f>"Total "&amp;A17</f>
        <v>Total Service charges - water revenue</v>
      </c>
      <c r="B18" s="711"/>
      <c r="C18" s="916">
        <f>SUMIFS(Sheet1!S71_PPPYearAmount,Sheet1!S71_A4Code,$AC:$AC,Sheet1!S71_ProjectType,$AD:$AD)</f>
        <v>0</v>
      </c>
      <c r="D18" s="916">
        <f>SUMIFS(Sheet1!S71_PPYearAmount,Sheet1!S71_A4Code,$AC:$AC,Sheet1!S71_ProjectType,$AD:$AD)</f>
        <v>0</v>
      </c>
      <c r="E18" s="917">
        <f>SUMIFS(Sheet1!S71_PYearAmount,Sheet1!S71_A4Code,$AC:$AC,Sheet1!S71_ProjectType,$AD:$AD)</f>
        <v>0</v>
      </c>
      <c r="F18" s="918">
        <f>-SUMIFS(Sheet1!S71_OriginalBudAmnt,Sheet1!S71_A4Code,$AC:$AC,Sheet1!S71_ProjectType,$AD:$AD)</f>
        <v>0</v>
      </c>
      <c r="G18" s="916">
        <f>-SUMIFS(Sheet1!S71_AdjustmentBudAmnt,Sheet1!S71_A4Code,$AC:$AC,Sheet1!S71_ProjectType,$AD:$AD)</f>
        <v>0</v>
      </c>
      <c r="H18" s="917">
        <f>-SUMIFS(Sheet1!S71_AdjustmentBudAmnt,Sheet1!S71_A4Code,$AC:$AC,Sheet1!S71_ProjectType,$AD:$AD)</f>
        <v>0</v>
      </c>
      <c r="I18" s="919">
        <f>SUMIFS(Sheet1!S71_AdjustmentBudAmnt,Sheet1!S71_A4Code,$AC:$AC,Sheet1!S71_ProjectType,$AD:$AD)</f>
        <v>0</v>
      </c>
      <c r="J18" s="920">
        <f>-SUMIFS(Sheet1!S71_ASBudgetAmount,Sheet1!S71_A4Code,$AC:$AC,Sheet1!S71_ProjectType,$AD:$AD)</f>
        <v>0</v>
      </c>
      <c r="K18" s="916">
        <f>-SUMIFS(Sheet1!S71_OY1BudgetAmount,Sheet1!S71_A4Code,$AC:$AC,Sheet1!S71_ProjectType,$AD:$AD)</f>
        <v>0</v>
      </c>
      <c r="L18" s="917">
        <f>-SUMIFS(Sheet1!S71_OY2BudgetAmount,Sheet1!S71_A4Code,$AC:$AC,Sheet1!S71_ProjectType,$AD:$AD)</f>
        <v>0</v>
      </c>
      <c r="AC18" s="2348" t="s">
        <v>2698</v>
      </c>
      <c r="AD18" s="2306" t="s">
        <v>472</v>
      </c>
    </row>
    <row r="19" spans="1:30" ht="25.5" x14ac:dyDescent="0.25">
      <c r="A19" s="921" t="s">
        <v>2598</v>
      </c>
      <c r="B19" s="711"/>
      <c r="C19" s="916">
        <f>SUMIFS(Sheet1!S71_PPPYearAmount,Sheet1!S71_A4Code,$AC:$AC,Sheet1!S71_ProjectType,$AD:$AD)</f>
        <v>0</v>
      </c>
      <c r="D19" s="916">
        <f>SUMIFS(Sheet1!S71_PPYearAmount,Sheet1!S71_A4Code,$AC:$AC,Sheet1!S71_ProjectType,$AD:$AD)</f>
        <v>0</v>
      </c>
      <c r="E19" s="917">
        <f>SUMIFS(Sheet1!S71_PYearAmount,Sheet1!S71_A4Code,$AC:$AC,Sheet1!S71_ProjectType,$AD:$AD)</f>
        <v>0</v>
      </c>
      <c r="F19" s="918">
        <f>SUMIFS(Sheet1!S71_OriginalBudAmnt,Sheet1!S71_A4Code,$AC:$AC,Sheet1!S71_ProjectType,$AD:$AD)</f>
        <v>0</v>
      </c>
      <c r="G19" s="916">
        <f>SUMIFS(Sheet1!S71_AdjustmentBudAmnt,Sheet1!S71_A4Code,$AC:$AC,Sheet1!S71_ProjectType,$AD:$AD)</f>
        <v>0</v>
      </c>
      <c r="H19" s="917">
        <f>SUMIFS(Sheet1!S71_AdjustmentBudAmnt,Sheet1!S71_A4Code,$AC:$AC,Sheet1!S71_ProjectType,$AD:$AD)</f>
        <v>0</v>
      </c>
      <c r="I19" s="919">
        <f>SUMIFS(Sheet1!S71_AdjustmentBudAmnt,Sheet1!S71_A4Code,$AC:$AC,Sheet1!S71_ProjectType,$AD:$AD)</f>
        <v>0</v>
      </c>
      <c r="J19" s="920">
        <f>SUMIFS(Sheet1!S71_ASBudgetAmount,Sheet1!S71_A4Code,$AC:$AC,Sheet1!S71_ProjectType,$AD:$AD)</f>
        <v>0</v>
      </c>
      <c r="K19" s="916">
        <f>SUMIFS(Sheet1!S71_OY1BudgetAmount,Sheet1!S71_A4Code,$AC:$AC,Sheet1!S71_ProjectType,$AD:$AD)</f>
        <v>0</v>
      </c>
      <c r="L19" s="917">
        <f>SUMIFS(Sheet1!S71_OY2BudgetAmount,Sheet1!S71_A4Code,$AC:$AC,Sheet1!S71_ProjectType,$AD:$AD)</f>
        <v>0</v>
      </c>
      <c r="AC19" s="2348" t="s">
        <v>2698</v>
      </c>
      <c r="AD19" s="2306" t="s">
        <v>810</v>
      </c>
    </row>
    <row r="20" spans="1:30" ht="25.5" x14ac:dyDescent="0.25">
      <c r="A20" s="926" t="s">
        <v>2599</v>
      </c>
      <c r="B20" s="711"/>
      <c r="C20" s="110">
        <f>'SA9'!E262</f>
        <v>0</v>
      </c>
      <c r="D20" s="110">
        <f>'SA9'!F262</f>
        <v>0</v>
      </c>
      <c r="E20" s="111">
        <f>'SA9'!G262</f>
        <v>0</v>
      </c>
      <c r="F20" s="112">
        <f>'SA9'!H262</f>
        <v>0</v>
      </c>
      <c r="G20" s="110">
        <f>'SA9'!I262</f>
        <v>0</v>
      </c>
      <c r="H20" s="111">
        <f>'SA9'!J262</f>
        <v>0</v>
      </c>
      <c r="I20" s="919"/>
      <c r="J20" s="114">
        <f>'SA9'!K262</f>
        <v>0</v>
      </c>
      <c r="K20" s="110">
        <f>'SA9'!L262</f>
        <v>0</v>
      </c>
      <c r="L20" s="111">
        <f>'SA9'!M262</f>
        <v>0</v>
      </c>
      <c r="AC20" s="2348" t="s">
        <v>2698</v>
      </c>
      <c r="AD20" s="2306" t="s">
        <v>2753</v>
      </c>
    </row>
    <row r="21" spans="1:30" ht="13.5" x14ac:dyDescent="0.25">
      <c r="A21" s="135" t="str">
        <f>"Net "&amp; A17</f>
        <v>Net Service charges - water revenue</v>
      </c>
      <c r="B21" s="711"/>
      <c r="C21" s="106">
        <f>C18-C19-C20</f>
        <v>0</v>
      </c>
      <c r="D21" s="106">
        <f t="shared" ref="D21:L21" si="2">D18-D19-D20</f>
        <v>0</v>
      </c>
      <c r="E21" s="923">
        <f t="shared" si="2"/>
        <v>0</v>
      </c>
      <c r="F21" s="924">
        <f t="shared" si="2"/>
        <v>0</v>
      </c>
      <c r="G21" s="106">
        <f t="shared" si="2"/>
        <v>0</v>
      </c>
      <c r="H21" s="923">
        <f t="shared" si="2"/>
        <v>0</v>
      </c>
      <c r="I21" s="925">
        <f t="shared" si="2"/>
        <v>0</v>
      </c>
      <c r="J21" s="107">
        <f t="shared" si="2"/>
        <v>0</v>
      </c>
      <c r="K21" s="106">
        <f t="shared" si="2"/>
        <v>0</v>
      </c>
      <c r="L21" s="923">
        <f t="shared" si="2"/>
        <v>0</v>
      </c>
      <c r="AC21" s="2315"/>
      <c r="AD21" s="2305"/>
    </row>
    <row r="22" spans="1:30" ht="4.5" customHeight="1" x14ac:dyDescent="0.25">
      <c r="A22" s="135"/>
      <c r="B22" s="711"/>
      <c r="C22" s="927"/>
      <c r="D22" s="927"/>
      <c r="E22" s="740"/>
      <c r="F22" s="928"/>
      <c r="G22" s="927"/>
      <c r="H22" s="740"/>
      <c r="I22" s="193"/>
      <c r="J22" s="929"/>
      <c r="K22" s="927"/>
      <c r="L22" s="740"/>
      <c r="AC22" s="2315"/>
      <c r="AD22" s="2305"/>
    </row>
    <row r="23" spans="1:30" ht="13.5" x14ac:dyDescent="0.25">
      <c r="A23" s="930" t="str">
        <f>'A4-FinPerf RE'!A8</f>
        <v>Service charges - sanitation revenue</v>
      </c>
      <c r="B23" s="711"/>
      <c r="C23" s="927"/>
      <c r="D23" s="927"/>
      <c r="E23" s="740"/>
      <c r="F23" s="928"/>
      <c r="G23" s="927"/>
      <c r="H23" s="740"/>
      <c r="I23" s="193"/>
      <c r="J23" s="929"/>
      <c r="K23" s="927"/>
      <c r="L23" s="740"/>
      <c r="AC23" s="2315"/>
      <c r="AD23" s="2305"/>
    </row>
    <row r="24" spans="1:30" x14ac:dyDescent="0.25">
      <c r="A24" s="669" t="str">
        <f>"Total "&amp;A23</f>
        <v>Total Service charges - sanitation revenue</v>
      </c>
      <c r="B24" s="711"/>
      <c r="C24" s="916">
        <f>SUMIFS(Sheet1!S71_PPPYearAmount,Sheet1!S71_A4Code,$AC:$AC,Sheet1!S71_ProjectType,$AD:$AD)</f>
        <v>0</v>
      </c>
      <c r="D24" s="916">
        <f>SUMIFS(Sheet1!S71_PPYearAmount,Sheet1!S71_A4Code,$AC:$AC,Sheet1!S71_ProjectType,$AD:$AD)</f>
        <v>0</v>
      </c>
      <c r="E24" s="917">
        <f>SUMIFS(Sheet1!S71_PYearAmount,Sheet1!S71_A4Code,$AC:$AC,Sheet1!S71_ProjectType,$AD:$AD)</f>
        <v>0</v>
      </c>
      <c r="F24" s="918">
        <f>-SUMIFS(Sheet1!S71_OriginalBudAmnt,Sheet1!S71_A4Code,$AC:$AC,Sheet1!S71_ProjectType,$AD:$AD)</f>
        <v>0</v>
      </c>
      <c r="G24" s="916">
        <f>-SUMIFS(Sheet1!S71_AdjustmentBudAmnt,Sheet1!S71_A4Code,$AC:$AC,Sheet1!S71_ProjectType,$AD:$AD)</f>
        <v>0</v>
      </c>
      <c r="H24" s="917">
        <f>-SUMIFS(Sheet1!S71_AdjustmentBudAmnt,Sheet1!S71_A4Code,$AC:$AC,Sheet1!S71_ProjectType,$AD:$AD)</f>
        <v>0</v>
      </c>
      <c r="I24" s="919">
        <f>SUMIFS(Sheet1!S71_AdjustmentBudAmnt,Sheet1!S71_A4Code,$AC:$AC,Sheet1!S71_ProjectType,$AD:$AD)</f>
        <v>0</v>
      </c>
      <c r="J24" s="920">
        <f>-SUMIFS(Sheet1!S71_ASBudgetAmount,Sheet1!S71_A4Code,$AC:$AC,Sheet1!S71_ProjectType,$AD:$AD)</f>
        <v>0</v>
      </c>
      <c r="K24" s="916">
        <f>-SUMIFS(Sheet1!S71_OY1BudgetAmount,Sheet1!S71_A4Code,$AC:$AC,Sheet1!S71_ProjectType,$AD:$AD)</f>
        <v>0</v>
      </c>
      <c r="L24" s="917">
        <f>-SUMIFS(Sheet1!S71_OY2BudgetAmount,Sheet1!S71_A4Code,$AC:$AC,Sheet1!S71_ProjectType,$AD:$AD)</f>
        <v>0</v>
      </c>
      <c r="AC24" s="2348" t="s">
        <v>2699</v>
      </c>
      <c r="AD24" s="2306" t="s">
        <v>472</v>
      </c>
    </row>
    <row r="25" spans="1:30" ht="25.5" x14ac:dyDescent="0.25">
      <c r="A25" s="921" t="s">
        <v>2600</v>
      </c>
      <c r="B25" s="711"/>
      <c r="C25" s="916">
        <f>SUMIFS(Sheet1!S71_PPPYearAmount,Sheet1!S71_A4Code,$AC:$AC,Sheet1!S71_ProjectType,$AD:$AD)</f>
        <v>0</v>
      </c>
      <c r="D25" s="916">
        <f>SUMIFS(Sheet1!S71_PPYearAmount,Sheet1!S71_A4Code,$AC:$AC,Sheet1!S71_ProjectType,$AD:$AD)</f>
        <v>0</v>
      </c>
      <c r="E25" s="917">
        <f>SUMIFS(Sheet1!S71_PYearAmount,Sheet1!S71_A4Code,$AC:$AC,Sheet1!S71_ProjectType,$AD:$AD)</f>
        <v>0</v>
      </c>
      <c r="F25" s="918">
        <f>SUMIFS(Sheet1!S71_OriginalBudAmnt,Sheet1!S71_A4Code,$AC:$AC,Sheet1!S71_ProjectType,$AD:$AD)</f>
        <v>0</v>
      </c>
      <c r="G25" s="916">
        <f>SUMIFS(Sheet1!S71_AdjustmentBudAmnt,Sheet1!S71_A4Code,$AC:$AC,Sheet1!S71_ProjectType,$AD:$AD)</f>
        <v>0</v>
      </c>
      <c r="H25" s="917">
        <f>SUMIFS(Sheet1!S71_AdjustmentBudAmnt,Sheet1!S71_A4Code,$AC:$AC,Sheet1!S71_ProjectType,$AD:$AD)</f>
        <v>0</v>
      </c>
      <c r="I25" s="919">
        <f>SUMIFS(Sheet1!S71_AdjustmentBudAmnt,Sheet1!S71_A4Code,$AC:$AC,Sheet1!S71_ProjectType,$AD:$AD)</f>
        <v>0</v>
      </c>
      <c r="J25" s="920">
        <f>SUMIFS(Sheet1!S71_ASBudgetAmount,Sheet1!S71_A4Code,$AC:$AC,Sheet1!S71_ProjectType,$AD:$AD)</f>
        <v>0</v>
      </c>
      <c r="K25" s="916">
        <f>SUMIFS(Sheet1!S71_OY1BudgetAmount,Sheet1!S71_A4Code,$AC:$AC,Sheet1!S71_ProjectType,$AD:$AD)</f>
        <v>0</v>
      </c>
      <c r="L25" s="917">
        <f>SUMIFS(Sheet1!S71_OY2BudgetAmount,Sheet1!S71_A4Code,$AC:$AC,Sheet1!S71_ProjectType,$AD:$AD)</f>
        <v>0</v>
      </c>
      <c r="AC25" s="2348" t="s">
        <v>2699</v>
      </c>
      <c r="AD25" s="2306" t="s">
        <v>810</v>
      </c>
    </row>
    <row r="26" spans="1:30" ht="25.5" x14ac:dyDescent="0.25">
      <c r="A26" s="926" t="s">
        <v>2601</v>
      </c>
      <c r="B26" s="711"/>
      <c r="C26" s="110">
        <f>'SA9'!E274</f>
        <v>0</v>
      </c>
      <c r="D26" s="110">
        <f>'SA9'!F274</f>
        <v>0</v>
      </c>
      <c r="E26" s="111">
        <f>'SA9'!G274</f>
        <v>0</v>
      </c>
      <c r="F26" s="112">
        <f>'SA9'!H274</f>
        <v>0</v>
      </c>
      <c r="G26" s="110">
        <f>'SA9'!I274</f>
        <v>0</v>
      </c>
      <c r="H26" s="111">
        <f>'SA9'!J274</f>
        <v>0</v>
      </c>
      <c r="I26" s="919">
        <f>SUMIFS(Sheet1!S71_AdjustmentBudAmnt,Sheet1!S71_A4Code,$AC:$AC,Sheet1!S71_ProjectType,$AD:$AD)</f>
        <v>0</v>
      </c>
      <c r="J26" s="114">
        <f>'SA9'!K274</f>
        <v>0</v>
      </c>
      <c r="K26" s="110">
        <f>'SA9'!L274</f>
        <v>0</v>
      </c>
      <c r="L26" s="111">
        <f>'SA9'!M274</f>
        <v>0</v>
      </c>
      <c r="AC26" s="2348" t="s">
        <v>2699</v>
      </c>
      <c r="AD26" s="2306" t="s">
        <v>2753</v>
      </c>
    </row>
    <row r="27" spans="1:30" ht="13.5" x14ac:dyDescent="0.25">
      <c r="A27" s="135" t="str">
        <f>"Net "&amp; A23</f>
        <v>Net Service charges - sanitation revenue</v>
      </c>
      <c r="B27" s="711"/>
      <c r="C27" s="106">
        <f>C24-C25-C26</f>
        <v>0</v>
      </c>
      <c r="D27" s="106">
        <f t="shared" ref="D27:L27" si="3">D24-D25-D26</f>
        <v>0</v>
      </c>
      <c r="E27" s="923">
        <f t="shared" si="3"/>
        <v>0</v>
      </c>
      <c r="F27" s="924">
        <f t="shared" si="3"/>
        <v>0</v>
      </c>
      <c r="G27" s="106">
        <f t="shared" si="3"/>
        <v>0</v>
      </c>
      <c r="H27" s="923">
        <f t="shared" si="3"/>
        <v>0</v>
      </c>
      <c r="I27" s="925">
        <f t="shared" si="3"/>
        <v>0</v>
      </c>
      <c r="J27" s="107">
        <f t="shared" si="3"/>
        <v>0</v>
      </c>
      <c r="K27" s="106">
        <f t="shared" si="3"/>
        <v>0</v>
      </c>
      <c r="L27" s="923">
        <f t="shared" si="3"/>
        <v>0</v>
      </c>
      <c r="AC27" s="2315"/>
      <c r="AD27" s="2305"/>
    </row>
    <row r="28" spans="1:30" ht="4.5" customHeight="1" x14ac:dyDescent="0.25">
      <c r="A28" s="135"/>
      <c r="B28" s="711"/>
      <c r="C28" s="927"/>
      <c r="D28" s="927"/>
      <c r="E28" s="740"/>
      <c r="F28" s="928"/>
      <c r="G28" s="927"/>
      <c r="H28" s="740"/>
      <c r="I28" s="193"/>
      <c r="J28" s="929"/>
      <c r="K28" s="927"/>
      <c r="L28" s="740"/>
      <c r="AC28" s="2315"/>
      <c r="AD28" s="2305"/>
    </row>
    <row r="29" spans="1:30" ht="13.5" x14ac:dyDescent="0.25">
      <c r="A29" s="913" t="str">
        <f>'A4-FinPerf RE'!A9</f>
        <v>Service charges - refuse revenue</v>
      </c>
      <c r="B29" s="711">
        <v>6</v>
      </c>
      <c r="C29" s="914"/>
      <c r="D29" s="914"/>
      <c r="E29" s="709"/>
      <c r="F29" s="911"/>
      <c r="G29" s="914"/>
      <c r="H29" s="709"/>
      <c r="I29" s="221"/>
      <c r="J29" s="915"/>
      <c r="K29" s="914"/>
      <c r="L29" s="709"/>
      <c r="AC29" s="2315"/>
      <c r="AD29" s="2305"/>
    </row>
    <row r="30" spans="1:30" ht="11.25" customHeight="1" x14ac:dyDescent="0.25">
      <c r="A30" s="669" t="s">
        <v>1365</v>
      </c>
      <c r="B30" s="711"/>
      <c r="C30" s="916">
        <f>SUMIFS(Sheet1!S71_PPPYearAmount,Sheet1!S71_A4Code,$AC:$AC,Sheet1!S71_ProjectType,$AD:$AD)</f>
        <v>497749</v>
      </c>
      <c r="D30" s="916">
        <f>SUMIFS(Sheet1!S71_PPYearAmount,Sheet1!S71_A4Code,$AC:$AC,Sheet1!S71_ProjectType,$AD:$AD)</f>
        <v>525667</v>
      </c>
      <c r="E30" s="917">
        <f>SUMIFS(Sheet1!S71_PYearAmount,Sheet1!S71_A4Code,$AC:$AC,Sheet1!S71_ProjectType,$AD:$AD)</f>
        <v>528201</v>
      </c>
      <c r="F30" s="918">
        <f>-SUMIFS(Sheet1!S71_OriginalBudAmnt,Sheet1!S71_A4Code,$AC:$AC,Sheet1!S71_ProjectType,$AD:$AD)</f>
        <v>574287</v>
      </c>
      <c r="G30" s="916">
        <f>-SUMIFS(Sheet1!S71_AdjustmentBudAmnt,Sheet1!S71_A4Code,$AC:$AC,Sheet1!S71_ProjectType,$AD:$AD)</f>
        <v>574287</v>
      </c>
      <c r="H30" s="917">
        <f>-SUMIFS(Sheet1!S71_AdjustmentBudAmnt,Sheet1!S71_A4Code,$AC:$AC,Sheet1!S71_ProjectType,$AD:$AD)</f>
        <v>574287</v>
      </c>
      <c r="I30" s="919">
        <f>SUMIFS(Sheet1!S71_AdjustmentBudAmnt,Sheet1!S71_A4Code,$AC:$AC,Sheet1!S71_ProjectType,$AD:$AD)</f>
        <v>-574287</v>
      </c>
      <c r="J30" s="920">
        <f>-SUMIFS(Sheet1!S71_ASBudgetAmount,Sheet1!S71_A4Code,$AC:$AC,Sheet1!S71_ProjectType,$AD:$AD)</f>
        <v>596684</v>
      </c>
      <c r="K30" s="916">
        <f>-SUMIFS(Sheet1!S71_OY1BudgetAmount,Sheet1!S71_A4Code,$AC:$AC,Sheet1!S71_ProjectType,$AD:$AD)</f>
        <v>620552</v>
      </c>
      <c r="L30" s="917">
        <f>-SUMIFS(Sheet1!S71_OY2BudgetAmount,Sheet1!S71_A4Code,$AC:$AC,Sheet1!S71_ProjectType,$AD:$AD)</f>
        <v>645374</v>
      </c>
      <c r="AC30" s="2348" t="s">
        <v>2700</v>
      </c>
      <c r="AD30" s="2306" t="s">
        <v>472</v>
      </c>
    </row>
    <row r="31" spans="1:30" ht="11.25" customHeight="1" x14ac:dyDescent="0.25">
      <c r="A31" s="669" t="s">
        <v>1366</v>
      </c>
      <c r="B31" s="711"/>
      <c r="C31" s="916">
        <f>SUMIFS(Sheet1!S71_PPPYearAmount,Sheet1!S71_A4Code,$AC:$AC,Sheet1!S71_ProjectType,$AD:$AD)</f>
        <v>0</v>
      </c>
      <c r="D31" s="916">
        <f>SUMIFS(Sheet1!S71_PPYearAmount,Sheet1!S71_A4Code,$AC:$AC,Sheet1!S71_ProjectType,$AD:$AD)</f>
        <v>0</v>
      </c>
      <c r="E31" s="917">
        <f>SUMIFS(Sheet1!S71_PYearAmount,Sheet1!S71_A4Code,$AC:$AC,Sheet1!S71_ProjectType,$AD:$AD)</f>
        <v>0</v>
      </c>
      <c r="F31" s="918">
        <f>-SUMIFS(Sheet1!S71_OriginalBudAmnt,Sheet1!S71_A4Code,$AC:$AC,Sheet1!S71_ProjectType,$AD:$AD)</f>
        <v>0</v>
      </c>
      <c r="G31" s="916">
        <f>-SUMIFS(Sheet1!S71_AdjustmentBudAmnt,Sheet1!S71_A4Code,$AC:$AC,Sheet1!S71_ProjectType,$AD:$AD)</f>
        <v>0</v>
      </c>
      <c r="H31" s="917">
        <f>-SUMIFS(Sheet1!S71_AdjustmentBudAmnt,Sheet1!S71_A4Code,$AC:$AC,Sheet1!S71_ProjectType,$AD:$AD)</f>
        <v>0</v>
      </c>
      <c r="I31" s="919">
        <f>-SUMIFS(Sheet1!S71_AdjustmentBudAmnt,Sheet1!S71_A4Code,$AC:$AC,Sheet1!S71_ProjectType,$AD:$AD)</f>
        <v>0</v>
      </c>
      <c r="J31" s="920">
        <f>-SUMIFS(Sheet1!S71_ASBudgetAmount,Sheet1!S71_A4Code,$AC:$AC,Sheet1!S71_ProjectType,$AD:$AD)</f>
        <v>0</v>
      </c>
      <c r="K31" s="916">
        <f>-SUMIFS(Sheet1!S71_OY1BudgetAmount,Sheet1!S71_A4Code,$AC:$AC,Sheet1!S71_ProjectType,$AD:$AD)</f>
        <v>0</v>
      </c>
      <c r="L31" s="917">
        <f>-SUMIFS(Sheet1!S71_OY2BudgetAmount,Sheet1!S71_A4Code,$AC:$AC,Sheet1!S71_ProjectType,$AD:$AD)</f>
        <v>0</v>
      </c>
      <c r="AC31" s="2348" t="s">
        <v>2700</v>
      </c>
      <c r="AD31" s="2306" t="s">
        <v>810</v>
      </c>
    </row>
    <row r="32" spans="1:30" ht="25.5" x14ac:dyDescent="0.25">
      <c r="A32" s="921" t="s">
        <v>2602</v>
      </c>
      <c r="B32" s="711"/>
      <c r="C32" s="916">
        <f>SUMIFS(Sheet1!S71_PPPYearAmount,Sheet1!S71_A4Code,$AC:$AC,Sheet1!S71_ProjectType,$AD:$AD)</f>
        <v>0</v>
      </c>
      <c r="D32" s="916">
        <f>SUMIFS(Sheet1!S71_PPYearAmount,Sheet1!S71_A4Code,$AC:$AC,Sheet1!S71_ProjectType,$AD:$AD)</f>
        <v>0</v>
      </c>
      <c r="E32" s="917">
        <f>SUMIFS(Sheet1!S71_PYearAmount,Sheet1!S71_A4Code,$AC:$AC,Sheet1!S71_ProjectType,$AD:$AD)</f>
        <v>0</v>
      </c>
      <c r="F32" s="918">
        <f>SUMIFS(Sheet1!S71_OriginalBudAmnt,Sheet1!S71_A4Code,$AC:$AC,Sheet1!S71_ProjectType,$AD:$AD)</f>
        <v>0</v>
      </c>
      <c r="G32" s="916">
        <f>SUMIFS(Sheet1!S71_AdjustmentBudAmnt,Sheet1!S71_A4Code,$AC:$AC,Sheet1!S71_ProjectType,$AD:$AD)</f>
        <v>0</v>
      </c>
      <c r="H32" s="917">
        <f>SUMIFS(Sheet1!S71_AdjustmentBudAmnt,Sheet1!S71_A4Code,$AC:$AC,Sheet1!S71_ProjectType,$AD:$AD)</f>
        <v>0</v>
      </c>
      <c r="I32" s="919">
        <f>SUMIFS(Sheet1!S71_AdjustmentBudAmnt,Sheet1!S71_A4Code,$AC:$AC,Sheet1!S71_ProjectType,$AD:$AD)</f>
        <v>0</v>
      </c>
      <c r="J32" s="920">
        <f>SUMIFS(Sheet1!S71_ASBudgetAmount,Sheet1!S71_A4Code,$AC:$AC,Sheet1!S71_ProjectType,$AD:$AD)</f>
        <v>0</v>
      </c>
      <c r="K32" s="916">
        <f>SUMIFS(Sheet1!S71_OY1BudgetAmount,Sheet1!S71_A4Code,$AC:$AC,Sheet1!S71_ProjectType,$AD:$AD)</f>
        <v>0</v>
      </c>
      <c r="L32" s="917">
        <f>SUMIFS(Sheet1!S71_OY2BudgetAmount,Sheet1!S71_A4Code,$AC:$AC,Sheet1!S71_ProjectType,$AD:$AD)</f>
        <v>0</v>
      </c>
      <c r="AC32" s="2348" t="s">
        <v>2700</v>
      </c>
      <c r="AD32" s="2317" t="s">
        <v>2753</v>
      </c>
    </row>
    <row r="33" spans="1:30" ht="25.5" x14ac:dyDescent="0.25">
      <c r="A33" s="926" t="s">
        <v>2603</v>
      </c>
      <c r="B33" s="711"/>
      <c r="C33" s="110">
        <f>'SA9'!E286</f>
        <v>0</v>
      </c>
      <c r="D33" s="110">
        <f>'SA9'!F286</f>
        <v>0</v>
      </c>
      <c r="E33" s="111">
        <f>'SA9'!G286</f>
        <v>0</v>
      </c>
      <c r="F33" s="112">
        <f>'SA9'!H286</f>
        <v>0</v>
      </c>
      <c r="G33" s="110">
        <f>'SA9'!I286</f>
        <v>0</v>
      </c>
      <c r="H33" s="111">
        <f>'SA9'!J286</f>
        <v>0</v>
      </c>
      <c r="I33" s="919">
        <f>SUMIFS(Sheet1!S71_AdjustmentBudAmnt,Sheet1!S71_A4Code,$AC:$AC,Sheet1!S71_ProjectType,$AD:$AD)</f>
        <v>0</v>
      </c>
      <c r="J33" s="114">
        <f>'SA9'!K286</f>
        <v>0</v>
      </c>
      <c r="K33" s="110">
        <f>'SA9'!L286</f>
        <v>0</v>
      </c>
      <c r="L33" s="111">
        <f>'SA9'!M286</f>
        <v>0</v>
      </c>
      <c r="AC33" s="2348" t="s">
        <v>2700</v>
      </c>
      <c r="AD33" s="2306" t="s">
        <v>2753</v>
      </c>
    </row>
    <row r="34" spans="1:30" ht="13.5" x14ac:dyDescent="0.25">
      <c r="A34" s="135" t="str">
        <f>"Net "&amp; A29</f>
        <v>Net Service charges - refuse revenue</v>
      </c>
      <c r="B34" s="711"/>
      <c r="C34" s="106">
        <f>SUM(C30:C31)-C32-C33</f>
        <v>497749</v>
      </c>
      <c r="D34" s="106">
        <f t="shared" ref="D34:L34" si="4">SUM(D30:D31)-D32-D33</f>
        <v>525667</v>
      </c>
      <c r="E34" s="923">
        <f t="shared" si="4"/>
        <v>528201</v>
      </c>
      <c r="F34" s="924">
        <f t="shared" si="4"/>
        <v>574287</v>
      </c>
      <c r="G34" s="106">
        <f t="shared" si="4"/>
        <v>574287</v>
      </c>
      <c r="H34" s="923">
        <f t="shared" si="4"/>
        <v>574287</v>
      </c>
      <c r="I34" s="925">
        <f t="shared" si="4"/>
        <v>-574287</v>
      </c>
      <c r="J34" s="107">
        <f t="shared" si="4"/>
        <v>596684</v>
      </c>
      <c r="K34" s="106">
        <f t="shared" si="4"/>
        <v>620552</v>
      </c>
      <c r="L34" s="923">
        <f t="shared" si="4"/>
        <v>645374</v>
      </c>
      <c r="AC34" s="2315"/>
      <c r="AD34" s="2305"/>
    </row>
    <row r="35" spans="1:30" ht="4.9000000000000004" customHeight="1" x14ac:dyDescent="0.25">
      <c r="A35" s="931"/>
      <c r="B35" s="711"/>
      <c r="C35" s="177"/>
      <c r="D35" s="177"/>
      <c r="E35" s="178"/>
      <c r="F35" s="179"/>
      <c r="G35" s="177"/>
      <c r="H35" s="178"/>
      <c r="I35" s="180"/>
      <c r="J35" s="181"/>
      <c r="K35" s="177"/>
      <c r="L35" s="178"/>
      <c r="AC35" s="2315"/>
      <c r="AD35" s="2305"/>
    </row>
    <row r="36" spans="1:30" ht="11.25" customHeight="1" x14ac:dyDescent="0.25">
      <c r="A36" s="913" t="s">
        <v>322</v>
      </c>
      <c r="B36" s="711"/>
      <c r="C36" s="762"/>
      <c r="D36" s="762"/>
      <c r="E36" s="765"/>
      <c r="F36" s="764"/>
      <c r="G36" s="762"/>
      <c r="H36" s="765"/>
      <c r="I36" s="763"/>
      <c r="J36" s="766"/>
      <c r="K36" s="762"/>
      <c r="L36" s="765"/>
      <c r="AC36" s="2315"/>
      <c r="AD36" s="2305"/>
    </row>
    <row r="37" spans="1:30" ht="11.25" customHeight="1" x14ac:dyDescent="0.25">
      <c r="A37" s="2323" t="s">
        <v>2960</v>
      </c>
      <c r="B37" s="711"/>
      <c r="C37" s="712">
        <f>SUMIFS(Sheet1!S71_PPPYearAmount,Sheet1!S71_A4SubCode,$AC:$AC)</f>
        <v>0</v>
      </c>
      <c r="D37" s="712">
        <f>SUMIFS(Sheet1!S71_PPYearAmount,Sheet1!S71_A4SubCode,$AC:$AC)</f>
        <v>0</v>
      </c>
      <c r="E37" s="717">
        <f>SUMIFS(Sheet1!S71_PYearAmount,Sheet1!S71_A4SubCode,$AC:$AC)</f>
        <v>0</v>
      </c>
      <c r="F37" s="718">
        <f>-SUMIFS(Sheet1!S71_OriginalBudAmnt,Sheet1!S71_A4SubCode,$AC:$AC)</f>
        <v>0</v>
      </c>
      <c r="G37" s="712">
        <f>-SUMIFS(Sheet1!S71_AdjustmentBudAmnt,Sheet1!S71_A4SubCode,$AC:$AC)</f>
        <v>0</v>
      </c>
      <c r="H37" s="717">
        <f>-SUMIFS(Sheet1!S71_AdjustmentBudAmnt,Sheet1!S71_A4SubCode,$AC:$AC)</f>
        <v>0</v>
      </c>
      <c r="I37" s="719">
        <f>SUMIFS(Sheet1!CD:CD,Sheet1!S71_A4SubCode,$AC:$AC)</f>
        <v>0</v>
      </c>
      <c r="J37" s="725">
        <f>-SUMIFS(Sheet1!S71_ASBudgetAmount,Sheet1!S71_A4SubCode,$AC:$AC)</f>
        <v>0</v>
      </c>
      <c r="K37" s="712">
        <f>-SUMIFS(Sheet1!S71_OY1BudgetAmount,Sheet1!S71_A4SubCode,$AC:$AC)</f>
        <v>0</v>
      </c>
      <c r="L37" s="717">
        <f>-SUMIFS(Sheet1!S71_OY2BudgetAmount,Sheet1!S71_A4SubCode,$AC:$AC)</f>
        <v>0</v>
      </c>
      <c r="AC37" s="2343" t="s">
        <v>2096</v>
      </c>
      <c r="AD37" s="2305"/>
    </row>
    <row r="38" spans="1:30" ht="11.25" customHeight="1" x14ac:dyDescent="0.25">
      <c r="A38" s="2323" t="s">
        <v>2963</v>
      </c>
      <c r="B38" s="711"/>
      <c r="C38" s="712">
        <f>SUMIFS(Sheet1!S71_PPPYearAmount,Sheet1!S71_A4SubCode,$AC:$AC)</f>
        <v>0</v>
      </c>
      <c r="D38" s="712">
        <f>SUMIFS(Sheet1!S71_PPYearAmount,Sheet1!S71_A4SubCode,$AC:$AC)</f>
        <v>0</v>
      </c>
      <c r="E38" s="717">
        <f>SUMIFS(Sheet1!S71_PYearAmount,Sheet1!S71_A4SubCode,$AC:$AC)</f>
        <v>0</v>
      </c>
      <c r="F38" s="718">
        <f>-SUMIFS(Sheet1!S71_OriginalBudAmnt,Sheet1!S71_A4SubCode,$AC:$AC)</f>
        <v>0</v>
      </c>
      <c r="G38" s="712">
        <f>-SUMIFS(Sheet1!S71_AdjustmentBudAmnt,Sheet1!S71_A4SubCode,$AC:$AC)</f>
        <v>0</v>
      </c>
      <c r="H38" s="717">
        <f>-SUMIFS(Sheet1!S71_AdjustmentBudAmnt,Sheet1!S71_A4SubCode,$AC:$AC)</f>
        <v>0</v>
      </c>
      <c r="I38" s="719">
        <f>SUMIFS(Sheet1!CD:CD,Sheet1!S71_A4SubCode,$AC:$AC)</f>
        <v>0</v>
      </c>
      <c r="J38" s="725">
        <f>-SUMIFS(Sheet1!S71_ASBudgetAmount,Sheet1!S71_A4SubCode,$AC:$AC)</f>
        <v>0</v>
      </c>
      <c r="K38" s="712">
        <f>-SUMIFS(Sheet1!S71_OY1BudgetAmount,Sheet1!S71_A4SubCode,$AC:$AC)</f>
        <v>0</v>
      </c>
      <c r="L38" s="717">
        <f>-SUMIFS(Sheet1!S71_OY2BudgetAmount,Sheet1!S71_A4SubCode,$AC:$AC)</f>
        <v>0</v>
      </c>
      <c r="AC38" s="2343" t="s">
        <v>2098</v>
      </c>
      <c r="AD38" s="2305"/>
    </row>
    <row r="39" spans="1:30" ht="11.25" customHeight="1" x14ac:dyDescent="0.25">
      <c r="A39" s="2323" t="s">
        <v>2964</v>
      </c>
      <c r="B39" s="711"/>
      <c r="C39" s="712">
        <f>SUMIFS(Sheet1!S71_PPPYearAmount,Sheet1!S71_A4SubCode,$AC:$AC)</f>
        <v>0</v>
      </c>
      <c r="D39" s="712">
        <f>SUMIFS(Sheet1!S71_PPYearAmount,Sheet1!S71_A4SubCode,$AC:$AC)</f>
        <v>0</v>
      </c>
      <c r="E39" s="717">
        <f>SUMIFS(Sheet1!S71_PYearAmount,Sheet1!S71_A4SubCode,$AC:$AC)</f>
        <v>0</v>
      </c>
      <c r="F39" s="718">
        <f>-SUMIFS(Sheet1!S71_OriginalBudAmnt,Sheet1!S71_A4SubCode,$AC:$AC)</f>
        <v>0</v>
      </c>
      <c r="G39" s="712">
        <f>-SUMIFS(Sheet1!S71_AdjustmentBudAmnt,Sheet1!S71_A4SubCode,$AC:$AC)</f>
        <v>0</v>
      </c>
      <c r="H39" s="717">
        <f>-SUMIFS(Sheet1!S71_AdjustmentBudAmnt,Sheet1!S71_A4SubCode,$AC:$AC)</f>
        <v>0</v>
      </c>
      <c r="I39" s="719">
        <f>SUMIFS(Sheet1!CD:CD,Sheet1!S71_A4SubCode,$AC:$AC)</f>
        <v>0</v>
      </c>
      <c r="J39" s="725">
        <f>-SUMIFS(Sheet1!S71_ASBudgetAmount,Sheet1!S71_A4SubCode,$AC:$AC)</f>
        <v>0</v>
      </c>
      <c r="K39" s="712">
        <f>-SUMIFS(Sheet1!S71_OY1BudgetAmount,Sheet1!S71_A4SubCode,$AC:$AC)</f>
        <v>0</v>
      </c>
      <c r="L39" s="717">
        <f>-SUMIFS(Sheet1!S71_OY2BudgetAmount,Sheet1!S71_A4SubCode,$AC:$AC)</f>
        <v>0</v>
      </c>
      <c r="AC39" s="2343" t="s">
        <v>2100</v>
      </c>
      <c r="AD39" s="2316"/>
    </row>
    <row r="40" spans="1:30" ht="11.25" customHeight="1" x14ac:dyDescent="0.25">
      <c r="A40" s="2323" t="s">
        <v>2965</v>
      </c>
      <c r="B40" s="711"/>
      <c r="C40" s="712">
        <f>SUMIFS(Sheet1!S71_PPPYearAmount,Sheet1!S71_A4SubCode,$AC:$AC)</f>
        <v>0</v>
      </c>
      <c r="D40" s="712">
        <f>SUMIFS(Sheet1!S71_PPYearAmount,Sheet1!S71_A4SubCode,$AC:$AC)</f>
        <v>0</v>
      </c>
      <c r="E40" s="717">
        <f>SUMIFS(Sheet1!S71_PYearAmount,Sheet1!S71_A4SubCode,$AC:$AC)</f>
        <v>0</v>
      </c>
      <c r="F40" s="718">
        <f>-SUMIFS(Sheet1!S71_OriginalBudAmnt,Sheet1!S71_A4SubCode,$AC:$AC)</f>
        <v>0</v>
      </c>
      <c r="G40" s="712">
        <f>-SUMIFS(Sheet1!S71_AdjustmentBudAmnt,Sheet1!S71_A4SubCode,$AC:$AC)</f>
        <v>0</v>
      </c>
      <c r="H40" s="717">
        <f>-SUMIFS(Sheet1!S71_AdjustmentBudAmnt,Sheet1!S71_A4SubCode,$AC:$AC)</f>
        <v>0</v>
      </c>
      <c r="I40" s="719">
        <f>SUMIFS(Sheet1!CD:CD,Sheet1!S71_A4SubCode,$AC:$AC)</f>
        <v>0</v>
      </c>
      <c r="J40" s="725">
        <f>-SUMIFS(Sheet1!S71_ASBudgetAmount,Sheet1!S71_A4SubCode,$AC:$AC)</f>
        <v>0</v>
      </c>
      <c r="K40" s="712">
        <f>-SUMIFS(Sheet1!S71_OY1BudgetAmount,Sheet1!S71_A4SubCode,$AC:$AC)</f>
        <v>0</v>
      </c>
      <c r="L40" s="717">
        <f>-SUMIFS(Sheet1!S71_OY2BudgetAmount,Sheet1!S71_A4SubCode,$AC:$AC)</f>
        <v>0</v>
      </c>
      <c r="AC40" s="2343" t="s">
        <v>2102</v>
      </c>
      <c r="AD40" s="2316"/>
    </row>
    <row r="41" spans="1:30" ht="11.25" customHeight="1" x14ac:dyDescent="0.25">
      <c r="A41" s="2323" t="s">
        <v>2966</v>
      </c>
      <c r="B41" s="711"/>
      <c r="C41" s="712">
        <f>SUMIFS(Sheet1!S71_PPPYearAmount,Sheet1!S71_A4SubCode,$AC:$AC)</f>
        <v>0</v>
      </c>
      <c r="D41" s="712">
        <f>SUMIFS(Sheet1!S71_PPYearAmount,Sheet1!S71_A4SubCode,$AC:$AC)</f>
        <v>0</v>
      </c>
      <c r="E41" s="717">
        <f>SUMIFS(Sheet1!S71_PYearAmount,Sheet1!S71_A4SubCode,$AC:$AC)</f>
        <v>19696</v>
      </c>
      <c r="F41" s="718">
        <f>-SUMIFS(Sheet1!S71_OriginalBudAmnt,Sheet1!S71_A4SubCode,$AC:$AC)</f>
        <v>8596</v>
      </c>
      <c r="G41" s="712">
        <f>-SUMIFS(Sheet1!S71_AdjustmentBudAmnt,Sheet1!S71_A4SubCode,$AC:$AC)</f>
        <v>8596</v>
      </c>
      <c r="H41" s="717">
        <f>-SUMIFS(Sheet1!S71_AdjustmentBudAmnt,Sheet1!S71_A4SubCode,$AC:$AC)</f>
        <v>8596</v>
      </c>
      <c r="I41" s="719">
        <f>SUMIFS(Sheet1!CD:CD,Sheet1!S71_A4SubCode,$AC:$AC)</f>
        <v>338979</v>
      </c>
      <c r="J41" s="725">
        <f>-SUMIFS(Sheet1!S71_ASBudgetAmount,Sheet1!S71_A4SubCode,$AC:$AC)</f>
        <v>8931</v>
      </c>
      <c r="K41" s="712">
        <f>-SUMIFS(Sheet1!S71_OY1BudgetAmount,Sheet1!S71_A4SubCode,$AC:$AC)</f>
        <v>9288</v>
      </c>
      <c r="L41" s="717">
        <f>-SUMIFS(Sheet1!S71_OY2BudgetAmount,Sheet1!S71_A4SubCode,$AC:$AC)</f>
        <v>9660</v>
      </c>
      <c r="AC41" s="2343" t="s">
        <v>2720</v>
      </c>
      <c r="AD41" s="2316"/>
    </row>
    <row r="42" spans="1:30" ht="11.25" customHeight="1" x14ac:dyDescent="0.25">
      <c r="A42" s="2323" t="s">
        <v>2967</v>
      </c>
      <c r="B42" s="711"/>
      <c r="C42" s="712">
        <f>SUMIFS(Sheet1!S71_PPPYearAmount,Sheet1!S71_A4SubCode,$AC:$AC)</f>
        <v>0</v>
      </c>
      <c r="D42" s="712">
        <f>SUMIFS(Sheet1!S71_PPYearAmount,Sheet1!S71_A4SubCode,$AC:$AC)</f>
        <v>0</v>
      </c>
      <c r="E42" s="717">
        <f>SUMIFS(Sheet1!S71_PYearAmount,Sheet1!S71_A4SubCode,$AC:$AC)</f>
        <v>0</v>
      </c>
      <c r="F42" s="718">
        <f>-SUMIFS(Sheet1!S71_OriginalBudAmnt,Sheet1!S71_A4SubCode,$AC:$AC)</f>
        <v>0</v>
      </c>
      <c r="G42" s="712">
        <f>-SUMIFS(Sheet1!S71_AdjustmentBudAmnt,Sheet1!S71_A4SubCode,$AC:$AC)</f>
        <v>0</v>
      </c>
      <c r="H42" s="717">
        <f>-SUMIFS(Sheet1!S71_AdjustmentBudAmnt,Sheet1!S71_A4SubCode,$AC:$AC)</f>
        <v>0</v>
      </c>
      <c r="I42" s="719">
        <f>SUMIFS(Sheet1!CD:CD,Sheet1!S71_A4SubCode,$AC:$AC)</f>
        <v>0</v>
      </c>
      <c r="J42" s="725">
        <f>-SUMIFS(Sheet1!S71_ASBudgetAmount,Sheet1!S71_A4SubCode,$AC:$AC)</f>
        <v>0</v>
      </c>
      <c r="K42" s="712">
        <f>-SUMIFS(Sheet1!S71_OY1BudgetAmount,Sheet1!S71_A4SubCode,$AC:$AC)</f>
        <v>0</v>
      </c>
      <c r="L42" s="717">
        <f>-SUMIFS(Sheet1!S71_OY2BudgetAmount,Sheet1!S71_A4SubCode,$AC:$AC)</f>
        <v>0</v>
      </c>
      <c r="AC42" s="2343" t="s">
        <v>2721</v>
      </c>
      <c r="AD42" s="2316"/>
    </row>
    <row r="43" spans="1:30" ht="11.25" customHeight="1" x14ac:dyDescent="0.25">
      <c r="A43" s="2323" t="s">
        <v>2961</v>
      </c>
      <c r="B43" s="711"/>
      <c r="C43" s="712">
        <f>SUMIFS(Sheet1!S71_PPPYearAmount,Sheet1!S71_A4SubCode,$AC:$AC)</f>
        <v>0</v>
      </c>
      <c r="D43" s="712">
        <f>SUMIFS(Sheet1!S71_PPYearAmount,Sheet1!S71_A4SubCode,$AC:$AC)</f>
        <v>0</v>
      </c>
      <c r="E43" s="717">
        <f>SUMIFS(Sheet1!S71_PYearAmount,Sheet1!S71_A4SubCode,$AC:$AC)</f>
        <v>0</v>
      </c>
      <c r="F43" s="718">
        <f>-SUMIFS(Sheet1!S71_OriginalBudAmnt,Sheet1!S71_A4SubCode,$AC:$AC)</f>
        <v>0</v>
      </c>
      <c r="G43" s="712">
        <f>-SUMIFS(Sheet1!S71_AdjustmentBudAmnt,Sheet1!S71_A4SubCode,$AC:$AC)</f>
        <v>0</v>
      </c>
      <c r="H43" s="717">
        <f>-SUMIFS(Sheet1!S71_AdjustmentBudAmnt,Sheet1!S71_A4SubCode,$AC:$AC)</f>
        <v>0</v>
      </c>
      <c r="I43" s="719">
        <f>SUMIFS(Sheet1!CD:CD,Sheet1!S71_A4SubCode,$AC:$AC)</f>
        <v>0</v>
      </c>
      <c r="J43" s="725">
        <f>-SUMIFS(Sheet1!S71_ASBudgetAmount,Sheet1!S71_A4SubCode,$AC:$AC)</f>
        <v>0</v>
      </c>
      <c r="K43" s="712">
        <f>-SUMIFS(Sheet1!S71_OY1BudgetAmount,Sheet1!S71_A4SubCode,$AC:$AC)</f>
        <v>0</v>
      </c>
      <c r="L43" s="717">
        <f>-SUMIFS(Sheet1!S71_OY2BudgetAmount,Sheet1!S71_A4SubCode,$AC:$AC)</f>
        <v>0</v>
      </c>
      <c r="AC43" s="2343" t="s">
        <v>2722</v>
      </c>
      <c r="AD43" s="2305"/>
    </row>
    <row r="44" spans="1:30" ht="11.25" customHeight="1" x14ac:dyDescent="0.25">
      <c r="A44" s="2323" t="s">
        <v>2968</v>
      </c>
      <c r="B44" s="711"/>
      <c r="C44" s="712">
        <f>SUMIFS(Sheet1!S71_PPPYearAmount,Sheet1!S71_A4SubCode,$AC:$AC)</f>
        <v>0</v>
      </c>
      <c r="D44" s="712">
        <f>SUMIFS(Sheet1!S71_PPYearAmount,Sheet1!S71_A4SubCode,$AC:$AC)</f>
        <v>0</v>
      </c>
      <c r="E44" s="717">
        <f>SUMIFS(Sheet1!S71_PYearAmount,Sheet1!S71_A4SubCode,$AC:$AC)</f>
        <v>0</v>
      </c>
      <c r="F44" s="718">
        <f>-SUMIFS(Sheet1!S71_OriginalBudAmnt,Sheet1!S71_A4SubCode,$AC:$AC)</f>
        <v>0</v>
      </c>
      <c r="G44" s="712">
        <f>-SUMIFS(Sheet1!S71_AdjustmentBudAmnt,Sheet1!S71_A4SubCode,$AC:$AC)</f>
        <v>0</v>
      </c>
      <c r="H44" s="717">
        <f>-SUMIFS(Sheet1!S71_AdjustmentBudAmnt,Sheet1!S71_A4SubCode,$AC:$AC)</f>
        <v>0</v>
      </c>
      <c r="I44" s="719">
        <f>SUMIFS(Sheet1!CD:CD,Sheet1!S71_A4SubCode,$AC:$AC)</f>
        <v>0</v>
      </c>
      <c r="J44" s="725">
        <f>-SUMIFS(Sheet1!S71_ASBudgetAmount,Sheet1!S71_A4SubCode,$AC:$AC)</f>
        <v>0</v>
      </c>
      <c r="K44" s="712">
        <f>-SUMIFS(Sheet1!S71_OY1BudgetAmount,Sheet1!S71_A4SubCode,$AC:$AC)</f>
        <v>0</v>
      </c>
      <c r="L44" s="717">
        <f>-SUMIFS(Sheet1!S71_OY2BudgetAmount,Sheet1!S71_A4SubCode,$AC:$AC)</f>
        <v>0</v>
      </c>
      <c r="AC44" s="2343" t="s">
        <v>2723</v>
      </c>
      <c r="AD44" s="2305"/>
    </row>
    <row r="45" spans="1:30" ht="11.25" customHeight="1" x14ac:dyDescent="0.25">
      <c r="A45" s="2323" t="s">
        <v>2969</v>
      </c>
      <c r="B45" s="711"/>
      <c r="C45" s="712">
        <f>SUMIFS(Sheet1!S71_PPPYearAmount,Sheet1!S71_A4SubCode,$AC:$AC)</f>
        <v>0</v>
      </c>
      <c r="D45" s="712">
        <f>SUMIFS(Sheet1!S71_PPYearAmount,Sheet1!S71_A4SubCode,$AC:$AC)</f>
        <v>0</v>
      </c>
      <c r="E45" s="717">
        <f>SUMIFS(Sheet1!S71_PYearAmount,Sheet1!S71_A4SubCode,$AC:$AC)</f>
        <v>0</v>
      </c>
      <c r="F45" s="718">
        <f>-SUMIFS(Sheet1!S71_OriginalBudAmnt,Sheet1!S71_A4SubCode,$AC:$AC)</f>
        <v>0</v>
      </c>
      <c r="G45" s="712">
        <f>-SUMIFS(Sheet1!S71_AdjustmentBudAmnt,Sheet1!S71_A4SubCode,$AC:$AC)</f>
        <v>0</v>
      </c>
      <c r="H45" s="717">
        <f>-SUMIFS(Sheet1!S71_AdjustmentBudAmnt,Sheet1!S71_A4SubCode,$AC:$AC)</f>
        <v>0</v>
      </c>
      <c r="I45" s="719">
        <f>SUMIFS(Sheet1!CD:CD,Sheet1!S71_A4SubCode,$AC:$AC)</f>
        <v>0</v>
      </c>
      <c r="J45" s="725">
        <f>-SUMIFS(Sheet1!S71_ASBudgetAmount,Sheet1!S71_A4SubCode,$AC:$AC)</f>
        <v>0</v>
      </c>
      <c r="K45" s="712">
        <f>-SUMIFS(Sheet1!S71_OY1BudgetAmount,Sheet1!S71_A4SubCode,$AC:$AC)</f>
        <v>0</v>
      </c>
      <c r="L45" s="717">
        <f>-SUMIFS(Sheet1!S71_OY2BudgetAmount,Sheet1!S71_A4SubCode,$AC:$AC)</f>
        <v>0</v>
      </c>
      <c r="AC45" s="2343" t="s">
        <v>2724</v>
      </c>
      <c r="AD45" s="2305"/>
    </row>
    <row r="46" spans="1:30" ht="11.25" customHeight="1" x14ac:dyDescent="0.25">
      <c r="A46" s="2323" t="s">
        <v>2970</v>
      </c>
      <c r="B46" s="711"/>
      <c r="C46" s="712">
        <f>SUMIFS(Sheet1!S71_PPPYearAmount,Sheet1!S71_A4SubCode,$AC:$AC)</f>
        <v>0</v>
      </c>
      <c r="D46" s="712">
        <f>SUMIFS(Sheet1!S71_PPYearAmount,Sheet1!S71_A4SubCode,$AC:$AC)</f>
        <v>0</v>
      </c>
      <c r="E46" s="717">
        <f>SUMIFS(Sheet1!S71_PYearAmount,Sheet1!S71_A4SubCode,$AC:$AC)</f>
        <v>0</v>
      </c>
      <c r="F46" s="718">
        <f>-SUMIFS(Sheet1!S71_OriginalBudAmnt,Sheet1!S71_A4SubCode,$AC:$AC)</f>
        <v>0</v>
      </c>
      <c r="G46" s="712">
        <f>-SUMIFS(Sheet1!S71_AdjustmentBudAmnt,Sheet1!S71_A4SubCode,$AC:$AC)</f>
        <v>0</v>
      </c>
      <c r="H46" s="717">
        <f>-SUMIFS(Sheet1!S71_AdjustmentBudAmnt,Sheet1!S71_A4SubCode,$AC:$AC)</f>
        <v>0</v>
      </c>
      <c r="I46" s="719">
        <f>SUMIFS(Sheet1!CD:CD,Sheet1!S71_A4SubCode,$AC:$AC)</f>
        <v>0</v>
      </c>
      <c r="J46" s="725">
        <f>-SUMIFS(Sheet1!S71_ASBudgetAmount,Sheet1!S71_A4SubCode,$AC:$AC)</f>
        <v>0</v>
      </c>
      <c r="K46" s="712">
        <f>-SUMIFS(Sheet1!S71_OY1BudgetAmount,Sheet1!S71_A4SubCode,$AC:$AC)</f>
        <v>0</v>
      </c>
      <c r="L46" s="717">
        <f>-SUMIFS(Sheet1!S71_OY2BudgetAmount,Sheet1!S71_A4SubCode,$AC:$AC)</f>
        <v>0</v>
      </c>
      <c r="AC46" s="2343" t="s">
        <v>2725</v>
      </c>
      <c r="AD46" s="2305"/>
    </row>
    <row r="47" spans="1:30" ht="11.25" customHeight="1" x14ac:dyDescent="0.25">
      <c r="A47" s="2323" t="s">
        <v>2971</v>
      </c>
      <c r="B47" s="711"/>
      <c r="C47" s="712">
        <f>SUMIFS(Sheet1!S71_PPPYearAmount,Sheet1!S71_A4SubCode,$AC:$AC)</f>
        <v>0</v>
      </c>
      <c r="D47" s="712">
        <f>SUMIFS(Sheet1!S71_PPYearAmount,Sheet1!S71_A4SubCode,$AC:$AC)</f>
        <v>0</v>
      </c>
      <c r="E47" s="717">
        <f>SUMIFS(Sheet1!S71_PYearAmount,Sheet1!S71_A4SubCode,$AC:$AC)</f>
        <v>0</v>
      </c>
      <c r="F47" s="718">
        <f>-SUMIFS(Sheet1!S71_OriginalBudAmnt,Sheet1!S71_A4SubCode,$AC:$AC)</f>
        <v>0</v>
      </c>
      <c r="G47" s="712">
        <f>-SUMIFS(Sheet1!S71_AdjustmentBudAmnt,Sheet1!S71_A4SubCode,$AC:$AC)</f>
        <v>0</v>
      </c>
      <c r="H47" s="717">
        <f>-SUMIFS(Sheet1!S71_AdjustmentBudAmnt,Sheet1!S71_A4SubCode,$AC:$AC)</f>
        <v>0</v>
      </c>
      <c r="I47" s="719">
        <f>SUMIFS(Sheet1!CD:CD,Sheet1!S71_A4SubCode,$AC:$AC)</f>
        <v>0</v>
      </c>
      <c r="J47" s="725">
        <f>-SUMIFS(Sheet1!S71_ASBudgetAmount,Sheet1!S71_A4SubCode,$AC:$AC)</f>
        <v>0</v>
      </c>
      <c r="K47" s="712">
        <f>-SUMIFS(Sheet1!S71_OY1BudgetAmount,Sheet1!S71_A4SubCode,$AC:$AC)</f>
        <v>0</v>
      </c>
      <c r="L47" s="717">
        <f>-SUMIFS(Sheet1!S71_OY2BudgetAmount,Sheet1!S71_A4SubCode,$AC:$AC)</f>
        <v>0</v>
      </c>
      <c r="AC47" s="2343" t="s">
        <v>2726</v>
      </c>
      <c r="AD47" s="2305"/>
    </row>
    <row r="48" spans="1:30" ht="11.25" customHeight="1" x14ac:dyDescent="0.25">
      <c r="A48" s="2323" t="s">
        <v>2959</v>
      </c>
      <c r="B48" s="711"/>
      <c r="C48" s="712">
        <f>SUMIFS(Sheet1!S71_PPPYearAmount,Sheet1!S71_A4SubCode,$AC:$AC)</f>
        <v>0</v>
      </c>
      <c r="D48" s="712">
        <f>SUMIFS(Sheet1!S71_PPYearAmount,Sheet1!S71_A4SubCode,$AC:$AC)</f>
        <v>0</v>
      </c>
      <c r="E48" s="717">
        <f>SUMIFS(Sheet1!S71_PYearAmount,Sheet1!S71_A4SubCode,$AC:$AC)</f>
        <v>0</v>
      </c>
      <c r="F48" s="718">
        <f>-SUMIFS(Sheet1!S71_OriginalBudAmnt,Sheet1!S71_A4SubCode,$AC:$AC)</f>
        <v>0</v>
      </c>
      <c r="G48" s="712">
        <f>-SUMIFS(Sheet1!S71_AdjustmentBudAmnt,Sheet1!S71_A4SubCode,$AC:$AC)</f>
        <v>0</v>
      </c>
      <c r="H48" s="717">
        <f>-SUMIFS(Sheet1!S71_AdjustmentBudAmnt,Sheet1!S71_A4SubCode,$AC:$AC)</f>
        <v>0</v>
      </c>
      <c r="I48" s="719">
        <f>SUMIFS(Sheet1!CD:CD,Sheet1!S71_A4SubCode,$AC:$AC)</f>
        <v>0</v>
      </c>
      <c r="J48" s="725">
        <f>-SUMIFS(Sheet1!S71_ASBudgetAmount,Sheet1!S71_A4SubCode,$AC:$AC)</f>
        <v>0</v>
      </c>
      <c r="K48" s="712">
        <f>-SUMIFS(Sheet1!S71_OY1BudgetAmount,Sheet1!S71_A4SubCode,$AC:$AC)</f>
        <v>0</v>
      </c>
      <c r="L48" s="717">
        <f>-SUMIFS(Sheet1!S71_OY2BudgetAmount,Sheet1!S71_A4SubCode,$AC:$AC)</f>
        <v>0</v>
      </c>
      <c r="AC48" s="2343" t="s">
        <v>2727</v>
      </c>
      <c r="AD48" s="2305"/>
    </row>
    <row r="49" spans="1:30" ht="11.25" customHeight="1" x14ac:dyDescent="0.25">
      <c r="A49" s="2323" t="s">
        <v>2972</v>
      </c>
      <c r="B49" s="711"/>
      <c r="C49" s="712">
        <f>SUMIFS(Sheet1!S71_PPPYearAmount,Sheet1!S71_A4SubCode,$AC:$AC)</f>
        <v>0</v>
      </c>
      <c r="D49" s="712">
        <f>SUMIFS(Sheet1!S71_PPYearAmount,Sheet1!S71_A4SubCode,$AC:$AC)</f>
        <v>0</v>
      </c>
      <c r="E49" s="717">
        <f>SUMIFS(Sheet1!S71_PYearAmount,Sheet1!S71_A4SubCode,$AC:$AC)</f>
        <v>0</v>
      </c>
      <c r="F49" s="718">
        <f>-SUMIFS(Sheet1!S71_OriginalBudAmnt,Sheet1!S71_A4SubCode,$AC:$AC)</f>
        <v>0</v>
      </c>
      <c r="G49" s="712">
        <f>-SUMIFS(Sheet1!S71_AdjustmentBudAmnt,Sheet1!S71_A4SubCode,$AC:$AC)</f>
        <v>0</v>
      </c>
      <c r="H49" s="717">
        <f>-SUMIFS(Sheet1!S71_AdjustmentBudAmnt,Sheet1!S71_A4SubCode,$AC:$AC)</f>
        <v>0</v>
      </c>
      <c r="I49" s="719">
        <f>SUMIFS(Sheet1!CD:CD,Sheet1!S71_A4SubCode,$AC:$AC)</f>
        <v>0</v>
      </c>
      <c r="J49" s="725">
        <f>-SUMIFS(Sheet1!S71_ASBudgetAmount,Sheet1!S71_A4SubCode,$AC:$AC)</f>
        <v>0</v>
      </c>
      <c r="K49" s="712">
        <f>-SUMIFS(Sheet1!S71_OY1BudgetAmount,Sheet1!S71_A4SubCode,$AC:$AC)</f>
        <v>0</v>
      </c>
      <c r="L49" s="717">
        <f>-SUMIFS(Sheet1!S71_OY2BudgetAmount,Sheet1!S71_A4SubCode,$AC:$AC)</f>
        <v>0</v>
      </c>
      <c r="AC49" s="2343" t="s">
        <v>2728</v>
      </c>
      <c r="AD49" s="2305"/>
    </row>
    <row r="50" spans="1:30" ht="11.25" customHeight="1" x14ac:dyDescent="0.25">
      <c r="A50" s="2323" t="s">
        <v>2973</v>
      </c>
      <c r="B50" s="711"/>
      <c r="C50" s="712">
        <f>SUMIFS(Sheet1!S71_PPPYearAmount,Sheet1!S71_A4SubCode,$AC:$AC)</f>
        <v>0</v>
      </c>
      <c r="D50" s="712">
        <f>SUMIFS(Sheet1!S71_PPYearAmount,Sheet1!S71_A4SubCode,$AC:$AC)</f>
        <v>0</v>
      </c>
      <c r="E50" s="717">
        <f>SUMIFS(Sheet1!S71_PYearAmount,Sheet1!S71_A4SubCode,$AC:$AC)</f>
        <v>0</v>
      </c>
      <c r="F50" s="718">
        <f>-SUMIFS(Sheet1!S71_OriginalBudAmnt,Sheet1!S71_A4SubCode,$AC:$AC)</f>
        <v>0</v>
      </c>
      <c r="G50" s="712">
        <f>-SUMIFS(Sheet1!S71_AdjustmentBudAmnt,Sheet1!S71_A4SubCode,$AC:$AC)</f>
        <v>0</v>
      </c>
      <c r="H50" s="717">
        <f>-SUMIFS(Sheet1!S71_AdjustmentBudAmnt,Sheet1!S71_A4SubCode,$AC:$AC)</f>
        <v>0</v>
      </c>
      <c r="I50" s="719">
        <f>SUMIFS(Sheet1!CD:CD,Sheet1!S71_A4SubCode,$AC:$AC)</f>
        <v>0</v>
      </c>
      <c r="J50" s="725">
        <f>-SUMIFS(Sheet1!S71_ASBudgetAmount,Sheet1!S71_A4SubCode,$AC:$AC)</f>
        <v>0</v>
      </c>
      <c r="K50" s="712">
        <f>-SUMIFS(Sheet1!S71_OY1BudgetAmount,Sheet1!S71_A4SubCode,$AC:$AC)</f>
        <v>0</v>
      </c>
      <c r="L50" s="717">
        <f>-SUMIFS(Sheet1!S71_OY2BudgetAmount,Sheet1!S71_A4SubCode,$AC:$AC)</f>
        <v>0</v>
      </c>
      <c r="AC50" s="2343" t="s">
        <v>2729</v>
      </c>
      <c r="AD50" s="2305"/>
    </row>
    <row r="51" spans="1:30" ht="11.25" customHeight="1" x14ac:dyDescent="0.25">
      <c r="A51" s="2323" t="s">
        <v>2974</v>
      </c>
      <c r="B51" s="711"/>
      <c r="C51" s="712">
        <f>SUMIFS(Sheet1!S71_PPPYearAmount,Sheet1!S71_A4SubCode,$AC:$AC)</f>
        <v>0</v>
      </c>
      <c r="D51" s="712">
        <f>SUMIFS(Sheet1!S71_PPYearAmount,Sheet1!S71_A4SubCode,$AC:$AC)</f>
        <v>0</v>
      </c>
      <c r="E51" s="717">
        <f>SUMIFS(Sheet1!S71_PYearAmount,Sheet1!S71_A4SubCode,$AC:$AC)</f>
        <v>0</v>
      </c>
      <c r="F51" s="718">
        <f>-SUMIFS(Sheet1!S71_OriginalBudAmnt,Sheet1!S71_A4SubCode,$AC:$AC)</f>
        <v>0</v>
      </c>
      <c r="G51" s="712">
        <f>-SUMIFS(Sheet1!S71_AdjustmentBudAmnt,Sheet1!S71_A4SubCode,$AC:$AC)</f>
        <v>0</v>
      </c>
      <c r="H51" s="717">
        <f>-SUMIFS(Sheet1!S71_AdjustmentBudAmnt,Sheet1!S71_A4SubCode,$AC:$AC)</f>
        <v>0</v>
      </c>
      <c r="I51" s="719">
        <f>SUMIFS(Sheet1!CD:CD,Sheet1!S71_A4SubCode,$AC:$AC)</f>
        <v>0</v>
      </c>
      <c r="J51" s="725">
        <f>-SUMIFS(Sheet1!S71_ASBudgetAmount,Sheet1!S71_A4SubCode,$AC:$AC)</f>
        <v>0</v>
      </c>
      <c r="K51" s="712">
        <f>-SUMIFS(Sheet1!S71_OY1BudgetAmount,Sheet1!S71_A4SubCode,$AC:$AC)</f>
        <v>0</v>
      </c>
      <c r="L51" s="717">
        <f>-SUMIFS(Sheet1!S71_OY2BudgetAmount,Sheet1!S71_A4SubCode,$AC:$AC)</f>
        <v>0</v>
      </c>
      <c r="AC51" s="2343" t="s">
        <v>2978</v>
      </c>
      <c r="AD51" s="2305"/>
    </row>
    <row r="52" spans="1:30" ht="11.25" customHeight="1" x14ac:dyDescent="0.25">
      <c r="A52" s="2323" t="s">
        <v>2975</v>
      </c>
      <c r="B52" s="711"/>
      <c r="C52" s="712">
        <f>SUMIFS(Sheet1!S71_PPPYearAmount,Sheet1!S71_A4SubCode,$AC:$AC)</f>
        <v>103687</v>
      </c>
      <c r="D52" s="712">
        <f>SUMIFS(Sheet1!S71_PPYearAmount,Sheet1!S71_A4SubCode,$AC:$AC)</f>
        <v>101636</v>
      </c>
      <c r="E52" s="717">
        <f>SUMIFS(Sheet1!S71_PYearAmount,Sheet1!S71_A4SubCode,$AC:$AC)</f>
        <v>96755</v>
      </c>
      <c r="F52" s="718">
        <f>-SUMIFS(Sheet1!S71_OriginalBudAmnt,Sheet1!S71_A4SubCode,$AC:$AC)</f>
        <v>0</v>
      </c>
      <c r="G52" s="712">
        <f>-SUMIFS(Sheet1!S71_AdjustmentBudAmnt,Sheet1!S71_A4SubCode,$AC:$AC)</f>
        <v>0</v>
      </c>
      <c r="H52" s="717">
        <f>-SUMIFS(Sheet1!S71_AdjustmentBudAmnt,Sheet1!S71_A4SubCode,$AC:$AC)</f>
        <v>0</v>
      </c>
      <c r="I52" s="719">
        <f>SUMIFS(Sheet1!CD:CD,Sheet1!S71_A4SubCode,$AC:$AC)</f>
        <v>0</v>
      </c>
      <c r="J52" s="725">
        <f>-SUMIFS(Sheet1!S71_ASBudgetAmount,Sheet1!S71_A4SubCode,$AC:$AC)</f>
        <v>0</v>
      </c>
      <c r="K52" s="712">
        <f>-SUMIFS(Sheet1!S71_OY1BudgetAmount,Sheet1!S71_A4SubCode,$AC:$AC)</f>
        <v>0</v>
      </c>
      <c r="L52" s="717">
        <f>-SUMIFS(Sheet1!S71_OY2BudgetAmount,Sheet1!S71_A4SubCode,$AC:$AC)</f>
        <v>0</v>
      </c>
      <c r="AC52" s="2343" t="s">
        <v>2962</v>
      </c>
      <c r="AD52" s="2305"/>
    </row>
    <row r="53" spans="1:30" ht="11.25" customHeight="1" x14ac:dyDescent="0.25">
      <c r="A53" s="2323" t="s">
        <v>2976</v>
      </c>
      <c r="B53" s="711"/>
      <c r="C53" s="712">
        <f>SUMIFS(Sheet1!S71_PPPYearAmount,Sheet1!S71_A4SubCode,$AC:$AC)</f>
        <v>23280</v>
      </c>
      <c r="D53" s="712">
        <f>SUMIFS(Sheet1!S71_PPYearAmount,Sheet1!S71_A4SubCode,$AC:$AC)</f>
        <v>103105</v>
      </c>
      <c r="E53" s="717">
        <f>SUMIFS(Sheet1!S71_PYearAmount,Sheet1!S71_A4SubCode,$AC:$AC)</f>
        <v>40121</v>
      </c>
      <c r="F53" s="718">
        <f>-SUMIFS(Sheet1!S71_OriginalBudAmnt,Sheet1!S71_A4SubCode,$AC:$AC)</f>
        <v>62000</v>
      </c>
      <c r="G53" s="712">
        <f>-SUMIFS(Sheet1!S71_AdjustmentBudAmnt,Sheet1!S71_A4SubCode,$AC:$AC)</f>
        <v>62000</v>
      </c>
      <c r="H53" s="717">
        <f>-SUMIFS(Sheet1!S71_AdjustmentBudAmnt,Sheet1!S71_A4SubCode,$AC:$AC)</f>
        <v>62000</v>
      </c>
      <c r="I53" s="719">
        <f>SUMIFS(Sheet1!CD:CD,Sheet1!S71_A4SubCode,$AC:$AC)</f>
        <v>82650</v>
      </c>
      <c r="J53" s="725">
        <f>-SUMIFS(Sheet1!S71_ASBudgetAmount,Sheet1!S71_A4SubCode,$AC:$AC)</f>
        <v>64418</v>
      </c>
      <c r="K53" s="712">
        <f>-SUMIFS(Sheet1!S71_OY1BudgetAmount,Sheet1!S71_A4SubCode,$AC:$AC)</f>
        <v>66995</v>
      </c>
      <c r="L53" s="717">
        <f>-SUMIFS(Sheet1!S71_OY2BudgetAmount,Sheet1!S71_A4SubCode,$AC:$AC)</f>
        <v>69675</v>
      </c>
      <c r="AC53" s="2343" t="s">
        <v>2979</v>
      </c>
      <c r="AD53" s="2305"/>
    </row>
    <row r="54" spans="1:30" ht="11.25" customHeight="1" x14ac:dyDescent="0.25">
      <c r="A54" s="2323" t="s">
        <v>2977</v>
      </c>
      <c r="B54" s="711"/>
      <c r="C54" s="712">
        <f>SUMIFS(Sheet1!S71_PPPYearAmount,Sheet1!S71_A4SubCode,$AC:$AC)</f>
        <v>0</v>
      </c>
      <c r="D54" s="712">
        <f>SUMIFS(Sheet1!S71_PPYearAmount,Sheet1!S71_A4SubCode,$AC:$AC)</f>
        <v>0</v>
      </c>
      <c r="E54" s="717">
        <f>SUMIFS(Sheet1!S71_PYearAmount,Sheet1!S71_A4SubCode,$AC:$AC)</f>
        <v>0</v>
      </c>
      <c r="F54" s="718">
        <f>-SUMIFS(Sheet1!S71_OriginalBudAmnt,Sheet1!S71_A4SubCode,$AC:$AC)</f>
        <v>0</v>
      </c>
      <c r="G54" s="712">
        <f>-SUMIFS(Sheet1!S71_AdjustmentBudAmnt,Sheet1!S71_A4SubCode,$AC:$AC)</f>
        <v>0</v>
      </c>
      <c r="H54" s="717">
        <f>-SUMIFS(Sheet1!S71_AdjustmentBudAmnt,Sheet1!S71_A4SubCode,$AC:$AC)</f>
        <v>0</v>
      </c>
      <c r="I54" s="719">
        <f>SUMIFS(Sheet1!CD:CD,Sheet1!S71_A4SubCode,$AC:$AC)</f>
        <v>0</v>
      </c>
      <c r="J54" s="725">
        <f>-SUMIFS(Sheet1!S71_ASBudgetAmount,Sheet1!S71_A4SubCode,$AC:$AC)</f>
        <v>0</v>
      </c>
      <c r="K54" s="712">
        <f>-SUMIFS(Sheet1!S71_OY1BudgetAmount,Sheet1!S71_A4SubCode,$AC:$AC)</f>
        <v>0</v>
      </c>
      <c r="L54" s="717">
        <f>-SUMIFS(Sheet1!S71_OY2BudgetAmount,Sheet1!S71_A4SubCode,$AC:$AC)</f>
        <v>0</v>
      </c>
      <c r="AC54" s="2343" t="s">
        <v>2980</v>
      </c>
      <c r="AD54" s="2316"/>
    </row>
    <row r="55" spans="1:30" ht="11.25" customHeight="1" x14ac:dyDescent="0.25">
      <c r="A55" s="2323" t="s">
        <v>2017</v>
      </c>
      <c r="B55" s="711"/>
      <c r="C55" s="712">
        <f>SUMIFS(Sheet1!S71_PPPYearAmount,Sheet1!S71_A4SubCode,$AC:$AC)</f>
        <v>557316</v>
      </c>
      <c r="D55" s="712">
        <f>SUMIFS(Sheet1!S71_PPYearAmount,Sheet1!S71_A4SubCode,$AC:$AC)</f>
        <v>436757</v>
      </c>
      <c r="E55" s="717">
        <f>SUMIFS(Sheet1!S71_PYearAmount,Sheet1!S71_A4SubCode,$AC:$AC)</f>
        <v>377715</v>
      </c>
      <c r="F55" s="718">
        <f>-SUMIFS(Sheet1!S71_OriginalBudAmnt,Sheet1!S71_A4SubCode,$AC:$AC)</f>
        <v>1103638</v>
      </c>
      <c r="G55" s="712">
        <f>-SUMIFS(Sheet1!S71_AdjustmentBudAmnt,Sheet1!S71_A4SubCode,$AC:$AC)</f>
        <v>2629849</v>
      </c>
      <c r="H55" s="717">
        <f>-SUMIFS(Sheet1!S71_AdjustmentBudAmnt,Sheet1!S71_A4SubCode,$AC:$AC)</f>
        <v>2629849</v>
      </c>
      <c r="I55" s="719">
        <f>SUMIFS(Sheet1!CD:CD,Sheet1!S71_A4SubCode,$AC:$AC)</f>
        <v>2687491</v>
      </c>
      <c r="J55" s="725">
        <f>-SUMIFS(Sheet1!S71_ASBudgetAmount,Sheet1!S71_A4SubCode,$AC:$AC)</f>
        <v>1111579</v>
      </c>
      <c r="K55" s="712">
        <f>-SUMIFS(Sheet1!S71_OY1BudgetAmount,Sheet1!S71_A4SubCode,$AC:$AC)</f>
        <v>2841710</v>
      </c>
      <c r="L55" s="717">
        <f>-SUMIFS(Sheet1!S71_OY2BudgetAmount,Sheet1!S71_A4SubCode,$AC:$AC)</f>
        <v>2955378</v>
      </c>
      <c r="AC55" s="2343" t="s">
        <v>2095</v>
      </c>
      <c r="AD55" s="2305"/>
    </row>
    <row r="56" spans="1:30" ht="11.25" hidden="1" customHeight="1" x14ac:dyDescent="0.25">
      <c r="A56" s="2323" t="s">
        <v>2017</v>
      </c>
      <c r="B56" s="711"/>
      <c r="C56" s="71"/>
      <c r="D56" s="71"/>
      <c r="E56" s="72"/>
      <c r="F56" s="73"/>
      <c r="G56" s="71"/>
      <c r="H56" s="72"/>
      <c r="I56" s="74"/>
      <c r="J56" s="75"/>
      <c r="K56" s="71"/>
      <c r="L56" s="72"/>
      <c r="AC56" s="2348"/>
      <c r="AD56" s="2305"/>
    </row>
    <row r="57" spans="1:30" ht="11.25" hidden="1" customHeight="1" x14ac:dyDescent="0.25">
      <c r="A57" s="136"/>
      <c r="B57" s="711"/>
      <c r="C57" s="71"/>
      <c r="D57" s="71"/>
      <c r="E57" s="72"/>
      <c r="F57" s="73"/>
      <c r="G57" s="71"/>
      <c r="H57" s="72"/>
      <c r="I57" s="74"/>
      <c r="J57" s="75"/>
      <c r="K57" s="71"/>
      <c r="L57" s="72"/>
      <c r="AC57" s="2348"/>
      <c r="AD57" s="2305"/>
    </row>
    <row r="58" spans="1:30" ht="11.25" hidden="1" customHeight="1" x14ac:dyDescent="0.25">
      <c r="A58" s="136"/>
      <c r="B58" s="711"/>
      <c r="C58" s="71"/>
      <c r="D58" s="71"/>
      <c r="E58" s="72"/>
      <c r="F58" s="73"/>
      <c r="G58" s="71"/>
      <c r="H58" s="72"/>
      <c r="I58" s="74"/>
      <c r="J58" s="75"/>
      <c r="K58" s="71"/>
      <c r="L58" s="72"/>
      <c r="AC58" s="2348"/>
      <c r="AD58" s="2305"/>
    </row>
    <row r="59" spans="1:30" ht="11.25" hidden="1" customHeight="1" x14ac:dyDescent="0.25">
      <c r="A59" s="136"/>
      <c r="B59" s="711"/>
      <c r="C59" s="71"/>
      <c r="D59" s="71"/>
      <c r="E59" s="72"/>
      <c r="F59" s="73"/>
      <c r="G59" s="71"/>
      <c r="H59" s="72"/>
      <c r="I59" s="74"/>
      <c r="J59" s="75"/>
      <c r="K59" s="71"/>
      <c r="L59" s="72"/>
      <c r="AC59" s="2348"/>
      <c r="AD59" s="2305"/>
    </row>
    <row r="60" spans="1:30" ht="11.25" hidden="1" customHeight="1" x14ac:dyDescent="0.25">
      <c r="A60" s="136"/>
      <c r="B60" s="711"/>
      <c r="C60" s="71"/>
      <c r="D60" s="71"/>
      <c r="E60" s="72"/>
      <c r="F60" s="73"/>
      <c r="G60" s="71"/>
      <c r="H60" s="72"/>
      <c r="I60" s="74"/>
      <c r="J60" s="75"/>
      <c r="K60" s="71"/>
      <c r="L60" s="72"/>
      <c r="AC60" s="2348"/>
      <c r="AD60" s="2305"/>
    </row>
    <row r="61" spans="1:30" ht="11.25" hidden="1" customHeight="1" x14ac:dyDescent="0.25">
      <c r="A61" s="136"/>
      <c r="B61" s="711"/>
      <c r="C61" s="71"/>
      <c r="D61" s="71"/>
      <c r="E61" s="72"/>
      <c r="F61" s="73"/>
      <c r="G61" s="71"/>
      <c r="H61" s="72"/>
      <c r="I61" s="74"/>
      <c r="J61" s="75"/>
      <c r="K61" s="71"/>
      <c r="L61" s="72"/>
      <c r="AC61" s="2315"/>
      <c r="AD61" s="2305"/>
    </row>
    <row r="62" spans="1:30" ht="11.25" hidden="1" customHeight="1" x14ac:dyDescent="0.25">
      <c r="A62" s="136"/>
      <c r="B62" s="711"/>
      <c r="C62" s="71"/>
      <c r="D62" s="71"/>
      <c r="E62" s="72"/>
      <c r="F62" s="73"/>
      <c r="G62" s="71"/>
      <c r="H62" s="72"/>
      <c r="I62" s="74"/>
      <c r="J62" s="75"/>
      <c r="K62" s="71"/>
      <c r="L62" s="72"/>
      <c r="AC62" s="2315"/>
      <c r="AD62" s="2305"/>
    </row>
    <row r="63" spans="1:30" ht="11.25" hidden="1" customHeight="1" x14ac:dyDescent="0.25">
      <c r="A63" s="136"/>
      <c r="B63" s="711"/>
      <c r="C63" s="71"/>
      <c r="D63" s="71"/>
      <c r="E63" s="72"/>
      <c r="F63" s="73"/>
      <c r="G63" s="71"/>
      <c r="H63" s="72"/>
      <c r="I63" s="74"/>
      <c r="J63" s="75"/>
      <c r="K63" s="71"/>
      <c r="L63" s="72"/>
      <c r="AC63" s="2315"/>
      <c r="AD63" s="2305"/>
    </row>
    <row r="64" spans="1:30" ht="11.25" hidden="1" customHeight="1" x14ac:dyDescent="0.25">
      <c r="A64" s="136"/>
      <c r="B64" s="711"/>
      <c r="C64" s="71"/>
      <c r="D64" s="71"/>
      <c r="E64" s="72"/>
      <c r="F64" s="73"/>
      <c r="G64" s="71"/>
      <c r="H64" s="72"/>
      <c r="I64" s="74"/>
      <c r="J64" s="75"/>
      <c r="K64" s="71"/>
      <c r="L64" s="72"/>
      <c r="AC64" s="2315"/>
      <c r="AD64" s="2305"/>
    </row>
    <row r="65" spans="1:30" ht="11.25" hidden="1" customHeight="1" x14ac:dyDescent="0.25">
      <c r="A65" s="136"/>
      <c r="B65" s="711"/>
      <c r="C65" s="71"/>
      <c r="D65" s="71"/>
      <c r="E65" s="72"/>
      <c r="F65" s="73"/>
      <c r="G65" s="71"/>
      <c r="H65" s="72"/>
      <c r="I65" s="74"/>
      <c r="J65" s="75"/>
      <c r="K65" s="71"/>
      <c r="L65" s="72"/>
      <c r="AC65" s="2315"/>
      <c r="AD65" s="2305"/>
    </row>
    <row r="66" spans="1:30" ht="11.25" customHeight="1" x14ac:dyDescent="0.25">
      <c r="A66" s="922" t="s">
        <v>1050</v>
      </c>
      <c r="B66" s="711">
        <v>1</v>
      </c>
      <c r="C66" s="535">
        <f>SUM(C37:C55)</f>
        <v>684283</v>
      </c>
      <c r="D66" s="535">
        <f>SUM(D37:D55)</f>
        <v>641498</v>
      </c>
      <c r="E66" s="665">
        <f t="shared" ref="E66:L66" si="5">SUM(E37:E55)</f>
        <v>534287</v>
      </c>
      <c r="F66" s="666">
        <f t="shared" si="5"/>
        <v>1174234</v>
      </c>
      <c r="G66" s="535">
        <f t="shared" si="5"/>
        <v>2700445</v>
      </c>
      <c r="H66" s="665">
        <f t="shared" si="5"/>
        <v>2700445</v>
      </c>
      <c r="I66" s="667">
        <f t="shared" si="5"/>
        <v>3109120</v>
      </c>
      <c r="J66" s="668">
        <f t="shared" si="5"/>
        <v>1184928</v>
      </c>
      <c r="K66" s="535">
        <f t="shared" si="5"/>
        <v>2917993</v>
      </c>
      <c r="L66" s="665">
        <f t="shared" si="5"/>
        <v>3034713</v>
      </c>
      <c r="AC66" s="2315"/>
    </row>
    <row r="67" spans="1:30" ht="4.9000000000000004" customHeight="1" x14ac:dyDescent="0.25">
      <c r="A67" s="176"/>
      <c r="B67" s="711"/>
      <c r="C67" s="177"/>
      <c r="D67" s="177"/>
      <c r="E67" s="178"/>
      <c r="F67" s="179"/>
      <c r="G67" s="177"/>
      <c r="H67" s="178"/>
      <c r="I67" s="180"/>
      <c r="J67" s="181"/>
      <c r="K67" s="177"/>
      <c r="L67" s="178"/>
      <c r="AC67" s="2315"/>
    </row>
    <row r="68" spans="1:30" ht="15.75" customHeight="1" x14ac:dyDescent="0.25">
      <c r="A68" s="932" t="s">
        <v>465</v>
      </c>
      <c r="B68" s="933"/>
      <c r="C68" s="934"/>
      <c r="D68" s="934"/>
      <c r="E68" s="935"/>
      <c r="F68" s="936"/>
      <c r="G68" s="934"/>
      <c r="H68" s="935"/>
      <c r="I68" s="937"/>
      <c r="J68" s="938"/>
      <c r="K68" s="934"/>
      <c r="L68" s="935"/>
      <c r="AC68" s="2315"/>
    </row>
    <row r="69" spans="1:30" ht="11.25" customHeight="1" x14ac:dyDescent="0.25">
      <c r="A69" s="158" t="str">
        <f>'A4-FinPerf RE'!A24</f>
        <v>Employee related costs</v>
      </c>
      <c r="B69" s="711"/>
      <c r="C69" s="177"/>
      <c r="D69" s="177"/>
      <c r="E69" s="178"/>
      <c r="F69" s="179"/>
      <c r="G69" s="177"/>
      <c r="H69" s="178"/>
      <c r="I69" s="180"/>
      <c r="J69" s="181"/>
      <c r="K69" s="177"/>
      <c r="L69" s="178"/>
      <c r="AC69" s="2315"/>
    </row>
    <row r="70" spans="1:30" ht="11.25" customHeight="1" x14ac:dyDescent="0.25">
      <c r="A70" s="164" t="s">
        <v>1135</v>
      </c>
      <c r="B70" s="675">
        <v>2</v>
      </c>
      <c r="C70" s="712">
        <f>SUMIFS(Sheet1!S71_PPPYearAmount,Sheet1!S71_SA1SubCode,$AC:$AC)</f>
        <v>24215266</v>
      </c>
      <c r="D70" s="712">
        <f>SUMIFS(Sheet1!S71_PPYearAmount,Sheet1!S71_SA1SubCode,$AC:$AC)</f>
        <v>26357860</v>
      </c>
      <c r="E70" s="717">
        <f>SUMIFS(Sheet1!S71_PYearAmount,Sheet1!S71_SA1SubCode,$AC:$AC)</f>
        <v>27475338</v>
      </c>
      <c r="F70" s="718">
        <f>SUMIFS(Sheet1!S71_OriginalBudAmnt,Sheet1!S71_SA1SubCode,$AC:$AC)</f>
        <v>32733157</v>
      </c>
      <c r="G70" s="712">
        <f>SUMIFS(Sheet1!S71_AdjustmentBudAmnt,Sheet1!S71_SA1SubCode,$AC:$AC)</f>
        <v>31293157</v>
      </c>
      <c r="H70" s="717">
        <f>SUMIFS(Sheet1!S71_AdjustmentBudAmnt,Sheet1!S71_SA1SubCode,$AC:$AC)</f>
        <v>31293157</v>
      </c>
      <c r="I70" s="719">
        <f>SUMIFS(Sheet1!CD:CD,Sheet1!S71_SA1SubCode,$AC:$AC)</f>
        <v>24739504</v>
      </c>
      <c r="J70" s="725">
        <f>SUMIFS(Sheet1!S71_ASBudgetAmount,Sheet1!S71_SA1SubCode,$AC:$AC)</f>
        <v>34313675</v>
      </c>
      <c r="K70" s="712">
        <f>SUMIFS(Sheet1!S71_OY1BudgetAmount,Sheet1!S71_SA1SubCode,$AC:$AC)</f>
        <v>35415905</v>
      </c>
      <c r="L70" s="717">
        <f>SUMIFS(Sheet1!S71_OY2BudgetAmount,Sheet1!S71_SA1SubCode,$AC:$AC)</f>
        <v>37893017</v>
      </c>
      <c r="AC70" s="2349" t="s">
        <v>2730</v>
      </c>
    </row>
    <row r="71" spans="1:30" ht="11.25" customHeight="1" x14ac:dyDescent="0.25">
      <c r="A71" s="164" t="s">
        <v>1792</v>
      </c>
      <c r="B71" s="711"/>
      <c r="C71" s="712">
        <f>SUMIFS(Sheet1!S71_PPPYearAmount,Sheet1!S71_SA1SubCode,$AC:$AC)</f>
        <v>3328361</v>
      </c>
      <c r="D71" s="712">
        <f>SUMIFS(Sheet1!S71_PPYearAmount,Sheet1!S71_SA1SubCode,$AC:$AC)</f>
        <v>3493359</v>
      </c>
      <c r="E71" s="717">
        <f>SUMIFS(Sheet1!S71_PYearAmount,Sheet1!S71_SA1SubCode,$AC:$AC)</f>
        <v>3788362</v>
      </c>
      <c r="F71" s="718">
        <f>SUMIFS(Sheet1!S71_OriginalBudAmnt,Sheet1!S71_SA1SubCode,$AC:$AC)</f>
        <v>4432067</v>
      </c>
      <c r="G71" s="712">
        <f>SUMIFS(Sheet1!S71_AdjustmentBudAmnt,Sheet1!S71_SA1SubCode,$AC:$AC)</f>
        <v>4458867</v>
      </c>
      <c r="H71" s="717">
        <f>SUMIFS(Sheet1!S71_AdjustmentBudAmnt,Sheet1!S71_SA1SubCode,$AC:$AC)</f>
        <v>4458867</v>
      </c>
      <c r="I71" s="719">
        <f>SUMIFS(Sheet1!CD:CD,Sheet1!S71_SA1SubCode,$AC:$AC)</f>
        <v>3886985</v>
      </c>
      <c r="J71" s="725">
        <f>SUMIFS(Sheet1!S71_ASBudgetAmount,Sheet1!S71_SA1SubCode,$AC:$AC)</f>
        <v>4770988</v>
      </c>
      <c r="K71" s="712">
        <f>SUMIFS(Sheet1!S71_OY1BudgetAmount,Sheet1!S71_SA1SubCode,$AC:$AC)</f>
        <v>5043556</v>
      </c>
      <c r="L71" s="717">
        <f>SUMIFS(Sheet1!S71_OY2BudgetAmount,Sheet1!S71_SA1SubCode,$AC:$AC)</f>
        <v>5396603</v>
      </c>
      <c r="AC71" s="2349" t="s">
        <v>2731</v>
      </c>
    </row>
    <row r="72" spans="1:30" ht="11.25" customHeight="1" x14ac:dyDescent="0.25">
      <c r="A72" s="164" t="s">
        <v>650</v>
      </c>
      <c r="B72" s="711"/>
      <c r="C72" s="712">
        <f>SUMIFS(Sheet1!S71_PPPYearAmount,Sheet1!S71_SA1SubCode,$AC:$AC)</f>
        <v>1360234</v>
      </c>
      <c r="D72" s="712">
        <f>SUMIFS(Sheet1!S71_PPYearAmount,Sheet1!S71_SA1SubCode,$AC:$AC)</f>
        <v>1419978</v>
      </c>
      <c r="E72" s="717">
        <f>SUMIFS(Sheet1!S71_PYearAmount,Sheet1!S71_SA1SubCode,$AC:$AC)</f>
        <v>1569716</v>
      </c>
      <c r="F72" s="718">
        <f>SUMIFS(Sheet1!S71_OriginalBudAmnt,Sheet1!S71_SA1SubCode,$AC:$AC)</f>
        <v>1893423</v>
      </c>
      <c r="G72" s="712">
        <f>SUMIFS(Sheet1!S71_AdjustmentBudAmnt,Sheet1!S71_SA1SubCode,$AC:$AC)</f>
        <v>1933423</v>
      </c>
      <c r="H72" s="717">
        <f>SUMIFS(Sheet1!S71_AdjustmentBudAmnt,Sheet1!S71_SA1SubCode,$AC:$AC)</f>
        <v>1933423</v>
      </c>
      <c r="I72" s="719">
        <f>SUMIFS(Sheet1!CD:CD,Sheet1!S71_SA1SubCode,$AC:$AC)</f>
        <v>1681602</v>
      </c>
      <c r="J72" s="725">
        <f>SUMIFS(Sheet1!S71_ASBudgetAmount,Sheet1!S71_SA1SubCode,$AC:$AC)</f>
        <v>2068763</v>
      </c>
      <c r="K72" s="712">
        <f>SUMIFS(Sheet1!S71_OY1BudgetAmount,Sheet1!S71_SA1SubCode,$AC:$AC)</f>
        <v>2183900</v>
      </c>
      <c r="L72" s="717">
        <f>SUMIFS(Sheet1!S71_OY2BudgetAmount,Sheet1!S71_SA1SubCode,$AC:$AC)</f>
        <v>2336774</v>
      </c>
      <c r="AC72" s="2349" t="s">
        <v>2732</v>
      </c>
    </row>
    <row r="73" spans="1:30" ht="11.25" customHeight="1" x14ac:dyDescent="0.25">
      <c r="A73" s="164" t="s">
        <v>946</v>
      </c>
      <c r="B73" s="711"/>
      <c r="C73" s="712">
        <f>SUMIFS(Sheet1!S71_PPPYearAmount,Sheet1!S71_SA1SubCode,$AC:$AC)</f>
        <v>0</v>
      </c>
      <c r="D73" s="712">
        <f>SUMIFS(Sheet1!S71_PPYearAmount,Sheet1!S71_SA1SubCode,$AC:$AC)</f>
        <v>0</v>
      </c>
      <c r="E73" s="717">
        <f>SUMIFS(Sheet1!S71_PYearAmount,Sheet1!S71_SA1SubCode,$AC:$AC)</f>
        <v>0</v>
      </c>
      <c r="F73" s="718">
        <f>SUMIFS(Sheet1!S71_OriginalBudAmnt,Sheet1!S71_SA1SubCode,$AC:$AC)</f>
        <v>0</v>
      </c>
      <c r="G73" s="712">
        <f>SUMIFS(Sheet1!S71_AdjustmentBudAmnt,Sheet1!S71_SA1SubCode,$AC:$AC)</f>
        <v>0</v>
      </c>
      <c r="H73" s="717">
        <f>SUMIFS(Sheet1!S71_AdjustmentBudAmnt,Sheet1!S71_SA1SubCode,$AC:$AC)</f>
        <v>0</v>
      </c>
      <c r="I73" s="719">
        <f>SUMIFS(Sheet1!CD:CD,Sheet1!S71_SA1SubCode,$AC:$AC)</f>
        <v>0</v>
      </c>
      <c r="J73" s="725">
        <f>SUMIFS(Sheet1!S71_ASBudgetAmount,Sheet1!S71_SA1SubCode,$AC:$AC)</f>
        <v>0</v>
      </c>
      <c r="K73" s="712">
        <f>SUMIFS(Sheet1!S71_OY1BudgetAmount,Sheet1!S71_SA1SubCode,$AC:$AC)</f>
        <v>0</v>
      </c>
      <c r="L73" s="717">
        <f>SUMIFS(Sheet1!S71_OY2BudgetAmount,Sheet1!S71_SA1SubCode,$AC:$AC)</f>
        <v>0</v>
      </c>
      <c r="AC73" s="2349" t="s">
        <v>2733</v>
      </c>
    </row>
    <row r="74" spans="1:30" ht="11.25" customHeight="1" x14ac:dyDescent="0.25">
      <c r="A74" s="164" t="s">
        <v>652</v>
      </c>
      <c r="B74" s="711"/>
      <c r="C74" s="712">
        <f>SUMIFS(Sheet1!S71_PPPYearAmount,Sheet1!S71_SA1SubCode,$AC:$AC)</f>
        <v>1362448</v>
      </c>
      <c r="D74" s="712">
        <f>SUMIFS(Sheet1!S71_PPYearAmount,Sheet1!S71_SA1SubCode,$AC:$AC)</f>
        <v>1360383</v>
      </c>
      <c r="E74" s="717">
        <f>SUMIFS(Sheet1!S71_PYearAmount,Sheet1!S71_SA1SubCode,$AC:$AC)</f>
        <v>1690148</v>
      </c>
      <c r="F74" s="718">
        <f>SUMIFS(Sheet1!S71_OriginalBudAmnt,Sheet1!S71_SA1SubCode,$AC:$AC)</f>
        <v>2289928</v>
      </c>
      <c r="G74" s="712">
        <f>SUMIFS(Sheet1!S71_AdjustmentBudAmnt,Sheet1!S71_SA1SubCode,$AC:$AC)</f>
        <v>2289928</v>
      </c>
      <c r="H74" s="717">
        <f>SUMIFS(Sheet1!S71_AdjustmentBudAmnt,Sheet1!S71_SA1SubCode,$AC:$AC)</f>
        <v>2289928</v>
      </c>
      <c r="I74" s="719">
        <f>SUMIFS(Sheet1!CD:CD,Sheet1!S71_SA1SubCode,$AC:$AC)</f>
        <v>1466971</v>
      </c>
      <c r="J74" s="725">
        <f>SUMIFS(Sheet1!S71_ASBudgetAmount,Sheet1!S71_SA1SubCode,$AC:$AC)</f>
        <v>2450223</v>
      </c>
      <c r="K74" s="712">
        <f>SUMIFS(Sheet1!S71_OY1BudgetAmount,Sheet1!S71_SA1SubCode,$AC:$AC)</f>
        <v>2590964</v>
      </c>
      <c r="L74" s="717">
        <f>SUMIFS(Sheet1!S71_OY2BudgetAmount,Sheet1!S71_SA1SubCode,$AC:$AC)</f>
        <v>2772332</v>
      </c>
      <c r="AC74" s="2349" t="s">
        <v>2734</v>
      </c>
    </row>
    <row r="75" spans="1:30" ht="11.25" customHeight="1" x14ac:dyDescent="0.25">
      <c r="A75" s="164" t="s">
        <v>1940</v>
      </c>
      <c r="B75" s="711"/>
      <c r="C75" s="712">
        <f>SUMIFS(Sheet1!S71_PPPYearAmount,Sheet1!S71_SA1SubCode,$AC:$AC)</f>
        <v>416000</v>
      </c>
      <c r="D75" s="712">
        <f>SUMIFS(Sheet1!S71_PPYearAmount,Sheet1!S71_SA1SubCode,$AC:$AC)</f>
        <v>2912</v>
      </c>
      <c r="E75" s="717">
        <f>SUMIFS(Sheet1!S71_PYearAmount,Sheet1!S71_SA1SubCode,$AC:$AC)</f>
        <v>169944</v>
      </c>
      <c r="F75" s="718">
        <f>SUMIFS(Sheet1!S71_OriginalBudAmnt,Sheet1!S71_SA1SubCode,$AC:$AC)</f>
        <v>0</v>
      </c>
      <c r="G75" s="712">
        <f>SUMIFS(Sheet1!S71_AdjustmentBudAmnt,Sheet1!S71_SA1SubCode,$AC:$AC)</f>
        <v>225500</v>
      </c>
      <c r="H75" s="717">
        <f>SUMIFS(Sheet1!S71_AdjustmentBudAmnt,Sheet1!S71_SA1SubCode,$AC:$AC)</f>
        <v>225500</v>
      </c>
      <c r="I75" s="719">
        <f>SUMIFS(Sheet1!CD:CD,Sheet1!S71_SA1SubCode,$AC:$AC)</f>
        <v>495449</v>
      </c>
      <c r="J75" s="725">
        <f>SUMIFS(Sheet1!S71_ASBudgetAmount,Sheet1!S71_SA1SubCode,$AC:$AC)</f>
        <v>241285</v>
      </c>
      <c r="K75" s="712">
        <f>SUMIFS(Sheet1!S71_OY1BudgetAmount,Sheet1!S71_SA1SubCode,$AC:$AC)</f>
        <v>129956</v>
      </c>
      <c r="L75" s="717">
        <f>SUMIFS(Sheet1!S71_OY2BudgetAmount,Sheet1!S71_SA1SubCode,$AC:$AC)</f>
        <v>137734</v>
      </c>
      <c r="AC75" s="2349" t="s">
        <v>2735</v>
      </c>
    </row>
    <row r="76" spans="1:30" ht="11.25" customHeight="1" x14ac:dyDescent="0.25">
      <c r="A76" s="164" t="s">
        <v>1793</v>
      </c>
      <c r="B76" s="711"/>
      <c r="C76" s="712">
        <f>SUMIFS(Sheet1!S71_PPPYearAmount,Sheet1!S71_SA1SubCode,$AC:$AC)</f>
        <v>61820</v>
      </c>
      <c r="D76" s="712">
        <f>SUMIFS(Sheet1!S71_PPYearAmount,Sheet1!S71_SA1SubCode,$AC:$AC)</f>
        <v>66720</v>
      </c>
      <c r="E76" s="717">
        <f>SUMIFS(Sheet1!S71_PYearAmount,Sheet1!S71_SA1SubCode,$AC:$AC)</f>
        <v>57200</v>
      </c>
      <c r="F76" s="718">
        <f>SUMIFS(Sheet1!S71_OriginalBudAmnt,Sheet1!S71_SA1SubCode,$AC:$AC)</f>
        <v>135001</v>
      </c>
      <c r="G76" s="712">
        <f>SUMIFS(Sheet1!S71_AdjustmentBudAmnt,Sheet1!S71_SA1SubCode,$AC:$AC)</f>
        <v>135001</v>
      </c>
      <c r="H76" s="717">
        <f>SUMIFS(Sheet1!S71_AdjustmentBudAmnt,Sheet1!S71_SA1SubCode,$AC:$AC)</f>
        <v>135001</v>
      </c>
      <c r="I76" s="719">
        <f>SUMIFS(Sheet1!CD:CD,Sheet1!S71_SA1SubCode,$AC:$AC)</f>
        <v>505949</v>
      </c>
      <c r="J76" s="725">
        <f>SUMIFS(Sheet1!S71_ASBudgetAmount,Sheet1!S71_SA1SubCode,$AC:$AC)</f>
        <v>144451</v>
      </c>
      <c r="K76" s="712">
        <f>SUMIFS(Sheet1!S71_OY1BudgetAmount,Sheet1!S71_SA1SubCode,$AC:$AC)</f>
        <v>152988</v>
      </c>
      <c r="L76" s="717">
        <f>SUMIFS(Sheet1!S71_OY2BudgetAmount,Sheet1!S71_SA1SubCode,$AC:$AC)</f>
        <v>163699</v>
      </c>
      <c r="AC76" s="2349" t="s">
        <v>2736</v>
      </c>
    </row>
    <row r="77" spans="1:30" ht="11.25" customHeight="1" x14ac:dyDescent="0.25">
      <c r="A77" s="164" t="s">
        <v>1941</v>
      </c>
      <c r="B77" s="711"/>
      <c r="C77" s="712">
        <f>SUMIFS(Sheet1!S71_PPPYearAmount,Sheet1!S71_SA1SubCode,$AC:$AC)</f>
        <v>247892</v>
      </c>
      <c r="D77" s="712">
        <f>SUMIFS(Sheet1!S71_PPYearAmount,Sheet1!S71_SA1SubCode,$AC:$AC)</f>
        <v>175854</v>
      </c>
      <c r="E77" s="717">
        <f>SUMIFS(Sheet1!S71_PYearAmount,Sheet1!S71_SA1SubCode,$AC:$AC)</f>
        <v>168602</v>
      </c>
      <c r="F77" s="718">
        <f>SUMIFS(Sheet1!S71_OriginalBudAmnt,Sheet1!S71_SA1SubCode,$AC:$AC)</f>
        <v>337247</v>
      </c>
      <c r="G77" s="712">
        <f>SUMIFS(Sheet1!S71_AdjustmentBudAmnt,Sheet1!S71_SA1SubCode,$AC:$AC)</f>
        <v>347247</v>
      </c>
      <c r="H77" s="717">
        <f>SUMIFS(Sheet1!S71_AdjustmentBudAmnt,Sheet1!S71_SA1SubCode,$AC:$AC)</f>
        <v>347247</v>
      </c>
      <c r="I77" s="719">
        <f>SUMIFS(Sheet1!CD:CD,Sheet1!S71_SA1SubCode,$AC:$AC)</f>
        <v>213310</v>
      </c>
      <c r="J77" s="725">
        <f>SUMIFS(Sheet1!S71_ASBudgetAmount,Sheet1!S71_SA1SubCode,$AC:$AC)</f>
        <v>371553</v>
      </c>
      <c r="K77" s="712">
        <f>SUMIFS(Sheet1!S71_OY1BudgetAmount,Sheet1!S71_SA1SubCode,$AC:$AC)</f>
        <v>395125</v>
      </c>
      <c r="L77" s="717">
        <f>SUMIFS(Sheet1!S71_OY2BudgetAmount,Sheet1!S71_SA1SubCode,$AC:$AC)</f>
        <v>422784</v>
      </c>
      <c r="AC77" s="2349" t="s">
        <v>2737</v>
      </c>
    </row>
    <row r="78" spans="1:30" ht="11.25" customHeight="1" x14ac:dyDescent="0.25">
      <c r="A78" s="164" t="s">
        <v>1340</v>
      </c>
      <c r="B78" s="711"/>
      <c r="C78" s="712">
        <f>SUMIFS(Sheet1!S71_PPPYearAmount,Sheet1!S71_SA1SubCode,$AC:$AC)</f>
        <v>1382419</v>
      </c>
      <c r="D78" s="712">
        <f>SUMIFS(Sheet1!S71_PPYearAmount,Sheet1!S71_SA1SubCode,$AC:$AC)</f>
        <v>349943</v>
      </c>
      <c r="E78" s="717">
        <f>SUMIFS(Sheet1!S71_PYearAmount,Sheet1!S71_SA1SubCode,$AC:$AC)</f>
        <v>202461</v>
      </c>
      <c r="F78" s="718">
        <f>SUMIFS(Sheet1!S71_OriginalBudAmnt,Sheet1!S71_SA1SubCode,$AC:$AC)</f>
        <v>1068253</v>
      </c>
      <c r="G78" s="712">
        <f>SUMIFS(Sheet1!S71_AdjustmentBudAmnt,Sheet1!S71_SA1SubCode,$AC:$AC)</f>
        <v>1248253</v>
      </c>
      <c r="H78" s="717">
        <f>SUMIFS(Sheet1!S71_AdjustmentBudAmnt,Sheet1!S71_SA1SubCode,$AC:$AC)</f>
        <v>1248253</v>
      </c>
      <c r="I78" s="719">
        <f>SUMIFS(Sheet1!CD:CD,Sheet1!S71_SA1SubCode,$AC:$AC)</f>
        <v>351096</v>
      </c>
      <c r="J78" s="725">
        <f>SUMIFS(Sheet1!S71_ASBudgetAmount,Sheet1!S71_SA1SubCode,$AC:$AC)</f>
        <v>1335630</v>
      </c>
      <c r="K78" s="712">
        <f>SUMIFS(Sheet1!S71_OY1BudgetAmount,Sheet1!S71_SA1SubCode,$AC:$AC)</f>
        <v>1344543</v>
      </c>
      <c r="L78" s="717">
        <f>SUMIFS(Sheet1!S71_OY2BudgetAmount,Sheet1!S71_SA1SubCode,$AC:$AC)</f>
        <v>1435323</v>
      </c>
      <c r="AC78" s="2349" t="s">
        <v>2738</v>
      </c>
    </row>
    <row r="79" spans="1:30" ht="11.25" customHeight="1" x14ac:dyDescent="0.25">
      <c r="A79" s="164" t="s">
        <v>1453</v>
      </c>
      <c r="B79" s="711"/>
      <c r="C79" s="712">
        <f>SUMIFS(Sheet1!S71_PPPYearAmount,Sheet1!S71_SA1SubCode,$AC:$AC)</f>
        <v>1484052</v>
      </c>
      <c r="D79" s="712">
        <f>SUMIFS(Sheet1!S71_PPYearAmount,Sheet1!S71_SA1SubCode,$AC:$AC)</f>
        <v>1106951</v>
      </c>
      <c r="E79" s="717">
        <f>SUMIFS(Sheet1!S71_PYearAmount,Sheet1!S71_SA1SubCode,$AC:$AC)</f>
        <v>1442690</v>
      </c>
      <c r="F79" s="718">
        <f>SUMIFS(Sheet1!S71_OriginalBudAmnt,Sheet1!S71_SA1SubCode,$AC:$AC)</f>
        <v>1802509</v>
      </c>
      <c r="G79" s="712">
        <f>SUMIFS(Sheet1!S71_AdjustmentBudAmnt,Sheet1!S71_SA1SubCode,$AC:$AC)</f>
        <v>1802509</v>
      </c>
      <c r="H79" s="717">
        <f>SUMIFS(Sheet1!S71_AdjustmentBudAmnt,Sheet1!S71_SA1SubCode,$AC:$AC)</f>
        <v>1802509</v>
      </c>
      <c r="I79" s="719">
        <f>SUMIFS(Sheet1!CD:CD,Sheet1!S71_SA1SubCode,$AC:$AC)</f>
        <v>255839</v>
      </c>
      <c r="J79" s="725">
        <f>SUMIFS(Sheet1!S71_ASBudgetAmount,Sheet1!S71_SA1SubCode,$AC:$AC)</f>
        <v>1928686</v>
      </c>
      <c r="K79" s="712">
        <f>SUMIFS(Sheet1!S71_OY1BudgetAmount,Sheet1!S71_SA1SubCode,$AC:$AC)</f>
        <v>2041359</v>
      </c>
      <c r="L79" s="717">
        <f>SUMIFS(Sheet1!S71_OY2BudgetAmount,Sheet1!S71_SA1SubCode,$AC:$AC)</f>
        <v>2184255</v>
      </c>
      <c r="AC79" s="2349" t="s">
        <v>2739</v>
      </c>
    </row>
    <row r="80" spans="1:30" ht="11.25" customHeight="1" x14ac:dyDescent="0.25">
      <c r="A80" s="164" t="s">
        <v>947</v>
      </c>
      <c r="B80" s="711"/>
      <c r="C80" s="712">
        <f>SUMIFS(Sheet1!S71_PPPYearAmount,Sheet1!S71_SA1SubCode,$AC:$AC)</f>
        <v>0</v>
      </c>
      <c r="D80" s="712">
        <f>SUMIFS(Sheet1!S71_PPYearAmount,Sheet1!S71_SA1SubCode,$AC:$AC)</f>
        <v>0</v>
      </c>
      <c r="E80" s="717">
        <f>SUMIFS(Sheet1!S71_PYearAmount,Sheet1!S71_SA1SubCode,$AC:$AC)</f>
        <v>16682</v>
      </c>
      <c r="F80" s="718">
        <f>SUMIFS(Sheet1!S71_OriginalBudAmnt,Sheet1!S71_SA1SubCode,$AC:$AC)</f>
        <v>0</v>
      </c>
      <c r="G80" s="712">
        <f>SUMIFS(Sheet1!S71_AdjustmentBudAmnt,Sheet1!S71_SA1SubCode,$AC:$AC)</f>
        <v>800000</v>
      </c>
      <c r="H80" s="717">
        <f>SUMIFS(Sheet1!S71_AdjustmentBudAmnt,Sheet1!S71_SA1SubCode,$AC:$AC)</f>
        <v>800000</v>
      </c>
      <c r="I80" s="719">
        <f>SUMIFS(Sheet1!CD:CD,Sheet1!S71_SA1SubCode,$AC:$AC)</f>
        <v>743466</v>
      </c>
      <c r="J80" s="725">
        <f>SUMIFS(Sheet1!S71_ASBudgetAmount,Sheet1!S71_SA1SubCode,$AC:$AC)</f>
        <v>856000</v>
      </c>
      <c r="K80" s="712">
        <f>SUMIFS(Sheet1!S71_OY1BudgetAmount,Sheet1!S71_SA1SubCode,$AC:$AC)</f>
        <v>850760</v>
      </c>
      <c r="L80" s="717">
        <f>SUMIFS(Sheet1!S71_OY2BudgetAmount,Sheet1!S71_SA1SubCode,$AC:$AC)</f>
        <v>895290</v>
      </c>
      <c r="AC80" s="2349" t="s">
        <v>2740</v>
      </c>
    </row>
    <row r="81" spans="1:29" ht="11.25" customHeight="1" x14ac:dyDescent="0.25">
      <c r="A81" s="164" t="s">
        <v>1454</v>
      </c>
      <c r="B81" s="711">
        <v>4</v>
      </c>
      <c r="C81" s="712">
        <f>SUMIFS(Sheet1!S71_PPPYearAmount,Sheet1!S71_SA1SubCode,$AC:$AC)</f>
        <v>266881</v>
      </c>
      <c r="D81" s="712">
        <f>SUMIFS(Sheet1!S71_PPYearAmount,Sheet1!S71_SA1SubCode,$AC:$AC)</f>
        <v>637330</v>
      </c>
      <c r="E81" s="717">
        <f>SUMIFS(Sheet1!S71_PYearAmount,Sheet1!S71_SA1SubCode,$AC:$AC)</f>
        <v>-52048</v>
      </c>
      <c r="F81" s="718">
        <f>SUMIFS(Sheet1!S71_OriginalBudAmnt,Sheet1!S71_SA1SubCode,$AC:$AC)</f>
        <v>0</v>
      </c>
      <c r="G81" s="712">
        <f>SUMIFS(Sheet1!S71_AdjustmentBudAmnt,Sheet1!S71_SA1SubCode,$AC:$AC)</f>
        <v>72000</v>
      </c>
      <c r="H81" s="717">
        <f>SUMIFS(Sheet1!S71_AdjustmentBudAmnt,Sheet1!S71_SA1SubCode,$AC:$AC)</f>
        <v>72000</v>
      </c>
      <c r="I81" s="719">
        <f>SUMIFS(Sheet1!CD:CD,Sheet1!S71_SA1SubCode,$AC:$AC)</f>
        <v>35861</v>
      </c>
      <c r="J81" s="725">
        <f>SUMIFS(Sheet1!S71_ASBudgetAmount,Sheet1!S71_SA1SubCode,$AC:$AC)</f>
        <v>77040</v>
      </c>
      <c r="K81" s="712">
        <f>SUMIFS(Sheet1!S71_OY1BudgetAmount,Sheet1!S71_SA1SubCode,$AC:$AC)</f>
        <v>6145</v>
      </c>
      <c r="L81" s="717">
        <f>SUMIFS(Sheet1!S71_OY2BudgetAmount,Sheet1!S71_SA1SubCode,$AC:$AC)</f>
        <v>6575</v>
      </c>
      <c r="AC81" s="2349" t="s">
        <v>2741</v>
      </c>
    </row>
    <row r="82" spans="1:29" ht="11.25" customHeight="1" x14ac:dyDescent="0.25">
      <c r="A82" s="939" t="s">
        <v>117</v>
      </c>
      <c r="B82" s="711">
        <v>5</v>
      </c>
      <c r="C82" s="106">
        <f>SUM(C70:C81)</f>
        <v>34125373</v>
      </c>
      <c r="D82" s="106">
        <f t="shared" ref="D82:L82" si="6">SUM(D70:D81)</f>
        <v>34971290</v>
      </c>
      <c r="E82" s="923">
        <f t="shared" si="6"/>
        <v>36529095</v>
      </c>
      <c r="F82" s="924">
        <f t="shared" si="6"/>
        <v>44691585</v>
      </c>
      <c r="G82" s="106">
        <f t="shared" si="6"/>
        <v>44605885</v>
      </c>
      <c r="H82" s="923">
        <f t="shared" si="6"/>
        <v>44605885</v>
      </c>
      <c r="I82" s="925">
        <f t="shared" si="6"/>
        <v>34376032</v>
      </c>
      <c r="J82" s="107">
        <f t="shared" si="6"/>
        <v>48558294</v>
      </c>
      <c r="K82" s="106">
        <f t="shared" si="6"/>
        <v>50155201</v>
      </c>
      <c r="L82" s="923">
        <f t="shared" si="6"/>
        <v>53644386</v>
      </c>
      <c r="AC82" s="2315"/>
    </row>
    <row r="83" spans="1:29" ht="11.25" customHeight="1" x14ac:dyDescent="0.25">
      <c r="A83" s="940" t="s">
        <v>429</v>
      </c>
      <c r="B83" s="711"/>
      <c r="C83" s="712">
        <f>SUMIFS(Sheet1!S71_PPPYearAmount,Sheet1!S71_SA1SubCode,$AC:$AC)</f>
        <v>0</v>
      </c>
      <c r="D83" s="712">
        <f>SUMIFS(Sheet1!S71_PPYearAmount,Sheet1!S71_SA1SubCode,$AC:$AC)</f>
        <v>0</v>
      </c>
      <c r="E83" s="717">
        <f>SUMIFS(Sheet1!S71_PYearAmount,Sheet1!S71_SA1SubCode,$AC:$AC)</f>
        <v>0</v>
      </c>
      <c r="F83" s="718">
        <f>SUMIFS(Sheet1!S71_OriginalBudAmnt,Sheet1!S71_SA1SubCode,$AC:$AC)</f>
        <v>0</v>
      </c>
      <c r="G83" s="712">
        <f>SUMIFS(Sheet1!S71_AdjustmentBudAmnt,Sheet1!S71_SA1SubCode,$AC:$AC)</f>
        <v>0</v>
      </c>
      <c r="H83" s="717">
        <f>SUMIFS(Sheet1!S71_AdjustmentBudAmnt,Sheet1!S71_SA1SubCode,$AC:$AC)</f>
        <v>0</v>
      </c>
      <c r="I83" s="719">
        <f>SUMIFS(Sheet1!CD:CD,Sheet1!S71_SA1SubCode,$AC:$AC)</f>
        <v>0</v>
      </c>
      <c r="J83" s="725">
        <f>SUMIFS(Sheet1!S71_ASBudgetAmount,Sheet1!S71_SA1SubCode,$AC:$AC)</f>
        <v>0</v>
      </c>
      <c r="K83" s="712">
        <f>SUMIFS(Sheet1!S71_OY1BudgetAmount,Sheet1!S71_SA1SubCode,$AC:$AC)</f>
        <v>0</v>
      </c>
      <c r="L83" s="717">
        <f>SUMIFS(Sheet1!S71_OY2BudgetAmount,Sheet1!S71_SA1SubCode,$AC:$AC)</f>
        <v>0</v>
      </c>
      <c r="AC83" s="2348" t="s">
        <v>2742</v>
      </c>
    </row>
    <row r="84" spans="1:29" ht="11.25" customHeight="1" x14ac:dyDescent="0.25">
      <c r="A84" s="801" t="str">
        <f>"Total "&amp;A69</f>
        <v>Total Employee related costs</v>
      </c>
      <c r="B84" s="711">
        <v>1</v>
      </c>
      <c r="C84" s="106">
        <f>C82-C83</f>
        <v>34125373</v>
      </c>
      <c r="D84" s="106">
        <f t="shared" ref="D84:L84" si="7">D82-D83</f>
        <v>34971290</v>
      </c>
      <c r="E84" s="923">
        <f t="shared" si="7"/>
        <v>36529095</v>
      </c>
      <c r="F84" s="924">
        <f t="shared" si="7"/>
        <v>44691585</v>
      </c>
      <c r="G84" s="106">
        <f t="shared" si="7"/>
        <v>44605885</v>
      </c>
      <c r="H84" s="923">
        <f t="shared" si="7"/>
        <v>44605885</v>
      </c>
      <c r="I84" s="925">
        <f t="shared" si="7"/>
        <v>34376032</v>
      </c>
      <c r="J84" s="107">
        <f t="shared" si="7"/>
        <v>48558294</v>
      </c>
      <c r="K84" s="106">
        <f t="shared" si="7"/>
        <v>50155201</v>
      </c>
      <c r="L84" s="923">
        <f t="shared" si="7"/>
        <v>53644386</v>
      </c>
      <c r="AC84" s="2315"/>
    </row>
    <row r="85" spans="1:29" ht="4.9000000000000004" customHeight="1" x14ac:dyDescent="0.25">
      <c r="A85" s="176"/>
      <c r="B85" s="711"/>
      <c r="C85" s="177"/>
      <c r="D85" s="177"/>
      <c r="E85" s="178"/>
      <c r="F85" s="179"/>
      <c r="G85" s="177"/>
      <c r="H85" s="178"/>
      <c r="I85" s="180"/>
      <c r="J85" s="181"/>
      <c r="K85" s="177"/>
      <c r="L85" s="178"/>
      <c r="AC85" s="2349" t="s">
        <v>2743</v>
      </c>
    </row>
    <row r="86" spans="1:29" ht="11.25" hidden="1" customHeight="1" x14ac:dyDescent="0.25">
      <c r="A86" s="158"/>
      <c r="B86" s="711"/>
      <c r="C86" s="71"/>
      <c r="D86" s="71"/>
      <c r="E86" s="72"/>
      <c r="F86" s="73"/>
      <c r="G86" s="71"/>
      <c r="H86" s="72"/>
      <c r="I86" s="74"/>
      <c r="J86" s="75"/>
      <c r="K86" s="71"/>
      <c r="L86" s="72"/>
      <c r="AC86" s="2315"/>
    </row>
    <row r="87" spans="1:29" ht="11.25" hidden="1" customHeight="1" x14ac:dyDescent="0.25">
      <c r="A87" s="663"/>
      <c r="B87" s="711"/>
      <c r="C87" s="71"/>
      <c r="D87" s="71"/>
      <c r="E87" s="72"/>
      <c r="F87" s="73"/>
      <c r="G87" s="71"/>
      <c r="H87" s="72"/>
      <c r="I87" s="74"/>
      <c r="J87" s="75"/>
      <c r="K87" s="71"/>
      <c r="L87" s="72"/>
      <c r="AC87" s="2348" t="s">
        <v>2715</v>
      </c>
    </row>
    <row r="88" spans="1:29" ht="11.25" hidden="1" customHeight="1" x14ac:dyDescent="0.25">
      <c r="A88" s="663"/>
      <c r="B88" s="711"/>
      <c r="C88" s="71"/>
      <c r="D88" s="71"/>
      <c r="E88" s="72"/>
      <c r="F88" s="73"/>
      <c r="G88" s="71"/>
      <c r="H88" s="72"/>
      <c r="I88" s="74"/>
      <c r="J88" s="75"/>
      <c r="K88" s="71"/>
      <c r="L88" s="72"/>
      <c r="AC88" s="2315"/>
    </row>
    <row r="89" spans="1:29" ht="11.25" hidden="1" customHeight="1" x14ac:dyDescent="0.25">
      <c r="A89" s="663"/>
      <c r="B89" s="711"/>
      <c r="C89" s="71"/>
      <c r="D89" s="71"/>
      <c r="E89" s="72"/>
      <c r="F89" s="73"/>
      <c r="G89" s="71"/>
      <c r="H89" s="72"/>
      <c r="I89" s="74"/>
      <c r="J89" s="75"/>
      <c r="K89" s="71"/>
      <c r="L89" s="72"/>
      <c r="AC89" s="2315"/>
    </row>
    <row r="90" spans="1:29" ht="11.25" hidden="1" customHeight="1" x14ac:dyDescent="0.25">
      <c r="A90" s="663"/>
      <c r="B90" s="711"/>
      <c r="C90" s="71"/>
      <c r="D90" s="71"/>
      <c r="E90" s="72"/>
      <c r="F90" s="73"/>
      <c r="G90" s="71"/>
      <c r="H90" s="72"/>
      <c r="I90" s="74"/>
      <c r="J90" s="75"/>
      <c r="K90" s="71"/>
      <c r="L90" s="72"/>
      <c r="AC90" s="2315"/>
    </row>
    <row r="91" spans="1:29" ht="11.25" hidden="1" customHeight="1" x14ac:dyDescent="0.25">
      <c r="A91" s="663"/>
      <c r="B91" s="711"/>
      <c r="C91" s="71"/>
      <c r="D91" s="71"/>
      <c r="E91" s="72"/>
      <c r="F91" s="73"/>
      <c r="G91" s="71"/>
      <c r="H91" s="72"/>
      <c r="I91" s="74"/>
      <c r="J91" s="75"/>
      <c r="K91" s="71"/>
      <c r="L91" s="72"/>
      <c r="AC91" s="2315"/>
    </row>
    <row r="92" spans="1:29" ht="11.25" hidden="1" customHeight="1" x14ac:dyDescent="0.25">
      <c r="A92" s="663"/>
      <c r="B92" s="711"/>
      <c r="C92" s="71"/>
      <c r="D92" s="71"/>
      <c r="E92" s="72"/>
      <c r="F92" s="73"/>
      <c r="G92" s="71"/>
      <c r="H92" s="72"/>
      <c r="I92" s="74"/>
      <c r="J92" s="75"/>
      <c r="K92" s="71"/>
      <c r="L92" s="72"/>
      <c r="AC92" s="2315"/>
    </row>
    <row r="93" spans="1:29" ht="11.25" hidden="1" customHeight="1" x14ac:dyDescent="0.25">
      <c r="A93" s="664"/>
      <c r="B93" s="711"/>
      <c r="C93" s="106"/>
      <c r="D93" s="535"/>
      <c r="E93" s="665"/>
      <c r="F93" s="666"/>
      <c r="G93" s="535"/>
      <c r="H93" s="665"/>
      <c r="I93" s="667"/>
      <c r="J93" s="668"/>
      <c r="K93" s="535"/>
      <c r="L93" s="665"/>
      <c r="AC93" s="2315"/>
    </row>
    <row r="94" spans="1:29" ht="4.9000000000000004" hidden="1" customHeight="1" x14ac:dyDescent="0.25">
      <c r="A94" s="176"/>
      <c r="B94" s="711"/>
      <c r="C94" s="177"/>
      <c r="D94" s="177"/>
      <c r="E94" s="178"/>
      <c r="F94" s="179"/>
      <c r="G94" s="177"/>
      <c r="H94" s="178"/>
      <c r="I94" s="180"/>
      <c r="J94" s="181"/>
      <c r="K94" s="177"/>
      <c r="L94" s="178"/>
      <c r="AC94" s="2315"/>
    </row>
    <row r="95" spans="1:29" ht="11.25" customHeight="1" x14ac:dyDescent="0.25">
      <c r="A95" s="158" t="str">
        <f>'A4-FinPerf RE'!A27</f>
        <v>Depreciation &amp; asset impairment</v>
      </c>
      <c r="B95" s="711"/>
      <c r="C95" s="177"/>
      <c r="D95" s="177"/>
      <c r="E95" s="178"/>
      <c r="F95" s="179"/>
      <c r="G95" s="177"/>
      <c r="H95" s="178"/>
      <c r="I95" s="180"/>
      <c r="J95" s="181"/>
      <c r="K95" s="177"/>
      <c r="L95" s="178"/>
      <c r="AC95" s="2315"/>
    </row>
    <row r="96" spans="1:29" ht="11.25" customHeight="1" x14ac:dyDescent="0.25">
      <c r="A96" s="136" t="s">
        <v>1386</v>
      </c>
      <c r="B96" s="711"/>
      <c r="C96" s="712">
        <f>SUMIFS(Sheet1!S71_PPPYearAmount,Sheet1!S71_SA1SubCode,$AC:$AC)</f>
        <v>8790784</v>
      </c>
      <c r="D96" s="712">
        <f>SUMIFS(Sheet1!S71_PPYearAmount,Sheet1!S71_SA1SubCode,$AC:$AC)</f>
        <v>8722456</v>
      </c>
      <c r="E96" s="717">
        <f>SUMIFS(Sheet1!S71_PYearAmount,Sheet1!S71_SA1SubCode,$AC:$AC)</f>
        <v>9096808</v>
      </c>
      <c r="F96" s="718">
        <f>SUMIFS(Sheet1!S71_OriginalBudAmnt,Sheet1!S71_SA1SubCode,$AC:$AC)</f>
        <v>10938711</v>
      </c>
      <c r="G96" s="712">
        <f>SUMIFS(Sheet1!S71_AdjustmentBudAmnt,Sheet1!S71_SA1SubCode,$AC:$AC)</f>
        <v>10938711</v>
      </c>
      <c r="H96" s="717">
        <f>SUMIFS(Sheet1!S71_AdjustmentBudAmnt,Sheet1!S71_SA1SubCode,$AC:$AC)</f>
        <v>10938711</v>
      </c>
      <c r="I96" s="719">
        <f>SUMIFS(Sheet1!CD:CD,Sheet1!S71_SA1SubCode,$AC:$AC)</f>
        <v>7784515</v>
      </c>
      <c r="J96" s="725">
        <f>SUMIFS(Sheet1!S71_ASBudgetAmount,Sheet1!S71_SA1SubCode,$AC:$AC)</f>
        <v>11365319</v>
      </c>
      <c r="K96" s="712">
        <f>SUMIFS(Sheet1!S71_OY1BudgetAmount,Sheet1!S71_SA1SubCode,$AC:$AC)</f>
        <v>11819933</v>
      </c>
      <c r="L96" s="717">
        <f>SUMIFS(Sheet1!S71_OY2BudgetAmount,Sheet1!S71_SA1SubCode,$AC:$AC)</f>
        <v>12292731</v>
      </c>
      <c r="AC96" s="2349" t="s">
        <v>2744</v>
      </c>
    </row>
    <row r="97" spans="1:29" ht="11.25" customHeight="1" x14ac:dyDescent="0.25">
      <c r="A97" s="136" t="s">
        <v>823</v>
      </c>
      <c r="B97" s="711"/>
      <c r="C97" s="712">
        <f>SUMIFS(Sheet1!S71_PPPYearAmount,Sheet1!S71_SA1SubCode,$AC:$AC)</f>
        <v>0</v>
      </c>
      <c r="D97" s="712">
        <f>SUMIFS(Sheet1!S71_PPYearAmount,Sheet1!S71_SA1SubCode,$AC:$AC)</f>
        <v>0</v>
      </c>
      <c r="E97" s="717">
        <f>SUMIFS(Sheet1!S71_PYearAmount,Sheet1!S71_SA1SubCode,$AC:$AC)</f>
        <v>221717</v>
      </c>
      <c r="F97" s="718">
        <f>SUMIFS(Sheet1!S71_OriginalBudAmnt,Sheet1!S71_SA1SubCode,$AC:$AC)</f>
        <v>234628</v>
      </c>
      <c r="G97" s="712">
        <f>SUMIFS(Sheet1!S71_AdjustmentBudAmnt,Sheet1!S71_SA1SubCode,$AC:$AC)</f>
        <v>234628</v>
      </c>
      <c r="H97" s="717">
        <f>SUMIFS(Sheet1!S71_AdjustmentBudAmnt,Sheet1!S71_SA1SubCode,$AC:$AC)</f>
        <v>234628</v>
      </c>
      <c r="I97" s="719">
        <f>SUMIFS(Sheet1!CD:CD,Sheet1!S71_SA1SubCode,$AC:$AC)</f>
        <v>159420</v>
      </c>
      <c r="J97" s="725">
        <f>SUMIFS(Sheet1!S71_ASBudgetAmount,Sheet1!S71_SA1SubCode,$AC:$AC)</f>
        <v>243778</v>
      </c>
      <c r="K97" s="712">
        <f>SUMIFS(Sheet1!S71_OY1BudgetAmount,Sheet1!S71_SA1SubCode,$AC:$AC)</f>
        <v>253530</v>
      </c>
      <c r="L97" s="717">
        <f>SUMIFS(Sheet1!S71_OY2BudgetAmount,Sheet1!S71_SA1SubCode,$AC:$AC)</f>
        <v>263671</v>
      </c>
      <c r="AC97" s="2349" t="s">
        <v>2745</v>
      </c>
    </row>
    <row r="98" spans="1:29" ht="11.25" customHeight="1" x14ac:dyDescent="0.25">
      <c r="A98" s="136" t="s">
        <v>1281</v>
      </c>
      <c r="B98" s="711"/>
      <c r="C98" s="712">
        <f>SUMIFS(Sheet1!S71_PPPYearAmount,Sheet1!S71_SA1SubCode,$AC:$AC)</f>
        <v>0</v>
      </c>
      <c r="D98" s="712">
        <f>SUMIFS(Sheet1!S71_PPYearAmount,Sheet1!S71_SA1SubCode,$AC:$AC)</f>
        <v>0</v>
      </c>
      <c r="E98" s="717">
        <f>SUMIFS(Sheet1!S71_PYearAmount,Sheet1!S71_SA1SubCode,$AC:$AC)</f>
        <v>0</v>
      </c>
      <c r="F98" s="718">
        <f>SUMIFS(Sheet1!S71_OriginalBudAmnt,Sheet1!S71_SA1SubCode,$AC:$AC)</f>
        <v>0</v>
      </c>
      <c r="G98" s="712">
        <f>SUMIFS(Sheet1!S71_AdjustmentBudAmnt,Sheet1!S71_SA1SubCode,$AC:$AC)</f>
        <v>0</v>
      </c>
      <c r="H98" s="717">
        <f>SUMIFS(Sheet1!S71_AdjustmentBudAmnt,Sheet1!S71_SA1SubCode,$AC:$AC)</f>
        <v>0</v>
      </c>
      <c r="I98" s="719">
        <f>SUMIFS(Sheet1!CD:CD,Sheet1!S71_SA1SubCode,$AC:$AC)</f>
        <v>0</v>
      </c>
      <c r="J98" s="725">
        <f>SUMIFS(Sheet1!S71_ASBudgetAmount,Sheet1!S71_SA1SubCode,$AC:$AC)</f>
        <v>0</v>
      </c>
      <c r="K98" s="712">
        <f>SUMIFS(Sheet1!S71_OY1BudgetAmount,Sheet1!S71_SA1SubCode,$AC:$AC)</f>
        <v>0</v>
      </c>
      <c r="L98" s="717">
        <f>SUMIFS(Sheet1!S71_OY2BudgetAmount,Sheet1!S71_SA1SubCode,$AC:$AC)</f>
        <v>0</v>
      </c>
      <c r="AC98" s="2349" t="s">
        <v>2746</v>
      </c>
    </row>
    <row r="99" spans="1:29" ht="11.25" customHeight="1" x14ac:dyDescent="0.25">
      <c r="A99" s="136"/>
      <c r="B99" s="711"/>
      <c r="C99" s="71"/>
      <c r="D99" s="71"/>
      <c r="E99" s="72"/>
      <c r="F99" s="73"/>
      <c r="G99" s="71"/>
      <c r="H99" s="72"/>
      <c r="I99" s="74"/>
      <c r="J99" s="75"/>
      <c r="K99" s="71"/>
      <c r="L99" s="72"/>
      <c r="AC99" s="2349"/>
    </row>
    <row r="100" spans="1:29" ht="11.25" customHeight="1" x14ac:dyDescent="0.25">
      <c r="A100" s="801" t="str">
        <f>"Total "&amp;LEFT(A95,35)</f>
        <v>Total Depreciation &amp; asset impairment</v>
      </c>
      <c r="B100" s="711">
        <v>1</v>
      </c>
      <c r="C100" s="535">
        <f>SUM(C96:C98)</f>
        <v>8790784</v>
      </c>
      <c r="D100" s="535">
        <f t="shared" ref="D100:L100" si="8">SUM(D96:D98)</f>
        <v>8722456</v>
      </c>
      <c r="E100" s="665">
        <f t="shared" si="8"/>
        <v>9318525</v>
      </c>
      <c r="F100" s="666">
        <f t="shared" si="8"/>
        <v>11173339</v>
      </c>
      <c r="G100" s="535">
        <f t="shared" si="8"/>
        <v>11173339</v>
      </c>
      <c r="H100" s="665">
        <f t="shared" si="8"/>
        <v>11173339</v>
      </c>
      <c r="I100" s="667">
        <f t="shared" si="8"/>
        <v>7943935</v>
      </c>
      <c r="J100" s="668">
        <f t="shared" si="8"/>
        <v>11609097</v>
      </c>
      <c r="K100" s="535">
        <f t="shared" si="8"/>
        <v>12073463</v>
      </c>
      <c r="L100" s="665">
        <f t="shared" si="8"/>
        <v>12556402</v>
      </c>
      <c r="AC100" s="2315"/>
    </row>
    <row r="101" spans="1:29" ht="4.9000000000000004" customHeight="1" x14ac:dyDescent="0.25">
      <c r="A101" s="801"/>
      <c r="B101" s="711"/>
      <c r="C101" s="545"/>
      <c r="D101" s="545"/>
      <c r="E101" s="742"/>
      <c r="F101" s="743"/>
      <c r="G101" s="545"/>
      <c r="H101" s="742"/>
      <c r="I101" s="831"/>
      <c r="J101" s="544"/>
      <c r="K101" s="545"/>
      <c r="L101" s="742"/>
      <c r="AC101" s="2315"/>
    </row>
    <row r="102" spans="1:29" ht="11.25" customHeight="1" x14ac:dyDescent="0.25">
      <c r="A102" s="913" t="s">
        <v>2605</v>
      </c>
      <c r="B102" s="711"/>
      <c r="C102" s="545"/>
      <c r="D102" s="545"/>
      <c r="E102" s="742"/>
      <c r="F102" s="743"/>
      <c r="G102" s="545"/>
      <c r="H102" s="742"/>
      <c r="I102" s="831"/>
      <c r="J102" s="544"/>
      <c r="K102" s="545"/>
      <c r="L102" s="742"/>
      <c r="AC102" s="2315"/>
    </row>
    <row r="103" spans="1:29" ht="11.25" customHeight="1" x14ac:dyDescent="0.25">
      <c r="A103" s="136" t="s">
        <v>2586</v>
      </c>
      <c r="B103" s="711"/>
      <c r="C103" s="712">
        <f>SUMIFS(Sheet1!S71_PPPYearAmount,Sheet1!S71_SA1SubCode,$AC:$AC)</f>
        <v>0</v>
      </c>
      <c r="D103" s="712">
        <f>SUMIFS(Sheet1!S71_PPYearAmount,Sheet1!S71_SA1SubCode,$AC:$AC)</f>
        <v>0</v>
      </c>
      <c r="E103" s="717">
        <f>SUMIFS(Sheet1!S71_PYearAmount,Sheet1!S71_SA1SubCode,$AC:$AC)</f>
        <v>0</v>
      </c>
      <c r="F103" s="718">
        <f>SUMIFS(Sheet1!S71_OriginalBudAmnt,Sheet1!S71_SA1SubCode,$AC:$AC)</f>
        <v>0</v>
      </c>
      <c r="G103" s="712">
        <f>SUMIFS(Sheet1!S71_AdjustmentBudAmnt,Sheet1!S71_SA1SubCode,$AC:$AC)</f>
        <v>0</v>
      </c>
      <c r="H103" s="717">
        <f>SUMIFS(Sheet1!S71_AdjustmentBudAmnt,Sheet1!S71_SA1SubCode,$AC:$AC)</f>
        <v>0</v>
      </c>
      <c r="I103" s="719">
        <f>SUMIFS(Sheet1!CD:CD,Sheet1!S71_SA1SubCode,$AC:$AC)</f>
        <v>0</v>
      </c>
      <c r="J103" s="725">
        <f>SUMIFS(Sheet1!S71_ASBudgetAmount,Sheet1!S71_SA1SubCode,$AC:$AC)</f>
        <v>0</v>
      </c>
      <c r="K103" s="712">
        <f>SUMIFS(Sheet1!S71_OY1BudgetAmount,Sheet1!S71_SA1SubCode,$AC:$AC)</f>
        <v>0</v>
      </c>
      <c r="L103" s="717">
        <f>SUMIFS(Sheet1!S71_OY2BudgetAmount,Sheet1!S71_SA1SubCode,$AC:$AC)</f>
        <v>0</v>
      </c>
      <c r="AC103" s="2349" t="s">
        <v>2747</v>
      </c>
    </row>
    <row r="104" spans="1:29" ht="1.9" customHeight="1" x14ac:dyDescent="0.25">
      <c r="A104" s="136"/>
      <c r="B104" s="675"/>
      <c r="C104" s="71"/>
      <c r="D104" s="71"/>
      <c r="E104" s="72"/>
      <c r="F104" s="73"/>
      <c r="G104" s="71"/>
      <c r="H104" s="72"/>
      <c r="I104" s="74"/>
      <c r="J104" s="75"/>
      <c r="K104" s="71"/>
      <c r="L104" s="72"/>
      <c r="AC104" s="2349" t="s">
        <v>2748</v>
      </c>
    </row>
    <row r="105" spans="1:29" ht="10.5" customHeight="1" x14ac:dyDescent="0.25">
      <c r="A105" s="801" t="s">
        <v>1051</v>
      </c>
      <c r="B105" s="711">
        <v>1</v>
      </c>
      <c r="C105" s="535">
        <f>SUM(C103:C104)</f>
        <v>0</v>
      </c>
      <c r="D105" s="535">
        <f t="shared" ref="D105:L105" si="9">SUM(D103:D104)</f>
        <v>0</v>
      </c>
      <c r="E105" s="665">
        <f t="shared" si="9"/>
        <v>0</v>
      </c>
      <c r="F105" s="666">
        <f t="shared" si="9"/>
        <v>0</v>
      </c>
      <c r="G105" s="535">
        <f t="shared" si="9"/>
        <v>0</v>
      </c>
      <c r="H105" s="665">
        <f t="shared" si="9"/>
        <v>0</v>
      </c>
      <c r="I105" s="667">
        <f t="shared" si="9"/>
        <v>0</v>
      </c>
      <c r="J105" s="668">
        <f t="shared" si="9"/>
        <v>0</v>
      </c>
      <c r="K105" s="535">
        <f t="shared" si="9"/>
        <v>0</v>
      </c>
      <c r="L105" s="665">
        <f t="shared" si="9"/>
        <v>0</v>
      </c>
      <c r="AC105" s="2315"/>
    </row>
    <row r="106" spans="1:29" ht="4.5" customHeight="1" x14ac:dyDescent="0.25">
      <c r="A106" s="801"/>
      <c r="B106" s="711"/>
      <c r="C106" s="545"/>
      <c r="D106" s="545"/>
      <c r="E106" s="742"/>
      <c r="F106" s="743"/>
      <c r="G106" s="545"/>
      <c r="H106" s="742"/>
      <c r="I106" s="831"/>
      <c r="J106" s="544"/>
      <c r="K106" s="545"/>
      <c r="L106" s="742"/>
      <c r="AC106" s="2315"/>
    </row>
    <row r="107" spans="1:29" ht="12.75" customHeight="1" x14ac:dyDescent="0.25">
      <c r="A107" s="158" t="s">
        <v>673</v>
      </c>
      <c r="B107" s="711"/>
      <c r="C107" s="545"/>
      <c r="D107" s="545"/>
      <c r="E107" s="742"/>
      <c r="F107" s="743"/>
      <c r="G107" s="545"/>
      <c r="H107" s="742"/>
      <c r="I107" s="831"/>
      <c r="J107" s="544"/>
      <c r="K107" s="545"/>
      <c r="L107" s="742"/>
      <c r="AC107" s="2315"/>
    </row>
    <row r="108" spans="1:29" ht="12.75" customHeight="1" x14ac:dyDescent="0.25">
      <c r="A108" s="164" t="s">
        <v>1933</v>
      </c>
      <c r="B108" s="711"/>
      <c r="C108" s="71">
        <f>'SA21'!C32</f>
        <v>0</v>
      </c>
      <c r="D108" s="71">
        <f>'SA21'!D32</f>
        <v>0</v>
      </c>
      <c r="E108" s="72">
        <f>'SA21'!E32</f>
        <v>0</v>
      </c>
      <c r="F108" s="73">
        <f>'SA21'!F32</f>
        <v>0</v>
      </c>
      <c r="G108" s="71">
        <f>'SA21'!G32</f>
        <v>0</v>
      </c>
      <c r="H108" s="72">
        <f>'SA21'!H32</f>
        <v>0</v>
      </c>
      <c r="I108" s="74">
        <f>'SA21'!I32</f>
        <v>0</v>
      </c>
      <c r="J108" s="75">
        <f>'SA21'!J32</f>
        <v>0</v>
      </c>
      <c r="K108" s="71">
        <f>'SA21'!K32</f>
        <v>0</v>
      </c>
      <c r="L108" s="72">
        <f>'SA21'!L32</f>
        <v>0</v>
      </c>
      <c r="AC108" s="2349" t="s">
        <v>2749</v>
      </c>
    </row>
    <row r="109" spans="1:29" ht="12.75" customHeight="1" x14ac:dyDescent="0.25">
      <c r="A109" s="164" t="s">
        <v>1934</v>
      </c>
      <c r="B109" s="711"/>
      <c r="C109" s="71">
        <f>'SA21'!C63</f>
        <v>0</v>
      </c>
      <c r="D109" s="71">
        <f>'SA21'!D63</f>
        <v>0</v>
      </c>
      <c r="E109" s="72">
        <f>'SA21'!E63</f>
        <v>0</v>
      </c>
      <c r="F109" s="73">
        <f>'SA21'!F63</f>
        <v>0</v>
      </c>
      <c r="G109" s="71">
        <f>'SA21'!G63</f>
        <v>0</v>
      </c>
      <c r="H109" s="72">
        <f>'SA21'!H63</f>
        <v>0</v>
      </c>
      <c r="I109" s="74">
        <f>'SA21'!I63</f>
        <v>0</v>
      </c>
      <c r="J109" s="75">
        <f>'SA21'!J63</f>
        <v>0</v>
      </c>
      <c r="K109" s="71">
        <f>'SA21'!K63</f>
        <v>0</v>
      </c>
      <c r="L109" s="72">
        <f>'SA21'!L63</f>
        <v>0</v>
      </c>
      <c r="AC109" s="2349" t="s">
        <v>2750</v>
      </c>
    </row>
    <row r="110" spans="1:29" ht="12.75" customHeight="1" x14ac:dyDescent="0.25">
      <c r="A110" s="801" t="s">
        <v>1935</v>
      </c>
      <c r="B110" s="711">
        <v>1</v>
      </c>
      <c r="C110" s="535">
        <f>SUM(C108:C109)</f>
        <v>0</v>
      </c>
      <c r="D110" s="535">
        <f t="shared" ref="D110:L110" si="10">SUM(D108:D109)</f>
        <v>0</v>
      </c>
      <c r="E110" s="665">
        <f t="shared" si="10"/>
        <v>0</v>
      </c>
      <c r="F110" s="666">
        <f t="shared" si="10"/>
        <v>0</v>
      </c>
      <c r="G110" s="535">
        <f t="shared" si="10"/>
        <v>0</v>
      </c>
      <c r="H110" s="665">
        <f t="shared" si="10"/>
        <v>0</v>
      </c>
      <c r="I110" s="667">
        <f t="shared" si="10"/>
        <v>0</v>
      </c>
      <c r="J110" s="668">
        <f t="shared" si="10"/>
        <v>0</v>
      </c>
      <c r="K110" s="535">
        <f t="shared" si="10"/>
        <v>0</v>
      </c>
      <c r="L110" s="665">
        <f t="shared" si="10"/>
        <v>0</v>
      </c>
      <c r="AC110" s="2315"/>
    </row>
    <row r="111" spans="1:29" ht="4.5" customHeight="1" x14ac:dyDescent="0.25">
      <c r="A111" s="801"/>
      <c r="B111" s="711"/>
      <c r="C111" s="545"/>
      <c r="D111" s="545"/>
      <c r="E111" s="742"/>
      <c r="F111" s="743"/>
      <c r="G111" s="545"/>
      <c r="H111" s="742"/>
      <c r="I111" s="831"/>
      <c r="J111" s="544"/>
      <c r="K111" s="545"/>
      <c r="L111" s="742"/>
      <c r="AC111" s="2315"/>
    </row>
    <row r="112" spans="1:29" ht="11.25" customHeight="1" x14ac:dyDescent="0.25">
      <c r="A112" s="913" t="str">
        <f>'A4-FinPerf RE'!A31</f>
        <v>Contracted services</v>
      </c>
      <c r="B112" s="711"/>
      <c r="C112" s="177"/>
      <c r="D112" s="177"/>
      <c r="E112" s="178"/>
      <c r="F112" s="179"/>
      <c r="G112" s="177"/>
      <c r="H112" s="178"/>
      <c r="I112" s="180"/>
      <c r="J112" s="181"/>
      <c r="K112" s="177"/>
      <c r="L112" s="178"/>
      <c r="AC112" s="2315"/>
    </row>
    <row r="113" spans="1:29" ht="11.25" customHeight="1" x14ac:dyDescent="0.25">
      <c r="A113" s="663" t="s">
        <v>2531</v>
      </c>
      <c r="B113" s="711"/>
      <c r="C113" s="712">
        <f>SUMIFS(Sheet1!S71_PPPYearAmount,Sheet1!S71_SA1SubCode,$AC:$AC)</f>
        <v>4201223</v>
      </c>
      <c r="D113" s="712">
        <f>SUMIFS(Sheet1!S71_PPYearAmount,Sheet1!S71_SA1SubCode,$AC:$AC)</f>
        <v>7224354</v>
      </c>
      <c r="E113" s="717">
        <f>SUMIFS(Sheet1!S71_PYearAmount,Sheet1!S71_SA1SubCode,$AC:$AC)</f>
        <v>9483478</v>
      </c>
      <c r="F113" s="718">
        <f>SUMIFS(Sheet1!S71_OriginalBudAmnt,Sheet1!S71_SA1SubCode,$AC:$AC)</f>
        <v>8328887</v>
      </c>
      <c r="G113" s="712">
        <f>SUMIFS(Sheet1!S71_AdjustmentBudAmnt,Sheet1!S71_SA1SubCode,$AC:$AC)</f>
        <v>8547102</v>
      </c>
      <c r="H113" s="717">
        <f>SUMIFS(Sheet1!S71_AdjustmentBudAmnt,Sheet1!S71_SA1SubCode,$AC:$AC)</f>
        <v>8547102</v>
      </c>
      <c r="I113" s="719">
        <f>SUMIFS(Sheet1!CD:CD,Sheet1!S71_SA1SubCode,$AC:$AC)</f>
        <v>5508166</v>
      </c>
      <c r="J113" s="725">
        <f>SUMIFS(Sheet1!S71_ASBudgetAmount,Sheet1!S71_SA1SubCode,$AC:$AC)</f>
        <v>10384715</v>
      </c>
      <c r="K113" s="712">
        <f>SUMIFS(Sheet1!S71_OY1BudgetAmount,Sheet1!S71_SA1SubCode,$AC:$AC)</f>
        <v>10379122</v>
      </c>
      <c r="L113" s="717">
        <f>SUMIFS(Sheet1!S71_OY2BudgetAmount,Sheet1!S71_SA1SubCode,$AC:$AC)</f>
        <v>11230784</v>
      </c>
      <c r="AC113" s="2349">
        <v>2701</v>
      </c>
    </row>
    <row r="114" spans="1:29" ht="11.25" customHeight="1" x14ac:dyDescent="0.25">
      <c r="A114" s="663" t="s">
        <v>2532</v>
      </c>
      <c r="B114" s="711"/>
      <c r="C114" s="712">
        <f>SUMIFS(Sheet1!S71_PPPYearAmount,Sheet1!S71_SA1SubCode,$AC:$AC)</f>
        <v>4719645</v>
      </c>
      <c r="D114" s="712">
        <f>SUMIFS(Sheet1!S71_PPYearAmount,Sheet1!S71_SA1SubCode,$AC:$AC)</f>
        <v>3256288</v>
      </c>
      <c r="E114" s="717">
        <f>SUMIFS(Sheet1!S71_PYearAmount,Sheet1!S71_SA1SubCode,$AC:$AC)</f>
        <v>3279355</v>
      </c>
      <c r="F114" s="718">
        <f>SUMIFS(Sheet1!S71_OriginalBudAmnt,Sheet1!S71_SA1SubCode,$AC:$AC)</f>
        <v>4070000</v>
      </c>
      <c r="G114" s="712">
        <f>SUMIFS(Sheet1!S71_AdjustmentBudAmnt,Sheet1!S71_SA1SubCode,$AC:$AC)</f>
        <v>3524200</v>
      </c>
      <c r="H114" s="717">
        <f>SUMIFS(Sheet1!S71_AdjustmentBudAmnt,Sheet1!S71_SA1SubCode,$AC:$AC)</f>
        <v>3524200</v>
      </c>
      <c r="I114" s="719">
        <f>SUMIFS(Sheet1!CD:CD,Sheet1!S71_SA1SubCode,$AC:$AC)</f>
        <v>981090</v>
      </c>
      <c r="J114" s="725">
        <f>SUMIFS(Sheet1!S71_ASBudgetAmount,Sheet1!S71_SA1SubCode,$AC:$AC)</f>
        <v>3661644</v>
      </c>
      <c r="K114" s="712">
        <f>SUMIFS(Sheet1!S71_OY1BudgetAmount,Sheet1!S71_SA1SubCode,$AC:$AC)</f>
        <v>3808111</v>
      </c>
      <c r="L114" s="717">
        <f>SUMIFS(Sheet1!S71_OY2BudgetAmount,Sheet1!S71_SA1SubCode,$AC:$AC)</f>
        <v>3960432</v>
      </c>
      <c r="AC114" s="2349" t="s">
        <v>2751</v>
      </c>
    </row>
    <row r="115" spans="1:29" ht="11.25" customHeight="1" x14ac:dyDescent="0.25">
      <c r="A115" s="663" t="s">
        <v>2533</v>
      </c>
      <c r="B115" s="711"/>
      <c r="C115" s="712">
        <f>SUMIFS(Sheet1!S71_PPPYearAmount,Sheet1!S71_SA1SubCode,$AC:$AC)</f>
        <v>3917686</v>
      </c>
      <c r="D115" s="712">
        <f>SUMIFS(Sheet1!S71_PPYearAmount,Sheet1!S71_SA1SubCode,$AC:$AC)</f>
        <v>8102899</v>
      </c>
      <c r="E115" s="717">
        <f>SUMIFS(Sheet1!S71_PYearAmount,Sheet1!S71_SA1SubCode,$AC:$AC)</f>
        <v>14766936</v>
      </c>
      <c r="F115" s="718">
        <f>SUMIFS(Sheet1!S71_OriginalBudAmnt,Sheet1!S71_SA1SubCode,$AC:$AC)</f>
        <v>18020950</v>
      </c>
      <c r="G115" s="712">
        <f>SUMIFS(Sheet1!S71_AdjustmentBudAmnt,Sheet1!S71_SA1SubCode,$AC:$AC)</f>
        <v>31851690</v>
      </c>
      <c r="H115" s="717">
        <f>SUMIFS(Sheet1!S71_AdjustmentBudAmnt,Sheet1!S71_SA1SubCode,$AC:$AC)</f>
        <v>31851690</v>
      </c>
      <c r="I115" s="719">
        <f>SUMIFS(Sheet1!CD:CD,Sheet1!S71_SA1SubCode,$AC:$AC)</f>
        <v>30437700</v>
      </c>
      <c r="J115" s="725">
        <f>SUMIFS(Sheet1!S71_ASBudgetAmount,Sheet1!S71_SA1SubCode,$AC:$AC)</f>
        <v>29350087</v>
      </c>
      <c r="K115" s="712">
        <f>SUMIFS(Sheet1!S71_OY1BudgetAmount,Sheet1!S71_SA1SubCode,$AC:$AC)</f>
        <v>22978090</v>
      </c>
      <c r="L115" s="717">
        <f>SUMIFS(Sheet1!S71_OY2BudgetAmount,Sheet1!S71_SA1SubCode,$AC:$AC)</f>
        <v>24080214</v>
      </c>
      <c r="AC115" s="2349" t="s">
        <v>2752</v>
      </c>
    </row>
    <row r="116" spans="1:29" ht="11.25" hidden="1" customHeight="1" x14ac:dyDescent="0.25">
      <c r="A116" s="663"/>
      <c r="B116" s="711"/>
      <c r="C116" s="71"/>
      <c r="D116" s="71"/>
      <c r="E116" s="72"/>
      <c r="F116" s="73"/>
      <c r="G116" s="71"/>
      <c r="H116" s="72"/>
      <c r="I116" s="74"/>
      <c r="J116" s="75"/>
      <c r="K116" s="71"/>
      <c r="L116" s="72"/>
      <c r="AC116" s="2349" t="s">
        <v>2752</v>
      </c>
    </row>
    <row r="117" spans="1:29" ht="11.25" hidden="1" customHeight="1" x14ac:dyDescent="0.25">
      <c r="A117" s="663"/>
      <c r="B117" s="711"/>
      <c r="C117" s="71"/>
      <c r="D117" s="71"/>
      <c r="E117" s="72"/>
      <c r="F117" s="73"/>
      <c r="G117" s="71"/>
      <c r="H117" s="72"/>
      <c r="I117" s="74"/>
      <c r="J117" s="75"/>
      <c r="K117" s="71"/>
      <c r="L117" s="72"/>
      <c r="AC117" s="2315"/>
    </row>
    <row r="118" spans="1:29" ht="11.25" hidden="1" customHeight="1" x14ac:dyDescent="0.25">
      <c r="A118" s="663"/>
      <c r="B118" s="711"/>
      <c r="C118" s="71"/>
      <c r="D118" s="71"/>
      <c r="E118" s="72"/>
      <c r="F118" s="73"/>
      <c r="G118" s="71"/>
      <c r="H118" s="72"/>
      <c r="I118" s="74"/>
      <c r="J118" s="75"/>
      <c r="K118" s="71"/>
      <c r="L118" s="72"/>
      <c r="AC118" s="2315"/>
    </row>
    <row r="119" spans="1:29" ht="11.25" hidden="1" customHeight="1" x14ac:dyDescent="0.25">
      <c r="A119" s="663"/>
      <c r="B119" s="711"/>
      <c r="C119" s="71"/>
      <c r="D119" s="71"/>
      <c r="E119" s="72"/>
      <c r="F119" s="73"/>
      <c r="G119" s="71"/>
      <c r="H119" s="72"/>
      <c r="I119" s="74"/>
      <c r="J119" s="75"/>
      <c r="K119" s="71"/>
      <c r="L119" s="72"/>
      <c r="AC119" s="2315"/>
    </row>
    <row r="120" spans="1:29" ht="11.25" hidden="1" customHeight="1" x14ac:dyDescent="0.25">
      <c r="A120" s="663"/>
      <c r="B120" s="711"/>
      <c r="C120" s="71"/>
      <c r="D120" s="71"/>
      <c r="E120" s="72"/>
      <c r="F120" s="73"/>
      <c r="G120" s="71"/>
      <c r="H120" s="72"/>
      <c r="I120" s="74"/>
      <c r="J120" s="75"/>
      <c r="K120" s="71"/>
      <c r="L120" s="72"/>
      <c r="AC120" s="2315"/>
    </row>
    <row r="121" spans="1:29" ht="11.25" hidden="1" customHeight="1" x14ac:dyDescent="0.25">
      <c r="A121" s="663"/>
      <c r="B121" s="711"/>
      <c r="C121" s="71"/>
      <c r="D121" s="71"/>
      <c r="E121" s="72"/>
      <c r="F121" s="73"/>
      <c r="G121" s="71"/>
      <c r="H121" s="72"/>
      <c r="I121" s="74"/>
      <c r="J121" s="75"/>
      <c r="K121" s="71"/>
      <c r="L121" s="72"/>
      <c r="AC121" s="2315"/>
    </row>
    <row r="122" spans="1:29" ht="11.25" hidden="1" customHeight="1" x14ac:dyDescent="0.25">
      <c r="A122" s="663"/>
      <c r="B122" s="711"/>
      <c r="C122" s="71"/>
      <c r="D122" s="71"/>
      <c r="E122" s="72"/>
      <c r="F122" s="73"/>
      <c r="G122" s="71"/>
      <c r="H122" s="72"/>
      <c r="I122" s="74"/>
      <c r="J122" s="75"/>
      <c r="K122" s="71"/>
      <c r="L122" s="72"/>
    </row>
    <row r="123" spans="1:29" ht="11.25" hidden="1" customHeight="1" x14ac:dyDescent="0.25">
      <c r="A123" s="663"/>
      <c r="B123" s="711"/>
      <c r="C123" s="71"/>
      <c r="D123" s="71"/>
      <c r="E123" s="72"/>
      <c r="F123" s="73"/>
      <c r="G123" s="71"/>
      <c r="H123" s="72"/>
      <c r="I123" s="74"/>
      <c r="J123" s="75"/>
      <c r="K123" s="71"/>
      <c r="L123" s="72"/>
    </row>
    <row r="124" spans="1:29" ht="11.25" hidden="1" customHeight="1" x14ac:dyDescent="0.25">
      <c r="A124" s="663"/>
      <c r="B124" s="711"/>
      <c r="C124" s="71"/>
      <c r="D124" s="71"/>
      <c r="E124" s="72"/>
      <c r="F124" s="73"/>
      <c r="G124" s="71"/>
      <c r="H124" s="72"/>
      <c r="I124" s="74"/>
      <c r="J124" s="75"/>
      <c r="K124" s="71"/>
      <c r="L124" s="72"/>
    </row>
    <row r="125" spans="1:29" ht="11.25" hidden="1" customHeight="1" x14ac:dyDescent="0.25">
      <c r="A125" s="663"/>
      <c r="B125" s="711"/>
      <c r="C125" s="71"/>
      <c r="D125" s="71"/>
      <c r="E125" s="72"/>
      <c r="F125" s="73"/>
      <c r="G125" s="71"/>
      <c r="H125" s="72"/>
      <c r="I125" s="74"/>
      <c r="J125" s="75"/>
      <c r="K125" s="71"/>
      <c r="L125" s="72"/>
    </row>
    <row r="126" spans="1:29" ht="11.25" hidden="1" customHeight="1" x14ac:dyDescent="0.25">
      <c r="A126" s="663"/>
      <c r="B126" s="711"/>
      <c r="C126" s="71"/>
      <c r="D126" s="71"/>
      <c r="E126" s="72"/>
      <c r="F126" s="73"/>
      <c r="G126" s="71"/>
      <c r="H126" s="72"/>
      <c r="I126" s="74"/>
      <c r="J126" s="75"/>
      <c r="K126" s="71"/>
      <c r="L126" s="72"/>
    </row>
    <row r="127" spans="1:29" ht="11.25" hidden="1" customHeight="1" x14ac:dyDescent="0.25">
      <c r="A127" s="663"/>
      <c r="B127" s="711"/>
      <c r="C127" s="71"/>
      <c r="D127" s="71"/>
      <c r="E127" s="72"/>
      <c r="F127" s="73"/>
      <c r="G127" s="71"/>
      <c r="H127" s="72"/>
      <c r="I127" s="74"/>
      <c r="J127" s="75"/>
      <c r="K127" s="71"/>
      <c r="L127" s="72"/>
    </row>
    <row r="128" spans="1:29" ht="11.25" hidden="1" customHeight="1" x14ac:dyDescent="0.25">
      <c r="A128" s="663"/>
      <c r="B128" s="711"/>
      <c r="C128" s="71"/>
      <c r="D128" s="71"/>
      <c r="E128" s="72"/>
      <c r="F128" s="73"/>
      <c r="G128" s="71"/>
      <c r="H128" s="72"/>
      <c r="I128" s="74"/>
      <c r="J128" s="75"/>
      <c r="K128" s="71"/>
      <c r="L128" s="72"/>
    </row>
    <row r="129" spans="1:29" ht="11.25" hidden="1" customHeight="1" x14ac:dyDescent="0.25">
      <c r="A129" s="663"/>
      <c r="B129" s="711"/>
      <c r="C129" s="71"/>
      <c r="D129" s="71"/>
      <c r="E129" s="72"/>
      <c r="F129" s="73"/>
      <c r="G129" s="71"/>
      <c r="H129" s="72"/>
      <c r="I129" s="74"/>
      <c r="J129" s="75"/>
      <c r="K129" s="71"/>
      <c r="L129" s="72"/>
    </row>
    <row r="130" spans="1:29" ht="11.25" hidden="1" customHeight="1" x14ac:dyDescent="0.25">
      <c r="A130" s="663"/>
      <c r="B130" s="711"/>
      <c r="C130" s="71"/>
      <c r="D130" s="71"/>
      <c r="E130" s="72"/>
      <c r="F130" s="73"/>
      <c r="G130" s="71"/>
      <c r="H130" s="72"/>
      <c r="I130" s="74"/>
      <c r="J130" s="75"/>
      <c r="K130" s="71"/>
      <c r="L130" s="72"/>
    </row>
    <row r="131" spans="1:29" ht="11.25" hidden="1" customHeight="1" x14ac:dyDescent="0.25">
      <c r="A131" s="663"/>
      <c r="B131" s="711"/>
      <c r="C131" s="71"/>
      <c r="D131" s="71"/>
      <c r="E131" s="72"/>
      <c r="F131" s="73"/>
      <c r="G131" s="71"/>
      <c r="H131" s="72"/>
      <c r="I131" s="74"/>
      <c r="J131" s="75"/>
      <c r="K131" s="71"/>
      <c r="L131" s="72"/>
    </row>
    <row r="132" spans="1:29" ht="11.25" hidden="1" customHeight="1" x14ac:dyDescent="0.25">
      <c r="A132" s="663"/>
      <c r="B132" s="711"/>
      <c r="C132" s="71"/>
      <c r="D132" s="71"/>
      <c r="E132" s="72"/>
      <c r="F132" s="73"/>
      <c r="G132" s="71"/>
      <c r="H132" s="72"/>
      <c r="I132" s="74"/>
      <c r="J132" s="75"/>
      <c r="K132" s="71"/>
      <c r="L132" s="72"/>
    </row>
    <row r="133" spans="1:29" ht="11.25" hidden="1" customHeight="1" x14ac:dyDescent="0.25">
      <c r="A133" s="663"/>
      <c r="B133" s="711"/>
      <c r="C133" s="71"/>
      <c r="D133" s="71"/>
      <c r="E133" s="72"/>
      <c r="F133" s="73"/>
      <c r="G133" s="71"/>
      <c r="H133" s="72"/>
      <c r="I133" s="74"/>
      <c r="J133" s="75"/>
      <c r="K133" s="71"/>
      <c r="L133" s="72"/>
    </row>
    <row r="134" spans="1:29" ht="11.25" hidden="1" customHeight="1" x14ac:dyDescent="0.25">
      <c r="A134" s="663"/>
      <c r="B134" s="711"/>
      <c r="C134" s="71"/>
      <c r="D134" s="71"/>
      <c r="E134" s="72"/>
      <c r="F134" s="73"/>
      <c r="G134" s="71"/>
      <c r="H134" s="72"/>
      <c r="I134" s="74"/>
      <c r="J134" s="75"/>
      <c r="K134" s="71"/>
      <c r="L134" s="72"/>
    </row>
    <row r="135" spans="1:29" ht="11.25" hidden="1" customHeight="1" x14ac:dyDescent="0.25">
      <c r="A135" s="663"/>
      <c r="B135" s="711"/>
      <c r="C135" s="71"/>
      <c r="D135" s="71"/>
      <c r="E135" s="72"/>
      <c r="F135" s="73"/>
      <c r="G135" s="71"/>
      <c r="H135" s="72"/>
      <c r="I135" s="74"/>
      <c r="J135" s="75"/>
      <c r="K135" s="71"/>
      <c r="L135" s="72"/>
    </row>
    <row r="136" spans="1:29" ht="11.25" hidden="1" customHeight="1" x14ac:dyDescent="0.25">
      <c r="A136" s="663"/>
      <c r="B136" s="711"/>
      <c r="C136" s="71"/>
      <c r="D136" s="71"/>
      <c r="E136" s="72"/>
      <c r="F136" s="73"/>
      <c r="G136" s="71"/>
      <c r="H136" s="72"/>
      <c r="I136" s="74"/>
      <c r="J136" s="75"/>
      <c r="K136" s="71"/>
      <c r="L136" s="72"/>
    </row>
    <row r="137" spans="1:29" ht="11.25" hidden="1" customHeight="1" x14ac:dyDescent="0.25">
      <c r="A137" s="663"/>
      <c r="B137" s="711"/>
      <c r="C137" s="71"/>
      <c r="D137" s="71"/>
      <c r="E137" s="72"/>
      <c r="F137" s="73"/>
      <c r="G137" s="71"/>
      <c r="H137" s="72"/>
      <c r="I137" s="74"/>
      <c r="J137" s="75"/>
      <c r="K137" s="71"/>
      <c r="L137" s="72"/>
    </row>
    <row r="138" spans="1:29" ht="11.25" hidden="1" customHeight="1" x14ac:dyDescent="0.25">
      <c r="A138" s="941"/>
      <c r="B138" s="711"/>
      <c r="C138" s="535"/>
      <c r="D138" s="535"/>
      <c r="E138" s="665"/>
      <c r="F138" s="666"/>
      <c r="G138" s="535"/>
      <c r="H138" s="665"/>
      <c r="I138" s="667"/>
      <c r="J138" s="668"/>
      <c r="K138" s="535"/>
      <c r="L138" s="665"/>
      <c r="AC138" s="2315"/>
    </row>
    <row r="139" spans="1:29" ht="11.25" hidden="1" customHeight="1" x14ac:dyDescent="0.25">
      <c r="A139" s="135"/>
      <c r="B139" s="711"/>
      <c r="C139" s="545"/>
      <c r="D139" s="545"/>
      <c r="E139" s="742"/>
      <c r="F139" s="743"/>
      <c r="G139" s="545"/>
      <c r="H139" s="742"/>
      <c r="I139" s="831"/>
      <c r="J139" s="544"/>
      <c r="K139" s="545"/>
      <c r="L139" s="742"/>
      <c r="AC139" s="2315"/>
    </row>
    <row r="140" spans="1:29" ht="11.25" hidden="1" customHeight="1" x14ac:dyDescent="0.25">
      <c r="A140" s="669"/>
      <c r="B140" s="711"/>
      <c r="C140" s="98"/>
      <c r="D140" s="98"/>
      <c r="E140" s="99"/>
      <c r="F140" s="100"/>
      <c r="G140" s="98"/>
      <c r="H140" s="99"/>
      <c r="I140" s="101"/>
      <c r="J140" s="102"/>
      <c r="K140" s="98"/>
      <c r="L140" s="99"/>
      <c r="AC140" s="2315"/>
    </row>
    <row r="141" spans="1:29" ht="11.25" hidden="1" customHeight="1" x14ac:dyDescent="0.25">
      <c r="A141" s="669"/>
      <c r="B141" s="711"/>
      <c r="C141" s="98"/>
      <c r="D141" s="98"/>
      <c r="E141" s="99"/>
      <c r="F141" s="100"/>
      <c r="G141" s="98"/>
      <c r="H141" s="99"/>
      <c r="I141" s="101"/>
      <c r="J141" s="102"/>
      <c r="K141" s="98"/>
      <c r="L141" s="99"/>
      <c r="AC141" s="2315"/>
    </row>
    <row r="142" spans="1:29" ht="11.25" hidden="1" customHeight="1" x14ac:dyDescent="0.25">
      <c r="A142" s="669"/>
      <c r="B142" s="711"/>
      <c r="C142" s="98"/>
      <c r="D142" s="98"/>
      <c r="E142" s="99"/>
      <c r="F142" s="100"/>
      <c r="G142" s="98"/>
      <c r="H142" s="99"/>
      <c r="I142" s="101"/>
      <c r="J142" s="102"/>
      <c r="K142" s="98"/>
      <c r="L142" s="99"/>
      <c r="AC142" s="2315"/>
    </row>
    <row r="143" spans="1:29" ht="11.25" hidden="1" customHeight="1" x14ac:dyDescent="0.25">
      <c r="A143" s="669"/>
      <c r="B143" s="711"/>
      <c r="C143" s="98"/>
      <c r="D143" s="98"/>
      <c r="E143" s="99"/>
      <c r="F143" s="100"/>
      <c r="G143" s="98"/>
      <c r="H143" s="99"/>
      <c r="I143" s="101"/>
      <c r="J143" s="102"/>
      <c r="K143" s="98"/>
      <c r="L143" s="99"/>
      <c r="AC143" s="2315"/>
    </row>
    <row r="144" spans="1:29" ht="11.25" customHeight="1" x14ac:dyDescent="0.25">
      <c r="A144" s="942" t="s">
        <v>1283</v>
      </c>
      <c r="B144" s="711"/>
      <c r="C144" s="535">
        <f>SUM(C113:C115)</f>
        <v>12838554</v>
      </c>
      <c r="D144" s="535">
        <f t="shared" ref="D144:L144" si="11">SUM(D113:D115)</f>
        <v>18583541</v>
      </c>
      <c r="E144" s="665">
        <f t="shared" si="11"/>
        <v>27529769</v>
      </c>
      <c r="F144" s="666">
        <f t="shared" si="11"/>
        <v>30419837</v>
      </c>
      <c r="G144" s="535">
        <f t="shared" si="11"/>
        <v>43922992</v>
      </c>
      <c r="H144" s="665">
        <f t="shared" si="11"/>
        <v>43922992</v>
      </c>
      <c r="I144" s="667">
        <f t="shared" si="11"/>
        <v>36926956</v>
      </c>
      <c r="J144" s="668">
        <f t="shared" si="11"/>
        <v>43396446</v>
      </c>
      <c r="K144" s="535">
        <f t="shared" si="11"/>
        <v>37165323</v>
      </c>
      <c r="L144" s="665">
        <f t="shared" si="11"/>
        <v>39271430</v>
      </c>
      <c r="AC144" s="2315"/>
    </row>
    <row r="145" spans="1:29" ht="4.9000000000000004" customHeight="1" x14ac:dyDescent="0.25">
      <c r="A145" s="931"/>
      <c r="B145" s="711"/>
      <c r="C145" s="177"/>
      <c r="D145" s="177"/>
      <c r="E145" s="178"/>
      <c r="F145" s="179"/>
      <c r="G145" s="177"/>
      <c r="H145" s="178"/>
      <c r="I145" s="180"/>
      <c r="J145" s="181"/>
      <c r="K145" s="177"/>
      <c r="L145" s="178"/>
      <c r="AC145" s="2315"/>
    </row>
    <row r="146" spans="1:29" ht="11.25" customHeight="1" x14ac:dyDescent="0.25">
      <c r="A146" s="913" t="s">
        <v>33</v>
      </c>
      <c r="B146" s="734"/>
      <c r="C146" s="177"/>
      <c r="D146" s="177"/>
      <c r="E146" s="178"/>
      <c r="F146" s="179"/>
      <c r="G146" s="177"/>
      <c r="H146" s="178"/>
      <c r="I146" s="180"/>
      <c r="J146" s="181"/>
      <c r="K146" s="177"/>
      <c r="L146" s="178"/>
      <c r="AC146" s="2315"/>
    </row>
    <row r="147" spans="1:29" ht="11.25" customHeight="1" x14ac:dyDescent="0.25">
      <c r="A147" s="136" t="s">
        <v>409</v>
      </c>
      <c r="B147" s="711"/>
      <c r="C147" s="712">
        <f>SUMIFS(Sheet1!S71_PPPYearAmount,Sheet1!S71_SA1SubCode,$AC:$AC)</f>
        <v>0</v>
      </c>
      <c r="D147" s="712">
        <f>SUMIFS(Sheet1!S71_PPYearAmount,Sheet1!S71_SA1SubCode,$AC:$AC)</f>
        <v>0</v>
      </c>
      <c r="E147" s="717">
        <f>SUMIFS(Sheet1!S71_PYearAmount,Sheet1!S71_SA1SubCode,$AC:$AC)</f>
        <v>0</v>
      </c>
      <c r="F147" s="718">
        <f>SUMIFS(Sheet1!S71_OriginalBudAmnt,Sheet1!S71_SA1SubCode,$AC:$AC)</f>
        <v>0</v>
      </c>
      <c r="G147" s="712">
        <f>SUMIFS(Sheet1!S71_AdjustmentBudAmnt,Sheet1!S71_SA1SubCode,$AC:$AC)</f>
        <v>0</v>
      </c>
      <c r="H147" s="717">
        <f>SUMIFS(Sheet1!S71_AdjustmentBudAmnt,Sheet1!S71_SA1SubCode,$AC:$AC)</f>
        <v>0</v>
      </c>
      <c r="I147" s="719">
        <f>SUMIFS(Sheet1!CD:CD,Sheet1!S71_SA1SubCode,$AC:$AC)</f>
        <v>0</v>
      </c>
      <c r="J147" s="725">
        <f>SUMIFS(Sheet1!S71_ASBudgetAmount,Sheet1!S71_SA1SubCode,$AC:$AC)</f>
        <v>0</v>
      </c>
      <c r="K147" s="712">
        <f>SUMIFS(Sheet1!S71_OY1BudgetAmount,Sheet1!S71_SA1SubCode,$AC:$AC)</f>
        <v>0</v>
      </c>
      <c r="L147" s="717">
        <f>SUMIFS(Sheet1!S71_OY2BudgetAmount,Sheet1!S71_SA1SubCode,$AC:$AC)</f>
        <v>0</v>
      </c>
      <c r="AC147" s="2349">
        <v>2901</v>
      </c>
    </row>
    <row r="148" spans="1:29" ht="11.25" customHeight="1" x14ac:dyDescent="0.25">
      <c r="A148" s="136" t="s">
        <v>1317</v>
      </c>
      <c r="B148" s="711"/>
      <c r="C148" s="712">
        <f>SUMIFS(Sheet1!S71_PPPYearAmount,Sheet1!S71_SA1SubCode,$AC:$AC)</f>
        <v>0</v>
      </c>
      <c r="D148" s="712">
        <f>SUMIFS(Sheet1!S71_PPYearAmount,Sheet1!S71_SA1SubCode,$AC:$AC)</f>
        <v>0</v>
      </c>
      <c r="E148" s="717">
        <f>SUMIFS(Sheet1!S71_PYearAmount,Sheet1!S71_SA1SubCode,$AC:$AC)</f>
        <v>0</v>
      </c>
      <c r="F148" s="718">
        <f>SUMIFS(Sheet1!S71_OriginalBudAmnt,Sheet1!S71_SA1SubCode,$AC:$AC)</f>
        <v>0</v>
      </c>
      <c r="G148" s="712">
        <f>SUMIFS(Sheet1!S71_AdjustmentBudAmnt,Sheet1!S71_SA1SubCode,$AC:$AC)</f>
        <v>0</v>
      </c>
      <c r="H148" s="717">
        <f>SUMIFS(Sheet1!S71_AdjustmentBudAmnt,Sheet1!S71_SA1SubCode,$AC:$AC)</f>
        <v>0</v>
      </c>
      <c r="I148" s="719">
        <f>SUMIFS(Sheet1!CD:CD,Sheet1!S71_SA1SubCode,$AC:$AC)</f>
        <v>0</v>
      </c>
      <c r="J148" s="725">
        <f>SUMIFS(Sheet1!S71_ASBudgetAmount,Sheet1!S71_SA1SubCode,$AC:$AC)</f>
        <v>0</v>
      </c>
      <c r="K148" s="712">
        <f>SUMIFS(Sheet1!S71_OY1BudgetAmount,Sheet1!S71_SA1SubCode,$AC:$AC)</f>
        <v>0</v>
      </c>
      <c r="L148" s="717">
        <f>SUMIFS(Sheet1!S71_OY2BudgetAmount,Sheet1!S71_SA1SubCode,$AC:$AC)</f>
        <v>0</v>
      </c>
      <c r="AC148" s="2349">
        <v>2902</v>
      </c>
    </row>
    <row r="149" spans="1:29" ht="11.25" hidden="1" customHeight="1" x14ac:dyDescent="0.25">
      <c r="A149" s="2322" t="s">
        <v>2932</v>
      </c>
      <c r="B149" s="711"/>
      <c r="C149" s="712">
        <f>SUMIFS(Sheet1!S71_PPPYearAmount,Sheet1!S71_SA1SubCode,$AC:$AC)</f>
        <v>0</v>
      </c>
      <c r="D149" s="712">
        <f>SUMIFS(Sheet1!S71_PPYearAmount,Sheet1!S71_SA1SubCode,$AC:$AC)</f>
        <v>0</v>
      </c>
      <c r="E149" s="717">
        <f>SUMIFS(Sheet1!S71_PYearAmount,Sheet1!S71_SA1SubCode,$AC:$AC)</f>
        <v>0</v>
      </c>
      <c r="F149" s="718">
        <f>SUMIFS(Sheet1!S71_OriginalBudAmnt,Sheet1!S71_SA1SubCode,$AC:$AC)</f>
        <v>0</v>
      </c>
      <c r="G149" s="712">
        <f>SUMIFS(Sheet1!S71_AdjustmentBudAmnt,Sheet1!S71_SA1SubCode,$AC:$AC)</f>
        <v>0</v>
      </c>
      <c r="H149" s="717">
        <f>SUMIFS(Sheet1!S71_AdjustmentBudAmnt,Sheet1!S71_SA1SubCode,$AC:$AC)</f>
        <v>0</v>
      </c>
      <c r="I149" s="719">
        <f>SUMIFS(Sheet1!CD:CD,Sheet1!S71_SA1SubCode,$AC:$AC)</f>
        <v>0</v>
      </c>
      <c r="J149" s="725">
        <f>SUMIFS(Sheet1!S71_ASBudgetAmount,Sheet1!S71_SA1SubCode,$AC:$AC)</f>
        <v>0</v>
      </c>
      <c r="K149" s="712">
        <f>SUMIFS(Sheet1!S71_OY1BudgetAmount,Sheet1!S71_SA1SubCode,$AC:$AC)</f>
        <v>0</v>
      </c>
      <c r="L149" s="717">
        <f>SUMIFS(Sheet1!S71_OY2BudgetAmount,Sheet1!S71_SA1SubCode,$AC:$AC)</f>
        <v>0</v>
      </c>
      <c r="AC149" s="2349"/>
    </row>
    <row r="150" spans="1:29" ht="11.25" customHeight="1" x14ac:dyDescent="0.25">
      <c r="A150" s="136" t="s">
        <v>598</v>
      </c>
      <c r="B150" s="711"/>
      <c r="C150" s="712">
        <f>SUMIFS(Sheet1!S71_PPPYearAmount,Sheet1!S71_SA1SubCode,$AC:$AC)</f>
        <v>1264610</v>
      </c>
      <c r="D150" s="712">
        <f>SUMIFS(Sheet1!S71_PPYearAmount,Sheet1!S71_SA1SubCode,$AC:$AC)</f>
        <v>1233373</v>
      </c>
      <c r="E150" s="717">
        <f>SUMIFS(Sheet1!S71_PYearAmount,Sheet1!S71_SA1SubCode,$AC:$AC)</f>
        <v>1173307</v>
      </c>
      <c r="F150" s="718">
        <f>SUMIFS(Sheet1!S71_OriginalBudAmnt,Sheet1!S71_SA1SubCode,$AC:$AC)</f>
        <v>1400898</v>
      </c>
      <c r="G150" s="712">
        <f>SUMIFS(Sheet1!S71_AdjustmentBudAmnt,Sheet1!S71_SA1SubCode,$AC:$AC)</f>
        <v>1400898</v>
      </c>
      <c r="H150" s="717">
        <f>SUMIFS(Sheet1!S71_AdjustmentBudAmnt,Sheet1!S71_SA1SubCode,$AC:$AC)</f>
        <v>1400898</v>
      </c>
      <c r="I150" s="719">
        <f>SUMIFS(Sheet1!CD:CD,Sheet1!S71_SA1SubCode,$AC:$AC)</f>
        <v>1261022</v>
      </c>
      <c r="J150" s="725">
        <f>SUMIFS(Sheet1!S71_ASBudgetAmount,Sheet1!S71_SA1SubCode,$AC:$AC)</f>
        <v>1455533</v>
      </c>
      <c r="K150" s="712">
        <f>SUMIFS(Sheet1!S71_OY1BudgetAmount,Sheet1!S71_SA1SubCode,$AC:$AC)</f>
        <v>1513754</v>
      </c>
      <c r="L150" s="717">
        <f>SUMIFS(Sheet1!S71_OY2BudgetAmount,Sheet1!S71_SA1SubCode,$AC:$AC)</f>
        <v>1574305</v>
      </c>
      <c r="AC150" s="2349" t="s">
        <v>2929</v>
      </c>
    </row>
    <row r="151" spans="1:29" ht="11.25" hidden="1" customHeight="1" x14ac:dyDescent="0.25">
      <c r="A151" s="2322" t="s">
        <v>2933</v>
      </c>
      <c r="B151" s="711"/>
      <c r="C151" s="712">
        <f>SUMIFS(Sheet1!S71_PPPYearAmount,Sheet1!S71_SA1SubCode,$AC:$AC)</f>
        <v>0</v>
      </c>
      <c r="D151" s="712">
        <f>SUMIFS(Sheet1!S71_PPYearAmount,Sheet1!S71_SA1SubCode,$AC:$AC)</f>
        <v>0</v>
      </c>
      <c r="E151" s="717">
        <f>SUMIFS(Sheet1!S71_PYearAmount,Sheet1!S71_SA1SubCode,$AC:$AC)</f>
        <v>0</v>
      </c>
      <c r="F151" s="718">
        <f>SUMIFS(Sheet1!S71_OriginalBudAmnt,Sheet1!S71_SA1SubCode,$AC:$AC)</f>
        <v>0</v>
      </c>
      <c r="G151" s="712">
        <f>SUMIFS(Sheet1!S71_AdjustmentBudAmnt,Sheet1!S71_SA1SubCode,$AC:$AC)</f>
        <v>0</v>
      </c>
      <c r="H151" s="717">
        <f>SUMIFS(Sheet1!S71_AdjustmentBudAmnt,Sheet1!S71_SA1SubCode,$AC:$AC)</f>
        <v>0</v>
      </c>
      <c r="I151" s="719">
        <f>SUMIFS(Sheet1!CD:CD,Sheet1!S71_SA1SubCode,$AC:$AC)</f>
        <v>0</v>
      </c>
      <c r="J151" s="725">
        <f>SUMIFS(Sheet1!S71_ASBudgetAmount,Sheet1!S71_SA1SubCode,$AC:$AC)</f>
        <v>0</v>
      </c>
      <c r="K151" s="712">
        <f>SUMIFS(Sheet1!S71_OY1BudgetAmount,Sheet1!S71_SA1SubCode,$AC:$AC)</f>
        <v>0</v>
      </c>
      <c r="L151" s="717">
        <f>SUMIFS(Sheet1!S71_OY2BudgetAmount,Sheet1!S71_SA1SubCode,$AC:$AC)</f>
        <v>0</v>
      </c>
      <c r="AC151" s="2349" t="s">
        <v>2931</v>
      </c>
    </row>
    <row r="152" spans="1:29" ht="11.25" hidden="1" customHeight="1" x14ac:dyDescent="0.25">
      <c r="A152" s="663"/>
      <c r="B152" s="711"/>
      <c r="C152" s="712">
        <f>SUMIFS(Sheet1!S71_PPPYearAmount,Sheet1!S71_SA1SubCode,$AC:$AC)</f>
        <v>0</v>
      </c>
      <c r="D152" s="712">
        <f>SUMIFS(Sheet1!S71_PPYearAmount,Sheet1!S71_SA1SubCode,$AC:$AC)</f>
        <v>0</v>
      </c>
      <c r="E152" s="717">
        <f>SUMIFS(Sheet1!S71_PYearAmount,Sheet1!S71_SA1SubCode,$AC:$AC)</f>
        <v>0</v>
      </c>
      <c r="F152" s="718">
        <f>SUMIFS(Sheet1!S71_OriginalBudAmnt,Sheet1!S71_SA1SubCode,$AC:$AC)</f>
        <v>0</v>
      </c>
      <c r="G152" s="712">
        <f>SUMIFS(Sheet1!S71_AdjustmentBudAmnt,Sheet1!S71_SA1SubCode,$AC:$AC)</f>
        <v>0</v>
      </c>
      <c r="H152" s="717">
        <f>SUMIFS(Sheet1!S71_AdjustmentBudAmnt,Sheet1!S71_SA1SubCode,$AC:$AC)</f>
        <v>0</v>
      </c>
      <c r="I152" s="719">
        <f>SUMIFS(Sheet1!CD:CD,Sheet1!S71_SA1SubCode,$AC:$AC)</f>
        <v>0</v>
      </c>
      <c r="J152" s="725">
        <f>SUMIFS(Sheet1!S71_ASBudgetAmount,Sheet1!S71_SA1SubCode,$AC:$AC)</f>
        <v>0</v>
      </c>
      <c r="K152" s="712">
        <f>SUMIFS(Sheet1!S71_OY1BudgetAmount,Sheet1!S71_SA1SubCode,$AC:$AC)</f>
        <v>0</v>
      </c>
      <c r="L152" s="717">
        <f>SUMIFS(Sheet1!S71_OY2BudgetAmount,Sheet1!S71_SA1SubCode,$AC:$AC)</f>
        <v>0</v>
      </c>
      <c r="AC152" s="2349"/>
    </row>
    <row r="153" spans="1:29" ht="11.25" customHeight="1" x14ac:dyDescent="0.25">
      <c r="A153" s="663" t="s">
        <v>1690</v>
      </c>
      <c r="B153" s="711"/>
      <c r="C153" s="712">
        <f>SUMIFS(Sheet1!S71_PPPYearAmount,Sheet1!S71_SA1SubCode,$AC:$AC)</f>
        <v>8260230</v>
      </c>
      <c r="D153" s="712">
        <f>SUMIFS(Sheet1!S71_PPYearAmount,Sheet1!S71_SA1SubCode,$AC:$AC)</f>
        <v>9999574</v>
      </c>
      <c r="E153" s="717">
        <f>SUMIFS(Sheet1!S71_PYearAmount,Sheet1!S71_SA1SubCode,$AC:$AC)</f>
        <v>12539179</v>
      </c>
      <c r="F153" s="718">
        <f>SUMIFS(Sheet1!S71_OriginalBudAmnt,Sheet1!S71_SA1SubCode,$AC:$AC)</f>
        <v>17970687</v>
      </c>
      <c r="G153" s="712">
        <f>SUMIFS(Sheet1!S71_AdjustmentBudAmnt,Sheet1!S71_SA1SubCode,$AC:$AC)</f>
        <v>25464299</v>
      </c>
      <c r="H153" s="717">
        <f>SUMIFS(Sheet1!S71_AdjustmentBudAmnt,Sheet1!S71_SA1SubCode,$AC:$AC)</f>
        <v>25464299</v>
      </c>
      <c r="I153" s="719">
        <f>SUMIFS(Sheet1!CD:CD,Sheet1!S71_SA1SubCode,$AC:$AC)</f>
        <v>17913551</v>
      </c>
      <c r="J153" s="725">
        <f>SUMIFS(Sheet1!S71_ASBudgetAmount,Sheet1!S71_SA1SubCode,$AC:$AC)</f>
        <v>21999304</v>
      </c>
      <c r="K153" s="712">
        <f>SUMIFS(Sheet1!S71_OY1BudgetAmount,Sheet1!S71_SA1SubCode,$AC:$AC)</f>
        <v>20853032</v>
      </c>
      <c r="L153" s="717">
        <f>SUMIFS(Sheet1!S71_OY2BudgetAmount,Sheet1!S71_SA1SubCode,$AC:$AC)</f>
        <v>21665581</v>
      </c>
      <c r="AC153" s="2349" t="s">
        <v>2930</v>
      </c>
    </row>
    <row r="154" spans="1:29" ht="11.25" hidden="1" customHeight="1" x14ac:dyDescent="0.25">
      <c r="A154" s="663"/>
      <c r="B154" s="711"/>
      <c r="C154" s="71"/>
      <c r="D154" s="71"/>
      <c r="E154" s="72"/>
      <c r="F154" s="73"/>
      <c r="G154" s="71"/>
      <c r="H154" s="72"/>
      <c r="I154" s="74"/>
      <c r="J154" s="75"/>
      <c r="K154" s="71"/>
      <c r="L154" s="72"/>
    </row>
    <row r="155" spans="1:29" ht="11.25" hidden="1" customHeight="1" x14ac:dyDescent="0.25">
      <c r="A155" s="663"/>
      <c r="B155" s="711"/>
      <c r="C155" s="71"/>
      <c r="D155" s="71"/>
      <c r="E155" s="72"/>
      <c r="F155" s="73"/>
      <c r="G155" s="71"/>
      <c r="H155" s="72"/>
      <c r="I155" s="74"/>
      <c r="J155" s="75"/>
      <c r="K155" s="71"/>
      <c r="L155" s="72"/>
    </row>
    <row r="156" spans="1:29" ht="11.25" hidden="1" customHeight="1" x14ac:dyDescent="0.25">
      <c r="A156" s="663"/>
      <c r="B156" s="711"/>
      <c r="C156" s="71"/>
      <c r="D156" s="71"/>
      <c r="E156" s="72"/>
      <c r="F156" s="73"/>
      <c r="G156" s="71"/>
      <c r="H156" s="72"/>
      <c r="I156" s="74"/>
      <c r="J156" s="75"/>
      <c r="K156" s="71"/>
      <c r="L156" s="72"/>
    </row>
    <row r="157" spans="1:29" ht="11.25" hidden="1" customHeight="1" x14ac:dyDescent="0.25">
      <c r="A157" s="663"/>
      <c r="B157" s="711"/>
      <c r="C157" s="71"/>
      <c r="D157" s="71"/>
      <c r="E157" s="72"/>
      <c r="F157" s="73"/>
      <c r="G157" s="71"/>
      <c r="H157" s="72"/>
      <c r="I157" s="74"/>
      <c r="J157" s="75"/>
      <c r="K157" s="71"/>
      <c r="L157" s="72"/>
    </row>
    <row r="158" spans="1:29" ht="11.25" hidden="1" customHeight="1" x14ac:dyDescent="0.25">
      <c r="A158" s="663"/>
      <c r="B158" s="711"/>
      <c r="C158" s="71"/>
      <c r="D158" s="71"/>
      <c r="E158" s="72"/>
      <c r="F158" s="73"/>
      <c r="G158" s="71"/>
      <c r="H158" s="72"/>
      <c r="I158" s="74"/>
      <c r="J158" s="75"/>
      <c r="K158" s="71"/>
      <c r="L158" s="72"/>
    </row>
    <row r="159" spans="1:29" ht="11.25" hidden="1" customHeight="1" x14ac:dyDescent="0.25">
      <c r="A159" s="663"/>
      <c r="B159" s="711"/>
      <c r="C159" s="71"/>
      <c r="D159" s="71"/>
      <c r="E159" s="72"/>
      <c r="F159" s="73"/>
      <c r="G159" s="71"/>
      <c r="H159" s="72"/>
      <c r="I159" s="74"/>
      <c r="J159" s="75"/>
      <c r="K159" s="71"/>
      <c r="L159" s="72"/>
    </row>
    <row r="160" spans="1:29" ht="11.25" hidden="1" customHeight="1" x14ac:dyDescent="0.25">
      <c r="A160" s="663"/>
      <c r="B160" s="711"/>
      <c r="C160" s="71"/>
      <c r="D160" s="71"/>
      <c r="E160" s="72"/>
      <c r="F160" s="73"/>
      <c r="G160" s="71"/>
      <c r="H160" s="72"/>
      <c r="I160" s="74"/>
      <c r="J160" s="75"/>
      <c r="K160" s="71"/>
      <c r="L160" s="72"/>
    </row>
    <row r="161" spans="1:29" ht="11.25" hidden="1" customHeight="1" x14ac:dyDescent="0.25">
      <c r="A161" s="663"/>
      <c r="B161" s="711"/>
      <c r="C161" s="71"/>
      <c r="D161" s="71"/>
      <c r="E161" s="72"/>
      <c r="F161" s="73"/>
      <c r="G161" s="71"/>
      <c r="H161" s="72"/>
      <c r="I161" s="74"/>
      <c r="J161" s="75"/>
      <c r="K161" s="71"/>
      <c r="L161" s="72"/>
    </row>
    <row r="162" spans="1:29" ht="11.25" hidden="1" customHeight="1" x14ac:dyDescent="0.25">
      <c r="A162" s="663"/>
      <c r="B162" s="711"/>
      <c r="C162" s="71"/>
      <c r="D162" s="71"/>
      <c r="E162" s="72"/>
      <c r="F162" s="73"/>
      <c r="G162" s="71"/>
      <c r="H162" s="72"/>
      <c r="I162" s="74"/>
      <c r="J162" s="75"/>
      <c r="K162" s="71"/>
      <c r="L162" s="72"/>
    </row>
    <row r="163" spans="1:29" ht="11.25" hidden="1" customHeight="1" x14ac:dyDescent="0.25">
      <c r="A163" s="663"/>
      <c r="B163" s="711"/>
      <c r="C163" s="71"/>
      <c r="D163" s="71"/>
      <c r="E163" s="72"/>
      <c r="F163" s="73"/>
      <c r="G163" s="71"/>
      <c r="H163" s="72"/>
      <c r="I163" s="74"/>
      <c r="J163" s="75"/>
      <c r="K163" s="71"/>
      <c r="L163" s="72"/>
    </row>
    <row r="164" spans="1:29" ht="11.25" hidden="1" customHeight="1" x14ac:dyDescent="0.25">
      <c r="A164" s="663"/>
      <c r="B164" s="711"/>
      <c r="C164" s="71"/>
      <c r="D164" s="71"/>
      <c r="E164" s="72"/>
      <c r="F164" s="73"/>
      <c r="G164" s="71"/>
      <c r="H164" s="72"/>
      <c r="I164" s="74"/>
      <c r="J164" s="75"/>
      <c r="K164" s="71"/>
      <c r="L164" s="72"/>
    </row>
    <row r="165" spans="1:29" ht="11.25" hidden="1" customHeight="1" x14ac:dyDescent="0.25">
      <c r="A165" s="663"/>
      <c r="B165" s="711"/>
      <c r="C165" s="71"/>
      <c r="D165" s="71"/>
      <c r="E165" s="72"/>
      <c r="F165" s="73"/>
      <c r="G165" s="71"/>
      <c r="H165" s="72"/>
      <c r="I165" s="74"/>
      <c r="J165" s="75"/>
      <c r="K165" s="71"/>
      <c r="L165" s="72"/>
    </row>
    <row r="166" spans="1:29" ht="11.25" hidden="1" customHeight="1" x14ac:dyDescent="0.25">
      <c r="A166" s="663"/>
      <c r="B166" s="711"/>
      <c r="C166" s="71"/>
      <c r="D166" s="71"/>
      <c r="E166" s="72"/>
      <c r="F166" s="73"/>
      <c r="G166" s="71"/>
      <c r="H166" s="72"/>
      <c r="I166" s="74"/>
      <c r="J166" s="75"/>
      <c r="K166" s="71"/>
      <c r="L166" s="72"/>
    </row>
    <row r="167" spans="1:29" ht="11.25" hidden="1" customHeight="1" x14ac:dyDescent="0.25">
      <c r="A167" s="663"/>
      <c r="B167" s="711"/>
      <c r="C167" s="71"/>
      <c r="D167" s="71"/>
      <c r="E167" s="72"/>
      <c r="F167" s="73"/>
      <c r="G167" s="71"/>
      <c r="H167" s="72"/>
      <c r="I167" s="74"/>
      <c r="J167" s="75"/>
      <c r="K167" s="71"/>
      <c r="L167" s="72"/>
    </row>
    <row r="168" spans="1:29" ht="11.25" hidden="1" customHeight="1" x14ac:dyDescent="0.25">
      <c r="A168" s="136"/>
      <c r="B168" s="711"/>
      <c r="C168" s="71"/>
      <c r="D168" s="71"/>
      <c r="E168" s="72"/>
      <c r="F168" s="73"/>
      <c r="G168" s="71"/>
      <c r="H168" s="72"/>
      <c r="I168" s="74"/>
      <c r="J168" s="75"/>
      <c r="K168" s="71"/>
      <c r="L168" s="72"/>
    </row>
    <row r="169" spans="1:29" ht="11.25" hidden="1" customHeight="1" x14ac:dyDescent="0.25">
      <c r="A169" s="136"/>
      <c r="B169" s="711"/>
      <c r="C169" s="71"/>
      <c r="D169" s="71"/>
      <c r="E169" s="72"/>
      <c r="F169" s="73"/>
      <c r="G169" s="71"/>
      <c r="H169" s="72"/>
      <c r="I169" s="74"/>
      <c r="J169" s="75"/>
      <c r="K169" s="71"/>
      <c r="L169" s="72"/>
    </row>
    <row r="170" spans="1:29" ht="11.25" hidden="1" customHeight="1" x14ac:dyDescent="0.25">
      <c r="A170" s="136"/>
      <c r="B170" s="711"/>
      <c r="C170" s="71"/>
      <c r="D170" s="71"/>
      <c r="E170" s="72"/>
      <c r="F170" s="73"/>
      <c r="G170" s="71"/>
      <c r="H170" s="72"/>
      <c r="I170" s="74"/>
      <c r="J170" s="75"/>
      <c r="K170" s="71"/>
      <c r="L170" s="72"/>
      <c r="AC170" s="2315"/>
    </row>
    <row r="171" spans="1:29" ht="11.25" hidden="1" customHeight="1" x14ac:dyDescent="0.25">
      <c r="A171" s="136"/>
      <c r="B171" s="711"/>
      <c r="C171" s="71"/>
      <c r="D171" s="71"/>
      <c r="E171" s="72"/>
      <c r="F171" s="73"/>
      <c r="G171" s="71"/>
      <c r="H171" s="72"/>
      <c r="I171" s="74"/>
      <c r="J171" s="75"/>
      <c r="K171" s="71"/>
      <c r="L171" s="72"/>
      <c r="AC171" s="2315"/>
    </row>
    <row r="172" spans="1:29" ht="11.25" hidden="1" customHeight="1" x14ac:dyDescent="0.25">
      <c r="A172" s="136"/>
      <c r="B172" s="711"/>
      <c r="C172" s="71"/>
      <c r="D172" s="71"/>
      <c r="E172" s="72"/>
      <c r="F172" s="73"/>
      <c r="G172" s="71"/>
      <c r="H172" s="72"/>
      <c r="I172" s="74"/>
      <c r="J172" s="75"/>
      <c r="K172" s="71"/>
      <c r="L172" s="72"/>
      <c r="AC172" s="2315"/>
    </row>
    <row r="173" spans="1:29" ht="11.25" hidden="1" customHeight="1" x14ac:dyDescent="0.25">
      <c r="A173" s="136"/>
      <c r="B173" s="711"/>
      <c r="C173" s="71"/>
      <c r="D173" s="71"/>
      <c r="E173" s="72"/>
      <c r="F173" s="73"/>
      <c r="G173" s="71"/>
      <c r="H173" s="72"/>
      <c r="I173" s="74"/>
      <c r="J173" s="75"/>
      <c r="K173" s="71"/>
      <c r="L173" s="72"/>
      <c r="AC173" s="2315"/>
    </row>
    <row r="174" spans="1:29" ht="11.25" customHeight="1" x14ac:dyDescent="0.25">
      <c r="A174" s="943" t="s">
        <v>655</v>
      </c>
      <c r="B174" s="796">
        <v>1</v>
      </c>
      <c r="C174" s="185">
        <f>+C147+C148+C150+C153</f>
        <v>9524840</v>
      </c>
      <c r="D174" s="185">
        <f t="shared" ref="D174:L174" si="12">+D147+D148+D150+D153</f>
        <v>11232947</v>
      </c>
      <c r="E174" s="183">
        <f t="shared" si="12"/>
        <v>13712486</v>
      </c>
      <c r="F174" s="184">
        <f t="shared" si="12"/>
        <v>19371585</v>
      </c>
      <c r="G174" s="185">
        <f t="shared" si="12"/>
        <v>26865197</v>
      </c>
      <c r="H174" s="183">
        <f t="shared" si="12"/>
        <v>26865197</v>
      </c>
      <c r="I174" s="186">
        <f t="shared" si="12"/>
        <v>19174573</v>
      </c>
      <c r="J174" s="187">
        <f t="shared" si="12"/>
        <v>23454837</v>
      </c>
      <c r="K174" s="185">
        <f t="shared" si="12"/>
        <v>22366786</v>
      </c>
      <c r="L174" s="183">
        <f t="shared" si="12"/>
        <v>23239886</v>
      </c>
      <c r="AC174" s="2315"/>
    </row>
    <row r="175" spans="1:29" ht="11.25" customHeight="1" x14ac:dyDescent="0.25">
      <c r="A175" s="192"/>
      <c r="B175" s="189"/>
      <c r="C175" s="831"/>
      <c r="D175" s="831"/>
      <c r="E175" s="831"/>
      <c r="F175" s="831"/>
      <c r="G175" s="831"/>
      <c r="H175" s="831"/>
      <c r="I175" s="831"/>
      <c r="J175" s="743"/>
      <c r="K175" s="831"/>
      <c r="L175" s="831"/>
      <c r="AC175" s="2315"/>
    </row>
    <row r="176" spans="1:29" ht="11.25" customHeight="1" x14ac:dyDescent="0.25">
      <c r="A176" s="944" t="s">
        <v>1688</v>
      </c>
      <c r="B176" s="945">
        <v>8</v>
      </c>
      <c r="C176" s="946"/>
      <c r="D176" s="947"/>
      <c r="E176" s="948"/>
      <c r="F176" s="946"/>
      <c r="G176" s="947"/>
      <c r="H176" s="948"/>
      <c r="I176" s="949"/>
      <c r="J176" s="950"/>
      <c r="K176" s="947"/>
      <c r="L176" s="948"/>
      <c r="AC176" s="2315"/>
    </row>
    <row r="177" spans="1:29" x14ac:dyDescent="0.25">
      <c r="A177" s="164" t="s">
        <v>408</v>
      </c>
      <c r="B177" s="951"/>
      <c r="C177" s="714"/>
      <c r="D177" s="712"/>
      <c r="E177" s="713"/>
      <c r="F177" s="714"/>
      <c r="G177" s="712"/>
      <c r="H177" s="713"/>
      <c r="I177" s="718"/>
      <c r="J177" s="725"/>
      <c r="K177" s="725"/>
      <c r="L177" s="713"/>
      <c r="AC177" s="2350"/>
    </row>
    <row r="178" spans="1:29" ht="11.25" customHeight="1" x14ac:dyDescent="0.25">
      <c r="A178" s="136" t="s">
        <v>2587</v>
      </c>
      <c r="B178" s="951"/>
      <c r="C178" s="714"/>
      <c r="D178" s="714"/>
      <c r="E178" s="713"/>
      <c r="F178" s="714"/>
      <c r="G178" s="714"/>
      <c r="H178" s="714"/>
      <c r="I178" s="718"/>
      <c r="J178" s="725"/>
      <c r="K178" s="725"/>
      <c r="L178" s="713"/>
      <c r="AC178" s="2350"/>
    </row>
    <row r="179" spans="1:29" ht="11.25" customHeight="1" x14ac:dyDescent="0.25">
      <c r="A179" s="164" t="s">
        <v>1689</v>
      </c>
      <c r="B179" s="951"/>
      <c r="C179" s="714">
        <f>SA34c!C167</f>
        <v>3251722</v>
      </c>
      <c r="D179" s="714">
        <f>SA34c!D167</f>
        <v>4631400</v>
      </c>
      <c r="E179" s="713">
        <f>SA34c!E167</f>
        <v>8316075</v>
      </c>
      <c r="F179" s="714">
        <f>SA34c!F167</f>
        <v>16880000</v>
      </c>
      <c r="G179" s="714">
        <f>SA34c!G167</f>
        <v>30830520</v>
      </c>
      <c r="H179" s="714">
        <f>SA34c!H167</f>
        <v>30830520</v>
      </c>
      <c r="I179" s="718">
        <f>SA34c!AE167</f>
        <v>29678946</v>
      </c>
      <c r="J179" s="725">
        <f>SA34c!J167</f>
        <v>21800949</v>
      </c>
      <c r="K179" s="725">
        <f>SA34c!K167</f>
        <v>22855987</v>
      </c>
      <c r="L179" s="713">
        <f>SA34c!L16</f>
        <v>0</v>
      </c>
      <c r="AC179" s="2350"/>
    </row>
    <row r="180" spans="1:29" ht="11.25" customHeight="1" x14ac:dyDescent="0.25">
      <c r="A180" s="164" t="s">
        <v>1690</v>
      </c>
      <c r="B180" s="951"/>
      <c r="C180" s="952"/>
      <c r="D180" s="827"/>
      <c r="E180" s="713"/>
      <c r="F180" s="952"/>
      <c r="G180" s="827"/>
      <c r="H180" s="828"/>
      <c r="I180" s="953"/>
      <c r="J180" s="829"/>
      <c r="K180" s="725"/>
      <c r="L180" s="828"/>
      <c r="AC180" s="2350"/>
    </row>
    <row r="181" spans="1:29" ht="11.25" customHeight="1" x14ac:dyDescent="0.25">
      <c r="A181" s="816" t="s">
        <v>1066</v>
      </c>
      <c r="B181" s="954">
        <v>9</v>
      </c>
      <c r="C181" s="955">
        <f>SUM(C177:C180)</f>
        <v>3251722</v>
      </c>
      <c r="D181" s="199">
        <f t="shared" ref="D181:L181" si="13">SUM(D177:D180)</f>
        <v>4631400</v>
      </c>
      <c r="E181" s="956">
        <f t="shared" si="13"/>
        <v>8316075</v>
      </c>
      <c r="F181" s="955">
        <f t="shared" si="13"/>
        <v>16880000</v>
      </c>
      <c r="G181" s="199">
        <f t="shared" si="13"/>
        <v>30830520</v>
      </c>
      <c r="H181" s="956">
        <f t="shared" si="13"/>
        <v>30830520</v>
      </c>
      <c r="I181" s="201">
        <f t="shared" si="13"/>
        <v>29678946</v>
      </c>
      <c r="J181" s="203">
        <f t="shared" si="13"/>
        <v>21800949</v>
      </c>
      <c r="K181" s="199">
        <f t="shared" si="13"/>
        <v>22855987</v>
      </c>
      <c r="L181" s="956">
        <f t="shared" si="13"/>
        <v>0</v>
      </c>
      <c r="AC181" s="2350"/>
    </row>
    <row r="182" spans="1:29" ht="11.25" customHeight="1" x14ac:dyDescent="0.25">
      <c r="A182" s="192"/>
      <c r="B182" s="220"/>
      <c r="C182" s="180"/>
      <c r="D182" s="180"/>
      <c r="E182" s="180"/>
      <c r="F182" s="180"/>
      <c r="G182" s="180"/>
      <c r="H182" s="180"/>
      <c r="I182" s="180"/>
      <c r="J182" s="180"/>
      <c r="K182" s="180"/>
      <c r="L182" s="180"/>
      <c r="AC182" s="2350"/>
    </row>
    <row r="183" spans="1:29" s="312" customFormat="1" ht="13.5" x14ac:dyDescent="0.25">
      <c r="A183" s="957" t="s">
        <v>2588</v>
      </c>
      <c r="B183" s="958"/>
      <c r="C183" s="959"/>
      <c r="D183" s="960"/>
      <c r="E183" s="961"/>
      <c r="F183" s="959"/>
      <c r="G183" s="960"/>
      <c r="H183" s="961"/>
      <c r="I183" s="962"/>
      <c r="J183" s="963"/>
      <c r="K183" s="960"/>
      <c r="L183" s="961"/>
      <c r="AC183" s="2350"/>
    </row>
    <row r="184" spans="1:29" s="312" customFormat="1" ht="13.5" x14ac:dyDescent="0.25">
      <c r="A184" s="136" t="s">
        <v>2589</v>
      </c>
      <c r="B184" s="964"/>
      <c r="C184" s="656">
        <f>-'SA3'!C29</f>
        <v>0</v>
      </c>
      <c r="D184" s="71">
        <f>-'SA3'!D29</f>
        <v>0</v>
      </c>
      <c r="E184" s="117">
        <f>-'SA3'!E29</f>
        <v>0</v>
      </c>
      <c r="F184" s="656">
        <f>-'SA3'!F29</f>
        <v>0</v>
      </c>
      <c r="G184" s="71">
        <f>ABS('SA3'!G29)</f>
        <v>0</v>
      </c>
      <c r="H184" s="117">
        <f>-'SA3'!H29</f>
        <v>0</v>
      </c>
      <c r="I184" s="73">
        <f>-'SA3'!I29</f>
        <v>0</v>
      </c>
      <c r="J184" s="75">
        <f>ABS('SA3'!J29)</f>
        <v>0</v>
      </c>
      <c r="K184" s="71">
        <f>-'SA3'!K29</f>
        <v>0</v>
      </c>
      <c r="L184" s="117">
        <f>-'SA3'!L29</f>
        <v>0</v>
      </c>
      <c r="AC184" s="2349"/>
    </row>
    <row r="185" spans="1:29" s="312" customFormat="1" ht="13.5" x14ac:dyDescent="0.25">
      <c r="A185" s="136" t="s">
        <v>2590</v>
      </c>
      <c r="B185" s="964"/>
      <c r="C185" s="656">
        <f>-'SA3'!C58-'SA3'!C67-'SA3'!C74-'SA3'!C82-'SA3'!C90</f>
        <v>0</v>
      </c>
      <c r="D185" s="71">
        <f>-'SA3'!D58-'SA3'!D67-'SA3'!D74-'SA3'!D82-'SA3'!D90</f>
        <v>0</v>
      </c>
      <c r="E185" s="117">
        <f>-'SA3'!E58-'SA3'!E67-'SA3'!E74-'SA3'!E82-'SA3'!E90</f>
        <v>0</v>
      </c>
      <c r="F185" s="656">
        <f>-'SA3'!F58-'SA3'!F67-'SA3'!F74-'SA3'!F82-'SA3'!F90</f>
        <v>0</v>
      </c>
      <c r="G185" s="71">
        <f>-'SA3'!G58-'SA3'!G67-'SA3'!G74-'SA3'!G82-'SA3'!G90</f>
        <v>6458500</v>
      </c>
      <c r="H185" s="117">
        <f>-'SA3'!H58-'SA3'!H67-'SA3'!H74-'SA3'!H82-'SA3'!H90</f>
        <v>6458500</v>
      </c>
      <c r="I185" s="73">
        <f>-'SA3'!I58-'SA3'!I67-'SA3'!I74-'SA3'!I82-'SA3'!I90</f>
        <v>-81</v>
      </c>
      <c r="J185" s="75">
        <f>-'SA3'!J58-'SA3'!J67-'SA3'!J74-'SA3'!J82-'SA3'!J90</f>
        <v>6051040</v>
      </c>
      <c r="K185" s="71">
        <f>-'SA3'!K58-'SA3'!K67-'SA3'!K74-'SA3'!K82-'SA3'!K90</f>
        <v>6308082</v>
      </c>
      <c r="L185" s="117">
        <f>-'SA3'!L58-'SA3'!L67-'SA3'!L74-'SA3'!L82-'SA3'!L90</f>
        <v>6582377</v>
      </c>
      <c r="AC185" s="2315"/>
    </row>
    <row r="186" spans="1:29" s="312" customFormat="1" ht="13.5" x14ac:dyDescent="0.25">
      <c r="A186" s="943" t="s">
        <v>2591</v>
      </c>
      <c r="B186" s="965"/>
      <c r="C186" s="676">
        <f t="shared" ref="C186:L186" si="14">SUM(C184:C185)</f>
        <v>0</v>
      </c>
      <c r="D186" s="677">
        <f t="shared" si="14"/>
        <v>0</v>
      </c>
      <c r="E186" s="678">
        <f t="shared" si="14"/>
        <v>0</v>
      </c>
      <c r="F186" s="676">
        <f t="shared" si="14"/>
        <v>0</v>
      </c>
      <c r="G186" s="677">
        <f t="shared" si="14"/>
        <v>6458500</v>
      </c>
      <c r="H186" s="678">
        <f t="shared" si="14"/>
        <v>6458500</v>
      </c>
      <c r="I186" s="679">
        <f t="shared" si="14"/>
        <v>-81</v>
      </c>
      <c r="J186" s="548">
        <f t="shared" si="14"/>
        <v>6051040</v>
      </c>
      <c r="K186" s="677">
        <f t="shared" si="14"/>
        <v>6308082</v>
      </c>
      <c r="L186" s="678">
        <f t="shared" si="14"/>
        <v>6582377</v>
      </c>
      <c r="AC186" s="2312"/>
    </row>
    <row r="187" spans="1:29" ht="11.25" customHeight="1" x14ac:dyDescent="0.25">
      <c r="A187" s="192"/>
      <c r="B187" s="220"/>
      <c r="C187" s="180"/>
      <c r="D187" s="180"/>
      <c r="E187" s="180"/>
      <c r="F187" s="180"/>
      <c r="G187" s="180"/>
      <c r="H187" s="180"/>
      <c r="I187" s="180"/>
      <c r="J187" s="180"/>
      <c r="K187" s="180"/>
      <c r="L187" s="180"/>
    </row>
    <row r="188" spans="1:29" ht="12.75" customHeight="1" x14ac:dyDescent="0.25">
      <c r="A188" s="784" t="s">
        <v>1330</v>
      </c>
      <c r="B188" s="58"/>
      <c r="C188" s="180">
        <f>C181-SA34c!C167</f>
        <v>0</v>
      </c>
      <c r="D188" s="180">
        <f>D181-SA34c!D167</f>
        <v>0</v>
      </c>
      <c r="E188" s="180">
        <f>E181-SA34c!E167</f>
        <v>0</v>
      </c>
      <c r="F188" s="180">
        <f>F181-SA34c!F167</f>
        <v>0</v>
      </c>
      <c r="G188" s="180">
        <f>G181-SA34c!G167</f>
        <v>0</v>
      </c>
      <c r="H188" s="180">
        <f>H181-SA34c!H167</f>
        <v>0</v>
      </c>
      <c r="I188" s="180"/>
      <c r="J188" s="180">
        <f>J181-SA34c!I167</f>
        <v>-6417271</v>
      </c>
      <c r="K188" s="180">
        <f>K181-SA34c!J167</f>
        <v>1055038</v>
      </c>
      <c r="L188" s="180">
        <f>L181-SA34c!K167</f>
        <v>-22855987</v>
      </c>
    </row>
    <row r="189" spans="1:29" ht="15" customHeight="1" x14ac:dyDescent="0.25">
      <c r="A189" s="188" t="str">
        <f>head27a</f>
        <v>References</v>
      </c>
      <c r="B189" s="189"/>
    </row>
    <row r="190" spans="1:29" ht="12" customHeight="1" x14ac:dyDescent="0.25">
      <c r="A190" s="151" t="s">
        <v>656</v>
      </c>
      <c r="B190" s="189"/>
      <c r="C190" s="192"/>
      <c r="D190" s="192"/>
      <c r="E190" s="193"/>
      <c r="F190" s="193"/>
      <c r="G190" s="193"/>
      <c r="H190" s="193"/>
      <c r="I190" s="193"/>
      <c r="J190" s="193"/>
      <c r="K190" s="193"/>
      <c r="L190" s="193"/>
    </row>
    <row r="191" spans="1:29" x14ac:dyDescent="0.25">
      <c r="A191" s="151" t="s">
        <v>927</v>
      </c>
      <c r="B191" s="189"/>
      <c r="C191" s="192"/>
      <c r="D191" s="192"/>
      <c r="E191" s="193"/>
      <c r="F191" s="193"/>
      <c r="G191" s="193"/>
      <c r="H191" s="193"/>
      <c r="I191" s="193"/>
      <c r="J191" s="193"/>
      <c r="K191" s="193"/>
      <c r="L191" s="193"/>
    </row>
    <row r="192" spans="1:29" x14ac:dyDescent="0.25">
      <c r="A192" s="151"/>
      <c r="B192" s="189"/>
      <c r="C192" s="192"/>
      <c r="D192" s="192"/>
      <c r="E192" s="193"/>
      <c r="F192" s="193"/>
      <c r="G192" s="193"/>
      <c r="H192" s="193"/>
      <c r="I192" s="193"/>
      <c r="J192" s="193"/>
      <c r="K192" s="193"/>
      <c r="L192" s="193"/>
    </row>
    <row r="193" spans="1:12" ht="11.25" customHeight="1" x14ac:dyDescent="0.25">
      <c r="A193" s="151" t="s">
        <v>657</v>
      </c>
      <c r="B193" s="189"/>
      <c r="C193" s="192"/>
      <c r="D193" s="192"/>
      <c r="E193" s="193"/>
      <c r="F193" s="193"/>
      <c r="G193" s="193"/>
      <c r="H193" s="193"/>
      <c r="I193" s="193"/>
      <c r="J193" s="193"/>
      <c r="K193" s="193"/>
      <c r="L193" s="193"/>
    </row>
    <row r="194" spans="1:12" ht="11.25" customHeight="1" x14ac:dyDescent="0.25">
      <c r="A194" s="151" t="s">
        <v>1117</v>
      </c>
      <c r="B194" s="189"/>
      <c r="C194" s="192"/>
      <c r="D194" s="192"/>
      <c r="E194" s="193"/>
      <c r="F194" s="193"/>
      <c r="G194" s="193"/>
      <c r="H194" s="193"/>
      <c r="I194" s="193"/>
      <c r="J194" s="193"/>
      <c r="K194" s="193"/>
      <c r="L194" s="193"/>
    </row>
    <row r="195" spans="1:12" ht="11.25" customHeight="1" x14ac:dyDescent="0.25">
      <c r="A195" s="151" t="s">
        <v>1469</v>
      </c>
      <c r="B195" s="189"/>
      <c r="C195" s="192"/>
      <c r="D195" s="192"/>
      <c r="E195" s="193"/>
      <c r="F195" s="193"/>
      <c r="G195" s="193"/>
      <c r="H195" s="193"/>
      <c r="I195" s="193"/>
      <c r="J195" s="193"/>
      <c r="K195" s="193"/>
      <c r="L195" s="193"/>
    </row>
    <row r="196" spans="1:12" ht="11.25" customHeight="1" x14ac:dyDescent="0.25">
      <c r="A196" s="151" t="s">
        <v>103</v>
      </c>
      <c r="B196" s="189"/>
      <c r="C196" s="192"/>
      <c r="D196" s="192"/>
      <c r="E196" s="193"/>
      <c r="F196" s="193"/>
      <c r="G196" s="193"/>
      <c r="H196" s="193"/>
      <c r="I196" s="193"/>
      <c r="J196" s="193"/>
      <c r="K196" s="193"/>
      <c r="L196" s="193"/>
    </row>
    <row r="197" spans="1:12" ht="11.25" customHeight="1" x14ac:dyDescent="0.25">
      <c r="A197" s="782" t="s">
        <v>1693</v>
      </c>
    </row>
    <row r="198" spans="1:12" ht="11.25" customHeight="1" x14ac:dyDescent="0.25">
      <c r="A198" s="58" t="s">
        <v>1694</v>
      </c>
    </row>
    <row r="199" spans="1:12" ht="11.25" customHeight="1" x14ac:dyDescent="0.25">
      <c r="A199" s="58" t="s">
        <v>1942</v>
      </c>
      <c r="B199" s="58"/>
    </row>
    <row r="200" spans="1:12" ht="11.25" customHeight="1" x14ac:dyDescent="0.25">
      <c r="B200" s="58"/>
    </row>
    <row r="201" spans="1:12" ht="11.25" customHeight="1" x14ac:dyDescent="0.25">
      <c r="B201" s="58"/>
    </row>
    <row r="202" spans="1:12" ht="11.25" customHeight="1" x14ac:dyDescent="0.25">
      <c r="B202" s="58"/>
    </row>
    <row r="203" spans="1:12" ht="11.25" customHeight="1" x14ac:dyDescent="0.25">
      <c r="B203" s="58"/>
    </row>
    <row r="204" spans="1:12" ht="11.25" customHeight="1" x14ac:dyDescent="0.25">
      <c r="B204" s="58"/>
    </row>
    <row r="205" spans="1:12" ht="11.25" customHeight="1" x14ac:dyDescent="0.25">
      <c r="B205" s="58"/>
    </row>
    <row r="206" spans="1:12" ht="11.25" customHeight="1" x14ac:dyDescent="0.25">
      <c r="B206" s="58"/>
    </row>
    <row r="207" spans="1:12" ht="11.25" customHeight="1" x14ac:dyDescent="0.25">
      <c r="B207" s="58"/>
    </row>
    <row r="208" spans="1:12" ht="11.25" customHeight="1" x14ac:dyDescent="0.25">
      <c r="B208" s="58"/>
    </row>
    <row r="209" spans="2:2" ht="11.25" customHeight="1" x14ac:dyDescent="0.25">
      <c r="B209" s="58"/>
    </row>
    <row r="210" spans="2:2" ht="11.25" customHeight="1" x14ac:dyDescent="0.25">
      <c r="B210" s="58"/>
    </row>
    <row r="211" spans="2:2" ht="11.25" customHeight="1" x14ac:dyDescent="0.25">
      <c r="B211" s="58"/>
    </row>
    <row r="212" spans="2:2" ht="11.25" customHeight="1" x14ac:dyDescent="0.25">
      <c r="B212" s="58"/>
    </row>
    <row r="213" spans="2:2" ht="11.25" customHeight="1" x14ac:dyDescent="0.25">
      <c r="B213" s="58"/>
    </row>
    <row r="214" spans="2:2" ht="11.25" customHeight="1" x14ac:dyDescent="0.25">
      <c r="B214" s="58"/>
    </row>
    <row r="215" spans="2:2" ht="11.25" customHeight="1" x14ac:dyDescent="0.25">
      <c r="B215" s="58"/>
    </row>
    <row r="216" spans="2:2" ht="11.25" customHeight="1" x14ac:dyDescent="0.25">
      <c r="B216" s="58"/>
    </row>
    <row r="217" spans="2:2" ht="11.25" customHeight="1" x14ac:dyDescent="0.25">
      <c r="B217" s="58"/>
    </row>
    <row r="218" spans="2:2" ht="11.25" customHeight="1" x14ac:dyDescent="0.25">
      <c r="B218" s="58"/>
    </row>
    <row r="219" spans="2:2" ht="11.25" customHeight="1" x14ac:dyDescent="0.25">
      <c r="B219" s="58"/>
    </row>
    <row r="220" spans="2:2" ht="11.25" customHeight="1" x14ac:dyDescent="0.25">
      <c r="B220" s="58"/>
    </row>
    <row r="221" spans="2:2" ht="11.25" customHeight="1" x14ac:dyDescent="0.25">
      <c r="B221" s="58"/>
    </row>
    <row r="222" spans="2:2" ht="11.25" customHeight="1" x14ac:dyDescent="0.25">
      <c r="B222" s="58"/>
    </row>
    <row r="223" spans="2:2" ht="11.25" customHeight="1" x14ac:dyDescent="0.25">
      <c r="B223" s="58"/>
    </row>
    <row r="224" spans="2:2" ht="11.25" customHeight="1" x14ac:dyDescent="0.25">
      <c r="B224" s="58"/>
    </row>
    <row r="225" spans="2:2" ht="11.25" customHeight="1" x14ac:dyDescent="0.25">
      <c r="B225" s="58"/>
    </row>
    <row r="226" spans="2:2" ht="11.25" customHeight="1" x14ac:dyDescent="0.25">
      <c r="B226" s="58"/>
    </row>
    <row r="227" spans="2:2" ht="11.25" customHeight="1" x14ac:dyDescent="0.25">
      <c r="B227" s="58"/>
    </row>
    <row r="228" spans="2:2" ht="11.25" customHeight="1" x14ac:dyDescent="0.25">
      <c r="B228" s="58"/>
    </row>
    <row r="229" spans="2:2" ht="11.25" customHeight="1" x14ac:dyDescent="0.25">
      <c r="B229" s="58"/>
    </row>
    <row r="230" spans="2:2" ht="11.25" customHeight="1" x14ac:dyDescent="0.25">
      <c r="B230" s="58"/>
    </row>
    <row r="231" spans="2:2" ht="11.25" customHeight="1" x14ac:dyDescent="0.25">
      <c r="B231" s="58"/>
    </row>
    <row r="232" spans="2:2" ht="11.25" customHeight="1" x14ac:dyDescent="0.25">
      <c r="B232" s="58"/>
    </row>
    <row r="233" spans="2:2" ht="11.25" customHeight="1" x14ac:dyDescent="0.25">
      <c r="B233" s="58"/>
    </row>
    <row r="234" spans="2:2" ht="11.25" customHeight="1" x14ac:dyDescent="0.25">
      <c r="B234" s="58"/>
    </row>
    <row r="235" spans="2:2" ht="11.25" customHeight="1" x14ac:dyDescent="0.25">
      <c r="B235" s="58"/>
    </row>
    <row r="236" spans="2:2" ht="11.25" customHeight="1" x14ac:dyDescent="0.25">
      <c r="B236" s="58"/>
    </row>
    <row r="237" spans="2:2" ht="11.25" customHeight="1" x14ac:dyDescent="0.25">
      <c r="B237" s="58"/>
    </row>
    <row r="238" spans="2:2" ht="11.25" customHeight="1" x14ac:dyDescent="0.25">
      <c r="B238" s="58"/>
    </row>
    <row r="239" spans="2:2" ht="11.25" customHeight="1" x14ac:dyDescent="0.25">
      <c r="B239" s="58"/>
    </row>
    <row r="240" spans="2:2" ht="11.25" customHeight="1" x14ac:dyDescent="0.25">
      <c r="B240" s="58"/>
    </row>
    <row r="241" spans="2:2" ht="11.25" customHeight="1" x14ac:dyDescent="0.25">
      <c r="B241" s="58"/>
    </row>
    <row r="242" spans="2:2" ht="11.25" customHeight="1" x14ac:dyDescent="0.25">
      <c r="B242" s="58"/>
    </row>
    <row r="243" spans="2:2" ht="11.25" customHeight="1" x14ac:dyDescent="0.25">
      <c r="B243" s="58"/>
    </row>
    <row r="244" spans="2:2" ht="11.25" customHeight="1" x14ac:dyDescent="0.25">
      <c r="B244" s="58"/>
    </row>
    <row r="245" spans="2:2" ht="11.25" customHeight="1" x14ac:dyDescent="0.25">
      <c r="B245" s="58"/>
    </row>
    <row r="246" spans="2:2" ht="11.25" customHeight="1" x14ac:dyDescent="0.25">
      <c r="B246" s="58"/>
    </row>
    <row r="247" spans="2:2" ht="11.25" customHeight="1" x14ac:dyDescent="0.25">
      <c r="B247" s="58"/>
    </row>
    <row r="248" spans="2:2" ht="11.25" customHeight="1" x14ac:dyDescent="0.25">
      <c r="B248" s="58"/>
    </row>
    <row r="249" spans="2:2" ht="11.25" customHeight="1" x14ac:dyDescent="0.25">
      <c r="B249" s="58"/>
    </row>
    <row r="250" spans="2:2" ht="11.25" customHeight="1" x14ac:dyDescent="0.25">
      <c r="B250" s="58"/>
    </row>
    <row r="251" spans="2:2" ht="11.25" customHeight="1" x14ac:dyDescent="0.25">
      <c r="B251" s="58"/>
    </row>
    <row r="252" spans="2:2" ht="11.25" customHeight="1" x14ac:dyDescent="0.25">
      <c r="B252" s="58"/>
    </row>
    <row r="253" spans="2:2" ht="11.25" customHeight="1" x14ac:dyDescent="0.25">
      <c r="B253" s="58"/>
    </row>
    <row r="254" spans="2:2" x14ac:dyDescent="0.25">
      <c r="B254" s="58"/>
    </row>
    <row r="255" spans="2:2" x14ac:dyDescent="0.25">
      <c r="B255" s="58"/>
    </row>
    <row r="256" spans="2:2" x14ac:dyDescent="0.25">
      <c r="B256" s="58"/>
    </row>
    <row r="257" spans="2:2" x14ac:dyDescent="0.25">
      <c r="B257" s="58"/>
    </row>
    <row r="258" spans="2:2" x14ac:dyDescent="0.25">
      <c r="B258" s="58"/>
    </row>
    <row r="259" spans="2:2" x14ac:dyDescent="0.25">
      <c r="B259" s="58"/>
    </row>
    <row r="260" spans="2:2" x14ac:dyDescent="0.25">
      <c r="B260" s="58"/>
    </row>
    <row r="261" spans="2:2" x14ac:dyDescent="0.25">
      <c r="B261" s="58"/>
    </row>
    <row r="262" spans="2:2" x14ac:dyDescent="0.25">
      <c r="B262" s="58"/>
    </row>
    <row r="263" spans="2:2" x14ac:dyDescent="0.25">
      <c r="B263" s="58"/>
    </row>
    <row r="264" spans="2:2" x14ac:dyDescent="0.25">
      <c r="B264" s="58"/>
    </row>
    <row r="265" spans="2:2" x14ac:dyDescent="0.25">
      <c r="B265" s="58"/>
    </row>
    <row r="266" spans="2:2" x14ac:dyDescent="0.25">
      <c r="B266" s="58"/>
    </row>
    <row r="267" spans="2:2" x14ac:dyDescent="0.25">
      <c r="B267" s="58"/>
    </row>
    <row r="268" spans="2:2" x14ac:dyDescent="0.25">
      <c r="B268" s="58"/>
    </row>
    <row r="269" spans="2:2" x14ac:dyDescent="0.25">
      <c r="B269" s="58"/>
    </row>
    <row r="270" spans="2:2" x14ac:dyDescent="0.25">
      <c r="B270" s="58"/>
    </row>
    <row r="271" spans="2:2" x14ac:dyDescent="0.25">
      <c r="B271" s="58"/>
    </row>
    <row r="272" spans="2:2" x14ac:dyDescent="0.25">
      <c r="B272" s="58"/>
    </row>
    <row r="273" spans="2:2" x14ac:dyDescent="0.25">
      <c r="B273" s="58"/>
    </row>
    <row r="274" spans="2:2" x14ac:dyDescent="0.25">
      <c r="B274" s="58"/>
    </row>
    <row r="275" spans="2:2" x14ac:dyDescent="0.25">
      <c r="B275" s="58"/>
    </row>
    <row r="276" spans="2:2" x14ac:dyDescent="0.25">
      <c r="B276" s="58"/>
    </row>
    <row r="277" spans="2:2" x14ac:dyDescent="0.25">
      <c r="B277" s="58"/>
    </row>
    <row r="278" spans="2:2" x14ac:dyDescent="0.25">
      <c r="B278" s="58"/>
    </row>
    <row r="279" spans="2:2" x14ac:dyDescent="0.25">
      <c r="B279" s="58"/>
    </row>
    <row r="280" spans="2:2" x14ac:dyDescent="0.25">
      <c r="B280" s="58"/>
    </row>
    <row r="281" spans="2:2" x14ac:dyDescent="0.25">
      <c r="B281" s="58"/>
    </row>
    <row r="282" spans="2:2" x14ac:dyDescent="0.25">
      <c r="B282" s="58"/>
    </row>
    <row r="283" spans="2:2" x14ac:dyDescent="0.25">
      <c r="B283" s="58"/>
    </row>
    <row r="284" spans="2:2" x14ac:dyDescent="0.25">
      <c r="B284" s="58"/>
    </row>
    <row r="285" spans="2:2" x14ac:dyDescent="0.25">
      <c r="B285" s="58"/>
    </row>
    <row r="286" spans="2:2" x14ac:dyDescent="0.25">
      <c r="B286" s="58"/>
    </row>
    <row r="287" spans="2:2" x14ac:dyDescent="0.25">
      <c r="B287" s="58"/>
    </row>
    <row r="288" spans="2:2" x14ac:dyDescent="0.25">
      <c r="B288" s="58"/>
    </row>
    <row r="289" spans="2:2" x14ac:dyDescent="0.25">
      <c r="B289" s="58"/>
    </row>
    <row r="290" spans="2:2" x14ac:dyDescent="0.25">
      <c r="B290" s="58"/>
    </row>
    <row r="291" spans="2:2" x14ac:dyDescent="0.25">
      <c r="B291" s="58"/>
    </row>
    <row r="292" spans="2:2" x14ac:dyDescent="0.25">
      <c r="B292" s="58"/>
    </row>
    <row r="293" spans="2:2" x14ac:dyDescent="0.25">
      <c r="B293" s="58"/>
    </row>
    <row r="294" spans="2:2" x14ac:dyDescent="0.25">
      <c r="B294" s="58"/>
    </row>
    <row r="295" spans="2:2" x14ac:dyDescent="0.25">
      <c r="B295" s="58"/>
    </row>
    <row r="296" spans="2:2" x14ac:dyDescent="0.25">
      <c r="B296" s="58"/>
    </row>
    <row r="297" spans="2:2" x14ac:dyDescent="0.25">
      <c r="B297" s="58"/>
    </row>
    <row r="298" spans="2:2" x14ac:dyDescent="0.25">
      <c r="B298" s="58"/>
    </row>
    <row r="299" spans="2:2" x14ac:dyDescent="0.25">
      <c r="B299" s="58"/>
    </row>
  </sheetData>
  <sheetProtection algorithmName="SHA-512" hashValue="XHDYdykfJ89Hw4C8zoYhFo5ac6OrNtaR29VNvKQAoTSAK1tu4Um0Tv7eo4DfTJvWxvQb4S3lOaQs+mt1U8XRpQ==" saltValue="9XhJrGjXzt9BwMjdblWPhw==" spinCount="100000" sheet="1" objects="1" scenarios="1"/>
  <mergeCells count="4">
    <mergeCell ref="J2:L2"/>
    <mergeCell ref="F2:I2"/>
    <mergeCell ref="A2:A3"/>
    <mergeCell ref="B2:B3"/>
  </mergeCells>
  <phoneticPr fontId="7" type="noConversion"/>
  <dataValidations count="1">
    <dataValidation type="decimal" allowBlank="1" showInputMessage="1" showErrorMessage="1" sqref="C108:L109 C18:L20 C83:L83 C24:L26 C7:L8 C30:L33 C12:L15 C87:L92 C96:L99 C113:L137 C37:L65 C140:L143 C70:L81 C103:L104 C147:L173 C177:L180" xr:uid="{00000000-0002-0000-1400-000000000000}">
      <formula1>-999999999999999</formula1>
      <formula2>99999999999999</formula2>
    </dataValidation>
  </dataValidations>
  <printOptions horizontalCentered="1"/>
  <pageMargins left="0" right="0" top="0.78740157480314965" bottom="0.59055118110236227" header="0.51181102362204722" footer="0.39370078740157483"/>
  <pageSetup paperSize="9" scale="65" fitToHeight="2" orientation="portrait" r:id="rId1"/>
  <headerFooter alignWithMargins="0"/>
  <rowBreaks count="1" manualBreakCount="1">
    <brk id="94" max="11" man="1"/>
  </rowBreaks>
  <ignoredErrors>
    <ignoredError sqref="C33:H33" unlockedFormula="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1">
    <pageSetUpPr fitToPage="1"/>
  </sheetPr>
  <dimension ref="A1:AD102"/>
  <sheetViews>
    <sheetView showGridLines="0" zoomScale="110" zoomScaleNormal="110" workbookViewId="0">
      <pane xSplit="2" ySplit="3" topLeftCell="M21" activePane="bottomRight" state="frozen"/>
      <selection pane="topRight"/>
      <selection pane="bottomLeft"/>
      <selection pane="bottomRight" activeCell="A21" sqref="A21"/>
    </sheetView>
  </sheetViews>
  <sheetFormatPr defaultColWidth="9.140625" defaultRowHeight="12.75" x14ac:dyDescent="0.25"/>
  <cols>
    <col min="1" max="1" width="30.7109375" style="58" customWidth="1"/>
    <col min="2" max="2" width="3" style="55" customWidth="1"/>
    <col min="3" max="18" width="9.28515625" style="58" customWidth="1"/>
    <col min="19" max="20" width="9.140625" style="58" customWidth="1"/>
    <col min="21" max="21" width="9.7109375" style="58" customWidth="1"/>
    <col min="22" max="22" width="9.42578125" style="58" customWidth="1"/>
    <col min="23" max="23" width="9.7109375" style="58" customWidth="1"/>
    <col min="24" max="26" width="9.42578125" style="58" customWidth="1"/>
    <col min="27" max="27" width="9.7109375" style="58" customWidth="1"/>
    <col min="28" max="30" width="9.42578125" style="2312" customWidth="1"/>
    <col min="31" max="32" width="9.7109375" style="58" customWidth="1"/>
    <col min="33" max="16384" width="9.140625" style="58"/>
  </cols>
  <sheetData>
    <row r="1" spans="1:30" s="93" customFormat="1" x14ac:dyDescent="0.2">
      <c r="A1" s="92" t="str">
        <f>muni&amp;" - "&amp;TableA2</f>
        <v>KZN226 Mkhambathini - Supporting Table SA2 Matrix Financial Performance Budget (revenue source/expenditure type and dept.)</v>
      </c>
      <c r="B1" s="92"/>
      <c r="C1" s="92"/>
      <c r="D1" s="92"/>
      <c r="E1" s="92"/>
      <c r="F1" s="92"/>
      <c r="G1" s="92"/>
      <c r="H1" s="92"/>
      <c r="I1" s="92"/>
      <c r="J1" s="92"/>
      <c r="K1" s="92"/>
      <c r="L1" s="92"/>
      <c r="M1" s="92"/>
      <c r="N1" s="92"/>
      <c r="O1" s="92"/>
      <c r="P1" s="92"/>
      <c r="Q1" s="92"/>
      <c r="R1" s="92"/>
      <c r="AB1" s="2313"/>
      <c r="AC1" s="2351"/>
      <c r="AD1" s="2351"/>
    </row>
    <row r="2" spans="1:30" s="322" customFormat="1" ht="43.5" customHeight="1" x14ac:dyDescent="0.25">
      <c r="A2" s="687" t="str">
        <f>desc</f>
        <v>Description</v>
      </c>
      <c r="B2" s="155" t="str">
        <f>head27</f>
        <v>Ref</v>
      </c>
      <c r="C2" s="2474" t="str">
        <f>'A3-FinPerf V'!A5</f>
        <v>Vote 1 - Finance and Administration</v>
      </c>
      <c r="D2" s="2474" t="str">
        <f>'A3-FinPerf V'!A6</f>
        <v>Vote 2 - Finance and Administration2</v>
      </c>
      <c r="E2" s="2474" t="str">
        <f>'A3-FinPerf V'!A7</f>
        <v>Vote 3 - Executive and Council</v>
      </c>
      <c r="F2" s="2474" t="str">
        <f>'A3-FinPerf V'!A8</f>
        <v>Vote 4 - Community and Social Services</v>
      </c>
      <c r="G2" s="2474" t="str">
        <f>'A3-FinPerf V'!A9</f>
        <v>Vote 5 - Community and Social Services2</v>
      </c>
      <c r="H2" s="2474" t="str">
        <f>'A3-FinPerf V'!A10</f>
        <v>Vote 6 - Energy Sources</v>
      </c>
      <c r="I2" s="2474" t="str">
        <f>'A3-FinPerf V'!A11</f>
        <v>Vote 7 - Road Transport</v>
      </c>
      <c r="J2" s="2474" t="str">
        <f>'A3-FinPerf V'!A12</f>
        <v>Vote 8 - Planning and Development</v>
      </c>
      <c r="K2" s="2474" t="str">
        <f>'A3-FinPerf V'!A13</f>
        <v>Vote 9 - Sport and Recreation</v>
      </c>
      <c r="L2" s="2474" t="str">
        <f>'A3-FinPerf V'!A14</f>
        <v>Vote 10 - Public Safety</v>
      </c>
      <c r="M2" s="2474" t="str">
        <f>'A3-FinPerf V'!A15</f>
        <v>Vote 11 - Other</v>
      </c>
      <c r="N2" s="2474" t="str">
        <f>'A3-FinPerf V'!A16</f>
        <v>Vote 12 - Waste Management</v>
      </c>
      <c r="O2" s="2474" t="str">
        <f>'A3-FinPerf V'!A17</f>
        <v>Vote 13 - Housing</v>
      </c>
      <c r="P2" s="2474" t="str">
        <f>'A3-FinPerf V'!A18</f>
        <v>Vote 14 - Waste Water Management</v>
      </c>
      <c r="Q2" s="2474" t="str">
        <f>'A3-FinPerf V'!A19</f>
        <v>Vote 15 - Health</v>
      </c>
      <c r="R2" s="2476" t="s">
        <v>660</v>
      </c>
      <c r="S2" s="966"/>
      <c r="AB2" s="2394"/>
      <c r="AC2" s="2315"/>
      <c r="AD2" s="2315"/>
    </row>
    <row r="3" spans="1:30" ht="13.5" x14ac:dyDescent="0.25">
      <c r="A3" s="156" t="s">
        <v>568</v>
      </c>
      <c r="B3" s="701">
        <v>1</v>
      </c>
      <c r="C3" s="2475" t="s">
        <v>879</v>
      </c>
      <c r="D3" s="2475" t="s">
        <v>879</v>
      </c>
      <c r="E3" s="2475" t="s">
        <v>879</v>
      </c>
      <c r="F3" s="2475" t="s">
        <v>879</v>
      </c>
      <c r="G3" s="2475" t="s">
        <v>879</v>
      </c>
      <c r="H3" s="2475" t="s">
        <v>879</v>
      </c>
      <c r="I3" s="2475"/>
      <c r="J3" s="2475"/>
      <c r="K3" s="2475"/>
      <c r="L3" s="2475"/>
      <c r="M3" s="2475"/>
      <c r="N3" s="2475"/>
      <c r="O3" s="2475"/>
      <c r="P3" s="2475"/>
      <c r="Q3" s="2475" t="s">
        <v>879</v>
      </c>
      <c r="R3" s="2477" t="s">
        <v>879</v>
      </c>
      <c r="AC3" s="2315"/>
      <c r="AD3" s="2315"/>
    </row>
    <row r="4" spans="1:30" ht="11.25" customHeight="1" x14ac:dyDescent="0.25">
      <c r="A4" s="158" t="str">
        <f>'A4-FinPerf RE'!A4</f>
        <v>Revenue By Source</v>
      </c>
      <c r="B4" s="711"/>
      <c r="C4" s="81"/>
      <c r="D4" s="81"/>
      <c r="E4" s="81"/>
      <c r="F4" s="81"/>
      <c r="G4" s="81"/>
      <c r="H4" s="81"/>
      <c r="I4" s="81"/>
      <c r="J4" s="81"/>
      <c r="K4" s="81"/>
      <c r="L4" s="81"/>
      <c r="M4" s="81"/>
      <c r="N4" s="81"/>
      <c r="O4" s="81"/>
      <c r="P4" s="81"/>
      <c r="Q4" s="81"/>
      <c r="R4" s="761"/>
      <c r="AC4" s="2315"/>
      <c r="AD4" s="2315"/>
    </row>
    <row r="5" spans="1:30" ht="11.25" customHeight="1" x14ac:dyDescent="0.25">
      <c r="A5" s="136" t="str">
        <f>'A4-FinPerf RE'!A5</f>
        <v>Property rates</v>
      </c>
      <c r="B5" s="675"/>
      <c r="C5" s="712">
        <f>-SUMIFS(Sheet1!S71_ASBudgetAmount,Sheet1!S71_A4Code,$AC:$AC,Sheet1!S71_ItemType,$AD:$AD,Sheet1!S71_MasterVoteMunicipal,C$47)</f>
        <v>20553103</v>
      </c>
      <c r="D5" s="712">
        <f>-SUMIFS(Sheet1!S71_ASBudgetAmount,Sheet1!S71_A4Code,$AC:$AC,Sheet1!S71_ItemType,$AD:$AD,Sheet1!S71_MasterVoteMunicipal,D$47)</f>
        <v>0</v>
      </c>
      <c r="E5" s="712">
        <f>-SUMIFS(Sheet1!S71_ASBudgetAmount,Sheet1!S71_A4Code,$AC:$AC,Sheet1!S71_ItemType,$AD:$AD,Sheet1!S71_MasterVoteMunicipal,E$47)</f>
        <v>0</v>
      </c>
      <c r="F5" s="712">
        <f>-SUMIFS(Sheet1!S71_ASBudgetAmount,Sheet1!S71_A4Code,$AC:$AC,Sheet1!S71_ItemType,$AD:$AD,Sheet1!S71_MasterVoteMunicipal,F$47)</f>
        <v>0</v>
      </c>
      <c r="G5" s="712">
        <f>-SUMIFS(Sheet1!S71_ASBudgetAmount,Sheet1!S71_A4Code,$AC:$AC,Sheet1!S71_ItemType,$AD:$AD,Sheet1!S71_MasterVoteMunicipal,G$47)</f>
        <v>0</v>
      </c>
      <c r="H5" s="712">
        <f>-SUMIFS(Sheet1!S71_ASBudgetAmount,Sheet1!S71_A4Code,$AC:$AC,Sheet1!S71_ItemType,$AD:$AD,Sheet1!S71_MasterVoteMunicipal,H$47)</f>
        <v>0</v>
      </c>
      <c r="I5" s="712">
        <f>-SUMIFS(Sheet1!S71_ASBudgetAmount,Sheet1!S71_A4Code,$AC:$AC,Sheet1!S71_ItemType,$AD:$AD,Sheet1!S71_MasterVoteMunicipal,I$47)</f>
        <v>0</v>
      </c>
      <c r="J5" s="712">
        <f>-SUMIFS(Sheet1!S71_ASBudgetAmount,Sheet1!S71_A4Code,$AC:$AC,Sheet1!S71_ItemType,$AD:$AD,Sheet1!S71_MasterVoteMunicipal,J$47)</f>
        <v>0</v>
      </c>
      <c r="K5" s="712">
        <f>-SUMIFS(Sheet1!S71_ASBudgetAmount,Sheet1!S71_A4Code,$AC:$AC,Sheet1!S71_ItemType,$AD:$AD,Sheet1!S71_MasterVoteMunicipal,K$47)</f>
        <v>0</v>
      </c>
      <c r="L5" s="712">
        <f>-SUMIFS(Sheet1!S71_ASBudgetAmount,Sheet1!S71_A4Code,$AC:$AC,Sheet1!S71_ItemType,$AD:$AD,Sheet1!S71_MasterVoteMunicipal,L$47)</f>
        <v>0</v>
      </c>
      <c r="M5" s="712">
        <f>-SUMIFS(Sheet1!S71_ASBudgetAmount,Sheet1!S71_A4Code,$AC:$AC,Sheet1!S71_ItemType,$AD:$AD,Sheet1!S71_MasterVoteMunicipal,M$47)</f>
        <v>0</v>
      </c>
      <c r="N5" s="712">
        <f>-SUMIFS(Sheet1!S71_ASBudgetAmount,Sheet1!S71_A4Code,$AC:$AC,Sheet1!S71_ItemType,$AD:$AD,Sheet1!S71_MasterVoteMunicipal,N$47)</f>
        <v>0</v>
      </c>
      <c r="O5" s="712">
        <f>-SUMIFS(Sheet1!S71_ASBudgetAmount,Sheet1!S71_A4Code,$AC:$AC,Sheet1!S71_ItemType,$AD:$AD,Sheet1!S71_MasterVoteMunicipal,O$47)</f>
        <v>0</v>
      </c>
      <c r="P5" s="712">
        <f>-SUMIFS(Sheet1!S71_ASBudgetAmount,Sheet1!S71_A4Code,$AC:$AC,Sheet1!S71_ItemType,$AD:$AD,Sheet1!S71_MasterVoteMunicipal,P$47)</f>
        <v>0</v>
      </c>
      <c r="Q5" s="712">
        <f>-SUMIFS(Sheet1!S71_ASBudgetAmount,Sheet1!S71_A4Code,$AC:$AC,Sheet1!S71_ItemType,$AD:$AD,Sheet1!S71_MasterVoteMunicipal,Q$47)</f>
        <v>0</v>
      </c>
      <c r="R5" s="968">
        <f>SUM(C5:Q5)</f>
        <v>20553103</v>
      </c>
      <c r="AC5" s="2352" t="s">
        <v>2696</v>
      </c>
      <c r="AD5" s="2353" t="s">
        <v>2759</v>
      </c>
    </row>
    <row r="6" spans="1:30" ht="11.25" customHeight="1" x14ac:dyDescent="0.25">
      <c r="A6" s="136" t="str">
        <f>'A4-FinPerf RE'!A6</f>
        <v>Service charges - electricity revenue</v>
      </c>
      <c r="B6" s="675"/>
      <c r="C6" s="712">
        <f>-SUMIFS(Sheet1!S71_ASBudgetAmount,Sheet1!S71_A4Code,$AC:$AC,Sheet1!S71_ItemType,$AD:$AD,Sheet1!S71_MasterVoteMunicipal,C$47)</f>
        <v>0</v>
      </c>
      <c r="D6" s="712">
        <f>-SUMIFS(Sheet1!S71_ASBudgetAmount,Sheet1!S71_A4Code,$AC:$AC,Sheet1!S71_ItemType,$AD:$AD,Sheet1!S71_MasterVoteMunicipal,D$47)</f>
        <v>0</v>
      </c>
      <c r="E6" s="712">
        <f>-SUMIFS(Sheet1!S71_ASBudgetAmount,Sheet1!S71_A4Code,$AC:$AC,Sheet1!S71_ItemType,$AD:$AD,Sheet1!S71_MasterVoteMunicipal,E$47)</f>
        <v>0</v>
      </c>
      <c r="F6" s="712">
        <f>-SUMIFS(Sheet1!S71_ASBudgetAmount,Sheet1!S71_A4Code,$AC:$AC,Sheet1!S71_ItemType,$AD:$AD,Sheet1!S71_MasterVoteMunicipal,F$47)</f>
        <v>0</v>
      </c>
      <c r="G6" s="712">
        <f>-SUMIFS(Sheet1!S71_ASBudgetAmount,Sheet1!S71_A4Code,$AC:$AC,Sheet1!S71_ItemType,$AD:$AD,Sheet1!S71_MasterVoteMunicipal,G$47)</f>
        <v>0</v>
      </c>
      <c r="H6" s="712">
        <f>-SUMIFS(Sheet1!S71_ASBudgetAmount,Sheet1!S71_A4Code,$AC:$AC,Sheet1!S71_ItemType,$AD:$AD,Sheet1!S71_MasterVoteMunicipal,H$47)</f>
        <v>0</v>
      </c>
      <c r="I6" s="712">
        <f>-SUMIFS(Sheet1!S71_ASBudgetAmount,Sheet1!S71_A4Code,$AC:$AC,Sheet1!S71_ItemType,$AD:$AD,Sheet1!S71_MasterVoteMunicipal,I$47)</f>
        <v>0</v>
      </c>
      <c r="J6" s="712">
        <f>-SUMIFS(Sheet1!S71_ASBudgetAmount,Sheet1!S71_A4Code,$AC:$AC,Sheet1!S71_ItemType,$AD:$AD,Sheet1!S71_MasterVoteMunicipal,J$47)</f>
        <v>0</v>
      </c>
      <c r="K6" s="712">
        <f>-SUMIFS(Sheet1!S71_ASBudgetAmount,Sheet1!S71_A4Code,$AC:$AC,Sheet1!S71_ItemType,$AD:$AD,Sheet1!S71_MasterVoteMunicipal,K$47)</f>
        <v>0</v>
      </c>
      <c r="L6" s="712">
        <f>-SUMIFS(Sheet1!S71_ASBudgetAmount,Sheet1!S71_A4Code,$AC:$AC,Sheet1!S71_ItemType,$AD:$AD,Sheet1!S71_MasterVoteMunicipal,L$47)</f>
        <v>0</v>
      </c>
      <c r="M6" s="712">
        <f>-SUMIFS(Sheet1!S71_ASBudgetAmount,Sheet1!S71_A4Code,$AC:$AC,Sheet1!S71_ItemType,$AD:$AD,Sheet1!S71_MasterVoteMunicipal,M$47)</f>
        <v>0</v>
      </c>
      <c r="N6" s="712">
        <f>-SUMIFS(Sheet1!S71_ASBudgetAmount,Sheet1!S71_A4Code,$AC:$AC,Sheet1!S71_ItemType,$AD:$AD,Sheet1!S71_MasterVoteMunicipal,N$47)</f>
        <v>0</v>
      </c>
      <c r="O6" s="712">
        <f>-SUMIFS(Sheet1!S71_ASBudgetAmount,Sheet1!S71_A4Code,$AC:$AC,Sheet1!S71_ItemType,$AD:$AD,Sheet1!S71_MasterVoteMunicipal,O$47)</f>
        <v>0</v>
      </c>
      <c r="P6" s="712">
        <f>-SUMIFS(Sheet1!S71_ASBudgetAmount,Sheet1!S71_A4Code,$AC:$AC,Sheet1!S71_ItemType,$AD:$AD,Sheet1!S71_MasterVoteMunicipal,P$47)</f>
        <v>0</v>
      </c>
      <c r="Q6" s="712">
        <f>-SUMIFS(Sheet1!S71_ASBudgetAmount,Sheet1!S71_A4Code,$AC:$AC,Sheet1!S71_ItemType,$AD:$AD,Sheet1!S71_MasterVoteMunicipal,Q$47)</f>
        <v>0</v>
      </c>
      <c r="R6" s="968">
        <f t="shared" ref="R6:R20" si="0">SUM(C6:Q6)</f>
        <v>0</v>
      </c>
      <c r="AC6" s="2352" t="s">
        <v>2697</v>
      </c>
      <c r="AD6" s="2353" t="s">
        <v>2759</v>
      </c>
    </row>
    <row r="7" spans="1:30" ht="11.25" customHeight="1" x14ac:dyDescent="0.25">
      <c r="A7" s="136" t="str">
        <f>'A4-FinPerf RE'!A7</f>
        <v>Service charges - water revenue</v>
      </c>
      <c r="B7" s="675"/>
      <c r="C7" s="712">
        <f>-SUMIFS(Sheet1!S71_ASBudgetAmount,Sheet1!S71_A4Code,$AC:$AC,Sheet1!S71_ItemType,$AD:$AD,Sheet1!S71_MasterVoteMunicipal,C$47)</f>
        <v>0</v>
      </c>
      <c r="D7" s="712">
        <f>-SUMIFS(Sheet1!S71_ASBudgetAmount,Sheet1!S71_A4Code,$AC:$AC,Sheet1!S71_ItemType,$AD:$AD,Sheet1!S71_MasterVoteMunicipal,D$47)</f>
        <v>0</v>
      </c>
      <c r="E7" s="712">
        <f>-SUMIFS(Sheet1!S71_ASBudgetAmount,Sheet1!S71_A4Code,$AC:$AC,Sheet1!S71_ItemType,$AD:$AD,Sheet1!S71_MasterVoteMunicipal,E$47)</f>
        <v>0</v>
      </c>
      <c r="F7" s="712">
        <f>-SUMIFS(Sheet1!S71_ASBudgetAmount,Sheet1!S71_A4Code,$AC:$AC,Sheet1!S71_ItemType,$AD:$AD,Sheet1!S71_MasterVoteMunicipal,F$47)</f>
        <v>0</v>
      </c>
      <c r="G7" s="712">
        <f>-SUMIFS(Sheet1!S71_ASBudgetAmount,Sheet1!S71_A4Code,$AC:$AC,Sheet1!S71_ItemType,$AD:$AD,Sheet1!S71_MasterVoteMunicipal,G$47)</f>
        <v>0</v>
      </c>
      <c r="H7" s="712">
        <f>-SUMIFS(Sheet1!S71_ASBudgetAmount,Sheet1!S71_A4Code,$AC:$AC,Sheet1!S71_ItemType,$AD:$AD,Sheet1!S71_MasterVoteMunicipal,H$47)</f>
        <v>0</v>
      </c>
      <c r="I7" s="712">
        <f>-SUMIFS(Sheet1!S71_ASBudgetAmount,Sheet1!S71_A4Code,$AC:$AC,Sheet1!S71_ItemType,$AD:$AD,Sheet1!S71_MasterVoteMunicipal,I$47)</f>
        <v>0</v>
      </c>
      <c r="J7" s="712">
        <f>-SUMIFS(Sheet1!S71_ASBudgetAmount,Sheet1!S71_A4Code,$AC:$AC,Sheet1!S71_ItemType,$AD:$AD,Sheet1!S71_MasterVoteMunicipal,J$47)</f>
        <v>0</v>
      </c>
      <c r="K7" s="712">
        <f>-SUMIFS(Sheet1!S71_ASBudgetAmount,Sheet1!S71_A4Code,$AC:$AC,Sheet1!S71_ItemType,$AD:$AD,Sheet1!S71_MasterVoteMunicipal,K$47)</f>
        <v>0</v>
      </c>
      <c r="L7" s="712">
        <f>-SUMIFS(Sheet1!S71_ASBudgetAmount,Sheet1!S71_A4Code,$AC:$AC,Sheet1!S71_ItemType,$AD:$AD,Sheet1!S71_MasterVoteMunicipal,L$47)</f>
        <v>0</v>
      </c>
      <c r="M7" s="712">
        <f>-SUMIFS(Sheet1!S71_ASBudgetAmount,Sheet1!S71_A4Code,$AC:$AC,Sheet1!S71_ItemType,$AD:$AD,Sheet1!S71_MasterVoteMunicipal,M$47)</f>
        <v>0</v>
      </c>
      <c r="N7" s="712">
        <f>-SUMIFS(Sheet1!S71_ASBudgetAmount,Sheet1!S71_A4Code,$AC:$AC,Sheet1!S71_ItemType,$AD:$AD,Sheet1!S71_MasterVoteMunicipal,N$47)</f>
        <v>0</v>
      </c>
      <c r="O7" s="712">
        <f>-SUMIFS(Sheet1!S71_ASBudgetAmount,Sheet1!S71_A4Code,$AC:$AC,Sheet1!S71_ItemType,$AD:$AD,Sheet1!S71_MasterVoteMunicipal,O$47)</f>
        <v>0</v>
      </c>
      <c r="P7" s="712">
        <f>-SUMIFS(Sheet1!S71_ASBudgetAmount,Sheet1!S71_A4Code,$AC:$AC,Sheet1!S71_ItemType,$AD:$AD,Sheet1!S71_MasterVoteMunicipal,P$47)</f>
        <v>0</v>
      </c>
      <c r="Q7" s="712">
        <f>-SUMIFS(Sheet1!S71_ASBudgetAmount,Sheet1!S71_A4Code,$AC:$AC,Sheet1!S71_ItemType,$AD:$AD,Sheet1!S71_MasterVoteMunicipal,Q$47)</f>
        <v>0</v>
      </c>
      <c r="R7" s="968">
        <f t="shared" si="0"/>
        <v>0</v>
      </c>
      <c r="AC7" s="2352" t="s">
        <v>2698</v>
      </c>
      <c r="AD7" s="2353" t="s">
        <v>2759</v>
      </c>
    </row>
    <row r="8" spans="1:30" ht="11.25" customHeight="1" x14ac:dyDescent="0.25">
      <c r="A8" s="136" t="str">
        <f>'A4-FinPerf RE'!A8</f>
        <v>Service charges - sanitation revenue</v>
      </c>
      <c r="B8" s="675"/>
      <c r="C8" s="712">
        <f>-SUMIFS(Sheet1!S71_ASBudgetAmount,Sheet1!S71_A4Code,$AC:$AC,Sheet1!S71_ItemType,$AD:$AD,Sheet1!S71_MasterVoteMunicipal,C$47)</f>
        <v>0</v>
      </c>
      <c r="D8" s="712">
        <f>-SUMIFS(Sheet1!S71_ASBudgetAmount,Sheet1!S71_A4Code,$AC:$AC,Sheet1!S71_ItemType,$AD:$AD,Sheet1!S71_MasterVoteMunicipal,D$47)</f>
        <v>0</v>
      </c>
      <c r="E8" s="712">
        <f>-SUMIFS(Sheet1!S71_ASBudgetAmount,Sheet1!S71_A4Code,$AC:$AC,Sheet1!S71_ItemType,$AD:$AD,Sheet1!S71_MasterVoteMunicipal,E$47)</f>
        <v>0</v>
      </c>
      <c r="F8" s="712">
        <f>-SUMIFS(Sheet1!S71_ASBudgetAmount,Sheet1!S71_A4Code,$AC:$AC,Sheet1!S71_ItemType,$AD:$AD,Sheet1!S71_MasterVoteMunicipal,F$47)</f>
        <v>0</v>
      </c>
      <c r="G8" s="712">
        <f>-SUMIFS(Sheet1!S71_ASBudgetAmount,Sheet1!S71_A4Code,$AC:$AC,Sheet1!S71_ItemType,$AD:$AD,Sheet1!S71_MasterVoteMunicipal,G$47)</f>
        <v>0</v>
      </c>
      <c r="H8" s="712">
        <f>-SUMIFS(Sheet1!S71_ASBudgetAmount,Sheet1!S71_A4Code,$AC:$AC,Sheet1!S71_ItemType,$AD:$AD,Sheet1!S71_MasterVoteMunicipal,H$47)</f>
        <v>0</v>
      </c>
      <c r="I8" s="712">
        <f>-SUMIFS(Sheet1!S71_ASBudgetAmount,Sheet1!S71_A4Code,$AC:$AC,Sheet1!S71_ItemType,$AD:$AD,Sheet1!S71_MasterVoteMunicipal,I$47)</f>
        <v>0</v>
      </c>
      <c r="J8" s="712">
        <f>-SUMIFS(Sheet1!S71_ASBudgetAmount,Sheet1!S71_A4Code,$AC:$AC,Sheet1!S71_ItemType,$AD:$AD,Sheet1!S71_MasterVoteMunicipal,J$47)</f>
        <v>0</v>
      </c>
      <c r="K8" s="712">
        <f>-SUMIFS(Sheet1!S71_ASBudgetAmount,Sheet1!S71_A4Code,$AC:$AC,Sheet1!S71_ItemType,$AD:$AD,Sheet1!S71_MasterVoteMunicipal,K$47)</f>
        <v>0</v>
      </c>
      <c r="L8" s="712">
        <f>-SUMIFS(Sheet1!S71_ASBudgetAmount,Sheet1!S71_A4Code,$AC:$AC,Sheet1!S71_ItemType,$AD:$AD,Sheet1!S71_MasterVoteMunicipal,L$47)</f>
        <v>0</v>
      </c>
      <c r="M8" s="712">
        <f>-SUMIFS(Sheet1!S71_ASBudgetAmount,Sheet1!S71_A4Code,$AC:$AC,Sheet1!S71_ItemType,$AD:$AD,Sheet1!S71_MasterVoteMunicipal,M$47)</f>
        <v>0</v>
      </c>
      <c r="N8" s="712">
        <f>-SUMIFS(Sheet1!S71_ASBudgetAmount,Sheet1!S71_A4Code,$AC:$AC,Sheet1!S71_ItemType,$AD:$AD,Sheet1!S71_MasterVoteMunicipal,N$47)</f>
        <v>0</v>
      </c>
      <c r="O8" s="712">
        <f>-SUMIFS(Sheet1!S71_ASBudgetAmount,Sheet1!S71_A4Code,$AC:$AC,Sheet1!S71_ItemType,$AD:$AD,Sheet1!S71_MasterVoteMunicipal,O$47)</f>
        <v>0</v>
      </c>
      <c r="P8" s="712">
        <f>-SUMIFS(Sheet1!S71_ASBudgetAmount,Sheet1!S71_A4Code,$AC:$AC,Sheet1!S71_ItemType,$AD:$AD,Sheet1!S71_MasterVoteMunicipal,P$47)</f>
        <v>0</v>
      </c>
      <c r="Q8" s="712">
        <f>-SUMIFS(Sheet1!S71_ASBudgetAmount,Sheet1!S71_A4Code,$AC:$AC,Sheet1!S71_ItemType,$AD:$AD,Sheet1!S71_MasterVoteMunicipal,Q$47)</f>
        <v>0</v>
      </c>
      <c r="R8" s="968">
        <f t="shared" si="0"/>
        <v>0</v>
      </c>
      <c r="AC8" s="2352" t="s">
        <v>2699</v>
      </c>
      <c r="AD8" s="2353" t="s">
        <v>2759</v>
      </c>
    </row>
    <row r="9" spans="1:30" ht="11.25" customHeight="1" x14ac:dyDescent="0.25">
      <c r="A9" s="136" t="str">
        <f>'A4-FinPerf RE'!A9</f>
        <v>Service charges - refuse revenue</v>
      </c>
      <c r="B9" s="675"/>
      <c r="C9" s="712">
        <f>-SUMIFS(Sheet1!S71_ASBudgetAmount,Sheet1!S71_A4Code,$AC:$AC,Sheet1!S71_ItemType,$AD:$AD,Sheet1!S71_MasterVoteMunicipal,C$47)</f>
        <v>0</v>
      </c>
      <c r="D9" s="712">
        <f>-SUMIFS(Sheet1!S71_ASBudgetAmount,Sheet1!S71_A4Code,$AC:$AC,Sheet1!S71_ItemType,$AD:$AD,Sheet1!S71_MasterVoteMunicipal,D$47)</f>
        <v>0</v>
      </c>
      <c r="E9" s="712">
        <f>-SUMIFS(Sheet1!S71_ASBudgetAmount,Sheet1!S71_A4Code,$AC:$AC,Sheet1!S71_ItemType,$AD:$AD,Sheet1!S71_MasterVoteMunicipal,E$47)</f>
        <v>0</v>
      </c>
      <c r="F9" s="712">
        <f>-SUMIFS(Sheet1!S71_ASBudgetAmount,Sheet1!S71_A4Code,$AC:$AC,Sheet1!S71_ItemType,$AD:$AD,Sheet1!S71_MasterVoteMunicipal,F$47)</f>
        <v>0</v>
      </c>
      <c r="G9" s="712">
        <f>-SUMIFS(Sheet1!S71_ASBudgetAmount,Sheet1!S71_A4Code,$AC:$AC,Sheet1!S71_ItemType,$AD:$AD,Sheet1!S71_MasterVoteMunicipal,G$47)</f>
        <v>0</v>
      </c>
      <c r="H9" s="712">
        <f>-SUMIFS(Sheet1!S71_ASBudgetAmount,Sheet1!S71_A4Code,$AC:$AC,Sheet1!S71_ItemType,$AD:$AD,Sheet1!S71_MasterVoteMunicipal,H$47)</f>
        <v>0</v>
      </c>
      <c r="I9" s="712">
        <f>-SUMIFS(Sheet1!S71_ASBudgetAmount,Sheet1!S71_A4Code,$AC:$AC,Sheet1!S71_ItemType,$AD:$AD,Sheet1!S71_MasterVoteMunicipal,I$47)</f>
        <v>0</v>
      </c>
      <c r="J9" s="712">
        <f>-SUMIFS(Sheet1!S71_ASBudgetAmount,Sheet1!S71_A4Code,$AC:$AC,Sheet1!S71_ItemType,$AD:$AD,Sheet1!S71_MasterVoteMunicipal,J$47)</f>
        <v>0</v>
      </c>
      <c r="K9" s="712">
        <f>-SUMIFS(Sheet1!S71_ASBudgetAmount,Sheet1!S71_A4Code,$AC:$AC,Sheet1!S71_ItemType,$AD:$AD,Sheet1!S71_MasterVoteMunicipal,K$47)</f>
        <v>0</v>
      </c>
      <c r="L9" s="712">
        <f>-SUMIFS(Sheet1!S71_ASBudgetAmount,Sheet1!S71_A4Code,$AC:$AC,Sheet1!S71_ItemType,$AD:$AD,Sheet1!S71_MasterVoteMunicipal,L$47)</f>
        <v>0</v>
      </c>
      <c r="M9" s="712">
        <f>-SUMIFS(Sheet1!S71_ASBudgetAmount,Sheet1!S71_A4Code,$AC:$AC,Sheet1!S71_ItemType,$AD:$AD,Sheet1!S71_MasterVoteMunicipal,M$47)</f>
        <v>0</v>
      </c>
      <c r="N9" s="712">
        <f>-SUMIFS(Sheet1!S71_ASBudgetAmount,Sheet1!S71_A4Code,$AC:$AC,Sheet1!S71_ItemType,$AD:$AD,Sheet1!S71_MasterVoteMunicipal,N$47)</f>
        <v>596684</v>
      </c>
      <c r="O9" s="712">
        <f>-SUMIFS(Sheet1!S71_ASBudgetAmount,Sheet1!S71_A4Code,$AC:$AC,Sheet1!S71_ItemType,$AD:$AD,Sheet1!S71_MasterVoteMunicipal,O$47)</f>
        <v>0</v>
      </c>
      <c r="P9" s="712">
        <f>-SUMIFS(Sheet1!S71_ASBudgetAmount,Sheet1!S71_A4Code,$AC:$AC,Sheet1!S71_ItemType,$AD:$AD,Sheet1!S71_MasterVoteMunicipal,P$47)</f>
        <v>0</v>
      </c>
      <c r="Q9" s="712">
        <f>-SUMIFS(Sheet1!S71_ASBudgetAmount,Sheet1!S71_A4Code,$AC:$AC,Sheet1!S71_ItemType,$AD:$AD,Sheet1!S71_MasterVoteMunicipal,Q$47)</f>
        <v>0</v>
      </c>
      <c r="R9" s="968">
        <f t="shared" si="0"/>
        <v>596684</v>
      </c>
      <c r="AC9" s="2352" t="s">
        <v>2700</v>
      </c>
      <c r="AD9" s="2353" t="s">
        <v>2759</v>
      </c>
    </row>
    <row r="10" spans="1:30" ht="1.9" customHeight="1" x14ac:dyDescent="0.25">
      <c r="A10" s="136"/>
      <c r="B10" s="675"/>
      <c r="C10" s="712">
        <f>-SUMIFS(Sheet1!S71_ASBudgetAmount,Sheet1!S71_A4Code,$AC:$AC,Sheet1!S71_ItemType,$AD:$AD,Sheet1!S71_MasterVoteMunicipal,C$47)</f>
        <v>0</v>
      </c>
      <c r="D10" s="712">
        <f>-SUMIFS(Sheet1!S71_ASBudgetAmount,Sheet1!S71_A4Code,$AC:$AC,Sheet1!S71_ItemType,$AD:$AD,Sheet1!S71_MasterVoteMunicipal,D$47)</f>
        <v>0</v>
      </c>
      <c r="E10" s="712">
        <f>-SUMIFS(Sheet1!S71_ASBudgetAmount,Sheet1!S71_A4Code,$AC:$AC,Sheet1!S71_ItemType,$AD:$AD,Sheet1!S71_MasterVoteMunicipal,E$47)</f>
        <v>0</v>
      </c>
      <c r="F10" s="712">
        <f>-SUMIFS(Sheet1!S71_ASBudgetAmount,Sheet1!S71_A4Code,$AC:$AC,Sheet1!S71_ItemType,$AD:$AD,Sheet1!S71_MasterVoteMunicipal,F$47)</f>
        <v>0</v>
      </c>
      <c r="G10" s="712">
        <f>-SUMIFS(Sheet1!S71_ASBudgetAmount,Sheet1!S71_A4Code,$AC:$AC,Sheet1!S71_ItemType,$AD:$AD,Sheet1!S71_MasterVoteMunicipal,G$47)</f>
        <v>0</v>
      </c>
      <c r="H10" s="712">
        <f>-SUMIFS(Sheet1!S71_ASBudgetAmount,Sheet1!S71_A4Code,$AC:$AC,Sheet1!S71_ItemType,$AD:$AD,Sheet1!S71_MasterVoteMunicipal,H$47)</f>
        <v>0</v>
      </c>
      <c r="I10" s="712">
        <f>-SUMIFS(Sheet1!S71_ASBudgetAmount,Sheet1!S71_A4Code,$AC:$AC,Sheet1!S71_ItemType,$AD:$AD,Sheet1!S71_MasterVoteMunicipal,I$47)</f>
        <v>0</v>
      </c>
      <c r="J10" s="712">
        <f>-SUMIFS(Sheet1!S71_ASBudgetAmount,Sheet1!S71_A4Code,$AC:$AC,Sheet1!S71_ItemType,$AD:$AD,Sheet1!S71_MasterVoteMunicipal,J$47)</f>
        <v>0</v>
      </c>
      <c r="K10" s="712">
        <f>-SUMIFS(Sheet1!S71_ASBudgetAmount,Sheet1!S71_A4Code,$AC:$AC,Sheet1!S71_ItemType,$AD:$AD,Sheet1!S71_MasterVoteMunicipal,K$47)</f>
        <v>0</v>
      </c>
      <c r="L10" s="712">
        <f>-SUMIFS(Sheet1!S71_ASBudgetAmount,Sheet1!S71_A4Code,$AC:$AC,Sheet1!S71_ItemType,$AD:$AD,Sheet1!S71_MasterVoteMunicipal,L$47)</f>
        <v>0</v>
      </c>
      <c r="M10" s="712">
        <f>-SUMIFS(Sheet1!S71_ASBudgetAmount,Sheet1!S71_A4Code,$AC:$AC,Sheet1!S71_ItemType,$AD:$AD,Sheet1!S71_MasterVoteMunicipal,M$47)</f>
        <v>0</v>
      </c>
      <c r="N10" s="712">
        <f>-SUMIFS(Sheet1!S71_ASBudgetAmount,Sheet1!S71_A4Code,$AC:$AC,Sheet1!S71_ItemType,$AD:$AD,Sheet1!S71_MasterVoteMunicipal,N$47)</f>
        <v>0</v>
      </c>
      <c r="O10" s="712">
        <f>-SUMIFS(Sheet1!S71_ASBudgetAmount,Sheet1!S71_A4Code,$AC:$AC,Sheet1!S71_ItemType,$AD:$AD,Sheet1!S71_MasterVoteMunicipal,O$47)</f>
        <v>0</v>
      </c>
      <c r="P10" s="712">
        <f>-SUMIFS(Sheet1!S71_ASBudgetAmount,Sheet1!S71_A4Code,$AC:$AC,Sheet1!S71_ItemType,$AD:$AD,Sheet1!S71_MasterVoteMunicipal,P$47)</f>
        <v>0</v>
      </c>
      <c r="Q10" s="712">
        <f>-SUMIFS(Sheet1!S71_ASBudgetAmount,Sheet1!S71_A4Code,$AC:$AC,Sheet1!S71_ItemType,$AD:$AD,Sheet1!S71_MasterVoteMunicipal,Q$47)</f>
        <v>0</v>
      </c>
      <c r="R10" s="657"/>
      <c r="AC10" s="2353" t="s">
        <v>2760</v>
      </c>
      <c r="AD10" s="2353" t="s">
        <v>2759</v>
      </c>
    </row>
    <row r="11" spans="1:30" ht="11.25" customHeight="1" x14ac:dyDescent="0.25">
      <c r="A11" s="136" t="str">
        <f>'A4-FinPerf RE'!A11</f>
        <v>Rental of facilities and equipment</v>
      </c>
      <c r="B11" s="675"/>
      <c r="C11" s="712">
        <f>-SUMIFS(Sheet1!S71_ASBudgetAmount,Sheet1!S71_A4Code,$AC:$AC,Sheet1!S71_ItemType,$AD:$AD,Sheet1!S71_MasterVoteMunicipal,C$47)</f>
        <v>358643</v>
      </c>
      <c r="D11" s="712">
        <f>-SUMIFS(Sheet1!S71_ASBudgetAmount,Sheet1!S71_A4Code,$AC:$AC,Sheet1!S71_ItemType,$AD:$AD,Sheet1!S71_MasterVoteMunicipal,D$47)</f>
        <v>0</v>
      </c>
      <c r="E11" s="712">
        <f>-SUMIFS(Sheet1!S71_ASBudgetAmount,Sheet1!S71_A4Code,$AC:$AC,Sheet1!S71_ItemType,$AD:$AD,Sheet1!S71_MasterVoteMunicipal,E$47)</f>
        <v>0</v>
      </c>
      <c r="F11" s="712">
        <f>-SUMIFS(Sheet1!S71_ASBudgetAmount,Sheet1!S71_A4Code,$AC:$AC,Sheet1!S71_ItemType,$AD:$AD,Sheet1!S71_MasterVoteMunicipal,F$47)</f>
        <v>0</v>
      </c>
      <c r="G11" s="712">
        <f>-SUMIFS(Sheet1!S71_ASBudgetAmount,Sheet1!S71_A4Code,$AC:$AC,Sheet1!S71_ItemType,$AD:$AD,Sheet1!S71_MasterVoteMunicipal,G$47)</f>
        <v>0</v>
      </c>
      <c r="H11" s="712">
        <f>-SUMIFS(Sheet1!S71_ASBudgetAmount,Sheet1!S71_A4Code,$AC:$AC,Sheet1!S71_ItemType,$AD:$AD,Sheet1!S71_MasterVoteMunicipal,H$47)</f>
        <v>0</v>
      </c>
      <c r="I11" s="712">
        <f>-SUMIFS(Sheet1!S71_ASBudgetAmount,Sheet1!S71_A4Code,$AC:$AC,Sheet1!S71_ItemType,$AD:$AD,Sheet1!S71_MasterVoteMunicipal,I$47)</f>
        <v>0</v>
      </c>
      <c r="J11" s="712">
        <f>-SUMIFS(Sheet1!S71_ASBudgetAmount,Sheet1!S71_A4Code,$AC:$AC,Sheet1!S71_ItemType,$AD:$AD,Sheet1!S71_MasterVoteMunicipal,J$47)</f>
        <v>0</v>
      </c>
      <c r="K11" s="712">
        <f>-SUMIFS(Sheet1!S71_ASBudgetAmount,Sheet1!S71_A4Code,$AC:$AC,Sheet1!S71_ItemType,$AD:$AD,Sheet1!S71_MasterVoteMunicipal,K$47)</f>
        <v>0</v>
      </c>
      <c r="L11" s="712">
        <f>-SUMIFS(Sheet1!S71_ASBudgetAmount,Sheet1!S71_A4Code,$AC:$AC,Sheet1!S71_ItemType,$AD:$AD,Sheet1!S71_MasterVoteMunicipal,L$47)</f>
        <v>0</v>
      </c>
      <c r="M11" s="712">
        <f>-SUMIFS(Sheet1!S71_ASBudgetAmount,Sheet1!S71_A4Code,$AC:$AC,Sheet1!S71_ItemType,$AD:$AD,Sheet1!S71_MasterVoteMunicipal,M$47)</f>
        <v>0</v>
      </c>
      <c r="N11" s="712">
        <f>-SUMIFS(Sheet1!S71_ASBudgetAmount,Sheet1!S71_A4Code,$AC:$AC,Sheet1!S71_ItemType,$AD:$AD,Sheet1!S71_MasterVoteMunicipal,N$47)</f>
        <v>0</v>
      </c>
      <c r="O11" s="712">
        <f>-SUMIFS(Sheet1!S71_ASBudgetAmount,Sheet1!S71_A4Code,$AC:$AC,Sheet1!S71_ItemType,$AD:$AD,Sheet1!S71_MasterVoteMunicipal,O$47)</f>
        <v>0</v>
      </c>
      <c r="P11" s="712">
        <f>-SUMIFS(Sheet1!S71_ASBudgetAmount,Sheet1!S71_A4Code,$AC:$AC,Sheet1!S71_ItemType,$AD:$AD,Sheet1!S71_MasterVoteMunicipal,P$47)</f>
        <v>0</v>
      </c>
      <c r="Q11" s="712">
        <f>-SUMIFS(Sheet1!S71_ASBudgetAmount,Sheet1!S71_A4Code,$AC:$AC,Sheet1!S71_ItemType,$AD:$AD,Sheet1!S71_MasterVoteMunicipal,Q$47)</f>
        <v>0</v>
      </c>
      <c r="R11" s="968">
        <f t="shared" si="0"/>
        <v>358643</v>
      </c>
      <c r="AC11" s="2354" t="s">
        <v>2701</v>
      </c>
      <c r="AD11" s="2353" t="s">
        <v>2759</v>
      </c>
    </row>
    <row r="12" spans="1:30" ht="11.25" customHeight="1" x14ac:dyDescent="0.25">
      <c r="A12" s="136" t="str">
        <f>'A4-FinPerf RE'!A12</f>
        <v>Interest earned - external investments</v>
      </c>
      <c r="B12" s="675"/>
      <c r="C12" s="712">
        <f>-SUMIFS(Sheet1!S71_ASBudgetAmount,Sheet1!S71_A4Code,$AC:$AC,Sheet1!S71_ItemType,$AD:$AD,Sheet1!S71_MasterVoteMunicipal,C$47)</f>
        <v>4000150</v>
      </c>
      <c r="D12" s="712">
        <f>-SUMIFS(Sheet1!S71_ASBudgetAmount,Sheet1!S71_A4Code,$AC:$AC,Sheet1!S71_ItemType,$AD:$AD,Sheet1!S71_MasterVoteMunicipal,D$47)</f>
        <v>0</v>
      </c>
      <c r="E12" s="712">
        <f>-SUMIFS(Sheet1!S71_ASBudgetAmount,Sheet1!S71_A4Code,$AC:$AC,Sheet1!S71_ItemType,$AD:$AD,Sheet1!S71_MasterVoteMunicipal,E$47)</f>
        <v>0</v>
      </c>
      <c r="F12" s="712">
        <f>-SUMIFS(Sheet1!S71_ASBudgetAmount,Sheet1!S71_A4Code,$AC:$AC,Sheet1!S71_ItemType,$AD:$AD,Sheet1!S71_MasterVoteMunicipal,F$47)</f>
        <v>0</v>
      </c>
      <c r="G12" s="712">
        <f>-SUMIFS(Sheet1!S71_ASBudgetAmount,Sheet1!S71_A4Code,$AC:$AC,Sheet1!S71_ItemType,$AD:$AD,Sheet1!S71_MasterVoteMunicipal,G$47)</f>
        <v>0</v>
      </c>
      <c r="H12" s="712">
        <f>-SUMIFS(Sheet1!S71_ASBudgetAmount,Sheet1!S71_A4Code,$AC:$AC,Sheet1!S71_ItemType,$AD:$AD,Sheet1!S71_MasterVoteMunicipal,H$47)</f>
        <v>0</v>
      </c>
      <c r="I12" s="712">
        <f>-SUMIFS(Sheet1!S71_ASBudgetAmount,Sheet1!S71_A4Code,$AC:$AC,Sheet1!S71_ItemType,$AD:$AD,Sheet1!S71_MasterVoteMunicipal,I$47)</f>
        <v>0</v>
      </c>
      <c r="J12" s="712">
        <f>-SUMIFS(Sheet1!S71_ASBudgetAmount,Sheet1!S71_A4Code,$AC:$AC,Sheet1!S71_ItemType,$AD:$AD,Sheet1!S71_MasterVoteMunicipal,J$47)</f>
        <v>0</v>
      </c>
      <c r="K12" s="712">
        <f>-SUMIFS(Sheet1!S71_ASBudgetAmount,Sheet1!S71_A4Code,$AC:$AC,Sheet1!S71_ItemType,$AD:$AD,Sheet1!S71_MasterVoteMunicipal,K$47)</f>
        <v>0</v>
      </c>
      <c r="L12" s="712">
        <f>-SUMIFS(Sheet1!S71_ASBudgetAmount,Sheet1!S71_A4Code,$AC:$AC,Sheet1!S71_ItemType,$AD:$AD,Sheet1!S71_MasterVoteMunicipal,L$47)</f>
        <v>0</v>
      </c>
      <c r="M12" s="712">
        <f>-SUMIFS(Sheet1!S71_ASBudgetAmount,Sheet1!S71_A4Code,$AC:$AC,Sheet1!S71_ItemType,$AD:$AD,Sheet1!S71_MasterVoteMunicipal,M$47)</f>
        <v>0</v>
      </c>
      <c r="N12" s="712">
        <f>-SUMIFS(Sheet1!S71_ASBudgetAmount,Sheet1!S71_A4Code,$AC:$AC,Sheet1!S71_ItemType,$AD:$AD,Sheet1!S71_MasterVoteMunicipal,N$47)</f>
        <v>0</v>
      </c>
      <c r="O12" s="712">
        <f>-SUMIFS(Sheet1!S71_ASBudgetAmount,Sheet1!S71_A4Code,$AC:$AC,Sheet1!S71_ItemType,$AD:$AD,Sheet1!S71_MasterVoteMunicipal,O$47)</f>
        <v>0</v>
      </c>
      <c r="P12" s="712">
        <f>-SUMIFS(Sheet1!S71_ASBudgetAmount,Sheet1!S71_A4Code,$AC:$AC,Sheet1!S71_ItemType,$AD:$AD,Sheet1!S71_MasterVoteMunicipal,P$47)</f>
        <v>0</v>
      </c>
      <c r="Q12" s="712">
        <f>-SUMIFS(Sheet1!S71_ASBudgetAmount,Sheet1!S71_A4Code,$AC:$AC,Sheet1!S71_ItemType,$AD:$AD,Sheet1!S71_MasterVoteMunicipal,Q$47)</f>
        <v>0</v>
      </c>
      <c r="R12" s="968">
        <f t="shared" si="0"/>
        <v>4000150</v>
      </c>
      <c r="AC12" s="2354" t="s">
        <v>2702</v>
      </c>
      <c r="AD12" s="2353" t="s">
        <v>2759</v>
      </c>
    </row>
    <row r="13" spans="1:30" ht="11.25" customHeight="1" x14ac:dyDescent="0.25">
      <c r="A13" s="136" t="str">
        <f>'A4-FinPerf RE'!A13</f>
        <v>Interest earned - outstanding debtors</v>
      </c>
      <c r="B13" s="675"/>
      <c r="C13" s="712">
        <f>-SUMIFS(Sheet1!S71_ASBudgetAmount,Sheet1!S71_A4Code,$AC:$AC,Sheet1!S71_ItemType,$AD:$AD,Sheet1!S71_MasterVoteMunicipal,C$47)</f>
        <v>0</v>
      </c>
      <c r="D13" s="712">
        <f>-SUMIFS(Sheet1!S71_ASBudgetAmount,Sheet1!S71_A4Code,$AC:$AC,Sheet1!S71_ItemType,$AD:$AD,Sheet1!S71_MasterVoteMunicipal,D$47)</f>
        <v>0</v>
      </c>
      <c r="E13" s="712">
        <f>-SUMIFS(Sheet1!S71_ASBudgetAmount,Sheet1!S71_A4Code,$AC:$AC,Sheet1!S71_ItemType,$AD:$AD,Sheet1!S71_MasterVoteMunicipal,E$47)</f>
        <v>0</v>
      </c>
      <c r="F13" s="712">
        <f>-SUMIFS(Sheet1!S71_ASBudgetAmount,Sheet1!S71_A4Code,$AC:$AC,Sheet1!S71_ItemType,$AD:$AD,Sheet1!S71_MasterVoteMunicipal,F$47)</f>
        <v>0</v>
      </c>
      <c r="G13" s="712">
        <f>-SUMIFS(Sheet1!S71_ASBudgetAmount,Sheet1!S71_A4Code,$AC:$AC,Sheet1!S71_ItemType,$AD:$AD,Sheet1!S71_MasterVoteMunicipal,G$47)</f>
        <v>0</v>
      </c>
      <c r="H13" s="712">
        <f>-SUMIFS(Sheet1!S71_ASBudgetAmount,Sheet1!S71_A4Code,$AC:$AC,Sheet1!S71_ItemType,$AD:$AD,Sheet1!S71_MasterVoteMunicipal,H$47)</f>
        <v>0</v>
      </c>
      <c r="I13" s="712">
        <f>-SUMIFS(Sheet1!S71_ASBudgetAmount,Sheet1!S71_A4Code,$AC:$AC,Sheet1!S71_ItemType,$AD:$AD,Sheet1!S71_MasterVoteMunicipal,I$47)</f>
        <v>0</v>
      </c>
      <c r="J13" s="712">
        <f>-SUMIFS(Sheet1!S71_ASBudgetAmount,Sheet1!S71_A4Code,$AC:$AC,Sheet1!S71_ItemType,$AD:$AD,Sheet1!S71_MasterVoteMunicipal,J$47)</f>
        <v>0</v>
      </c>
      <c r="K13" s="712">
        <f>-SUMIFS(Sheet1!S71_ASBudgetAmount,Sheet1!S71_A4Code,$AC:$AC,Sheet1!S71_ItemType,$AD:$AD,Sheet1!S71_MasterVoteMunicipal,K$47)</f>
        <v>0</v>
      </c>
      <c r="L13" s="712">
        <f>-SUMIFS(Sheet1!S71_ASBudgetAmount,Sheet1!S71_A4Code,$AC:$AC,Sheet1!S71_ItemType,$AD:$AD,Sheet1!S71_MasterVoteMunicipal,L$47)</f>
        <v>0</v>
      </c>
      <c r="M13" s="712">
        <f>-SUMIFS(Sheet1!S71_ASBudgetAmount,Sheet1!S71_A4Code,$AC:$AC,Sheet1!S71_ItemType,$AD:$AD,Sheet1!S71_MasterVoteMunicipal,M$47)</f>
        <v>0</v>
      </c>
      <c r="N13" s="712">
        <f>-SUMIFS(Sheet1!S71_ASBudgetAmount,Sheet1!S71_A4Code,$AC:$AC,Sheet1!S71_ItemType,$AD:$AD,Sheet1!S71_MasterVoteMunicipal,N$47)</f>
        <v>0</v>
      </c>
      <c r="O13" s="712">
        <f>-SUMIFS(Sheet1!S71_ASBudgetAmount,Sheet1!S71_A4Code,$AC:$AC,Sheet1!S71_ItemType,$AD:$AD,Sheet1!S71_MasterVoteMunicipal,O$47)</f>
        <v>0</v>
      </c>
      <c r="P13" s="712">
        <f>-SUMIFS(Sheet1!S71_ASBudgetAmount,Sheet1!S71_A4Code,$AC:$AC,Sheet1!S71_ItemType,$AD:$AD,Sheet1!S71_MasterVoteMunicipal,P$47)</f>
        <v>0</v>
      </c>
      <c r="Q13" s="712">
        <f>-SUMIFS(Sheet1!S71_ASBudgetAmount,Sheet1!S71_A4Code,$AC:$AC,Sheet1!S71_ItemType,$AD:$AD,Sheet1!S71_MasterVoteMunicipal,Q$47)</f>
        <v>0</v>
      </c>
      <c r="R13" s="968">
        <f t="shared" si="0"/>
        <v>0</v>
      </c>
      <c r="AC13" s="2354" t="s">
        <v>2046</v>
      </c>
      <c r="AD13" s="2353" t="s">
        <v>2759</v>
      </c>
    </row>
    <row r="14" spans="1:30" ht="11.25" customHeight="1" x14ac:dyDescent="0.25">
      <c r="A14" s="136" t="str">
        <f>'A4-FinPerf RE'!A14</f>
        <v>Dividends received</v>
      </c>
      <c r="B14" s="675"/>
      <c r="C14" s="712">
        <f>-SUMIFS(Sheet1!S71_ASBudgetAmount,Sheet1!S71_A4Code,$AC:$AC,Sheet1!S71_ItemType,$AD:$AD,Sheet1!S71_MasterVoteMunicipal,C$47)</f>
        <v>0</v>
      </c>
      <c r="D14" s="712">
        <f>-SUMIFS(Sheet1!S71_ASBudgetAmount,Sheet1!S71_A4Code,$AC:$AC,Sheet1!S71_ItemType,$AD:$AD,Sheet1!S71_MasterVoteMunicipal,D$47)</f>
        <v>0</v>
      </c>
      <c r="E14" s="712">
        <f>-SUMIFS(Sheet1!S71_ASBudgetAmount,Sheet1!S71_A4Code,$AC:$AC,Sheet1!S71_ItemType,$AD:$AD,Sheet1!S71_MasterVoteMunicipal,E$47)</f>
        <v>0</v>
      </c>
      <c r="F14" s="712">
        <f>-SUMIFS(Sheet1!S71_ASBudgetAmount,Sheet1!S71_A4Code,$AC:$AC,Sheet1!S71_ItemType,$AD:$AD,Sheet1!S71_MasterVoteMunicipal,F$47)</f>
        <v>0</v>
      </c>
      <c r="G14" s="712">
        <f>-SUMIFS(Sheet1!S71_ASBudgetAmount,Sheet1!S71_A4Code,$AC:$AC,Sheet1!S71_ItemType,$AD:$AD,Sheet1!S71_MasterVoteMunicipal,G$47)</f>
        <v>0</v>
      </c>
      <c r="H14" s="712">
        <f>-SUMIFS(Sheet1!S71_ASBudgetAmount,Sheet1!S71_A4Code,$AC:$AC,Sheet1!S71_ItemType,$AD:$AD,Sheet1!S71_MasterVoteMunicipal,H$47)</f>
        <v>0</v>
      </c>
      <c r="I14" s="712">
        <f>-SUMIFS(Sheet1!S71_ASBudgetAmount,Sheet1!S71_A4Code,$AC:$AC,Sheet1!S71_ItemType,$AD:$AD,Sheet1!S71_MasterVoteMunicipal,I$47)</f>
        <v>0</v>
      </c>
      <c r="J14" s="712">
        <f>-SUMIFS(Sheet1!S71_ASBudgetAmount,Sheet1!S71_A4Code,$AC:$AC,Sheet1!S71_ItemType,$AD:$AD,Sheet1!S71_MasterVoteMunicipal,J$47)</f>
        <v>0</v>
      </c>
      <c r="K14" s="712">
        <f>-SUMIFS(Sheet1!S71_ASBudgetAmount,Sheet1!S71_A4Code,$AC:$AC,Sheet1!S71_ItemType,$AD:$AD,Sheet1!S71_MasterVoteMunicipal,K$47)</f>
        <v>0</v>
      </c>
      <c r="L14" s="712">
        <f>-SUMIFS(Sheet1!S71_ASBudgetAmount,Sheet1!S71_A4Code,$AC:$AC,Sheet1!S71_ItemType,$AD:$AD,Sheet1!S71_MasterVoteMunicipal,L$47)</f>
        <v>0</v>
      </c>
      <c r="M14" s="712">
        <f>-SUMIFS(Sheet1!S71_ASBudgetAmount,Sheet1!S71_A4Code,$AC:$AC,Sheet1!S71_ItemType,$AD:$AD,Sheet1!S71_MasterVoteMunicipal,M$47)</f>
        <v>0</v>
      </c>
      <c r="N14" s="712">
        <f>-SUMIFS(Sheet1!S71_ASBudgetAmount,Sheet1!S71_A4Code,$AC:$AC,Sheet1!S71_ItemType,$AD:$AD,Sheet1!S71_MasterVoteMunicipal,N$47)</f>
        <v>0</v>
      </c>
      <c r="O14" s="712">
        <f>-SUMIFS(Sheet1!S71_ASBudgetAmount,Sheet1!S71_A4Code,$AC:$AC,Sheet1!S71_ItemType,$AD:$AD,Sheet1!S71_MasterVoteMunicipal,O$47)</f>
        <v>0</v>
      </c>
      <c r="P14" s="712">
        <f>-SUMIFS(Sheet1!S71_ASBudgetAmount,Sheet1!S71_A4Code,$AC:$AC,Sheet1!S71_ItemType,$AD:$AD,Sheet1!S71_MasterVoteMunicipal,P$47)</f>
        <v>0</v>
      </c>
      <c r="Q14" s="712">
        <f>-SUMIFS(Sheet1!S71_ASBudgetAmount,Sheet1!S71_A4Code,$AC:$AC,Sheet1!S71_ItemType,$AD:$AD,Sheet1!S71_MasterVoteMunicipal,Q$47)</f>
        <v>0</v>
      </c>
      <c r="R14" s="968">
        <f t="shared" si="0"/>
        <v>0</v>
      </c>
      <c r="AC14" s="2354" t="s">
        <v>2048</v>
      </c>
      <c r="AD14" s="2353" t="s">
        <v>2759</v>
      </c>
    </row>
    <row r="15" spans="1:30" ht="11.25" customHeight="1" x14ac:dyDescent="0.25">
      <c r="A15" s="136" t="str">
        <f>'A4-FinPerf RE'!A15</f>
        <v>Fines, penalties and forfeits</v>
      </c>
      <c r="B15" s="675"/>
      <c r="C15" s="712">
        <f>-SUMIFS(Sheet1!S71_ASBudgetAmount,Sheet1!S71_A4Code,$AC:$AC,Sheet1!S71_ItemType,$AD:$AD,Sheet1!S71_MasterVoteMunicipal,C$47)</f>
        <v>0</v>
      </c>
      <c r="D15" s="712">
        <f>-SUMIFS(Sheet1!S71_ASBudgetAmount,Sheet1!S71_A4Code,$AC:$AC,Sheet1!S71_ItemType,$AD:$AD,Sheet1!S71_MasterVoteMunicipal,D$47)</f>
        <v>0</v>
      </c>
      <c r="E15" s="712">
        <f>-SUMIFS(Sheet1!S71_ASBudgetAmount,Sheet1!S71_A4Code,$AC:$AC,Sheet1!S71_ItemType,$AD:$AD,Sheet1!S71_MasterVoteMunicipal,E$47)</f>
        <v>0</v>
      </c>
      <c r="F15" s="712">
        <f>-SUMIFS(Sheet1!S71_ASBudgetAmount,Sheet1!S71_A4Code,$AC:$AC,Sheet1!S71_ItemType,$AD:$AD,Sheet1!S71_MasterVoteMunicipal,F$47)</f>
        <v>4363</v>
      </c>
      <c r="G15" s="712">
        <f>-SUMIFS(Sheet1!S71_ASBudgetAmount,Sheet1!S71_A4Code,$AC:$AC,Sheet1!S71_ItemType,$AD:$AD,Sheet1!S71_MasterVoteMunicipal,G$47)</f>
        <v>0</v>
      </c>
      <c r="H15" s="712">
        <f>-SUMIFS(Sheet1!S71_ASBudgetAmount,Sheet1!S71_A4Code,$AC:$AC,Sheet1!S71_ItemType,$AD:$AD,Sheet1!S71_MasterVoteMunicipal,H$47)</f>
        <v>0</v>
      </c>
      <c r="I15" s="712">
        <f>-SUMIFS(Sheet1!S71_ASBudgetAmount,Sheet1!S71_A4Code,$AC:$AC,Sheet1!S71_ItemType,$AD:$AD,Sheet1!S71_MasterVoteMunicipal,I$47)</f>
        <v>31170</v>
      </c>
      <c r="J15" s="712">
        <f>-SUMIFS(Sheet1!S71_ASBudgetAmount,Sheet1!S71_A4Code,$AC:$AC,Sheet1!S71_ItemType,$AD:$AD,Sheet1!S71_MasterVoteMunicipal,J$47)</f>
        <v>0</v>
      </c>
      <c r="K15" s="712">
        <f>-SUMIFS(Sheet1!S71_ASBudgetAmount,Sheet1!S71_A4Code,$AC:$AC,Sheet1!S71_ItemType,$AD:$AD,Sheet1!S71_MasterVoteMunicipal,K$47)</f>
        <v>0</v>
      </c>
      <c r="L15" s="712">
        <f>-SUMIFS(Sheet1!S71_ASBudgetAmount,Sheet1!S71_A4Code,$AC:$AC,Sheet1!S71_ItemType,$AD:$AD,Sheet1!S71_MasterVoteMunicipal,L$47)</f>
        <v>0</v>
      </c>
      <c r="M15" s="712">
        <f>-SUMIFS(Sheet1!S71_ASBudgetAmount,Sheet1!S71_A4Code,$AC:$AC,Sheet1!S71_ItemType,$AD:$AD,Sheet1!S71_MasterVoteMunicipal,M$47)</f>
        <v>0</v>
      </c>
      <c r="N15" s="712">
        <f>-SUMIFS(Sheet1!S71_ASBudgetAmount,Sheet1!S71_A4Code,$AC:$AC,Sheet1!S71_ItemType,$AD:$AD,Sheet1!S71_MasterVoteMunicipal,N$47)</f>
        <v>0</v>
      </c>
      <c r="O15" s="712">
        <f>-SUMIFS(Sheet1!S71_ASBudgetAmount,Sheet1!S71_A4Code,$AC:$AC,Sheet1!S71_ItemType,$AD:$AD,Sheet1!S71_MasterVoteMunicipal,O$47)</f>
        <v>0</v>
      </c>
      <c r="P15" s="712">
        <f>-SUMIFS(Sheet1!S71_ASBudgetAmount,Sheet1!S71_A4Code,$AC:$AC,Sheet1!S71_ItemType,$AD:$AD,Sheet1!S71_MasterVoteMunicipal,P$47)</f>
        <v>0</v>
      </c>
      <c r="Q15" s="712">
        <f>-SUMIFS(Sheet1!S71_ASBudgetAmount,Sheet1!S71_A4Code,$AC:$AC,Sheet1!S71_ItemType,$AD:$AD,Sheet1!S71_MasterVoteMunicipal,Q$47)</f>
        <v>0</v>
      </c>
      <c r="R15" s="968">
        <f t="shared" si="0"/>
        <v>35533</v>
      </c>
      <c r="AC15" s="2354" t="s">
        <v>2059</v>
      </c>
      <c r="AD15" s="2353" t="s">
        <v>2759</v>
      </c>
    </row>
    <row r="16" spans="1:30" ht="11.25" customHeight="1" x14ac:dyDescent="0.25">
      <c r="A16" s="136" t="str">
        <f>'A4-FinPerf RE'!A16</f>
        <v>Licences and permits</v>
      </c>
      <c r="B16" s="675"/>
      <c r="C16" s="712">
        <f>-SUMIFS(Sheet1!S71_ASBudgetAmount,Sheet1!S71_A4Code,$AC:$AC,Sheet1!S71_ItemType,$AD:$AD,Sheet1!S71_MasterVoteMunicipal,C$47)</f>
        <v>0</v>
      </c>
      <c r="D16" s="712">
        <f>-SUMIFS(Sheet1!S71_ASBudgetAmount,Sheet1!S71_A4Code,$AC:$AC,Sheet1!S71_ItemType,$AD:$AD,Sheet1!S71_MasterVoteMunicipal,D$47)</f>
        <v>0</v>
      </c>
      <c r="E16" s="712">
        <f>-SUMIFS(Sheet1!S71_ASBudgetAmount,Sheet1!S71_A4Code,$AC:$AC,Sheet1!S71_ItemType,$AD:$AD,Sheet1!S71_MasterVoteMunicipal,E$47)</f>
        <v>0</v>
      </c>
      <c r="F16" s="712">
        <f>-SUMIFS(Sheet1!S71_ASBudgetAmount,Sheet1!S71_A4Code,$AC:$AC,Sheet1!S71_ItemType,$AD:$AD,Sheet1!S71_MasterVoteMunicipal,F$47)</f>
        <v>0</v>
      </c>
      <c r="G16" s="712">
        <f>-SUMIFS(Sheet1!S71_ASBudgetAmount,Sheet1!S71_A4Code,$AC:$AC,Sheet1!S71_ItemType,$AD:$AD,Sheet1!S71_MasterVoteMunicipal,G$47)</f>
        <v>0</v>
      </c>
      <c r="H16" s="712">
        <f>-SUMIFS(Sheet1!S71_ASBudgetAmount,Sheet1!S71_A4Code,$AC:$AC,Sheet1!S71_ItemType,$AD:$AD,Sheet1!S71_MasterVoteMunicipal,H$47)</f>
        <v>0</v>
      </c>
      <c r="I16" s="712">
        <f>-SUMIFS(Sheet1!S71_ASBudgetAmount,Sheet1!S71_A4Code,$AC:$AC,Sheet1!S71_ItemType,$AD:$AD,Sheet1!S71_MasterVoteMunicipal,I$47)</f>
        <v>0</v>
      </c>
      <c r="J16" s="712">
        <f>-SUMIFS(Sheet1!S71_ASBudgetAmount,Sheet1!S71_A4Code,$AC:$AC,Sheet1!S71_ItemType,$AD:$AD,Sheet1!S71_MasterVoteMunicipal,J$47)</f>
        <v>0</v>
      </c>
      <c r="K16" s="712">
        <f>-SUMIFS(Sheet1!S71_ASBudgetAmount,Sheet1!S71_A4Code,$AC:$AC,Sheet1!S71_ItemType,$AD:$AD,Sheet1!S71_MasterVoteMunicipal,K$47)</f>
        <v>0</v>
      </c>
      <c r="L16" s="712">
        <f>-SUMIFS(Sheet1!S71_ASBudgetAmount,Sheet1!S71_A4Code,$AC:$AC,Sheet1!S71_ItemType,$AD:$AD,Sheet1!S71_MasterVoteMunicipal,L$47)</f>
        <v>0</v>
      </c>
      <c r="M16" s="712">
        <f>-SUMIFS(Sheet1!S71_ASBudgetAmount,Sheet1!S71_A4Code,$AC:$AC,Sheet1!S71_ItemType,$AD:$AD,Sheet1!S71_MasterVoteMunicipal,M$47)</f>
        <v>7400081</v>
      </c>
      <c r="N16" s="712">
        <f>-SUMIFS(Sheet1!S71_ASBudgetAmount,Sheet1!S71_A4Code,$AC:$AC,Sheet1!S71_ItemType,$AD:$AD,Sheet1!S71_MasterVoteMunicipal,N$47)</f>
        <v>0</v>
      </c>
      <c r="O16" s="712">
        <f>-SUMIFS(Sheet1!S71_ASBudgetAmount,Sheet1!S71_A4Code,$AC:$AC,Sheet1!S71_ItemType,$AD:$AD,Sheet1!S71_MasterVoteMunicipal,O$47)</f>
        <v>0</v>
      </c>
      <c r="P16" s="712">
        <f>-SUMIFS(Sheet1!S71_ASBudgetAmount,Sheet1!S71_A4Code,$AC:$AC,Sheet1!S71_ItemType,$AD:$AD,Sheet1!S71_MasterVoteMunicipal,P$47)</f>
        <v>0</v>
      </c>
      <c r="Q16" s="712">
        <f>-SUMIFS(Sheet1!S71_ASBudgetAmount,Sheet1!S71_A4Code,$AC:$AC,Sheet1!S71_ItemType,$AD:$AD,Sheet1!S71_MasterVoteMunicipal,Q$47)</f>
        <v>0</v>
      </c>
      <c r="R16" s="968">
        <f t="shared" si="0"/>
        <v>7400081</v>
      </c>
      <c r="AC16" s="2354" t="s">
        <v>2071</v>
      </c>
      <c r="AD16" s="2353" t="s">
        <v>2759</v>
      </c>
    </row>
    <row r="17" spans="1:30" ht="11.25" customHeight="1" x14ac:dyDescent="0.25">
      <c r="A17" s="136" t="str">
        <f>'A4-FinPerf RE'!A17</f>
        <v>Agency services</v>
      </c>
      <c r="B17" s="675"/>
      <c r="C17" s="712">
        <f>-SUMIFS(Sheet1!S71_ASBudgetAmount,Sheet1!S71_A4Code,$AC:$AC,Sheet1!S71_ItemType,$AD:$AD,Sheet1!S71_MasterVoteMunicipal,C$47)</f>
        <v>0</v>
      </c>
      <c r="D17" s="712">
        <f>-SUMIFS(Sheet1!S71_ASBudgetAmount,Sheet1!S71_A4Code,$AC:$AC,Sheet1!S71_ItemType,$AD:$AD,Sheet1!S71_MasterVoteMunicipal,D$47)</f>
        <v>0</v>
      </c>
      <c r="E17" s="712">
        <f>-SUMIFS(Sheet1!S71_ASBudgetAmount,Sheet1!S71_A4Code,$AC:$AC,Sheet1!S71_ItemType,$AD:$AD,Sheet1!S71_MasterVoteMunicipal,E$47)</f>
        <v>0</v>
      </c>
      <c r="F17" s="712">
        <f>-SUMIFS(Sheet1!S71_ASBudgetAmount,Sheet1!S71_A4Code,$AC:$AC,Sheet1!S71_ItemType,$AD:$AD,Sheet1!S71_MasterVoteMunicipal,F$47)</f>
        <v>0</v>
      </c>
      <c r="G17" s="712">
        <f>-SUMIFS(Sheet1!S71_ASBudgetAmount,Sheet1!S71_A4Code,$AC:$AC,Sheet1!S71_ItemType,$AD:$AD,Sheet1!S71_MasterVoteMunicipal,G$47)</f>
        <v>0</v>
      </c>
      <c r="H17" s="712">
        <f>-SUMIFS(Sheet1!S71_ASBudgetAmount,Sheet1!S71_A4Code,$AC:$AC,Sheet1!S71_ItemType,$AD:$AD,Sheet1!S71_MasterVoteMunicipal,H$47)</f>
        <v>0</v>
      </c>
      <c r="I17" s="712">
        <f>-SUMIFS(Sheet1!S71_ASBudgetAmount,Sheet1!S71_A4Code,$AC:$AC,Sheet1!S71_ItemType,$AD:$AD,Sheet1!S71_MasterVoteMunicipal,I$47)</f>
        <v>0</v>
      </c>
      <c r="J17" s="712">
        <f>-SUMIFS(Sheet1!S71_ASBudgetAmount,Sheet1!S71_A4Code,$AC:$AC,Sheet1!S71_ItemType,$AD:$AD,Sheet1!S71_MasterVoteMunicipal,J$47)</f>
        <v>0</v>
      </c>
      <c r="K17" s="712">
        <f>-SUMIFS(Sheet1!S71_ASBudgetAmount,Sheet1!S71_A4Code,$AC:$AC,Sheet1!S71_ItemType,$AD:$AD,Sheet1!S71_MasterVoteMunicipal,K$47)</f>
        <v>0</v>
      </c>
      <c r="L17" s="712">
        <f>-SUMIFS(Sheet1!S71_ASBudgetAmount,Sheet1!S71_A4Code,$AC:$AC,Sheet1!S71_ItemType,$AD:$AD,Sheet1!S71_MasterVoteMunicipal,L$47)</f>
        <v>0</v>
      </c>
      <c r="M17" s="712">
        <f>-SUMIFS(Sheet1!S71_ASBudgetAmount,Sheet1!S71_A4Code,$AC:$AC,Sheet1!S71_ItemType,$AD:$AD,Sheet1!S71_MasterVoteMunicipal,M$47)</f>
        <v>0</v>
      </c>
      <c r="N17" s="712">
        <f>-SUMIFS(Sheet1!S71_ASBudgetAmount,Sheet1!S71_A4Code,$AC:$AC,Sheet1!S71_ItemType,$AD:$AD,Sheet1!S71_MasterVoteMunicipal,N$47)</f>
        <v>0</v>
      </c>
      <c r="O17" s="712">
        <f>-SUMIFS(Sheet1!S71_ASBudgetAmount,Sheet1!S71_A4Code,$AC:$AC,Sheet1!S71_ItemType,$AD:$AD,Sheet1!S71_MasterVoteMunicipal,O$47)</f>
        <v>0</v>
      </c>
      <c r="P17" s="712">
        <f>-SUMIFS(Sheet1!S71_ASBudgetAmount,Sheet1!S71_A4Code,$AC:$AC,Sheet1!S71_ItemType,$AD:$AD,Sheet1!S71_MasterVoteMunicipal,P$47)</f>
        <v>0</v>
      </c>
      <c r="Q17" s="712">
        <f>-SUMIFS(Sheet1!S71_ASBudgetAmount,Sheet1!S71_A4Code,$AC:$AC,Sheet1!S71_ItemType,$AD:$AD,Sheet1!S71_MasterVoteMunicipal,Q$47)</f>
        <v>0</v>
      </c>
      <c r="R17" s="968">
        <f t="shared" si="0"/>
        <v>0</v>
      </c>
      <c r="AC17" s="2354" t="s">
        <v>2080</v>
      </c>
      <c r="AD17" s="2353" t="s">
        <v>2759</v>
      </c>
    </row>
    <row r="18" spans="1:30" ht="11.25" customHeight="1" x14ac:dyDescent="0.25">
      <c r="A18" s="164" t="str">
        <f>'A4-FinPerf RE'!A19</f>
        <v>Other revenue</v>
      </c>
      <c r="B18" s="711"/>
      <c r="C18" s="712">
        <f>-SUMIFS(Sheet1!S71_ASBudgetAmount,Sheet1!S71_A4Code,$AC:$AC,Sheet1!S71_ItemType,$AD:$AD,Sheet1!S71_MasterVoteMunicipal,C$47)</f>
        <v>74649000</v>
      </c>
      <c r="D18" s="712">
        <f>-SUMIFS(Sheet1!S71_ASBudgetAmount,Sheet1!S71_A4Code,$AC:$AC,Sheet1!S71_ItemType,$AD:$AD,Sheet1!S71_MasterVoteMunicipal,D$47)</f>
        <v>0</v>
      </c>
      <c r="E18" s="712">
        <f>-SUMIFS(Sheet1!S71_ASBudgetAmount,Sheet1!S71_A4Code,$AC:$AC,Sheet1!S71_ItemType,$AD:$AD,Sheet1!S71_MasterVoteMunicipal,E$47)</f>
        <v>0</v>
      </c>
      <c r="F18" s="712">
        <f>-SUMIFS(Sheet1!S71_ASBudgetAmount,Sheet1!S71_A4Code,$AC:$AC,Sheet1!S71_ItemType,$AD:$AD,Sheet1!S71_MasterVoteMunicipal,F$47)</f>
        <v>1910000</v>
      </c>
      <c r="G18" s="712">
        <f>-SUMIFS(Sheet1!S71_ASBudgetAmount,Sheet1!S71_A4Code,$AC:$AC,Sheet1!S71_ItemType,$AD:$AD,Sheet1!S71_MasterVoteMunicipal,G$47)</f>
        <v>0</v>
      </c>
      <c r="H18" s="712">
        <f>-SUMIFS(Sheet1!S71_ASBudgetAmount,Sheet1!S71_A4Code,$AC:$AC,Sheet1!S71_ItemType,$AD:$AD,Sheet1!S71_MasterVoteMunicipal,H$47)</f>
        <v>0</v>
      </c>
      <c r="I18" s="712">
        <f>-SUMIFS(Sheet1!S71_ASBudgetAmount,Sheet1!S71_A4Code,$AC:$AC,Sheet1!S71_ItemType,$AD:$AD,Sheet1!S71_MasterVoteMunicipal,I$47)</f>
        <v>0</v>
      </c>
      <c r="J18" s="712">
        <f>-SUMIFS(Sheet1!S71_ASBudgetAmount,Sheet1!S71_A4Code,$AC:$AC,Sheet1!S71_ItemType,$AD:$AD,Sheet1!S71_MasterVoteMunicipal,J$47)</f>
        <v>0</v>
      </c>
      <c r="K18" s="712">
        <f>-SUMIFS(Sheet1!S71_ASBudgetAmount,Sheet1!S71_A4Code,$AC:$AC,Sheet1!S71_ItemType,$AD:$AD,Sheet1!S71_MasterVoteMunicipal,K$47)</f>
        <v>0</v>
      </c>
      <c r="L18" s="712">
        <f>-SUMIFS(Sheet1!S71_ASBudgetAmount,Sheet1!S71_A4Code,$AC:$AC,Sheet1!S71_ItemType,$AD:$AD,Sheet1!S71_MasterVoteMunicipal,L$47)</f>
        <v>0</v>
      </c>
      <c r="M18" s="712">
        <f>-SUMIFS(Sheet1!S71_ASBudgetAmount,Sheet1!S71_A4Code,$AC:$AC,Sheet1!S71_ItemType,$AD:$AD,Sheet1!S71_MasterVoteMunicipal,M$47)</f>
        <v>0</v>
      </c>
      <c r="N18" s="712">
        <f>-SUMIFS(Sheet1!S71_ASBudgetAmount,Sheet1!S71_A4Code,$AC:$AC,Sheet1!S71_ItemType,$AD:$AD,Sheet1!S71_MasterVoteMunicipal,N$47)</f>
        <v>0</v>
      </c>
      <c r="O18" s="712">
        <f>-SUMIFS(Sheet1!S71_ASBudgetAmount,Sheet1!S71_A4Code,$AC:$AC,Sheet1!S71_ItemType,$AD:$AD,Sheet1!S71_MasterVoteMunicipal,O$47)</f>
        <v>0</v>
      </c>
      <c r="P18" s="712">
        <f>-SUMIFS(Sheet1!S71_ASBudgetAmount,Sheet1!S71_A4Code,$AC:$AC,Sheet1!S71_ItemType,$AD:$AD,Sheet1!S71_MasterVoteMunicipal,P$47)</f>
        <v>0</v>
      </c>
      <c r="Q18" s="712">
        <f>-SUMIFS(Sheet1!S71_ASBudgetAmount,Sheet1!S71_A4Code,$AC:$AC,Sheet1!S71_ItemType,$AD:$AD,Sheet1!S71_MasterVoteMunicipal,Q$47)</f>
        <v>0</v>
      </c>
      <c r="R18" s="968">
        <f t="shared" si="0"/>
        <v>76559000</v>
      </c>
      <c r="AC18" s="2354" t="s">
        <v>2090</v>
      </c>
      <c r="AD18" s="2353" t="s">
        <v>2759</v>
      </c>
    </row>
    <row r="19" spans="1:30" ht="11.25" customHeight="1" x14ac:dyDescent="0.25">
      <c r="A19" s="136" t="str">
        <f>'A4-FinPerf RE'!A18</f>
        <v>Transfers and subsidies</v>
      </c>
      <c r="B19" s="675"/>
      <c r="C19" s="712">
        <f>-SUMIFS(Sheet1!S71_ASBudgetAmount,Sheet1!S71_A4Code,$AC:$AC,Sheet1!S71_ItemType,$AD:$AD,Sheet1!S71_MasterVoteMunicipal,C$47)</f>
        <v>225343</v>
      </c>
      <c r="D19" s="712">
        <f>-SUMIFS(Sheet1!S71_ASBudgetAmount,Sheet1!S71_A4Code,$AC:$AC,Sheet1!S71_ItemType,$AD:$AD,Sheet1!S71_MasterVoteMunicipal,D$47)</f>
        <v>0</v>
      </c>
      <c r="E19" s="712">
        <f>-SUMIFS(Sheet1!S71_ASBudgetAmount,Sheet1!S71_A4Code,$AC:$AC,Sheet1!S71_ItemType,$AD:$AD,Sheet1!S71_MasterVoteMunicipal,E$47)</f>
        <v>0</v>
      </c>
      <c r="F19" s="712">
        <f>-SUMIFS(Sheet1!S71_ASBudgetAmount,Sheet1!S71_A4Code,$AC:$AC,Sheet1!S71_ItemType,$AD:$AD,Sheet1!S71_MasterVoteMunicipal,F$47)</f>
        <v>19111</v>
      </c>
      <c r="G19" s="712">
        <f>-SUMIFS(Sheet1!S71_ASBudgetAmount,Sheet1!S71_A4Code,$AC:$AC,Sheet1!S71_ItemType,$AD:$AD,Sheet1!S71_MasterVoteMunicipal,G$47)</f>
        <v>0</v>
      </c>
      <c r="H19" s="712">
        <f>-SUMIFS(Sheet1!S71_ASBudgetAmount,Sheet1!S71_A4Code,$AC:$AC,Sheet1!S71_ItemType,$AD:$AD,Sheet1!S71_MasterVoteMunicipal,H$47)</f>
        <v>0</v>
      </c>
      <c r="I19" s="712">
        <f>-SUMIFS(Sheet1!S71_ASBudgetAmount,Sheet1!S71_A4Code,$AC:$AC,Sheet1!S71_ItemType,$AD:$AD,Sheet1!S71_MasterVoteMunicipal,I$47)</f>
        <v>0</v>
      </c>
      <c r="J19" s="712">
        <f>-SUMIFS(Sheet1!S71_ASBudgetAmount,Sheet1!S71_A4Code,$AC:$AC,Sheet1!S71_ItemType,$AD:$AD,Sheet1!S71_MasterVoteMunicipal,J$47)</f>
        <v>940474</v>
      </c>
      <c r="K19" s="712">
        <f>-SUMIFS(Sheet1!S71_ASBudgetAmount,Sheet1!S71_A4Code,$AC:$AC,Sheet1!S71_ItemType,$AD:$AD,Sheet1!S71_MasterVoteMunicipal,K$47)</f>
        <v>0</v>
      </c>
      <c r="L19" s="712">
        <f>-SUMIFS(Sheet1!S71_ASBudgetAmount,Sheet1!S71_A4Code,$AC:$AC,Sheet1!S71_ItemType,$AD:$AD,Sheet1!S71_MasterVoteMunicipal,L$47)</f>
        <v>0</v>
      </c>
      <c r="M19" s="712">
        <f>-SUMIFS(Sheet1!S71_ASBudgetAmount,Sheet1!S71_A4Code,$AC:$AC,Sheet1!S71_ItemType,$AD:$AD,Sheet1!S71_MasterVoteMunicipal,M$47)</f>
        <v>0</v>
      </c>
      <c r="N19" s="712">
        <f>-SUMIFS(Sheet1!S71_ASBudgetAmount,Sheet1!S71_A4Code,$AC:$AC,Sheet1!S71_ItemType,$AD:$AD,Sheet1!S71_MasterVoteMunicipal,N$47)</f>
        <v>0</v>
      </c>
      <c r="O19" s="712">
        <f>-SUMIFS(Sheet1!S71_ASBudgetAmount,Sheet1!S71_A4Code,$AC:$AC,Sheet1!S71_ItemType,$AD:$AD,Sheet1!S71_MasterVoteMunicipal,O$47)</f>
        <v>0</v>
      </c>
      <c r="P19" s="712">
        <f>-SUMIFS(Sheet1!S71_ASBudgetAmount,Sheet1!S71_A4Code,$AC:$AC,Sheet1!S71_ItemType,$AD:$AD,Sheet1!S71_MasterVoteMunicipal,P$47)</f>
        <v>0</v>
      </c>
      <c r="Q19" s="712">
        <f>-SUMIFS(Sheet1!S71_ASBudgetAmount,Sheet1!S71_A4Code,$AC:$AC,Sheet1!S71_ItemType,$AD:$AD,Sheet1!S71_MasterVoteMunicipal,Q$47)</f>
        <v>0</v>
      </c>
      <c r="R19" s="968">
        <f t="shared" si="0"/>
        <v>1184928</v>
      </c>
      <c r="AC19" s="2354" t="s">
        <v>2095</v>
      </c>
      <c r="AD19" s="2353" t="s">
        <v>2759</v>
      </c>
    </row>
    <row r="20" spans="1:30" ht="11.25" customHeight="1" x14ac:dyDescent="0.25">
      <c r="A20" s="164" t="str">
        <f>'A4-FinPerf RE'!A20</f>
        <v>Gains</v>
      </c>
      <c r="B20" s="711"/>
      <c r="C20" s="712">
        <f>-SUMIFS(Sheet1!S71_ASBudgetAmount,Sheet1!S71_A4Code,$AC:$AC,Sheet1!S71_ItemType,$AD:$AD,Sheet1!S71_MasterVoteMunicipal,C$47)</f>
        <v>0</v>
      </c>
      <c r="D20" s="712">
        <f>-SUMIFS(Sheet1!S71_ASBudgetAmount,Sheet1!S71_A4Code,$AC:$AC,Sheet1!S71_ItemType,$AD:$AD,Sheet1!S71_MasterVoteMunicipal,D$47)</f>
        <v>0</v>
      </c>
      <c r="E20" s="712">
        <f>-SUMIFS(Sheet1!S71_ASBudgetAmount,Sheet1!S71_A4Code,$AC:$AC,Sheet1!S71_ItemType,$AD:$AD,Sheet1!S71_MasterVoteMunicipal,E$47)</f>
        <v>0</v>
      </c>
      <c r="F20" s="712">
        <f>-SUMIFS(Sheet1!S71_ASBudgetAmount,Sheet1!S71_A4Code,$AC:$AC,Sheet1!S71_ItemType,$AD:$AD,Sheet1!S71_MasterVoteMunicipal,F$47)</f>
        <v>0</v>
      </c>
      <c r="G20" s="712">
        <f>-SUMIFS(Sheet1!S71_ASBudgetAmount,Sheet1!S71_A4Code,$AC:$AC,Sheet1!S71_ItemType,$AD:$AD,Sheet1!S71_MasterVoteMunicipal,G$47)</f>
        <v>0</v>
      </c>
      <c r="H20" s="712">
        <f>-SUMIFS(Sheet1!S71_ASBudgetAmount,Sheet1!S71_A4Code,$AC:$AC,Sheet1!S71_ItemType,$AD:$AD,Sheet1!S71_MasterVoteMunicipal,H$47)</f>
        <v>0</v>
      </c>
      <c r="I20" s="712">
        <f>-SUMIFS(Sheet1!S71_ASBudgetAmount,Sheet1!S71_A4Code,$AC:$AC,Sheet1!S71_ItemType,$AD:$AD,Sheet1!S71_MasterVoteMunicipal,I$47)</f>
        <v>0</v>
      </c>
      <c r="J20" s="712">
        <f>-SUMIFS(Sheet1!S71_ASBudgetAmount,Sheet1!S71_A4Code,$AC:$AC,Sheet1!S71_ItemType,$AD:$AD,Sheet1!S71_MasterVoteMunicipal,J$47)</f>
        <v>0</v>
      </c>
      <c r="K20" s="712">
        <f>-SUMIFS(Sheet1!S71_ASBudgetAmount,Sheet1!S71_A4Code,$AC:$AC,Sheet1!S71_ItemType,$AD:$AD,Sheet1!S71_MasterVoteMunicipal,K$47)</f>
        <v>0</v>
      </c>
      <c r="L20" s="712">
        <f>-SUMIFS(Sheet1!S71_ASBudgetAmount,Sheet1!S71_A4Code,$AC:$AC,Sheet1!S71_ItemType,$AD:$AD,Sheet1!S71_MasterVoteMunicipal,L$47)</f>
        <v>0</v>
      </c>
      <c r="M20" s="712">
        <f>-SUMIFS(Sheet1!S71_ASBudgetAmount,Sheet1!S71_A4Code,$AC:$AC,Sheet1!S71_ItemType,$AD:$AD,Sheet1!S71_MasterVoteMunicipal,M$47)</f>
        <v>0</v>
      </c>
      <c r="N20" s="712">
        <f>-SUMIFS(Sheet1!S71_ASBudgetAmount,Sheet1!S71_A4Code,$AC:$AC,Sheet1!S71_ItemType,$AD:$AD,Sheet1!S71_MasterVoteMunicipal,N$47)</f>
        <v>0</v>
      </c>
      <c r="O20" s="712">
        <f>-SUMIFS(Sheet1!S71_ASBudgetAmount,Sheet1!S71_A4Code,$AC:$AC,Sheet1!S71_ItemType,$AD:$AD,Sheet1!S71_MasterVoteMunicipal,O$47)</f>
        <v>0</v>
      </c>
      <c r="P20" s="712">
        <f>-SUMIFS(Sheet1!S71_ASBudgetAmount,Sheet1!S71_A4Code,$AC:$AC,Sheet1!S71_ItemType,$AD:$AD,Sheet1!S71_MasterVoteMunicipal,P$47)</f>
        <v>0</v>
      </c>
      <c r="Q20" s="712">
        <f>-SUMIFS(Sheet1!S71_ASBudgetAmount,Sheet1!S71_A4Code,$AC:$AC,Sheet1!S71_ItemType,$AD:$AD,Sheet1!S71_MasterVoteMunicipal,Q$47)</f>
        <v>0</v>
      </c>
      <c r="R20" s="968">
        <f t="shared" si="0"/>
        <v>0</v>
      </c>
      <c r="AC20" s="2354" t="s">
        <v>2105</v>
      </c>
      <c r="AD20" s="2353" t="s">
        <v>2759</v>
      </c>
    </row>
    <row r="21" spans="1:30" ht="11.25" customHeight="1" x14ac:dyDescent="0.25">
      <c r="A21" s="801" t="str">
        <f>'A4-FinPerf RE'!A21</f>
        <v>Total Revenue (excluding capital transfers and contributions)</v>
      </c>
      <c r="B21" s="711"/>
      <c r="C21" s="535">
        <f>SUM(C5:C9)+SUM(C11:C20)</f>
        <v>99786239</v>
      </c>
      <c r="D21" s="535">
        <f t="shared" ref="D21:Q21" si="1">SUM(D5:D9)+SUM(D11:D20)</f>
        <v>0</v>
      </c>
      <c r="E21" s="535">
        <f t="shared" si="1"/>
        <v>0</v>
      </c>
      <c r="F21" s="535">
        <f t="shared" si="1"/>
        <v>1933474</v>
      </c>
      <c r="G21" s="535">
        <f t="shared" si="1"/>
        <v>0</v>
      </c>
      <c r="H21" s="535">
        <f t="shared" si="1"/>
        <v>0</v>
      </c>
      <c r="I21" s="535">
        <f t="shared" si="1"/>
        <v>31170</v>
      </c>
      <c r="J21" s="535">
        <f t="shared" si="1"/>
        <v>940474</v>
      </c>
      <c r="K21" s="535">
        <f t="shared" si="1"/>
        <v>0</v>
      </c>
      <c r="L21" s="535">
        <f t="shared" si="1"/>
        <v>0</v>
      </c>
      <c r="M21" s="535">
        <f t="shared" si="1"/>
        <v>7400081</v>
      </c>
      <c r="N21" s="535">
        <f t="shared" si="1"/>
        <v>596684</v>
      </c>
      <c r="O21" s="535">
        <f t="shared" si="1"/>
        <v>0</v>
      </c>
      <c r="P21" s="535">
        <f t="shared" si="1"/>
        <v>0</v>
      </c>
      <c r="Q21" s="535">
        <f t="shared" si="1"/>
        <v>0</v>
      </c>
      <c r="R21" s="969">
        <f>SUM(R5:R9)+SUM(R11:R20)</f>
        <v>110688122</v>
      </c>
      <c r="AC21" s="2354"/>
      <c r="AD21" s="2315"/>
    </row>
    <row r="22" spans="1:30" ht="4.9000000000000004" customHeight="1" x14ac:dyDescent="0.25">
      <c r="A22" s="176"/>
      <c r="B22" s="711"/>
      <c r="C22" s="177"/>
      <c r="D22" s="177"/>
      <c r="E22" s="177"/>
      <c r="F22" s="177"/>
      <c r="G22" s="177"/>
      <c r="H22" s="177"/>
      <c r="I22" s="177"/>
      <c r="J22" s="177"/>
      <c r="K22" s="177"/>
      <c r="L22" s="177"/>
      <c r="M22" s="177"/>
      <c r="N22" s="177"/>
      <c r="O22" s="177"/>
      <c r="P22" s="177"/>
      <c r="Q22" s="177"/>
      <c r="R22" s="968"/>
      <c r="AC22" s="2354"/>
      <c r="AD22" s="2315"/>
    </row>
    <row r="23" spans="1:30" ht="11.25" customHeight="1" x14ac:dyDescent="0.25">
      <c r="A23" s="158" t="str">
        <f>'A4-FinPerf RE'!A23</f>
        <v>Expenditure By Type</v>
      </c>
      <c r="B23" s="734"/>
      <c r="C23" s="177"/>
      <c r="D23" s="177"/>
      <c r="E23" s="177"/>
      <c r="F23" s="177"/>
      <c r="G23" s="177"/>
      <c r="H23" s="177"/>
      <c r="I23" s="177"/>
      <c r="J23" s="177"/>
      <c r="K23" s="177"/>
      <c r="L23" s="177"/>
      <c r="M23" s="177"/>
      <c r="N23" s="177"/>
      <c r="O23" s="177"/>
      <c r="P23" s="177"/>
      <c r="Q23" s="177"/>
      <c r="R23" s="968"/>
      <c r="AC23" s="2354"/>
      <c r="AD23" s="2315"/>
    </row>
    <row r="24" spans="1:30" ht="11.25" customHeight="1" x14ac:dyDescent="0.25">
      <c r="A24" s="136" t="str">
        <f>'A4-FinPerf RE'!A24</f>
        <v>Employee related costs</v>
      </c>
      <c r="B24" s="675"/>
      <c r="C24" s="712">
        <f>SUMIFS(Sheet1!S71_ASBudgetAmount,Sheet1!S71_A4Code,$AC:$AC,Sheet1!S71_ItemType,$AD:$AD,Sheet1!S71_MasterVoteMunicipal,C$47)</f>
        <v>17312350</v>
      </c>
      <c r="D24" s="712">
        <f>SUMIFS(Sheet1!S71_ASBudgetAmount,Sheet1!S71_A4Code,$AC:$AC,Sheet1!S71_ItemType,$AD:$AD,Sheet1!S71_MasterVoteMunicipal,D$47)</f>
        <v>0</v>
      </c>
      <c r="E24" s="712">
        <f>SUMIFS(Sheet1!S71_ASBudgetAmount,Sheet1!S71_A4Code,$AC:$AC,Sheet1!S71_ItemType,$AD:$AD,Sheet1!S71_MasterVoteMunicipal,E$47)</f>
        <v>6007656</v>
      </c>
      <c r="F24" s="712">
        <f>SUMIFS(Sheet1!S71_ASBudgetAmount,Sheet1!S71_A4Code,$AC:$AC,Sheet1!S71_ItemType,$AD:$AD,Sheet1!S71_MasterVoteMunicipal,F$47)</f>
        <v>2696084</v>
      </c>
      <c r="G24" s="712">
        <f>SUMIFS(Sheet1!S71_ASBudgetAmount,Sheet1!S71_A4Code,$AC:$AC,Sheet1!S71_ItemType,$AD:$AD,Sheet1!S71_MasterVoteMunicipal,G$47)</f>
        <v>8241704</v>
      </c>
      <c r="H24" s="712">
        <f>SUMIFS(Sheet1!S71_ASBudgetAmount,Sheet1!S71_A4Code,$AC:$AC,Sheet1!S71_ItemType,$AD:$AD,Sheet1!S71_MasterVoteMunicipal,H$47)</f>
        <v>0</v>
      </c>
      <c r="I24" s="712">
        <f>SUMIFS(Sheet1!S71_ASBudgetAmount,Sheet1!S71_A4Code,$AC:$AC,Sheet1!S71_ItemType,$AD:$AD,Sheet1!S71_MasterVoteMunicipal,I$47)</f>
        <v>6960001</v>
      </c>
      <c r="J24" s="712">
        <f>SUMIFS(Sheet1!S71_ASBudgetAmount,Sheet1!S71_A4Code,$AC:$AC,Sheet1!S71_ItemType,$AD:$AD,Sheet1!S71_MasterVoteMunicipal,J$47)</f>
        <v>0</v>
      </c>
      <c r="K24" s="712">
        <f>SUMIFS(Sheet1!S71_ASBudgetAmount,Sheet1!S71_A4Code,$AC:$AC,Sheet1!S71_ItemType,$AD:$AD,Sheet1!S71_MasterVoteMunicipal,K$47)</f>
        <v>0</v>
      </c>
      <c r="L24" s="712">
        <f>SUMIFS(Sheet1!S71_ASBudgetAmount,Sheet1!S71_A4Code,$AC:$AC,Sheet1!S71_ItemType,$AD:$AD,Sheet1!S71_MasterVoteMunicipal,L$47)</f>
        <v>0</v>
      </c>
      <c r="M24" s="712">
        <f>SUMIFS(Sheet1!S71_ASBudgetAmount,Sheet1!S71_A4Code,$AC:$AC,Sheet1!S71_ItemType,$AD:$AD,Sheet1!S71_MasterVoteMunicipal,M$47)</f>
        <v>5440499</v>
      </c>
      <c r="N24" s="712">
        <f>SUMIFS(Sheet1!S71_ASBudgetAmount,Sheet1!S71_A4Code,$AC:$AC,Sheet1!S71_ItemType,$AD:$AD,Sheet1!S71_MasterVoteMunicipal,N$47)</f>
        <v>1900000</v>
      </c>
      <c r="O24" s="712">
        <f>SUMIFS(Sheet1!S71_ASBudgetAmount,Sheet1!S71_A4Code,$AC:$AC,Sheet1!S71_ItemType,$AD:$AD,Sheet1!S71_MasterVoteMunicipal,O$47)</f>
        <v>0</v>
      </c>
      <c r="P24" s="712">
        <f>SUMIFS(Sheet1!S71_ASBudgetAmount,Sheet1!S71_A4Code,$AC:$AC,Sheet1!S71_ItemType,$AD:$AD,Sheet1!S71_MasterVoteMunicipal,P$47)</f>
        <v>0</v>
      </c>
      <c r="Q24" s="712">
        <f>SUMIFS(Sheet1!S71_ASBudgetAmount,Sheet1!S71_A4Code,$AC:$AC,Sheet1!S71_ItemType,$AD:$AD,Sheet1!S71_MasterVoteMunicipal,Q$47)</f>
        <v>0</v>
      </c>
      <c r="R24" s="968">
        <f>SUM(C24:Q24)</f>
        <v>48558294</v>
      </c>
      <c r="AC24" s="2354" t="s">
        <v>2703</v>
      </c>
      <c r="AD24" s="2353" t="s">
        <v>2754</v>
      </c>
    </row>
    <row r="25" spans="1:30" ht="11.25" customHeight="1" x14ac:dyDescent="0.25">
      <c r="A25" s="136" t="str">
        <f>'A4-FinPerf RE'!A25</f>
        <v>Remuneration of councillors</v>
      </c>
      <c r="B25" s="675"/>
      <c r="C25" s="712">
        <f>SUMIFS(Sheet1!S71_ASBudgetAmount,Sheet1!S71_A4Code,$AC:$AC,Sheet1!S71_ItemType,$AD:$AD,Sheet1!S71_MasterVoteMunicipal,C$47)</f>
        <v>0</v>
      </c>
      <c r="D25" s="712">
        <f>SUMIFS(Sheet1!S71_ASBudgetAmount,Sheet1!S71_A4Code,$AC:$AC,Sheet1!S71_ItemType,$AD:$AD,Sheet1!S71_MasterVoteMunicipal,D$47)</f>
        <v>0</v>
      </c>
      <c r="E25" s="712">
        <f>SUMIFS(Sheet1!S71_ASBudgetAmount,Sheet1!S71_A4Code,$AC:$AC,Sheet1!S71_ItemType,$AD:$AD,Sheet1!S71_MasterVoteMunicipal,E$47)</f>
        <v>6692615</v>
      </c>
      <c r="F25" s="712">
        <f>SUMIFS(Sheet1!S71_ASBudgetAmount,Sheet1!S71_A4Code,$AC:$AC,Sheet1!S71_ItemType,$AD:$AD,Sheet1!S71_MasterVoteMunicipal,F$47)</f>
        <v>0</v>
      </c>
      <c r="G25" s="712">
        <f>SUMIFS(Sheet1!S71_ASBudgetAmount,Sheet1!S71_A4Code,$AC:$AC,Sheet1!S71_ItemType,$AD:$AD,Sheet1!S71_MasterVoteMunicipal,G$47)</f>
        <v>0</v>
      </c>
      <c r="H25" s="712">
        <f>SUMIFS(Sheet1!S71_ASBudgetAmount,Sheet1!S71_A4Code,$AC:$AC,Sheet1!S71_ItemType,$AD:$AD,Sheet1!S71_MasterVoteMunicipal,H$47)</f>
        <v>0</v>
      </c>
      <c r="I25" s="712">
        <f>SUMIFS(Sheet1!S71_ASBudgetAmount,Sheet1!S71_A4Code,$AC:$AC,Sheet1!S71_ItemType,$AD:$AD,Sheet1!S71_MasterVoteMunicipal,I$47)</f>
        <v>0</v>
      </c>
      <c r="J25" s="712">
        <f>SUMIFS(Sheet1!S71_ASBudgetAmount,Sheet1!S71_A4Code,$AC:$AC,Sheet1!S71_ItemType,$AD:$AD,Sheet1!S71_MasterVoteMunicipal,J$47)</f>
        <v>0</v>
      </c>
      <c r="K25" s="712">
        <f>SUMIFS(Sheet1!S71_ASBudgetAmount,Sheet1!S71_A4Code,$AC:$AC,Sheet1!S71_ItemType,$AD:$AD,Sheet1!S71_MasterVoteMunicipal,K$47)</f>
        <v>0</v>
      </c>
      <c r="L25" s="712">
        <f>SUMIFS(Sheet1!S71_ASBudgetAmount,Sheet1!S71_A4Code,$AC:$AC,Sheet1!S71_ItemType,$AD:$AD,Sheet1!S71_MasterVoteMunicipal,L$47)</f>
        <v>0</v>
      </c>
      <c r="M25" s="712">
        <f>SUMIFS(Sheet1!S71_ASBudgetAmount,Sheet1!S71_A4Code,$AC:$AC,Sheet1!S71_ItemType,$AD:$AD,Sheet1!S71_MasterVoteMunicipal,M$47)</f>
        <v>0</v>
      </c>
      <c r="N25" s="712">
        <f>SUMIFS(Sheet1!S71_ASBudgetAmount,Sheet1!S71_A4Code,$AC:$AC,Sheet1!S71_ItemType,$AD:$AD,Sheet1!S71_MasterVoteMunicipal,N$47)</f>
        <v>0</v>
      </c>
      <c r="O25" s="712">
        <f>SUMIFS(Sheet1!S71_ASBudgetAmount,Sheet1!S71_A4Code,$AC:$AC,Sheet1!S71_ItemType,$AD:$AD,Sheet1!S71_MasterVoteMunicipal,O$47)</f>
        <v>0</v>
      </c>
      <c r="P25" s="712">
        <f>SUMIFS(Sheet1!S71_ASBudgetAmount,Sheet1!S71_A4Code,$AC:$AC,Sheet1!S71_ItemType,$AD:$AD,Sheet1!S71_MasterVoteMunicipal,P$47)</f>
        <v>0</v>
      </c>
      <c r="Q25" s="712">
        <f>SUMIFS(Sheet1!S71_ASBudgetAmount,Sheet1!S71_A4Code,$AC:$AC,Sheet1!S71_ItemType,$AD:$AD,Sheet1!S71_MasterVoteMunicipal,Q$47)</f>
        <v>0</v>
      </c>
      <c r="R25" s="968">
        <f t="shared" ref="R25:R34" si="2">SUM(C25:Q25)</f>
        <v>6692615</v>
      </c>
      <c r="AC25" s="2354" t="s">
        <v>2704</v>
      </c>
      <c r="AD25" s="2353" t="s">
        <v>2754</v>
      </c>
    </row>
    <row r="26" spans="1:30" ht="11.25" customHeight="1" x14ac:dyDescent="0.25">
      <c r="A26" s="136" t="str">
        <f>'A4-FinPerf RE'!A26</f>
        <v>Debt impairment</v>
      </c>
      <c r="B26" s="675"/>
      <c r="C26" s="712">
        <f>SUMIFS(Sheet1!S71_ASBudgetAmount,Sheet1!S71_A4Code,$AC:$AC,Sheet1!S71_ItemType,$AD:$AD,Sheet1!S71_MasterVoteMunicipal,C$47)</f>
        <v>3140135</v>
      </c>
      <c r="D26" s="712">
        <f>SUMIFS(Sheet1!S71_ASBudgetAmount,Sheet1!S71_A4Code,$AC:$AC,Sheet1!S71_ItemType,$AD:$AD,Sheet1!S71_MasterVoteMunicipal,D$47)</f>
        <v>0</v>
      </c>
      <c r="E26" s="712">
        <f>SUMIFS(Sheet1!S71_ASBudgetAmount,Sheet1!S71_A4Code,$AC:$AC,Sheet1!S71_ItemType,$AD:$AD,Sheet1!S71_MasterVoteMunicipal,E$47)</f>
        <v>0</v>
      </c>
      <c r="F26" s="712">
        <f>SUMIFS(Sheet1!S71_ASBudgetAmount,Sheet1!S71_A4Code,$AC:$AC,Sheet1!S71_ItemType,$AD:$AD,Sheet1!S71_MasterVoteMunicipal,F$47)</f>
        <v>0</v>
      </c>
      <c r="G26" s="712">
        <f>SUMIFS(Sheet1!S71_ASBudgetAmount,Sheet1!S71_A4Code,$AC:$AC,Sheet1!S71_ItemType,$AD:$AD,Sheet1!S71_MasterVoteMunicipal,G$47)</f>
        <v>0</v>
      </c>
      <c r="H26" s="712">
        <f>SUMIFS(Sheet1!S71_ASBudgetAmount,Sheet1!S71_A4Code,$AC:$AC,Sheet1!S71_ItemType,$AD:$AD,Sheet1!S71_MasterVoteMunicipal,H$47)</f>
        <v>0</v>
      </c>
      <c r="I26" s="712">
        <f>SUMIFS(Sheet1!S71_ASBudgetAmount,Sheet1!S71_A4Code,$AC:$AC,Sheet1!S71_ItemType,$AD:$AD,Sheet1!S71_MasterVoteMunicipal,I$47)</f>
        <v>0</v>
      </c>
      <c r="J26" s="712">
        <f>SUMIFS(Sheet1!S71_ASBudgetAmount,Sheet1!S71_A4Code,$AC:$AC,Sheet1!S71_ItemType,$AD:$AD,Sheet1!S71_MasterVoteMunicipal,J$47)</f>
        <v>0</v>
      </c>
      <c r="K26" s="712">
        <f>SUMIFS(Sheet1!S71_ASBudgetAmount,Sheet1!S71_A4Code,$AC:$AC,Sheet1!S71_ItemType,$AD:$AD,Sheet1!S71_MasterVoteMunicipal,K$47)</f>
        <v>0</v>
      </c>
      <c r="L26" s="712">
        <f>SUMIFS(Sheet1!S71_ASBudgetAmount,Sheet1!S71_A4Code,$AC:$AC,Sheet1!S71_ItemType,$AD:$AD,Sheet1!S71_MasterVoteMunicipal,L$47)</f>
        <v>0</v>
      </c>
      <c r="M26" s="712">
        <f>SUMIFS(Sheet1!S71_ASBudgetAmount,Sheet1!S71_A4Code,$AC:$AC,Sheet1!S71_ItemType,$AD:$AD,Sheet1!S71_MasterVoteMunicipal,M$47)</f>
        <v>0</v>
      </c>
      <c r="N26" s="712">
        <f>SUMIFS(Sheet1!S71_ASBudgetAmount,Sheet1!S71_A4Code,$AC:$AC,Sheet1!S71_ItemType,$AD:$AD,Sheet1!S71_MasterVoteMunicipal,N$47)</f>
        <v>0</v>
      </c>
      <c r="O26" s="712">
        <f>SUMIFS(Sheet1!S71_ASBudgetAmount,Sheet1!S71_A4Code,$AC:$AC,Sheet1!S71_ItemType,$AD:$AD,Sheet1!S71_MasterVoteMunicipal,O$47)</f>
        <v>0</v>
      </c>
      <c r="P26" s="712">
        <f>SUMIFS(Sheet1!S71_ASBudgetAmount,Sheet1!S71_A4Code,$AC:$AC,Sheet1!S71_ItemType,$AD:$AD,Sheet1!S71_MasterVoteMunicipal,P$47)</f>
        <v>0</v>
      </c>
      <c r="Q26" s="712">
        <f>SUMIFS(Sheet1!S71_ASBudgetAmount,Sheet1!S71_A4Code,$AC:$AC,Sheet1!S71_ItemType,$AD:$AD,Sheet1!S71_MasterVoteMunicipal,Q$47)</f>
        <v>0</v>
      </c>
      <c r="R26" s="968">
        <f t="shared" si="2"/>
        <v>3140135</v>
      </c>
      <c r="AC26" s="2354" t="s">
        <v>2705</v>
      </c>
      <c r="AD26" s="2353" t="s">
        <v>2754</v>
      </c>
    </row>
    <row r="27" spans="1:30" ht="11.25" customHeight="1" x14ac:dyDescent="0.25">
      <c r="A27" s="136" t="str">
        <f>'A4-FinPerf RE'!A27</f>
        <v>Depreciation &amp; asset impairment</v>
      </c>
      <c r="B27" s="675"/>
      <c r="C27" s="712">
        <f>SUMIFS(Sheet1!S71_ASBudgetAmount,Sheet1!S71_A4Code,$AC:$AC,Sheet1!S71_ItemType,$AD:$AD,Sheet1!S71_MasterVoteMunicipal,C$47)</f>
        <v>11609097</v>
      </c>
      <c r="D27" s="712">
        <f>SUMIFS(Sheet1!S71_ASBudgetAmount,Sheet1!S71_A4Code,$AC:$AC,Sheet1!S71_ItemType,$AD:$AD,Sheet1!S71_MasterVoteMunicipal,D$47)</f>
        <v>0</v>
      </c>
      <c r="E27" s="712">
        <f>SUMIFS(Sheet1!S71_ASBudgetAmount,Sheet1!S71_A4Code,$AC:$AC,Sheet1!S71_ItemType,$AD:$AD,Sheet1!S71_MasterVoteMunicipal,E$47)</f>
        <v>0</v>
      </c>
      <c r="F27" s="712">
        <f>SUMIFS(Sheet1!S71_ASBudgetAmount,Sheet1!S71_A4Code,$AC:$AC,Sheet1!S71_ItemType,$AD:$AD,Sheet1!S71_MasterVoteMunicipal,F$47)</f>
        <v>0</v>
      </c>
      <c r="G27" s="712">
        <f>SUMIFS(Sheet1!S71_ASBudgetAmount,Sheet1!S71_A4Code,$AC:$AC,Sheet1!S71_ItemType,$AD:$AD,Sheet1!S71_MasterVoteMunicipal,G$47)</f>
        <v>0</v>
      </c>
      <c r="H27" s="712">
        <f>SUMIFS(Sheet1!S71_ASBudgetAmount,Sheet1!S71_A4Code,$AC:$AC,Sheet1!S71_ItemType,$AD:$AD,Sheet1!S71_MasterVoteMunicipal,H$47)</f>
        <v>0</v>
      </c>
      <c r="I27" s="712">
        <f>SUMIFS(Sheet1!S71_ASBudgetAmount,Sheet1!S71_A4Code,$AC:$AC,Sheet1!S71_ItemType,$AD:$AD,Sheet1!S71_MasterVoteMunicipal,I$47)</f>
        <v>0</v>
      </c>
      <c r="J27" s="712">
        <f>SUMIFS(Sheet1!S71_ASBudgetAmount,Sheet1!S71_A4Code,$AC:$AC,Sheet1!S71_ItemType,$AD:$AD,Sheet1!S71_MasterVoteMunicipal,J$47)</f>
        <v>0</v>
      </c>
      <c r="K27" s="712">
        <f>SUMIFS(Sheet1!S71_ASBudgetAmount,Sheet1!S71_A4Code,$AC:$AC,Sheet1!S71_ItemType,$AD:$AD,Sheet1!S71_MasterVoteMunicipal,K$47)</f>
        <v>0</v>
      </c>
      <c r="L27" s="712">
        <f>SUMIFS(Sheet1!S71_ASBudgetAmount,Sheet1!S71_A4Code,$AC:$AC,Sheet1!S71_ItemType,$AD:$AD,Sheet1!S71_MasterVoteMunicipal,L$47)</f>
        <v>0</v>
      </c>
      <c r="M27" s="712">
        <f>SUMIFS(Sheet1!S71_ASBudgetAmount,Sheet1!S71_A4Code,$AC:$AC,Sheet1!S71_ItemType,$AD:$AD,Sheet1!S71_MasterVoteMunicipal,M$47)</f>
        <v>0</v>
      </c>
      <c r="N27" s="712">
        <f>SUMIFS(Sheet1!S71_ASBudgetAmount,Sheet1!S71_A4Code,$AC:$AC,Sheet1!S71_ItemType,$AD:$AD,Sheet1!S71_MasterVoteMunicipal,N$47)</f>
        <v>0</v>
      </c>
      <c r="O27" s="712">
        <f>SUMIFS(Sheet1!S71_ASBudgetAmount,Sheet1!S71_A4Code,$AC:$AC,Sheet1!S71_ItemType,$AD:$AD,Sheet1!S71_MasterVoteMunicipal,O$47)</f>
        <v>0</v>
      </c>
      <c r="P27" s="712">
        <f>SUMIFS(Sheet1!S71_ASBudgetAmount,Sheet1!S71_A4Code,$AC:$AC,Sheet1!S71_ItemType,$AD:$AD,Sheet1!S71_MasterVoteMunicipal,P$47)</f>
        <v>0</v>
      </c>
      <c r="Q27" s="712">
        <f>SUMIFS(Sheet1!S71_ASBudgetAmount,Sheet1!S71_A4Code,$AC:$AC,Sheet1!S71_ItemType,$AD:$AD,Sheet1!S71_MasterVoteMunicipal,Q$47)</f>
        <v>0</v>
      </c>
      <c r="R27" s="968">
        <f t="shared" si="2"/>
        <v>11609097</v>
      </c>
      <c r="AC27" s="2354" t="s">
        <v>2706</v>
      </c>
      <c r="AD27" s="2353" t="s">
        <v>2754</v>
      </c>
    </row>
    <row r="28" spans="1:30" ht="11.25" customHeight="1" x14ac:dyDescent="0.25">
      <c r="A28" s="136" t="str">
        <f>'A4-FinPerf RE'!A28</f>
        <v>Finance charges</v>
      </c>
      <c r="B28" s="675"/>
      <c r="C28" s="712">
        <f>SUMIFS(Sheet1!S71_ASBudgetAmount,Sheet1!S71_A4Code,$AC:$AC,Sheet1!S71_ItemType,$AD:$AD,Sheet1!S71_MasterVoteMunicipal,C$47)</f>
        <v>0</v>
      </c>
      <c r="D28" s="712">
        <f>SUMIFS(Sheet1!S71_ASBudgetAmount,Sheet1!S71_A4Code,$AC:$AC,Sheet1!S71_ItemType,$AD:$AD,Sheet1!S71_MasterVoteMunicipal,D$47)</f>
        <v>0</v>
      </c>
      <c r="E28" s="712">
        <f>SUMIFS(Sheet1!S71_ASBudgetAmount,Sheet1!S71_A4Code,$AC:$AC,Sheet1!S71_ItemType,$AD:$AD,Sheet1!S71_MasterVoteMunicipal,E$47)</f>
        <v>0</v>
      </c>
      <c r="F28" s="712">
        <f>SUMIFS(Sheet1!S71_ASBudgetAmount,Sheet1!S71_A4Code,$AC:$AC,Sheet1!S71_ItemType,$AD:$AD,Sheet1!S71_MasterVoteMunicipal,F$47)</f>
        <v>0</v>
      </c>
      <c r="G28" s="712">
        <f>SUMIFS(Sheet1!S71_ASBudgetAmount,Sheet1!S71_A4Code,$AC:$AC,Sheet1!S71_ItemType,$AD:$AD,Sheet1!S71_MasterVoteMunicipal,G$47)</f>
        <v>0</v>
      </c>
      <c r="H28" s="712">
        <f>SUMIFS(Sheet1!S71_ASBudgetAmount,Sheet1!S71_A4Code,$AC:$AC,Sheet1!S71_ItemType,$AD:$AD,Sheet1!S71_MasterVoteMunicipal,H$47)</f>
        <v>0</v>
      </c>
      <c r="I28" s="712">
        <f>SUMIFS(Sheet1!S71_ASBudgetAmount,Sheet1!S71_A4Code,$AC:$AC,Sheet1!S71_ItemType,$AD:$AD,Sheet1!S71_MasterVoteMunicipal,I$47)</f>
        <v>0</v>
      </c>
      <c r="J28" s="712">
        <f>SUMIFS(Sheet1!S71_ASBudgetAmount,Sheet1!S71_A4Code,$AC:$AC,Sheet1!S71_ItemType,$AD:$AD,Sheet1!S71_MasterVoteMunicipal,J$47)</f>
        <v>0</v>
      </c>
      <c r="K28" s="712">
        <f>SUMIFS(Sheet1!S71_ASBudgetAmount,Sheet1!S71_A4Code,$AC:$AC,Sheet1!S71_ItemType,$AD:$AD,Sheet1!S71_MasterVoteMunicipal,K$47)</f>
        <v>0</v>
      </c>
      <c r="L28" s="712">
        <f>SUMIFS(Sheet1!S71_ASBudgetAmount,Sheet1!S71_A4Code,$AC:$AC,Sheet1!S71_ItemType,$AD:$AD,Sheet1!S71_MasterVoteMunicipal,L$47)</f>
        <v>0</v>
      </c>
      <c r="M28" s="712">
        <f>SUMIFS(Sheet1!S71_ASBudgetAmount,Sheet1!S71_A4Code,$AC:$AC,Sheet1!S71_ItemType,$AD:$AD,Sheet1!S71_MasterVoteMunicipal,M$47)</f>
        <v>0</v>
      </c>
      <c r="N28" s="712">
        <f>SUMIFS(Sheet1!S71_ASBudgetAmount,Sheet1!S71_A4Code,$AC:$AC,Sheet1!S71_ItemType,$AD:$AD,Sheet1!S71_MasterVoteMunicipal,N$47)</f>
        <v>0</v>
      </c>
      <c r="O28" s="712">
        <f>SUMIFS(Sheet1!S71_ASBudgetAmount,Sheet1!S71_A4Code,$AC:$AC,Sheet1!S71_ItemType,$AD:$AD,Sheet1!S71_MasterVoteMunicipal,O$47)</f>
        <v>0</v>
      </c>
      <c r="P28" s="712">
        <f>SUMIFS(Sheet1!S71_ASBudgetAmount,Sheet1!S71_A4Code,$AC:$AC,Sheet1!S71_ItemType,$AD:$AD,Sheet1!S71_MasterVoteMunicipal,P$47)</f>
        <v>0</v>
      </c>
      <c r="Q28" s="712">
        <f>SUMIFS(Sheet1!S71_ASBudgetAmount,Sheet1!S71_A4Code,$AC:$AC,Sheet1!S71_ItemType,$AD:$AD,Sheet1!S71_MasterVoteMunicipal,Q$47)</f>
        <v>0</v>
      </c>
      <c r="R28" s="968">
        <f t="shared" si="2"/>
        <v>0</v>
      </c>
      <c r="AC28" s="2354" t="s">
        <v>2707</v>
      </c>
      <c r="AD28" s="2353" t="s">
        <v>2754</v>
      </c>
    </row>
    <row r="29" spans="1:30" ht="11.25" customHeight="1" x14ac:dyDescent="0.25">
      <c r="A29" s="136" t="str">
        <f>'A4-FinPerf RE'!A29</f>
        <v>Bulk purchases - electricity</v>
      </c>
      <c r="B29" s="675"/>
      <c r="C29" s="712">
        <f>SUMIFS(Sheet1!S71_ASBudgetAmount,Sheet1!S71_A4Code,$AC:$AC,Sheet1!S71_ItemType,$AD:$AD,Sheet1!S71_MasterVoteMunicipal,C$47)</f>
        <v>0</v>
      </c>
      <c r="D29" s="712">
        <f>SUMIFS(Sheet1!S71_ASBudgetAmount,Sheet1!S71_A4Code,$AC:$AC,Sheet1!S71_ItemType,$AD:$AD,Sheet1!S71_MasterVoteMunicipal,D$47)</f>
        <v>0</v>
      </c>
      <c r="E29" s="712">
        <f>SUMIFS(Sheet1!S71_ASBudgetAmount,Sheet1!S71_A4Code,$AC:$AC,Sheet1!S71_ItemType,$AD:$AD,Sheet1!S71_MasterVoteMunicipal,E$47)</f>
        <v>0</v>
      </c>
      <c r="F29" s="712">
        <f>SUMIFS(Sheet1!S71_ASBudgetAmount,Sheet1!S71_A4Code,$AC:$AC,Sheet1!S71_ItemType,$AD:$AD,Sheet1!S71_MasterVoteMunicipal,F$47)</f>
        <v>0</v>
      </c>
      <c r="G29" s="712">
        <f>SUMIFS(Sheet1!S71_ASBudgetAmount,Sheet1!S71_A4Code,$AC:$AC,Sheet1!S71_ItemType,$AD:$AD,Sheet1!S71_MasterVoteMunicipal,G$47)</f>
        <v>0</v>
      </c>
      <c r="H29" s="712">
        <f>SUMIFS(Sheet1!S71_ASBudgetAmount,Sheet1!S71_A4Code,$AC:$AC,Sheet1!S71_ItemType,$AD:$AD,Sheet1!S71_MasterVoteMunicipal,H$47)</f>
        <v>0</v>
      </c>
      <c r="I29" s="712">
        <f>SUMIFS(Sheet1!S71_ASBudgetAmount,Sheet1!S71_A4Code,$AC:$AC,Sheet1!S71_ItemType,$AD:$AD,Sheet1!S71_MasterVoteMunicipal,I$47)</f>
        <v>0</v>
      </c>
      <c r="J29" s="712">
        <f>SUMIFS(Sheet1!S71_ASBudgetAmount,Sheet1!S71_A4Code,$AC:$AC,Sheet1!S71_ItemType,$AD:$AD,Sheet1!S71_MasterVoteMunicipal,J$47)</f>
        <v>0</v>
      </c>
      <c r="K29" s="712">
        <f>SUMIFS(Sheet1!S71_ASBudgetAmount,Sheet1!S71_A4Code,$AC:$AC,Sheet1!S71_ItemType,$AD:$AD,Sheet1!S71_MasterVoteMunicipal,K$47)</f>
        <v>0</v>
      </c>
      <c r="L29" s="712">
        <f>SUMIFS(Sheet1!S71_ASBudgetAmount,Sheet1!S71_A4Code,$AC:$AC,Sheet1!S71_ItemType,$AD:$AD,Sheet1!S71_MasterVoteMunicipal,L$47)</f>
        <v>0</v>
      </c>
      <c r="M29" s="712">
        <f>SUMIFS(Sheet1!S71_ASBudgetAmount,Sheet1!S71_A4Code,$AC:$AC,Sheet1!S71_ItemType,$AD:$AD,Sheet1!S71_MasterVoteMunicipal,M$47)</f>
        <v>0</v>
      </c>
      <c r="N29" s="712">
        <f>SUMIFS(Sheet1!S71_ASBudgetAmount,Sheet1!S71_A4Code,$AC:$AC,Sheet1!S71_ItemType,$AD:$AD,Sheet1!S71_MasterVoteMunicipal,N$47)</f>
        <v>0</v>
      </c>
      <c r="O29" s="712">
        <f>SUMIFS(Sheet1!S71_ASBudgetAmount,Sheet1!S71_A4Code,$AC:$AC,Sheet1!S71_ItemType,$AD:$AD,Sheet1!S71_MasterVoteMunicipal,O$47)</f>
        <v>0</v>
      </c>
      <c r="P29" s="712">
        <f>SUMIFS(Sheet1!S71_ASBudgetAmount,Sheet1!S71_A4Code,$AC:$AC,Sheet1!S71_ItemType,$AD:$AD,Sheet1!S71_MasterVoteMunicipal,P$47)</f>
        <v>0</v>
      </c>
      <c r="Q29" s="712">
        <f>SUMIFS(Sheet1!S71_ASBudgetAmount,Sheet1!S71_A4Code,$AC:$AC,Sheet1!S71_ItemType,$AD:$AD,Sheet1!S71_MasterVoteMunicipal,Q$47)</f>
        <v>0</v>
      </c>
      <c r="R29" s="968">
        <f t="shared" si="2"/>
        <v>0</v>
      </c>
      <c r="AC29" s="2354" t="s">
        <v>2708</v>
      </c>
      <c r="AD29" s="2353" t="s">
        <v>2754</v>
      </c>
    </row>
    <row r="30" spans="1:30" ht="11.25" customHeight="1" x14ac:dyDescent="0.25">
      <c r="A30" s="136" t="str">
        <f>'A4-FinPerf RE'!A30</f>
        <v>Inventory consumed</v>
      </c>
      <c r="B30" s="675"/>
      <c r="C30" s="712">
        <f>SUMIFS(Sheet1!S71_ASBudgetAmount,Sheet1!S71_A4Code,$AC:$AC,Sheet1!S71_ItemType,$AD:$AD,Sheet1!S71_MasterVoteMunicipal,C$47)</f>
        <v>685740</v>
      </c>
      <c r="D30" s="712">
        <f>SUMIFS(Sheet1!S71_ASBudgetAmount,Sheet1!S71_A4Code,$AC:$AC,Sheet1!S71_ItemType,$AD:$AD,Sheet1!S71_MasterVoteMunicipal,D$47)</f>
        <v>250000</v>
      </c>
      <c r="E30" s="712">
        <f>SUMIFS(Sheet1!S71_ASBudgetAmount,Sheet1!S71_A4Code,$AC:$AC,Sheet1!S71_ItemType,$AD:$AD,Sheet1!S71_MasterVoteMunicipal,E$47)</f>
        <v>2805300</v>
      </c>
      <c r="F30" s="712">
        <f>SUMIFS(Sheet1!S71_ASBudgetAmount,Sheet1!S71_A4Code,$AC:$AC,Sheet1!S71_ItemType,$AD:$AD,Sheet1!S71_MasterVoteMunicipal,F$47)</f>
        <v>1740000</v>
      </c>
      <c r="G30" s="712">
        <f>SUMIFS(Sheet1!S71_ASBudgetAmount,Sheet1!S71_A4Code,$AC:$AC,Sheet1!S71_ItemType,$AD:$AD,Sheet1!S71_MasterVoteMunicipal,G$47)</f>
        <v>0</v>
      </c>
      <c r="H30" s="712">
        <f>SUMIFS(Sheet1!S71_ASBudgetAmount,Sheet1!S71_A4Code,$AC:$AC,Sheet1!S71_ItemType,$AD:$AD,Sheet1!S71_MasterVoteMunicipal,H$47)</f>
        <v>0</v>
      </c>
      <c r="I30" s="712">
        <f>SUMIFS(Sheet1!S71_ASBudgetAmount,Sheet1!S71_A4Code,$AC:$AC,Sheet1!S71_ItemType,$AD:$AD,Sheet1!S71_MasterVoteMunicipal,I$47)</f>
        <v>0</v>
      </c>
      <c r="J30" s="712">
        <f>SUMIFS(Sheet1!S71_ASBudgetAmount,Sheet1!S71_A4Code,$AC:$AC,Sheet1!S71_ItemType,$AD:$AD,Sheet1!S71_MasterVoteMunicipal,J$47)</f>
        <v>20000</v>
      </c>
      <c r="K30" s="712">
        <f>SUMIFS(Sheet1!S71_ASBudgetAmount,Sheet1!S71_A4Code,$AC:$AC,Sheet1!S71_ItemType,$AD:$AD,Sheet1!S71_MasterVoteMunicipal,K$47)</f>
        <v>320000</v>
      </c>
      <c r="L30" s="712">
        <f>SUMIFS(Sheet1!S71_ASBudgetAmount,Sheet1!S71_A4Code,$AC:$AC,Sheet1!S71_ItemType,$AD:$AD,Sheet1!S71_MasterVoteMunicipal,L$47)</f>
        <v>0</v>
      </c>
      <c r="M30" s="712">
        <f>SUMIFS(Sheet1!S71_ASBudgetAmount,Sheet1!S71_A4Code,$AC:$AC,Sheet1!S71_ItemType,$AD:$AD,Sheet1!S71_MasterVoteMunicipal,M$47)</f>
        <v>0</v>
      </c>
      <c r="N30" s="712">
        <f>SUMIFS(Sheet1!S71_ASBudgetAmount,Sheet1!S71_A4Code,$AC:$AC,Sheet1!S71_ItemType,$AD:$AD,Sheet1!S71_MasterVoteMunicipal,N$47)</f>
        <v>230000</v>
      </c>
      <c r="O30" s="712">
        <f>SUMIFS(Sheet1!S71_ASBudgetAmount,Sheet1!S71_A4Code,$AC:$AC,Sheet1!S71_ItemType,$AD:$AD,Sheet1!S71_MasterVoteMunicipal,O$47)</f>
        <v>0</v>
      </c>
      <c r="P30" s="712">
        <f>SUMIFS(Sheet1!S71_ASBudgetAmount,Sheet1!S71_A4Code,$AC:$AC,Sheet1!S71_ItemType,$AD:$AD,Sheet1!S71_MasterVoteMunicipal,P$47)</f>
        <v>0</v>
      </c>
      <c r="Q30" s="712">
        <f>SUMIFS(Sheet1!S71_ASBudgetAmount,Sheet1!S71_A4Code,$AC:$AC,Sheet1!S71_ItemType,$AD:$AD,Sheet1!S71_MasterVoteMunicipal,Q$47)</f>
        <v>0</v>
      </c>
      <c r="R30" s="968">
        <f t="shared" si="2"/>
        <v>6051040</v>
      </c>
      <c r="AC30" s="2354" t="s">
        <v>2709</v>
      </c>
      <c r="AD30" s="2353" t="s">
        <v>2754</v>
      </c>
    </row>
    <row r="31" spans="1:30" ht="11.25" customHeight="1" x14ac:dyDescent="0.25">
      <c r="A31" s="136" t="str">
        <f>'A4-FinPerf RE'!A31</f>
        <v>Contracted services</v>
      </c>
      <c r="B31" s="675"/>
      <c r="C31" s="712">
        <f>SUMIFS(Sheet1!S71_ASBudgetAmount,Sheet1!S71_A4Code,$AC:$AC,Sheet1!S71_ItemType,$AD:$AD,Sheet1!S71_MasterVoteMunicipal,C$47)</f>
        <v>18373046</v>
      </c>
      <c r="D31" s="712">
        <f>SUMIFS(Sheet1!S71_ASBudgetAmount,Sheet1!S71_A4Code,$AC:$AC,Sheet1!S71_ItemType,$AD:$AD,Sheet1!S71_MasterVoteMunicipal,D$47)</f>
        <v>0</v>
      </c>
      <c r="E31" s="712">
        <f>SUMIFS(Sheet1!S71_ASBudgetAmount,Sheet1!S71_A4Code,$AC:$AC,Sheet1!S71_ItemType,$AD:$AD,Sheet1!S71_MasterVoteMunicipal,E$47)</f>
        <v>3688450</v>
      </c>
      <c r="F31" s="712">
        <f>SUMIFS(Sheet1!S71_ASBudgetAmount,Sheet1!S71_A4Code,$AC:$AC,Sheet1!S71_ItemType,$AD:$AD,Sheet1!S71_MasterVoteMunicipal,F$47)</f>
        <v>2804950</v>
      </c>
      <c r="G31" s="712">
        <f>SUMIFS(Sheet1!S71_ASBudgetAmount,Sheet1!S71_A4Code,$AC:$AC,Sheet1!S71_ItemType,$AD:$AD,Sheet1!S71_MasterVoteMunicipal,G$47)</f>
        <v>5680000</v>
      </c>
      <c r="H31" s="712">
        <f>SUMIFS(Sheet1!S71_ASBudgetAmount,Sheet1!S71_A4Code,$AC:$AC,Sheet1!S71_ItemType,$AD:$AD,Sheet1!S71_MasterVoteMunicipal,H$47)</f>
        <v>0</v>
      </c>
      <c r="I31" s="712">
        <f>SUMIFS(Sheet1!S71_ASBudgetAmount,Sheet1!S71_A4Code,$AC:$AC,Sheet1!S71_ItemType,$AD:$AD,Sheet1!S71_MasterVoteMunicipal,I$47)</f>
        <v>9800000</v>
      </c>
      <c r="J31" s="712">
        <f>SUMIFS(Sheet1!S71_ASBudgetAmount,Sheet1!S71_A4Code,$AC:$AC,Sheet1!S71_ItemType,$AD:$AD,Sheet1!S71_MasterVoteMunicipal,J$47)</f>
        <v>240000</v>
      </c>
      <c r="K31" s="712">
        <f>SUMIFS(Sheet1!S71_ASBudgetAmount,Sheet1!S71_A4Code,$AC:$AC,Sheet1!S71_ItemType,$AD:$AD,Sheet1!S71_MasterVoteMunicipal,K$47)</f>
        <v>2520000</v>
      </c>
      <c r="L31" s="712">
        <f>SUMIFS(Sheet1!S71_ASBudgetAmount,Sheet1!S71_A4Code,$AC:$AC,Sheet1!S71_ItemType,$AD:$AD,Sheet1!S71_MasterVoteMunicipal,L$47)</f>
        <v>0</v>
      </c>
      <c r="M31" s="712">
        <f>SUMIFS(Sheet1!S71_ASBudgetAmount,Sheet1!S71_A4Code,$AC:$AC,Sheet1!S71_ItemType,$AD:$AD,Sheet1!S71_MasterVoteMunicipal,M$47)</f>
        <v>0</v>
      </c>
      <c r="N31" s="712">
        <f>SUMIFS(Sheet1!S71_ASBudgetAmount,Sheet1!S71_A4Code,$AC:$AC,Sheet1!S71_ItemType,$AD:$AD,Sheet1!S71_MasterVoteMunicipal,N$47)</f>
        <v>30000</v>
      </c>
      <c r="O31" s="712">
        <f>SUMIFS(Sheet1!S71_ASBudgetAmount,Sheet1!S71_A4Code,$AC:$AC,Sheet1!S71_ItemType,$AD:$AD,Sheet1!S71_MasterVoteMunicipal,O$47)</f>
        <v>0</v>
      </c>
      <c r="P31" s="712">
        <f>SUMIFS(Sheet1!S71_ASBudgetAmount,Sheet1!S71_A4Code,$AC:$AC,Sheet1!S71_ItemType,$AD:$AD,Sheet1!S71_MasterVoteMunicipal,P$47)</f>
        <v>0</v>
      </c>
      <c r="Q31" s="712">
        <f>SUMIFS(Sheet1!S71_ASBudgetAmount,Sheet1!S71_A4Code,$AC:$AC,Sheet1!S71_ItemType,$AD:$AD,Sheet1!S71_MasterVoteMunicipal,Q$47)</f>
        <v>260000</v>
      </c>
      <c r="R31" s="968">
        <f t="shared" si="2"/>
        <v>43396446</v>
      </c>
      <c r="AC31" s="2354" t="s">
        <v>2710</v>
      </c>
      <c r="AD31" s="2353" t="s">
        <v>2754</v>
      </c>
    </row>
    <row r="32" spans="1:30" ht="11.25" customHeight="1" x14ac:dyDescent="0.25">
      <c r="A32" s="136" t="str">
        <f>'A4-FinPerf RE'!A32</f>
        <v>Transfers and subsidies</v>
      </c>
      <c r="B32" s="675"/>
      <c r="C32" s="712">
        <f>SUMIFS(Sheet1!S71_ASBudgetAmount,Sheet1!S71_A4Code,$AC:$AC,Sheet1!S71_ItemType,$AD:$AD,Sheet1!S71_MasterVoteMunicipal,C$47)</f>
        <v>0</v>
      </c>
      <c r="D32" s="712">
        <f>SUMIFS(Sheet1!S71_ASBudgetAmount,Sheet1!S71_A4Code,$AC:$AC,Sheet1!S71_ItemType,$AD:$AD,Sheet1!S71_MasterVoteMunicipal,D$47)</f>
        <v>0</v>
      </c>
      <c r="E32" s="712">
        <f>SUMIFS(Sheet1!S71_ASBudgetAmount,Sheet1!S71_A4Code,$AC:$AC,Sheet1!S71_ItemType,$AD:$AD,Sheet1!S71_MasterVoteMunicipal,E$47)</f>
        <v>0</v>
      </c>
      <c r="F32" s="712">
        <f>SUMIFS(Sheet1!S71_ASBudgetAmount,Sheet1!S71_A4Code,$AC:$AC,Sheet1!S71_ItemType,$AD:$AD,Sheet1!S71_MasterVoteMunicipal,F$47)</f>
        <v>0</v>
      </c>
      <c r="G32" s="712">
        <f>SUMIFS(Sheet1!S71_ASBudgetAmount,Sheet1!S71_A4Code,$AC:$AC,Sheet1!S71_ItemType,$AD:$AD,Sheet1!S71_MasterVoteMunicipal,G$47)</f>
        <v>0</v>
      </c>
      <c r="H32" s="712">
        <f>SUMIFS(Sheet1!S71_ASBudgetAmount,Sheet1!S71_A4Code,$AC:$AC,Sheet1!S71_ItemType,$AD:$AD,Sheet1!S71_MasterVoteMunicipal,H$47)</f>
        <v>0</v>
      </c>
      <c r="I32" s="712">
        <f>SUMIFS(Sheet1!S71_ASBudgetAmount,Sheet1!S71_A4Code,$AC:$AC,Sheet1!S71_ItemType,$AD:$AD,Sheet1!S71_MasterVoteMunicipal,I$47)</f>
        <v>0</v>
      </c>
      <c r="J32" s="712">
        <f>SUMIFS(Sheet1!S71_ASBudgetAmount,Sheet1!S71_A4Code,$AC:$AC,Sheet1!S71_ItemType,$AD:$AD,Sheet1!S71_MasterVoteMunicipal,J$47)</f>
        <v>0</v>
      </c>
      <c r="K32" s="712">
        <f>SUMIFS(Sheet1!S71_ASBudgetAmount,Sheet1!S71_A4Code,$AC:$AC,Sheet1!S71_ItemType,$AD:$AD,Sheet1!S71_MasterVoteMunicipal,K$47)</f>
        <v>0</v>
      </c>
      <c r="L32" s="712">
        <f>SUMIFS(Sheet1!S71_ASBudgetAmount,Sheet1!S71_A4Code,$AC:$AC,Sheet1!S71_ItemType,$AD:$AD,Sheet1!S71_MasterVoteMunicipal,L$47)</f>
        <v>0</v>
      </c>
      <c r="M32" s="712">
        <f>SUMIFS(Sheet1!S71_ASBudgetAmount,Sheet1!S71_A4Code,$AC:$AC,Sheet1!S71_ItemType,$AD:$AD,Sheet1!S71_MasterVoteMunicipal,M$47)</f>
        <v>0</v>
      </c>
      <c r="N32" s="712">
        <f>SUMIFS(Sheet1!S71_ASBudgetAmount,Sheet1!S71_A4Code,$AC:$AC,Sheet1!S71_ItemType,$AD:$AD,Sheet1!S71_MasterVoteMunicipal,N$47)</f>
        <v>0</v>
      </c>
      <c r="O32" s="712">
        <f>SUMIFS(Sheet1!S71_ASBudgetAmount,Sheet1!S71_A4Code,$AC:$AC,Sheet1!S71_ItemType,$AD:$AD,Sheet1!S71_MasterVoteMunicipal,O$47)</f>
        <v>0</v>
      </c>
      <c r="P32" s="712">
        <f>SUMIFS(Sheet1!S71_ASBudgetAmount,Sheet1!S71_A4Code,$AC:$AC,Sheet1!S71_ItemType,$AD:$AD,Sheet1!S71_MasterVoteMunicipal,P$47)</f>
        <v>0</v>
      </c>
      <c r="Q32" s="712">
        <f>SUMIFS(Sheet1!S71_ASBudgetAmount,Sheet1!S71_A4Code,$AC:$AC,Sheet1!S71_ItemType,$AD:$AD,Sheet1!S71_MasterVoteMunicipal,Q$47)</f>
        <v>0</v>
      </c>
      <c r="R32" s="968">
        <f t="shared" si="2"/>
        <v>0</v>
      </c>
      <c r="AC32" s="2354" t="s">
        <v>2711</v>
      </c>
      <c r="AD32" s="2353" t="s">
        <v>2754</v>
      </c>
    </row>
    <row r="33" spans="1:30" ht="11.25" customHeight="1" x14ac:dyDescent="0.25">
      <c r="A33" s="136" t="str">
        <f>'A4-FinPerf RE'!A33</f>
        <v>Other expenditure</v>
      </c>
      <c r="B33" s="675"/>
      <c r="C33" s="712">
        <f>SUMIFS(Sheet1!S71_ASBudgetAmount,Sheet1!S71_A4Code,$AC:$AC,Sheet1!S71_ItemType,$AD:$AD,Sheet1!S71_MasterVoteMunicipal,C$47)</f>
        <v>11162818</v>
      </c>
      <c r="D33" s="712">
        <f>SUMIFS(Sheet1!S71_ASBudgetAmount,Sheet1!S71_A4Code,$AC:$AC,Sheet1!S71_ItemType,$AD:$AD,Sheet1!S71_MasterVoteMunicipal,D$47)</f>
        <v>0</v>
      </c>
      <c r="E33" s="712">
        <f>SUMIFS(Sheet1!S71_ASBudgetAmount,Sheet1!S71_A4Code,$AC:$AC,Sheet1!S71_ItemType,$AD:$AD,Sheet1!S71_MasterVoteMunicipal,E$47)</f>
        <v>3286568</v>
      </c>
      <c r="F33" s="712">
        <f>SUMIFS(Sheet1!S71_ASBudgetAmount,Sheet1!S71_A4Code,$AC:$AC,Sheet1!S71_ItemType,$AD:$AD,Sheet1!S71_MasterVoteMunicipal,F$47)</f>
        <v>3754149</v>
      </c>
      <c r="G33" s="712">
        <f>SUMIFS(Sheet1!S71_ASBudgetAmount,Sheet1!S71_A4Code,$AC:$AC,Sheet1!S71_ItemType,$AD:$AD,Sheet1!S71_MasterVoteMunicipal,G$47)</f>
        <v>2220000</v>
      </c>
      <c r="H33" s="712">
        <f>SUMIFS(Sheet1!S71_ASBudgetAmount,Sheet1!S71_A4Code,$AC:$AC,Sheet1!S71_ItemType,$AD:$AD,Sheet1!S71_MasterVoteMunicipal,H$47)</f>
        <v>0</v>
      </c>
      <c r="I33" s="712">
        <f>SUMIFS(Sheet1!S71_ASBudgetAmount,Sheet1!S71_A4Code,$AC:$AC,Sheet1!S71_ItemType,$AD:$AD,Sheet1!S71_MasterVoteMunicipal,I$47)</f>
        <v>0</v>
      </c>
      <c r="J33" s="712">
        <f>SUMIFS(Sheet1!S71_ASBudgetAmount,Sheet1!S71_A4Code,$AC:$AC,Sheet1!S71_ItemType,$AD:$AD,Sheet1!S71_MasterVoteMunicipal,J$47)</f>
        <v>311700</v>
      </c>
      <c r="K33" s="712">
        <f>SUMIFS(Sheet1!S71_ASBudgetAmount,Sheet1!S71_A4Code,$AC:$AC,Sheet1!S71_ItemType,$AD:$AD,Sheet1!S71_MasterVoteMunicipal,K$47)</f>
        <v>630000</v>
      </c>
      <c r="L33" s="712">
        <f>SUMIFS(Sheet1!S71_ASBudgetAmount,Sheet1!S71_A4Code,$AC:$AC,Sheet1!S71_ItemType,$AD:$AD,Sheet1!S71_MasterVoteMunicipal,L$47)</f>
        <v>0</v>
      </c>
      <c r="M33" s="712">
        <f>SUMIFS(Sheet1!S71_ASBudgetAmount,Sheet1!S71_A4Code,$AC:$AC,Sheet1!S71_ItemType,$AD:$AD,Sheet1!S71_MasterVoteMunicipal,M$47)</f>
        <v>1484602</v>
      </c>
      <c r="N33" s="712">
        <f>SUMIFS(Sheet1!S71_ASBudgetAmount,Sheet1!S71_A4Code,$AC:$AC,Sheet1!S71_ItemType,$AD:$AD,Sheet1!S71_MasterVoteMunicipal,N$47)</f>
        <v>525000</v>
      </c>
      <c r="O33" s="712">
        <f>SUMIFS(Sheet1!S71_ASBudgetAmount,Sheet1!S71_A4Code,$AC:$AC,Sheet1!S71_ItemType,$AD:$AD,Sheet1!S71_MasterVoteMunicipal,O$47)</f>
        <v>0</v>
      </c>
      <c r="P33" s="712">
        <f>SUMIFS(Sheet1!S71_ASBudgetAmount,Sheet1!S71_A4Code,$AC:$AC,Sheet1!S71_ItemType,$AD:$AD,Sheet1!S71_MasterVoteMunicipal,P$47)</f>
        <v>0</v>
      </c>
      <c r="Q33" s="712">
        <f>SUMIFS(Sheet1!S71_ASBudgetAmount,Sheet1!S71_A4Code,$AC:$AC,Sheet1!S71_ItemType,$AD:$AD,Sheet1!S71_MasterVoteMunicipal,Q$47)</f>
        <v>80000</v>
      </c>
      <c r="R33" s="968">
        <f t="shared" si="2"/>
        <v>23454837</v>
      </c>
      <c r="AC33" s="2354" t="s">
        <v>2712</v>
      </c>
      <c r="AD33" s="2353" t="s">
        <v>2754</v>
      </c>
    </row>
    <row r="34" spans="1:30" ht="11.25" customHeight="1" x14ac:dyDescent="0.25">
      <c r="A34" s="136" t="str">
        <f>'A4-FinPerf RE'!A34</f>
        <v>Losses</v>
      </c>
      <c r="B34" s="675"/>
      <c r="C34" s="712">
        <f>SUMIFS(Sheet1!S71_ASBudgetAmount,Sheet1!S71_A4Code,$AC:$AC,Sheet1!S71_ItemType,$AD:$AD,Sheet1!S71_MasterVoteMunicipal,C$47)</f>
        <v>0</v>
      </c>
      <c r="D34" s="712">
        <f>SUMIFS(Sheet1!S71_ASBudgetAmount,Sheet1!S71_A4Code,$AC:$AC,Sheet1!S71_ItemType,$AD:$AD,Sheet1!S71_MasterVoteMunicipal,D$47)</f>
        <v>0</v>
      </c>
      <c r="E34" s="712">
        <f>SUMIFS(Sheet1!S71_ASBudgetAmount,Sheet1!S71_A4Code,$AC:$AC,Sheet1!S71_ItemType,$AD:$AD,Sheet1!S71_MasterVoteMunicipal,E$47)</f>
        <v>0</v>
      </c>
      <c r="F34" s="712">
        <f>SUMIFS(Sheet1!S71_ASBudgetAmount,Sheet1!S71_A4Code,$AC:$AC,Sheet1!S71_ItemType,$AD:$AD,Sheet1!S71_MasterVoteMunicipal,F$47)</f>
        <v>0</v>
      </c>
      <c r="G34" s="712">
        <f>SUMIFS(Sheet1!S71_ASBudgetAmount,Sheet1!S71_A4Code,$AC:$AC,Sheet1!S71_ItemType,$AD:$AD,Sheet1!S71_MasterVoteMunicipal,G$47)</f>
        <v>0</v>
      </c>
      <c r="H34" s="712">
        <f>SUMIFS(Sheet1!S71_ASBudgetAmount,Sheet1!S71_A4Code,$AC:$AC,Sheet1!S71_ItemType,$AD:$AD,Sheet1!S71_MasterVoteMunicipal,H$47)</f>
        <v>0</v>
      </c>
      <c r="I34" s="712">
        <f>SUMIFS(Sheet1!S71_ASBudgetAmount,Sheet1!S71_A4Code,$AC:$AC,Sheet1!S71_ItemType,$AD:$AD,Sheet1!S71_MasterVoteMunicipal,I$47)</f>
        <v>0</v>
      </c>
      <c r="J34" s="712">
        <f>SUMIFS(Sheet1!S71_ASBudgetAmount,Sheet1!S71_A4Code,$AC:$AC,Sheet1!S71_ItemType,$AD:$AD,Sheet1!S71_MasterVoteMunicipal,J$47)</f>
        <v>0</v>
      </c>
      <c r="K34" s="712">
        <f>SUMIFS(Sheet1!S71_ASBudgetAmount,Sheet1!S71_A4Code,$AC:$AC,Sheet1!S71_ItemType,$AD:$AD,Sheet1!S71_MasterVoteMunicipal,K$47)</f>
        <v>0</v>
      </c>
      <c r="L34" s="712">
        <f>SUMIFS(Sheet1!S71_ASBudgetAmount,Sheet1!S71_A4Code,$AC:$AC,Sheet1!S71_ItemType,$AD:$AD,Sheet1!S71_MasterVoteMunicipal,L$47)</f>
        <v>0</v>
      </c>
      <c r="M34" s="712">
        <f>SUMIFS(Sheet1!S71_ASBudgetAmount,Sheet1!S71_A4Code,$AC:$AC,Sheet1!S71_ItemType,$AD:$AD,Sheet1!S71_MasterVoteMunicipal,M$47)</f>
        <v>0</v>
      </c>
      <c r="N34" s="712">
        <f>SUMIFS(Sheet1!S71_ASBudgetAmount,Sheet1!S71_A4Code,$AC:$AC,Sheet1!S71_ItemType,$AD:$AD,Sheet1!S71_MasterVoteMunicipal,N$47)</f>
        <v>0</v>
      </c>
      <c r="O34" s="712">
        <f>SUMIFS(Sheet1!S71_ASBudgetAmount,Sheet1!S71_A4Code,$AC:$AC,Sheet1!S71_ItemType,$AD:$AD,Sheet1!S71_MasterVoteMunicipal,O$47)</f>
        <v>0</v>
      </c>
      <c r="P34" s="712">
        <f>SUMIFS(Sheet1!S71_ASBudgetAmount,Sheet1!S71_A4Code,$AC:$AC,Sheet1!S71_ItemType,$AD:$AD,Sheet1!S71_MasterVoteMunicipal,P$47)</f>
        <v>0</v>
      </c>
      <c r="Q34" s="712">
        <f>SUMIFS(Sheet1!S71_ASBudgetAmount,Sheet1!S71_A4Code,$AC:$AC,Sheet1!S71_ItemType,$AD:$AD,Sheet1!S71_MasterVoteMunicipal,Q$47)</f>
        <v>0</v>
      </c>
      <c r="R34" s="968">
        <f t="shared" si="2"/>
        <v>0</v>
      </c>
      <c r="AC34" s="2354" t="s">
        <v>2713</v>
      </c>
      <c r="AD34" s="2353" t="s">
        <v>2754</v>
      </c>
    </row>
    <row r="35" spans="1:30" ht="11.25" customHeight="1" x14ac:dyDescent="0.25">
      <c r="A35" s="801" t="s">
        <v>1441</v>
      </c>
      <c r="B35" s="711"/>
      <c r="C35" s="535">
        <f t="shared" ref="C35:R35" si="3">SUM(C24:C34)</f>
        <v>62283186</v>
      </c>
      <c r="D35" s="535">
        <f t="shared" si="3"/>
        <v>250000</v>
      </c>
      <c r="E35" s="535">
        <f t="shared" si="3"/>
        <v>22480589</v>
      </c>
      <c r="F35" s="535">
        <f t="shared" si="3"/>
        <v>10995183</v>
      </c>
      <c r="G35" s="535">
        <f t="shared" si="3"/>
        <v>16141704</v>
      </c>
      <c r="H35" s="535">
        <f t="shared" si="3"/>
        <v>0</v>
      </c>
      <c r="I35" s="535">
        <f t="shared" si="3"/>
        <v>16760001</v>
      </c>
      <c r="J35" s="535">
        <f t="shared" si="3"/>
        <v>571700</v>
      </c>
      <c r="K35" s="535">
        <f t="shared" si="3"/>
        <v>3470000</v>
      </c>
      <c r="L35" s="535">
        <f t="shared" si="3"/>
        <v>0</v>
      </c>
      <c r="M35" s="535">
        <f t="shared" si="3"/>
        <v>6925101</v>
      </c>
      <c r="N35" s="535">
        <f t="shared" si="3"/>
        <v>2685000</v>
      </c>
      <c r="O35" s="535">
        <f t="shared" si="3"/>
        <v>0</v>
      </c>
      <c r="P35" s="535">
        <f t="shared" si="3"/>
        <v>0</v>
      </c>
      <c r="Q35" s="535">
        <f t="shared" si="3"/>
        <v>340000</v>
      </c>
      <c r="R35" s="969">
        <f t="shared" si="3"/>
        <v>142902464</v>
      </c>
      <c r="AC35" s="2315"/>
      <c r="AD35" s="2315"/>
    </row>
    <row r="36" spans="1:30" ht="4.9000000000000004" customHeight="1" x14ac:dyDescent="0.25">
      <c r="A36" s="176"/>
      <c r="B36" s="711"/>
      <c r="C36" s="545"/>
      <c r="D36" s="545"/>
      <c r="E36" s="545"/>
      <c r="F36" s="545"/>
      <c r="G36" s="545"/>
      <c r="H36" s="545"/>
      <c r="I36" s="545"/>
      <c r="J36" s="545"/>
      <c r="K36" s="545"/>
      <c r="L36" s="545"/>
      <c r="M36" s="545"/>
      <c r="N36" s="545"/>
      <c r="O36" s="545"/>
      <c r="P36" s="545"/>
      <c r="Q36" s="545"/>
      <c r="R36" s="968"/>
      <c r="AC36" s="2315"/>
      <c r="AD36" s="2315"/>
    </row>
    <row r="37" spans="1:30" ht="11.25" customHeight="1" x14ac:dyDescent="0.25">
      <c r="A37" s="801" t="str">
        <f>'A4-FinPerf RE'!A37</f>
        <v>Surplus/(Deficit)</v>
      </c>
      <c r="B37" s="711"/>
      <c r="C37" s="535">
        <f t="shared" ref="C37:H37" si="4">C21-C35</f>
        <v>37503053</v>
      </c>
      <c r="D37" s="535">
        <f t="shared" si="4"/>
        <v>-250000</v>
      </c>
      <c r="E37" s="535">
        <f t="shared" si="4"/>
        <v>-22480589</v>
      </c>
      <c r="F37" s="535">
        <f t="shared" si="4"/>
        <v>-9061709</v>
      </c>
      <c r="G37" s="535">
        <f t="shared" si="4"/>
        <v>-16141704</v>
      </c>
      <c r="H37" s="535">
        <f t="shared" si="4"/>
        <v>0</v>
      </c>
      <c r="I37" s="535">
        <f t="shared" ref="I37:Q37" si="5">I21-I35</f>
        <v>-16728831</v>
      </c>
      <c r="J37" s="535">
        <f t="shared" si="5"/>
        <v>368774</v>
      </c>
      <c r="K37" s="535">
        <f t="shared" si="5"/>
        <v>-3470000</v>
      </c>
      <c r="L37" s="535">
        <f t="shared" si="5"/>
        <v>0</v>
      </c>
      <c r="M37" s="535">
        <f t="shared" si="5"/>
        <v>474980</v>
      </c>
      <c r="N37" s="535">
        <f t="shared" si="5"/>
        <v>-2088316</v>
      </c>
      <c r="O37" s="535">
        <f t="shared" si="5"/>
        <v>0</v>
      </c>
      <c r="P37" s="535">
        <f t="shared" si="5"/>
        <v>0</v>
      </c>
      <c r="Q37" s="535">
        <f t="shared" si="5"/>
        <v>-340000</v>
      </c>
      <c r="R37" s="969">
        <f>R21-R35</f>
        <v>-32214342</v>
      </c>
      <c r="AC37" s="2315"/>
      <c r="AD37" s="2315"/>
    </row>
    <row r="38" spans="1:30" s="973" customFormat="1" ht="21" customHeight="1" x14ac:dyDescent="0.25">
      <c r="A38" s="970" t="str">
        <f>'A4-FinPerf RE'!A38</f>
        <v>Transfers and subsidies - capital (monetary allocations) (National / Provincial and District)</v>
      </c>
      <c r="B38" s="971"/>
      <c r="C38" s="712">
        <f>-SUMIFS(Sheet1!S71_ASBudgetAmount,Sheet1!S71_A4Code,$AC:$AC,Sheet1!S71_ItemType,$AD:$AD,Sheet1!S71_MasterVoteMunicipal,C$47)</f>
        <v>24755000</v>
      </c>
      <c r="D38" s="712">
        <f>-SUMIFS(Sheet1!S71_ASBudgetAmount,Sheet1!S71_A4Code,$AC:$AC,Sheet1!S71_ItemType,$AD:$AD,Sheet1!S71_MasterVoteMunicipal,D$47)</f>
        <v>0</v>
      </c>
      <c r="E38" s="712">
        <f>-SUMIFS(Sheet1!S71_ASBudgetAmount,Sheet1!S71_A4Code,$AC:$AC,Sheet1!S71_ItemType,$AD:$AD,Sheet1!S71_MasterVoteMunicipal,E$47)</f>
        <v>0</v>
      </c>
      <c r="F38" s="712">
        <f>-SUMIFS(Sheet1!S71_ASBudgetAmount,Sheet1!S71_A4Code,$AC:$AC,Sheet1!S71_ItemType,$AD:$AD,Sheet1!S71_MasterVoteMunicipal,F$47)</f>
        <v>0</v>
      </c>
      <c r="G38" s="712">
        <f>-SUMIFS(Sheet1!S71_ASBudgetAmount,Sheet1!S71_A4Code,$AC:$AC,Sheet1!S71_ItemType,$AD:$AD,Sheet1!S71_MasterVoteMunicipal,G$47)</f>
        <v>0</v>
      </c>
      <c r="H38" s="712">
        <f>-SUMIFS(Sheet1!S71_ASBudgetAmount,Sheet1!S71_A4Code,$AC:$AC,Sheet1!S71_ItemType,$AD:$AD,Sheet1!S71_MasterVoteMunicipal,H$47)</f>
        <v>0</v>
      </c>
      <c r="I38" s="712">
        <f>-SUMIFS(Sheet1!S71_ASBudgetAmount,Sheet1!S71_A4Code,$AC:$AC,Sheet1!S71_ItemType,$AD:$AD,Sheet1!S71_MasterVoteMunicipal,I$47)</f>
        <v>0</v>
      </c>
      <c r="J38" s="712">
        <f>-SUMIFS(Sheet1!S71_ASBudgetAmount,Sheet1!S71_A4Code,$AC:$AC,Sheet1!S71_ItemType,$AD:$AD,Sheet1!S71_MasterVoteMunicipal,J$47)</f>
        <v>0</v>
      </c>
      <c r="K38" s="712">
        <f>-SUMIFS(Sheet1!S71_ASBudgetAmount,Sheet1!S71_A4Code,$AC:$AC,Sheet1!S71_ItemType,$AD:$AD,Sheet1!S71_MasterVoteMunicipal,K$47)</f>
        <v>0</v>
      </c>
      <c r="L38" s="712">
        <f>-SUMIFS(Sheet1!S71_ASBudgetAmount,Sheet1!S71_A4Code,$AC:$AC,Sheet1!S71_ItemType,$AD:$AD,Sheet1!S71_MasterVoteMunicipal,L$47)</f>
        <v>0</v>
      </c>
      <c r="M38" s="712">
        <f>-SUMIFS(Sheet1!S71_ASBudgetAmount,Sheet1!S71_A4Code,$AC:$AC,Sheet1!S71_ItemType,$AD:$AD,Sheet1!S71_MasterVoteMunicipal,M$47)</f>
        <v>0</v>
      </c>
      <c r="N38" s="712">
        <f>-SUMIFS(Sheet1!S71_ASBudgetAmount,Sheet1!S71_A4Code,$AC:$AC,Sheet1!S71_ItemType,$AD:$AD,Sheet1!S71_MasterVoteMunicipal,N$47)</f>
        <v>0</v>
      </c>
      <c r="O38" s="712">
        <f>-SUMIFS(Sheet1!S71_ASBudgetAmount,Sheet1!S71_A4Code,$AC:$AC,Sheet1!S71_ItemType,$AD:$AD,Sheet1!S71_MasterVoteMunicipal,O$47)</f>
        <v>0</v>
      </c>
      <c r="P38" s="712">
        <f>-SUMIFS(Sheet1!S71_ASBudgetAmount,Sheet1!S71_A4Code,$AC:$AC,Sheet1!S71_ItemType,$AD:$AD,Sheet1!S71_MasterVoteMunicipal,P$47)</f>
        <v>0</v>
      </c>
      <c r="Q38" s="712">
        <f>-SUMIFS(Sheet1!S71_ASBudgetAmount,Sheet1!S71_A4Code,$AC:$AC,Sheet1!S71_ItemType,$AD:$AD,Sheet1!S71_MasterVoteMunicipal,Q$47)</f>
        <v>0</v>
      </c>
      <c r="R38" s="972">
        <f>SUM(C38:Q38)</f>
        <v>24755000</v>
      </c>
      <c r="AB38" s="2395"/>
      <c r="AC38" s="2353" t="s">
        <v>2714</v>
      </c>
      <c r="AD38" s="2353" t="s">
        <v>2759</v>
      </c>
    </row>
    <row r="39" spans="1:30" s="973" customFormat="1" ht="63.75" x14ac:dyDescent="0.25">
      <c r="A39" s="970" t="str">
        <f>'A4-FinPerf RE'!A39</f>
        <v>Transfers and subsidies - capital (monetary allocations) (National / Provincial Departmental Agencies, Households, Non-profit Institutions, Private Enterprises, Public Corporatons, Higher Educational Institutions)</v>
      </c>
      <c r="B39" s="971"/>
      <c r="C39" s="712">
        <f>-SUMIFS(Sheet1!S71_ASBudgetAmount,Sheet1!S71_A4Code,$AC:$AC,Sheet1!S71_ItemType,$AD:$AD,Sheet1!S71_MasterVoteMunicipal,C$47)</f>
        <v>0</v>
      </c>
      <c r="D39" s="712">
        <f>-SUMIFS(Sheet1!S71_ASBudgetAmount,Sheet1!S71_A4Code,$AC:$AC,Sheet1!S71_ItemType,$AD:$AD,Sheet1!S71_MasterVoteMunicipal,D$47)</f>
        <v>0</v>
      </c>
      <c r="E39" s="712">
        <f>-SUMIFS(Sheet1!S71_ASBudgetAmount,Sheet1!S71_A4Code,$AC:$AC,Sheet1!S71_ItemType,$AD:$AD,Sheet1!S71_MasterVoteMunicipal,E$47)</f>
        <v>0</v>
      </c>
      <c r="F39" s="712">
        <f>-SUMIFS(Sheet1!S71_ASBudgetAmount,Sheet1!S71_A4Code,$AC:$AC,Sheet1!S71_ItemType,$AD:$AD,Sheet1!S71_MasterVoteMunicipal,F$47)</f>
        <v>0</v>
      </c>
      <c r="G39" s="712">
        <f>-SUMIFS(Sheet1!S71_ASBudgetAmount,Sheet1!S71_A4Code,$AC:$AC,Sheet1!S71_ItemType,$AD:$AD,Sheet1!S71_MasterVoteMunicipal,G$47)</f>
        <v>0</v>
      </c>
      <c r="H39" s="712">
        <f>-SUMIFS(Sheet1!S71_ASBudgetAmount,Sheet1!S71_A4Code,$AC:$AC,Sheet1!S71_ItemType,$AD:$AD,Sheet1!S71_MasterVoteMunicipal,H$47)</f>
        <v>0</v>
      </c>
      <c r="I39" s="712">
        <f>-SUMIFS(Sheet1!S71_ASBudgetAmount,Sheet1!S71_A4Code,$AC:$AC,Sheet1!S71_ItemType,$AD:$AD,Sheet1!S71_MasterVoteMunicipal,I$47)</f>
        <v>0</v>
      </c>
      <c r="J39" s="712">
        <f>-SUMIFS(Sheet1!S71_ASBudgetAmount,Sheet1!S71_A4Code,$AC:$AC,Sheet1!S71_ItemType,$AD:$AD,Sheet1!S71_MasterVoteMunicipal,J$47)</f>
        <v>0</v>
      </c>
      <c r="K39" s="712">
        <f>-SUMIFS(Sheet1!S71_ASBudgetAmount,Sheet1!S71_A4Code,$AC:$AC,Sheet1!S71_ItemType,$AD:$AD,Sheet1!S71_MasterVoteMunicipal,K$47)</f>
        <v>0</v>
      </c>
      <c r="L39" s="712">
        <f>-SUMIFS(Sheet1!S71_ASBudgetAmount,Sheet1!S71_A4Code,$AC:$AC,Sheet1!S71_ItemType,$AD:$AD,Sheet1!S71_MasterVoteMunicipal,L$47)</f>
        <v>0</v>
      </c>
      <c r="M39" s="712">
        <f>-SUMIFS(Sheet1!S71_ASBudgetAmount,Sheet1!S71_A4Code,$AC:$AC,Sheet1!S71_ItemType,$AD:$AD,Sheet1!S71_MasterVoteMunicipal,M$47)</f>
        <v>0</v>
      </c>
      <c r="N39" s="712">
        <f>-SUMIFS(Sheet1!S71_ASBudgetAmount,Sheet1!S71_A4Code,$AC:$AC,Sheet1!S71_ItemType,$AD:$AD,Sheet1!S71_MasterVoteMunicipal,N$47)</f>
        <v>0</v>
      </c>
      <c r="O39" s="712">
        <f>-SUMIFS(Sheet1!S71_ASBudgetAmount,Sheet1!S71_A4Code,$AC:$AC,Sheet1!S71_ItemType,$AD:$AD,Sheet1!S71_MasterVoteMunicipal,O$47)</f>
        <v>0</v>
      </c>
      <c r="P39" s="712">
        <f>-SUMIFS(Sheet1!S71_ASBudgetAmount,Sheet1!S71_A4Code,$AC:$AC,Sheet1!S71_ItemType,$AD:$AD,Sheet1!S71_MasterVoteMunicipal,P$47)</f>
        <v>0</v>
      </c>
      <c r="Q39" s="712">
        <f>-SUMIFS(Sheet1!S71_ASBudgetAmount,Sheet1!S71_A4Code,$AC:$AC,Sheet1!S71_ItemType,$AD:$AD,Sheet1!S71_MasterVoteMunicipal,Q$47)</f>
        <v>0</v>
      </c>
      <c r="R39" s="972">
        <f>SUM(C39:Q39)</f>
        <v>0</v>
      </c>
      <c r="AB39" s="2395"/>
      <c r="AC39" s="2353" t="s">
        <v>2715</v>
      </c>
      <c r="AD39" s="2353" t="s">
        <v>2759</v>
      </c>
    </row>
    <row r="40" spans="1:30" s="973" customFormat="1" ht="11.25" customHeight="1" x14ac:dyDescent="0.25">
      <c r="A40" s="970" t="str">
        <f>'A4-FinPerf RE'!A40</f>
        <v xml:space="preserve">Transfers and subsidies - capital (in-kind - all) </v>
      </c>
      <c r="B40" s="971"/>
      <c r="C40" s="712">
        <f>-SUMIFS(Sheet1!S71_ASBudgetAmount,Sheet1!S71_A4Code,$AC:$AC,Sheet1!S71_ItemType,$AD:$AD,Sheet1!S71_MasterVoteMunicipal,C$47)</f>
        <v>0</v>
      </c>
      <c r="D40" s="712">
        <f>-SUMIFS(Sheet1!S71_ASBudgetAmount,Sheet1!S71_A4Code,$AC:$AC,Sheet1!S71_ItemType,$AD:$AD,Sheet1!S71_MasterVoteMunicipal,D$47)</f>
        <v>0</v>
      </c>
      <c r="E40" s="712">
        <f>-SUMIFS(Sheet1!S71_ASBudgetAmount,Sheet1!S71_A4Code,$AC:$AC,Sheet1!S71_ItemType,$AD:$AD,Sheet1!S71_MasterVoteMunicipal,E$47)</f>
        <v>0</v>
      </c>
      <c r="F40" s="712">
        <f>-SUMIFS(Sheet1!S71_ASBudgetAmount,Sheet1!S71_A4Code,$AC:$AC,Sheet1!S71_ItemType,$AD:$AD,Sheet1!S71_MasterVoteMunicipal,F$47)</f>
        <v>0</v>
      </c>
      <c r="G40" s="712">
        <f>-SUMIFS(Sheet1!S71_ASBudgetAmount,Sheet1!S71_A4Code,$AC:$AC,Sheet1!S71_ItemType,$AD:$AD,Sheet1!S71_MasterVoteMunicipal,G$47)</f>
        <v>0</v>
      </c>
      <c r="H40" s="712">
        <f>-SUMIFS(Sheet1!S71_ASBudgetAmount,Sheet1!S71_A4Code,$AC:$AC,Sheet1!S71_ItemType,$AD:$AD,Sheet1!S71_MasterVoteMunicipal,H$47)</f>
        <v>0</v>
      </c>
      <c r="I40" s="712">
        <f>-SUMIFS(Sheet1!S71_ASBudgetAmount,Sheet1!S71_A4Code,$AC:$AC,Sheet1!S71_ItemType,$AD:$AD,Sheet1!S71_MasterVoteMunicipal,I$47)</f>
        <v>0</v>
      </c>
      <c r="J40" s="712">
        <f>-SUMIFS(Sheet1!S71_ASBudgetAmount,Sheet1!S71_A4Code,$AC:$AC,Sheet1!S71_ItemType,$AD:$AD,Sheet1!S71_MasterVoteMunicipal,J$47)</f>
        <v>0</v>
      </c>
      <c r="K40" s="712">
        <f>-SUMIFS(Sheet1!S71_ASBudgetAmount,Sheet1!S71_A4Code,$AC:$AC,Sheet1!S71_ItemType,$AD:$AD,Sheet1!S71_MasterVoteMunicipal,K$47)</f>
        <v>0</v>
      </c>
      <c r="L40" s="712">
        <f>-SUMIFS(Sheet1!S71_ASBudgetAmount,Sheet1!S71_A4Code,$AC:$AC,Sheet1!S71_ItemType,$AD:$AD,Sheet1!S71_MasterVoteMunicipal,L$47)</f>
        <v>0</v>
      </c>
      <c r="M40" s="712">
        <f>-SUMIFS(Sheet1!S71_ASBudgetAmount,Sheet1!S71_A4Code,$AC:$AC,Sheet1!S71_ItemType,$AD:$AD,Sheet1!S71_MasterVoteMunicipal,M$47)</f>
        <v>0</v>
      </c>
      <c r="N40" s="712">
        <f>-SUMIFS(Sheet1!S71_ASBudgetAmount,Sheet1!S71_A4Code,$AC:$AC,Sheet1!S71_ItemType,$AD:$AD,Sheet1!S71_MasterVoteMunicipal,N$47)</f>
        <v>0</v>
      </c>
      <c r="O40" s="712">
        <f>-SUMIFS(Sheet1!S71_ASBudgetAmount,Sheet1!S71_A4Code,$AC:$AC,Sheet1!S71_ItemType,$AD:$AD,Sheet1!S71_MasterVoteMunicipal,O$47)</f>
        <v>0</v>
      </c>
      <c r="P40" s="712">
        <f>-SUMIFS(Sheet1!S71_ASBudgetAmount,Sheet1!S71_A4Code,$AC:$AC,Sheet1!S71_ItemType,$AD:$AD,Sheet1!S71_MasterVoteMunicipal,P$47)</f>
        <v>0</v>
      </c>
      <c r="Q40" s="712">
        <f>-SUMIFS(Sheet1!S71_ASBudgetAmount,Sheet1!S71_A4Code,$AC:$AC,Sheet1!S71_ItemType,$AD:$AD,Sheet1!S71_MasterVoteMunicipal,Q$47)</f>
        <v>0</v>
      </c>
      <c r="R40" s="972">
        <f>SUM(C40:Q40)</f>
        <v>0</v>
      </c>
      <c r="AB40" s="2395"/>
      <c r="AC40" s="2353" t="s">
        <v>2716</v>
      </c>
      <c r="AD40" s="2353" t="s">
        <v>2759</v>
      </c>
    </row>
    <row r="41" spans="1:30" ht="25.5" x14ac:dyDescent="0.25">
      <c r="A41" s="974" t="str">
        <f>'A4-FinPerf RE'!A41</f>
        <v>Surplus/(Deficit) after capital transfers &amp; contributions</v>
      </c>
      <c r="B41" s="751"/>
      <c r="C41" s="975">
        <f t="shared" ref="C41:P41" si="6">SUM(C37:C40)</f>
        <v>62258053</v>
      </c>
      <c r="D41" s="975">
        <f t="shared" si="6"/>
        <v>-250000</v>
      </c>
      <c r="E41" s="975">
        <f t="shared" si="6"/>
        <v>-22480589</v>
      </c>
      <c r="F41" s="975">
        <f t="shared" si="6"/>
        <v>-9061709</v>
      </c>
      <c r="G41" s="975">
        <f t="shared" si="6"/>
        <v>-16141704</v>
      </c>
      <c r="H41" s="975">
        <f t="shared" si="6"/>
        <v>0</v>
      </c>
      <c r="I41" s="975">
        <f t="shared" si="6"/>
        <v>-16728831</v>
      </c>
      <c r="J41" s="975">
        <f t="shared" si="6"/>
        <v>368774</v>
      </c>
      <c r="K41" s="975">
        <f t="shared" si="6"/>
        <v>-3470000</v>
      </c>
      <c r="L41" s="975">
        <f t="shared" si="6"/>
        <v>0</v>
      </c>
      <c r="M41" s="975">
        <f t="shared" si="6"/>
        <v>474980</v>
      </c>
      <c r="N41" s="975">
        <f t="shared" si="6"/>
        <v>-2088316</v>
      </c>
      <c r="O41" s="975">
        <f t="shared" si="6"/>
        <v>0</v>
      </c>
      <c r="P41" s="975">
        <f t="shared" si="6"/>
        <v>0</v>
      </c>
      <c r="Q41" s="975">
        <f>SUM(Q37:Q40)</f>
        <v>-340000</v>
      </c>
      <c r="R41" s="976">
        <f>SUM(R37:R40)</f>
        <v>-7459342</v>
      </c>
      <c r="AC41" s="2315"/>
      <c r="AD41" s="2315"/>
    </row>
    <row r="42" spans="1:30" x14ac:dyDescent="0.25">
      <c r="A42" s="188" t="str">
        <f>head27a</f>
        <v>References</v>
      </c>
      <c r="B42" s="189"/>
      <c r="C42" s="193"/>
      <c r="D42" s="193"/>
      <c r="E42" s="193"/>
      <c r="F42" s="193"/>
      <c r="G42" s="193"/>
      <c r="H42" s="193"/>
      <c r="I42" s="193"/>
      <c r="J42" s="193"/>
      <c r="K42" s="193"/>
      <c r="L42" s="193"/>
      <c r="M42" s="193"/>
      <c r="N42" s="193"/>
      <c r="O42" s="193"/>
      <c r="P42" s="193"/>
      <c r="Q42" s="193"/>
      <c r="R42" s="193"/>
      <c r="AC42" s="2353"/>
      <c r="AD42" s="2353"/>
    </row>
    <row r="43" spans="1:30" ht="11.25" customHeight="1" x14ac:dyDescent="0.25">
      <c r="A43" s="154" t="s">
        <v>1468</v>
      </c>
      <c r="B43" s="189"/>
      <c r="C43" s="193"/>
      <c r="D43" s="192"/>
      <c r="E43" s="193"/>
      <c r="F43" s="193"/>
      <c r="G43" s="193"/>
      <c r="H43" s="193"/>
      <c r="I43" s="193"/>
      <c r="J43" s="193"/>
      <c r="K43" s="193"/>
      <c r="L43" s="193"/>
      <c r="M43" s="193"/>
      <c r="N43" s="193"/>
      <c r="O43" s="193"/>
      <c r="P43" s="193"/>
      <c r="Q43" s="193"/>
      <c r="R43" s="193"/>
      <c r="AC43" s="2353"/>
      <c r="AD43" s="2353"/>
    </row>
    <row r="44" spans="1:30" ht="11.25" customHeight="1" x14ac:dyDescent="0.25">
      <c r="A44" s="219" t="s">
        <v>248</v>
      </c>
      <c r="B44" s="150"/>
      <c r="C44" s="196"/>
      <c r="D44" s="196"/>
      <c r="E44" s="196"/>
      <c r="F44" s="196"/>
      <c r="G44" s="196"/>
      <c r="H44" s="196"/>
      <c r="I44" s="196"/>
      <c r="J44" s="196"/>
      <c r="K44" s="196"/>
      <c r="L44" s="196"/>
      <c r="M44" s="196"/>
      <c r="N44" s="196"/>
      <c r="O44" s="196"/>
      <c r="P44" s="196"/>
      <c r="Q44" s="196"/>
      <c r="R44" s="977">
        <f>'A4-FinPerf RE'!J41-'SA2'!R41</f>
        <v>0</v>
      </c>
      <c r="AC44" s="2315"/>
      <c r="AD44" s="2315"/>
    </row>
    <row r="45" spans="1:30" ht="11.25" customHeight="1" x14ac:dyDescent="0.25">
      <c r="A45" s="195"/>
      <c r="B45" s="150"/>
      <c r="C45" s="196"/>
      <c r="D45" s="196"/>
      <c r="E45" s="196"/>
      <c r="F45" s="196"/>
      <c r="G45" s="196"/>
      <c r="H45" s="196"/>
      <c r="I45" s="196"/>
      <c r="J45" s="196"/>
      <c r="K45" s="196"/>
      <c r="L45" s="196"/>
      <c r="M45" s="196"/>
      <c r="N45" s="196"/>
      <c r="O45" s="196"/>
      <c r="P45" s="196"/>
      <c r="Q45" s="196"/>
      <c r="R45" s="196"/>
      <c r="AC45" s="2315"/>
      <c r="AD45" s="2315"/>
    </row>
    <row r="46" spans="1:30" ht="11.25" customHeight="1" x14ac:dyDescent="0.25">
      <c r="B46" s="58"/>
      <c r="U46" s="978"/>
      <c r="AC46" s="2315"/>
      <c r="AD46" s="2315"/>
    </row>
    <row r="47" spans="1:30" s="2312" customFormat="1" ht="11.25" customHeight="1" x14ac:dyDescent="0.25">
      <c r="C47" s="2312">
        <v>1</v>
      </c>
      <c r="D47" s="2312">
        <v>2</v>
      </c>
      <c r="E47" s="2312">
        <v>3</v>
      </c>
      <c r="F47" s="2312">
        <v>4</v>
      </c>
      <c r="G47" s="2312">
        <v>5</v>
      </c>
      <c r="H47" s="2312">
        <v>6</v>
      </c>
      <c r="I47" s="2312">
        <v>7</v>
      </c>
      <c r="J47" s="2312">
        <v>8</v>
      </c>
      <c r="K47" s="2312">
        <v>9</v>
      </c>
      <c r="L47" s="2312">
        <v>10</v>
      </c>
      <c r="M47" s="2312">
        <v>11</v>
      </c>
      <c r="N47" s="2312">
        <v>12</v>
      </c>
      <c r="O47" s="2312">
        <v>13</v>
      </c>
      <c r="P47" s="2312">
        <v>14</v>
      </c>
      <c r="Q47" s="2312">
        <v>15</v>
      </c>
      <c r="R47" s="2381"/>
      <c r="AC47" s="2315"/>
      <c r="AD47" s="2315"/>
    </row>
    <row r="48" spans="1:30" ht="11.25" customHeight="1" x14ac:dyDescent="0.25">
      <c r="B48" s="58"/>
      <c r="G48" s="221"/>
      <c r="H48" s="221"/>
      <c r="I48" s="221"/>
      <c r="J48" s="221"/>
      <c r="K48" s="221"/>
      <c r="L48" s="221"/>
      <c r="M48" s="221"/>
      <c r="N48" s="221"/>
      <c r="O48" s="221"/>
      <c r="P48" s="221"/>
      <c r="Q48" s="221"/>
      <c r="R48" s="221"/>
      <c r="AC48" s="2315"/>
      <c r="AD48" s="2315"/>
    </row>
    <row r="49" spans="7:30" s="58" customFormat="1" ht="11.25" customHeight="1" x14ac:dyDescent="0.25">
      <c r="G49" s="221"/>
      <c r="H49" s="221"/>
      <c r="I49" s="221"/>
      <c r="J49" s="221"/>
      <c r="K49" s="221"/>
      <c r="L49" s="221"/>
      <c r="M49" s="221"/>
      <c r="N49" s="221"/>
      <c r="O49" s="221"/>
      <c r="P49" s="221"/>
      <c r="Q49" s="221"/>
      <c r="R49" s="221"/>
      <c r="AB49" s="2312"/>
      <c r="AC49" s="2312"/>
      <c r="AD49" s="2312"/>
    </row>
    <row r="50" spans="7:30" s="58" customFormat="1" ht="11.25" customHeight="1" x14ac:dyDescent="0.25">
      <c r="U50" s="754"/>
      <c r="AB50" s="2312"/>
      <c r="AC50" s="2312"/>
      <c r="AD50" s="2312"/>
    </row>
    <row r="51" spans="7:30" s="58" customFormat="1" ht="11.25" customHeight="1" x14ac:dyDescent="0.25">
      <c r="U51" s="754"/>
      <c r="AB51" s="2312"/>
      <c r="AC51" s="2312"/>
      <c r="AD51" s="2312"/>
    </row>
    <row r="52" spans="7:30" s="58" customFormat="1" ht="11.25" customHeight="1" x14ac:dyDescent="0.25">
      <c r="U52" s="754"/>
      <c r="AB52" s="2312"/>
      <c r="AC52" s="2312"/>
      <c r="AD52" s="2312"/>
    </row>
    <row r="53" spans="7:30" s="58" customFormat="1" ht="11.25" customHeight="1" x14ac:dyDescent="0.25">
      <c r="AB53" s="2312"/>
      <c r="AC53" s="2312"/>
      <c r="AD53" s="2312"/>
    </row>
    <row r="54" spans="7:30" s="58" customFormat="1" ht="11.25" customHeight="1" x14ac:dyDescent="0.25">
      <c r="AB54" s="2312"/>
      <c r="AC54" s="2312"/>
      <c r="AD54" s="2312"/>
    </row>
    <row r="55" spans="7:30" s="58" customFormat="1" ht="11.25" customHeight="1" x14ac:dyDescent="0.25">
      <c r="AB55" s="2312"/>
      <c r="AC55" s="2312"/>
      <c r="AD55" s="2312"/>
    </row>
    <row r="56" spans="7:30" s="58" customFormat="1" ht="11.25" customHeight="1" x14ac:dyDescent="0.25">
      <c r="AB56" s="2312"/>
      <c r="AC56" s="2312"/>
      <c r="AD56" s="2312"/>
    </row>
    <row r="57" spans="7:30" s="58" customFormat="1" ht="11.25" customHeight="1" x14ac:dyDescent="0.25">
      <c r="AB57" s="2312"/>
      <c r="AC57" s="2312"/>
      <c r="AD57" s="2312"/>
    </row>
    <row r="58" spans="7:30" s="58" customFormat="1" ht="11.25" customHeight="1" x14ac:dyDescent="0.25">
      <c r="AB58" s="2312"/>
      <c r="AC58" s="2312"/>
      <c r="AD58" s="2312"/>
    </row>
    <row r="59" spans="7:30" s="58" customFormat="1" ht="11.25" customHeight="1" x14ac:dyDescent="0.25">
      <c r="AB59" s="2312"/>
      <c r="AC59" s="2312"/>
      <c r="AD59" s="2312"/>
    </row>
    <row r="60" spans="7:30" s="58" customFormat="1" ht="11.25" customHeight="1" x14ac:dyDescent="0.25">
      <c r="AB60" s="2312"/>
      <c r="AC60" s="2312"/>
      <c r="AD60" s="2312"/>
    </row>
    <row r="61" spans="7:30" s="58" customFormat="1" ht="11.25" customHeight="1" x14ac:dyDescent="0.25">
      <c r="AB61" s="2312"/>
      <c r="AC61" s="2312"/>
      <c r="AD61" s="2312"/>
    </row>
    <row r="62" spans="7:30" s="58" customFormat="1" ht="11.25" customHeight="1" x14ac:dyDescent="0.25">
      <c r="AB62" s="2312"/>
      <c r="AC62" s="2312"/>
      <c r="AD62" s="2312"/>
    </row>
    <row r="63" spans="7:30" s="58" customFormat="1" ht="11.25" customHeight="1" x14ac:dyDescent="0.25">
      <c r="AB63" s="2312"/>
      <c r="AC63" s="2312"/>
      <c r="AD63" s="2312"/>
    </row>
    <row r="64" spans="7:30" s="58" customFormat="1" ht="11.25" customHeight="1" x14ac:dyDescent="0.25">
      <c r="AB64" s="2312"/>
      <c r="AC64" s="2312"/>
      <c r="AD64" s="2312"/>
    </row>
    <row r="65" spans="2:2" ht="11.25" customHeight="1" x14ac:dyDescent="0.25">
      <c r="B65" s="58"/>
    </row>
    <row r="66" spans="2:2" ht="11.25" customHeight="1" x14ac:dyDescent="0.25">
      <c r="B66" s="58"/>
    </row>
    <row r="67" spans="2:2" ht="11.25" customHeight="1" x14ac:dyDescent="0.25">
      <c r="B67" s="58"/>
    </row>
    <row r="68" spans="2:2" ht="11.25" customHeight="1" x14ac:dyDescent="0.25">
      <c r="B68" s="58"/>
    </row>
    <row r="69" spans="2:2" ht="11.25" customHeight="1" x14ac:dyDescent="0.25">
      <c r="B69" s="58"/>
    </row>
    <row r="70" spans="2:2" ht="11.25" customHeight="1" x14ac:dyDescent="0.25">
      <c r="B70" s="58"/>
    </row>
    <row r="71" spans="2:2" ht="11.25" customHeight="1" x14ac:dyDescent="0.25">
      <c r="B71" s="58"/>
    </row>
    <row r="72" spans="2:2" ht="11.25" customHeight="1" x14ac:dyDescent="0.25">
      <c r="B72" s="58"/>
    </row>
    <row r="73" spans="2:2" ht="11.25" customHeight="1" x14ac:dyDescent="0.25">
      <c r="B73" s="58"/>
    </row>
    <row r="74" spans="2:2" ht="11.25" customHeight="1" x14ac:dyDescent="0.25"/>
    <row r="75" spans="2:2" ht="11.25" customHeight="1" x14ac:dyDescent="0.25"/>
    <row r="76" spans="2:2" ht="11.25" customHeight="1" x14ac:dyDescent="0.25"/>
    <row r="77" spans="2:2" ht="11.25" customHeight="1" x14ac:dyDescent="0.25"/>
    <row r="78" spans="2:2" ht="11.25" customHeight="1" x14ac:dyDescent="0.25"/>
    <row r="79" spans="2:2" ht="11.25" customHeight="1" x14ac:dyDescent="0.25"/>
    <row r="80" spans="2:2" ht="11.25" customHeight="1" x14ac:dyDescent="0.25"/>
    <row r="81" ht="11.25" customHeight="1" x14ac:dyDescent="0.25"/>
    <row r="82" ht="11.25" customHeight="1" x14ac:dyDescent="0.25"/>
    <row r="98" spans="29:30" x14ac:dyDescent="0.25">
      <c r="AC98" s="2353"/>
      <c r="AD98" s="2353"/>
    </row>
    <row r="99" spans="29:30" x14ac:dyDescent="0.25">
      <c r="AC99" s="2353"/>
      <c r="AD99" s="2353"/>
    </row>
    <row r="100" spans="29:30" x14ac:dyDescent="0.25">
      <c r="AC100" s="2353"/>
      <c r="AD100" s="2353"/>
    </row>
    <row r="101" spans="29:30" x14ac:dyDescent="0.25">
      <c r="AC101" s="2353"/>
      <c r="AD101" s="2353"/>
    </row>
    <row r="102" spans="29:30" x14ac:dyDescent="0.25">
      <c r="AC102" s="2353"/>
      <c r="AD102" s="2353"/>
    </row>
  </sheetData>
  <sheetProtection sheet="1" objects="1" scenarios="1"/>
  <mergeCells count="16">
    <mergeCell ref="G2:G3"/>
    <mergeCell ref="H2:H3"/>
    <mergeCell ref="C2:C3"/>
    <mergeCell ref="D2:D3"/>
    <mergeCell ref="E2:E3"/>
    <mergeCell ref="F2:F3"/>
    <mergeCell ref="Q2:Q3"/>
    <mergeCell ref="R2:R3"/>
    <mergeCell ref="I2:I3"/>
    <mergeCell ref="J2:J3"/>
    <mergeCell ref="K2:K3"/>
    <mergeCell ref="L2:L3"/>
    <mergeCell ref="M2:M3"/>
    <mergeCell ref="N2:N3"/>
    <mergeCell ref="O2:O3"/>
    <mergeCell ref="P2:P3"/>
  </mergeCells>
  <phoneticPr fontId="7" type="noConversion"/>
  <printOptions horizontalCentered="1"/>
  <pageMargins left="0" right="0" top="0.78740157480314965" bottom="0.59055118110236227" header="0.51181102362204722" footer="0.43307086614173229"/>
  <pageSetup paperSize="9" scale="58"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2">
    <pageSetUpPr fitToPage="1"/>
  </sheetPr>
  <dimension ref="A1:AD194"/>
  <sheetViews>
    <sheetView showGridLines="0" zoomScale="111" zoomScaleNormal="110" zoomScaleSheetLayoutView="100" workbookViewId="0">
      <pane xSplit="2" ySplit="4" topLeftCell="D148" activePane="bottomRight" state="frozen"/>
      <selection pane="topRight"/>
      <selection pane="bottomLeft"/>
      <selection pane="bottomRight" activeCell="A25" sqref="A25"/>
    </sheetView>
  </sheetViews>
  <sheetFormatPr defaultColWidth="9.140625" defaultRowHeight="12.75" x14ac:dyDescent="0.25"/>
  <cols>
    <col min="1" max="1" width="40" style="322" customWidth="1"/>
    <col min="2" max="2" width="3" style="55" customWidth="1"/>
    <col min="3" max="8" width="9.28515625" style="58" customWidth="1"/>
    <col min="9" max="9" width="9.140625" style="58" customWidth="1"/>
    <col min="10" max="12" width="9.28515625" style="58" customWidth="1"/>
    <col min="13" max="28" width="9.140625" style="58" customWidth="1"/>
    <col min="29" max="29" width="19.28515625" style="2356" customWidth="1"/>
    <col min="30" max="16384" width="9.140625" style="58"/>
  </cols>
  <sheetData>
    <row r="1" spans="1:29" s="93" customFormat="1" x14ac:dyDescent="0.2">
      <c r="A1" s="92" t="str">
        <f>muni&amp;" - "&amp;TableA3</f>
        <v>KZN226 Mkhambathini - Supporting Table SA3 Supportinging detail to 'Budgeted Financial Position'</v>
      </c>
      <c r="B1" s="92"/>
      <c r="C1" s="92"/>
      <c r="D1" s="92"/>
      <c r="E1" s="92"/>
      <c r="F1" s="92"/>
      <c r="G1" s="92"/>
      <c r="H1" s="92"/>
      <c r="I1" s="92"/>
      <c r="J1" s="92"/>
      <c r="K1" s="92"/>
      <c r="L1" s="92"/>
      <c r="AC1" s="2355"/>
    </row>
    <row r="2" spans="1:29" ht="28.5" customHeight="1" x14ac:dyDescent="0.25">
      <c r="A2" s="2468" t="str">
        <f>desc</f>
        <v>Description</v>
      </c>
      <c r="B2" s="2470" t="str">
        <f>head27</f>
        <v>Ref</v>
      </c>
      <c r="C2" s="837" t="str">
        <f>head1b</f>
        <v>2017/18</v>
      </c>
      <c r="D2" s="837" t="str">
        <f>head1A</f>
        <v>2018/19</v>
      </c>
      <c r="E2" s="684" t="str">
        <f>Head1</f>
        <v>2019/20</v>
      </c>
      <c r="F2" s="2447" t="str">
        <f>Head2</f>
        <v>Current Year 2020/21</v>
      </c>
      <c r="G2" s="2448"/>
      <c r="H2" s="2448"/>
      <c r="I2" s="2448"/>
      <c r="J2" s="2450" t="str">
        <f>Head3</f>
        <v>2021/22 Medium Term Revenue &amp; Expenditure Framework</v>
      </c>
      <c r="K2" s="2451"/>
      <c r="L2" s="2452"/>
    </row>
    <row r="3" spans="1:29" ht="33.75" customHeight="1" x14ac:dyDescent="0.25">
      <c r="A3" s="2472"/>
      <c r="B3" s="2473"/>
      <c r="C3" s="421" t="str">
        <f>Head5</f>
        <v>Audited Outcome</v>
      </c>
      <c r="D3" s="421" t="str">
        <f>Head5</f>
        <v>Audited Outcome</v>
      </c>
      <c r="E3" s="422" t="str">
        <f>Head5</f>
        <v>Audited Outcome</v>
      </c>
      <c r="F3" s="423" t="str">
        <f>Head6</f>
        <v>Original Budget</v>
      </c>
      <c r="G3" s="421" t="str">
        <f>Head7</f>
        <v>Adjusted Budget</v>
      </c>
      <c r="H3" s="422" t="str">
        <f>Head8</f>
        <v>Full Year Forecast</v>
      </c>
      <c r="I3" s="906" t="str">
        <f>Head5b</f>
        <v>Pre-audit outcome</v>
      </c>
      <c r="J3" s="423" t="str">
        <f>Head9</f>
        <v>Budget Year 2021/22</v>
      </c>
      <c r="K3" s="421" t="str">
        <f>Head10</f>
        <v>Budget Year +1 2022/23</v>
      </c>
      <c r="L3" s="422" t="str">
        <f>Head11</f>
        <v>Budget Year +2 2023/24</v>
      </c>
      <c r="AC3" s="2357"/>
    </row>
    <row r="4" spans="1:29" ht="11.25" customHeight="1" x14ac:dyDescent="0.25">
      <c r="A4" s="156" t="s">
        <v>568</v>
      </c>
      <c r="B4" s="701"/>
      <c r="C4" s="691"/>
      <c r="D4" s="691"/>
      <c r="E4" s="907"/>
      <c r="F4" s="908"/>
      <c r="G4" s="691"/>
      <c r="H4" s="907"/>
      <c r="I4" s="909"/>
      <c r="J4" s="908"/>
      <c r="K4" s="691"/>
      <c r="L4" s="907"/>
      <c r="AC4" s="2358"/>
    </row>
    <row r="5" spans="1:29" ht="11.25" customHeight="1" x14ac:dyDescent="0.25">
      <c r="A5" s="664" t="s">
        <v>880</v>
      </c>
      <c r="B5" s="705"/>
      <c r="C5" s="206"/>
      <c r="D5" s="206"/>
      <c r="E5" s="178"/>
      <c r="F5" s="179"/>
      <c r="G5" s="206"/>
      <c r="H5" s="178"/>
      <c r="I5" s="180"/>
      <c r="J5" s="210"/>
      <c r="K5" s="979"/>
      <c r="L5" s="178"/>
    </row>
    <row r="6" spans="1:29" ht="11.25" hidden="1" customHeight="1" x14ac:dyDescent="0.25">
      <c r="A6" s="913"/>
      <c r="B6" s="711"/>
      <c r="C6" s="177"/>
      <c r="D6" s="177"/>
      <c r="E6" s="178"/>
      <c r="F6" s="179"/>
      <c r="G6" s="177"/>
      <c r="H6" s="178"/>
      <c r="I6" s="180"/>
      <c r="J6" s="181"/>
      <c r="K6" s="724"/>
      <c r="L6" s="178"/>
    </row>
    <row r="7" spans="1:29" ht="11.25" hidden="1" customHeight="1" x14ac:dyDescent="0.25">
      <c r="A7" s="136"/>
      <c r="B7" s="711"/>
      <c r="C7" s="71"/>
      <c r="D7" s="71"/>
      <c r="E7" s="72"/>
      <c r="F7" s="73"/>
      <c r="G7" s="71"/>
      <c r="H7" s="72"/>
      <c r="I7" s="74"/>
      <c r="J7" s="75"/>
      <c r="K7" s="656"/>
      <c r="L7" s="72"/>
      <c r="AC7" s="2359"/>
    </row>
    <row r="8" spans="1:29" ht="11.25" hidden="1" customHeight="1" x14ac:dyDescent="0.25">
      <c r="A8" s="136"/>
      <c r="B8" s="711"/>
      <c r="C8" s="71"/>
      <c r="D8" s="71"/>
      <c r="E8" s="72"/>
      <c r="F8" s="73"/>
      <c r="G8" s="71"/>
      <c r="H8" s="72"/>
      <c r="I8" s="74"/>
      <c r="J8" s="75"/>
      <c r="K8" s="656"/>
      <c r="L8" s="72"/>
      <c r="AC8" s="2359"/>
    </row>
    <row r="9" spans="1:29" ht="11.25" hidden="1" customHeight="1" x14ac:dyDescent="0.25">
      <c r="A9" s="664"/>
      <c r="B9" s="711"/>
      <c r="C9" s="535"/>
      <c r="D9" s="535"/>
      <c r="E9" s="665"/>
      <c r="F9" s="666"/>
      <c r="G9" s="535"/>
      <c r="H9" s="665"/>
      <c r="I9" s="667"/>
      <c r="J9" s="668"/>
      <c r="K9" s="534"/>
      <c r="L9" s="665"/>
    </row>
    <row r="10" spans="1:29" ht="4.9000000000000004" customHeight="1" x14ac:dyDescent="0.25">
      <c r="A10" s="931"/>
      <c r="B10" s="711"/>
      <c r="C10" s="177"/>
      <c r="D10" s="177"/>
      <c r="E10" s="178"/>
      <c r="F10" s="179"/>
      <c r="G10" s="177"/>
      <c r="H10" s="178"/>
      <c r="I10" s="180"/>
      <c r="J10" s="181"/>
      <c r="K10" s="724"/>
      <c r="L10" s="178"/>
    </row>
    <row r="11" spans="1:29" ht="11.25" customHeight="1" x14ac:dyDescent="0.25">
      <c r="A11" s="913" t="str">
        <f>'A6-FinPos'!A8</f>
        <v>Consumer debtors</v>
      </c>
      <c r="B11" s="711"/>
      <c r="C11" s="177"/>
      <c r="D11" s="177"/>
      <c r="E11" s="178"/>
      <c r="F11" s="179"/>
      <c r="G11" s="177"/>
      <c r="H11" s="178"/>
      <c r="I11" s="180"/>
      <c r="J11" s="181"/>
      <c r="K11" s="724"/>
      <c r="L11" s="178"/>
    </row>
    <row r="12" spans="1:29" ht="11.25" customHeight="1" x14ac:dyDescent="0.25">
      <c r="A12" s="136" t="str">
        <f>A11</f>
        <v>Consumer debtors</v>
      </c>
      <c r="B12" s="711"/>
      <c r="C12" s="712">
        <f>SUMIFS(Sheet1!S71_PPPYearAmount,Sheet1!S71_SA3Code,$AC:$AC)</f>
        <v>22456187</v>
      </c>
      <c r="D12" s="712">
        <f>SUMIFS(Sheet1!S71_PPYearAmount,Sheet1!S71_SA3Code,$AC:$AC)</f>
        <v>29161274</v>
      </c>
      <c r="E12" s="717">
        <f>SUMIFS(Sheet1!S71_PYearAmount,Sheet1!S71_SA3Code,$AC:$AC)</f>
        <v>30835286</v>
      </c>
      <c r="F12" s="718">
        <f>SUMIFS(Sheet1!S71_OriginalBudAmnt,Sheet1!S71_SA3Code,$AC:$AC)</f>
        <v>1387177</v>
      </c>
      <c r="G12" s="712">
        <f>SUMIFS(Sheet1!S71_AdjustmentBudAmnt,Sheet1!S71_SA3Code,$AC:$AC)</f>
        <v>23954020</v>
      </c>
      <c r="H12" s="717">
        <f>SUMIFS(Sheet1!S71_AdjustmentBudAmnt,Sheet1!S71_SA3Code,$AC:$AC)</f>
        <v>23954020</v>
      </c>
      <c r="I12" s="719">
        <f>SUMIFS(Sheet1!S71_AdjustmentBudAmnt,Sheet1!S71_SA3Code,$AC:$AC)</f>
        <v>23954020</v>
      </c>
      <c r="J12" s="725">
        <f>SUMIFS(Sheet1!S71_ASBudgetAmount,Sheet1!S71_SA3Code,$AC:$AC)</f>
        <v>25380477</v>
      </c>
      <c r="K12" s="714">
        <f>SUMIFS(Sheet1!S71_OY1BudgetAmount,Sheet1!S71_SA3Code,$AC:$AC)</f>
        <v>25871892</v>
      </c>
      <c r="L12" s="717">
        <f>SUMIFS(Sheet1!S71_OY2BudgetAmount,Sheet1!S71_SA3Code,$AC:$AC)</f>
        <v>27413829</v>
      </c>
      <c r="AC12" s="2359" t="s">
        <v>2912</v>
      </c>
    </row>
    <row r="13" spans="1:29" ht="11.25" customHeight="1" x14ac:dyDescent="0.25">
      <c r="A13" s="980" t="s">
        <v>321</v>
      </c>
      <c r="B13" s="711"/>
      <c r="C13" s="712">
        <f>SUMIFS(Sheet1!S71_PPPYearAmount,Sheet1!S71_SA3Code,"0145")+SUMIFS(Sheet1!S71_PPPYearAmount,Sheet1!S71_SA3Code,"0146")+SUMIFS(Sheet1!S71_PPPYearAmount,Sheet1!S71_SA3Code,"0147")</f>
        <v>-8513945</v>
      </c>
      <c r="D13" s="712">
        <f>SUMIFS(Sheet1!S71_PPYearAmount,Sheet1!S71_SA3Code,"0145")+SUMIFS(Sheet1!S71_PPYearAmount,Sheet1!S71_SA3Code,"0146")+SUMIFS(Sheet1!S71_PPYearAmount,Sheet1!S71_SA3Code,"0147")</f>
        <v>-9936594</v>
      </c>
      <c r="E13" s="717">
        <f>SUMIFS(Sheet1!S71_PYearAmount,Sheet1!S71_SA3Code,"0145")+SUMIFS(Sheet1!S71_PYearAmount,Sheet1!S71_SA3Code,"0146")+SUMIFS(Sheet1!S71_PYearAmount,Sheet1!S71_SA3Code,"0147")</f>
        <v>-11193390</v>
      </c>
      <c r="F13" s="718">
        <f>SUMIFS(Sheet1!S71_OriginalBudAmnt,Sheet1!S71_SA3Code,"0145")+SUMIFS(Sheet1!S71_OriginalBudAmnt,Sheet1!S71_SA3Code,"0146")+SUMIFS(Sheet1!S71_OriginalBudAmnt,Sheet1!S71_SA3Code,"0147")</f>
        <v>-2754504</v>
      </c>
      <c r="G13" s="712">
        <f>SUMIFS(Sheet1!S71_AdjustmentBudAmnt,Sheet1!S71_SA3Code,"0145")+SUMIFS(Sheet1!S71_AdjustmentBudAmnt,Sheet1!S71_SA3Code,"0146")+SUMIFS(Sheet1!S71_AdjustmentBudAmnt,Sheet1!S71_SA3Code,"0147")</f>
        <v>-3140135</v>
      </c>
      <c r="H13" s="717">
        <f>SUMIFS(Sheet1!S71_AdjustmentBudAmnt,Sheet1!S71_SA3Code,"0145")+SUMIFS(Sheet1!S71_AdjustmentBudAmnt,Sheet1!S71_SA3Code,"0146")+SUMIFS(Sheet1!S71_AdjustmentBudAmnt,Sheet1!S71_SA3Code,"0147")</f>
        <v>-3140135</v>
      </c>
      <c r="I13" s="719">
        <f>SUMIFS(Sheet1!S71_AdjustmentBudAmnt,Sheet1!S71_SA3Code,"0145")+SUMIFS(Sheet1!S71_AdjustmentBudAmnt,Sheet1!S71_SA3Code,"0146")+SUMIFS(Sheet1!S71_AdjustmentBudAmnt,Sheet1!S71_SA3Code,"0147")</f>
        <v>-3140135</v>
      </c>
      <c r="J13" s="725">
        <f>SUMIFS(Sheet1!S71_ASBudgetAmount,Sheet1!S71_SA3Code,"0145")+SUMIFS(Sheet1!S71_ASBudgetAmount,Sheet1!S71_SA3Code,"0146")+SUMIFS(Sheet1!S71_ASBudgetAmount,Sheet1!S71_SA3Code,"0147")</f>
        <v>0</v>
      </c>
      <c r="K13" s="714">
        <f>SUMIFS(Sheet1!S71_OY1BudgetAmount,Sheet1!S71_SA3Code,"0145")+SUMIFS(Sheet1!S71_OY1BudgetAmount,Sheet1!S71_SA3Code,"0146")+SUMIFS(Sheet1!S71_OY1BudgetAmount,Sheet1!S71_SA3Code,"0147")</f>
        <v>0</v>
      </c>
      <c r="L13" s="717">
        <f>SUMIFS(Sheet1!S71_OY2BudgetAmount,Sheet1!S71_SA3Code,"0145")+SUMIFS(Sheet1!S71_OY2BudgetAmount,Sheet1!S71_SA3Code,"0146")+SUMIFS(Sheet1!S71_OY2BudgetAmount,Sheet1!S71_SA3Code,"0147")</f>
        <v>0</v>
      </c>
      <c r="AC13" s="2359"/>
    </row>
    <row r="14" spans="1:29" ht="11.25" customHeight="1" x14ac:dyDescent="0.25">
      <c r="A14" s="664" t="str">
        <f>"Total "&amp;A11</f>
        <v>Total Consumer debtors</v>
      </c>
      <c r="B14" s="711">
        <v>2</v>
      </c>
      <c r="C14" s="535">
        <f>SUM(C12:C13)</f>
        <v>13942242</v>
      </c>
      <c r="D14" s="535">
        <f t="shared" ref="D14:L14" si="0">SUM(D12:D13)</f>
        <v>19224680</v>
      </c>
      <c r="E14" s="665">
        <f t="shared" si="0"/>
        <v>19641896</v>
      </c>
      <c r="F14" s="666">
        <f>SUM(F12:F13)</f>
        <v>-1367327</v>
      </c>
      <c r="G14" s="535">
        <f t="shared" si="0"/>
        <v>20813885</v>
      </c>
      <c r="H14" s="665">
        <f t="shared" si="0"/>
        <v>20813885</v>
      </c>
      <c r="I14" s="667">
        <f t="shared" si="0"/>
        <v>20813885</v>
      </c>
      <c r="J14" s="668">
        <f t="shared" si="0"/>
        <v>25380477</v>
      </c>
      <c r="K14" s="534">
        <f t="shared" si="0"/>
        <v>25871892</v>
      </c>
      <c r="L14" s="665">
        <f t="shared" si="0"/>
        <v>27413829</v>
      </c>
    </row>
    <row r="15" spans="1:29" ht="4.9000000000000004" customHeight="1" x14ac:dyDescent="0.25">
      <c r="A15" s="931"/>
      <c r="B15" s="711"/>
      <c r="C15" s="177"/>
      <c r="D15" s="177"/>
      <c r="E15" s="178"/>
      <c r="F15" s="179"/>
      <c r="G15" s="177"/>
      <c r="H15" s="178"/>
      <c r="I15" s="180"/>
      <c r="J15" s="181"/>
      <c r="K15" s="724"/>
      <c r="L15" s="178"/>
    </row>
    <row r="16" spans="1:29" ht="11.25" customHeight="1" x14ac:dyDescent="0.25">
      <c r="A16" s="981" t="s">
        <v>3</v>
      </c>
      <c r="B16" s="711"/>
      <c r="C16" s="177"/>
      <c r="D16" s="177"/>
      <c r="E16" s="178"/>
      <c r="F16" s="179"/>
      <c r="G16" s="177"/>
      <c r="H16" s="178"/>
      <c r="I16" s="180"/>
      <c r="J16" s="181"/>
      <c r="K16" s="724"/>
      <c r="L16" s="178"/>
    </row>
    <row r="17" spans="1:29" ht="11.25" customHeight="1" x14ac:dyDescent="0.25">
      <c r="A17" s="669" t="s">
        <v>4</v>
      </c>
      <c r="B17" s="711"/>
      <c r="C17" s="712">
        <f>SUMIFS(Sheet1!S71_PPPYearAmount,Sheet1!S71_SA3Code,$AC:$AC)</f>
        <v>0</v>
      </c>
      <c r="D17" s="712">
        <f>SUMIFS(Sheet1!S71_PPYearAmount,Sheet1!S71_SA3Code,$AC:$AC)</f>
        <v>0</v>
      </c>
      <c r="E17" s="717">
        <f>SUMIFS(Sheet1!S71_PYearAmount,Sheet1!S71_SA3Code,$AC:$AC)</f>
        <v>0</v>
      </c>
      <c r="F17" s="718">
        <f>SUMIFS(Sheet1!S71_OriginalBudAmnt,Sheet1!S71_SA3Code,$AC:$AC)</f>
        <v>0</v>
      </c>
      <c r="G17" s="712">
        <f>SUMIFS(Sheet1!S71_AdjustmentBudAmnt,Sheet1!S71_SA3Code,$AC:$AC)</f>
        <v>0</v>
      </c>
      <c r="H17" s="717">
        <f>SUMIFS(Sheet1!S71_AdjustmentBudAmnt,Sheet1!S71_SA3Code,$AC:$AC)</f>
        <v>0</v>
      </c>
      <c r="I17" s="719">
        <f>SUMIFS(Sheet1!S71_AdjustmentBudAmnt,Sheet1!S71_SA3Code,$AC:$AC)</f>
        <v>0</v>
      </c>
      <c r="J17" s="725">
        <f>SUMIFS(Sheet1!S71_ASBudgetAmount,Sheet1!S71_SA3Code,$AC:$AC)</f>
        <v>0</v>
      </c>
      <c r="K17" s="714">
        <f>SUMIFS(Sheet1!S71_OY1BudgetAmount,Sheet1!S71_SA3Code,$AC:$AC)</f>
        <v>0</v>
      </c>
      <c r="L17" s="717">
        <f>SUMIFS(Sheet1!S71_OY2BudgetAmount,Sheet1!S71_SA3Code,$AC:$AC)</f>
        <v>0</v>
      </c>
      <c r="AC17" s="2359" t="s">
        <v>2913</v>
      </c>
    </row>
    <row r="18" spans="1:29" ht="11.25" customHeight="1" x14ac:dyDescent="0.25">
      <c r="A18" s="669" t="s">
        <v>5</v>
      </c>
      <c r="B18" s="711"/>
      <c r="C18" s="712">
        <f>SUMIFS(Sheet1!S71_PPPYearAmount,Sheet1!S71_SA3Code,$AC:$AC)</f>
        <v>-3969491</v>
      </c>
      <c r="D18" s="712">
        <f>SUMIFS(Sheet1!S71_PPYearAmount,Sheet1!S71_SA3Code,$AC:$AC)</f>
        <v>-5386829</v>
      </c>
      <c r="E18" s="717">
        <f>SUMIFS(Sheet1!S71_PYearAmount,Sheet1!S71_SA3Code,$AC:$AC)</f>
        <v>-6578223</v>
      </c>
      <c r="F18" s="718">
        <f>SUMIFS(Sheet1!S71_OriginalBudAmnt,Sheet1!S71_SA3Code,$AC:$AC)</f>
        <v>-2754504</v>
      </c>
      <c r="G18" s="712">
        <f>SUMIFS(Sheet1!S71_AdjustmentBudAmnt,Sheet1!S71_SA3Code,$AC:$AC)</f>
        <v>0</v>
      </c>
      <c r="H18" s="717">
        <f>SUMIFS(Sheet1!S71_AdjustmentBudAmnt,Sheet1!S71_SA3Code,$AC:$AC)</f>
        <v>0</v>
      </c>
      <c r="I18" s="719">
        <f>SUMIFS(Sheet1!S71_AdjustmentBudAmnt,Sheet1!S71_SA3Code,$AC:$AC)</f>
        <v>0</v>
      </c>
      <c r="J18" s="725">
        <f>SUMIFS(Sheet1!S71_ASBudgetAmount,Sheet1!S71_SA3Code,$AC:$AC)</f>
        <v>0</v>
      </c>
      <c r="K18" s="714">
        <f>SUMIFS(Sheet1!S71_OY1BudgetAmount,Sheet1!S71_SA3Code,$AC:$AC)</f>
        <v>0</v>
      </c>
      <c r="L18" s="717">
        <f>SUMIFS(Sheet1!S71_OY2BudgetAmount,Sheet1!S71_SA3Code,$AC:$AC)</f>
        <v>0</v>
      </c>
      <c r="AC18" s="2359" t="s">
        <v>2914</v>
      </c>
    </row>
    <row r="19" spans="1:29" ht="11.25" customHeight="1" x14ac:dyDescent="0.25">
      <c r="A19" s="669" t="s">
        <v>6</v>
      </c>
      <c r="B19" s="711"/>
      <c r="C19" s="712">
        <f>SUMIFS(Sheet1!S71_PPPYearAmount,Sheet1!S71_SA3Code,$AC:$AC)</f>
        <v>-4544454</v>
      </c>
      <c r="D19" s="712">
        <f>SUMIFS(Sheet1!S71_PPYearAmount,Sheet1!S71_SA3Code,$AC:$AC)</f>
        <v>-4549765</v>
      </c>
      <c r="E19" s="717">
        <f>SUMIFS(Sheet1!S71_PYearAmount,Sheet1!S71_SA3Code,$AC:$AC)</f>
        <v>-4615167</v>
      </c>
      <c r="F19" s="718">
        <f>SUMIFS(Sheet1!S71_OriginalBudAmnt,Sheet1!S71_SA3Code,$AC:$AC)</f>
        <v>0</v>
      </c>
      <c r="G19" s="712">
        <f>SUMIFS(Sheet1!S71_AdjustmentBudAmnt,Sheet1!S71_SA3Code,$AC:$AC)</f>
        <v>-3140135</v>
      </c>
      <c r="H19" s="717">
        <f>SUMIFS(Sheet1!S71_AdjustmentBudAmnt,Sheet1!S71_SA3Code,$AC:$AC)</f>
        <v>-3140135</v>
      </c>
      <c r="I19" s="719">
        <f>SUMIFS(Sheet1!S71_AdjustmentBudAmnt,Sheet1!S71_SA3Code,$AC:$AC)</f>
        <v>-3140135</v>
      </c>
      <c r="J19" s="725">
        <f>SUMIFS(Sheet1!S71_ASBudgetAmount,Sheet1!S71_SA3Code,$AC:$AC)</f>
        <v>0</v>
      </c>
      <c r="K19" s="714">
        <f>SUMIFS(Sheet1!S71_OY1BudgetAmount,Sheet1!S71_SA3Code,$AC:$AC)</f>
        <v>0</v>
      </c>
      <c r="L19" s="717">
        <f>SUMIFS(Sheet1!S71_OY2BudgetAmount,Sheet1!S71_SA3Code,$AC:$AC)</f>
        <v>0</v>
      </c>
      <c r="AC19" s="2359" t="s">
        <v>2915</v>
      </c>
    </row>
    <row r="20" spans="1:29" ht="11.25" customHeight="1" x14ac:dyDescent="0.25">
      <c r="A20" s="942" t="s">
        <v>7</v>
      </c>
      <c r="B20" s="711"/>
      <c r="C20" s="535">
        <f>SUM(C17:C19)</f>
        <v>-8513945</v>
      </c>
      <c r="D20" s="535">
        <f t="shared" ref="D20:L20" si="1">SUM(D17:D19)</f>
        <v>-9936594</v>
      </c>
      <c r="E20" s="665">
        <f t="shared" si="1"/>
        <v>-11193390</v>
      </c>
      <c r="F20" s="666">
        <f t="shared" si="1"/>
        <v>-2754504</v>
      </c>
      <c r="G20" s="535">
        <f t="shared" si="1"/>
        <v>-3140135</v>
      </c>
      <c r="H20" s="665">
        <f t="shared" si="1"/>
        <v>-3140135</v>
      </c>
      <c r="I20" s="667">
        <f t="shared" si="1"/>
        <v>-3140135</v>
      </c>
      <c r="J20" s="668">
        <f t="shared" si="1"/>
        <v>0</v>
      </c>
      <c r="K20" s="534">
        <f t="shared" si="1"/>
        <v>0</v>
      </c>
      <c r="L20" s="665">
        <f t="shared" si="1"/>
        <v>0</v>
      </c>
    </row>
    <row r="21" spans="1:29" ht="4.9000000000000004" customHeight="1" x14ac:dyDescent="0.25">
      <c r="A21" s="931"/>
      <c r="B21" s="711"/>
      <c r="C21" s="177"/>
      <c r="D21" s="177"/>
      <c r="E21" s="178"/>
      <c r="F21" s="179"/>
      <c r="G21" s="177"/>
      <c r="H21" s="178"/>
      <c r="I21" s="180"/>
      <c r="J21" s="181"/>
      <c r="K21" s="724"/>
      <c r="L21" s="178"/>
    </row>
    <row r="22" spans="1:29" ht="13.9" customHeight="1" x14ac:dyDescent="0.25">
      <c r="A22" s="913" t="s">
        <v>1326</v>
      </c>
      <c r="B22" s="711"/>
      <c r="C22" s="177"/>
      <c r="D22" s="177"/>
      <c r="E22" s="178"/>
      <c r="F22" s="179"/>
      <c r="G22" s="177"/>
      <c r="H22" s="178"/>
      <c r="I22" s="982"/>
      <c r="J22" s="181"/>
      <c r="K22" s="724"/>
      <c r="L22" s="178"/>
    </row>
    <row r="23" spans="1:29" ht="13.9" customHeight="1" x14ac:dyDescent="0.25">
      <c r="A23" s="913" t="s">
        <v>820</v>
      </c>
      <c r="B23" s="711"/>
      <c r="C23" s="177"/>
      <c r="D23" s="177"/>
      <c r="E23" s="178"/>
      <c r="F23" s="179"/>
      <c r="G23" s="177"/>
      <c r="H23" s="178"/>
      <c r="I23" s="982"/>
      <c r="J23" s="181"/>
      <c r="K23" s="724"/>
      <c r="L23" s="178"/>
      <c r="AC23" s="2359"/>
    </row>
    <row r="24" spans="1:29" ht="13.9" customHeight="1" x14ac:dyDescent="0.25">
      <c r="A24" s="664" t="s">
        <v>2536</v>
      </c>
      <c r="B24" s="711"/>
      <c r="C24" s="993">
        <f>SUMIFS(Sheet1!S71_PPPYearAmount,Sheet1!S71_A6SubCode,$AC:$AC)</f>
        <v>0</v>
      </c>
      <c r="D24" s="98">
        <f>C53</f>
        <v>0</v>
      </c>
      <c r="E24" s="99">
        <f>D53</f>
        <v>0</v>
      </c>
      <c r="F24" s="100">
        <f>E53</f>
        <v>0</v>
      </c>
      <c r="G24" s="98">
        <f>E53</f>
        <v>0</v>
      </c>
      <c r="H24" s="99">
        <f>E53</f>
        <v>0</v>
      </c>
      <c r="I24" s="984">
        <f>E53</f>
        <v>0</v>
      </c>
      <c r="J24" s="102">
        <f>G53</f>
        <v>0</v>
      </c>
      <c r="K24" s="293">
        <f>J53</f>
        <v>0</v>
      </c>
      <c r="L24" s="99">
        <f>K53</f>
        <v>0</v>
      </c>
      <c r="AC24" s="2360" t="s">
        <v>2989</v>
      </c>
    </row>
    <row r="25" spans="1:29" ht="13.9" customHeight="1" x14ac:dyDescent="0.25">
      <c r="A25" s="664" t="s">
        <v>2537</v>
      </c>
      <c r="B25" s="769"/>
      <c r="C25" s="98">
        <f>(SUM(C26:C28))</f>
        <v>0</v>
      </c>
      <c r="D25" s="98">
        <f t="shared" ref="D25:L25" si="2">(SUM(D26:D28))</f>
        <v>0</v>
      </c>
      <c r="E25" s="99">
        <f t="shared" si="2"/>
        <v>0</v>
      </c>
      <c r="F25" s="100">
        <f t="shared" si="2"/>
        <v>0</v>
      </c>
      <c r="G25" s="98">
        <f t="shared" si="2"/>
        <v>0</v>
      </c>
      <c r="H25" s="99">
        <f t="shared" si="2"/>
        <v>0</v>
      </c>
      <c r="I25" s="984">
        <f t="shared" si="2"/>
        <v>0</v>
      </c>
      <c r="J25" s="102">
        <f t="shared" si="2"/>
        <v>0</v>
      </c>
      <c r="K25" s="293">
        <f t="shared" si="2"/>
        <v>0</v>
      </c>
      <c r="L25" s="99">
        <f t="shared" si="2"/>
        <v>0</v>
      </c>
      <c r="AC25" s="2360"/>
    </row>
    <row r="26" spans="1:29" ht="13.9" customHeight="1" x14ac:dyDescent="0.25">
      <c r="A26" s="931" t="s">
        <v>2538</v>
      </c>
      <c r="B26" s="711"/>
      <c r="C26" s="983">
        <f>SUMIFS(Sheet1!S71_PPPYearAmount,Sheet1!S71_A6SubCode,$AC:$AC)</f>
        <v>0</v>
      </c>
      <c r="D26" s="983">
        <f>SUMIFS(Sheet1!S71_PPYearAmount,Sheet1!S71_A6SubCode,$AC:$AC)</f>
        <v>0</v>
      </c>
      <c r="E26" s="985">
        <f>SUMIFS(Sheet1!S71_PYearAmount,Sheet1!S71_A6SubCode,$AC:$AC)</f>
        <v>0</v>
      </c>
      <c r="F26" s="986">
        <f>SUMIFS(Sheet1!S71_OriginalBudAmnt,Sheet1!S71_A6SubCode,$AC:$AC)</f>
        <v>0</v>
      </c>
      <c r="G26" s="983">
        <f>SUMIFS(Sheet1!S71_AdjustmentBudAmnt,Sheet1!S71_A6SubCode,$AC:$AC)</f>
        <v>0</v>
      </c>
      <c r="H26" s="985">
        <f>SUMIFS(Sheet1!S71_AdjustmentBudAmnt,Sheet1!S71_A6SubCode,$AC:$AC)</f>
        <v>0</v>
      </c>
      <c r="I26" s="987">
        <f>SUMIFS(Sheet1!CD:CD,Sheet1!S71_A6SubCode,$AC:$AC)</f>
        <v>0</v>
      </c>
      <c r="J26" s="988">
        <f>SUMIFS(Sheet1!S71_ASBudgetAmount,Sheet1!S71_A6SubCode,$AC:$AC)</f>
        <v>0</v>
      </c>
      <c r="K26" s="989">
        <f>SUMIFS(Sheet1!S71_OY1BudgetAmount,Sheet1!S71_A6SubCode,$AC:$AC)</f>
        <v>0</v>
      </c>
      <c r="L26" s="985">
        <f>SUMIFS(Sheet1!S71_OY2BudgetAmount,Sheet1!S71_A6SubCode,$AC:$AC)</f>
        <v>0</v>
      </c>
      <c r="AC26" s="2361" t="s">
        <v>3097</v>
      </c>
    </row>
    <row r="27" spans="1:29" ht="13.9" customHeight="1" x14ac:dyDescent="0.25">
      <c r="A27" s="931" t="s">
        <v>2539</v>
      </c>
      <c r="B27" s="711"/>
      <c r="C27" s="712">
        <f>SUMIFS(Sheet1!S71_PPPYearAmount,Sheet1!S71_A6SubCode,$AC:$AC)</f>
        <v>0</v>
      </c>
      <c r="D27" s="712">
        <f>SUMIFS(Sheet1!S71_PPYearAmount,Sheet1!S71_A6SubCode,$AC:$AC)</f>
        <v>0</v>
      </c>
      <c r="E27" s="717">
        <f>SUMIFS(Sheet1!S71_PYearAmount,Sheet1!S71_A6SubCode,$AC:$AC)</f>
        <v>0</v>
      </c>
      <c r="F27" s="718">
        <f>SUMIFS(Sheet1!S71_OriginalBudAmnt,Sheet1!S71_A6SubCode,$AC:$AC)</f>
        <v>0</v>
      </c>
      <c r="G27" s="712">
        <f>SUMIFS(Sheet1!S71_AdjustmentBudAmnt,Sheet1!S71_A6SubCode,$AC:$AC)</f>
        <v>0</v>
      </c>
      <c r="H27" s="717">
        <f>SUMIFS(Sheet1!S71_AdjustmentBudAmnt,Sheet1!S71_A6SubCode,$AC:$AC)</f>
        <v>0</v>
      </c>
      <c r="I27" s="987">
        <f>SUMIFS(Sheet1!CD:CD,Sheet1!S71_A6SubCode,$AC:$AC)</f>
        <v>0</v>
      </c>
      <c r="J27" s="725">
        <f>SUMIFS(Sheet1!S71_ASBudgetAmount,Sheet1!S71_A6SubCode,$AC:$AC)</f>
        <v>0</v>
      </c>
      <c r="K27" s="714">
        <f>SUMIFS(Sheet1!S71_OY1BudgetAmount,Sheet1!S71_A6SubCode,$AC:$AC)</f>
        <v>0</v>
      </c>
      <c r="L27" s="717">
        <f>SUMIFS(Sheet1!S71_OY2BudgetAmount,Sheet1!S71_A6SubCode,$AC:$AC)</f>
        <v>0</v>
      </c>
      <c r="AC27" s="2361" t="s">
        <v>3098</v>
      </c>
    </row>
    <row r="28" spans="1:29" ht="13.9" customHeight="1" x14ac:dyDescent="0.25">
      <c r="A28" s="931" t="s">
        <v>2540</v>
      </c>
      <c r="B28" s="711"/>
      <c r="C28" s="712">
        <f>SUMIFS(Sheet1!S71_PPPYearAmount,Sheet1!S71_A6SubCode,$AC:$AC)</f>
        <v>0</v>
      </c>
      <c r="D28" s="712">
        <f>SUMIFS(Sheet1!S71_PPYearAmount,Sheet1!S71_A6SubCode,$AC:$AC)</f>
        <v>0</v>
      </c>
      <c r="E28" s="717">
        <f>SUMIFS(Sheet1!S71_PYearAmount,Sheet1!S71_A6SubCode,$AC:$AC)</f>
        <v>0</v>
      </c>
      <c r="F28" s="718">
        <f>SUMIFS(Sheet1!S71_OriginalBudAmnt,Sheet1!S71_A6SubCode,$AC:$AC)</f>
        <v>0</v>
      </c>
      <c r="G28" s="712">
        <f>SUMIFS(Sheet1!S71_AdjustmentBudAmnt,Sheet1!S71_A6SubCode,$AC:$AC)</f>
        <v>0</v>
      </c>
      <c r="H28" s="717">
        <f>SUMIFS(Sheet1!S71_AdjustmentBudAmnt,Sheet1!S71_A6SubCode,$AC:$AC)</f>
        <v>0</v>
      </c>
      <c r="I28" s="987">
        <f>SUMIFS(Sheet1!CD:CD,Sheet1!S71_A6SubCode,$AC:$AC)</f>
        <v>0</v>
      </c>
      <c r="J28" s="725">
        <f>SUMIFS(Sheet1!S71_ASBudgetAmount,Sheet1!S71_A6SubCode,$AC:$AC)</f>
        <v>0</v>
      </c>
      <c r="K28" s="714">
        <f>SUMIFS(Sheet1!S71_OY1BudgetAmount,Sheet1!S71_A6SubCode,$AC:$AC)</f>
        <v>0</v>
      </c>
      <c r="L28" s="717">
        <f>SUMIFS(Sheet1!S71_OY2BudgetAmount,Sheet1!S71_A6SubCode,$AC:$AC)</f>
        <v>0</v>
      </c>
      <c r="AC28" s="2361" t="s">
        <v>3099</v>
      </c>
    </row>
    <row r="29" spans="1:29" ht="13.9" customHeight="1" x14ac:dyDescent="0.25">
      <c r="A29" s="664" t="s">
        <v>2541</v>
      </c>
      <c r="B29" s="990">
        <v>6</v>
      </c>
      <c r="C29" s="650">
        <f>C30+C39</f>
        <v>0</v>
      </c>
      <c r="D29" s="650">
        <f t="shared" ref="D29:L29" si="3">D30+D39</f>
        <v>0</v>
      </c>
      <c r="E29" s="651">
        <f t="shared" si="3"/>
        <v>0</v>
      </c>
      <c r="F29" s="652">
        <f t="shared" si="3"/>
        <v>0</v>
      </c>
      <c r="G29" s="650">
        <f>G30+G39</f>
        <v>0</v>
      </c>
      <c r="H29" s="651">
        <f t="shared" si="3"/>
        <v>0</v>
      </c>
      <c r="I29" s="653">
        <f t="shared" si="3"/>
        <v>0</v>
      </c>
      <c r="J29" s="654">
        <f t="shared" si="3"/>
        <v>0</v>
      </c>
      <c r="K29" s="991">
        <f t="shared" si="3"/>
        <v>0</v>
      </c>
      <c r="L29" s="651">
        <f t="shared" si="3"/>
        <v>0</v>
      </c>
      <c r="AC29" s="2362"/>
    </row>
    <row r="30" spans="1:29" ht="13.9" customHeight="1" x14ac:dyDescent="0.25">
      <c r="A30" s="664" t="s">
        <v>2542</v>
      </c>
      <c r="B30" s="675"/>
      <c r="C30" s="98">
        <f>C35+C31</f>
        <v>0</v>
      </c>
      <c r="D30" s="98">
        <f t="shared" ref="D30:L30" si="4">D35+D31</f>
        <v>0</v>
      </c>
      <c r="E30" s="99">
        <f t="shared" si="4"/>
        <v>0</v>
      </c>
      <c r="F30" s="100">
        <f t="shared" si="4"/>
        <v>0</v>
      </c>
      <c r="G30" s="98">
        <f t="shared" si="4"/>
        <v>0</v>
      </c>
      <c r="H30" s="99">
        <f t="shared" si="4"/>
        <v>0</v>
      </c>
      <c r="I30" s="984">
        <f t="shared" si="4"/>
        <v>0</v>
      </c>
      <c r="J30" s="102">
        <f t="shared" si="4"/>
        <v>0</v>
      </c>
      <c r="K30" s="293">
        <f t="shared" si="4"/>
        <v>0</v>
      </c>
      <c r="L30" s="99">
        <f t="shared" si="4"/>
        <v>0</v>
      </c>
      <c r="AC30" s="2360"/>
    </row>
    <row r="31" spans="1:29" ht="13.9" customHeight="1" x14ac:dyDescent="0.25">
      <c r="A31" s="664" t="s">
        <v>2543</v>
      </c>
      <c r="B31" s="675"/>
      <c r="C31" s="98">
        <f>SUM(C32:C34)</f>
        <v>0</v>
      </c>
      <c r="D31" s="98">
        <f t="shared" ref="D31:L31" si="5">SUM(D32:D34)</f>
        <v>0</v>
      </c>
      <c r="E31" s="99">
        <f t="shared" si="5"/>
        <v>0</v>
      </c>
      <c r="F31" s="100">
        <f t="shared" si="5"/>
        <v>0</v>
      </c>
      <c r="G31" s="98">
        <f t="shared" si="5"/>
        <v>0</v>
      </c>
      <c r="H31" s="99">
        <f t="shared" si="5"/>
        <v>0</v>
      </c>
      <c r="I31" s="984">
        <f t="shared" si="5"/>
        <v>0</v>
      </c>
      <c r="J31" s="102">
        <f t="shared" si="5"/>
        <v>0</v>
      </c>
      <c r="K31" s="293">
        <f t="shared" si="5"/>
        <v>0</v>
      </c>
      <c r="L31" s="99">
        <f t="shared" si="5"/>
        <v>0</v>
      </c>
      <c r="AC31" s="2360"/>
    </row>
    <row r="32" spans="1:29" ht="13.9" customHeight="1" x14ac:dyDescent="0.25">
      <c r="A32" s="931" t="s">
        <v>2544</v>
      </c>
      <c r="B32" s="711"/>
      <c r="C32" s="712">
        <f>SUMIFS(Sheet1!S71_PPPYearAmount,Sheet1!S71_A6SubCode,$AC:$AC)</f>
        <v>0</v>
      </c>
      <c r="D32" s="712">
        <f>SUMIFS(Sheet1!S71_PPYearAmount,Sheet1!S71_A6SubCode,$AC:$AC)</f>
        <v>0</v>
      </c>
      <c r="E32" s="717">
        <f>SUMIFS(Sheet1!S71_PYearAmount,Sheet1!S71_A6SubCode,$AC:$AC)</f>
        <v>0</v>
      </c>
      <c r="F32" s="718">
        <f>SUMIFS(Sheet1!S71_OriginalBudAmnt,Sheet1!S71_A6SubCode,$AC:$AC)</f>
        <v>0</v>
      </c>
      <c r="G32" s="712">
        <f>SUMIFS(Sheet1!S71_AdjustmentBudAmnt,Sheet1!S71_A6SubCode,$AC:$AC)</f>
        <v>0</v>
      </c>
      <c r="H32" s="717">
        <f>SUMIFS(Sheet1!S71_AdjustmentBudAmnt,Sheet1!S71_A6SubCode,$AC:$AC)</f>
        <v>0</v>
      </c>
      <c r="I32" s="719">
        <f>SUMIFS(Sheet1!CD:CD,Sheet1!S71_A6SubCode,$AC:$AC)</f>
        <v>0</v>
      </c>
      <c r="J32" s="725">
        <f>SUMIFS(Sheet1!S71_ASBudgetAmount,Sheet1!S71_A6SubCode,$AC:$AC)</f>
        <v>0</v>
      </c>
      <c r="K32" s="714">
        <f>SUMIFS(Sheet1!S71_OY1BudgetAmount,Sheet1!S71_A6SubCode,$AC:$AC)</f>
        <v>0</v>
      </c>
      <c r="L32" s="717">
        <f>SUMIFS(Sheet1!S71_OY2BudgetAmount,Sheet1!S71_A6SubCode,$AC:$AC)</f>
        <v>0</v>
      </c>
      <c r="AC32" s="2360" t="s">
        <v>2990</v>
      </c>
    </row>
    <row r="33" spans="1:29" ht="13.9" customHeight="1" x14ac:dyDescent="0.25">
      <c r="A33" s="931" t="s">
        <v>2545</v>
      </c>
      <c r="B33" s="711"/>
      <c r="C33" s="712">
        <f>SUMIFS(Sheet1!S71_PPPYearAmount,Sheet1!S71_A6SubCode,$AC:$AC)</f>
        <v>0</v>
      </c>
      <c r="D33" s="712">
        <f>SUMIFS(Sheet1!S71_PPYearAmount,Sheet1!S71_A6SubCode,$AC:$AC)</f>
        <v>0</v>
      </c>
      <c r="E33" s="717">
        <f>SUMIFS(Sheet1!S71_PYearAmount,Sheet1!S71_A6SubCode,$AC:$AC)</f>
        <v>0</v>
      </c>
      <c r="F33" s="718">
        <f>SUMIFS(Sheet1!S71_OriginalBudAmnt,Sheet1!S71_A6SubCode,$AC:$AC)</f>
        <v>0</v>
      </c>
      <c r="G33" s="712">
        <f>SUMIFS(Sheet1!S71_AdjustmentBudAmnt,Sheet1!S71_A6SubCode,$AC:$AC)</f>
        <v>0</v>
      </c>
      <c r="H33" s="717">
        <f>SUMIFS(Sheet1!S71_AdjustmentBudAmnt,Sheet1!S71_A6SubCode,$AC:$AC)</f>
        <v>0</v>
      </c>
      <c r="I33" s="719">
        <f>SUMIFS(Sheet1!CD:CD,Sheet1!S71_A6SubCode,$AC:$AC)</f>
        <v>0</v>
      </c>
      <c r="J33" s="725">
        <f>SUMIFS(Sheet1!S71_ASBudgetAmount,Sheet1!S71_A6SubCode,$AC:$AC)</f>
        <v>0</v>
      </c>
      <c r="K33" s="714">
        <f>SUMIFS(Sheet1!S71_OY1BudgetAmount,Sheet1!S71_A6SubCode,$AC:$AC)</f>
        <v>0</v>
      </c>
      <c r="L33" s="717">
        <f>SUMIFS(Sheet1!S71_OY2BudgetAmount,Sheet1!S71_A6SubCode,$AC:$AC)</f>
        <v>0</v>
      </c>
      <c r="AC33" s="2360" t="s">
        <v>2991</v>
      </c>
    </row>
    <row r="34" spans="1:29" ht="13.9" customHeight="1" x14ac:dyDescent="0.25">
      <c r="A34" s="931" t="s">
        <v>2546</v>
      </c>
      <c r="B34" s="711"/>
      <c r="C34" s="712">
        <f>SUMIFS(Sheet1!S71_PPPYearAmount,Sheet1!S71_A6SubCode,$AC:$AC)</f>
        <v>0</v>
      </c>
      <c r="D34" s="712">
        <f>SUMIFS(Sheet1!S71_PPYearAmount,Sheet1!S71_A6SubCode,$AC:$AC)</f>
        <v>0</v>
      </c>
      <c r="E34" s="717">
        <f>SUMIFS(Sheet1!S71_PYearAmount,Sheet1!S71_A6SubCode,$AC:$AC)</f>
        <v>0</v>
      </c>
      <c r="F34" s="718">
        <f>SUMIFS(Sheet1!S71_OriginalBudAmnt,Sheet1!S71_A6SubCode,$AC:$AC)</f>
        <v>0</v>
      </c>
      <c r="G34" s="712">
        <f>SUMIFS(Sheet1!S71_AdjustmentBudAmnt,Sheet1!S71_A6SubCode,$AC:$AC)</f>
        <v>0</v>
      </c>
      <c r="H34" s="717">
        <f>SUMIFS(Sheet1!S71_AdjustmentBudAmnt,Sheet1!S71_A6SubCode,$AC:$AC)</f>
        <v>0</v>
      </c>
      <c r="I34" s="719">
        <f>SUMIFS(Sheet1!CD:CD,Sheet1!S71_A6SubCode,$AC:$AC)</f>
        <v>0</v>
      </c>
      <c r="J34" s="725">
        <f>SUMIFS(Sheet1!S71_ASBudgetAmount,Sheet1!S71_A6SubCode,$AC:$AC)</f>
        <v>0</v>
      </c>
      <c r="K34" s="714">
        <f>SUMIFS(Sheet1!S71_OY1BudgetAmount,Sheet1!S71_A6SubCode,$AC:$AC)</f>
        <v>0</v>
      </c>
      <c r="L34" s="717">
        <f>SUMIFS(Sheet1!S71_OY2BudgetAmount,Sheet1!S71_A6SubCode,$AC:$AC)</f>
        <v>0</v>
      </c>
      <c r="AC34" s="2360" t="s">
        <v>2992</v>
      </c>
    </row>
    <row r="35" spans="1:29" ht="13.9" customHeight="1" x14ac:dyDescent="0.25">
      <c r="A35" s="664" t="s">
        <v>2547</v>
      </c>
      <c r="B35" s="711"/>
      <c r="C35" s="98">
        <f>SUM(C36:C38)</f>
        <v>0</v>
      </c>
      <c r="D35" s="98">
        <f t="shared" ref="D35:L35" si="6">SUM(D36:D38)</f>
        <v>0</v>
      </c>
      <c r="E35" s="99">
        <f t="shared" si="6"/>
        <v>0</v>
      </c>
      <c r="F35" s="100">
        <f t="shared" si="6"/>
        <v>0</v>
      </c>
      <c r="G35" s="98">
        <f t="shared" si="6"/>
        <v>0</v>
      </c>
      <c r="H35" s="99">
        <f t="shared" si="6"/>
        <v>0</v>
      </c>
      <c r="I35" s="984">
        <f t="shared" si="6"/>
        <v>0</v>
      </c>
      <c r="J35" s="102">
        <f t="shared" si="6"/>
        <v>0</v>
      </c>
      <c r="K35" s="293">
        <f t="shared" si="6"/>
        <v>0</v>
      </c>
      <c r="L35" s="99">
        <f t="shared" si="6"/>
        <v>0</v>
      </c>
      <c r="AC35" s="2360"/>
    </row>
    <row r="36" spans="1:29" ht="13.9" customHeight="1" x14ac:dyDescent="0.25">
      <c r="A36" s="931" t="s">
        <v>2544</v>
      </c>
      <c r="B36" s="711"/>
      <c r="C36" s="712">
        <f>SUMIFS(Sheet1!S71_PPPYearAmount,Sheet1!S71_A6SubCode,$AC:$AC)</f>
        <v>0</v>
      </c>
      <c r="D36" s="712">
        <f>SUMIFS(Sheet1!S71_PPYearAmount,Sheet1!S71_A6SubCode,$AC:$AC)</f>
        <v>0</v>
      </c>
      <c r="E36" s="717">
        <f>SUMIFS(Sheet1!S71_PYearAmount,Sheet1!S71_A6SubCode,$AC:$AC)</f>
        <v>0</v>
      </c>
      <c r="F36" s="718">
        <f>SUMIFS(Sheet1!S71_OriginalBudAmnt,Sheet1!S71_A6SubCode,$AC:$AC)</f>
        <v>0</v>
      </c>
      <c r="G36" s="712">
        <f>SUMIFS(Sheet1!S71_AdjustmentBudAmnt,Sheet1!S71_A6SubCode,$AC:$AC)</f>
        <v>0</v>
      </c>
      <c r="H36" s="717">
        <f>SUMIFS(Sheet1!S71_AdjustmentBudAmnt,Sheet1!S71_A6SubCode,$AC:$AC)</f>
        <v>0</v>
      </c>
      <c r="I36" s="719">
        <f>SUMIFS(Sheet1!CD:CD,Sheet1!S71_A6SubCode,$AC:$AC)</f>
        <v>0</v>
      </c>
      <c r="J36" s="725">
        <f>SUMIFS(Sheet1!S71_ASBudgetAmount,Sheet1!S71_A6SubCode,$AC:$AC)</f>
        <v>0</v>
      </c>
      <c r="K36" s="714">
        <f>SUMIFS(Sheet1!S71_OY1BudgetAmount,Sheet1!S71_A6SubCode,$AC:$AC)</f>
        <v>0</v>
      </c>
      <c r="L36" s="717">
        <f>SUMIFS(Sheet1!S71_OY2BudgetAmount,Sheet1!S71_A6SubCode,$AC:$AC)</f>
        <v>0</v>
      </c>
      <c r="AC36" s="2360" t="s">
        <v>2993</v>
      </c>
    </row>
    <row r="37" spans="1:29" ht="13.9" customHeight="1" x14ac:dyDescent="0.25">
      <c r="A37" s="931" t="s">
        <v>2545</v>
      </c>
      <c r="B37" s="711"/>
      <c r="C37" s="712">
        <f>SUMIFS(Sheet1!S71_PPPYearAmount,Sheet1!S71_A6SubCode,$AC:$AC)</f>
        <v>0</v>
      </c>
      <c r="D37" s="712">
        <f>SUMIFS(Sheet1!S71_PPYearAmount,Sheet1!S71_A6SubCode,$AC:$AC)</f>
        <v>0</v>
      </c>
      <c r="E37" s="717">
        <f>SUMIFS(Sheet1!S71_PYearAmount,Sheet1!S71_A6SubCode,$AC:$AC)</f>
        <v>0</v>
      </c>
      <c r="F37" s="718">
        <f>SUMIFS(Sheet1!S71_OriginalBudAmnt,Sheet1!S71_A6SubCode,$AC:$AC)</f>
        <v>0</v>
      </c>
      <c r="G37" s="712">
        <f>SUMIFS(Sheet1!S71_AdjustmentBudAmnt,Sheet1!S71_A6SubCode,$AC:$AC)</f>
        <v>0</v>
      </c>
      <c r="H37" s="717">
        <f>SUMIFS(Sheet1!S71_AdjustmentBudAmnt,Sheet1!S71_A6SubCode,$AC:$AC)</f>
        <v>0</v>
      </c>
      <c r="I37" s="719">
        <f>SUMIFS(Sheet1!CD:CD,Sheet1!S71_A6SubCode,$AC:$AC)</f>
        <v>0</v>
      </c>
      <c r="J37" s="725">
        <f>SUMIFS(Sheet1!S71_ASBudgetAmount,Sheet1!S71_A6SubCode,$AC:$AC)</f>
        <v>0</v>
      </c>
      <c r="K37" s="714">
        <f>SUMIFS(Sheet1!S71_OY1BudgetAmount,Sheet1!S71_A6SubCode,$AC:$AC)</f>
        <v>0</v>
      </c>
      <c r="L37" s="717">
        <f>SUMIFS(Sheet1!S71_OY2BudgetAmount,Sheet1!S71_A6SubCode,$AC:$AC)</f>
        <v>0</v>
      </c>
      <c r="AC37" s="2360" t="s">
        <v>2994</v>
      </c>
    </row>
    <row r="38" spans="1:29" ht="13.9" customHeight="1" x14ac:dyDescent="0.25">
      <c r="A38" s="931" t="s">
        <v>2546</v>
      </c>
      <c r="B38" s="711"/>
      <c r="C38" s="712">
        <f>SUMIFS(Sheet1!S71_PPPYearAmount,Sheet1!S71_A6SubCode,$AC:$AC)</f>
        <v>0</v>
      </c>
      <c r="D38" s="712">
        <f>SUMIFS(Sheet1!S71_PPYearAmount,Sheet1!S71_A6SubCode,$AC:$AC)</f>
        <v>0</v>
      </c>
      <c r="E38" s="717">
        <f>SUMIFS(Sheet1!S71_PYearAmount,Sheet1!S71_A6SubCode,$AC:$AC)</f>
        <v>0</v>
      </c>
      <c r="F38" s="718">
        <f>SUMIFS(Sheet1!S71_OriginalBudAmnt,Sheet1!S71_A6SubCode,$AC:$AC)</f>
        <v>0</v>
      </c>
      <c r="G38" s="712">
        <f>SUMIFS(Sheet1!S71_AdjustmentBudAmnt,Sheet1!S71_A6SubCode,$AC:$AC)</f>
        <v>0</v>
      </c>
      <c r="H38" s="717">
        <f>SUMIFS(Sheet1!S71_AdjustmentBudAmnt,Sheet1!S71_A6SubCode,$AC:$AC)</f>
        <v>0</v>
      </c>
      <c r="I38" s="719">
        <f>SUMIFS(Sheet1!CD:CD,Sheet1!S71_A6SubCode,$AC:$AC)</f>
        <v>0</v>
      </c>
      <c r="J38" s="725">
        <f>SUMIFS(Sheet1!S71_ASBudgetAmount,Sheet1!S71_A6SubCode,$AC:$AC)</f>
        <v>0</v>
      </c>
      <c r="K38" s="714">
        <f>SUMIFS(Sheet1!S71_OY1BudgetAmount,Sheet1!S71_A6SubCode,$AC:$AC)</f>
        <v>0</v>
      </c>
      <c r="L38" s="717">
        <f>SUMIFS(Sheet1!S71_OY2BudgetAmount,Sheet1!S71_A6SubCode,$AC:$AC)</f>
        <v>0</v>
      </c>
      <c r="AC38" s="2360" t="s">
        <v>2995</v>
      </c>
    </row>
    <row r="39" spans="1:29" ht="13.9" customHeight="1" x14ac:dyDescent="0.25">
      <c r="A39" s="664" t="s">
        <v>2548</v>
      </c>
      <c r="B39" s="711"/>
      <c r="C39" s="98">
        <f>SUM(C40:C41)</f>
        <v>0</v>
      </c>
      <c r="D39" s="98">
        <f t="shared" ref="D39:L39" si="7">SUM(D40:D41)</f>
        <v>0</v>
      </c>
      <c r="E39" s="99">
        <f t="shared" si="7"/>
        <v>0</v>
      </c>
      <c r="F39" s="100">
        <f t="shared" si="7"/>
        <v>0</v>
      </c>
      <c r="G39" s="98">
        <f>SUM(G40:G41)</f>
        <v>0</v>
      </c>
      <c r="H39" s="99">
        <f t="shared" si="7"/>
        <v>0</v>
      </c>
      <c r="I39" s="984">
        <f t="shared" si="7"/>
        <v>0</v>
      </c>
      <c r="J39" s="102">
        <f t="shared" si="7"/>
        <v>0</v>
      </c>
      <c r="K39" s="293">
        <f t="shared" si="7"/>
        <v>0</v>
      </c>
      <c r="L39" s="99">
        <f t="shared" si="7"/>
        <v>0</v>
      </c>
      <c r="AC39" s="2362"/>
    </row>
    <row r="40" spans="1:29" ht="13.9" customHeight="1" x14ac:dyDescent="0.25">
      <c r="A40" s="931" t="s">
        <v>2549</v>
      </c>
      <c r="B40" s="711"/>
      <c r="C40" s="712">
        <f>SUMIFS(Sheet1!S71_PPPYearAmount,Sheet1!S71_A6SubCode,$AC:$AC)</f>
        <v>0</v>
      </c>
      <c r="D40" s="712">
        <f>SUMIFS(Sheet1!S71_PPYearAmount,Sheet1!S71_A6SubCode,$AC:$AC)</f>
        <v>0</v>
      </c>
      <c r="E40" s="717">
        <f>SUMIFS(Sheet1!S71_PYearAmount,Sheet1!S71_A6SubCode,$AC:$AC)</f>
        <v>0</v>
      </c>
      <c r="F40" s="718">
        <f>SUMIFS(Sheet1!S71_OriginalBudAmnt,Sheet1!S71_A6SubCode,$AC:$AC)</f>
        <v>0</v>
      </c>
      <c r="G40" s="712">
        <f>SUMIFS(Sheet1!S71_AdjustmentBudAmnt,Sheet1!S71_A6SubCode,$AC:$AC)</f>
        <v>0</v>
      </c>
      <c r="H40" s="717">
        <f>SUMIFS(Sheet1!S71_AdjustmentBudAmnt,Sheet1!S71_A6SubCode,$AC:$AC)</f>
        <v>0</v>
      </c>
      <c r="I40" s="719">
        <f>SUMIFS(Sheet1!CD:CD,Sheet1!S71_A6SubCode,$AC:$AC)</f>
        <v>0</v>
      </c>
      <c r="J40" s="725">
        <f>SUMIFS(Sheet1!S71_ASBudgetAmount,Sheet1!S71_A6SubCode,$AC:$AC)</f>
        <v>0</v>
      </c>
      <c r="K40" s="714">
        <f>SUMIFS(Sheet1!S71_OY1BudgetAmount,Sheet1!S71_A6SubCode,$AC:$AC)</f>
        <v>0</v>
      </c>
      <c r="L40" s="717">
        <f>SUMIFS(Sheet1!S71_OY2BudgetAmount,Sheet1!S71_A6SubCode,$AC:$AC)</f>
        <v>0</v>
      </c>
      <c r="AC40" s="2360" t="s">
        <v>2996</v>
      </c>
    </row>
    <row r="41" spans="1:29" ht="13.9" customHeight="1" x14ac:dyDescent="0.25">
      <c r="A41" s="931" t="s">
        <v>2550</v>
      </c>
      <c r="B41" s="711"/>
      <c r="C41" s="712">
        <f>SUMIFS(Sheet1!S71_PPPYearAmount,Sheet1!S71_A6SubCode,$AC:$AC)</f>
        <v>0</v>
      </c>
      <c r="D41" s="712">
        <f>SUMIFS(Sheet1!S71_PPYearAmount,Sheet1!S71_A6SubCode,$AC:$AC)</f>
        <v>0</v>
      </c>
      <c r="E41" s="717">
        <f>SUMIFS(Sheet1!S71_PYearAmount,Sheet1!S71_A6SubCode,$AC:$AC)</f>
        <v>0</v>
      </c>
      <c r="F41" s="718">
        <f>SUMIFS(Sheet1!S71_OriginalBudAmnt,Sheet1!S71_A6SubCode,$AC:$AC)</f>
        <v>0</v>
      </c>
      <c r="G41" s="712">
        <f>SUMIFS(Sheet1!S71_AdjustmentBudAmnt,Sheet1!S71_A6SubCode,$AC:$AC)</f>
        <v>0</v>
      </c>
      <c r="H41" s="717">
        <f>SUMIFS(Sheet1!S71_AdjustmentBudAmnt,Sheet1!S71_A6SubCode,$AC:$AC)</f>
        <v>0</v>
      </c>
      <c r="I41" s="719">
        <f>SUMIFS(Sheet1!CD:CD,Sheet1!S71_A6SubCode,$AC:$AC)</f>
        <v>0</v>
      </c>
      <c r="J41" s="725">
        <f>SUMIFS(Sheet1!S71_ASBudgetAmount,Sheet1!S71_A6SubCode,$AC:$AC)</f>
        <v>0</v>
      </c>
      <c r="K41" s="714">
        <f>SUMIFS(Sheet1!S71_OY1BudgetAmount,Sheet1!S71_A6SubCode,$AC:$AC)</f>
        <v>0</v>
      </c>
      <c r="L41" s="717">
        <f>SUMIFS(Sheet1!S71_OY2BudgetAmount,Sheet1!S71_A6SubCode,$AC:$AC)</f>
        <v>0</v>
      </c>
      <c r="AC41" s="2360" t="s">
        <v>2997</v>
      </c>
    </row>
    <row r="42" spans="1:29" ht="13.9" customHeight="1" x14ac:dyDescent="0.25">
      <c r="A42" s="664" t="s">
        <v>2551</v>
      </c>
      <c r="B42" s="711"/>
      <c r="C42" s="98">
        <f>C43+C46</f>
        <v>0</v>
      </c>
      <c r="D42" s="98">
        <f t="shared" ref="D42:L42" si="8">D43+D46</f>
        <v>0</v>
      </c>
      <c r="E42" s="99">
        <f t="shared" si="8"/>
        <v>0</v>
      </c>
      <c r="F42" s="100">
        <f t="shared" si="8"/>
        <v>0</v>
      </c>
      <c r="G42" s="98">
        <f t="shared" si="8"/>
        <v>0</v>
      </c>
      <c r="H42" s="99">
        <f t="shared" si="8"/>
        <v>0</v>
      </c>
      <c r="I42" s="984">
        <f t="shared" si="8"/>
        <v>0</v>
      </c>
      <c r="J42" s="102">
        <f t="shared" si="8"/>
        <v>0</v>
      </c>
      <c r="K42" s="293">
        <f t="shared" si="8"/>
        <v>0</v>
      </c>
      <c r="L42" s="99">
        <f t="shared" si="8"/>
        <v>0</v>
      </c>
      <c r="AC42" s="2360"/>
    </row>
    <row r="43" spans="1:29" ht="13.9" customHeight="1" x14ac:dyDescent="0.25">
      <c r="A43" s="664" t="s">
        <v>2552</v>
      </c>
      <c r="B43" s="711"/>
      <c r="C43" s="98">
        <f>SUM(C44:C45)</f>
        <v>0</v>
      </c>
      <c r="D43" s="98">
        <f t="shared" ref="D43:L43" si="9">SUM(D44:D45)</f>
        <v>0</v>
      </c>
      <c r="E43" s="99">
        <f t="shared" si="9"/>
        <v>0</v>
      </c>
      <c r="F43" s="100">
        <f t="shared" si="9"/>
        <v>0</v>
      </c>
      <c r="G43" s="98">
        <f t="shared" si="9"/>
        <v>0</v>
      </c>
      <c r="H43" s="99">
        <f t="shared" si="9"/>
        <v>0</v>
      </c>
      <c r="I43" s="984">
        <f t="shared" si="9"/>
        <v>0</v>
      </c>
      <c r="J43" s="102">
        <f t="shared" si="9"/>
        <v>0</v>
      </c>
      <c r="K43" s="293">
        <f t="shared" si="9"/>
        <v>0</v>
      </c>
      <c r="L43" s="99">
        <f t="shared" si="9"/>
        <v>0</v>
      </c>
      <c r="AC43" s="2360"/>
    </row>
    <row r="44" spans="1:29" ht="13.9" customHeight="1" x14ac:dyDescent="0.25">
      <c r="A44" s="931" t="s">
        <v>2553</v>
      </c>
      <c r="B44" s="711"/>
      <c r="C44" s="712">
        <f>SUMIFS(Sheet1!S71_PPPYearAmount,Sheet1!S71_A6SubCode,$AC:$AC)</f>
        <v>0</v>
      </c>
      <c r="D44" s="712">
        <f>SUMIFS(Sheet1!S71_PPYearAmount,Sheet1!S71_A6SubCode,$AC:$AC)</f>
        <v>0</v>
      </c>
      <c r="E44" s="717">
        <f>SUMIFS(Sheet1!S71_PYearAmount,Sheet1!S71_A6SubCode,$AC:$AC)</f>
        <v>0</v>
      </c>
      <c r="F44" s="718">
        <f>SUMIFS(Sheet1!S71_OriginalBudAmnt,Sheet1!S71_A6SubCode,$AC:$AC)</f>
        <v>0</v>
      </c>
      <c r="G44" s="712">
        <f>SUMIFS(Sheet1!S71_AdjustmentBudAmnt,Sheet1!S71_A6SubCode,$AC:$AC)</f>
        <v>0</v>
      </c>
      <c r="H44" s="717">
        <f>SUMIFS(Sheet1!S71_AdjustmentBudAmnt,Sheet1!S71_A6SubCode,$AC:$AC)</f>
        <v>0</v>
      </c>
      <c r="I44" s="719">
        <f>SUMIFS(Sheet1!CD:CD,Sheet1!S71_A6SubCode,$AC:$AC)</f>
        <v>0</v>
      </c>
      <c r="J44" s="725">
        <f>SUMIFS(Sheet1!S71_ASBudgetAmount,Sheet1!S71_A6SubCode,$AC:$AC)</f>
        <v>0</v>
      </c>
      <c r="K44" s="714">
        <f>SUMIFS(Sheet1!S71_OY1BudgetAmount,Sheet1!S71_A6SubCode,$AC:$AC)</f>
        <v>0</v>
      </c>
      <c r="L44" s="717">
        <f>SUMIFS(Sheet1!S71_OY2BudgetAmount,Sheet1!S71_A6SubCode,$AC:$AC)</f>
        <v>0</v>
      </c>
      <c r="AC44" s="2360" t="s">
        <v>2998</v>
      </c>
    </row>
    <row r="45" spans="1:29" ht="13.9" customHeight="1" x14ac:dyDescent="0.25">
      <c r="A45" s="931" t="s">
        <v>2554</v>
      </c>
      <c r="B45" s="711"/>
      <c r="C45" s="712">
        <f>SUMIFS(Sheet1!S71_PPPYearAmount,Sheet1!S71_A6SubCode,$AC:$AC)</f>
        <v>0</v>
      </c>
      <c r="D45" s="712">
        <f>SUMIFS(Sheet1!S71_PPYearAmount,Sheet1!S71_A6SubCode,$AC:$AC)</f>
        <v>0</v>
      </c>
      <c r="E45" s="717">
        <f>SUMIFS(Sheet1!S71_PYearAmount,Sheet1!S71_A6SubCode,$AC:$AC)</f>
        <v>0</v>
      </c>
      <c r="F45" s="718">
        <f>SUMIFS(Sheet1!S71_OriginalBudAmnt,Sheet1!S71_A6SubCode,$AC:$AC)</f>
        <v>0</v>
      </c>
      <c r="G45" s="712">
        <f>SUMIFS(Sheet1!S71_AdjustmentBudAmnt,Sheet1!S71_A6SubCode,$AC:$AC)</f>
        <v>0</v>
      </c>
      <c r="H45" s="717">
        <f>SUMIFS(Sheet1!S71_AdjustmentBudAmnt,Sheet1!S71_A6SubCode,$AC:$AC)</f>
        <v>0</v>
      </c>
      <c r="I45" s="719">
        <f>SUMIFS(Sheet1!CD:CD,Sheet1!S71_A6SubCode,$AC:$AC)</f>
        <v>0</v>
      </c>
      <c r="J45" s="725">
        <f>SUMIFS(Sheet1!S71_ASBudgetAmount,Sheet1!S71_A6SubCode,$AC:$AC)</f>
        <v>0</v>
      </c>
      <c r="K45" s="714">
        <f>SUMIFS(Sheet1!S71_OY1BudgetAmount,Sheet1!S71_A6SubCode,$AC:$AC)</f>
        <v>0</v>
      </c>
      <c r="L45" s="717">
        <f>SUMIFS(Sheet1!S71_OY2BudgetAmount,Sheet1!S71_A6SubCode,$AC:$AC)</f>
        <v>0</v>
      </c>
      <c r="AC45" s="2360" t="s">
        <v>2999</v>
      </c>
    </row>
    <row r="46" spans="1:29" ht="13.9" customHeight="1" x14ac:dyDescent="0.25">
      <c r="A46" s="664" t="s">
        <v>2555</v>
      </c>
      <c r="B46" s="711"/>
      <c r="C46" s="98">
        <f>SUM(C47:C51)</f>
        <v>0</v>
      </c>
      <c r="D46" s="98">
        <f t="shared" ref="D46:L46" si="10">SUM(D47:D51)</f>
        <v>0</v>
      </c>
      <c r="E46" s="99">
        <f t="shared" si="10"/>
        <v>0</v>
      </c>
      <c r="F46" s="100">
        <f t="shared" si="10"/>
        <v>0</v>
      </c>
      <c r="G46" s="98">
        <f t="shared" si="10"/>
        <v>0</v>
      </c>
      <c r="H46" s="99">
        <f t="shared" si="10"/>
        <v>0</v>
      </c>
      <c r="I46" s="984">
        <f t="shared" si="10"/>
        <v>0</v>
      </c>
      <c r="J46" s="102">
        <f t="shared" si="10"/>
        <v>0</v>
      </c>
      <c r="K46" s="293">
        <f t="shared" si="10"/>
        <v>0</v>
      </c>
      <c r="L46" s="99">
        <f t="shared" si="10"/>
        <v>0</v>
      </c>
      <c r="AC46" s="2362"/>
    </row>
    <row r="47" spans="1:29" ht="13.9" customHeight="1" x14ac:dyDescent="0.25">
      <c r="A47" s="931" t="s">
        <v>2556</v>
      </c>
      <c r="B47" s="711"/>
      <c r="C47" s="712">
        <f>SUMIFS(Sheet1!S71_PPPYearAmount,Sheet1!S71_A6SubCode,$AC:$AC)</f>
        <v>0</v>
      </c>
      <c r="D47" s="712">
        <f>SUMIFS(Sheet1!S71_PPYearAmount,Sheet1!S71_A6SubCode,$AC:$AC)</f>
        <v>0</v>
      </c>
      <c r="E47" s="717">
        <f>SUMIFS(Sheet1!S71_PYearAmount,Sheet1!S71_A6SubCode,$AC:$AC)</f>
        <v>0</v>
      </c>
      <c r="F47" s="718">
        <f>SUMIFS(Sheet1!S71_OriginalBudAmnt,Sheet1!S71_A6SubCode,$AC:$AC)</f>
        <v>0</v>
      </c>
      <c r="G47" s="712">
        <f>SUMIFS(Sheet1!S71_AdjustmentBudAmnt,Sheet1!S71_A6SubCode,$AC:$AC)</f>
        <v>0</v>
      </c>
      <c r="H47" s="717">
        <f>SUMIFS(Sheet1!S71_AdjustmentBudAmnt,Sheet1!S71_A6SubCode,$AC:$AC)</f>
        <v>0</v>
      </c>
      <c r="I47" s="719">
        <f>SUMIFS(Sheet1!CD:CD,Sheet1!S71_A6SubCode,$AC:$AC)</f>
        <v>0</v>
      </c>
      <c r="J47" s="725">
        <f>SUMIFS(Sheet1!S71_ASBudgetAmount,Sheet1!S71_A6SubCode,$AC:$AC)</f>
        <v>0</v>
      </c>
      <c r="K47" s="714">
        <f>SUMIFS(Sheet1!S71_OY1BudgetAmount,Sheet1!S71_A6SubCode,$AC:$AC)</f>
        <v>0</v>
      </c>
      <c r="L47" s="717">
        <f>SUMIFS(Sheet1!S71_OY2BudgetAmount,Sheet1!S71_A6SubCode,$AC:$AC)</f>
        <v>0</v>
      </c>
      <c r="AC47" s="2360" t="s">
        <v>3000</v>
      </c>
    </row>
    <row r="48" spans="1:29" ht="13.9" customHeight="1" x14ac:dyDescent="0.25">
      <c r="A48" s="931" t="s">
        <v>2557</v>
      </c>
      <c r="B48" s="711"/>
      <c r="C48" s="712">
        <f>SUMIFS(Sheet1!S71_PPPYearAmount,Sheet1!S71_A6SubCode,$AC:$AC)</f>
        <v>0</v>
      </c>
      <c r="D48" s="712">
        <f>SUMIFS(Sheet1!S71_PPYearAmount,Sheet1!S71_A6SubCode,$AC:$AC)</f>
        <v>0</v>
      </c>
      <c r="E48" s="717">
        <f>SUMIFS(Sheet1!S71_PYearAmount,Sheet1!S71_A6SubCode,$AC:$AC)</f>
        <v>0</v>
      </c>
      <c r="F48" s="718">
        <f>SUMIFS(Sheet1!S71_OriginalBudAmnt,Sheet1!S71_A6SubCode,$AC:$AC)</f>
        <v>0</v>
      </c>
      <c r="G48" s="712">
        <f>SUMIFS(Sheet1!S71_AdjustmentBudAmnt,Sheet1!S71_A6SubCode,$AC:$AC)</f>
        <v>0</v>
      </c>
      <c r="H48" s="717">
        <f>SUMIFS(Sheet1!S71_AdjustmentBudAmnt,Sheet1!S71_A6SubCode,$AC:$AC)</f>
        <v>0</v>
      </c>
      <c r="I48" s="719">
        <f>SUMIFS(Sheet1!CD:CD,Sheet1!S71_A6SubCode,$AC:$AC)</f>
        <v>0</v>
      </c>
      <c r="J48" s="725">
        <f>SUMIFS(Sheet1!S71_ASBudgetAmount,Sheet1!S71_A6SubCode,$AC:$AC)</f>
        <v>0</v>
      </c>
      <c r="K48" s="714">
        <f>SUMIFS(Sheet1!S71_OY1BudgetAmount,Sheet1!S71_A6SubCode,$AC:$AC)</f>
        <v>0</v>
      </c>
      <c r="L48" s="717">
        <f>SUMIFS(Sheet1!S71_OY2BudgetAmount,Sheet1!S71_A6SubCode,$AC:$AC)</f>
        <v>0</v>
      </c>
      <c r="AC48" s="2360" t="s">
        <v>3001</v>
      </c>
    </row>
    <row r="49" spans="1:29" ht="13.9" customHeight="1" x14ac:dyDescent="0.25">
      <c r="A49" s="931" t="s">
        <v>2558</v>
      </c>
      <c r="B49" s="711"/>
      <c r="C49" s="712">
        <f>SUMIFS(Sheet1!S71_PPPYearAmount,Sheet1!S71_A6SubCode,$AC:$AC)</f>
        <v>0</v>
      </c>
      <c r="D49" s="712">
        <f>SUMIFS(Sheet1!S71_PPYearAmount,Sheet1!S71_A6SubCode,$AC:$AC)</f>
        <v>0</v>
      </c>
      <c r="E49" s="717">
        <f>SUMIFS(Sheet1!S71_PYearAmount,Sheet1!S71_A6SubCode,$AC:$AC)</f>
        <v>0</v>
      </c>
      <c r="F49" s="718">
        <f>SUMIFS(Sheet1!S71_OriginalBudAmnt,Sheet1!S71_A6SubCode,$AC:$AC)</f>
        <v>0</v>
      </c>
      <c r="G49" s="712">
        <f>SUMIFS(Sheet1!S71_AdjustmentBudAmnt,Sheet1!S71_A6SubCode,$AC:$AC)</f>
        <v>0</v>
      </c>
      <c r="H49" s="717">
        <f>SUMIFS(Sheet1!S71_AdjustmentBudAmnt,Sheet1!S71_A6SubCode,$AC:$AC)</f>
        <v>0</v>
      </c>
      <c r="I49" s="719">
        <f>SUMIFS(Sheet1!CD:CD,Sheet1!S71_A6SubCode,$AC:$AC)</f>
        <v>0</v>
      </c>
      <c r="J49" s="725">
        <f>SUMIFS(Sheet1!S71_ASBudgetAmount,Sheet1!S71_A6SubCode,$AC:$AC)</f>
        <v>0</v>
      </c>
      <c r="K49" s="714">
        <f>SUMIFS(Sheet1!S71_OY1BudgetAmount,Sheet1!S71_A6SubCode,$AC:$AC)</f>
        <v>0</v>
      </c>
      <c r="L49" s="717">
        <f>SUMIFS(Sheet1!S71_OY2BudgetAmount,Sheet1!S71_A6SubCode,$AC:$AC)</f>
        <v>0</v>
      </c>
      <c r="AC49" s="2360" t="s">
        <v>3002</v>
      </c>
    </row>
    <row r="50" spans="1:29" ht="13.9" customHeight="1" x14ac:dyDescent="0.25">
      <c r="A50" s="931" t="s">
        <v>2559</v>
      </c>
      <c r="B50" s="711"/>
      <c r="C50" s="712">
        <f>SUMIFS(Sheet1!S71_PPPYearAmount,Sheet1!S71_A6SubCode,$AC:$AC)</f>
        <v>0</v>
      </c>
      <c r="D50" s="712">
        <f>SUMIFS(Sheet1!S71_PPYearAmount,Sheet1!S71_A6SubCode,$AC:$AC)</f>
        <v>0</v>
      </c>
      <c r="E50" s="717">
        <f>SUMIFS(Sheet1!S71_PYearAmount,Sheet1!S71_A6SubCode,$AC:$AC)</f>
        <v>0</v>
      </c>
      <c r="F50" s="718">
        <f>SUMIFS(Sheet1!S71_OriginalBudAmnt,Sheet1!S71_A6SubCode,$AC:$AC)</f>
        <v>0</v>
      </c>
      <c r="G50" s="712">
        <f>SUMIFS(Sheet1!S71_AdjustmentBudAmnt,Sheet1!S71_A6SubCode,$AC:$AC)</f>
        <v>0</v>
      </c>
      <c r="H50" s="717">
        <f>SUMIFS(Sheet1!S71_AdjustmentBudAmnt,Sheet1!S71_A6SubCode,$AC:$AC)</f>
        <v>0</v>
      </c>
      <c r="I50" s="719">
        <f>SUMIFS(Sheet1!CD:CD,Sheet1!S71_A6SubCode,$AC:$AC)</f>
        <v>0</v>
      </c>
      <c r="J50" s="725">
        <f>SUMIFS(Sheet1!S71_ASBudgetAmount,Sheet1!S71_A6SubCode,$AC:$AC)</f>
        <v>0</v>
      </c>
      <c r="K50" s="714">
        <f>SUMIFS(Sheet1!S71_OY1BudgetAmount,Sheet1!S71_A6SubCode,$AC:$AC)</f>
        <v>0</v>
      </c>
      <c r="L50" s="717">
        <f>SUMIFS(Sheet1!S71_OY2BudgetAmount,Sheet1!S71_A6SubCode,$AC:$AC)</f>
        <v>0</v>
      </c>
      <c r="AC50" s="2360" t="s">
        <v>3003</v>
      </c>
    </row>
    <row r="51" spans="1:29" ht="13.9" customHeight="1" x14ac:dyDescent="0.25">
      <c r="A51" s="931" t="s">
        <v>2560</v>
      </c>
      <c r="B51" s="711"/>
      <c r="C51" s="712">
        <f>SUMIFS(Sheet1!S71_PPPYearAmount,Sheet1!S71_A6SubCode,$AC:$AC)</f>
        <v>0</v>
      </c>
      <c r="D51" s="712">
        <f>SUMIFS(Sheet1!S71_PPYearAmount,Sheet1!S71_A6SubCode,$AC:$AC)</f>
        <v>0</v>
      </c>
      <c r="E51" s="717">
        <f>SUMIFS(Sheet1!S71_PYearAmount,Sheet1!S71_A6SubCode,$AC:$AC)</f>
        <v>0</v>
      </c>
      <c r="F51" s="718">
        <f>SUMIFS(Sheet1!S71_OriginalBudAmnt,Sheet1!S71_A6SubCode,$AC:$AC)</f>
        <v>0</v>
      </c>
      <c r="G51" s="712">
        <f>SUMIFS(Sheet1!S71_AdjustmentBudAmnt,Sheet1!S71_A6SubCode,$AC:$AC)</f>
        <v>0</v>
      </c>
      <c r="H51" s="717">
        <f>SUMIFS(Sheet1!S71_AdjustmentBudAmnt,Sheet1!S71_A6SubCode,$AC:$AC)</f>
        <v>0</v>
      </c>
      <c r="I51" s="719">
        <f>SUMIFS(Sheet1!CD:CD,Sheet1!S71_A6SubCode,$AC:$AC)</f>
        <v>0</v>
      </c>
      <c r="J51" s="725">
        <f>SUMIFS(Sheet1!S71_ASBudgetAmount,Sheet1!S71_A6SubCode,$AC:$AC)</f>
        <v>0</v>
      </c>
      <c r="K51" s="714">
        <f>SUMIFS(Sheet1!S71_OY1BudgetAmount,Sheet1!S71_A6SubCode,$AC:$AC)</f>
        <v>0</v>
      </c>
      <c r="L51" s="717">
        <f>SUMIFS(Sheet1!S71_OY2BudgetAmount,Sheet1!S71_A6SubCode,$AC:$AC)</f>
        <v>0</v>
      </c>
      <c r="AC51" s="2360" t="s">
        <v>3004</v>
      </c>
    </row>
    <row r="52" spans="1:29" ht="13.9" customHeight="1" x14ac:dyDescent="0.25">
      <c r="A52" s="664" t="s">
        <v>2561</v>
      </c>
      <c r="B52" s="711"/>
      <c r="C52" s="98">
        <f>C39+C42</f>
        <v>0</v>
      </c>
      <c r="D52" s="98">
        <f t="shared" ref="D52:L52" si="11">D39+D42</f>
        <v>0</v>
      </c>
      <c r="E52" s="99">
        <f t="shared" si="11"/>
        <v>0</v>
      </c>
      <c r="F52" s="100">
        <f t="shared" si="11"/>
        <v>0</v>
      </c>
      <c r="G52" s="98">
        <f t="shared" si="11"/>
        <v>0</v>
      </c>
      <c r="H52" s="99">
        <f t="shared" si="11"/>
        <v>0</v>
      </c>
      <c r="I52" s="984">
        <f t="shared" si="11"/>
        <v>0</v>
      </c>
      <c r="J52" s="102">
        <f t="shared" si="11"/>
        <v>0</v>
      </c>
      <c r="K52" s="293">
        <f t="shared" si="11"/>
        <v>0</v>
      </c>
      <c r="L52" s="99">
        <f t="shared" si="11"/>
        <v>0</v>
      </c>
      <c r="AC52" s="2362"/>
    </row>
    <row r="53" spans="1:29" ht="13.9" customHeight="1" x14ac:dyDescent="0.25">
      <c r="A53" s="664" t="s">
        <v>2562</v>
      </c>
      <c r="B53" s="992"/>
      <c r="C53" s="98">
        <f>C24+C25+C29+C42</f>
        <v>0</v>
      </c>
      <c r="D53" s="98">
        <f t="shared" ref="D53:L53" si="12">D24+D25+D29+D42</f>
        <v>0</v>
      </c>
      <c r="E53" s="99">
        <f t="shared" si="12"/>
        <v>0</v>
      </c>
      <c r="F53" s="100">
        <f t="shared" si="12"/>
        <v>0</v>
      </c>
      <c r="G53" s="98">
        <f t="shared" si="12"/>
        <v>0</v>
      </c>
      <c r="H53" s="99">
        <f t="shared" si="12"/>
        <v>0</v>
      </c>
      <c r="I53" s="984">
        <f t="shared" si="12"/>
        <v>0</v>
      </c>
      <c r="J53" s="102">
        <f t="shared" si="12"/>
        <v>0</v>
      </c>
      <c r="K53" s="293">
        <f t="shared" si="12"/>
        <v>0</v>
      </c>
      <c r="L53" s="99">
        <f t="shared" si="12"/>
        <v>0</v>
      </c>
      <c r="M53" s="322"/>
      <c r="AC53" s="2362"/>
    </row>
    <row r="54" spans="1:29" ht="13.9" customHeight="1" x14ac:dyDescent="0.25">
      <c r="A54" s="664"/>
      <c r="B54" s="711"/>
      <c r="C54" s="177"/>
      <c r="D54" s="177"/>
      <c r="E54" s="178"/>
      <c r="F54" s="179"/>
      <c r="G54" s="177"/>
      <c r="H54" s="178"/>
      <c r="I54" s="982"/>
      <c r="J54" s="181"/>
      <c r="K54" s="724"/>
      <c r="L54" s="178"/>
      <c r="AC54" s="2362"/>
    </row>
    <row r="55" spans="1:29" ht="13.9" customHeight="1" x14ac:dyDescent="0.25">
      <c r="A55" s="664" t="s">
        <v>812</v>
      </c>
      <c r="B55" s="711"/>
      <c r="C55" s="177"/>
      <c r="D55" s="177"/>
      <c r="E55" s="178"/>
      <c r="F55" s="179"/>
      <c r="G55" s="177"/>
      <c r="H55" s="178"/>
      <c r="I55" s="982"/>
      <c r="J55" s="181"/>
      <c r="K55" s="724"/>
      <c r="L55" s="178"/>
      <c r="AC55" s="2360"/>
    </row>
    <row r="56" spans="1:29" ht="13.9" customHeight="1" x14ac:dyDescent="0.25">
      <c r="A56" s="664" t="s">
        <v>2536</v>
      </c>
      <c r="B56" s="711"/>
      <c r="C56" s="993">
        <f>SUMIFS(Sheet1!S71_PPPYearAmount,Sheet1!S71_A6SubCode,$AC:$AC)</f>
        <v>0</v>
      </c>
      <c r="D56" s="98">
        <f>C61</f>
        <v>0</v>
      </c>
      <c r="E56" s="99">
        <f>D61</f>
        <v>0</v>
      </c>
      <c r="F56" s="100">
        <f>E61</f>
        <v>0</v>
      </c>
      <c r="G56" s="98">
        <f>E61</f>
        <v>0</v>
      </c>
      <c r="H56" s="99">
        <f>E61</f>
        <v>0</v>
      </c>
      <c r="I56" s="984">
        <f>E61</f>
        <v>0</v>
      </c>
      <c r="J56" s="102">
        <f>G61</f>
        <v>0</v>
      </c>
      <c r="K56" s="293">
        <f>J61</f>
        <v>0</v>
      </c>
      <c r="L56" s="99">
        <f>K61</f>
        <v>0</v>
      </c>
      <c r="AC56" s="2360" t="s">
        <v>3005</v>
      </c>
    </row>
    <row r="57" spans="1:29" ht="13.9" customHeight="1" x14ac:dyDescent="0.25">
      <c r="A57" s="931" t="s">
        <v>2563</v>
      </c>
      <c r="B57" s="711"/>
      <c r="C57" s="983">
        <f>SUMIFS(Sheet1!S71_PPPYearAmount,Sheet1!S71_A6SubCode,$AC:$AC)</f>
        <v>0</v>
      </c>
      <c r="D57" s="983">
        <f>SUMIFS(Sheet1!S71_PPYearAmount,Sheet1!S71_A6SubCode,$AC:$AC)</f>
        <v>0</v>
      </c>
      <c r="E57" s="985">
        <f>SUMIFS(Sheet1!S71_PYearAmount,Sheet1!S71_A6SubCode,$AC:$AC)</f>
        <v>0</v>
      </c>
      <c r="F57" s="986">
        <f>SUMIFS(Sheet1!S71_OriginalBudAmnt,Sheet1!S71_A6SubCode,$AC:$AC)</f>
        <v>0</v>
      </c>
      <c r="G57" s="983">
        <f>SUMIFS(Sheet1!S71_AdjustmentBudAmnt,Sheet1!S71_A6SubCode,$AC:$AC)</f>
        <v>0</v>
      </c>
      <c r="H57" s="985">
        <f>SUMIFS(Sheet1!S71_AdjustmentBudAmnt,Sheet1!S71_A6SubCode,$AC:$AC)</f>
        <v>0</v>
      </c>
      <c r="I57" s="987">
        <f>SUMIFS(Sheet1!CD:CD,Sheet1!S71_A6SubCode,$AC:$AC)</f>
        <v>0</v>
      </c>
      <c r="J57" s="988">
        <f>SUMIFS(Sheet1!S71_ASBudgetAmount,Sheet1!S71_A6SubCode,$AC:$AC)</f>
        <v>0</v>
      </c>
      <c r="K57" s="989">
        <f>SUMIFS(Sheet1!S71_OY1BudgetAmount,Sheet1!S71_A6SubCode,$AC:$AC)</f>
        <v>0</v>
      </c>
      <c r="L57" s="985">
        <f>SUMIFS(Sheet1!S71_OY2BudgetAmount,Sheet1!S71_A6SubCode,$AC:$AC)</f>
        <v>0</v>
      </c>
      <c r="AC57" s="2360" t="s">
        <v>3006</v>
      </c>
    </row>
    <row r="58" spans="1:29" ht="13.9" customHeight="1" x14ac:dyDescent="0.25">
      <c r="A58" s="931" t="s">
        <v>2564</v>
      </c>
      <c r="B58" s="675">
        <v>7</v>
      </c>
      <c r="C58" s="983">
        <f>SUMIFS(Sheet1!S71_PPPYearAmount,Sheet1!S71_A6SubCode,$AC:$AC)</f>
        <v>0</v>
      </c>
      <c r="D58" s="983">
        <f>SUMIFS(Sheet1!S71_PPYearAmount,Sheet1!S71_A6SubCode,$AC:$AC)</f>
        <v>0</v>
      </c>
      <c r="E58" s="985">
        <f>SUMIFS(Sheet1!S71_PYearAmount,Sheet1!S71_A6SubCode,$AC:$AC)</f>
        <v>0</v>
      </c>
      <c r="F58" s="986">
        <f>SUMIFS(Sheet1!S71_OriginalBudAmnt,Sheet1!S71_A6SubCode,$AC:$AC)</f>
        <v>0</v>
      </c>
      <c r="G58" s="983">
        <f>SUMIFS(Sheet1!S71_AdjustmentBudAmnt,Sheet1!S71_A6SubCode,$AC:$AC)</f>
        <v>0</v>
      </c>
      <c r="H58" s="985">
        <f>SUMIFS(Sheet1!S71_AdjustmentBudAmnt,Sheet1!S71_A6SubCode,$AC:$AC)</f>
        <v>0</v>
      </c>
      <c r="I58" s="987">
        <f>SUMIFS(Sheet1!CD:CD,Sheet1!S71_A6SubCode,$AC:$AC)</f>
        <v>0</v>
      </c>
      <c r="J58" s="988">
        <f>SUMIFS(Sheet1!S71_ASBudgetAmount,Sheet1!S71_A6SubCode,$AC:$AC)</f>
        <v>0</v>
      </c>
      <c r="K58" s="989">
        <f>SUMIFS(Sheet1!S71_OY1BudgetAmount,Sheet1!S71_A6SubCode,$AC:$AC)</f>
        <v>0</v>
      </c>
      <c r="L58" s="985">
        <f>SUMIFS(Sheet1!S71_OY2BudgetAmount,Sheet1!S71_A6SubCode,$AC:$AC)</f>
        <v>0</v>
      </c>
      <c r="AC58" s="2360" t="s">
        <v>3007</v>
      </c>
    </row>
    <row r="59" spans="1:29" ht="13.9" customHeight="1" x14ac:dyDescent="0.25">
      <c r="A59" s="931" t="s">
        <v>2565</v>
      </c>
      <c r="B59" s="675">
        <v>8</v>
      </c>
      <c r="C59" s="983">
        <f>SUMIFS(Sheet1!S71_PPPYearAmount,Sheet1!S71_A6SubCode,$AC:$AC)</f>
        <v>0</v>
      </c>
      <c r="D59" s="983">
        <f>SUMIFS(Sheet1!S71_PPYearAmount,Sheet1!S71_A6SubCode,$AC:$AC)</f>
        <v>0</v>
      </c>
      <c r="E59" s="985">
        <f>SUMIFS(Sheet1!S71_PYearAmount,Sheet1!S71_A6SubCode,$AC:$AC)</f>
        <v>0</v>
      </c>
      <c r="F59" s="986">
        <f>SUMIFS(Sheet1!S71_OriginalBudAmnt,Sheet1!S71_A6SubCode,$AC:$AC)</f>
        <v>0</v>
      </c>
      <c r="G59" s="983">
        <f>SUMIFS(Sheet1!S71_AdjustmentBudAmnt,Sheet1!S71_A6SubCode,$AC:$AC)</f>
        <v>0</v>
      </c>
      <c r="H59" s="985">
        <f>SUMIFS(Sheet1!S71_AdjustmentBudAmnt,Sheet1!S71_A6SubCode,$AC:$AC)</f>
        <v>0</v>
      </c>
      <c r="I59" s="987">
        <f>SUMIFS(Sheet1!CD:CD,Sheet1!S71_A6SubCode,$AC:$AC)</f>
        <v>0</v>
      </c>
      <c r="J59" s="988">
        <f>SUMIFS(Sheet1!S71_ASBudgetAmount,Sheet1!S71_A6SubCode,$AC:$AC)</f>
        <v>0</v>
      </c>
      <c r="K59" s="989">
        <f>SUMIFS(Sheet1!S71_OY1BudgetAmount,Sheet1!S71_A6SubCode,$AC:$AC)</f>
        <v>0</v>
      </c>
      <c r="L59" s="985">
        <f>SUMIFS(Sheet1!S71_OY2BudgetAmount,Sheet1!S71_A6SubCode,$AC:$AC)</f>
        <v>0</v>
      </c>
      <c r="AC59" s="2360" t="s">
        <v>3008</v>
      </c>
    </row>
    <row r="60" spans="1:29" ht="13.9" customHeight="1" x14ac:dyDescent="0.25">
      <c r="A60" s="931" t="s">
        <v>2566</v>
      </c>
      <c r="B60" s="675">
        <v>9</v>
      </c>
      <c r="C60" s="994">
        <f>SUMIFS(Sheet1!S71_PPPYearAmount,Sheet1!S71_A6SubCode,$AC:$AC)</f>
        <v>0</v>
      </c>
      <c r="D60" s="994">
        <f>SUMIFS(Sheet1!S71_PPYearAmount,Sheet1!S71_A6SubCode,$AC:$AC)</f>
        <v>0</v>
      </c>
      <c r="E60" s="995">
        <f>SUMIFS(Sheet1!S71_PYearAmount,Sheet1!S71_A6SubCode,$AC:$AC)</f>
        <v>0</v>
      </c>
      <c r="F60" s="996">
        <f>SUMIFS(Sheet1!S71_OriginalBudAmnt,Sheet1!S71_A6SubCode,$AC:$AC)</f>
        <v>0</v>
      </c>
      <c r="G60" s="994">
        <f>SUMIFS(Sheet1!S71_AdjustmentBudAmnt,Sheet1!S71_A6SubCode,$AC:$AC)</f>
        <v>0</v>
      </c>
      <c r="H60" s="995">
        <f>SUMIFS(Sheet1!S71_AdjustmentBudAmnt,Sheet1!S71_A6SubCode,$AC:$AC)</f>
        <v>0</v>
      </c>
      <c r="I60" s="987">
        <f>SUMIFS(Sheet1!CD:CD,Sheet1!S71_A6SubCode,$AC:$AC)</f>
        <v>0</v>
      </c>
      <c r="J60" s="997">
        <f>SUMIFS(Sheet1!S71_ASBudgetAmount,Sheet1!S71_A6SubCode,$AC:$AC)</f>
        <v>0</v>
      </c>
      <c r="K60" s="998">
        <f>SUMIFS(Sheet1!S71_OY1BudgetAmount,Sheet1!S71_A6SubCode,$AC:$AC)</f>
        <v>0</v>
      </c>
      <c r="L60" s="995">
        <f>SUMIFS(Sheet1!S71_OY2BudgetAmount,Sheet1!S71_A6SubCode,$AC:$AC)</f>
        <v>0</v>
      </c>
      <c r="AC60" s="2360" t="s">
        <v>3009</v>
      </c>
    </row>
    <row r="61" spans="1:29" ht="13.9" customHeight="1" x14ac:dyDescent="0.25">
      <c r="A61" s="664" t="s">
        <v>2567</v>
      </c>
      <c r="B61" s="992"/>
      <c r="C61" s="98">
        <f t="shared" ref="C61:L61" si="13">SUM(C56:C60)</f>
        <v>0</v>
      </c>
      <c r="D61" s="98">
        <f t="shared" si="13"/>
        <v>0</v>
      </c>
      <c r="E61" s="99">
        <f t="shared" si="13"/>
        <v>0</v>
      </c>
      <c r="F61" s="100">
        <f t="shared" si="13"/>
        <v>0</v>
      </c>
      <c r="G61" s="98">
        <f t="shared" si="13"/>
        <v>0</v>
      </c>
      <c r="H61" s="99">
        <f t="shared" si="13"/>
        <v>0</v>
      </c>
      <c r="I61" s="984">
        <f t="shared" si="13"/>
        <v>0</v>
      </c>
      <c r="J61" s="102">
        <f t="shared" si="13"/>
        <v>0</v>
      </c>
      <c r="K61" s="293">
        <f t="shared" si="13"/>
        <v>0</v>
      </c>
      <c r="L61" s="99">
        <f t="shared" si="13"/>
        <v>0</v>
      </c>
      <c r="AC61" s="2360"/>
    </row>
    <row r="62" spans="1:29" ht="13.9" customHeight="1" x14ac:dyDescent="0.25">
      <c r="A62" s="664"/>
      <c r="B62" s="711"/>
      <c r="C62" s="545"/>
      <c r="D62" s="545"/>
      <c r="E62" s="742"/>
      <c r="F62" s="743"/>
      <c r="G62" s="545"/>
      <c r="H62" s="742"/>
      <c r="I62" s="999"/>
      <c r="J62" s="544"/>
      <c r="K62" s="1000"/>
      <c r="L62" s="742"/>
      <c r="AC62" s="2360"/>
    </row>
    <row r="63" spans="1:29" ht="13.9" customHeight="1" x14ac:dyDescent="0.25">
      <c r="A63" s="664" t="s">
        <v>2568</v>
      </c>
      <c r="B63" s="711"/>
      <c r="C63" s="545"/>
      <c r="D63" s="545"/>
      <c r="E63" s="742"/>
      <c r="F63" s="743"/>
      <c r="G63" s="545"/>
      <c r="H63" s="742"/>
      <c r="I63" s="999"/>
      <c r="J63" s="544"/>
      <c r="K63" s="1000"/>
      <c r="L63" s="742"/>
      <c r="AC63" s="2362"/>
    </row>
    <row r="64" spans="1:29" ht="13.9" customHeight="1" x14ac:dyDescent="0.25">
      <c r="A64" s="664" t="s">
        <v>2569</v>
      </c>
      <c r="B64" s="711"/>
      <c r="C64" s="177"/>
      <c r="D64" s="177"/>
      <c r="E64" s="178"/>
      <c r="F64" s="179"/>
      <c r="G64" s="177"/>
      <c r="H64" s="178"/>
      <c r="I64" s="982"/>
      <c r="J64" s="181"/>
      <c r="K64" s="724"/>
      <c r="L64" s="178"/>
      <c r="AC64" s="2363"/>
    </row>
    <row r="65" spans="1:29" ht="13.9" customHeight="1" x14ac:dyDescent="0.25">
      <c r="A65" s="664" t="s">
        <v>2536</v>
      </c>
      <c r="B65" s="711"/>
      <c r="C65" s="993">
        <f>SUMIFS(Sheet1!S71_PPPYearAmount,Sheet1!S71_A6SubCode,$AC:$AC)</f>
        <v>0</v>
      </c>
      <c r="D65" s="98">
        <f>SUMIFS(Sheet1!S71_PPYearAmount,Sheet1!S71_A6SubCode,$AC:$AC)</f>
        <v>0</v>
      </c>
      <c r="E65" s="99">
        <f>SUMIFS(Sheet1!S71_PYearAmount,Sheet1!S71_A6SubCode,$AC:$AC)</f>
        <v>0</v>
      </c>
      <c r="F65" s="100">
        <f>SUMIFS(Sheet1!S71_OriginalBudAmnt,Sheet1!S71_A6SubCode,$AC:$AC)</f>
        <v>0</v>
      </c>
      <c r="G65" s="98">
        <f>SUMIFS(Sheet1!S71_AdjustmentBudAmnt,Sheet1!S71_A6SubCode,$AC:$AC)</f>
        <v>0</v>
      </c>
      <c r="H65" s="99">
        <f>SUMIFS(Sheet1!S71_AdjustmentBudAmnt,Sheet1!S71_A6SubCode,$AC:$AC)</f>
        <v>0</v>
      </c>
      <c r="I65" s="984">
        <f>SUMIFS(Sheet1!CD:CD,Sheet1!S71_A6SubCode,$AC:$AC)</f>
        <v>0</v>
      </c>
      <c r="J65" s="102">
        <f>SUMIFS(Sheet1!S71_ASBudgetAmount,Sheet1!S71_A6SubCode,$AC:$AC)</f>
        <v>0</v>
      </c>
      <c r="K65" s="293">
        <f>SUMIFS(Sheet1!S71_OY1BudgetAmount,Sheet1!S71_A6SubCode,$AC:$AC)</f>
        <v>0</v>
      </c>
      <c r="L65" s="99">
        <f>SUMIFS(Sheet1!S71_OY2BudgetAmount,Sheet1!S71_A6SubCode,$AC:$AC)</f>
        <v>0</v>
      </c>
      <c r="AC65" s="2360" t="s">
        <v>2987</v>
      </c>
    </row>
    <row r="66" spans="1:29" ht="13.9" customHeight="1" x14ac:dyDescent="0.25">
      <c r="A66" s="931" t="s">
        <v>2563</v>
      </c>
      <c r="B66" s="711"/>
      <c r="C66" s="983">
        <f>SUMIFS(Sheet1!S71_PPPYearAmount,Sheet1!S71_A6SubCode,$AC:$AC)</f>
        <v>0</v>
      </c>
      <c r="D66" s="983">
        <f>SUMIFS(Sheet1!S71_PPYearAmount,Sheet1!S71_A6SubCode,$AC:$AC)</f>
        <v>0</v>
      </c>
      <c r="E66" s="985">
        <f>SUMIFS(Sheet1!S71_PYearAmount,Sheet1!S71_A6SubCode,$AC:$AC)</f>
        <v>221071</v>
      </c>
      <c r="F66" s="986">
        <f>SUMIFS(Sheet1!S71_OriginalBudAmnt,Sheet1!S71_A6SubCode,$AC:$AC)</f>
        <v>0</v>
      </c>
      <c r="G66" s="983">
        <f>SUMIFS(Sheet1!S71_AdjustmentBudAmnt,Sheet1!S71_A6SubCode,$AC:$AC)</f>
        <v>0</v>
      </c>
      <c r="H66" s="985">
        <f>SUMIFS(Sheet1!S71_AdjustmentBudAmnt,Sheet1!S71_A6SubCode,$AC:$AC)</f>
        <v>0</v>
      </c>
      <c r="I66" s="987">
        <f>SUMIFS(Sheet1!CD:CD,Sheet1!S71_A6SubCode,$AC:$AC)</f>
        <v>221071</v>
      </c>
      <c r="J66" s="988">
        <f>SUMIFS(Sheet1!S71_ASBudgetAmount,Sheet1!S71_A6SubCode,$AC:$AC)</f>
        <v>0</v>
      </c>
      <c r="K66" s="989">
        <f>SUMIFS(Sheet1!S71_OY1BudgetAmount,Sheet1!S71_A6SubCode,$AC:$AC)</f>
        <v>0</v>
      </c>
      <c r="L66" s="985">
        <f>SUMIFS(Sheet1!S71_OY2BudgetAmount,Sheet1!S71_A6SubCode,$AC:$AC)</f>
        <v>0</v>
      </c>
      <c r="AC66" s="2360" t="s">
        <v>2983</v>
      </c>
    </row>
    <row r="67" spans="1:29" ht="13.9" customHeight="1" x14ac:dyDescent="0.25">
      <c r="A67" s="931" t="s">
        <v>2564</v>
      </c>
      <c r="B67" s="675">
        <v>7</v>
      </c>
      <c r="C67" s="983">
        <f>SUMIFS(Sheet1!S71_PPPYearAmount,Sheet1!S71_A6SubCode,$AC:$AC)</f>
        <v>0</v>
      </c>
      <c r="D67" s="983">
        <f>SUMIFS(Sheet1!S71_PPYearAmount,Sheet1!S71_A6SubCode,$AC:$AC)</f>
        <v>0</v>
      </c>
      <c r="E67" s="985">
        <f>SUMIFS(Sheet1!S71_PYearAmount,Sheet1!S71_A6SubCode,$AC:$AC)</f>
        <v>0</v>
      </c>
      <c r="F67" s="986">
        <f>SUMIFS(Sheet1!S71_OriginalBudAmnt,Sheet1!S71_A6SubCode,$AC:$AC)</f>
        <v>0</v>
      </c>
      <c r="G67" s="983">
        <f>SUMIFS(Sheet1!S71_AdjustmentBudAmnt,Sheet1!S71_A6SubCode,$AC:$AC)</f>
        <v>0</v>
      </c>
      <c r="H67" s="985">
        <f>SUMIFS(Sheet1!S71_AdjustmentBudAmnt,Sheet1!S71_A6SubCode,$AC:$AC)</f>
        <v>0</v>
      </c>
      <c r="I67" s="987">
        <f>SUMIFS(Sheet1!CD:CD,Sheet1!S71_A6SubCode,$AC:$AC)</f>
        <v>0</v>
      </c>
      <c r="J67" s="988">
        <f>SUMIFS(Sheet1!S71_ASBudgetAmount,Sheet1!S71_A6SubCode,$AC:$AC)</f>
        <v>0</v>
      </c>
      <c r="K67" s="989">
        <f>SUMIFS(Sheet1!S71_OY1BudgetAmount,Sheet1!S71_A6SubCode,$AC:$AC)</f>
        <v>0</v>
      </c>
      <c r="L67" s="985">
        <f>SUMIFS(Sheet1!S71_OY2BudgetAmount,Sheet1!S71_A6SubCode,$AC:$AC)</f>
        <v>0</v>
      </c>
      <c r="AC67" s="2360" t="s">
        <v>2988</v>
      </c>
    </row>
    <row r="68" spans="1:29" ht="13.9" customHeight="1" x14ac:dyDescent="0.25">
      <c r="A68" s="931" t="s">
        <v>2565</v>
      </c>
      <c r="B68" s="675">
        <v>8</v>
      </c>
      <c r="C68" s="983">
        <f>SUMIFS(Sheet1!S71_PPPYearAmount,Sheet1!S71_A6SubCode,$AC:$AC)</f>
        <v>0</v>
      </c>
      <c r="D68" s="983">
        <f>SUMIFS(Sheet1!S71_PPYearAmount,Sheet1!S71_A6SubCode,$AC:$AC)</f>
        <v>0</v>
      </c>
      <c r="E68" s="985">
        <f>SUMIFS(Sheet1!S71_PYearAmount,Sheet1!S71_A6SubCode,$AC:$AC)</f>
        <v>0</v>
      </c>
      <c r="F68" s="986">
        <f>SUMIFS(Sheet1!S71_OriginalBudAmnt,Sheet1!S71_A6SubCode,$AC:$AC)</f>
        <v>0</v>
      </c>
      <c r="G68" s="983">
        <f>SUMIFS(Sheet1!S71_AdjustmentBudAmnt,Sheet1!S71_A6SubCode,$AC:$AC)</f>
        <v>0</v>
      </c>
      <c r="H68" s="985">
        <f>SUMIFS(Sheet1!S71_AdjustmentBudAmnt,Sheet1!S71_A6SubCode,$AC:$AC)</f>
        <v>0</v>
      </c>
      <c r="I68" s="987">
        <f>SUMIFS(Sheet1!CD:CD,Sheet1!S71_A6SubCode,$AC:$AC)</f>
        <v>0</v>
      </c>
      <c r="J68" s="988">
        <f>SUMIFS(Sheet1!S71_ASBudgetAmount,Sheet1!S71_A6SubCode,$AC:$AC)</f>
        <v>0</v>
      </c>
      <c r="K68" s="989">
        <f>SUMIFS(Sheet1!S71_OY1BudgetAmount,Sheet1!S71_A6SubCode,$AC:$AC)</f>
        <v>0</v>
      </c>
      <c r="L68" s="985">
        <f>SUMIFS(Sheet1!S71_OY2BudgetAmount,Sheet1!S71_A6SubCode,$AC:$AC)</f>
        <v>0</v>
      </c>
      <c r="AC68" s="2360" t="s">
        <v>3010</v>
      </c>
    </row>
    <row r="69" spans="1:29" ht="13.9" customHeight="1" x14ac:dyDescent="0.25">
      <c r="A69" s="931" t="s">
        <v>2566</v>
      </c>
      <c r="B69" s="675">
        <v>9</v>
      </c>
      <c r="C69" s="994">
        <f>SUMIFS(Sheet1!S71_PPPYearAmount,Sheet1!S71_A6SubCode,$AC:$AC)</f>
        <v>0</v>
      </c>
      <c r="D69" s="994">
        <f>SUMIFS(Sheet1!S71_PPYearAmount,Sheet1!S71_A6SubCode,$AC:$AC)</f>
        <v>0</v>
      </c>
      <c r="E69" s="995">
        <f>SUMIFS(Sheet1!S71_PYearAmount,Sheet1!S71_A6SubCode,$AC:$AC)</f>
        <v>0</v>
      </c>
      <c r="F69" s="996">
        <f>SUMIFS(Sheet1!S71_OriginalBudAmnt,Sheet1!S71_A6SubCode,$AC:$AC)</f>
        <v>0</v>
      </c>
      <c r="G69" s="994">
        <f>SUMIFS(Sheet1!S71_AdjustmentBudAmnt,Sheet1!S71_A6SubCode,$AC:$AC)</f>
        <v>0</v>
      </c>
      <c r="H69" s="995">
        <f>SUMIFS(Sheet1!S71_AdjustmentBudAmnt,Sheet1!S71_A6SubCode,$AC:$AC)</f>
        <v>0</v>
      </c>
      <c r="I69" s="987">
        <f>SUMIFS(Sheet1!CD:CD,Sheet1!S71_A6SubCode,$AC:$AC)</f>
        <v>0</v>
      </c>
      <c r="J69" s="997">
        <f>SUMIFS(Sheet1!S71_ASBudgetAmount,Sheet1!S71_A6SubCode,$AC:$AC)</f>
        <v>0</v>
      </c>
      <c r="K69" s="998">
        <f>SUMIFS(Sheet1!S71_OY1BudgetAmount,Sheet1!S71_A6SubCode,$AC:$AC)</f>
        <v>0</v>
      </c>
      <c r="L69" s="995">
        <f>SUMIFS(Sheet1!S71_OY2BudgetAmount,Sheet1!S71_A6SubCode,$AC:$AC)</f>
        <v>0</v>
      </c>
      <c r="AC69" s="2360" t="s">
        <v>3011</v>
      </c>
    </row>
    <row r="70" spans="1:29" ht="13.9" customHeight="1" x14ac:dyDescent="0.25">
      <c r="A70" s="664" t="s">
        <v>2570</v>
      </c>
      <c r="B70" s="992"/>
      <c r="C70" s="98">
        <f>SUM(C65:C69)</f>
        <v>0</v>
      </c>
      <c r="D70" s="98">
        <f t="shared" ref="D70:L70" si="14">SUM(D65:D69)</f>
        <v>0</v>
      </c>
      <c r="E70" s="99">
        <f t="shared" si="14"/>
        <v>221071</v>
      </c>
      <c r="F70" s="100">
        <f t="shared" si="14"/>
        <v>0</v>
      </c>
      <c r="G70" s="98">
        <f t="shared" si="14"/>
        <v>0</v>
      </c>
      <c r="H70" s="99">
        <f t="shared" si="14"/>
        <v>0</v>
      </c>
      <c r="I70" s="984">
        <f t="shared" si="14"/>
        <v>221071</v>
      </c>
      <c r="J70" s="102">
        <f t="shared" si="14"/>
        <v>0</v>
      </c>
      <c r="K70" s="293">
        <f t="shared" si="14"/>
        <v>0</v>
      </c>
      <c r="L70" s="99">
        <f t="shared" si="14"/>
        <v>0</v>
      </c>
      <c r="AC70" s="2362"/>
    </row>
    <row r="71" spans="1:29" ht="13.9" customHeight="1" x14ac:dyDescent="0.25">
      <c r="A71" s="664" t="s">
        <v>2571</v>
      </c>
      <c r="B71" s="711"/>
      <c r="C71" s="177"/>
      <c r="D71" s="177"/>
      <c r="E71" s="178"/>
      <c r="F71" s="179"/>
      <c r="G71" s="177"/>
      <c r="H71" s="178"/>
      <c r="I71" s="982"/>
      <c r="J71" s="181"/>
      <c r="K71" s="724"/>
      <c r="L71" s="178"/>
      <c r="AC71" s="2363"/>
    </row>
    <row r="72" spans="1:29" ht="13.9" customHeight="1" x14ac:dyDescent="0.25">
      <c r="A72" s="664" t="s">
        <v>2536</v>
      </c>
      <c r="B72" s="711"/>
      <c r="C72" s="993">
        <f>SUMIFS(Sheet1!S71_PPPYearAmount,Sheet1!S71_A6SubCode,$AC:$AC)</f>
        <v>0</v>
      </c>
      <c r="D72" s="98">
        <f>SUMIFS(Sheet1!S71_PPYearAmount,Sheet1!S71_A6SubCode,$AC:$AC)</f>
        <v>0</v>
      </c>
      <c r="E72" s="99">
        <f>SUMIFS(Sheet1!S71_PYearAmount,Sheet1!S71_A6SubCode,$AC:$AC)</f>
        <v>0</v>
      </c>
      <c r="F72" s="100">
        <f>SUMIFS(Sheet1!S71_OriginalBudAmnt,Sheet1!S71_A6SubCode,$AC:$AC)</f>
        <v>0</v>
      </c>
      <c r="G72" s="98">
        <f>SUMIFS(Sheet1!S71_AdjustmentBudAmnt,Sheet1!S71_A6SubCode,$AC:$AC)</f>
        <v>0</v>
      </c>
      <c r="H72" s="99">
        <f>SUMIFS(Sheet1!S71_AdjustmentBudAmnt,Sheet1!S71_A6SubCode,$AC:$AC)</f>
        <v>0</v>
      </c>
      <c r="I72" s="984">
        <f>SUMIFS(Sheet1!CD:CD,Sheet1!S71_A6SubCode,$AC:$AC)</f>
        <v>0</v>
      </c>
      <c r="J72" s="102">
        <f>SUMIFS(Sheet1!S71_ASBudgetAmount,Sheet1!S71_A6SubCode,$AC:$AC)</f>
        <v>0</v>
      </c>
      <c r="K72" s="293">
        <f>SUMIFS(Sheet1!S71_OY1BudgetAmount,Sheet1!S71_A6SubCode,$AC:$AC)</f>
        <v>0</v>
      </c>
      <c r="L72" s="99">
        <f>SUMIFS(Sheet1!S71_OY2BudgetAmount,Sheet1!S71_A6SubCode,$AC:$AC)</f>
        <v>0</v>
      </c>
      <c r="AC72" s="2360" t="s">
        <v>2986</v>
      </c>
    </row>
    <row r="73" spans="1:29" ht="13.9" customHeight="1" x14ac:dyDescent="0.25">
      <c r="A73" s="931" t="s">
        <v>2563</v>
      </c>
      <c r="B73" s="711"/>
      <c r="C73" s="983">
        <f>SUMIFS(Sheet1!S71_PPPYearAmount,Sheet1!S71_A6SubCode,$AC:$AC)</f>
        <v>0</v>
      </c>
      <c r="D73" s="983">
        <f>SUMIFS(Sheet1!S71_PPYearAmount,Sheet1!S71_A6SubCode,$AC:$AC)</f>
        <v>0</v>
      </c>
      <c r="E73" s="985">
        <f>SUMIFS(Sheet1!S71_PYearAmount,Sheet1!S71_A6SubCode,$AC:$AC)</f>
        <v>0</v>
      </c>
      <c r="F73" s="986">
        <f>SUMIFS(Sheet1!S71_OriginalBudAmnt,Sheet1!S71_A6SubCode,$AC:$AC)</f>
        <v>0</v>
      </c>
      <c r="G73" s="983">
        <f>SUMIFS(Sheet1!S71_AdjustmentBudAmnt,Sheet1!S71_A6SubCode,$AC:$AC)</f>
        <v>0</v>
      </c>
      <c r="H73" s="985">
        <f>SUMIFS(Sheet1!S71_AdjustmentBudAmnt,Sheet1!S71_A6SubCode,$AC:$AC)</f>
        <v>0</v>
      </c>
      <c r="I73" s="987">
        <f>SUMIFS(Sheet1!CD:CD,Sheet1!S71_A6SubCode,$AC:$AC)</f>
        <v>0</v>
      </c>
      <c r="J73" s="988">
        <f>SUMIFS(Sheet1!S71_ASBudgetAmount,Sheet1!S71_A6SubCode,$AC:$AC)</f>
        <v>0</v>
      </c>
      <c r="K73" s="989">
        <f>SUMIFS(Sheet1!S71_OY1BudgetAmount,Sheet1!S71_A6SubCode,$AC:$AC)</f>
        <v>0</v>
      </c>
      <c r="L73" s="985">
        <f>SUMIFS(Sheet1!S71_OY2BudgetAmount,Sheet1!S71_A6SubCode,$AC:$AC)</f>
        <v>0</v>
      </c>
      <c r="AC73" s="2360" t="s">
        <v>2984</v>
      </c>
    </row>
    <row r="74" spans="1:29" ht="13.9" customHeight="1" x14ac:dyDescent="0.25">
      <c r="A74" s="931" t="s">
        <v>2564</v>
      </c>
      <c r="B74" s="675">
        <v>7</v>
      </c>
      <c r="C74" s="983">
        <f>SUMIFS(Sheet1!S71_PPPYearAmount,Sheet1!S71_A6SubCode,$AC:$AC)</f>
        <v>0</v>
      </c>
      <c r="D74" s="983">
        <f>SUMIFS(Sheet1!S71_PPYearAmount,Sheet1!S71_A6SubCode,$AC:$AC)</f>
        <v>0</v>
      </c>
      <c r="E74" s="985">
        <f>SUMIFS(Sheet1!S71_PYearAmount,Sheet1!S71_A6SubCode,$AC:$AC)</f>
        <v>0</v>
      </c>
      <c r="F74" s="986">
        <f>SUMIFS(Sheet1!S71_OriginalBudAmnt,Sheet1!S71_A6SubCode,$AC:$AC)</f>
        <v>0</v>
      </c>
      <c r="G74" s="983">
        <f>SUMIFS(Sheet1!S71_AdjustmentBudAmnt,Sheet1!S71_A6SubCode,$AC:$AC)</f>
        <v>0</v>
      </c>
      <c r="H74" s="985">
        <f>SUMIFS(Sheet1!S71_AdjustmentBudAmnt,Sheet1!S71_A6SubCode,$AC:$AC)</f>
        <v>0</v>
      </c>
      <c r="I74" s="987">
        <f>SUMIFS(Sheet1!CD:CD,Sheet1!S71_A6SubCode,$AC:$AC)</f>
        <v>0</v>
      </c>
      <c r="J74" s="988">
        <f>SUMIFS(Sheet1!S71_ASBudgetAmount,Sheet1!S71_A6SubCode,$AC:$AC)</f>
        <v>0</v>
      </c>
      <c r="K74" s="989">
        <f>SUMIFS(Sheet1!S71_OY1BudgetAmount,Sheet1!S71_A6SubCode,$AC:$AC)</f>
        <v>0</v>
      </c>
      <c r="L74" s="985">
        <f>SUMIFS(Sheet1!S71_OY2BudgetAmount,Sheet1!S71_A6SubCode,$AC:$AC)</f>
        <v>0</v>
      </c>
      <c r="AC74" s="2360" t="s">
        <v>2985</v>
      </c>
    </row>
    <row r="75" spans="1:29" ht="13.9" customHeight="1" x14ac:dyDescent="0.25">
      <c r="A75" s="931" t="s">
        <v>2565</v>
      </c>
      <c r="B75" s="675">
        <v>8</v>
      </c>
      <c r="C75" s="983">
        <f>SUMIFS(Sheet1!S71_PPPYearAmount,Sheet1!S71_A6SubCode,$AC:$AC)</f>
        <v>0</v>
      </c>
      <c r="D75" s="983">
        <f>SUMIFS(Sheet1!S71_PPYearAmount,Sheet1!S71_A6SubCode,$AC:$AC)</f>
        <v>0</v>
      </c>
      <c r="E75" s="985">
        <f>SUMIFS(Sheet1!S71_PYearAmount,Sheet1!S71_A6SubCode,$AC:$AC)</f>
        <v>0</v>
      </c>
      <c r="F75" s="986">
        <f>SUMIFS(Sheet1!S71_OriginalBudAmnt,Sheet1!S71_A6SubCode,$AC:$AC)</f>
        <v>0</v>
      </c>
      <c r="G75" s="983">
        <f>SUMIFS(Sheet1!S71_AdjustmentBudAmnt,Sheet1!S71_A6SubCode,$AC:$AC)</f>
        <v>0</v>
      </c>
      <c r="H75" s="985">
        <f>SUMIFS(Sheet1!S71_AdjustmentBudAmnt,Sheet1!S71_A6SubCode,$AC:$AC)</f>
        <v>0</v>
      </c>
      <c r="I75" s="987">
        <f>SUMIFS(Sheet1!CD:CD,Sheet1!S71_A6SubCode,$AC:$AC)</f>
        <v>0</v>
      </c>
      <c r="J75" s="988">
        <f>SUMIFS(Sheet1!S71_ASBudgetAmount,Sheet1!S71_A6SubCode,$AC:$AC)</f>
        <v>0</v>
      </c>
      <c r="K75" s="989">
        <f>SUMIFS(Sheet1!S71_OY1BudgetAmount,Sheet1!S71_A6SubCode,$AC:$AC)</f>
        <v>0</v>
      </c>
      <c r="L75" s="985">
        <f>SUMIFS(Sheet1!S71_OY2BudgetAmount,Sheet1!S71_A6SubCode,$AC:$AC)</f>
        <v>0</v>
      </c>
      <c r="AC75" s="2360" t="s">
        <v>3012</v>
      </c>
    </row>
    <row r="76" spans="1:29" ht="13.9" customHeight="1" x14ac:dyDescent="0.25">
      <c r="A76" s="931" t="s">
        <v>2566</v>
      </c>
      <c r="B76" s="675">
        <v>9</v>
      </c>
      <c r="C76" s="994">
        <f>SUMIFS(Sheet1!S71_PPPYearAmount,Sheet1!S71_A6SubCode,$AC:$AC)</f>
        <v>0</v>
      </c>
      <c r="D76" s="994">
        <f>SUMIFS(Sheet1!S71_PPYearAmount,Sheet1!S71_A6SubCode,$AC:$AC)</f>
        <v>0</v>
      </c>
      <c r="E76" s="995">
        <f>SUMIFS(Sheet1!S71_PYearAmount,Sheet1!S71_A6SubCode,$AC:$AC)</f>
        <v>0</v>
      </c>
      <c r="F76" s="996">
        <f>SUMIFS(Sheet1!S71_OriginalBudAmnt,Sheet1!S71_A6SubCode,$AC:$AC)</f>
        <v>0</v>
      </c>
      <c r="G76" s="994">
        <f>SUMIFS(Sheet1!S71_AdjustmentBudAmnt,Sheet1!S71_A6SubCode,$AC:$AC)</f>
        <v>0</v>
      </c>
      <c r="H76" s="995">
        <f>SUMIFS(Sheet1!S71_AdjustmentBudAmnt,Sheet1!S71_A6SubCode,$AC:$AC)</f>
        <v>0</v>
      </c>
      <c r="I76" s="987">
        <f>SUMIFS(Sheet1!CD:CD,Sheet1!S71_A6SubCode,$AC:$AC)</f>
        <v>0</v>
      </c>
      <c r="J76" s="997">
        <f>SUMIFS(Sheet1!S71_ASBudgetAmount,Sheet1!S71_A6SubCode,$AC:$AC)</f>
        <v>0</v>
      </c>
      <c r="K76" s="998">
        <f>SUMIFS(Sheet1!S71_OY1BudgetAmount,Sheet1!S71_A6SubCode,$AC:$AC)</f>
        <v>0</v>
      </c>
      <c r="L76" s="995">
        <f>SUMIFS(Sheet1!S71_OY2BudgetAmount,Sheet1!S71_A6SubCode,$AC:$AC)</f>
        <v>0</v>
      </c>
      <c r="AC76" s="2360" t="s">
        <v>3013</v>
      </c>
    </row>
    <row r="77" spans="1:29" ht="13.9" customHeight="1" x14ac:dyDescent="0.25">
      <c r="A77" s="664" t="s">
        <v>2572</v>
      </c>
      <c r="B77" s="992"/>
      <c r="C77" s="98">
        <f>SUM(C72:C76)</f>
        <v>0</v>
      </c>
      <c r="D77" s="98">
        <f t="shared" ref="D77:L77" si="15">SUM(D72:D76)</f>
        <v>0</v>
      </c>
      <c r="E77" s="99">
        <f t="shared" si="15"/>
        <v>0</v>
      </c>
      <c r="F77" s="100">
        <f t="shared" si="15"/>
        <v>0</v>
      </c>
      <c r="G77" s="98">
        <f t="shared" si="15"/>
        <v>0</v>
      </c>
      <c r="H77" s="99">
        <f t="shared" si="15"/>
        <v>0</v>
      </c>
      <c r="I77" s="984">
        <f t="shared" si="15"/>
        <v>0</v>
      </c>
      <c r="J77" s="102">
        <f t="shared" si="15"/>
        <v>0</v>
      </c>
      <c r="K77" s="293">
        <f t="shared" si="15"/>
        <v>0</v>
      </c>
      <c r="L77" s="99">
        <f t="shared" si="15"/>
        <v>0</v>
      </c>
      <c r="AC77" s="2362"/>
    </row>
    <row r="78" spans="1:29" ht="13.9" customHeight="1" x14ac:dyDescent="0.25">
      <c r="A78" s="664"/>
      <c r="B78" s="711"/>
      <c r="C78" s="545"/>
      <c r="D78" s="545"/>
      <c r="E78" s="742"/>
      <c r="F78" s="743"/>
      <c r="G78" s="545"/>
      <c r="H78" s="742"/>
      <c r="I78" s="999"/>
      <c r="J78" s="544"/>
      <c r="K78" s="1000"/>
      <c r="L78" s="742"/>
      <c r="AC78" s="2362"/>
    </row>
    <row r="79" spans="1:29" ht="13.9" customHeight="1" x14ac:dyDescent="0.25">
      <c r="A79" s="664" t="s">
        <v>2573</v>
      </c>
      <c r="B79" s="711"/>
      <c r="C79" s="177"/>
      <c r="D79" s="177"/>
      <c r="E79" s="178"/>
      <c r="F79" s="179"/>
      <c r="G79" s="177"/>
      <c r="H79" s="178"/>
      <c r="I79" s="982"/>
      <c r="J79" s="181"/>
      <c r="K79" s="724"/>
      <c r="L79" s="178"/>
      <c r="AC79" s="2362"/>
    </row>
    <row r="80" spans="1:29" ht="13.9" customHeight="1" x14ac:dyDescent="0.25">
      <c r="A80" s="664" t="s">
        <v>2536</v>
      </c>
      <c r="B80" s="711"/>
      <c r="C80" s="993">
        <f>SUMIFS(Sheet1!S71_PPPYearAmount,Sheet1!S71_A6SubCode,$AC:$AC)</f>
        <v>0</v>
      </c>
      <c r="D80" s="98">
        <f>SUMIFS(Sheet1!S71_PPYearAmount,Sheet1!S71_A6SubCode,$AC:$AC)</f>
        <v>0</v>
      </c>
      <c r="E80" s="99">
        <f>SUMIFS(Sheet1!S71_PYearAmount,Sheet1!S71_A6SubCode,$AC:$AC)</f>
        <v>0</v>
      </c>
      <c r="F80" s="100">
        <f>SUMIFS(Sheet1!S71_OriginalBudAmnt,Sheet1!S71_A6SubCode,$AC:$AC)</f>
        <v>0</v>
      </c>
      <c r="G80" s="98">
        <f>SUMIFS(Sheet1!S71_AdjustmentBudAmnt,Sheet1!S71_A6SubCode,$AC:$AC)</f>
        <v>0</v>
      </c>
      <c r="H80" s="99">
        <f>SUMIFS(Sheet1!S71_AdjustmentBudAmnt,Sheet1!S71_A6SubCode,$AC:$AC)</f>
        <v>0</v>
      </c>
      <c r="I80" s="984">
        <f>SUMIFS(Sheet1!CD:CD,Sheet1!S71_A6SubCode,$AC:$AC)</f>
        <v>0</v>
      </c>
      <c r="J80" s="102">
        <f>SUMIFS(Sheet1!S71_ASBudgetAmount,Sheet1!S71_A6SubCode,$AC:$AC)</f>
        <v>0</v>
      </c>
      <c r="K80" s="293">
        <f>SUMIFS(Sheet1!S71_OY1BudgetAmount,Sheet1!S71_A6SubCode,$AC:$AC)</f>
        <v>0</v>
      </c>
      <c r="L80" s="99">
        <f>SUMIFS(Sheet1!S71_OY2BudgetAmount,Sheet1!S71_A6SubCode,$AC:$AC)</f>
        <v>0</v>
      </c>
      <c r="AC80" s="2360" t="s">
        <v>3014</v>
      </c>
    </row>
    <row r="81" spans="1:29" ht="13.9" customHeight="1" x14ac:dyDescent="0.25">
      <c r="A81" s="931" t="s">
        <v>2563</v>
      </c>
      <c r="B81" s="711"/>
      <c r="C81" s="983">
        <f>SUMIFS(Sheet1!S71_PPPYearAmount,Sheet1!S71_A6SubCode,$AC:$AC)</f>
        <v>0</v>
      </c>
      <c r="D81" s="983">
        <f>SUMIFS(Sheet1!S71_PPYearAmount,Sheet1!S71_A6SubCode,$AC:$AC)</f>
        <v>0</v>
      </c>
      <c r="E81" s="985">
        <f>SUMIFS(Sheet1!S71_PYearAmount,Sheet1!S71_A6SubCode,$AC:$AC)</f>
        <v>0</v>
      </c>
      <c r="F81" s="986">
        <f>SUMIFS(Sheet1!S71_OriginalBudAmnt,Sheet1!S71_A6SubCode,$AC:$AC)</f>
        <v>0</v>
      </c>
      <c r="G81" s="983">
        <f>SUMIFS(Sheet1!S71_AdjustmentBudAmnt,Sheet1!S71_A6SubCode,$AC:$AC)</f>
        <v>0</v>
      </c>
      <c r="H81" s="985">
        <f>SUMIFS(Sheet1!S71_AdjustmentBudAmnt,Sheet1!S71_A6SubCode,$AC:$AC)</f>
        <v>0</v>
      </c>
      <c r="I81" s="987">
        <f>SUMIFS(Sheet1!CD:CD,Sheet1!S71_A6SubCode,$AC:$AC)</f>
        <v>0</v>
      </c>
      <c r="J81" s="988">
        <f>SUMIFS(Sheet1!S71_ASBudgetAmount,Sheet1!S71_A6SubCode,$AC:$AC)</f>
        <v>0</v>
      </c>
      <c r="K81" s="989">
        <f>SUMIFS(Sheet1!S71_OY1BudgetAmount,Sheet1!S71_A6SubCode,$AC:$AC)</f>
        <v>0</v>
      </c>
      <c r="L81" s="985">
        <f>SUMIFS(Sheet1!S71_OY2BudgetAmount,Sheet1!S71_A6SubCode,$AC:$AC)</f>
        <v>0</v>
      </c>
      <c r="AC81" s="2360" t="s">
        <v>3015</v>
      </c>
    </row>
    <row r="82" spans="1:29" ht="13.9" customHeight="1" x14ac:dyDescent="0.25">
      <c r="A82" s="931" t="s">
        <v>2564</v>
      </c>
      <c r="B82" s="675">
        <v>7</v>
      </c>
      <c r="C82" s="983">
        <f>SUMIFS(Sheet1!S71_PPPYearAmount,Sheet1!S71_A6SubCode,$AC:$AC)</f>
        <v>0</v>
      </c>
      <c r="D82" s="983">
        <f>SUMIFS(Sheet1!S71_PPYearAmount,Sheet1!S71_A6SubCode,$AC:$AC)</f>
        <v>0</v>
      </c>
      <c r="E82" s="985">
        <f>SUMIFS(Sheet1!S71_PYearAmount,Sheet1!S71_A6SubCode,$AC:$AC)</f>
        <v>0</v>
      </c>
      <c r="F82" s="986">
        <f>SUMIFS(Sheet1!S71_OriginalBudAmnt,Sheet1!S71_A6SubCode,$AC:$AC)</f>
        <v>0</v>
      </c>
      <c r="G82" s="983">
        <f>SUMIFS(Sheet1!S71_AdjustmentBudAmnt,Sheet1!S71_A6SubCode,$AC:$AC)</f>
        <v>0</v>
      </c>
      <c r="H82" s="985">
        <f>SUMIFS(Sheet1!S71_AdjustmentBudAmnt,Sheet1!S71_A6SubCode,$AC:$AC)</f>
        <v>0</v>
      </c>
      <c r="I82" s="987">
        <f>SUMIFS(Sheet1!CD:CD,Sheet1!S71_A6SubCode,$AC:$AC)</f>
        <v>0</v>
      </c>
      <c r="J82" s="988">
        <f>SUMIFS(Sheet1!S71_ASBudgetAmount,Sheet1!S71_A6SubCode,$AC:$AC)</f>
        <v>0</v>
      </c>
      <c r="K82" s="989">
        <f>SUMIFS(Sheet1!S71_OY1BudgetAmount,Sheet1!S71_A6SubCode,$AC:$AC)</f>
        <v>0</v>
      </c>
      <c r="L82" s="985">
        <f>SUMIFS(Sheet1!S71_OY2BudgetAmount,Sheet1!S71_A6SubCode,$AC:$AC)</f>
        <v>0</v>
      </c>
      <c r="AC82" s="2360" t="s">
        <v>3016</v>
      </c>
    </row>
    <row r="83" spans="1:29" ht="13.9" customHeight="1" x14ac:dyDescent="0.25">
      <c r="A83" s="931" t="s">
        <v>2565</v>
      </c>
      <c r="B83" s="675">
        <v>8</v>
      </c>
      <c r="C83" s="983">
        <f>SUMIFS(Sheet1!S71_PPPYearAmount,Sheet1!S71_A6SubCode,$AC:$AC)</f>
        <v>0</v>
      </c>
      <c r="D83" s="983">
        <f>SUMIFS(Sheet1!S71_PPYearAmount,Sheet1!S71_A6SubCode,$AC:$AC)</f>
        <v>0</v>
      </c>
      <c r="E83" s="985">
        <f>SUMIFS(Sheet1!S71_PYearAmount,Sheet1!S71_A6SubCode,$AC:$AC)</f>
        <v>0</v>
      </c>
      <c r="F83" s="986">
        <f>SUMIFS(Sheet1!S71_OriginalBudAmnt,Sheet1!S71_A6SubCode,$AC:$AC)</f>
        <v>0</v>
      </c>
      <c r="G83" s="983">
        <f>SUMIFS(Sheet1!S71_AdjustmentBudAmnt,Sheet1!S71_A6SubCode,$AC:$AC)</f>
        <v>0</v>
      </c>
      <c r="H83" s="985">
        <f>SUMIFS(Sheet1!S71_AdjustmentBudAmnt,Sheet1!S71_A6SubCode,$AC:$AC)</f>
        <v>0</v>
      </c>
      <c r="I83" s="987">
        <f>SUMIFS(Sheet1!CD:CD,Sheet1!S71_A6SubCode,$AC:$AC)</f>
        <v>0</v>
      </c>
      <c r="J83" s="988">
        <f>SUMIFS(Sheet1!S71_ASBudgetAmount,Sheet1!S71_A6SubCode,$AC:$AC)</f>
        <v>0</v>
      </c>
      <c r="K83" s="989">
        <f>SUMIFS(Sheet1!S71_OY1BudgetAmount,Sheet1!S71_A6SubCode,$AC:$AC)</f>
        <v>0</v>
      </c>
      <c r="L83" s="985">
        <f>SUMIFS(Sheet1!S71_OY2BudgetAmount,Sheet1!S71_A6SubCode,$AC:$AC)</f>
        <v>0</v>
      </c>
      <c r="AC83" s="2360" t="s">
        <v>3017</v>
      </c>
    </row>
    <row r="84" spans="1:29" ht="13.9" customHeight="1" x14ac:dyDescent="0.25">
      <c r="A84" s="931" t="s">
        <v>2566</v>
      </c>
      <c r="B84" s="675">
        <v>9</v>
      </c>
      <c r="C84" s="994">
        <f>SUMIFS(Sheet1!S71_PPPYearAmount,Sheet1!S71_A6SubCode,$AC:$AC)</f>
        <v>0</v>
      </c>
      <c r="D84" s="994">
        <f>SUMIFS(Sheet1!S71_PPYearAmount,Sheet1!S71_A6SubCode,$AC:$AC)</f>
        <v>0</v>
      </c>
      <c r="E84" s="995">
        <f>SUMIFS(Sheet1!S71_PYearAmount,Sheet1!S71_A6SubCode,$AC:$AC)</f>
        <v>0</v>
      </c>
      <c r="F84" s="996">
        <f>SUMIFS(Sheet1!S71_OriginalBudAmnt,Sheet1!S71_A6SubCode,$AC:$AC)</f>
        <v>0</v>
      </c>
      <c r="G84" s="994">
        <f>SUMIFS(Sheet1!S71_AdjustmentBudAmnt,Sheet1!S71_A6SubCode,$AC:$AC)</f>
        <v>0</v>
      </c>
      <c r="H84" s="995">
        <f>SUMIFS(Sheet1!S71_AdjustmentBudAmnt,Sheet1!S71_A6SubCode,$AC:$AC)</f>
        <v>0</v>
      </c>
      <c r="I84" s="987">
        <f>SUMIFS(Sheet1!CD:CD,Sheet1!S71_A6SubCode,$AC:$AC)</f>
        <v>0</v>
      </c>
      <c r="J84" s="997">
        <f>SUMIFS(Sheet1!S71_ASBudgetAmount,Sheet1!S71_A6SubCode,$AC:$AC)</f>
        <v>0</v>
      </c>
      <c r="K84" s="998">
        <f>SUMIFS(Sheet1!S71_OY1BudgetAmount,Sheet1!S71_A6SubCode,$AC:$AC)</f>
        <v>0</v>
      </c>
      <c r="L84" s="995">
        <f>SUMIFS(Sheet1!S71_OY2BudgetAmount,Sheet1!S71_A6SubCode,$AC:$AC)</f>
        <v>0</v>
      </c>
      <c r="AC84" s="2360" t="s">
        <v>3018</v>
      </c>
    </row>
    <row r="85" spans="1:29" ht="13.9" customHeight="1" x14ac:dyDescent="0.25">
      <c r="A85" s="664" t="s">
        <v>2574</v>
      </c>
      <c r="B85" s="992"/>
      <c r="C85" s="98">
        <f>SUM(C80:C84)</f>
        <v>0</v>
      </c>
      <c r="D85" s="98">
        <f t="shared" ref="D85:L85" si="16">SUM(D80:D84)</f>
        <v>0</v>
      </c>
      <c r="E85" s="99">
        <f t="shared" si="16"/>
        <v>0</v>
      </c>
      <c r="F85" s="100">
        <f t="shared" si="16"/>
        <v>0</v>
      </c>
      <c r="G85" s="98">
        <f t="shared" si="16"/>
        <v>0</v>
      </c>
      <c r="H85" s="99">
        <f t="shared" si="16"/>
        <v>0</v>
      </c>
      <c r="I85" s="984">
        <f t="shared" si="16"/>
        <v>0</v>
      </c>
      <c r="J85" s="102">
        <f t="shared" si="16"/>
        <v>0</v>
      </c>
      <c r="K85" s="293">
        <f t="shared" si="16"/>
        <v>0</v>
      </c>
      <c r="L85" s="99">
        <f t="shared" si="16"/>
        <v>0</v>
      </c>
      <c r="AC85" s="2362"/>
    </row>
    <row r="86" spans="1:29" ht="13.9" customHeight="1" x14ac:dyDescent="0.25">
      <c r="A86" s="664"/>
      <c r="B86" s="711"/>
      <c r="C86" s="545"/>
      <c r="D86" s="545"/>
      <c r="E86" s="742"/>
      <c r="F86" s="743"/>
      <c r="G86" s="545"/>
      <c r="H86" s="742"/>
      <c r="I86" s="999"/>
      <c r="J86" s="544"/>
      <c r="K86" s="1000"/>
      <c r="L86" s="742"/>
      <c r="AC86" s="2362"/>
    </row>
    <row r="87" spans="1:29" ht="13.9" customHeight="1" x14ac:dyDescent="0.25">
      <c r="A87" s="664" t="s">
        <v>2575</v>
      </c>
      <c r="B87" s="711"/>
      <c r="C87" s="177"/>
      <c r="D87" s="177"/>
      <c r="E87" s="178"/>
      <c r="F87" s="179"/>
      <c r="G87" s="177"/>
      <c r="H87" s="178"/>
      <c r="I87" s="982"/>
      <c r="J87" s="181"/>
      <c r="K87" s="724"/>
      <c r="L87" s="178"/>
      <c r="AC87" s="2362"/>
    </row>
    <row r="88" spans="1:29" ht="13.9" customHeight="1" x14ac:dyDescent="0.25">
      <c r="A88" s="664" t="s">
        <v>2536</v>
      </c>
      <c r="B88" s="711"/>
      <c r="C88" s="993">
        <f>SUMIFS(Sheet1!S71_PPPYearAmount,Sheet1!S71_A6SubCode,$AC:$AC)</f>
        <v>0</v>
      </c>
      <c r="D88" s="98">
        <f>SUMIFS(Sheet1!S71_PPYearAmount,Sheet1!S71_A6SubCode,$AC:$AC)</f>
        <v>0</v>
      </c>
      <c r="E88" s="99">
        <f>SUMIFS(Sheet1!S71_PYearAmount,Sheet1!S71_A6SubCode,$AC:$AC)</f>
        <v>0</v>
      </c>
      <c r="F88" s="100">
        <f>SUMIFS(Sheet1!S71_OriginalBudAmnt,Sheet1!S71_A6SubCode,$AC:$AC)</f>
        <v>0</v>
      </c>
      <c r="G88" s="98">
        <f>SUMIFS(Sheet1!S71_AdjustmentBudAmnt,Sheet1!S71_A6SubCode,$AC:$AC)</f>
        <v>221071</v>
      </c>
      <c r="H88" s="99">
        <f>SUMIFS(Sheet1!S71_AdjustmentBudAmnt,Sheet1!S71_A6SubCode,$AC:$AC)</f>
        <v>221071</v>
      </c>
      <c r="I88" s="984">
        <f>SUMIFS(Sheet1!CD:CD,Sheet1!S71_A6SubCode,$AC:$AC)</f>
        <v>0</v>
      </c>
      <c r="J88" s="102">
        <f>SUMIFS(Sheet1!S71_ASBudgetAmount,Sheet1!S71_A6SubCode,$AC:$AC)</f>
        <v>221071</v>
      </c>
      <c r="K88" s="293">
        <f>SUMIFS(Sheet1!S71_OY1BudgetAmount,Sheet1!S71_A6SubCode,$AC:$AC)</f>
        <v>0</v>
      </c>
      <c r="L88" s="99">
        <f>SUMIFS(Sheet1!S71_OY2BudgetAmount,Sheet1!S71_A6SubCode,$AC:$AC)</f>
        <v>0</v>
      </c>
      <c r="AC88" s="2360" t="s">
        <v>2982</v>
      </c>
    </row>
    <row r="89" spans="1:29" ht="13.9" customHeight="1" x14ac:dyDescent="0.25">
      <c r="A89" s="931" t="s">
        <v>2563</v>
      </c>
      <c r="B89" s="711"/>
      <c r="C89" s="983">
        <f>SUMIFS(Sheet1!S71_PPPYearAmount,Sheet1!S71_A6SubCode,$AC:$AC)</f>
        <v>8091</v>
      </c>
      <c r="D89" s="983">
        <f>SUMIFS(Sheet1!S71_PPYearAmount,Sheet1!S71_A6SubCode,$AC:$AC)</f>
        <v>0</v>
      </c>
      <c r="E89" s="985">
        <f>SUMIFS(Sheet1!S71_PYearAmount,Sheet1!S71_A6SubCode,$AC:$AC)</f>
        <v>0</v>
      </c>
      <c r="F89" s="986">
        <f>SUMIFS(Sheet1!S71_OriginalBudAmnt,Sheet1!S71_A6SubCode,$AC:$AC)</f>
        <v>0</v>
      </c>
      <c r="G89" s="983">
        <f>SUMIFS(Sheet1!S71_AdjustmentBudAmnt,Sheet1!S71_A6SubCode,$AC:$AC)</f>
        <v>6237429</v>
      </c>
      <c r="H89" s="985">
        <f>SUMIFS(Sheet1!S71_AdjustmentBudAmnt,Sheet1!S71_A6SubCode,$AC:$AC)</f>
        <v>6237429</v>
      </c>
      <c r="I89" s="987">
        <f>SUMIFS(Sheet1!CD:CD,Sheet1!S71_A6SubCode,$AC:$AC)</f>
        <v>440300</v>
      </c>
      <c r="J89" s="988">
        <f>SUMIFS(Sheet1!S71_ASBudgetAmount,Sheet1!S71_A6SubCode,$AC:$AC)</f>
        <v>6051040</v>
      </c>
      <c r="K89" s="989">
        <f>SUMIFS(Sheet1!S71_OY1BudgetAmount,Sheet1!S71_A6SubCode,$AC:$AC)</f>
        <v>6308082</v>
      </c>
      <c r="L89" s="985">
        <f>SUMIFS(Sheet1!S71_OY2BudgetAmount,Sheet1!S71_A6SubCode,$AC:$AC)</f>
        <v>6582377</v>
      </c>
      <c r="AC89" s="2360" t="s">
        <v>2981</v>
      </c>
    </row>
    <row r="90" spans="1:29" ht="13.9" customHeight="1" x14ac:dyDescent="0.25">
      <c r="A90" s="931" t="s">
        <v>2564</v>
      </c>
      <c r="B90" s="675">
        <v>7</v>
      </c>
      <c r="C90" s="983">
        <f>SUMIFS(Sheet1!S71_PPPYearAmount,Sheet1!S71_A6SubCode,$AC:$AC)</f>
        <v>0</v>
      </c>
      <c r="D90" s="983">
        <f>SUMIFS(Sheet1!S71_PPYearAmount,Sheet1!S71_A6SubCode,$AC:$AC)</f>
        <v>0</v>
      </c>
      <c r="E90" s="985">
        <f>SUMIFS(Sheet1!S71_PYearAmount,Sheet1!S71_A6SubCode,$AC:$AC)</f>
        <v>0</v>
      </c>
      <c r="F90" s="986">
        <f>SUMIFS(Sheet1!S71_OriginalBudAmnt,Sheet1!S71_A6SubCode,$AC:$AC)</f>
        <v>0</v>
      </c>
      <c r="G90" s="983">
        <f>SUMIFS(Sheet1!S71_AdjustmentBudAmnt,Sheet1!S71_A6SubCode,$AC:$AC)</f>
        <v>-6458500</v>
      </c>
      <c r="H90" s="985">
        <f>SUMIFS(Sheet1!S71_AdjustmentBudAmnt,Sheet1!S71_A6SubCode,$AC:$AC)</f>
        <v>-6458500</v>
      </c>
      <c r="I90" s="987">
        <f>SUMIFS(Sheet1!CD:CD,Sheet1!S71_A6SubCode,$AC:$AC)</f>
        <v>81</v>
      </c>
      <c r="J90" s="988">
        <f>SUMIFS(Sheet1!S71_ASBudgetAmount,Sheet1!S71_A6SubCode,$AC:$AC)</f>
        <v>-6051040</v>
      </c>
      <c r="K90" s="989">
        <f>SUMIFS(Sheet1!S71_OY1BudgetAmount,Sheet1!S71_A6SubCode,$AC:$AC)</f>
        <v>-6308082</v>
      </c>
      <c r="L90" s="985">
        <f>SUMIFS(Sheet1!S71_OY2BudgetAmount,Sheet1!S71_A6SubCode,$AC:$AC)</f>
        <v>-6582377</v>
      </c>
      <c r="AC90" s="2360" t="s">
        <v>3019</v>
      </c>
    </row>
    <row r="91" spans="1:29" ht="13.9" customHeight="1" x14ac:dyDescent="0.25">
      <c r="A91" s="931" t="s">
        <v>2565</v>
      </c>
      <c r="B91" s="675">
        <v>8</v>
      </c>
      <c r="C91" s="983">
        <f>SUMIFS(Sheet1!S71_PPPYearAmount,Sheet1!S71_A6SubCode,$AC:$AC)</f>
        <v>0</v>
      </c>
      <c r="D91" s="983">
        <f>SUMIFS(Sheet1!S71_PPYearAmount,Sheet1!S71_A6SubCode,$AC:$AC)</f>
        <v>0</v>
      </c>
      <c r="E91" s="985">
        <f>SUMIFS(Sheet1!S71_PYearAmount,Sheet1!S71_A6SubCode,$AC:$AC)</f>
        <v>0</v>
      </c>
      <c r="F91" s="986">
        <f>SUMIFS(Sheet1!S71_OriginalBudAmnt,Sheet1!S71_A6SubCode,$AC:$AC)</f>
        <v>0</v>
      </c>
      <c r="G91" s="983">
        <f>SUMIFS(Sheet1!S71_AdjustmentBudAmnt,Sheet1!S71_A6SubCode,$AC:$AC)</f>
        <v>0</v>
      </c>
      <c r="H91" s="985">
        <f>SUMIFS(Sheet1!S71_AdjustmentBudAmnt,Sheet1!S71_A6SubCode,$AC:$AC)</f>
        <v>0</v>
      </c>
      <c r="I91" s="987">
        <f>SUMIFS(Sheet1!CD:CD,Sheet1!S71_A6SubCode,$AC:$AC)</f>
        <v>0</v>
      </c>
      <c r="J91" s="988">
        <f>SUMIFS(Sheet1!S71_ASBudgetAmount,Sheet1!S71_A6SubCode,$AC:$AC)</f>
        <v>0</v>
      </c>
      <c r="K91" s="989">
        <f>SUMIFS(Sheet1!S71_OY1BudgetAmount,Sheet1!S71_A6SubCode,$AC:$AC)</f>
        <v>0</v>
      </c>
      <c r="L91" s="985">
        <f>SUMIFS(Sheet1!S71_OY2BudgetAmount,Sheet1!S71_A6SubCode,$AC:$AC)</f>
        <v>0</v>
      </c>
      <c r="AC91" s="2360" t="s">
        <v>3020</v>
      </c>
    </row>
    <row r="92" spans="1:29" ht="13.9" customHeight="1" x14ac:dyDescent="0.25">
      <c r="A92" s="931" t="s">
        <v>2566</v>
      </c>
      <c r="B92" s="675">
        <v>9</v>
      </c>
      <c r="C92" s="994">
        <f>SUMIFS(Sheet1!S71_PPPYearAmount,Sheet1!S71_A6SubCode,$AC:$AC)</f>
        <v>0</v>
      </c>
      <c r="D92" s="994">
        <f>SUMIFS(Sheet1!S71_PPYearAmount,Sheet1!S71_A6SubCode,$AC:$AC)</f>
        <v>0</v>
      </c>
      <c r="E92" s="995">
        <f>SUMIFS(Sheet1!S71_PYearAmount,Sheet1!S71_A6SubCode,$AC:$AC)</f>
        <v>0</v>
      </c>
      <c r="F92" s="996">
        <f>SUMIFS(Sheet1!S71_OriginalBudAmnt,Sheet1!S71_A6SubCode,$AC:$AC)</f>
        <v>0</v>
      </c>
      <c r="G92" s="994">
        <f>SUMIFS(Sheet1!S71_AdjustmentBudAmnt,Sheet1!S71_A6SubCode,$AC:$AC)</f>
        <v>0</v>
      </c>
      <c r="H92" s="995">
        <f>SUMIFS(Sheet1!S71_AdjustmentBudAmnt,Sheet1!S71_A6SubCode,$AC:$AC)</f>
        <v>0</v>
      </c>
      <c r="I92" s="987">
        <f>SUMIFS(Sheet1!CD:CD,Sheet1!S71_A6SubCode,$AC:$AC)</f>
        <v>0</v>
      </c>
      <c r="J92" s="997">
        <f>SUMIFS(Sheet1!S71_ASBudgetAmount,Sheet1!S71_A6SubCode,$AC:$AC)</f>
        <v>0</v>
      </c>
      <c r="K92" s="998">
        <f>SUMIFS(Sheet1!S71_OY1BudgetAmount,Sheet1!S71_A6SubCode,$AC:$AC)</f>
        <v>0</v>
      </c>
      <c r="L92" s="995">
        <f>SUMIFS(Sheet1!S71_OY2BudgetAmount,Sheet1!S71_A6SubCode,$AC:$AC)</f>
        <v>0</v>
      </c>
      <c r="AC92" s="2360" t="s">
        <v>3021</v>
      </c>
    </row>
    <row r="93" spans="1:29" ht="13.9" customHeight="1" x14ac:dyDescent="0.25">
      <c r="A93" s="664" t="s">
        <v>2576</v>
      </c>
      <c r="B93" s="992"/>
      <c r="C93" s="98">
        <f>SUM(C88:C92)</f>
        <v>8091</v>
      </c>
      <c r="D93" s="98">
        <f t="shared" ref="D93:L93" si="17">SUM(D88:D92)</f>
        <v>0</v>
      </c>
      <c r="E93" s="99">
        <f t="shared" si="17"/>
        <v>0</v>
      </c>
      <c r="F93" s="100">
        <f t="shared" si="17"/>
        <v>0</v>
      </c>
      <c r="G93" s="98">
        <f t="shared" si="17"/>
        <v>0</v>
      </c>
      <c r="H93" s="99">
        <f t="shared" si="17"/>
        <v>0</v>
      </c>
      <c r="I93" s="984">
        <f t="shared" si="17"/>
        <v>440381</v>
      </c>
      <c r="J93" s="102">
        <f t="shared" si="17"/>
        <v>221071</v>
      </c>
      <c r="K93" s="293">
        <f t="shared" si="17"/>
        <v>0</v>
      </c>
      <c r="L93" s="99">
        <f t="shared" si="17"/>
        <v>0</v>
      </c>
      <c r="AC93" s="2362"/>
    </row>
    <row r="94" spans="1:29" ht="13.9" customHeight="1" x14ac:dyDescent="0.25">
      <c r="A94" s="664"/>
      <c r="B94" s="711"/>
      <c r="C94" s="545"/>
      <c r="D94" s="545"/>
      <c r="E94" s="742"/>
      <c r="F94" s="743"/>
      <c r="G94" s="545"/>
      <c r="H94" s="742"/>
      <c r="I94" s="999"/>
      <c r="J94" s="544"/>
      <c r="K94" s="1000"/>
      <c r="L94" s="742"/>
      <c r="AC94" s="2362"/>
    </row>
    <row r="95" spans="1:29" ht="13.9" customHeight="1" x14ac:dyDescent="0.25">
      <c r="A95" s="664" t="s">
        <v>2577</v>
      </c>
      <c r="B95" s="711"/>
      <c r="C95" s="545"/>
      <c r="D95" s="545"/>
      <c r="E95" s="742"/>
      <c r="F95" s="743"/>
      <c r="G95" s="545"/>
      <c r="H95" s="742"/>
      <c r="I95" s="999"/>
      <c r="J95" s="544"/>
      <c r="K95" s="1000"/>
      <c r="L95" s="742"/>
      <c r="AC95" s="2362"/>
    </row>
    <row r="96" spans="1:29" ht="13.9" customHeight="1" x14ac:dyDescent="0.25">
      <c r="A96" s="664" t="s">
        <v>2536</v>
      </c>
      <c r="B96" s="711"/>
      <c r="C96" s="993">
        <f>SUMIFS(Sheet1!S71_PPPYearAmount,Sheet1!S71_A6SubCode,$AC:$AC)</f>
        <v>0</v>
      </c>
      <c r="D96" s="98">
        <f>SUMIFS(Sheet1!S71_PPYearAmount,Sheet1!S71_A6SubCode,$AC:$AC)</f>
        <v>0</v>
      </c>
      <c r="E96" s="99">
        <f>SUMIFS(Sheet1!S71_PYearAmount,Sheet1!S71_A6SubCode,$AC:$AC)</f>
        <v>0</v>
      </c>
      <c r="F96" s="100">
        <f>SUMIFS(Sheet1!S71_OriginalBudAmnt,Sheet1!S71_A6SubCode,$AC:$AC)</f>
        <v>0</v>
      </c>
      <c r="G96" s="98">
        <f>SUMIFS(Sheet1!S71_AdjustmentBudAmnt,Sheet1!S71_A6SubCode,$AC:$AC)</f>
        <v>0</v>
      </c>
      <c r="H96" s="99">
        <f>SUMIFS(Sheet1!S71_AdjustmentBudAmnt,Sheet1!S71_A6SubCode,$AC:$AC)</f>
        <v>0</v>
      </c>
      <c r="I96" s="984">
        <f>SUMIFS(Sheet1!CD:CD,Sheet1!S71_A6SubCode,$AC:$AC)</f>
        <v>0</v>
      </c>
      <c r="J96" s="102">
        <f>SUMIFS(Sheet1!S71_ASBudgetAmount,Sheet1!S71_A6SubCode,$AC:$AC)</f>
        <v>0</v>
      </c>
      <c r="K96" s="293">
        <f>SUMIFS(Sheet1!S71_OY1BudgetAmount,Sheet1!S71_A6SubCode,$AC:$AC)</f>
        <v>0</v>
      </c>
      <c r="L96" s="99">
        <f>SUMIFS(Sheet1!S71_OY2BudgetAmount,Sheet1!S71_A6SubCode,$AC:$AC)</f>
        <v>0</v>
      </c>
      <c r="AC96" s="2361" t="s">
        <v>3022</v>
      </c>
    </row>
    <row r="97" spans="1:29" ht="13.9" customHeight="1" x14ac:dyDescent="0.25">
      <c r="A97" s="1001" t="s">
        <v>2578</v>
      </c>
      <c r="B97" s="711"/>
      <c r="C97" s="983">
        <f>SUMIFS(Sheet1!S71_PPPYearAmount,Sheet1!S71_A6SubCode,$AC:$AC)</f>
        <v>0</v>
      </c>
      <c r="D97" s="983">
        <f>SUMIFS(Sheet1!S71_PPYearAmount,Sheet1!S71_A6SubCode,$AC:$AC)</f>
        <v>0</v>
      </c>
      <c r="E97" s="985">
        <f>SUMIFS(Sheet1!S71_PYearAmount,Sheet1!S71_A6SubCode,$AC:$AC)</f>
        <v>0</v>
      </c>
      <c r="F97" s="986">
        <f>SUMIFS(Sheet1!S71_OriginalBudAmnt,Sheet1!S71_A6SubCode,$AC:$AC)</f>
        <v>0</v>
      </c>
      <c r="G97" s="983">
        <f>SUMIFS(Sheet1!S71_AdjustmentBudAmnt,Sheet1!S71_A6SubCode,$AC:$AC)</f>
        <v>0</v>
      </c>
      <c r="H97" s="985">
        <f>SUMIFS(Sheet1!S71_AdjustmentBudAmnt,Sheet1!S71_A6SubCode,$AC:$AC)</f>
        <v>0</v>
      </c>
      <c r="I97" s="987">
        <f>SUMIFS(Sheet1!CD:CD,Sheet1!S71_A6SubCode,$AC:$AC)</f>
        <v>0</v>
      </c>
      <c r="J97" s="988">
        <f>SUMIFS(Sheet1!S71_ASBudgetAmount,Sheet1!S71_A6SubCode,$AC:$AC)</f>
        <v>0</v>
      </c>
      <c r="K97" s="989">
        <f>SUMIFS(Sheet1!S71_OY1BudgetAmount,Sheet1!S71_A6SubCode,$AC:$AC)</f>
        <v>0</v>
      </c>
      <c r="L97" s="985">
        <f>SUMIFS(Sheet1!S71_OY2BudgetAmount,Sheet1!S71_A6SubCode,$AC:$AC)</f>
        <v>0</v>
      </c>
      <c r="AC97" s="2361" t="s">
        <v>3023</v>
      </c>
    </row>
    <row r="98" spans="1:29" ht="13.9" customHeight="1" x14ac:dyDescent="0.25">
      <c r="A98" s="931" t="s">
        <v>2579</v>
      </c>
      <c r="B98" s="711"/>
      <c r="C98" s="994">
        <f>SUMIFS(Sheet1!S71_PPPYearAmount,Sheet1!S71_A6SubCode,$AC:$AC)</f>
        <v>0</v>
      </c>
      <c r="D98" s="994">
        <f>SUMIFS(Sheet1!S71_PPYearAmount,Sheet1!S71_A6SubCode,$AC:$AC)</f>
        <v>0</v>
      </c>
      <c r="E98" s="995">
        <f>SUMIFS(Sheet1!S71_PYearAmount,Sheet1!S71_A6SubCode,$AC:$AC)</f>
        <v>0</v>
      </c>
      <c r="F98" s="996">
        <f>SUMIFS(Sheet1!S71_OriginalBudAmnt,Sheet1!S71_A6SubCode,$AC:$AC)</f>
        <v>0</v>
      </c>
      <c r="G98" s="994">
        <f>SUMIFS(Sheet1!S71_AdjustmentBudAmnt,Sheet1!S71_A6SubCode,$AC:$AC)</f>
        <v>0</v>
      </c>
      <c r="H98" s="995">
        <f>SUMIFS(Sheet1!S71_AdjustmentBudAmnt,Sheet1!S71_A6SubCode,$AC:$AC)</f>
        <v>0</v>
      </c>
      <c r="I98" s="987">
        <f>SUMIFS(Sheet1!CD:CD,Sheet1!S71_A6SubCode,$AC:$AC)</f>
        <v>0</v>
      </c>
      <c r="J98" s="997">
        <f>SUMIFS(Sheet1!S71_ASBudgetAmount,Sheet1!S71_A6SubCode,$AC:$AC)</f>
        <v>0</v>
      </c>
      <c r="K98" s="998">
        <f>SUMIFS(Sheet1!S71_OY1BudgetAmount,Sheet1!S71_A6SubCode,$AC:$AC)</f>
        <v>0</v>
      </c>
      <c r="L98" s="995">
        <f>SUMIFS(Sheet1!S71_OY2BudgetAmount,Sheet1!S71_A6SubCode,$AC:$AC)</f>
        <v>0</v>
      </c>
      <c r="AC98" s="2361" t="s">
        <v>3024</v>
      </c>
    </row>
    <row r="99" spans="1:29" ht="13.9" customHeight="1" x14ac:dyDescent="0.25">
      <c r="A99" s="664" t="s">
        <v>2580</v>
      </c>
      <c r="B99" s="992"/>
      <c r="C99" s="98">
        <f>SUM(C96:C98)</f>
        <v>0</v>
      </c>
      <c r="D99" s="98">
        <f t="shared" ref="D99:L99" si="18">SUM(D96:D98)</f>
        <v>0</v>
      </c>
      <c r="E99" s="99">
        <f t="shared" si="18"/>
        <v>0</v>
      </c>
      <c r="F99" s="100">
        <f t="shared" si="18"/>
        <v>0</v>
      </c>
      <c r="G99" s="98">
        <f t="shared" si="18"/>
        <v>0</v>
      </c>
      <c r="H99" s="99">
        <f t="shared" si="18"/>
        <v>0</v>
      </c>
      <c r="I99" s="984">
        <f t="shared" si="18"/>
        <v>0</v>
      </c>
      <c r="J99" s="102">
        <f t="shared" si="18"/>
        <v>0</v>
      </c>
      <c r="K99" s="293">
        <f t="shared" si="18"/>
        <v>0</v>
      </c>
      <c r="L99" s="99">
        <f t="shared" si="18"/>
        <v>0</v>
      </c>
      <c r="AC99" s="2362"/>
    </row>
    <row r="100" spans="1:29" ht="13.9" customHeight="1" x14ac:dyDescent="0.25">
      <c r="A100" s="1001"/>
      <c r="B100" s="711"/>
      <c r="C100" s="545"/>
      <c r="D100" s="545"/>
      <c r="E100" s="742"/>
      <c r="F100" s="743"/>
      <c r="G100" s="545"/>
      <c r="H100" s="742"/>
      <c r="I100" s="999"/>
      <c r="J100" s="544"/>
      <c r="K100" s="1000"/>
      <c r="L100" s="742"/>
      <c r="AC100" s="2362"/>
    </row>
    <row r="101" spans="1:29" ht="13.9" customHeight="1" x14ac:dyDescent="0.25">
      <c r="A101" s="664" t="s">
        <v>2581</v>
      </c>
      <c r="B101" s="711"/>
      <c r="C101" s="545"/>
      <c r="D101" s="545"/>
      <c r="E101" s="742"/>
      <c r="F101" s="743"/>
      <c r="G101" s="545"/>
      <c r="H101" s="742"/>
      <c r="I101" s="999"/>
      <c r="J101" s="544"/>
      <c r="K101" s="1000"/>
      <c r="L101" s="742"/>
      <c r="AC101" s="2362"/>
    </row>
    <row r="102" spans="1:29" ht="13.9" customHeight="1" x14ac:dyDescent="0.25">
      <c r="A102" s="664" t="s">
        <v>2536</v>
      </c>
      <c r="B102" s="711"/>
      <c r="C102" s="993">
        <f>SUMIFS(Sheet1!S71_PPPYearAmount,Sheet1!S71_A6SubCode,$AC:$AC)</f>
        <v>0</v>
      </c>
      <c r="D102" s="98">
        <f>SUMIFS(Sheet1!S71_PPYearAmount,Sheet1!S71_A6SubCode,$AC:$AC)</f>
        <v>0</v>
      </c>
      <c r="E102" s="99">
        <f>SUMIFS(Sheet1!S71_PYearAmount,Sheet1!S71_A6SubCode,$AC:$AC)</f>
        <v>0</v>
      </c>
      <c r="F102" s="100">
        <f>SUMIFS(Sheet1!S71_OriginalBudAmnt,Sheet1!S71_A6SubCode,$AC:$AC)</f>
        <v>0</v>
      </c>
      <c r="G102" s="98">
        <f>SUMIFS(Sheet1!S71_AdjustmentBudAmnt,Sheet1!S71_A6SubCode,$AC:$AC)</f>
        <v>0</v>
      </c>
      <c r="H102" s="99">
        <f>SUMIFS(Sheet1!S71_AdjustmentBudAmnt,Sheet1!S71_A6SubCode,$AC:$AC)</f>
        <v>0</v>
      </c>
      <c r="I102" s="984">
        <f>SUMIFS(Sheet1!CD:CD,Sheet1!S71_A6SubCode,$AC:$AC)</f>
        <v>0</v>
      </c>
      <c r="J102" s="102">
        <f>SUMIFS(Sheet1!S71_ASBudgetAmount,Sheet1!S71_A6SubCode,$AC:$AC)</f>
        <v>0</v>
      </c>
      <c r="K102" s="293">
        <f>SUMIFS(Sheet1!S71_OY1BudgetAmount,Sheet1!S71_A6SubCode,$AC:$AC)</f>
        <v>0</v>
      </c>
      <c r="L102" s="99">
        <f>SUMIFS(Sheet1!S71_OY2BudgetAmount,Sheet1!S71_A6SubCode,$AC:$AC)</f>
        <v>0</v>
      </c>
      <c r="AC102" s="2361" t="s">
        <v>3025</v>
      </c>
    </row>
    <row r="103" spans="1:29" ht="13.9" customHeight="1" x14ac:dyDescent="0.25">
      <c r="A103" s="931" t="s">
        <v>2563</v>
      </c>
      <c r="B103" s="711"/>
      <c r="C103" s="983">
        <f>SUMIFS(Sheet1!S71_PPPYearAmount,Sheet1!S71_A6SubCode,$AC:$AC)</f>
        <v>0</v>
      </c>
      <c r="D103" s="983">
        <f>SUMIFS(Sheet1!S71_PPYearAmount,Sheet1!S71_A6SubCode,$AC:$AC)</f>
        <v>0</v>
      </c>
      <c r="E103" s="985">
        <f>SUMIFS(Sheet1!S71_PYearAmount,Sheet1!S71_A6SubCode,$AC:$AC)</f>
        <v>0</v>
      </c>
      <c r="F103" s="986">
        <f>SUMIFS(Sheet1!S71_OriginalBudAmnt,Sheet1!S71_A6SubCode,$AC:$AC)</f>
        <v>0</v>
      </c>
      <c r="G103" s="983">
        <f>SUMIFS(Sheet1!S71_AdjustmentBudAmnt,Sheet1!S71_A6SubCode,$AC:$AC)</f>
        <v>0</v>
      </c>
      <c r="H103" s="985">
        <f>SUMIFS(Sheet1!S71_AdjustmentBudAmnt,Sheet1!S71_A6SubCode,$AC:$AC)</f>
        <v>0</v>
      </c>
      <c r="I103" s="987">
        <f>SUMIFS(Sheet1!CD:CD,Sheet1!S71_A6SubCode,$AC:$AC)</f>
        <v>0</v>
      </c>
      <c r="J103" s="988">
        <f>SUMIFS(Sheet1!S71_ASBudgetAmount,Sheet1!S71_A6SubCode,$AC:$AC)</f>
        <v>0</v>
      </c>
      <c r="K103" s="989">
        <f>SUMIFS(Sheet1!S71_OY1BudgetAmount,Sheet1!S71_A6SubCode,$AC:$AC)</f>
        <v>0</v>
      </c>
      <c r="L103" s="985">
        <f>SUMIFS(Sheet1!S71_OY2BudgetAmount,Sheet1!S71_A6SubCode,$AC:$AC)</f>
        <v>0</v>
      </c>
      <c r="AC103" s="2361" t="s">
        <v>3026</v>
      </c>
    </row>
    <row r="104" spans="1:29" ht="13.9" customHeight="1" x14ac:dyDescent="0.25">
      <c r="A104" s="931" t="s">
        <v>2579</v>
      </c>
      <c r="B104" s="711"/>
      <c r="C104" s="983">
        <f>SUMIFS(Sheet1!S71_PPPYearAmount,Sheet1!S71_A6SubCode,$AC:$AC)</f>
        <v>0</v>
      </c>
      <c r="D104" s="983">
        <f>SUMIFS(Sheet1!S71_PPYearAmount,Sheet1!S71_A6SubCode,$AC:$AC)</f>
        <v>0</v>
      </c>
      <c r="E104" s="985">
        <f>SUMIFS(Sheet1!S71_PYearAmount,Sheet1!S71_A6SubCode,$AC:$AC)</f>
        <v>0</v>
      </c>
      <c r="F104" s="986">
        <f>SUMIFS(Sheet1!S71_OriginalBudAmnt,Sheet1!S71_A6SubCode,$AC:$AC)</f>
        <v>0</v>
      </c>
      <c r="G104" s="983">
        <f>SUMIFS(Sheet1!S71_AdjustmentBudAmnt,Sheet1!S71_A6SubCode,$AC:$AC)</f>
        <v>0</v>
      </c>
      <c r="H104" s="985">
        <f>SUMIFS(Sheet1!S71_AdjustmentBudAmnt,Sheet1!S71_A6SubCode,$AC:$AC)</f>
        <v>0</v>
      </c>
      <c r="I104" s="987">
        <f>SUMIFS(Sheet1!CD:CD,Sheet1!S71_A6SubCode,$AC:$AC)</f>
        <v>0</v>
      </c>
      <c r="J104" s="988">
        <f>SUMIFS(Sheet1!S71_ASBudgetAmount,Sheet1!S71_A6SubCode,$AC:$AC)</f>
        <v>0</v>
      </c>
      <c r="K104" s="989">
        <f>SUMIFS(Sheet1!S71_OY1BudgetAmount,Sheet1!S71_A6SubCode,$AC:$AC)</f>
        <v>0</v>
      </c>
      <c r="L104" s="985">
        <f>SUMIFS(Sheet1!S71_OY2BudgetAmount,Sheet1!S71_A6SubCode,$AC:$AC)</f>
        <v>0</v>
      </c>
      <c r="AC104" s="2361" t="s">
        <v>3027</v>
      </c>
    </row>
    <row r="105" spans="1:29" ht="13.9" customHeight="1" x14ac:dyDescent="0.25">
      <c r="A105" s="931" t="s">
        <v>2582</v>
      </c>
      <c r="B105" s="711"/>
      <c r="C105" s="994">
        <f>SUMIFS(Sheet1!S71_PPPYearAmount,Sheet1!S71_A6SubCode,$AC:$AC)</f>
        <v>0</v>
      </c>
      <c r="D105" s="994">
        <f>SUMIFS(Sheet1!S71_PPYearAmount,Sheet1!S71_A6SubCode,$AC:$AC)</f>
        <v>0</v>
      </c>
      <c r="E105" s="995">
        <f>SUMIFS(Sheet1!S71_PYearAmount,Sheet1!S71_A6SubCode,$AC:$AC)</f>
        <v>0</v>
      </c>
      <c r="F105" s="996">
        <f>SUMIFS(Sheet1!S71_OriginalBudAmnt,Sheet1!S71_A6SubCode,$AC:$AC)</f>
        <v>0</v>
      </c>
      <c r="G105" s="994">
        <f>SUMIFS(Sheet1!S71_AdjustmentBudAmnt,Sheet1!S71_A6SubCode,$AC:$AC)</f>
        <v>0</v>
      </c>
      <c r="H105" s="995">
        <f>SUMIFS(Sheet1!S71_AdjustmentBudAmnt,Sheet1!S71_A6SubCode,$AC:$AC)</f>
        <v>0</v>
      </c>
      <c r="I105" s="987">
        <f>SUMIFS(Sheet1!CD:CD,Sheet1!S71_A6SubCode,$AC:$AC)</f>
        <v>0</v>
      </c>
      <c r="J105" s="997">
        <f>SUMIFS(Sheet1!S71_ASBudgetAmount,Sheet1!S71_A6SubCode,$AC:$AC)</f>
        <v>0</v>
      </c>
      <c r="K105" s="998">
        <f>SUMIFS(Sheet1!S71_OY1BudgetAmount,Sheet1!S71_A6SubCode,$AC:$AC)</f>
        <v>0</v>
      </c>
      <c r="L105" s="995">
        <f>SUMIFS(Sheet1!S71_OY2BudgetAmount,Sheet1!S71_A6SubCode,$AC:$AC)</f>
        <v>0</v>
      </c>
      <c r="AC105" s="2361" t="s">
        <v>3028</v>
      </c>
    </row>
    <row r="106" spans="1:29" ht="13.9" customHeight="1" x14ac:dyDescent="0.25">
      <c r="A106" s="664" t="s">
        <v>2583</v>
      </c>
      <c r="B106" s="992"/>
      <c r="C106" s="98">
        <f>+SUM(C102:C105)</f>
        <v>0</v>
      </c>
      <c r="D106" s="98">
        <f t="shared" ref="D106:L106" si="19">+SUM(D102:D105)</f>
        <v>0</v>
      </c>
      <c r="E106" s="99">
        <f t="shared" si="19"/>
        <v>0</v>
      </c>
      <c r="F106" s="100">
        <f t="shared" si="19"/>
        <v>0</v>
      </c>
      <c r="G106" s="98">
        <f t="shared" si="19"/>
        <v>0</v>
      </c>
      <c r="H106" s="99">
        <f t="shared" si="19"/>
        <v>0</v>
      </c>
      <c r="I106" s="984">
        <f t="shared" si="19"/>
        <v>0</v>
      </c>
      <c r="J106" s="102">
        <f t="shared" si="19"/>
        <v>0</v>
      </c>
      <c r="K106" s="293">
        <f t="shared" si="19"/>
        <v>0</v>
      </c>
      <c r="L106" s="99">
        <f t="shared" si="19"/>
        <v>0</v>
      </c>
      <c r="AC106" s="2362"/>
    </row>
    <row r="107" spans="1:29" ht="13.9" customHeight="1" x14ac:dyDescent="0.25">
      <c r="A107" s="1001"/>
      <c r="B107" s="711"/>
      <c r="C107" s="545"/>
      <c r="D107" s="545"/>
      <c r="E107" s="742"/>
      <c r="F107" s="743"/>
      <c r="G107" s="545"/>
      <c r="H107" s="742"/>
      <c r="I107" s="999"/>
      <c r="J107" s="544"/>
      <c r="K107" s="1000"/>
      <c r="L107" s="742"/>
      <c r="AC107" s="2362"/>
    </row>
    <row r="108" spans="1:29" ht="13.9" customHeight="1" x14ac:dyDescent="0.25">
      <c r="A108" s="664" t="s">
        <v>2470</v>
      </c>
      <c r="B108" s="711"/>
      <c r="C108" s="545"/>
      <c r="D108" s="545"/>
      <c r="E108" s="742"/>
      <c r="F108" s="743"/>
      <c r="G108" s="545"/>
      <c r="H108" s="742"/>
      <c r="I108" s="999"/>
      <c r="J108" s="544"/>
      <c r="K108" s="1000"/>
      <c r="L108" s="742"/>
      <c r="AC108" s="2362"/>
    </row>
    <row r="109" spans="1:29" ht="13.9" customHeight="1" x14ac:dyDescent="0.25">
      <c r="A109" s="931" t="s">
        <v>2536</v>
      </c>
      <c r="B109" s="711"/>
      <c r="C109" s="993">
        <f>SUMIFS(Sheet1!S71_PPPYearAmount,Sheet1!S71_A6SubCode,$AC:$AC)</f>
        <v>0</v>
      </c>
      <c r="D109" s="98">
        <f>SUMIFS(Sheet1!S71_PPYearAmount,Sheet1!S71_A6SubCode,$AC:$AC)</f>
        <v>0</v>
      </c>
      <c r="E109" s="99">
        <f>SUMIFS(Sheet1!S71_PYearAmount,Sheet1!S71_A6SubCode,$AC:$AC)</f>
        <v>0</v>
      </c>
      <c r="F109" s="100">
        <f>SUMIFS(Sheet1!S71_OriginalBudAmnt,Sheet1!S71_A6SubCode,$AC:$AC)</f>
        <v>0</v>
      </c>
      <c r="G109" s="98">
        <f>SUMIFS(Sheet1!S71_AdjustmentBudAmnt,Sheet1!S71_A6SubCode,$AC:$AC)</f>
        <v>0</v>
      </c>
      <c r="H109" s="99">
        <f>SUMIFS(Sheet1!S71_AdjustmentBudAmnt,Sheet1!S71_A6SubCode,$AC:$AC)</f>
        <v>0</v>
      </c>
      <c r="I109" s="984">
        <f>SUMIFS(Sheet1!CD:CD,Sheet1!S71_A6SubCode,$AC:$AC)</f>
        <v>0</v>
      </c>
      <c r="J109" s="102">
        <f>SUMIFS(Sheet1!S71_ASBudgetAmount,Sheet1!S71_A6SubCode,$AC:$AC)</f>
        <v>0</v>
      </c>
      <c r="K109" s="293">
        <f>SUMIFS(Sheet1!S71_OY1BudgetAmount,Sheet1!S71_A6SubCode,$AC:$AC)</f>
        <v>0</v>
      </c>
      <c r="L109" s="99">
        <f>SUMIFS(Sheet1!S71_OY2BudgetAmount,Sheet1!S71_A6SubCode,$AC:$AC)</f>
        <v>0</v>
      </c>
      <c r="AC109" s="2361" t="s">
        <v>3029</v>
      </c>
    </row>
    <row r="110" spans="1:29" ht="13.9" customHeight="1" x14ac:dyDescent="0.25">
      <c r="A110" s="931" t="s">
        <v>2563</v>
      </c>
      <c r="B110" s="711"/>
      <c r="C110" s="983">
        <f>SUMIFS(Sheet1!S71_PPPYearAmount,Sheet1!S71_A6SubCode,$AC:$AC)</f>
        <v>0</v>
      </c>
      <c r="D110" s="983">
        <f>SUMIFS(Sheet1!S71_PPYearAmount,Sheet1!S71_A6SubCode,$AC:$AC)</f>
        <v>0</v>
      </c>
      <c r="E110" s="985">
        <f>SUMIFS(Sheet1!S71_PYearAmount,Sheet1!S71_A6SubCode,$AC:$AC)</f>
        <v>0</v>
      </c>
      <c r="F110" s="986">
        <f>SUMIFS(Sheet1!S71_OriginalBudAmnt,Sheet1!S71_A6SubCode,$AC:$AC)</f>
        <v>0</v>
      </c>
      <c r="G110" s="983">
        <f>SUMIFS(Sheet1!S71_AdjustmentBudAmnt,Sheet1!S71_A6SubCode,$AC:$AC)</f>
        <v>0</v>
      </c>
      <c r="H110" s="985">
        <f>SUMIFS(Sheet1!S71_AdjustmentBudAmnt,Sheet1!S71_A6SubCode,$AC:$AC)</f>
        <v>0</v>
      </c>
      <c r="I110" s="987">
        <f>SUMIFS(Sheet1!CD:CD,Sheet1!S71_A6SubCode,$AC:$AC)</f>
        <v>0</v>
      </c>
      <c r="J110" s="988">
        <f>SUMIFS(Sheet1!S71_ASBudgetAmount,Sheet1!S71_A6SubCode,$AC:$AC)</f>
        <v>0</v>
      </c>
      <c r="K110" s="989">
        <f>SUMIFS(Sheet1!S71_OY1BudgetAmount,Sheet1!S71_A6SubCode,$AC:$AC)</f>
        <v>0</v>
      </c>
      <c r="L110" s="985">
        <f>SUMIFS(Sheet1!S71_OY2BudgetAmount,Sheet1!S71_A6SubCode,$AC:$AC)</f>
        <v>0</v>
      </c>
      <c r="AC110" s="2361" t="s">
        <v>3030</v>
      </c>
    </row>
    <row r="111" spans="1:29" ht="13.9" customHeight="1" x14ac:dyDescent="0.25">
      <c r="A111" s="931" t="s">
        <v>2582</v>
      </c>
      <c r="B111" s="711"/>
      <c r="C111" s="983">
        <f>SUMIFS(Sheet1!S71_PPPYearAmount,Sheet1!S71_A6SubCode,$AC:$AC)</f>
        <v>0</v>
      </c>
      <c r="D111" s="983">
        <f>SUMIFS(Sheet1!S71_PPYearAmount,Sheet1!S71_A6SubCode,$AC:$AC)</f>
        <v>0</v>
      </c>
      <c r="E111" s="985">
        <f>SUMIFS(Sheet1!S71_PYearAmount,Sheet1!S71_A6SubCode,$AC:$AC)</f>
        <v>0</v>
      </c>
      <c r="F111" s="986">
        <f>SUMIFS(Sheet1!S71_OriginalBudAmnt,Sheet1!S71_A6SubCode,$AC:$AC)</f>
        <v>0</v>
      </c>
      <c r="G111" s="983">
        <f>SUMIFS(Sheet1!S71_AdjustmentBudAmnt,Sheet1!S71_A6SubCode,$AC:$AC)</f>
        <v>0</v>
      </c>
      <c r="H111" s="985">
        <f>SUMIFS(Sheet1!S71_AdjustmentBudAmnt,Sheet1!S71_A6SubCode,$AC:$AC)</f>
        <v>0</v>
      </c>
      <c r="I111" s="987">
        <f>SUMIFS(Sheet1!CD:CD,Sheet1!S71_A6SubCode,$AC:$AC)</f>
        <v>0</v>
      </c>
      <c r="J111" s="988">
        <f>SUMIFS(Sheet1!S71_ASBudgetAmount,Sheet1!S71_A6SubCode,$AC:$AC)</f>
        <v>0</v>
      </c>
      <c r="K111" s="989">
        <f>SUMIFS(Sheet1!S71_OY1BudgetAmount,Sheet1!S71_A6SubCode,$AC:$AC)</f>
        <v>0</v>
      </c>
      <c r="L111" s="985">
        <f>SUMIFS(Sheet1!S71_OY2BudgetAmount,Sheet1!S71_A6SubCode,$AC:$AC)</f>
        <v>0</v>
      </c>
      <c r="AC111" s="2361" t="s">
        <v>3031</v>
      </c>
    </row>
    <row r="112" spans="1:29" ht="13.9" customHeight="1" x14ac:dyDescent="0.25">
      <c r="A112" s="1001" t="s">
        <v>2565</v>
      </c>
      <c r="B112" s="711"/>
      <c r="C112" s="983">
        <f>SUMIFS(Sheet1!S71_PPPYearAmount,Sheet1!S71_A6SubCode,$AC:$AC)</f>
        <v>0</v>
      </c>
      <c r="D112" s="983">
        <f>SUMIFS(Sheet1!S71_PPYearAmount,Sheet1!S71_A6SubCode,$AC:$AC)</f>
        <v>0</v>
      </c>
      <c r="E112" s="985">
        <f>SUMIFS(Sheet1!S71_PYearAmount,Sheet1!S71_A6SubCode,$AC:$AC)</f>
        <v>0</v>
      </c>
      <c r="F112" s="986">
        <f>SUMIFS(Sheet1!S71_OriginalBudAmnt,Sheet1!S71_A6SubCode,$AC:$AC)</f>
        <v>0</v>
      </c>
      <c r="G112" s="983">
        <f>SUMIFS(Sheet1!S71_AdjustmentBudAmnt,Sheet1!S71_A6SubCode,$AC:$AC)</f>
        <v>0</v>
      </c>
      <c r="H112" s="985">
        <f>SUMIFS(Sheet1!S71_AdjustmentBudAmnt,Sheet1!S71_A6SubCode,$AC:$AC)</f>
        <v>0</v>
      </c>
      <c r="I112" s="987">
        <f>SUMIFS(Sheet1!CD:CD,Sheet1!S71_A6SubCode,$AC:$AC)</f>
        <v>0</v>
      </c>
      <c r="J112" s="988">
        <f>SUMIFS(Sheet1!S71_ASBudgetAmount,Sheet1!S71_A6SubCode,$AC:$AC)</f>
        <v>0</v>
      </c>
      <c r="K112" s="989">
        <f>SUMIFS(Sheet1!S71_OY1BudgetAmount,Sheet1!S71_A6SubCode,$AC:$AC)</f>
        <v>0</v>
      </c>
      <c r="L112" s="985">
        <f>SUMIFS(Sheet1!S71_OY2BudgetAmount,Sheet1!S71_A6SubCode,$AC:$AC)</f>
        <v>0</v>
      </c>
      <c r="AC112" s="2361" t="s">
        <v>3032</v>
      </c>
    </row>
    <row r="113" spans="1:29" ht="13.9" customHeight="1" x14ac:dyDescent="0.25">
      <c r="A113" s="1001" t="s">
        <v>2607</v>
      </c>
      <c r="B113" s="711"/>
      <c r="C113" s="994">
        <f>SUMIFS(Sheet1!S71_PPPYearAmount,Sheet1!S71_A6SubCode,$AC:$AC)</f>
        <v>0</v>
      </c>
      <c r="D113" s="994">
        <f>SUMIFS(Sheet1!S71_PPYearAmount,Sheet1!S71_A6SubCode,$AC:$AC)</f>
        <v>0</v>
      </c>
      <c r="E113" s="995">
        <f>SUMIFS(Sheet1!S71_PYearAmount,Sheet1!S71_A6SubCode,$AC:$AC)</f>
        <v>0</v>
      </c>
      <c r="F113" s="996">
        <f>SUMIFS(Sheet1!S71_OriginalBudAmnt,Sheet1!S71_A6SubCode,$AC:$AC)</f>
        <v>0</v>
      </c>
      <c r="G113" s="994">
        <f>SUMIFS(Sheet1!S71_AdjustmentBudAmnt,Sheet1!S71_A6SubCode,$AC:$AC)</f>
        <v>0</v>
      </c>
      <c r="H113" s="995">
        <f>SUMIFS(Sheet1!S71_AdjustmentBudAmnt,Sheet1!S71_A6SubCode,$AC:$AC)</f>
        <v>0</v>
      </c>
      <c r="I113" s="987">
        <f>SUMIFS(Sheet1!CD:CD,Sheet1!S71_A6SubCode,$AC:$AC)</f>
        <v>0</v>
      </c>
      <c r="J113" s="997">
        <f>SUMIFS(Sheet1!S71_ASBudgetAmount,Sheet1!S71_A6SubCode,$AC:$AC)</f>
        <v>0</v>
      </c>
      <c r="K113" s="998">
        <f>SUMIFS(Sheet1!S71_OY1BudgetAmount,Sheet1!S71_A6SubCode,$AC:$AC)</f>
        <v>0</v>
      </c>
      <c r="L113" s="995">
        <f>SUMIFS(Sheet1!S71_OY2BudgetAmount,Sheet1!S71_A6SubCode,$AC:$AC)</f>
        <v>0</v>
      </c>
      <c r="AC113" s="2361" t="s">
        <v>3033</v>
      </c>
    </row>
    <row r="114" spans="1:29" ht="13.9" customHeight="1" x14ac:dyDescent="0.25">
      <c r="A114" s="664" t="s">
        <v>2584</v>
      </c>
      <c r="B114" s="992"/>
      <c r="C114" s="98">
        <f>SUM(C109:C113)</f>
        <v>0</v>
      </c>
      <c r="D114" s="98">
        <f t="shared" ref="D114:L114" si="20">SUM(D109:D113)</f>
        <v>0</v>
      </c>
      <c r="E114" s="99">
        <f t="shared" si="20"/>
        <v>0</v>
      </c>
      <c r="F114" s="100">
        <f t="shared" si="20"/>
        <v>0</v>
      </c>
      <c r="G114" s="98">
        <f t="shared" si="20"/>
        <v>0</v>
      </c>
      <c r="H114" s="99">
        <f t="shared" si="20"/>
        <v>0</v>
      </c>
      <c r="I114" s="984">
        <f t="shared" si="20"/>
        <v>0</v>
      </c>
      <c r="J114" s="102">
        <f t="shared" si="20"/>
        <v>0</v>
      </c>
      <c r="K114" s="293">
        <f t="shared" si="20"/>
        <v>0</v>
      </c>
      <c r="L114" s="99">
        <f t="shared" si="20"/>
        <v>0</v>
      </c>
    </row>
    <row r="115" spans="1:29" ht="13.9" customHeight="1" x14ac:dyDescent="0.25">
      <c r="A115" s="664" t="s">
        <v>2585</v>
      </c>
      <c r="B115" s="992"/>
      <c r="C115" s="243">
        <f>C53+C61+C70+C77+C85+C93+C99+C106+C114</f>
        <v>8091</v>
      </c>
      <c r="D115" s="243">
        <f t="shared" ref="D115:L115" si="21">D53+D61+D70+D77+D85+D93+D99+D106+D114</f>
        <v>0</v>
      </c>
      <c r="E115" s="581">
        <f t="shared" si="21"/>
        <v>221071</v>
      </c>
      <c r="F115" s="582">
        <f t="shared" si="21"/>
        <v>0</v>
      </c>
      <c r="G115" s="243">
        <f t="shared" si="21"/>
        <v>0</v>
      </c>
      <c r="H115" s="581">
        <f t="shared" si="21"/>
        <v>0</v>
      </c>
      <c r="I115" s="583">
        <f t="shared" si="21"/>
        <v>661452</v>
      </c>
      <c r="J115" s="244">
        <f t="shared" si="21"/>
        <v>221071</v>
      </c>
      <c r="K115" s="1002">
        <f t="shared" si="21"/>
        <v>0</v>
      </c>
      <c r="L115" s="581">
        <f t="shared" si="21"/>
        <v>0</v>
      </c>
    </row>
    <row r="116" spans="1:29" ht="13.9" customHeight="1" x14ac:dyDescent="0.25">
      <c r="A116" s="931"/>
      <c r="B116" s="711"/>
      <c r="C116" s="177"/>
      <c r="D116" s="177"/>
      <c r="E116" s="178"/>
      <c r="F116" s="179"/>
      <c r="G116" s="177"/>
      <c r="H116" s="178"/>
      <c r="I116" s="180"/>
      <c r="J116" s="181"/>
      <c r="K116" s="724"/>
      <c r="L116" s="178"/>
    </row>
    <row r="117" spans="1:29" ht="11.25" customHeight="1" x14ac:dyDescent="0.25">
      <c r="A117" s="913" t="str">
        <f>'A6-FinPos'!A19&amp;" (PPE)"</f>
        <v>Property, plant and equipment (PPE)</v>
      </c>
      <c r="B117" s="711"/>
      <c r="C117" s="177"/>
      <c r="D117" s="177"/>
      <c r="E117" s="178"/>
      <c r="F117" s="179"/>
      <c r="G117" s="177"/>
      <c r="H117" s="178"/>
      <c r="I117" s="180"/>
      <c r="J117" s="181"/>
      <c r="K117" s="724"/>
      <c r="L117" s="178"/>
    </row>
    <row r="118" spans="1:29" ht="11.25" customHeight="1" x14ac:dyDescent="0.25">
      <c r="A118" s="136" t="s">
        <v>1455</v>
      </c>
      <c r="B118" s="711"/>
      <c r="C118" s="712">
        <f>SUMIFS(Sheet1!S71_PPPYearAmount,Sheet1!S71_SA3Code,$AC:$AC)</f>
        <v>163159091</v>
      </c>
      <c r="D118" s="712">
        <f>SUMIFS(Sheet1!S71_PPYearAmount,Sheet1!S71_SA3Code,$AC:$AC)</f>
        <v>192026309</v>
      </c>
      <c r="E118" s="717">
        <f>SUMIFS(Sheet1!S71_PYearAmount,Sheet1!S71_SA3Code,$AC:$AC)</f>
        <v>212877226</v>
      </c>
      <c r="F118" s="718">
        <f>SUMIFS(Sheet1!S71_OriginalBudAmnt,Sheet1!S71_SA3Code,$AC:$AC)</f>
        <v>211419771</v>
      </c>
      <c r="G118" s="712">
        <f>SUMIFS(Sheet1!S71_AdjustmentBudAmnt,Sheet1!S71_SA3Code,$AC:$AC)</f>
        <v>252297287</v>
      </c>
      <c r="H118" s="717">
        <f>SUMIFS(Sheet1!S71_AdjustmentBudAmnt,Sheet1!S71_SA3Code,$AC:$AC)</f>
        <v>252297287</v>
      </c>
      <c r="I118" s="719">
        <f>SUMIFS(Sheet1!CD:CD,Sheet1!S71_SA3Code,$AC:$AC)</f>
        <v>241524581</v>
      </c>
      <c r="J118" s="725">
        <f>SUMIFS(Sheet1!S71_ASBudgetAmount,Sheet1!S71_SA3Code,$AC:$AC)</f>
        <v>232774124</v>
      </c>
      <c r="K118" s="714">
        <f>SUMIFS(Sheet1!S71_OY1BudgetAmount,Sheet1!S71_SA3Code,$AC:$AC)</f>
        <v>192395764</v>
      </c>
      <c r="L118" s="717">
        <f>SUMIFS(Sheet1!S71_OY2BudgetAmount,Sheet1!S71_SA3Code,$AC:$AC)</f>
        <v>200171596</v>
      </c>
      <c r="AC118" s="2359" t="s">
        <v>2934</v>
      </c>
    </row>
    <row r="119" spans="1:29" ht="11.25" customHeight="1" x14ac:dyDescent="0.25">
      <c r="A119" s="136" t="s">
        <v>915</v>
      </c>
      <c r="B119" s="711">
        <v>3</v>
      </c>
      <c r="C119" s="712">
        <f>SUMIFS(Sheet1!S71_PPPYearAmount,Sheet1!S71_SA3Code,$AC:$AC)</f>
        <v>0</v>
      </c>
      <c r="D119" s="712">
        <f>SUMIFS(Sheet1!S71_PPYearAmount,Sheet1!S71_SA3Code,$AC:$AC)</f>
        <v>0</v>
      </c>
      <c r="E119" s="717">
        <f>SUMIFS(Sheet1!S71_PYearAmount,Sheet1!S71_SA3Code,$AC:$AC)</f>
        <v>0</v>
      </c>
      <c r="F119" s="718">
        <f>SUMIFS(Sheet1!S71_OriginalBudAmnt,Sheet1!S71_SA3Code,$AC:$AC)</f>
        <v>0</v>
      </c>
      <c r="G119" s="712">
        <f>SUMIFS(Sheet1!S71_AdjustmentBudAmnt,Sheet1!S71_SA3Code,$AC:$AC)</f>
        <v>0</v>
      </c>
      <c r="H119" s="717">
        <f>SUMIFS(Sheet1!S71_AdjustmentBudAmnt,Sheet1!S71_SA3Code,$AC:$AC)</f>
        <v>0</v>
      </c>
      <c r="I119" s="719">
        <f>SUMIFS(Sheet1!CD:CD,Sheet1!S71_SA3Code,$AC:$AC)</f>
        <v>0</v>
      </c>
      <c r="J119" s="725">
        <f>SUMIFS(Sheet1!S71_ASBudgetAmount,Sheet1!S71_SA3Code,$AC:$AC)</f>
        <v>0</v>
      </c>
      <c r="K119" s="714">
        <f>SUMIFS(Sheet1!S71_OY1BudgetAmount,Sheet1!S71_SA3Code,$AC:$AC)</f>
        <v>0</v>
      </c>
      <c r="L119" s="717">
        <f>SUMIFS(Sheet1!S71_OY2BudgetAmount,Sheet1!S71_SA3Code,$AC:$AC)</f>
        <v>0</v>
      </c>
      <c r="AC119" s="2359" t="s">
        <v>2935</v>
      </c>
    </row>
    <row r="120" spans="1:29" ht="11.25" customHeight="1" x14ac:dyDescent="0.25">
      <c r="A120" s="980" t="s">
        <v>700</v>
      </c>
      <c r="B120" s="711"/>
      <c r="C120" s="712">
        <f>-SUMIFS(Sheet1!S71_PPPYearAmount,Sheet1!S71_SA3Code,$AC:$AC)</f>
        <v>39620336</v>
      </c>
      <c r="D120" s="712">
        <f>-SUMIFS(Sheet1!S71_PPYearAmount,Sheet1!S71_SA3Code,$AC:$AC)</f>
        <v>46095255</v>
      </c>
      <c r="E120" s="717">
        <f>-SUMIFS(Sheet1!S71_PYearAmount,Sheet1!S71_SA3Code,$AC:$AC)</f>
        <v>54597824</v>
      </c>
      <c r="F120" s="718">
        <f>-SUMIFS(Sheet1!S71_OriginalBudAmnt,Sheet1!S71_SA3Code,$AC:$AC)</f>
        <v>45297483</v>
      </c>
      <c r="G120" s="712">
        <f>-SUMIFS(Sheet1!S71_AdjustmentBudAmnt,Sheet1!S71_SA3Code,$AC:$AC)</f>
        <v>57627260</v>
      </c>
      <c r="H120" s="717">
        <f>-SUMIFS(Sheet1!S71_AdjustmentBudAmnt,Sheet1!S71_SA3Code,$AC:$AC)</f>
        <v>57627260</v>
      </c>
      <c r="I120" s="719">
        <f>SUMIFS(Sheet1!CD:CD,Sheet1!S71_SA3Code,$AC:$AC)</f>
        <v>-62339579</v>
      </c>
      <c r="J120" s="725">
        <f>-SUMIFS(Sheet1!S71_ASBudgetAmount,Sheet1!S71_SA3Code,$AC:$AC)</f>
        <v>47986933</v>
      </c>
      <c r="K120" s="714">
        <f>-SUMIFS(Sheet1!S71_OY1BudgetAmount,Sheet1!S71_SA3Code,$AC:$AC)</f>
        <v>50872026</v>
      </c>
      <c r="L120" s="717">
        <f>-SUMIFS(Sheet1!S71_OY2BudgetAmount,Sheet1!S71_SA3Code,$AC:$AC)</f>
        <v>53644346</v>
      </c>
      <c r="AC120" s="2359" t="s">
        <v>2936</v>
      </c>
    </row>
    <row r="121" spans="1:29" ht="11.25" customHeight="1" x14ac:dyDescent="0.25">
      <c r="A121" s="664" t="str">
        <f>"Total "&amp;A117</f>
        <v>Total Property, plant and equipment (PPE)</v>
      </c>
      <c r="B121" s="711">
        <v>2</v>
      </c>
      <c r="C121" s="535">
        <f>SUM(C118:C119)-C120</f>
        <v>123538755</v>
      </c>
      <c r="D121" s="535">
        <f t="shared" ref="D121:L121" si="22">SUM(D118:D119)-D120</f>
        <v>145931054</v>
      </c>
      <c r="E121" s="665">
        <f t="shared" si="22"/>
        <v>158279402</v>
      </c>
      <c r="F121" s="666">
        <f t="shared" si="22"/>
        <v>166122288</v>
      </c>
      <c r="G121" s="535">
        <f t="shared" si="22"/>
        <v>194670027</v>
      </c>
      <c r="H121" s="665">
        <f t="shared" si="22"/>
        <v>194670027</v>
      </c>
      <c r="I121" s="667">
        <f t="shared" si="22"/>
        <v>303864160</v>
      </c>
      <c r="J121" s="668">
        <f t="shared" si="22"/>
        <v>184787191</v>
      </c>
      <c r="K121" s="534">
        <f t="shared" si="22"/>
        <v>141523738</v>
      </c>
      <c r="L121" s="665">
        <f t="shared" si="22"/>
        <v>146527250</v>
      </c>
    </row>
    <row r="122" spans="1:29" ht="4.9000000000000004" customHeight="1" x14ac:dyDescent="0.25">
      <c r="A122" s="931"/>
      <c r="B122" s="711"/>
      <c r="C122" s="177"/>
      <c r="D122" s="177"/>
      <c r="E122" s="178"/>
      <c r="F122" s="179"/>
      <c r="G122" s="177"/>
      <c r="H122" s="178"/>
      <c r="I122" s="180"/>
      <c r="J122" s="181"/>
      <c r="K122" s="724"/>
      <c r="L122" s="178"/>
    </row>
    <row r="123" spans="1:29" ht="15.75" customHeight="1" x14ac:dyDescent="0.25">
      <c r="A123" s="1003" t="s">
        <v>493</v>
      </c>
      <c r="B123" s="933"/>
      <c r="C123" s="934"/>
      <c r="D123" s="934"/>
      <c r="E123" s="935"/>
      <c r="F123" s="936"/>
      <c r="G123" s="934"/>
      <c r="H123" s="935"/>
      <c r="I123" s="937"/>
      <c r="J123" s="938"/>
      <c r="K123" s="1004"/>
      <c r="L123" s="935"/>
    </row>
    <row r="124" spans="1:29" ht="11.25" customHeight="1" x14ac:dyDescent="0.25">
      <c r="A124" s="913" t="str">
        <f>'A6-FinPos'!A28&amp;" - "&amp;'A6-FinPos'!A30</f>
        <v>Current liabilities - Borrowing</v>
      </c>
      <c r="B124" s="711"/>
      <c r="C124" s="177"/>
      <c r="D124" s="177"/>
      <c r="E124" s="178"/>
      <c r="F124" s="179"/>
      <c r="G124" s="177"/>
      <c r="H124" s="178"/>
      <c r="I124" s="180"/>
      <c r="J124" s="181"/>
      <c r="K124" s="724"/>
      <c r="L124" s="178"/>
    </row>
    <row r="125" spans="1:29" ht="11.25" customHeight="1" x14ac:dyDescent="0.25">
      <c r="A125" s="136" t="s">
        <v>602</v>
      </c>
      <c r="B125" s="711"/>
      <c r="C125" s="712">
        <f>SUMIFS(Sheet1!S71_PPPYearAmount,Sheet1!S71_SA3Code,$AC:$AC)</f>
        <v>0</v>
      </c>
      <c r="D125" s="712">
        <f>SUMIFS(Sheet1!S71_PPYearAmount,Sheet1!S71_SA3Code,$AC:$AC)</f>
        <v>0</v>
      </c>
      <c r="E125" s="717">
        <f>SUMIFS(Sheet1!S71_PYearAmount,Sheet1!S71_SA3Code,$AC:$AC)</f>
        <v>0</v>
      </c>
      <c r="F125" s="718">
        <f>-SUMIFS(Sheet1!S71_OriginalBudAmnt,Sheet1!S71_SA3Code,$AC:$AC)</f>
        <v>0</v>
      </c>
      <c r="G125" s="712">
        <f>-SUMIFS(Sheet1!S71_AdjustmentBudAmnt,Sheet1!S71_SA3Code,$AC:$AC)</f>
        <v>0</v>
      </c>
      <c r="H125" s="717">
        <f>-SUMIFS(Sheet1!S71_AdjustmentBudAmnt,Sheet1!S71_SA3Code,$AC:$AC)</f>
        <v>0</v>
      </c>
      <c r="I125" s="719">
        <f>-SUMIFS(Sheet1!CD:CD,Sheet1!S71_SA3Code,$AC:$AC)</f>
        <v>0</v>
      </c>
      <c r="J125" s="725">
        <f>-SUMIFS(Sheet1!S71_ASBudgetAmount,Sheet1!S71_SA3Code,$AC:$AC)</f>
        <v>0</v>
      </c>
      <c r="K125" s="714">
        <f>-SUMIFS(Sheet1!S71_OY1BudgetAmount,Sheet1!S71_SA3Code,$AC:$AC)</f>
        <v>0</v>
      </c>
      <c r="L125" s="717">
        <f>-SUMIFS(Sheet1!S71_OY2BudgetAmount,Sheet1!S71_SA3Code,$AC:$AC)</f>
        <v>0</v>
      </c>
      <c r="AC125" s="2359" t="s">
        <v>2937</v>
      </c>
    </row>
    <row r="126" spans="1:29" ht="11.25" customHeight="1" x14ac:dyDescent="0.25">
      <c r="A126" s="136" t="s">
        <v>1322</v>
      </c>
      <c r="B126" s="711"/>
      <c r="C126" s="712">
        <f>SUMIFS(Sheet1!S71_PPPYearAmount,Sheet1!S71_SA3Code,$AC:$AC)</f>
        <v>0</v>
      </c>
      <c r="D126" s="712">
        <f>SUMIFS(Sheet1!S71_PPYearAmount,Sheet1!S71_SA3Code,$AC:$AC)</f>
        <v>0</v>
      </c>
      <c r="E126" s="717">
        <f>SUMIFS(Sheet1!S71_PYearAmount,Sheet1!S71_SA3Code,$AC:$AC)</f>
        <v>0</v>
      </c>
      <c r="F126" s="718">
        <f>-SUMIFS(Sheet1!S71_OriginalBudAmnt,Sheet1!S71_SA3Code,$AC:$AC)</f>
        <v>0</v>
      </c>
      <c r="G126" s="712">
        <f>-SUMIFS(Sheet1!S71_AdjustmentBudAmnt,Sheet1!S71_SA3Code,$AC:$AC)</f>
        <v>0</v>
      </c>
      <c r="H126" s="717">
        <f>-SUMIFS(Sheet1!S71_AdjustmentBudAmnt,Sheet1!S71_SA3Code,$AC:$AC)</f>
        <v>0</v>
      </c>
      <c r="I126" s="719">
        <f>-SUMIFS(Sheet1!CD:CD,Sheet1!S71_SA3Code,$AC:$AC)</f>
        <v>0</v>
      </c>
      <c r="J126" s="725">
        <f>-SUMIFS(Sheet1!S71_ASBudgetAmount,Sheet1!S71_SA3Code,$AC:$AC)</f>
        <v>0</v>
      </c>
      <c r="K126" s="714">
        <f>-SUMIFS(Sheet1!S71_OY1BudgetAmount,Sheet1!S71_SA3Code,$AC:$AC)</f>
        <v>0</v>
      </c>
      <c r="L126" s="717">
        <f>-SUMIFS(Sheet1!S71_OY2BudgetAmount,Sheet1!S71_SA3Code,$AC:$AC)</f>
        <v>0</v>
      </c>
      <c r="AC126" s="2359" t="s">
        <v>2938</v>
      </c>
    </row>
    <row r="127" spans="1:29" ht="11.25" customHeight="1" x14ac:dyDescent="0.25">
      <c r="A127" s="664" t="str">
        <f>"Total "&amp;A124</f>
        <v>Total Current liabilities - Borrowing</v>
      </c>
      <c r="B127" s="711"/>
      <c r="C127" s="535">
        <f>SUM(C125:C126)</f>
        <v>0</v>
      </c>
      <c r="D127" s="535">
        <f t="shared" ref="D127:L127" si="23">SUM(D125:D126)</f>
        <v>0</v>
      </c>
      <c r="E127" s="665">
        <f t="shared" si="23"/>
        <v>0</v>
      </c>
      <c r="F127" s="666">
        <f t="shared" si="23"/>
        <v>0</v>
      </c>
      <c r="G127" s="535">
        <f t="shared" si="23"/>
        <v>0</v>
      </c>
      <c r="H127" s="665">
        <f t="shared" si="23"/>
        <v>0</v>
      </c>
      <c r="I127" s="667">
        <f t="shared" si="23"/>
        <v>0</v>
      </c>
      <c r="J127" s="668">
        <f t="shared" si="23"/>
        <v>0</v>
      </c>
      <c r="K127" s="534">
        <f t="shared" si="23"/>
        <v>0</v>
      </c>
      <c r="L127" s="665">
        <f t="shared" si="23"/>
        <v>0</v>
      </c>
    </row>
    <row r="128" spans="1:29" ht="4.9000000000000004" customHeight="1" x14ac:dyDescent="0.25">
      <c r="A128" s="931"/>
      <c r="B128" s="711"/>
      <c r="C128" s="177"/>
      <c r="D128" s="177"/>
      <c r="E128" s="178"/>
      <c r="F128" s="179"/>
      <c r="G128" s="177"/>
      <c r="H128" s="178"/>
      <c r="I128" s="180"/>
      <c r="J128" s="181"/>
      <c r="K128" s="724"/>
      <c r="L128" s="178"/>
    </row>
    <row r="129" spans="1:29" ht="11.25" customHeight="1" x14ac:dyDescent="0.25">
      <c r="A129" s="913" t="str">
        <f>'A6-FinPos'!A32</f>
        <v>Trade and other payables</v>
      </c>
      <c r="B129" s="711"/>
      <c r="C129" s="762"/>
      <c r="D129" s="762"/>
      <c r="E129" s="765"/>
      <c r="F129" s="764"/>
      <c r="G129" s="762"/>
      <c r="H129" s="765"/>
      <c r="I129" s="763"/>
      <c r="J129" s="766"/>
      <c r="K129" s="1005"/>
      <c r="L129" s="765"/>
    </row>
    <row r="130" spans="1:29" ht="11.25" customHeight="1" x14ac:dyDescent="0.25">
      <c r="A130" s="136" t="s">
        <v>2523</v>
      </c>
      <c r="B130" s="675">
        <v>5</v>
      </c>
      <c r="C130" s="712">
        <f>SUMIFS(Sheet1!S71_PPPYearAmount,Sheet1!S71_SA3Code,$AC:$AC)</f>
        <v>9191220</v>
      </c>
      <c r="D130" s="712">
        <f>SUMIFS(Sheet1!S71_PPYearAmount,Sheet1!S71_SA3Code,$AC:$AC)</f>
        <v>8771855</v>
      </c>
      <c r="E130" s="717">
        <f>SUMIFS(Sheet1!S71_PYearAmount,Sheet1!S71_SA3Code,$AC:$AC)</f>
        <v>7852186</v>
      </c>
      <c r="F130" s="718">
        <f>-SUMIFS(Sheet1!S71_OriginalBudAmnt,Sheet1!S71_SA3Code,$AC:$AC)</f>
        <v>5352812</v>
      </c>
      <c r="G130" s="712">
        <f>-SUMIFS(Sheet1!S71_AdjustmentBudAmnt,Sheet1!S71_SA3Code,$AC:$AC)</f>
        <v>3935435</v>
      </c>
      <c r="H130" s="717">
        <f>-SUMIFS(Sheet1!S71_AdjustmentBudAmnt,Sheet1!S71_SA3Code,$AC:$AC)</f>
        <v>3935435</v>
      </c>
      <c r="I130" s="719">
        <f>-SUMIFS(Sheet1!CD:CD,Sheet1!S71_SA3Code,$AC:$AC)</f>
        <v>-7288881</v>
      </c>
      <c r="J130" s="725">
        <f>-SUMIFS(Sheet1!S71_ASBudgetAmount,Sheet1!S71_SA3Code,$AC:$AC)</f>
        <v>3935435</v>
      </c>
      <c r="K130" s="714">
        <f>-SUMIFS(Sheet1!S71_OY1BudgetAmount,Sheet1!S71_SA3Code,$AC:$AC)</f>
        <v>4792340</v>
      </c>
      <c r="L130" s="717">
        <f>-SUMIFS(Sheet1!S71_OY2BudgetAmount,Sheet1!S71_SA3Code,$AC:$AC)</f>
        <v>-943913</v>
      </c>
      <c r="AC130" s="2359" t="s">
        <v>2939</v>
      </c>
    </row>
    <row r="131" spans="1:29" ht="11.25" customHeight="1" x14ac:dyDescent="0.25">
      <c r="A131" s="136" t="s">
        <v>2522</v>
      </c>
      <c r="B131" s="675"/>
      <c r="C131" s="712">
        <f>SUMIFS(Sheet1!S71_PPPYearAmount,Sheet1!S71_SA3Code,$AC:$AC)</f>
        <v>0</v>
      </c>
      <c r="D131" s="712">
        <f>SUMIFS(Sheet1!S71_PPYearAmount,Sheet1!S71_SA3Code,$AC:$AC)</f>
        <v>0</v>
      </c>
      <c r="E131" s="717">
        <f>SUMIFS(Sheet1!S71_PYearAmount,Sheet1!S71_SA3Code,$AC:$AC)</f>
        <v>0</v>
      </c>
      <c r="F131" s="718">
        <f>-SUMIFS(Sheet1!S71_OriginalBudAmnt,Sheet1!S71_SA3Code,$AC:$AC)</f>
        <v>0</v>
      </c>
      <c r="G131" s="712">
        <f>-SUMIFS(Sheet1!S71_AdjustmentBudAmnt,Sheet1!S71_SA3Code,$AC:$AC)</f>
        <v>0</v>
      </c>
      <c r="H131" s="717">
        <f>-SUMIFS(Sheet1!S71_AdjustmentBudAmnt,Sheet1!S71_SA3Code,$AC:$AC)</f>
        <v>0</v>
      </c>
      <c r="I131" s="719">
        <f>-SUMIFS(Sheet1!CD:CD,Sheet1!S71_SA3Code,$AC:$AC)</f>
        <v>0</v>
      </c>
      <c r="J131" s="725">
        <f>-SUMIFS(Sheet1!S71_ASBudgetAmount,Sheet1!S71_SA3Code,$AC:$AC)</f>
        <v>0</v>
      </c>
      <c r="K131" s="714">
        <f>-SUMIFS(Sheet1!S71_OY1BudgetAmount,Sheet1!S71_SA3Code,$AC:$AC)</f>
        <v>0</v>
      </c>
      <c r="L131" s="717">
        <f>-SUMIFS(Sheet1!S71_OY2BudgetAmount,Sheet1!S71_SA3Code,$AC:$AC)</f>
        <v>0</v>
      </c>
      <c r="AC131" s="2359" t="s">
        <v>2940</v>
      </c>
    </row>
    <row r="132" spans="1:29" ht="11.25" customHeight="1" x14ac:dyDescent="0.25">
      <c r="A132" s="136" t="s">
        <v>925</v>
      </c>
      <c r="B132" s="711"/>
      <c r="C132" s="712">
        <f>SUMIFS(Sheet1!S71_PPPYearAmount,Sheet1!S71_SA3Code,$AC:$AC)</f>
        <v>965671</v>
      </c>
      <c r="D132" s="712">
        <f>SUMIFS(Sheet1!S71_PPYearAmount,Sheet1!S71_SA3Code,$AC:$AC)</f>
        <v>469127</v>
      </c>
      <c r="E132" s="717">
        <f>SUMIFS(Sheet1!S71_PYearAmount,Sheet1!S71_SA3Code,$AC:$AC)</f>
        <v>444067</v>
      </c>
      <c r="F132" s="718">
        <f>-SUMIFS(Sheet1!S71_OriginalBudAmnt,Sheet1!S71_SA3Code,$AC:$AC)</f>
        <v>-5000000</v>
      </c>
      <c r="G132" s="712">
        <f>-SUMIFS(Sheet1!S71_AdjustmentBudAmnt,Sheet1!S71_SA3Code,$AC:$AC)</f>
        <v>-444068</v>
      </c>
      <c r="H132" s="717">
        <f>-SUMIFS(Sheet1!S71_AdjustmentBudAmnt,Sheet1!S71_SA3Code,$AC:$AC)</f>
        <v>-444068</v>
      </c>
      <c r="I132" s="719">
        <f>-SUMIFS(Sheet1!CD:CD,Sheet1!S71_SA3Code,$AC:$AC)</f>
        <v>-9517569</v>
      </c>
      <c r="J132" s="725">
        <f>-SUMIFS(Sheet1!S71_ASBudgetAmount,Sheet1!S71_SA3Code,$AC:$AC)</f>
        <v>444068</v>
      </c>
      <c r="K132" s="714">
        <f>-SUMIFS(Sheet1!S71_OY1BudgetAmount,Sheet1!S71_SA3Code,$AC:$AC)</f>
        <v>444068</v>
      </c>
      <c r="L132" s="717">
        <f>-SUMIFS(Sheet1!S71_OY2BudgetAmount,Sheet1!S71_SA3Code,$AC:$AC)</f>
        <v>444068</v>
      </c>
      <c r="AC132" s="2359" t="s">
        <v>2941</v>
      </c>
    </row>
    <row r="133" spans="1:29" ht="11.25" customHeight="1" x14ac:dyDescent="0.25">
      <c r="A133" s="136" t="s">
        <v>1321</v>
      </c>
      <c r="B133" s="711"/>
      <c r="C133" s="712">
        <f>SUMIFS(Sheet1!S71_PPPYearAmount,Sheet1!S71_SA3Code,$AC:$AC)</f>
        <v>2728658</v>
      </c>
      <c r="D133" s="712">
        <f>SUMIFS(Sheet1!S71_PPYearAmount,Sheet1!S71_SA3Code,$AC:$AC)</f>
        <v>3953390</v>
      </c>
      <c r="E133" s="717">
        <f>SUMIFS(Sheet1!S71_PYearAmount,Sheet1!S71_SA3Code,$AC:$AC)</f>
        <v>4843145</v>
      </c>
      <c r="F133" s="718">
        <f>-SUMIFS(Sheet1!S71_OriginalBudAmnt,Sheet1!S71_SA3Code,$AC:$AC)</f>
        <v>0</v>
      </c>
      <c r="G133" s="712">
        <f>-SUMIFS(Sheet1!S71_AdjustmentBudAmnt,Sheet1!S71_SA3Code,$AC:$AC)</f>
        <v>1029409</v>
      </c>
      <c r="H133" s="717">
        <f>-SUMIFS(Sheet1!S71_AdjustmentBudAmnt,Sheet1!S71_SA3Code,$AC:$AC)</f>
        <v>1029409</v>
      </c>
      <c r="I133" s="719">
        <f>-SUMIFS(Sheet1!CD:CD,Sheet1!S71_SA3Code,$AC:$AC)</f>
        <v>-5996600</v>
      </c>
      <c r="J133" s="725">
        <f>-SUMIFS(Sheet1!S71_ASBudgetAmount,Sheet1!S71_SA3Code,$AC:$AC)</f>
        <v>1029409</v>
      </c>
      <c r="K133" s="714">
        <f>-SUMIFS(Sheet1!S71_OY1BudgetAmount,Sheet1!S71_SA3Code,$AC:$AC)</f>
        <v>1029409</v>
      </c>
      <c r="L133" s="717">
        <f>-SUMIFS(Sheet1!S71_OY2BudgetAmount,Sheet1!S71_SA3Code,$AC:$AC)</f>
        <v>1029409</v>
      </c>
      <c r="AC133" s="2359" t="s">
        <v>2942</v>
      </c>
    </row>
    <row r="134" spans="1:29" ht="11.25" customHeight="1" x14ac:dyDescent="0.25">
      <c r="A134" s="664" t="str">
        <f>"Total "&amp;A129</f>
        <v>Total Trade and other payables</v>
      </c>
      <c r="B134" s="711">
        <v>2</v>
      </c>
      <c r="C134" s="535">
        <f t="shared" ref="C134:K134" si="24">SUM(C130:C133)</f>
        <v>12885549</v>
      </c>
      <c r="D134" s="535">
        <f t="shared" si="24"/>
        <v>13194372</v>
      </c>
      <c r="E134" s="665">
        <f t="shared" si="24"/>
        <v>13139398</v>
      </c>
      <c r="F134" s="666">
        <f t="shared" si="24"/>
        <v>352812</v>
      </c>
      <c r="G134" s="535">
        <f t="shared" si="24"/>
        <v>4520776</v>
      </c>
      <c r="H134" s="665">
        <f t="shared" si="24"/>
        <v>4520776</v>
      </c>
      <c r="I134" s="667">
        <f t="shared" si="24"/>
        <v>-22803050</v>
      </c>
      <c r="J134" s="668">
        <f t="shared" si="24"/>
        <v>5408912</v>
      </c>
      <c r="K134" s="534">
        <f t="shared" si="24"/>
        <v>6265817</v>
      </c>
      <c r="L134" s="665">
        <f>SUM(L130:L133)</f>
        <v>529564</v>
      </c>
    </row>
    <row r="135" spans="1:29" ht="4.9000000000000004" customHeight="1" x14ac:dyDescent="0.25">
      <c r="A135" s="931"/>
      <c r="B135" s="711"/>
      <c r="C135" s="177"/>
      <c r="D135" s="177"/>
      <c r="E135" s="178"/>
      <c r="F135" s="179"/>
      <c r="G135" s="177"/>
      <c r="H135" s="178"/>
      <c r="I135" s="180"/>
      <c r="J135" s="181"/>
      <c r="K135" s="724"/>
      <c r="L135" s="178"/>
    </row>
    <row r="136" spans="1:29" ht="11.25" customHeight="1" x14ac:dyDescent="0.25">
      <c r="A136" s="913" t="str">
        <f>'A6-FinPos'!A36&amp;" - "&amp;'A6-FinPos'!A37</f>
        <v>Non current liabilities - Borrowing</v>
      </c>
      <c r="B136" s="711"/>
      <c r="C136" s="177"/>
      <c r="D136" s="177"/>
      <c r="E136" s="178"/>
      <c r="F136" s="179"/>
      <c r="G136" s="177"/>
      <c r="H136" s="178"/>
      <c r="I136" s="180"/>
      <c r="J136" s="181"/>
      <c r="K136" s="724"/>
      <c r="L136" s="178"/>
    </row>
    <row r="137" spans="1:29" ht="11.25" customHeight="1" x14ac:dyDescent="0.25">
      <c r="A137" s="136" t="s">
        <v>1115</v>
      </c>
      <c r="B137" s="711">
        <v>4</v>
      </c>
      <c r="C137" s="712">
        <f>SUMIFS(Sheet1!S71_PPPYearAmount,Sheet1!S71_SA3Code,$AC:$AC)</f>
        <v>0</v>
      </c>
      <c r="D137" s="712">
        <f>SUMIFS(Sheet1!S71_PPYearAmount,Sheet1!S71_SA3Code,$AC:$AC)</f>
        <v>0</v>
      </c>
      <c r="E137" s="717">
        <f>SUMIFS(Sheet1!S71_PYearAmount,Sheet1!S71_SA3Code,$AC:$AC)</f>
        <v>0</v>
      </c>
      <c r="F137" s="718">
        <f>-SUMIFS(Sheet1!S71_OriginalBudAmnt,Sheet1!S71_SA3Code,$AC:$AC)</f>
        <v>0</v>
      </c>
      <c r="G137" s="712">
        <f>-SUMIFS(Sheet1!S71_AdjustmentBudAmnt,Sheet1!S71_SA3Code,$AC:$AC)</f>
        <v>0</v>
      </c>
      <c r="H137" s="717">
        <f>-SUMIFS(Sheet1!S71_AdjustmentBudAmnt,Sheet1!S71_SA3Code,$AC:$AC)</f>
        <v>0</v>
      </c>
      <c r="I137" s="719">
        <f>-SUMIFS(Sheet1!CD:CD,Sheet1!S71_SA3Code,$AC:$AC)</f>
        <v>0</v>
      </c>
      <c r="J137" s="725">
        <f>-SUMIFS(Sheet1!S71_ASBudgetAmount,Sheet1!S71_SA3Code,$AC:$AC)</f>
        <v>0</v>
      </c>
      <c r="K137" s="714">
        <f>-SUMIFS(Sheet1!S71_OY1BudgetAmount,Sheet1!S71_SA3Code,$AC:$AC)</f>
        <v>0</v>
      </c>
      <c r="L137" s="717">
        <f>-SUMIFS(Sheet1!S71_OY2BudgetAmount,Sheet1!S71_SA3Code,$AC:$AC)</f>
        <v>0</v>
      </c>
      <c r="AC137" s="2359" t="s">
        <v>2943</v>
      </c>
    </row>
    <row r="138" spans="1:29" ht="11.25" customHeight="1" x14ac:dyDescent="0.25">
      <c r="A138" s="136" t="s">
        <v>905</v>
      </c>
      <c r="B138" s="711"/>
      <c r="C138" s="712">
        <f>SUMIFS(Sheet1!S71_PPPYearAmount,Sheet1!S71_SA3Code,$AC:$AC)</f>
        <v>0</v>
      </c>
      <c r="D138" s="712">
        <f>SUMIFS(Sheet1!S71_PPYearAmount,Sheet1!S71_SA3Code,$AC:$AC)</f>
        <v>0</v>
      </c>
      <c r="E138" s="717">
        <f>SUMIFS(Sheet1!S71_PYearAmount,Sheet1!S71_SA3Code,$AC:$AC)</f>
        <v>0</v>
      </c>
      <c r="F138" s="718">
        <f>-SUMIFS(Sheet1!S71_OriginalBudAmnt,Sheet1!S71_SA3Code,$AC:$AC)</f>
        <v>0</v>
      </c>
      <c r="G138" s="712">
        <f>-SUMIFS(Sheet1!S71_AdjustmentBudAmnt,Sheet1!S71_SA3Code,$AC:$AC)</f>
        <v>0</v>
      </c>
      <c r="H138" s="717">
        <f>-SUMIFS(Sheet1!S71_AdjustmentBudAmnt,Sheet1!S71_SA3Code,$AC:$AC)</f>
        <v>0</v>
      </c>
      <c r="I138" s="719">
        <f>-SUMIFS(Sheet1!CD:CD,Sheet1!S71_SA3Code,$AC:$AC)</f>
        <v>0</v>
      </c>
      <c r="J138" s="725">
        <f>-SUMIFS(Sheet1!S71_ASBudgetAmount,Sheet1!S71_SA3Code,$AC:$AC)</f>
        <v>0</v>
      </c>
      <c r="K138" s="714">
        <f>-SUMIFS(Sheet1!S71_OY1BudgetAmount,Sheet1!S71_SA3Code,$AC:$AC)</f>
        <v>0</v>
      </c>
      <c r="L138" s="717">
        <f>-SUMIFS(Sheet1!S71_OY2BudgetAmount,Sheet1!S71_SA3Code,$AC:$AC)</f>
        <v>0</v>
      </c>
      <c r="AC138" s="2359" t="s">
        <v>2944</v>
      </c>
    </row>
    <row r="139" spans="1:29" ht="11.25" customHeight="1" x14ac:dyDescent="0.25">
      <c r="A139" s="664" t="str">
        <f>"Total "&amp;A136</f>
        <v>Total Non current liabilities - Borrowing</v>
      </c>
      <c r="B139" s="711"/>
      <c r="C139" s="535">
        <f>SUM(C137:C138)</f>
        <v>0</v>
      </c>
      <c r="D139" s="535">
        <f t="shared" ref="D139:L139" si="25">SUM(D137:D138)</f>
        <v>0</v>
      </c>
      <c r="E139" s="665">
        <f t="shared" si="25"/>
        <v>0</v>
      </c>
      <c r="F139" s="666">
        <f t="shared" si="25"/>
        <v>0</v>
      </c>
      <c r="G139" s="535">
        <f t="shared" si="25"/>
        <v>0</v>
      </c>
      <c r="H139" s="665">
        <f t="shared" si="25"/>
        <v>0</v>
      </c>
      <c r="I139" s="667">
        <f t="shared" si="25"/>
        <v>0</v>
      </c>
      <c r="J139" s="668">
        <f t="shared" si="25"/>
        <v>0</v>
      </c>
      <c r="K139" s="534">
        <f t="shared" si="25"/>
        <v>0</v>
      </c>
      <c r="L139" s="665">
        <f t="shared" si="25"/>
        <v>0</v>
      </c>
    </row>
    <row r="140" spans="1:29" ht="4.9000000000000004" customHeight="1" x14ac:dyDescent="0.25">
      <c r="A140" s="931"/>
      <c r="B140" s="711"/>
      <c r="C140" s="177"/>
      <c r="D140" s="177"/>
      <c r="E140" s="178"/>
      <c r="F140" s="179"/>
      <c r="G140" s="177"/>
      <c r="H140" s="178"/>
      <c r="I140" s="180"/>
      <c r="J140" s="181"/>
      <c r="K140" s="724"/>
      <c r="L140" s="178"/>
    </row>
    <row r="141" spans="1:29" ht="11.25" customHeight="1" x14ac:dyDescent="0.25">
      <c r="A141" s="913" t="str">
        <f>'A6-FinPos'!A38&amp;" - non-current"</f>
        <v>Provisions - non-current</v>
      </c>
      <c r="B141" s="711"/>
      <c r="C141" s="177"/>
      <c r="D141" s="177"/>
      <c r="E141" s="178"/>
      <c r="F141" s="179"/>
      <c r="G141" s="177"/>
      <c r="H141" s="178"/>
      <c r="I141" s="180"/>
      <c r="J141" s="181"/>
      <c r="K141" s="724"/>
      <c r="L141" s="178"/>
    </row>
    <row r="142" spans="1:29" ht="11.25" customHeight="1" x14ac:dyDescent="0.25">
      <c r="A142" s="136" t="s">
        <v>1172</v>
      </c>
      <c r="B142" s="711"/>
      <c r="C142" s="712">
        <f>SUMIFS(Sheet1!S71_PPPYearAmount,Sheet1!S71_SA3Code,$AC:$AC)</f>
        <v>2157960</v>
      </c>
      <c r="D142" s="712">
        <f>SUMIFS(Sheet1!S71_PPYearAmount,Sheet1!S71_SA3Code,$AC:$AC)</f>
        <v>2590571</v>
      </c>
      <c r="E142" s="717">
        <f>SUMIFS(Sheet1!S71_PYearAmount,Sheet1!S71_SA3Code,$AC:$AC)</f>
        <v>2374000</v>
      </c>
      <c r="F142" s="718">
        <f>-SUMIFS(Sheet1!S71_OriginalBudAmnt,Sheet1!S71_SA3Code,$AC:$AC)</f>
        <v>5110195</v>
      </c>
      <c r="G142" s="712">
        <f>-SUMIFS(Sheet1!S71_AdjustmentBudAmnt,Sheet1!S71_SA3Code,$AC:$AC)</f>
        <v>4158000</v>
      </c>
      <c r="H142" s="717">
        <f>-SUMIFS(Sheet1!S71_AdjustmentBudAmnt,Sheet1!S71_SA3Code,$AC:$AC)</f>
        <v>4158000</v>
      </c>
      <c r="I142" s="719">
        <f>-SUMIFS(Sheet1!CD:CD,Sheet1!S71_SA3Code,$AC:$AC)</f>
        <v>-2374000</v>
      </c>
      <c r="J142" s="725">
        <f>-SUMIFS(Sheet1!S71_ASBudgetAmount,Sheet1!S71_SA3Code,$AC:$AC)</f>
        <v>0</v>
      </c>
      <c r="K142" s="714">
        <f>-SUMIFS(Sheet1!S71_OY1BudgetAmount,Sheet1!S71_SA3Code,$AC:$AC)</f>
        <v>0</v>
      </c>
      <c r="L142" s="717">
        <f>-SUMIFS(Sheet1!S71_OY2BudgetAmount,Sheet1!S71_SA3Code,$AC:$AC)</f>
        <v>0</v>
      </c>
      <c r="AC142" s="2359" t="s">
        <v>2945</v>
      </c>
    </row>
    <row r="143" spans="1:29" ht="11.25" hidden="1" customHeight="1" x14ac:dyDescent="0.25">
      <c r="A143" s="663"/>
      <c r="B143" s="711"/>
      <c r="C143" s="712">
        <f>SUMIFS(Sheet1!S71_PPPYearAmount,Sheet1!S71_SA3Code,$AC:$AC)</f>
        <v>0</v>
      </c>
      <c r="D143" s="712">
        <f>SUMIFS(Sheet1!S71_PPYearAmount,Sheet1!S71_SA3Code,$AC:$AC)</f>
        <v>0</v>
      </c>
      <c r="E143" s="717">
        <f>SUMIFS(Sheet1!S71_PYearAmount,Sheet1!S71_SA3Code,$AC:$AC)</f>
        <v>0</v>
      </c>
      <c r="F143" s="718">
        <f>-SUMIFS(Sheet1!S71_OriginalBudAmnt,Sheet1!S71_SA3Code,$AC:$AC)</f>
        <v>0</v>
      </c>
      <c r="G143" s="712">
        <f>-SUMIFS(Sheet1!S71_AdjustmentBudAmnt,Sheet1!S71_SA3Code,$AC:$AC)</f>
        <v>0</v>
      </c>
      <c r="H143" s="717">
        <f>-SUMIFS(Sheet1!S71_AdjustmentBudAmnt,Sheet1!S71_SA3Code,$AC:$AC)</f>
        <v>0</v>
      </c>
      <c r="I143" s="719">
        <f>-SUMIFS(Sheet1!CD:CD,Sheet1!S71_SA3Code,$AC:$AC)</f>
        <v>0</v>
      </c>
      <c r="J143" s="725">
        <f>-SUMIFS(Sheet1!S71_ASBudgetAmount,Sheet1!S71_SA3Code,$AC:$AC)</f>
        <v>0</v>
      </c>
      <c r="K143" s="714">
        <f>-SUMIFS(Sheet1!S71_OY1BudgetAmount,Sheet1!S71_SA3Code,$AC:$AC)</f>
        <v>0</v>
      </c>
      <c r="L143" s="717">
        <f>-SUMIFS(Sheet1!S71_OY2BudgetAmount,Sheet1!S71_SA3Code,$AC:$AC)</f>
        <v>0</v>
      </c>
    </row>
    <row r="144" spans="1:29" ht="11.25" customHeight="1" x14ac:dyDescent="0.25">
      <c r="A144" s="669" t="s">
        <v>233</v>
      </c>
      <c r="B144" s="711"/>
      <c r="C144" s="712">
        <f>SUMIFS(Sheet1!S71_PPPYearAmount,Sheet1!S71_SA3Code,$AC:$AC)</f>
        <v>0</v>
      </c>
      <c r="D144" s="712">
        <f>SUMIFS(Sheet1!S71_PPYearAmount,Sheet1!S71_SA3Code,$AC:$AC)</f>
        <v>0</v>
      </c>
      <c r="E144" s="717">
        <f>SUMIFS(Sheet1!S71_PYearAmount,Sheet1!S71_SA3Code,$AC:$AC)</f>
        <v>0</v>
      </c>
      <c r="F144" s="718">
        <f>-SUMIFS(Sheet1!S71_OriginalBudAmnt,Sheet1!S71_SA3Code,$AC:$AC)</f>
        <v>0</v>
      </c>
      <c r="G144" s="712">
        <f>-SUMIFS(Sheet1!S71_AdjustmentBudAmnt,Sheet1!S71_SA3Code,$AC:$AC)</f>
        <v>0</v>
      </c>
      <c r="H144" s="717">
        <f>-SUMIFS(Sheet1!S71_AdjustmentBudAmnt,Sheet1!S71_SA3Code,$AC:$AC)</f>
        <v>0</v>
      </c>
      <c r="I144" s="719">
        <f>-SUMIFS(Sheet1!CD:CD,Sheet1!S71_SA3Code,$AC:$AC)</f>
        <v>0</v>
      </c>
      <c r="J144" s="725">
        <f>-SUMIFS(Sheet1!S71_ASBudgetAmount,Sheet1!S71_SA3Code,$AC:$AC)</f>
        <v>0</v>
      </c>
      <c r="K144" s="714">
        <f>-SUMIFS(Sheet1!S71_OY1BudgetAmount,Sheet1!S71_SA3Code,$AC:$AC)</f>
        <v>0</v>
      </c>
      <c r="L144" s="717">
        <f>-SUMIFS(Sheet1!S71_OY2BudgetAmount,Sheet1!S71_SA3Code,$AC:$AC)</f>
        <v>0</v>
      </c>
      <c r="AC144" s="2359" t="s">
        <v>2946</v>
      </c>
    </row>
    <row r="145" spans="1:29" ht="11.25" customHeight="1" x14ac:dyDescent="0.25">
      <c r="A145" s="669" t="s">
        <v>245</v>
      </c>
      <c r="B145" s="711"/>
      <c r="C145" s="712">
        <f>SUMIFS(Sheet1!S71_PPPYearAmount,Sheet1!S71_SA3Code,$AC:$AC)</f>
        <v>0</v>
      </c>
      <c r="D145" s="712">
        <f>SUMIFS(Sheet1!S71_PPYearAmount,Sheet1!S71_SA3Code,$AC:$AC)</f>
        <v>0</v>
      </c>
      <c r="E145" s="717">
        <f>SUMIFS(Sheet1!S71_PYearAmount,Sheet1!S71_SA3Code,$AC:$AC)</f>
        <v>0</v>
      </c>
      <c r="F145" s="718">
        <f>-SUMIFS(Sheet1!S71_OriginalBudAmnt,Sheet1!S71_SA3Code,$AC:$AC)</f>
        <v>0</v>
      </c>
      <c r="G145" s="712">
        <f>-SUMIFS(Sheet1!S71_AdjustmentBudAmnt,Sheet1!S71_SA3Code,$AC:$AC)</f>
        <v>2576332</v>
      </c>
      <c r="H145" s="717">
        <f>-SUMIFS(Sheet1!S71_AdjustmentBudAmnt,Sheet1!S71_SA3Code,$AC:$AC)</f>
        <v>2576332</v>
      </c>
      <c r="I145" s="719">
        <f>-SUMIFS(Sheet1!CD:CD,Sheet1!S71_SA3Code,$AC:$AC)</f>
        <v>0</v>
      </c>
      <c r="J145" s="725">
        <f>-SUMIFS(Sheet1!S71_ASBudgetAmount,Sheet1!S71_SA3Code,$AC:$AC)</f>
        <v>4158000</v>
      </c>
      <c r="K145" s="714">
        <f>-SUMIFS(Sheet1!S71_OY1BudgetAmount,Sheet1!S71_SA3Code,$AC:$AC)</f>
        <v>4158000</v>
      </c>
      <c r="L145" s="717">
        <f>-SUMIFS(Sheet1!S71_OY2BudgetAmount,Sheet1!S71_SA3Code,$AC:$AC)</f>
        <v>4158000</v>
      </c>
      <c r="AC145" s="2359" t="s">
        <v>2947</v>
      </c>
    </row>
    <row r="146" spans="1:29" ht="11.25" customHeight="1" x14ac:dyDescent="0.25">
      <c r="A146" s="664" t="str">
        <f>"Total "&amp;A141</f>
        <v>Total Provisions - non-current</v>
      </c>
      <c r="B146" s="711"/>
      <c r="C146" s="535">
        <f t="shared" ref="C146:H146" si="26">+C142+C144+C145</f>
        <v>2157960</v>
      </c>
      <c r="D146" s="535">
        <f t="shared" si="26"/>
        <v>2590571</v>
      </c>
      <c r="E146" s="665">
        <f t="shared" si="26"/>
        <v>2374000</v>
      </c>
      <c r="F146" s="666">
        <f t="shared" si="26"/>
        <v>5110195</v>
      </c>
      <c r="G146" s="535">
        <f t="shared" si="26"/>
        <v>6734332</v>
      </c>
      <c r="H146" s="665">
        <f t="shared" si="26"/>
        <v>6734332</v>
      </c>
      <c r="I146" s="667">
        <f>+I142+I144+I145</f>
        <v>-2374000</v>
      </c>
      <c r="J146" s="668">
        <f t="shared" ref="J146:L146" si="27">+J142+J144+J145</f>
        <v>4158000</v>
      </c>
      <c r="K146" s="535">
        <f t="shared" si="27"/>
        <v>4158000</v>
      </c>
      <c r="L146" s="665">
        <f t="shared" si="27"/>
        <v>4158000</v>
      </c>
    </row>
    <row r="147" spans="1:29" ht="4.9000000000000004" customHeight="1" x14ac:dyDescent="0.25">
      <c r="A147" s="931"/>
      <c r="B147" s="711"/>
      <c r="C147" s="177"/>
      <c r="D147" s="177"/>
      <c r="E147" s="178"/>
      <c r="F147" s="179"/>
      <c r="G147" s="177"/>
      <c r="H147" s="178"/>
      <c r="I147" s="180"/>
      <c r="J147" s="181"/>
      <c r="K147" s="177"/>
      <c r="L147" s="178"/>
    </row>
    <row r="148" spans="1:29" ht="15.75" customHeight="1" x14ac:dyDescent="0.25">
      <c r="A148" s="1003" t="s">
        <v>924</v>
      </c>
      <c r="B148" s="933"/>
      <c r="C148" s="934"/>
      <c r="D148" s="934"/>
      <c r="E148" s="935"/>
      <c r="F148" s="936"/>
      <c r="G148" s="934"/>
      <c r="H148" s="935"/>
      <c r="I148" s="937"/>
      <c r="J148" s="938"/>
      <c r="K148" s="934"/>
      <c r="L148" s="935"/>
    </row>
    <row r="149" spans="1:29" ht="11.25" customHeight="1" x14ac:dyDescent="0.25">
      <c r="A149" s="913" t="str">
        <f>'A6-FinPos'!A45</f>
        <v>Accumulated Surplus/(Deficit)</v>
      </c>
      <c r="B149" s="711"/>
      <c r="C149" s="177"/>
      <c r="D149" s="177"/>
      <c r="E149" s="178"/>
      <c r="F149" s="179"/>
      <c r="G149" s="177"/>
      <c r="H149" s="178"/>
      <c r="I149" s="180"/>
      <c r="J149" s="181"/>
      <c r="K149" s="177"/>
      <c r="L149" s="178"/>
    </row>
    <row r="150" spans="1:29" ht="11.25" customHeight="1" x14ac:dyDescent="0.25">
      <c r="A150" s="136" t="str">
        <f>A149&amp;" - opening balance"</f>
        <v>Accumulated Surplus/(Deficit) - opening balance</v>
      </c>
      <c r="B150" s="711"/>
      <c r="C150" s="712">
        <f>SUMIFS(Sheet1!S71_PPPYearAmount,Sheet1!S71_SA3Code,$AC:$AC)</f>
        <v>0</v>
      </c>
      <c r="D150" s="712">
        <f>SUMIFS(Sheet1!S71_PPYearAmount,Sheet1!S71_SA3Code,$AC:$AC)</f>
        <v>0</v>
      </c>
      <c r="E150" s="717">
        <f>SUMIFS(Sheet1!S71_PYearAmount,Sheet1!S71_SA3Code,$AC:$AC)</f>
        <v>0</v>
      </c>
      <c r="F150" s="718">
        <f>-SUMIFS(Sheet1!S71_OriginalBudAmnt,Sheet1!S71_SA3Code,$AC:$AC)</f>
        <v>0</v>
      </c>
      <c r="G150" s="712">
        <f>-SUMIFS(Sheet1!S71_AdjustmentBudAmnt,Sheet1!S71_SA3Code,$AC:$AC)</f>
        <v>234494155</v>
      </c>
      <c r="H150" s="717">
        <f>-SUMIFS(Sheet1!S71_AdjustmentBudAmnt,Sheet1!S71_SA3Code,$AC:$AC)</f>
        <v>234494155</v>
      </c>
      <c r="I150" s="719">
        <f>-SUMIFS(Sheet1!CD:CD,Sheet1!S71_SA3Code,$AC:$AC)</f>
        <v>0</v>
      </c>
      <c r="J150" s="725">
        <f>-SUMIFS(Sheet1!S71_ASBudgetAmount,Sheet1!S71_SA3Code,$AC:$AC)</f>
        <v>248493956</v>
      </c>
      <c r="K150" s="714">
        <f>-SUMIFS(Sheet1!S71_OY1BudgetAmount,Sheet1!S71_SA3Code,$AC:$AC)</f>
        <v>169399875</v>
      </c>
      <c r="L150" s="717">
        <f>-SUMIFS(Sheet1!S71_OY2BudgetAmount,Sheet1!S71_SA3Code,$AC:$AC)</f>
        <v>163753247</v>
      </c>
      <c r="AC150" s="2359" t="s">
        <v>2948</v>
      </c>
    </row>
    <row r="151" spans="1:29" ht="11.25" customHeight="1" x14ac:dyDescent="0.25">
      <c r="A151" s="136" t="s">
        <v>1471</v>
      </c>
      <c r="B151" s="711"/>
      <c r="C151" s="712">
        <f>SUMIFS(Sheet1!S71_PPPYearAmount,Sheet1!S71_SA3Code,$AC:$AC)</f>
        <v>0</v>
      </c>
      <c r="D151" s="712">
        <f>SUMIFS(Sheet1!S71_PPYearAmount,Sheet1!S71_SA3Code,$AC:$AC)</f>
        <v>0</v>
      </c>
      <c r="E151" s="717">
        <f>SUMIFS(Sheet1!S71_PYearAmount,Sheet1!S71_SA3Code,$AC:$AC)</f>
        <v>0</v>
      </c>
      <c r="F151" s="718">
        <f>-SUMIFS(Sheet1!S71_OriginalBudAmnt,Sheet1!S71_SA3Code,$AC:$AC)</f>
        <v>0</v>
      </c>
      <c r="G151" s="712">
        <f>-SUMIFS(Sheet1!S71_AdjustmentBudAmnt,Sheet1!S71_SA3Code,$AC:$AC)</f>
        <v>0</v>
      </c>
      <c r="H151" s="717">
        <f>-SUMIFS(Sheet1!S71_AdjustmentBudAmnt,Sheet1!S71_SA3Code,$AC:$AC)</f>
        <v>0</v>
      </c>
      <c r="I151" s="719">
        <f>-SUMIFS(Sheet1!CD:CD,Sheet1!S71_SA3Code,$AC:$AC)</f>
        <v>0</v>
      </c>
      <c r="J151" s="725">
        <f>-SUMIFS(Sheet1!S71_ASBudgetAmount,Sheet1!S71_SA3Code,$AC:$AC)</f>
        <v>0</v>
      </c>
      <c r="K151" s="714">
        <f>-SUMIFS(Sheet1!S71_OY1BudgetAmount,Sheet1!S71_SA3Code,$AC:$AC)</f>
        <v>0</v>
      </c>
      <c r="L151" s="717">
        <f>-SUMIFS(Sheet1!S71_OY2BudgetAmount,Sheet1!S71_SA3Code,$AC:$AC)</f>
        <v>0</v>
      </c>
      <c r="AC151" s="2359" t="s">
        <v>2949</v>
      </c>
    </row>
    <row r="152" spans="1:29" ht="11.25" customHeight="1" x14ac:dyDescent="0.25">
      <c r="A152" s="136" t="s">
        <v>1473</v>
      </c>
      <c r="B152" s="711"/>
      <c r="C152" s="177">
        <f>SUM(C150:C151)</f>
        <v>0</v>
      </c>
      <c r="D152" s="177">
        <f>SUM(D150:D151)</f>
        <v>0</v>
      </c>
      <c r="E152" s="178">
        <f>SUM(E150:E151)</f>
        <v>0</v>
      </c>
      <c r="F152" s="179">
        <f t="shared" ref="F152:L152" si="28">SUM(F150:F151)</f>
        <v>0</v>
      </c>
      <c r="G152" s="177">
        <f t="shared" si="28"/>
        <v>234494155</v>
      </c>
      <c r="H152" s="178">
        <f t="shared" si="28"/>
        <v>234494155</v>
      </c>
      <c r="I152" s="180">
        <f t="shared" si="28"/>
        <v>0</v>
      </c>
      <c r="J152" s="181">
        <f t="shared" si="28"/>
        <v>248493956</v>
      </c>
      <c r="K152" s="177">
        <f t="shared" si="28"/>
        <v>169399875</v>
      </c>
      <c r="L152" s="178">
        <f t="shared" si="28"/>
        <v>163753247</v>
      </c>
    </row>
    <row r="153" spans="1:29" ht="11.25" customHeight="1" x14ac:dyDescent="0.25">
      <c r="A153" s="136" t="str">
        <f>'A4-FinPerf RE'!A37</f>
        <v>Surplus/(Deficit)</v>
      </c>
      <c r="B153" s="711"/>
      <c r="C153" s="71">
        <f>'A4-FinPerf RE'!C45</f>
        <v>25115298</v>
      </c>
      <c r="D153" s="71">
        <f>'A4-FinPerf RE'!D45</f>
        <v>32495365</v>
      </c>
      <c r="E153" s="72">
        <f>'A4-FinPerf RE'!E45</f>
        <v>24601644</v>
      </c>
      <c r="F153" s="73">
        <f>'A4-FinPerf RE'!F45</f>
        <v>2685553</v>
      </c>
      <c r="G153" s="177">
        <f>'A4-FinPerf RE'!G45</f>
        <v>3163076</v>
      </c>
      <c r="H153" s="178">
        <f>'A4-FinPerf RE'!H45</f>
        <v>3163076</v>
      </c>
      <c r="I153" s="180">
        <f>'A4-FinPerf RE'!I45</f>
        <v>-18824229</v>
      </c>
      <c r="J153" s="75">
        <f>'A4-FinPerf RE'!J45</f>
        <v>-7459342</v>
      </c>
      <c r="K153" s="71">
        <f>'A4-FinPerf RE'!K45</f>
        <v>6915590</v>
      </c>
      <c r="L153" s="178">
        <f>'A4-FinPerf RE'!L45</f>
        <v>-869185</v>
      </c>
      <c r="AC153" s="2359" t="s">
        <v>2950</v>
      </c>
    </row>
    <row r="154" spans="1:29" ht="11.25" hidden="1" customHeight="1" x14ac:dyDescent="0.25">
      <c r="A154" s="136"/>
      <c r="B154" s="711"/>
      <c r="C154" s="71"/>
      <c r="D154" s="71"/>
      <c r="E154" s="72"/>
      <c r="F154" s="73"/>
      <c r="G154" s="71"/>
      <c r="H154" s="72"/>
      <c r="I154" s="74"/>
      <c r="J154" s="75"/>
      <c r="K154" s="71"/>
      <c r="L154" s="72"/>
      <c r="AC154" s="2359" t="s">
        <v>2911</v>
      </c>
    </row>
    <row r="155" spans="1:29" ht="11.25" customHeight="1" x14ac:dyDescent="0.25">
      <c r="A155" s="1006" t="s">
        <v>2534</v>
      </c>
      <c r="B155" s="711"/>
      <c r="C155" s="712">
        <f>SUMIFS(Sheet1!S71_PPPYearAmount,Sheet1!S71_SA3Code,$AC:$AC)</f>
        <v>0</v>
      </c>
      <c r="D155" s="712">
        <f>SUMIFS(Sheet1!S71_PPYearAmount,Sheet1!S71_SA3Code,$AC:$AC)</f>
        <v>0</v>
      </c>
      <c r="E155" s="717">
        <f>SUMIFS(Sheet1!S71_PYearAmount,Sheet1!S71_SA3Code,$AC:$AC)</f>
        <v>0</v>
      </c>
      <c r="F155" s="718">
        <f>-SUMIFS(Sheet1!S71_OriginalBudAmnt,Sheet1!S71_SA3Code,$AC:$AC)</f>
        <v>0</v>
      </c>
      <c r="G155" s="712">
        <f>-SUMIFS(Sheet1!S71_AdjustmentBudAmnt,Sheet1!S71_SA3Code,$AC:$AC)</f>
        <v>0</v>
      </c>
      <c r="H155" s="717">
        <f>-SUMIFS(Sheet1!S71_AdjustmentBudAmnt,Sheet1!S71_SA3Code,$AC:$AC)</f>
        <v>0</v>
      </c>
      <c r="I155" s="719">
        <f>-SUMIFS(Sheet1!CD:CD,Sheet1!S71_SA3Code,$AC:$AC)</f>
        <v>0</v>
      </c>
      <c r="J155" s="725">
        <f>-SUMIFS(Sheet1!S71_ASBudgetAmount,Sheet1!S71_SA3Code,$AC:$AC)</f>
        <v>0</v>
      </c>
      <c r="K155" s="714">
        <f>-SUMIFS(Sheet1!S71_OY1BudgetAmount,Sheet1!S71_SA3Code,$AC:$AC)</f>
        <v>0</v>
      </c>
      <c r="L155" s="717">
        <f>-SUMIFS(Sheet1!S71_OY2BudgetAmount,Sheet1!S71_SA3Code,$AC:$AC)</f>
        <v>0</v>
      </c>
      <c r="AC155" s="2359" t="s">
        <v>2951</v>
      </c>
    </row>
    <row r="156" spans="1:29" ht="11.25" customHeight="1" x14ac:dyDescent="0.25">
      <c r="A156" s="136" t="s">
        <v>1165</v>
      </c>
      <c r="B156" s="711"/>
      <c r="C156" s="712">
        <f>SUMIFS(Sheet1!S71_PPPYearAmount,Sheet1!S71_SA3Code,$AC:$AC)</f>
        <v>0</v>
      </c>
      <c r="D156" s="712">
        <f>SUMIFS(Sheet1!S71_PPYearAmount,Sheet1!S71_SA3Code,$AC:$AC)</f>
        <v>0</v>
      </c>
      <c r="E156" s="717">
        <f>SUMIFS(Sheet1!S71_PYearAmount,Sheet1!S71_SA3Code,$AC:$AC)</f>
        <v>0</v>
      </c>
      <c r="F156" s="718">
        <f>-SUMIFS(Sheet1!S71_OriginalBudAmnt,Sheet1!S71_SA3Code,$AC:$AC)</f>
        <v>0</v>
      </c>
      <c r="G156" s="712">
        <f>-SUMIFS(Sheet1!S71_AdjustmentBudAmnt,Sheet1!S71_SA3Code,$AC:$AC)</f>
        <v>0</v>
      </c>
      <c r="H156" s="717">
        <f>-SUMIFS(Sheet1!S71_AdjustmentBudAmnt,Sheet1!S71_SA3Code,$AC:$AC)</f>
        <v>0</v>
      </c>
      <c r="I156" s="719">
        <f>-SUMIFS(Sheet1!CD:CD,Sheet1!S71_SA3Code,$AC:$AC)</f>
        <v>0</v>
      </c>
      <c r="J156" s="725">
        <f>-SUMIFS(Sheet1!S71_ASBudgetAmount,Sheet1!S71_SA3Code,$AC:$AC)</f>
        <v>0</v>
      </c>
      <c r="K156" s="714">
        <f>-SUMIFS(Sheet1!S71_OY1BudgetAmount,Sheet1!S71_SA3Code,$AC:$AC)</f>
        <v>0</v>
      </c>
      <c r="L156" s="717">
        <f>-SUMIFS(Sheet1!S71_OY2BudgetAmount,Sheet1!S71_SA3Code,$AC:$AC)</f>
        <v>0</v>
      </c>
      <c r="AC156" s="2359" t="s">
        <v>2952</v>
      </c>
    </row>
    <row r="157" spans="1:29" ht="11.25" customHeight="1" x14ac:dyDescent="0.25">
      <c r="A157" s="136" t="s">
        <v>1472</v>
      </c>
      <c r="B157" s="711"/>
      <c r="C157" s="712">
        <f>SUMIFS(Sheet1!S71_PPPYearAmount,Sheet1!S71_SA3Code,$AC:$AC)</f>
        <v>0</v>
      </c>
      <c r="D157" s="712">
        <f>SUMIFS(Sheet1!S71_PPYearAmount,Sheet1!S71_SA3Code,$AC:$AC)</f>
        <v>0</v>
      </c>
      <c r="E157" s="717">
        <f>SUMIFS(Sheet1!S71_PYearAmount,Sheet1!S71_SA3Code,$AC:$AC)</f>
        <v>0</v>
      </c>
      <c r="F157" s="718">
        <f>-SUMIFS(Sheet1!S71_OriginalBudAmnt,Sheet1!S71_SA3Code,$AC:$AC)</f>
        <v>0</v>
      </c>
      <c r="G157" s="712">
        <f>-SUMIFS(Sheet1!S71_AdjustmentBudAmnt,Sheet1!S71_SA3Code,$AC:$AC)</f>
        <v>0</v>
      </c>
      <c r="H157" s="717">
        <f>-SUMIFS(Sheet1!S71_AdjustmentBudAmnt,Sheet1!S71_SA3Code,$AC:$AC)</f>
        <v>0</v>
      </c>
      <c r="I157" s="719">
        <f>-SUMIFS(Sheet1!CD:CD,Sheet1!S71_SA3Code,$AC:$AC)</f>
        <v>0</v>
      </c>
      <c r="J157" s="725">
        <f>-SUMIFS(Sheet1!S71_ASBudgetAmount,Sheet1!S71_SA3Code,$AC:$AC)</f>
        <v>0</v>
      </c>
      <c r="K157" s="714">
        <f>-SUMIFS(Sheet1!S71_OY1BudgetAmount,Sheet1!S71_SA3Code,$AC:$AC)</f>
        <v>0</v>
      </c>
      <c r="L157" s="717">
        <f>-SUMIFS(Sheet1!S71_OY2BudgetAmount,Sheet1!S71_SA3Code,$AC:$AC)</f>
        <v>0</v>
      </c>
      <c r="AC157" s="2359" t="s">
        <v>2953</v>
      </c>
    </row>
    <row r="158" spans="1:29" ht="11.25" customHeight="1" x14ac:dyDescent="0.25">
      <c r="A158" s="1007" t="s">
        <v>363</v>
      </c>
      <c r="B158" s="711">
        <v>1</v>
      </c>
      <c r="C158" s="535">
        <f>SUM(C152:C157)</f>
        <v>25115298</v>
      </c>
      <c r="D158" s="535">
        <f>SUM(D152:D157)</f>
        <v>32495365</v>
      </c>
      <c r="E158" s="665">
        <f t="shared" ref="E158:L158" si="29">SUM(E152:E157)</f>
        <v>24601644</v>
      </c>
      <c r="F158" s="666">
        <f t="shared" si="29"/>
        <v>2685553</v>
      </c>
      <c r="G158" s="535">
        <f t="shared" si="29"/>
        <v>237657231</v>
      </c>
      <c r="H158" s="665">
        <f t="shared" si="29"/>
        <v>237657231</v>
      </c>
      <c r="I158" s="667">
        <f t="shared" si="29"/>
        <v>-18824229</v>
      </c>
      <c r="J158" s="668">
        <f t="shared" si="29"/>
        <v>241034614</v>
      </c>
      <c r="K158" s="535">
        <f t="shared" si="29"/>
        <v>176315465</v>
      </c>
      <c r="L158" s="665">
        <f t="shared" si="29"/>
        <v>162884062</v>
      </c>
    </row>
    <row r="159" spans="1:29" ht="11.25" customHeight="1" x14ac:dyDescent="0.25">
      <c r="A159" s="913" t="s">
        <v>638</v>
      </c>
      <c r="B159" s="734"/>
      <c r="C159" s="177"/>
      <c r="D159" s="177"/>
      <c r="E159" s="178"/>
      <c r="F159" s="179"/>
      <c r="G159" s="177"/>
      <c r="H159" s="178"/>
      <c r="I159" s="180"/>
      <c r="J159" s="181"/>
      <c r="K159" s="177"/>
      <c r="L159" s="178"/>
    </row>
    <row r="160" spans="1:29" ht="11.25" customHeight="1" x14ac:dyDescent="0.25">
      <c r="A160" s="136" t="s">
        <v>85</v>
      </c>
      <c r="B160" s="711"/>
      <c r="C160" s="712">
        <f>SUMIFS(Sheet1!S71_PPPYearAmount,Sheet1!S71_SA3Code,$AC:$AC)</f>
        <v>0</v>
      </c>
      <c r="D160" s="712">
        <f>SUMIFS(Sheet1!S71_PPYearAmount,Sheet1!S71_SA3Code,$AC:$AC)</f>
        <v>0</v>
      </c>
      <c r="E160" s="717">
        <f>SUMIFS(Sheet1!S71_PYearAmount,Sheet1!S71_SA3Code,$AC:$AC)</f>
        <v>0</v>
      </c>
      <c r="F160" s="718">
        <f>-SUMIFS(Sheet1!S71_OriginalBudAmnt,Sheet1!S71_SA3Code,$AC:$AC)</f>
        <v>0</v>
      </c>
      <c r="G160" s="712">
        <f>-SUMIFS(Sheet1!S71_AdjustmentBudAmnt,Sheet1!S71_SA3Code,$AC:$AC)</f>
        <v>0</v>
      </c>
      <c r="H160" s="717">
        <f>-SUMIFS(Sheet1!S71_AdjustmentBudAmnt,Sheet1!S71_SA3Code,$AC:$AC)</f>
        <v>0</v>
      </c>
      <c r="I160" s="719">
        <f>-SUMIFS(Sheet1!CD:CD,Sheet1!S71_SA3Code,$AC:$AC)</f>
        <v>0</v>
      </c>
      <c r="J160" s="725">
        <f>-SUMIFS(Sheet1!S71_ASBudgetAmount,Sheet1!S71_SA3Code,$AC:$AC)</f>
        <v>0</v>
      </c>
      <c r="K160" s="714">
        <f>-SUMIFS(Sheet1!S71_OY1BudgetAmount,Sheet1!S71_SA3Code,$AC:$AC)</f>
        <v>0</v>
      </c>
      <c r="L160" s="717">
        <f>-SUMIFS(Sheet1!S71_OY2BudgetAmount,Sheet1!S71_SA3Code,$AC:$AC)</f>
        <v>0</v>
      </c>
      <c r="AC160" s="2359" t="s">
        <v>2954</v>
      </c>
    </row>
    <row r="161" spans="1:29" ht="11.25" customHeight="1" x14ac:dyDescent="0.25">
      <c r="A161" s="136" t="s">
        <v>1314</v>
      </c>
      <c r="B161" s="711"/>
      <c r="C161" s="712">
        <f>SUMIFS(Sheet1!S71_PPPYearAmount,Sheet1!S71_SA3Code,$AC:$AC)</f>
        <v>0</v>
      </c>
      <c r="D161" s="712">
        <f>SUMIFS(Sheet1!S71_PPYearAmount,Sheet1!S71_SA3Code,$AC:$AC)</f>
        <v>0</v>
      </c>
      <c r="E161" s="717">
        <f>SUMIFS(Sheet1!S71_PYearAmount,Sheet1!S71_SA3Code,$AC:$AC)</f>
        <v>0</v>
      </c>
      <c r="F161" s="718">
        <f>-SUMIFS(Sheet1!S71_OriginalBudAmnt,Sheet1!S71_SA3Code,$AC:$AC)</f>
        <v>0</v>
      </c>
      <c r="G161" s="712">
        <f>-SUMIFS(Sheet1!S71_AdjustmentBudAmnt,Sheet1!S71_SA3Code,$AC:$AC)</f>
        <v>0</v>
      </c>
      <c r="H161" s="717">
        <f>-SUMIFS(Sheet1!S71_AdjustmentBudAmnt,Sheet1!S71_SA3Code,$AC:$AC)</f>
        <v>0</v>
      </c>
      <c r="I161" s="719">
        <f>-SUMIFS(Sheet1!CD:CD,Sheet1!S71_SA3Code,$AC:$AC)</f>
        <v>0</v>
      </c>
      <c r="J161" s="725">
        <f>-SUMIFS(Sheet1!S71_ASBudgetAmount,Sheet1!S71_SA3Code,$AC:$AC)</f>
        <v>0</v>
      </c>
      <c r="K161" s="714">
        <f>-SUMIFS(Sheet1!S71_OY1BudgetAmount,Sheet1!S71_SA3Code,$AC:$AC)</f>
        <v>0</v>
      </c>
      <c r="L161" s="717">
        <f>-SUMIFS(Sheet1!S71_OY2BudgetAmount,Sheet1!S71_SA3Code,$AC:$AC)</f>
        <v>0</v>
      </c>
      <c r="AC161" s="2359" t="s">
        <v>2955</v>
      </c>
    </row>
    <row r="162" spans="1:29" ht="11.25" customHeight="1" x14ac:dyDescent="0.25">
      <c r="A162" s="136" t="s">
        <v>1315</v>
      </c>
      <c r="B162" s="711"/>
      <c r="C162" s="712">
        <f>SUMIFS(Sheet1!S71_PPPYearAmount,Sheet1!S71_SA3Code,$AC:$AC)</f>
        <v>0</v>
      </c>
      <c r="D162" s="712">
        <f>SUMIFS(Sheet1!S71_PPYearAmount,Sheet1!S71_SA3Code,$AC:$AC)</f>
        <v>0</v>
      </c>
      <c r="E162" s="717">
        <f>SUMIFS(Sheet1!S71_PYearAmount,Sheet1!S71_SA3Code,$AC:$AC)</f>
        <v>0</v>
      </c>
      <c r="F162" s="718">
        <f>-SUMIFS(Sheet1!S71_OriginalBudAmnt,Sheet1!S71_SA3Code,$AC:$AC)</f>
        <v>0</v>
      </c>
      <c r="G162" s="712">
        <f>-SUMIFS(Sheet1!S71_AdjustmentBudAmnt,Sheet1!S71_SA3Code,$AC:$AC)</f>
        <v>0</v>
      </c>
      <c r="H162" s="717">
        <f>-SUMIFS(Sheet1!S71_AdjustmentBudAmnt,Sheet1!S71_SA3Code,$AC:$AC)</f>
        <v>0</v>
      </c>
      <c r="I162" s="719">
        <f>-SUMIFS(Sheet1!CD:CD,Sheet1!S71_SA3Code,$AC:$AC)</f>
        <v>0</v>
      </c>
      <c r="J162" s="725">
        <f>-SUMIFS(Sheet1!S71_ASBudgetAmount,Sheet1!S71_SA3Code,$AC:$AC)</f>
        <v>0</v>
      </c>
      <c r="K162" s="714">
        <f>-SUMIFS(Sheet1!S71_OY1BudgetAmount,Sheet1!S71_SA3Code,$AC:$AC)</f>
        <v>0</v>
      </c>
      <c r="L162" s="717">
        <f>-SUMIFS(Sheet1!S71_OY2BudgetAmount,Sheet1!S71_SA3Code,$AC:$AC)</f>
        <v>0</v>
      </c>
      <c r="AC162" s="2359" t="s">
        <v>2956</v>
      </c>
    </row>
    <row r="163" spans="1:29" ht="11.25" customHeight="1" x14ac:dyDescent="0.25">
      <c r="A163" s="136" t="s">
        <v>1808</v>
      </c>
      <c r="B163" s="711"/>
      <c r="C163" s="712">
        <f>SUMIFS(Sheet1!S71_PPPYearAmount,Sheet1!S71_SA3Code,$AC:$AC)</f>
        <v>0</v>
      </c>
      <c r="D163" s="712">
        <f>SUMIFS(Sheet1!S71_PPYearAmount,Sheet1!S71_SA3Code,$AC:$AC)</f>
        <v>0</v>
      </c>
      <c r="E163" s="717">
        <f>SUMIFS(Sheet1!S71_PYearAmount,Sheet1!S71_SA3Code,$AC:$AC)</f>
        <v>0</v>
      </c>
      <c r="F163" s="718">
        <f>-SUMIFS(Sheet1!S71_OriginalBudAmnt,Sheet1!S71_SA3Code,$AC:$AC)</f>
        <v>0</v>
      </c>
      <c r="G163" s="712">
        <f>-SUMIFS(Sheet1!S71_AdjustmentBudAmnt,Sheet1!S71_SA3Code,$AC:$AC)</f>
        <v>0</v>
      </c>
      <c r="H163" s="717">
        <f>-SUMIFS(Sheet1!S71_AdjustmentBudAmnt,Sheet1!S71_SA3Code,$AC:$AC)</f>
        <v>0</v>
      </c>
      <c r="I163" s="719">
        <f>-SUMIFS(Sheet1!CD:CD,Sheet1!S71_SA3Code,$AC:$AC)</f>
        <v>0</v>
      </c>
      <c r="J163" s="725">
        <f>-SUMIFS(Sheet1!S71_ASBudgetAmount,Sheet1!S71_SA3Code,$AC:$AC)</f>
        <v>0</v>
      </c>
      <c r="K163" s="714">
        <f>-SUMIFS(Sheet1!S71_OY1BudgetAmount,Sheet1!S71_SA3Code,$AC:$AC)</f>
        <v>0</v>
      </c>
      <c r="L163" s="717">
        <f>-SUMIFS(Sheet1!S71_OY2BudgetAmount,Sheet1!S71_SA3Code,$AC:$AC)</f>
        <v>0</v>
      </c>
      <c r="AC163" s="2359" t="s">
        <v>2957</v>
      </c>
    </row>
    <row r="164" spans="1:29" ht="11.25" customHeight="1" x14ac:dyDescent="0.25">
      <c r="A164" s="136" t="s">
        <v>1313</v>
      </c>
      <c r="B164" s="711"/>
      <c r="C164" s="712">
        <f>SUMIFS(Sheet1!S71_PPPYearAmount,Sheet1!S71_SA3Code,$AC:$AC)</f>
        <v>0</v>
      </c>
      <c r="D164" s="712">
        <f>SUMIFS(Sheet1!S71_PPYearAmount,Sheet1!S71_SA3Code,$AC:$AC)</f>
        <v>0</v>
      </c>
      <c r="E164" s="717">
        <f>SUMIFS(Sheet1!S71_PYearAmount,Sheet1!S71_SA3Code,$AC:$AC)</f>
        <v>0</v>
      </c>
      <c r="F164" s="718">
        <f>-SUMIFS(Sheet1!S71_OriginalBudAmnt,Sheet1!S71_SA3Code,$AC:$AC)</f>
        <v>0</v>
      </c>
      <c r="G164" s="712">
        <f>-SUMIFS(Sheet1!S71_AdjustmentBudAmnt,Sheet1!S71_SA3Code,$AC:$AC)</f>
        <v>0</v>
      </c>
      <c r="H164" s="717">
        <f>-SUMIFS(Sheet1!S71_AdjustmentBudAmnt,Sheet1!S71_SA3Code,$AC:$AC)</f>
        <v>0</v>
      </c>
      <c r="I164" s="719">
        <f>-SUMIFS(Sheet1!CD:CD,Sheet1!S71_SA3Code,$AC:$AC)</f>
        <v>0</v>
      </c>
      <c r="J164" s="725">
        <f>-SUMIFS(Sheet1!S71_ASBudgetAmount,Sheet1!S71_SA3Code,$AC:$AC)</f>
        <v>0</v>
      </c>
      <c r="K164" s="714">
        <f>-SUMIFS(Sheet1!S71_OY1BudgetAmount,Sheet1!S71_SA3Code,$AC:$AC)</f>
        <v>0</v>
      </c>
      <c r="L164" s="717">
        <f>-SUMIFS(Sheet1!S71_OY2BudgetAmount,Sheet1!S71_SA3Code,$AC:$AC)</f>
        <v>0</v>
      </c>
      <c r="AC164" s="2359" t="s">
        <v>2958</v>
      </c>
    </row>
    <row r="165" spans="1:29" ht="11.25" customHeight="1" x14ac:dyDescent="0.25">
      <c r="A165" s="664" t="s">
        <v>938</v>
      </c>
      <c r="B165" s="711">
        <v>2</v>
      </c>
      <c r="C165" s="535">
        <f t="shared" ref="C165:L165" si="30">SUM(C160:C164)</f>
        <v>0</v>
      </c>
      <c r="D165" s="535">
        <f t="shared" si="30"/>
        <v>0</v>
      </c>
      <c r="E165" s="665">
        <f t="shared" si="30"/>
        <v>0</v>
      </c>
      <c r="F165" s="666">
        <f t="shared" si="30"/>
        <v>0</v>
      </c>
      <c r="G165" s="535">
        <f t="shared" si="30"/>
        <v>0</v>
      </c>
      <c r="H165" s="665">
        <f t="shared" si="30"/>
        <v>0</v>
      </c>
      <c r="I165" s="667">
        <f t="shared" si="30"/>
        <v>0</v>
      </c>
      <c r="J165" s="668">
        <f t="shared" si="30"/>
        <v>0</v>
      </c>
      <c r="K165" s="535">
        <f t="shared" si="30"/>
        <v>0</v>
      </c>
      <c r="L165" s="665">
        <f t="shared" si="30"/>
        <v>0</v>
      </c>
    </row>
    <row r="166" spans="1:29" x14ac:dyDescent="0.25">
      <c r="A166" s="1008" t="str">
        <f>'A6-FinPos'!A48</f>
        <v>TOTAL COMMUNITY WEALTH/EQUITY</v>
      </c>
      <c r="B166" s="751">
        <v>2</v>
      </c>
      <c r="C166" s="185">
        <f t="shared" ref="C166:L166" si="31">C158+C165</f>
        <v>25115298</v>
      </c>
      <c r="D166" s="185">
        <f t="shared" si="31"/>
        <v>32495365</v>
      </c>
      <c r="E166" s="183">
        <f t="shared" si="31"/>
        <v>24601644</v>
      </c>
      <c r="F166" s="184">
        <f t="shared" si="31"/>
        <v>2685553</v>
      </c>
      <c r="G166" s="185">
        <f t="shared" si="31"/>
        <v>237657231</v>
      </c>
      <c r="H166" s="183">
        <f t="shared" si="31"/>
        <v>237657231</v>
      </c>
      <c r="I166" s="186">
        <f t="shared" si="31"/>
        <v>-18824229</v>
      </c>
      <c r="J166" s="187">
        <f t="shared" si="31"/>
        <v>241034614</v>
      </c>
      <c r="K166" s="185">
        <f t="shared" si="31"/>
        <v>176315465</v>
      </c>
      <c r="L166" s="183">
        <f t="shared" si="31"/>
        <v>162884062</v>
      </c>
    </row>
    <row r="167" spans="1:29" ht="4.9000000000000004" customHeight="1" x14ac:dyDescent="0.25">
      <c r="A167" s="190"/>
      <c r="B167" s="670"/>
      <c r="C167" s="191"/>
      <c r="D167" s="191"/>
      <c r="E167" s="191"/>
      <c r="F167" s="191"/>
      <c r="G167" s="191"/>
      <c r="H167" s="191"/>
      <c r="I167" s="191"/>
      <c r="J167" s="191"/>
      <c r="K167" s="191"/>
      <c r="L167" s="191"/>
    </row>
    <row r="168" spans="1:29" s="126" customFormat="1" ht="13.5" x14ac:dyDescent="0.25">
      <c r="A168" s="671"/>
      <c r="B168" s="671"/>
      <c r="C168" s="671"/>
      <c r="D168" s="671"/>
      <c r="E168" s="671"/>
      <c r="F168" s="671"/>
      <c r="G168" s="671"/>
      <c r="H168" s="671"/>
      <c r="I168" s="671"/>
      <c r="J168" s="671"/>
      <c r="K168" s="671"/>
      <c r="L168" s="671"/>
      <c r="AC168" s="2356"/>
    </row>
    <row r="169" spans="1:29" s="126" customFormat="1" x14ac:dyDescent="0.25">
      <c r="B169" s="670"/>
      <c r="C169" s="74"/>
      <c r="D169" s="74"/>
      <c r="E169" s="74"/>
      <c r="F169" s="74"/>
      <c r="G169" s="74"/>
      <c r="H169" s="74"/>
      <c r="I169" s="74"/>
      <c r="J169" s="74"/>
      <c r="K169" s="74"/>
      <c r="L169" s="74"/>
      <c r="AC169" s="2356"/>
    </row>
    <row r="170" spans="1:29" s="126" customFormat="1" x14ac:dyDescent="0.25">
      <c r="B170" s="670"/>
      <c r="C170" s="74"/>
      <c r="D170" s="74"/>
      <c r="E170" s="74"/>
      <c r="F170" s="74"/>
      <c r="G170" s="74"/>
      <c r="H170" s="74"/>
      <c r="I170" s="74"/>
      <c r="J170" s="74"/>
      <c r="K170" s="74"/>
      <c r="L170" s="74"/>
      <c r="AC170" s="2356"/>
    </row>
    <row r="171" spans="1:29" s="126" customFormat="1" x14ac:dyDescent="0.25">
      <c r="B171" s="670"/>
      <c r="C171" s="74"/>
      <c r="D171" s="74"/>
      <c r="E171" s="74"/>
      <c r="F171" s="74"/>
      <c r="G171" s="74"/>
      <c r="H171" s="74"/>
      <c r="I171" s="74"/>
      <c r="J171" s="74"/>
      <c r="K171" s="74"/>
      <c r="L171" s="74"/>
      <c r="AC171" s="2356"/>
    </row>
    <row r="172" spans="1:29" ht="11.25" customHeight="1" x14ac:dyDescent="0.25">
      <c r="A172" s="1009" t="str">
        <f>head27a</f>
        <v>References</v>
      </c>
      <c r="B172" s="189"/>
      <c r="C172" s="193"/>
      <c r="D172" s="193"/>
      <c r="E172" s="193"/>
      <c r="F172" s="193"/>
      <c r="G172" s="193"/>
      <c r="H172" s="193"/>
      <c r="I172" s="193"/>
      <c r="J172" s="193"/>
      <c r="K172" s="193"/>
      <c r="L172" s="193"/>
    </row>
    <row r="173" spans="1:29" ht="11.25" customHeight="1" x14ac:dyDescent="0.25">
      <c r="A173" s="125" t="str">
        <f>"1. Must reconcile with "&amp;'Template names'!F103</f>
        <v>1. Must reconcile with Table A4 Budgeted Financial Performance (revenue and expenditure)</v>
      </c>
      <c r="B173" s="189"/>
      <c r="C173" s="192"/>
      <c r="D173" s="192"/>
      <c r="E173" s="193"/>
      <c r="F173" s="193"/>
      <c r="G173" s="193"/>
      <c r="H173" s="193"/>
      <c r="I173" s="193"/>
      <c r="J173" s="193"/>
      <c r="K173" s="193"/>
      <c r="L173" s="193"/>
    </row>
    <row r="174" spans="1:29" ht="11.25" customHeight="1" x14ac:dyDescent="0.25">
      <c r="A174" s="125" t="str">
        <f>"2. Must reconcile with "&amp;'Template names'!F105</f>
        <v>2. Must reconcile with Table A6 Budgeted Financial Position</v>
      </c>
      <c r="B174" s="189"/>
      <c r="C174" s="192"/>
      <c r="D174" s="192"/>
      <c r="E174" s="193"/>
      <c r="F174" s="193"/>
      <c r="G174" s="193"/>
      <c r="H174" s="193"/>
      <c r="I174" s="193"/>
      <c r="J174" s="193"/>
      <c r="K174" s="193"/>
      <c r="L174" s="193"/>
    </row>
    <row r="175" spans="1:29" ht="11.25" customHeight="1" x14ac:dyDescent="0.25">
      <c r="A175" s="125" t="s">
        <v>904</v>
      </c>
      <c r="B175" s="189"/>
      <c r="C175" s="192"/>
      <c r="D175" s="192"/>
      <c r="E175" s="193"/>
      <c r="F175" s="193"/>
      <c r="G175" s="193"/>
      <c r="H175" s="193"/>
      <c r="I175" s="193"/>
      <c r="J175" s="193"/>
      <c r="K175" s="193"/>
      <c r="L175" s="193"/>
    </row>
    <row r="176" spans="1:29" ht="11.25" customHeight="1" x14ac:dyDescent="0.25">
      <c r="A176" s="125" t="s">
        <v>658</v>
      </c>
    </row>
    <row r="177" spans="1:30" ht="11.25" customHeight="1" x14ac:dyDescent="0.25">
      <c r="A177" s="125" t="s">
        <v>2524</v>
      </c>
      <c r="B177" s="1010"/>
      <c r="C177" s="322"/>
      <c r="D177" s="322"/>
      <c r="E177" s="322"/>
    </row>
    <row r="178" spans="1:30" s="1014" customFormat="1" ht="11.25" customHeight="1" x14ac:dyDescent="0.25">
      <c r="A178" s="1011" t="s">
        <v>2610</v>
      </c>
      <c r="B178" s="1012"/>
      <c r="C178" s="1013"/>
      <c r="D178" s="1013"/>
      <c r="E178" s="1013"/>
      <c r="F178" s="1013"/>
      <c r="G178" s="1013"/>
      <c r="H178" s="1013"/>
      <c r="I178" s="1013"/>
      <c r="J178" s="1013"/>
      <c r="K178" s="1013"/>
      <c r="L178" s="1013"/>
      <c r="AC178" s="2356"/>
      <c r="AD178" s="322"/>
    </row>
    <row r="179" spans="1:30" s="1014" customFormat="1" ht="11.25" customHeight="1" x14ac:dyDescent="0.25">
      <c r="A179" s="1011" t="s">
        <v>2611</v>
      </c>
      <c r="B179" s="1012"/>
      <c r="C179" s="1013"/>
      <c r="D179" s="1013"/>
      <c r="E179" s="1013"/>
      <c r="F179" s="1013"/>
      <c r="G179" s="1013"/>
      <c r="H179" s="1013"/>
      <c r="I179" s="1013"/>
      <c r="J179" s="1013"/>
      <c r="K179" s="1013"/>
      <c r="L179" s="1013"/>
      <c r="AC179" s="2356"/>
      <c r="AD179" s="322"/>
    </row>
    <row r="180" spans="1:30" s="1014" customFormat="1" ht="11.25" customHeight="1" x14ac:dyDescent="0.25">
      <c r="A180" s="1011" t="s">
        <v>2612</v>
      </c>
      <c r="B180" s="1012"/>
      <c r="C180" s="1013"/>
      <c r="D180" s="1013"/>
      <c r="E180" s="1013"/>
      <c r="F180" s="1013"/>
      <c r="G180" s="1013"/>
      <c r="H180" s="1013"/>
      <c r="I180" s="1013"/>
      <c r="J180" s="1013"/>
      <c r="K180" s="1013"/>
      <c r="L180" s="1013"/>
      <c r="AC180" s="2356"/>
      <c r="AD180" s="322"/>
    </row>
    <row r="181" spans="1:30" s="1014" customFormat="1" ht="11.25" customHeight="1" x14ac:dyDescent="0.25">
      <c r="A181" s="1011" t="s">
        <v>2609</v>
      </c>
      <c r="B181" s="1012"/>
      <c r="C181" s="1013"/>
      <c r="D181" s="1013"/>
      <c r="E181" s="1013"/>
      <c r="F181" s="1013"/>
      <c r="G181" s="1013"/>
      <c r="H181" s="1013"/>
      <c r="I181" s="1013"/>
      <c r="J181" s="1013"/>
      <c r="K181" s="1013"/>
      <c r="L181" s="1013"/>
      <c r="AC181" s="2356"/>
      <c r="AD181" s="322"/>
    </row>
    <row r="182" spans="1:30" ht="11.25" customHeight="1" x14ac:dyDescent="0.25">
      <c r="A182" s="125"/>
      <c r="B182" s="1010"/>
      <c r="C182" s="322"/>
      <c r="D182" s="322"/>
      <c r="E182" s="322"/>
    </row>
    <row r="183" spans="1:30" ht="11.25" customHeight="1" x14ac:dyDescent="0.25">
      <c r="A183" s="1015" t="s">
        <v>1330</v>
      </c>
      <c r="C183" s="74">
        <f>C166-'A6-FinPos'!C48</f>
        <v>-114192933</v>
      </c>
      <c r="D183" s="74">
        <f>D166-'A6-FinPos'!D48</f>
        <v>-112369059</v>
      </c>
      <c r="E183" s="74">
        <f>E166-'A6-FinPos'!E48</f>
        <v>-120956180</v>
      </c>
      <c r="F183" s="74">
        <f>F166-'A6-FinPos'!F48</f>
        <v>-237489800</v>
      </c>
      <c r="G183" s="74">
        <f>G166-'A6-FinPos'!G48</f>
        <v>-9512265</v>
      </c>
      <c r="H183" s="74">
        <f>H166-'A6-FinPos'!H48</f>
        <v>-9512265</v>
      </c>
      <c r="I183" s="74">
        <f>I166-'A6-FinPos'!I48</f>
        <v>362271485</v>
      </c>
      <c r="J183" s="74">
        <f>J166-'A6-FinPos'!J48</f>
        <v>0</v>
      </c>
      <c r="K183" s="74">
        <f>K166-'A6-FinPos'!K48</f>
        <v>0</v>
      </c>
      <c r="L183" s="74">
        <f>L166-'A6-FinPos'!L48</f>
        <v>-1</v>
      </c>
    </row>
    <row r="184" spans="1:30" ht="11.25" customHeight="1" x14ac:dyDescent="0.25">
      <c r="C184" s="754">
        <f>TREND(D184:H184)</f>
        <v>0</v>
      </c>
      <c r="D184" s="754">
        <f>TREND(E184:H184)</f>
        <v>0</v>
      </c>
      <c r="E184" s="754">
        <f>E169</f>
        <v>0</v>
      </c>
      <c r="F184" s="754">
        <f>H169</f>
        <v>0</v>
      </c>
      <c r="G184" s="754">
        <f>J169</f>
        <v>0</v>
      </c>
      <c r="H184" s="754">
        <f>K169</f>
        <v>0</v>
      </c>
      <c r="I184" s="754">
        <f>L169</f>
        <v>0</v>
      </c>
      <c r="J184" s="754"/>
      <c r="K184" s="754"/>
      <c r="L184" s="754"/>
    </row>
    <row r="185" spans="1:30" ht="11.25" customHeight="1" x14ac:dyDescent="0.25"/>
    <row r="190" spans="1:30" ht="11.25" customHeight="1" x14ac:dyDescent="0.25"/>
    <row r="191" spans="1:30" ht="11.25" customHeight="1" x14ac:dyDescent="0.25"/>
    <row r="192" spans="1:30" ht="11.25" customHeight="1" x14ac:dyDescent="0.25"/>
    <row r="193" ht="11.25" customHeight="1" x14ac:dyDescent="0.25"/>
    <row r="194" ht="11.25" customHeight="1" x14ac:dyDescent="0.25"/>
  </sheetData>
  <sheetProtection algorithmName="SHA-512" hashValue="1LByyPY5SiVNSHbxETl3PnVSfisJ8/IuXuYtrClrvGBKBhqWEepgRtlyHMX+W35BpM4ml/OSX5luilmNeOzpsg==" saltValue="rX/rlxcaeuxI3TbLgXatKw==" spinCount="100000" sheet="1" objects="1" scenarios="1"/>
  <mergeCells count="4">
    <mergeCell ref="A2:A3"/>
    <mergeCell ref="B2:B3"/>
    <mergeCell ref="J2:L2"/>
    <mergeCell ref="F2:I2"/>
  </mergeCells>
  <phoneticPr fontId="7" type="noConversion"/>
  <dataValidations count="1">
    <dataValidation type="decimal" allowBlank="1" showInputMessage="1" showErrorMessage="1" sqref="C7:L8 C150:L151 C12:L13 C17:L19 C47:L51 C118:L120 C125:L126 C169:L171 C130:L133 C137:L138 C142:L145 C154:L157 C44:L45 J27:L28 C32:L34 C36:L38 C40:L41 C27:H28 C160:L164" xr:uid="{00000000-0002-0000-1600-000000000000}">
      <formula1>-99999999999999900000</formula1>
      <formula2>99999999999999900000</formula2>
    </dataValidation>
  </dataValidations>
  <printOptions horizontalCentered="1"/>
  <pageMargins left="0" right="0" top="0.78740157480314965" bottom="0.59055118110236227" header="0.51181102362204722" footer="0.39370078740157483"/>
  <pageSetup paperSize="9" scale="36" orientation="portrait" r:id="rId1"/>
  <headerFooter alignWithMargins="0"/>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pageSetUpPr fitToPage="1"/>
  </sheetPr>
  <dimension ref="A1:V28"/>
  <sheetViews>
    <sheetView showGridLines="0" zoomScale="110" zoomScaleNormal="110" workbookViewId="0">
      <pane xSplit="4" ySplit="3" topLeftCell="E4" activePane="bottomRight" state="frozen"/>
      <selection pane="topRight"/>
      <selection pane="bottomLeft"/>
      <selection pane="bottomRight" activeCell="G13" sqref="G13"/>
    </sheetView>
  </sheetViews>
  <sheetFormatPr defaultColWidth="9.140625" defaultRowHeight="12.75" x14ac:dyDescent="0.25"/>
  <cols>
    <col min="1" max="2" width="18.7109375" style="58" customWidth="1"/>
    <col min="3" max="3" width="5" style="58" customWidth="1"/>
    <col min="4" max="4" width="3" style="55" customWidth="1"/>
    <col min="5" max="13" width="9.28515625" style="58" customWidth="1"/>
    <col min="14" max="14" width="32.7109375" style="58" bestFit="1" customWidth="1"/>
    <col min="15" max="15" width="1.42578125" style="58" customWidth="1"/>
    <col min="16" max="20" width="7.7109375" style="58" bestFit="1" customWidth="1"/>
    <col min="21" max="24" width="8.7109375" style="58" bestFit="1" customWidth="1"/>
    <col min="25" max="26" width="9.7109375" style="58" customWidth="1"/>
    <col min="27" max="16384" width="9.140625" style="58"/>
  </cols>
  <sheetData>
    <row r="1" spans="1:22" s="93" customFormat="1" x14ac:dyDescent="0.2">
      <c r="A1" s="92" t="str">
        <f>muni&amp;" - "&amp;TableA4</f>
        <v>KZN226 Mkhambathini - Supporting Table SA4 Reconciliation of IDP strategic objectives and budget (revenue)</v>
      </c>
      <c r="B1" s="92"/>
      <c r="C1" s="92"/>
      <c r="D1" s="92"/>
      <c r="E1" s="92"/>
      <c r="F1" s="92"/>
      <c r="G1" s="92"/>
      <c r="H1" s="92"/>
      <c r="I1" s="92"/>
      <c r="J1" s="92"/>
      <c r="K1" s="92"/>
      <c r="L1" s="92"/>
      <c r="M1" s="92"/>
    </row>
    <row r="2" spans="1:22" ht="28.5" customHeight="1" x14ac:dyDescent="0.25">
      <c r="A2" s="696" t="s">
        <v>837</v>
      </c>
      <c r="B2" s="689" t="s">
        <v>1174</v>
      </c>
      <c r="C2" s="697" t="s">
        <v>1800</v>
      </c>
      <c r="D2" s="2470" t="str">
        <f>head27</f>
        <v>Ref</v>
      </c>
      <c r="E2" s="683" t="str">
        <f>head1b</f>
        <v>2017/18</v>
      </c>
      <c r="F2" s="837" t="str">
        <f>head1A</f>
        <v>2018/19</v>
      </c>
      <c r="G2" s="684" t="str">
        <f>Head1</f>
        <v>2019/20</v>
      </c>
      <c r="H2" s="2447" t="str">
        <f>Head2</f>
        <v>Current Year 2020/21</v>
      </c>
      <c r="I2" s="2448"/>
      <c r="J2" s="2449"/>
      <c r="K2" s="2450" t="str">
        <f>Head3</f>
        <v>2021/22 Medium Term Revenue &amp; Expenditure Framework</v>
      </c>
      <c r="L2" s="2451"/>
      <c r="M2" s="2452"/>
    </row>
    <row r="3" spans="1:22" ht="25.5" x14ac:dyDescent="0.25">
      <c r="A3" s="1016" t="s">
        <v>568</v>
      </c>
      <c r="B3" s="157"/>
      <c r="C3" s="157"/>
      <c r="D3" s="2471"/>
      <c r="E3" s="702" t="str">
        <f>Head5</f>
        <v>Audited Outcome</v>
      </c>
      <c r="F3" s="698" t="str">
        <f>Head5</f>
        <v>Audited Outcome</v>
      </c>
      <c r="G3" s="94" t="str">
        <f>Head5</f>
        <v>Audited Outcome</v>
      </c>
      <c r="H3" s="95" t="str">
        <f>Head6</f>
        <v>Original Budget</v>
      </c>
      <c r="I3" s="698" t="str">
        <f>Head7</f>
        <v>Adjusted Budget</v>
      </c>
      <c r="J3" s="94" t="str">
        <f>Head8</f>
        <v>Full Year Forecast</v>
      </c>
      <c r="K3" s="95" t="str">
        <f>Head9</f>
        <v>Budget Year 2021/22</v>
      </c>
      <c r="L3" s="698" t="str">
        <f>Head10</f>
        <v>Budget Year +1 2022/23</v>
      </c>
      <c r="M3" s="94" t="str">
        <f>Head11</f>
        <v>Budget Year +2 2023/24</v>
      </c>
    </row>
    <row r="4" spans="1:22" ht="38.25" x14ac:dyDescent="0.25">
      <c r="A4" s="1017" t="s">
        <v>3117</v>
      </c>
      <c r="B4" s="1018" t="s">
        <v>2504</v>
      </c>
      <c r="C4" s="1018">
        <v>13</v>
      </c>
      <c r="D4" s="1019" t="s">
        <v>3108</v>
      </c>
      <c r="E4" s="1020">
        <v>-32400</v>
      </c>
      <c r="F4" s="1020">
        <v>0</v>
      </c>
      <c r="G4" s="1021">
        <v>0</v>
      </c>
      <c r="H4" s="1022">
        <v>0</v>
      </c>
      <c r="I4" s="1020">
        <v>0</v>
      </c>
      <c r="J4" s="1023">
        <v>0</v>
      </c>
      <c r="K4" s="1024">
        <v>0</v>
      </c>
      <c r="L4" s="1020">
        <v>0</v>
      </c>
      <c r="M4" s="1021">
        <v>0</v>
      </c>
      <c r="N4" s="196"/>
      <c r="O4" s="196"/>
      <c r="P4" s="196"/>
      <c r="Q4" s="196"/>
      <c r="R4" s="196"/>
      <c r="S4" s="196"/>
      <c r="T4" s="196"/>
      <c r="U4" s="196"/>
      <c r="V4" s="1041"/>
    </row>
    <row r="5" spans="1:22" ht="38.25" x14ac:dyDescent="0.25">
      <c r="A5" s="1017" t="s">
        <v>3152</v>
      </c>
      <c r="B5" s="1018" t="s">
        <v>2504</v>
      </c>
      <c r="C5" s="1018">
        <v>13</v>
      </c>
      <c r="D5" s="1019" t="s">
        <v>3108</v>
      </c>
      <c r="E5" s="1020">
        <v>-1502970</v>
      </c>
      <c r="F5" s="1020">
        <v>-1594316</v>
      </c>
      <c r="G5" s="1021">
        <v>-2240852</v>
      </c>
      <c r="H5" s="1022">
        <v>1507430</v>
      </c>
      <c r="I5" s="1020">
        <v>1507430</v>
      </c>
      <c r="J5" s="1023">
        <v>1507430</v>
      </c>
      <c r="K5" s="1024">
        <v>1566222</v>
      </c>
      <c r="L5" s="1020">
        <v>1628867</v>
      </c>
      <c r="M5" s="1021">
        <v>1694023</v>
      </c>
      <c r="N5" s="196"/>
      <c r="O5" s="196"/>
      <c r="P5" s="196"/>
      <c r="Q5" s="196"/>
      <c r="R5" s="196"/>
      <c r="S5" s="196"/>
      <c r="T5" s="196"/>
      <c r="U5" s="196"/>
    </row>
    <row r="6" spans="1:22" ht="25.5" x14ac:dyDescent="0.25">
      <c r="A6" s="1017" t="s">
        <v>3152</v>
      </c>
      <c r="B6" s="1018" t="s">
        <v>2493</v>
      </c>
      <c r="C6" s="1018">
        <v>2</v>
      </c>
      <c r="D6" s="1019" t="s">
        <v>3108</v>
      </c>
      <c r="E6" s="1020">
        <v>0</v>
      </c>
      <c r="F6" s="1020">
        <v>24941</v>
      </c>
      <c r="G6" s="1021">
        <v>25059</v>
      </c>
      <c r="H6" s="1022">
        <v>0</v>
      </c>
      <c r="I6" s="1020">
        <v>0</v>
      </c>
      <c r="J6" s="1023">
        <v>0</v>
      </c>
      <c r="K6" s="1024">
        <v>0</v>
      </c>
      <c r="L6" s="1020">
        <v>0</v>
      </c>
      <c r="M6" s="1021">
        <v>0</v>
      </c>
      <c r="N6" s="196"/>
      <c r="O6" s="196"/>
      <c r="P6" s="196"/>
      <c r="Q6" s="196"/>
      <c r="R6" s="196"/>
      <c r="S6" s="196"/>
      <c r="T6" s="196"/>
      <c r="U6" s="196"/>
    </row>
    <row r="7" spans="1:22" ht="38.25" x14ac:dyDescent="0.25">
      <c r="A7" s="1017" t="s">
        <v>3152</v>
      </c>
      <c r="B7" s="1018" t="s">
        <v>2503</v>
      </c>
      <c r="C7" s="1018">
        <v>12</v>
      </c>
      <c r="D7" s="1019" t="s">
        <v>3108</v>
      </c>
      <c r="E7" s="1020">
        <v>0</v>
      </c>
      <c r="F7" s="1020">
        <v>0</v>
      </c>
      <c r="G7" s="1021">
        <v>120020</v>
      </c>
      <c r="H7" s="1022">
        <v>0</v>
      </c>
      <c r="I7" s="1020">
        <v>0</v>
      </c>
      <c r="J7" s="1023">
        <v>0</v>
      </c>
      <c r="K7" s="1024">
        <v>0</v>
      </c>
      <c r="L7" s="1020">
        <v>0</v>
      </c>
      <c r="M7" s="1021">
        <v>0</v>
      </c>
      <c r="N7" s="196"/>
      <c r="O7" s="196"/>
      <c r="P7" s="196"/>
      <c r="Q7" s="196"/>
      <c r="R7" s="196"/>
      <c r="S7" s="196"/>
      <c r="T7" s="196"/>
      <c r="U7" s="196"/>
    </row>
    <row r="8" spans="1:22" ht="38.25" x14ac:dyDescent="0.25">
      <c r="A8" s="1017" t="s">
        <v>3152</v>
      </c>
      <c r="B8" s="1018" t="s">
        <v>2500</v>
      </c>
      <c r="C8" s="1018">
        <v>9</v>
      </c>
      <c r="D8" s="1019" t="s">
        <v>3108</v>
      </c>
      <c r="E8" s="1020">
        <v>103196214</v>
      </c>
      <c r="F8" s="1020">
        <v>111933041</v>
      </c>
      <c r="G8" s="1021">
        <v>116036992</v>
      </c>
      <c r="H8" s="1022">
        <v>-125729885</v>
      </c>
      <c r="I8" s="1020">
        <v>-147210475</v>
      </c>
      <c r="J8" s="1023">
        <v>-147210475</v>
      </c>
      <c r="K8" s="1024">
        <v>-137009344</v>
      </c>
      <c r="L8" s="1020">
        <v>-144232507</v>
      </c>
      <c r="M8" s="1021">
        <v>-147447447</v>
      </c>
      <c r="N8" s="196"/>
      <c r="O8" s="196"/>
      <c r="P8" s="196"/>
      <c r="Q8" s="196"/>
      <c r="R8" s="196"/>
      <c r="S8" s="196"/>
      <c r="T8" s="196"/>
      <c r="U8" s="196"/>
    </row>
    <row r="9" spans="1:22" x14ac:dyDescent="0.25">
      <c r="A9" s="1017"/>
      <c r="B9" s="1018"/>
      <c r="C9" s="1018"/>
      <c r="D9" s="1019"/>
      <c r="E9" s="1020"/>
      <c r="F9" s="1020"/>
      <c r="G9" s="1021"/>
      <c r="H9" s="1022"/>
      <c r="I9" s="1020"/>
      <c r="J9" s="1023"/>
      <c r="K9" s="1024"/>
      <c r="L9" s="1020"/>
      <c r="M9" s="1021"/>
      <c r="N9" s="196"/>
      <c r="O9" s="196"/>
      <c r="P9" s="196"/>
      <c r="Q9" s="196"/>
      <c r="R9" s="196"/>
      <c r="S9" s="196"/>
      <c r="T9" s="196"/>
      <c r="U9" s="196"/>
    </row>
    <row r="10" spans="1:22" x14ac:dyDescent="0.25">
      <c r="A10" s="1017"/>
      <c r="B10" s="1018"/>
      <c r="C10" s="1018"/>
      <c r="D10" s="1019"/>
      <c r="E10" s="1020"/>
      <c r="F10" s="1020"/>
      <c r="G10" s="1021"/>
      <c r="H10" s="1022"/>
      <c r="I10" s="1020"/>
      <c r="J10" s="1023"/>
      <c r="K10" s="1024"/>
      <c r="L10" s="1020"/>
      <c r="M10" s="1021"/>
      <c r="N10" s="196"/>
      <c r="O10" s="196"/>
      <c r="P10" s="196"/>
      <c r="Q10" s="196"/>
      <c r="R10" s="196"/>
      <c r="S10" s="196"/>
      <c r="T10" s="196"/>
      <c r="U10" s="196"/>
    </row>
    <row r="11" spans="1:22" x14ac:dyDescent="0.25">
      <c r="A11" s="1017"/>
      <c r="B11" s="1018"/>
      <c r="C11" s="1018"/>
      <c r="D11" s="1019"/>
      <c r="E11" s="1020"/>
      <c r="F11" s="1020"/>
      <c r="G11" s="1021"/>
      <c r="H11" s="1022"/>
      <c r="I11" s="1020"/>
      <c r="J11" s="1023"/>
      <c r="K11" s="1024"/>
      <c r="L11" s="1020"/>
      <c r="M11" s="1021"/>
      <c r="N11" s="196"/>
      <c r="O11" s="196"/>
      <c r="P11" s="196"/>
      <c r="Q11" s="196"/>
      <c r="R11" s="196"/>
      <c r="S11" s="196"/>
      <c r="T11" s="196"/>
      <c r="U11" s="196"/>
    </row>
    <row r="12" spans="1:22" x14ac:dyDescent="0.25">
      <c r="A12" s="1017"/>
      <c r="B12" s="1018"/>
      <c r="C12" s="1018"/>
      <c r="D12" s="1019"/>
      <c r="E12" s="1020"/>
      <c r="F12" s="1020"/>
      <c r="G12" s="1021"/>
      <c r="H12" s="1022"/>
      <c r="I12" s="1020"/>
      <c r="J12" s="1023"/>
      <c r="K12" s="1024"/>
      <c r="L12" s="1020"/>
      <c r="M12" s="1021"/>
      <c r="N12" s="196"/>
      <c r="O12" s="196"/>
      <c r="P12" s="196"/>
      <c r="Q12" s="196"/>
      <c r="R12" s="196"/>
      <c r="S12" s="196"/>
      <c r="T12" s="196"/>
      <c r="U12" s="196"/>
    </row>
    <row r="13" spans="1:22" ht="53.25" customHeight="1" x14ac:dyDescent="0.25">
      <c r="A13" s="1017"/>
      <c r="B13" s="1018"/>
      <c r="C13" s="1018"/>
      <c r="D13" s="1019"/>
      <c r="E13" s="1020"/>
      <c r="F13" s="1020"/>
      <c r="G13" s="1021"/>
      <c r="H13" s="1022"/>
      <c r="I13" s="1020"/>
      <c r="J13" s="1023"/>
      <c r="K13" s="1024"/>
      <c r="L13" s="1020"/>
      <c r="M13" s="1021"/>
      <c r="N13" s="196"/>
      <c r="O13" s="196"/>
      <c r="P13" s="196"/>
      <c r="Q13" s="196"/>
      <c r="R13" s="196"/>
      <c r="S13" s="196"/>
      <c r="T13" s="196"/>
      <c r="U13" s="196"/>
    </row>
    <row r="14" spans="1:22" x14ac:dyDescent="0.25">
      <c r="A14" s="1017"/>
      <c r="B14" s="1018"/>
      <c r="C14" s="1018"/>
      <c r="D14" s="1019"/>
      <c r="E14" s="1020"/>
      <c r="F14" s="1020"/>
      <c r="G14" s="1021"/>
      <c r="H14" s="1022"/>
      <c r="I14" s="1020"/>
      <c r="J14" s="1023"/>
      <c r="K14" s="1024"/>
      <c r="L14" s="1020"/>
      <c r="M14" s="1021"/>
      <c r="N14" s="196"/>
      <c r="O14" s="196"/>
      <c r="P14" s="196"/>
      <c r="Q14" s="196"/>
      <c r="R14" s="196"/>
      <c r="S14" s="196"/>
      <c r="T14" s="196"/>
      <c r="U14" s="196"/>
    </row>
    <row r="15" spans="1:22" x14ac:dyDescent="0.25">
      <c r="A15" s="1017"/>
      <c r="B15" s="1018"/>
      <c r="C15" s="1018"/>
      <c r="D15" s="1019"/>
      <c r="E15" s="1020"/>
      <c r="F15" s="1020"/>
      <c r="G15" s="1021"/>
      <c r="H15" s="1022"/>
      <c r="I15" s="1020"/>
      <c r="J15" s="1023"/>
      <c r="K15" s="1024"/>
      <c r="L15" s="1020"/>
      <c r="M15" s="1021"/>
      <c r="N15" s="196"/>
      <c r="O15" s="196"/>
      <c r="P15" s="196"/>
      <c r="Q15" s="196"/>
      <c r="R15" s="196"/>
      <c r="S15" s="196"/>
      <c r="T15" s="196"/>
      <c r="U15" s="196"/>
    </row>
    <row r="16" spans="1:22" x14ac:dyDescent="0.25">
      <c r="A16" s="1017"/>
      <c r="B16" s="1018"/>
      <c r="C16" s="1018"/>
      <c r="D16" s="1019"/>
      <c r="E16" s="1020"/>
      <c r="F16" s="1020"/>
      <c r="G16" s="1021"/>
      <c r="H16" s="1022"/>
      <c r="I16" s="1020"/>
      <c r="J16" s="1023"/>
      <c r="K16" s="1024"/>
      <c r="L16" s="1020"/>
      <c r="M16" s="1021"/>
      <c r="N16" s="196"/>
      <c r="O16" s="196"/>
      <c r="P16" s="196"/>
      <c r="Q16" s="196"/>
      <c r="R16" s="196"/>
      <c r="S16" s="196"/>
      <c r="T16" s="196"/>
      <c r="U16" s="196"/>
    </row>
    <row r="17" spans="1:21" x14ac:dyDescent="0.25">
      <c r="A17" s="1017"/>
      <c r="B17" s="1018"/>
      <c r="C17" s="1018"/>
      <c r="D17" s="1019"/>
      <c r="E17" s="1020"/>
      <c r="F17" s="1020"/>
      <c r="G17" s="1021"/>
      <c r="H17" s="1022"/>
      <c r="I17" s="1020"/>
      <c r="J17" s="1023"/>
      <c r="K17" s="1024"/>
      <c r="L17" s="1020"/>
      <c r="M17" s="1021"/>
      <c r="N17" s="196"/>
      <c r="O17" s="196"/>
      <c r="P17" s="196"/>
      <c r="Q17" s="196"/>
      <c r="R17" s="196"/>
      <c r="S17" s="196"/>
      <c r="T17" s="196"/>
      <c r="U17" s="196"/>
    </row>
    <row r="18" spans="1:21" x14ac:dyDescent="0.25">
      <c r="A18" s="1017"/>
      <c r="B18" s="1018"/>
      <c r="C18" s="1018"/>
      <c r="D18" s="1019"/>
      <c r="E18" s="1020"/>
      <c r="F18" s="1020"/>
      <c r="G18" s="1021"/>
      <c r="H18" s="1022"/>
      <c r="I18" s="1020"/>
      <c r="J18" s="1023"/>
      <c r="K18" s="1024"/>
      <c r="L18" s="1020"/>
      <c r="M18" s="1021"/>
      <c r="N18" s="196"/>
      <c r="O18" s="196"/>
      <c r="P18" s="196"/>
      <c r="Q18" s="196"/>
      <c r="R18" s="196"/>
      <c r="S18" s="196"/>
      <c r="T18" s="196"/>
      <c r="U18" s="196"/>
    </row>
    <row r="19" spans="1:21" x14ac:dyDescent="0.25">
      <c r="A19" s="1017"/>
      <c r="B19" s="1018"/>
      <c r="C19" s="1018"/>
      <c r="D19" s="1019"/>
      <c r="E19" s="1020"/>
      <c r="F19" s="1020"/>
      <c r="G19" s="1021"/>
      <c r="H19" s="1022"/>
      <c r="I19" s="1020"/>
      <c r="J19" s="1023"/>
      <c r="K19" s="1024"/>
      <c r="L19" s="1020"/>
      <c r="M19" s="1021"/>
      <c r="N19" s="196"/>
      <c r="O19" s="196"/>
      <c r="P19" s="196"/>
      <c r="Q19" s="196"/>
      <c r="R19" s="196"/>
      <c r="S19" s="196"/>
      <c r="T19" s="196"/>
      <c r="U19" s="196"/>
    </row>
    <row r="20" spans="1:21" x14ac:dyDescent="0.25">
      <c r="A20" s="1017"/>
      <c r="B20" s="1018"/>
      <c r="C20" s="1018"/>
      <c r="D20" s="1019"/>
      <c r="E20" s="1020"/>
      <c r="F20" s="1020"/>
      <c r="G20" s="1021"/>
      <c r="H20" s="1022"/>
      <c r="I20" s="1020"/>
      <c r="J20" s="1023"/>
      <c r="K20" s="1024"/>
      <c r="L20" s="1020"/>
      <c r="M20" s="1021"/>
      <c r="N20" s="196"/>
      <c r="O20" s="196"/>
      <c r="P20" s="196"/>
      <c r="Q20" s="196"/>
      <c r="R20" s="196"/>
      <c r="S20" s="196"/>
      <c r="T20" s="196"/>
      <c r="U20" s="196"/>
    </row>
    <row r="21" spans="1:21" x14ac:dyDescent="0.25">
      <c r="A21" s="1042" t="s">
        <v>1805</v>
      </c>
      <c r="B21" s="1030"/>
      <c r="C21" s="1031"/>
      <c r="D21" s="1019">
        <v>2</v>
      </c>
      <c r="E21" s="1032"/>
      <c r="F21" s="1032"/>
      <c r="G21" s="1033"/>
      <c r="H21" s="1034"/>
      <c r="I21" s="1032"/>
      <c r="J21" s="1035"/>
      <c r="K21" s="1036"/>
      <c r="L21" s="1032"/>
      <c r="M21" s="1033"/>
      <c r="N21" s="196"/>
      <c r="O21" s="196"/>
      <c r="P21" s="196"/>
      <c r="Q21" s="196"/>
      <c r="R21" s="196"/>
      <c r="S21" s="196"/>
      <c r="T21" s="196"/>
      <c r="U21" s="196"/>
    </row>
    <row r="22" spans="1:21" ht="12.75" customHeight="1" x14ac:dyDescent="0.25">
      <c r="A22" s="816" t="str">
        <f>'A4-FinPerf RE'!A21</f>
        <v>Total Revenue (excluding capital transfers and contributions)</v>
      </c>
      <c r="B22" s="1043"/>
      <c r="C22" s="1043"/>
      <c r="D22" s="796">
        <v>1</v>
      </c>
      <c r="E22" s="185">
        <f t="shared" ref="E22:M22" si="0">SUM(E4:E21)</f>
        <v>101660844</v>
      </c>
      <c r="F22" s="185">
        <f t="shared" si="0"/>
        <v>110363666</v>
      </c>
      <c r="G22" s="183">
        <f t="shared" si="0"/>
        <v>113941219</v>
      </c>
      <c r="H22" s="184">
        <f t="shared" si="0"/>
        <v>-124222455</v>
      </c>
      <c r="I22" s="185">
        <f t="shared" si="0"/>
        <v>-145703045</v>
      </c>
      <c r="J22" s="186">
        <f t="shared" si="0"/>
        <v>-145703045</v>
      </c>
      <c r="K22" s="187">
        <f t="shared" si="0"/>
        <v>-135443122</v>
      </c>
      <c r="L22" s="185">
        <f t="shared" si="0"/>
        <v>-142603640</v>
      </c>
      <c r="M22" s="183">
        <f t="shared" si="0"/>
        <v>-145753424</v>
      </c>
    </row>
    <row r="23" spans="1:21" x14ac:dyDescent="0.25">
      <c r="A23" s="188" t="str">
        <f>head27a</f>
        <v>References</v>
      </c>
      <c r="B23" s="192"/>
      <c r="C23" s="192"/>
      <c r="D23" s="189"/>
      <c r="E23" s="193"/>
      <c r="F23" s="193"/>
      <c r="G23" s="193"/>
      <c r="H23" s="193"/>
      <c r="I23" s="193"/>
      <c r="J23" s="193"/>
      <c r="K23" s="193"/>
      <c r="L23" s="193"/>
      <c r="M23" s="193"/>
    </row>
    <row r="24" spans="1:21" x14ac:dyDescent="0.25">
      <c r="A24" s="151" t="str">
        <f>"1. Total revenue must reconcile to "&amp;'Template names'!F103</f>
        <v>1. Total revenue must reconcile to Table A4 Budgeted Financial Performance (revenue and expenditure)</v>
      </c>
      <c r="B24" s="220"/>
      <c r="C24" s="220"/>
      <c r="D24" s="189"/>
      <c r="E24" s="193"/>
      <c r="F24" s="192"/>
      <c r="G24" s="193"/>
      <c r="H24" s="193"/>
      <c r="I24" s="193"/>
      <c r="J24" s="193"/>
      <c r="K24" s="193"/>
      <c r="L24" s="193"/>
      <c r="M24" s="193"/>
    </row>
    <row r="25" spans="1:21" x14ac:dyDescent="0.25">
      <c r="A25" s="58" t="s">
        <v>1806</v>
      </c>
    </row>
    <row r="26" spans="1:21" x14ac:dyDescent="0.25">
      <c r="A26" s="219" t="s">
        <v>840</v>
      </c>
      <c r="B26" s="220"/>
      <c r="C26" s="220"/>
      <c r="D26" s="189"/>
      <c r="E26" s="180">
        <f>E22-'A4-FinPerf RE'!C59</f>
        <v>-3070740</v>
      </c>
      <c r="F26" s="180">
        <f>F22-'A4-FinPerf RE'!D59</f>
        <v>-3188632</v>
      </c>
      <c r="G26" s="223">
        <f>G22-'A4-FinPerf RE'!E59</f>
        <v>-4481704</v>
      </c>
      <c r="H26" s="223">
        <f>H22-'A4-FinPerf RE'!F59</f>
        <v>-248444910</v>
      </c>
      <c r="I26" s="223">
        <f>I22-'A4-FinPerf RE'!G59</f>
        <v>-291406090</v>
      </c>
      <c r="J26" s="223">
        <f>J22-'A4-FinPerf RE'!H59</f>
        <v>-291406090</v>
      </c>
      <c r="K26" s="223">
        <f>K22-'A4-FinPerf RE'!J59</f>
        <v>-270886244</v>
      </c>
      <c r="L26" s="223">
        <f>L22-'A4-FinPerf RE'!K59</f>
        <v>-285207280</v>
      </c>
      <c r="M26" s="223">
        <f>M22-'A4-FinPerf RE'!L59</f>
        <v>-291506848</v>
      </c>
    </row>
    <row r="27" spans="1:21" x14ac:dyDescent="0.25">
      <c r="E27" s="1040"/>
    </row>
    <row r="28" spans="1:21" x14ac:dyDescent="0.25">
      <c r="E28" s="1040"/>
    </row>
  </sheetData>
  <sheetProtection sheet="1" objects="1" scenarios="1"/>
  <mergeCells count="3">
    <mergeCell ref="H2:J2"/>
    <mergeCell ref="K2:M2"/>
    <mergeCell ref="D2:D3"/>
  </mergeCells>
  <phoneticPr fontId="7" type="noConversion"/>
  <printOptions horizontalCentered="1"/>
  <pageMargins left="0" right="0" top="0.78740157480314965" bottom="0.59055118110236227" header="0.51181102362204722" footer="0.39370078740157483"/>
  <pageSetup paperSize="9" scale="83" orientation="portrait"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pageSetUpPr fitToPage="1"/>
  </sheetPr>
  <dimension ref="A1:Y76"/>
  <sheetViews>
    <sheetView showGridLines="0" zoomScale="110" zoomScaleNormal="110" workbookViewId="0">
      <pane xSplit="4" ySplit="3" topLeftCell="E61" activePane="bottomRight" state="frozen"/>
      <selection pane="topRight"/>
      <selection pane="bottomLeft"/>
      <selection pane="bottomRight" activeCell="A4" sqref="A4:M66"/>
    </sheetView>
  </sheetViews>
  <sheetFormatPr defaultColWidth="9.140625" defaultRowHeight="12.75" x14ac:dyDescent="0.25"/>
  <cols>
    <col min="1" max="2" width="18.7109375" style="58" customWidth="1"/>
    <col min="3" max="3" width="5.28515625" style="58" customWidth="1"/>
    <col min="4" max="4" width="3" style="55" customWidth="1"/>
    <col min="5" max="13" width="9.28515625" style="58" customWidth="1"/>
    <col min="14" max="14" width="32.7109375" style="58" bestFit="1" customWidth="1"/>
    <col min="15" max="15" width="1.42578125" style="58" customWidth="1"/>
    <col min="16" max="17" width="8" style="58" bestFit="1" customWidth="1"/>
    <col min="18" max="18" width="8.42578125" style="58" bestFit="1" customWidth="1"/>
    <col min="19" max="20" width="8" style="58" bestFit="1" customWidth="1"/>
    <col min="21" max="24" width="8.7109375" style="58" bestFit="1" customWidth="1"/>
    <col min="25" max="26" width="9.7109375" style="58" customWidth="1"/>
    <col min="27" max="16384" width="9.140625" style="58"/>
  </cols>
  <sheetData>
    <row r="1" spans="1:25" ht="13.5" x14ac:dyDescent="0.25">
      <c r="A1" s="92" t="str">
        <f>muni&amp;" - "&amp;TableA5</f>
        <v>KZN226 Mkhambathini - Supporting Table SA5 Reconciliation of IDP strategic objectives and budget (operating expenditure)</v>
      </c>
      <c r="B1" s="92"/>
      <c r="C1" s="92"/>
      <c r="D1" s="92"/>
      <c r="E1" s="92"/>
      <c r="F1" s="92"/>
      <c r="G1" s="92"/>
      <c r="H1" s="92"/>
      <c r="I1" s="92"/>
      <c r="J1" s="92"/>
      <c r="K1" s="92"/>
      <c r="L1" s="92"/>
      <c r="M1" s="92"/>
      <c r="N1" s="220"/>
      <c r="O1" s="220"/>
      <c r="P1" s="220"/>
      <c r="Q1" s="220"/>
    </row>
    <row r="2" spans="1:25" ht="28.5" customHeight="1" x14ac:dyDescent="0.25">
      <c r="A2" s="696" t="s">
        <v>837</v>
      </c>
      <c r="B2" s="689" t="s">
        <v>1174</v>
      </c>
      <c r="C2" s="697" t="s">
        <v>1800</v>
      </c>
      <c r="D2" s="2470" t="str">
        <f>head27</f>
        <v>Ref</v>
      </c>
      <c r="E2" s="683" t="str">
        <f>head1b</f>
        <v>2017/18</v>
      </c>
      <c r="F2" s="837" t="str">
        <f>head1A</f>
        <v>2018/19</v>
      </c>
      <c r="G2" s="684" t="str">
        <f>Head1</f>
        <v>2019/20</v>
      </c>
      <c r="H2" s="2447" t="str">
        <f>Head2</f>
        <v>Current Year 2020/21</v>
      </c>
      <c r="I2" s="2448"/>
      <c r="J2" s="2449"/>
      <c r="K2" s="2450" t="str">
        <f>Head3</f>
        <v>2021/22 Medium Term Revenue &amp; Expenditure Framework</v>
      </c>
      <c r="L2" s="2451"/>
      <c r="M2" s="2452"/>
      <c r="N2" s="220"/>
      <c r="O2" s="220"/>
      <c r="P2" s="220"/>
      <c r="Q2" s="220"/>
    </row>
    <row r="3" spans="1:25" ht="25.5" x14ac:dyDescent="0.25">
      <c r="A3" s="1016" t="s">
        <v>568</v>
      </c>
      <c r="B3" s="157"/>
      <c r="C3" s="157"/>
      <c r="D3" s="2471"/>
      <c r="E3" s="702" t="str">
        <f>Head5</f>
        <v>Audited Outcome</v>
      </c>
      <c r="F3" s="698" t="str">
        <f>Head5</f>
        <v>Audited Outcome</v>
      </c>
      <c r="G3" s="94" t="str">
        <f>Head5</f>
        <v>Audited Outcome</v>
      </c>
      <c r="H3" s="95" t="str">
        <f>Head6</f>
        <v>Original Budget</v>
      </c>
      <c r="I3" s="698" t="str">
        <f>Head7</f>
        <v>Adjusted Budget</v>
      </c>
      <c r="J3" s="94" t="str">
        <f>Head8</f>
        <v>Full Year Forecast</v>
      </c>
      <c r="K3" s="95" t="str">
        <f>Head9</f>
        <v>Budget Year 2021/22</v>
      </c>
      <c r="L3" s="698" t="str">
        <f>Head10</f>
        <v>Budget Year +1 2022/23</v>
      </c>
      <c r="M3" s="94" t="str">
        <f>Head11</f>
        <v>Budget Year +2 2023/24</v>
      </c>
      <c r="N3" s="220"/>
      <c r="O3" s="220"/>
      <c r="P3" s="220"/>
      <c r="Q3" s="220"/>
    </row>
    <row r="4" spans="1:25" ht="42.75" customHeight="1" x14ac:dyDescent="0.25">
      <c r="A4" s="1017" t="s">
        <v>3124</v>
      </c>
      <c r="B4" s="1018" t="s">
        <v>2504</v>
      </c>
      <c r="C4" s="1018">
        <v>13</v>
      </c>
      <c r="D4" s="1019" t="s">
        <v>3108</v>
      </c>
      <c r="E4" s="1020">
        <v>651643</v>
      </c>
      <c r="F4" s="1020">
        <v>883409</v>
      </c>
      <c r="G4" s="1021">
        <v>498101</v>
      </c>
      <c r="H4" s="1022">
        <v>1166500</v>
      </c>
      <c r="I4" s="1020">
        <v>1003572</v>
      </c>
      <c r="J4" s="1023">
        <v>1003572</v>
      </c>
      <c r="K4" s="1024">
        <v>1788500</v>
      </c>
      <c r="L4" s="1020">
        <v>1860040</v>
      </c>
      <c r="M4" s="1021">
        <v>1934442</v>
      </c>
      <c r="N4" s="1025"/>
      <c r="O4" s="1025"/>
      <c r="P4" s="223"/>
      <c r="Q4" s="223"/>
      <c r="R4" s="223"/>
      <c r="S4" s="223"/>
      <c r="T4" s="223"/>
      <c r="U4" s="223"/>
      <c r="V4" s="223"/>
      <c r="W4" s="223"/>
      <c r="X4" s="223"/>
      <c r="Y4" s="1026"/>
    </row>
    <row r="5" spans="1:25" ht="42.75" customHeight="1" x14ac:dyDescent="0.25">
      <c r="A5" s="1017" t="s">
        <v>3124</v>
      </c>
      <c r="B5" s="1018" t="s">
        <v>2493</v>
      </c>
      <c r="C5" s="1018">
        <v>2</v>
      </c>
      <c r="D5" s="1019" t="s">
        <v>3108</v>
      </c>
      <c r="E5" s="1020">
        <v>0</v>
      </c>
      <c r="F5" s="1020">
        <v>63813</v>
      </c>
      <c r="G5" s="1021">
        <v>105816</v>
      </c>
      <c r="H5" s="1022">
        <v>150000</v>
      </c>
      <c r="I5" s="1020">
        <v>92405</v>
      </c>
      <c r="J5" s="1023">
        <v>92405</v>
      </c>
      <c r="K5" s="1024">
        <v>140000</v>
      </c>
      <c r="L5" s="1020">
        <v>99850</v>
      </c>
      <c r="M5" s="1021">
        <v>103843</v>
      </c>
      <c r="N5" s="1025"/>
      <c r="O5" s="1025"/>
      <c r="P5" s="223"/>
      <c r="Q5" s="223"/>
      <c r="R5" s="223"/>
      <c r="S5" s="223"/>
      <c r="T5" s="223"/>
      <c r="U5" s="223"/>
      <c r="V5" s="223"/>
      <c r="W5" s="223"/>
      <c r="X5" s="223"/>
      <c r="Y5" s="1026"/>
    </row>
    <row r="6" spans="1:25" ht="42.75" customHeight="1" x14ac:dyDescent="0.25">
      <c r="A6" s="1017" t="s">
        <v>3124</v>
      </c>
      <c r="B6" s="1018" t="s">
        <v>2503</v>
      </c>
      <c r="C6" s="1018">
        <v>12</v>
      </c>
      <c r="D6" s="1019" t="s">
        <v>3108</v>
      </c>
      <c r="E6" s="1020">
        <v>45900</v>
      </c>
      <c r="F6" s="1020">
        <v>37750</v>
      </c>
      <c r="G6" s="1021">
        <v>45100</v>
      </c>
      <c r="H6" s="1022">
        <v>95000</v>
      </c>
      <c r="I6" s="1020">
        <v>95000</v>
      </c>
      <c r="J6" s="1023">
        <v>95000</v>
      </c>
      <c r="K6" s="1024">
        <v>75000</v>
      </c>
      <c r="L6" s="1020">
        <v>78000</v>
      </c>
      <c r="M6" s="1021">
        <v>81120</v>
      </c>
      <c r="N6" s="1025"/>
      <c r="O6" s="1025"/>
      <c r="P6" s="223"/>
      <c r="Q6" s="223"/>
      <c r="R6" s="223"/>
      <c r="S6" s="223"/>
      <c r="T6" s="223"/>
      <c r="U6" s="223"/>
      <c r="V6" s="223"/>
      <c r="W6" s="223"/>
      <c r="X6" s="223"/>
      <c r="Y6" s="1026"/>
    </row>
    <row r="7" spans="1:25" ht="42.75" customHeight="1" x14ac:dyDescent="0.25">
      <c r="A7" s="1017" t="s">
        <v>3244</v>
      </c>
      <c r="B7" s="1018" t="s">
        <v>2500</v>
      </c>
      <c r="C7" s="1018">
        <v>9</v>
      </c>
      <c r="D7" s="1019" t="s">
        <v>3108</v>
      </c>
      <c r="E7" s="1020">
        <v>10</v>
      </c>
      <c r="F7" s="1020">
        <v>0</v>
      </c>
      <c r="G7" s="1021">
        <v>0</v>
      </c>
      <c r="H7" s="1022">
        <v>0</v>
      </c>
      <c r="I7" s="1020">
        <v>0</v>
      </c>
      <c r="J7" s="1023">
        <v>0</v>
      </c>
      <c r="K7" s="1024">
        <v>0</v>
      </c>
      <c r="L7" s="1020">
        <v>0</v>
      </c>
      <c r="M7" s="1021">
        <v>0</v>
      </c>
      <c r="N7" s="1025"/>
      <c r="O7" s="1025"/>
      <c r="P7" s="223"/>
      <c r="Q7" s="223"/>
      <c r="R7" s="223"/>
      <c r="S7" s="223"/>
      <c r="T7" s="223"/>
      <c r="U7" s="223"/>
      <c r="V7" s="223"/>
      <c r="W7" s="223"/>
      <c r="X7" s="223"/>
      <c r="Y7" s="1026"/>
    </row>
    <row r="8" spans="1:25" ht="42.75" customHeight="1" x14ac:dyDescent="0.25">
      <c r="A8" s="1017" t="s">
        <v>3145</v>
      </c>
      <c r="B8" s="1018" t="s">
        <v>2499</v>
      </c>
      <c r="C8" s="1018">
        <v>8</v>
      </c>
      <c r="D8" s="1019" t="s">
        <v>3108</v>
      </c>
      <c r="E8" s="1020">
        <v>0</v>
      </c>
      <c r="F8" s="1020">
        <v>87442</v>
      </c>
      <c r="G8" s="1021">
        <v>0</v>
      </c>
      <c r="H8" s="1022">
        <v>147900</v>
      </c>
      <c r="I8" s="1020">
        <v>26040</v>
      </c>
      <c r="J8" s="1023">
        <v>26040</v>
      </c>
      <c r="K8" s="1024">
        <v>170000</v>
      </c>
      <c r="L8" s="1020">
        <v>176800</v>
      </c>
      <c r="M8" s="1021">
        <v>183872</v>
      </c>
      <c r="N8" s="1025"/>
      <c r="O8" s="1025"/>
      <c r="P8" s="223"/>
      <c r="Q8" s="223"/>
      <c r="R8" s="223"/>
      <c r="S8" s="223"/>
      <c r="T8" s="223"/>
      <c r="U8" s="223"/>
      <c r="V8" s="223"/>
      <c r="W8" s="223"/>
      <c r="X8" s="223"/>
      <c r="Y8" s="1026"/>
    </row>
    <row r="9" spans="1:25" ht="42.75" customHeight="1" x14ac:dyDescent="0.25">
      <c r="A9" s="1017" t="s">
        <v>3245</v>
      </c>
      <c r="B9" s="1018" t="s">
        <v>2496</v>
      </c>
      <c r="C9" s="1018">
        <v>5</v>
      </c>
      <c r="D9" s="1019" t="s">
        <v>3108</v>
      </c>
      <c r="E9" s="1020">
        <v>192565</v>
      </c>
      <c r="F9" s="1020">
        <v>0</v>
      </c>
      <c r="G9" s="1021">
        <v>0</v>
      </c>
      <c r="H9" s="1022">
        <v>0</v>
      </c>
      <c r="I9" s="1020">
        <v>0</v>
      </c>
      <c r="J9" s="1023">
        <v>0</v>
      </c>
      <c r="K9" s="1024">
        <v>0</v>
      </c>
      <c r="L9" s="1020">
        <v>0</v>
      </c>
      <c r="M9" s="1021">
        <v>0</v>
      </c>
      <c r="N9" s="1025"/>
      <c r="O9" s="1025"/>
      <c r="P9" s="223"/>
      <c r="Q9" s="223"/>
      <c r="R9" s="223"/>
      <c r="S9" s="223"/>
      <c r="T9" s="223"/>
      <c r="U9" s="223"/>
      <c r="V9" s="223"/>
      <c r="W9" s="223"/>
      <c r="X9" s="223"/>
      <c r="Y9" s="1026"/>
    </row>
    <row r="10" spans="1:25" ht="42.75" customHeight="1" x14ac:dyDescent="0.25">
      <c r="A10" s="1017" t="s">
        <v>3245</v>
      </c>
      <c r="B10" s="1018" t="s">
        <v>2500</v>
      </c>
      <c r="C10" s="1018">
        <v>9</v>
      </c>
      <c r="D10" s="1019" t="s">
        <v>3108</v>
      </c>
      <c r="E10" s="1020">
        <v>62487</v>
      </c>
      <c r="F10" s="1020">
        <v>0</v>
      </c>
      <c r="G10" s="1021">
        <v>0</v>
      </c>
      <c r="H10" s="1022">
        <v>0</v>
      </c>
      <c r="I10" s="1020">
        <v>0</v>
      </c>
      <c r="J10" s="1023">
        <v>0</v>
      </c>
      <c r="K10" s="1024">
        <v>0</v>
      </c>
      <c r="L10" s="1020">
        <v>0</v>
      </c>
      <c r="M10" s="1021">
        <v>0</v>
      </c>
      <c r="N10" s="1025"/>
      <c r="O10" s="1025"/>
      <c r="P10" s="223"/>
      <c r="Q10" s="223"/>
      <c r="R10" s="223"/>
      <c r="S10" s="223"/>
      <c r="T10" s="223"/>
      <c r="U10" s="223"/>
      <c r="V10" s="223"/>
      <c r="W10" s="223"/>
      <c r="X10" s="223"/>
      <c r="Y10" s="1026"/>
    </row>
    <row r="11" spans="1:25" ht="42.75" customHeight="1" x14ac:dyDescent="0.25">
      <c r="A11" s="1017" t="s">
        <v>3137</v>
      </c>
      <c r="B11" s="1018" t="s">
        <v>2504</v>
      </c>
      <c r="C11" s="1018">
        <v>13</v>
      </c>
      <c r="D11" s="1019" t="s">
        <v>3108</v>
      </c>
      <c r="E11" s="1020">
        <v>0</v>
      </c>
      <c r="F11" s="1020">
        <v>3800</v>
      </c>
      <c r="G11" s="1021">
        <v>1528</v>
      </c>
      <c r="H11" s="1022">
        <v>100000</v>
      </c>
      <c r="I11" s="1020">
        <v>144550</v>
      </c>
      <c r="J11" s="1023">
        <v>144550</v>
      </c>
      <c r="K11" s="1024">
        <v>130000</v>
      </c>
      <c r="L11" s="1020">
        <v>135200</v>
      </c>
      <c r="M11" s="1021">
        <v>140608</v>
      </c>
      <c r="N11" s="1025"/>
      <c r="O11" s="1025"/>
      <c r="P11" s="223"/>
      <c r="Q11" s="223"/>
      <c r="R11" s="223"/>
      <c r="S11" s="223"/>
      <c r="T11" s="223"/>
      <c r="U11" s="223"/>
      <c r="V11" s="223"/>
      <c r="W11" s="223"/>
      <c r="X11" s="223"/>
      <c r="Y11" s="1026"/>
    </row>
    <row r="12" spans="1:25" ht="42.75" customHeight="1" x14ac:dyDescent="0.25">
      <c r="A12" s="1017" t="s">
        <v>3137</v>
      </c>
      <c r="B12" s="1018" t="s">
        <v>2497</v>
      </c>
      <c r="C12" s="1018">
        <v>6</v>
      </c>
      <c r="D12" s="1019" t="s">
        <v>3108</v>
      </c>
      <c r="E12" s="1020">
        <v>0</v>
      </c>
      <c r="F12" s="1020">
        <v>1163601</v>
      </c>
      <c r="G12" s="1021">
        <v>1568075</v>
      </c>
      <c r="H12" s="1022">
        <v>2000000</v>
      </c>
      <c r="I12" s="1020">
        <v>3282733</v>
      </c>
      <c r="J12" s="1023">
        <v>3282733</v>
      </c>
      <c r="K12" s="1024">
        <v>9800000</v>
      </c>
      <c r="L12" s="1020">
        <v>10192000</v>
      </c>
      <c r="M12" s="1021">
        <v>10599680</v>
      </c>
      <c r="N12" s="1025"/>
      <c r="O12" s="1025"/>
      <c r="P12" s="223"/>
      <c r="Q12" s="223"/>
      <c r="R12" s="223"/>
      <c r="S12" s="223"/>
      <c r="T12" s="223"/>
      <c r="U12" s="223"/>
      <c r="V12" s="223"/>
      <c r="W12" s="223"/>
      <c r="X12" s="223"/>
      <c r="Y12" s="1026"/>
    </row>
    <row r="13" spans="1:25" ht="42.75" customHeight="1" x14ac:dyDescent="0.25">
      <c r="A13" s="1017" t="s">
        <v>3116</v>
      </c>
      <c r="B13" s="1018" t="s">
        <v>2500</v>
      </c>
      <c r="C13" s="1018">
        <v>9</v>
      </c>
      <c r="D13" s="1019" t="s">
        <v>3108</v>
      </c>
      <c r="E13" s="1020">
        <v>8580</v>
      </c>
      <c r="F13" s="1020">
        <v>126759</v>
      </c>
      <c r="G13" s="1021">
        <v>1214882</v>
      </c>
      <c r="H13" s="1022">
        <v>250000</v>
      </c>
      <c r="I13" s="1020">
        <v>70000</v>
      </c>
      <c r="J13" s="1023">
        <v>70000</v>
      </c>
      <c r="K13" s="1024">
        <v>88730</v>
      </c>
      <c r="L13" s="1020">
        <v>128639</v>
      </c>
      <c r="M13" s="1021">
        <v>134845</v>
      </c>
      <c r="N13" s="1025"/>
      <c r="O13" s="1025"/>
      <c r="P13" s="223"/>
      <c r="Q13" s="223"/>
      <c r="R13" s="223"/>
      <c r="S13" s="223"/>
      <c r="T13" s="223"/>
      <c r="U13" s="223"/>
      <c r="V13" s="223"/>
      <c r="W13" s="223"/>
      <c r="X13" s="223"/>
      <c r="Y13" s="1026"/>
    </row>
    <row r="14" spans="1:25" ht="42.75" customHeight="1" x14ac:dyDescent="0.25">
      <c r="A14" s="1017" t="s">
        <v>3116</v>
      </c>
      <c r="B14" s="1018" t="s">
        <v>2499</v>
      </c>
      <c r="C14" s="1018">
        <v>8</v>
      </c>
      <c r="D14" s="1019" t="s">
        <v>3108</v>
      </c>
      <c r="E14" s="1020">
        <v>13104</v>
      </c>
      <c r="F14" s="1020">
        <v>151789</v>
      </c>
      <c r="G14" s="1021">
        <v>354564</v>
      </c>
      <c r="H14" s="1022">
        <v>600000</v>
      </c>
      <c r="I14" s="1020">
        <v>600000</v>
      </c>
      <c r="J14" s="1023">
        <v>600000</v>
      </c>
      <c r="K14" s="1024">
        <v>623400</v>
      </c>
      <c r="L14" s="1020">
        <v>648336</v>
      </c>
      <c r="M14" s="1021">
        <v>674269</v>
      </c>
      <c r="N14" s="1025"/>
      <c r="O14" s="1025"/>
      <c r="P14" s="223"/>
      <c r="Q14" s="223"/>
      <c r="R14" s="223"/>
      <c r="S14" s="223"/>
      <c r="T14" s="223"/>
      <c r="U14" s="223"/>
      <c r="V14" s="223"/>
      <c r="W14" s="223"/>
      <c r="X14" s="223"/>
      <c r="Y14" s="1026"/>
    </row>
    <row r="15" spans="1:25" ht="42.75" customHeight="1" x14ac:dyDescent="0.25">
      <c r="A15" s="1017" t="s">
        <v>2402</v>
      </c>
      <c r="B15" s="1018" t="s">
        <v>2504</v>
      </c>
      <c r="C15" s="1018">
        <v>13</v>
      </c>
      <c r="D15" s="1019" t="s">
        <v>3108</v>
      </c>
      <c r="E15" s="1020">
        <v>131849</v>
      </c>
      <c r="F15" s="1020">
        <v>70023</v>
      </c>
      <c r="G15" s="1021">
        <v>347962</v>
      </c>
      <c r="H15" s="1022">
        <v>230000</v>
      </c>
      <c r="I15" s="1020">
        <v>716750</v>
      </c>
      <c r="J15" s="1023">
        <v>716750</v>
      </c>
      <c r="K15" s="1024">
        <v>950000</v>
      </c>
      <c r="L15" s="1020">
        <v>988000</v>
      </c>
      <c r="M15" s="1021">
        <v>1027520</v>
      </c>
      <c r="N15" s="1025"/>
      <c r="O15" s="1025"/>
      <c r="P15" s="223"/>
      <c r="Q15" s="223"/>
      <c r="R15" s="223"/>
      <c r="S15" s="223"/>
      <c r="T15" s="223"/>
      <c r="U15" s="223"/>
      <c r="V15" s="223"/>
      <c r="W15" s="223"/>
      <c r="X15" s="223"/>
      <c r="Y15" s="1026"/>
    </row>
    <row r="16" spans="1:25" ht="42.75" customHeight="1" x14ac:dyDescent="0.25">
      <c r="A16" s="1017" t="s">
        <v>3133</v>
      </c>
      <c r="B16" s="1018" t="s">
        <v>2504</v>
      </c>
      <c r="C16" s="1018">
        <v>13</v>
      </c>
      <c r="D16" s="1019" t="s">
        <v>3108</v>
      </c>
      <c r="E16" s="1020">
        <v>4728</v>
      </c>
      <c r="F16" s="1020">
        <v>88305</v>
      </c>
      <c r="G16" s="1021">
        <v>0</v>
      </c>
      <c r="H16" s="1022">
        <v>254442</v>
      </c>
      <c r="I16" s="1020">
        <v>254442</v>
      </c>
      <c r="J16" s="1023">
        <v>254442</v>
      </c>
      <c r="K16" s="1024">
        <v>264365</v>
      </c>
      <c r="L16" s="1020">
        <v>274941</v>
      </c>
      <c r="M16" s="1021">
        <v>285937</v>
      </c>
      <c r="N16" s="1025"/>
      <c r="O16" s="1025"/>
      <c r="P16" s="223"/>
      <c r="Q16" s="223"/>
      <c r="R16" s="223"/>
      <c r="S16" s="223"/>
      <c r="T16" s="223"/>
      <c r="U16" s="223"/>
      <c r="V16" s="223"/>
      <c r="W16" s="223"/>
      <c r="X16" s="223"/>
      <c r="Y16" s="1026"/>
    </row>
    <row r="17" spans="1:25" ht="42.75" customHeight="1" x14ac:dyDescent="0.25">
      <c r="A17" s="1017" t="s">
        <v>3117</v>
      </c>
      <c r="B17" s="1018" t="s">
        <v>2503</v>
      </c>
      <c r="C17" s="1018">
        <v>12</v>
      </c>
      <c r="D17" s="1019" t="s">
        <v>3108</v>
      </c>
      <c r="E17" s="1020">
        <v>0</v>
      </c>
      <c r="F17" s="1020">
        <v>35215</v>
      </c>
      <c r="G17" s="1021">
        <v>0</v>
      </c>
      <c r="H17" s="1022">
        <v>0</v>
      </c>
      <c r="I17" s="1020">
        <v>0</v>
      </c>
      <c r="J17" s="1023">
        <v>0</v>
      </c>
      <c r="K17" s="1024">
        <v>0</v>
      </c>
      <c r="L17" s="1020">
        <v>0</v>
      </c>
      <c r="M17" s="1021">
        <v>0</v>
      </c>
      <c r="N17" s="1025"/>
      <c r="O17" s="1025"/>
      <c r="P17" s="223"/>
      <c r="Q17" s="223"/>
      <c r="R17" s="223"/>
      <c r="S17" s="223"/>
      <c r="T17" s="223"/>
      <c r="U17" s="223"/>
      <c r="V17" s="223"/>
      <c r="W17" s="223"/>
      <c r="X17" s="223"/>
      <c r="Y17" s="1026"/>
    </row>
    <row r="18" spans="1:25" ht="42.75" customHeight="1" x14ac:dyDescent="0.25">
      <c r="A18" s="1017" t="s">
        <v>3117</v>
      </c>
      <c r="B18" s="1018" t="s">
        <v>2500</v>
      </c>
      <c r="C18" s="1018">
        <v>9</v>
      </c>
      <c r="D18" s="1019" t="s">
        <v>3108</v>
      </c>
      <c r="E18" s="1020">
        <v>7006</v>
      </c>
      <c r="F18" s="1020">
        <v>394</v>
      </c>
      <c r="G18" s="1021">
        <v>93</v>
      </c>
      <c r="H18" s="1022">
        <v>0</v>
      </c>
      <c r="I18" s="1020">
        <v>0</v>
      </c>
      <c r="J18" s="1023">
        <v>0</v>
      </c>
      <c r="K18" s="1024">
        <v>0</v>
      </c>
      <c r="L18" s="1020">
        <v>0</v>
      </c>
      <c r="M18" s="1021">
        <v>0</v>
      </c>
      <c r="N18" s="1025"/>
      <c r="O18" s="1025"/>
      <c r="P18" s="223"/>
      <c r="Q18" s="223"/>
      <c r="R18" s="223"/>
      <c r="S18" s="223"/>
      <c r="T18" s="223"/>
      <c r="U18" s="223"/>
      <c r="V18" s="223"/>
      <c r="W18" s="223"/>
      <c r="X18" s="223"/>
      <c r="Y18" s="1026"/>
    </row>
    <row r="19" spans="1:25" ht="42.75" customHeight="1" x14ac:dyDescent="0.25">
      <c r="A19" s="1017" t="s">
        <v>3117</v>
      </c>
      <c r="B19" s="1018" t="s">
        <v>2499</v>
      </c>
      <c r="C19" s="1018">
        <v>8</v>
      </c>
      <c r="D19" s="1019" t="s">
        <v>3108</v>
      </c>
      <c r="E19" s="1020">
        <v>37274719</v>
      </c>
      <c r="F19" s="1020">
        <v>38357083</v>
      </c>
      <c r="G19" s="1021">
        <v>40216061</v>
      </c>
      <c r="H19" s="1022">
        <v>48733491</v>
      </c>
      <c r="I19" s="1020">
        <v>49381991</v>
      </c>
      <c r="J19" s="1023">
        <v>49381991</v>
      </c>
      <c r="K19" s="1024">
        <v>52700847</v>
      </c>
      <c r="L19" s="1020">
        <v>52399920</v>
      </c>
      <c r="M19" s="1021">
        <v>58960366</v>
      </c>
      <c r="N19" s="1025"/>
      <c r="O19" s="1025"/>
      <c r="P19" s="223"/>
      <c r="Q19" s="223"/>
      <c r="R19" s="223"/>
      <c r="S19" s="223"/>
      <c r="T19" s="223"/>
      <c r="U19" s="223"/>
      <c r="V19" s="223"/>
      <c r="W19" s="223"/>
      <c r="X19" s="223"/>
      <c r="Y19" s="1026"/>
    </row>
    <row r="20" spans="1:25" ht="42.75" customHeight="1" x14ac:dyDescent="0.25">
      <c r="A20" s="1017" t="s">
        <v>3146</v>
      </c>
      <c r="B20" s="1018" t="s">
        <v>2503</v>
      </c>
      <c r="C20" s="1018">
        <v>12</v>
      </c>
      <c r="D20" s="1019" t="s">
        <v>3108</v>
      </c>
      <c r="E20" s="1020">
        <v>0</v>
      </c>
      <c r="F20" s="1020">
        <v>0</v>
      </c>
      <c r="G20" s="1021">
        <v>4750</v>
      </c>
      <c r="H20" s="1022">
        <v>0</v>
      </c>
      <c r="I20" s="1020">
        <v>0</v>
      </c>
      <c r="J20" s="1023">
        <v>0</v>
      </c>
      <c r="K20" s="1024">
        <v>40000</v>
      </c>
      <c r="L20" s="1020">
        <v>41600</v>
      </c>
      <c r="M20" s="1021">
        <v>43264</v>
      </c>
      <c r="N20" s="1025"/>
      <c r="O20" s="1025"/>
      <c r="P20" s="223"/>
      <c r="Q20" s="223"/>
      <c r="R20" s="223"/>
      <c r="S20" s="223"/>
      <c r="T20" s="223"/>
      <c r="U20" s="223"/>
      <c r="V20" s="223"/>
      <c r="W20" s="223"/>
      <c r="X20" s="223"/>
      <c r="Y20" s="1026"/>
    </row>
    <row r="21" spans="1:25" ht="42.75" customHeight="1" x14ac:dyDescent="0.25">
      <c r="A21" s="1017" t="s">
        <v>3112</v>
      </c>
      <c r="B21" s="1018" t="s">
        <v>2493</v>
      </c>
      <c r="C21" s="1018">
        <v>2</v>
      </c>
      <c r="D21" s="1019" t="s">
        <v>3108</v>
      </c>
      <c r="E21" s="1020">
        <v>0</v>
      </c>
      <c r="F21" s="1020">
        <v>6400</v>
      </c>
      <c r="G21" s="1021">
        <v>0</v>
      </c>
      <c r="H21" s="1022">
        <v>20000</v>
      </c>
      <c r="I21" s="1020">
        <v>10000</v>
      </c>
      <c r="J21" s="1023">
        <v>10000</v>
      </c>
      <c r="K21" s="1024">
        <v>10390</v>
      </c>
      <c r="L21" s="1020">
        <v>10806</v>
      </c>
      <c r="M21" s="1021">
        <v>11238</v>
      </c>
      <c r="N21" s="1025"/>
      <c r="O21" s="1025"/>
      <c r="P21" s="223"/>
      <c r="Q21" s="223"/>
      <c r="R21" s="223"/>
      <c r="S21" s="223"/>
      <c r="T21" s="223"/>
      <c r="U21" s="223"/>
      <c r="V21" s="223"/>
      <c r="W21" s="223"/>
      <c r="X21" s="223"/>
      <c r="Y21" s="1026"/>
    </row>
    <row r="22" spans="1:25" ht="42.75" customHeight="1" x14ac:dyDescent="0.25">
      <c r="A22" s="1017" t="s">
        <v>3112</v>
      </c>
      <c r="B22" s="1018" t="s">
        <v>2501</v>
      </c>
      <c r="C22" s="1018">
        <v>10</v>
      </c>
      <c r="D22" s="1019" t="s">
        <v>3108</v>
      </c>
      <c r="E22" s="1020">
        <v>1149</v>
      </c>
      <c r="F22" s="1020">
        <v>1287</v>
      </c>
      <c r="G22" s="1021">
        <v>0</v>
      </c>
      <c r="H22" s="1022">
        <v>85000</v>
      </c>
      <c r="I22" s="1020">
        <v>95000</v>
      </c>
      <c r="J22" s="1023">
        <v>95000</v>
      </c>
      <c r="K22" s="1024">
        <v>85000</v>
      </c>
      <c r="L22" s="1020">
        <v>88400</v>
      </c>
      <c r="M22" s="1021">
        <v>91936</v>
      </c>
      <c r="N22" s="1025"/>
      <c r="O22" s="1025"/>
      <c r="P22" s="223"/>
      <c r="Q22" s="223"/>
      <c r="R22" s="223"/>
      <c r="S22" s="223"/>
      <c r="T22" s="223"/>
      <c r="U22" s="223"/>
      <c r="V22" s="223"/>
      <c r="W22" s="223"/>
      <c r="X22" s="223"/>
      <c r="Y22" s="1026"/>
    </row>
    <row r="23" spans="1:25" ht="42.75" customHeight="1" x14ac:dyDescent="0.25">
      <c r="A23" s="1017" t="s">
        <v>3112</v>
      </c>
      <c r="B23" s="1018" t="s">
        <v>2500</v>
      </c>
      <c r="C23" s="1018">
        <v>9</v>
      </c>
      <c r="D23" s="1019" t="s">
        <v>3108</v>
      </c>
      <c r="E23" s="1020">
        <v>54270</v>
      </c>
      <c r="F23" s="1020">
        <v>74134</v>
      </c>
      <c r="G23" s="1021">
        <v>84413</v>
      </c>
      <c r="H23" s="1022">
        <v>140000</v>
      </c>
      <c r="I23" s="1020">
        <v>115000</v>
      </c>
      <c r="J23" s="1023">
        <v>115000</v>
      </c>
      <c r="K23" s="1024">
        <v>85585</v>
      </c>
      <c r="L23" s="1020">
        <v>69208</v>
      </c>
      <c r="M23" s="1021">
        <v>73037</v>
      </c>
      <c r="N23" s="1025"/>
      <c r="O23" s="1025"/>
      <c r="P23" s="223"/>
      <c r="Q23" s="223"/>
      <c r="R23" s="223"/>
      <c r="S23" s="223"/>
      <c r="T23" s="223"/>
      <c r="U23" s="223"/>
      <c r="V23" s="223"/>
      <c r="W23" s="223"/>
      <c r="X23" s="223"/>
      <c r="Y23" s="1026"/>
    </row>
    <row r="24" spans="1:25" ht="42.75" customHeight="1" x14ac:dyDescent="0.25">
      <c r="A24" s="1017" t="s">
        <v>3112</v>
      </c>
      <c r="B24" s="1018" t="s">
        <v>2499</v>
      </c>
      <c r="C24" s="1018">
        <v>8</v>
      </c>
      <c r="D24" s="1019" t="s">
        <v>3108</v>
      </c>
      <c r="E24" s="1020">
        <v>292810</v>
      </c>
      <c r="F24" s="1020">
        <v>308117</v>
      </c>
      <c r="G24" s="1021">
        <v>452121</v>
      </c>
      <c r="H24" s="1022">
        <v>335000</v>
      </c>
      <c r="I24" s="1020">
        <v>567480</v>
      </c>
      <c r="J24" s="1023">
        <v>567480</v>
      </c>
      <c r="K24" s="1024">
        <v>451170</v>
      </c>
      <c r="L24" s="1020">
        <v>470434</v>
      </c>
      <c r="M24" s="1021">
        <v>489250</v>
      </c>
      <c r="N24" s="1025"/>
      <c r="O24" s="1025"/>
      <c r="P24" s="223"/>
      <c r="Q24" s="223"/>
      <c r="R24" s="223"/>
      <c r="S24" s="223"/>
      <c r="T24" s="223"/>
      <c r="U24" s="223"/>
      <c r="V24" s="223"/>
      <c r="W24" s="223"/>
      <c r="X24" s="223"/>
      <c r="Y24" s="1026"/>
    </row>
    <row r="25" spans="1:25" ht="42.75" customHeight="1" x14ac:dyDescent="0.25">
      <c r="A25" s="1017" t="s">
        <v>3109</v>
      </c>
      <c r="B25" s="1018" t="s">
        <v>2504</v>
      </c>
      <c r="C25" s="1018">
        <v>13</v>
      </c>
      <c r="D25" s="1019" t="s">
        <v>3108</v>
      </c>
      <c r="E25" s="1020">
        <v>0</v>
      </c>
      <c r="F25" s="1020">
        <v>0</v>
      </c>
      <c r="G25" s="1021">
        <v>0</v>
      </c>
      <c r="H25" s="1022">
        <v>1200000</v>
      </c>
      <c r="I25" s="1020">
        <v>800000</v>
      </c>
      <c r="J25" s="1023">
        <v>800000</v>
      </c>
      <c r="K25" s="1024">
        <v>0</v>
      </c>
      <c r="L25" s="1020">
        <v>0</v>
      </c>
      <c r="M25" s="1021">
        <v>0</v>
      </c>
      <c r="N25" s="1025"/>
      <c r="O25" s="1025"/>
      <c r="P25" s="223"/>
      <c r="Q25" s="223"/>
      <c r="R25" s="223"/>
      <c r="S25" s="223"/>
      <c r="T25" s="223"/>
      <c r="U25" s="223"/>
      <c r="V25" s="223"/>
      <c r="W25" s="223"/>
      <c r="X25" s="223"/>
      <c r="Y25" s="1026"/>
    </row>
    <row r="26" spans="1:25" ht="42.75" customHeight="1" x14ac:dyDescent="0.25">
      <c r="A26" s="1017" t="s">
        <v>3109</v>
      </c>
      <c r="B26" s="1018" t="s">
        <v>2503</v>
      </c>
      <c r="C26" s="1018">
        <v>12</v>
      </c>
      <c r="D26" s="1019" t="s">
        <v>3108</v>
      </c>
      <c r="E26" s="1020">
        <v>1218298</v>
      </c>
      <c r="F26" s="1020">
        <v>1485005</v>
      </c>
      <c r="G26" s="1021">
        <v>2129271</v>
      </c>
      <c r="H26" s="1022">
        <v>1943000</v>
      </c>
      <c r="I26" s="1020">
        <v>1143000</v>
      </c>
      <c r="J26" s="1023">
        <v>1143000</v>
      </c>
      <c r="K26" s="1024">
        <v>2300000</v>
      </c>
      <c r="L26" s="1020">
        <v>1560900</v>
      </c>
      <c r="M26" s="1021">
        <v>1657683</v>
      </c>
      <c r="N26" s="1025"/>
      <c r="O26" s="1025"/>
      <c r="P26" s="223"/>
      <c r="Q26" s="223"/>
      <c r="R26" s="223"/>
      <c r="S26" s="223"/>
      <c r="T26" s="223"/>
      <c r="U26" s="223"/>
      <c r="V26" s="223"/>
      <c r="W26" s="223"/>
      <c r="X26" s="223"/>
      <c r="Y26" s="1026"/>
    </row>
    <row r="27" spans="1:25" ht="42.75" customHeight="1" x14ac:dyDescent="0.25">
      <c r="A27" s="1017" t="s">
        <v>3114</v>
      </c>
      <c r="B27" s="1018" t="s">
        <v>2504</v>
      </c>
      <c r="C27" s="1018">
        <v>13</v>
      </c>
      <c r="D27" s="1019" t="s">
        <v>3108</v>
      </c>
      <c r="E27" s="1020">
        <v>0</v>
      </c>
      <c r="F27" s="1020">
        <v>1057506</v>
      </c>
      <c r="G27" s="1021">
        <v>535012</v>
      </c>
      <c r="H27" s="1022">
        <v>500000</v>
      </c>
      <c r="I27" s="1020">
        <v>800000</v>
      </c>
      <c r="J27" s="1023">
        <v>800000</v>
      </c>
      <c r="K27" s="1024">
        <v>831200</v>
      </c>
      <c r="L27" s="1020">
        <v>864448</v>
      </c>
      <c r="M27" s="1021">
        <v>899026</v>
      </c>
      <c r="N27" s="1025"/>
      <c r="O27" s="1025"/>
      <c r="P27" s="223"/>
      <c r="Q27" s="223"/>
      <c r="R27" s="223"/>
      <c r="S27" s="223"/>
      <c r="T27" s="223"/>
      <c r="U27" s="223"/>
      <c r="V27" s="223"/>
      <c r="W27" s="223"/>
      <c r="X27" s="223"/>
      <c r="Y27" s="1026"/>
    </row>
    <row r="28" spans="1:25" ht="42.75" customHeight="1" x14ac:dyDescent="0.25">
      <c r="A28" s="1017" t="s">
        <v>3114</v>
      </c>
      <c r="B28" s="1018" t="s">
        <v>2496</v>
      </c>
      <c r="C28" s="1018">
        <v>5</v>
      </c>
      <c r="D28" s="1019" t="s">
        <v>3108</v>
      </c>
      <c r="E28" s="1020">
        <v>85049</v>
      </c>
      <c r="F28" s="1020">
        <v>257749</v>
      </c>
      <c r="G28" s="1021">
        <v>10000</v>
      </c>
      <c r="H28" s="1022">
        <v>100000</v>
      </c>
      <c r="I28" s="1020">
        <v>100000</v>
      </c>
      <c r="J28" s="1023">
        <v>100000</v>
      </c>
      <c r="K28" s="1024">
        <v>103900</v>
      </c>
      <c r="L28" s="1020">
        <v>108056</v>
      </c>
      <c r="M28" s="1021">
        <v>112378</v>
      </c>
      <c r="N28" s="1025"/>
      <c r="O28" s="1025"/>
      <c r="P28" s="223"/>
      <c r="Q28" s="223"/>
      <c r="R28" s="223"/>
      <c r="S28" s="223"/>
      <c r="T28" s="223"/>
      <c r="U28" s="223"/>
      <c r="V28" s="223"/>
      <c r="W28" s="223"/>
      <c r="X28" s="223"/>
      <c r="Y28" s="1026"/>
    </row>
    <row r="29" spans="1:25" ht="42.75" customHeight="1" x14ac:dyDescent="0.25">
      <c r="A29" s="1017" t="s">
        <v>3114</v>
      </c>
      <c r="B29" s="1018" t="s">
        <v>2497</v>
      </c>
      <c r="C29" s="1018">
        <v>6</v>
      </c>
      <c r="D29" s="1019" t="s">
        <v>3108</v>
      </c>
      <c r="E29" s="1020">
        <v>0</v>
      </c>
      <c r="F29" s="1020">
        <v>0</v>
      </c>
      <c r="G29" s="1021">
        <v>0</v>
      </c>
      <c r="H29" s="1022">
        <v>9000000</v>
      </c>
      <c r="I29" s="1020">
        <v>12268512</v>
      </c>
      <c r="J29" s="1023">
        <v>12268512</v>
      </c>
      <c r="K29" s="1024">
        <v>0</v>
      </c>
      <c r="L29" s="1020">
        <v>4500000</v>
      </c>
      <c r="M29" s="1021">
        <v>4500000</v>
      </c>
      <c r="N29" s="1025"/>
      <c r="O29" s="1025"/>
      <c r="P29" s="223"/>
      <c r="Q29" s="223"/>
      <c r="R29" s="223"/>
      <c r="S29" s="223"/>
      <c r="T29" s="223"/>
      <c r="U29" s="223"/>
      <c r="V29" s="223"/>
      <c r="W29" s="223"/>
      <c r="X29" s="223"/>
      <c r="Y29" s="1026"/>
    </row>
    <row r="30" spans="1:25" ht="42.75" customHeight="1" x14ac:dyDescent="0.25">
      <c r="A30" s="1017" t="s">
        <v>3114</v>
      </c>
      <c r="B30" s="1018" t="s">
        <v>2503</v>
      </c>
      <c r="C30" s="1018">
        <v>12</v>
      </c>
      <c r="D30" s="1019" t="s">
        <v>3108</v>
      </c>
      <c r="E30" s="1020">
        <v>3251722</v>
      </c>
      <c r="F30" s="1020">
        <v>832366</v>
      </c>
      <c r="G30" s="1021">
        <v>1858067</v>
      </c>
      <c r="H30" s="1022">
        <v>2860000</v>
      </c>
      <c r="I30" s="1020">
        <v>15661106</v>
      </c>
      <c r="J30" s="1023">
        <v>15661106</v>
      </c>
      <c r="K30" s="1024">
        <v>12016940</v>
      </c>
      <c r="L30" s="1020">
        <v>3777618</v>
      </c>
      <c r="M30" s="1021">
        <v>4053588</v>
      </c>
      <c r="N30" s="1025"/>
      <c r="O30" s="1025"/>
      <c r="P30" s="223"/>
      <c r="Q30" s="223"/>
      <c r="R30" s="223"/>
      <c r="S30" s="223"/>
      <c r="T30" s="223"/>
      <c r="U30" s="223"/>
      <c r="V30" s="223"/>
      <c r="W30" s="223"/>
      <c r="X30" s="223"/>
      <c r="Y30" s="1026"/>
    </row>
    <row r="31" spans="1:25" ht="42.75" customHeight="1" x14ac:dyDescent="0.25">
      <c r="A31" s="1017" t="s">
        <v>3114</v>
      </c>
      <c r="B31" s="1018" t="s">
        <v>2501</v>
      </c>
      <c r="C31" s="1018">
        <v>10</v>
      </c>
      <c r="D31" s="1019" t="s">
        <v>3108</v>
      </c>
      <c r="E31" s="1020">
        <v>24929</v>
      </c>
      <c r="F31" s="1020">
        <v>6000</v>
      </c>
      <c r="G31" s="1021">
        <v>0</v>
      </c>
      <c r="H31" s="1022">
        <v>0</v>
      </c>
      <c r="I31" s="1020">
        <v>0</v>
      </c>
      <c r="J31" s="1023">
        <v>0</v>
      </c>
      <c r="K31" s="1024">
        <v>0</v>
      </c>
      <c r="L31" s="1020">
        <v>0</v>
      </c>
      <c r="M31" s="1021">
        <v>0</v>
      </c>
      <c r="N31" s="1025"/>
      <c r="O31" s="1025"/>
      <c r="P31" s="223"/>
      <c r="Q31" s="223"/>
      <c r="R31" s="223"/>
      <c r="S31" s="223"/>
      <c r="T31" s="223"/>
      <c r="U31" s="223"/>
      <c r="V31" s="223"/>
      <c r="W31" s="223"/>
      <c r="X31" s="223"/>
      <c r="Y31" s="1026"/>
    </row>
    <row r="32" spans="1:25" ht="42.75" customHeight="1" x14ac:dyDescent="0.25">
      <c r="A32" s="1017" t="s">
        <v>3114</v>
      </c>
      <c r="B32" s="1018" t="s">
        <v>2500</v>
      </c>
      <c r="C32" s="1018">
        <v>9</v>
      </c>
      <c r="D32" s="1019" t="s">
        <v>3108</v>
      </c>
      <c r="E32" s="1020">
        <v>2714110</v>
      </c>
      <c r="F32" s="1020">
        <v>485308</v>
      </c>
      <c r="G32" s="1021">
        <v>1193670</v>
      </c>
      <c r="H32" s="1022">
        <v>1154425</v>
      </c>
      <c r="I32" s="1020">
        <v>1155225</v>
      </c>
      <c r="J32" s="1023">
        <v>1155225</v>
      </c>
      <c r="K32" s="1024">
        <v>1215803</v>
      </c>
      <c r="L32" s="1020">
        <v>1242945</v>
      </c>
      <c r="M32" s="1021">
        <v>1308737</v>
      </c>
      <c r="N32" s="1025"/>
      <c r="O32" s="1025"/>
      <c r="P32" s="223"/>
      <c r="Q32" s="223"/>
      <c r="R32" s="223"/>
      <c r="S32" s="223"/>
      <c r="T32" s="223"/>
      <c r="U32" s="223"/>
      <c r="V32" s="223"/>
      <c r="W32" s="223"/>
      <c r="X32" s="223"/>
      <c r="Y32" s="1026"/>
    </row>
    <row r="33" spans="1:25" ht="42.75" customHeight="1" x14ac:dyDescent="0.25">
      <c r="A33" s="1017" t="s">
        <v>3114</v>
      </c>
      <c r="B33" s="1018" t="s">
        <v>2499</v>
      </c>
      <c r="C33" s="1018">
        <v>8</v>
      </c>
      <c r="D33" s="1019" t="s">
        <v>3108</v>
      </c>
      <c r="E33" s="1020">
        <v>20162117</v>
      </c>
      <c r="F33" s="1020">
        <v>22569293</v>
      </c>
      <c r="G33" s="1021">
        <v>24417475</v>
      </c>
      <c r="H33" s="1022">
        <v>31862001</v>
      </c>
      <c r="I33" s="1020">
        <v>31617201</v>
      </c>
      <c r="J33" s="1023">
        <v>31617201</v>
      </c>
      <c r="K33" s="1024">
        <v>33157341</v>
      </c>
      <c r="L33" s="1020">
        <v>34372693</v>
      </c>
      <c r="M33" s="1021">
        <v>36113349</v>
      </c>
      <c r="N33" s="1025"/>
      <c r="O33" s="1025"/>
      <c r="P33" s="223"/>
      <c r="Q33" s="223"/>
      <c r="R33" s="223"/>
      <c r="S33" s="223"/>
      <c r="T33" s="223"/>
      <c r="U33" s="223"/>
      <c r="V33" s="223"/>
      <c r="W33" s="223"/>
      <c r="X33" s="223"/>
      <c r="Y33" s="1026"/>
    </row>
    <row r="34" spans="1:25" ht="42.75" customHeight="1" x14ac:dyDescent="0.25">
      <c r="A34" s="1017" t="s">
        <v>3149</v>
      </c>
      <c r="B34" s="1018" t="s">
        <v>2503</v>
      </c>
      <c r="C34" s="1018">
        <v>12</v>
      </c>
      <c r="D34" s="1019" t="s">
        <v>3108</v>
      </c>
      <c r="E34" s="1020">
        <v>0</v>
      </c>
      <c r="F34" s="1020">
        <v>0</v>
      </c>
      <c r="G34" s="1021">
        <v>109633</v>
      </c>
      <c r="H34" s="1022">
        <v>700000</v>
      </c>
      <c r="I34" s="1020">
        <v>1800000</v>
      </c>
      <c r="J34" s="1023">
        <v>1800000</v>
      </c>
      <c r="K34" s="1024">
        <v>1870200</v>
      </c>
      <c r="L34" s="1020">
        <v>1945008</v>
      </c>
      <c r="M34" s="1021">
        <v>2022808</v>
      </c>
      <c r="N34" s="1025"/>
      <c r="O34" s="1025"/>
      <c r="P34" s="223"/>
      <c r="Q34" s="223"/>
      <c r="R34" s="223"/>
      <c r="S34" s="223"/>
      <c r="T34" s="223"/>
      <c r="U34" s="223"/>
      <c r="V34" s="223"/>
      <c r="W34" s="223"/>
      <c r="X34" s="223"/>
      <c r="Y34" s="1026"/>
    </row>
    <row r="35" spans="1:25" ht="42.75" customHeight="1" x14ac:dyDescent="0.25">
      <c r="A35" s="1017" t="s">
        <v>3149</v>
      </c>
      <c r="B35" s="1018" t="s">
        <v>2500</v>
      </c>
      <c r="C35" s="1018">
        <v>9</v>
      </c>
      <c r="D35" s="1019" t="s">
        <v>3108</v>
      </c>
      <c r="E35" s="1020">
        <v>185594</v>
      </c>
      <c r="F35" s="1020">
        <v>38776</v>
      </c>
      <c r="G35" s="1021">
        <v>593941</v>
      </c>
      <c r="H35" s="1022">
        <v>1910000</v>
      </c>
      <c r="I35" s="1020">
        <v>2660000</v>
      </c>
      <c r="J35" s="1023">
        <v>2660000</v>
      </c>
      <c r="K35" s="1024">
        <v>2763740</v>
      </c>
      <c r="L35" s="1020">
        <v>1249394</v>
      </c>
      <c r="M35" s="1021">
        <v>1299368</v>
      </c>
      <c r="N35" s="1025"/>
      <c r="O35" s="1025"/>
      <c r="P35" s="223"/>
      <c r="Q35" s="223"/>
      <c r="R35" s="223"/>
      <c r="S35" s="223"/>
      <c r="T35" s="223"/>
      <c r="U35" s="223"/>
      <c r="V35" s="223"/>
      <c r="W35" s="223"/>
      <c r="X35" s="223"/>
      <c r="Y35" s="1026"/>
    </row>
    <row r="36" spans="1:25" ht="42.75" customHeight="1" x14ac:dyDescent="0.25">
      <c r="A36" s="1017" t="s">
        <v>3149</v>
      </c>
      <c r="B36" s="1018" t="s">
        <v>2499</v>
      </c>
      <c r="C36" s="1018">
        <v>8</v>
      </c>
      <c r="D36" s="1019" t="s">
        <v>3108</v>
      </c>
      <c r="E36" s="1020">
        <v>665542</v>
      </c>
      <c r="F36" s="1020">
        <v>205316</v>
      </c>
      <c r="G36" s="1021">
        <v>222922</v>
      </c>
      <c r="H36" s="1022">
        <v>2430000</v>
      </c>
      <c r="I36" s="1020">
        <v>2780000</v>
      </c>
      <c r="J36" s="1023">
        <v>2780000</v>
      </c>
      <c r="K36" s="1024">
        <v>2888420</v>
      </c>
      <c r="L36" s="1020">
        <v>3003957</v>
      </c>
      <c r="M36" s="1021">
        <v>3124114</v>
      </c>
      <c r="N36" s="1025"/>
      <c r="O36" s="1025"/>
      <c r="P36" s="223"/>
      <c r="Q36" s="223"/>
      <c r="R36" s="223"/>
      <c r="S36" s="223"/>
      <c r="T36" s="223"/>
      <c r="U36" s="223"/>
      <c r="V36" s="223"/>
      <c r="W36" s="223"/>
      <c r="X36" s="223"/>
      <c r="Y36" s="1026"/>
    </row>
    <row r="37" spans="1:25" ht="42.75" customHeight="1" x14ac:dyDescent="0.25">
      <c r="A37" s="1017" t="s">
        <v>3121</v>
      </c>
      <c r="B37" s="1018" t="s">
        <v>2503</v>
      </c>
      <c r="C37" s="1018">
        <v>12</v>
      </c>
      <c r="D37" s="1019" t="s">
        <v>3108</v>
      </c>
      <c r="E37" s="1020">
        <v>1089927</v>
      </c>
      <c r="F37" s="1020">
        <v>998859</v>
      </c>
      <c r="G37" s="1021">
        <v>82090</v>
      </c>
      <c r="H37" s="1022">
        <v>1150000</v>
      </c>
      <c r="I37" s="1020">
        <v>460000</v>
      </c>
      <c r="J37" s="1023">
        <v>460000</v>
      </c>
      <c r="K37" s="1024">
        <v>675000</v>
      </c>
      <c r="L37" s="1020">
        <v>702000</v>
      </c>
      <c r="M37" s="1021">
        <v>730080</v>
      </c>
      <c r="N37" s="1025"/>
      <c r="O37" s="1025"/>
      <c r="P37" s="223"/>
      <c r="Q37" s="223"/>
      <c r="R37" s="223"/>
      <c r="S37" s="223"/>
      <c r="T37" s="223"/>
      <c r="U37" s="223"/>
      <c r="V37" s="223"/>
      <c r="W37" s="223"/>
      <c r="X37" s="223"/>
      <c r="Y37" s="1026"/>
    </row>
    <row r="38" spans="1:25" ht="42.75" customHeight="1" x14ac:dyDescent="0.25">
      <c r="A38" s="1017" t="s">
        <v>3128</v>
      </c>
      <c r="B38" s="1018" t="s">
        <v>2500</v>
      </c>
      <c r="C38" s="1018">
        <v>9</v>
      </c>
      <c r="D38" s="1019" t="s">
        <v>3108</v>
      </c>
      <c r="E38" s="1020">
        <v>0</v>
      </c>
      <c r="F38" s="1020">
        <v>217414</v>
      </c>
      <c r="G38" s="1021">
        <v>645233</v>
      </c>
      <c r="H38" s="1022">
        <v>620000</v>
      </c>
      <c r="I38" s="1020">
        <v>490000</v>
      </c>
      <c r="J38" s="1023">
        <v>490000</v>
      </c>
      <c r="K38" s="1024">
        <v>618190</v>
      </c>
      <c r="L38" s="1020">
        <v>277718</v>
      </c>
      <c r="M38" s="1021">
        <v>775322</v>
      </c>
      <c r="N38" s="1025"/>
      <c r="O38" s="1025"/>
      <c r="P38" s="223"/>
      <c r="Q38" s="223"/>
      <c r="R38" s="223"/>
      <c r="S38" s="223"/>
      <c r="T38" s="223"/>
      <c r="U38" s="223"/>
      <c r="V38" s="223"/>
      <c r="W38" s="223"/>
      <c r="X38" s="223"/>
      <c r="Y38" s="1026"/>
    </row>
    <row r="39" spans="1:25" ht="42.75" customHeight="1" x14ac:dyDescent="0.25">
      <c r="A39" s="1017" t="s">
        <v>3130</v>
      </c>
      <c r="B39" s="1018" t="s">
        <v>2504</v>
      </c>
      <c r="C39" s="1018">
        <v>13</v>
      </c>
      <c r="D39" s="1019" t="s">
        <v>3108</v>
      </c>
      <c r="E39" s="1020">
        <v>2050</v>
      </c>
      <c r="F39" s="1020">
        <v>0</v>
      </c>
      <c r="G39" s="1021">
        <v>144788</v>
      </c>
      <c r="H39" s="1022">
        <v>0</v>
      </c>
      <c r="I39" s="1020">
        <v>0</v>
      </c>
      <c r="J39" s="1023">
        <v>0</v>
      </c>
      <c r="K39" s="1024">
        <v>0</v>
      </c>
      <c r="L39" s="1020">
        <v>0</v>
      </c>
      <c r="M39" s="1021">
        <v>0</v>
      </c>
      <c r="N39" s="1025"/>
      <c r="O39" s="1025"/>
      <c r="P39" s="223"/>
      <c r="Q39" s="223"/>
      <c r="R39" s="223"/>
      <c r="S39" s="223"/>
      <c r="T39" s="223"/>
      <c r="U39" s="223"/>
      <c r="V39" s="223"/>
      <c r="W39" s="223"/>
      <c r="X39" s="223"/>
      <c r="Y39" s="1026"/>
    </row>
    <row r="40" spans="1:25" ht="42.75" customHeight="1" x14ac:dyDescent="0.25">
      <c r="A40" s="1017" t="s">
        <v>3130</v>
      </c>
      <c r="B40" s="1018" t="s">
        <v>2503</v>
      </c>
      <c r="C40" s="1018">
        <v>12</v>
      </c>
      <c r="D40" s="1019" t="s">
        <v>3108</v>
      </c>
      <c r="E40" s="1020">
        <v>1712</v>
      </c>
      <c r="F40" s="1020">
        <v>533</v>
      </c>
      <c r="G40" s="1021">
        <v>0</v>
      </c>
      <c r="H40" s="1022">
        <v>0</v>
      </c>
      <c r="I40" s="1020">
        <v>0</v>
      </c>
      <c r="J40" s="1023">
        <v>0</v>
      </c>
      <c r="K40" s="1024">
        <v>0</v>
      </c>
      <c r="L40" s="1020">
        <v>0</v>
      </c>
      <c r="M40" s="1021">
        <v>0</v>
      </c>
      <c r="N40" s="1025"/>
      <c r="O40" s="1025"/>
      <c r="P40" s="223"/>
      <c r="Q40" s="223"/>
      <c r="R40" s="223"/>
      <c r="S40" s="223"/>
      <c r="T40" s="223"/>
      <c r="U40" s="223"/>
      <c r="V40" s="223"/>
      <c r="W40" s="223"/>
      <c r="X40" s="223"/>
      <c r="Y40" s="1026"/>
    </row>
    <row r="41" spans="1:25" ht="42.75" customHeight="1" x14ac:dyDescent="0.25">
      <c r="A41" s="1017" t="s">
        <v>3141</v>
      </c>
      <c r="B41" s="1018" t="s">
        <v>2504</v>
      </c>
      <c r="C41" s="1018">
        <v>13</v>
      </c>
      <c r="D41" s="1019" t="s">
        <v>3108</v>
      </c>
      <c r="E41" s="1020">
        <v>0</v>
      </c>
      <c r="F41" s="1020">
        <v>90143</v>
      </c>
      <c r="G41" s="1021">
        <v>262940</v>
      </c>
      <c r="H41" s="1022">
        <v>250000</v>
      </c>
      <c r="I41" s="1020">
        <v>500000</v>
      </c>
      <c r="J41" s="1023">
        <v>500000</v>
      </c>
      <c r="K41" s="1024">
        <v>650000</v>
      </c>
      <c r="L41" s="1020">
        <v>676000</v>
      </c>
      <c r="M41" s="1021">
        <v>703040</v>
      </c>
      <c r="N41" s="1025"/>
      <c r="O41" s="1025"/>
      <c r="P41" s="223"/>
      <c r="Q41" s="223"/>
      <c r="R41" s="223"/>
      <c r="S41" s="223"/>
      <c r="T41" s="223"/>
      <c r="U41" s="223"/>
      <c r="V41" s="223"/>
      <c r="W41" s="223"/>
      <c r="X41" s="223"/>
      <c r="Y41" s="1026"/>
    </row>
    <row r="42" spans="1:25" ht="42.75" customHeight="1" x14ac:dyDescent="0.25">
      <c r="A42" s="1017" t="s">
        <v>3120</v>
      </c>
      <c r="B42" s="1018" t="s">
        <v>2496</v>
      </c>
      <c r="C42" s="1018">
        <v>5</v>
      </c>
      <c r="D42" s="1019" t="s">
        <v>3108</v>
      </c>
      <c r="E42" s="1020">
        <v>0</v>
      </c>
      <c r="F42" s="1020">
        <v>49725</v>
      </c>
      <c r="G42" s="1021">
        <v>0</v>
      </c>
      <c r="H42" s="1022">
        <v>0</v>
      </c>
      <c r="I42" s="1020">
        <v>0</v>
      </c>
      <c r="J42" s="1023">
        <v>0</v>
      </c>
      <c r="K42" s="1024">
        <v>0</v>
      </c>
      <c r="L42" s="1020">
        <v>0</v>
      </c>
      <c r="M42" s="1021">
        <v>0</v>
      </c>
      <c r="N42" s="1025"/>
      <c r="O42" s="1025"/>
      <c r="P42" s="223"/>
      <c r="Q42" s="223"/>
      <c r="R42" s="223"/>
      <c r="S42" s="223"/>
      <c r="T42" s="223"/>
      <c r="U42" s="223"/>
      <c r="V42" s="223"/>
      <c r="W42" s="223"/>
      <c r="X42" s="223"/>
      <c r="Y42" s="1026"/>
    </row>
    <row r="43" spans="1:25" ht="42.75" customHeight="1" x14ac:dyDescent="0.25">
      <c r="A43" s="1017" t="s">
        <v>3120</v>
      </c>
      <c r="B43" s="1018" t="s">
        <v>2503</v>
      </c>
      <c r="C43" s="1018">
        <v>12</v>
      </c>
      <c r="D43" s="1019" t="s">
        <v>3108</v>
      </c>
      <c r="E43" s="1020">
        <v>0</v>
      </c>
      <c r="F43" s="1020">
        <v>0</v>
      </c>
      <c r="G43" s="1021">
        <v>0</v>
      </c>
      <c r="H43" s="1022">
        <v>355000</v>
      </c>
      <c r="I43" s="1020">
        <v>318200</v>
      </c>
      <c r="J43" s="1023">
        <v>318200</v>
      </c>
      <c r="K43" s="1024">
        <v>605000</v>
      </c>
      <c r="L43" s="1020">
        <v>629200</v>
      </c>
      <c r="M43" s="1021">
        <v>654368</v>
      </c>
      <c r="N43" s="1025"/>
      <c r="O43" s="1025"/>
      <c r="P43" s="223"/>
      <c r="Q43" s="223"/>
      <c r="R43" s="223"/>
      <c r="S43" s="223"/>
      <c r="T43" s="223"/>
      <c r="U43" s="223"/>
      <c r="V43" s="223"/>
      <c r="W43" s="223"/>
      <c r="X43" s="223"/>
      <c r="Y43" s="1026"/>
    </row>
    <row r="44" spans="1:25" ht="42.75" customHeight="1" x14ac:dyDescent="0.25">
      <c r="A44" s="1017" t="s">
        <v>3120</v>
      </c>
      <c r="B44" s="1018" t="s">
        <v>2499</v>
      </c>
      <c r="C44" s="1018">
        <v>8</v>
      </c>
      <c r="D44" s="1019" t="s">
        <v>3108</v>
      </c>
      <c r="E44" s="1020">
        <v>850</v>
      </c>
      <c r="F44" s="1020">
        <v>0</v>
      </c>
      <c r="G44" s="1021">
        <v>0</v>
      </c>
      <c r="H44" s="1022">
        <v>0</v>
      </c>
      <c r="I44" s="1020">
        <v>0</v>
      </c>
      <c r="J44" s="1023">
        <v>0</v>
      </c>
      <c r="K44" s="1024">
        <v>0</v>
      </c>
      <c r="L44" s="1020">
        <v>0</v>
      </c>
      <c r="M44" s="1021">
        <v>0</v>
      </c>
      <c r="N44" s="1025"/>
      <c r="O44" s="1025"/>
      <c r="P44" s="223"/>
      <c r="Q44" s="223"/>
      <c r="R44" s="223"/>
      <c r="S44" s="223"/>
      <c r="T44" s="223"/>
      <c r="U44" s="223"/>
      <c r="V44" s="223"/>
      <c r="W44" s="223"/>
      <c r="X44" s="223"/>
      <c r="Y44" s="1026"/>
    </row>
    <row r="45" spans="1:25" ht="42.75" customHeight="1" x14ac:dyDescent="0.25">
      <c r="A45" s="1017" t="s">
        <v>3143</v>
      </c>
      <c r="B45" s="1018" t="s">
        <v>2504</v>
      </c>
      <c r="C45" s="1018">
        <v>13</v>
      </c>
      <c r="D45" s="1019" t="s">
        <v>3108</v>
      </c>
      <c r="E45" s="1020">
        <v>74749</v>
      </c>
      <c r="F45" s="1020">
        <v>101575</v>
      </c>
      <c r="G45" s="1021">
        <v>155791</v>
      </c>
      <c r="H45" s="1022">
        <v>230000</v>
      </c>
      <c r="I45" s="1020">
        <v>0</v>
      </c>
      <c r="J45" s="1023">
        <v>0</v>
      </c>
      <c r="K45" s="1024">
        <v>370000</v>
      </c>
      <c r="L45" s="1020">
        <v>384800</v>
      </c>
      <c r="M45" s="1021">
        <v>400192</v>
      </c>
      <c r="N45" s="1025"/>
      <c r="O45" s="1025"/>
      <c r="P45" s="223"/>
      <c r="Q45" s="223"/>
      <c r="R45" s="223"/>
      <c r="S45" s="223"/>
      <c r="T45" s="223"/>
      <c r="U45" s="223"/>
      <c r="V45" s="223"/>
      <c r="W45" s="223"/>
      <c r="X45" s="223"/>
      <c r="Y45" s="1026"/>
    </row>
    <row r="46" spans="1:25" ht="42.75" customHeight="1" x14ac:dyDescent="0.25">
      <c r="A46" s="1017" t="s">
        <v>3123</v>
      </c>
      <c r="B46" s="1018" t="s">
        <v>2504</v>
      </c>
      <c r="C46" s="1018">
        <v>13</v>
      </c>
      <c r="D46" s="1019" t="s">
        <v>3108</v>
      </c>
      <c r="E46" s="1020">
        <v>0</v>
      </c>
      <c r="F46" s="1020">
        <v>23673</v>
      </c>
      <c r="G46" s="1021">
        <v>184852</v>
      </c>
      <c r="H46" s="1022">
        <v>325000</v>
      </c>
      <c r="I46" s="1020">
        <v>334000</v>
      </c>
      <c r="J46" s="1023">
        <v>334000</v>
      </c>
      <c r="K46" s="1024">
        <v>645000</v>
      </c>
      <c r="L46" s="1020">
        <v>670800</v>
      </c>
      <c r="M46" s="1021">
        <v>703104</v>
      </c>
      <c r="N46" s="1025"/>
      <c r="O46" s="1025"/>
      <c r="P46" s="223"/>
      <c r="Q46" s="223"/>
      <c r="R46" s="223"/>
      <c r="S46" s="223"/>
      <c r="T46" s="223"/>
      <c r="U46" s="223"/>
      <c r="V46" s="223"/>
      <c r="W46" s="223"/>
      <c r="X46" s="223"/>
      <c r="Y46" s="1026"/>
    </row>
    <row r="47" spans="1:25" ht="42.75" customHeight="1" x14ac:dyDescent="0.25">
      <c r="A47" s="1017" t="s">
        <v>3123</v>
      </c>
      <c r="B47" s="1018" t="s">
        <v>2503</v>
      </c>
      <c r="C47" s="1018">
        <v>12</v>
      </c>
      <c r="D47" s="1019" t="s">
        <v>3108</v>
      </c>
      <c r="E47" s="1020">
        <v>47700</v>
      </c>
      <c r="F47" s="1020">
        <v>48300</v>
      </c>
      <c r="G47" s="1021">
        <v>54195</v>
      </c>
      <c r="H47" s="1022">
        <v>140000</v>
      </c>
      <c r="I47" s="1020">
        <v>130220</v>
      </c>
      <c r="J47" s="1023">
        <v>130220</v>
      </c>
      <c r="K47" s="1024">
        <v>220000</v>
      </c>
      <c r="L47" s="1020">
        <v>228800</v>
      </c>
      <c r="M47" s="1021">
        <v>237952</v>
      </c>
      <c r="N47" s="1025"/>
      <c r="O47" s="1025"/>
      <c r="P47" s="223"/>
      <c r="Q47" s="223"/>
      <c r="R47" s="223"/>
      <c r="S47" s="223"/>
      <c r="T47" s="223"/>
      <c r="U47" s="223"/>
      <c r="V47" s="223"/>
      <c r="W47" s="223"/>
      <c r="X47" s="223"/>
      <c r="Y47" s="1026"/>
    </row>
    <row r="48" spans="1:25" ht="42.75" customHeight="1" x14ac:dyDescent="0.25">
      <c r="A48" s="1017" t="s">
        <v>3152</v>
      </c>
      <c r="B48" s="1018" t="s">
        <v>2500</v>
      </c>
      <c r="C48" s="1018">
        <v>9</v>
      </c>
      <c r="D48" s="1019" t="s">
        <v>3108</v>
      </c>
      <c r="E48" s="1020">
        <v>-6591</v>
      </c>
      <c r="F48" s="1020">
        <v>0</v>
      </c>
      <c r="G48" s="1021">
        <v>-147392</v>
      </c>
      <c r="H48" s="1022">
        <v>0</v>
      </c>
      <c r="I48" s="1020">
        <v>0</v>
      </c>
      <c r="J48" s="1023">
        <v>0</v>
      </c>
      <c r="K48" s="1024">
        <v>0</v>
      </c>
      <c r="L48" s="1020">
        <v>0</v>
      </c>
      <c r="M48" s="1021">
        <v>0</v>
      </c>
      <c r="N48" s="1025"/>
      <c r="O48" s="1025"/>
      <c r="P48" s="223"/>
      <c r="Q48" s="223"/>
      <c r="R48" s="223"/>
      <c r="S48" s="223"/>
      <c r="T48" s="223"/>
      <c r="U48" s="223"/>
      <c r="V48" s="223"/>
      <c r="W48" s="223"/>
      <c r="X48" s="223"/>
      <c r="Y48" s="1026"/>
    </row>
    <row r="49" spans="1:25" ht="42.75" customHeight="1" x14ac:dyDescent="0.25">
      <c r="A49" s="1017" t="s">
        <v>3135</v>
      </c>
      <c r="B49" s="1018" t="s">
        <v>2504</v>
      </c>
      <c r="C49" s="1018">
        <v>13</v>
      </c>
      <c r="D49" s="1019" t="s">
        <v>3108</v>
      </c>
      <c r="E49" s="1020">
        <v>0</v>
      </c>
      <c r="F49" s="1020">
        <v>64156</v>
      </c>
      <c r="G49" s="1021">
        <v>0</v>
      </c>
      <c r="H49" s="1022">
        <v>500000</v>
      </c>
      <c r="I49" s="1020">
        <v>470000</v>
      </c>
      <c r="J49" s="1023">
        <v>470000</v>
      </c>
      <c r="K49" s="1024">
        <v>530000</v>
      </c>
      <c r="L49" s="1020">
        <v>551200</v>
      </c>
      <c r="M49" s="1021">
        <v>573248</v>
      </c>
      <c r="N49" s="1025"/>
      <c r="O49" s="1025"/>
      <c r="P49" s="223"/>
      <c r="Q49" s="223"/>
      <c r="R49" s="223"/>
      <c r="S49" s="223"/>
      <c r="T49" s="223"/>
      <c r="U49" s="223"/>
      <c r="V49" s="223"/>
      <c r="W49" s="223"/>
      <c r="X49" s="223"/>
      <c r="Y49" s="1026"/>
    </row>
    <row r="50" spans="1:25" ht="42.75" customHeight="1" x14ac:dyDescent="0.25">
      <c r="A50" s="1017" t="s">
        <v>3119</v>
      </c>
      <c r="B50" s="1018" t="s">
        <v>2497</v>
      </c>
      <c r="C50" s="1018">
        <v>6</v>
      </c>
      <c r="D50" s="1019" t="s">
        <v>3108</v>
      </c>
      <c r="E50" s="1020">
        <v>268020</v>
      </c>
      <c r="F50" s="1020">
        <v>612354</v>
      </c>
      <c r="G50" s="1021">
        <v>2429850</v>
      </c>
      <c r="H50" s="1022">
        <v>0</v>
      </c>
      <c r="I50" s="1020">
        <v>0</v>
      </c>
      <c r="J50" s="1023">
        <v>0</v>
      </c>
      <c r="K50" s="1024">
        <v>0</v>
      </c>
      <c r="L50" s="1020">
        <v>0</v>
      </c>
      <c r="M50" s="1021">
        <v>0</v>
      </c>
      <c r="N50" s="1025"/>
      <c r="O50" s="1025"/>
      <c r="P50" s="223"/>
      <c r="Q50" s="223"/>
      <c r="R50" s="223"/>
      <c r="S50" s="223"/>
      <c r="T50" s="223"/>
      <c r="U50" s="223"/>
      <c r="V50" s="223"/>
      <c r="W50" s="223"/>
      <c r="X50" s="223"/>
      <c r="Y50" s="1026"/>
    </row>
    <row r="51" spans="1:25" ht="42.75" customHeight="1" x14ac:dyDescent="0.25">
      <c r="A51" s="1017" t="s">
        <v>3119</v>
      </c>
      <c r="B51" s="1018" t="s">
        <v>2503</v>
      </c>
      <c r="C51" s="1018">
        <v>12</v>
      </c>
      <c r="D51" s="1019" t="s">
        <v>3108</v>
      </c>
      <c r="E51" s="1020">
        <v>0</v>
      </c>
      <c r="F51" s="1020">
        <v>4131903</v>
      </c>
      <c r="G51" s="1021">
        <v>7922605</v>
      </c>
      <c r="H51" s="1022">
        <v>2000000</v>
      </c>
      <c r="I51" s="1020">
        <v>4979775</v>
      </c>
      <c r="J51" s="1023">
        <v>4979775</v>
      </c>
      <c r="K51" s="1024">
        <v>5000000</v>
      </c>
      <c r="L51" s="1020">
        <v>2200000</v>
      </c>
      <c r="M51" s="1021">
        <v>2420000</v>
      </c>
      <c r="N51" s="1025"/>
      <c r="O51" s="1025"/>
      <c r="P51" s="223"/>
      <c r="Q51" s="223"/>
      <c r="R51" s="223"/>
      <c r="S51" s="223"/>
      <c r="T51" s="223"/>
      <c r="U51" s="223"/>
      <c r="V51" s="223"/>
      <c r="W51" s="223"/>
      <c r="X51" s="223"/>
      <c r="Y51" s="1026"/>
    </row>
    <row r="52" spans="1:25" ht="42.75" customHeight="1" x14ac:dyDescent="0.25">
      <c r="A52" s="1017" t="s">
        <v>3119</v>
      </c>
      <c r="B52" s="1018" t="s">
        <v>2492</v>
      </c>
      <c r="C52" s="1018">
        <v>1</v>
      </c>
      <c r="D52" s="1019" t="s">
        <v>3108</v>
      </c>
      <c r="E52" s="1020">
        <v>2473707</v>
      </c>
      <c r="F52" s="1020">
        <v>1654828</v>
      </c>
      <c r="G52" s="1021">
        <v>251804</v>
      </c>
      <c r="H52" s="1022">
        <v>0</v>
      </c>
      <c r="I52" s="1020">
        <v>0</v>
      </c>
      <c r="J52" s="1023">
        <v>0</v>
      </c>
      <c r="K52" s="1024">
        <v>0</v>
      </c>
      <c r="L52" s="1020">
        <v>0</v>
      </c>
      <c r="M52" s="1021">
        <v>0</v>
      </c>
      <c r="N52" s="1027"/>
      <c r="O52" s="1027"/>
      <c r="P52" s="223"/>
      <c r="Q52" s="223"/>
      <c r="R52" s="223"/>
      <c r="S52" s="223"/>
      <c r="T52" s="223"/>
      <c r="U52" s="223"/>
      <c r="V52" s="223"/>
      <c r="W52" s="223"/>
      <c r="X52" s="223"/>
    </row>
    <row r="53" spans="1:25" ht="42.75" customHeight="1" x14ac:dyDescent="0.25">
      <c r="A53" s="1017" t="s">
        <v>3119</v>
      </c>
      <c r="B53" s="1018" t="s">
        <v>2499</v>
      </c>
      <c r="C53" s="1018">
        <v>8</v>
      </c>
      <c r="D53" s="1019" t="s">
        <v>3108</v>
      </c>
      <c r="E53" s="1020">
        <v>0</v>
      </c>
      <c r="F53" s="1020">
        <v>0</v>
      </c>
      <c r="G53" s="1021">
        <v>139990</v>
      </c>
      <c r="H53" s="1022">
        <v>0</v>
      </c>
      <c r="I53" s="1020">
        <v>0</v>
      </c>
      <c r="J53" s="1023">
        <v>0</v>
      </c>
      <c r="K53" s="1024">
        <v>0</v>
      </c>
      <c r="L53" s="1020">
        <v>0</v>
      </c>
      <c r="M53" s="1021">
        <v>0</v>
      </c>
      <c r="N53" s="1027"/>
      <c r="O53" s="1027"/>
      <c r="P53" s="223"/>
      <c r="Q53" s="223"/>
      <c r="R53" s="223"/>
      <c r="S53" s="223"/>
      <c r="T53" s="223"/>
      <c r="U53" s="223"/>
      <c r="V53" s="223"/>
      <c r="W53" s="223"/>
      <c r="X53" s="223"/>
    </row>
    <row r="54" spans="1:25" ht="42.75" customHeight="1" x14ac:dyDescent="0.25">
      <c r="A54" s="1017" t="s">
        <v>3147</v>
      </c>
      <c r="B54" s="1018" t="s">
        <v>2504</v>
      </c>
      <c r="C54" s="1018">
        <v>13</v>
      </c>
      <c r="D54" s="1019" t="s">
        <v>3108</v>
      </c>
      <c r="E54" s="1020">
        <v>100</v>
      </c>
      <c r="F54" s="1020">
        <v>0</v>
      </c>
      <c r="G54" s="1021">
        <v>0</v>
      </c>
      <c r="H54" s="1022">
        <v>0</v>
      </c>
      <c r="I54" s="1020">
        <v>0</v>
      </c>
      <c r="J54" s="1023">
        <v>0</v>
      </c>
      <c r="K54" s="1024">
        <v>0</v>
      </c>
      <c r="L54" s="1020">
        <v>0</v>
      </c>
      <c r="M54" s="1021">
        <v>0</v>
      </c>
      <c r="N54" s="1028"/>
      <c r="O54" s="1028"/>
      <c r="P54" s="223"/>
      <c r="Q54" s="223"/>
      <c r="R54" s="223"/>
      <c r="S54" s="223"/>
      <c r="T54" s="223"/>
      <c r="U54" s="223"/>
      <c r="V54" s="223"/>
      <c r="W54" s="223"/>
      <c r="X54" s="223"/>
    </row>
    <row r="55" spans="1:25" ht="42.75" customHeight="1" x14ac:dyDescent="0.25">
      <c r="A55" s="1017" t="s">
        <v>3147</v>
      </c>
      <c r="B55" s="1018" t="s">
        <v>2503</v>
      </c>
      <c r="C55" s="1018">
        <v>12</v>
      </c>
      <c r="D55" s="1019" t="s">
        <v>3108</v>
      </c>
      <c r="E55" s="1020">
        <v>0</v>
      </c>
      <c r="F55" s="1020">
        <v>2530721</v>
      </c>
      <c r="G55" s="1021">
        <v>1386326</v>
      </c>
      <c r="H55" s="1022">
        <v>0</v>
      </c>
      <c r="I55" s="1020">
        <v>0</v>
      </c>
      <c r="J55" s="1023">
        <v>0</v>
      </c>
      <c r="K55" s="1024">
        <v>0</v>
      </c>
      <c r="L55" s="1020">
        <v>0</v>
      </c>
      <c r="M55" s="1021">
        <v>0</v>
      </c>
      <c r="N55" s="1028"/>
      <c r="O55" s="1028"/>
      <c r="P55" s="223"/>
      <c r="Q55" s="223"/>
      <c r="R55" s="223"/>
      <c r="S55" s="223"/>
      <c r="T55" s="223"/>
      <c r="U55" s="223"/>
      <c r="V55" s="223"/>
      <c r="W55" s="223"/>
      <c r="X55" s="223"/>
    </row>
    <row r="56" spans="1:25" ht="42.75" customHeight="1" x14ac:dyDescent="0.25">
      <c r="A56" s="1017" t="s">
        <v>3142</v>
      </c>
      <c r="B56" s="1018" t="s">
        <v>2504</v>
      </c>
      <c r="C56" s="1018">
        <v>13</v>
      </c>
      <c r="D56" s="1019" t="s">
        <v>3108</v>
      </c>
      <c r="E56" s="1020">
        <v>0</v>
      </c>
      <c r="F56" s="1020">
        <v>645744</v>
      </c>
      <c r="G56" s="1021">
        <v>386237</v>
      </c>
      <c r="H56" s="1022">
        <v>1548600</v>
      </c>
      <c r="I56" s="1020">
        <v>1207236</v>
      </c>
      <c r="J56" s="1023">
        <v>1207236</v>
      </c>
      <c r="K56" s="1024">
        <v>1190000</v>
      </c>
      <c r="L56" s="1020">
        <v>1237600</v>
      </c>
      <c r="M56" s="1021">
        <v>1287104</v>
      </c>
      <c r="N56" s="1028"/>
      <c r="O56" s="1028"/>
      <c r="P56" s="223"/>
      <c r="Q56" s="223"/>
      <c r="R56" s="223"/>
      <c r="S56" s="223"/>
      <c r="T56" s="223"/>
      <c r="U56" s="223"/>
      <c r="V56" s="223"/>
      <c r="W56" s="223"/>
      <c r="X56" s="223"/>
    </row>
    <row r="57" spans="1:25" ht="42.75" customHeight="1" x14ac:dyDescent="0.25">
      <c r="A57" s="1017" t="s">
        <v>3142</v>
      </c>
      <c r="B57" s="1018" t="s">
        <v>2503</v>
      </c>
      <c r="C57" s="1018">
        <v>12</v>
      </c>
      <c r="D57" s="1019" t="s">
        <v>3108</v>
      </c>
      <c r="E57" s="1020">
        <v>0</v>
      </c>
      <c r="F57" s="1020">
        <v>15200</v>
      </c>
      <c r="G57" s="1021">
        <v>0</v>
      </c>
      <c r="H57" s="1022">
        <v>50000</v>
      </c>
      <c r="I57" s="1020">
        <v>0</v>
      </c>
      <c r="J57" s="1023">
        <v>0</v>
      </c>
      <c r="K57" s="1024">
        <v>53000</v>
      </c>
      <c r="L57" s="1020">
        <v>55120</v>
      </c>
      <c r="M57" s="1021">
        <v>57325</v>
      </c>
      <c r="N57" s="220"/>
      <c r="O57" s="220"/>
      <c r="P57" s="223"/>
      <c r="Q57" s="223"/>
      <c r="R57" s="223"/>
      <c r="S57" s="223"/>
      <c r="T57" s="223"/>
      <c r="U57" s="223"/>
      <c r="V57" s="223"/>
      <c r="W57" s="223"/>
      <c r="X57" s="223"/>
    </row>
    <row r="58" spans="1:25" ht="42.75" customHeight="1" x14ac:dyDescent="0.25">
      <c r="A58" s="1017" t="s">
        <v>3142</v>
      </c>
      <c r="B58" s="1018" t="s">
        <v>2499</v>
      </c>
      <c r="C58" s="1018">
        <v>8</v>
      </c>
      <c r="D58" s="1019" t="s">
        <v>3108</v>
      </c>
      <c r="E58" s="1020">
        <v>0</v>
      </c>
      <c r="F58" s="1020">
        <v>0</v>
      </c>
      <c r="G58" s="1021">
        <v>1000</v>
      </c>
      <c r="H58" s="1022">
        <v>25000</v>
      </c>
      <c r="I58" s="1020">
        <v>0</v>
      </c>
      <c r="J58" s="1023">
        <v>0</v>
      </c>
      <c r="K58" s="1024">
        <v>7000</v>
      </c>
      <c r="L58" s="1020">
        <v>7280</v>
      </c>
      <c r="M58" s="1021">
        <v>7571</v>
      </c>
      <c r="N58" s="220"/>
      <c r="O58" s="220"/>
      <c r="P58" s="223"/>
      <c r="Q58" s="223"/>
      <c r="R58" s="223"/>
      <c r="S58" s="223"/>
      <c r="T58" s="223"/>
      <c r="U58" s="223"/>
      <c r="V58" s="223"/>
      <c r="W58" s="223"/>
      <c r="X58" s="223"/>
    </row>
    <row r="59" spans="1:25" ht="42.75" customHeight="1" x14ac:dyDescent="0.25">
      <c r="A59" s="1017" t="s">
        <v>3127</v>
      </c>
      <c r="B59" s="1018" t="s">
        <v>2500</v>
      </c>
      <c r="C59" s="1018">
        <v>9</v>
      </c>
      <c r="D59" s="1019" t="s">
        <v>3108</v>
      </c>
      <c r="E59" s="1020">
        <v>8436144</v>
      </c>
      <c r="F59" s="1020">
        <v>195350</v>
      </c>
      <c r="G59" s="1021">
        <v>260677</v>
      </c>
      <c r="H59" s="1022">
        <v>0</v>
      </c>
      <c r="I59" s="1020">
        <v>0</v>
      </c>
      <c r="J59" s="1023">
        <v>0</v>
      </c>
      <c r="K59" s="1024">
        <v>0</v>
      </c>
      <c r="L59" s="1020">
        <v>0</v>
      </c>
      <c r="M59" s="1021">
        <v>0</v>
      </c>
      <c r="N59" s="220"/>
      <c r="O59" s="220"/>
      <c r="P59" s="223"/>
      <c r="Q59" s="223"/>
      <c r="R59" s="223"/>
      <c r="S59" s="223"/>
      <c r="T59" s="223"/>
      <c r="U59" s="223"/>
      <c r="V59" s="223"/>
      <c r="W59" s="223"/>
      <c r="X59" s="223"/>
    </row>
    <row r="60" spans="1:25" ht="42.75" customHeight="1" x14ac:dyDescent="0.25">
      <c r="A60" s="1017" t="s">
        <v>3127</v>
      </c>
      <c r="B60" s="1018" t="s">
        <v>2499</v>
      </c>
      <c r="C60" s="1018">
        <v>8</v>
      </c>
      <c r="D60" s="1019" t="s">
        <v>3108</v>
      </c>
      <c r="E60" s="1020">
        <v>1926623</v>
      </c>
      <c r="F60" s="1020">
        <v>1430623</v>
      </c>
      <c r="G60" s="1021">
        <v>1247742</v>
      </c>
      <c r="H60" s="1022">
        <v>1589273</v>
      </c>
      <c r="I60" s="1020">
        <v>1589273</v>
      </c>
      <c r="J60" s="1023">
        <v>1589273</v>
      </c>
      <c r="K60" s="1024">
        <v>1657095</v>
      </c>
      <c r="L60" s="1020">
        <v>1729425</v>
      </c>
      <c r="M60" s="1021">
        <v>1805073</v>
      </c>
      <c r="N60" s="220"/>
      <c r="O60" s="220"/>
      <c r="P60" s="180"/>
      <c r="Q60" s="180"/>
      <c r="R60" s="180"/>
      <c r="S60" s="180"/>
      <c r="T60" s="180"/>
      <c r="U60" s="180"/>
      <c r="V60" s="180"/>
      <c r="W60" s="180"/>
      <c r="X60" s="180"/>
    </row>
    <row r="61" spans="1:25" ht="42.75" customHeight="1" x14ac:dyDescent="0.25">
      <c r="A61" s="1017" t="s">
        <v>3246</v>
      </c>
      <c r="B61" s="1018" t="s">
        <v>2503</v>
      </c>
      <c r="C61" s="1018">
        <v>12</v>
      </c>
      <c r="D61" s="1019" t="s">
        <v>3108</v>
      </c>
      <c r="E61" s="1020">
        <v>274</v>
      </c>
      <c r="F61" s="1020">
        <v>0</v>
      </c>
      <c r="G61" s="1021">
        <v>0</v>
      </c>
      <c r="H61" s="1022">
        <v>0</v>
      </c>
      <c r="I61" s="1020">
        <v>0</v>
      </c>
      <c r="J61" s="1023">
        <v>0</v>
      </c>
      <c r="K61" s="1024">
        <v>0</v>
      </c>
      <c r="L61" s="1020">
        <v>0</v>
      </c>
      <c r="M61" s="1021">
        <v>0</v>
      </c>
      <c r="N61" s="220"/>
      <c r="O61" s="220"/>
      <c r="P61" s="223"/>
      <c r="Q61" s="223"/>
      <c r="R61" s="223"/>
      <c r="S61" s="223"/>
      <c r="T61" s="223"/>
      <c r="U61" s="223"/>
      <c r="V61" s="223"/>
      <c r="W61" s="223"/>
      <c r="X61" s="223"/>
    </row>
    <row r="62" spans="1:25" ht="42.75" customHeight="1" x14ac:dyDescent="0.25">
      <c r="A62" s="1017" t="s">
        <v>3140</v>
      </c>
      <c r="B62" s="1018" t="s">
        <v>2498</v>
      </c>
      <c r="C62" s="1018">
        <v>7</v>
      </c>
      <c r="D62" s="1019" t="s">
        <v>3108</v>
      </c>
      <c r="E62" s="1020">
        <v>0</v>
      </c>
      <c r="F62" s="1020">
        <v>56442</v>
      </c>
      <c r="G62" s="1021">
        <v>179642</v>
      </c>
      <c r="H62" s="1022">
        <v>150000</v>
      </c>
      <c r="I62" s="1020">
        <v>150000</v>
      </c>
      <c r="J62" s="1023">
        <v>150000</v>
      </c>
      <c r="K62" s="1024">
        <v>300000</v>
      </c>
      <c r="L62" s="1020">
        <v>312000</v>
      </c>
      <c r="M62" s="1021">
        <v>324480</v>
      </c>
      <c r="N62" s="220"/>
      <c r="O62" s="220"/>
      <c r="P62" s="220"/>
      <c r="Q62" s="220"/>
    </row>
    <row r="63" spans="1:25" ht="42.75" customHeight="1" x14ac:dyDescent="0.25">
      <c r="A63" s="1017" t="s">
        <v>3134</v>
      </c>
      <c r="B63" s="1018" t="s">
        <v>2504</v>
      </c>
      <c r="C63" s="1018">
        <v>13</v>
      </c>
      <c r="D63" s="1019" t="s">
        <v>3108</v>
      </c>
      <c r="E63" s="1020">
        <v>104525</v>
      </c>
      <c r="F63" s="1020">
        <v>552783</v>
      </c>
      <c r="G63" s="1021">
        <v>1314874</v>
      </c>
      <c r="H63" s="1022">
        <v>2462270</v>
      </c>
      <c r="I63" s="1020">
        <v>2466958</v>
      </c>
      <c r="J63" s="1023">
        <v>2466958</v>
      </c>
      <c r="K63" s="1024">
        <v>3036648</v>
      </c>
      <c r="L63" s="1020">
        <v>3158114</v>
      </c>
      <c r="M63" s="1021">
        <v>3284439</v>
      </c>
      <c r="N63" s="220"/>
      <c r="O63" s="220"/>
      <c r="P63" s="220"/>
      <c r="Q63" s="220"/>
    </row>
    <row r="64" spans="1:25" ht="42.75" customHeight="1" x14ac:dyDescent="0.25">
      <c r="A64" s="1017" t="s">
        <v>3134</v>
      </c>
      <c r="B64" s="1018" t="s">
        <v>2493</v>
      </c>
      <c r="C64" s="1018">
        <v>2</v>
      </c>
      <c r="D64" s="1019" t="s">
        <v>3108</v>
      </c>
      <c r="E64" s="1020">
        <v>0</v>
      </c>
      <c r="F64" s="1020">
        <v>1399823</v>
      </c>
      <c r="G64" s="1021">
        <v>3132764</v>
      </c>
      <c r="H64" s="1022">
        <v>1500000</v>
      </c>
      <c r="I64" s="1020">
        <v>1500000</v>
      </c>
      <c r="J64" s="1023">
        <v>1500000</v>
      </c>
      <c r="K64" s="1024">
        <v>1900000</v>
      </c>
      <c r="L64" s="1020">
        <v>1650000</v>
      </c>
      <c r="M64" s="1021">
        <v>1815000</v>
      </c>
      <c r="N64" s="220"/>
      <c r="O64" s="220"/>
      <c r="P64" s="220"/>
      <c r="Q64" s="220"/>
    </row>
    <row r="65" spans="1:17" ht="42.75" customHeight="1" x14ac:dyDescent="0.25">
      <c r="A65" s="1017" t="s">
        <v>3134</v>
      </c>
      <c r="B65" s="1018" t="s">
        <v>2503</v>
      </c>
      <c r="C65" s="1018">
        <v>12</v>
      </c>
      <c r="D65" s="1019" t="s">
        <v>3108</v>
      </c>
      <c r="E65" s="1020">
        <v>0</v>
      </c>
      <c r="F65" s="1020">
        <v>317130</v>
      </c>
      <c r="G65" s="1021">
        <v>825427</v>
      </c>
      <c r="H65" s="1022">
        <v>505000</v>
      </c>
      <c r="I65" s="1020">
        <v>364300</v>
      </c>
      <c r="J65" s="1023">
        <v>364300</v>
      </c>
      <c r="K65" s="1024">
        <v>455000</v>
      </c>
      <c r="L65" s="1020">
        <v>473200</v>
      </c>
      <c r="M65" s="1021">
        <v>442128</v>
      </c>
      <c r="N65" s="220"/>
      <c r="O65" s="220"/>
      <c r="P65" s="220"/>
      <c r="Q65" s="220"/>
    </row>
    <row r="66" spans="1:17" ht="42.75" customHeight="1" x14ac:dyDescent="0.25">
      <c r="A66" s="1017" t="s">
        <v>3134</v>
      </c>
      <c r="B66" s="1018" t="s">
        <v>2500</v>
      </c>
      <c r="C66" s="1018">
        <v>9</v>
      </c>
      <c r="D66" s="1019" t="s">
        <v>3108</v>
      </c>
      <c r="E66" s="1020">
        <v>0</v>
      </c>
      <c r="F66" s="1020">
        <v>0</v>
      </c>
      <c r="G66" s="1021">
        <v>41832</v>
      </c>
      <c r="H66" s="1022">
        <v>170000</v>
      </c>
      <c r="I66" s="1020">
        <v>340000</v>
      </c>
      <c r="J66" s="1023">
        <v>340000</v>
      </c>
      <c r="K66" s="1024">
        <v>440000</v>
      </c>
      <c r="L66" s="1020">
        <v>457600</v>
      </c>
      <c r="M66" s="1021">
        <v>475904</v>
      </c>
      <c r="N66" s="220"/>
      <c r="O66" s="220"/>
      <c r="P66" s="220"/>
      <c r="Q66" s="220"/>
    </row>
    <row r="67" spans="1:17" ht="42.75" customHeight="1" x14ac:dyDescent="0.25">
      <c r="A67" s="1017"/>
      <c r="B67" s="1018"/>
      <c r="C67" s="1018"/>
      <c r="D67" s="1019"/>
      <c r="E67" s="1020"/>
      <c r="F67" s="1020"/>
      <c r="G67" s="1021"/>
      <c r="H67" s="1022"/>
      <c r="I67" s="1020"/>
      <c r="J67" s="1023"/>
      <c r="K67" s="1024"/>
      <c r="L67" s="1020"/>
      <c r="M67" s="1021"/>
      <c r="N67" s="220"/>
      <c r="O67" s="220"/>
      <c r="P67" s="220"/>
      <c r="Q67" s="220"/>
    </row>
    <row r="68" spans="1:17" ht="42.75" customHeight="1" x14ac:dyDescent="0.25">
      <c r="A68" s="1017"/>
      <c r="B68" s="1018"/>
      <c r="C68" s="1018"/>
      <c r="D68" s="1019"/>
      <c r="E68" s="1020"/>
      <c r="F68" s="1020"/>
      <c r="G68" s="1021"/>
      <c r="H68" s="1022"/>
      <c r="I68" s="1020"/>
      <c r="J68" s="1023"/>
      <c r="K68" s="1024"/>
      <c r="L68" s="1020"/>
      <c r="M68" s="1021"/>
      <c r="N68" s="220"/>
      <c r="O68" s="220"/>
      <c r="P68" s="220"/>
      <c r="Q68" s="220"/>
    </row>
    <row r="69" spans="1:17" ht="12.75" customHeight="1" x14ac:dyDescent="0.25">
      <c r="A69" s="1029" t="s">
        <v>1805</v>
      </c>
      <c r="B69" s="1030"/>
      <c r="C69" s="1031"/>
      <c r="D69" s="1019"/>
      <c r="E69" s="1032"/>
      <c r="F69" s="1032"/>
      <c r="G69" s="1033"/>
      <c r="H69" s="1034"/>
      <c r="I69" s="1032"/>
      <c r="J69" s="1035"/>
      <c r="K69" s="1036"/>
      <c r="L69" s="1032"/>
      <c r="M69" s="1033"/>
      <c r="N69" s="220"/>
      <c r="O69" s="220"/>
      <c r="P69" s="220"/>
      <c r="Q69" s="220"/>
    </row>
    <row r="70" spans="1:17" x14ac:dyDescent="0.25">
      <c r="A70" s="816" t="str">
        <f>'A4-FinPerf RE'!A35</f>
        <v>Total Expenditure</v>
      </c>
      <c r="B70" s="1037"/>
      <c r="C70" s="1038"/>
      <c r="D70" s="796">
        <v>1</v>
      </c>
      <c r="E70" s="185">
        <f t="shared" ref="E70:M70" si="0">SUM(E4:E69)</f>
        <v>81467971</v>
      </c>
      <c r="F70" s="185">
        <f t="shared" si="0"/>
        <v>83533919</v>
      </c>
      <c r="G70" s="183">
        <f t="shared" si="0"/>
        <v>96866724</v>
      </c>
      <c r="H70" s="184">
        <f t="shared" si="0"/>
        <v>121536902</v>
      </c>
      <c r="I70" s="185">
        <f t="shared" si="0"/>
        <v>142539969</v>
      </c>
      <c r="J70" s="186">
        <f t="shared" si="0"/>
        <v>142539969</v>
      </c>
      <c r="K70" s="187">
        <f t="shared" si="0"/>
        <v>142902464</v>
      </c>
      <c r="L70" s="185">
        <f t="shared" si="0"/>
        <v>135688050</v>
      </c>
      <c r="M70" s="183">
        <f t="shared" si="0"/>
        <v>146622608</v>
      </c>
      <c r="N70" s="220"/>
      <c r="O70" s="220"/>
      <c r="P70" s="220"/>
      <c r="Q70" s="220"/>
    </row>
    <row r="71" spans="1:17" x14ac:dyDescent="0.25">
      <c r="A71" s="188" t="str">
        <f>head27a</f>
        <v>References</v>
      </c>
      <c r="B71" s="192"/>
      <c r="C71" s="192"/>
      <c r="D71" s="189"/>
      <c r="E71" s="193"/>
      <c r="F71" s="193"/>
      <c r="G71" s="193"/>
      <c r="H71" s="193"/>
      <c r="I71" s="193"/>
      <c r="J71" s="193"/>
      <c r="K71" s="193"/>
      <c r="L71" s="193"/>
      <c r="M71" s="193"/>
    </row>
    <row r="72" spans="1:17" x14ac:dyDescent="0.25">
      <c r="A72" s="151" t="str">
        <f>"1. Total expenditure must reconcile to "&amp;'Template names'!F103</f>
        <v>1. Total expenditure must reconcile to Table A4 Budgeted Financial Performance (revenue and expenditure)</v>
      </c>
      <c r="B72" s="1039"/>
      <c r="C72" s="1039"/>
      <c r="D72" s="189"/>
      <c r="E72" s="192"/>
      <c r="F72" s="192"/>
      <c r="G72" s="193"/>
      <c r="H72" s="193"/>
      <c r="I72" s="193"/>
      <c r="J72" s="193"/>
      <c r="K72" s="193"/>
      <c r="L72" s="193"/>
      <c r="M72" s="193"/>
    </row>
    <row r="73" spans="1:17" x14ac:dyDescent="0.25">
      <c r="A73" s="58" t="s">
        <v>1806</v>
      </c>
      <c r="D73" s="58"/>
    </row>
    <row r="74" spans="1:17" x14ac:dyDescent="0.25">
      <c r="A74" s="219" t="s">
        <v>841</v>
      </c>
      <c r="B74" s="195"/>
      <c r="C74" s="195"/>
      <c r="D74" s="150"/>
      <c r="E74" s="294">
        <f>E70-'A4-FinPerf RE'!C35</f>
        <v>1851685</v>
      </c>
      <c r="F74" s="294">
        <f>F70-'A4-FinPerf RE'!D35</f>
        <v>2476986</v>
      </c>
      <c r="G74" s="295">
        <f>G70-'A4-FinPerf RE'!E35</f>
        <v>3045445</v>
      </c>
      <c r="H74" s="295">
        <f>H70-'A4-FinPerf RE'!F35</f>
        <v>0</v>
      </c>
      <c r="I74" s="295">
        <f>I70-'A4-FinPerf RE'!G35</f>
        <v>0</v>
      </c>
      <c r="J74" s="295">
        <f>J70-'A4-FinPerf RE'!H35</f>
        <v>0</v>
      </c>
      <c r="K74" s="295">
        <f>K70-'A4-FinPerf RE'!J35</f>
        <v>0</v>
      </c>
      <c r="L74" s="295">
        <f>L70-'A4-FinPerf RE'!K35</f>
        <v>0</v>
      </c>
      <c r="M74" s="295">
        <f>M70-'A4-FinPerf RE'!L35</f>
        <v>-1</v>
      </c>
    </row>
    <row r="75" spans="1:17" x14ac:dyDescent="0.25">
      <c r="E75" s="1040"/>
    </row>
    <row r="76" spans="1:17" x14ac:dyDescent="0.25">
      <c r="E76" s="1040"/>
    </row>
  </sheetData>
  <sheetProtection sheet="1" objects="1" scenarios="1"/>
  <mergeCells count="3">
    <mergeCell ref="H2:J2"/>
    <mergeCell ref="K2:M2"/>
    <mergeCell ref="D2:D3"/>
  </mergeCells>
  <phoneticPr fontId="7" type="noConversion"/>
  <printOptions horizontalCentered="1"/>
  <pageMargins left="0" right="0" top="0.78740157480314965" bottom="0.59055118110236227" header="0.51181102362204722" footer="0.41"/>
  <pageSetup paperSize="9" scale="83" orientation="portrait"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pageSetUpPr fitToPage="1"/>
  </sheetPr>
  <dimension ref="A1:X31"/>
  <sheetViews>
    <sheetView showGridLines="0" zoomScale="110" zoomScaleNormal="110" workbookViewId="0">
      <pane xSplit="4" ySplit="3" topLeftCell="E4" activePane="bottomRight" state="frozen"/>
      <selection pane="topRight"/>
      <selection pane="bottomLeft"/>
      <selection pane="bottomRight" activeCell="A4" sqref="A4:M20"/>
    </sheetView>
  </sheetViews>
  <sheetFormatPr defaultColWidth="9.140625" defaultRowHeight="12.75" x14ac:dyDescent="0.25"/>
  <cols>
    <col min="1" max="2" width="18.7109375" style="58" customWidth="1"/>
    <col min="3" max="3" width="4.42578125" style="58" customWidth="1"/>
    <col min="4" max="4" width="3" style="55" customWidth="1"/>
    <col min="5" max="13" width="9.28515625" style="58" customWidth="1"/>
    <col min="14" max="14" width="32.7109375" style="58" bestFit="1" customWidth="1"/>
    <col min="15" max="15" width="1.42578125" style="58" customWidth="1"/>
    <col min="16" max="20" width="7.7109375" style="58" bestFit="1" customWidth="1"/>
    <col min="21" max="24" width="8.7109375" style="58" bestFit="1" customWidth="1"/>
    <col min="25" max="26" width="9.7109375" style="58" customWidth="1"/>
    <col min="27" max="16384" width="9.140625" style="58"/>
  </cols>
  <sheetData>
    <row r="1" spans="1:24" ht="13.5" x14ac:dyDescent="0.25">
      <c r="A1" s="92" t="str">
        <f>muni&amp;" - "&amp;TableA6</f>
        <v>KZN226 Mkhambathini - Supporting Table SA6 Reconciliation of IDP strategic objectives and budget (capital expenditure)</v>
      </c>
      <c r="B1" s="92"/>
      <c r="C1" s="92"/>
      <c r="D1" s="92"/>
      <c r="E1" s="92"/>
      <c r="F1" s="92"/>
      <c r="G1" s="92"/>
      <c r="H1" s="92"/>
      <c r="I1" s="92"/>
      <c r="J1" s="92"/>
      <c r="K1" s="92"/>
      <c r="L1" s="92"/>
      <c r="M1" s="92"/>
      <c r="N1" s="220"/>
      <c r="O1" s="220"/>
      <c r="P1" s="220"/>
      <c r="Q1" s="220"/>
    </row>
    <row r="2" spans="1:24" ht="28.5" customHeight="1" x14ac:dyDescent="0.25">
      <c r="A2" s="696" t="s">
        <v>837</v>
      </c>
      <c r="B2" s="689" t="s">
        <v>1174</v>
      </c>
      <c r="C2" s="697" t="s">
        <v>809</v>
      </c>
      <c r="D2" s="2470" t="str">
        <f>head27</f>
        <v>Ref</v>
      </c>
      <c r="E2" s="683" t="str">
        <f>head1b</f>
        <v>2017/18</v>
      </c>
      <c r="F2" s="837" t="str">
        <f>head1A</f>
        <v>2018/19</v>
      </c>
      <c r="G2" s="684" t="str">
        <f>Head1</f>
        <v>2019/20</v>
      </c>
      <c r="H2" s="2447" t="str">
        <f>Head2</f>
        <v>Current Year 2020/21</v>
      </c>
      <c r="I2" s="2448"/>
      <c r="J2" s="2449"/>
      <c r="K2" s="2450" t="str">
        <f>Head3</f>
        <v>2021/22 Medium Term Revenue &amp; Expenditure Framework</v>
      </c>
      <c r="L2" s="2451"/>
      <c r="M2" s="2452"/>
      <c r="N2" s="220"/>
      <c r="O2" s="220"/>
      <c r="P2" s="220"/>
      <c r="Q2" s="220"/>
    </row>
    <row r="3" spans="1:24" ht="25.5" x14ac:dyDescent="0.25">
      <c r="A3" s="1016" t="s">
        <v>568</v>
      </c>
      <c r="B3" s="157"/>
      <c r="C3" s="157"/>
      <c r="D3" s="2471"/>
      <c r="E3" s="702" t="str">
        <f>Head5</f>
        <v>Audited Outcome</v>
      </c>
      <c r="F3" s="698" t="str">
        <f>Head5</f>
        <v>Audited Outcome</v>
      </c>
      <c r="G3" s="94" t="str">
        <f>Head5</f>
        <v>Audited Outcome</v>
      </c>
      <c r="H3" s="95" t="str">
        <f>Head6</f>
        <v>Original Budget</v>
      </c>
      <c r="I3" s="698" t="str">
        <f>Head7</f>
        <v>Adjusted Budget</v>
      </c>
      <c r="J3" s="94" t="str">
        <f>Head8</f>
        <v>Full Year Forecast</v>
      </c>
      <c r="K3" s="95" t="str">
        <f>Head9</f>
        <v>Budget Year 2021/22</v>
      </c>
      <c r="L3" s="698" t="str">
        <f>Head10</f>
        <v>Budget Year +1 2022/23</v>
      </c>
      <c r="M3" s="94" t="str">
        <f>Head11</f>
        <v>Budget Year +2 2023/24</v>
      </c>
      <c r="N3" s="220"/>
      <c r="O3" s="220"/>
      <c r="P3" s="220"/>
      <c r="Q3" s="220"/>
    </row>
    <row r="4" spans="1:24" ht="42.75" customHeight="1" x14ac:dyDescent="0.25">
      <c r="A4" s="1017" t="s">
        <v>3229</v>
      </c>
      <c r="B4" s="1018" t="s">
        <v>2497</v>
      </c>
      <c r="C4" s="1044">
        <v>6</v>
      </c>
      <c r="D4" s="1019" t="s">
        <v>3108</v>
      </c>
      <c r="E4" s="1020">
        <v>0</v>
      </c>
      <c r="F4" s="1020">
        <v>0</v>
      </c>
      <c r="G4" s="1021">
        <v>0</v>
      </c>
      <c r="H4" s="1022">
        <v>0</v>
      </c>
      <c r="I4" s="1020">
        <v>4348103</v>
      </c>
      <c r="J4" s="1023">
        <v>4348103</v>
      </c>
      <c r="K4" s="1024">
        <v>0</v>
      </c>
      <c r="L4" s="1020">
        <v>0</v>
      </c>
      <c r="M4" s="1021">
        <v>0</v>
      </c>
      <c r="N4" s="1027"/>
      <c r="O4" s="1027"/>
      <c r="P4" s="223"/>
      <c r="Q4" s="223"/>
      <c r="R4" s="223"/>
      <c r="S4" s="223"/>
      <c r="T4" s="223"/>
      <c r="U4" s="223"/>
      <c r="V4" s="223"/>
      <c r="W4" s="223"/>
      <c r="X4" s="223"/>
    </row>
    <row r="5" spans="1:24" ht="42.75" customHeight="1" x14ac:dyDescent="0.25">
      <c r="A5" s="1017" t="s">
        <v>3206</v>
      </c>
      <c r="B5" s="1018" t="s">
        <v>2497</v>
      </c>
      <c r="C5" s="1044">
        <v>6</v>
      </c>
      <c r="D5" s="1019" t="s">
        <v>3108</v>
      </c>
      <c r="E5" s="1020">
        <v>0</v>
      </c>
      <c r="F5" s="1020">
        <v>0</v>
      </c>
      <c r="G5" s="1021">
        <v>0</v>
      </c>
      <c r="H5" s="1022">
        <v>0</v>
      </c>
      <c r="I5" s="1020">
        <v>0</v>
      </c>
      <c r="J5" s="1023">
        <v>0</v>
      </c>
      <c r="K5" s="1024">
        <v>13790425</v>
      </c>
      <c r="L5" s="1020">
        <v>0</v>
      </c>
      <c r="M5" s="1021">
        <v>0</v>
      </c>
      <c r="N5" s="1027"/>
      <c r="O5" s="1027"/>
      <c r="P5" s="223"/>
      <c r="Q5" s="223"/>
      <c r="R5" s="223"/>
      <c r="S5" s="223"/>
      <c r="T5" s="223"/>
      <c r="U5" s="223"/>
      <c r="V5" s="223"/>
      <c r="W5" s="223"/>
      <c r="X5" s="223"/>
    </row>
    <row r="6" spans="1:24" ht="42.75" customHeight="1" x14ac:dyDescent="0.25">
      <c r="A6" s="1017" t="s">
        <v>3133</v>
      </c>
      <c r="B6" s="1018" t="s">
        <v>2503</v>
      </c>
      <c r="C6" s="1044">
        <v>12</v>
      </c>
      <c r="D6" s="1019" t="s">
        <v>3108</v>
      </c>
      <c r="E6" s="1020">
        <v>2898101</v>
      </c>
      <c r="F6" s="1020">
        <v>0</v>
      </c>
      <c r="G6" s="1021">
        <v>0</v>
      </c>
      <c r="H6" s="1022">
        <v>3000000</v>
      </c>
      <c r="I6" s="1020">
        <v>5881174</v>
      </c>
      <c r="J6" s="1023">
        <v>5881174</v>
      </c>
      <c r="K6" s="1024">
        <v>0</v>
      </c>
      <c r="L6" s="1020">
        <v>0</v>
      </c>
      <c r="M6" s="1021">
        <v>0</v>
      </c>
      <c r="N6" s="1027"/>
      <c r="O6" s="1027"/>
      <c r="P6" s="223"/>
      <c r="Q6" s="223"/>
      <c r="R6" s="223"/>
      <c r="S6" s="223"/>
      <c r="T6" s="223"/>
      <c r="U6" s="223"/>
      <c r="V6" s="223"/>
      <c r="W6" s="223"/>
      <c r="X6" s="223"/>
    </row>
    <row r="7" spans="1:24" ht="42.75" customHeight="1" x14ac:dyDescent="0.25">
      <c r="A7" s="1017" t="s">
        <v>3133</v>
      </c>
      <c r="B7" s="1018" t="s">
        <v>2492</v>
      </c>
      <c r="C7" s="1044">
        <v>1</v>
      </c>
      <c r="D7" s="1019" t="s">
        <v>3108</v>
      </c>
      <c r="E7" s="1020">
        <v>0</v>
      </c>
      <c r="F7" s="1020">
        <v>0</v>
      </c>
      <c r="G7" s="1021">
        <v>0</v>
      </c>
      <c r="H7" s="1022">
        <v>1538516</v>
      </c>
      <c r="I7" s="1020">
        <v>1538516</v>
      </c>
      <c r="J7" s="1023">
        <v>1538516</v>
      </c>
      <c r="K7" s="1024">
        <v>0</v>
      </c>
      <c r="L7" s="1020">
        <v>0</v>
      </c>
      <c r="M7" s="1021">
        <v>0</v>
      </c>
      <c r="N7" s="1027"/>
      <c r="O7" s="1027"/>
      <c r="P7" s="223"/>
      <c r="Q7" s="223"/>
      <c r="R7" s="223"/>
      <c r="S7" s="223"/>
      <c r="T7" s="223"/>
      <c r="U7" s="223"/>
      <c r="V7" s="223"/>
      <c r="W7" s="223"/>
      <c r="X7" s="223"/>
    </row>
    <row r="8" spans="1:24" ht="42.75" customHeight="1" x14ac:dyDescent="0.25">
      <c r="A8" s="1017" t="s">
        <v>3109</v>
      </c>
      <c r="B8" s="1018" t="s">
        <v>2497</v>
      </c>
      <c r="C8" s="1044">
        <v>6</v>
      </c>
      <c r="D8" s="1019" t="s">
        <v>3108</v>
      </c>
      <c r="E8" s="1020">
        <v>0</v>
      </c>
      <c r="F8" s="1020">
        <v>0</v>
      </c>
      <c r="G8" s="1021">
        <v>0</v>
      </c>
      <c r="H8" s="1022">
        <v>0</v>
      </c>
      <c r="I8" s="1020">
        <v>4709847</v>
      </c>
      <c r="J8" s="1023">
        <v>4709847</v>
      </c>
      <c r="K8" s="1024">
        <v>0</v>
      </c>
      <c r="L8" s="1020">
        <v>0</v>
      </c>
      <c r="M8" s="1021">
        <v>0</v>
      </c>
      <c r="N8" s="1027"/>
      <c r="O8" s="1027"/>
      <c r="P8" s="223"/>
      <c r="Q8" s="223"/>
      <c r="R8" s="223"/>
      <c r="S8" s="223"/>
      <c r="T8" s="223"/>
      <c r="U8" s="223"/>
      <c r="V8" s="223"/>
      <c r="W8" s="223"/>
      <c r="X8" s="223"/>
    </row>
    <row r="9" spans="1:24" ht="42.75" customHeight="1" x14ac:dyDescent="0.25">
      <c r="A9" s="1017" t="s">
        <v>3109</v>
      </c>
      <c r="B9" s="1018" t="s">
        <v>2503</v>
      </c>
      <c r="C9" s="1044">
        <v>12</v>
      </c>
      <c r="D9" s="1019" t="s">
        <v>3108</v>
      </c>
      <c r="E9" s="1020">
        <v>0</v>
      </c>
      <c r="F9" s="1020">
        <v>0</v>
      </c>
      <c r="G9" s="1021">
        <v>472275</v>
      </c>
      <c r="H9" s="1022">
        <v>5000000</v>
      </c>
      <c r="I9" s="1020">
        <v>1521951</v>
      </c>
      <c r="J9" s="1023">
        <v>1521951</v>
      </c>
      <c r="K9" s="1024">
        <v>0</v>
      </c>
      <c r="L9" s="1020">
        <v>0</v>
      </c>
      <c r="M9" s="1021">
        <v>0</v>
      </c>
      <c r="N9" s="1027"/>
      <c r="O9" s="1027"/>
      <c r="P9" s="223"/>
      <c r="Q9" s="223"/>
      <c r="R9" s="223"/>
      <c r="S9" s="223"/>
      <c r="T9" s="223"/>
      <c r="U9" s="223"/>
      <c r="V9" s="223"/>
      <c r="W9" s="223"/>
      <c r="X9" s="223"/>
    </row>
    <row r="10" spans="1:24" ht="42.75" customHeight="1" x14ac:dyDescent="0.25">
      <c r="A10" s="1017" t="s">
        <v>3114</v>
      </c>
      <c r="B10" s="1018" t="s">
        <v>2503</v>
      </c>
      <c r="C10" s="1044">
        <v>12</v>
      </c>
      <c r="D10" s="1019" t="s">
        <v>3108</v>
      </c>
      <c r="E10" s="1020">
        <v>2845481</v>
      </c>
      <c r="F10" s="1020">
        <v>2845481</v>
      </c>
      <c r="G10" s="1021">
        <v>2845481</v>
      </c>
      <c r="H10" s="1022">
        <v>0</v>
      </c>
      <c r="I10" s="1020">
        <v>0</v>
      </c>
      <c r="J10" s="1023">
        <v>0</v>
      </c>
      <c r="K10" s="1024">
        <v>0</v>
      </c>
      <c r="L10" s="1020">
        <v>0</v>
      </c>
      <c r="M10" s="1021">
        <v>0</v>
      </c>
      <c r="N10" s="1027"/>
      <c r="O10" s="1027"/>
      <c r="P10" s="223"/>
      <c r="Q10" s="223"/>
      <c r="R10" s="223"/>
      <c r="S10" s="223"/>
      <c r="T10" s="223"/>
      <c r="U10" s="223"/>
      <c r="V10" s="223"/>
      <c r="W10" s="223"/>
      <c r="X10" s="223"/>
    </row>
    <row r="11" spans="1:24" ht="42.75" customHeight="1" x14ac:dyDescent="0.25">
      <c r="A11" s="1017" t="s">
        <v>3149</v>
      </c>
      <c r="B11" s="1018" t="s">
        <v>2503</v>
      </c>
      <c r="C11" s="1044">
        <v>12</v>
      </c>
      <c r="D11" s="1019" t="s">
        <v>3108</v>
      </c>
      <c r="E11" s="1020">
        <v>241468</v>
      </c>
      <c r="F11" s="1020">
        <v>321813</v>
      </c>
      <c r="G11" s="1021">
        <v>977996</v>
      </c>
      <c r="H11" s="1022">
        <v>300000</v>
      </c>
      <c r="I11" s="1020">
        <v>300000</v>
      </c>
      <c r="J11" s="1023">
        <v>300000</v>
      </c>
      <c r="K11" s="1024">
        <v>555000</v>
      </c>
      <c r="L11" s="1020">
        <v>324168</v>
      </c>
      <c r="M11" s="1021">
        <v>337135</v>
      </c>
      <c r="N11" s="1027"/>
      <c r="O11" s="1027"/>
      <c r="P11" s="223"/>
      <c r="Q11" s="223"/>
      <c r="R11" s="223"/>
      <c r="S11" s="223"/>
      <c r="T11" s="223"/>
      <c r="U11" s="223"/>
      <c r="V11" s="223"/>
      <c r="W11" s="223"/>
      <c r="X11" s="223"/>
    </row>
    <row r="12" spans="1:24" ht="42.75" customHeight="1" x14ac:dyDescent="0.25">
      <c r="A12" s="1017" t="s">
        <v>3121</v>
      </c>
      <c r="B12" s="1018" t="s">
        <v>2493</v>
      </c>
      <c r="C12" s="1044">
        <v>2</v>
      </c>
      <c r="D12" s="1019" t="s">
        <v>3108</v>
      </c>
      <c r="E12" s="1020">
        <v>0</v>
      </c>
      <c r="F12" s="1020">
        <v>0</v>
      </c>
      <c r="G12" s="1021">
        <v>0</v>
      </c>
      <c r="H12" s="1022">
        <v>0</v>
      </c>
      <c r="I12" s="1020">
        <v>0</v>
      </c>
      <c r="J12" s="1023">
        <v>0</v>
      </c>
      <c r="K12" s="1024">
        <v>13161000</v>
      </c>
      <c r="L12" s="1020">
        <v>0</v>
      </c>
      <c r="M12" s="1021">
        <v>0</v>
      </c>
      <c r="N12" s="221"/>
      <c r="O12" s="221"/>
      <c r="P12" s="223"/>
      <c r="Q12" s="223"/>
      <c r="R12" s="223"/>
      <c r="S12" s="223"/>
      <c r="T12" s="223"/>
      <c r="U12" s="223"/>
      <c r="V12" s="223"/>
      <c r="W12" s="223"/>
      <c r="X12" s="223"/>
    </row>
    <row r="13" spans="1:24" ht="42.75" customHeight="1" x14ac:dyDescent="0.25">
      <c r="A13" s="1017" t="s">
        <v>3121</v>
      </c>
      <c r="B13" s="1018" t="s">
        <v>2503</v>
      </c>
      <c r="C13" s="1044">
        <v>12</v>
      </c>
      <c r="D13" s="1019" t="s">
        <v>3108</v>
      </c>
      <c r="E13" s="1020">
        <v>4219846</v>
      </c>
      <c r="F13" s="1020">
        <v>5374928</v>
      </c>
      <c r="G13" s="1021">
        <v>-169960</v>
      </c>
      <c r="H13" s="1022">
        <v>0</v>
      </c>
      <c r="I13" s="1020">
        <v>507082</v>
      </c>
      <c r="J13" s="1023">
        <v>507082</v>
      </c>
      <c r="K13" s="1024">
        <v>0</v>
      </c>
      <c r="L13" s="1020">
        <v>0</v>
      </c>
      <c r="M13" s="1021">
        <v>0</v>
      </c>
      <c r="N13" s="220"/>
      <c r="O13" s="220"/>
      <c r="P13" s="223"/>
      <c r="Q13" s="223"/>
      <c r="R13" s="223"/>
      <c r="S13" s="223"/>
      <c r="T13" s="223"/>
      <c r="U13" s="223"/>
      <c r="V13" s="223"/>
      <c r="W13" s="223"/>
      <c r="X13" s="223"/>
    </row>
    <row r="14" spans="1:24" ht="42.75" customHeight="1" x14ac:dyDescent="0.25">
      <c r="A14" s="1017" t="s">
        <v>3143</v>
      </c>
      <c r="B14" s="1018" t="s">
        <v>2503</v>
      </c>
      <c r="C14" s="1044">
        <v>12</v>
      </c>
      <c r="D14" s="1019" t="s">
        <v>3108</v>
      </c>
      <c r="E14" s="1020">
        <v>0</v>
      </c>
      <c r="F14" s="1020">
        <v>0</v>
      </c>
      <c r="G14" s="1021">
        <v>0</v>
      </c>
      <c r="H14" s="1022">
        <v>0</v>
      </c>
      <c r="I14" s="1020">
        <v>550000</v>
      </c>
      <c r="J14" s="1023">
        <v>550000</v>
      </c>
      <c r="K14" s="1024">
        <v>0</v>
      </c>
      <c r="L14" s="1020">
        <v>0</v>
      </c>
      <c r="M14" s="1021">
        <v>0</v>
      </c>
      <c r="N14" s="220"/>
      <c r="O14" s="220"/>
      <c r="P14" s="223"/>
      <c r="Q14" s="223"/>
      <c r="R14" s="223"/>
      <c r="S14" s="223"/>
      <c r="T14" s="223"/>
      <c r="U14" s="223"/>
      <c r="V14" s="223"/>
      <c r="W14" s="223"/>
      <c r="X14" s="223"/>
    </row>
    <row r="15" spans="1:24" ht="42.75" customHeight="1" x14ac:dyDescent="0.25">
      <c r="A15" s="1017" t="s">
        <v>3135</v>
      </c>
      <c r="B15" s="1018" t="s">
        <v>2503</v>
      </c>
      <c r="C15" s="1044">
        <v>12</v>
      </c>
      <c r="D15" s="1019" t="s">
        <v>3108</v>
      </c>
      <c r="E15" s="1020">
        <v>0</v>
      </c>
      <c r="F15" s="1020">
        <v>1280000</v>
      </c>
      <c r="G15" s="1021">
        <v>1933679</v>
      </c>
      <c r="H15" s="1022">
        <v>0</v>
      </c>
      <c r="I15" s="1020">
        <v>0</v>
      </c>
      <c r="J15" s="1023">
        <v>0</v>
      </c>
      <c r="K15" s="1024">
        <v>800000</v>
      </c>
      <c r="L15" s="1020">
        <v>0</v>
      </c>
      <c r="M15" s="1021">
        <v>0</v>
      </c>
      <c r="N15" s="220"/>
      <c r="O15" s="220"/>
      <c r="P15" s="223"/>
      <c r="Q15" s="223"/>
      <c r="R15" s="223"/>
      <c r="S15" s="223"/>
      <c r="T15" s="223"/>
      <c r="U15" s="223"/>
      <c r="V15" s="223"/>
      <c r="W15" s="223"/>
      <c r="X15" s="223"/>
    </row>
    <row r="16" spans="1:24" ht="42.75" customHeight="1" x14ac:dyDescent="0.25">
      <c r="A16" s="1017" t="s">
        <v>3119</v>
      </c>
      <c r="B16" s="1018" t="s">
        <v>2497</v>
      </c>
      <c r="C16" s="1044">
        <v>6</v>
      </c>
      <c r="D16" s="1019" t="s">
        <v>3108</v>
      </c>
      <c r="E16" s="1020">
        <v>603494</v>
      </c>
      <c r="F16" s="1020">
        <v>2214342</v>
      </c>
      <c r="G16" s="1021">
        <v>2597693</v>
      </c>
      <c r="H16" s="1022">
        <v>9467783</v>
      </c>
      <c r="I16" s="1020">
        <v>12852781</v>
      </c>
      <c r="J16" s="1023">
        <v>12852781</v>
      </c>
      <c r="K16" s="1024">
        <v>0</v>
      </c>
      <c r="L16" s="1020">
        <v>0</v>
      </c>
      <c r="M16" s="1021">
        <v>0</v>
      </c>
      <c r="N16" s="220"/>
      <c r="O16" s="220"/>
      <c r="P16" s="180"/>
      <c r="Q16" s="180"/>
      <c r="R16" s="180"/>
      <c r="S16" s="180"/>
      <c r="T16" s="180"/>
      <c r="U16" s="180"/>
      <c r="V16" s="180"/>
      <c r="W16" s="180"/>
      <c r="X16" s="180"/>
    </row>
    <row r="17" spans="1:24" ht="42.75" customHeight="1" x14ac:dyDescent="0.25">
      <c r="A17" s="1017" t="s">
        <v>3119</v>
      </c>
      <c r="B17" s="1018" t="s">
        <v>2503</v>
      </c>
      <c r="C17" s="1044">
        <v>12</v>
      </c>
      <c r="D17" s="1019" t="s">
        <v>3108</v>
      </c>
      <c r="E17" s="1020">
        <v>166592</v>
      </c>
      <c r="F17" s="1020">
        <v>1079842</v>
      </c>
      <c r="G17" s="1021">
        <v>10123397</v>
      </c>
      <c r="H17" s="1022">
        <v>6390468</v>
      </c>
      <c r="I17" s="1020">
        <v>11553034</v>
      </c>
      <c r="J17" s="1023">
        <v>11553034</v>
      </c>
      <c r="K17" s="1024">
        <v>3314575</v>
      </c>
      <c r="L17" s="1020">
        <v>3432224</v>
      </c>
      <c r="M17" s="1021">
        <v>3649513</v>
      </c>
      <c r="N17" s="220"/>
      <c r="O17" s="220"/>
      <c r="P17" s="223"/>
      <c r="Q17" s="223"/>
      <c r="R17" s="223"/>
      <c r="S17" s="223"/>
      <c r="T17" s="223"/>
      <c r="U17" s="223"/>
      <c r="V17" s="223"/>
      <c r="W17" s="223"/>
      <c r="X17" s="223"/>
    </row>
    <row r="18" spans="1:24" ht="42.75" customHeight="1" x14ac:dyDescent="0.25">
      <c r="A18" s="1017" t="s">
        <v>3127</v>
      </c>
      <c r="B18" s="1018" t="s">
        <v>2497</v>
      </c>
      <c r="C18" s="1044">
        <v>6</v>
      </c>
      <c r="D18" s="1019" t="s">
        <v>3108</v>
      </c>
      <c r="E18" s="1020">
        <v>54238266</v>
      </c>
      <c r="F18" s="1020">
        <v>62146800</v>
      </c>
      <c r="G18" s="1021">
        <v>68985977</v>
      </c>
      <c r="H18" s="1022">
        <v>0</v>
      </c>
      <c r="I18" s="1020">
        <v>0</v>
      </c>
      <c r="J18" s="1023">
        <v>0</v>
      </c>
      <c r="K18" s="1024">
        <v>0</v>
      </c>
      <c r="L18" s="1020">
        <v>0</v>
      </c>
      <c r="M18" s="1021">
        <v>0</v>
      </c>
      <c r="N18" s="220"/>
      <c r="O18" s="220"/>
      <c r="P18" s="220"/>
      <c r="Q18" s="220"/>
    </row>
    <row r="19" spans="1:24" ht="42.75" customHeight="1" x14ac:dyDescent="0.25">
      <c r="A19" s="1017" t="s">
        <v>3127</v>
      </c>
      <c r="B19" s="1018" t="s">
        <v>2503</v>
      </c>
      <c r="C19" s="1044">
        <v>12</v>
      </c>
      <c r="D19" s="1019" t="s">
        <v>3108</v>
      </c>
      <c r="E19" s="1020">
        <v>25641296</v>
      </c>
      <c r="F19" s="1020">
        <v>28291296</v>
      </c>
      <c r="G19" s="1021">
        <v>29269324</v>
      </c>
      <c r="H19" s="1022">
        <v>0</v>
      </c>
      <c r="I19" s="1020">
        <v>0</v>
      </c>
      <c r="J19" s="1023">
        <v>0</v>
      </c>
      <c r="K19" s="1024">
        <v>0</v>
      </c>
      <c r="L19" s="1020">
        <v>0</v>
      </c>
      <c r="M19" s="1021">
        <v>0</v>
      </c>
      <c r="N19" s="220"/>
      <c r="O19" s="220"/>
      <c r="P19" s="220"/>
      <c r="Q19" s="220"/>
    </row>
    <row r="20" spans="1:24" ht="42.75" customHeight="1" x14ac:dyDescent="0.25">
      <c r="A20" s="1017" t="s">
        <v>3127</v>
      </c>
      <c r="B20" s="1018" t="s">
        <v>2492</v>
      </c>
      <c r="C20" s="1044">
        <v>1</v>
      </c>
      <c r="D20" s="1019" t="s">
        <v>3108</v>
      </c>
      <c r="E20" s="1020">
        <v>75339699</v>
      </c>
      <c r="F20" s="1020">
        <v>90719296</v>
      </c>
      <c r="G20" s="1021">
        <v>96606302</v>
      </c>
      <c r="H20" s="1022">
        <v>0</v>
      </c>
      <c r="I20" s="1020">
        <v>0</v>
      </c>
      <c r="J20" s="1023">
        <v>0</v>
      </c>
      <c r="K20" s="1024">
        <v>0</v>
      </c>
      <c r="L20" s="1020">
        <v>0</v>
      </c>
      <c r="M20" s="1021">
        <v>0</v>
      </c>
    </row>
    <row r="21" spans="1:24" ht="42.75" customHeight="1" x14ac:dyDescent="0.25">
      <c r="A21" s="1017"/>
      <c r="B21" s="1018"/>
      <c r="C21" s="1044" t="s">
        <v>810</v>
      </c>
      <c r="D21" s="1019"/>
      <c r="E21" s="1020"/>
      <c r="F21" s="1020"/>
      <c r="G21" s="1021"/>
      <c r="H21" s="1022"/>
      <c r="I21" s="1020"/>
      <c r="J21" s="1023"/>
      <c r="K21" s="1024"/>
      <c r="L21" s="1020"/>
      <c r="M21" s="1021"/>
    </row>
    <row r="22" spans="1:24" ht="42.75" customHeight="1" x14ac:dyDescent="0.25">
      <c r="A22" s="1017"/>
      <c r="B22" s="1018"/>
      <c r="C22" s="1044" t="s">
        <v>811</v>
      </c>
      <c r="D22" s="1019"/>
      <c r="E22" s="1020"/>
      <c r="F22" s="1020"/>
      <c r="G22" s="1021"/>
      <c r="H22" s="1022"/>
      <c r="I22" s="1020"/>
      <c r="J22" s="1023"/>
      <c r="K22" s="1024"/>
      <c r="L22" s="1020"/>
      <c r="M22" s="1021"/>
    </row>
    <row r="23" spans="1:24" ht="12.75" customHeight="1" x14ac:dyDescent="0.25">
      <c r="A23" s="1029" t="s">
        <v>1805</v>
      </c>
      <c r="B23" s="1030"/>
      <c r="C23" s="1045"/>
      <c r="D23" s="1019">
        <v>3</v>
      </c>
      <c r="E23" s="1032"/>
      <c r="F23" s="1032"/>
      <c r="G23" s="1033"/>
      <c r="H23" s="1034"/>
      <c r="I23" s="1032"/>
      <c r="J23" s="1035"/>
      <c r="K23" s="1036"/>
      <c r="L23" s="1032"/>
      <c r="M23" s="1033"/>
    </row>
    <row r="24" spans="1:24" x14ac:dyDescent="0.25">
      <c r="A24" s="816" t="s">
        <v>523</v>
      </c>
      <c r="B24" s="1037"/>
      <c r="C24" s="1038"/>
      <c r="D24" s="796">
        <v>1</v>
      </c>
      <c r="E24" s="185">
        <f t="shared" ref="E24:M24" si="0">SUM(E4:E23)</f>
        <v>166194243</v>
      </c>
      <c r="F24" s="185">
        <f t="shared" si="0"/>
        <v>194273798</v>
      </c>
      <c r="G24" s="183">
        <f t="shared" si="0"/>
        <v>213642164</v>
      </c>
      <c r="H24" s="184">
        <f t="shared" si="0"/>
        <v>25696767</v>
      </c>
      <c r="I24" s="185">
        <f t="shared" si="0"/>
        <v>43762488</v>
      </c>
      <c r="J24" s="186">
        <f t="shared" si="0"/>
        <v>43762488</v>
      </c>
      <c r="K24" s="187">
        <f t="shared" si="0"/>
        <v>31621000</v>
      </c>
      <c r="L24" s="185">
        <f t="shared" si="0"/>
        <v>3756392</v>
      </c>
      <c r="M24" s="183">
        <f t="shared" si="0"/>
        <v>3986648</v>
      </c>
    </row>
    <row r="25" spans="1:24" x14ac:dyDescent="0.25">
      <c r="A25" s="188" t="str">
        <f>head27a</f>
        <v>References</v>
      </c>
      <c r="B25" s="192"/>
      <c r="C25" s="192"/>
      <c r="D25" s="189"/>
      <c r="E25" s="193"/>
      <c r="F25" s="193"/>
      <c r="G25" s="193"/>
      <c r="H25" s="193"/>
      <c r="I25" s="193"/>
      <c r="J25" s="193"/>
      <c r="K25" s="193"/>
      <c r="L25" s="193"/>
      <c r="M25" s="193"/>
    </row>
    <row r="26" spans="1:24" x14ac:dyDescent="0.25">
      <c r="A26" s="151" t="s">
        <v>1176</v>
      </c>
      <c r="B26" s="192"/>
      <c r="C26" s="192"/>
      <c r="D26" s="189"/>
      <c r="E26" s="193"/>
      <c r="F26" s="193"/>
      <c r="G26" s="193"/>
      <c r="H26" s="193"/>
      <c r="I26" s="193"/>
      <c r="J26" s="193"/>
      <c r="K26" s="193"/>
      <c r="L26" s="193"/>
      <c r="M26" s="193"/>
    </row>
    <row r="27" spans="1:24" x14ac:dyDescent="0.25">
      <c r="A27" s="151" t="s">
        <v>1804</v>
      </c>
      <c r="B27" s="220"/>
      <c r="C27" s="220"/>
      <c r="D27" s="189"/>
      <c r="E27" s="192"/>
      <c r="F27" s="192"/>
      <c r="G27" s="193"/>
      <c r="H27" s="193"/>
      <c r="I27" s="193"/>
      <c r="J27" s="193"/>
      <c r="K27" s="193"/>
      <c r="L27" s="193"/>
      <c r="M27" s="193"/>
    </row>
    <row r="28" spans="1:24" x14ac:dyDescent="0.25">
      <c r="A28" s="58" t="s">
        <v>1807</v>
      </c>
    </row>
    <row r="29" spans="1:24" x14ac:dyDescent="0.25">
      <c r="A29" s="224" t="s">
        <v>362</v>
      </c>
      <c r="B29" s="224"/>
      <c r="C29" s="224"/>
      <c r="E29" s="295">
        <f>E24-'A5-Capex'!C40</f>
        <v>0</v>
      </c>
      <c r="F29" s="295">
        <f>F24-'A5-Capex'!D40</f>
        <v>0</v>
      </c>
      <c r="G29" s="295">
        <f>G24-'A5-Capex'!E40</f>
        <v>0</v>
      </c>
      <c r="H29" s="295">
        <f>H24-'A5-Capex'!F40</f>
        <v>0</v>
      </c>
      <c r="I29" s="295">
        <f>I24-'A5-Capex'!G40</f>
        <v>0</v>
      </c>
      <c r="J29" s="295">
        <f>J24-'A5-Capex'!H40</f>
        <v>0</v>
      </c>
      <c r="K29" s="295">
        <f>K24-'A5-Capex'!J40</f>
        <v>0</v>
      </c>
      <c r="L29" s="295">
        <f>L24-'A5-Capex'!K40</f>
        <v>0</v>
      </c>
      <c r="M29" s="295">
        <f>M24-'A5-Capex'!L40</f>
        <v>0</v>
      </c>
    </row>
    <row r="30" spans="1:24" x14ac:dyDescent="0.25">
      <c r="E30" s="1040"/>
    </row>
    <row r="31" spans="1:24" x14ac:dyDescent="0.25">
      <c r="E31" s="1040"/>
    </row>
  </sheetData>
  <sheetProtection sheet="1" objects="1" scenarios="1"/>
  <mergeCells count="3">
    <mergeCell ref="H2:J2"/>
    <mergeCell ref="K2:M2"/>
    <mergeCell ref="D2:D3"/>
  </mergeCells>
  <phoneticPr fontId="7" type="noConversion"/>
  <printOptions horizontalCentered="1"/>
  <pageMargins left="0" right="0" top="0.78740157480314965" bottom="0.59055118110236227" header="0.51181102362204722" footer="0.39"/>
  <pageSetup paperSize="9" scale="83" orientation="portrait"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7"/>
  <dimension ref="A1:K89"/>
  <sheetViews>
    <sheetView showGridLines="0" zoomScale="110" zoomScaleNormal="110" workbookViewId="0">
      <pane xSplit="2" ySplit="3" topLeftCell="C4" activePane="bottomRight" state="frozen"/>
      <selection pane="topRight"/>
      <selection pane="bottomLeft"/>
      <selection pane="bottomRight" activeCell="A13" sqref="A13"/>
    </sheetView>
  </sheetViews>
  <sheetFormatPr defaultColWidth="9.140625" defaultRowHeight="11.25" customHeight="1" x14ac:dyDescent="0.25"/>
  <cols>
    <col min="1" max="1" width="29.28515625" style="58" customWidth="1"/>
    <col min="2" max="2" width="15.7109375" style="58" customWidth="1"/>
    <col min="3" max="11" width="9.28515625" style="58" customWidth="1"/>
    <col min="12" max="16384" width="9.140625" style="58"/>
  </cols>
  <sheetData>
    <row r="1" spans="1:11" s="93" customFormat="1" ht="12.75" x14ac:dyDescent="0.2">
      <c r="A1" s="92" t="str">
        <f>muni&amp;" - "&amp;TableA7</f>
        <v>KZN226 Mkhambathini - Supporting Table SA7 Measureable performance objectives</v>
      </c>
      <c r="B1" s="92"/>
      <c r="C1" s="92"/>
      <c r="D1" s="92"/>
      <c r="E1" s="92"/>
      <c r="F1" s="92"/>
      <c r="G1" s="92"/>
      <c r="H1" s="92"/>
      <c r="I1" s="92"/>
      <c r="J1" s="92"/>
      <c r="K1" s="92"/>
    </row>
    <row r="2" spans="1:11" ht="28.5" customHeight="1" x14ac:dyDescent="0.25">
      <c r="A2" s="2480" t="s">
        <v>659</v>
      </c>
      <c r="B2" s="2478" t="s">
        <v>358</v>
      </c>
      <c r="C2" s="683" t="str">
        <f>head1b</f>
        <v>2017/18</v>
      </c>
      <c r="D2" s="837" t="str">
        <f>head1A</f>
        <v>2018/19</v>
      </c>
      <c r="E2" s="684" t="str">
        <f>Head1</f>
        <v>2019/20</v>
      </c>
      <c r="F2" s="2447" t="str">
        <f>Head2</f>
        <v>Current Year 2020/21</v>
      </c>
      <c r="G2" s="2448"/>
      <c r="H2" s="2449"/>
      <c r="I2" s="2450" t="str">
        <f>Head3</f>
        <v>2021/22 Medium Term Revenue &amp; Expenditure Framework</v>
      </c>
      <c r="J2" s="2451"/>
      <c r="K2" s="2452"/>
    </row>
    <row r="3" spans="1:11" ht="25.5" x14ac:dyDescent="0.25">
      <c r="A3" s="2481"/>
      <c r="B3" s="2479"/>
      <c r="C3" s="702" t="str">
        <f>Head5</f>
        <v>Audited Outcome</v>
      </c>
      <c r="D3" s="698" t="str">
        <f>Head5</f>
        <v>Audited Outcome</v>
      </c>
      <c r="E3" s="94" t="str">
        <f>Head5</f>
        <v>Audited Outcome</v>
      </c>
      <c r="F3" s="95" t="str">
        <f>Head6</f>
        <v>Original Budget</v>
      </c>
      <c r="G3" s="698" t="str">
        <f>Head7</f>
        <v>Adjusted Budget</v>
      </c>
      <c r="H3" s="94" t="str">
        <f>Head8</f>
        <v>Full Year Forecast</v>
      </c>
      <c r="I3" s="95" t="str">
        <f>Head9</f>
        <v>Budget Year 2021/22</v>
      </c>
      <c r="J3" s="698" t="str">
        <f>Head10</f>
        <v>Budget Year +1 2022/23</v>
      </c>
      <c r="K3" s="94" t="str">
        <f>Head11</f>
        <v>Budget Year +2 2023/24</v>
      </c>
    </row>
    <row r="4" spans="1:11" ht="11.25" customHeight="1" x14ac:dyDescent="0.25">
      <c r="A4" s="1046" t="s">
        <v>1204</v>
      </c>
      <c r="B4" s="1047"/>
      <c r="C4" s="1048"/>
      <c r="D4" s="1049"/>
      <c r="E4" s="1049"/>
      <c r="F4" s="1049"/>
      <c r="G4" s="1049"/>
      <c r="H4" s="1050"/>
      <c r="I4" s="1050"/>
      <c r="J4" s="1049"/>
      <c r="K4" s="1049"/>
    </row>
    <row r="5" spans="1:11" ht="11.25" customHeight="1" x14ac:dyDescent="0.25">
      <c r="A5" s="1051" t="s">
        <v>6292</v>
      </c>
      <c r="B5" s="1052"/>
      <c r="C5" s="1048"/>
      <c r="D5" s="1049"/>
      <c r="E5" s="1049"/>
      <c r="F5" s="1049"/>
      <c r="G5" s="1049"/>
      <c r="H5" s="1049"/>
      <c r="I5" s="1049"/>
      <c r="J5" s="1049"/>
      <c r="K5" s="1049"/>
    </row>
    <row r="6" spans="1:11" ht="11.25" customHeight="1" x14ac:dyDescent="0.25">
      <c r="A6" s="1053" t="s">
        <v>1206</v>
      </c>
      <c r="B6" s="1054"/>
      <c r="C6" s="1048"/>
      <c r="D6" s="1049"/>
      <c r="E6" s="1049"/>
      <c r="F6" s="1049"/>
      <c r="G6" s="1049"/>
      <c r="H6" s="1049"/>
      <c r="I6" s="1049"/>
      <c r="J6" s="1049"/>
      <c r="K6" s="1049"/>
    </row>
    <row r="7" spans="1:11" ht="11.25" customHeight="1" x14ac:dyDescent="0.25">
      <c r="A7" s="2401" t="s">
        <v>6293</v>
      </c>
      <c r="B7" s="1054"/>
      <c r="C7" s="1048">
        <v>1</v>
      </c>
      <c r="D7" s="1049">
        <v>1</v>
      </c>
      <c r="E7" s="1049">
        <v>1</v>
      </c>
      <c r="F7" s="1049">
        <v>1</v>
      </c>
      <c r="G7" s="1049">
        <v>1</v>
      </c>
      <c r="H7" s="1049">
        <v>1</v>
      </c>
      <c r="I7" s="1049">
        <v>1</v>
      </c>
      <c r="J7" s="1049">
        <v>1</v>
      </c>
      <c r="K7" s="1049">
        <v>1</v>
      </c>
    </row>
    <row r="8" spans="1:11" ht="11.25" customHeight="1" x14ac:dyDescent="0.25">
      <c r="A8" s="1056"/>
      <c r="B8" s="1054"/>
      <c r="C8" s="1048"/>
      <c r="D8" s="1049"/>
      <c r="E8" s="1049"/>
      <c r="F8" s="1049"/>
      <c r="G8" s="1049"/>
      <c r="H8" s="1049"/>
      <c r="I8" s="1049"/>
      <c r="J8" s="1049"/>
      <c r="K8" s="1049"/>
    </row>
    <row r="9" spans="1:11" ht="11.25" customHeight="1" x14ac:dyDescent="0.25">
      <c r="A9" s="1053" t="s">
        <v>1208</v>
      </c>
      <c r="B9" s="1057"/>
      <c r="C9" s="1058"/>
      <c r="D9" s="1059"/>
      <c r="E9" s="1059"/>
      <c r="F9" s="1059"/>
      <c r="G9" s="1059"/>
      <c r="H9" s="1059"/>
      <c r="I9" s="1059"/>
      <c r="J9" s="1059"/>
      <c r="K9" s="1059"/>
    </row>
    <row r="10" spans="1:11" ht="11.25" customHeight="1" x14ac:dyDescent="0.25">
      <c r="A10" s="1055" t="s">
        <v>6294</v>
      </c>
      <c r="B10" s="1054"/>
      <c r="C10" s="1048">
        <v>1</v>
      </c>
      <c r="D10" s="1049">
        <v>1</v>
      </c>
      <c r="E10" s="1049">
        <v>1</v>
      </c>
      <c r="F10" s="1049">
        <v>1</v>
      </c>
      <c r="G10" s="1049">
        <v>1</v>
      </c>
      <c r="H10" s="1049">
        <v>1</v>
      </c>
      <c r="I10" s="1049">
        <v>1</v>
      </c>
      <c r="J10" s="1049">
        <v>1</v>
      </c>
      <c r="K10" s="1049">
        <v>1</v>
      </c>
    </row>
    <row r="11" spans="1:11" ht="11.25" customHeight="1" x14ac:dyDescent="0.25">
      <c r="A11" s="1056" t="s">
        <v>6295</v>
      </c>
      <c r="B11" s="1047"/>
      <c r="C11" s="1048"/>
      <c r="D11" s="1049"/>
      <c r="E11" s="1049"/>
      <c r="F11" s="1049"/>
      <c r="G11" s="1049"/>
      <c r="H11" s="1049"/>
      <c r="I11" s="1049"/>
      <c r="J11" s="1049"/>
      <c r="K11" s="1049"/>
    </row>
    <row r="12" spans="1:11" ht="11.25" customHeight="1" x14ac:dyDescent="0.25">
      <c r="A12" s="1053" t="s">
        <v>1209</v>
      </c>
      <c r="B12" s="1057"/>
      <c r="C12" s="1058"/>
      <c r="D12" s="1059"/>
      <c r="E12" s="1059"/>
      <c r="F12" s="1059"/>
      <c r="G12" s="1059"/>
      <c r="H12" s="1059"/>
      <c r="I12" s="1059"/>
      <c r="J12" s="1059"/>
      <c r="K12" s="1059"/>
    </row>
    <row r="13" spans="1:11" ht="11.25" customHeight="1" x14ac:dyDescent="0.25">
      <c r="A13" s="1055" t="s">
        <v>6296</v>
      </c>
      <c r="B13" s="1054"/>
      <c r="C13" s="1048">
        <v>1</v>
      </c>
      <c r="D13" s="1049">
        <v>1</v>
      </c>
      <c r="E13" s="1049">
        <v>1</v>
      </c>
      <c r="F13" s="1049">
        <v>1</v>
      </c>
      <c r="G13" s="1049">
        <v>1</v>
      </c>
      <c r="H13" s="1049">
        <v>1</v>
      </c>
      <c r="I13" s="1049">
        <v>1</v>
      </c>
      <c r="J13" s="1049">
        <v>1</v>
      </c>
      <c r="K13" s="1049">
        <v>1</v>
      </c>
    </row>
    <row r="14" spans="1:11" ht="11.25" customHeight="1" x14ac:dyDescent="0.25">
      <c r="A14" s="1056" t="s">
        <v>6295</v>
      </c>
      <c r="B14" s="1054"/>
      <c r="C14" s="1048"/>
      <c r="D14" s="1049"/>
      <c r="E14" s="1049"/>
      <c r="F14" s="1049"/>
      <c r="G14" s="1049"/>
      <c r="H14" s="1049"/>
      <c r="I14" s="1049"/>
      <c r="J14" s="1049"/>
      <c r="K14" s="1049"/>
    </row>
    <row r="15" spans="1:11" ht="11.25" customHeight="1" x14ac:dyDescent="0.25">
      <c r="A15" s="1051" t="s">
        <v>1207</v>
      </c>
      <c r="B15" s="1057"/>
      <c r="C15" s="1058"/>
      <c r="D15" s="1059"/>
      <c r="E15" s="1059"/>
      <c r="F15" s="1059"/>
      <c r="G15" s="1059"/>
      <c r="H15" s="1059"/>
      <c r="I15" s="1059"/>
      <c r="J15" s="1059"/>
      <c r="K15" s="1059"/>
    </row>
    <row r="16" spans="1:11" ht="11.25" customHeight="1" x14ac:dyDescent="0.25">
      <c r="A16" s="1053" t="s">
        <v>1206</v>
      </c>
      <c r="B16" s="1054"/>
      <c r="C16" s="1048"/>
      <c r="D16" s="1049"/>
      <c r="E16" s="1049"/>
      <c r="F16" s="1049"/>
      <c r="G16" s="1049"/>
      <c r="H16" s="1049"/>
      <c r="I16" s="1049"/>
      <c r="J16" s="1049"/>
      <c r="K16" s="1049"/>
    </row>
    <row r="17" spans="1:11" ht="11.25" customHeight="1" x14ac:dyDescent="0.25">
      <c r="A17" s="1055" t="s">
        <v>949</v>
      </c>
      <c r="B17" s="1054"/>
      <c r="C17" s="1048"/>
      <c r="D17" s="1049"/>
      <c r="E17" s="1049"/>
      <c r="F17" s="1049"/>
      <c r="G17" s="1049"/>
      <c r="H17" s="1049"/>
      <c r="I17" s="1049"/>
      <c r="J17" s="1049"/>
      <c r="K17" s="1049"/>
    </row>
    <row r="18" spans="1:11" ht="11.25" customHeight="1" x14ac:dyDescent="0.25">
      <c r="A18" s="1056"/>
      <c r="B18" s="1054"/>
      <c r="C18" s="1048"/>
      <c r="D18" s="1049"/>
      <c r="E18" s="1049"/>
      <c r="F18" s="1049"/>
      <c r="G18" s="1049"/>
      <c r="H18" s="1049"/>
      <c r="I18" s="1049"/>
      <c r="J18" s="1049"/>
      <c r="K18" s="1049"/>
    </row>
    <row r="19" spans="1:11" ht="11.25" customHeight="1" x14ac:dyDescent="0.25">
      <c r="A19" s="1053" t="s">
        <v>1208</v>
      </c>
      <c r="B19" s="1060"/>
      <c r="C19" s="1058"/>
      <c r="D19" s="1059"/>
      <c r="E19" s="1059"/>
      <c r="F19" s="1059"/>
      <c r="G19" s="1059"/>
      <c r="H19" s="1059"/>
      <c r="I19" s="1059"/>
      <c r="J19" s="1059"/>
      <c r="K19" s="1059"/>
    </row>
    <row r="20" spans="1:11" ht="11.25" customHeight="1" x14ac:dyDescent="0.25">
      <c r="A20" s="1055" t="s">
        <v>949</v>
      </c>
      <c r="B20" s="1054"/>
      <c r="C20" s="1048"/>
      <c r="D20" s="1049"/>
      <c r="E20" s="1049"/>
      <c r="F20" s="1049"/>
      <c r="G20" s="1049"/>
      <c r="H20" s="1049"/>
      <c r="I20" s="1049"/>
      <c r="J20" s="1049"/>
      <c r="K20" s="1049"/>
    </row>
    <row r="21" spans="1:11" ht="11.25" customHeight="1" x14ac:dyDescent="0.25">
      <c r="A21" s="1056"/>
      <c r="B21" s="1054"/>
      <c r="C21" s="1048"/>
      <c r="D21" s="1049"/>
      <c r="E21" s="1049"/>
      <c r="F21" s="1049"/>
      <c r="G21" s="1049"/>
      <c r="H21" s="1049"/>
      <c r="I21" s="1049"/>
      <c r="J21" s="1049"/>
      <c r="K21" s="1049"/>
    </row>
    <row r="22" spans="1:11" ht="11.25" customHeight="1" x14ac:dyDescent="0.25">
      <c r="A22" s="1053" t="s">
        <v>1209</v>
      </c>
      <c r="B22" s="1057"/>
      <c r="C22" s="1058"/>
      <c r="D22" s="1059"/>
      <c r="E22" s="1059"/>
      <c r="F22" s="1059"/>
      <c r="G22" s="1059"/>
      <c r="H22" s="1059"/>
      <c r="I22" s="1059"/>
      <c r="J22" s="1059"/>
      <c r="K22" s="1059"/>
    </row>
    <row r="23" spans="1:11" ht="11.25" customHeight="1" x14ac:dyDescent="0.25">
      <c r="A23" s="1055" t="s">
        <v>949</v>
      </c>
      <c r="B23" s="1054"/>
      <c r="C23" s="1048"/>
      <c r="D23" s="1049"/>
      <c r="E23" s="1049"/>
      <c r="F23" s="1049"/>
      <c r="G23" s="1049"/>
      <c r="H23" s="1049"/>
      <c r="I23" s="1049"/>
      <c r="J23" s="1049"/>
      <c r="K23" s="1049"/>
    </row>
    <row r="24" spans="1:11" ht="11.25" customHeight="1" x14ac:dyDescent="0.25">
      <c r="A24" s="1061"/>
      <c r="B24" s="1062"/>
      <c r="C24" s="1063"/>
      <c r="D24" s="1064"/>
      <c r="E24" s="1064"/>
      <c r="F24" s="1064"/>
      <c r="G24" s="1064"/>
      <c r="H24" s="1064"/>
      <c r="I24" s="1064"/>
      <c r="J24" s="1064"/>
      <c r="K24" s="1064"/>
    </row>
    <row r="25" spans="1:11" ht="11.25" customHeight="1" x14ac:dyDescent="0.25">
      <c r="A25" s="1046" t="s">
        <v>1210</v>
      </c>
      <c r="B25" s="1054"/>
      <c r="C25" s="1048"/>
      <c r="D25" s="1049"/>
      <c r="E25" s="1049"/>
      <c r="F25" s="1049"/>
      <c r="G25" s="1049"/>
      <c r="H25" s="1049"/>
      <c r="I25" s="1049"/>
      <c r="J25" s="1049"/>
      <c r="K25" s="1049"/>
    </row>
    <row r="26" spans="1:11" ht="11.25" customHeight="1" x14ac:dyDescent="0.25">
      <c r="A26" s="1051" t="s">
        <v>1205</v>
      </c>
      <c r="B26" s="1054"/>
      <c r="C26" s="1048"/>
      <c r="D26" s="1049"/>
      <c r="E26" s="1049"/>
      <c r="F26" s="1049"/>
      <c r="G26" s="1049"/>
      <c r="H26" s="1049"/>
      <c r="I26" s="1049"/>
      <c r="J26" s="1049"/>
      <c r="K26" s="1049"/>
    </row>
    <row r="27" spans="1:11" ht="11.25" customHeight="1" x14ac:dyDescent="0.25">
      <c r="A27" s="1053" t="s">
        <v>1206</v>
      </c>
      <c r="B27" s="1047"/>
      <c r="C27" s="1048"/>
      <c r="D27" s="1049"/>
      <c r="E27" s="1049"/>
      <c r="F27" s="1049"/>
      <c r="G27" s="1049"/>
      <c r="H27" s="1049"/>
      <c r="I27" s="1049"/>
      <c r="J27" s="1049"/>
      <c r="K27" s="1049"/>
    </row>
    <row r="28" spans="1:11" ht="11.25" customHeight="1" x14ac:dyDescent="0.25">
      <c r="A28" s="1055" t="s">
        <v>949</v>
      </c>
      <c r="B28" s="1054"/>
      <c r="C28" s="1048"/>
      <c r="D28" s="1049"/>
      <c r="E28" s="1049"/>
      <c r="F28" s="1049"/>
      <c r="G28" s="1049"/>
      <c r="H28" s="1049"/>
      <c r="I28" s="1049"/>
      <c r="J28" s="1049"/>
      <c r="K28" s="1049"/>
    </row>
    <row r="29" spans="1:11" ht="11.25" customHeight="1" x14ac:dyDescent="0.25">
      <c r="A29" s="1056"/>
      <c r="B29" s="1054"/>
      <c r="C29" s="1048"/>
      <c r="D29" s="1049"/>
      <c r="E29" s="1049"/>
      <c r="F29" s="1049"/>
      <c r="G29" s="1049"/>
      <c r="H29" s="1049"/>
      <c r="I29" s="1049"/>
      <c r="J29" s="1049"/>
      <c r="K29" s="1049"/>
    </row>
    <row r="30" spans="1:11" ht="11.25" customHeight="1" x14ac:dyDescent="0.25">
      <c r="A30" s="1053" t="s">
        <v>1208</v>
      </c>
      <c r="B30" s="1057"/>
      <c r="C30" s="1058"/>
      <c r="D30" s="1059"/>
      <c r="E30" s="1059"/>
      <c r="F30" s="1059"/>
      <c r="G30" s="1059"/>
      <c r="H30" s="1059"/>
      <c r="I30" s="1059"/>
      <c r="J30" s="1059"/>
      <c r="K30" s="1059"/>
    </row>
    <row r="31" spans="1:11" ht="11.25" customHeight="1" x14ac:dyDescent="0.25">
      <c r="A31" s="1055" t="s">
        <v>949</v>
      </c>
      <c r="B31" s="1054"/>
      <c r="C31" s="1048"/>
      <c r="D31" s="1049"/>
      <c r="E31" s="1049"/>
      <c r="F31" s="1049"/>
      <c r="G31" s="1049"/>
      <c r="H31" s="1049"/>
      <c r="I31" s="1049"/>
      <c r="J31" s="1049"/>
      <c r="K31" s="1049"/>
    </row>
    <row r="32" spans="1:11" ht="11.25" customHeight="1" x14ac:dyDescent="0.25">
      <c r="A32" s="1056"/>
      <c r="B32" s="1054"/>
      <c r="C32" s="1048"/>
      <c r="D32" s="1049"/>
      <c r="E32" s="1049"/>
      <c r="F32" s="1049"/>
      <c r="G32" s="1049"/>
      <c r="H32" s="1049"/>
      <c r="I32" s="1049"/>
      <c r="J32" s="1049"/>
      <c r="K32" s="1049"/>
    </row>
    <row r="33" spans="1:11" ht="11.25" customHeight="1" x14ac:dyDescent="0.25">
      <c r="A33" s="1053" t="s">
        <v>1209</v>
      </c>
      <c r="B33" s="1057"/>
      <c r="C33" s="1058"/>
      <c r="D33" s="1059"/>
      <c r="E33" s="1059"/>
      <c r="F33" s="1059"/>
      <c r="G33" s="1059"/>
      <c r="H33" s="1059"/>
      <c r="I33" s="1059"/>
      <c r="J33" s="1059"/>
      <c r="K33" s="1059"/>
    </row>
    <row r="34" spans="1:11" ht="11.25" customHeight="1" x14ac:dyDescent="0.25">
      <c r="A34" s="1055" t="s">
        <v>949</v>
      </c>
      <c r="B34" s="1054"/>
      <c r="C34" s="1048"/>
      <c r="D34" s="1049"/>
      <c r="E34" s="1049"/>
      <c r="F34" s="1049"/>
      <c r="G34" s="1049"/>
      <c r="H34" s="1049"/>
      <c r="I34" s="1049"/>
      <c r="J34" s="1049"/>
      <c r="K34" s="1049"/>
    </row>
    <row r="35" spans="1:11" ht="11.25" customHeight="1" x14ac:dyDescent="0.25">
      <c r="A35" s="1056"/>
      <c r="B35" s="1047"/>
      <c r="C35" s="1048"/>
      <c r="D35" s="1049"/>
      <c r="E35" s="1049"/>
      <c r="F35" s="1049"/>
      <c r="G35" s="1049"/>
      <c r="H35" s="1049"/>
      <c r="I35" s="1049"/>
      <c r="J35" s="1049"/>
      <c r="K35" s="1049"/>
    </row>
    <row r="36" spans="1:11" ht="11.25" customHeight="1" x14ac:dyDescent="0.25">
      <c r="A36" s="1051" t="s">
        <v>1207</v>
      </c>
      <c r="B36" s="1057"/>
      <c r="C36" s="1058"/>
      <c r="D36" s="1059"/>
      <c r="E36" s="1059"/>
      <c r="F36" s="1059"/>
      <c r="G36" s="1059"/>
      <c r="H36" s="1059"/>
      <c r="I36" s="1059"/>
      <c r="J36" s="1059"/>
      <c r="K36" s="1059"/>
    </row>
    <row r="37" spans="1:11" ht="11.25" customHeight="1" x14ac:dyDescent="0.25">
      <c r="A37" s="1053" t="s">
        <v>1206</v>
      </c>
      <c r="B37" s="1054"/>
      <c r="C37" s="1048"/>
      <c r="D37" s="1049"/>
      <c r="E37" s="1049"/>
      <c r="F37" s="1049"/>
      <c r="G37" s="1049"/>
      <c r="H37" s="1049"/>
      <c r="I37" s="1049"/>
      <c r="J37" s="1049"/>
      <c r="K37" s="1049"/>
    </row>
    <row r="38" spans="1:11" ht="11.25" customHeight="1" x14ac:dyDescent="0.25">
      <c r="A38" s="1055" t="s">
        <v>949</v>
      </c>
      <c r="B38" s="1054"/>
      <c r="C38" s="1048"/>
      <c r="D38" s="1049"/>
      <c r="E38" s="1049"/>
      <c r="F38" s="1049"/>
      <c r="G38" s="1049"/>
      <c r="H38" s="1049"/>
      <c r="I38" s="1049"/>
      <c r="J38" s="1049"/>
      <c r="K38" s="1049"/>
    </row>
    <row r="39" spans="1:11" ht="11.25" customHeight="1" x14ac:dyDescent="0.25">
      <c r="A39" s="1056"/>
      <c r="B39" s="1054"/>
      <c r="C39" s="1048"/>
      <c r="D39" s="1049"/>
      <c r="E39" s="1049"/>
      <c r="F39" s="1049"/>
      <c r="G39" s="1049"/>
      <c r="H39" s="1049"/>
      <c r="I39" s="1049"/>
      <c r="J39" s="1049"/>
      <c r="K39" s="1049"/>
    </row>
    <row r="40" spans="1:11" ht="11.25" customHeight="1" x14ac:dyDescent="0.25">
      <c r="A40" s="1053" t="s">
        <v>1208</v>
      </c>
      <c r="B40" s="1057"/>
      <c r="C40" s="1058"/>
      <c r="D40" s="1059"/>
      <c r="E40" s="1059"/>
      <c r="F40" s="1059"/>
      <c r="G40" s="1059"/>
      <c r="H40" s="1059"/>
      <c r="I40" s="1059"/>
      <c r="J40" s="1059"/>
      <c r="K40" s="1059"/>
    </row>
    <row r="41" spans="1:11" ht="11.25" customHeight="1" x14ac:dyDescent="0.25">
      <c r="A41" s="1055" t="s">
        <v>949</v>
      </c>
      <c r="B41" s="1054"/>
      <c r="C41" s="1048"/>
      <c r="D41" s="1049"/>
      <c r="E41" s="1049"/>
      <c r="F41" s="1049"/>
      <c r="G41" s="1049"/>
      <c r="H41" s="1049"/>
      <c r="I41" s="1049"/>
      <c r="J41" s="1049"/>
      <c r="K41" s="1049"/>
    </row>
    <row r="42" spans="1:11" ht="11.25" customHeight="1" x14ac:dyDescent="0.25">
      <c r="A42" s="1056"/>
      <c r="B42" s="1054"/>
      <c r="C42" s="1048"/>
      <c r="D42" s="1049"/>
      <c r="E42" s="1049"/>
      <c r="F42" s="1049"/>
      <c r="G42" s="1049"/>
      <c r="H42" s="1049"/>
      <c r="I42" s="1049"/>
      <c r="J42" s="1049"/>
      <c r="K42" s="1049"/>
    </row>
    <row r="43" spans="1:11" ht="11.25" customHeight="1" x14ac:dyDescent="0.25">
      <c r="A43" s="1053" t="s">
        <v>1209</v>
      </c>
      <c r="B43" s="1060"/>
      <c r="C43" s="1058"/>
      <c r="D43" s="1059"/>
      <c r="E43" s="1059"/>
      <c r="F43" s="1059"/>
      <c r="G43" s="1059"/>
      <c r="H43" s="1059"/>
      <c r="I43" s="1059"/>
      <c r="J43" s="1059"/>
      <c r="K43" s="1059"/>
    </row>
    <row r="44" spans="1:11" ht="11.25" customHeight="1" x14ac:dyDescent="0.25">
      <c r="A44" s="1055" t="s">
        <v>949</v>
      </c>
      <c r="B44" s="1054"/>
      <c r="C44" s="1048"/>
      <c r="D44" s="1049"/>
      <c r="E44" s="1049"/>
      <c r="F44" s="1049"/>
      <c r="G44" s="1049"/>
      <c r="H44" s="1049"/>
      <c r="I44" s="1049"/>
      <c r="J44" s="1049"/>
      <c r="K44" s="1049"/>
    </row>
    <row r="45" spans="1:11" ht="11.25" customHeight="1" x14ac:dyDescent="0.25">
      <c r="A45" s="1055"/>
      <c r="B45" s="1062"/>
      <c r="C45" s="1063"/>
      <c r="D45" s="1064"/>
      <c r="E45" s="1064"/>
      <c r="F45" s="1064"/>
      <c r="G45" s="1064"/>
      <c r="H45" s="1064"/>
      <c r="I45" s="1064"/>
      <c r="J45" s="1064"/>
      <c r="K45" s="1064"/>
    </row>
    <row r="46" spans="1:11" ht="11.25" customHeight="1" x14ac:dyDescent="0.25">
      <c r="A46" s="1046" t="s">
        <v>1211</v>
      </c>
      <c r="B46" s="1054"/>
      <c r="C46" s="1048"/>
      <c r="D46" s="1049"/>
      <c r="E46" s="1049"/>
      <c r="F46" s="1049"/>
      <c r="G46" s="1049"/>
      <c r="H46" s="1049"/>
      <c r="I46" s="1049"/>
      <c r="J46" s="1049"/>
      <c r="K46" s="1049"/>
    </row>
    <row r="47" spans="1:11" ht="11.25" customHeight="1" x14ac:dyDescent="0.25">
      <c r="A47" s="1051" t="s">
        <v>1205</v>
      </c>
      <c r="B47" s="1054"/>
      <c r="C47" s="1048"/>
      <c r="D47" s="1049"/>
      <c r="E47" s="1049"/>
      <c r="F47" s="1049"/>
      <c r="G47" s="1049"/>
      <c r="H47" s="1049"/>
      <c r="I47" s="1049"/>
      <c r="J47" s="1049"/>
      <c r="K47" s="1049"/>
    </row>
    <row r="48" spans="1:11" ht="11.25" customHeight="1" x14ac:dyDescent="0.25">
      <c r="A48" s="1053" t="s">
        <v>1206</v>
      </c>
      <c r="B48" s="1054"/>
      <c r="C48" s="1048"/>
      <c r="D48" s="1049"/>
      <c r="E48" s="1049"/>
      <c r="F48" s="1049"/>
      <c r="G48" s="1049"/>
      <c r="H48" s="1049"/>
      <c r="I48" s="1049"/>
      <c r="J48" s="1049"/>
      <c r="K48" s="1049"/>
    </row>
    <row r="49" spans="1:11" ht="11.25" customHeight="1" x14ac:dyDescent="0.25">
      <c r="A49" s="1055" t="s">
        <v>949</v>
      </c>
      <c r="B49" s="1054"/>
      <c r="C49" s="1048"/>
      <c r="D49" s="1049"/>
      <c r="E49" s="1049"/>
      <c r="F49" s="1049"/>
      <c r="G49" s="1049"/>
      <c r="H49" s="1049"/>
      <c r="I49" s="1049"/>
      <c r="J49" s="1049"/>
      <c r="K49" s="1049"/>
    </row>
    <row r="50" spans="1:11" ht="11.25" customHeight="1" x14ac:dyDescent="0.25">
      <c r="A50" s="1056"/>
      <c r="B50" s="1054"/>
      <c r="C50" s="1048"/>
      <c r="D50" s="1049"/>
      <c r="E50" s="1049"/>
      <c r="F50" s="1049"/>
      <c r="G50" s="1049"/>
      <c r="H50" s="1049"/>
      <c r="I50" s="1049"/>
      <c r="J50" s="1049"/>
      <c r="K50" s="1049"/>
    </row>
    <row r="51" spans="1:11" ht="11.25" customHeight="1" x14ac:dyDescent="0.25">
      <c r="A51" s="1053" t="s">
        <v>1208</v>
      </c>
      <c r="B51" s="1057"/>
      <c r="C51" s="1058"/>
      <c r="D51" s="1059"/>
      <c r="E51" s="1059"/>
      <c r="F51" s="1059"/>
      <c r="G51" s="1059"/>
      <c r="H51" s="1059"/>
      <c r="I51" s="1059"/>
      <c r="J51" s="1059"/>
      <c r="K51" s="1059"/>
    </row>
    <row r="52" spans="1:11" ht="11.25" customHeight="1" x14ac:dyDescent="0.25">
      <c r="A52" s="1055" t="s">
        <v>949</v>
      </c>
      <c r="B52" s="1054"/>
      <c r="C52" s="1048"/>
      <c r="D52" s="1049"/>
      <c r="E52" s="1049"/>
      <c r="F52" s="1049"/>
      <c r="G52" s="1049"/>
      <c r="H52" s="1049"/>
      <c r="I52" s="1049"/>
      <c r="J52" s="1049"/>
      <c r="K52" s="1049"/>
    </row>
    <row r="53" spans="1:11" ht="11.25" customHeight="1" x14ac:dyDescent="0.25">
      <c r="A53" s="1056"/>
      <c r="B53" s="1054"/>
      <c r="C53" s="1048"/>
      <c r="D53" s="1049"/>
      <c r="E53" s="1049"/>
      <c r="F53" s="1049"/>
      <c r="G53" s="1049"/>
      <c r="H53" s="1049"/>
      <c r="I53" s="1049"/>
      <c r="J53" s="1049"/>
      <c r="K53" s="1049"/>
    </row>
    <row r="54" spans="1:11" ht="11.25" customHeight="1" x14ac:dyDescent="0.25">
      <c r="A54" s="1053" t="s">
        <v>1209</v>
      </c>
      <c r="B54" s="1057"/>
      <c r="C54" s="1058"/>
      <c r="D54" s="1059"/>
      <c r="E54" s="1059"/>
      <c r="F54" s="1059"/>
      <c r="G54" s="1059"/>
      <c r="H54" s="1059"/>
      <c r="I54" s="1059"/>
      <c r="J54" s="1059"/>
      <c r="K54" s="1059"/>
    </row>
    <row r="55" spans="1:11" ht="11.25" customHeight="1" x14ac:dyDescent="0.25">
      <c r="A55" s="1055" t="s">
        <v>949</v>
      </c>
      <c r="B55" s="1054"/>
      <c r="C55" s="1048"/>
      <c r="D55" s="1049"/>
      <c r="E55" s="1049"/>
      <c r="F55" s="1049"/>
      <c r="G55" s="1049"/>
      <c r="H55" s="1049"/>
      <c r="I55" s="1049"/>
      <c r="J55" s="1049"/>
      <c r="K55" s="1049"/>
    </row>
    <row r="56" spans="1:11" ht="11.25" customHeight="1" x14ac:dyDescent="0.25">
      <c r="A56" s="1056"/>
      <c r="B56" s="1054"/>
      <c r="C56" s="1048"/>
      <c r="D56" s="1049"/>
      <c r="E56" s="1049"/>
      <c r="F56" s="1049"/>
      <c r="G56" s="1049"/>
      <c r="H56" s="1049"/>
      <c r="I56" s="1049"/>
      <c r="J56" s="1049"/>
      <c r="K56" s="1049"/>
    </row>
    <row r="57" spans="1:11" ht="11.25" customHeight="1" x14ac:dyDescent="0.25">
      <c r="A57" s="1051" t="s">
        <v>1207</v>
      </c>
      <c r="B57" s="1057"/>
      <c r="C57" s="1058"/>
      <c r="D57" s="1059"/>
      <c r="E57" s="1059"/>
      <c r="F57" s="1059"/>
      <c r="G57" s="1059"/>
      <c r="H57" s="1059"/>
      <c r="I57" s="1059"/>
      <c r="J57" s="1059"/>
      <c r="K57" s="1059"/>
    </row>
    <row r="58" spans="1:11" ht="11.25" customHeight="1" x14ac:dyDescent="0.25">
      <c r="A58" s="1053" t="s">
        <v>1206</v>
      </c>
      <c r="B58" s="1054"/>
      <c r="C58" s="1048"/>
      <c r="D58" s="1049"/>
      <c r="E58" s="1049"/>
      <c r="F58" s="1049"/>
      <c r="G58" s="1049"/>
      <c r="H58" s="1049"/>
      <c r="I58" s="1049"/>
      <c r="J58" s="1049"/>
      <c r="K58" s="1049"/>
    </row>
    <row r="59" spans="1:11" ht="11.25" customHeight="1" x14ac:dyDescent="0.25">
      <c r="A59" s="1055" t="s">
        <v>949</v>
      </c>
      <c r="B59" s="1054"/>
      <c r="C59" s="1048"/>
      <c r="D59" s="1049"/>
      <c r="E59" s="1049"/>
      <c r="F59" s="1049"/>
      <c r="G59" s="1049"/>
      <c r="H59" s="1049"/>
      <c r="I59" s="1049"/>
      <c r="J59" s="1049"/>
      <c r="K59" s="1049"/>
    </row>
    <row r="60" spans="1:11" ht="11.25" customHeight="1" x14ac:dyDescent="0.25">
      <c r="A60" s="1056"/>
      <c r="B60" s="1054"/>
      <c r="C60" s="1048"/>
      <c r="D60" s="1049"/>
      <c r="E60" s="1049"/>
      <c r="F60" s="1049"/>
      <c r="G60" s="1049"/>
      <c r="H60" s="1049"/>
      <c r="I60" s="1049"/>
      <c r="J60" s="1049"/>
      <c r="K60" s="1049"/>
    </row>
    <row r="61" spans="1:11" ht="11.25" customHeight="1" x14ac:dyDescent="0.25">
      <c r="A61" s="1053" t="s">
        <v>1208</v>
      </c>
      <c r="B61" s="1057"/>
      <c r="C61" s="1058"/>
      <c r="D61" s="1059"/>
      <c r="E61" s="1059"/>
      <c r="F61" s="1059"/>
      <c r="G61" s="1059"/>
      <c r="H61" s="1059"/>
      <c r="I61" s="1059"/>
      <c r="J61" s="1059"/>
      <c r="K61" s="1059"/>
    </row>
    <row r="62" spans="1:11" ht="11.25" customHeight="1" x14ac:dyDescent="0.25">
      <c r="A62" s="1055" t="s">
        <v>949</v>
      </c>
      <c r="B62" s="1054"/>
      <c r="C62" s="1048"/>
      <c r="D62" s="1049"/>
      <c r="E62" s="1049"/>
      <c r="F62" s="1049"/>
      <c r="G62" s="1049"/>
      <c r="H62" s="1049"/>
      <c r="I62" s="1049"/>
      <c r="J62" s="1049"/>
      <c r="K62" s="1049"/>
    </row>
    <row r="63" spans="1:11" ht="11.25" customHeight="1" x14ac:dyDescent="0.25">
      <c r="A63" s="1056"/>
      <c r="B63" s="1054"/>
      <c r="C63" s="1048"/>
      <c r="D63" s="1049"/>
      <c r="E63" s="1049"/>
      <c r="F63" s="1049"/>
      <c r="G63" s="1049"/>
      <c r="H63" s="1049"/>
      <c r="I63" s="1049"/>
      <c r="J63" s="1049"/>
      <c r="K63" s="1049"/>
    </row>
    <row r="64" spans="1:11" ht="11.25" customHeight="1" x14ac:dyDescent="0.25">
      <c r="A64" s="1053" t="s">
        <v>1209</v>
      </c>
      <c r="B64" s="1057"/>
      <c r="C64" s="1058"/>
      <c r="D64" s="1059"/>
      <c r="E64" s="1059"/>
      <c r="F64" s="1059"/>
      <c r="G64" s="1059"/>
      <c r="H64" s="1059"/>
      <c r="I64" s="1059"/>
      <c r="J64" s="1059"/>
      <c r="K64" s="1059"/>
    </row>
    <row r="65" spans="1:11" ht="11.25" customHeight="1" x14ac:dyDescent="0.25">
      <c r="A65" s="1055" t="s">
        <v>949</v>
      </c>
      <c r="B65" s="1054"/>
      <c r="C65" s="1048"/>
      <c r="D65" s="1049"/>
      <c r="E65" s="1049"/>
      <c r="F65" s="1049"/>
      <c r="G65" s="1049"/>
      <c r="H65" s="1049"/>
      <c r="I65" s="1049"/>
      <c r="J65" s="1049"/>
      <c r="K65" s="1049"/>
    </row>
    <row r="66" spans="1:11" ht="11.25" customHeight="1" x14ac:dyDescent="0.25">
      <c r="A66" s="1055"/>
      <c r="B66" s="1054"/>
      <c r="C66" s="1048"/>
      <c r="D66" s="1049"/>
      <c r="E66" s="1049"/>
      <c r="F66" s="1049"/>
      <c r="G66" s="1049"/>
      <c r="H66" s="1049"/>
      <c r="I66" s="1049"/>
      <c r="J66" s="1049"/>
      <c r="K66" s="1049"/>
    </row>
    <row r="67" spans="1:11" ht="11.25" customHeight="1" x14ac:dyDescent="0.25">
      <c r="A67" s="1065" t="s">
        <v>1212</v>
      </c>
      <c r="B67" s="1062"/>
      <c r="C67" s="1063"/>
      <c r="D67" s="1064"/>
      <c r="E67" s="1064"/>
      <c r="F67" s="1064"/>
      <c r="G67" s="1064"/>
      <c r="H67" s="1064"/>
      <c r="I67" s="1064"/>
      <c r="J67" s="1064"/>
      <c r="K67" s="1064"/>
    </row>
    <row r="68" spans="1:11" ht="11.25" customHeight="1" x14ac:dyDescent="0.25">
      <c r="A68" s="2482" t="s">
        <v>148</v>
      </c>
      <c r="B68" s="2482"/>
      <c r="C68" s="2482"/>
      <c r="D68" s="2482"/>
      <c r="E68" s="2482"/>
      <c r="F68" s="2482"/>
      <c r="G68" s="2482"/>
      <c r="H68" s="2482"/>
      <c r="I68" s="2482"/>
      <c r="J68" s="2482"/>
      <c r="K68" s="2482"/>
    </row>
    <row r="69" spans="1:11" ht="11.25" customHeight="1" x14ac:dyDescent="0.25">
      <c r="A69" s="296" t="s">
        <v>1203</v>
      </c>
      <c r="B69" s="1066"/>
      <c r="C69" s="1067"/>
      <c r="D69" s="1067"/>
      <c r="E69" s="1067"/>
      <c r="F69" s="1068"/>
      <c r="G69" s="1068"/>
      <c r="H69" s="1068"/>
      <c r="I69" s="1068"/>
      <c r="J69" s="1068"/>
      <c r="K69" s="1068"/>
    </row>
    <row r="70" spans="1:11" ht="11.25" customHeight="1" x14ac:dyDescent="0.25">
      <c r="A70" s="296" t="s">
        <v>1177</v>
      </c>
      <c r="B70" s="1066"/>
      <c r="C70" s="1067"/>
      <c r="D70" s="1067"/>
      <c r="E70" s="1067"/>
      <c r="F70" s="1068"/>
      <c r="G70" s="1068"/>
      <c r="H70" s="1068"/>
      <c r="I70" s="1068"/>
      <c r="J70" s="1068"/>
      <c r="K70" s="1068"/>
    </row>
    <row r="71" spans="1:11" ht="12.75" x14ac:dyDescent="0.25">
      <c r="B71" s="850"/>
    </row>
    <row r="72" spans="1:11" ht="12.75" customHeight="1" x14ac:dyDescent="0.25">
      <c r="A72" s="92" t="str">
        <f>muni&amp;" - "&amp;"Entities measureable performance objectives"</f>
        <v>KZN226 Mkhambathini - Entities measureable performance objectives</v>
      </c>
      <c r="B72" s="92"/>
      <c r="C72" s="92"/>
      <c r="D72" s="92"/>
      <c r="E72" s="92"/>
      <c r="F72" s="92"/>
      <c r="G72" s="92"/>
      <c r="H72" s="92"/>
      <c r="I72" s="92"/>
      <c r="J72" s="92"/>
      <c r="K72" s="92"/>
    </row>
    <row r="73" spans="1:11" ht="28.5" customHeight="1" x14ac:dyDescent="0.25">
      <c r="A73" s="2480" t="str">
        <f>A2</f>
        <v>Description</v>
      </c>
      <c r="B73" s="2478" t="s">
        <v>358</v>
      </c>
      <c r="C73" s="683" t="str">
        <f>head1b</f>
        <v>2017/18</v>
      </c>
      <c r="D73" s="837" t="str">
        <f>head1A</f>
        <v>2018/19</v>
      </c>
      <c r="E73" s="684" t="str">
        <f>Head1</f>
        <v>2019/20</v>
      </c>
      <c r="F73" s="2447" t="str">
        <f>Head2</f>
        <v>Current Year 2020/21</v>
      </c>
      <c r="G73" s="2448"/>
      <c r="H73" s="2449"/>
      <c r="I73" s="2450" t="str">
        <f>Head3</f>
        <v>2021/22 Medium Term Revenue &amp; Expenditure Framework</v>
      </c>
      <c r="J73" s="2451"/>
      <c r="K73" s="2452"/>
    </row>
    <row r="74" spans="1:11" ht="25.5" x14ac:dyDescent="0.25">
      <c r="A74" s="2481"/>
      <c r="B74" s="2479"/>
      <c r="C74" s="702" t="str">
        <f>Head5</f>
        <v>Audited Outcome</v>
      </c>
      <c r="D74" s="698" t="str">
        <f>Head5</f>
        <v>Audited Outcome</v>
      </c>
      <c r="E74" s="94" t="str">
        <f>Head5</f>
        <v>Audited Outcome</v>
      </c>
      <c r="F74" s="95" t="str">
        <f>Head6</f>
        <v>Original Budget</v>
      </c>
      <c r="G74" s="698" t="str">
        <f>Head7</f>
        <v>Adjusted Budget</v>
      </c>
      <c r="H74" s="94" t="str">
        <f>Head8</f>
        <v>Full Year Forecast</v>
      </c>
      <c r="I74" s="95" t="str">
        <f>Head9</f>
        <v>Budget Year 2021/22</v>
      </c>
      <c r="J74" s="698" t="str">
        <f>Head10</f>
        <v>Budget Year +1 2022/23</v>
      </c>
      <c r="K74" s="94" t="str">
        <f>Head11</f>
        <v>Budget Year +2 2023/24</v>
      </c>
    </row>
    <row r="75" spans="1:11" ht="11.25" customHeight="1" x14ac:dyDescent="0.25">
      <c r="A75" s="1069" t="s">
        <v>1213</v>
      </c>
      <c r="B75" s="1047"/>
      <c r="C75" s="1070"/>
      <c r="D75" s="1071"/>
      <c r="E75" s="1072"/>
      <c r="F75" s="1073"/>
      <c r="G75" s="1071"/>
      <c r="H75" s="1074"/>
      <c r="I75" s="1075"/>
      <c r="J75" s="1071"/>
      <c r="K75" s="1072"/>
    </row>
    <row r="76" spans="1:11" ht="11.25" customHeight="1" x14ac:dyDescent="0.25">
      <c r="A76" s="1076" t="s">
        <v>949</v>
      </c>
      <c r="B76" s="1054"/>
      <c r="C76" s="1070"/>
      <c r="D76" s="1071"/>
      <c r="E76" s="1072"/>
      <c r="F76" s="1073"/>
      <c r="G76" s="1071"/>
      <c r="H76" s="1074"/>
      <c r="I76" s="1077"/>
      <c r="J76" s="1071"/>
      <c r="K76" s="1072"/>
    </row>
    <row r="77" spans="1:11" ht="11.25" customHeight="1" x14ac:dyDescent="0.25">
      <c r="A77" s="1076"/>
      <c r="B77" s="1054"/>
      <c r="C77" s="1070"/>
      <c r="D77" s="1071"/>
      <c r="E77" s="1072"/>
      <c r="F77" s="1073"/>
      <c r="G77" s="1071"/>
      <c r="H77" s="1074"/>
      <c r="I77" s="1077"/>
      <c r="J77" s="1071"/>
      <c r="K77" s="1072"/>
    </row>
    <row r="78" spans="1:11" ht="11.25" customHeight="1" x14ac:dyDescent="0.25">
      <c r="A78" s="1078"/>
      <c r="B78" s="1054"/>
      <c r="C78" s="1070"/>
      <c r="D78" s="1071"/>
      <c r="E78" s="1072"/>
      <c r="F78" s="1073"/>
      <c r="G78" s="1071"/>
      <c r="H78" s="1074"/>
      <c r="I78" s="1077"/>
      <c r="J78" s="1071"/>
      <c r="K78" s="1072"/>
    </row>
    <row r="79" spans="1:11" ht="11.25" customHeight="1" x14ac:dyDescent="0.25">
      <c r="A79" s="1069" t="s">
        <v>1214</v>
      </c>
      <c r="B79" s="1079"/>
      <c r="C79" s="1080"/>
      <c r="D79" s="1081"/>
      <c r="E79" s="1082"/>
      <c r="F79" s="1083"/>
      <c r="G79" s="1081"/>
      <c r="H79" s="1084"/>
      <c r="I79" s="1075"/>
      <c r="J79" s="1081"/>
      <c r="K79" s="1082"/>
    </row>
    <row r="80" spans="1:11" ht="11.25" customHeight="1" x14ac:dyDescent="0.25">
      <c r="A80" s="1076" t="str">
        <f>$A$10</f>
        <v>Sustainable Community Services</v>
      </c>
      <c r="B80" s="1054"/>
      <c r="C80" s="1070"/>
      <c r="D80" s="1071"/>
      <c r="E80" s="1072"/>
      <c r="F80" s="1073"/>
      <c r="G80" s="1071"/>
      <c r="H80" s="1074"/>
      <c r="I80" s="1077"/>
      <c r="J80" s="1071"/>
      <c r="K80" s="1072"/>
    </row>
    <row r="81" spans="1:11" ht="11.25" customHeight="1" x14ac:dyDescent="0.25">
      <c r="A81" s="1076"/>
      <c r="B81" s="1054"/>
      <c r="C81" s="1070"/>
      <c r="D81" s="1071"/>
      <c r="E81" s="1072"/>
      <c r="F81" s="1073"/>
      <c r="G81" s="1071"/>
      <c r="H81" s="1074"/>
      <c r="I81" s="1077"/>
      <c r="J81" s="1071"/>
      <c r="K81" s="1072"/>
    </row>
    <row r="82" spans="1:11" ht="11.25" customHeight="1" x14ac:dyDescent="0.25">
      <c r="A82" s="1076"/>
      <c r="B82" s="1085"/>
      <c r="C82" s="1086"/>
      <c r="D82" s="1087"/>
      <c r="E82" s="1088"/>
      <c r="F82" s="1089"/>
      <c r="G82" s="1087"/>
      <c r="H82" s="1090"/>
      <c r="I82" s="1091"/>
      <c r="J82" s="1087"/>
      <c r="K82" s="1088"/>
    </row>
    <row r="83" spans="1:11" ht="11.25" customHeight="1" x14ac:dyDescent="0.25">
      <c r="A83" s="1069" t="s">
        <v>1215</v>
      </c>
      <c r="B83" s="1092"/>
      <c r="C83" s="1093"/>
      <c r="D83" s="1094"/>
      <c r="E83" s="1095"/>
      <c r="F83" s="1096"/>
      <c r="G83" s="1094"/>
      <c r="H83" s="1097"/>
      <c r="I83" s="1098"/>
      <c r="J83" s="1094"/>
      <c r="K83" s="1095"/>
    </row>
    <row r="84" spans="1:11" ht="11.25" customHeight="1" x14ac:dyDescent="0.25">
      <c r="A84" s="1076" t="str">
        <f>$A$10</f>
        <v>Sustainable Community Services</v>
      </c>
      <c r="B84" s="1054"/>
      <c r="C84" s="1099"/>
      <c r="D84" s="1100"/>
      <c r="E84" s="1101"/>
      <c r="F84" s="1102"/>
      <c r="G84" s="1100"/>
      <c r="H84" s="1103"/>
      <c r="I84" s="1104"/>
      <c r="J84" s="1100"/>
      <c r="K84" s="1101"/>
    </row>
    <row r="85" spans="1:11" ht="11.25" customHeight="1" x14ac:dyDescent="0.25">
      <c r="A85" s="1076"/>
      <c r="B85" s="1085"/>
      <c r="C85" s="1086"/>
      <c r="D85" s="1087"/>
      <c r="E85" s="1088"/>
      <c r="F85" s="1089"/>
      <c r="G85" s="1087"/>
      <c r="H85" s="1090"/>
      <c r="I85" s="1091"/>
      <c r="J85" s="1087"/>
      <c r="K85" s="1088"/>
    </row>
    <row r="86" spans="1:11" ht="11.25" customHeight="1" x14ac:dyDescent="0.25">
      <c r="A86" s="1076"/>
      <c r="B86" s="1085"/>
      <c r="C86" s="1086"/>
      <c r="D86" s="1087"/>
      <c r="E86" s="1088"/>
      <c r="F86" s="1089"/>
      <c r="G86" s="1087"/>
      <c r="H86" s="1090"/>
      <c r="I86" s="1091"/>
      <c r="J86" s="1087"/>
      <c r="K86" s="1088"/>
    </row>
    <row r="87" spans="1:11" ht="11.25" customHeight="1" x14ac:dyDescent="0.25">
      <c r="A87" s="1065" t="s">
        <v>1216</v>
      </c>
      <c r="B87" s="1105"/>
      <c r="C87" s="1106"/>
      <c r="D87" s="1107"/>
      <c r="E87" s="1108"/>
      <c r="F87" s="1109"/>
      <c r="G87" s="1107"/>
      <c r="H87" s="1110"/>
      <c r="I87" s="1111"/>
      <c r="J87" s="1107"/>
      <c r="K87" s="1108"/>
    </row>
    <row r="88" spans="1:11" ht="11.25" customHeight="1" x14ac:dyDescent="0.25">
      <c r="A88" s="2482" t="s">
        <v>149</v>
      </c>
      <c r="B88" s="2482"/>
      <c r="C88" s="2482"/>
      <c r="D88" s="2482"/>
      <c r="E88" s="2482"/>
      <c r="F88" s="2482"/>
      <c r="G88" s="2482"/>
      <c r="H88" s="2482"/>
      <c r="I88" s="2482"/>
      <c r="J88" s="2482"/>
      <c r="K88" s="2482"/>
    </row>
    <row r="89" spans="1:11" ht="11.25" customHeight="1" x14ac:dyDescent="0.25">
      <c r="A89" s="296" t="s">
        <v>1178</v>
      </c>
      <c r="B89" s="1066"/>
      <c r="C89" s="1067"/>
      <c r="D89" s="1067"/>
      <c r="E89" s="1067"/>
      <c r="F89" s="1068"/>
      <c r="G89" s="1068"/>
      <c r="H89" s="1068"/>
      <c r="I89" s="1068"/>
      <c r="J89" s="1068"/>
      <c r="K89" s="1068"/>
    </row>
  </sheetData>
  <sheetProtection algorithmName="SHA-512" hashValue="jug9D7eWbEHk4e3iwuXNcfj0lRdkTNGy4zh9QziCDo5wKc555J2ryQiLWfL9V7cWBEdTIdwqo7cNVqPV+TATvA==" saltValue="J6Y4LEYkPGm7312ayqD0kw==" spinCount="100000" sheet="1" objects="1" scenarios="1"/>
  <mergeCells count="10">
    <mergeCell ref="B2:B3"/>
    <mergeCell ref="A2:A3"/>
    <mergeCell ref="F2:H2"/>
    <mergeCell ref="I2:K2"/>
    <mergeCell ref="A88:K88"/>
    <mergeCell ref="A68:K68"/>
    <mergeCell ref="A73:A74"/>
    <mergeCell ref="B73:B74"/>
    <mergeCell ref="F73:H73"/>
    <mergeCell ref="I73:K73"/>
  </mergeCells>
  <phoneticPr fontId="7" type="noConversion"/>
  <printOptions horizontalCentered="1"/>
  <pageMargins left="0" right="0" top="0.78740157480314965" bottom="0.59055118110236227" header="0.51181102362204722" footer="0.39370078740157483"/>
  <pageSetup paperSize="9" scale="80" fitToHeight="2" orientation="portrait" r:id="rId1"/>
  <headerFooter alignWithMargins="0"/>
  <rowBreaks count="1" manualBreakCount="1">
    <brk id="71" max="10" man="1"/>
  </row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8">
    <pageSetUpPr fitToPage="1"/>
  </sheetPr>
  <dimension ref="A1:M49"/>
  <sheetViews>
    <sheetView showGridLines="0" zoomScale="110" zoomScaleNormal="110" workbookViewId="0">
      <pane xSplit="2" ySplit="3" topLeftCell="C13" activePane="bottomRight" state="frozen"/>
      <selection pane="topRight"/>
      <selection pane="bottomLeft"/>
      <selection pane="bottomRight" activeCell="C26" sqref="C26"/>
    </sheetView>
  </sheetViews>
  <sheetFormatPr defaultColWidth="9.140625" defaultRowHeight="12.75" x14ac:dyDescent="0.25"/>
  <cols>
    <col min="1" max="1" width="29.28515625" style="58" customWidth="1"/>
    <col min="2" max="2" width="25.140625" style="58" customWidth="1"/>
    <col min="3" max="12" width="8.7109375" style="58" customWidth="1"/>
    <col min="13" max="16384" width="9.140625" style="58"/>
  </cols>
  <sheetData>
    <row r="1" spans="1:12" s="93" customFormat="1" x14ac:dyDescent="0.2">
      <c r="A1" s="92" t="str">
        <f>muni&amp;" - "&amp;TableA8</f>
        <v>KZN226 Mkhambathini - Supporting Table SA8 Performance indicators and benchmarks</v>
      </c>
      <c r="B1" s="92"/>
      <c r="C1" s="92"/>
      <c r="D1" s="92"/>
      <c r="E1" s="92"/>
      <c r="F1" s="92"/>
      <c r="G1" s="92"/>
      <c r="H1" s="92"/>
      <c r="I1" s="92"/>
      <c r="J1" s="92"/>
      <c r="K1" s="92"/>
      <c r="L1" s="92"/>
    </row>
    <row r="2" spans="1:12" ht="28.5" customHeight="1" x14ac:dyDescent="0.25">
      <c r="A2" s="2480" t="s">
        <v>289</v>
      </c>
      <c r="B2" s="2478" t="s">
        <v>942</v>
      </c>
      <c r="C2" s="683" t="str">
        <f>head1b</f>
        <v>2017/18</v>
      </c>
      <c r="D2" s="837" t="str">
        <f>head1A</f>
        <v>2018/19</v>
      </c>
      <c r="E2" s="684" t="str">
        <f>Head1</f>
        <v>2019/20</v>
      </c>
      <c r="F2" s="2447" t="str">
        <f>Head2</f>
        <v>Current Year 2020/21</v>
      </c>
      <c r="G2" s="2448"/>
      <c r="H2" s="2448"/>
      <c r="I2" s="2448"/>
      <c r="J2" s="2450" t="str">
        <f>Head3</f>
        <v>2021/22 Medium Term Revenue &amp; Expenditure Framework</v>
      </c>
      <c r="K2" s="2451"/>
      <c r="L2" s="2452"/>
    </row>
    <row r="3" spans="1:12" ht="38.25" x14ac:dyDescent="0.25">
      <c r="A3" s="2481"/>
      <c r="B3" s="2479"/>
      <c r="C3" s="906" t="str">
        <f>Head5</f>
        <v>Audited Outcome</v>
      </c>
      <c r="D3" s="421" t="str">
        <f>Head5</f>
        <v>Audited Outcome</v>
      </c>
      <c r="E3" s="422" t="str">
        <f>Head5</f>
        <v>Audited Outcome</v>
      </c>
      <c r="F3" s="423" t="str">
        <f>Head6</f>
        <v>Original Budget</v>
      </c>
      <c r="G3" s="421" t="str">
        <f>Head7</f>
        <v>Adjusted Budget</v>
      </c>
      <c r="H3" s="422" t="str">
        <f>Head8</f>
        <v>Full Year Forecast</v>
      </c>
      <c r="I3" s="906" t="str">
        <f>Head5b</f>
        <v>Pre-audit outcome</v>
      </c>
      <c r="J3" s="423" t="str">
        <f>Head9</f>
        <v>Budget Year 2021/22</v>
      </c>
      <c r="K3" s="421" t="str">
        <f>Head10</f>
        <v>Budget Year +1 2022/23</v>
      </c>
      <c r="L3" s="422" t="str">
        <f>Head11</f>
        <v>Budget Year +2 2023/24</v>
      </c>
    </row>
    <row r="4" spans="1:12" x14ac:dyDescent="0.25">
      <c r="A4" s="1112" t="s">
        <v>678</v>
      </c>
      <c r="B4" s="1113"/>
      <c r="C4" s="1114"/>
      <c r="D4" s="1115"/>
      <c r="E4" s="1116"/>
      <c r="F4" s="1117"/>
      <c r="G4" s="1115"/>
      <c r="H4" s="1116"/>
      <c r="I4" s="1118"/>
      <c r="J4" s="1114"/>
      <c r="K4" s="1115"/>
      <c r="L4" s="1116"/>
    </row>
    <row r="5" spans="1:12" ht="5.25" customHeight="1" x14ac:dyDescent="0.25">
      <c r="A5" s="1119"/>
      <c r="B5" s="1120"/>
      <c r="C5" s="1121"/>
      <c r="D5" s="1122"/>
      <c r="E5" s="1123"/>
      <c r="F5" s="1124"/>
      <c r="G5" s="1122"/>
      <c r="H5" s="1123"/>
      <c r="I5" s="1125"/>
      <c r="J5" s="1121"/>
      <c r="K5" s="1122"/>
      <c r="L5" s="1123"/>
    </row>
    <row r="6" spans="1:12" x14ac:dyDescent="0.25">
      <c r="A6" s="1126" t="s">
        <v>818</v>
      </c>
      <c r="B6" s="1120"/>
      <c r="C6" s="1127"/>
      <c r="D6" s="1128"/>
      <c r="E6" s="1129"/>
      <c r="F6" s="1130"/>
      <c r="G6" s="1128"/>
      <c r="H6" s="1129"/>
      <c r="I6" s="1131"/>
      <c r="J6" s="1132"/>
      <c r="K6" s="1133"/>
      <c r="L6" s="1134"/>
    </row>
    <row r="7" spans="1:12" ht="25.5" x14ac:dyDescent="0.25">
      <c r="A7" s="1119" t="s">
        <v>511</v>
      </c>
      <c r="B7" s="1120" t="s">
        <v>1265</v>
      </c>
      <c r="C7" s="1121">
        <f>IF(ISERROR(('A4-FinPerf RE'!C28-'A7-CFlow'!C35)/'A4-FinPerf RE'!C35),0,(('A4-FinPerf RE'!C28-'A7-CFlow'!C35)/'A4-FinPerf RE'!C35))</f>
        <v>0</v>
      </c>
      <c r="D7" s="1122">
        <f>IF(ISERROR(('A4-FinPerf RE'!D28-'A7-CFlow'!D35)/'A4-FinPerf RE'!D35),0,(('A4-FinPerf RE'!D28-'A7-CFlow'!D35)/'A4-FinPerf RE'!D35))</f>
        <v>3.2643722160077288E-5</v>
      </c>
      <c r="E7" s="1123">
        <f>IF(ISERROR(('A4-FinPerf RE'!E28-'A7-CFlow'!E35)/'A4-FinPerf RE'!E35),0,(('A4-FinPerf RE'!E28-'A7-CFlow'!E35)/'A4-FinPerf RE'!E35))</f>
        <v>4.3796034799312424E-5</v>
      </c>
      <c r="F7" s="1124">
        <f>IF(ISERROR(('A4-FinPerf RE'!F28-'A7-CFlow'!F35)/'A4-FinPerf RE'!F35),0,(('A4-FinPerf RE'!F28-'A7-CFlow'!F35)/'A4-FinPerf RE'!F35))</f>
        <v>0</v>
      </c>
      <c r="G7" s="1122">
        <f>IF(ISERROR(('A4-FinPerf RE'!G28-'A7-CFlow'!G35)/'A4-FinPerf RE'!G35),0,(('A4-FinPerf RE'!G28-'A7-CFlow'!G35)/'A4-FinPerf RE'!G35))</f>
        <v>0</v>
      </c>
      <c r="H7" s="1123">
        <f>IF(ISERROR(('A4-FinPerf RE'!H28-'A7-CFlow'!H35)/'A4-FinPerf RE'!H35),0,(('A4-FinPerf RE'!H28-'A7-CFlow'!H35)/'A4-FinPerf RE'!H35))</f>
        <v>0</v>
      </c>
      <c r="I7" s="1125">
        <f>IF(ISERROR(('A4-FinPerf RE'!I28-'A7-CFlow'!I35)/'A4-FinPerf RE'!I35),0,(('A4-FinPerf RE'!I28-'A7-CFlow'!I35)/'A4-FinPerf RE'!I35))</f>
        <v>4.6060842018853509E-5</v>
      </c>
      <c r="J7" s="1121">
        <f>IF(ISERROR(('A4-FinPerf RE'!J28-'A7-CFlow'!J35)/'A4-FinPerf RE'!J35),0,(('A4-FinPerf RE'!J28-'A7-CFlow'!J35)/'A4-FinPerf RE'!J35))</f>
        <v>0</v>
      </c>
      <c r="K7" s="1122">
        <f>IF(ISERROR(('A4-FinPerf RE'!K28-'A7-CFlow'!K35)/'A4-FinPerf RE'!K35),0,(('A4-FinPerf RE'!K28-'A7-CFlow'!K35)/'A4-FinPerf RE'!K35))</f>
        <v>0</v>
      </c>
      <c r="L7" s="1123">
        <f>IF(ISERROR(('A4-FinPerf RE'!L28-'A7-CFlow'!L35)/'A4-FinPerf RE'!L35),0,(('A4-FinPerf RE'!L28-'A7-CFlow'!L35)/'A4-FinPerf RE'!L35))</f>
        <v>0</v>
      </c>
    </row>
    <row r="8" spans="1:12" ht="25.5" x14ac:dyDescent="0.25">
      <c r="A8" s="1119" t="s">
        <v>1932</v>
      </c>
      <c r="B8" s="1120" t="s">
        <v>1943</v>
      </c>
      <c r="C8" s="1121">
        <f>IF(ISERROR(('A4-FinPerf RE'!C28-'A7-CFlow'!C35)/('A4-FinPerf RE'!C21-'A4-FinPerf RE'!C18)),0,(('A4-FinPerf RE'!C28-'A7-CFlow'!C35)/('A4-FinPerf RE'!C21-'A4-FinPerf RE'!C18)))</f>
        <v>0</v>
      </c>
      <c r="D8" s="1122">
        <f>IF(ISERROR(('A4-FinPerf RE'!D28-'A7-CFlow'!D35)/('A4-FinPerf RE'!D21-'A4-FinPerf RE'!D18)),0,(('A4-FinPerf RE'!D28-'A7-CFlow'!D35)/('A4-FinPerf RE'!D21-'A4-FinPerf RE'!D18)))</f>
        <v>7.8847282528109685E-5</v>
      </c>
      <c r="E8" s="1123">
        <f>IF(ISERROR(('A4-FinPerf RE'!E28-'A7-CFlow'!E35)/('A4-FinPerf RE'!E21-'A4-FinPerf RE'!E18)),0,(('A4-FinPerf RE'!E28-'A7-CFlow'!E35)/('A4-FinPerf RE'!E21-'A4-FinPerf RE'!E18)))</f>
        <v>1.2400843426359378E-4</v>
      </c>
      <c r="F8" s="1124">
        <f>IF(ISERROR(('A4-FinPerf RE'!F28-'A7-CFlow'!F35)/('A4-FinPerf RE'!F21-'A4-FinPerf RE'!F18)),0,(('A4-FinPerf RE'!F28-'A7-CFlow'!F35)/('A4-FinPerf RE'!F21-'A4-FinPerf RE'!F18)))</f>
        <v>0</v>
      </c>
      <c r="G8" s="1122">
        <f>IF(ISERROR(('A4-FinPerf RE'!G28-'A7-CFlow'!G35)/('A4-FinPerf RE'!G21-'A4-FinPerf RE'!G18)),0,(('A4-FinPerf RE'!G28-'A7-CFlow'!G35)/('A4-FinPerf RE'!G21-'A4-FinPerf RE'!G18)))</f>
        <v>0</v>
      </c>
      <c r="H8" s="1123">
        <f>IF(ISERROR(('A4-FinPerf RE'!H28-'A7-CFlow'!H35)/('A4-FinPerf RE'!H21-'A4-FinPerf RE'!H18)),0,(('A4-FinPerf RE'!H28-'A7-CFlow'!H35)/('A4-FinPerf RE'!H21-'A4-FinPerf RE'!H18)))</f>
        <v>0</v>
      </c>
      <c r="I8" s="1125">
        <f>IF(ISERROR(('A4-FinPerf RE'!I28-'A7-CFlow'!I35)/('A4-FinPerf RE'!I21-'A4-FinPerf RE'!I18)),0,(('A4-FinPerf RE'!I28-'A7-CFlow'!I35)/('A4-FinPerf RE'!I21-'A4-FinPerf RE'!I18)))</f>
        <v>-3.4406470282621193E-4</v>
      </c>
      <c r="J8" s="1121">
        <f>IF(ISERROR(('A4-FinPerf RE'!J28-'A7-CFlow'!J35)/('A4-FinPerf RE'!J21-'A4-FinPerf RE'!J18)),0,(('A4-FinPerf RE'!J28-'A7-CFlow'!J35)/('A4-FinPerf RE'!J21-'A4-FinPerf RE'!J18)))</f>
        <v>0</v>
      </c>
      <c r="K8" s="1122">
        <f>IF(ISERROR(('A4-FinPerf RE'!K28-'A7-CFlow'!K35)/('A4-FinPerf RE'!K21-'A4-FinPerf RE'!K18)),0,(('A4-FinPerf RE'!K28-'A7-CFlow'!K35)/('A4-FinPerf RE'!K21-'A4-FinPerf RE'!K18)))</f>
        <v>0</v>
      </c>
      <c r="L8" s="1123">
        <f>IF(ISERROR(('A4-FinPerf RE'!L28-'A7-CFlow'!L35)/('A4-FinPerf RE'!L21-'A4-FinPerf RE'!L18)),0,(('A4-FinPerf RE'!L28-'A7-CFlow'!L35)/('A4-FinPerf RE'!L21-'A4-FinPerf RE'!L18)))</f>
        <v>0</v>
      </c>
    </row>
    <row r="9" spans="1:12" ht="25.5" x14ac:dyDescent="0.25">
      <c r="A9" s="1119" t="s">
        <v>781</v>
      </c>
      <c r="B9" s="1120" t="s">
        <v>320</v>
      </c>
      <c r="C9" s="1121">
        <f>IF(ISERROR(C49/C48),0,(C49/C48))</f>
        <v>0</v>
      </c>
      <c r="D9" s="1122">
        <f>IF(ISERROR(D49/D48),0,(D49/D48))</f>
        <v>0</v>
      </c>
      <c r="E9" s="1123">
        <f t="shared" ref="E9:L9" si="0">IF(ISERROR(E49/E48),0,(E49/E48))</f>
        <v>0</v>
      </c>
      <c r="F9" s="1124">
        <f t="shared" si="0"/>
        <v>0</v>
      </c>
      <c r="G9" s="1122">
        <f t="shared" si="0"/>
        <v>0</v>
      </c>
      <c r="H9" s="1123">
        <f t="shared" si="0"/>
        <v>0</v>
      </c>
      <c r="I9" s="1125">
        <f t="shared" si="0"/>
        <v>0</v>
      </c>
      <c r="J9" s="1121">
        <f t="shared" si="0"/>
        <v>0</v>
      </c>
      <c r="K9" s="1122">
        <f t="shared" si="0"/>
        <v>0</v>
      </c>
      <c r="L9" s="1123">
        <f t="shared" si="0"/>
        <v>0</v>
      </c>
    </row>
    <row r="10" spans="1:12" x14ac:dyDescent="0.25">
      <c r="A10" s="1135" t="s">
        <v>295</v>
      </c>
      <c r="B10" s="1120"/>
      <c r="C10" s="1136"/>
      <c r="D10" s="1137"/>
      <c r="E10" s="1138"/>
      <c r="F10" s="1139"/>
      <c r="G10" s="1137"/>
      <c r="H10" s="1138"/>
      <c r="I10" s="521"/>
      <c r="J10" s="1136"/>
      <c r="K10" s="1137"/>
      <c r="L10" s="1138"/>
    </row>
    <row r="11" spans="1:12" ht="25.5" x14ac:dyDescent="0.25">
      <c r="A11" s="1119" t="s">
        <v>294</v>
      </c>
      <c r="B11" s="1120" t="s">
        <v>247</v>
      </c>
      <c r="C11" s="1121">
        <f>IF(ISERROR(('A6-FinPos'!C37/'A6-FinPos'!C46)),0,(('A6-FinPos'!C37/'A6-FinPos'!C46)))</f>
        <v>0</v>
      </c>
      <c r="D11" s="1122">
        <f>IF(ISERROR(('A6-FinPos'!D37/'A6-FinPos'!D46)),0,(('A6-FinPos'!D37/'A6-FinPos'!D46)))</f>
        <v>0</v>
      </c>
      <c r="E11" s="1123">
        <f>IF(ISERROR(('A6-FinPos'!E37/'A6-FinPos'!E46)),0,(('A6-FinPos'!E37/'A6-FinPos'!E46)))</f>
        <v>0</v>
      </c>
      <c r="F11" s="1124">
        <f>IF(ISERROR(('A6-FinPos'!F37/'A6-FinPos'!F46)),0,(('A6-FinPos'!F37/'A6-FinPos'!F46)))</f>
        <v>0</v>
      </c>
      <c r="G11" s="1122">
        <f>IF(ISERROR(('A6-FinPos'!G37/'A6-FinPos'!G46)),0,(('A6-FinPos'!G37/'A6-FinPos'!G46)))</f>
        <v>0</v>
      </c>
      <c r="H11" s="1123">
        <f>IF(ISERROR(('A6-FinPos'!H37/'A6-FinPos'!H46)),0,(('A6-FinPos'!H37/'A6-FinPos'!H46)))</f>
        <v>0</v>
      </c>
      <c r="I11" s="1125">
        <f>IF(ISERROR(('A6-FinPos'!I37/'A6-FinPos'!I46)),0,(('A6-FinPos'!I37/'A6-FinPos'!I46)))</f>
        <v>0</v>
      </c>
      <c r="J11" s="1121">
        <f>IF(ISERROR(('A6-FinPos'!J37/'A6-FinPos'!J46)),0,(('A6-FinPos'!J37/'A6-FinPos'!J46)))</f>
        <v>0</v>
      </c>
      <c r="K11" s="1122">
        <f>IF(ISERROR(('A6-FinPos'!K37/'A6-FinPos'!K46)),0,(('A6-FinPos'!K37/'A6-FinPos'!K46)))</f>
        <v>0</v>
      </c>
      <c r="L11" s="1123">
        <f>IF(ISERROR(('A6-FinPos'!L37/'A6-FinPos'!L46)),0,(('A6-FinPos'!L37/'A6-FinPos'!L46)))</f>
        <v>0</v>
      </c>
    </row>
    <row r="12" spans="1:12" x14ac:dyDescent="0.25">
      <c r="A12" s="1135" t="s">
        <v>296</v>
      </c>
      <c r="B12" s="1120"/>
      <c r="C12" s="1136"/>
      <c r="D12" s="1137"/>
      <c r="E12" s="1138"/>
      <c r="F12" s="1139"/>
      <c r="G12" s="1137"/>
      <c r="H12" s="1138"/>
      <c r="I12" s="521"/>
      <c r="J12" s="1136"/>
      <c r="K12" s="1137"/>
      <c r="L12" s="1138"/>
    </row>
    <row r="13" spans="1:12" x14ac:dyDescent="0.25">
      <c r="A13" s="1119" t="s">
        <v>512</v>
      </c>
      <c r="B13" s="1120" t="s">
        <v>1269</v>
      </c>
      <c r="C13" s="1140">
        <f>IF(ISERROR('A6-FinPos'!C12/'A6-FinPos'!C34),0,('A6-FinPos'!C12/'A6-FinPos'!C34))</f>
        <v>5.9591820593077838</v>
      </c>
      <c r="D13" s="1141">
        <f>IF(ISERROR('A6-FinPos'!D12/'A6-FinPos'!D34),0,('A6-FinPos'!D12/'A6-FinPos'!D34))</f>
        <v>6.6179113120791175</v>
      </c>
      <c r="E13" s="1142">
        <f>IF(ISERROR('A6-FinPos'!E12/'A6-FinPos'!E34),0,('A6-FinPos'!E12/'A6-FinPos'!E34))</f>
        <v>6.8272681524333718</v>
      </c>
      <c r="F13" s="1143">
        <f>IF(ISERROR('A6-FinPos'!F12/'A6-FinPos'!F34),0,('A6-FinPos'!F12/'A6-FinPos'!F34))</f>
        <v>20.169237669403326</v>
      </c>
      <c r="G13" s="1141">
        <f>IF(ISERROR('A6-FinPos'!G12/'A6-FinPos'!G34),0,('A6-FinPos'!G12/'A6-FinPos'!G34))</f>
        <v>7.811277354099726</v>
      </c>
      <c r="H13" s="1142">
        <f>IF(ISERROR('A6-FinPos'!H12/'A6-FinPos'!H34),0,('A6-FinPos'!H12/'A6-FinPos'!H34))</f>
        <v>7.811277354099726</v>
      </c>
      <c r="I13" s="1144">
        <f>IF(ISERROR('A6-FinPos'!I12/'A6-FinPos'!I34),0,('A6-FinPos'!I12/'A6-FinPos'!I34))</f>
        <v>-3.1455977846061804</v>
      </c>
      <c r="J13" s="1140">
        <f>IF(ISERROR('A6-FinPos'!J12/'A6-FinPos'!J34),0,('A6-FinPos'!J12/'A6-FinPos'!J34))</f>
        <v>7.2004358288863806</v>
      </c>
      <c r="K13" s="1141">
        <f>IF(ISERROR('A6-FinPos'!K12/'A6-FinPos'!K34),0,('A6-FinPos'!K12/'A6-FinPos'!K34))</f>
        <v>4.0737688315363156</v>
      </c>
      <c r="L13" s="1142">
        <f>IF(ISERROR('A6-FinPos'!L12/'A6-FinPos'!L34),0,('A6-FinPos'!L12/'A6-FinPos'!L34))</f>
        <v>3.6636332961567288</v>
      </c>
    </row>
    <row r="14" spans="1:12" ht="25.5" x14ac:dyDescent="0.25">
      <c r="A14" s="1119" t="s">
        <v>1266</v>
      </c>
      <c r="B14" s="1120" t="s">
        <v>1218</v>
      </c>
      <c r="C14" s="1140">
        <f>IF(ISERROR(('A6-FinPos'!C12-'SA8'!C45)/'A6-FinPos'!C34),0,(('A6-FinPos'!C12-'SA8'!C45)/'A6-FinPos'!C34))</f>
        <v>5.9591820593077838</v>
      </c>
      <c r="D14" s="1141">
        <f>IF(ISERROR(('A6-FinPos'!D12-'SA8'!D45)/'A6-FinPos'!D34),0,(('A6-FinPos'!D12-'SA8'!D45)/'A6-FinPos'!D34))</f>
        <v>6.6179113120791175</v>
      </c>
      <c r="E14" s="1142">
        <f>IF(ISERROR(('A6-FinPos'!E12-'SA8'!E45)/'A6-FinPos'!E34),0,(('A6-FinPos'!E12-'SA8'!E45)/'A6-FinPos'!E34))</f>
        <v>6.8272681524333718</v>
      </c>
      <c r="F14" s="1143">
        <f>IF(ISERROR(('A6-FinPos'!F12-'SA8'!F45)/'A6-FinPos'!F34),0,(('A6-FinPos'!F12-'SA8'!F45)/'A6-FinPos'!F34))</f>
        <v>20.169237669403326</v>
      </c>
      <c r="G14" s="1141">
        <f>IF(ISERROR(('A6-FinPos'!G12-'SA8'!G45)/'A6-FinPos'!G34),0,(('A6-FinPos'!G12-'SA8'!G45)/'A6-FinPos'!G34))</f>
        <v>7.811277354099726</v>
      </c>
      <c r="H14" s="1142">
        <f>IF(ISERROR(('A6-FinPos'!H12-'SA8'!H45)/'A6-FinPos'!H34),0,(('A6-FinPos'!H12-'SA8'!H45)/'A6-FinPos'!H34))</f>
        <v>7.811277354099726</v>
      </c>
      <c r="I14" s="1144">
        <f>IF(ISERROR(('A6-FinPos'!I12-'SA8'!I45)/'A6-FinPos'!I34),0,(('A6-FinPos'!I12-'SA8'!I45)/'A6-FinPos'!I34))</f>
        <v>-3.1455977846061804</v>
      </c>
      <c r="J14" s="1140">
        <f>IF(ISERROR(('A6-FinPos'!J12-'SA8'!J45)/'A6-FinPos'!J34),0,(('A6-FinPos'!J12-'SA8'!J45)/'A6-FinPos'!J34))</f>
        <v>7.2004358288863806</v>
      </c>
      <c r="K14" s="1141">
        <f>IF(ISERROR(('A6-FinPos'!K12-'SA8'!K45)/'A6-FinPos'!K34),0,(('A6-FinPos'!K12-'SA8'!K45)/'A6-FinPos'!K34))</f>
        <v>4.0737688315363156</v>
      </c>
      <c r="L14" s="1142">
        <f>IF(ISERROR(('A6-FinPos'!L12-'SA8'!L45)/'A6-FinPos'!L34),0,(('A6-FinPos'!L12-'SA8'!L45)/'A6-FinPos'!L34))</f>
        <v>3.6636332961567288</v>
      </c>
    </row>
    <row r="15" spans="1:12" x14ac:dyDescent="0.25">
      <c r="A15" s="1119" t="s">
        <v>297</v>
      </c>
      <c r="B15" s="1120" t="s">
        <v>770</v>
      </c>
      <c r="C15" s="1140">
        <f>IF(ISERROR(('A6-FinPos'!C6+'A6-FinPos'!C7)/'A6-FinPos'!C34),0,(('A6-FinPos'!C6+'A6-FinPos'!C7)/'A6-FinPos'!C34))</f>
        <v>4.5506505494095082</v>
      </c>
      <c r="D15" s="1141">
        <f>IF(ISERROR(('A6-FinPos'!D6+'A6-FinPos'!D7)/'A6-FinPos'!D34),0,(('A6-FinPos'!D6+'A6-FinPos'!D7)/'A6-FinPos'!D34))</f>
        <v>4.8201653875158943</v>
      </c>
      <c r="E15" s="1142">
        <f>IF(ISERROR(('A6-FinPos'!E6+'A6-FinPos'!E7)/'A6-FinPos'!E34),0,(('A6-FinPos'!E6+'A6-FinPos'!E7)/'A6-FinPos'!E34))</f>
        <v>4.9548037870806452</v>
      </c>
      <c r="F15" s="1143">
        <f>IF(ISERROR(('A6-FinPos'!F6+'A6-FinPos'!F7)/'A6-FinPos'!F34),0,(('A6-FinPos'!F6+'A6-FinPos'!F7)/'A6-FinPos'!F34))</f>
        <v>20.447641212641937</v>
      </c>
      <c r="G15" s="1141">
        <f>IF(ISERROR(('A6-FinPos'!G6+'A6-FinPos'!G7)/'A6-FinPos'!G34),0,(('A6-FinPos'!G6+'A6-FinPos'!G7)/'A6-FinPos'!G34))</f>
        <v>4.866093907546567</v>
      </c>
      <c r="H15" s="1142">
        <f>IF(ISERROR(('A6-FinPos'!H6+'A6-FinPos'!H7)/'A6-FinPos'!H34),0,(('A6-FinPos'!H6+'A6-FinPos'!H7)/'A6-FinPos'!H34))</f>
        <v>4.866093907546567</v>
      </c>
      <c r="I15" s="1144">
        <f>IF(ISERROR(('A6-FinPos'!I6+'A6-FinPos'!I7)/'A6-FinPos'!I34),0,(('A6-FinPos'!I6+'A6-FinPos'!I7)/'A6-FinPos'!I34))</f>
        <v>-1.7369169249313188</v>
      </c>
      <c r="J15" s="1140">
        <f>IF(ISERROR(('A6-FinPos'!J6+'A6-FinPos'!J7)/'A6-FinPos'!J34),0,(('A6-FinPos'!J6+'A6-FinPos'!J7)/'A6-FinPos'!J34))</f>
        <v>3.8586080775991314</v>
      </c>
      <c r="K15" s="1141">
        <f>IF(ISERROR(('A6-FinPos'!K6+'A6-FinPos'!K7)/'A6-FinPos'!K34),0,(('A6-FinPos'!K6+'A6-FinPos'!K7)/'A6-FinPos'!K34))</f>
        <v>1.081437894792318</v>
      </c>
      <c r="L15" s="1142">
        <f>IF(ISERROR(('A6-FinPos'!L6+'A6-FinPos'!L7)/'A6-FinPos'!L34),0,(('A6-FinPos'!L6+'A6-FinPos'!L7)/'A6-FinPos'!L34))</f>
        <v>-5.3592196905498444</v>
      </c>
    </row>
    <row r="16" spans="1:12" x14ac:dyDescent="0.25">
      <c r="A16" s="1135" t="s">
        <v>771</v>
      </c>
      <c r="B16" s="1120"/>
      <c r="C16" s="1145"/>
      <c r="D16" s="1146"/>
      <c r="E16" s="1147"/>
      <c r="F16" s="1148"/>
      <c r="G16" s="1146"/>
      <c r="H16" s="1147"/>
      <c r="I16" s="1149"/>
      <c r="J16" s="1145"/>
      <c r="K16" s="1146"/>
      <c r="L16" s="1147"/>
    </row>
    <row r="17" spans="1:13" ht="25.5" x14ac:dyDescent="0.25">
      <c r="A17" s="1119" t="s">
        <v>772</v>
      </c>
      <c r="B17" s="1120" t="s">
        <v>1219</v>
      </c>
      <c r="C17" s="1150"/>
      <c r="D17" s="1151">
        <f>IF(ISERROR(('A7-CFlow'!C6+'A7-CFlow'!C7+'A7-CFlow'!C22+'A7-CFlow'!C23)/SUM('A4-FinPerf RE'!C5:C10)),0,('A7-CFlow'!C6+'A7-CFlow'!C7+'A7-CFlow'!C22+'A7-CFlow'!C23)/(SUM('A4-FinPerf RE'!C5:C10)))</f>
        <v>0</v>
      </c>
      <c r="E17" s="1151">
        <f>IF(ISERROR(('A7-CFlow'!D6+'A7-CFlow'!D7+'A7-CFlow'!D22+'A7-CFlow'!D23)/SUM('A4-FinPerf RE'!D5:D10)),0,('A7-CFlow'!D6+'A7-CFlow'!D7+'A7-CFlow'!D22+'A7-CFlow'!D23)/(SUM('A4-FinPerf RE'!D5:D10)))</f>
        <v>0</v>
      </c>
      <c r="F17" s="1152">
        <f>IF(ISERROR(('A7-CFlow'!E6+'A7-CFlow'!E7+'A7-CFlow'!E22+'A7-CFlow'!E23)/SUM('A4-FinPerf RE'!E5:E10)),0,('A7-CFlow'!E6+'A7-CFlow'!E7+'A7-CFlow'!E22+'A7-CFlow'!E23)/(SUM('A4-FinPerf RE'!E5:E10)))</f>
        <v>0</v>
      </c>
      <c r="G17" s="1151">
        <f>IF(ISERROR(('A7-CFlow'!F6+'A7-CFlow'!F7+'A7-CFlow'!F22+'A7-CFlow'!F23)/SUM('A4-FinPerf RE'!F5:F10)),0,('A7-CFlow'!F6+'A7-CFlow'!F7+'A7-CFlow'!F22+'A7-CFlow'!F23)/(SUM('A4-FinPerf RE'!F5:F10)))</f>
        <v>0.85423161402421277</v>
      </c>
      <c r="H17" s="1153">
        <f>IF(ISERROR(('A7-CFlow'!G6+'A7-CFlow'!G7+'A7-CFlow'!G22+'A7-CFlow'!G23)/SUM('A4-FinPerf RE'!G5:G10)),0,('A7-CFlow'!G6+'A7-CFlow'!G7+'A7-CFlow'!G22+'A7-CFlow'!G23)/(SUM('A4-FinPerf RE'!G5:G10)))</f>
        <v>0.85423161402421277</v>
      </c>
      <c r="I17" s="1154">
        <f>IF(ISERROR(('A7-CFlow'!H6+'A7-CFlow'!H7+'A7-CFlow'!H22+'A7-CFlow'!H23)/SUM('A4-FinPerf RE'!H5:H10)),0,('A7-CFlow'!H6+'A7-CFlow'!H7+'A7-CFlow'!H22+'A7-CFlow'!H23)/(SUM('A4-FinPerf RE'!H5:H10)))</f>
        <v>0.85423161402421277</v>
      </c>
      <c r="J17" s="1150">
        <f>IF(ISERROR(('A7-CFlow'!I6+'A7-CFlow'!I7+'A7-CFlow'!I22+'A7-CFlow'!I23)/SUM('A4-FinPerf RE'!I5:I10)),0,('A7-CFlow'!I6+'A7-CFlow'!I7+'A7-CFlow'!I22+'A7-CFlow'!I23)/(SUM('A4-FinPerf RE'!I5:I10)))</f>
        <v>0</v>
      </c>
      <c r="K17" s="1151">
        <f>IF(ISERROR(('A7-CFlow'!J6+'A7-CFlow'!J7+'A7-CFlow'!J22+'A7-CFlow'!J23)/SUM('A4-FinPerf RE'!J5:J10)),0,('A7-CFlow'!J6+'A7-CFlow'!J7+'A7-CFlow'!J22+'A7-CFlow'!J23)/(SUM('A4-FinPerf RE'!J5:J10)))</f>
        <v>0.8500001442094901</v>
      </c>
      <c r="L17" s="1153">
        <f>IF(ISERROR(('A7-CFlow'!K6+'A7-CFlow'!K7+'A7-CFlow'!K22+'A7-CFlow'!K23)/SUM('A4-FinPerf RE'!K5:K10)),0,('A7-CFlow'!K6+'A7-CFlow'!K7+'A7-CFlow'!K22+'A7-CFlow'!K23)/(SUM('A4-FinPerf RE'!K5:K10)))</f>
        <v>0.83714414713038399</v>
      </c>
    </row>
    <row r="18" spans="1:13" ht="25.5" customHeight="1" x14ac:dyDescent="0.25">
      <c r="A18" s="1126" t="s">
        <v>1973</v>
      </c>
      <c r="B18" s="1120"/>
      <c r="C18" s="1150">
        <f>IF(ISERROR(('A7-CFlow'!C6+'A7-CFlow'!C7)/SUM('A4-FinPerf RE'!C5:C10)),0,(('A7-CFlow'!C6+'A7-CFlow'!C7)/SUM('A4-FinPerf RE'!C5:C10)))</f>
        <v>0</v>
      </c>
      <c r="D18" s="1151">
        <f>IF(ISERROR(('A7-CFlow'!D6+'A7-CFlow'!D7)/SUM('A4-FinPerf RE'!D5:D10)),0,(('A7-CFlow'!D6+'A7-CFlow'!D7)/SUM('A4-FinPerf RE'!D5:D10)))</f>
        <v>0</v>
      </c>
      <c r="E18" s="1154">
        <f>IF(ISERROR(('A7-CFlow'!E6+'A7-CFlow'!E7)/SUM('A4-FinPerf RE'!E5:E10)),0,(('A7-CFlow'!E6+'A7-CFlow'!E7)/SUM('A4-FinPerf RE'!E5:E10)))</f>
        <v>0</v>
      </c>
      <c r="F18" s="1152">
        <f>IF(ISERROR(('A7-CFlow'!F6+'A7-CFlow'!F7)/SUM('A4-FinPerf RE'!F5:F10)),0,(('A7-CFlow'!F6+'A7-CFlow'!F7)/SUM('A4-FinPerf RE'!F5:F10)))</f>
        <v>0.85423161402421277</v>
      </c>
      <c r="G18" s="1151">
        <f>IF(ISERROR(('A7-CFlow'!G6+'A7-CFlow'!G7)/SUM('A4-FinPerf RE'!G5:G10)),0,(('A7-CFlow'!G6+'A7-CFlow'!G7)/SUM('A4-FinPerf RE'!G5:G10)))</f>
        <v>0.85423161402421277</v>
      </c>
      <c r="H18" s="1153">
        <f>IF(ISERROR(('A7-CFlow'!H6+'A7-CFlow'!H7)/SUM('A4-FinPerf RE'!H5:H10)),0,(('A7-CFlow'!H6+'A7-CFlow'!H7)/SUM('A4-FinPerf RE'!H5:H10)))</f>
        <v>0.85423161402421277</v>
      </c>
      <c r="I18" s="1154">
        <f>IF(ISERROR(('A7-CFlow'!I6+'A7-CFlow'!I7)/SUM('A4-FinPerf RE'!I5:I10)),0,(('A7-CFlow'!I6+'A7-CFlow'!I7)/SUM('A4-FinPerf RE'!I5:I10)))</f>
        <v>0</v>
      </c>
      <c r="J18" s="1150">
        <f>IF(ISERROR(('A7-CFlow'!J6+'A7-CFlow'!J7)/SUM('A4-FinPerf RE'!J5:J10)),0,(('A7-CFlow'!J6+'A7-CFlow'!J7)/SUM('A4-FinPerf RE'!J5:J10)))</f>
        <v>0.8500001442094901</v>
      </c>
      <c r="K18" s="1151">
        <f>IF(ISERROR(('A7-CFlow'!K6+'A7-CFlow'!K7)/SUM('A4-FinPerf RE'!K5:K10)),0,(('A7-CFlow'!K6+'A7-CFlow'!K7)/SUM('A4-FinPerf RE'!K5:K10)))</f>
        <v>0.83714414713038399</v>
      </c>
      <c r="L18" s="1153">
        <f>IF(ISERROR(('A7-CFlow'!L6+'A7-CFlow'!L7)/SUM('A4-FinPerf RE'!L5:L10)),0,(('A7-CFlow'!L6+'A7-CFlow'!L7)/SUM('A4-FinPerf RE'!L5:L10)))</f>
        <v>0.8555329642969568</v>
      </c>
    </row>
    <row r="19" spans="1:13" ht="25.5" x14ac:dyDescent="0.25">
      <c r="A19" s="1119" t="s">
        <v>421</v>
      </c>
      <c r="B19" s="1120" t="s">
        <v>1184</v>
      </c>
      <c r="C19" s="1121">
        <f>IF(ISERROR(('A6-FinPos'!C8+'A6-FinPos'!C9+'A6-FinPos'!C10+'A6-FinPos'!C15)/'A4-FinPerf RE'!C21),0,(('A6-FinPos'!C8+'A6-FinPos'!C9+'A6-FinPos'!C10+'A6-FinPos'!C15)/'A4-FinPerf RE'!C21))</f>
        <v>0.20970252448248425</v>
      </c>
      <c r="D19" s="1122">
        <f>IF(ISERROR(('A6-FinPos'!D8+'A6-FinPos'!D9+'A6-FinPos'!D10+'A6-FinPos'!D15)/'A4-FinPerf RE'!D21),0,(('A6-FinPos'!D8+'A6-FinPos'!D9+'A6-FinPos'!D10+'A6-FinPos'!D15)/'A4-FinPerf RE'!D21))</f>
        <v>0.25325275872309727</v>
      </c>
      <c r="E19" s="1123">
        <f>IF(ISERROR(('A6-FinPos'!E8+'A6-FinPos'!E9+'A6-FinPos'!E10+'A6-FinPos'!E15)/'A4-FinPerf RE'!E21),0,(('A6-FinPos'!E8+'A6-FinPos'!E9+'A6-FinPos'!E10+'A6-FinPos'!E15)/'A4-FinPerf RE'!E21))</f>
        <v>0.23981263757753316</v>
      </c>
      <c r="F19" s="1124">
        <f>IF(ISERROR(('A6-FinPos'!F8+'A6-FinPos'!F9+'A6-FinPos'!F10+'A6-FinPos'!F15)/'A4-FinPerf RE'!F21),0,(('A6-FinPos'!F8+'A6-FinPos'!F9+'A6-FinPos'!F10+'A6-FinPos'!F15)/'A4-FinPerf RE'!F21))</f>
        <v>-7.6166866964274124E-3</v>
      </c>
      <c r="G19" s="1122">
        <f>IF(ISERROR(('A6-FinPos'!G8+'A6-FinPos'!G9+'A6-FinPos'!G10+'A6-FinPos'!G15)/'A4-FinPerf RE'!G21),0,(('A6-FinPos'!G8+'A6-FinPos'!G9+'A6-FinPos'!G10+'A6-FinPos'!G15)/'A4-FinPerf RE'!G21))</f>
        <v>0.17432655692772439</v>
      </c>
      <c r="H19" s="1123">
        <f>IF(ISERROR(('A6-FinPos'!H8+'A6-FinPos'!H9+'A6-FinPos'!H10+'A6-FinPos'!H15)/'A4-FinPerf RE'!H21),0,(('A6-FinPos'!H8+'A6-FinPos'!H9+'A6-FinPos'!H10+'A6-FinPos'!H15)/'A4-FinPerf RE'!H21))</f>
        <v>0.17432655692772439</v>
      </c>
      <c r="I19" s="1125">
        <f>IF(ISERROR(('A6-FinPos'!I8+'A6-FinPos'!I9+'A6-FinPos'!I10+'A6-FinPos'!I15)/'A4-FinPerf RE'!I21),0,(('A6-FinPos'!I8+'A6-FinPos'!I9+'A6-FinPos'!I10+'A6-FinPos'!I15)/'A4-FinPerf RE'!I21))</f>
        <v>0.44351418173326534</v>
      </c>
      <c r="J19" s="1121">
        <f>IF(ISERROR(('A6-FinPos'!J8+'A6-FinPos'!J9+'A6-FinPos'!J10+'A6-FinPos'!J15)/'A4-FinPerf RE'!J21),0,(('A6-FinPos'!J8+'A6-FinPos'!J9+'A6-FinPos'!J10+'A6-FinPos'!J15)/'A4-FinPerf RE'!J21))</f>
        <v>0.23908833686779871</v>
      </c>
      <c r="K19" s="1122">
        <f>IF(ISERROR(('A6-FinPos'!K8+'A6-FinPos'!K9+'A6-FinPos'!K10+'A6-FinPos'!K15)/'A4-FinPerf RE'!K21),0,(('A6-FinPos'!K8+'A6-FinPos'!K9+'A6-FinPos'!K10+'A6-FinPos'!K15)/'A4-FinPerf RE'!K21))</f>
        <v>0.21196984777761471</v>
      </c>
      <c r="L19" s="1123">
        <f>IF(ISERROR(('A6-FinPos'!L8+'A6-FinPos'!L9+'A6-FinPos'!L10+'A6-FinPos'!L15)/'A4-FinPerf RE'!L21),0,(('A6-FinPos'!L8+'A6-FinPos'!L9+'A6-FinPos'!L10+'A6-FinPos'!L15)/'A4-FinPerf RE'!L21))</f>
        <v>0.22003902121919144</v>
      </c>
    </row>
    <row r="20" spans="1:13" ht="25.5" x14ac:dyDescent="0.25">
      <c r="A20" s="1119" t="s">
        <v>1489</v>
      </c>
      <c r="B20" s="1120" t="s">
        <v>488</v>
      </c>
      <c r="C20" s="1155"/>
      <c r="D20" s="1156"/>
      <c r="E20" s="1048"/>
      <c r="F20" s="1157"/>
      <c r="G20" s="1156"/>
      <c r="H20" s="1048"/>
      <c r="I20" s="1158"/>
      <c r="J20" s="1155"/>
      <c r="K20" s="1156"/>
      <c r="L20" s="1048"/>
    </row>
    <row r="21" spans="1:13" x14ac:dyDescent="0.25">
      <c r="A21" s="1135" t="s">
        <v>675</v>
      </c>
      <c r="B21" s="1120"/>
      <c r="C21" s="1136"/>
      <c r="D21" s="1137"/>
      <c r="E21" s="1138"/>
      <c r="F21" s="1139"/>
      <c r="G21" s="1137"/>
      <c r="H21" s="1138"/>
      <c r="I21" s="521"/>
      <c r="J21" s="1136"/>
      <c r="K21" s="1137"/>
      <c r="L21" s="1138"/>
    </row>
    <row r="22" spans="1:13" ht="24.75" customHeight="1" x14ac:dyDescent="0.25">
      <c r="A22" s="1119" t="s">
        <v>676</v>
      </c>
      <c r="B22" s="1120" t="s">
        <v>287</v>
      </c>
      <c r="C22" s="1155"/>
      <c r="D22" s="1156"/>
      <c r="E22" s="1048"/>
      <c r="F22" s="1157"/>
      <c r="G22" s="1156"/>
      <c r="H22" s="1048"/>
      <c r="I22" s="1158"/>
      <c r="J22" s="1155"/>
      <c r="K22" s="1156"/>
      <c r="L22" s="1048"/>
    </row>
    <row r="23" spans="1:13" x14ac:dyDescent="0.25">
      <c r="A23" s="1126" t="s">
        <v>1945</v>
      </c>
      <c r="B23" s="1120"/>
      <c r="C23" s="1150">
        <f>IF(ISERROR('SA3'!C130/'A7-CFlow'!C40),0,('SA3'!C130/'A7-CFlow'!C40))</f>
        <v>0</v>
      </c>
      <c r="D23" s="1151">
        <f>IF(ISERROR('SA3'!D130/'A7-CFlow'!D40),0,('SA3'!D130/'A7-CFlow'!D40))</f>
        <v>0</v>
      </c>
      <c r="E23" s="1153">
        <f>IF(ISERROR('SA3'!E130/'A7-CFlow'!E40),0,('SA3'!E130/'A7-CFlow'!E40))</f>
        <v>0</v>
      </c>
      <c r="F23" s="1152">
        <f>IF(ISERROR('SA3'!F130/'A7-CFlow'!F40),0,('SA3'!F130/'A7-CFlow'!F40))</f>
        <v>4.5007887083126079E-2</v>
      </c>
      <c r="G23" s="1151">
        <f>IF(ISERROR('SA3'!G130/'A7-CFlow'!G40),0,('SA3'!G130/'A7-CFlow'!G40))</f>
        <v>-0.12731112078015136</v>
      </c>
      <c r="H23" s="1153">
        <f>IF(ISERROR('SA3'!H130/'A7-CFlow'!H40),0,('SA3'!H130/'A7-CFlow'!H40))</f>
        <v>-0.12731112078015136</v>
      </c>
      <c r="I23" s="1154">
        <f>IF(ISERROR('SA3'!I130/'A7-CFlow'!I40),0,('SA3'!I130/'A7-CFlow'!I40))</f>
        <v>0</v>
      </c>
      <c r="J23" s="1150">
        <f>IF(ISERROR('SA3'!J130/'A7-CFlow'!J40),0,('SA3'!J130/'A7-CFlow'!J40))</f>
        <v>0.12772440360513643</v>
      </c>
      <c r="K23" s="1151">
        <f>IF(ISERROR('SA3'!K130/'A7-CFlow'!K40),0,('SA3'!K130/'A7-CFlow'!K40))</f>
        <v>0.50115921447402412</v>
      </c>
      <c r="L23" s="1153">
        <f>IF(ISERROR('SA3'!L130/'A7-CFlow'!L40),0,('SA3'!L130/'A7-CFlow'!L40))</f>
        <v>5.6707407445011127E-2</v>
      </c>
      <c r="M23" s="322"/>
    </row>
    <row r="24" spans="1:13" ht="8.25" customHeight="1" x14ac:dyDescent="0.25">
      <c r="A24" s="1119"/>
      <c r="B24" s="1120"/>
      <c r="C24" s="1159"/>
      <c r="D24" s="1160"/>
      <c r="E24" s="1161"/>
      <c r="F24" s="1162"/>
      <c r="G24" s="1160"/>
      <c r="H24" s="1161"/>
      <c r="I24" s="1163"/>
      <c r="J24" s="1159"/>
      <c r="K24" s="1160"/>
      <c r="L24" s="1161"/>
      <c r="M24" s="322"/>
    </row>
    <row r="25" spans="1:13" x14ac:dyDescent="0.25">
      <c r="A25" s="1135" t="s">
        <v>677</v>
      </c>
      <c r="B25" s="1120"/>
      <c r="C25" s="1136"/>
      <c r="D25" s="1137"/>
      <c r="E25" s="1138"/>
      <c r="F25" s="1139"/>
      <c r="G25" s="1137"/>
      <c r="H25" s="1138"/>
      <c r="I25" s="521"/>
      <c r="J25" s="1136"/>
      <c r="K25" s="1137"/>
      <c r="L25" s="1138"/>
      <c r="M25" s="322"/>
    </row>
    <row r="26" spans="1:13" ht="21" customHeight="1" x14ac:dyDescent="0.25">
      <c r="A26" s="2484" t="s">
        <v>290</v>
      </c>
      <c r="B26" s="1164" t="s">
        <v>1993</v>
      </c>
      <c r="C26" s="1165"/>
      <c r="D26" s="1166"/>
      <c r="E26" s="1167"/>
      <c r="F26" s="1168"/>
      <c r="G26" s="1166"/>
      <c r="H26" s="1167"/>
      <c r="I26" s="1167"/>
      <c r="J26" s="1169"/>
      <c r="K26" s="1166"/>
      <c r="L26" s="1167"/>
    </row>
    <row r="27" spans="1:13" ht="21" customHeight="1" x14ac:dyDescent="0.25">
      <c r="A27" s="2484"/>
      <c r="B27" s="1164" t="s">
        <v>1992</v>
      </c>
      <c r="C27" s="775"/>
      <c r="D27" s="775"/>
      <c r="E27" s="783"/>
      <c r="F27" s="1170"/>
      <c r="G27" s="775"/>
      <c r="H27" s="783"/>
      <c r="I27" s="777"/>
      <c r="J27" s="1170"/>
      <c r="K27" s="775"/>
      <c r="L27" s="783"/>
    </row>
    <row r="28" spans="1:13" ht="41.25" customHeight="1" x14ac:dyDescent="0.25">
      <c r="A28" s="2485"/>
      <c r="B28" s="1171" t="s">
        <v>2002</v>
      </c>
      <c r="C28" s="1170"/>
      <c r="D28" s="1172"/>
      <c r="E28" s="1173"/>
      <c r="F28" s="1174"/>
      <c r="G28" s="1172"/>
      <c r="H28" s="1173"/>
      <c r="I28" s="1173"/>
      <c r="J28" s="1175"/>
      <c r="K28" s="1172"/>
      <c r="L28" s="1173"/>
    </row>
    <row r="29" spans="1:13" ht="21" customHeight="1" x14ac:dyDescent="0.25">
      <c r="A29" s="2483" t="s">
        <v>1120</v>
      </c>
      <c r="B29" s="1176" t="s">
        <v>1994</v>
      </c>
      <c r="C29" s="1170"/>
      <c r="D29" s="775"/>
      <c r="E29" s="777"/>
      <c r="F29" s="778"/>
      <c r="G29" s="775"/>
      <c r="H29" s="777"/>
      <c r="I29" s="777"/>
      <c r="J29" s="1170"/>
      <c r="K29" s="775"/>
      <c r="L29" s="777"/>
    </row>
    <row r="30" spans="1:13" ht="21" customHeight="1" x14ac:dyDescent="0.25">
      <c r="A30" s="2484"/>
      <c r="B30" s="1164" t="s">
        <v>1992</v>
      </c>
      <c r="C30" s="1165"/>
      <c r="D30" s="1166"/>
      <c r="E30" s="1167"/>
      <c r="F30" s="1168"/>
      <c r="G30" s="1166"/>
      <c r="H30" s="1167"/>
      <c r="I30" s="1167"/>
      <c r="J30" s="1169"/>
      <c r="K30" s="1166"/>
      <c r="L30" s="1167"/>
    </row>
    <row r="31" spans="1:13" ht="41.25" customHeight="1" x14ac:dyDescent="0.25">
      <c r="A31" s="2485"/>
      <c r="B31" s="1171" t="s">
        <v>2002</v>
      </c>
      <c r="C31" s="775"/>
      <c r="D31" s="1172"/>
      <c r="E31" s="1177"/>
      <c r="F31" s="1175"/>
      <c r="G31" s="1172"/>
      <c r="H31" s="1177"/>
      <c r="I31" s="1173"/>
      <c r="J31" s="1175"/>
      <c r="K31" s="1172"/>
      <c r="L31" s="1177"/>
    </row>
    <row r="32" spans="1:13" ht="25.5" x14ac:dyDescent="0.25">
      <c r="A32" s="1119" t="s">
        <v>424</v>
      </c>
      <c r="B32" s="1120" t="s">
        <v>1449</v>
      </c>
      <c r="C32" s="1150">
        <f>IF(ISERROR('A4-FinPerf RE'!C24/'A4-FinPerf RE'!C21),0,('A4-FinPerf RE'!C24/'A4-FinPerf RE'!C21))</f>
        <v>0.39221687253833448</v>
      </c>
      <c r="D32" s="1151">
        <f>IF(ISERROR('A4-FinPerf RE'!D24/'A4-FinPerf RE'!D21),0,('A4-FinPerf RE'!D24/'A4-FinPerf RE'!D21))</f>
        <v>0.37137404112412781</v>
      </c>
      <c r="E32" s="1153">
        <f>IF(ISERROR('A4-FinPerf RE'!E24/'A4-FinPerf RE'!E21),0,('A4-FinPerf RE'!E24/'A4-FinPerf RE'!E21))</f>
        <v>0.35733348350906691</v>
      </c>
      <c r="F32" s="1152">
        <f>IF(ISERROR('A4-FinPerf RE'!F24/'A4-FinPerf RE'!F21),0,('A4-FinPerf RE'!F24/'A4-FinPerf RE'!F21))</f>
        <v>0.41294510662850409</v>
      </c>
      <c r="G32" s="1151">
        <f>IF(ISERROR('A4-FinPerf RE'!G24/'A4-FinPerf RE'!G21),0,('A4-FinPerf RE'!G24/'A4-FinPerf RE'!G21))</f>
        <v>0.37201628198850162</v>
      </c>
      <c r="H32" s="1153">
        <f>IF(ISERROR('A4-FinPerf RE'!H24/'A4-FinPerf RE'!H21),0,('A4-FinPerf RE'!H24/'A4-FinPerf RE'!H21))</f>
        <v>0.37201628198850162</v>
      </c>
      <c r="I32" s="1154">
        <f>IF(ISERROR('A4-FinPerf RE'!I24/'A4-FinPerf RE'!I21),0,('A4-FinPerf RE'!I24/'A4-FinPerf RE'!I21))</f>
        <v>0.48616164565507292</v>
      </c>
      <c r="J32" s="1150">
        <f>IF(ISERROR('A4-FinPerf RE'!J24/'A4-FinPerf RE'!J21),0,('A4-FinPerf RE'!J24/'A4-FinPerf RE'!J21))</f>
        <v>0.43869471378329106</v>
      </c>
      <c r="K32" s="1151">
        <f>IF(ISERROR('A4-FinPerf RE'!K24/'A4-FinPerf RE'!K21),0,('A4-FinPerf RE'!K24/'A4-FinPerf RE'!K21))</f>
        <v>0.40181173062835396</v>
      </c>
      <c r="L32" s="1153">
        <f>IF(ISERROR('A4-FinPerf RE'!L24/'A4-FinPerf RE'!L21),0,('A4-FinPerf RE'!L24/'A4-FinPerf RE'!L21))</f>
        <v>0.42120468446842224</v>
      </c>
    </row>
    <row r="33" spans="1:13" ht="25.5" x14ac:dyDescent="0.25">
      <c r="A33" s="1126" t="s">
        <v>621</v>
      </c>
      <c r="B33" s="1164" t="s">
        <v>622</v>
      </c>
      <c r="C33" s="1150">
        <f>IF(ISERROR('SA22'!C102/'A4-FinPerf RE'!C21),0,('SA22'!C102/'A4-FinPerf RE'!C21))</f>
        <v>0.45167210540531927</v>
      </c>
      <c r="D33" s="1151">
        <f>IF(ISERROR('SA22'!D102/'A4-FinPerf RE'!D21),0,('SA22'!D102/'A4-FinPerf RE'!D21))</f>
        <v>0.43306393903327245</v>
      </c>
      <c r="E33" s="1153">
        <f>IF(ISERROR('SA22'!E102/'A4-FinPerf RE'!E21),0,('SA22'!E102/'A4-FinPerf RE'!E21))</f>
        <v>0.41625686749266844</v>
      </c>
      <c r="F33" s="1152">
        <f>IF(ISERROR('SA22'!F102/'A4-FinPerf RE'!F21),0,('SA22'!F102/'A4-FinPerf RE'!F21))</f>
        <v>0.47183940377609151</v>
      </c>
      <c r="G33" s="1151">
        <f>IF(ISERROR('SA22'!G102/'A4-FinPerf RE'!G21),0,('SA22'!G102/'A4-FinPerf RE'!G21))</f>
        <v>0.4251752405453923</v>
      </c>
      <c r="H33" s="1153">
        <f>IF(ISERROR('SA22'!H102/'A4-FinPerf RE'!H21),0,('SA22'!H102/'A4-FinPerf RE'!H21))</f>
        <v>0.4251752405453923</v>
      </c>
      <c r="I33" s="1154"/>
      <c r="J33" s="1150">
        <f>IF(ISERROR('SA22'!I102/'A4-FinPerf RE'!J21),0,('SA22'!I102/'A4-FinPerf RE'!J21))</f>
        <v>0.49915842821870265</v>
      </c>
      <c r="K33" s="1151">
        <f>IF(ISERROR('SA22'!J102/'A4-FinPerf RE'!K21),0,('SA22'!J102/'A4-FinPerf RE'!K21))</f>
        <v>0.43417318364681279</v>
      </c>
      <c r="L33" s="1153">
        <f>IF(ISERROR('SA22'!K102/'A4-FinPerf RE'!L21),0,('SA22'!K102/'A4-FinPerf RE'!L21))</f>
        <v>0.47810827881884893</v>
      </c>
    </row>
    <row r="34" spans="1:13" ht="25.5" x14ac:dyDescent="0.25">
      <c r="A34" s="1126" t="s">
        <v>520</v>
      </c>
      <c r="B34" s="1164" t="s">
        <v>521</v>
      </c>
      <c r="C34" s="1151">
        <f>IF(ISERROR('A9-Asset'!C169/'A4-FinPerf RE'!C21),0,('A9-Asset'!C169/'A4-FinPerf RE'!C21))</f>
        <v>3.7373371221586293E-2</v>
      </c>
      <c r="D34" s="1151">
        <f>IF(ISERROR('A9-Asset'!D169/'A4-FinPerf RE'!D21),0,('A9-Asset'!D169/'A4-FinPerf RE'!D21))</f>
        <v>4.9182679107985024E-2</v>
      </c>
      <c r="E34" s="1153">
        <f>IF(ISERROR('A9-Asset'!E169/'A4-FinPerf RE'!E21),0,('A9-Asset'!E169/'A4-FinPerf RE'!E21))</f>
        <v>8.1349183407710038E-2</v>
      </c>
      <c r="F34" s="1152">
        <f>IF(ISERROR('A9-Asset'!F169/'A4-FinPerf RE'!F21),0,('A9-Asset'!F169/'A4-FinPerf RE'!F21))</f>
        <v>0.15596925908734607</v>
      </c>
      <c r="G34" s="1151">
        <f>IF(ISERROR('A9-Asset'!G169/'A4-FinPerf RE'!G21),0,('A9-Asset'!G169/'A4-FinPerf RE'!G21))</f>
        <v>0.25712874931574925</v>
      </c>
      <c r="H34" s="1153">
        <f>IF(ISERROR('A9-Asset'!H169/'A4-FinPerf RE'!H21),0,('A9-Asset'!H169/'A4-FinPerf RE'!H21))</f>
        <v>0.25712874931574925</v>
      </c>
      <c r="I34" s="1154"/>
      <c r="J34" s="1150">
        <f>IF(ISERROR('A9-Asset'!I169/'A4-FinPerf RE'!J21),0,('A9-Asset'!I169/'A4-FinPerf RE'!J21))</f>
        <v>0.25493449062221868</v>
      </c>
      <c r="K34" s="1151">
        <f>IF(ISERROR('A9-Asset'!J169/'A4-FinPerf RE'!K21),0,('A9-Asset'!J169/'A4-FinPerf RE'!K21))</f>
        <v>0.17465540706397492</v>
      </c>
      <c r="L34" s="1178">
        <f>IF(ISERROR('A9-Asset'!K169/'A4-FinPerf RE'!L21),0,('A9-Asset'!K169/'A4-FinPerf RE'!L21))</f>
        <v>0.17946050855255125</v>
      </c>
    </row>
    <row r="35" spans="1:13" ht="25.5" x14ac:dyDescent="0.25">
      <c r="A35" s="1126" t="s">
        <v>1264</v>
      </c>
      <c r="B35" s="1164" t="s">
        <v>522</v>
      </c>
      <c r="C35" s="1150">
        <f>IF(ISERROR(('A4-FinPerf RE'!C28+'A4-FinPerf RE'!C27)/'A4-FinPerf RE'!C21),0,(('A4-FinPerf RE'!C28+'A4-FinPerf RE'!C27)/'A4-FinPerf RE'!C21))</f>
        <v>0.10103607681123455</v>
      </c>
      <c r="D35" s="1151">
        <f>IF(ISERROR(('A4-FinPerf RE'!D28+'A4-FinPerf RE'!D27)/'A4-FinPerf RE'!D21),0,(('A4-FinPerf RE'!D28+'A4-FinPerf RE'!D27)/'A4-FinPerf RE'!D21))</f>
        <v>9.2655329241792622E-2</v>
      </c>
      <c r="E35" s="1153">
        <f>IF(ISERROR(('A4-FinPerf RE'!E28+'A4-FinPerf RE'!E27)/'A4-FinPerf RE'!E21),0,(('A4-FinPerf RE'!E28+'A4-FinPerf RE'!E27)/'A4-FinPerf RE'!E21))</f>
        <v>9.1195505464892204E-2</v>
      </c>
      <c r="F35" s="1152">
        <f>IF(ISERROR(('A4-FinPerf RE'!F28+'A4-FinPerf RE'!F27)/'A4-FinPerf RE'!F21),0,(('A4-FinPerf RE'!F28+'A4-FinPerf RE'!F27)/'A4-FinPerf RE'!F21))</f>
        <v>0.10324036761621731</v>
      </c>
      <c r="G35" s="1151">
        <f>IF(ISERROR(('A4-FinPerf RE'!G28+'A4-FinPerf RE'!G27)/'A4-FinPerf RE'!G21),0,(('A4-FinPerf RE'!G28+'A4-FinPerf RE'!G27)/'A4-FinPerf RE'!G21))</f>
        <v>9.3186449101438584E-2</v>
      </c>
      <c r="H35" s="1153">
        <f>IF(ISERROR(('A4-FinPerf RE'!H28+'A4-FinPerf RE'!H27)/'A4-FinPerf RE'!H21),0,(('A4-FinPerf RE'!H28+'A4-FinPerf RE'!H27)/'A4-FinPerf RE'!H21))</f>
        <v>9.3186449101438584E-2</v>
      </c>
      <c r="I35" s="1154">
        <f>IF(ISERROR(('A4-FinPerf RE'!I28+'A4-FinPerf RE'!I27)/'A4-FinPerf RE'!I21),0,(('A4-FinPerf RE'!I28+'A4-FinPerf RE'!I27)/'A4-FinPerf RE'!I21))</f>
        <v>0.11241665813169227</v>
      </c>
      <c r="J35" s="1150">
        <f>IF(ISERROR(('A4-FinPerf RE'!J28+'A4-FinPerf RE'!J27)/'A4-FinPerf RE'!J21),0,(('A4-FinPerf RE'!J28+'A4-FinPerf RE'!J27)/'A4-FinPerf RE'!J21))</f>
        <v>0.10488114524158247</v>
      </c>
      <c r="K35" s="1151">
        <f>IF(ISERROR(('A4-FinPerf RE'!K28+'A4-FinPerf RE'!K27)/'A4-FinPerf RE'!K21),0,(('A4-FinPerf RE'!K28+'A4-FinPerf RE'!K27)/'A4-FinPerf RE'!K21))</f>
        <v>9.6724945090089429E-2</v>
      </c>
      <c r="L35" s="1153">
        <f>IF(ISERROR(('A4-FinPerf RE'!L28+'A4-FinPerf RE'!L27)/'A4-FinPerf RE'!L21),0,(('A4-FinPerf RE'!L28+'A4-FinPerf RE'!L27)/'A4-FinPerf RE'!L21))</f>
        <v>9.8590285709834871E-2</v>
      </c>
    </row>
    <row r="36" spans="1:13" ht="25.5" x14ac:dyDescent="0.25">
      <c r="A36" s="1179" t="s">
        <v>1436</v>
      </c>
      <c r="B36" s="1180"/>
      <c r="C36" s="1181"/>
      <c r="D36" s="1182"/>
      <c r="E36" s="1183"/>
      <c r="F36" s="1184"/>
      <c r="G36" s="1182"/>
      <c r="H36" s="1183"/>
      <c r="I36" s="1185"/>
      <c r="J36" s="1181"/>
      <c r="K36" s="1182"/>
      <c r="L36" s="1183"/>
    </row>
    <row r="37" spans="1:13" ht="38.25" x14ac:dyDescent="0.25">
      <c r="A37" s="1119" t="s">
        <v>1437</v>
      </c>
      <c r="B37" s="1120" t="s">
        <v>1490</v>
      </c>
      <c r="C37" s="1140">
        <f>IF(ISERROR(('A4-FinPerf RE'!C21-'A4-FinPerf RE'!C18)/('A7-CFlow'!D11-'A7-CFlow'!D35)),0,(('A4-FinPerf RE'!C21-'A4-FinPerf RE'!C18)/('A7-CFlow'!D11-'A7-CFlow'!D35)))</f>
        <v>0</v>
      </c>
      <c r="D37" s="1141">
        <f>IF(ISERROR(('A4-FinPerf RE'!D21-'A4-FinPerf RE'!D18)/('A7-CFlow'!E11-'A7-CFlow'!E35)),0,(('A4-FinPerf RE'!D21-'A4-FinPerf RE'!D18)/('A7-CFlow'!E11-'A7-CFlow'!E35)))</f>
        <v>0</v>
      </c>
      <c r="E37" s="1142">
        <f>IF(ISERROR(('A4-FinPerf RE'!E21-'A4-FinPerf RE'!E18)/('A7-CFlow'!F11-'A7-CFlow'!F35)),0,(('A4-FinPerf RE'!E21-'A4-FinPerf RE'!E18)/('A7-CFlow'!F11-'A7-CFlow'!F35)))</f>
        <v>0</v>
      </c>
      <c r="F37" s="1143">
        <f>IF(ISERROR(('A4-FinPerf RE'!F21-'A4-FinPerf RE'!F18)/('A7-CFlow'!G11-'A7-CFlow'!G35)),0,(('A4-FinPerf RE'!F21-'A4-FinPerf RE'!F18)/('A7-CFlow'!G11-'A7-CFlow'!G35)))</f>
        <v>10.198754813860162</v>
      </c>
      <c r="G37" s="1141">
        <f>F37</f>
        <v>10.198754813860162</v>
      </c>
      <c r="H37" s="1142">
        <f>G37</f>
        <v>10.198754813860162</v>
      </c>
      <c r="I37" s="1144">
        <f>IF(ISERROR(('A4-FinPerf RE'!I21-'A4-FinPerf RE'!I18)/('A7-CFlow'!J11-'A7-CFlow'!J35)),0,(('A4-FinPerf RE'!I21-'A4-FinPerf RE'!I18)/('A7-CFlow'!J11-'A7-CFlow'!J35)))</f>
        <v>-3.59016775</v>
      </c>
      <c r="J37" s="1140">
        <f>IF(ISERROR(('A4-FinPerf RE'!J21-'A4-FinPerf RE'!J18)/('A7-CFlow'!K11-'A7-CFlow'!K35)),0,(('A4-FinPerf RE'!J21-'A4-FinPerf RE'!J18)/('A7-CFlow'!K11-'A7-CFlow'!K35)))</f>
        <v>8.2041158653846153</v>
      </c>
      <c r="K37" s="1141">
        <f>IF(ISERROR(('A4-FinPerf RE'!K21-'A4-FinPerf RE'!K18)/('A7-CFlow'!L11-'A7-CFlow'!L35)),0,(('A4-FinPerf RE'!K21-'A4-FinPerf RE'!K18)/('A7-CFlow'!L11-'A7-CFlow'!L35)))</f>
        <v>8.593740754437869</v>
      </c>
      <c r="L37" s="1142">
        <f>IF(ISERROR(('A4-FinPerf RE'!L21-'A4-FinPerf RE'!L18)/('A7-CFlow'!L11-'A7-CFlow'!L35)),0,(('A4-FinPerf RE'!L21-'A4-FinPerf RE'!L18)/('A7-CFlow'!L11-'A7-CFlow'!L35)))</f>
        <v>8.9374900610207106</v>
      </c>
    </row>
    <row r="38" spans="1:13" ht="25.5" x14ac:dyDescent="0.25">
      <c r="A38" s="1119" t="s">
        <v>1438</v>
      </c>
      <c r="B38" s="1120" t="s">
        <v>634</v>
      </c>
      <c r="C38" s="1150">
        <f>IF(ISERROR(('A6-FinPos'!C8+'A6-FinPos'!C9+'A6-FinPos'!C10)/SUM('A4-FinPerf RE'!C5:C11)),0,(('A6-FinPos'!C8+'A6-FinPos'!C9+'A6-FinPos'!C10)/SUM('A4-FinPerf RE'!C5:C11)))</f>
        <v>1.0017419824636697</v>
      </c>
      <c r="D38" s="1151">
        <f>IF(ISERROR(('A6-FinPos'!D8+'A6-FinPos'!D9+'A6-FinPos'!D10)/SUM('A4-FinPerf RE'!D5:D11)),0,(('A6-FinPos'!D8+'A6-FinPos'!D9+'A6-FinPos'!D10)/SUM('A4-FinPerf RE'!D5:D11)))</f>
        <v>1.3148327087249885</v>
      </c>
      <c r="E38" s="1153">
        <f>IF(ISERROR(('A6-FinPos'!E8+'A6-FinPos'!E9+'A6-FinPos'!E10)/SUM('A4-FinPerf RE'!E5:E11)),0,(('A6-FinPos'!E8+'A6-FinPos'!E9+'A6-FinPos'!E10)/SUM('A4-FinPerf RE'!E5:E11)))</f>
        <v>1.0835065861712767</v>
      </c>
      <c r="F38" s="1152">
        <f>IF(ISERROR(('A6-FinPos'!F8+'A6-FinPos'!F9+'A6-FinPos'!F10)/SUM('A4-FinPerf RE'!F5:F11)),0,(('A6-FinPos'!F8+'A6-FinPos'!F9+'A6-FinPos'!F10)/SUM('A4-FinPerf RE'!F5:F11)))</f>
        <v>-3.9820463560131372E-2</v>
      </c>
      <c r="G38" s="1151">
        <f>IF(ISERROR(('A6-FinPos'!G8+'A6-FinPos'!G9+'A6-FinPos'!G10)/SUM('A4-FinPerf RE'!G5:G11)),0,(('A6-FinPos'!G8+'A6-FinPos'!G9+'A6-FinPos'!G10)/SUM('A4-FinPerf RE'!G5:G11)))</f>
        <v>1.0097190534411473</v>
      </c>
      <c r="H38" s="1153">
        <f>IF(ISERROR(('A6-FinPos'!H8+'A6-FinPos'!H9+'A6-FinPos'!H10)/SUM('A4-FinPerf RE'!H5:H11)),0,(('A6-FinPos'!H8+'A6-FinPos'!H9+'A6-FinPos'!H10)/SUM('A4-FinPerf RE'!H5:H11)))</f>
        <v>1.0097190534411473</v>
      </c>
      <c r="I38" s="1154">
        <f>IF(ISERROR(('A6-FinPos'!I8+'A6-FinPos'!I9+'A6-FinPos'!I10)/SUM('A4-FinPerf RE'!I5:I11)),0,(('A6-FinPos'!I8+'A6-FinPos'!I9+'A6-FinPos'!I10)/SUM('A4-FinPerf RE'!I5:I11)))</f>
        <v>-1.3418672701784011</v>
      </c>
      <c r="J38" s="1150">
        <f>IF(ISERROR(('A6-FinPos'!J8+'A6-FinPos'!J9+'A6-FinPos'!J10)/SUM('A4-FinPerf RE'!J5:J11)),0,(('A6-FinPos'!J8+'A6-FinPos'!J9+'A6-FinPos'!J10)/SUM('A4-FinPerf RE'!J5:J11)))</f>
        <v>1.2304124010911071</v>
      </c>
      <c r="K38" s="1151">
        <f>IF(ISERROR(('A6-FinPos'!K8+'A6-FinPos'!K9+'A6-FinPos'!K10)/SUM('A4-FinPerf RE'!K5:K11)),0,(('A6-FinPos'!K8+'A6-FinPos'!K9+'A6-FinPos'!K10)/SUM('A4-FinPerf RE'!K5:K11)))</f>
        <v>1.1828381102011323</v>
      </c>
      <c r="L38" s="1153">
        <f>IF(ISERROR(('A6-FinPos'!L8+'A6-FinPos'!L9+'A6-FinPos'!L10)/SUM('A4-FinPerf RE'!L5:L11)),0,(('A6-FinPos'!L8+'A6-FinPos'!L9+'A6-FinPos'!L10)/SUM('A4-FinPerf RE'!L5:L11)))</f>
        <v>1.2046346294698898</v>
      </c>
    </row>
    <row r="39" spans="1:13" ht="25.5" x14ac:dyDescent="0.25">
      <c r="A39" s="1186" t="s">
        <v>1439</v>
      </c>
      <c r="B39" s="1187" t="s">
        <v>1356</v>
      </c>
      <c r="C39" s="1188">
        <f>IF(ISERROR('A7-CFlow'!C40/'SA8'!C46),0,('A7-CFlow'!C40/'SA8'!C46))</f>
        <v>0</v>
      </c>
      <c r="D39" s="1189">
        <f>IF(ISERROR('A7-CFlow'!D40/'SA8'!D46),0,('A7-CFlow'!D40/'SA8'!D46))</f>
        <v>0</v>
      </c>
      <c r="E39" s="1190">
        <f>IF(ISERROR('A7-CFlow'!E40/'SA8'!E46),0,('A7-CFlow'!E40/'SA8'!E46))</f>
        <v>0</v>
      </c>
      <c r="F39" s="1191">
        <f>IF(ISERROR('A7-CFlow'!F40/'SA8'!F46),0,('A7-CFlow'!F40/'SA8'!F46))</f>
        <v>15.035352832161648</v>
      </c>
      <c r="G39" s="1189">
        <f>IF(ISERROR('A7-CFlow'!G40/'SA8'!G46),0,('A7-CFlow'!G40/'SA8'!G46))</f>
        <v>-3.3306578712341399</v>
      </c>
      <c r="H39" s="1190">
        <f>IF(ISERROR('A7-CFlow'!H40/'SA8'!H46),0,('A7-CFlow'!H40/'SA8'!H46))</f>
        <v>-3.3306578712341399</v>
      </c>
      <c r="I39" s="1192">
        <f>IF(ISERROR('A7-CFlow'!I40/'SA8'!I46),0,('A7-CFlow'!I40/'SA8'!I46))</f>
        <v>0</v>
      </c>
      <c r="J39" s="1188">
        <f>IF(ISERROR('A7-CFlow'!J40/'SA8'!J46),0,('A7-CFlow'!J40/'SA8'!J46))</f>
        <v>3.2550721208511457</v>
      </c>
      <c r="K39" s="1189">
        <f>IF(ISERROR('A7-CFlow'!K40/'SA8'!K46),0,('A7-CFlow'!K40/'SA8'!K46))</f>
        <v>1.0783806029832279</v>
      </c>
      <c r="L39" s="1190">
        <f>IF(ISERROR('A7-CFlow'!L40/'SA8'!L46),0,('A7-CFlow'!L40/'SA8'!L46))</f>
        <v>-1.7193677642882497</v>
      </c>
    </row>
    <row r="40" spans="1:13" x14ac:dyDescent="0.25">
      <c r="A40" s="124" t="str">
        <f>head27a</f>
        <v>References</v>
      </c>
    </row>
    <row r="41" spans="1:13" x14ac:dyDescent="0.25">
      <c r="A41" s="296" t="s">
        <v>1119</v>
      </c>
    </row>
    <row r="42" spans="1:13" x14ac:dyDescent="0.25">
      <c r="A42" s="296" t="s">
        <v>1118</v>
      </c>
    </row>
    <row r="44" spans="1:13" x14ac:dyDescent="0.25">
      <c r="A44" s="850" t="s">
        <v>671</v>
      </c>
    </row>
    <row r="45" spans="1:13" x14ac:dyDescent="0.25">
      <c r="A45" s="58" t="s">
        <v>1262</v>
      </c>
      <c r="C45" s="74"/>
      <c r="D45" s="74"/>
      <c r="E45" s="719"/>
      <c r="F45" s="719"/>
      <c r="G45" s="719"/>
      <c r="H45" s="719"/>
      <c r="I45" s="719"/>
      <c r="J45" s="719"/>
      <c r="K45" s="719"/>
      <c r="L45" s="719"/>
      <c r="M45" s="322"/>
    </row>
    <row r="46" spans="1:13" x14ac:dyDescent="0.25">
      <c r="A46" s="58" t="s">
        <v>1267</v>
      </c>
      <c r="C46" s="180">
        <f>(('A4-FinPerf RE'!C24+'A4-FinPerf RE'!C25+'A4-FinPerf RE'!C26+'A4-FinPerf RE'!C28+'A4-FinPerf RE'!C29+'A4-FinPerf RE'!C31+'SA1'!C108+'A7-CFlow'!C35)+(('A4-FinPerf RE'!C30+'A4-FinPerf RE'!C33)*'SA8'!C47))/12</f>
        <v>4724040.666666667</v>
      </c>
      <c r="D46" s="180">
        <f>(('A4-FinPerf RE'!D24+'A4-FinPerf RE'!D25+'A4-FinPerf RE'!D26+'A4-FinPerf RE'!D28+'A4-FinPerf RE'!D29+'A4-FinPerf RE'!D31+'SA1'!D108+'A7-CFlow'!D35)+(('A4-FinPerf RE'!D30+'A4-FinPerf RE'!D33)*'SA8'!D47))/12</f>
        <v>5449946.5666666664</v>
      </c>
      <c r="E46" s="180">
        <f>(('A4-FinPerf RE'!E24+'A4-FinPerf RE'!E25+'A4-FinPerf RE'!E26+'A4-FinPerf RE'!E28+'A4-FinPerf RE'!E29+'A4-FinPerf RE'!E31+'SA1'!E108+'A7-CFlow'!E35)+(('A4-FinPerf RE'!E30+'A4-FinPerf RE'!E33)*'SA8'!E47))/12</f>
        <v>6346831.4500000002</v>
      </c>
      <c r="F46" s="180">
        <f>(('A4-FinPerf RE'!F24+'A4-FinPerf RE'!F25+'A4-FinPerf RE'!F26+'A4-FinPerf RE'!F28+'A4-FinPerf RE'!F29+'A4-FinPerf RE'!F31+'SA1'!F108+'A7-CFlow'!F35)+(('A4-FinPerf RE'!F30+'A4-FinPerf RE'!F33)*'SA8'!F47))/12</f>
        <v>7910059.333333333</v>
      </c>
      <c r="G46" s="180">
        <f>(('A4-FinPerf RE'!G24+'A4-FinPerf RE'!G25+'A4-FinPerf RE'!G26+'A4-FinPerf RE'!G28+'A4-FinPerf RE'!G29+'A4-FinPerf RE'!G31+'SA1'!G108+'A7-CFlow'!G35)+(('A4-FinPerf RE'!G30+'A4-FinPerf RE'!G33)*'SA8'!G47))/12</f>
        <v>9281034.3166666664</v>
      </c>
      <c r="H46" s="180">
        <f>(('A4-FinPerf RE'!H24+'A4-FinPerf RE'!H25+'A4-FinPerf RE'!H26+'A4-FinPerf RE'!H28+'A4-FinPerf RE'!H29+'A4-FinPerf RE'!H31+'SA1'!H108+'A7-CFlow'!H35)+(('A4-FinPerf RE'!H30+'A4-FinPerf RE'!H33)*'SA8'!H47))/12</f>
        <v>9281034.3166666664</v>
      </c>
      <c r="I46" s="180">
        <f>(('A4-FinPerf RE'!I24+'A4-FinPerf RE'!I25+'A4-FinPerf RE'!I26+'A4-FinPerf RE'!I28+'A4-FinPerf RE'!I29+'A4-FinPerf RE'!I31+'SA1'!I108+'A7-CFlow'!I35)+(('A4-FinPerf RE'!I30+'A4-FinPerf RE'!I33)*'SA8'!I47))/12</f>
        <v>7125350.5333333341</v>
      </c>
      <c r="J46" s="180">
        <f>(('A4-FinPerf RE'!J24+'A4-FinPerf RE'!J25+'A4-FinPerf RE'!J26+'A4-FinPerf RE'!J28+'A4-FinPerf RE'!J29+'A4-FinPerf RE'!J31+'SA1'!J108+'A7-CFlow'!J35)+(('A4-FinPerf RE'!J30+'A4-FinPerf RE'!J33)*'SA8'!J47))/12</f>
        <v>9465820.0666666664</v>
      </c>
      <c r="K46" s="180">
        <f>(('A4-FinPerf RE'!K24+'A4-FinPerf RE'!K25+'A4-FinPerf RE'!K26+'A4-FinPerf RE'!K28+'A4-FinPerf RE'!K29+'A4-FinPerf RE'!K31+'SA1'!K108+'A7-CFlow'!K35)+(('A4-FinPerf RE'!K30+'A4-FinPerf RE'!K33)*'SA8'!K47))/12</f>
        <v>8867472.1833333336</v>
      </c>
      <c r="L46" s="180">
        <f>(('A4-FinPerf RE'!L24+'A4-FinPerf RE'!L25+'A4-FinPerf RE'!L26+'A4-FinPerf RE'!L28+'A4-FinPerf RE'!L29+'A4-FinPerf RE'!L31+'SA1'!L108+'A7-CFlow'!L35)+(('A4-FinPerf RE'!L30+'A4-FinPerf RE'!L33)*'SA8'!L47))/12</f>
        <v>9681070.7666666675</v>
      </c>
    </row>
    <row r="47" spans="1:13" x14ac:dyDescent="0.25">
      <c r="A47" s="58" t="s">
        <v>1268</v>
      </c>
      <c r="C47" s="1193">
        <v>0.4</v>
      </c>
      <c r="D47" s="1194">
        <f>$C$47</f>
        <v>0.4</v>
      </c>
      <c r="E47" s="1194">
        <f t="shared" ref="E47:L47" si="1">$C$47</f>
        <v>0.4</v>
      </c>
      <c r="F47" s="1194">
        <f t="shared" si="1"/>
        <v>0.4</v>
      </c>
      <c r="G47" s="1194">
        <f t="shared" si="1"/>
        <v>0.4</v>
      </c>
      <c r="H47" s="1194">
        <f t="shared" si="1"/>
        <v>0.4</v>
      </c>
      <c r="I47" s="1194">
        <f t="shared" si="1"/>
        <v>0.4</v>
      </c>
      <c r="J47" s="1194">
        <f t="shared" si="1"/>
        <v>0.4</v>
      </c>
      <c r="K47" s="1194">
        <f t="shared" si="1"/>
        <v>0.4</v>
      </c>
      <c r="L47" s="1194">
        <f t="shared" si="1"/>
        <v>0.4</v>
      </c>
    </row>
    <row r="48" spans="1:13" x14ac:dyDescent="0.25">
      <c r="A48" s="58" t="s">
        <v>782</v>
      </c>
      <c r="C48" s="1195">
        <f>'A5-Capex'!C40-'A5-Capex'!C70-'A5-Capex'!C71</f>
        <v>69606055</v>
      </c>
      <c r="D48" s="1195">
        <f>'A5-Capex'!D40-'A5-Capex'!D70-'A5-Capex'!D71</f>
        <v>82105714</v>
      </c>
      <c r="E48" s="1195">
        <f>'A5-Capex'!E40-'A5-Capex'!E70-'A5-Capex'!E71</f>
        <v>92392856</v>
      </c>
      <c r="F48" s="1195">
        <f>'A5-Capex'!F40-'A5-Capex'!F70-'A5-Capex'!F71</f>
        <v>9700000</v>
      </c>
      <c r="G48" s="1195">
        <f>'A5-Capex'!G40-'A5-Capex'!G70-'A5-Capex'!G71</f>
        <v>17962486</v>
      </c>
      <c r="H48" s="1195">
        <f>'A5-Capex'!H40-'A5-Capex'!H70-'A5-Capex'!H71</f>
        <v>17962486</v>
      </c>
      <c r="I48" s="1195">
        <f>'A5-Capex'!I40-'A5-Capex'!I70-'A5-Capex'!I71</f>
        <v>106177361</v>
      </c>
      <c r="J48" s="1195">
        <f>'A5-Capex'!J40-'A5-Capex'!J70-'A5-Capex'!J71</f>
        <v>6866000</v>
      </c>
      <c r="K48" s="1195">
        <f>'A5-Capex'!K40-'A5-Capex'!K70-'A5-Capex'!K71</f>
        <v>-14024608</v>
      </c>
      <c r="L48" s="1195">
        <f>'A5-Capex'!L40-'A5-Capex'!L70-'A5-Capex'!L71</f>
        <v>-14407352</v>
      </c>
    </row>
    <row r="49" spans="1:12" x14ac:dyDescent="0.25">
      <c r="A49" s="58" t="s">
        <v>1115</v>
      </c>
      <c r="C49" s="1195">
        <f>'A7-CFlow'!C31+'A7-CFlow'!C32</f>
        <v>0</v>
      </c>
      <c r="D49" s="1195">
        <f>'A7-CFlow'!D31+'A7-CFlow'!D32</f>
        <v>0</v>
      </c>
      <c r="E49" s="1195">
        <f>'A7-CFlow'!E31+'A7-CFlow'!E32</f>
        <v>0</v>
      </c>
      <c r="F49" s="1195">
        <f>'A7-CFlow'!F31+'A7-CFlow'!F32</f>
        <v>0</v>
      </c>
      <c r="G49" s="1195">
        <f>'A7-CFlow'!G31+'A7-CFlow'!G32</f>
        <v>0</v>
      </c>
      <c r="H49" s="1195">
        <f>'A7-CFlow'!H31+'A7-CFlow'!H32</f>
        <v>0</v>
      </c>
      <c r="I49" s="1195">
        <f>'A7-CFlow'!I31+'A7-CFlow'!I32</f>
        <v>0</v>
      </c>
      <c r="J49" s="1195">
        <f>'A7-CFlow'!J31+'A7-CFlow'!J32</f>
        <v>0</v>
      </c>
      <c r="K49" s="1195">
        <f>'A7-CFlow'!K31+'A7-CFlow'!K32</f>
        <v>0</v>
      </c>
      <c r="L49" s="1195">
        <f>'A7-CFlow'!L31+'A7-CFlow'!L32</f>
        <v>0</v>
      </c>
    </row>
  </sheetData>
  <sheetProtection algorithmName="SHA-512" hashValue="ZpLvFDaDW1zToRR4PBgwowQEZwTXhpdB+cJezgdNZ3tBvMlJGV/dRpLf3RW8Re58c1xgH0F2SAgj+jGS/GWTyA==" saltValue="qteP83ZHTMyMmvBgjyo9EA==" spinCount="100000" sheet="1" objects="1" scenarios="1"/>
  <dataConsolidate/>
  <mergeCells count="6">
    <mergeCell ref="A29:A31"/>
    <mergeCell ref="A2:A3"/>
    <mergeCell ref="J2:L2"/>
    <mergeCell ref="B2:B3"/>
    <mergeCell ref="F2:I2"/>
    <mergeCell ref="A26:A28"/>
  </mergeCells>
  <phoneticPr fontId="7" type="noConversion"/>
  <dataValidations count="1">
    <dataValidation type="decimal" allowBlank="1" showInputMessage="1" showErrorMessage="1" sqref="C20:L20 C22:L22 C24:L24 C26:L31 E45:L45 C47" xr:uid="{00000000-0002-0000-1B00-000000000000}">
      <formula1>-9999999999999990000</formula1>
      <formula2>99999999999999900000</formula2>
    </dataValidation>
  </dataValidations>
  <printOptions horizontalCentered="1"/>
  <pageMargins left="0.37" right="0.14000000000000001" top="0.78740157480314965" bottom="0.39370078740157483" header="0.51181102362204722" footer="0.59055118110236227"/>
  <pageSetup paperSize="9" scale="71"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60"/>
  <dimension ref="A1"/>
  <sheetViews>
    <sheetView showGridLines="0" zoomScaleNormal="100" zoomScaleSheetLayoutView="90" workbookViewId="0">
      <selection activeCell="O41" sqref="A1:O41"/>
    </sheetView>
  </sheetViews>
  <sheetFormatPr defaultColWidth="8" defaultRowHeight="12.75" x14ac:dyDescent="0.2"/>
  <cols>
    <col min="1" max="16384" width="8" style="269"/>
  </cols>
  <sheetData>
    <row r="1" spans="1:1" x14ac:dyDescent="0.2">
      <c r="A1" s="391"/>
    </row>
  </sheetData>
  <sheetProtection sheet="1" objects="1" scenarios="1"/>
  <phoneticPr fontId="29" type="noConversion"/>
  <pageMargins left="0.75" right="0.75" top="1" bottom="1" header="0.5" footer="0.5"/>
  <pageSetup scale="75" orientation="portrait" r:id="rId1"/>
  <headerFooter alignWithMargins="0"/>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62"/>
  <dimension ref="A1:M320"/>
  <sheetViews>
    <sheetView showGridLines="0" topLeftCell="A331" zoomScale="110" zoomScaleNormal="110" workbookViewId="0">
      <selection activeCell="H6" sqref="H6"/>
    </sheetView>
  </sheetViews>
  <sheetFormatPr defaultColWidth="9.140625" defaultRowHeight="11.25" customHeight="1" x14ac:dyDescent="0.25"/>
  <cols>
    <col min="1" max="1" width="35.28515625" style="58" customWidth="1"/>
    <col min="2" max="2" width="3.7109375" style="58" customWidth="1"/>
    <col min="3" max="3" width="32.42578125" style="58" hidden="1" customWidth="1"/>
    <col min="4" max="6" width="9.28515625" style="58" hidden="1" customWidth="1"/>
    <col min="7" max="12" width="9.28515625" style="58" customWidth="1"/>
    <col min="13" max="16384" width="9.140625" style="58"/>
  </cols>
  <sheetData>
    <row r="1" spans="1:13" s="93" customFormat="1" ht="12.75" x14ac:dyDescent="0.2">
      <c r="A1" s="92" t="str">
        <f>muni&amp;" - "&amp;TableA9</f>
        <v>KZN226 Mkhambathini - Supporting Table SA9 Social, economic and demographic statistics and assumptions</v>
      </c>
      <c r="B1" s="1196"/>
      <c r="C1" s="92"/>
      <c r="D1" s="92"/>
      <c r="E1" s="92"/>
      <c r="F1" s="92"/>
      <c r="G1" s="92"/>
      <c r="H1" s="92"/>
      <c r="I1" s="92"/>
      <c r="J1" s="92"/>
      <c r="K1" s="92"/>
      <c r="L1" s="92"/>
      <c r="M1" s="92"/>
    </row>
    <row r="2" spans="1:13" ht="33.75" customHeight="1" x14ac:dyDescent="0.25">
      <c r="A2" s="2489" t="s">
        <v>549</v>
      </c>
      <c r="B2" s="2493" t="s">
        <v>1739</v>
      </c>
      <c r="C2" s="2489" t="s">
        <v>942</v>
      </c>
      <c r="D2" s="2489" t="str">
        <f>Head44</f>
        <v>2001 Census</v>
      </c>
      <c r="E2" s="2489" t="s">
        <v>173</v>
      </c>
      <c r="F2" s="2489" t="str">
        <f>Head45</f>
        <v>2011 Census</v>
      </c>
      <c r="G2" s="1197" t="str">
        <f>head1b</f>
        <v>2017/18</v>
      </c>
      <c r="H2" s="1198" t="str">
        <f>head1A</f>
        <v>2018/19</v>
      </c>
      <c r="I2" s="1199" t="str">
        <f>Head1</f>
        <v>2019/20</v>
      </c>
      <c r="J2" s="1200" t="str">
        <f>Head2</f>
        <v>Current Year 2020/21</v>
      </c>
      <c r="K2" s="2491" t="str">
        <f>Head3</f>
        <v>2021/22 Medium Term Revenue &amp; Expenditure Framework</v>
      </c>
      <c r="L2" s="2491"/>
      <c r="M2" s="2492"/>
    </row>
    <row r="3" spans="1:13" ht="25.15" customHeight="1" x14ac:dyDescent="0.25">
      <c r="A3" s="2490"/>
      <c r="B3" s="2494"/>
      <c r="C3" s="2490"/>
      <c r="D3" s="2490"/>
      <c r="E3" s="2490"/>
      <c r="F3" s="2490"/>
      <c r="G3" s="1201" t="str">
        <f t="shared" ref="G3:M3" si="0">Head5A</f>
        <v>Outcome</v>
      </c>
      <c r="H3" s="1202" t="str">
        <f t="shared" si="0"/>
        <v>Outcome</v>
      </c>
      <c r="I3" s="1203" t="str">
        <f t="shared" si="0"/>
        <v>Outcome</v>
      </c>
      <c r="J3" s="1204" t="str">
        <f>Head6</f>
        <v>Original Budget</v>
      </c>
      <c r="K3" s="1205" t="str">
        <f t="shared" si="0"/>
        <v>Outcome</v>
      </c>
      <c r="L3" s="1202" t="str">
        <f t="shared" si="0"/>
        <v>Outcome</v>
      </c>
      <c r="M3" s="1206" t="str">
        <f t="shared" si="0"/>
        <v>Outcome</v>
      </c>
    </row>
    <row r="4" spans="1:13" ht="11.25" customHeight="1" x14ac:dyDescent="0.25">
      <c r="A4" s="1207" t="s">
        <v>553</v>
      </c>
      <c r="B4" s="1208"/>
      <c r="C4" s="1209"/>
      <c r="D4" s="1210"/>
      <c r="E4" s="1210"/>
      <c r="F4" s="1210"/>
      <c r="G4" s="1117"/>
      <c r="H4" s="1115"/>
      <c r="I4" s="1211"/>
      <c r="J4" s="1212"/>
      <c r="K4" s="1118"/>
      <c r="L4" s="1115"/>
      <c r="M4" s="1116"/>
    </row>
    <row r="5" spans="1:13" ht="11.25" customHeight="1" x14ac:dyDescent="0.25">
      <c r="A5" s="478" t="s">
        <v>974</v>
      </c>
      <c r="B5" s="1213"/>
      <c r="C5" s="1214"/>
      <c r="D5" s="1215"/>
      <c r="E5" s="1215"/>
      <c r="F5" s="1215"/>
      <c r="G5" s="1216">
        <v>57075</v>
      </c>
      <c r="H5" s="1216">
        <v>57075</v>
      </c>
      <c r="I5" s="1216">
        <v>57075</v>
      </c>
      <c r="J5" s="1216">
        <v>57075</v>
      </c>
      <c r="K5" s="1216">
        <v>57075</v>
      </c>
      <c r="L5" s="1216">
        <v>57075</v>
      </c>
      <c r="M5" s="1216">
        <v>57075</v>
      </c>
    </row>
    <row r="6" spans="1:13" ht="11.25" customHeight="1" x14ac:dyDescent="0.25">
      <c r="A6" s="1217" t="s">
        <v>972</v>
      </c>
      <c r="B6" s="1218"/>
      <c r="C6" s="1214"/>
      <c r="D6" s="1215"/>
      <c r="E6" s="1215"/>
      <c r="F6" s="1215"/>
      <c r="G6" s="1219">
        <v>7138</v>
      </c>
      <c r="H6" s="1219">
        <v>7138</v>
      </c>
      <c r="I6" s="1219">
        <v>7138</v>
      </c>
      <c r="J6" s="1219">
        <v>7138</v>
      </c>
      <c r="K6" s="1219">
        <v>7138</v>
      </c>
      <c r="L6" s="1219">
        <v>7138</v>
      </c>
      <c r="M6" s="1219">
        <v>7138</v>
      </c>
    </row>
    <row r="7" spans="1:13" ht="11.25" customHeight="1" x14ac:dyDescent="0.25">
      <c r="A7" s="1217" t="s">
        <v>109</v>
      </c>
      <c r="B7" s="1218"/>
      <c r="C7" s="1214"/>
      <c r="D7" s="1215"/>
      <c r="E7" s="1215"/>
      <c r="F7" s="1215"/>
      <c r="G7" s="1219">
        <v>6000</v>
      </c>
      <c r="H7" s="1219">
        <v>6000</v>
      </c>
      <c r="I7" s="1219">
        <v>6000</v>
      </c>
      <c r="J7" s="1219">
        <v>6000</v>
      </c>
      <c r="K7" s="1219">
        <v>6000</v>
      </c>
      <c r="L7" s="1219">
        <v>6000</v>
      </c>
      <c r="M7" s="1219">
        <v>6000</v>
      </c>
    </row>
    <row r="8" spans="1:13" ht="11.25" customHeight="1" x14ac:dyDescent="0.25">
      <c r="A8" s="1217" t="s">
        <v>973</v>
      </c>
      <c r="B8" s="1218"/>
      <c r="C8" s="1214"/>
      <c r="D8" s="1215"/>
      <c r="E8" s="1215"/>
      <c r="F8" s="1215"/>
      <c r="G8" s="1219">
        <v>11542</v>
      </c>
      <c r="H8" s="1219">
        <v>11542</v>
      </c>
      <c r="I8" s="1219">
        <v>11542</v>
      </c>
      <c r="J8" s="1219">
        <v>11542</v>
      </c>
      <c r="K8" s="1219">
        <v>11542</v>
      </c>
      <c r="L8" s="1219">
        <v>11542</v>
      </c>
      <c r="M8" s="1219">
        <v>11542</v>
      </c>
    </row>
    <row r="9" spans="1:13" ht="11.25" customHeight="1" x14ac:dyDescent="0.25">
      <c r="A9" s="1217" t="s">
        <v>110</v>
      </c>
      <c r="B9" s="1218"/>
      <c r="C9" s="1214"/>
      <c r="D9" s="1215"/>
      <c r="E9" s="1215"/>
      <c r="F9" s="1215"/>
      <c r="G9" s="1219">
        <v>10000</v>
      </c>
      <c r="H9" s="1220">
        <v>10000</v>
      </c>
      <c r="I9" s="1221">
        <v>10000</v>
      </c>
      <c r="J9" s="1222">
        <v>10000</v>
      </c>
      <c r="K9" s="1223">
        <v>10000</v>
      </c>
      <c r="L9" s="1220">
        <v>10000</v>
      </c>
      <c r="M9" s="1224">
        <v>10000</v>
      </c>
    </row>
    <row r="10" spans="1:13" ht="12.75" customHeight="1" x14ac:dyDescent="0.25">
      <c r="A10" s="1225" t="s">
        <v>975</v>
      </c>
      <c r="B10" s="403"/>
      <c r="C10" s="1226"/>
      <c r="D10" s="1227"/>
      <c r="E10" s="1227"/>
      <c r="F10" s="1227"/>
      <c r="G10" s="1228">
        <v>8000</v>
      </c>
      <c r="H10" s="1229">
        <v>8000</v>
      </c>
      <c r="I10" s="1230">
        <v>8000</v>
      </c>
      <c r="J10" s="1231">
        <v>8000</v>
      </c>
      <c r="K10" s="1232">
        <v>8000</v>
      </c>
      <c r="L10" s="1229">
        <v>8000</v>
      </c>
      <c r="M10" s="1233">
        <v>8000</v>
      </c>
    </row>
    <row r="11" spans="1:13" ht="11.25" customHeight="1" x14ac:dyDescent="0.25">
      <c r="A11" s="1217"/>
      <c r="B11" s="1218"/>
      <c r="C11" s="1234"/>
      <c r="D11" s="405"/>
      <c r="E11" s="405"/>
      <c r="F11" s="405"/>
      <c r="G11" s="1235"/>
      <c r="H11" s="1019"/>
      <c r="I11" s="1236"/>
      <c r="J11" s="1237"/>
      <c r="K11" s="1238"/>
      <c r="L11" s="1019"/>
      <c r="M11" s="1239"/>
    </row>
    <row r="12" spans="1:13" ht="11.25" customHeight="1" x14ac:dyDescent="0.25">
      <c r="A12" s="487" t="s">
        <v>1936</v>
      </c>
      <c r="B12" s="1213" t="s">
        <v>1897</v>
      </c>
      <c r="C12" s="1234"/>
      <c r="D12" s="405"/>
      <c r="E12" s="405"/>
      <c r="F12" s="405"/>
      <c r="G12" s="1235"/>
      <c r="H12" s="1019"/>
      <c r="I12" s="1236"/>
      <c r="J12" s="1237"/>
      <c r="K12" s="1238"/>
      <c r="L12" s="1019"/>
      <c r="M12" s="1239"/>
    </row>
    <row r="13" spans="1:13" ht="11.25" customHeight="1" x14ac:dyDescent="0.25">
      <c r="A13" s="1240" t="s">
        <v>1896</v>
      </c>
      <c r="B13" s="1218"/>
      <c r="C13" s="1214"/>
      <c r="D13" s="1241"/>
      <c r="E13" s="1241"/>
      <c r="F13" s="1241"/>
      <c r="G13" s="1073"/>
      <c r="H13" s="1071"/>
      <c r="I13" s="1242"/>
      <c r="J13" s="1243"/>
      <c r="K13" s="1074"/>
      <c r="L13" s="1071"/>
      <c r="M13" s="1072"/>
    </row>
    <row r="14" spans="1:13" ht="11.25" customHeight="1" x14ac:dyDescent="0.25">
      <c r="A14" s="1240" t="s">
        <v>1912</v>
      </c>
      <c r="B14" s="1218"/>
      <c r="C14" s="1214"/>
      <c r="D14" s="1241"/>
      <c r="E14" s="1241"/>
      <c r="F14" s="1241"/>
      <c r="G14" s="1073"/>
      <c r="H14" s="1071"/>
      <c r="I14" s="1242"/>
      <c r="J14" s="1243"/>
      <c r="K14" s="1074"/>
      <c r="L14" s="1071"/>
      <c r="M14" s="1072"/>
    </row>
    <row r="15" spans="1:13" ht="11.25" customHeight="1" x14ac:dyDescent="0.25">
      <c r="A15" s="1240" t="s">
        <v>1913</v>
      </c>
      <c r="B15" s="1218"/>
      <c r="C15" s="1214"/>
      <c r="D15" s="1241"/>
      <c r="E15" s="1241"/>
      <c r="F15" s="1241"/>
      <c r="G15" s="1073"/>
      <c r="H15" s="1071"/>
      <c r="I15" s="1242"/>
      <c r="J15" s="1243"/>
      <c r="K15" s="1074"/>
      <c r="L15" s="1071"/>
      <c r="M15" s="1072"/>
    </row>
    <row r="16" spans="1:13" ht="11.25" customHeight="1" x14ac:dyDescent="0.25">
      <c r="A16" s="1240" t="s">
        <v>1914</v>
      </c>
      <c r="B16" s="1218"/>
      <c r="C16" s="1214"/>
      <c r="D16" s="1241"/>
      <c r="E16" s="1241"/>
      <c r="F16" s="1241"/>
      <c r="G16" s="1073"/>
      <c r="H16" s="1071"/>
      <c r="I16" s="1242"/>
      <c r="J16" s="1243"/>
      <c r="K16" s="1074"/>
      <c r="L16" s="1071"/>
      <c r="M16" s="1072"/>
    </row>
    <row r="17" spans="1:13" ht="11.25" customHeight="1" x14ac:dyDescent="0.25">
      <c r="A17" s="1240" t="s">
        <v>1915</v>
      </c>
      <c r="B17" s="1218"/>
      <c r="C17" s="1214"/>
      <c r="D17" s="1241"/>
      <c r="E17" s="1241"/>
      <c r="F17" s="1241"/>
      <c r="G17" s="1073"/>
      <c r="H17" s="1071"/>
      <c r="I17" s="1242"/>
      <c r="J17" s="1243"/>
      <c r="K17" s="1074"/>
      <c r="L17" s="1071"/>
      <c r="M17" s="1072"/>
    </row>
    <row r="18" spans="1:13" ht="11.25" customHeight="1" x14ac:dyDescent="0.25">
      <c r="A18" s="1240" t="s">
        <v>1916</v>
      </c>
      <c r="B18" s="1218"/>
      <c r="C18" s="1214"/>
      <c r="D18" s="1241"/>
      <c r="E18" s="1241"/>
      <c r="F18" s="1241"/>
      <c r="G18" s="1073"/>
      <c r="H18" s="1071"/>
      <c r="I18" s="1242"/>
      <c r="J18" s="1243"/>
      <c r="K18" s="1074"/>
      <c r="L18" s="1071"/>
      <c r="M18" s="1072"/>
    </row>
    <row r="19" spans="1:13" ht="11.25" customHeight="1" x14ac:dyDescent="0.25">
      <c r="A19" s="1240" t="s">
        <v>1917</v>
      </c>
      <c r="B19" s="1218"/>
      <c r="C19" s="1214"/>
      <c r="D19" s="1241"/>
      <c r="E19" s="1241"/>
      <c r="F19" s="1241"/>
      <c r="G19" s="1073"/>
      <c r="H19" s="1071"/>
      <c r="I19" s="1242"/>
      <c r="J19" s="1243"/>
      <c r="K19" s="1074"/>
      <c r="L19" s="1071"/>
      <c r="M19" s="1072"/>
    </row>
    <row r="20" spans="1:13" ht="11.25" customHeight="1" x14ac:dyDescent="0.25">
      <c r="A20" s="1240" t="s">
        <v>1918</v>
      </c>
      <c r="B20" s="1218"/>
      <c r="C20" s="1214"/>
      <c r="D20" s="1241"/>
      <c r="E20" s="1241"/>
      <c r="F20" s="1241"/>
      <c r="G20" s="1073"/>
      <c r="H20" s="1071"/>
      <c r="I20" s="1242"/>
      <c r="J20" s="1243"/>
      <c r="K20" s="1074"/>
      <c r="L20" s="1071"/>
      <c r="M20" s="1072"/>
    </row>
    <row r="21" spans="1:13" ht="11.25" customHeight="1" x14ac:dyDescent="0.25">
      <c r="A21" s="1240" t="s">
        <v>1919</v>
      </c>
      <c r="B21" s="1218"/>
      <c r="C21" s="1214"/>
      <c r="D21" s="1241"/>
      <c r="E21" s="1241"/>
      <c r="F21" s="1241"/>
      <c r="G21" s="1073"/>
      <c r="H21" s="1071"/>
      <c r="I21" s="1242"/>
      <c r="J21" s="1243"/>
      <c r="K21" s="1074"/>
      <c r="L21" s="1071"/>
      <c r="M21" s="1072"/>
    </row>
    <row r="22" spans="1:13" ht="11.25" customHeight="1" x14ac:dyDescent="0.25">
      <c r="A22" s="1240" t="s">
        <v>1920</v>
      </c>
      <c r="B22" s="1218"/>
      <c r="C22" s="1214"/>
      <c r="D22" s="1241"/>
      <c r="E22" s="1241"/>
      <c r="F22" s="1241"/>
      <c r="G22" s="1073"/>
      <c r="H22" s="1071"/>
      <c r="I22" s="1242"/>
      <c r="J22" s="1243"/>
      <c r="K22" s="1074"/>
      <c r="L22" s="1071"/>
      <c r="M22" s="1072"/>
    </row>
    <row r="23" spans="1:13" ht="11.25" customHeight="1" x14ac:dyDescent="0.25">
      <c r="A23" s="1240" t="s">
        <v>1921</v>
      </c>
      <c r="B23" s="1218"/>
      <c r="C23" s="1214"/>
      <c r="D23" s="1241"/>
      <c r="E23" s="1241"/>
      <c r="F23" s="1241"/>
      <c r="G23" s="1073"/>
      <c r="H23" s="1071"/>
      <c r="I23" s="1242"/>
      <c r="J23" s="1243"/>
      <c r="K23" s="1074"/>
      <c r="L23" s="1071"/>
      <c r="M23" s="1072"/>
    </row>
    <row r="24" spans="1:13" ht="11.25" customHeight="1" x14ac:dyDescent="0.25">
      <c r="A24" s="1240" t="s">
        <v>1922</v>
      </c>
      <c r="B24" s="1218"/>
      <c r="C24" s="1214"/>
      <c r="D24" s="1241"/>
      <c r="E24" s="1241"/>
      <c r="F24" s="1241"/>
      <c r="G24" s="1073"/>
      <c r="H24" s="1071"/>
      <c r="I24" s="1242"/>
      <c r="J24" s="1243"/>
      <c r="K24" s="1074"/>
      <c r="L24" s="1071"/>
      <c r="M24" s="1072"/>
    </row>
    <row r="25" spans="1:13" ht="3.75" customHeight="1" x14ac:dyDescent="0.25">
      <c r="A25" s="1244"/>
      <c r="B25" s="403"/>
      <c r="C25" s="1226"/>
      <c r="D25" s="1245"/>
      <c r="E25" s="1245"/>
      <c r="F25" s="1245"/>
      <c r="G25" s="1246"/>
      <c r="H25" s="1247"/>
      <c r="I25" s="1248"/>
      <c r="J25" s="1249"/>
      <c r="K25" s="1250"/>
      <c r="L25" s="1247"/>
      <c r="M25" s="1251"/>
    </row>
    <row r="26" spans="1:13" ht="11.25" customHeight="1" x14ac:dyDescent="0.25">
      <c r="A26" s="1217"/>
      <c r="B26" s="1218"/>
      <c r="C26" s="1252"/>
      <c r="D26" s="1253"/>
      <c r="E26" s="1253"/>
      <c r="F26" s="1253"/>
      <c r="G26" s="1254"/>
      <c r="H26" s="1255"/>
      <c r="I26" s="1256"/>
      <c r="J26" s="1257"/>
      <c r="K26" s="1258"/>
      <c r="L26" s="1255"/>
      <c r="M26" s="1259"/>
    </row>
    <row r="27" spans="1:13" ht="11.25" customHeight="1" x14ac:dyDescent="0.25">
      <c r="A27" s="487" t="s">
        <v>1937</v>
      </c>
      <c r="B27" s="1213"/>
      <c r="C27" s="1252"/>
      <c r="D27" s="1253"/>
      <c r="E27" s="1253"/>
      <c r="F27" s="1253"/>
      <c r="G27" s="1254"/>
      <c r="H27" s="1255"/>
      <c r="I27" s="1256"/>
      <c r="J27" s="1257"/>
      <c r="K27" s="1258"/>
      <c r="L27" s="1255"/>
      <c r="M27" s="1259"/>
    </row>
    <row r="28" spans="1:13" ht="12.75" customHeight="1" x14ac:dyDescent="0.25">
      <c r="A28" s="1240" t="s">
        <v>1939</v>
      </c>
      <c r="B28" s="1218">
        <v>13</v>
      </c>
      <c r="C28" s="1214"/>
      <c r="D28" s="1260"/>
      <c r="E28" s="1260"/>
      <c r="F28" s="1260"/>
      <c r="G28" s="1261"/>
      <c r="H28" s="1262"/>
      <c r="I28" s="1263"/>
      <c r="J28" s="1264"/>
      <c r="K28" s="1265"/>
      <c r="L28" s="1262"/>
      <c r="M28" s="1266"/>
    </row>
    <row r="29" spans="1:13" ht="12.75" customHeight="1" x14ac:dyDescent="0.25">
      <c r="A29" s="1267" t="s">
        <v>950</v>
      </c>
      <c r="B29" s="1218">
        <v>2</v>
      </c>
      <c r="C29" s="1214"/>
      <c r="D29" s="1260"/>
      <c r="E29" s="1260"/>
      <c r="F29" s="1260"/>
      <c r="G29" s="1261"/>
      <c r="H29" s="1262"/>
      <c r="I29" s="1263"/>
      <c r="J29" s="1264"/>
      <c r="K29" s="1265"/>
      <c r="L29" s="1262"/>
      <c r="M29" s="1266"/>
    </row>
    <row r="30" spans="1:13" ht="4.5" customHeight="1" x14ac:dyDescent="0.25">
      <c r="A30" s="84"/>
      <c r="B30" s="403"/>
      <c r="C30" s="404"/>
      <c r="D30" s="85"/>
      <c r="E30" s="85"/>
      <c r="F30" s="85"/>
      <c r="G30" s="86"/>
      <c r="H30" s="87"/>
      <c r="I30" s="88"/>
      <c r="J30" s="89"/>
      <c r="K30" s="90"/>
      <c r="L30" s="87"/>
      <c r="M30" s="91"/>
    </row>
    <row r="31" spans="1:13" ht="11.25" customHeight="1" x14ac:dyDescent="0.25">
      <c r="A31" s="487" t="s">
        <v>1568</v>
      </c>
      <c r="B31" s="1213"/>
      <c r="C31" s="1252"/>
      <c r="D31" s="1253"/>
      <c r="E31" s="1253"/>
      <c r="F31" s="1253"/>
      <c r="G31" s="1254"/>
      <c r="H31" s="1255"/>
      <c r="I31" s="1256"/>
      <c r="J31" s="1257"/>
      <c r="K31" s="1258"/>
      <c r="L31" s="1255"/>
      <c r="M31" s="1259"/>
    </row>
    <row r="32" spans="1:13" ht="11.25" customHeight="1" x14ac:dyDescent="0.25">
      <c r="A32" s="1267" t="s">
        <v>1569</v>
      </c>
      <c r="B32" s="1218"/>
      <c r="C32" s="1214"/>
      <c r="D32" s="1260"/>
      <c r="E32" s="1260"/>
      <c r="F32" s="1260"/>
      <c r="G32" s="712">
        <v>57075</v>
      </c>
      <c r="H32" s="712">
        <v>57075</v>
      </c>
      <c r="I32" s="712">
        <v>57075</v>
      </c>
      <c r="J32" s="712">
        <v>57075</v>
      </c>
      <c r="K32" s="712">
        <v>57075</v>
      </c>
      <c r="L32" s="712">
        <v>57075</v>
      </c>
      <c r="M32" s="712">
        <v>57075</v>
      </c>
    </row>
    <row r="33" spans="1:13" ht="11.25" customHeight="1" x14ac:dyDescent="0.25">
      <c r="A33" s="1267" t="s">
        <v>1570</v>
      </c>
      <c r="B33" s="1218"/>
      <c r="C33" s="1214"/>
      <c r="D33" s="1260"/>
      <c r="E33" s="1260"/>
      <c r="F33" s="1260"/>
      <c r="G33" s="712"/>
      <c r="H33" s="712"/>
      <c r="I33" s="715"/>
      <c r="J33" s="716"/>
      <c r="K33" s="714"/>
      <c r="L33" s="712"/>
      <c r="M33" s="713"/>
    </row>
    <row r="34" spans="1:13" ht="11.25" customHeight="1" x14ac:dyDescent="0.25">
      <c r="A34" s="1267" t="s">
        <v>1571</v>
      </c>
      <c r="B34" s="1218"/>
      <c r="C34" s="1214"/>
      <c r="D34" s="1260"/>
      <c r="E34" s="1260"/>
      <c r="F34" s="1260"/>
      <c r="G34" s="712"/>
      <c r="H34" s="712"/>
      <c r="I34" s="715"/>
      <c r="J34" s="716"/>
      <c r="K34" s="714"/>
      <c r="L34" s="712"/>
      <c r="M34" s="713"/>
    </row>
    <row r="35" spans="1:13" ht="11.25" customHeight="1" x14ac:dyDescent="0.25">
      <c r="A35" s="1267" t="s">
        <v>1572</v>
      </c>
      <c r="B35" s="1218"/>
      <c r="C35" s="1214"/>
      <c r="D35" s="1260"/>
      <c r="E35" s="1260"/>
      <c r="F35" s="1260"/>
      <c r="G35" s="712"/>
      <c r="H35" s="712"/>
      <c r="I35" s="715"/>
      <c r="J35" s="716"/>
      <c r="K35" s="714"/>
      <c r="L35" s="712"/>
      <c r="M35" s="713"/>
    </row>
    <row r="36" spans="1:13" ht="12.75" customHeight="1" x14ac:dyDescent="0.25">
      <c r="A36" s="1268" t="s">
        <v>254</v>
      </c>
      <c r="B36" s="403"/>
      <c r="C36" s="1226"/>
      <c r="D36" s="1269"/>
      <c r="E36" s="1269"/>
      <c r="F36" s="1269"/>
      <c r="G36" s="1270">
        <v>2160</v>
      </c>
      <c r="H36" s="1270">
        <v>2160</v>
      </c>
      <c r="I36" s="1271">
        <v>2160</v>
      </c>
      <c r="J36" s="1272">
        <v>2160</v>
      </c>
      <c r="K36" s="1273">
        <v>2160</v>
      </c>
      <c r="L36" s="1270">
        <v>2160</v>
      </c>
      <c r="M36" s="1274">
        <v>2160</v>
      </c>
    </row>
    <row r="37" spans="1:13" ht="11.25" customHeight="1" x14ac:dyDescent="0.25">
      <c r="A37" s="487"/>
      <c r="B37" s="1213"/>
      <c r="C37" s="1252"/>
      <c r="D37" s="1253"/>
      <c r="E37" s="1253"/>
      <c r="F37" s="1253"/>
      <c r="G37" s="1254"/>
      <c r="H37" s="1255"/>
      <c r="I37" s="1256"/>
      <c r="J37" s="1257"/>
      <c r="K37" s="1258"/>
      <c r="L37" s="1255"/>
      <c r="M37" s="1259"/>
    </row>
    <row r="38" spans="1:13" ht="11.25" customHeight="1" x14ac:dyDescent="0.25">
      <c r="A38" s="487" t="s">
        <v>1812</v>
      </c>
      <c r="B38" s="1213">
        <v>3</v>
      </c>
      <c r="C38" s="1252"/>
      <c r="D38" s="1253"/>
      <c r="E38" s="1253"/>
      <c r="F38" s="1253"/>
      <c r="G38" s="1254"/>
      <c r="H38" s="1255"/>
      <c r="I38" s="1256"/>
      <c r="J38" s="1257"/>
      <c r="K38" s="1258"/>
      <c r="L38" s="1255"/>
      <c r="M38" s="1259"/>
    </row>
    <row r="39" spans="1:13" ht="11.25" customHeight="1" x14ac:dyDescent="0.25">
      <c r="A39" s="1267" t="s">
        <v>791</v>
      </c>
      <c r="B39" s="1218"/>
      <c r="C39" s="1214"/>
      <c r="D39" s="1260"/>
      <c r="E39" s="1260"/>
      <c r="F39" s="1260"/>
      <c r="G39" s="1275">
        <v>14900</v>
      </c>
      <c r="H39" s="1275">
        <v>14900</v>
      </c>
      <c r="I39" s="1275">
        <v>14900</v>
      </c>
      <c r="J39" s="1275">
        <v>14900</v>
      </c>
      <c r="K39" s="1275">
        <v>14900</v>
      </c>
      <c r="L39" s="1275">
        <v>14900</v>
      </c>
      <c r="M39" s="1275">
        <v>14900</v>
      </c>
    </row>
    <row r="40" spans="1:13" ht="11.25" customHeight="1" x14ac:dyDescent="0.25">
      <c r="A40" s="1267" t="s">
        <v>792</v>
      </c>
      <c r="B40" s="1218"/>
      <c r="C40" s="1214"/>
      <c r="D40" s="1281"/>
      <c r="E40" s="1269"/>
      <c r="F40" s="1269"/>
      <c r="G40" s="1282">
        <v>560</v>
      </c>
      <c r="H40" s="1282">
        <v>560</v>
      </c>
      <c r="I40" s="1282">
        <v>560</v>
      </c>
      <c r="J40" s="1282">
        <v>560</v>
      </c>
      <c r="K40" s="1282">
        <v>560</v>
      </c>
      <c r="L40" s="1282">
        <v>560</v>
      </c>
      <c r="M40" s="1282">
        <v>560</v>
      </c>
    </row>
    <row r="41" spans="1:13" ht="11.25" customHeight="1" x14ac:dyDescent="0.25">
      <c r="A41" s="1283" t="s">
        <v>1160</v>
      </c>
      <c r="B41" s="1218"/>
      <c r="C41" s="1284"/>
      <c r="D41" s="405">
        <f>SUM(D39:D40)</f>
        <v>0</v>
      </c>
      <c r="E41" s="405">
        <f t="shared" ref="E41:M41" si="1">SUM(E39:E40)</f>
        <v>0</v>
      </c>
      <c r="F41" s="405">
        <f t="shared" si="1"/>
        <v>0</v>
      </c>
      <c r="G41" s="406">
        <f t="shared" si="1"/>
        <v>15460</v>
      </c>
      <c r="H41" s="407">
        <f t="shared" si="1"/>
        <v>15460</v>
      </c>
      <c r="I41" s="408">
        <f t="shared" si="1"/>
        <v>15460</v>
      </c>
      <c r="J41" s="409">
        <f t="shared" si="1"/>
        <v>15460</v>
      </c>
      <c r="K41" s="410">
        <f t="shared" si="1"/>
        <v>15460</v>
      </c>
      <c r="L41" s="407">
        <f t="shared" si="1"/>
        <v>15460</v>
      </c>
      <c r="M41" s="411">
        <f t="shared" si="1"/>
        <v>15460</v>
      </c>
    </row>
    <row r="42" spans="1:13" ht="11.25" customHeight="1" x14ac:dyDescent="0.25">
      <c r="A42" s="1267" t="s">
        <v>1813</v>
      </c>
      <c r="B42" s="1218">
        <v>4</v>
      </c>
      <c r="C42" s="1214"/>
      <c r="D42" s="1260"/>
      <c r="E42" s="1260"/>
      <c r="F42" s="1260"/>
      <c r="G42" s="1275"/>
      <c r="H42" s="1276"/>
      <c r="I42" s="1277"/>
      <c r="J42" s="1278"/>
      <c r="K42" s="1279"/>
      <c r="L42" s="1276"/>
      <c r="M42" s="1280"/>
    </row>
    <row r="43" spans="1:13" ht="11.25" customHeight="1" x14ac:dyDescent="0.25">
      <c r="A43" s="1267" t="s">
        <v>445</v>
      </c>
      <c r="B43" s="1218"/>
      <c r="C43" s="1214"/>
      <c r="D43" s="1260"/>
      <c r="E43" s="1260"/>
      <c r="F43" s="1260"/>
      <c r="G43" s="1275"/>
      <c r="H43" s="1276"/>
      <c r="I43" s="1277"/>
      <c r="J43" s="1278"/>
      <c r="K43" s="1279"/>
      <c r="L43" s="1276"/>
      <c r="M43" s="1280"/>
    </row>
    <row r="44" spans="1:13" ht="11.25" customHeight="1" x14ac:dyDescent="0.25">
      <c r="A44" s="1267" t="s">
        <v>1814</v>
      </c>
      <c r="B44" s="1218">
        <v>5</v>
      </c>
      <c r="C44" s="1214"/>
      <c r="D44" s="1285"/>
      <c r="E44" s="1260"/>
      <c r="F44" s="1260"/>
      <c r="G44" s="1275"/>
      <c r="H44" s="1276"/>
      <c r="I44" s="1277"/>
      <c r="J44" s="1278"/>
      <c r="K44" s="1279"/>
      <c r="L44" s="1276"/>
      <c r="M44" s="1280"/>
    </row>
    <row r="45" spans="1:13" ht="12.75" customHeight="1" x14ac:dyDescent="0.25">
      <c r="A45" s="1286" t="s">
        <v>255</v>
      </c>
      <c r="B45" s="403"/>
      <c r="C45" s="404"/>
      <c r="D45" s="412">
        <f>SUM(D42:D44)</f>
        <v>0</v>
      </c>
      <c r="E45" s="413">
        <f t="shared" ref="E45:M45" si="2">SUM(E42:E44)</f>
        <v>0</v>
      </c>
      <c r="F45" s="413">
        <f t="shared" si="2"/>
        <v>0</v>
      </c>
      <c r="G45" s="414">
        <f t="shared" si="2"/>
        <v>0</v>
      </c>
      <c r="H45" s="415">
        <f t="shared" si="2"/>
        <v>0</v>
      </c>
      <c r="I45" s="416">
        <f t="shared" si="2"/>
        <v>0</v>
      </c>
      <c r="J45" s="417">
        <f t="shared" si="2"/>
        <v>0</v>
      </c>
      <c r="K45" s="418">
        <f t="shared" si="2"/>
        <v>0</v>
      </c>
      <c r="L45" s="415">
        <f t="shared" si="2"/>
        <v>0</v>
      </c>
      <c r="M45" s="419">
        <f t="shared" si="2"/>
        <v>0</v>
      </c>
    </row>
    <row r="46" spans="1:13" ht="11.25" customHeight="1" x14ac:dyDescent="0.25">
      <c r="A46" s="1217"/>
      <c r="B46" s="1218"/>
      <c r="C46" s="1252"/>
      <c r="D46" s="405"/>
      <c r="E46" s="405"/>
      <c r="F46" s="405"/>
      <c r="G46" s="1287"/>
      <c r="H46" s="1288"/>
      <c r="I46" s="1289"/>
      <c r="J46" s="1290"/>
      <c r="K46" s="1291"/>
      <c r="L46" s="1288"/>
      <c r="M46" s="1292"/>
    </row>
    <row r="47" spans="1:13" ht="11.25" customHeight="1" x14ac:dyDescent="0.25">
      <c r="A47" s="1293" t="s">
        <v>1815</v>
      </c>
      <c r="B47" s="1218">
        <v>6</v>
      </c>
      <c r="C47" s="1252"/>
      <c r="D47" s="1294"/>
      <c r="E47" s="1294"/>
      <c r="F47" s="1294"/>
      <c r="G47" s="1152"/>
      <c r="H47" s="1151"/>
      <c r="I47" s="1295"/>
      <c r="J47" s="1296"/>
      <c r="K47" s="1185"/>
      <c r="L47" s="1182"/>
      <c r="M47" s="1183"/>
    </row>
    <row r="48" spans="1:13" ht="11.25" customHeight="1" x14ac:dyDescent="0.25">
      <c r="A48" s="1217" t="s">
        <v>906</v>
      </c>
      <c r="B48" s="1218"/>
      <c r="C48" s="1252"/>
      <c r="D48" s="1297"/>
      <c r="E48" s="1298"/>
      <c r="F48" s="1298"/>
      <c r="G48" s="1162">
        <v>5.3999999999999999E-2</v>
      </c>
      <c r="H48" s="1160">
        <v>5.3999999999999999E-2</v>
      </c>
      <c r="I48" s="1299">
        <v>0.06</v>
      </c>
      <c r="J48" s="1300">
        <v>0.06</v>
      </c>
      <c r="K48" s="1163">
        <v>0.06</v>
      </c>
      <c r="L48" s="1160">
        <v>0.06</v>
      </c>
      <c r="M48" s="1161">
        <v>0.06</v>
      </c>
    </row>
    <row r="49" spans="1:13" ht="11.25" customHeight="1" x14ac:dyDescent="0.25">
      <c r="A49" s="1217" t="s">
        <v>976</v>
      </c>
      <c r="B49" s="1218"/>
      <c r="C49" s="1252"/>
      <c r="D49" s="1297"/>
      <c r="E49" s="1298"/>
      <c r="F49" s="1298"/>
      <c r="G49" s="1162"/>
      <c r="H49" s="1160"/>
      <c r="I49" s="1299"/>
      <c r="J49" s="1300"/>
      <c r="K49" s="1163"/>
      <c r="L49" s="1160"/>
      <c r="M49" s="1161"/>
    </row>
    <row r="50" spans="1:13" ht="11.25" customHeight="1" x14ac:dyDescent="0.25">
      <c r="A50" s="1217" t="s">
        <v>977</v>
      </c>
      <c r="B50" s="1218"/>
      <c r="C50" s="1252"/>
      <c r="D50" s="1301"/>
      <c r="E50" s="1302"/>
      <c r="F50" s="1302"/>
      <c r="G50" s="1162">
        <v>0.08</v>
      </c>
      <c r="H50" s="1160">
        <v>0.08</v>
      </c>
      <c r="I50" s="1299">
        <v>0.06</v>
      </c>
      <c r="J50" s="1300">
        <v>0.06</v>
      </c>
      <c r="K50" s="1163">
        <v>0.06</v>
      </c>
      <c r="L50" s="1160">
        <v>0.06</v>
      </c>
      <c r="M50" s="1161">
        <v>0.06</v>
      </c>
    </row>
    <row r="51" spans="1:13" ht="11.25" customHeight="1" x14ac:dyDescent="0.25">
      <c r="A51" s="1217" t="s">
        <v>978</v>
      </c>
      <c r="B51" s="1218"/>
      <c r="C51" s="1252"/>
      <c r="D51" s="1297"/>
      <c r="E51" s="1298"/>
      <c r="F51" s="1298"/>
      <c r="G51" s="1303">
        <v>7.0000000000000007E-2</v>
      </c>
      <c r="H51" s="1304">
        <v>7.0000000000000007E-2</v>
      </c>
      <c r="I51" s="1305">
        <v>0.06</v>
      </c>
      <c r="J51" s="1300">
        <v>0.06</v>
      </c>
      <c r="K51" s="1306">
        <v>0.06</v>
      </c>
      <c r="L51" s="1304">
        <v>0.06</v>
      </c>
      <c r="M51" s="1307">
        <v>0.06</v>
      </c>
    </row>
    <row r="52" spans="1:13" ht="11.25" customHeight="1" x14ac:dyDescent="0.25">
      <c r="A52" s="1217" t="s">
        <v>623</v>
      </c>
      <c r="B52" s="1218"/>
      <c r="C52" s="1252"/>
      <c r="D52" s="1297"/>
      <c r="E52" s="1298"/>
      <c r="F52" s="1298"/>
      <c r="G52" s="1303"/>
      <c r="H52" s="1304"/>
      <c r="I52" s="1305"/>
      <c r="J52" s="1300"/>
      <c r="K52" s="1306"/>
      <c r="L52" s="1304"/>
      <c r="M52" s="1307"/>
    </row>
    <row r="53" spans="1:13" ht="12.75" customHeight="1" x14ac:dyDescent="0.25">
      <c r="A53" s="1217" t="s">
        <v>624</v>
      </c>
      <c r="B53" s="1218"/>
      <c r="C53" s="1252"/>
      <c r="D53" s="1297"/>
      <c r="E53" s="1298"/>
      <c r="F53" s="1298"/>
      <c r="G53" s="1303"/>
      <c r="H53" s="1304"/>
      <c r="I53" s="1305"/>
      <c r="J53" s="1300"/>
      <c r="K53" s="1306"/>
      <c r="L53" s="1304"/>
      <c r="M53" s="1307"/>
    </row>
    <row r="54" spans="1:13" ht="11.25" customHeight="1" x14ac:dyDescent="0.25">
      <c r="A54" s="1308"/>
      <c r="B54" s="1218"/>
      <c r="C54" s="1252"/>
      <c r="D54" s="405"/>
      <c r="E54" s="405"/>
      <c r="F54" s="405"/>
      <c r="G54" s="1309"/>
      <c r="H54" s="1310"/>
      <c r="I54" s="1295"/>
      <c r="J54" s="1311"/>
      <c r="K54" s="1154"/>
      <c r="L54" s="1151"/>
      <c r="M54" s="1153"/>
    </row>
    <row r="55" spans="1:13" ht="11.25" customHeight="1" x14ac:dyDescent="0.25">
      <c r="A55" s="1293" t="s">
        <v>1816</v>
      </c>
      <c r="B55" s="1218">
        <v>7</v>
      </c>
      <c r="C55" s="1252"/>
      <c r="D55" s="405"/>
      <c r="E55" s="405"/>
      <c r="F55" s="405"/>
      <c r="G55" s="1309"/>
      <c r="H55" s="1310"/>
      <c r="I55" s="1295"/>
      <c r="J55" s="1311"/>
      <c r="K55" s="1154"/>
      <c r="L55" s="1151"/>
      <c r="M55" s="1153"/>
    </row>
    <row r="56" spans="1:13" ht="11.25" customHeight="1" x14ac:dyDescent="0.25">
      <c r="A56" s="1217" t="s">
        <v>979</v>
      </c>
      <c r="B56" s="1218"/>
      <c r="C56" s="1252"/>
      <c r="D56" s="1297"/>
      <c r="E56" s="1298"/>
      <c r="F56" s="1298"/>
      <c r="G56" s="1162">
        <v>0.6</v>
      </c>
      <c r="H56" s="1160">
        <v>0.65</v>
      </c>
      <c r="I56" s="1299">
        <v>0.7</v>
      </c>
      <c r="J56" s="1300">
        <v>0.7</v>
      </c>
      <c r="K56" s="1163">
        <v>0.7</v>
      </c>
      <c r="L56" s="1160">
        <v>0.7</v>
      </c>
      <c r="M56" s="1161">
        <v>0.7</v>
      </c>
    </row>
    <row r="57" spans="1:13" ht="11.25" customHeight="1" x14ac:dyDescent="0.25">
      <c r="A57" s="1217" t="s">
        <v>980</v>
      </c>
      <c r="B57" s="1218"/>
      <c r="C57" s="1252"/>
      <c r="D57" s="1297"/>
      <c r="E57" s="1298"/>
      <c r="F57" s="1298"/>
      <c r="G57" s="1162"/>
      <c r="H57" s="1160"/>
      <c r="I57" s="1299"/>
      <c r="J57" s="1300"/>
      <c r="K57" s="1163"/>
      <c r="L57" s="1160"/>
      <c r="M57" s="1161"/>
    </row>
    <row r="58" spans="1:13" ht="11.25" customHeight="1" x14ac:dyDescent="0.25">
      <c r="A58" s="1217" t="s">
        <v>504</v>
      </c>
      <c r="B58" s="1218"/>
      <c r="C58" s="1252"/>
      <c r="D58" s="1297"/>
      <c r="E58" s="1298"/>
      <c r="F58" s="1298"/>
      <c r="G58" s="1162">
        <v>0.08</v>
      </c>
      <c r="H58" s="1160">
        <v>0.08</v>
      </c>
      <c r="I58" s="1299">
        <v>0.06</v>
      </c>
      <c r="J58" s="1300">
        <v>0.06</v>
      </c>
      <c r="K58" s="1163">
        <v>0.06</v>
      </c>
      <c r="L58" s="1160">
        <v>0.06</v>
      </c>
      <c r="M58" s="1161">
        <v>0.06</v>
      </c>
    </row>
    <row r="59" spans="1:13" ht="11.25" customHeight="1" x14ac:dyDescent="0.25">
      <c r="A59" s="1217" t="s">
        <v>505</v>
      </c>
      <c r="B59" s="1218"/>
      <c r="C59" s="1252"/>
      <c r="D59" s="1297"/>
      <c r="E59" s="1298"/>
      <c r="F59" s="1298"/>
      <c r="G59" s="1162">
        <v>0.06</v>
      </c>
      <c r="H59" s="1160">
        <v>0.06</v>
      </c>
      <c r="I59" s="1299">
        <v>0</v>
      </c>
      <c r="J59" s="1300">
        <v>0</v>
      </c>
      <c r="K59" s="1163">
        <v>0</v>
      </c>
      <c r="L59" s="1160">
        <v>0</v>
      </c>
      <c r="M59" s="1161">
        <v>0</v>
      </c>
    </row>
    <row r="60" spans="1:13" ht="13.5" customHeight="1" x14ac:dyDescent="0.25">
      <c r="A60" s="1217" t="s">
        <v>506</v>
      </c>
      <c r="B60" s="1218"/>
      <c r="C60" s="1252"/>
      <c r="D60" s="1297"/>
      <c r="E60" s="1298"/>
      <c r="F60" s="1298"/>
      <c r="G60" s="1162"/>
      <c r="H60" s="1160"/>
      <c r="I60" s="1299"/>
      <c r="J60" s="1300"/>
      <c r="K60" s="1163"/>
      <c r="L60" s="1160"/>
      <c r="M60" s="1161"/>
    </row>
    <row r="61" spans="1:13" ht="3.75" customHeight="1" x14ac:dyDescent="0.25">
      <c r="A61" s="1312"/>
      <c r="B61" s="1313"/>
      <c r="C61" s="1314"/>
      <c r="D61" s="1315"/>
      <c r="E61" s="1315"/>
      <c r="F61" s="1315"/>
      <c r="G61" s="1316"/>
      <c r="H61" s="1317"/>
      <c r="I61" s="1318"/>
      <c r="J61" s="1319"/>
      <c r="K61" s="1320"/>
      <c r="L61" s="1321"/>
      <c r="M61" s="1322"/>
    </row>
    <row r="62" spans="1:13" ht="18.75" customHeight="1" x14ac:dyDescent="0.3">
      <c r="A62" s="1323" t="s">
        <v>1817</v>
      </c>
      <c r="B62" s="55"/>
      <c r="G62" s="221"/>
      <c r="H62" s="221"/>
      <c r="I62" s="221"/>
      <c r="J62" s="221"/>
      <c r="K62" s="221"/>
      <c r="L62" s="221"/>
      <c r="M62" s="221"/>
    </row>
    <row r="63" spans="1:13" ht="25.15" customHeight="1" x14ac:dyDescent="0.25">
      <c r="A63" s="2488" t="s">
        <v>1818</v>
      </c>
      <c r="B63" s="1324"/>
      <c r="C63" s="1325"/>
      <c r="D63" s="1326"/>
      <c r="E63" s="836" t="str">
        <f>head1b</f>
        <v>2017/18</v>
      </c>
      <c r="F63" s="837" t="str">
        <f>head1A</f>
        <v>2018/19</v>
      </c>
      <c r="G63" s="684" t="str">
        <f>Head1</f>
        <v>2019/20</v>
      </c>
      <c r="H63" s="2450" t="str">
        <f>Head2</f>
        <v>Current Year 2020/21</v>
      </c>
      <c r="I63" s="2451"/>
      <c r="J63" s="2452"/>
      <c r="K63" s="2450" t="str">
        <f>Head3</f>
        <v>2021/22 Medium Term Revenue &amp; Expenditure Framework</v>
      </c>
      <c r="L63" s="2451"/>
      <c r="M63" s="2452"/>
    </row>
    <row r="64" spans="1:13" ht="25.15" customHeight="1" x14ac:dyDescent="0.25">
      <c r="A64" s="2488"/>
      <c r="B64" s="1327" t="s">
        <v>1739</v>
      </c>
      <c r="C64" s="1328"/>
      <c r="D64" s="1329"/>
      <c r="E64" s="420" t="str">
        <f>Head5A</f>
        <v>Outcome</v>
      </c>
      <c r="F64" s="421" t="str">
        <f>Head5A</f>
        <v>Outcome</v>
      </c>
      <c r="G64" s="422" t="str">
        <f>Head5A</f>
        <v>Outcome</v>
      </c>
      <c r="H64" s="423" t="str">
        <f>Head6</f>
        <v>Original Budget</v>
      </c>
      <c r="I64" s="421" t="str">
        <f>Head7</f>
        <v>Adjusted Budget</v>
      </c>
      <c r="J64" s="422" t="str">
        <f>Head8</f>
        <v>Full Year Forecast</v>
      </c>
      <c r="K64" s="423" t="str">
        <f>Head9</f>
        <v>Budget Year 2021/22</v>
      </c>
      <c r="L64" s="421" t="str">
        <f>Head10</f>
        <v>Budget Year +1 2022/23</v>
      </c>
      <c r="M64" s="422" t="str">
        <f>Head11</f>
        <v>Budget Year +2 2023/24</v>
      </c>
    </row>
    <row r="65" spans="2:13" ht="11.25" customHeight="1" x14ac:dyDescent="0.25">
      <c r="B65" s="1330"/>
      <c r="C65" s="424" t="s">
        <v>172</v>
      </c>
      <c r="D65" s="442"/>
      <c r="E65" s="950"/>
      <c r="F65" s="1331"/>
      <c r="G65" s="1332"/>
      <c r="H65" s="425"/>
      <c r="I65" s="426"/>
      <c r="J65" s="427"/>
      <c r="K65" s="428"/>
      <c r="L65" s="426"/>
      <c r="M65" s="429"/>
    </row>
    <row r="66" spans="2:13" ht="11.25" customHeight="1" x14ac:dyDescent="0.25">
      <c r="B66" s="1330"/>
      <c r="C66" s="430" t="s">
        <v>1609</v>
      </c>
      <c r="D66" s="443"/>
      <c r="E66" s="102"/>
      <c r="F66" s="98"/>
      <c r="G66" s="101"/>
      <c r="H66" s="73"/>
      <c r="I66" s="71"/>
      <c r="J66" s="74"/>
      <c r="K66" s="75"/>
      <c r="L66" s="71"/>
      <c r="M66" s="72"/>
    </row>
    <row r="67" spans="2:13" ht="11.25" customHeight="1" x14ac:dyDescent="0.25">
      <c r="B67" s="1330"/>
      <c r="C67" s="431" t="s">
        <v>1442</v>
      </c>
      <c r="D67" s="443"/>
      <c r="E67" s="470">
        <f>E113+E159+E205</f>
        <v>0</v>
      </c>
      <c r="F67" s="466">
        <f t="shared" ref="F67:M67" si="3">F113+F159+F205</f>
        <v>0</v>
      </c>
      <c r="G67" s="467">
        <f t="shared" si="3"/>
        <v>0</v>
      </c>
      <c r="H67" s="468">
        <f t="shared" si="3"/>
        <v>0</v>
      </c>
      <c r="I67" s="466">
        <f t="shared" si="3"/>
        <v>0</v>
      </c>
      <c r="J67" s="469">
        <f t="shared" si="3"/>
        <v>0</v>
      </c>
      <c r="K67" s="470">
        <f t="shared" si="3"/>
        <v>0</v>
      </c>
      <c r="L67" s="466">
        <f t="shared" si="3"/>
        <v>0</v>
      </c>
      <c r="M67" s="467">
        <f t="shared" si="3"/>
        <v>0</v>
      </c>
    </row>
    <row r="68" spans="2:13" ht="11.25" customHeight="1" x14ac:dyDescent="0.25">
      <c r="B68" s="1330"/>
      <c r="C68" s="431" t="s">
        <v>1608</v>
      </c>
      <c r="D68" s="443"/>
      <c r="E68" s="470">
        <f t="shared" ref="E68:M70" si="4">E114+E160+E206</f>
        <v>0</v>
      </c>
      <c r="F68" s="466">
        <f t="shared" si="4"/>
        <v>0</v>
      </c>
      <c r="G68" s="467">
        <f t="shared" si="4"/>
        <v>0</v>
      </c>
      <c r="H68" s="468">
        <f t="shared" si="4"/>
        <v>0</v>
      </c>
      <c r="I68" s="466">
        <f t="shared" si="4"/>
        <v>0</v>
      </c>
      <c r="J68" s="469">
        <f t="shared" si="4"/>
        <v>0</v>
      </c>
      <c r="K68" s="470">
        <f t="shared" si="4"/>
        <v>0</v>
      </c>
      <c r="L68" s="466">
        <f t="shared" si="4"/>
        <v>0</v>
      </c>
      <c r="M68" s="467">
        <f t="shared" si="4"/>
        <v>0</v>
      </c>
    </row>
    <row r="69" spans="2:13" ht="11.25" customHeight="1" x14ac:dyDescent="0.25">
      <c r="B69" s="432">
        <v>8</v>
      </c>
      <c r="C69" s="431" t="s">
        <v>111</v>
      </c>
      <c r="D69" s="443"/>
      <c r="E69" s="470">
        <f t="shared" si="4"/>
        <v>0</v>
      </c>
      <c r="F69" s="466">
        <f t="shared" si="4"/>
        <v>0</v>
      </c>
      <c r="G69" s="467">
        <f t="shared" si="4"/>
        <v>0</v>
      </c>
      <c r="H69" s="468">
        <f t="shared" si="4"/>
        <v>0</v>
      </c>
      <c r="I69" s="466">
        <f t="shared" si="4"/>
        <v>0</v>
      </c>
      <c r="J69" s="469">
        <f t="shared" si="4"/>
        <v>0</v>
      </c>
      <c r="K69" s="470">
        <f t="shared" si="4"/>
        <v>0</v>
      </c>
      <c r="L69" s="466">
        <f t="shared" si="4"/>
        <v>0</v>
      </c>
      <c r="M69" s="467">
        <f t="shared" si="4"/>
        <v>0</v>
      </c>
    </row>
    <row r="70" spans="2:13" ht="11.25" customHeight="1" x14ac:dyDescent="0.25">
      <c r="B70" s="432">
        <v>10</v>
      </c>
      <c r="C70" s="431" t="s">
        <v>112</v>
      </c>
      <c r="D70" s="443"/>
      <c r="E70" s="470">
        <f t="shared" si="4"/>
        <v>0</v>
      </c>
      <c r="F70" s="466">
        <f t="shared" si="4"/>
        <v>0</v>
      </c>
      <c r="G70" s="467">
        <f t="shared" si="4"/>
        <v>0</v>
      </c>
      <c r="H70" s="468">
        <f t="shared" si="4"/>
        <v>0</v>
      </c>
      <c r="I70" s="466">
        <f t="shared" si="4"/>
        <v>0</v>
      </c>
      <c r="J70" s="469">
        <f t="shared" si="4"/>
        <v>0</v>
      </c>
      <c r="K70" s="470">
        <f t="shared" si="4"/>
        <v>0</v>
      </c>
      <c r="L70" s="466">
        <f t="shared" si="4"/>
        <v>0</v>
      </c>
      <c r="M70" s="467">
        <f t="shared" si="4"/>
        <v>0</v>
      </c>
    </row>
    <row r="71" spans="2:13" ht="11.25" customHeight="1" x14ac:dyDescent="0.25">
      <c r="B71" s="432"/>
      <c r="C71" s="433" t="s">
        <v>323</v>
      </c>
      <c r="D71" s="443"/>
      <c r="E71" s="455">
        <f>SUM(E67:E70)</f>
        <v>0</v>
      </c>
      <c r="F71" s="451">
        <f t="shared" ref="F71:M71" si="5">SUM(F67:F70)</f>
        <v>0</v>
      </c>
      <c r="G71" s="452">
        <f t="shared" si="5"/>
        <v>0</v>
      </c>
      <c r="H71" s="453">
        <f t="shared" si="5"/>
        <v>0</v>
      </c>
      <c r="I71" s="451">
        <f t="shared" si="5"/>
        <v>0</v>
      </c>
      <c r="J71" s="454">
        <f t="shared" si="5"/>
        <v>0</v>
      </c>
      <c r="K71" s="455">
        <f t="shared" si="5"/>
        <v>0</v>
      </c>
      <c r="L71" s="451">
        <f t="shared" si="5"/>
        <v>0</v>
      </c>
      <c r="M71" s="452">
        <f t="shared" si="5"/>
        <v>0</v>
      </c>
    </row>
    <row r="72" spans="2:13" ht="11.25" customHeight="1" x14ac:dyDescent="0.25">
      <c r="B72" s="432">
        <v>9</v>
      </c>
      <c r="C72" s="431" t="s">
        <v>434</v>
      </c>
      <c r="D72" s="443"/>
      <c r="E72" s="470">
        <f t="shared" ref="E72:M74" si="6">E118+E164+E210</f>
        <v>0</v>
      </c>
      <c r="F72" s="466">
        <f t="shared" si="6"/>
        <v>0</v>
      </c>
      <c r="G72" s="467">
        <f t="shared" si="6"/>
        <v>0</v>
      </c>
      <c r="H72" s="468">
        <f t="shared" si="6"/>
        <v>0</v>
      </c>
      <c r="I72" s="466">
        <f t="shared" si="6"/>
        <v>0</v>
      </c>
      <c r="J72" s="469">
        <f t="shared" si="6"/>
        <v>0</v>
      </c>
      <c r="K72" s="470">
        <f t="shared" si="6"/>
        <v>0</v>
      </c>
      <c r="L72" s="466">
        <f t="shared" si="6"/>
        <v>0</v>
      </c>
      <c r="M72" s="467">
        <f t="shared" si="6"/>
        <v>0</v>
      </c>
    </row>
    <row r="73" spans="2:13" ht="11.25" customHeight="1" x14ac:dyDescent="0.25">
      <c r="B73" s="432">
        <v>10</v>
      </c>
      <c r="C73" s="431" t="s">
        <v>435</v>
      </c>
      <c r="D73" s="443"/>
      <c r="E73" s="470">
        <f t="shared" si="6"/>
        <v>0</v>
      </c>
      <c r="F73" s="466">
        <f t="shared" si="6"/>
        <v>0</v>
      </c>
      <c r="G73" s="467">
        <f t="shared" si="6"/>
        <v>0</v>
      </c>
      <c r="H73" s="468">
        <f t="shared" si="6"/>
        <v>0</v>
      </c>
      <c r="I73" s="466">
        <f t="shared" si="6"/>
        <v>0</v>
      </c>
      <c r="J73" s="469">
        <f t="shared" si="6"/>
        <v>0</v>
      </c>
      <c r="K73" s="470">
        <f t="shared" si="6"/>
        <v>0</v>
      </c>
      <c r="L73" s="466">
        <f t="shared" si="6"/>
        <v>0</v>
      </c>
      <c r="M73" s="467">
        <f t="shared" si="6"/>
        <v>0</v>
      </c>
    </row>
    <row r="74" spans="2:13" ht="11.25" customHeight="1" x14ac:dyDescent="0.25">
      <c r="B74" s="1330"/>
      <c r="C74" s="431" t="s">
        <v>835</v>
      </c>
      <c r="D74" s="443"/>
      <c r="E74" s="470">
        <f t="shared" si="6"/>
        <v>0</v>
      </c>
      <c r="F74" s="466">
        <f t="shared" si="6"/>
        <v>0</v>
      </c>
      <c r="G74" s="467">
        <f t="shared" si="6"/>
        <v>0</v>
      </c>
      <c r="H74" s="468">
        <f t="shared" si="6"/>
        <v>0</v>
      </c>
      <c r="I74" s="466">
        <f t="shared" si="6"/>
        <v>0</v>
      </c>
      <c r="J74" s="469">
        <f t="shared" si="6"/>
        <v>0</v>
      </c>
      <c r="K74" s="470">
        <f t="shared" si="6"/>
        <v>0</v>
      </c>
      <c r="L74" s="466">
        <f t="shared" si="6"/>
        <v>0</v>
      </c>
      <c r="M74" s="467">
        <f t="shared" si="6"/>
        <v>0</v>
      </c>
    </row>
    <row r="75" spans="2:13" ht="11.25" customHeight="1" x14ac:dyDescent="0.25">
      <c r="B75" s="1330"/>
      <c r="C75" s="433" t="s">
        <v>1124</v>
      </c>
      <c r="D75" s="443"/>
      <c r="E75" s="460">
        <f>SUM(E72:E74)</f>
        <v>0</v>
      </c>
      <c r="F75" s="456">
        <f t="shared" ref="F75:M75" si="7">SUM(F72:F74)</f>
        <v>0</v>
      </c>
      <c r="G75" s="457">
        <f t="shared" si="7"/>
        <v>0</v>
      </c>
      <c r="H75" s="458">
        <f t="shared" si="7"/>
        <v>0</v>
      </c>
      <c r="I75" s="456">
        <f t="shared" si="7"/>
        <v>0</v>
      </c>
      <c r="J75" s="459">
        <f t="shared" si="7"/>
        <v>0</v>
      </c>
      <c r="K75" s="460">
        <f t="shared" si="7"/>
        <v>0</v>
      </c>
      <c r="L75" s="456">
        <f t="shared" si="7"/>
        <v>0</v>
      </c>
      <c r="M75" s="457">
        <f t="shared" si="7"/>
        <v>0</v>
      </c>
    </row>
    <row r="76" spans="2:13" ht="11.25" customHeight="1" x14ac:dyDescent="0.25">
      <c r="B76" s="1330"/>
      <c r="C76" s="434" t="s">
        <v>1160</v>
      </c>
      <c r="D76" s="443"/>
      <c r="E76" s="465">
        <f>E71+E75</f>
        <v>0</v>
      </c>
      <c r="F76" s="461">
        <f t="shared" ref="F76:M76" si="8">F71+F75</f>
        <v>0</v>
      </c>
      <c r="G76" s="462">
        <f t="shared" si="8"/>
        <v>0</v>
      </c>
      <c r="H76" s="463">
        <f t="shared" si="8"/>
        <v>0</v>
      </c>
      <c r="I76" s="461">
        <f t="shared" si="8"/>
        <v>0</v>
      </c>
      <c r="J76" s="464">
        <f t="shared" si="8"/>
        <v>0</v>
      </c>
      <c r="K76" s="465">
        <f t="shared" si="8"/>
        <v>0</v>
      </c>
      <c r="L76" s="461">
        <f t="shared" si="8"/>
        <v>0</v>
      </c>
      <c r="M76" s="462">
        <f t="shared" si="8"/>
        <v>0</v>
      </c>
    </row>
    <row r="77" spans="2:13" ht="11.25" customHeight="1" x14ac:dyDescent="0.25">
      <c r="B77" s="1330"/>
      <c r="C77" s="430" t="s">
        <v>1161</v>
      </c>
      <c r="D77" s="443"/>
      <c r="E77" s="470"/>
      <c r="F77" s="466"/>
      <c r="G77" s="469"/>
      <c r="H77" s="468"/>
      <c r="I77" s="466"/>
      <c r="J77" s="469"/>
      <c r="K77" s="470"/>
      <c r="L77" s="466"/>
      <c r="M77" s="467"/>
    </row>
    <row r="78" spans="2:13" ht="11.25" customHeight="1" x14ac:dyDescent="0.25">
      <c r="B78" s="1330"/>
      <c r="C78" s="431" t="s">
        <v>1162</v>
      </c>
      <c r="D78" s="443"/>
      <c r="E78" s="470">
        <f t="shared" ref="E78:M78" si="9">E124+E170+E216</f>
        <v>0</v>
      </c>
      <c r="F78" s="466">
        <f t="shared" si="9"/>
        <v>0</v>
      </c>
      <c r="G78" s="467">
        <f t="shared" si="9"/>
        <v>0</v>
      </c>
      <c r="H78" s="468">
        <f t="shared" si="9"/>
        <v>0</v>
      </c>
      <c r="I78" s="466">
        <f t="shared" si="9"/>
        <v>0</v>
      </c>
      <c r="J78" s="469">
        <f t="shared" si="9"/>
        <v>0</v>
      </c>
      <c r="K78" s="470">
        <f t="shared" si="9"/>
        <v>0</v>
      </c>
      <c r="L78" s="466">
        <f t="shared" si="9"/>
        <v>0</v>
      </c>
      <c r="M78" s="467">
        <f t="shared" si="9"/>
        <v>0</v>
      </c>
    </row>
    <row r="79" spans="2:13" ht="11.25" customHeight="1" x14ac:dyDescent="0.25">
      <c r="B79" s="1330"/>
      <c r="C79" s="431" t="s">
        <v>1163</v>
      </c>
      <c r="D79" s="443"/>
      <c r="E79" s="470">
        <f t="shared" ref="E79:M79" si="10">E125+E171+E217</f>
        <v>0</v>
      </c>
      <c r="F79" s="466">
        <f t="shared" si="10"/>
        <v>0</v>
      </c>
      <c r="G79" s="467">
        <f t="shared" si="10"/>
        <v>0</v>
      </c>
      <c r="H79" s="468">
        <f t="shared" si="10"/>
        <v>0</v>
      </c>
      <c r="I79" s="466">
        <f t="shared" si="10"/>
        <v>0</v>
      </c>
      <c r="J79" s="469">
        <f t="shared" si="10"/>
        <v>0</v>
      </c>
      <c r="K79" s="470">
        <f t="shared" si="10"/>
        <v>0</v>
      </c>
      <c r="L79" s="466">
        <f t="shared" si="10"/>
        <v>0</v>
      </c>
      <c r="M79" s="467">
        <f t="shared" si="10"/>
        <v>0</v>
      </c>
    </row>
    <row r="80" spans="2:13" ht="11.25" customHeight="1" x14ac:dyDescent="0.25">
      <c r="B80" s="1330"/>
      <c r="C80" s="431" t="s">
        <v>1228</v>
      </c>
      <c r="D80" s="443"/>
      <c r="E80" s="470">
        <f t="shared" ref="E80:M80" si="11">E126+E172+E218</f>
        <v>0</v>
      </c>
      <c r="F80" s="466">
        <f t="shared" si="11"/>
        <v>0</v>
      </c>
      <c r="G80" s="467">
        <f t="shared" si="11"/>
        <v>0</v>
      </c>
      <c r="H80" s="468">
        <f t="shared" si="11"/>
        <v>0</v>
      </c>
      <c r="I80" s="466">
        <f t="shared" si="11"/>
        <v>0</v>
      </c>
      <c r="J80" s="469">
        <f t="shared" si="11"/>
        <v>0</v>
      </c>
      <c r="K80" s="470">
        <f t="shared" si="11"/>
        <v>0</v>
      </c>
      <c r="L80" s="466">
        <f t="shared" si="11"/>
        <v>0</v>
      </c>
      <c r="M80" s="467">
        <f t="shared" si="11"/>
        <v>0</v>
      </c>
    </row>
    <row r="81" spans="2:13" ht="11.25" customHeight="1" x14ac:dyDescent="0.25">
      <c r="B81" s="1330"/>
      <c r="C81" s="431" t="s">
        <v>211</v>
      </c>
      <c r="D81" s="443"/>
      <c r="E81" s="470">
        <f t="shared" ref="E81:M81" si="12">E127+E173+E219</f>
        <v>0</v>
      </c>
      <c r="F81" s="466">
        <f t="shared" si="12"/>
        <v>0</v>
      </c>
      <c r="G81" s="467">
        <f t="shared" si="12"/>
        <v>0</v>
      </c>
      <c r="H81" s="468">
        <f t="shared" si="12"/>
        <v>0</v>
      </c>
      <c r="I81" s="466">
        <f t="shared" si="12"/>
        <v>0</v>
      </c>
      <c r="J81" s="469">
        <f t="shared" si="12"/>
        <v>0</v>
      </c>
      <c r="K81" s="470">
        <f t="shared" si="12"/>
        <v>0</v>
      </c>
      <c r="L81" s="466">
        <f t="shared" si="12"/>
        <v>0</v>
      </c>
      <c r="M81" s="467">
        <f t="shared" si="12"/>
        <v>0</v>
      </c>
    </row>
    <row r="82" spans="2:13" ht="11.25" customHeight="1" x14ac:dyDescent="0.25">
      <c r="B82" s="1330"/>
      <c r="C82" s="431" t="s">
        <v>213</v>
      </c>
      <c r="D82" s="443"/>
      <c r="E82" s="470">
        <f t="shared" ref="E82:M82" si="13">E128+E174+E220</f>
        <v>0</v>
      </c>
      <c r="F82" s="466">
        <f t="shared" si="13"/>
        <v>0</v>
      </c>
      <c r="G82" s="467">
        <f t="shared" si="13"/>
        <v>0</v>
      </c>
      <c r="H82" s="468">
        <f t="shared" si="13"/>
        <v>0</v>
      </c>
      <c r="I82" s="466">
        <f t="shared" si="13"/>
        <v>0</v>
      </c>
      <c r="J82" s="469">
        <f t="shared" si="13"/>
        <v>0</v>
      </c>
      <c r="K82" s="470">
        <f t="shared" si="13"/>
        <v>0</v>
      </c>
      <c r="L82" s="466">
        <f t="shared" si="13"/>
        <v>0</v>
      </c>
      <c r="M82" s="467">
        <f t="shared" si="13"/>
        <v>0</v>
      </c>
    </row>
    <row r="83" spans="2:13" ht="11.25" customHeight="1" x14ac:dyDescent="0.25">
      <c r="B83" s="1330"/>
      <c r="C83" s="433" t="s">
        <v>323</v>
      </c>
      <c r="D83" s="443"/>
      <c r="E83" s="455">
        <f>SUM(E78:E82)</f>
        <v>0</v>
      </c>
      <c r="F83" s="451">
        <f t="shared" ref="F83:M83" si="14">SUM(F78:F82)</f>
        <v>0</v>
      </c>
      <c r="G83" s="452">
        <f t="shared" si="14"/>
        <v>0</v>
      </c>
      <c r="H83" s="453">
        <f t="shared" si="14"/>
        <v>0</v>
      </c>
      <c r="I83" s="451">
        <f t="shared" si="14"/>
        <v>0</v>
      </c>
      <c r="J83" s="454">
        <f t="shared" si="14"/>
        <v>0</v>
      </c>
      <c r="K83" s="455">
        <f t="shared" si="14"/>
        <v>0</v>
      </c>
      <c r="L83" s="451">
        <f t="shared" si="14"/>
        <v>0</v>
      </c>
      <c r="M83" s="452">
        <f t="shared" si="14"/>
        <v>0</v>
      </c>
    </row>
    <row r="84" spans="2:13" ht="11.25" customHeight="1" x14ac:dyDescent="0.25">
      <c r="B84" s="1330"/>
      <c r="C84" s="431" t="s">
        <v>212</v>
      </c>
      <c r="D84" s="443"/>
      <c r="E84" s="470">
        <f t="shared" ref="E84:M84" si="15">E130+E176+E222</f>
        <v>0</v>
      </c>
      <c r="F84" s="466">
        <f t="shared" si="15"/>
        <v>0</v>
      </c>
      <c r="G84" s="467">
        <f t="shared" si="15"/>
        <v>0</v>
      </c>
      <c r="H84" s="468">
        <f t="shared" si="15"/>
        <v>0</v>
      </c>
      <c r="I84" s="466">
        <f t="shared" si="15"/>
        <v>0</v>
      </c>
      <c r="J84" s="469">
        <f t="shared" si="15"/>
        <v>0</v>
      </c>
      <c r="K84" s="470">
        <f t="shared" si="15"/>
        <v>0</v>
      </c>
      <c r="L84" s="466">
        <f t="shared" si="15"/>
        <v>0</v>
      </c>
      <c r="M84" s="467">
        <f t="shared" si="15"/>
        <v>0</v>
      </c>
    </row>
    <row r="85" spans="2:13" ht="11.25" customHeight="1" x14ac:dyDescent="0.25">
      <c r="B85" s="1330"/>
      <c r="C85" s="431" t="s">
        <v>1071</v>
      </c>
      <c r="D85" s="443"/>
      <c r="E85" s="470">
        <f t="shared" ref="E85:M85" si="16">E131+E177+E223</f>
        <v>0</v>
      </c>
      <c r="F85" s="466">
        <f t="shared" si="16"/>
        <v>0</v>
      </c>
      <c r="G85" s="467">
        <f t="shared" si="16"/>
        <v>0</v>
      </c>
      <c r="H85" s="468">
        <f t="shared" si="16"/>
        <v>0</v>
      </c>
      <c r="I85" s="466">
        <f t="shared" si="16"/>
        <v>0</v>
      </c>
      <c r="J85" s="469">
        <f t="shared" si="16"/>
        <v>0</v>
      </c>
      <c r="K85" s="470">
        <f t="shared" si="16"/>
        <v>0</v>
      </c>
      <c r="L85" s="466">
        <f t="shared" si="16"/>
        <v>0</v>
      </c>
      <c r="M85" s="467">
        <f t="shared" si="16"/>
        <v>0</v>
      </c>
    </row>
    <row r="86" spans="2:13" ht="11.25" customHeight="1" x14ac:dyDescent="0.25">
      <c r="B86" s="1330"/>
      <c r="C86" s="431" t="s">
        <v>1230</v>
      </c>
      <c r="D86" s="443"/>
      <c r="E86" s="470">
        <f t="shared" ref="E86:M86" si="17">E132+E178+E224</f>
        <v>0</v>
      </c>
      <c r="F86" s="466">
        <f t="shared" si="17"/>
        <v>0</v>
      </c>
      <c r="G86" s="467">
        <f t="shared" si="17"/>
        <v>0</v>
      </c>
      <c r="H86" s="468">
        <f t="shared" si="17"/>
        <v>0</v>
      </c>
      <c r="I86" s="466">
        <f t="shared" si="17"/>
        <v>0</v>
      </c>
      <c r="J86" s="469">
        <f t="shared" si="17"/>
        <v>0</v>
      </c>
      <c r="K86" s="470">
        <f t="shared" si="17"/>
        <v>0</v>
      </c>
      <c r="L86" s="466">
        <f t="shared" si="17"/>
        <v>0</v>
      </c>
      <c r="M86" s="467">
        <f t="shared" si="17"/>
        <v>0</v>
      </c>
    </row>
    <row r="87" spans="2:13" ht="11.25" customHeight="1" x14ac:dyDescent="0.25">
      <c r="B87" s="1330"/>
      <c r="C87" s="433" t="s">
        <v>1124</v>
      </c>
      <c r="D87" s="443"/>
      <c r="E87" s="460">
        <f>SUM(E84:E86)</f>
        <v>0</v>
      </c>
      <c r="F87" s="456">
        <f t="shared" ref="F87:M87" si="18">SUM(F84:F86)</f>
        <v>0</v>
      </c>
      <c r="G87" s="457">
        <f t="shared" si="18"/>
        <v>0</v>
      </c>
      <c r="H87" s="458">
        <f t="shared" si="18"/>
        <v>0</v>
      </c>
      <c r="I87" s="456">
        <f t="shared" si="18"/>
        <v>0</v>
      </c>
      <c r="J87" s="459">
        <f t="shared" si="18"/>
        <v>0</v>
      </c>
      <c r="K87" s="460">
        <f t="shared" si="18"/>
        <v>0</v>
      </c>
      <c r="L87" s="456">
        <f t="shared" si="18"/>
        <v>0</v>
      </c>
      <c r="M87" s="457">
        <f t="shared" si="18"/>
        <v>0</v>
      </c>
    </row>
    <row r="88" spans="2:13" ht="11.25" customHeight="1" x14ac:dyDescent="0.25">
      <c r="B88" s="1330"/>
      <c r="C88" s="434" t="s">
        <v>1160</v>
      </c>
      <c r="D88" s="443"/>
      <c r="E88" s="465">
        <f>E83+E87</f>
        <v>0</v>
      </c>
      <c r="F88" s="461">
        <f t="shared" ref="F88:M88" si="19">F83+F87</f>
        <v>0</v>
      </c>
      <c r="G88" s="462">
        <f t="shared" si="19"/>
        <v>0</v>
      </c>
      <c r="H88" s="463">
        <f t="shared" si="19"/>
        <v>0</v>
      </c>
      <c r="I88" s="461">
        <f t="shared" si="19"/>
        <v>0</v>
      </c>
      <c r="J88" s="464">
        <f t="shared" si="19"/>
        <v>0</v>
      </c>
      <c r="K88" s="465">
        <f t="shared" si="19"/>
        <v>0</v>
      </c>
      <c r="L88" s="461">
        <f t="shared" si="19"/>
        <v>0</v>
      </c>
      <c r="M88" s="462">
        <f t="shared" si="19"/>
        <v>0</v>
      </c>
    </row>
    <row r="89" spans="2:13" ht="11.25" customHeight="1" x14ac:dyDescent="0.25">
      <c r="B89" s="1330"/>
      <c r="C89" s="430" t="s">
        <v>589</v>
      </c>
      <c r="D89" s="443"/>
      <c r="E89" s="470"/>
      <c r="F89" s="466"/>
      <c r="G89" s="469"/>
      <c r="H89" s="468"/>
      <c r="I89" s="466"/>
      <c r="J89" s="469"/>
      <c r="K89" s="470"/>
      <c r="L89" s="466"/>
      <c r="M89" s="467"/>
    </row>
    <row r="90" spans="2:13" ht="11.25" customHeight="1" x14ac:dyDescent="0.25">
      <c r="B90" s="1330"/>
      <c r="C90" s="431" t="s">
        <v>1072</v>
      </c>
      <c r="D90" s="443"/>
      <c r="E90" s="470">
        <f t="shared" ref="E90:M90" si="20">E136+E182+E228</f>
        <v>0</v>
      </c>
      <c r="F90" s="466">
        <f t="shared" si="20"/>
        <v>0</v>
      </c>
      <c r="G90" s="467">
        <f t="shared" si="20"/>
        <v>0</v>
      </c>
      <c r="H90" s="468">
        <f t="shared" si="20"/>
        <v>0</v>
      </c>
      <c r="I90" s="466">
        <f t="shared" si="20"/>
        <v>0</v>
      </c>
      <c r="J90" s="469">
        <f t="shared" si="20"/>
        <v>0</v>
      </c>
      <c r="K90" s="470">
        <f t="shared" si="20"/>
        <v>0</v>
      </c>
      <c r="L90" s="466">
        <f t="shared" si="20"/>
        <v>0</v>
      </c>
      <c r="M90" s="467">
        <f t="shared" si="20"/>
        <v>0</v>
      </c>
    </row>
    <row r="91" spans="2:13" ht="11.25" customHeight="1" x14ac:dyDescent="0.25">
      <c r="B91" s="1330"/>
      <c r="C91" s="431" t="s">
        <v>436</v>
      </c>
      <c r="D91" s="443"/>
      <c r="E91" s="470">
        <f t="shared" ref="E91:M91" si="21">E137+E183+E229</f>
        <v>0</v>
      </c>
      <c r="F91" s="466">
        <f t="shared" si="21"/>
        <v>0</v>
      </c>
      <c r="G91" s="467">
        <f t="shared" si="21"/>
        <v>0</v>
      </c>
      <c r="H91" s="468">
        <f t="shared" si="21"/>
        <v>0</v>
      </c>
      <c r="I91" s="466">
        <f t="shared" si="21"/>
        <v>0</v>
      </c>
      <c r="J91" s="469">
        <f t="shared" si="21"/>
        <v>0</v>
      </c>
      <c r="K91" s="470">
        <f t="shared" si="21"/>
        <v>0</v>
      </c>
      <c r="L91" s="466">
        <f t="shared" si="21"/>
        <v>0</v>
      </c>
      <c r="M91" s="467">
        <f t="shared" si="21"/>
        <v>0</v>
      </c>
    </row>
    <row r="92" spans="2:13" ht="11.25" customHeight="1" x14ac:dyDescent="0.25">
      <c r="B92" s="1330"/>
      <c r="C92" s="433" t="s">
        <v>323</v>
      </c>
      <c r="D92" s="443"/>
      <c r="E92" s="455">
        <f>SUM(E90:E91)</f>
        <v>0</v>
      </c>
      <c r="F92" s="451">
        <f t="shared" ref="F92:M92" si="22">SUM(F90:F91)</f>
        <v>0</v>
      </c>
      <c r="G92" s="452">
        <f t="shared" si="22"/>
        <v>0</v>
      </c>
      <c r="H92" s="453">
        <f t="shared" si="22"/>
        <v>0</v>
      </c>
      <c r="I92" s="451">
        <f t="shared" si="22"/>
        <v>0</v>
      </c>
      <c r="J92" s="454">
        <f t="shared" si="22"/>
        <v>0</v>
      </c>
      <c r="K92" s="455">
        <f t="shared" si="22"/>
        <v>0</v>
      </c>
      <c r="L92" s="451">
        <f t="shared" si="22"/>
        <v>0</v>
      </c>
      <c r="M92" s="452">
        <f t="shared" si="22"/>
        <v>0</v>
      </c>
    </row>
    <row r="93" spans="2:13" ht="11.25" customHeight="1" x14ac:dyDescent="0.25">
      <c r="B93" s="1330"/>
      <c r="C93" s="431" t="s">
        <v>437</v>
      </c>
      <c r="D93" s="443"/>
      <c r="E93" s="470">
        <f t="shared" ref="E93:M93" si="23">E139+E185+E231</f>
        <v>0</v>
      </c>
      <c r="F93" s="466">
        <f t="shared" si="23"/>
        <v>0</v>
      </c>
      <c r="G93" s="467">
        <f t="shared" si="23"/>
        <v>0</v>
      </c>
      <c r="H93" s="468">
        <f t="shared" si="23"/>
        <v>0</v>
      </c>
      <c r="I93" s="466">
        <f t="shared" si="23"/>
        <v>0</v>
      </c>
      <c r="J93" s="469">
        <f t="shared" si="23"/>
        <v>0</v>
      </c>
      <c r="K93" s="470">
        <f t="shared" si="23"/>
        <v>0</v>
      </c>
      <c r="L93" s="466">
        <f t="shared" si="23"/>
        <v>0</v>
      </c>
      <c r="M93" s="467">
        <f t="shared" si="23"/>
        <v>0</v>
      </c>
    </row>
    <row r="94" spans="2:13" ht="11.25" customHeight="1" x14ac:dyDescent="0.25">
      <c r="B94" s="1330"/>
      <c r="C94" s="431" t="s">
        <v>438</v>
      </c>
      <c r="D94" s="443"/>
      <c r="E94" s="470">
        <f t="shared" ref="E94:M94" si="24">E140+E186+E232</f>
        <v>0</v>
      </c>
      <c r="F94" s="466">
        <f t="shared" si="24"/>
        <v>0</v>
      </c>
      <c r="G94" s="467">
        <f t="shared" si="24"/>
        <v>0</v>
      </c>
      <c r="H94" s="468">
        <f t="shared" si="24"/>
        <v>0</v>
      </c>
      <c r="I94" s="466">
        <f t="shared" si="24"/>
        <v>0</v>
      </c>
      <c r="J94" s="469">
        <f t="shared" si="24"/>
        <v>0</v>
      </c>
      <c r="K94" s="470">
        <f t="shared" si="24"/>
        <v>0</v>
      </c>
      <c r="L94" s="466">
        <f t="shared" si="24"/>
        <v>0</v>
      </c>
      <c r="M94" s="467">
        <f t="shared" si="24"/>
        <v>0</v>
      </c>
    </row>
    <row r="95" spans="2:13" ht="11.25" customHeight="1" x14ac:dyDescent="0.25">
      <c r="B95" s="1330"/>
      <c r="C95" s="431" t="s">
        <v>590</v>
      </c>
      <c r="D95" s="443"/>
      <c r="E95" s="470">
        <f t="shared" ref="E95:M95" si="25">E141+E187+E233</f>
        <v>0</v>
      </c>
      <c r="F95" s="466">
        <f t="shared" si="25"/>
        <v>0</v>
      </c>
      <c r="G95" s="467">
        <f t="shared" si="25"/>
        <v>0</v>
      </c>
      <c r="H95" s="468">
        <f t="shared" si="25"/>
        <v>0</v>
      </c>
      <c r="I95" s="466">
        <f t="shared" si="25"/>
        <v>0</v>
      </c>
      <c r="J95" s="469">
        <f t="shared" si="25"/>
        <v>0</v>
      </c>
      <c r="K95" s="470">
        <f t="shared" si="25"/>
        <v>0</v>
      </c>
      <c r="L95" s="466">
        <f t="shared" si="25"/>
        <v>0</v>
      </c>
      <c r="M95" s="467">
        <f t="shared" si="25"/>
        <v>0</v>
      </c>
    </row>
    <row r="96" spans="2:13" ht="11.25" customHeight="1" x14ac:dyDescent="0.25">
      <c r="B96" s="1330"/>
      <c r="C96" s="433" t="s">
        <v>1124</v>
      </c>
      <c r="D96" s="443"/>
      <c r="E96" s="460">
        <f>SUM(E93:E95)</f>
        <v>0</v>
      </c>
      <c r="F96" s="456">
        <f t="shared" ref="F96:M96" si="26">SUM(F93:F95)</f>
        <v>0</v>
      </c>
      <c r="G96" s="457">
        <f t="shared" si="26"/>
        <v>0</v>
      </c>
      <c r="H96" s="458">
        <f t="shared" si="26"/>
        <v>0</v>
      </c>
      <c r="I96" s="456">
        <f t="shared" si="26"/>
        <v>0</v>
      </c>
      <c r="J96" s="459">
        <f t="shared" si="26"/>
        <v>0</v>
      </c>
      <c r="K96" s="460">
        <f t="shared" si="26"/>
        <v>0</v>
      </c>
      <c r="L96" s="456">
        <f t="shared" si="26"/>
        <v>0</v>
      </c>
      <c r="M96" s="457">
        <f t="shared" si="26"/>
        <v>0</v>
      </c>
    </row>
    <row r="97" spans="1:13" ht="11.25" customHeight="1" x14ac:dyDescent="0.25">
      <c r="B97" s="1330"/>
      <c r="C97" s="434" t="s">
        <v>1160</v>
      </c>
      <c r="D97" s="443"/>
      <c r="E97" s="465">
        <f>E92+E96</f>
        <v>0</v>
      </c>
      <c r="F97" s="461">
        <f t="shared" ref="F97:M97" si="27">F92+F96</f>
        <v>0</v>
      </c>
      <c r="G97" s="462">
        <f t="shared" si="27"/>
        <v>0</v>
      </c>
      <c r="H97" s="463">
        <f t="shared" si="27"/>
        <v>0</v>
      </c>
      <c r="I97" s="461">
        <f t="shared" si="27"/>
        <v>0</v>
      </c>
      <c r="J97" s="464">
        <f t="shared" si="27"/>
        <v>0</v>
      </c>
      <c r="K97" s="465">
        <f t="shared" si="27"/>
        <v>0</v>
      </c>
      <c r="L97" s="461">
        <f t="shared" si="27"/>
        <v>0</v>
      </c>
      <c r="M97" s="462">
        <f t="shared" si="27"/>
        <v>0</v>
      </c>
    </row>
    <row r="98" spans="1:13" ht="11.25" customHeight="1" x14ac:dyDescent="0.25">
      <c r="B98" s="1330"/>
      <c r="C98" s="430" t="s">
        <v>592</v>
      </c>
      <c r="D98" s="443"/>
      <c r="E98" s="470"/>
      <c r="F98" s="466"/>
      <c r="G98" s="469"/>
      <c r="H98" s="468"/>
      <c r="I98" s="466"/>
      <c r="J98" s="469"/>
      <c r="K98" s="470"/>
      <c r="L98" s="466"/>
      <c r="M98" s="467"/>
    </row>
    <row r="99" spans="1:13" ht="11.25" customHeight="1" x14ac:dyDescent="0.25">
      <c r="B99" s="1330"/>
      <c r="C99" s="431" t="s">
        <v>633</v>
      </c>
      <c r="D99" s="443"/>
      <c r="E99" s="580">
        <f t="shared" ref="E99:M99" si="28">E145+E191+E237</f>
        <v>0</v>
      </c>
      <c r="F99" s="578">
        <f t="shared" si="28"/>
        <v>0</v>
      </c>
      <c r="G99" s="584">
        <f t="shared" si="28"/>
        <v>0</v>
      </c>
      <c r="H99" s="585">
        <f t="shared" si="28"/>
        <v>0</v>
      </c>
      <c r="I99" s="578">
        <f t="shared" si="28"/>
        <v>0</v>
      </c>
      <c r="J99" s="586">
        <f t="shared" si="28"/>
        <v>0</v>
      </c>
      <c r="K99" s="580">
        <f t="shared" si="28"/>
        <v>0</v>
      </c>
      <c r="L99" s="578">
        <f t="shared" si="28"/>
        <v>0</v>
      </c>
      <c r="M99" s="584">
        <f t="shared" si="28"/>
        <v>0</v>
      </c>
    </row>
    <row r="100" spans="1:13" ht="11.25" customHeight="1" x14ac:dyDescent="0.25">
      <c r="B100" s="1330"/>
      <c r="C100" s="433" t="s">
        <v>323</v>
      </c>
      <c r="D100" s="443"/>
      <c r="E100" s="470">
        <f>SUM(E99)</f>
        <v>0</v>
      </c>
      <c r="F100" s="466">
        <f t="shared" ref="F100:M100" si="29">SUM(F99)</f>
        <v>0</v>
      </c>
      <c r="G100" s="467">
        <f t="shared" si="29"/>
        <v>0</v>
      </c>
      <c r="H100" s="468">
        <f t="shared" si="29"/>
        <v>0</v>
      </c>
      <c r="I100" s="466">
        <f t="shared" si="29"/>
        <v>0</v>
      </c>
      <c r="J100" s="469">
        <f t="shared" si="29"/>
        <v>0</v>
      </c>
      <c r="K100" s="470">
        <f t="shared" si="29"/>
        <v>0</v>
      </c>
      <c r="L100" s="466">
        <f t="shared" si="29"/>
        <v>0</v>
      </c>
      <c r="M100" s="467">
        <f t="shared" si="29"/>
        <v>0</v>
      </c>
    </row>
    <row r="101" spans="1:13" ht="11.25" customHeight="1" x14ac:dyDescent="0.25">
      <c r="B101" s="1330"/>
      <c r="C101" s="431" t="s">
        <v>593</v>
      </c>
      <c r="D101" s="443"/>
      <c r="E101" s="470">
        <f t="shared" ref="E101:M101" si="30">E147+E193+E239</f>
        <v>0</v>
      </c>
      <c r="F101" s="466">
        <f t="shared" si="30"/>
        <v>0</v>
      </c>
      <c r="G101" s="467">
        <f t="shared" si="30"/>
        <v>0</v>
      </c>
      <c r="H101" s="468">
        <f t="shared" si="30"/>
        <v>0</v>
      </c>
      <c r="I101" s="466">
        <f t="shared" si="30"/>
        <v>0</v>
      </c>
      <c r="J101" s="469">
        <f t="shared" si="30"/>
        <v>0</v>
      </c>
      <c r="K101" s="470">
        <f t="shared" si="30"/>
        <v>0</v>
      </c>
      <c r="L101" s="466">
        <f t="shared" si="30"/>
        <v>0</v>
      </c>
      <c r="M101" s="467">
        <f t="shared" si="30"/>
        <v>0</v>
      </c>
    </row>
    <row r="102" spans="1:13" ht="11.25" customHeight="1" x14ac:dyDescent="0.25">
      <c r="B102" s="1330"/>
      <c r="C102" s="431" t="s">
        <v>594</v>
      </c>
      <c r="D102" s="443"/>
      <c r="E102" s="470">
        <f t="shared" ref="E102:M102" si="31">E148+E194+E240</f>
        <v>0</v>
      </c>
      <c r="F102" s="466">
        <f t="shared" si="31"/>
        <v>0</v>
      </c>
      <c r="G102" s="467">
        <f t="shared" si="31"/>
        <v>0</v>
      </c>
      <c r="H102" s="468">
        <f t="shared" si="31"/>
        <v>0</v>
      </c>
      <c r="I102" s="466">
        <f t="shared" si="31"/>
        <v>0</v>
      </c>
      <c r="J102" s="469">
        <f t="shared" si="31"/>
        <v>0</v>
      </c>
      <c r="K102" s="470">
        <f t="shared" si="31"/>
        <v>0</v>
      </c>
      <c r="L102" s="466">
        <f t="shared" si="31"/>
        <v>0</v>
      </c>
      <c r="M102" s="467">
        <f t="shared" si="31"/>
        <v>0</v>
      </c>
    </row>
    <row r="103" spans="1:13" ht="11.25" customHeight="1" x14ac:dyDescent="0.25">
      <c r="B103" s="1330"/>
      <c r="C103" s="431" t="s">
        <v>755</v>
      </c>
      <c r="D103" s="443"/>
      <c r="E103" s="470">
        <f t="shared" ref="E103:M103" si="32">E149+E195+E241</f>
        <v>0</v>
      </c>
      <c r="F103" s="466">
        <f t="shared" si="32"/>
        <v>0</v>
      </c>
      <c r="G103" s="467">
        <f t="shared" si="32"/>
        <v>0</v>
      </c>
      <c r="H103" s="468">
        <f t="shared" si="32"/>
        <v>0</v>
      </c>
      <c r="I103" s="466">
        <f t="shared" si="32"/>
        <v>0</v>
      </c>
      <c r="J103" s="469">
        <f t="shared" si="32"/>
        <v>0</v>
      </c>
      <c r="K103" s="470">
        <f t="shared" si="32"/>
        <v>0</v>
      </c>
      <c r="L103" s="466">
        <f t="shared" si="32"/>
        <v>0</v>
      </c>
      <c r="M103" s="467">
        <f t="shared" si="32"/>
        <v>0</v>
      </c>
    </row>
    <row r="104" spans="1:13" ht="11.25" customHeight="1" x14ac:dyDescent="0.25">
      <c r="B104" s="1330"/>
      <c r="C104" s="431" t="s">
        <v>756</v>
      </c>
      <c r="D104" s="443"/>
      <c r="E104" s="470">
        <f t="shared" ref="E104:M104" si="33">E150+E196+E242</f>
        <v>0</v>
      </c>
      <c r="F104" s="466">
        <f t="shared" si="33"/>
        <v>0</v>
      </c>
      <c r="G104" s="467">
        <f t="shared" si="33"/>
        <v>0</v>
      </c>
      <c r="H104" s="468">
        <f t="shared" si="33"/>
        <v>0</v>
      </c>
      <c r="I104" s="466">
        <f t="shared" si="33"/>
        <v>0</v>
      </c>
      <c r="J104" s="469">
        <f t="shared" si="33"/>
        <v>0</v>
      </c>
      <c r="K104" s="470">
        <f t="shared" si="33"/>
        <v>0</v>
      </c>
      <c r="L104" s="466">
        <f t="shared" si="33"/>
        <v>0</v>
      </c>
      <c r="M104" s="467">
        <f t="shared" si="33"/>
        <v>0</v>
      </c>
    </row>
    <row r="105" spans="1:13" ht="11.25" customHeight="1" x14ac:dyDescent="0.25">
      <c r="B105" s="1330"/>
      <c r="C105" s="431" t="s">
        <v>170</v>
      </c>
      <c r="D105" s="443"/>
      <c r="E105" s="470">
        <f t="shared" ref="E105:M105" si="34">E151+E197+E243</f>
        <v>0</v>
      </c>
      <c r="F105" s="466">
        <f t="shared" si="34"/>
        <v>0</v>
      </c>
      <c r="G105" s="467">
        <f t="shared" si="34"/>
        <v>0</v>
      </c>
      <c r="H105" s="468">
        <f t="shared" si="34"/>
        <v>0</v>
      </c>
      <c r="I105" s="466">
        <f t="shared" si="34"/>
        <v>0</v>
      </c>
      <c r="J105" s="469">
        <f t="shared" si="34"/>
        <v>0</v>
      </c>
      <c r="K105" s="470">
        <f t="shared" si="34"/>
        <v>0</v>
      </c>
      <c r="L105" s="466">
        <f t="shared" si="34"/>
        <v>0</v>
      </c>
      <c r="M105" s="467">
        <f t="shared" si="34"/>
        <v>0</v>
      </c>
    </row>
    <row r="106" spans="1:13" ht="11.25" customHeight="1" x14ac:dyDescent="0.25">
      <c r="B106" s="1330"/>
      <c r="C106" s="433" t="s">
        <v>1124</v>
      </c>
      <c r="D106" s="443"/>
      <c r="E106" s="460">
        <f t="shared" ref="E106:M106" si="35">SUM(E101:E105)</f>
        <v>0</v>
      </c>
      <c r="F106" s="456">
        <f t="shared" si="35"/>
        <v>0</v>
      </c>
      <c r="G106" s="457">
        <f t="shared" si="35"/>
        <v>0</v>
      </c>
      <c r="H106" s="458">
        <f t="shared" si="35"/>
        <v>0</v>
      </c>
      <c r="I106" s="456">
        <f t="shared" si="35"/>
        <v>0</v>
      </c>
      <c r="J106" s="459">
        <f t="shared" si="35"/>
        <v>0</v>
      </c>
      <c r="K106" s="460">
        <f t="shared" si="35"/>
        <v>0</v>
      </c>
      <c r="L106" s="456">
        <f t="shared" si="35"/>
        <v>0</v>
      </c>
      <c r="M106" s="457">
        <f t="shared" si="35"/>
        <v>0</v>
      </c>
    </row>
    <row r="107" spans="1:13" ht="11.25" customHeight="1" x14ac:dyDescent="0.25">
      <c r="B107" s="1330"/>
      <c r="C107" s="434" t="s">
        <v>1160</v>
      </c>
      <c r="D107" s="443"/>
      <c r="E107" s="465">
        <f>E100+E106</f>
        <v>0</v>
      </c>
      <c r="F107" s="461">
        <f t="shared" ref="F107:M107" si="36">F100+F106</f>
        <v>0</v>
      </c>
      <c r="G107" s="462">
        <f t="shared" si="36"/>
        <v>0</v>
      </c>
      <c r="H107" s="463">
        <f t="shared" si="36"/>
        <v>0</v>
      </c>
      <c r="I107" s="461">
        <f t="shared" si="36"/>
        <v>0</v>
      </c>
      <c r="J107" s="464">
        <f t="shared" si="36"/>
        <v>0</v>
      </c>
      <c r="K107" s="465">
        <f t="shared" si="36"/>
        <v>0</v>
      </c>
      <c r="L107" s="461">
        <f t="shared" si="36"/>
        <v>0</v>
      </c>
      <c r="M107" s="462">
        <f t="shared" si="36"/>
        <v>0</v>
      </c>
    </row>
    <row r="108" spans="1:13" ht="4.9000000000000004" customHeight="1" x14ac:dyDescent="0.25">
      <c r="B108" s="1330"/>
      <c r="C108" s="435"/>
      <c r="D108" s="444"/>
      <c r="E108" s="114"/>
      <c r="F108" s="110"/>
      <c r="G108" s="111"/>
      <c r="H108" s="112"/>
      <c r="I108" s="110"/>
      <c r="J108" s="113"/>
      <c r="K108" s="114"/>
      <c r="L108" s="110"/>
      <c r="M108" s="111"/>
    </row>
    <row r="109" spans="1:13" ht="25.15" customHeight="1" x14ac:dyDescent="0.25">
      <c r="A109" s="2488" t="s">
        <v>1819</v>
      </c>
      <c r="B109" s="1324"/>
      <c r="C109" s="1325"/>
      <c r="D109" s="1326"/>
      <c r="E109" s="836" t="str">
        <f>head1b</f>
        <v>2017/18</v>
      </c>
      <c r="F109" s="837" t="str">
        <f>head1A</f>
        <v>2018/19</v>
      </c>
      <c r="G109" s="684" t="str">
        <f>Head1</f>
        <v>2019/20</v>
      </c>
      <c r="H109" s="2450" t="str">
        <f>Head2</f>
        <v>Current Year 2020/21</v>
      </c>
      <c r="I109" s="2451"/>
      <c r="J109" s="2452"/>
      <c r="K109" s="2450" t="str">
        <f>Head3</f>
        <v>2021/22 Medium Term Revenue &amp; Expenditure Framework</v>
      </c>
      <c r="L109" s="2451"/>
      <c r="M109" s="2452"/>
    </row>
    <row r="110" spans="1:13" ht="25.15" customHeight="1" x14ac:dyDescent="0.25">
      <c r="A110" s="2488"/>
      <c r="B110" s="1327" t="s">
        <v>1739</v>
      </c>
      <c r="C110" s="1328"/>
      <c r="D110" s="1329"/>
      <c r="E110" s="420" t="str">
        <f>Head5A</f>
        <v>Outcome</v>
      </c>
      <c r="F110" s="421" t="str">
        <f>Head5A</f>
        <v>Outcome</v>
      </c>
      <c r="G110" s="422" t="str">
        <f>Head5A</f>
        <v>Outcome</v>
      </c>
      <c r="H110" s="423" t="str">
        <f>Head6</f>
        <v>Original Budget</v>
      </c>
      <c r="I110" s="421" t="str">
        <f>Head7</f>
        <v>Adjusted Budget</v>
      </c>
      <c r="J110" s="422" t="str">
        <f>Head8</f>
        <v>Full Year Forecast</v>
      </c>
      <c r="K110" s="423" t="str">
        <f>Head9</f>
        <v>Budget Year 2021/22</v>
      </c>
      <c r="L110" s="421" t="str">
        <f>Head10</f>
        <v>Budget Year +1 2022/23</v>
      </c>
      <c r="M110" s="422" t="str">
        <f>Head11</f>
        <v>Budget Year +2 2023/24</v>
      </c>
    </row>
    <row r="111" spans="1:13" ht="11.25" customHeight="1" x14ac:dyDescent="0.25">
      <c r="B111" s="1330"/>
      <c r="C111" s="424" t="s">
        <v>172</v>
      </c>
      <c r="D111" s="443"/>
      <c r="E111" s="950"/>
      <c r="F111" s="1331"/>
      <c r="G111" s="1332"/>
      <c r="H111" s="425"/>
      <c r="I111" s="426"/>
      <c r="J111" s="427"/>
      <c r="K111" s="428"/>
      <c r="L111" s="426"/>
      <c r="M111" s="429"/>
    </row>
    <row r="112" spans="1:13" ht="11.25" customHeight="1" x14ac:dyDescent="0.25">
      <c r="B112" s="1330"/>
      <c r="C112" s="430" t="s">
        <v>1609</v>
      </c>
      <c r="D112" s="443"/>
      <c r="E112" s="102"/>
      <c r="F112" s="98"/>
      <c r="G112" s="101"/>
      <c r="H112" s="73"/>
      <c r="I112" s="71"/>
      <c r="J112" s="74"/>
      <c r="K112" s="75"/>
      <c r="L112" s="71"/>
      <c r="M112" s="72"/>
    </row>
    <row r="113" spans="2:13" ht="11.25" customHeight="1" x14ac:dyDescent="0.25">
      <c r="B113" s="1330"/>
      <c r="C113" s="431" t="s">
        <v>1442</v>
      </c>
      <c r="D113" s="443"/>
      <c r="E113" s="895"/>
      <c r="F113" s="891"/>
      <c r="G113" s="892"/>
      <c r="H113" s="1333"/>
      <c r="I113" s="891"/>
      <c r="J113" s="894"/>
      <c r="K113" s="895"/>
      <c r="L113" s="891"/>
      <c r="M113" s="892"/>
    </row>
    <row r="114" spans="2:13" ht="11.25" customHeight="1" x14ac:dyDescent="0.25">
      <c r="B114" s="1330"/>
      <c r="C114" s="431" t="s">
        <v>1608</v>
      </c>
      <c r="D114" s="443"/>
      <c r="E114" s="895"/>
      <c r="F114" s="891"/>
      <c r="G114" s="892"/>
      <c r="H114" s="1333"/>
      <c r="I114" s="891"/>
      <c r="J114" s="894"/>
      <c r="K114" s="895"/>
      <c r="L114" s="891"/>
      <c r="M114" s="892"/>
    </row>
    <row r="115" spans="2:13" ht="11.25" customHeight="1" x14ac:dyDescent="0.25">
      <c r="B115" s="432">
        <v>8</v>
      </c>
      <c r="C115" s="431" t="s">
        <v>111</v>
      </c>
      <c r="D115" s="443"/>
      <c r="E115" s="895"/>
      <c r="F115" s="891"/>
      <c r="G115" s="892"/>
      <c r="H115" s="1333"/>
      <c r="I115" s="891"/>
      <c r="J115" s="894"/>
      <c r="K115" s="895"/>
      <c r="L115" s="891"/>
      <c r="M115" s="892"/>
    </row>
    <row r="116" spans="2:13" ht="11.25" customHeight="1" x14ac:dyDescent="0.25">
      <c r="B116" s="432">
        <v>10</v>
      </c>
      <c r="C116" s="431" t="s">
        <v>112</v>
      </c>
      <c r="D116" s="443"/>
      <c r="E116" s="895"/>
      <c r="F116" s="891"/>
      <c r="G116" s="892"/>
      <c r="H116" s="1333"/>
      <c r="I116" s="891"/>
      <c r="J116" s="894"/>
      <c r="K116" s="895"/>
      <c r="L116" s="891"/>
      <c r="M116" s="892"/>
    </row>
    <row r="117" spans="2:13" ht="11.25" customHeight="1" x14ac:dyDescent="0.25">
      <c r="B117" s="432"/>
      <c r="C117" s="433" t="s">
        <v>323</v>
      </c>
      <c r="D117" s="443"/>
      <c r="E117" s="455">
        <f>SUM(E113:E116)</f>
        <v>0</v>
      </c>
      <c r="F117" s="451">
        <f t="shared" ref="F117:M117" si="37">SUM(F113:F116)</f>
        <v>0</v>
      </c>
      <c r="G117" s="452">
        <f t="shared" si="37"/>
        <v>0</v>
      </c>
      <c r="H117" s="453">
        <f t="shared" si="37"/>
        <v>0</v>
      </c>
      <c r="I117" s="451">
        <f t="shared" si="37"/>
        <v>0</v>
      </c>
      <c r="J117" s="454">
        <f t="shared" si="37"/>
        <v>0</v>
      </c>
      <c r="K117" s="455">
        <f t="shared" si="37"/>
        <v>0</v>
      </c>
      <c r="L117" s="451">
        <f t="shared" si="37"/>
        <v>0</v>
      </c>
      <c r="M117" s="452">
        <f t="shared" si="37"/>
        <v>0</v>
      </c>
    </row>
    <row r="118" spans="2:13" ht="11.25" customHeight="1" x14ac:dyDescent="0.25">
      <c r="B118" s="432">
        <v>9</v>
      </c>
      <c r="C118" s="431" t="s">
        <v>434</v>
      </c>
      <c r="D118" s="443"/>
      <c r="E118" s="895"/>
      <c r="F118" s="891"/>
      <c r="G118" s="892"/>
      <c r="H118" s="1333"/>
      <c r="I118" s="891"/>
      <c r="J118" s="894"/>
      <c r="K118" s="895"/>
      <c r="L118" s="891"/>
      <c r="M118" s="892"/>
    </row>
    <row r="119" spans="2:13" ht="11.25" customHeight="1" x14ac:dyDescent="0.25">
      <c r="B119" s="432">
        <v>10</v>
      </c>
      <c r="C119" s="431" t="s">
        <v>435</v>
      </c>
      <c r="D119" s="443"/>
      <c r="E119" s="895"/>
      <c r="F119" s="891"/>
      <c r="G119" s="892"/>
      <c r="H119" s="1333"/>
      <c r="I119" s="891"/>
      <c r="J119" s="894"/>
      <c r="K119" s="895"/>
      <c r="L119" s="891"/>
      <c r="M119" s="892"/>
    </row>
    <row r="120" spans="2:13" ht="11.25" customHeight="1" x14ac:dyDescent="0.25">
      <c r="B120" s="1330"/>
      <c r="C120" s="431" t="s">
        <v>835</v>
      </c>
      <c r="D120" s="443"/>
      <c r="E120" s="895"/>
      <c r="F120" s="891"/>
      <c r="G120" s="892"/>
      <c r="H120" s="1333"/>
      <c r="I120" s="891"/>
      <c r="J120" s="894"/>
      <c r="K120" s="895"/>
      <c r="L120" s="891"/>
      <c r="M120" s="892"/>
    </row>
    <row r="121" spans="2:13" ht="11.25" customHeight="1" x14ac:dyDescent="0.25">
      <c r="B121" s="1330"/>
      <c r="C121" s="433" t="s">
        <v>1124</v>
      </c>
      <c r="D121" s="443"/>
      <c r="E121" s="460">
        <f>SUM(E118:E120)</f>
        <v>0</v>
      </c>
      <c r="F121" s="456">
        <f t="shared" ref="F121:M121" si="38">SUM(F118:F120)</f>
        <v>0</v>
      </c>
      <c r="G121" s="457">
        <f t="shared" si="38"/>
        <v>0</v>
      </c>
      <c r="H121" s="458">
        <f t="shared" si="38"/>
        <v>0</v>
      </c>
      <c r="I121" s="456">
        <f t="shared" si="38"/>
        <v>0</v>
      </c>
      <c r="J121" s="459">
        <f t="shared" si="38"/>
        <v>0</v>
      </c>
      <c r="K121" s="460">
        <f t="shared" si="38"/>
        <v>0</v>
      </c>
      <c r="L121" s="456">
        <f t="shared" si="38"/>
        <v>0</v>
      </c>
      <c r="M121" s="457">
        <f t="shared" si="38"/>
        <v>0</v>
      </c>
    </row>
    <row r="122" spans="2:13" ht="11.25" customHeight="1" x14ac:dyDescent="0.25">
      <c r="B122" s="1330"/>
      <c r="C122" s="434" t="s">
        <v>1160</v>
      </c>
      <c r="D122" s="443"/>
      <c r="E122" s="465">
        <f>E117+E121</f>
        <v>0</v>
      </c>
      <c r="F122" s="461">
        <f t="shared" ref="F122:M122" si="39">F117+F121</f>
        <v>0</v>
      </c>
      <c r="G122" s="462">
        <f t="shared" si="39"/>
        <v>0</v>
      </c>
      <c r="H122" s="463">
        <f t="shared" si="39"/>
        <v>0</v>
      </c>
      <c r="I122" s="461">
        <f t="shared" si="39"/>
        <v>0</v>
      </c>
      <c r="J122" s="464">
        <f t="shared" si="39"/>
        <v>0</v>
      </c>
      <c r="K122" s="465">
        <f t="shared" si="39"/>
        <v>0</v>
      </c>
      <c r="L122" s="461">
        <f t="shared" si="39"/>
        <v>0</v>
      </c>
      <c r="M122" s="462">
        <f t="shared" si="39"/>
        <v>0</v>
      </c>
    </row>
    <row r="123" spans="2:13" ht="11.25" customHeight="1" x14ac:dyDescent="0.25">
      <c r="B123" s="1330"/>
      <c r="C123" s="430" t="s">
        <v>1161</v>
      </c>
      <c r="D123" s="443"/>
      <c r="E123" s="470"/>
      <c r="F123" s="466"/>
      <c r="G123" s="469"/>
      <c r="H123" s="468"/>
      <c r="I123" s="466"/>
      <c r="J123" s="469"/>
      <c r="K123" s="470"/>
      <c r="L123" s="466"/>
      <c r="M123" s="467"/>
    </row>
    <row r="124" spans="2:13" ht="11.25" customHeight="1" x14ac:dyDescent="0.25">
      <c r="B124" s="1330"/>
      <c r="C124" s="431" t="s">
        <v>1162</v>
      </c>
      <c r="D124" s="443"/>
      <c r="E124" s="895"/>
      <c r="F124" s="891"/>
      <c r="G124" s="892"/>
      <c r="H124" s="1333"/>
      <c r="I124" s="891"/>
      <c r="J124" s="894"/>
      <c r="K124" s="895"/>
      <c r="L124" s="891"/>
      <c r="M124" s="892"/>
    </row>
    <row r="125" spans="2:13" ht="11.25" customHeight="1" x14ac:dyDescent="0.25">
      <c r="B125" s="1330"/>
      <c r="C125" s="431" t="s">
        <v>1163</v>
      </c>
      <c r="D125" s="443"/>
      <c r="E125" s="895"/>
      <c r="F125" s="891"/>
      <c r="G125" s="892"/>
      <c r="H125" s="1333"/>
      <c r="I125" s="891"/>
      <c r="J125" s="894"/>
      <c r="K125" s="895"/>
      <c r="L125" s="891"/>
      <c r="M125" s="892"/>
    </row>
    <row r="126" spans="2:13" ht="11.25" customHeight="1" x14ac:dyDescent="0.25">
      <c r="B126" s="1330"/>
      <c r="C126" s="431" t="s">
        <v>1228</v>
      </c>
      <c r="D126" s="443"/>
      <c r="E126" s="895"/>
      <c r="F126" s="891"/>
      <c r="G126" s="892"/>
      <c r="H126" s="1333"/>
      <c r="I126" s="891"/>
      <c r="J126" s="894"/>
      <c r="K126" s="895"/>
      <c r="L126" s="891"/>
      <c r="M126" s="892"/>
    </row>
    <row r="127" spans="2:13" ht="11.25" customHeight="1" x14ac:dyDescent="0.25">
      <c r="B127" s="1330"/>
      <c r="C127" s="431" t="s">
        <v>211</v>
      </c>
      <c r="D127" s="443"/>
      <c r="E127" s="895"/>
      <c r="F127" s="891"/>
      <c r="G127" s="892"/>
      <c r="H127" s="1333"/>
      <c r="I127" s="891"/>
      <c r="J127" s="894"/>
      <c r="K127" s="895"/>
      <c r="L127" s="891"/>
      <c r="M127" s="892"/>
    </row>
    <row r="128" spans="2:13" ht="11.25" customHeight="1" x14ac:dyDescent="0.25">
      <c r="B128" s="1330"/>
      <c r="C128" s="431" t="s">
        <v>213</v>
      </c>
      <c r="D128" s="443"/>
      <c r="E128" s="895"/>
      <c r="F128" s="891"/>
      <c r="G128" s="892"/>
      <c r="H128" s="1333"/>
      <c r="I128" s="891"/>
      <c r="J128" s="894"/>
      <c r="K128" s="895"/>
      <c r="L128" s="891"/>
      <c r="M128" s="892"/>
    </row>
    <row r="129" spans="2:13" ht="11.25" customHeight="1" x14ac:dyDescent="0.25">
      <c r="B129" s="1330"/>
      <c r="C129" s="433" t="s">
        <v>323</v>
      </c>
      <c r="D129" s="443"/>
      <c r="E129" s="455">
        <f>SUM(E124:E128)</f>
        <v>0</v>
      </c>
      <c r="F129" s="451">
        <f t="shared" ref="F129:M129" si="40">SUM(F124:F128)</f>
        <v>0</v>
      </c>
      <c r="G129" s="452">
        <f t="shared" si="40"/>
        <v>0</v>
      </c>
      <c r="H129" s="453">
        <f t="shared" si="40"/>
        <v>0</v>
      </c>
      <c r="I129" s="451">
        <f t="shared" si="40"/>
        <v>0</v>
      </c>
      <c r="J129" s="454">
        <f t="shared" si="40"/>
        <v>0</v>
      </c>
      <c r="K129" s="455">
        <f t="shared" si="40"/>
        <v>0</v>
      </c>
      <c r="L129" s="451">
        <f t="shared" si="40"/>
        <v>0</v>
      </c>
      <c r="M129" s="452">
        <f t="shared" si="40"/>
        <v>0</v>
      </c>
    </row>
    <row r="130" spans="2:13" ht="11.25" customHeight="1" x14ac:dyDescent="0.25">
      <c r="B130" s="1330"/>
      <c r="C130" s="431" t="s">
        <v>212</v>
      </c>
      <c r="D130" s="443"/>
      <c r="E130" s="895"/>
      <c r="F130" s="891"/>
      <c r="G130" s="892"/>
      <c r="H130" s="1333"/>
      <c r="I130" s="891"/>
      <c r="J130" s="894"/>
      <c r="K130" s="895"/>
      <c r="L130" s="891"/>
      <c r="M130" s="892"/>
    </row>
    <row r="131" spans="2:13" ht="11.25" customHeight="1" x14ac:dyDescent="0.25">
      <c r="B131" s="1330"/>
      <c r="C131" s="431" t="s">
        <v>1071</v>
      </c>
      <c r="D131" s="443"/>
      <c r="E131" s="895"/>
      <c r="F131" s="891"/>
      <c r="G131" s="892"/>
      <c r="H131" s="1333"/>
      <c r="I131" s="891"/>
      <c r="J131" s="894"/>
      <c r="K131" s="895"/>
      <c r="L131" s="891"/>
      <c r="M131" s="892"/>
    </row>
    <row r="132" spans="2:13" ht="11.25" customHeight="1" x14ac:dyDescent="0.25">
      <c r="B132" s="1330"/>
      <c r="C132" s="431" t="s">
        <v>1230</v>
      </c>
      <c r="D132" s="443"/>
      <c r="E132" s="895"/>
      <c r="F132" s="891"/>
      <c r="G132" s="892"/>
      <c r="H132" s="1333"/>
      <c r="I132" s="891"/>
      <c r="J132" s="894"/>
      <c r="K132" s="895"/>
      <c r="L132" s="891"/>
      <c r="M132" s="892"/>
    </row>
    <row r="133" spans="2:13" ht="11.25" customHeight="1" x14ac:dyDescent="0.25">
      <c r="B133" s="1330"/>
      <c r="C133" s="433" t="s">
        <v>1124</v>
      </c>
      <c r="D133" s="443"/>
      <c r="E133" s="460">
        <f>SUM(E130:E132)</f>
        <v>0</v>
      </c>
      <c r="F133" s="456">
        <f t="shared" ref="F133:M133" si="41">SUM(F130:F132)</f>
        <v>0</v>
      </c>
      <c r="G133" s="457">
        <f t="shared" si="41"/>
        <v>0</v>
      </c>
      <c r="H133" s="458">
        <f t="shared" si="41"/>
        <v>0</v>
      </c>
      <c r="I133" s="456">
        <f t="shared" si="41"/>
        <v>0</v>
      </c>
      <c r="J133" s="459">
        <f t="shared" si="41"/>
        <v>0</v>
      </c>
      <c r="K133" s="460">
        <f t="shared" si="41"/>
        <v>0</v>
      </c>
      <c r="L133" s="456">
        <f t="shared" si="41"/>
        <v>0</v>
      </c>
      <c r="M133" s="457">
        <f t="shared" si="41"/>
        <v>0</v>
      </c>
    </row>
    <row r="134" spans="2:13" ht="11.25" customHeight="1" x14ac:dyDescent="0.25">
      <c r="B134" s="1330"/>
      <c r="C134" s="434" t="s">
        <v>1160</v>
      </c>
      <c r="D134" s="443"/>
      <c r="E134" s="465">
        <f>E129+E133</f>
        <v>0</v>
      </c>
      <c r="F134" s="461">
        <f t="shared" ref="F134:M134" si="42">F129+F133</f>
        <v>0</v>
      </c>
      <c r="G134" s="462">
        <f t="shared" si="42"/>
        <v>0</v>
      </c>
      <c r="H134" s="463">
        <f t="shared" si="42"/>
        <v>0</v>
      </c>
      <c r="I134" s="461">
        <f t="shared" si="42"/>
        <v>0</v>
      </c>
      <c r="J134" s="464">
        <f t="shared" si="42"/>
        <v>0</v>
      </c>
      <c r="K134" s="465">
        <f t="shared" si="42"/>
        <v>0</v>
      </c>
      <c r="L134" s="461">
        <f t="shared" si="42"/>
        <v>0</v>
      </c>
      <c r="M134" s="462">
        <f t="shared" si="42"/>
        <v>0</v>
      </c>
    </row>
    <row r="135" spans="2:13" ht="11.25" customHeight="1" x14ac:dyDescent="0.25">
      <c r="B135" s="1330"/>
      <c r="C135" s="430" t="s">
        <v>589</v>
      </c>
      <c r="D135" s="443"/>
      <c r="E135" s="470"/>
      <c r="F135" s="466"/>
      <c r="G135" s="469"/>
      <c r="H135" s="468"/>
      <c r="I135" s="466"/>
      <c r="J135" s="469"/>
      <c r="K135" s="470"/>
      <c r="L135" s="466"/>
      <c r="M135" s="467"/>
    </row>
    <row r="136" spans="2:13" ht="11.25" customHeight="1" x14ac:dyDescent="0.25">
      <c r="B136" s="1330"/>
      <c r="C136" s="431" t="s">
        <v>1072</v>
      </c>
      <c r="D136" s="443"/>
      <c r="E136" s="895"/>
      <c r="F136" s="891"/>
      <c r="G136" s="892"/>
      <c r="H136" s="1333"/>
      <c r="I136" s="891"/>
      <c r="J136" s="894"/>
      <c r="K136" s="895"/>
      <c r="L136" s="891"/>
      <c r="M136" s="892"/>
    </row>
    <row r="137" spans="2:13" ht="11.25" customHeight="1" x14ac:dyDescent="0.25">
      <c r="B137" s="1330"/>
      <c r="C137" s="431" t="s">
        <v>436</v>
      </c>
      <c r="D137" s="443"/>
      <c r="E137" s="895"/>
      <c r="F137" s="891"/>
      <c r="G137" s="892"/>
      <c r="H137" s="1333"/>
      <c r="I137" s="891"/>
      <c r="J137" s="894"/>
      <c r="K137" s="895"/>
      <c r="L137" s="891"/>
      <c r="M137" s="892"/>
    </row>
    <row r="138" spans="2:13" ht="11.25" customHeight="1" x14ac:dyDescent="0.25">
      <c r="B138" s="1330"/>
      <c r="C138" s="433" t="s">
        <v>323</v>
      </c>
      <c r="D138" s="443"/>
      <c r="E138" s="455">
        <f>SUM(E136:E137)</f>
        <v>0</v>
      </c>
      <c r="F138" s="451">
        <f t="shared" ref="F138:M138" si="43">SUM(F136:F137)</f>
        <v>0</v>
      </c>
      <c r="G138" s="452">
        <f t="shared" si="43"/>
        <v>0</v>
      </c>
      <c r="H138" s="453">
        <f t="shared" si="43"/>
        <v>0</v>
      </c>
      <c r="I138" s="451">
        <f t="shared" si="43"/>
        <v>0</v>
      </c>
      <c r="J138" s="454">
        <f t="shared" si="43"/>
        <v>0</v>
      </c>
      <c r="K138" s="455">
        <f t="shared" si="43"/>
        <v>0</v>
      </c>
      <c r="L138" s="451">
        <f t="shared" si="43"/>
        <v>0</v>
      </c>
      <c r="M138" s="452">
        <f t="shared" si="43"/>
        <v>0</v>
      </c>
    </row>
    <row r="139" spans="2:13" ht="11.25" customHeight="1" x14ac:dyDescent="0.25">
      <c r="B139" s="1330"/>
      <c r="C139" s="431" t="s">
        <v>437</v>
      </c>
      <c r="D139" s="443"/>
      <c r="E139" s="895"/>
      <c r="F139" s="891"/>
      <c r="G139" s="892"/>
      <c r="H139" s="1333"/>
      <c r="I139" s="891"/>
      <c r="J139" s="894"/>
      <c r="K139" s="895"/>
      <c r="L139" s="891"/>
      <c r="M139" s="892"/>
    </row>
    <row r="140" spans="2:13" ht="11.25" customHeight="1" x14ac:dyDescent="0.25">
      <c r="B140" s="1330"/>
      <c r="C140" s="431" t="s">
        <v>438</v>
      </c>
      <c r="D140" s="443"/>
      <c r="E140" s="895"/>
      <c r="F140" s="891"/>
      <c r="G140" s="892"/>
      <c r="H140" s="1333"/>
      <c r="I140" s="891"/>
      <c r="J140" s="894"/>
      <c r="K140" s="895"/>
      <c r="L140" s="891"/>
      <c r="M140" s="892"/>
    </row>
    <row r="141" spans="2:13" ht="11.25" customHeight="1" x14ac:dyDescent="0.25">
      <c r="B141" s="1330"/>
      <c r="C141" s="431" t="s">
        <v>590</v>
      </c>
      <c r="D141" s="443"/>
      <c r="E141" s="895"/>
      <c r="F141" s="891"/>
      <c r="G141" s="892"/>
      <c r="H141" s="1333"/>
      <c r="I141" s="891"/>
      <c r="J141" s="894"/>
      <c r="K141" s="895"/>
      <c r="L141" s="891"/>
      <c r="M141" s="892"/>
    </row>
    <row r="142" spans="2:13" ht="11.25" customHeight="1" x14ac:dyDescent="0.25">
      <c r="B142" s="1330"/>
      <c r="C142" s="433" t="s">
        <v>1124</v>
      </c>
      <c r="D142" s="443"/>
      <c r="E142" s="460">
        <f>SUM(E139:E141)</f>
        <v>0</v>
      </c>
      <c r="F142" s="456">
        <f t="shared" ref="F142:M142" si="44">SUM(F139:F141)</f>
        <v>0</v>
      </c>
      <c r="G142" s="457">
        <f t="shared" si="44"/>
        <v>0</v>
      </c>
      <c r="H142" s="458">
        <f t="shared" si="44"/>
        <v>0</v>
      </c>
      <c r="I142" s="456">
        <f t="shared" si="44"/>
        <v>0</v>
      </c>
      <c r="J142" s="459">
        <f t="shared" si="44"/>
        <v>0</v>
      </c>
      <c r="K142" s="460">
        <f t="shared" si="44"/>
        <v>0</v>
      </c>
      <c r="L142" s="456">
        <f t="shared" si="44"/>
        <v>0</v>
      </c>
      <c r="M142" s="457">
        <f t="shared" si="44"/>
        <v>0</v>
      </c>
    </row>
    <row r="143" spans="2:13" ht="11.25" customHeight="1" x14ac:dyDescent="0.25">
      <c r="B143" s="1330"/>
      <c r="C143" s="434" t="s">
        <v>1160</v>
      </c>
      <c r="D143" s="443"/>
      <c r="E143" s="465">
        <f>E138+E142</f>
        <v>0</v>
      </c>
      <c r="F143" s="461">
        <f t="shared" ref="F143:M143" si="45">F138+F142</f>
        <v>0</v>
      </c>
      <c r="G143" s="462">
        <f t="shared" si="45"/>
        <v>0</v>
      </c>
      <c r="H143" s="463">
        <f t="shared" si="45"/>
        <v>0</v>
      </c>
      <c r="I143" s="461">
        <f t="shared" si="45"/>
        <v>0</v>
      </c>
      <c r="J143" s="464">
        <f t="shared" si="45"/>
        <v>0</v>
      </c>
      <c r="K143" s="465">
        <f t="shared" si="45"/>
        <v>0</v>
      </c>
      <c r="L143" s="461">
        <f t="shared" si="45"/>
        <v>0</v>
      </c>
      <c r="M143" s="462">
        <f t="shared" si="45"/>
        <v>0</v>
      </c>
    </row>
    <row r="144" spans="2:13" ht="11.25" customHeight="1" x14ac:dyDescent="0.25">
      <c r="B144" s="1330"/>
      <c r="C144" s="430" t="s">
        <v>592</v>
      </c>
      <c r="D144" s="443"/>
      <c r="E144" s="470"/>
      <c r="F144" s="466"/>
      <c r="G144" s="469"/>
      <c r="H144" s="468"/>
      <c r="I144" s="466"/>
      <c r="J144" s="469"/>
      <c r="K144" s="470"/>
      <c r="L144" s="466"/>
      <c r="M144" s="467"/>
    </row>
    <row r="145" spans="1:13" ht="11.25" customHeight="1" x14ac:dyDescent="0.25">
      <c r="B145" s="1330"/>
      <c r="C145" s="431" t="s">
        <v>633</v>
      </c>
      <c r="D145" s="443"/>
      <c r="E145" s="905"/>
      <c r="F145" s="900"/>
      <c r="G145" s="901"/>
      <c r="H145" s="1334"/>
      <c r="I145" s="900"/>
      <c r="J145" s="1335"/>
      <c r="K145" s="905"/>
      <c r="L145" s="900"/>
      <c r="M145" s="901"/>
    </row>
    <row r="146" spans="1:13" ht="11.25" customHeight="1" x14ac:dyDescent="0.25">
      <c r="B146" s="1330"/>
      <c r="C146" s="433" t="s">
        <v>323</v>
      </c>
      <c r="D146" s="443"/>
      <c r="E146" s="470">
        <f>SUM(E145)</f>
        <v>0</v>
      </c>
      <c r="F146" s="466">
        <f t="shared" ref="F146:M146" si="46">SUM(F145)</f>
        <v>0</v>
      </c>
      <c r="G146" s="467">
        <f t="shared" si="46"/>
        <v>0</v>
      </c>
      <c r="H146" s="468">
        <f t="shared" si="46"/>
        <v>0</v>
      </c>
      <c r="I146" s="466">
        <f t="shared" si="46"/>
        <v>0</v>
      </c>
      <c r="J146" s="469">
        <f t="shared" si="46"/>
        <v>0</v>
      </c>
      <c r="K146" s="470">
        <f t="shared" si="46"/>
        <v>0</v>
      </c>
      <c r="L146" s="466">
        <f t="shared" si="46"/>
        <v>0</v>
      </c>
      <c r="M146" s="467">
        <f t="shared" si="46"/>
        <v>0</v>
      </c>
    </row>
    <row r="147" spans="1:13" ht="11.25" customHeight="1" x14ac:dyDescent="0.25">
      <c r="B147" s="1330"/>
      <c r="C147" s="431" t="s">
        <v>593</v>
      </c>
      <c r="D147" s="443"/>
      <c r="E147" s="895"/>
      <c r="F147" s="891"/>
      <c r="G147" s="892"/>
      <c r="H147" s="1333"/>
      <c r="I147" s="891"/>
      <c r="J147" s="894"/>
      <c r="K147" s="895"/>
      <c r="L147" s="891"/>
      <c r="M147" s="892"/>
    </row>
    <row r="148" spans="1:13" ht="11.25" customHeight="1" x14ac:dyDescent="0.25">
      <c r="B148" s="1330"/>
      <c r="C148" s="431" t="s">
        <v>594</v>
      </c>
      <c r="D148" s="443"/>
      <c r="E148" s="895"/>
      <c r="F148" s="891"/>
      <c r="G148" s="892"/>
      <c r="H148" s="1333"/>
      <c r="I148" s="891"/>
      <c r="J148" s="894"/>
      <c r="K148" s="895"/>
      <c r="L148" s="891"/>
      <c r="M148" s="892"/>
    </row>
    <row r="149" spans="1:13" ht="11.25" customHeight="1" x14ac:dyDescent="0.25">
      <c r="B149" s="1330"/>
      <c r="C149" s="431" t="s">
        <v>755</v>
      </c>
      <c r="D149" s="443"/>
      <c r="E149" s="895"/>
      <c r="F149" s="891"/>
      <c r="G149" s="892"/>
      <c r="H149" s="1333"/>
      <c r="I149" s="891"/>
      <c r="J149" s="894"/>
      <c r="K149" s="895"/>
      <c r="L149" s="891"/>
      <c r="M149" s="892"/>
    </row>
    <row r="150" spans="1:13" ht="11.25" customHeight="1" x14ac:dyDescent="0.25">
      <c r="B150" s="1330"/>
      <c r="C150" s="431" t="s">
        <v>756</v>
      </c>
      <c r="D150" s="443"/>
      <c r="E150" s="895"/>
      <c r="F150" s="891"/>
      <c r="G150" s="892"/>
      <c r="H150" s="1333"/>
      <c r="I150" s="891"/>
      <c r="J150" s="894"/>
      <c r="K150" s="895"/>
      <c r="L150" s="891"/>
      <c r="M150" s="892"/>
    </row>
    <row r="151" spans="1:13" ht="11.25" customHeight="1" x14ac:dyDescent="0.25">
      <c r="B151" s="1330"/>
      <c r="C151" s="431" t="s">
        <v>170</v>
      </c>
      <c r="D151" s="443"/>
      <c r="E151" s="895"/>
      <c r="F151" s="891"/>
      <c r="G151" s="892"/>
      <c r="H151" s="1333"/>
      <c r="I151" s="891"/>
      <c r="J151" s="894"/>
      <c r="K151" s="895"/>
      <c r="L151" s="891"/>
      <c r="M151" s="892"/>
    </row>
    <row r="152" spans="1:13" ht="11.25" customHeight="1" x14ac:dyDescent="0.25">
      <c r="B152" s="1330"/>
      <c r="C152" s="433" t="s">
        <v>1124</v>
      </c>
      <c r="D152" s="443"/>
      <c r="E152" s="460">
        <f t="shared" ref="E152:M152" si="47">SUM(E147:E151)</f>
        <v>0</v>
      </c>
      <c r="F152" s="456">
        <f t="shared" si="47"/>
        <v>0</v>
      </c>
      <c r="G152" s="457">
        <f t="shared" si="47"/>
        <v>0</v>
      </c>
      <c r="H152" s="458">
        <f t="shared" si="47"/>
        <v>0</v>
      </c>
      <c r="I152" s="456">
        <f t="shared" si="47"/>
        <v>0</v>
      </c>
      <c r="J152" s="459">
        <f t="shared" si="47"/>
        <v>0</v>
      </c>
      <c r="K152" s="460">
        <f t="shared" si="47"/>
        <v>0</v>
      </c>
      <c r="L152" s="456">
        <f t="shared" si="47"/>
        <v>0</v>
      </c>
      <c r="M152" s="457">
        <f t="shared" si="47"/>
        <v>0</v>
      </c>
    </row>
    <row r="153" spans="1:13" ht="11.25" customHeight="1" x14ac:dyDescent="0.25">
      <c r="B153" s="1330"/>
      <c r="C153" s="434" t="s">
        <v>1160</v>
      </c>
      <c r="D153" s="443"/>
      <c r="E153" s="465">
        <f>E146+E152</f>
        <v>0</v>
      </c>
      <c r="F153" s="461">
        <f t="shared" ref="F153:M153" si="48">F146+F152</f>
        <v>0</v>
      </c>
      <c r="G153" s="462">
        <f t="shared" si="48"/>
        <v>0</v>
      </c>
      <c r="H153" s="463">
        <f t="shared" si="48"/>
        <v>0</v>
      </c>
      <c r="I153" s="461">
        <f t="shared" si="48"/>
        <v>0</v>
      </c>
      <c r="J153" s="464">
        <f t="shared" si="48"/>
        <v>0</v>
      </c>
      <c r="K153" s="465">
        <f t="shared" si="48"/>
        <v>0</v>
      </c>
      <c r="L153" s="461">
        <f t="shared" si="48"/>
        <v>0</v>
      </c>
      <c r="M153" s="462">
        <f t="shared" si="48"/>
        <v>0</v>
      </c>
    </row>
    <row r="154" spans="1:13" ht="4.9000000000000004" customHeight="1" x14ac:dyDescent="0.25">
      <c r="B154" s="1330"/>
      <c r="C154" s="435"/>
      <c r="D154" s="444"/>
      <c r="E154" s="114"/>
      <c r="F154" s="110"/>
      <c r="G154" s="111"/>
      <c r="H154" s="112"/>
      <c r="I154" s="110"/>
      <c r="J154" s="113"/>
      <c r="K154" s="114"/>
      <c r="L154" s="110"/>
      <c r="M154" s="111"/>
    </row>
    <row r="155" spans="1:13" ht="25.15" customHeight="1" x14ac:dyDescent="0.25">
      <c r="A155" s="2488" t="s">
        <v>1820</v>
      </c>
      <c r="B155" s="1324"/>
      <c r="C155" s="1325"/>
      <c r="D155" s="1326"/>
      <c r="E155" s="836" t="str">
        <f>head1b</f>
        <v>2017/18</v>
      </c>
      <c r="F155" s="837" t="str">
        <f>head1A</f>
        <v>2018/19</v>
      </c>
      <c r="G155" s="684" t="str">
        <f>Head1</f>
        <v>2019/20</v>
      </c>
      <c r="H155" s="2450" t="str">
        <f>Head2</f>
        <v>Current Year 2020/21</v>
      </c>
      <c r="I155" s="2451"/>
      <c r="J155" s="2452"/>
      <c r="K155" s="2450" t="str">
        <f>Head3</f>
        <v>2021/22 Medium Term Revenue &amp; Expenditure Framework</v>
      </c>
      <c r="L155" s="2451"/>
      <c r="M155" s="2452"/>
    </row>
    <row r="156" spans="1:13" ht="25.15" customHeight="1" x14ac:dyDescent="0.25">
      <c r="A156" s="2488"/>
      <c r="B156" s="1327" t="s">
        <v>1739</v>
      </c>
      <c r="C156" s="1328"/>
      <c r="D156" s="1329"/>
      <c r="E156" s="420" t="str">
        <f>Head5A</f>
        <v>Outcome</v>
      </c>
      <c r="F156" s="421" t="str">
        <f>Head5A</f>
        <v>Outcome</v>
      </c>
      <c r="G156" s="422" t="str">
        <f>Head5A</f>
        <v>Outcome</v>
      </c>
      <c r="H156" s="423" t="str">
        <f>Head6</f>
        <v>Original Budget</v>
      </c>
      <c r="I156" s="421" t="str">
        <f>Head7</f>
        <v>Adjusted Budget</v>
      </c>
      <c r="J156" s="422" t="str">
        <f>Head8</f>
        <v>Full Year Forecast</v>
      </c>
      <c r="K156" s="423" t="str">
        <f>Head9</f>
        <v>Budget Year 2021/22</v>
      </c>
      <c r="L156" s="421" t="str">
        <f>Head10</f>
        <v>Budget Year +1 2022/23</v>
      </c>
      <c r="M156" s="422" t="str">
        <f>Head11</f>
        <v>Budget Year +2 2023/24</v>
      </c>
    </row>
    <row r="157" spans="1:13" ht="11.25" customHeight="1" x14ac:dyDescent="0.25">
      <c r="B157" s="1330"/>
      <c r="C157" s="424" t="s">
        <v>172</v>
      </c>
      <c r="D157" s="443"/>
      <c r="E157" s="950"/>
      <c r="F157" s="1331"/>
      <c r="G157" s="1332"/>
      <c r="H157" s="425"/>
      <c r="I157" s="426"/>
      <c r="J157" s="427"/>
      <c r="K157" s="428"/>
      <c r="L157" s="426"/>
      <c r="M157" s="429"/>
    </row>
    <row r="158" spans="1:13" ht="11.25" customHeight="1" x14ac:dyDescent="0.25">
      <c r="A158" s="1336" t="s">
        <v>1821</v>
      </c>
      <c r="B158" s="1330"/>
      <c r="C158" s="430" t="s">
        <v>1609</v>
      </c>
      <c r="D158" s="443"/>
      <c r="E158" s="102"/>
      <c r="F158" s="98"/>
      <c r="G158" s="101"/>
      <c r="H158" s="73"/>
      <c r="I158" s="71"/>
      <c r="J158" s="74"/>
      <c r="K158" s="75"/>
      <c r="L158" s="71"/>
      <c r="M158" s="72"/>
    </row>
    <row r="159" spans="1:13" ht="11.25" customHeight="1" x14ac:dyDescent="0.25">
      <c r="B159" s="1330"/>
      <c r="C159" s="431" t="s">
        <v>1442</v>
      </c>
      <c r="D159" s="443"/>
      <c r="E159" s="895"/>
      <c r="F159" s="891"/>
      <c r="G159" s="892"/>
      <c r="H159" s="1333"/>
      <c r="I159" s="891"/>
      <c r="J159" s="894"/>
      <c r="K159" s="895"/>
      <c r="L159" s="891"/>
      <c r="M159" s="892"/>
    </row>
    <row r="160" spans="1:13" ht="11.25" customHeight="1" x14ac:dyDescent="0.25">
      <c r="B160" s="1330"/>
      <c r="C160" s="431" t="s">
        <v>1608</v>
      </c>
      <c r="D160" s="443"/>
      <c r="E160" s="895"/>
      <c r="F160" s="891"/>
      <c r="G160" s="892"/>
      <c r="H160" s="1333"/>
      <c r="I160" s="891"/>
      <c r="J160" s="894"/>
      <c r="K160" s="895"/>
      <c r="L160" s="891"/>
      <c r="M160" s="892"/>
    </row>
    <row r="161" spans="1:13" ht="11.25" customHeight="1" x14ac:dyDescent="0.25">
      <c r="B161" s="432">
        <v>8</v>
      </c>
      <c r="C161" s="431" t="s">
        <v>111</v>
      </c>
      <c r="D161" s="443"/>
      <c r="E161" s="895"/>
      <c r="F161" s="891"/>
      <c r="G161" s="892"/>
      <c r="H161" s="1333"/>
      <c r="I161" s="891"/>
      <c r="J161" s="894"/>
      <c r="K161" s="895"/>
      <c r="L161" s="891"/>
      <c r="M161" s="892"/>
    </row>
    <row r="162" spans="1:13" ht="11.25" customHeight="1" x14ac:dyDescent="0.25">
      <c r="B162" s="432">
        <v>10</v>
      </c>
      <c r="C162" s="431" t="s">
        <v>112</v>
      </c>
      <c r="D162" s="443"/>
      <c r="E162" s="895"/>
      <c r="F162" s="891"/>
      <c r="G162" s="892"/>
      <c r="H162" s="1333"/>
      <c r="I162" s="891"/>
      <c r="J162" s="894"/>
      <c r="K162" s="895"/>
      <c r="L162" s="891"/>
      <c r="M162" s="892"/>
    </row>
    <row r="163" spans="1:13" ht="11.25" customHeight="1" x14ac:dyDescent="0.25">
      <c r="B163" s="432"/>
      <c r="C163" s="433" t="s">
        <v>323</v>
      </c>
      <c r="D163" s="443"/>
      <c r="E163" s="455">
        <f>SUM(E159:E162)</f>
        <v>0</v>
      </c>
      <c r="F163" s="451">
        <f t="shared" ref="F163:M163" si="49">SUM(F159:F162)</f>
        <v>0</v>
      </c>
      <c r="G163" s="452">
        <f t="shared" si="49"/>
        <v>0</v>
      </c>
      <c r="H163" s="453">
        <f t="shared" si="49"/>
        <v>0</v>
      </c>
      <c r="I163" s="451">
        <f t="shared" si="49"/>
        <v>0</v>
      </c>
      <c r="J163" s="454">
        <f t="shared" si="49"/>
        <v>0</v>
      </c>
      <c r="K163" s="455">
        <f t="shared" si="49"/>
        <v>0</v>
      </c>
      <c r="L163" s="451">
        <f t="shared" si="49"/>
        <v>0</v>
      </c>
      <c r="M163" s="452">
        <f t="shared" si="49"/>
        <v>0</v>
      </c>
    </row>
    <row r="164" spans="1:13" ht="11.25" customHeight="1" x14ac:dyDescent="0.25">
      <c r="B164" s="432">
        <v>9</v>
      </c>
      <c r="C164" s="431" t="s">
        <v>434</v>
      </c>
      <c r="D164" s="443"/>
      <c r="E164" s="895"/>
      <c r="F164" s="891"/>
      <c r="G164" s="892"/>
      <c r="H164" s="1333"/>
      <c r="I164" s="891"/>
      <c r="J164" s="894"/>
      <c r="K164" s="895"/>
      <c r="L164" s="891"/>
      <c r="M164" s="892"/>
    </row>
    <row r="165" spans="1:13" ht="11.25" customHeight="1" x14ac:dyDescent="0.25">
      <c r="B165" s="432">
        <v>10</v>
      </c>
      <c r="C165" s="431" t="s">
        <v>435</v>
      </c>
      <c r="D165" s="443"/>
      <c r="E165" s="895"/>
      <c r="F165" s="891"/>
      <c r="G165" s="892"/>
      <c r="H165" s="1333"/>
      <c r="I165" s="891"/>
      <c r="J165" s="894"/>
      <c r="K165" s="895"/>
      <c r="L165" s="891"/>
      <c r="M165" s="892"/>
    </row>
    <row r="166" spans="1:13" ht="11.25" customHeight="1" x14ac:dyDescent="0.25">
      <c r="B166" s="1330"/>
      <c r="C166" s="431" t="s">
        <v>835</v>
      </c>
      <c r="D166" s="443"/>
      <c r="E166" s="895"/>
      <c r="F166" s="891"/>
      <c r="G166" s="892"/>
      <c r="H166" s="1333"/>
      <c r="I166" s="891"/>
      <c r="J166" s="894"/>
      <c r="K166" s="895"/>
      <c r="L166" s="891"/>
      <c r="M166" s="892"/>
    </row>
    <row r="167" spans="1:13" ht="11.25" customHeight="1" x14ac:dyDescent="0.25">
      <c r="B167" s="1330"/>
      <c r="C167" s="433" t="s">
        <v>1124</v>
      </c>
      <c r="D167" s="443"/>
      <c r="E167" s="460">
        <f>SUM(E164:E166)</f>
        <v>0</v>
      </c>
      <c r="F167" s="456">
        <f t="shared" ref="F167:M167" si="50">SUM(F164:F166)</f>
        <v>0</v>
      </c>
      <c r="G167" s="457">
        <f t="shared" si="50"/>
        <v>0</v>
      </c>
      <c r="H167" s="458">
        <f t="shared" si="50"/>
        <v>0</v>
      </c>
      <c r="I167" s="456">
        <f t="shared" si="50"/>
        <v>0</v>
      </c>
      <c r="J167" s="459">
        <f t="shared" si="50"/>
        <v>0</v>
      </c>
      <c r="K167" s="460">
        <f t="shared" si="50"/>
        <v>0</v>
      </c>
      <c r="L167" s="456">
        <f t="shared" si="50"/>
        <v>0</v>
      </c>
      <c r="M167" s="457">
        <f t="shared" si="50"/>
        <v>0</v>
      </c>
    </row>
    <row r="168" spans="1:13" ht="11.25" customHeight="1" x14ac:dyDescent="0.25">
      <c r="B168" s="1330"/>
      <c r="C168" s="434" t="s">
        <v>1160</v>
      </c>
      <c r="D168" s="443"/>
      <c r="E168" s="465">
        <f>E163+E167</f>
        <v>0</v>
      </c>
      <c r="F168" s="461">
        <f t="shared" ref="F168:M168" si="51">F163+F167</f>
        <v>0</v>
      </c>
      <c r="G168" s="462">
        <f t="shared" si="51"/>
        <v>0</v>
      </c>
      <c r="H168" s="463">
        <f t="shared" si="51"/>
        <v>0</v>
      </c>
      <c r="I168" s="461">
        <f t="shared" si="51"/>
        <v>0</v>
      </c>
      <c r="J168" s="464">
        <f t="shared" si="51"/>
        <v>0</v>
      </c>
      <c r="K168" s="465">
        <f t="shared" si="51"/>
        <v>0</v>
      </c>
      <c r="L168" s="461">
        <f t="shared" si="51"/>
        <v>0</v>
      </c>
      <c r="M168" s="462">
        <f t="shared" si="51"/>
        <v>0</v>
      </c>
    </row>
    <row r="169" spans="1:13" ht="11.25" customHeight="1" x14ac:dyDescent="0.25">
      <c r="A169" s="1336" t="s">
        <v>1821</v>
      </c>
      <c r="B169" s="1330"/>
      <c r="C169" s="430" t="s">
        <v>1161</v>
      </c>
      <c r="D169" s="443"/>
      <c r="E169" s="470"/>
      <c r="F169" s="466"/>
      <c r="G169" s="469"/>
      <c r="H169" s="468"/>
      <c r="I169" s="466"/>
      <c r="J169" s="469"/>
      <c r="K169" s="470"/>
      <c r="L169" s="466"/>
      <c r="M169" s="467"/>
    </row>
    <row r="170" spans="1:13" ht="11.25" customHeight="1" x14ac:dyDescent="0.25">
      <c r="B170" s="1330"/>
      <c r="C170" s="431" t="s">
        <v>1162</v>
      </c>
      <c r="D170" s="443"/>
      <c r="E170" s="895"/>
      <c r="F170" s="891"/>
      <c r="G170" s="892"/>
      <c r="H170" s="1333"/>
      <c r="I170" s="891"/>
      <c r="J170" s="894"/>
      <c r="K170" s="895"/>
      <c r="L170" s="891"/>
      <c r="M170" s="892"/>
    </row>
    <row r="171" spans="1:13" ht="11.25" customHeight="1" x14ac:dyDescent="0.25">
      <c r="B171" s="1330"/>
      <c r="C171" s="431" t="s">
        <v>1163</v>
      </c>
      <c r="D171" s="443"/>
      <c r="E171" s="895"/>
      <c r="F171" s="891"/>
      <c r="G171" s="892"/>
      <c r="H171" s="1333"/>
      <c r="I171" s="891"/>
      <c r="J171" s="894"/>
      <c r="K171" s="895"/>
      <c r="L171" s="891"/>
      <c r="M171" s="892"/>
    </row>
    <row r="172" spans="1:13" ht="11.25" customHeight="1" x14ac:dyDescent="0.25">
      <c r="B172" s="1330"/>
      <c r="C172" s="431" t="s">
        <v>1228</v>
      </c>
      <c r="D172" s="443"/>
      <c r="E172" s="895"/>
      <c r="F172" s="891"/>
      <c r="G172" s="892"/>
      <c r="H172" s="1333"/>
      <c r="I172" s="891"/>
      <c r="J172" s="894"/>
      <c r="K172" s="895"/>
      <c r="L172" s="891"/>
      <c r="M172" s="892"/>
    </row>
    <row r="173" spans="1:13" ht="11.25" customHeight="1" x14ac:dyDescent="0.25">
      <c r="B173" s="1330"/>
      <c r="C173" s="431" t="s">
        <v>211</v>
      </c>
      <c r="D173" s="443"/>
      <c r="E173" s="895"/>
      <c r="F173" s="891"/>
      <c r="G173" s="892"/>
      <c r="H173" s="1333"/>
      <c r="I173" s="891"/>
      <c r="J173" s="894"/>
      <c r="K173" s="895"/>
      <c r="L173" s="891"/>
      <c r="M173" s="892"/>
    </row>
    <row r="174" spans="1:13" ht="11.25" customHeight="1" x14ac:dyDescent="0.25">
      <c r="B174" s="1330"/>
      <c r="C174" s="431" t="s">
        <v>213</v>
      </c>
      <c r="D174" s="443"/>
      <c r="E174" s="895"/>
      <c r="F174" s="891"/>
      <c r="G174" s="892"/>
      <c r="H174" s="1333"/>
      <c r="I174" s="891"/>
      <c r="J174" s="894"/>
      <c r="K174" s="895"/>
      <c r="L174" s="891"/>
      <c r="M174" s="892"/>
    </row>
    <row r="175" spans="1:13" ht="11.25" customHeight="1" x14ac:dyDescent="0.25">
      <c r="B175" s="1330"/>
      <c r="C175" s="433" t="s">
        <v>323</v>
      </c>
      <c r="D175" s="443"/>
      <c r="E175" s="455">
        <f>SUM(E170:E174)</f>
        <v>0</v>
      </c>
      <c r="F175" s="451">
        <f t="shared" ref="F175:M175" si="52">SUM(F170:F174)</f>
        <v>0</v>
      </c>
      <c r="G175" s="452">
        <f t="shared" si="52"/>
        <v>0</v>
      </c>
      <c r="H175" s="453">
        <f t="shared" si="52"/>
        <v>0</v>
      </c>
      <c r="I175" s="451">
        <f t="shared" si="52"/>
        <v>0</v>
      </c>
      <c r="J175" s="454">
        <f t="shared" si="52"/>
        <v>0</v>
      </c>
      <c r="K175" s="455">
        <f t="shared" si="52"/>
        <v>0</v>
      </c>
      <c r="L175" s="451">
        <f t="shared" si="52"/>
        <v>0</v>
      </c>
      <c r="M175" s="452">
        <f t="shared" si="52"/>
        <v>0</v>
      </c>
    </row>
    <row r="176" spans="1:13" ht="11.25" customHeight="1" x14ac:dyDescent="0.25">
      <c r="B176" s="1330"/>
      <c r="C176" s="431" t="s">
        <v>212</v>
      </c>
      <c r="D176" s="443"/>
      <c r="E176" s="895"/>
      <c r="F176" s="891"/>
      <c r="G176" s="892"/>
      <c r="H176" s="1333"/>
      <c r="I176" s="891"/>
      <c r="J176" s="894"/>
      <c r="K176" s="895"/>
      <c r="L176" s="891"/>
      <c r="M176" s="892"/>
    </row>
    <row r="177" spans="1:13" ht="11.25" customHeight="1" x14ac:dyDescent="0.25">
      <c r="B177" s="1330"/>
      <c r="C177" s="431" t="s">
        <v>1071</v>
      </c>
      <c r="D177" s="443"/>
      <c r="E177" s="895"/>
      <c r="F177" s="891"/>
      <c r="G177" s="892"/>
      <c r="H177" s="1333"/>
      <c r="I177" s="891"/>
      <c r="J177" s="894"/>
      <c r="K177" s="895"/>
      <c r="L177" s="891"/>
      <c r="M177" s="892"/>
    </row>
    <row r="178" spans="1:13" ht="11.25" customHeight="1" x14ac:dyDescent="0.25">
      <c r="B178" s="1330"/>
      <c r="C178" s="431" t="s">
        <v>1230</v>
      </c>
      <c r="D178" s="443"/>
      <c r="E178" s="895"/>
      <c r="F178" s="891"/>
      <c r="G178" s="892"/>
      <c r="H178" s="1333"/>
      <c r="I178" s="891"/>
      <c r="J178" s="894"/>
      <c r="K178" s="895"/>
      <c r="L178" s="891"/>
      <c r="M178" s="892"/>
    </row>
    <row r="179" spans="1:13" ht="11.25" customHeight="1" x14ac:dyDescent="0.25">
      <c r="B179" s="1330"/>
      <c r="C179" s="433" t="s">
        <v>1124</v>
      </c>
      <c r="D179" s="443"/>
      <c r="E179" s="460">
        <f>SUM(E176:E178)</f>
        <v>0</v>
      </c>
      <c r="F179" s="456">
        <f t="shared" ref="F179:M179" si="53">SUM(F176:F178)</f>
        <v>0</v>
      </c>
      <c r="G179" s="457">
        <f t="shared" si="53"/>
        <v>0</v>
      </c>
      <c r="H179" s="458">
        <f t="shared" si="53"/>
        <v>0</v>
      </c>
      <c r="I179" s="456">
        <f t="shared" si="53"/>
        <v>0</v>
      </c>
      <c r="J179" s="459">
        <f t="shared" si="53"/>
        <v>0</v>
      </c>
      <c r="K179" s="460">
        <f t="shared" si="53"/>
        <v>0</v>
      </c>
      <c r="L179" s="456">
        <f t="shared" si="53"/>
        <v>0</v>
      </c>
      <c r="M179" s="457">
        <f t="shared" si="53"/>
        <v>0</v>
      </c>
    </row>
    <row r="180" spans="1:13" ht="11.25" customHeight="1" x14ac:dyDescent="0.25">
      <c r="B180" s="1330"/>
      <c r="C180" s="434" t="s">
        <v>1160</v>
      </c>
      <c r="D180" s="443"/>
      <c r="E180" s="465">
        <f>E175+E179</f>
        <v>0</v>
      </c>
      <c r="F180" s="461">
        <f t="shared" ref="F180:M180" si="54">F175+F179</f>
        <v>0</v>
      </c>
      <c r="G180" s="462">
        <f t="shared" si="54"/>
        <v>0</v>
      </c>
      <c r="H180" s="463">
        <f t="shared" si="54"/>
        <v>0</v>
      </c>
      <c r="I180" s="461">
        <f t="shared" si="54"/>
        <v>0</v>
      </c>
      <c r="J180" s="464">
        <f t="shared" si="54"/>
        <v>0</v>
      </c>
      <c r="K180" s="465">
        <f t="shared" si="54"/>
        <v>0</v>
      </c>
      <c r="L180" s="461">
        <f t="shared" si="54"/>
        <v>0</v>
      </c>
      <c r="M180" s="462">
        <f t="shared" si="54"/>
        <v>0</v>
      </c>
    </row>
    <row r="181" spans="1:13" ht="11.25" customHeight="1" x14ac:dyDescent="0.25">
      <c r="A181" s="1336" t="s">
        <v>1821</v>
      </c>
      <c r="B181" s="1330"/>
      <c r="C181" s="430" t="s">
        <v>589</v>
      </c>
      <c r="D181" s="443"/>
      <c r="E181" s="470"/>
      <c r="F181" s="466"/>
      <c r="G181" s="469"/>
      <c r="H181" s="468"/>
      <c r="I181" s="466"/>
      <c r="J181" s="469"/>
      <c r="K181" s="470"/>
      <c r="L181" s="466"/>
      <c r="M181" s="467"/>
    </row>
    <row r="182" spans="1:13" ht="11.25" customHeight="1" x14ac:dyDescent="0.25">
      <c r="B182" s="1330"/>
      <c r="C182" s="431" t="s">
        <v>1072</v>
      </c>
      <c r="D182" s="443"/>
      <c r="E182" s="895"/>
      <c r="F182" s="891"/>
      <c r="G182" s="892"/>
      <c r="H182" s="1333"/>
      <c r="I182" s="891"/>
      <c r="J182" s="894"/>
      <c r="K182" s="895"/>
      <c r="L182" s="891"/>
      <c r="M182" s="892"/>
    </row>
    <row r="183" spans="1:13" ht="11.25" customHeight="1" x14ac:dyDescent="0.25">
      <c r="B183" s="1330"/>
      <c r="C183" s="431" t="s">
        <v>436</v>
      </c>
      <c r="D183" s="443"/>
      <c r="E183" s="895"/>
      <c r="F183" s="891"/>
      <c r="G183" s="892"/>
      <c r="H183" s="1333"/>
      <c r="I183" s="891"/>
      <c r="J183" s="894"/>
      <c r="K183" s="895"/>
      <c r="L183" s="891"/>
      <c r="M183" s="892"/>
    </row>
    <row r="184" spans="1:13" ht="11.25" customHeight="1" x14ac:dyDescent="0.25">
      <c r="B184" s="1330"/>
      <c r="C184" s="433" t="s">
        <v>323</v>
      </c>
      <c r="D184" s="443"/>
      <c r="E184" s="455">
        <f>SUM(E182:E183)</f>
        <v>0</v>
      </c>
      <c r="F184" s="451">
        <f t="shared" ref="F184:M184" si="55">SUM(F182:F183)</f>
        <v>0</v>
      </c>
      <c r="G184" s="452">
        <f t="shared" si="55"/>
        <v>0</v>
      </c>
      <c r="H184" s="453">
        <f t="shared" si="55"/>
        <v>0</v>
      </c>
      <c r="I184" s="451">
        <f t="shared" si="55"/>
        <v>0</v>
      </c>
      <c r="J184" s="454">
        <f t="shared" si="55"/>
        <v>0</v>
      </c>
      <c r="K184" s="455">
        <f t="shared" si="55"/>
        <v>0</v>
      </c>
      <c r="L184" s="451">
        <f t="shared" si="55"/>
        <v>0</v>
      </c>
      <c r="M184" s="452">
        <f t="shared" si="55"/>
        <v>0</v>
      </c>
    </row>
    <row r="185" spans="1:13" ht="11.25" customHeight="1" x14ac:dyDescent="0.25">
      <c r="B185" s="1330"/>
      <c r="C185" s="431" t="s">
        <v>437</v>
      </c>
      <c r="D185" s="443"/>
      <c r="E185" s="895"/>
      <c r="F185" s="891"/>
      <c r="G185" s="892"/>
      <c r="H185" s="1333"/>
      <c r="I185" s="891"/>
      <c r="J185" s="894"/>
      <c r="K185" s="895"/>
      <c r="L185" s="891"/>
      <c r="M185" s="892"/>
    </row>
    <row r="186" spans="1:13" ht="11.25" customHeight="1" x14ac:dyDescent="0.25">
      <c r="B186" s="1330"/>
      <c r="C186" s="431" t="s">
        <v>438</v>
      </c>
      <c r="D186" s="443"/>
      <c r="E186" s="895"/>
      <c r="F186" s="891"/>
      <c r="G186" s="892"/>
      <c r="H186" s="1333"/>
      <c r="I186" s="891"/>
      <c r="J186" s="894"/>
      <c r="K186" s="895"/>
      <c r="L186" s="891"/>
      <c r="M186" s="892"/>
    </row>
    <row r="187" spans="1:13" ht="11.25" customHeight="1" x14ac:dyDescent="0.25">
      <c r="B187" s="1330"/>
      <c r="C187" s="431" t="s">
        <v>590</v>
      </c>
      <c r="D187" s="443"/>
      <c r="E187" s="895"/>
      <c r="F187" s="891"/>
      <c r="G187" s="892"/>
      <c r="H187" s="1333"/>
      <c r="I187" s="891"/>
      <c r="J187" s="894"/>
      <c r="K187" s="895"/>
      <c r="L187" s="891"/>
      <c r="M187" s="892"/>
    </row>
    <row r="188" spans="1:13" ht="11.25" customHeight="1" x14ac:dyDescent="0.25">
      <c r="B188" s="1330"/>
      <c r="C188" s="433" t="s">
        <v>1124</v>
      </c>
      <c r="D188" s="443"/>
      <c r="E188" s="460">
        <f>SUM(E185:E187)</f>
        <v>0</v>
      </c>
      <c r="F188" s="456">
        <f t="shared" ref="F188:M188" si="56">SUM(F185:F187)</f>
        <v>0</v>
      </c>
      <c r="G188" s="457">
        <f t="shared" si="56"/>
        <v>0</v>
      </c>
      <c r="H188" s="458">
        <f t="shared" si="56"/>
        <v>0</v>
      </c>
      <c r="I188" s="456">
        <f t="shared" si="56"/>
        <v>0</v>
      </c>
      <c r="J188" s="459">
        <f t="shared" si="56"/>
        <v>0</v>
      </c>
      <c r="K188" s="460">
        <f t="shared" si="56"/>
        <v>0</v>
      </c>
      <c r="L188" s="456">
        <f t="shared" si="56"/>
        <v>0</v>
      </c>
      <c r="M188" s="457">
        <f t="shared" si="56"/>
        <v>0</v>
      </c>
    </row>
    <row r="189" spans="1:13" ht="11.25" customHeight="1" x14ac:dyDescent="0.25">
      <c r="B189" s="1330"/>
      <c r="C189" s="434" t="s">
        <v>1160</v>
      </c>
      <c r="D189" s="443"/>
      <c r="E189" s="465">
        <f>E184+E188</f>
        <v>0</v>
      </c>
      <c r="F189" s="461">
        <f t="shared" ref="F189:M189" si="57">F184+F188</f>
        <v>0</v>
      </c>
      <c r="G189" s="462">
        <f t="shared" si="57"/>
        <v>0</v>
      </c>
      <c r="H189" s="463">
        <f t="shared" si="57"/>
        <v>0</v>
      </c>
      <c r="I189" s="461">
        <f t="shared" si="57"/>
        <v>0</v>
      </c>
      <c r="J189" s="464">
        <f t="shared" si="57"/>
        <v>0</v>
      </c>
      <c r="K189" s="465">
        <f t="shared" si="57"/>
        <v>0</v>
      </c>
      <c r="L189" s="461">
        <f t="shared" si="57"/>
        <v>0</v>
      </c>
      <c r="M189" s="462">
        <f t="shared" si="57"/>
        <v>0</v>
      </c>
    </row>
    <row r="190" spans="1:13" ht="11.25" customHeight="1" x14ac:dyDescent="0.25">
      <c r="A190" s="1336" t="s">
        <v>1821</v>
      </c>
      <c r="B190" s="1330"/>
      <c r="C190" s="430" t="s">
        <v>592</v>
      </c>
      <c r="D190" s="443"/>
      <c r="E190" s="470"/>
      <c r="F190" s="466"/>
      <c r="G190" s="469"/>
      <c r="H190" s="468"/>
      <c r="I190" s="466"/>
      <c r="J190" s="469"/>
      <c r="K190" s="470"/>
      <c r="L190" s="466"/>
      <c r="M190" s="467"/>
    </row>
    <row r="191" spans="1:13" ht="11.25" customHeight="1" x14ac:dyDescent="0.25">
      <c r="B191" s="1330"/>
      <c r="C191" s="431" t="s">
        <v>633</v>
      </c>
      <c r="D191" s="443"/>
      <c r="E191" s="905"/>
      <c r="F191" s="900"/>
      <c r="G191" s="901"/>
      <c r="H191" s="1334"/>
      <c r="I191" s="900"/>
      <c r="J191" s="1335"/>
      <c r="K191" s="905"/>
      <c r="L191" s="900"/>
      <c r="M191" s="901"/>
    </row>
    <row r="192" spans="1:13" ht="11.25" customHeight="1" x14ac:dyDescent="0.25">
      <c r="B192" s="1330"/>
      <c r="C192" s="433" t="s">
        <v>323</v>
      </c>
      <c r="D192" s="443"/>
      <c r="E192" s="470">
        <f>SUM(E191)</f>
        <v>0</v>
      </c>
      <c r="F192" s="466">
        <f t="shared" ref="F192:M192" si="58">SUM(F191)</f>
        <v>0</v>
      </c>
      <c r="G192" s="467">
        <f t="shared" si="58"/>
        <v>0</v>
      </c>
      <c r="H192" s="468">
        <f t="shared" si="58"/>
        <v>0</v>
      </c>
      <c r="I192" s="466">
        <f t="shared" si="58"/>
        <v>0</v>
      </c>
      <c r="J192" s="469">
        <f t="shared" si="58"/>
        <v>0</v>
      </c>
      <c r="K192" s="470">
        <f t="shared" si="58"/>
        <v>0</v>
      </c>
      <c r="L192" s="466">
        <f t="shared" si="58"/>
        <v>0</v>
      </c>
      <c r="M192" s="467">
        <f t="shared" si="58"/>
        <v>0</v>
      </c>
    </row>
    <row r="193" spans="1:13" ht="11.25" customHeight="1" x14ac:dyDescent="0.25">
      <c r="B193" s="1330"/>
      <c r="C193" s="431" t="s">
        <v>593</v>
      </c>
      <c r="D193" s="443"/>
      <c r="E193" s="895"/>
      <c r="F193" s="891"/>
      <c r="G193" s="892"/>
      <c r="H193" s="1333"/>
      <c r="I193" s="891"/>
      <c r="J193" s="894"/>
      <c r="K193" s="895"/>
      <c r="L193" s="891"/>
      <c r="M193" s="892"/>
    </row>
    <row r="194" spans="1:13" ht="11.25" customHeight="1" x14ac:dyDescent="0.25">
      <c r="B194" s="1330"/>
      <c r="C194" s="431" t="s">
        <v>594</v>
      </c>
      <c r="D194" s="443"/>
      <c r="E194" s="895"/>
      <c r="F194" s="891"/>
      <c r="G194" s="892"/>
      <c r="H194" s="1333"/>
      <c r="I194" s="891"/>
      <c r="J194" s="894"/>
      <c r="K194" s="895"/>
      <c r="L194" s="891"/>
      <c r="M194" s="892"/>
    </row>
    <row r="195" spans="1:13" ht="11.25" customHeight="1" x14ac:dyDescent="0.25">
      <c r="B195" s="1330"/>
      <c r="C195" s="431" t="s">
        <v>755</v>
      </c>
      <c r="D195" s="443"/>
      <c r="E195" s="895"/>
      <c r="F195" s="891"/>
      <c r="G195" s="892"/>
      <c r="H195" s="1333"/>
      <c r="I195" s="891"/>
      <c r="J195" s="894"/>
      <c r="K195" s="895"/>
      <c r="L195" s="891"/>
      <c r="M195" s="892"/>
    </row>
    <row r="196" spans="1:13" ht="11.25" customHeight="1" x14ac:dyDescent="0.25">
      <c r="B196" s="1330"/>
      <c r="C196" s="431" t="s">
        <v>756</v>
      </c>
      <c r="D196" s="443"/>
      <c r="E196" s="895"/>
      <c r="F196" s="891"/>
      <c r="G196" s="892"/>
      <c r="H196" s="1333"/>
      <c r="I196" s="891"/>
      <c r="J196" s="894"/>
      <c r="K196" s="895"/>
      <c r="L196" s="891"/>
      <c r="M196" s="892"/>
    </row>
    <row r="197" spans="1:13" ht="11.25" customHeight="1" x14ac:dyDescent="0.25">
      <c r="B197" s="1330"/>
      <c r="C197" s="431" t="s">
        <v>170</v>
      </c>
      <c r="D197" s="443"/>
      <c r="E197" s="895"/>
      <c r="F197" s="891"/>
      <c r="G197" s="892"/>
      <c r="H197" s="1333"/>
      <c r="I197" s="891"/>
      <c r="J197" s="894"/>
      <c r="K197" s="895"/>
      <c r="L197" s="891"/>
      <c r="M197" s="892"/>
    </row>
    <row r="198" spans="1:13" ht="11.25" customHeight="1" x14ac:dyDescent="0.25">
      <c r="B198" s="1330"/>
      <c r="C198" s="433" t="s">
        <v>1124</v>
      </c>
      <c r="D198" s="443"/>
      <c r="E198" s="460">
        <f t="shared" ref="E198:M198" si="59">SUM(E193:E197)</f>
        <v>0</v>
      </c>
      <c r="F198" s="456">
        <f t="shared" si="59"/>
        <v>0</v>
      </c>
      <c r="G198" s="457">
        <f t="shared" si="59"/>
        <v>0</v>
      </c>
      <c r="H198" s="458">
        <f t="shared" si="59"/>
        <v>0</v>
      </c>
      <c r="I198" s="456">
        <f t="shared" si="59"/>
        <v>0</v>
      </c>
      <c r="J198" s="459">
        <f t="shared" si="59"/>
        <v>0</v>
      </c>
      <c r="K198" s="460">
        <f t="shared" si="59"/>
        <v>0</v>
      </c>
      <c r="L198" s="456">
        <f t="shared" si="59"/>
        <v>0</v>
      </c>
      <c r="M198" s="457">
        <f t="shared" si="59"/>
        <v>0</v>
      </c>
    </row>
    <row r="199" spans="1:13" ht="11.25" customHeight="1" x14ac:dyDescent="0.25">
      <c r="B199" s="1330"/>
      <c r="C199" s="434" t="s">
        <v>1160</v>
      </c>
      <c r="D199" s="443"/>
      <c r="E199" s="465">
        <f>E192+E198</f>
        <v>0</v>
      </c>
      <c r="F199" s="461">
        <f t="shared" ref="F199:M199" si="60">F192+F198</f>
        <v>0</v>
      </c>
      <c r="G199" s="462">
        <f t="shared" si="60"/>
        <v>0</v>
      </c>
      <c r="H199" s="463">
        <f t="shared" si="60"/>
        <v>0</v>
      </c>
      <c r="I199" s="461">
        <f t="shared" si="60"/>
        <v>0</v>
      </c>
      <c r="J199" s="464">
        <f t="shared" si="60"/>
        <v>0</v>
      </c>
      <c r="K199" s="465">
        <f t="shared" si="60"/>
        <v>0</v>
      </c>
      <c r="L199" s="461">
        <f t="shared" si="60"/>
        <v>0</v>
      </c>
      <c r="M199" s="462">
        <f t="shared" si="60"/>
        <v>0</v>
      </c>
    </row>
    <row r="200" spans="1:13" ht="4.9000000000000004" customHeight="1" x14ac:dyDescent="0.25">
      <c r="B200" s="1330"/>
      <c r="C200" s="435"/>
      <c r="D200" s="444"/>
      <c r="E200" s="114"/>
      <c r="F200" s="110"/>
      <c r="G200" s="111"/>
      <c r="H200" s="112"/>
      <c r="I200" s="110"/>
      <c r="J200" s="113"/>
      <c r="K200" s="114"/>
      <c r="L200" s="110"/>
      <c r="M200" s="111"/>
    </row>
    <row r="201" spans="1:13" ht="25.15" customHeight="1" x14ac:dyDescent="0.25">
      <c r="A201" s="2488" t="s">
        <v>1822</v>
      </c>
      <c r="B201" s="1324"/>
      <c r="C201" s="1325"/>
      <c r="D201" s="1326"/>
      <c r="E201" s="836" t="str">
        <f>head1b</f>
        <v>2017/18</v>
      </c>
      <c r="F201" s="837" t="str">
        <f>head1A</f>
        <v>2018/19</v>
      </c>
      <c r="G201" s="684" t="str">
        <f>Head1</f>
        <v>2019/20</v>
      </c>
      <c r="H201" s="2450" t="str">
        <f>Head2</f>
        <v>Current Year 2020/21</v>
      </c>
      <c r="I201" s="2451"/>
      <c r="J201" s="2452"/>
      <c r="K201" s="2450" t="str">
        <f>Head3</f>
        <v>2021/22 Medium Term Revenue &amp; Expenditure Framework</v>
      </c>
      <c r="L201" s="2451"/>
      <c r="M201" s="2452"/>
    </row>
    <row r="202" spans="1:13" ht="25.15" customHeight="1" x14ac:dyDescent="0.25">
      <c r="A202" s="2488"/>
      <c r="B202" s="1327" t="s">
        <v>1739</v>
      </c>
      <c r="C202" s="1328"/>
      <c r="D202" s="1329"/>
      <c r="E202" s="420" t="str">
        <f>Head5A</f>
        <v>Outcome</v>
      </c>
      <c r="F202" s="421" t="str">
        <f>Head5A</f>
        <v>Outcome</v>
      </c>
      <c r="G202" s="422" t="str">
        <f>Head5A</f>
        <v>Outcome</v>
      </c>
      <c r="H202" s="423" t="str">
        <f>Head6</f>
        <v>Original Budget</v>
      </c>
      <c r="I202" s="421" t="str">
        <f>Head7</f>
        <v>Adjusted Budget</v>
      </c>
      <c r="J202" s="422" t="str">
        <f>Head8</f>
        <v>Full Year Forecast</v>
      </c>
      <c r="K202" s="423" t="str">
        <f>Head9</f>
        <v>Budget Year 2021/22</v>
      </c>
      <c r="L202" s="421" t="str">
        <f>Head10</f>
        <v>Budget Year +1 2022/23</v>
      </c>
      <c r="M202" s="422" t="str">
        <f>Head11</f>
        <v>Budget Year +2 2023/24</v>
      </c>
    </row>
    <row r="203" spans="1:13" ht="11.25" customHeight="1" x14ac:dyDescent="0.25">
      <c r="A203" s="1337" t="s">
        <v>1823</v>
      </c>
      <c r="B203" s="1330"/>
      <c r="C203" s="424" t="s">
        <v>172</v>
      </c>
      <c r="D203" s="443"/>
      <c r="E203" s="950"/>
      <c r="F203" s="1331"/>
      <c r="G203" s="1332"/>
      <c r="H203" s="425"/>
      <c r="I203" s="426"/>
      <c r="J203" s="427"/>
      <c r="K203" s="428"/>
      <c r="L203" s="426"/>
      <c r="M203" s="429"/>
    </row>
    <row r="204" spans="1:13" ht="11.25" customHeight="1" x14ac:dyDescent="0.25">
      <c r="A204" s="869"/>
      <c r="B204" s="1330"/>
      <c r="C204" s="430" t="s">
        <v>1609</v>
      </c>
      <c r="D204" s="443"/>
      <c r="E204" s="102"/>
      <c r="F204" s="98"/>
      <c r="G204" s="101"/>
      <c r="H204" s="73"/>
      <c r="I204" s="71"/>
      <c r="J204" s="74"/>
      <c r="K204" s="75"/>
      <c r="L204" s="71"/>
      <c r="M204" s="72"/>
    </row>
    <row r="205" spans="1:13" ht="11.25" customHeight="1" x14ac:dyDescent="0.25">
      <c r="A205" s="869"/>
      <c r="B205" s="1330"/>
      <c r="C205" s="431" t="s">
        <v>1442</v>
      </c>
      <c r="D205" s="443"/>
      <c r="E205" s="895"/>
      <c r="F205" s="891"/>
      <c r="G205" s="892"/>
      <c r="H205" s="1333"/>
      <c r="I205" s="891"/>
      <c r="J205" s="894"/>
      <c r="K205" s="895"/>
      <c r="L205" s="891"/>
      <c r="M205" s="892"/>
    </row>
    <row r="206" spans="1:13" ht="11.25" customHeight="1" x14ac:dyDescent="0.25">
      <c r="A206" s="869"/>
      <c r="B206" s="1330"/>
      <c r="C206" s="431" t="s">
        <v>1608</v>
      </c>
      <c r="D206" s="443"/>
      <c r="E206" s="895"/>
      <c r="F206" s="891"/>
      <c r="G206" s="892"/>
      <c r="H206" s="1333"/>
      <c r="I206" s="891"/>
      <c r="J206" s="894"/>
      <c r="K206" s="895"/>
      <c r="L206" s="891"/>
      <c r="M206" s="892"/>
    </row>
    <row r="207" spans="1:13" ht="11.25" customHeight="1" x14ac:dyDescent="0.25">
      <c r="A207" s="869"/>
      <c r="B207" s="432">
        <v>8</v>
      </c>
      <c r="C207" s="431" t="s">
        <v>111</v>
      </c>
      <c r="D207" s="443"/>
      <c r="E207" s="895"/>
      <c r="F207" s="891"/>
      <c r="G207" s="892"/>
      <c r="H207" s="1333"/>
      <c r="I207" s="891"/>
      <c r="J207" s="894"/>
      <c r="K207" s="895"/>
      <c r="L207" s="891"/>
      <c r="M207" s="892"/>
    </row>
    <row r="208" spans="1:13" ht="11.25" customHeight="1" x14ac:dyDescent="0.25">
      <c r="A208" s="869"/>
      <c r="B208" s="432">
        <v>10</v>
      </c>
      <c r="C208" s="431" t="s">
        <v>112</v>
      </c>
      <c r="D208" s="443"/>
      <c r="E208" s="895"/>
      <c r="F208" s="891"/>
      <c r="G208" s="892"/>
      <c r="H208" s="1333"/>
      <c r="I208" s="891"/>
      <c r="J208" s="894"/>
      <c r="K208" s="895"/>
      <c r="L208" s="891"/>
      <c r="M208" s="892"/>
    </row>
    <row r="209" spans="1:13" ht="11.25" customHeight="1" x14ac:dyDescent="0.25">
      <c r="A209" s="869"/>
      <c r="B209" s="432"/>
      <c r="C209" s="433" t="s">
        <v>323</v>
      </c>
      <c r="D209" s="443"/>
      <c r="E209" s="455">
        <f>SUM(E205:E208)</f>
        <v>0</v>
      </c>
      <c r="F209" s="451">
        <f t="shared" ref="F209:M209" si="61">SUM(F205:F208)</f>
        <v>0</v>
      </c>
      <c r="G209" s="452">
        <f t="shared" si="61"/>
        <v>0</v>
      </c>
      <c r="H209" s="453">
        <f t="shared" si="61"/>
        <v>0</v>
      </c>
      <c r="I209" s="451">
        <f t="shared" si="61"/>
        <v>0</v>
      </c>
      <c r="J209" s="454">
        <f t="shared" si="61"/>
        <v>0</v>
      </c>
      <c r="K209" s="455">
        <f t="shared" si="61"/>
        <v>0</v>
      </c>
      <c r="L209" s="451">
        <f t="shared" si="61"/>
        <v>0</v>
      </c>
      <c r="M209" s="452">
        <f t="shared" si="61"/>
        <v>0</v>
      </c>
    </row>
    <row r="210" spans="1:13" ht="11.25" customHeight="1" x14ac:dyDescent="0.25">
      <c r="A210" s="869"/>
      <c r="B210" s="432">
        <v>9</v>
      </c>
      <c r="C210" s="431" t="s">
        <v>434</v>
      </c>
      <c r="D210" s="443"/>
      <c r="E210" s="895"/>
      <c r="F210" s="891"/>
      <c r="G210" s="892"/>
      <c r="H210" s="1333"/>
      <c r="I210" s="891"/>
      <c r="J210" s="894"/>
      <c r="K210" s="895"/>
      <c r="L210" s="891"/>
      <c r="M210" s="892"/>
    </row>
    <row r="211" spans="1:13" ht="11.25" customHeight="1" x14ac:dyDescent="0.25">
      <c r="A211" s="869"/>
      <c r="B211" s="432">
        <v>10</v>
      </c>
      <c r="C211" s="431" t="s">
        <v>435</v>
      </c>
      <c r="D211" s="443"/>
      <c r="E211" s="895"/>
      <c r="F211" s="891"/>
      <c r="G211" s="892"/>
      <c r="H211" s="1333"/>
      <c r="I211" s="891"/>
      <c r="J211" s="894"/>
      <c r="K211" s="895"/>
      <c r="L211" s="891"/>
      <c r="M211" s="892"/>
    </row>
    <row r="212" spans="1:13" ht="11.25" customHeight="1" x14ac:dyDescent="0.25">
      <c r="A212" s="869"/>
      <c r="B212" s="1330"/>
      <c r="C212" s="431" t="s">
        <v>835</v>
      </c>
      <c r="D212" s="443"/>
      <c r="E212" s="895"/>
      <c r="F212" s="891"/>
      <c r="G212" s="892"/>
      <c r="H212" s="1333"/>
      <c r="I212" s="891"/>
      <c r="J212" s="894"/>
      <c r="K212" s="895"/>
      <c r="L212" s="891"/>
      <c r="M212" s="892"/>
    </row>
    <row r="213" spans="1:13" ht="11.25" customHeight="1" x14ac:dyDescent="0.25">
      <c r="A213" s="869"/>
      <c r="B213" s="1330"/>
      <c r="C213" s="433" t="s">
        <v>1124</v>
      </c>
      <c r="D213" s="443"/>
      <c r="E213" s="460">
        <f>SUM(E210:E212)</f>
        <v>0</v>
      </c>
      <c r="F213" s="456">
        <f t="shared" ref="F213:M213" si="62">SUM(F210:F212)</f>
        <v>0</v>
      </c>
      <c r="G213" s="457">
        <f t="shared" si="62"/>
        <v>0</v>
      </c>
      <c r="H213" s="458">
        <f t="shared" si="62"/>
        <v>0</v>
      </c>
      <c r="I213" s="456">
        <f t="shared" si="62"/>
        <v>0</v>
      </c>
      <c r="J213" s="459">
        <f t="shared" si="62"/>
        <v>0</v>
      </c>
      <c r="K213" s="460">
        <f t="shared" si="62"/>
        <v>0</v>
      </c>
      <c r="L213" s="456">
        <f t="shared" si="62"/>
        <v>0</v>
      </c>
      <c r="M213" s="457">
        <f t="shared" si="62"/>
        <v>0</v>
      </c>
    </row>
    <row r="214" spans="1:13" ht="11.25" customHeight="1" x14ac:dyDescent="0.25">
      <c r="B214" s="1330"/>
      <c r="C214" s="434" t="s">
        <v>1160</v>
      </c>
      <c r="D214" s="443"/>
      <c r="E214" s="465">
        <f>E209+E213</f>
        <v>0</v>
      </c>
      <c r="F214" s="461">
        <f t="shared" ref="F214:M214" si="63">F209+F213</f>
        <v>0</v>
      </c>
      <c r="G214" s="462">
        <f t="shared" si="63"/>
        <v>0</v>
      </c>
      <c r="H214" s="463">
        <f t="shared" si="63"/>
        <v>0</v>
      </c>
      <c r="I214" s="461">
        <f t="shared" si="63"/>
        <v>0</v>
      </c>
      <c r="J214" s="464">
        <f t="shared" si="63"/>
        <v>0</v>
      </c>
      <c r="K214" s="465">
        <f t="shared" si="63"/>
        <v>0</v>
      </c>
      <c r="L214" s="461">
        <f t="shared" si="63"/>
        <v>0</v>
      </c>
      <c r="M214" s="462">
        <f t="shared" si="63"/>
        <v>0</v>
      </c>
    </row>
    <row r="215" spans="1:13" ht="11.25" customHeight="1" x14ac:dyDescent="0.25">
      <c r="A215" s="1337" t="s">
        <v>1823</v>
      </c>
      <c r="B215" s="1330"/>
      <c r="C215" s="430" t="s">
        <v>1161</v>
      </c>
      <c r="D215" s="443"/>
      <c r="E215" s="470"/>
      <c r="F215" s="466"/>
      <c r="G215" s="469"/>
      <c r="H215" s="468"/>
      <c r="I215" s="466"/>
      <c r="J215" s="469"/>
      <c r="K215" s="470"/>
      <c r="L215" s="466"/>
      <c r="M215" s="467"/>
    </row>
    <row r="216" spans="1:13" ht="11.25" customHeight="1" x14ac:dyDescent="0.25">
      <c r="A216" s="869"/>
      <c r="B216" s="1330"/>
      <c r="C216" s="431" t="s">
        <v>1162</v>
      </c>
      <c r="D216" s="443"/>
      <c r="E216" s="895"/>
      <c r="F216" s="891"/>
      <c r="G216" s="892"/>
      <c r="H216" s="1333"/>
      <c r="I216" s="891"/>
      <c r="J216" s="894"/>
      <c r="K216" s="895"/>
      <c r="L216" s="891"/>
      <c r="M216" s="892"/>
    </row>
    <row r="217" spans="1:13" ht="11.25" customHeight="1" x14ac:dyDescent="0.25">
      <c r="A217" s="869"/>
      <c r="B217" s="1330"/>
      <c r="C217" s="431" t="s">
        <v>1163</v>
      </c>
      <c r="D217" s="443"/>
      <c r="E217" s="895"/>
      <c r="F217" s="891"/>
      <c r="G217" s="892"/>
      <c r="H217" s="1333"/>
      <c r="I217" s="891"/>
      <c r="J217" s="894"/>
      <c r="K217" s="895"/>
      <c r="L217" s="891"/>
      <c r="M217" s="892"/>
    </row>
    <row r="218" spans="1:13" ht="11.25" customHeight="1" x14ac:dyDescent="0.25">
      <c r="A218" s="869"/>
      <c r="B218" s="1330"/>
      <c r="C218" s="431" t="s">
        <v>1228</v>
      </c>
      <c r="D218" s="443"/>
      <c r="E218" s="895"/>
      <c r="F218" s="891"/>
      <c r="G218" s="892"/>
      <c r="H218" s="1333"/>
      <c r="I218" s="891"/>
      <c r="J218" s="894"/>
      <c r="K218" s="895"/>
      <c r="L218" s="891"/>
      <c r="M218" s="892"/>
    </row>
    <row r="219" spans="1:13" ht="11.25" customHeight="1" x14ac:dyDescent="0.25">
      <c r="A219" s="869"/>
      <c r="B219" s="1330"/>
      <c r="C219" s="431" t="s">
        <v>211</v>
      </c>
      <c r="D219" s="443"/>
      <c r="E219" s="895"/>
      <c r="F219" s="891"/>
      <c r="G219" s="892"/>
      <c r="H219" s="1333"/>
      <c r="I219" s="891"/>
      <c r="J219" s="894"/>
      <c r="K219" s="895"/>
      <c r="L219" s="891"/>
      <c r="M219" s="892"/>
    </row>
    <row r="220" spans="1:13" ht="11.25" customHeight="1" x14ac:dyDescent="0.25">
      <c r="A220" s="869"/>
      <c r="B220" s="1330"/>
      <c r="C220" s="431" t="s">
        <v>213</v>
      </c>
      <c r="D220" s="443"/>
      <c r="E220" s="895"/>
      <c r="F220" s="891"/>
      <c r="G220" s="892"/>
      <c r="H220" s="1333"/>
      <c r="I220" s="891"/>
      <c r="J220" s="894"/>
      <c r="K220" s="895"/>
      <c r="L220" s="891"/>
      <c r="M220" s="892"/>
    </row>
    <row r="221" spans="1:13" ht="11.25" customHeight="1" x14ac:dyDescent="0.25">
      <c r="A221" s="869"/>
      <c r="B221" s="1330"/>
      <c r="C221" s="433" t="s">
        <v>323</v>
      </c>
      <c r="D221" s="443"/>
      <c r="E221" s="455">
        <f>SUM(E216:E220)</f>
        <v>0</v>
      </c>
      <c r="F221" s="451">
        <f t="shared" ref="F221:M221" si="64">SUM(F216:F220)</f>
        <v>0</v>
      </c>
      <c r="G221" s="452">
        <f t="shared" si="64"/>
        <v>0</v>
      </c>
      <c r="H221" s="453">
        <f t="shared" si="64"/>
        <v>0</v>
      </c>
      <c r="I221" s="451">
        <f t="shared" si="64"/>
        <v>0</v>
      </c>
      <c r="J221" s="454">
        <f t="shared" si="64"/>
        <v>0</v>
      </c>
      <c r="K221" s="455">
        <f t="shared" si="64"/>
        <v>0</v>
      </c>
      <c r="L221" s="451">
        <f t="shared" si="64"/>
        <v>0</v>
      </c>
      <c r="M221" s="452">
        <f t="shared" si="64"/>
        <v>0</v>
      </c>
    </row>
    <row r="222" spans="1:13" ht="11.25" customHeight="1" x14ac:dyDescent="0.25">
      <c r="A222" s="869"/>
      <c r="B222" s="1330"/>
      <c r="C222" s="431" t="s">
        <v>212</v>
      </c>
      <c r="D222" s="443"/>
      <c r="E222" s="895"/>
      <c r="F222" s="891"/>
      <c r="G222" s="892"/>
      <c r="H222" s="1333"/>
      <c r="I222" s="891"/>
      <c r="J222" s="894"/>
      <c r="K222" s="895"/>
      <c r="L222" s="891"/>
      <c r="M222" s="892"/>
    </row>
    <row r="223" spans="1:13" ht="11.25" customHeight="1" x14ac:dyDescent="0.25">
      <c r="A223" s="869"/>
      <c r="B223" s="1330"/>
      <c r="C223" s="431" t="s">
        <v>1071</v>
      </c>
      <c r="D223" s="443"/>
      <c r="E223" s="895"/>
      <c r="F223" s="891"/>
      <c r="G223" s="892"/>
      <c r="H223" s="1333"/>
      <c r="I223" s="891"/>
      <c r="J223" s="894"/>
      <c r="K223" s="895"/>
      <c r="L223" s="891"/>
      <c r="M223" s="892"/>
    </row>
    <row r="224" spans="1:13" ht="11.25" customHeight="1" x14ac:dyDescent="0.25">
      <c r="A224" s="869"/>
      <c r="B224" s="1330"/>
      <c r="C224" s="431" t="s">
        <v>1230</v>
      </c>
      <c r="D224" s="443"/>
      <c r="E224" s="895"/>
      <c r="F224" s="891"/>
      <c r="G224" s="892"/>
      <c r="H224" s="1333"/>
      <c r="I224" s="891"/>
      <c r="J224" s="894"/>
      <c r="K224" s="895"/>
      <c r="L224" s="891"/>
      <c r="M224" s="892"/>
    </row>
    <row r="225" spans="1:13" ht="11.25" customHeight="1" x14ac:dyDescent="0.25">
      <c r="A225" s="869"/>
      <c r="B225" s="1330"/>
      <c r="C225" s="433" t="s">
        <v>1124</v>
      </c>
      <c r="D225" s="443"/>
      <c r="E225" s="460">
        <f>SUM(E222:E224)</f>
        <v>0</v>
      </c>
      <c r="F225" s="456">
        <f t="shared" ref="F225:M225" si="65">SUM(F222:F224)</f>
        <v>0</v>
      </c>
      <c r="G225" s="457">
        <f t="shared" si="65"/>
        <v>0</v>
      </c>
      <c r="H225" s="458">
        <f t="shared" si="65"/>
        <v>0</v>
      </c>
      <c r="I225" s="456">
        <f t="shared" si="65"/>
        <v>0</v>
      </c>
      <c r="J225" s="459">
        <f t="shared" si="65"/>
        <v>0</v>
      </c>
      <c r="K225" s="460">
        <f t="shared" si="65"/>
        <v>0</v>
      </c>
      <c r="L225" s="456">
        <f t="shared" si="65"/>
        <v>0</v>
      </c>
      <c r="M225" s="457">
        <f t="shared" si="65"/>
        <v>0</v>
      </c>
    </row>
    <row r="226" spans="1:13" ht="11.25" customHeight="1" x14ac:dyDescent="0.25">
      <c r="B226" s="1330"/>
      <c r="C226" s="434" t="s">
        <v>1160</v>
      </c>
      <c r="D226" s="443"/>
      <c r="E226" s="465">
        <f>E221+E225</f>
        <v>0</v>
      </c>
      <c r="F226" s="461">
        <f t="shared" ref="F226:M226" si="66">F221+F225</f>
        <v>0</v>
      </c>
      <c r="G226" s="462">
        <f t="shared" si="66"/>
        <v>0</v>
      </c>
      <c r="H226" s="463">
        <f t="shared" si="66"/>
        <v>0</v>
      </c>
      <c r="I226" s="461">
        <f t="shared" si="66"/>
        <v>0</v>
      </c>
      <c r="J226" s="464">
        <f t="shared" si="66"/>
        <v>0</v>
      </c>
      <c r="K226" s="465">
        <f t="shared" si="66"/>
        <v>0</v>
      </c>
      <c r="L226" s="461">
        <f t="shared" si="66"/>
        <v>0</v>
      </c>
      <c r="M226" s="462">
        <f t="shared" si="66"/>
        <v>0</v>
      </c>
    </row>
    <row r="227" spans="1:13" ht="11.25" customHeight="1" x14ac:dyDescent="0.25">
      <c r="A227" s="1337" t="s">
        <v>1823</v>
      </c>
      <c r="B227" s="1330"/>
      <c r="C227" s="430" t="s">
        <v>589</v>
      </c>
      <c r="D227" s="443"/>
      <c r="E227" s="470"/>
      <c r="F227" s="466"/>
      <c r="G227" s="469"/>
      <c r="H227" s="468"/>
      <c r="I227" s="466"/>
      <c r="J227" s="469"/>
      <c r="K227" s="470"/>
      <c r="L227" s="466"/>
      <c r="M227" s="467"/>
    </row>
    <row r="228" spans="1:13" ht="11.25" customHeight="1" x14ac:dyDescent="0.25">
      <c r="A228" s="869"/>
      <c r="B228" s="1330"/>
      <c r="C228" s="431" t="s">
        <v>1072</v>
      </c>
      <c r="D228" s="443"/>
      <c r="E228" s="895"/>
      <c r="F228" s="891"/>
      <c r="G228" s="892"/>
      <c r="H228" s="1333"/>
      <c r="I228" s="891"/>
      <c r="J228" s="894"/>
      <c r="K228" s="895"/>
      <c r="L228" s="891"/>
      <c r="M228" s="892"/>
    </row>
    <row r="229" spans="1:13" ht="11.25" customHeight="1" x14ac:dyDescent="0.25">
      <c r="A229" s="869"/>
      <c r="B229" s="1330"/>
      <c r="C229" s="431" t="s">
        <v>436</v>
      </c>
      <c r="D229" s="443"/>
      <c r="E229" s="895"/>
      <c r="F229" s="891"/>
      <c r="G229" s="892"/>
      <c r="H229" s="1333"/>
      <c r="I229" s="891"/>
      <c r="J229" s="894"/>
      <c r="K229" s="895"/>
      <c r="L229" s="891"/>
      <c r="M229" s="892"/>
    </row>
    <row r="230" spans="1:13" ht="11.25" customHeight="1" x14ac:dyDescent="0.25">
      <c r="A230" s="869"/>
      <c r="B230" s="1330"/>
      <c r="C230" s="433" t="s">
        <v>323</v>
      </c>
      <c r="D230" s="443"/>
      <c r="E230" s="455">
        <f>SUM(E228:E229)</f>
        <v>0</v>
      </c>
      <c r="F230" s="451">
        <f t="shared" ref="F230:M230" si="67">SUM(F228:F229)</f>
        <v>0</v>
      </c>
      <c r="G230" s="452">
        <f t="shared" si="67"/>
        <v>0</v>
      </c>
      <c r="H230" s="453">
        <f t="shared" si="67"/>
        <v>0</v>
      </c>
      <c r="I230" s="451">
        <f t="shared" si="67"/>
        <v>0</v>
      </c>
      <c r="J230" s="454">
        <f t="shared" si="67"/>
        <v>0</v>
      </c>
      <c r="K230" s="455">
        <f t="shared" si="67"/>
        <v>0</v>
      </c>
      <c r="L230" s="451">
        <f t="shared" si="67"/>
        <v>0</v>
      </c>
      <c r="M230" s="452">
        <f t="shared" si="67"/>
        <v>0</v>
      </c>
    </row>
    <row r="231" spans="1:13" ht="11.25" customHeight="1" x14ac:dyDescent="0.25">
      <c r="A231" s="869"/>
      <c r="B231" s="1330"/>
      <c r="C231" s="431" t="s">
        <v>437</v>
      </c>
      <c r="D231" s="443"/>
      <c r="E231" s="895"/>
      <c r="F231" s="891"/>
      <c r="G231" s="892"/>
      <c r="H231" s="1333"/>
      <c r="I231" s="891"/>
      <c r="J231" s="894"/>
      <c r="K231" s="895"/>
      <c r="L231" s="891"/>
      <c r="M231" s="892"/>
    </row>
    <row r="232" spans="1:13" ht="11.25" customHeight="1" x14ac:dyDescent="0.25">
      <c r="A232" s="869"/>
      <c r="B232" s="1330"/>
      <c r="C232" s="431" t="s">
        <v>438</v>
      </c>
      <c r="D232" s="443"/>
      <c r="E232" s="895"/>
      <c r="F232" s="891"/>
      <c r="G232" s="892"/>
      <c r="H232" s="1333"/>
      <c r="I232" s="891"/>
      <c r="J232" s="894"/>
      <c r="K232" s="895"/>
      <c r="L232" s="891"/>
      <c r="M232" s="892"/>
    </row>
    <row r="233" spans="1:13" ht="11.25" customHeight="1" x14ac:dyDescent="0.25">
      <c r="A233" s="869"/>
      <c r="B233" s="1330"/>
      <c r="C233" s="431" t="s">
        <v>590</v>
      </c>
      <c r="D233" s="443"/>
      <c r="E233" s="895"/>
      <c r="F233" s="891"/>
      <c r="G233" s="892"/>
      <c r="H233" s="1333"/>
      <c r="I233" s="891"/>
      <c r="J233" s="894"/>
      <c r="K233" s="895"/>
      <c r="L233" s="891"/>
      <c r="M233" s="892"/>
    </row>
    <row r="234" spans="1:13" ht="11.25" customHeight="1" x14ac:dyDescent="0.25">
      <c r="A234" s="869"/>
      <c r="B234" s="1330"/>
      <c r="C234" s="433" t="s">
        <v>1124</v>
      </c>
      <c r="D234" s="443"/>
      <c r="E234" s="460">
        <f>SUM(E231:E233)</f>
        <v>0</v>
      </c>
      <c r="F234" s="456">
        <f t="shared" ref="F234:M234" si="68">SUM(F231:F233)</f>
        <v>0</v>
      </c>
      <c r="G234" s="457">
        <f t="shared" si="68"/>
        <v>0</v>
      </c>
      <c r="H234" s="458">
        <f t="shared" si="68"/>
        <v>0</v>
      </c>
      <c r="I234" s="456">
        <f t="shared" si="68"/>
        <v>0</v>
      </c>
      <c r="J234" s="459">
        <f t="shared" si="68"/>
        <v>0</v>
      </c>
      <c r="K234" s="460">
        <f t="shared" si="68"/>
        <v>0</v>
      </c>
      <c r="L234" s="456">
        <f t="shared" si="68"/>
        <v>0</v>
      </c>
      <c r="M234" s="457">
        <f t="shared" si="68"/>
        <v>0</v>
      </c>
    </row>
    <row r="235" spans="1:13" ht="11.25" customHeight="1" x14ac:dyDescent="0.25">
      <c r="A235" s="101"/>
      <c r="B235" s="1330"/>
      <c r="C235" s="434" t="s">
        <v>1160</v>
      </c>
      <c r="D235" s="443"/>
      <c r="E235" s="465">
        <f>E230+E234</f>
        <v>0</v>
      </c>
      <c r="F235" s="461">
        <f t="shared" ref="F235:M235" si="69">F230+F234</f>
        <v>0</v>
      </c>
      <c r="G235" s="462">
        <f t="shared" si="69"/>
        <v>0</v>
      </c>
      <c r="H235" s="463">
        <f t="shared" si="69"/>
        <v>0</v>
      </c>
      <c r="I235" s="461">
        <f t="shared" si="69"/>
        <v>0</v>
      </c>
      <c r="J235" s="464">
        <f t="shared" si="69"/>
        <v>0</v>
      </c>
      <c r="K235" s="465">
        <f t="shared" si="69"/>
        <v>0</v>
      </c>
      <c r="L235" s="461">
        <f t="shared" si="69"/>
        <v>0</v>
      </c>
      <c r="M235" s="462">
        <f t="shared" si="69"/>
        <v>0</v>
      </c>
    </row>
    <row r="236" spans="1:13" ht="11.25" customHeight="1" x14ac:dyDescent="0.25">
      <c r="A236" s="1337" t="s">
        <v>1823</v>
      </c>
      <c r="B236" s="1330"/>
      <c r="C236" s="430" t="s">
        <v>592</v>
      </c>
      <c r="D236" s="443"/>
      <c r="E236" s="470"/>
      <c r="F236" s="466"/>
      <c r="G236" s="469"/>
      <c r="H236" s="468"/>
      <c r="I236" s="466"/>
      <c r="J236" s="469"/>
      <c r="K236" s="470"/>
      <c r="L236" s="466"/>
      <c r="M236" s="467"/>
    </row>
    <row r="237" spans="1:13" ht="11.25" customHeight="1" x14ac:dyDescent="0.25">
      <c r="A237" s="869"/>
      <c r="B237" s="1330"/>
      <c r="C237" s="431" t="s">
        <v>633</v>
      </c>
      <c r="D237" s="443"/>
      <c r="E237" s="905"/>
      <c r="F237" s="900"/>
      <c r="G237" s="901"/>
      <c r="H237" s="1334"/>
      <c r="I237" s="900"/>
      <c r="J237" s="1335"/>
      <c r="K237" s="905"/>
      <c r="L237" s="900"/>
      <c r="M237" s="901"/>
    </row>
    <row r="238" spans="1:13" ht="11.25" customHeight="1" x14ac:dyDescent="0.25">
      <c r="A238" s="869"/>
      <c r="B238" s="1330"/>
      <c r="C238" s="433" t="s">
        <v>323</v>
      </c>
      <c r="D238" s="443"/>
      <c r="E238" s="470">
        <f>SUM(E237)</f>
        <v>0</v>
      </c>
      <c r="F238" s="466">
        <f t="shared" ref="F238:M238" si="70">SUM(F237)</f>
        <v>0</v>
      </c>
      <c r="G238" s="467">
        <f t="shared" si="70"/>
        <v>0</v>
      </c>
      <c r="H238" s="468">
        <f t="shared" si="70"/>
        <v>0</v>
      </c>
      <c r="I238" s="466">
        <f t="shared" si="70"/>
        <v>0</v>
      </c>
      <c r="J238" s="469">
        <f t="shared" si="70"/>
        <v>0</v>
      </c>
      <c r="K238" s="470">
        <f t="shared" si="70"/>
        <v>0</v>
      </c>
      <c r="L238" s="466">
        <f t="shared" si="70"/>
        <v>0</v>
      </c>
      <c r="M238" s="467">
        <f t="shared" si="70"/>
        <v>0</v>
      </c>
    </row>
    <row r="239" spans="1:13" ht="11.25" customHeight="1" x14ac:dyDescent="0.25">
      <c r="A239" s="869"/>
      <c r="B239" s="1330"/>
      <c r="C239" s="431" t="s">
        <v>593</v>
      </c>
      <c r="D239" s="443"/>
      <c r="E239" s="895"/>
      <c r="F239" s="891"/>
      <c r="G239" s="892"/>
      <c r="H239" s="1333"/>
      <c r="I239" s="891"/>
      <c r="J239" s="894"/>
      <c r="K239" s="895"/>
      <c r="L239" s="891"/>
      <c r="M239" s="892"/>
    </row>
    <row r="240" spans="1:13" ht="11.25" customHeight="1" x14ac:dyDescent="0.25">
      <c r="A240" s="869"/>
      <c r="B240" s="1330"/>
      <c r="C240" s="431" t="s">
        <v>594</v>
      </c>
      <c r="D240" s="443"/>
      <c r="E240" s="895"/>
      <c r="F240" s="891"/>
      <c r="G240" s="892"/>
      <c r="H240" s="1333"/>
      <c r="I240" s="891"/>
      <c r="J240" s="894"/>
      <c r="K240" s="895"/>
      <c r="L240" s="891"/>
      <c r="M240" s="892"/>
    </row>
    <row r="241" spans="1:13" ht="11.25" customHeight="1" x14ac:dyDescent="0.25">
      <c r="A241" s="869"/>
      <c r="B241" s="1330"/>
      <c r="C241" s="431" t="s">
        <v>755</v>
      </c>
      <c r="D241" s="443"/>
      <c r="E241" s="895"/>
      <c r="F241" s="891"/>
      <c r="G241" s="892"/>
      <c r="H241" s="1333"/>
      <c r="I241" s="891"/>
      <c r="J241" s="894"/>
      <c r="K241" s="895"/>
      <c r="L241" s="891"/>
      <c r="M241" s="892"/>
    </row>
    <row r="242" spans="1:13" ht="11.25" customHeight="1" x14ac:dyDescent="0.25">
      <c r="A242" s="869"/>
      <c r="B242" s="1330"/>
      <c r="C242" s="431" t="s">
        <v>756</v>
      </c>
      <c r="D242" s="443"/>
      <c r="E242" s="895"/>
      <c r="F242" s="891"/>
      <c r="G242" s="892"/>
      <c r="H242" s="1333"/>
      <c r="I242" s="891"/>
      <c r="J242" s="894"/>
      <c r="K242" s="895"/>
      <c r="L242" s="891"/>
      <c r="M242" s="892"/>
    </row>
    <row r="243" spans="1:13" ht="11.25" customHeight="1" x14ac:dyDescent="0.25">
      <c r="A243" s="869"/>
      <c r="B243" s="1330"/>
      <c r="C243" s="431" t="s">
        <v>170</v>
      </c>
      <c r="D243" s="443"/>
      <c r="E243" s="895"/>
      <c r="F243" s="891"/>
      <c r="G243" s="892"/>
      <c r="H243" s="1333"/>
      <c r="I243" s="891"/>
      <c r="J243" s="894"/>
      <c r="K243" s="895"/>
      <c r="L243" s="891"/>
      <c r="M243" s="892"/>
    </row>
    <row r="244" spans="1:13" ht="11.25" customHeight="1" x14ac:dyDescent="0.25">
      <c r="A244" s="869"/>
      <c r="B244" s="1330"/>
      <c r="C244" s="433" t="s">
        <v>1124</v>
      </c>
      <c r="D244" s="443"/>
      <c r="E244" s="460">
        <f t="shared" ref="E244:M244" si="71">SUM(E239:E243)</f>
        <v>0</v>
      </c>
      <c r="F244" s="456">
        <f t="shared" si="71"/>
        <v>0</v>
      </c>
      <c r="G244" s="457">
        <f t="shared" si="71"/>
        <v>0</v>
      </c>
      <c r="H244" s="458">
        <f t="shared" si="71"/>
        <v>0</v>
      </c>
      <c r="I244" s="456">
        <f t="shared" si="71"/>
        <v>0</v>
      </c>
      <c r="J244" s="459">
        <f t="shared" si="71"/>
        <v>0</v>
      </c>
      <c r="K244" s="460">
        <f t="shared" si="71"/>
        <v>0</v>
      </c>
      <c r="L244" s="456">
        <f t="shared" si="71"/>
        <v>0</v>
      </c>
      <c r="M244" s="457">
        <f t="shared" si="71"/>
        <v>0</v>
      </c>
    </row>
    <row r="245" spans="1:13" ht="11.25" customHeight="1" x14ac:dyDescent="0.25">
      <c r="B245" s="1330"/>
      <c r="C245" s="434" t="s">
        <v>1160</v>
      </c>
      <c r="D245" s="443"/>
      <c r="E245" s="465">
        <f>E238+E244</f>
        <v>0</v>
      </c>
      <c r="F245" s="461">
        <f t="shared" ref="F245:M245" si="72">F238+F244</f>
        <v>0</v>
      </c>
      <c r="G245" s="462">
        <f t="shared" si="72"/>
        <v>0</v>
      </c>
      <c r="H245" s="463">
        <f t="shared" si="72"/>
        <v>0</v>
      </c>
      <c r="I245" s="461">
        <f t="shared" si="72"/>
        <v>0</v>
      </c>
      <c r="J245" s="464">
        <f t="shared" si="72"/>
        <v>0</v>
      </c>
      <c r="K245" s="465">
        <f t="shared" si="72"/>
        <v>0</v>
      </c>
      <c r="L245" s="461">
        <f t="shared" si="72"/>
        <v>0</v>
      </c>
      <c r="M245" s="462">
        <f t="shared" si="72"/>
        <v>0</v>
      </c>
    </row>
    <row r="246" spans="1:13" ht="4.9000000000000004" customHeight="1" x14ac:dyDescent="0.25">
      <c r="A246" s="1328"/>
      <c r="B246" s="1330"/>
      <c r="C246" s="560"/>
      <c r="D246" s="443"/>
      <c r="E246" s="436"/>
      <c r="F246" s="437"/>
      <c r="G246" s="438"/>
      <c r="H246" s="439"/>
      <c r="I246" s="437"/>
      <c r="J246" s="440"/>
      <c r="K246" s="436"/>
      <c r="L246" s="437"/>
      <c r="M246" s="438"/>
    </row>
    <row r="247" spans="1:13" ht="48.75" customHeight="1" x14ac:dyDescent="0.25">
      <c r="A247" s="2486" t="s">
        <v>2018</v>
      </c>
      <c r="B247" s="1338"/>
      <c r="C247" s="1339"/>
      <c r="D247" s="1340"/>
      <c r="E247" s="561" t="str">
        <f>head1b</f>
        <v>2017/18</v>
      </c>
      <c r="F247" s="837" t="str">
        <f>head1A</f>
        <v>2018/19</v>
      </c>
      <c r="G247" s="684" t="str">
        <f>Head1</f>
        <v>2019/20</v>
      </c>
      <c r="H247" s="2450" t="str">
        <f>Head2</f>
        <v>Current Year 2020/21</v>
      </c>
      <c r="I247" s="2451"/>
      <c r="J247" s="2452"/>
      <c r="K247" s="2450" t="str">
        <f>Head3</f>
        <v>2021/22 Medium Term Revenue &amp; Expenditure Framework</v>
      </c>
      <c r="L247" s="2451"/>
      <c r="M247" s="2452"/>
    </row>
    <row r="248" spans="1:13" ht="25.5" x14ac:dyDescent="0.25">
      <c r="A248" s="2487"/>
      <c r="B248" s="1341"/>
      <c r="C248" s="1342"/>
      <c r="D248" s="563"/>
      <c r="E248" s="562" t="str">
        <f>Head5A</f>
        <v>Outcome</v>
      </c>
      <c r="F248" s="698" t="str">
        <f>Head5A</f>
        <v>Outcome</v>
      </c>
      <c r="G248" s="94" t="str">
        <f>Head5A</f>
        <v>Outcome</v>
      </c>
      <c r="H248" s="95" t="str">
        <f>Head6</f>
        <v>Original Budget</v>
      </c>
      <c r="I248" s="698" t="str">
        <f>Head7</f>
        <v>Adjusted Budget</v>
      </c>
      <c r="J248" s="94" t="str">
        <f>Head8</f>
        <v>Full Year Forecast</v>
      </c>
      <c r="K248" s="95" t="str">
        <f>Head9</f>
        <v>Budget Year 2021/22</v>
      </c>
      <c r="L248" s="698" t="str">
        <f>Head10</f>
        <v>Budget Year +1 2022/23</v>
      </c>
      <c r="M248" s="94" t="str">
        <f>Head11</f>
        <v>Budget Year +2 2023/24</v>
      </c>
    </row>
    <row r="249" spans="1:13" ht="12.75" x14ac:dyDescent="0.25">
      <c r="A249" s="1343" t="s">
        <v>555</v>
      </c>
      <c r="B249" s="1344" t="s">
        <v>1739</v>
      </c>
      <c r="C249" s="1345" t="s">
        <v>2019</v>
      </c>
      <c r="D249" s="564"/>
      <c r="E249" s="1346"/>
      <c r="F249" s="1347"/>
      <c r="G249" s="1348"/>
      <c r="H249" s="1349"/>
      <c r="I249" s="1347"/>
      <c r="J249" s="1350"/>
      <c r="K249" s="1351"/>
      <c r="L249" s="1347"/>
      <c r="M249" s="1348"/>
    </row>
    <row r="250" spans="1:13" ht="25.5" x14ac:dyDescent="0.25">
      <c r="A250" s="1352" t="s">
        <v>2021</v>
      </c>
      <c r="B250" s="126"/>
      <c r="C250" s="1353" t="s">
        <v>2462</v>
      </c>
      <c r="D250" s="72"/>
      <c r="E250" s="1354"/>
      <c r="F250" s="891"/>
      <c r="G250" s="892"/>
      <c r="H250" s="1333"/>
      <c r="I250" s="891"/>
      <c r="J250" s="894"/>
      <c r="K250" s="895"/>
      <c r="L250" s="891"/>
      <c r="M250" s="892"/>
    </row>
    <row r="251" spans="1:13" ht="12.75" x14ac:dyDescent="0.25">
      <c r="A251" s="1352"/>
      <c r="B251" s="126"/>
      <c r="C251" s="572" t="s">
        <v>2020</v>
      </c>
      <c r="D251" s="72"/>
      <c r="E251" s="1354"/>
      <c r="F251" s="891"/>
      <c r="G251" s="892"/>
      <c r="H251" s="1333"/>
      <c r="I251" s="891"/>
      <c r="J251" s="894"/>
      <c r="K251" s="895"/>
      <c r="L251" s="891"/>
      <c r="M251" s="892"/>
    </row>
    <row r="252" spans="1:13" ht="12.75" customHeight="1" x14ac:dyDescent="0.25">
      <c r="A252" s="1352"/>
      <c r="B252" s="126"/>
      <c r="C252" s="664" t="s">
        <v>2463</v>
      </c>
      <c r="D252" s="72"/>
      <c r="E252" s="1354"/>
      <c r="F252" s="891"/>
      <c r="G252" s="892"/>
      <c r="H252" s="1333"/>
      <c r="I252" s="891"/>
      <c r="J252" s="894"/>
      <c r="K252" s="895"/>
      <c r="L252" s="891"/>
      <c r="M252" s="892"/>
    </row>
    <row r="253" spans="1:13" ht="12.75" customHeight="1" x14ac:dyDescent="0.25">
      <c r="A253" s="1352"/>
      <c r="B253" s="126"/>
      <c r="C253" s="572" t="s">
        <v>2020</v>
      </c>
      <c r="D253" s="72"/>
      <c r="E253" s="1354"/>
      <c r="F253" s="891"/>
      <c r="G253" s="892"/>
      <c r="H253" s="1333"/>
      <c r="I253" s="891"/>
      <c r="J253" s="894"/>
      <c r="K253" s="895"/>
      <c r="L253" s="891"/>
      <c r="M253" s="892"/>
    </row>
    <row r="254" spans="1:13" ht="12.75" customHeight="1" x14ac:dyDescent="0.25">
      <c r="A254" s="1352"/>
      <c r="B254" s="126"/>
      <c r="C254" s="664" t="s">
        <v>2464</v>
      </c>
      <c r="D254" s="72"/>
      <c r="E254" s="1354"/>
      <c r="F254" s="891"/>
      <c r="G254" s="892"/>
      <c r="H254" s="1333"/>
      <c r="I254" s="891"/>
      <c r="J254" s="894"/>
      <c r="K254" s="895"/>
      <c r="L254" s="891"/>
      <c r="M254" s="892"/>
    </row>
    <row r="255" spans="1:13" ht="12.75" customHeight="1" x14ac:dyDescent="0.25">
      <c r="A255" s="1352"/>
      <c r="B255" s="126"/>
      <c r="C255" s="572" t="s">
        <v>2020</v>
      </c>
      <c r="D255" s="72"/>
      <c r="E255" s="1354"/>
      <c r="F255" s="891"/>
      <c r="G255" s="892"/>
      <c r="H255" s="1333"/>
      <c r="I255" s="891"/>
      <c r="J255" s="894"/>
      <c r="K255" s="895"/>
      <c r="L255" s="891"/>
      <c r="M255" s="892"/>
    </row>
    <row r="256" spans="1:13" ht="12.75" customHeight="1" x14ac:dyDescent="0.25">
      <c r="A256" s="1352"/>
      <c r="B256" s="126"/>
      <c r="C256" s="664" t="s">
        <v>2465</v>
      </c>
      <c r="D256" s="72"/>
      <c r="E256" s="1354"/>
      <c r="F256" s="891"/>
      <c r="G256" s="892"/>
      <c r="H256" s="1333"/>
      <c r="I256" s="891"/>
      <c r="J256" s="894"/>
      <c r="K256" s="895"/>
      <c r="L256" s="891"/>
      <c r="M256" s="892"/>
    </row>
    <row r="257" spans="1:13" ht="12.75" customHeight="1" x14ac:dyDescent="0.25">
      <c r="A257" s="1352"/>
      <c r="B257" s="126"/>
      <c r="C257" s="572" t="s">
        <v>2020</v>
      </c>
      <c r="D257" s="72"/>
      <c r="E257" s="1354"/>
      <c r="F257" s="891"/>
      <c r="G257" s="892"/>
      <c r="H257" s="1333"/>
      <c r="I257" s="891"/>
      <c r="J257" s="894"/>
      <c r="K257" s="895"/>
      <c r="L257" s="891"/>
      <c r="M257" s="892"/>
    </row>
    <row r="258" spans="1:13" ht="12.75" customHeight="1" x14ac:dyDescent="0.25">
      <c r="A258" s="1352"/>
      <c r="B258" s="126"/>
      <c r="C258" s="664" t="s">
        <v>2466</v>
      </c>
      <c r="D258" s="72"/>
      <c r="E258" s="1354"/>
      <c r="F258" s="891"/>
      <c r="G258" s="892"/>
      <c r="H258" s="1333"/>
      <c r="I258" s="891"/>
      <c r="J258" s="894"/>
      <c r="K258" s="895"/>
      <c r="L258" s="891"/>
      <c r="M258" s="892"/>
    </row>
    <row r="259" spans="1:13" ht="12.75" customHeight="1" x14ac:dyDescent="0.25">
      <c r="A259" s="1352"/>
      <c r="B259" s="126"/>
      <c r="C259" s="573" t="s">
        <v>2020</v>
      </c>
      <c r="D259" s="111"/>
      <c r="E259" s="1354"/>
      <c r="F259" s="891"/>
      <c r="G259" s="892"/>
      <c r="H259" s="1333"/>
      <c r="I259" s="891"/>
      <c r="J259" s="894"/>
      <c r="K259" s="895"/>
      <c r="L259" s="891"/>
      <c r="M259" s="892"/>
    </row>
    <row r="260" spans="1:13" ht="12.75" x14ac:dyDescent="0.25">
      <c r="A260" s="1355"/>
      <c r="B260" s="1356"/>
      <c r="C260" s="571" t="s">
        <v>2029</v>
      </c>
      <c r="D260" s="445"/>
      <c r="E260" s="570">
        <f>E252+E254+E256+E258</f>
        <v>0</v>
      </c>
      <c r="F260" s="566">
        <f t="shared" ref="F260:M260" si="73">F252+F254+F256+F258</f>
        <v>0</v>
      </c>
      <c r="G260" s="567">
        <f t="shared" si="73"/>
        <v>0</v>
      </c>
      <c r="H260" s="568">
        <f t="shared" si="73"/>
        <v>0</v>
      </c>
      <c r="I260" s="566">
        <f t="shared" si="73"/>
        <v>0</v>
      </c>
      <c r="J260" s="569">
        <f t="shared" si="73"/>
        <v>0</v>
      </c>
      <c r="K260" s="565">
        <f t="shared" si="73"/>
        <v>0</v>
      </c>
      <c r="L260" s="566">
        <f t="shared" si="73"/>
        <v>0</v>
      </c>
      <c r="M260" s="567">
        <f t="shared" si="73"/>
        <v>0</v>
      </c>
    </row>
    <row r="261" spans="1:13" ht="12.75" x14ac:dyDescent="0.25">
      <c r="A261" s="1343" t="s">
        <v>820</v>
      </c>
      <c r="B261" s="1344" t="s">
        <v>1739</v>
      </c>
      <c r="C261" s="1345" t="s">
        <v>2019</v>
      </c>
      <c r="D261" s="564"/>
      <c r="E261" s="1346"/>
      <c r="F261" s="1347"/>
      <c r="G261" s="1348"/>
      <c r="H261" s="1349"/>
      <c r="I261" s="1347"/>
      <c r="J261" s="1350"/>
      <c r="K261" s="1351"/>
      <c r="L261" s="1347"/>
      <c r="M261" s="1348"/>
    </row>
    <row r="262" spans="1:13" ht="23.25" customHeight="1" x14ac:dyDescent="0.25">
      <c r="A262" s="1352" t="s">
        <v>2021</v>
      </c>
      <c r="B262" s="126"/>
      <c r="C262" s="1353" t="s">
        <v>2467</v>
      </c>
      <c r="D262" s="72"/>
      <c r="E262" s="1354"/>
      <c r="F262" s="891"/>
      <c r="G262" s="892"/>
      <c r="H262" s="1333"/>
      <c r="I262" s="891"/>
      <c r="J262" s="894"/>
      <c r="K262" s="895"/>
      <c r="L262" s="891"/>
      <c r="M262" s="892"/>
    </row>
    <row r="263" spans="1:13" ht="12.75" x14ac:dyDescent="0.25">
      <c r="A263" s="1352"/>
      <c r="B263" s="126"/>
      <c r="C263" s="572" t="s">
        <v>2020</v>
      </c>
      <c r="D263" s="72"/>
      <c r="E263" s="1354"/>
      <c r="F263" s="891"/>
      <c r="G263" s="892"/>
      <c r="H263" s="1333"/>
      <c r="I263" s="891"/>
      <c r="J263" s="894"/>
      <c r="K263" s="895"/>
      <c r="L263" s="891"/>
      <c r="M263" s="892"/>
    </row>
    <row r="264" spans="1:13" ht="12.75" x14ac:dyDescent="0.25">
      <c r="A264" s="1352"/>
      <c r="B264" s="126"/>
      <c r="C264" s="664" t="s">
        <v>2463</v>
      </c>
      <c r="D264" s="72"/>
      <c r="E264" s="1354"/>
      <c r="F264" s="891"/>
      <c r="G264" s="892"/>
      <c r="H264" s="1333"/>
      <c r="I264" s="891"/>
      <c r="J264" s="894"/>
      <c r="K264" s="895"/>
      <c r="L264" s="891"/>
      <c r="M264" s="892"/>
    </row>
    <row r="265" spans="1:13" ht="12.75" x14ac:dyDescent="0.25">
      <c r="A265" s="1352"/>
      <c r="B265" s="126"/>
      <c r="C265" s="572" t="s">
        <v>2020</v>
      </c>
      <c r="D265" s="72"/>
      <c r="E265" s="1354"/>
      <c r="F265" s="891"/>
      <c r="G265" s="892"/>
      <c r="H265" s="1333"/>
      <c r="I265" s="891"/>
      <c r="J265" s="894"/>
      <c r="K265" s="895"/>
      <c r="L265" s="891"/>
      <c r="M265" s="892"/>
    </row>
    <row r="266" spans="1:13" ht="12.75" x14ac:dyDescent="0.25">
      <c r="A266" s="1352"/>
      <c r="B266" s="126"/>
      <c r="C266" s="664" t="s">
        <v>2464</v>
      </c>
      <c r="D266" s="72"/>
      <c r="E266" s="1354"/>
      <c r="F266" s="891"/>
      <c r="G266" s="892"/>
      <c r="H266" s="1333"/>
      <c r="I266" s="891"/>
      <c r="J266" s="894"/>
      <c r="K266" s="895"/>
      <c r="L266" s="891"/>
      <c r="M266" s="892"/>
    </row>
    <row r="267" spans="1:13" ht="12.75" x14ac:dyDescent="0.25">
      <c r="A267" s="1352"/>
      <c r="B267" s="126"/>
      <c r="C267" s="572" t="s">
        <v>2020</v>
      </c>
      <c r="D267" s="72"/>
      <c r="E267" s="1354"/>
      <c r="F267" s="891"/>
      <c r="G267" s="892"/>
      <c r="H267" s="1333"/>
      <c r="I267" s="891"/>
      <c r="J267" s="894"/>
      <c r="K267" s="895"/>
      <c r="L267" s="891"/>
      <c r="M267" s="892"/>
    </row>
    <row r="268" spans="1:13" ht="12.75" x14ac:dyDescent="0.25">
      <c r="A268" s="1352"/>
      <c r="B268" s="126"/>
      <c r="C268" s="664" t="s">
        <v>2465</v>
      </c>
      <c r="D268" s="72"/>
      <c r="E268" s="1354"/>
      <c r="F268" s="891"/>
      <c r="G268" s="892"/>
      <c r="H268" s="1333"/>
      <c r="I268" s="891"/>
      <c r="J268" s="894"/>
      <c r="K268" s="895"/>
      <c r="L268" s="891"/>
      <c r="M268" s="892"/>
    </row>
    <row r="269" spans="1:13" ht="12.75" x14ac:dyDescent="0.25">
      <c r="A269" s="1352"/>
      <c r="B269" s="126"/>
      <c r="C269" s="572" t="s">
        <v>2020</v>
      </c>
      <c r="D269" s="72"/>
      <c r="E269" s="1354"/>
      <c r="F269" s="891"/>
      <c r="G269" s="892"/>
      <c r="H269" s="1333"/>
      <c r="I269" s="891"/>
      <c r="J269" s="894"/>
      <c r="K269" s="895"/>
      <c r="L269" s="891"/>
      <c r="M269" s="892"/>
    </row>
    <row r="270" spans="1:13" ht="12.75" x14ac:dyDescent="0.25">
      <c r="A270" s="1352"/>
      <c r="B270" s="126"/>
      <c r="C270" s="664" t="s">
        <v>2466</v>
      </c>
      <c r="D270" s="72"/>
      <c r="E270" s="1354"/>
      <c r="F270" s="891"/>
      <c r="G270" s="892"/>
      <c r="H270" s="1333"/>
      <c r="I270" s="891"/>
      <c r="J270" s="894"/>
      <c r="K270" s="895"/>
      <c r="L270" s="891"/>
      <c r="M270" s="892"/>
    </row>
    <row r="271" spans="1:13" ht="12.75" x14ac:dyDescent="0.25">
      <c r="A271" s="1352"/>
      <c r="B271" s="126"/>
      <c r="C271" s="573" t="s">
        <v>2020</v>
      </c>
      <c r="D271" s="111"/>
      <c r="E271" s="1354"/>
      <c r="F271" s="891"/>
      <c r="G271" s="892"/>
      <c r="H271" s="1333"/>
      <c r="I271" s="891"/>
      <c r="J271" s="894"/>
      <c r="K271" s="895"/>
      <c r="L271" s="891"/>
      <c r="M271" s="892"/>
    </row>
    <row r="272" spans="1:13" ht="12.75" x14ac:dyDescent="0.25">
      <c r="A272" s="1355"/>
      <c r="B272" s="1356"/>
      <c r="C272" s="571" t="s">
        <v>2025</v>
      </c>
      <c r="D272" s="445"/>
      <c r="E272" s="570">
        <f>E264+E266+E268+E270</f>
        <v>0</v>
      </c>
      <c r="F272" s="566">
        <f t="shared" ref="F272:M272" si="74">F264+F266+F268+F270</f>
        <v>0</v>
      </c>
      <c r="G272" s="567">
        <f t="shared" si="74"/>
        <v>0</v>
      </c>
      <c r="H272" s="568">
        <f t="shared" si="74"/>
        <v>0</v>
      </c>
      <c r="I272" s="566">
        <f t="shared" si="74"/>
        <v>0</v>
      </c>
      <c r="J272" s="569">
        <f t="shared" si="74"/>
        <v>0</v>
      </c>
      <c r="K272" s="565">
        <f t="shared" si="74"/>
        <v>0</v>
      </c>
      <c r="L272" s="566">
        <f t="shared" si="74"/>
        <v>0</v>
      </c>
      <c r="M272" s="567">
        <f t="shared" si="74"/>
        <v>0</v>
      </c>
    </row>
    <row r="273" spans="1:13" ht="12.75" x14ac:dyDescent="0.25">
      <c r="A273" s="1343" t="s">
        <v>821</v>
      </c>
      <c r="B273" s="1344" t="s">
        <v>1739</v>
      </c>
      <c r="C273" s="1345" t="s">
        <v>2019</v>
      </c>
      <c r="D273" s="564"/>
      <c r="E273" s="1346"/>
      <c r="F273" s="1347"/>
      <c r="G273" s="1348"/>
      <c r="H273" s="1349"/>
      <c r="I273" s="1347"/>
      <c r="J273" s="1350"/>
      <c r="K273" s="1351"/>
      <c r="L273" s="1347"/>
      <c r="M273" s="1348"/>
    </row>
    <row r="274" spans="1:13" ht="25.5" x14ac:dyDescent="0.25">
      <c r="A274" s="1352" t="s">
        <v>2021</v>
      </c>
      <c r="B274" s="126"/>
      <c r="C274" s="1353" t="s">
        <v>2023</v>
      </c>
      <c r="D274" s="72"/>
      <c r="E274" s="1354"/>
      <c r="F274" s="891"/>
      <c r="G274" s="892"/>
      <c r="H274" s="1333"/>
      <c r="I274" s="891"/>
      <c r="J274" s="894"/>
      <c r="K274" s="895"/>
      <c r="L274" s="891"/>
      <c r="M274" s="892"/>
    </row>
    <row r="275" spans="1:13" ht="12.75" x14ac:dyDescent="0.25">
      <c r="A275" s="1352"/>
      <c r="B275" s="126"/>
      <c r="C275" s="572" t="s">
        <v>2020</v>
      </c>
      <c r="D275" s="72"/>
      <c r="E275" s="1354"/>
      <c r="F275" s="891"/>
      <c r="G275" s="892"/>
      <c r="H275" s="1333"/>
      <c r="I275" s="891"/>
      <c r="J275" s="894"/>
      <c r="K275" s="895"/>
      <c r="L275" s="891"/>
      <c r="M275" s="892"/>
    </row>
    <row r="276" spans="1:13" ht="12.75" x14ac:dyDescent="0.25">
      <c r="A276" s="1352"/>
      <c r="B276" s="126"/>
      <c r="C276" s="664" t="s">
        <v>2463</v>
      </c>
      <c r="D276" s="72"/>
      <c r="E276" s="1354"/>
      <c r="F276" s="891"/>
      <c r="G276" s="892"/>
      <c r="H276" s="1333"/>
      <c r="I276" s="891"/>
      <c r="J276" s="894"/>
      <c r="K276" s="895"/>
      <c r="L276" s="891"/>
      <c r="M276" s="892"/>
    </row>
    <row r="277" spans="1:13" ht="12.75" x14ac:dyDescent="0.25">
      <c r="A277" s="1352"/>
      <c r="B277" s="126"/>
      <c r="C277" s="572" t="s">
        <v>2020</v>
      </c>
      <c r="D277" s="72"/>
      <c r="E277" s="1354"/>
      <c r="F277" s="891"/>
      <c r="G277" s="892"/>
      <c r="H277" s="1333"/>
      <c r="I277" s="891"/>
      <c r="J277" s="894"/>
      <c r="K277" s="895"/>
      <c r="L277" s="891"/>
      <c r="M277" s="892"/>
    </row>
    <row r="278" spans="1:13" ht="12.75" x14ac:dyDescent="0.25">
      <c r="A278" s="1352"/>
      <c r="B278" s="126"/>
      <c r="C278" s="664" t="s">
        <v>2464</v>
      </c>
      <c r="D278" s="72"/>
      <c r="E278" s="1354"/>
      <c r="F278" s="891"/>
      <c r="G278" s="892"/>
      <c r="H278" s="1333"/>
      <c r="I278" s="891"/>
      <c r="J278" s="894"/>
      <c r="K278" s="895"/>
      <c r="L278" s="891"/>
      <c r="M278" s="892"/>
    </row>
    <row r="279" spans="1:13" ht="12.75" x14ac:dyDescent="0.25">
      <c r="A279" s="1352"/>
      <c r="B279" s="126"/>
      <c r="C279" s="572" t="s">
        <v>2020</v>
      </c>
      <c r="D279" s="72"/>
      <c r="E279" s="1354"/>
      <c r="F279" s="891"/>
      <c r="G279" s="892"/>
      <c r="H279" s="1333"/>
      <c r="I279" s="891"/>
      <c r="J279" s="894"/>
      <c r="K279" s="895"/>
      <c r="L279" s="891"/>
      <c r="M279" s="892"/>
    </row>
    <row r="280" spans="1:13" ht="12.75" x14ac:dyDescent="0.25">
      <c r="A280" s="1352"/>
      <c r="B280" s="126"/>
      <c r="C280" s="664" t="s">
        <v>2465</v>
      </c>
      <c r="D280" s="72"/>
      <c r="E280" s="1354"/>
      <c r="F280" s="891"/>
      <c r="G280" s="892"/>
      <c r="H280" s="1333"/>
      <c r="I280" s="891"/>
      <c r="J280" s="894"/>
      <c r="K280" s="895"/>
      <c r="L280" s="891"/>
      <c r="M280" s="892"/>
    </row>
    <row r="281" spans="1:13" ht="12.75" x14ac:dyDescent="0.25">
      <c r="A281" s="1352"/>
      <c r="B281" s="126"/>
      <c r="C281" s="572" t="s">
        <v>2020</v>
      </c>
      <c r="D281" s="72"/>
      <c r="E281" s="1354"/>
      <c r="F281" s="891"/>
      <c r="G281" s="892"/>
      <c r="H281" s="1333"/>
      <c r="I281" s="891"/>
      <c r="J281" s="894"/>
      <c r="K281" s="895"/>
      <c r="L281" s="891"/>
      <c r="M281" s="892"/>
    </row>
    <row r="282" spans="1:13" ht="12.75" x14ac:dyDescent="0.25">
      <c r="A282" s="1352"/>
      <c r="B282" s="126"/>
      <c r="C282" s="664" t="s">
        <v>2466</v>
      </c>
      <c r="D282" s="72"/>
      <c r="E282" s="1354"/>
      <c r="F282" s="891"/>
      <c r="G282" s="892"/>
      <c r="H282" s="1333"/>
      <c r="I282" s="891"/>
      <c r="J282" s="894"/>
      <c r="K282" s="895"/>
      <c r="L282" s="891"/>
      <c r="M282" s="892"/>
    </row>
    <row r="283" spans="1:13" ht="12.75" x14ac:dyDescent="0.25">
      <c r="A283" s="1352"/>
      <c r="B283" s="126"/>
      <c r="C283" s="573" t="s">
        <v>2020</v>
      </c>
      <c r="D283" s="111"/>
      <c r="E283" s="1354"/>
      <c r="F283" s="891"/>
      <c r="G283" s="892"/>
      <c r="H283" s="1333"/>
      <c r="I283" s="891"/>
      <c r="J283" s="894"/>
      <c r="K283" s="895"/>
      <c r="L283" s="891"/>
      <c r="M283" s="892"/>
    </row>
    <row r="284" spans="1:13" ht="12.75" x14ac:dyDescent="0.25">
      <c r="A284" s="1355"/>
      <c r="B284" s="1356"/>
      <c r="C284" s="571" t="s">
        <v>2026</v>
      </c>
      <c r="D284" s="445"/>
      <c r="E284" s="570">
        <f>E276+E278+E280+E282</f>
        <v>0</v>
      </c>
      <c r="F284" s="566">
        <f t="shared" ref="F284:M284" si="75">F276+F278+F280+F282</f>
        <v>0</v>
      </c>
      <c r="G284" s="567">
        <f t="shared" si="75"/>
        <v>0</v>
      </c>
      <c r="H284" s="568">
        <f t="shared" si="75"/>
        <v>0</v>
      </c>
      <c r="I284" s="566">
        <f t="shared" si="75"/>
        <v>0</v>
      </c>
      <c r="J284" s="569">
        <f t="shared" si="75"/>
        <v>0</v>
      </c>
      <c r="K284" s="565">
        <f t="shared" si="75"/>
        <v>0</v>
      </c>
      <c r="L284" s="566">
        <f t="shared" si="75"/>
        <v>0</v>
      </c>
      <c r="M284" s="567">
        <f t="shared" si="75"/>
        <v>0</v>
      </c>
    </row>
    <row r="285" spans="1:13" ht="12.75" x14ac:dyDescent="0.25">
      <c r="A285" s="1343" t="s">
        <v>2027</v>
      </c>
      <c r="B285" s="1344" t="s">
        <v>1739</v>
      </c>
      <c r="C285" s="1345" t="s">
        <v>2019</v>
      </c>
      <c r="D285" s="564"/>
      <c r="E285" s="1346"/>
      <c r="F285" s="1347"/>
      <c r="G285" s="1348"/>
      <c r="H285" s="1349"/>
      <c r="I285" s="1347"/>
      <c r="J285" s="1350"/>
      <c r="K285" s="1351"/>
      <c r="L285" s="1347"/>
      <c r="M285" s="1348"/>
    </row>
    <row r="286" spans="1:13" ht="25.5" x14ac:dyDescent="0.25">
      <c r="A286" s="1352" t="s">
        <v>2021</v>
      </c>
      <c r="B286" s="126"/>
      <c r="C286" s="1353" t="s">
        <v>2024</v>
      </c>
      <c r="D286" s="72"/>
      <c r="E286" s="1354"/>
      <c r="F286" s="891"/>
      <c r="G286" s="892"/>
      <c r="H286" s="1333"/>
      <c r="I286" s="891"/>
      <c r="J286" s="894"/>
      <c r="K286" s="895"/>
      <c r="L286" s="891"/>
      <c r="M286" s="892"/>
    </row>
    <row r="287" spans="1:13" ht="12.75" x14ac:dyDescent="0.25">
      <c r="A287" s="1352"/>
      <c r="B287" s="126"/>
      <c r="C287" s="572" t="s">
        <v>2020</v>
      </c>
      <c r="D287" s="72"/>
      <c r="E287" s="1354"/>
      <c r="F287" s="891"/>
      <c r="G287" s="892"/>
      <c r="H287" s="1333"/>
      <c r="I287" s="891"/>
      <c r="J287" s="894"/>
      <c r="K287" s="895"/>
      <c r="L287" s="891"/>
      <c r="M287" s="892"/>
    </row>
    <row r="288" spans="1:13" ht="12.75" x14ac:dyDescent="0.25">
      <c r="A288" s="1352"/>
      <c r="B288" s="126"/>
      <c r="C288" s="664" t="s">
        <v>2463</v>
      </c>
      <c r="D288" s="72"/>
      <c r="E288" s="1354"/>
      <c r="F288" s="891"/>
      <c r="G288" s="892"/>
      <c r="H288" s="1333"/>
      <c r="I288" s="891"/>
      <c r="J288" s="894"/>
      <c r="K288" s="895"/>
      <c r="L288" s="891"/>
      <c r="M288" s="892"/>
    </row>
    <row r="289" spans="1:13" ht="12.75" x14ac:dyDescent="0.25">
      <c r="A289" s="1352"/>
      <c r="B289" s="126"/>
      <c r="C289" s="572" t="s">
        <v>2020</v>
      </c>
      <c r="D289" s="72"/>
      <c r="E289" s="1354"/>
      <c r="F289" s="891"/>
      <c r="G289" s="892"/>
      <c r="H289" s="1333"/>
      <c r="I289" s="891"/>
      <c r="J289" s="894"/>
      <c r="K289" s="895"/>
      <c r="L289" s="891"/>
      <c r="M289" s="892"/>
    </row>
    <row r="290" spans="1:13" ht="12.75" x14ac:dyDescent="0.25">
      <c r="A290" s="1352"/>
      <c r="B290" s="126"/>
      <c r="C290" s="664" t="s">
        <v>2464</v>
      </c>
      <c r="D290" s="72"/>
      <c r="E290" s="1354"/>
      <c r="F290" s="891"/>
      <c r="G290" s="892"/>
      <c r="H290" s="1333"/>
      <c r="I290" s="891"/>
      <c r="J290" s="894"/>
      <c r="K290" s="895"/>
      <c r="L290" s="891"/>
      <c r="M290" s="892"/>
    </row>
    <row r="291" spans="1:13" ht="12.75" x14ac:dyDescent="0.25">
      <c r="A291" s="1352"/>
      <c r="B291" s="126"/>
      <c r="C291" s="572" t="s">
        <v>2020</v>
      </c>
      <c r="D291" s="72"/>
      <c r="E291" s="1354"/>
      <c r="F291" s="891"/>
      <c r="G291" s="892"/>
      <c r="H291" s="1333"/>
      <c r="I291" s="891"/>
      <c r="J291" s="894"/>
      <c r="K291" s="895"/>
      <c r="L291" s="891"/>
      <c r="M291" s="892"/>
    </row>
    <row r="292" spans="1:13" ht="12.75" x14ac:dyDescent="0.25">
      <c r="A292" s="1352"/>
      <c r="B292" s="126"/>
      <c r="C292" s="664" t="s">
        <v>2465</v>
      </c>
      <c r="D292" s="72"/>
      <c r="E292" s="1354"/>
      <c r="F292" s="891"/>
      <c r="G292" s="892"/>
      <c r="H292" s="1333"/>
      <c r="I292" s="891"/>
      <c r="J292" s="894"/>
      <c r="K292" s="895"/>
      <c r="L292" s="891"/>
      <c r="M292" s="892"/>
    </row>
    <row r="293" spans="1:13" ht="12.75" x14ac:dyDescent="0.25">
      <c r="A293" s="1352"/>
      <c r="B293" s="126"/>
      <c r="C293" s="572" t="s">
        <v>2020</v>
      </c>
      <c r="D293" s="72"/>
      <c r="E293" s="1354"/>
      <c r="F293" s="891"/>
      <c r="G293" s="892"/>
      <c r="H293" s="1333"/>
      <c r="I293" s="891"/>
      <c r="J293" s="894"/>
      <c r="K293" s="895"/>
      <c r="L293" s="891"/>
      <c r="M293" s="892"/>
    </row>
    <row r="294" spans="1:13" ht="12.75" x14ac:dyDescent="0.25">
      <c r="A294" s="1352"/>
      <c r="B294" s="126"/>
      <c r="C294" s="664" t="s">
        <v>2466</v>
      </c>
      <c r="D294" s="72"/>
      <c r="E294" s="1354"/>
      <c r="F294" s="891"/>
      <c r="G294" s="892"/>
      <c r="H294" s="1333"/>
      <c r="I294" s="891"/>
      <c r="J294" s="894"/>
      <c r="K294" s="895"/>
      <c r="L294" s="891"/>
      <c r="M294" s="892"/>
    </row>
    <row r="295" spans="1:13" ht="12.75" x14ac:dyDescent="0.25">
      <c r="A295" s="1352"/>
      <c r="B295" s="126"/>
      <c r="C295" s="573" t="s">
        <v>2020</v>
      </c>
      <c r="D295" s="111"/>
      <c r="E295" s="1354"/>
      <c r="F295" s="891"/>
      <c r="G295" s="892"/>
      <c r="H295" s="1333"/>
      <c r="I295" s="891"/>
      <c r="J295" s="894"/>
      <c r="K295" s="895"/>
      <c r="L295" s="891"/>
      <c r="M295" s="892"/>
    </row>
    <row r="296" spans="1:13" ht="12.75" x14ac:dyDescent="0.25">
      <c r="A296" s="1355"/>
      <c r="B296" s="1356"/>
      <c r="C296" s="571" t="s">
        <v>2028</v>
      </c>
      <c r="D296" s="445"/>
      <c r="E296" s="570">
        <f>E288+E290+E292+E294</f>
        <v>0</v>
      </c>
      <c r="F296" s="566">
        <f t="shared" ref="F296:M296" si="76">F288+F290+F292+F294</f>
        <v>0</v>
      </c>
      <c r="G296" s="567">
        <f t="shared" si="76"/>
        <v>0</v>
      </c>
      <c r="H296" s="568">
        <f t="shared" si="76"/>
        <v>0</v>
      </c>
      <c r="I296" s="566">
        <f t="shared" si="76"/>
        <v>0</v>
      </c>
      <c r="J296" s="569">
        <f t="shared" si="76"/>
        <v>0</v>
      </c>
      <c r="K296" s="565">
        <f t="shared" si="76"/>
        <v>0</v>
      </c>
      <c r="L296" s="566">
        <f t="shared" si="76"/>
        <v>0</v>
      </c>
      <c r="M296" s="567">
        <f t="shared" si="76"/>
        <v>0</v>
      </c>
    </row>
    <row r="297" spans="1:13" ht="12.75" x14ac:dyDescent="0.25">
      <c r="A297" s="124" t="str">
        <f>head27a</f>
        <v>References</v>
      </c>
      <c r="B297" s="670"/>
      <c r="C297" s="560"/>
      <c r="D297" s="513"/>
      <c r="E297" s="74"/>
      <c r="F297" s="74"/>
      <c r="G297" s="74"/>
      <c r="H297" s="74"/>
      <c r="I297" s="74"/>
      <c r="J297" s="74"/>
      <c r="K297" s="74"/>
      <c r="L297" s="74"/>
      <c r="M297" s="74"/>
    </row>
    <row r="298" spans="1:13" ht="12.75" x14ac:dyDescent="0.25">
      <c r="A298" s="296" t="s">
        <v>1924</v>
      </c>
      <c r="B298" s="670"/>
      <c r="C298" s="560"/>
      <c r="D298" s="513"/>
      <c r="E298" s="74"/>
      <c r="F298" s="74"/>
      <c r="G298" s="74"/>
      <c r="H298" s="74"/>
      <c r="I298" s="74"/>
      <c r="J298" s="74"/>
      <c r="K298" s="74"/>
      <c r="L298" s="74"/>
      <c r="M298" s="74"/>
    </row>
    <row r="299" spans="1:13" ht="12.75" x14ac:dyDescent="0.25">
      <c r="A299" s="296" t="s">
        <v>527</v>
      </c>
      <c r="B299" s="670"/>
      <c r="C299" s="560"/>
      <c r="D299" s="513"/>
      <c r="E299" s="74"/>
      <c r="F299" s="74"/>
      <c r="G299" s="74"/>
      <c r="H299" s="74"/>
      <c r="I299" s="74"/>
      <c r="J299" s="74"/>
      <c r="K299" s="74"/>
      <c r="L299" s="74"/>
      <c r="M299" s="74"/>
    </row>
    <row r="300" spans="1:13" ht="12.75" x14ac:dyDescent="0.25">
      <c r="A300" s="296" t="s">
        <v>528</v>
      </c>
      <c r="B300" s="670"/>
      <c r="C300" s="560"/>
      <c r="D300" s="513"/>
      <c r="E300" s="74"/>
      <c r="F300" s="74"/>
      <c r="G300" s="74"/>
      <c r="H300" s="74"/>
      <c r="I300" s="74"/>
      <c r="J300" s="74"/>
      <c r="K300" s="74"/>
      <c r="L300" s="74"/>
      <c r="M300" s="74"/>
    </row>
    <row r="301" spans="1:13" ht="12.75" x14ac:dyDescent="0.25">
      <c r="A301" s="296" t="s">
        <v>529</v>
      </c>
      <c r="B301" s="670"/>
      <c r="C301" s="560"/>
      <c r="D301" s="513"/>
      <c r="E301" s="74"/>
      <c r="F301" s="74"/>
      <c r="G301" s="74"/>
      <c r="H301" s="74"/>
      <c r="I301" s="74"/>
      <c r="J301" s="74"/>
      <c r="K301" s="74"/>
      <c r="L301" s="74"/>
      <c r="M301" s="74"/>
    </row>
    <row r="302" spans="1:13" ht="12.75" x14ac:dyDescent="0.25">
      <c r="A302" s="296" t="s">
        <v>530</v>
      </c>
      <c r="B302" s="670"/>
      <c r="C302" s="560"/>
      <c r="D302" s="513"/>
      <c r="E302" s="74"/>
      <c r="F302" s="74"/>
      <c r="G302" s="74"/>
      <c r="H302" s="74"/>
      <c r="I302" s="74"/>
      <c r="J302" s="74"/>
      <c r="K302" s="74"/>
      <c r="L302" s="74"/>
      <c r="M302" s="74"/>
    </row>
    <row r="303" spans="1:13" ht="12.75" x14ac:dyDescent="0.25">
      <c r="A303" s="296" t="s">
        <v>1393</v>
      </c>
      <c r="B303" s="670"/>
      <c r="C303" s="560"/>
      <c r="D303" s="513"/>
      <c r="E303" s="74"/>
      <c r="F303" s="74"/>
      <c r="G303" s="74"/>
      <c r="H303" s="74"/>
      <c r="I303" s="74"/>
      <c r="J303" s="74"/>
      <c r="K303" s="74"/>
      <c r="L303" s="74"/>
      <c r="M303" s="74"/>
    </row>
    <row r="304" spans="1:13" ht="12.75" x14ac:dyDescent="0.25">
      <c r="A304" s="296" t="s">
        <v>1394</v>
      </c>
      <c r="B304" s="670"/>
      <c r="C304" s="560"/>
      <c r="D304" s="513"/>
      <c r="E304" s="74"/>
      <c r="F304" s="74"/>
      <c r="G304" s="74"/>
      <c r="H304" s="74"/>
      <c r="I304" s="74"/>
      <c r="J304" s="74"/>
      <c r="K304" s="74"/>
      <c r="L304" s="74"/>
      <c r="M304" s="74"/>
    </row>
    <row r="305" spans="1:13" ht="12.75" x14ac:dyDescent="0.25">
      <c r="A305" s="125" t="s">
        <v>1824</v>
      </c>
      <c r="B305" s="670"/>
      <c r="C305" s="560"/>
      <c r="D305" s="513"/>
      <c r="E305" s="74"/>
      <c r="F305" s="74"/>
      <c r="G305" s="74"/>
      <c r="H305" s="74"/>
      <c r="I305" s="74"/>
      <c r="J305" s="74"/>
      <c r="K305" s="74"/>
      <c r="L305" s="74"/>
      <c r="M305" s="74"/>
    </row>
    <row r="306" spans="1:13" ht="11.25" customHeight="1" x14ac:dyDescent="0.25">
      <c r="A306" s="125" t="s">
        <v>1825</v>
      </c>
      <c r="B306" s="55"/>
      <c r="E306" s="74"/>
      <c r="F306" s="74"/>
      <c r="G306" s="74"/>
      <c r="H306" s="74"/>
      <c r="I306" s="74"/>
      <c r="J306" s="74"/>
      <c r="K306" s="74"/>
      <c r="L306" s="74"/>
      <c r="M306" s="74"/>
    </row>
    <row r="307" spans="1:13" ht="11.25" customHeight="1" x14ac:dyDescent="0.25">
      <c r="A307" s="125" t="s">
        <v>1826</v>
      </c>
      <c r="B307" s="441"/>
    </row>
    <row r="308" spans="1:13" ht="11.25" customHeight="1" x14ac:dyDescent="0.25">
      <c r="A308" s="125" t="s">
        <v>1827</v>
      </c>
      <c r="B308" s="441"/>
    </row>
    <row r="309" spans="1:13" ht="11.25" customHeight="1" x14ac:dyDescent="0.25">
      <c r="A309" s="296" t="s">
        <v>1923</v>
      </c>
      <c r="B309" s="441"/>
    </row>
    <row r="310" spans="1:13" ht="11.25" customHeight="1" x14ac:dyDescent="0.25">
      <c r="A310" s="1357" t="s">
        <v>1938</v>
      </c>
      <c r="B310" s="441"/>
    </row>
    <row r="311" spans="1:13" ht="11.25" customHeight="1" x14ac:dyDescent="0.25">
      <c r="B311" s="441"/>
    </row>
    <row r="312" spans="1:13" ht="11.25" customHeight="1" x14ac:dyDescent="0.25">
      <c r="B312" s="441"/>
    </row>
    <row r="313" spans="1:13" ht="11.25" customHeight="1" x14ac:dyDescent="0.25">
      <c r="B313" s="441"/>
    </row>
    <row r="314" spans="1:13" ht="11.25" customHeight="1" x14ac:dyDescent="0.25">
      <c r="B314" s="441"/>
    </row>
    <row r="315" spans="1:13" ht="11.25" customHeight="1" x14ac:dyDescent="0.25">
      <c r="B315" s="55"/>
      <c r="G315" s="221"/>
      <c r="H315" s="221"/>
      <c r="I315" s="221"/>
      <c r="J315" s="221"/>
      <c r="K315" s="221"/>
      <c r="L315" s="221"/>
      <c r="M315" s="221"/>
    </row>
    <row r="316" spans="1:13" ht="11.25" customHeight="1" x14ac:dyDescent="0.25">
      <c r="B316" s="55"/>
      <c r="G316" s="221"/>
      <c r="H316" s="221"/>
      <c r="I316" s="221"/>
      <c r="J316" s="221"/>
      <c r="K316" s="221"/>
      <c r="L316" s="221"/>
      <c r="M316" s="221"/>
    </row>
    <row r="317" spans="1:13" ht="11.25" customHeight="1" x14ac:dyDescent="0.25">
      <c r="B317" s="55"/>
      <c r="G317" s="221"/>
      <c r="H317" s="221"/>
      <c r="I317" s="221"/>
      <c r="J317" s="221"/>
      <c r="K317" s="221"/>
      <c r="L317" s="221"/>
      <c r="M317" s="221"/>
    </row>
    <row r="318" spans="1:13" ht="11.25" customHeight="1" x14ac:dyDescent="0.25">
      <c r="B318" s="441"/>
      <c r="C318" s="296"/>
    </row>
    <row r="319" spans="1:13" ht="11.25" customHeight="1" x14ac:dyDescent="0.25">
      <c r="B319" s="441"/>
      <c r="C319" s="296"/>
    </row>
    <row r="320" spans="1:13" ht="11.25" customHeight="1" x14ac:dyDescent="0.25">
      <c r="B320" s="441"/>
      <c r="C320" s="296"/>
    </row>
  </sheetData>
  <sheetProtection sheet="1" objects="1" scenarios="1"/>
  <mergeCells count="22">
    <mergeCell ref="K109:M109"/>
    <mergeCell ref="F2:F3"/>
    <mergeCell ref="H63:J63"/>
    <mergeCell ref="K63:M63"/>
    <mergeCell ref="A109:A110"/>
    <mergeCell ref="H109:J109"/>
    <mergeCell ref="A2:A3"/>
    <mergeCell ref="A63:A64"/>
    <mergeCell ref="D2:D3"/>
    <mergeCell ref="E2:E3"/>
    <mergeCell ref="K2:M2"/>
    <mergeCell ref="B2:B3"/>
    <mergeCell ref="C2:C3"/>
    <mergeCell ref="H247:J247"/>
    <mergeCell ref="K247:M247"/>
    <mergeCell ref="A247:A248"/>
    <mergeCell ref="A155:A156"/>
    <mergeCell ref="H155:J155"/>
    <mergeCell ref="H201:J201"/>
    <mergeCell ref="K201:M201"/>
    <mergeCell ref="K155:M155"/>
    <mergeCell ref="A201:A202"/>
  </mergeCells>
  <dataValidations count="1">
    <dataValidation type="decimal" allowBlank="1" showInputMessage="1" showErrorMessage="1" sqref="E67:M70 E72:M74 E78:M82 E239:M243 E90:M91 E93:M95 E99:M99 E101:M105 E113:M116 E118:M120 E124:M128 E130:M132 E136:M137 E139:M141 E145:M145 E147:M151 E159:M162 E164:M166 E170:M174 E176:M178 E182:M183 E185:M187 E191:M191 E193:M197 E205:M208 E210:M212 E216:M220 E222:M224 E228:M229 E231:M233 E237:M237 E84:M86" xr:uid="{00000000-0002-0000-1C00-000000000000}">
      <formula1>-9999999999999990000</formula1>
      <formula2>99999999999999900000</formula2>
    </dataValidation>
  </dataValidations>
  <printOptions horizontalCentered="1"/>
  <pageMargins left="0.35433070866141736" right="0" top="0.59055118110236227" bottom="0.39370078740157483" header="0.51181102362204722" footer="0.39370078740157483"/>
  <pageSetup paperSize="9" scale="45" orientation="landscape" r:id="rId1"/>
  <headerFooter alignWithMargins="0"/>
  <rowBreaks count="2" manualBreakCount="2">
    <brk id="61" max="12" man="1"/>
    <brk id="154" max="12" man="1"/>
  </row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0">
    <pageSetUpPr fitToPage="1"/>
  </sheetPr>
  <dimension ref="A1:R138"/>
  <sheetViews>
    <sheetView showGridLines="0" zoomScale="110" zoomScaleNormal="110" workbookViewId="0">
      <pane xSplit="3" ySplit="3" topLeftCell="D61" activePane="bottomRight" state="frozen"/>
      <selection pane="topRight"/>
      <selection pane="bottomLeft"/>
      <selection pane="bottomRight" activeCell="G80" sqref="G80"/>
    </sheetView>
  </sheetViews>
  <sheetFormatPr defaultColWidth="9.140625" defaultRowHeight="12.75" x14ac:dyDescent="0.25"/>
  <cols>
    <col min="1" max="1" width="38.7109375" style="58" customWidth="1"/>
    <col min="2" max="2" width="6.7109375" style="55" bestFit="1" customWidth="1"/>
    <col min="3" max="3" width="3" style="55" customWidth="1"/>
    <col min="4" max="5" width="9" style="55" customWidth="1"/>
    <col min="6" max="9" width="9" style="58" customWidth="1"/>
    <col min="10" max="10" width="8.7109375" style="58" customWidth="1"/>
    <col min="11" max="13" width="9" style="58" customWidth="1"/>
    <col min="14" max="14" width="9.42578125" style="58" customWidth="1"/>
    <col min="15" max="15" width="10.140625" style="58" bestFit="1" customWidth="1"/>
    <col min="16" max="16" width="9.42578125" style="58" bestFit="1" customWidth="1"/>
    <col min="17" max="16384" width="9.140625" style="58"/>
  </cols>
  <sheetData>
    <row r="1" spans="1:15" s="93" customFormat="1" ht="13.5" customHeight="1" x14ac:dyDescent="0.2">
      <c r="A1" s="92" t="str">
        <f>muni &amp;" " &amp; TableA10</f>
        <v>KZN226 Mkhambathini Supporting Table SA10 Funding measurement</v>
      </c>
      <c r="B1" s="92"/>
      <c r="C1" s="92"/>
      <c r="D1" s="92"/>
      <c r="E1" s="92"/>
      <c r="F1" s="92"/>
      <c r="G1" s="92"/>
      <c r="H1" s="92"/>
      <c r="I1" s="92"/>
      <c r="J1" s="92"/>
      <c r="K1" s="92"/>
      <c r="L1" s="92"/>
      <c r="M1" s="92"/>
    </row>
    <row r="2" spans="1:15" ht="28.5" customHeight="1" x14ac:dyDescent="0.25">
      <c r="A2" s="2480" t="str">
        <f>desc</f>
        <v>Description</v>
      </c>
      <c r="B2" s="2495" t="s">
        <v>371</v>
      </c>
      <c r="C2" s="2497" t="str">
        <f>head27</f>
        <v>Ref</v>
      </c>
      <c r="D2" s="837" t="str">
        <f>head1b</f>
        <v>2017/18</v>
      </c>
      <c r="E2" s="837" t="str">
        <f>head1A</f>
        <v>2018/19</v>
      </c>
      <c r="F2" s="684" t="str">
        <f>Head1</f>
        <v>2019/20</v>
      </c>
      <c r="G2" s="2447" t="str">
        <f>Head2</f>
        <v>Current Year 2020/21</v>
      </c>
      <c r="H2" s="2448"/>
      <c r="I2" s="2448"/>
      <c r="J2" s="2448"/>
      <c r="K2" s="2450" t="str">
        <f>Head3</f>
        <v>2021/22 Medium Term Revenue &amp; Expenditure Framework</v>
      </c>
      <c r="L2" s="2451"/>
      <c r="M2" s="2452"/>
    </row>
    <row r="3" spans="1:15" ht="25.5" x14ac:dyDescent="0.25">
      <c r="A3" s="2481"/>
      <c r="B3" s="2496"/>
      <c r="C3" s="2498"/>
      <c r="D3" s="698" t="str">
        <f>Head5</f>
        <v>Audited Outcome</v>
      </c>
      <c r="E3" s="698" t="str">
        <f>Head5</f>
        <v>Audited Outcome</v>
      </c>
      <c r="F3" s="94" t="str">
        <f>Head5</f>
        <v>Audited Outcome</v>
      </c>
      <c r="G3" s="95" t="str">
        <f>Head6</f>
        <v>Original Budget</v>
      </c>
      <c r="H3" s="527" t="str">
        <f>Head7</f>
        <v>Adjusted Budget</v>
      </c>
      <c r="I3" s="1358" t="str">
        <f>Head8</f>
        <v>Full Year Forecast</v>
      </c>
      <c r="J3" s="755" t="str">
        <f>Head5b</f>
        <v>Pre-audit outcome</v>
      </c>
      <c r="K3" s="95" t="str">
        <f>Head9</f>
        <v>Budget Year 2021/22</v>
      </c>
      <c r="L3" s="698" t="str">
        <f>Head10</f>
        <v>Budget Year +1 2022/23</v>
      </c>
      <c r="M3" s="94" t="str">
        <f>Head11</f>
        <v>Budget Year +2 2023/24</v>
      </c>
    </row>
    <row r="4" spans="1:15" x14ac:dyDescent="0.25">
      <c r="A4" s="158" t="s">
        <v>1491</v>
      </c>
      <c r="B4" s="1359"/>
      <c r="C4" s="1360"/>
      <c r="D4" s="1361"/>
      <c r="E4" s="1362"/>
      <c r="F4" s="948"/>
      <c r="G4" s="176"/>
      <c r="H4" s="1362"/>
      <c r="I4" s="948"/>
      <c r="J4" s="220"/>
      <c r="K4" s="950"/>
      <c r="L4" s="1362"/>
      <c r="M4" s="948"/>
    </row>
    <row r="5" spans="1:15" x14ac:dyDescent="0.25">
      <c r="A5" s="164" t="str">
        <f>LEFT('A7-CFlow'!A40,37)&amp;" - R'000"</f>
        <v>Cash/cash equivalents at the year end - R'000</v>
      </c>
      <c r="B5" s="864" t="s">
        <v>1154</v>
      </c>
      <c r="C5" s="711">
        <v>1</v>
      </c>
      <c r="D5" s="71">
        <f>'A7-CFlow'!C40</f>
        <v>0</v>
      </c>
      <c r="E5" s="305">
        <f>'A7-CFlow'!D40</f>
        <v>0</v>
      </c>
      <c r="F5" s="117">
        <f>'A7-CFlow'!E40</f>
        <v>0</v>
      </c>
      <c r="G5" s="73">
        <f>'A7-CFlow'!F40</f>
        <v>118930533</v>
      </c>
      <c r="H5" s="305">
        <f>'A7-CFlow'!G40</f>
        <v>-30911950</v>
      </c>
      <c r="I5" s="117">
        <f>'A7-CFlow'!H40</f>
        <v>-30911950</v>
      </c>
      <c r="J5" s="74">
        <f>'A7-CFlow'!I40</f>
        <v>0</v>
      </c>
      <c r="K5" s="75">
        <f>'A7-CFlow'!J40</f>
        <v>30811927</v>
      </c>
      <c r="L5" s="305">
        <f>'A7-CFlow'!K40</f>
        <v>9562510</v>
      </c>
      <c r="M5" s="117">
        <f>'A7-CFlow'!L40</f>
        <v>-16645321</v>
      </c>
    </row>
    <row r="6" spans="1:15" x14ac:dyDescent="0.25">
      <c r="A6" s="164" t="s">
        <v>1220</v>
      </c>
      <c r="B6" s="864" t="s">
        <v>1154</v>
      </c>
      <c r="C6" s="711">
        <v>2</v>
      </c>
      <c r="D6" s="71">
        <f>'A8-ResRecon'!C8-'A8-ResRecon'!C18</f>
        <v>48816250</v>
      </c>
      <c r="E6" s="305">
        <f>'A8-ResRecon'!D8-'A8-ResRecon'!D18</f>
        <v>54701269</v>
      </c>
      <c r="F6" s="117">
        <f>'A8-ResRecon'!E8-'A8-ResRecon'!E18</f>
        <v>57159668</v>
      </c>
      <c r="G6" s="73">
        <f>'A8-ResRecon'!F8-'A8-ResRecon'!F18</f>
        <v>59495752</v>
      </c>
      <c r="H6" s="305">
        <f>'A8-ResRecon'!G8-'A8-ResRecon'!G18</f>
        <v>48871827</v>
      </c>
      <c r="I6" s="117">
        <f>'A8-ResRecon'!H8-'A8-ResRecon'!H18</f>
        <v>48871827</v>
      </c>
      <c r="J6" s="74">
        <f>'A8-ResRecon'!I8-'A8-ResRecon'!I18</f>
        <v>56289785</v>
      </c>
      <c r="K6" s="75">
        <f>'A8-ResRecon'!J8-'A8-ResRecon'!J18</f>
        <v>50110424</v>
      </c>
      <c r="L6" s="305">
        <f>'A8-ResRecon'!K8-'A8-ResRecon'!K18</f>
        <v>26563827</v>
      </c>
      <c r="M6" s="117">
        <f>'A8-ResRecon'!L8-'A8-ResRecon'!L18</f>
        <v>7751666</v>
      </c>
    </row>
    <row r="7" spans="1:15" x14ac:dyDescent="0.25">
      <c r="A7" s="164" t="s">
        <v>237</v>
      </c>
      <c r="B7" s="864" t="s">
        <v>1154</v>
      </c>
      <c r="C7" s="711">
        <v>3</v>
      </c>
      <c r="D7" s="1363">
        <f>IF(ISERROR('SA8'!C39),0,('SA8'!C39))</f>
        <v>0</v>
      </c>
      <c r="E7" s="1364">
        <f>IF(ISERROR('SA8'!D39),0,('SA8'!D39))</f>
        <v>0</v>
      </c>
      <c r="F7" s="1365">
        <f>IF(ISERROR('SA8'!E39),0,('SA8'!E39))</f>
        <v>0</v>
      </c>
      <c r="G7" s="1366">
        <f>IF(ISERROR('SA8'!F39),0,('SA8'!F39))</f>
        <v>15.035352832161648</v>
      </c>
      <c r="H7" s="1364">
        <f>IF(ISERROR('SA8'!G39),0,('SA8'!G39))</f>
        <v>-3.3306578712341399</v>
      </c>
      <c r="I7" s="1365">
        <f>IF(ISERROR('SA8'!H39),0,('SA8'!H39))</f>
        <v>-3.3306578712341399</v>
      </c>
      <c r="J7" s="1367">
        <f>IF(ISERROR('SA8'!I39),0,('SA8'!I39))</f>
        <v>0</v>
      </c>
      <c r="K7" s="1368">
        <f>IF(ISERROR('SA8'!J39),0,('SA8'!J39))</f>
        <v>3.2550721208511457</v>
      </c>
      <c r="L7" s="1364">
        <f>IF(ISERROR('SA8'!K39),0,('SA8'!K39))</f>
        <v>1.0783806029832279</v>
      </c>
      <c r="M7" s="1365">
        <f>IF(ISERROR('SA8'!L39),0,('SA8'!L39))</f>
        <v>-1.7193677642882497</v>
      </c>
    </row>
    <row r="8" spans="1:15" x14ac:dyDescent="0.25">
      <c r="A8" s="164" t="s">
        <v>1098</v>
      </c>
      <c r="B8" s="864" t="s">
        <v>1155</v>
      </c>
      <c r="C8" s="711">
        <v>4</v>
      </c>
      <c r="D8" s="71">
        <f>'A4-FinPerf RE'!C41+'SA3'!C156</f>
        <v>25115298</v>
      </c>
      <c r="E8" s="305">
        <f>'A4-FinPerf RE'!D41+'SA3'!D156</f>
        <v>32495365</v>
      </c>
      <c r="F8" s="117">
        <f>'A4-FinPerf RE'!E41+'SA3'!E156</f>
        <v>24601644</v>
      </c>
      <c r="G8" s="73">
        <f>'A4-FinPerf RE'!F41+'SA3'!F156</f>
        <v>2685553</v>
      </c>
      <c r="H8" s="305">
        <f>'A4-FinPerf RE'!G41+'SA3'!G156</f>
        <v>3163076</v>
      </c>
      <c r="I8" s="117">
        <f>'A4-FinPerf RE'!H41+'SA3'!H156</f>
        <v>3163076</v>
      </c>
      <c r="J8" s="74">
        <f>'A4-FinPerf RE'!I41+'SA3'!I156</f>
        <v>-18824229</v>
      </c>
      <c r="K8" s="75">
        <f>'A4-FinPerf RE'!J41+'SA3'!J156</f>
        <v>-7459342</v>
      </c>
      <c r="L8" s="305">
        <f>'A4-FinPerf RE'!K41+'SA3'!K156</f>
        <v>6915590</v>
      </c>
      <c r="M8" s="117">
        <f>'A4-FinPerf RE'!L41+'SA3'!L156</f>
        <v>-869185</v>
      </c>
    </row>
    <row r="9" spans="1:15" x14ac:dyDescent="0.25">
      <c r="A9" s="136" t="s">
        <v>1385</v>
      </c>
      <c r="B9" s="1369" t="s">
        <v>1152</v>
      </c>
      <c r="C9" s="675">
        <v>5</v>
      </c>
      <c r="D9" s="1370" t="s">
        <v>1263</v>
      </c>
      <c r="E9" s="1371">
        <f>IF(ISERROR(E36-E61),0,(E36-E61))</f>
        <v>-3.9331443550367495E-2</v>
      </c>
      <c r="F9" s="1372">
        <f t="shared" ref="F9:M9" si="0">IF(ISERROR(F36-F61),0,(F36-F61))</f>
        <v>0.18277445764801442</v>
      </c>
      <c r="G9" s="1373">
        <f t="shared" si="0"/>
        <v>-0.15034408170459096</v>
      </c>
      <c r="H9" s="1374">
        <f t="shared" si="0"/>
        <v>-0.06</v>
      </c>
      <c r="I9" s="1372">
        <f t="shared" si="0"/>
        <v>-0.06</v>
      </c>
      <c r="J9" s="1373">
        <f t="shared" si="0"/>
        <v>-2.2081073628301247</v>
      </c>
      <c r="K9" s="1375">
        <f>IF(ISERROR(K36-K61),0,(K36-K61))</f>
        <v>-2.1000120407297984E-2</v>
      </c>
      <c r="L9" s="1374">
        <f t="shared" si="0"/>
        <v>-1.9999786286263699E-2</v>
      </c>
      <c r="M9" s="1372">
        <f t="shared" si="0"/>
        <v>-2.0000060011503062E-2</v>
      </c>
    </row>
    <row r="10" spans="1:15" x14ac:dyDescent="0.25">
      <c r="A10" s="136" t="s">
        <v>82</v>
      </c>
      <c r="B10" s="1369" t="s">
        <v>1152</v>
      </c>
      <c r="C10" s="675">
        <v>6</v>
      </c>
      <c r="D10" s="1376">
        <f>IF(ISERROR(D53/D54),0,(D53/D54))</f>
        <v>0</v>
      </c>
      <c r="E10" s="1374">
        <f t="shared" ref="E10:M10" si="1">IF(ISERROR(E53/E54),0,(E53/E54))</f>
        <v>0</v>
      </c>
      <c r="F10" s="1372">
        <f t="shared" si="1"/>
        <v>0</v>
      </c>
      <c r="G10" s="1373">
        <f t="shared" si="1"/>
        <v>0.84309451831705129</v>
      </c>
      <c r="H10" s="1374">
        <f t="shared" si="1"/>
        <v>0.85292305185099371</v>
      </c>
      <c r="I10" s="1372">
        <f t="shared" si="1"/>
        <v>0.85292305185099371</v>
      </c>
      <c r="J10" s="1373">
        <f t="shared" si="1"/>
        <v>0</v>
      </c>
      <c r="K10" s="1375">
        <f t="shared" si="1"/>
        <v>0.89470384187021046</v>
      </c>
      <c r="L10" s="1374">
        <f t="shared" si="1"/>
        <v>0.8404651039115798</v>
      </c>
      <c r="M10" s="1372">
        <f t="shared" si="1"/>
        <v>0.85271460788608933</v>
      </c>
    </row>
    <row r="11" spans="1:15" x14ac:dyDescent="0.25">
      <c r="A11" s="136" t="s">
        <v>150</v>
      </c>
      <c r="B11" s="1369" t="s">
        <v>1152</v>
      </c>
      <c r="C11" s="675">
        <v>7</v>
      </c>
      <c r="D11" s="1376">
        <f>IF(ISERROR('A4-FinPerf RE'!C26/'SA10'!D43),0,('A4-FinPerf RE'!C26/'SA10'!D43))</f>
        <v>4.2039432856511558E-2</v>
      </c>
      <c r="E11" s="1374">
        <f>IF(ISERROR('A4-FinPerf RE'!D26/'SA10'!E43),0,('A4-FinPerf RE'!D26/'SA10'!E43))</f>
        <v>8.550030969962108E-2</v>
      </c>
      <c r="F11" s="1372">
        <f>IF(ISERROR('A4-FinPerf RE'!E26/'SA10'!F43),0,('A4-FinPerf RE'!E26/'SA10'!F43))</f>
        <v>2.6385993631486356E-2</v>
      </c>
      <c r="G11" s="1373">
        <f>IF(ISERROR('A4-FinPerf RE'!F26/'SA10'!G43),0,('A4-FinPerf RE'!F26/'SA10'!G43))</f>
        <v>0.15426159549052809</v>
      </c>
      <c r="H11" s="1374">
        <f>IF(ISERROR('A4-FinPerf RE'!G26/'SA10'!H43),0,('A4-FinPerf RE'!G26/'SA10'!H43))</f>
        <v>0.15426159549052809</v>
      </c>
      <c r="I11" s="1372">
        <f>IF(ISERROR('A4-FinPerf RE'!H26/'SA10'!I43),0,('A4-FinPerf RE'!H26/'SA10'!I43))</f>
        <v>0.15426159549052809</v>
      </c>
      <c r="J11" s="1373">
        <f>IF(ISERROR('A4-FinPerf RE'!I26/'SA10'!J43),0,('A4-FinPerf RE'!I26/'SA10'!J43))</f>
        <v>0</v>
      </c>
      <c r="K11" s="1375">
        <f>IF(ISERROR('A4-FinPerf RE'!J26/'SA10'!K43),0,('A4-FinPerf RE'!J26/'SA10'!K43))</f>
        <v>0.14847123519494546</v>
      </c>
      <c r="L11" s="1374">
        <f>IF(ISERROR('A4-FinPerf RE'!K26/'SA10'!L43),0,('A4-FinPerf RE'!K26/'SA10'!L43))</f>
        <v>0.16274724114163155</v>
      </c>
      <c r="M11" s="1372">
        <f>IF(ISERROR('A4-FinPerf RE'!L26/'SA10'!M43),0,('A4-FinPerf RE'!L26/'SA10'!M43))</f>
        <v>0.17839604997689024</v>
      </c>
    </row>
    <row r="12" spans="1:15" x14ac:dyDescent="0.25">
      <c r="A12" s="136" t="s">
        <v>1566</v>
      </c>
      <c r="B12" s="1369" t="s">
        <v>1153</v>
      </c>
      <c r="C12" s="675">
        <v>8</v>
      </c>
      <c r="D12" s="1376">
        <f>IF(ISERROR(-'A7-CFlow'!C26/'A5-Capex'!C40),0,(-'A7-CFlow'!C26/'A5-Capex'!C40))</f>
        <v>0</v>
      </c>
      <c r="E12" s="1376">
        <f>IF(ISERROR(-'A7-CFlow'!D26/'A5-Capex'!D40),0,(-'A7-CFlow'!D26/'A5-Capex'!D40))</f>
        <v>0</v>
      </c>
      <c r="F12" s="1372">
        <f>IF(ISERROR(-'A7-CFlow'!E26/'A5-Capex'!E40),0,(-'A7-CFlow'!E26/'A5-Capex'!E40))</f>
        <v>0</v>
      </c>
      <c r="G12" s="1377">
        <f>IF(ISERROR(-'A7-CFlow'!F26/'A5-Capex'!F40),0,(-'A7-CFlow'!F26/'A5-Capex'!F40))</f>
        <v>0</v>
      </c>
      <c r="H12" s="1376">
        <f>IF(ISERROR(-'A7-CFlow'!G26/'A5-Capex'!G40),0,(-'A7-CFlow'!G26/'A5-Capex'!G40))</f>
        <v>1</v>
      </c>
      <c r="I12" s="1372">
        <f>IF(ISERROR(-'A7-CFlow'!H26/'A5-Capex'!H40),0,(-'A7-CFlow'!H26/'A5-Capex'!H40))</f>
        <v>1</v>
      </c>
      <c r="J12" s="1378">
        <f>IF(ISERROR(-'A7-CFlow'!I26/'A5-Capex'!I40),0,(-'A7-CFlow'!I26/'A5-Capex'!I40))</f>
        <v>0</v>
      </c>
      <c r="K12" s="1377">
        <f>IF(ISERROR(-'A7-CFlow'!J26/'A5-Capex'!J40),0,(-'A7-CFlow'!J26/'A5-Capex'!J40))</f>
        <v>1</v>
      </c>
      <c r="L12" s="1376">
        <f>IF(ISERROR(-'A7-CFlow'!K26/'A5-Capex'!K40),0,(-'A7-CFlow'!K26/'A5-Capex'!K40))</f>
        <v>4.7574906985213472</v>
      </c>
      <c r="M12" s="1372">
        <f>IF(ISERROR(-'A7-CFlow'!L26/'A5-Capex'!L40),0,(-'A7-CFlow'!L26/'A5-Capex'!L40))</f>
        <v>4.6139012022129871</v>
      </c>
    </row>
    <row r="13" spans="1:15" x14ac:dyDescent="0.25">
      <c r="A13" s="136" t="s">
        <v>13</v>
      </c>
      <c r="B13" s="1369" t="s">
        <v>373</v>
      </c>
      <c r="C13" s="675">
        <v>9</v>
      </c>
      <c r="D13" s="1376">
        <f>IF(ISERROR('A7-CFlow'!C32/'SA10'!D52),0,('A7-CFlow'!C32/'SA10'!D52))</f>
        <v>0</v>
      </c>
      <c r="E13" s="1374">
        <f>IF(ISERROR('A7-CFlow'!D32/'SA10'!E52),0,('A7-CFlow'!D32/'SA10'!E52))</f>
        <v>0</v>
      </c>
      <c r="F13" s="1372">
        <f>IF(ISERROR('A7-CFlow'!E32/'SA10'!F52),0,('A7-CFlow'!E32/'SA10'!F52))</f>
        <v>0</v>
      </c>
      <c r="G13" s="1373">
        <f>IF(ISERROR('A7-CFlow'!F32/'SA10'!G52),0,('A7-CFlow'!F32/'SA10'!G52))</f>
        <v>0</v>
      </c>
      <c r="H13" s="1374">
        <f>IF(ISERROR('A7-CFlow'!G32/'SA10'!H52),0,('A7-CFlow'!G32/'SA10'!H52))</f>
        <v>0</v>
      </c>
      <c r="I13" s="1372">
        <f>IF(ISERROR('A7-CFlow'!H32/'SA10'!I52),0,('A7-CFlow'!H32/'SA10'!I52))</f>
        <v>0</v>
      </c>
      <c r="J13" s="1373">
        <f>IF(ISERROR('A7-CFlow'!I32/'SA10'!J52),0,('A7-CFlow'!I32/'SA10'!J52))</f>
        <v>0</v>
      </c>
      <c r="K13" s="1375">
        <f>IF(ISERROR('A7-CFlow'!J32/'SA10'!K52),0,('A7-CFlow'!J32/'SA10'!K52))</f>
        <v>0</v>
      </c>
      <c r="L13" s="1374">
        <f>IF(ISERROR('A7-CFlow'!K32/'SA10'!L52),0,('A7-CFlow'!K32/'SA10'!L52))</f>
        <v>0</v>
      </c>
      <c r="M13" s="1372">
        <f>IF(ISERROR('A7-CFlow'!L32/'SA10'!M52),0,('A7-CFlow'!L32/'SA10'!M52))</f>
        <v>0</v>
      </c>
    </row>
    <row r="14" spans="1:15" ht="14.25" customHeight="1" x14ac:dyDescent="0.25">
      <c r="A14" s="136" t="s">
        <v>613</v>
      </c>
      <c r="B14" s="1369" t="s">
        <v>372</v>
      </c>
      <c r="C14" s="675">
        <v>10</v>
      </c>
      <c r="D14" s="1379"/>
      <c r="E14" s="1380"/>
      <c r="F14" s="1381"/>
      <c r="G14" s="1382"/>
      <c r="H14" s="1380"/>
      <c r="I14" s="1381"/>
      <c r="J14" s="1382"/>
      <c r="K14" s="1375">
        <f>IF(ISERROR(K56/K68),0,(K56/K68))</f>
        <v>0</v>
      </c>
      <c r="L14" s="1374">
        <f>IF(ISERROR(L56/L68),0,(L56/L68))</f>
        <v>0</v>
      </c>
      <c r="M14" s="1372">
        <f>IF(ISERROR(M56/M68),0,(M56/M68))</f>
        <v>0</v>
      </c>
      <c r="N14" s="377"/>
      <c r="O14" s="377"/>
    </row>
    <row r="15" spans="1:15" x14ac:dyDescent="0.25">
      <c r="A15" s="136" t="s">
        <v>614</v>
      </c>
      <c r="B15" s="1369" t="s">
        <v>372</v>
      </c>
      <c r="C15" s="675">
        <v>11</v>
      </c>
      <c r="D15" s="1370" t="s">
        <v>1263</v>
      </c>
      <c r="E15" s="1374">
        <f>IF(ISERROR(ROUND((SUM('A6-FinPos'!D8:D10)-SUM('A6-FinPos'!C8:C10))/SUM('A6-FinPos'!C8:C10),3)),0,(ROUND((SUM('A6-FinPos'!D8:D10)-SUM('A6-FinPos'!C8:C10))/SUM('A6-FinPos'!C8:C10),3)))</f>
        <v>0.307</v>
      </c>
      <c r="F15" s="1372">
        <f>IF(ISERROR(ROUND((SUM('A6-FinPos'!E8:E10)-SUM('A6-FinPos'!D8:D10))/SUM('A6-FinPos'!D8:D10),3)),0,(ROUND((SUM('A6-FinPos'!E8:E10)-SUM('A6-FinPos'!D8:D10))/SUM('A6-FinPos'!D8:D10),3)))</f>
        <v>2.8000000000000001E-2</v>
      </c>
      <c r="G15" s="1373">
        <f>IF(ISERROR(ROUND((SUM('A6-FinPos'!F8:F10)-SUM('A6-FinPos'!E8:E10))/SUM('A6-FinPos'!E8:E10),3)),0,(ROUND((SUM('A6-FinPos'!F8:F10)-SUM('A6-FinPos'!E8:E10))/SUM('A6-FinPos'!E8:E10),3)))</f>
        <v>-1.034</v>
      </c>
      <c r="H15" s="1374">
        <f>IF(ISERROR(ROUND((SUM('A6-FinPos'!G8:G10)-SUM('A6-FinPos'!F8:F10))/SUM('A6-FinPos'!F8:F10),3)),0,(ROUND((SUM('A6-FinPos'!G8:G10)-SUM('A6-FinPos'!F8:F10))/SUM('A6-FinPos'!F8:F10),3)))</f>
        <v>-26.356999999999999</v>
      </c>
      <c r="I15" s="1372">
        <f>IF(ISERROR(ROUND((SUM('A6-FinPos'!H8:H10)-SUM('A6-FinPos'!G8:G10))/SUM('A6-FinPos'!G8:G10),3)),0,(ROUND((SUM('A6-FinPos'!H8:H10)-SUM('A6-FinPos'!G8:G10))/SUM('A6-FinPos'!G8:G10),3)))</f>
        <v>0</v>
      </c>
      <c r="J15" s="1373">
        <f>IF(ISERROR(ROUND((SUM('A6-FinPos'!I8:I10)-SUM('A6-FinPos'!H8:H10))/SUM('A6-FinPos'!H8:H10),3)),0,(ROUND((SUM('A6-FinPos'!I8:I10)-SUM('A6-FinPos'!H8:H10))/SUM('A6-FinPos'!H8:H10),3)))</f>
        <v>0.5</v>
      </c>
      <c r="K15" s="1375">
        <f>IF(ISERROR(ROUND((SUM('A6-FinPos'!J8:J10)-SUM('A6-FinPos'!G8:G10))/SUM('A6-FinPos'!G8:G10),3)),0,(ROUND((SUM('A6-FinPos'!J8:J10)-SUM('A6-FinPos'!G8:G10))/SUM('A6-FinPos'!G8:G10),3)))</f>
        <v>0.26600000000000001</v>
      </c>
      <c r="L15" s="1374">
        <f>IF(ISERROR(ROUND((SUM('A6-FinPos'!K8:K10)-SUM('A6-FinPos'!J8:J10))/SUM('A6-FinPos'!J8:J10),3)),0,(ROUND((SUM('A6-FinPos'!K8:K10)-SUM('A6-FinPos'!J8:J10))/SUM('A6-FinPos'!J8:J10),3)))</f>
        <v>0</v>
      </c>
      <c r="M15" s="1372">
        <f>IF(ISERROR(ROUND((SUM('A6-FinPos'!L8:L10)-SUM('A6-FinPos'!K8:K10))/SUM('A6-FinPos'!K8:K10),3)),0,(ROUND((SUM('A6-FinPos'!L8:L10)-SUM('A6-FinPos'!K8:K10))/SUM('A6-FinPos'!K8:K10),3)))</f>
        <v>5.8999999999999997E-2</v>
      </c>
    </row>
    <row r="16" spans="1:15" x14ac:dyDescent="0.25">
      <c r="A16" s="164" t="s">
        <v>1261</v>
      </c>
      <c r="B16" s="864" t="s">
        <v>372</v>
      </c>
      <c r="C16" s="711">
        <v>12</v>
      </c>
      <c r="D16" s="1370" t="s">
        <v>1263</v>
      </c>
      <c r="E16" s="1374">
        <f>IF(ISERROR(ROUND(('A6-FinPos'!D15-'A6-FinPos'!C15)/'A6-FinPos'!C15,3)),0,(ROUND(('A6-FinPos'!D15-'A6-FinPos'!C15)/'A6-FinPos'!C15,3)))</f>
        <v>0</v>
      </c>
      <c r="F16" s="1372">
        <f>IF(ISERROR(ROUND(('A6-FinPos'!E15-'A6-FinPos'!D15)/'A6-FinPos'!D15,3)),0,(ROUND(('A6-FinPos'!E15-'A6-FinPos'!D15)/'A6-FinPos'!D15,3)))</f>
        <v>0</v>
      </c>
      <c r="G16" s="1373">
        <f>IF(ISERROR(ROUND(('A6-FinPos'!F15-'A6-FinPos'!E15)/'A6-FinPos'!E15,3)),0,(ROUND(('A6-FinPos'!F15-'A6-FinPos'!E15)/'A6-FinPos'!E15,3)))</f>
        <v>0</v>
      </c>
      <c r="H16" s="1374">
        <f>IF(ISERROR(ROUND(('A6-FinPos'!G15-'A6-FinPos'!F15)/'A6-FinPos'!F15,3)),0,(ROUND(('A6-FinPos'!G15-'A6-FinPos'!F15)/'A6-FinPos'!F15,3)))</f>
        <v>0</v>
      </c>
      <c r="I16" s="1372">
        <f>IF(ISERROR(ROUND(('A6-FinPos'!H15-'A6-FinPos'!G15)/'A6-FinPos'!G15,3)),0,(ROUND(('A6-FinPos'!H15-'A6-FinPos'!G15)/'A6-FinPos'!G15,3)))</f>
        <v>0</v>
      </c>
      <c r="J16" s="1373">
        <f>IF(ISERROR(ROUND(('A6-FinPos'!I15-'A6-FinPos'!H15)/'A6-FinPos'!H15,3)),0,(ROUND(('A6-FinPos'!I15-'A6-FinPos'!H15)/'A6-FinPos'!H15,3)))</f>
        <v>0</v>
      </c>
      <c r="K16" s="1375">
        <f>IF(ISERROR(ROUND(('A6-FinPos'!J15-'A6-FinPos'!G15)/'A6-FinPos'!G15,3)),0,(ROUND(('A6-FinPos'!J15-'A6-FinPos'!G15)/'A6-FinPos'!G15,3)))</f>
        <v>0</v>
      </c>
      <c r="L16" s="1374">
        <f>IF(ISERROR(ROUND(('A6-FinPos'!K15-'A6-FinPos'!J15)/'A6-FinPos'!J15,3)),0,(ROUND(('A6-FinPos'!K15-'A6-FinPos'!J15)/'A6-FinPos'!J15,3)))</f>
        <v>0</v>
      </c>
      <c r="M16" s="1372">
        <f>IF(ISERROR(ROUND(('A6-FinPos'!L15-'A6-FinPos'!K15)/'A6-FinPos'!K15,3)),0,(ROUND(('A6-FinPos'!L15-'A6-FinPos'!K15)/'A6-FinPos'!K15,3)))</f>
        <v>0</v>
      </c>
    </row>
    <row r="17" spans="1:13" x14ac:dyDescent="0.25">
      <c r="A17" s="164" t="s">
        <v>81</v>
      </c>
      <c r="B17" s="1383" t="s">
        <v>1156</v>
      </c>
      <c r="C17" s="711">
        <v>13</v>
      </c>
      <c r="D17" s="1376">
        <f>IF(ISERROR('A9-Asset'!C169/'A6-FinPos'!C19),0,('A9-Asset'!C169/'A6-FinPos'!C19))</f>
        <v>2.6321472966114964E-2</v>
      </c>
      <c r="E17" s="1376">
        <f>IF(ISERROR('A9-Asset'!D169/'A6-FinPos'!D19),0,('A9-Asset'!D169/'A6-FinPos'!D19))</f>
        <v>3.1736905018173854E-2</v>
      </c>
      <c r="F17" s="1372">
        <f>IF(ISERROR('A9-Asset'!E169/'A6-FinPos'!E19),0,('A9-Asset'!E169/'A6-FinPos'!E19))</f>
        <v>5.2540475228735069E-2</v>
      </c>
      <c r="G17" s="1377">
        <f>IF(ISERROR('A9-Asset'!F169/'A6-FinPos'!F19),0,('A9-Asset'!F169/'A6-FinPos'!F19))</f>
        <v>0.10161189207796127</v>
      </c>
      <c r="H17" s="1376">
        <f>IF(ISERROR('A9-Asset'!G169/'A6-FinPos'!G19),0,('A9-Asset'!G169/'A6-FinPos'!G19))</f>
        <v>0.15837322506766796</v>
      </c>
      <c r="I17" s="1372">
        <f>IF(ISERROR('A9-Asset'!H169/'A6-FinPos'!H19),0,('A9-Asset'!H169/'A6-FinPos'!H19))</f>
        <v>0.15837322506766796</v>
      </c>
      <c r="J17" s="1384">
        <f>IF(ISERROR('A9-Asset'!I169/'A6-FinPos'!I19),0,('A9-Asset'!I169/'A6-FinPos'!I19))</f>
        <v>9.2864587913230698E-2</v>
      </c>
      <c r="K17" s="1377">
        <f>IF(ISERROR('A9-Asset'!I169/'A6-FinPos'!J19),0,('A9-Asset'!I169/'A6-FinPos'!J19))</f>
        <v>0.15270658018715161</v>
      </c>
      <c r="L17" s="1376">
        <f>IF(ISERROR('A9-Asset'!J169/'A6-FinPos'!K19),0,('A9-Asset'!J169/'A6-FinPos'!K19))</f>
        <v>0.15404446849757458</v>
      </c>
      <c r="M17" s="1372">
        <f>IF(ISERROR('A9-Asset'!K169/'A6-FinPos'!L19),0,('A9-Asset'!K169/'A6-FinPos'!L19))</f>
        <v>0.15598454894908625</v>
      </c>
    </row>
    <row r="18" spans="1:13" x14ac:dyDescent="0.25">
      <c r="A18" s="164" t="s">
        <v>849</v>
      </c>
      <c r="B18" s="1383" t="str">
        <f>B17</f>
        <v>20(1)(vi)</v>
      </c>
      <c r="C18" s="711">
        <v>14</v>
      </c>
      <c r="D18" s="1376">
        <f t="shared" ref="D18:L18" si="2">IF(ISERROR(D58/D57),0,(D58/D57))</f>
        <v>7.4611489400387959E-7</v>
      </c>
      <c r="E18" s="1374">
        <f t="shared" si="2"/>
        <v>5.147374531690578E-9</v>
      </c>
      <c r="F18" s="1372">
        <f t="shared" si="2"/>
        <v>4.6807239791860558E-9</v>
      </c>
      <c r="G18" s="1385">
        <f t="shared" si="2"/>
        <v>0</v>
      </c>
      <c r="H18" s="1374">
        <f t="shared" si="2"/>
        <v>1.2567841206834492E-2</v>
      </c>
      <c r="I18" s="1372">
        <f t="shared" si="2"/>
        <v>1.2567841206834492E-2</v>
      </c>
      <c r="J18" s="1373">
        <f t="shared" si="2"/>
        <v>0</v>
      </c>
      <c r="K18" s="1375">
        <f t="shared" si="2"/>
        <v>0</v>
      </c>
      <c r="L18" s="1374">
        <f t="shared" si="2"/>
        <v>0</v>
      </c>
      <c r="M18" s="1372">
        <f>IF(ISERROR(M58/M57),0,((M58/M57)))</f>
        <v>0</v>
      </c>
    </row>
    <row r="19" spans="1:13" ht="6" customHeight="1" x14ac:dyDescent="0.25">
      <c r="A19" s="197"/>
      <c r="B19" s="1386"/>
      <c r="C19" s="1387"/>
      <c r="D19" s="1387"/>
      <c r="E19" s="1386"/>
      <c r="F19" s="1388"/>
      <c r="G19" s="1389"/>
      <c r="H19" s="1386"/>
      <c r="I19" s="1388"/>
      <c r="J19" s="1390"/>
      <c r="K19" s="1391"/>
      <c r="L19" s="1386"/>
      <c r="M19" s="1388"/>
    </row>
    <row r="20" spans="1:13" x14ac:dyDescent="0.25">
      <c r="A20" s="1392" t="str">
        <f>head27a</f>
        <v>References</v>
      </c>
      <c r="B20" s="1393"/>
      <c r="C20" s="1393"/>
      <c r="D20" s="1393"/>
      <c r="E20" s="1393"/>
      <c r="F20" s="1393"/>
      <c r="G20" s="1393"/>
      <c r="H20" s="1393"/>
      <c r="I20" s="1393"/>
      <c r="J20" s="1393"/>
      <c r="K20" s="1393"/>
      <c r="L20" s="1393"/>
      <c r="M20" s="1393"/>
    </row>
    <row r="21" spans="1:13" x14ac:dyDescent="0.25">
      <c r="A21" s="154" t="s">
        <v>412</v>
      </c>
      <c r="B21" s="1394"/>
      <c r="C21" s="1394"/>
      <c r="D21" s="1394"/>
      <c r="E21" s="1394"/>
      <c r="F21" s="1394"/>
      <c r="G21" s="1394"/>
      <c r="H21" s="1394"/>
      <c r="I21" s="1394"/>
      <c r="J21" s="1394"/>
      <c r="K21" s="1394"/>
      <c r="L21" s="1394"/>
      <c r="M21" s="1394"/>
    </row>
    <row r="22" spans="1:13" x14ac:dyDescent="0.25">
      <c r="A22" s="151" t="s">
        <v>1221</v>
      </c>
      <c r="B22" s="1394"/>
      <c r="C22" s="1394"/>
      <c r="D22" s="1394"/>
      <c r="E22" s="1394"/>
      <c r="F22" s="1394"/>
      <c r="G22" s="1394"/>
      <c r="H22" s="1394"/>
      <c r="I22" s="1394"/>
      <c r="J22" s="1394"/>
      <c r="K22" s="1394"/>
      <c r="L22" s="1394"/>
      <c r="M22" s="1394"/>
    </row>
    <row r="23" spans="1:13" x14ac:dyDescent="0.25">
      <c r="A23" s="151" t="s">
        <v>585</v>
      </c>
      <c r="B23" s="1394"/>
      <c r="C23" s="1394"/>
      <c r="D23" s="1394"/>
      <c r="E23" s="1394"/>
      <c r="F23" s="1394"/>
      <c r="G23" s="1394"/>
      <c r="H23" s="1394"/>
      <c r="I23" s="1394"/>
      <c r="J23" s="1394"/>
      <c r="K23" s="1394"/>
      <c r="L23" s="1394"/>
      <c r="M23" s="1394"/>
    </row>
    <row r="24" spans="1:13" x14ac:dyDescent="0.25">
      <c r="A24" s="151" t="s">
        <v>586</v>
      </c>
      <c r="B24" s="1394"/>
      <c r="C24" s="1394"/>
      <c r="D24" s="1394"/>
      <c r="E24" s="1394"/>
      <c r="F24" s="1394"/>
      <c r="G24" s="1394"/>
      <c r="H24" s="1394"/>
      <c r="I24" s="1394"/>
      <c r="J24" s="1394"/>
      <c r="K24" s="1394"/>
      <c r="L24" s="1394"/>
      <c r="M24" s="1394"/>
    </row>
    <row r="25" spans="1:13" x14ac:dyDescent="0.25">
      <c r="A25" s="151" t="s">
        <v>672</v>
      </c>
      <c r="B25" s="1394"/>
      <c r="C25" s="1394"/>
      <c r="D25" s="1394"/>
      <c r="E25" s="1394"/>
      <c r="F25" s="1394"/>
      <c r="G25" s="1394"/>
      <c r="H25" s="1394"/>
      <c r="I25" s="1394"/>
      <c r="J25" s="1394"/>
      <c r="K25" s="1394"/>
      <c r="L25" s="1394"/>
      <c r="M25" s="1394"/>
    </row>
    <row r="26" spans="1:13" x14ac:dyDescent="0.25">
      <c r="A26" s="151" t="s">
        <v>910</v>
      </c>
      <c r="B26" s="1394"/>
      <c r="C26" s="1394"/>
      <c r="D26" s="1394"/>
      <c r="E26" s="1394"/>
      <c r="F26" s="1394"/>
      <c r="G26" s="1394"/>
      <c r="H26" s="1394"/>
      <c r="I26" s="1394"/>
      <c r="J26" s="1394"/>
      <c r="K26" s="1394"/>
      <c r="L26" s="1394"/>
      <c r="M26" s="1394"/>
    </row>
    <row r="27" spans="1:13" x14ac:dyDescent="0.25">
      <c r="A27" s="151" t="s">
        <v>575</v>
      </c>
      <c r="B27" s="1394"/>
      <c r="C27" s="1394"/>
      <c r="D27" s="1394"/>
      <c r="E27" s="1394"/>
      <c r="F27" s="1394"/>
      <c r="G27" s="1394"/>
      <c r="H27" s="1394"/>
      <c r="I27" s="1394"/>
      <c r="J27" s="1394"/>
      <c r="K27" s="1394"/>
      <c r="L27" s="1394"/>
      <c r="M27" s="1394"/>
    </row>
    <row r="28" spans="1:13" x14ac:dyDescent="0.25">
      <c r="A28" s="151" t="s">
        <v>909</v>
      </c>
      <c r="B28" s="1394"/>
      <c r="C28" s="1394"/>
      <c r="D28" s="1394"/>
      <c r="E28" s="1394"/>
      <c r="F28" s="1394"/>
      <c r="G28" s="1394"/>
      <c r="H28" s="1394"/>
      <c r="I28" s="1394"/>
      <c r="J28" s="1394"/>
      <c r="K28" s="1394"/>
      <c r="L28" s="1394"/>
      <c r="M28" s="1394"/>
    </row>
    <row r="29" spans="1:13" x14ac:dyDescent="0.25">
      <c r="A29" s="151" t="s">
        <v>1055</v>
      </c>
      <c r="B29" s="1394"/>
      <c r="C29" s="1394"/>
      <c r="D29" s="1394"/>
      <c r="E29" s="1394"/>
      <c r="F29" s="1394"/>
      <c r="G29" s="1394"/>
      <c r="H29" s="1394"/>
      <c r="I29" s="1394"/>
      <c r="J29" s="1394"/>
      <c r="K29" s="1394"/>
      <c r="L29" s="1394"/>
      <c r="M29" s="1394"/>
    </row>
    <row r="30" spans="1:13" x14ac:dyDescent="0.25">
      <c r="A30" s="151" t="s">
        <v>293</v>
      </c>
      <c r="B30" s="1394"/>
      <c r="C30" s="1394"/>
      <c r="D30" s="1394"/>
      <c r="E30" s="1394"/>
      <c r="F30" s="1394"/>
      <c r="G30" s="1394"/>
      <c r="H30" s="1394"/>
      <c r="I30" s="1394"/>
      <c r="J30" s="1394"/>
      <c r="K30" s="1394"/>
      <c r="L30" s="1394"/>
      <c r="M30" s="1394"/>
    </row>
    <row r="31" spans="1:13" x14ac:dyDescent="0.25">
      <c r="A31" s="151" t="s">
        <v>1552</v>
      </c>
      <c r="B31" s="1394"/>
      <c r="C31" s="1394"/>
      <c r="D31" s="1394"/>
      <c r="E31" s="1394"/>
      <c r="F31" s="1394"/>
      <c r="G31" s="1394"/>
      <c r="H31" s="1394"/>
      <c r="I31" s="1394"/>
      <c r="J31" s="1394"/>
      <c r="K31" s="1394"/>
      <c r="L31" s="1394"/>
      <c r="M31" s="1394"/>
    </row>
    <row r="32" spans="1:13" x14ac:dyDescent="0.25">
      <c r="A32" s="151" t="s">
        <v>102</v>
      </c>
      <c r="B32" s="1394"/>
      <c r="C32" s="1394"/>
      <c r="D32" s="1394"/>
      <c r="E32" s="1394"/>
      <c r="F32" s="1394"/>
      <c r="G32" s="1394"/>
      <c r="H32" s="1394"/>
      <c r="I32" s="1394"/>
      <c r="J32" s="1394"/>
      <c r="K32" s="1394"/>
      <c r="L32" s="1394"/>
      <c r="M32" s="1394"/>
    </row>
    <row r="33" spans="1:18" x14ac:dyDescent="0.25">
      <c r="A33" s="151" t="s">
        <v>576</v>
      </c>
      <c r="B33" s="1394"/>
      <c r="C33" s="1394"/>
      <c r="D33" s="1394"/>
      <c r="E33" s="1394"/>
      <c r="F33" s="1394"/>
      <c r="G33" s="1394"/>
      <c r="H33" s="1394"/>
      <c r="I33" s="1394"/>
      <c r="J33" s="1394"/>
      <c r="K33" s="1394"/>
      <c r="L33" s="1394"/>
      <c r="M33" s="1394"/>
    </row>
    <row r="34" spans="1:18" x14ac:dyDescent="0.25">
      <c r="A34" s="151" t="s">
        <v>577</v>
      </c>
      <c r="B34" s="1394"/>
      <c r="C34" s="1394"/>
      <c r="D34" s="1394"/>
      <c r="E34" s="1394"/>
      <c r="F34" s="1394"/>
      <c r="G34" s="1394"/>
      <c r="H34" s="1394"/>
      <c r="I34" s="1394"/>
      <c r="J34" s="1394"/>
      <c r="K34" s="1394"/>
      <c r="L34" s="1394"/>
      <c r="M34" s="1394"/>
    </row>
    <row r="35" spans="1:18" x14ac:dyDescent="0.25">
      <c r="A35" s="1395" t="s">
        <v>1059</v>
      </c>
      <c r="B35" s="1396"/>
      <c r="C35" s="1396"/>
      <c r="D35" s="1397"/>
      <c r="E35" s="1398"/>
      <c r="F35" s="1399"/>
      <c r="G35" s="912"/>
      <c r="H35" s="910"/>
      <c r="I35" s="910"/>
      <c r="J35" s="1399"/>
      <c r="K35" s="912"/>
      <c r="L35" s="910"/>
      <c r="M35" s="1399"/>
    </row>
    <row r="36" spans="1:18" x14ac:dyDescent="0.25">
      <c r="A36" s="1400" t="s">
        <v>779</v>
      </c>
      <c r="B36" s="1401" t="s">
        <v>372</v>
      </c>
      <c r="C36" s="1401"/>
      <c r="D36" s="1402"/>
      <c r="E36" s="1403">
        <f t="shared" ref="E36:E42" si="3">IF(ISERROR((E44/D44)-1),0,((E44/D44)-1))</f>
        <v>2.0668556449632502E-2</v>
      </c>
      <c r="F36" s="1372">
        <f>IF(ISERROR((F44/E44)-1),0,((F44/E44)-1))</f>
        <v>0.24277445764801442</v>
      </c>
      <c r="G36" s="1404">
        <f>IF(ISERROR((G44/F44)-1),0,((G44/F44)-1))</f>
        <v>-9.0344081704590962E-2</v>
      </c>
      <c r="H36" s="1403">
        <f>IF(ISERROR((H44/G44)-1),0,((H44/G44)-1))</f>
        <v>0</v>
      </c>
      <c r="I36" s="1403">
        <f>IF(ISERROR((I44/H44)-1),0,((I44/H44)-1))</f>
        <v>0</v>
      </c>
      <c r="J36" s="1405">
        <f>IF(ISERROR((J44/I44)-1),0,((J44/I44)-1))</f>
        <v>-2.1481073628301246</v>
      </c>
      <c r="K36" s="1375">
        <f>IF(ISERROR((K44/H44)-1),0,((K44/H44)-1))</f>
        <v>3.8999879592702014E-2</v>
      </c>
      <c r="L36" s="1376">
        <f>IF(ISERROR((L44/K44)-1),0,((L44/K44)-1))</f>
        <v>4.0000213713736299E-2</v>
      </c>
      <c r="M36" s="1372">
        <f>IF(ISERROR((M44/L44)-1),0,((M44/L44)-1))</f>
        <v>3.9999939988496935E-2</v>
      </c>
      <c r="Q36" s="754"/>
      <c r="R36" s="754"/>
    </row>
    <row r="37" spans="1:18" x14ac:dyDescent="0.25">
      <c r="A37" s="1400" t="s">
        <v>780</v>
      </c>
      <c r="B37" s="1401" t="s">
        <v>372</v>
      </c>
      <c r="C37" s="1401"/>
      <c r="D37" s="1402"/>
      <c r="E37" s="1403">
        <f t="shared" si="3"/>
        <v>1.9640180933228057E-2</v>
      </c>
      <c r="F37" s="1372">
        <f t="shared" ref="F37:M42" si="4">IF(ISERROR((F45/E45)-1),0,((F45/E45)-1))</f>
        <v>0.24993012209611964</v>
      </c>
      <c r="G37" s="1404">
        <f t="shared" si="4"/>
        <v>-9.4637374561149068E-2</v>
      </c>
      <c r="H37" s="1403">
        <f t="shared" si="4"/>
        <v>0</v>
      </c>
      <c r="I37" s="1403">
        <f t="shared" si="4"/>
        <v>0</v>
      </c>
      <c r="J37" s="1405">
        <f t="shared" si="4"/>
        <v>-2.1524071180816211</v>
      </c>
      <c r="K37" s="1375">
        <f t="shared" ref="K37:K42" si="5">IF(ISERROR((K45/H45)-1),0,((K45/H45)-1))</f>
        <v>3.8999885853647331E-2</v>
      </c>
      <c r="L37" s="1376">
        <f t="shared" si="4"/>
        <v>4.0000188779280688E-2</v>
      </c>
      <c r="M37" s="1372">
        <f t="shared" si="4"/>
        <v>3.9999941988930976E-2</v>
      </c>
      <c r="Q37" s="754"/>
      <c r="R37" s="754"/>
    </row>
    <row r="38" spans="1:18" x14ac:dyDescent="0.25">
      <c r="A38" s="1400" t="str">
        <f>"% incr "&amp;'A4-FinPerf RE'!A6</f>
        <v>% incr Service charges - electricity revenue</v>
      </c>
      <c r="B38" s="1401" t="s">
        <v>372</v>
      </c>
      <c r="C38" s="1401"/>
      <c r="D38" s="1402"/>
      <c r="E38" s="1403">
        <f t="shared" si="3"/>
        <v>0</v>
      </c>
      <c r="F38" s="1372">
        <f t="shared" si="4"/>
        <v>0</v>
      </c>
      <c r="G38" s="1404">
        <f t="shared" si="4"/>
        <v>0</v>
      </c>
      <c r="H38" s="1403">
        <f t="shared" si="4"/>
        <v>0</v>
      </c>
      <c r="I38" s="1403">
        <f t="shared" si="4"/>
        <v>0</v>
      </c>
      <c r="J38" s="1405">
        <f t="shared" si="4"/>
        <v>0</v>
      </c>
      <c r="K38" s="1375">
        <f t="shared" si="5"/>
        <v>0</v>
      </c>
      <c r="L38" s="1376">
        <f t="shared" si="4"/>
        <v>0</v>
      </c>
      <c r="M38" s="1372">
        <f>IF(ISERROR((M46/L46)-1),0,((M46/L46)-1))</f>
        <v>0</v>
      </c>
      <c r="Q38" s="754"/>
      <c r="R38" s="754"/>
    </row>
    <row r="39" spans="1:18" x14ac:dyDescent="0.25">
      <c r="A39" s="1400" t="str">
        <f>"% incr "&amp;'A4-FinPerf RE'!A7</f>
        <v>% incr Service charges - water revenue</v>
      </c>
      <c r="B39" s="1401" t="s">
        <v>372</v>
      </c>
      <c r="C39" s="1401"/>
      <c r="D39" s="1402"/>
      <c r="E39" s="1403">
        <f t="shared" si="3"/>
        <v>0</v>
      </c>
      <c r="F39" s="1372">
        <f t="shared" si="4"/>
        <v>0</v>
      </c>
      <c r="G39" s="1404">
        <f t="shared" si="4"/>
        <v>0</v>
      </c>
      <c r="H39" s="1403">
        <f t="shared" si="4"/>
        <v>0</v>
      </c>
      <c r="I39" s="1403">
        <f t="shared" si="4"/>
        <v>0</v>
      </c>
      <c r="J39" s="1405">
        <f t="shared" si="4"/>
        <v>0</v>
      </c>
      <c r="K39" s="1375">
        <f t="shared" si="5"/>
        <v>0</v>
      </c>
      <c r="L39" s="1376">
        <f t="shared" si="4"/>
        <v>0</v>
      </c>
      <c r="M39" s="1372">
        <f t="shared" si="4"/>
        <v>0</v>
      </c>
      <c r="Q39" s="754"/>
      <c r="R39" s="754"/>
    </row>
    <row r="40" spans="1:18" x14ac:dyDescent="0.25">
      <c r="A40" s="1400" t="str">
        <f>"% incr "&amp;'A4-FinPerf RE'!A8</f>
        <v>% incr Service charges - sanitation revenue</v>
      </c>
      <c r="B40" s="1401" t="s">
        <v>372</v>
      </c>
      <c r="C40" s="1401"/>
      <c r="D40" s="1402"/>
      <c r="E40" s="1403">
        <f t="shared" si="3"/>
        <v>0</v>
      </c>
      <c r="F40" s="1372">
        <f t="shared" si="4"/>
        <v>0</v>
      </c>
      <c r="G40" s="1404">
        <f t="shared" si="4"/>
        <v>0</v>
      </c>
      <c r="H40" s="1403">
        <f t="shared" si="4"/>
        <v>0</v>
      </c>
      <c r="I40" s="1403">
        <f t="shared" si="4"/>
        <v>0</v>
      </c>
      <c r="J40" s="1405">
        <f t="shared" si="4"/>
        <v>0</v>
      </c>
      <c r="K40" s="1375">
        <f t="shared" si="5"/>
        <v>0</v>
      </c>
      <c r="L40" s="1376">
        <f t="shared" si="4"/>
        <v>0</v>
      </c>
      <c r="M40" s="1372">
        <f t="shared" si="4"/>
        <v>0</v>
      </c>
      <c r="Q40" s="754"/>
      <c r="R40" s="754"/>
    </row>
    <row r="41" spans="1:18" x14ac:dyDescent="0.25">
      <c r="A41" s="1400" t="str">
        <f>"% incr "&amp;'A4-FinPerf RE'!A9</f>
        <v>% incr Service charges - refuse revenue</v>
      </c>
      <c r="B41" s="1401" t="s">
        <v>372</v>
      </c>
      <c r="C41" s="1401"/>
      <c r="D41" s="1402"/>
      <c r="E41" s="1403">
        <f t="shared" si="3"/>
        <v>5.608851047415464E-2</v>
      </c>
      <c r="F41" s="1372">
        <f t="shared" si="4"/>
        <v>4.8205422824716404E-3</v>
      </c>
      <c r="G41" s="1404">
        <f t="shared" si="4"/>
        <v>8.7250876086944151E-2</v>
      </c>
      <c r="H41" s="1403">
        <f t="shared" si="4"/>
        <v>0</v>
      </c>
      <c r="I41" s="1403">
        <f t="shared" si="4"/>
        <v>0</v>
      </c>
      <c r="J41" s="1405">
        <f t="shared" si="4"/>
        <v>-2</v>
      </c>
      <c r="K41" s="1375">
        <f t="shared" si="5"/>
        <v>3.8999663931100548E-2</v>
      </c>
      <c r="L41" s="1376">
        <f t="shared" si="4"/>
        <v>4.0001072594539222E-2</v>
      </c>
      <c r="M41" s="1372">
        <f t="shared" si="4"/>
        <v>3.9999871082520011E-2</v>
      </c>
      <c r="Q41" s="754"/>
      <c r="R41" s="754"/>
    </row>
    <row r="42" spans="1:18" x14ac:dyDescent="0.25">
      <c r="A42" s="1400" t="str">
        <f>"% incr in "&amp;'A4-FinPerf RE'!A10</f>
        <v xml:space="preserve">% incr in </v>
      </c>
      <c r="B42" s="1401" t="s">
        <v>372</v>
      </c>
      <c r="C42" s="1401"/>
      <c r="D42" s="1402"/>
      <c r="E42" s="1403">
        <f t="shared" si="3"/>
        <v>0</v>
      </c>
      <c r="F42" s="1372">
        <f t="shared" si="4"/>
        <v>0</v>
      </c>
      <c r="G42" s="1404">
        <f t="shared" si="4"/>
        <v>0</v>
      </c>
      <c r="H42" s="1403">
        <f t="shared" si="4"/>
        <v>0</v>
      </c>
      <c r="I42" s="1403">
        <f>IF(ISERROR((I50/H50)-1),0,((I50/H50)-1))</f>
        <v>0</v>
      </c>
      <c r="J42" s="1405">
        <f t="shared" si="4"/>
        <v>0</v>
      </c>
      <c r="K42" s="1375">
        <f t="shared" si="5"/>
        <v>0</v>
      </c>
      <c r="L42" s="1376">
        <f>IF(ISERROR((L50/K50)-1),0,((L50/K50)-1))</f>
        <v>0</v>
      </c>
      <c r="M42" s="1372">
        <f t="shared" si="4"/>
        <v>0</v>
      </c>
      <c r="Q42" s="754"/>
      <c r="R42" s="754"/>
    </row>
    <row r="43" spans="1:18" x14ac:dyDescent="0.25">
      <c r="A43" s="1400" t="s">
        <v>663</v>
      </c>
      <c r="B43" s="1401" t="s">
        <v>372</v>
      </c>
      <c r="C43" s="1401"/>
      <c r="D43" s="169">
        <f>SUM(D45:D50)</f>
        <v>17641532</v>
      </c>
      <c r="E43" s="165">
        <f t="shared" ref="E43:M43" si="6">SUM(E45:E50)</f>
        <v>18006157</v>
      </c>
      <c r="F43" s="382">
        <f t="shared" si="6"/>
        <v>22377592</v>
      </c>
      <c r="G43" s="169">
        <f t="shared" si="6"/>
        <v>20355909</v>
      </c>
      <c r="H43" s="165">
        <f t="shared" si="6"/>
        <v>20355909</v>
      </c>
      <c r="I43" s="165">
        <f t="shared" si="6"/>
        <v>20355909</v>
      </c>
      <c r="J43" s="382">
        <f t="shared" si="6"/>
        <v>-23370769</v>
      </c>
      <c r="K43" s="169">
        <f t="shared" si="6"/>
        <v>21149787</v>
      </c>
      <c r="L43" s="165">
        <f t="shared" si="6"/>
        <v>21995783</v>
      </c>
      <c r="M43" s="382">
        <f t="shared" si="6"/>
        <v>22875613</v>
      </c>
    </row>
    <row r="44" spans="1:18" x14ac:dyDescent="0.25">
      <c r="A44" s="1400" t="s">
        <v>1403</v>
      </c>
      <c r="B44" s="1401"/>
      <c r="C44" s="1401"/>
      <c r="D44" s="169">
        <f>SUM(D45:D50)</f>
        <v>17641532</v>
      </c>
      <c r="E44" s="165">
        <f t="shared" ref="E44:M44" si="7">SUM(E45:E50)</f>
        <v>18006157</v>
      </c>
      <c r="F44" s="382">
        <f t="shared" si="7"/>
        <v>22377592</v>
      </c>
      <c r="G44" s="169">
        <f t="shared" si="7"/>
        <v>20355909</v>
      </c>
      <c r="H44" s="165">
        <f t="shared" si="7"/>
        <v>20355909</v>
      </c>
      <c r="I44" s="165">
        <f t="shared" si="7"/>
        <v>20355909</v>
      </c>
      <c r="J44" s="382">
        <f>SUM(J45:J50)</f>
        <v>-23370769</v>
      </c>
      <c r="K44" s="169">
        <f t="shared" si="7"/>
        <v>21149787</v>
      </c>
      <c r="L44" s="165">
        <f t="shared" si="7"/>
        <v>21995783</v>
      </c>
      <c r="M44" s="382">
        <f t="shared" si="7"/>
        <v>22875613</v>
      </c>
    </row>
    <row r="45" spans="1:18" x14ac:dyDescent="0.25">
      <c r="A45" s="1400" t="s">
        <v>467</v>
      </c>
      <c r="B45" s="1401"/>
      <c r="C45" s="1401"/>
      <c r="D45" s="169">
        <f>'A4-FinPerf RE'!C5</f>
        <v>17143783</v>
      </c>
      <c r="E45" s="165">
        <f>'A4-FinPerf RE'!D5</f>
        <v>17480490</v>
      </c>
      <c r="F45" s="382">
        <f>'A4-FinPerf RE'!E5</f>
        <v>21849391</v>
      </c>
      <c r="G45" s="169">
        <f>'A4-FinPerf RE'!F5</f>
        <v>19781622</v>
      </c>
      <c r="H45" s="165">
        <f>'A4-FinPerf RE'!G5</f>
        <v>19781622</v>
      </c>
      <c r="I45" s="165">
        <f>'A4-FinPerf RE'!H5</f>
        <v>19781622</v>
      </c>
      <c r="J45" s="382">
        <f>'A4-FinPerf RE'!I5</f>
        <v>-22796482</v>
      </c>
      <c r="K45" s="169">
        <f>'A4-FinPerf RE'!J5</f>
        <v>20553103</v>
      </c>
      <c r="L45" s="165">
        <f>'A4-FinPerf RE'!K5</f>
        <v>21375231</v>
      </c>
      <c r="M45" s="382">
        <f>'A4-FinPerf RE'!L5</f>
        <v>22230239</v>
      </c>
    </row>
    <row r="46" spans="1:18" x14ac:dyDescent="0.25">
      <c r="A46" s="1400" t="s">
        <v>1557</v>
      </c>
      <c r="B46" s="1401"/>
      <c r="C46" s="1401"/>
      <c r="D46" s="169">
        <f>'A4-FinPerf RE'!C6</f>
        <v>0</v>
      </c>
      <c r="E46" s="165">
        <f>'A4-FinPerf RE'!D6</f>
        <v>0</v>
      </c>
      <c r="F46" s="382">
        <f>'A4-FinPerf RE'!E6</f>
        <v>0</v>
      </c>
      <c r="G46" s="169">
        <f>'A4-FinPerf RE'!F6</f>
        <v>0</v>
      </c>
      <c r="H46" s="165">
        <f>'A4-FinPerf RE'!G6</f>
        <v>0</v>
      </c>
      <c r="I46" s="165">
        <f>'A4-FinPerf RE'!H6</f>
        <v>0</v>
      </c>
      <c r="J46" s="382">
        <f>'A4-FinPerf RE'!I6</f>
        <v>0</v>
      </c>
      <c r="K46" s="169">
        <f>'A4-FinPerf RE'!J6</f>
        <v>0</v>
      </c>
      <c r="L46" s="165">
        <f>'A4-FinPerf RE'!K6</f>
        <v>0</v>
      </c>
      <c r="M46" s="382">
        <f>'A4-FinPerf RE'!L6</f>
        <v>0</v>
      </c>
    </row>
    <row r="47" spans="1:18" x14ac:dyDescent="0.25">
      <c r="A47" s="1400" t="s">
        <v>1558</v>
      </c>
      <c r="B47" s="1401"/>
      <c r="C47" s="1401"/>
      <c r="D47" s="169">
        <f>'A4-FinPerf RE'!C7</f>
        <v>0</v>
      </c>
      <c r="E47" s="165">
        <f>'A4-FinPerf RE'!D7</f>
        <v>0</v>
      </c>
      <c r="F47" s="382">
        <f>'A4-FinPerf RE'!E7</f>
        <v>0</v>
      </c>
      <c r="G47" s="169">
        <f>'A4-FinPerf RE'!F7</f>
        <v>0</v>
      </c>
      <c r="H47" s="165">
        <f>'A4-FinPerf RE'!G7</f>
        <v>0</v>
      </c>
      <c r="I47" s="165">
        <f>'A4-FinPerf RE'!H7</f>
        <v>0</v>
      </c>
      <c r="J47" s="382">
        <f>'A4-FinPerf RE'!I7</f>
        <v>0</v>
      </c>
      <c r="K47" s="169">
        <f>'A4-FinPerf RE'!J7</f>
        <v>0</v>
      </c>
      <c r="L47" s="165">
        <f>'A4-FinPerf RE'!K7</f>
        <v>0</v>
      </c>
      <c r="M47" s="382">
        <f>'A4-FinPerf RE'!L7</f>
        <v>0</v>
      </c>
    </row>
    <row r="48" spans="1:18" x14ac:dyDescent="0.25">
      <c r="A48" s="1400" t="s">
        <v>803</v>
      </c>
      <c r="B48" s="1401"/>
      <c r="C48" s="1401"/>
      <c r="D48" s="169">
        <f>'A4-FinPerf RE'!C8</f>
        <v>0</v>
      </c>
      <c r="E48" s="165">
        <f>'A4-FinPerf RE'!D8</f>
        <v>0</v>
      </c>
      <c r="F48" s="382">
        <f>'A4-FinPerf RE'!E8</f>
        <v>0</v>
      </c>
      <c r="G48" s="169">
        <f>'A4-FinPerf RE'!F8</f>
        <v>0</v>
      </c>
      <c r="H48" s="165">
        <f>'A4-FinPerf RE'!G8</f>
        <v>0</v>
      </c>
      <c r="I48" s="165">
        <f>'A4-FinPerf RE'!H8</f>
        <v>0</v>
      </c>
      <c r="J48" s="382">
        <f>'A4-FinPerf RE'!I8</f>
        <v>0</v>
      </c>
      <c r="K48" s="169">
        <f>'A4-FinPerf RE'!J8</f>
        <v>0</v>
      </c>
      <c r="L48" s="165">
        <f>'A4-FinPerf RE'!K8</f>
        <v>0</v>
      </c>
      <c r="M48" s="382">
        <f>'A4-FinPerf RE'!L8</f>
        <v>0</v>
      </c>
    </row>
    <row r="49" spans="1:13" x14ac:dyDescent="0.25">
      <c r="A49" s="1400" t="s">
        <v>804</v>
      </c>
      <c r="B49" s="1401"/>
      <c r="C49" s="1401"/>
      <c r="D49" s="169">
        <f>'A4-FinPerf RE'!C9</f>
        <v>497749</v>
      </c>
      <c r="E49" s="165">
        <f>'A4-FinPerf RE'!D9</f>
        <v>525667</v>
      </c>
      <c r="F49" s="382">
        <f>'A4-FinPerf RE'!E9</f>
        <v>528201</v>
      </c>
      <c r="G49" s="169">
        <f>'A4-FinPerf RE'!F9</f>
        <v>574287</v>
      </c>
      <c r="H49" s="165">
        <f>'A4-FinPerf RE'!G9</f>
        <v>574287</v>
      </c>
      <c r="I49" s="165">
        <f>'A4-FinPerf RE'!H9</f>
        <v>574287</v>
      </c>
      <c r="J49" s="382">
        <f>'A4-FinPerf RE'!I9</f>
        <v>-574287</v>
      </c>
      <c r="K49" s="169">
        <f>'A4-FinPerf RE'!J9</f>
        <v>596684</v>
      </c>
      <c r="L49" s="165">
        <f>'A4-FinPerf RE'!K9</f>
        <v>620552</v>
      </c>
      <c r="M49" s="382">
        <f>'A4-FinPerf RE'!L9</f>
        <v>645374</v>
      </c>
    </row>
    <row r="50" spans="1:13" x14ac:dyDescent="0.25">
      <c r="A50" s="1400" t="s">
        <v>805</v>
      </c>
      <c r="B50" s="1401"/>
      <c r="C50" s="1401"/>
      <c r="D50" s="169">
        <f>'A4-FinPerf RE'!C10</f>
        <v>0</v>
      </c>
      <c r="E50" s="165">
        <f>'A4-FinPerf RE'!D10</f>
        <v>0</v>
      </c>
      <c r="F50" s="382">
        <f>'A4-FinPerf RE'!E10</f>
        <v>0</v>
      </c>
      <c r="G50" s="169">
        <f>'A4-FinPerf RE'!F10</f>
        <v>0</v>
      </c>
      <c r="H50" s="165">
        <f>'A4-FinPerf RE'!G10</f>
        <v>0</v>
      </c>
      <c r="I50" s="165">
        <f>'A4-FinPerf RE'!H10</f>
        <v>0</v>
      </c>
      <c r="J50" s="382">
        <f>'A4-FinPerf RE'!I10</f>
        <v>0</v>
      </c>
      <c r="K50" s="169">
        <f>'A4-FinPerf RE'!J10</f>
        <v>0</v>
      </c>
      <c r="L50" s="165">
        <f>'A4-FinPerf RE'!K10</f>
        <v>0</v>
      </c>
      <c r="M50" s="382">
        <f>'A4-FinPerf RE'!L10</f>
        <v>0</v>
      </c>
    </row>
    <row r="51" spans="1:13" x14ac:dyDescent="0.25">
      <c r="A51" s="1400" t="str">
        <f>'A4-FinPerf RE'!A11</f>
        <v>Rental of facilities and equipment</v>
      </c>
      <c r="B51" s="1401"/>
      <c r="C51" s="1401"/>
      <c r="D51" s="169">
        <f>'A4-FinPerf RE'!C11</f>
        <v>572199</v>
      </c>
      <c r="E51" s="165">
        <f>'A4-FinPerf RE'!D11</f>
        <v>131609</v>
      </c>
      <c r="F51" s="382">
        <f>'A4-FinPerf RE'!E11</f>
        <v>248300</v>
      </c>
      <c r="G51" s="169">
        <f>'A4-FinPerf RE'!F11</f>
        <v>345181</v>
      </c>
      <c r="H51" s="165">
        <f>'A4-FinPerf RE'!G11</f>
        <v>345181</v>
      </c>
      <c r="I51" s="165">
        <f>'A4-FinPerf RE'!H11</f>
        <v>345181</v>
      </c>
      <c r="J51" s="382">
        <f>'A4-FinPerf RE'!I11</f>
        <v>0</v>
      </c>
      <c r="K51" s="169">
        <f>'A4-FinPerf RE'!J11</f>
        <v>358643</v>
      </c>
      <c r="L51" s="165">
        <f>'A4-FinPerf RE'!K11</f>
        <v>372989</v>
      </c>
      <c r="M51" s="382">
        <f>'A4-FinPerf RE'!L11</f>
        <v>387908</v>
      </c>
    </row>
    <row r="52" spans="1:13" x14ac:dyDescent="0.25">
      <c r="A52" s="1400" t="s">
        <v>843</v>
      </c>
      <c r="B52" s="1401"/>
      <c r="C52" s="1401"/>
      <c r="D52" s="169">
        <f>'A5-Capex'!C40-'A5-Capex'!C70</f>
        <v>69606055</v>
      </c>
      <c r="E52" s="165">
        <f>'A5-Capex'!D40-'A5-Capex'!D70</f>
        <v>82105714</v>
      </c>
      <c r="F52" s="382">
        <f>'A5-Capex'!E40-'A5-Capex'!E70</f>
        <v>92392856</v>
      </c>
      <c r="G52" s="169">
        <f>'A5-Capex'!F40-'A5-Capex'!F70</f>
        <v>9700000</v>
      </c>
      <c r="H52" s="165">
        <f>'A5-Capex'!G40-'A5-Capex'!G70</f>
        <v>17962486</v>
      </c>
      <c r="I52" s="165">
        <f>'A5-Capex'!H40-'A5-Capex'!H70</f>
        <v>17962486</v>
      </c>
      <c r="J52" s="382">
        <f>'A5-Capex'!I40-'A5-Capex'!I70</f>
        <v>106177361</v>
      </c>
      <c r="K52" s="169">
        <f>'A5-Capex'!J40-'A5-Capex'!J70</f>
        <v>6866000</v>
      </c>
      <c r="L52" s="165">
        <f>'A5-Capex'!K40-'A5-Capex'!K70</f>
        <v>-14024608</v>
      </c>
      <c r="M52" s="382">
        <f>'A5-Capex'!L40-'A5-Capex'!L70</f>
        <v>-14407352</v>
      </c>
    </row>
    <row r="53" spans="1:13" x14ac:dyDescent="0.25">
      <c r="A53" s="1400" t="s">
        <v>842</v>
      </c>
      <c r="B53" s="1401" t="s">
        <v>372</v>
      </c>
      <c r="C53" s="1401"/>
      <c r="D53" s="181">
        <f>'A7-CFlow'!C6+'A7-CFlow'!C7+'A7-CFlow'!C8</f>
        <v>0</v>
      </c>
      <c r="E53" s="177">
        <f>'A7-CFlow'!D6+'A7-CFlow'!D7+'A7-CFlow'!D8</f>
        <v>0</v>
      </c>
      <c r="F53" s="388">
        <f>'A7-CFlow'!E6+'A7-CFlow'!E7+'A7-CFlow'!E8</f>
        <v>0</v>
      </c>
      <c r="G53" s="181">
        <f>'A7-CFlow'!F6+'A7-CFlow'!F7+'A7-CFlow'!F8</f>
        <v>26063386</v>
      </c>
      <c r="H53" s="177">
        <f>'A7-CFlow'!G6+'A7-CFlow'!G7+'A7-CFlow'!G8</f>
        <v>26063661</v>
      </c>
      <c r="I53" s="177">
        <f>'A7-CFlow'!H6+'A7-CFlow'!H7+'A7-CFlow'!H8</f>
        <v>26063661</v>
      </c>
      <c r="J53" s="388">
        <f>'A7-CFlow'!I6+'A7-CFlow'!I7+'A7-CFlow'!I8</f>
        <v>0</v>
      </c>
      <c r="K53" s="181">
        <f>'A7-CFlow'!J6+'A7-CFlow'!J7+'A7-CFlow'!J8</f>
        <v>26956507</v>
      </c>
      <c r="L53" s="177">
        <f>'A7-CFlow'!K6+'A7-CFlow'!K7+'A7-CFlow'!K8</f>
        <v>27751993</v>
      </c>
      <c r="M53" s="382">
        <f>'A7-CFlow'!L6+'A7-CFlow'!L7+'A7-CFlow'!L8</f>
        <v>29282727</v>
      </c>
    </row>
    <row r="54" spans="1:13" x14ac:dyDescent="0.25">
      <c r="A54" s="1406" t="s">
        <v>1553</v>
      </c>
      <c r="B54" s="1401" t="s">
        <v>372</v>
      </c>
      <c r="C54" s="1401"/>
      <c r="D54" s="181">
        <f>SUM('A4-FinPerf RE'!C5:C11)+'A4-FinPerf RE'!C13+SUM('A4-FinPerf RE'!C15:C17)+'A4-FinPerf RE'!C19</f>
        <v>27910404</v>
      </c>
      <c r="E54" s="177">
        <f>SUM('A4-FinPerf RE'!D5:D11)+'A4-FinPerf RE'!D13+SUM('A4-FinPerf RE'!D15:D17)+'A4-FinPerf RE'!D19</f>
        <v>29019265</v>
      </c>
      <c r="F54" s="388">
        <f>SUM('A4-FinPerf RE'!E5:E11)+'A4-FinPerf RE'!E13+SUM('A4-FinPerf RE'!E15:E17)+'A4-FinPerf RE'!E19</f>
        <v>28848871</v>
      </c>
      <c r="G54" s="181">
        <f>SUM('A4-FinPerf RE'!F5:F11)+'A4-FinPerf RE'!F13+SUM('A4-FinPerf RE'!F15:F17)+'A4-FinPerf RE'!F19</f>
        <v>30913955</v>
      </c>
      <c r="H54" s="177">
        <f>SUM('A4-FinPerf RE'!G5:G11)+'A4-FinPerf RE'!G13+SUM('A4-FinPerf RE'!G15:G17)+'A4-FinPerf RE'!G19</f>
        <v>30558045</v>
      </c>
      <c r="I54" s="177">
        <f>SUM('A4-FinPerf RE'!H5:H11)+'A4-FinPerf RE'!H13+SUM('A4-FinPerf RE'!H15:H17)+'A4-FinPerf RE'!H19</f>
        <v>30558045</v>
      </c>
      <c r="J54" s="388">
        <f>SUM('A4-FinPerf RE'!I5:I11)+'A4-FinPerf RE'!I13+SUM('A4-FinPerf RE'!I15:I17)+'A4-FinPerf RE'!I19</f>
        <v>-15711649</v>
      </c>
      <c r="K54" s="181">
        <f>SUM('A4-FinPerf RE'!J5:J11)+'A4-FinPerf RE'!J13+SUM('A4-FinPerf RE'!J15:J17)+'A4-FinPerf RE'!J19</f>
        <v>30128972</v>
      </c>
      <c r="L54" s="177">
        <f>SUM('A4-FinPerf RE'!K5:K11)+'A4-FinPerf RE'!K13+SUM('A4-FinPerf RE'!K15:K17)+'A4-FinPerf RE'!K19</f>
        <v>33019804</v>
      </c>
      <c r="M54" s="388">
        <f>SUM('A4-FinPerf RE'!L5:L11)+'A4-FinPerf RE'!L13+SUM('A4-FinPerf RE'!L15:L17)+'A4-FinPerf RE'!L19</f>
        <v>34340595</v>
      </c>
    </row>
    <row r="55" spans="1:13" x14ac:dyDescent="0.25">
      <c r="A55" s="1406" t="s">
        <v>571</v>
      </c>
      <c r="B55" s="1401"/>
      <c r="C55" s="1401"/>
      <c r="D55" s="181">
        <f>D84</f>
        <v>3750421.333333334</v>
      </c>
      <c r="E55" s="177">
        <f>(SUM('A6-FinPos'!D8:D10)+'A6-FinPos'!D15)-(SUM('A6-FinPos'!C8:C10)+'A6-FinPos'!C15)</f>
        <v>5602669</v>
      </c>
      <c r="F55" s="388">
        <f>(SUM('A6-FinPos'!E8:E10)+'A6-FinPos'!E15)-(SUM('A6-FinPos'!D8:D10)+'A6-FinPos'!D15)</f>
        <v>667175</v>
      </c>
      <c r="G55" s="181">
        <f>(SUM('A6-FinPos'!F8:F10)+'A6-FinPos'!F15)-(SUM('A6-FinPos'!E8:E10)+'A6-FinPos'!E15)</f>
        <v>-25339630</v>
      </c>
      <c r="H55" s="177">
        <f>(SUM('A6-FinPos'!G8:G10)+'A6-FinPos'!G15)-(SUM('A6-FinPos'!E8:E10)+'A6-FinPos'!E15)</f>
        <v>-3613018</v>
      </c>
      <c r="I55" s="177">
        <f>(SUM('A6-FinPos'!H8:H10)+'A6-FinPos'!H15)-(SUM('A6-FinPos'!E8:E10)+'A6-FinPos'!E15)</f>
        <v>-3613018</v>
      </c>
      <c r="J55" s="388">
        <f>(SUM('A6-FinPos'!I8:I10)+'A6-FinPos'!I15)-(SUM('A6-FinPos'!E8:E10)+'A6-FinPos'!E15)</f>
        <v>6845167</v>
      </c>
      <c r="K55" s="181">
        <f>(SUM('A6-FinPos'!J8:J10)+'A6-FinPos'!J15)-(SUM('A6-FinPos'!F8:F10)+'A6-FinPos'!F15)</f>
        <v>27288566</v>
      </c>
      <c r="L55" s="177">
        <f>(SUM('A6-FinPos'!K8:K10)+'A6-FinPos'!K15)-(SUM('A6-FinPos'!J8:J10)+'A6-FinPos'!J15)</f>
        <v>-5603</v>
      </c>
      <c r="M55" s="388">
        <f>(SUM('A6-FinPos'!L8:L10)+'A6-FinPos'!L15)-(SUM('A6-FinPos'!K8:K10)+'A6-FinPos'!K15)</f>
        <v>1565407</v>
      </c>
    </row>
    <row r="56" spans="1:13" x14ac:dyDescent="0.25">
      <c r="A56" s="1406" t="s">
        <v>1058</v>
      </c>
      <c r="B56" s="1401" t="s">
        <v>372</v>
      </c>
      <c r="C56" s="1401"/>
      <c r="D56" s="181">
        <f>'A4-FinPerf RE'!C18+'A4-FinPerf RE'!C38</f>
        <v>73337407</v>
      </c>
      <c r="E56" s="177">
        <f>'A4-FinPerf RE'!D18+'A4-FinPerf RE'!D38</f>
        <v>79993754</v>
      </c>
      <c r="F56" s="388">
        <f>'A4-FinPerf RE'!E18+'A4-FinPerf RE'!E38</f>
        <v>85168060</v>
      </c>
      <c r="G56" s="181">
        <f>'A4-FinPerf RE'!F18+'A4-FinPerf RE'!F38</f>
        <v>89458500</v>
      </c>
      <c r="H56" s="177">
        <f>'A4-FinPerf RE'!G18+'A4-FinPerf RE'!G38</f>
        <v>111295000</v>
      </c>
      <c r="I56" s="177">
        <f>'A4-FinPerf RE'!H18+'A4-FinPerf RE'!H38</f>
        <v>111295000</v>
      </c>
      <c r="J56" s="388">
        <f>'A4-FinPerf RE'!I18+'A4-FinPerf RE'!I38</f>
        <v>102797567</v>
      </c>
      <c r="K56" s="181">
        <f>'A4-FinPerf RE'!J18+'A4-FinPerf RE'!J38</f>
        <v>101314000</v>
      </c>
      <c r="L56" s="177">
        <f>'A4-FinPerf RE'!K18+'A4-FinPerf RE'!K38</f>
        <v>105423680</v>
      </c>
      <c r="M56" s="388">
        <f>'A4-FinPerf RE'!L18+'A4-FinPerf RE'!L38</f>
        <v>107086267</v>
      </c>
    </row>
    <row r="57" spans="1:13" x14ac:dyDescent="0.25">
      <c r="A57" s="1406" t="s">
        <v>1060</v>
      </c>
      <c r="B57" s="1407" t="str">
        <f>B17</f>
        <v>20(1)(vi)</v>
      </c>
      <c r="C57" s="1401"/>
      <c r="D57" s="181">
        <f>'A5-Capex'!C40</f>
        <v>166194243</v>
      </c>
      <c r="E57" s="177">
        <f>'A5-Capex'!D40</f>
        <v>194273798</v>
      </c>
      <c r="F57" s="388">
        <f>'A5-Capex'!E40</f>
        <v>213642164</v>
      </c>
      <c r="G57" s="181">
        <f>'A5-Capex'!F40</f>
        <v>25696767</v>
      </c>
      <c r="H57" s="177">
        <f>'A5-Capex'!G40</f>
        <v>43762488</v>
      </c>
      <c r="I57" s="177">
        <f>'A5-Capex'!H40</f>
        <v>43762488</v>
      </c>
      <c r="J57" s="388">
        <f>'A5-Capex'!I40</f>
        <v>241516725</v>
      </c>
      <c r="K57" s="181">
        <f>'A5-Capex'!J40</f>
        <v>31621000</v>
      </c>
      <c r="L57" s="177">
        <f>'A5-Capex'!K40</f>
        <v>3756392</v>
      </c>
      <c r="M57" s="388">
        <f>'A5-Capex'!L40</f>
        <v>3986648</v>
      </c>
    </row>
    <row r="58" spans="1:13" x14ac:dyDescent="0.25">
      <c r="A58" s="1406" t="s">
        <v>1061</v>
      </c>
      <c r="B58" s="1407" t="str">
        <f>B18</f>
        <v>20(1)(vi)</v>
      </c>
      <c r="C58" s="1401"/>
      <c r="D58" s="181">
        <f>'A9-Asset'!C37</f>
        <v>124</v>
      </c>
      <c r="E58" s="177">
        <f>'A9-Asset'!D37</f>
        <v>1</v>
      </c>
      <c r="F58" s="388">
        <f>'A9-Asset'!E37</f>
        <v>1</v>
      </c>
      <c r="G58" s="181">
        <f>'A9-Asset'!F37</f>
        <v>0</v>
      </c>
      <c r="H58" s="177">
        <f>'A9-Asset'!G37</f>
        <v>550000</v>
      </c>
      <c r="I58" s="177">
        <f>'A9-Asset'!H37</f>
        <v>550000</v>
      </c>
      <c r="J58" s="177"/>
      <c r="K58" s="181">
        <f>'A9-Asset'!I37</f>
        <v>0</v>
      </c>
      <c r="L58" s="177">
        <f>'A9-Asset'!J37</f>
        <v>0</v>
      </c>
      <c r="M58" s="388">
        <f>'A9-Asset'!K37</f>
        <v>0</v>
      </c>
    </row>
    <row r="59" spans="1:13" ht="6" customHeight="1" x14ac:dyDescent="0.25">
      <c r="A59" s="1406"/>
      <c r="B59" s="1401"/>
      <c r="C59" s="1401"/>
      <c r="D59" s="1408"/>
      <c r="E59" s="711"/>
      <c r="F59" s="1409"/>
      <c r="G59" s="915"/>
      <c r="H59" s="914"/>
      <c r="I59" s="914"/>
      <c r="J59" s="1409"/>
      <c r="K59" s="915"/>
      <c r="L59" s="914"/>
      <c r="M59" s="1409"/>
    </row>
    <row r="60" spans="1:13" x14ac:dyDescent="0.25">
      <c r="A60" s="1410" t="s">
        <v>9</v>
      </c>
      <c r="B60" s="1401"/>
      <c r="C60" s="1401"/>
      <c r="D60" s="1408"/>
      <c r="E60" s="711"/>
      <c r="F60" s="1409"/>
      <c r="G60" s="915"/>
      <c r="H60" s="914"/>
      <c r="I60" s="914"/>
      <c r="J60" s="1409"/>
      <c r="K60" s="915"/>
      <c r="L60" s="914"/>
      <c r="M60" s="1409"/>
    </row>
    <row r="61" spans="1:13" x14ac:dyDescent="0.25">
      <c r="A61" s="1406" t="s">
        <v>398</v>
      </c>
      <c r="B61" s="1401"/>
      <c r="C61" s="1401"/>
      <c r="D61" s="1404">
        <v>0.06</v>
      </c>
      <c r="E61" s="1403">
        <v>0.06</v>
      </c>
      <c r="F61" s="1405">
        <v>0.06</v>
      </c>
      <c r="G61" s="1404">
        <v>0.06</v>
      </c>
      <c r="H61" s="1403">
        <v>0.06</v>
      </c>
      <c r="I61" s="1403">
        <v>0.06</v>
      </c>
      <c r="J61" s="1405">
        <v>0.06</v>
      </c>
      <c r="K61" s="1404">
        <v>0.06</v>
      </c>
      <c r="L61" s="1403">
        <v>0.06</v>
      </c>
      <c r="M61" s="1405">
        <v>0.06</v>
      </c>
    </row>
    <row r="62" spans="1:13" x14ac:dyDescent="0.25">
      <c r="A62" s="1406" t="s">
        <v>1811</v>
      </c>
      <c r="B62" s="1401"/>
      <c r="C62" s="1401"/>
      <c r="D62" s="1404">
        <v>4.2999999999999997E-2</v>
      </c>
      <c r="E62" s="1403">
        <v>3.9E-2</v>
      </c>
      <c r="F62" s="1405">
        <v>4.5999999999999999E-2</v>
      </c>
      <c r="G62" s="1404">
        <v>0.05</v>
      </c>
      <c r="H62" s="1403">
        <v>0.05</v>
      </c>
      <c r="I62" s="1403">
        <v>0.05</v>
      </c>
      <c r="J62" s="1405">
        <v>0.05</v>
      </c>
      <c r="K62" s="1404">
        <v>5.3999999999999999E-2</v>
      </c>
      <c r="L62" s="1403">
        <v>5.6000000000000001E-2</v>
      </c>
      <c r="M62" s="1405">
        <v>5.3999999999999999E-2</v>
      </c>
    </row>
    <row r="63" spans="1:13" x14ac:dyDescent="0.25">
      <c r="A63" s="1406" t="s">
        <v>1309</v>
      </c>
      <c r="B63" s="1401"/>
      <c r="C63" s="1401"/>
      <c r="D63" s="1411"/>
      <c r="E63" s="1412"/>
      <c r="F63" s="1413"/>
      <c r="G63" s="1414"/>
      <c r="H63" s="1415"/>
      <c r="I63" s="1415"/>
      <c r="J63" s="1413"/>
      <c r="K63" s="725"/>
      <c r="L63" s="712"/>
      <c r="M63" s="713"/>
    </row>
    <row r="64" spans="1:13" x14ac:dyDescent="0.25">
      <c r="A64" s="1406" t="s">
        <v>1310</v>
      </c>
      <c r="B64" s="1401"/>
      <c r="C64" s="1401"/>
      <c r="D64" s="1411"/>
      <c r="E64" s="1412"/>
      <c r="F64" s="1413"/>
      <c r="G64" s="1414"/>
      <c r="H64" s="1415"/>
      <c r="I64" s="1415"/>
      <c r="J64" s="1413"/>
      <c r="K64" s="725"/>
      <c r="L64" s="712"/>
      <c r="M64" s="713"/>
    </row>
    <row r="65" spans="1:13" x14ac:dyDescent="0.25">
      <c r="A65" s="1406" t="s">
        <v>1311</v>
      </c>
      <c r="B65" s="1401"/>
      <c r="C65" s="1401"/>
      <c r="D65" s="1411"/>
      <c r="E65" s="1412"/>
      <c r="F65" s="1413"/>
      <c r="G65" s="1414"/>
      <c r="H65" s="1415"/>
      <c r="I65" s="1415"/>
      <c r="J65" s="1413"/>
      <c r="K65" s="725"/>
      <c r="L65" s="712"/>
      <c r="M65" s="713"/>
    </row>
    <row r="66" spans="1:13" x14ac:dyDescent="0.25">
      <c r="A66" s="1406" t="s">
        <v>1312</v>
      </c>
      <c r="B66" s="1401"/>
      <c r="C66" s="1401"/>
      <c r="D66" s="1411"/>
      <c r="E66" s="1412"/>
      <c r="F66" s="1413"/>
      <c r="G66" s="1414"/>
      <c r="H66" s="1415"/>
      <c r="I66" s="1415"/>
      <c r="J66" s="1413"/>
      <c r="K66" s="725"/>
      <c r="L66" s="712"/>
      <c r="M66" s="713"/>
    </row>
    <row r="67" spans="1:13" x14ac:dyDescent="0.25">
      <c r="A67" s="1406" t="s">
        <v>1057</v>
      </c>
      <c r="B67" s="1401"/>
      <c r="C67" s="1401"/>
      <c r="D67" s="1411"/>
      <c r="E67" s="1412"/>
      <c r="F67" s="1413"/>
      <c r="G67" s="1414"/>
      <c r="H67" s="1415"/>
      <c r="I67" s="1415"/>
      <c r="J67" s="1413"/>
      <c r="K67" s="725"/>
      <c r="L67" s="712"/>
      <c r="M67" s="713"/>
    </row>
    <row r="68" spans="1:13" x14ac:dyDescent="0.25">
      <c r="A68" s="1406" t="s">
        <v>1056</v>
      </c>
      <c r="B68" s="1401"/>
      <c r="C68" s="1401"/>
      <c r="D68" s="1414"/>
      <c r="E68" s="1415"/>
      <c r="F68" s="1413"/>
      <c r="G68" s="1414"/>
      <c r="H68" s="1415"/>
      <c r="I68" s="1415"/>
      <c r="J68" s="1413"/>
      <c r="K68" s="75">
        <f>SUM(K63:K67)</f>
        <v>0</v>
      </c>
      <c r="L68" s="71">
        <f>SUM(L63:L67)</f>
        <v>0</v>
      </c>
      <c r="M68" s="117">
        <f>SUM(M63:M67)</f>
        <v>0</v>
      </c>
    </row>
    <row r="69" spans="1:13" x14ac:dyDescent="0.25">
      <c r="A69" s="1406" t="s">
        <v>10</v>
      </c>
      <c r="B69" s="1401"/>
      <c r="C69" s="1401"/>
      <c r="D69" s="1402"/>
      <c r="E69" s="1416"/>
      <c r="F69" s="1405"/>
      <c r="G69" s="1404"/>
      <c r="H69" s="1403"/>
      <c r="I69" s="1403"/>
      <c r="J69" s="1405"/>
      <c r="K69" s="1404"/>
      <c r="L69" s="1403"/>
      <c r="M69" s="1405"/>
    </row>
    <row r="70" spans="1:13" ht="13.5" thickBot="1" x14ac:dyDescent="0.3">
      <c r="A70" s="1417"/>
      <c r="B70" s="1418"/>
      <c r="C70" s="1418"/>
      <c r="D70" s="1419"/>
      <c r="E70" s="1420"/>
      <c r="F70" s="1421"/>
      <c r="G70" s="1422"/>
      <c r="H70" s="1423"/>
      <c r="I70" s="1423"/>
      <c r="J70" s="1421"/>
      <c r="K70" s="1422"/>
      <c r="L70" s="1423"/>
      <c r="M70" s="1421"/>
    </row>
    <row r="71" spans="1:13" x14ac:dyDescent="0.25">
      <c r="A71" s="1424" t="s">
        <v>1091</v>
      </c>
      <c r="J71" s="1425"/>
      <c r="K71" s="1426"/>
      <c r="L71" s="1427"/>
      <c r="M71" s="1428"/>
    </row>
    <row r="72" spans="1:13" x14ac:dyDescent="0.25">
      <c r="A72" s="1429" t="s">
        <v>6373</v>
      </c>
      <c r="D72" s="1430"/>
      <c r="E72" s="1430"/>
      <c r="F72" s="1431"/>
      <c r="G72" s="1431"/>
      <c r="H72" s="1431"/>
      <c r="I72" s="1431"/>
      <c r="J72" s="1432"/>
      <c r="K72" s="725">
        <v>70470000</v>
      </c>
      <c r="L72" s="712">
        <v>82843000</v>
      </c>
      <c r="M72" s="713">
        <v>81817000</v>
      </c>
    </row>
    <row r="73" spans="1:13" x14ac:dyDescent="0.25">
      <c r="A73" s="852" t="s">
        <v>6370</v>
      </c>
      <c r="D73" s="1430"/>
      <c r="E73" s="1430"/>
      <c r="F73" s="1431"/>
      <c r="G73" s="1431"/>
      <c r="H73" s="1431"/>
      <c r="I73" s="1431"/>
      <c r="J73" s="1432"/>
      <c r="K73" s="725">
        <v>2850000</v>
      </c>
      <c r="L73" s="712">
        <v>3000000</v>
      </c>
      <c r="M73" s="713">
        <v>3000000</v>
      </c>
    </row>
    <row r="74" spans="1:13" x14ac:dyDescent="0.25">
      <c r="A74" s="852" t="s">
        <v>6371</v>
      </c>
      <c r="D74" s="1430"/>
      <c r="E74" s="1430"/>
      <c r="F74" s="1431"/>
      <c r="G74" s="1431"/>
      <c r="H74" s="1431"/>
      <c r="I74" s="1431"/>
      <c r="J74" s="1432"/>
      <c r="K74" s="725">
        <v>1329000</v>
      </c>
      <c r="L74" s="712">
        <v>1382160</v>
      </c>
      <c r="M74" s="713">
        <v>1437446</v>
      </c>
    </row>
    <row r="75" spans="1:13" x14ac:dyDescent="0.25">
      <c r="A75" s="852" t="s">
        <v>6372</v>
      </c>
      <c r="D75" s="1430"/>
      <c r="E75" s="1430"/>
      <c r="F75" s="1431"/>
      <c r="G75" s="1431"/>
      <c r="H75" s="1431"/>
      <c r="I75" s="1431"/>
      <c r="J75" s="1432"/>
      <c r="K75" s="725">
        <v>1910000</v>
      </c>
      <c r="L75" s="712">
        <v>2004000</v>
      </c>
      <c r="M75" s="713">
        <v>2004000</v>
      </c>
    </row>
    <row r="76" spans="1:13" ht="13.5" thickBot="1" x14ac:dyDescent="0.3">
      <c r="D76" s="1430"/>
      <c r="E76" s="1430"/>
      <c r="F76" s="1431"/>
      <c r="G76" s="1431"/>
      <c r="H76" s="1431"/>
      <c r="I76" s="1431"/>
      <c r="J76" s="1432"/>
      <c r="K76" s="1433">
        <f>SUM(K72:K75)</f>
        <v>76559000</v>
      </c>
      <c r="L76" s="1434">
        <f>SUM(L72:L75)</f>
        <v>89229160</v>
      </c>
      <c r="M76" s="1435">
        <f>SUM(M72:M75)</f>
        <v>88258446</v>
      </c>
    </row>
    <row r="77" spans="1:13" ht="13.5" thickTop="1" x14ac:dyDescent="0.25">
      <c r="A77" s="1424" t="s">
        <v>236</v>
      </c>
      <c r="J77" s="1425"/>
      <c r="K77" s="181"/>
      <c r="L77" s="177"/>
      <c r="M77" s="388"/>
    </row>
    <row r="78" spans="1:13" x14ac:dyDescent="0.25">
      <c r="A78" s="1429" t="s">
        <v>1395</v>
      </c>
      <c r="D78" s="1430"/>
      <c r="E78" s="1430"/>
      <c r="F78" s="1431"/>
      <c r="G78" s="1431"/>
      <c r="H78" s="1431"/>
      <c r="I78" s="1431"/>
      <c r="J78" s="1432"/>
      <c r="K78" s="725"/>
      <c r="L78" s="712"/>
      <c r="M78" s="713"/>
    </row>
    <row r="79" spans="1:13" x14ac:dyDescent="0.25">
      <c r="A79" s="852" t="s">
        <v>6369</v>
      </c>
      <c r="D79" s="1430"/>
      <c r="E79" s="1430"/>
      <c r="F79" s="1431"/>
      <c r="G79" s="1431"/>
      <c r="H79" s="1431"/>
      <c r="I79" s="1431"/>
      <c r="J79" s="1432"/>
      <c r="K79" s="725">
        <v>24755000</v>
      </c>
      <c r="L79" s="712">
        <v>17781000</v>
      </c>
      <c r="M79" s="713">
        <v>18394000</v>
      </c>
    </row>
    <row r="80" spans="1:13" x14ac:dyDescent="0.25">
      <c r="A80" s="852" t="s">
        <v>6374</v>
      </c>
      <c r="D80" s="1430"/>
      <c r="E80" s="1430"/>
      <c r="F80" s="1431"/>
      <c r="G80" s="1431"/>
      <c r="H80" s="1431"/>
      <c r="I80" s="1431"/>
      <c r="J80" s="1432"/>
      <c r="K80" s="725">
        <v>18110000</v>
      </c>
      <c r="L80" s="712">
        <v>8000000</v>
      </c>
      <c r="M80" s="713">
        <v>8000000</v>
      </c>
    </row>
    <row r="81" spans="1:14" x14ac:dyDescent="0.25">
      <c r="A81" s="852"/>
      <c r="D81" s="1430"/>
      <c r="E81" s="1430"/>
      <c r="F81" s="1431"/>
      <c r="G81" s="1431"/>
      <c r="H81" s="1431"/>
      <c r="I81" s="1431"/>
      <c r="J81" s="1432"/>
      <c r="K81" s="725"/>
      <c r="L81" s="712"/>
      <c r="M81" s="713"/>
    </row>
    <row r="82" spans="1:14" ht="13.5" thickBot="1" x14ac:dyDescent="0.3">
      <c r="A82" s="1328"/>
      <c r="B82" s="1436"/>
      <c r="C82" s="1436"/>
      <c r="D82" s="1437"/>
      <c r="E82" s="1437"/>
      <c r="F82" s="1438"/>
      <c r="G82" s="1438"/>
      <c r="H82" s="1438"/>
      <c r="I82" s="1438"/>
      <c r="J82" s="1439"/>
      <c r="K82" s="1433">
        <f>SUM(K78:K81)</f>
        <v>42865000</v>
      </c>
      <c r="L82" s="1434">
        <f>SUM(L78:L81)</f>
        <v>25781000</v>
      </c>
      <c r="M82" s="1435">
        <f>SUM(M78:M81)</f>
        <v>26394000</v>
      </c>
    </row>
    <row r="83" spans="1:14" ht="13.5" thickTop="1" x14ac:dyDescent="0.25">
      <c r="A83" s="1424" t="s">
        <v>574</v>
      </c>
      <c r="M83" s="1440"/>
    </row>
    <row r="84" spans="1:14" x14ac:dyDescent="0.25">
      <c r="A84" s="58" t="str">
        <f>A55</f>
        <v>Change in consumer debtors (current and non-current)</v>
      </c>
      <c r="D84" s="1441">
        <f>TREND(E84:G84)</f>
        <v>3750421.333333334</v>
      </c>
      <c r="E84" s="1441">
        <f>E55</f>
        <v>5602669</v>
      </c>
      <c r="F84" s="1441">
        <f>F55</f>
        <v>667175</v>
      </c>
      <c r="G84" s="982">
        <f>J55</f>
        <v>6845167</v>
      </c>
      <c r="H84" s="982">
        <f t="shared" ref="H84:M84" si="8">K55</f>
        <v>27288566</v>
      </c>
      <c r="I84" s="982">
        <f t="shared" si="8"/>
        <v>-5603</v>
      </c>
      <c r="J84" s="982">
        <f t="shared" si="8"/>
        <v>1565407</v>
      </c>
      <c r="K84" s="982">
        <f t="shared" si="8"/>
        <v>0</v>
      </c>
      <c r="L84" s="982">
        <f t="shared" si="8"/>
        <v>0</v>
      </c>
      <c r="M84" s="178">
        <f t="shared" si="8"/>
        <v>0</v>
      </c>
    </row>
    <row r="85" spans="1:14" ht="12" customHeight="1" x14ac:dyDescent="0.25">
      <c r="M85" s="1329"/>
    </row>
    <row r="86" spans="1:14" x14ac:dyDescent="0.25">
      <c r="A86" s="1442" t="s">
        <v>1610</v>
      </c>
      <c r="B86" s="1443"/>
      <c r="C86" s="1444"/>
      <c r="D86" s="1445">
        <f>'A1-Sum'!B10</f>
        <v>87006387</v>
      </c>
      <c r="E86" s="1446">
        <f>'A1-Sum'!C10</f>
        <v>94167298</v>
      </c>
      <c r="F86" s="1447">
        <f>'A1-Sum'!D10</f>
        <v>102226902</v>
      </c>
      <c r="G86" s="1445">
        <f>'A1-Sum'!E10</f>
        <v>108226455</v>
      </c>
      <c r="H86" s="1446">
        <f>'A1-Sum'!F10</f>
        <v>119903045</v>
      </c>
      <c r="I86" s="1446">
        <f>'A1-Sum'!G10</f>
        <v>119903045</v>
      </c>
      <c r="J86" s="1447">
        <f>'A1-Sum'!H10</f>
        <v>70709058</v>
      </c>
      <c r="K86" s="1445">
        <f>'A1-Sum'!I10</f>
        <v>110688122</v>
      </c>
      <c r="L86" s="1446">
        <f>'A1-Sum'!J10</f>
        <v>124822640</v>
      </c>
      <c r="M86" s="1448">
        <f>'A1-Sum'!K10</f>
        <v>127359424</v>
      </c>
      <c r="N86" s="220"/>
    </row>
    <row r="87" spans="1:14" x14ac:dyDescent="0.25">
      <c r="A87" s="1449" t="s">
        <v>1611</v>
      </c>
      <c r="B87" s="1450"/>
      <c r="C87" s="1401"/>
      <c r="D87" s="1451">
        <f>'A1-Sum'!B18</f>
        <v>79616286</v>
      </c>
      <c r="E87" s="1452">
        <f>'A1-Sum'!C18</f>
        <v>81056933</v>
      </c>
      <c r="F87" s="1453">
        <f>'A1-Sum'!D18</f>
        <v>93821279</v>
      </c>
      <c r="G87" s="1451">
        <f>'A1-Sum'!E18</f>
        <v>121536902</v>
      </c>
      <c r="H87" s="1452">
        <f>'A1-Sum'!F18</f>
        <v>142539969</v>
      </c>
      <c r="I87" s="1452">
        <f>'A1-Sum'!G18</f>
        <v>142539969</v>
      </c>
      <c r="J87" s="1453">
        <f>'A1-Sum'!H18</f>
        <v>107271161</v>
      </c>
      <c r="K87" s="1451">
        <f>'A1-Sum'!I18</f>
        <v>142902464</v>
      </c>
      <c r="L87" s="1452">
        <f>'A1-Sum'!J18</f>
        <v>135688050</v>
      </c>
      <c r="M87" s="1454">
        <f>'A1-Sum'!K18</f>
        <v>146622609</v>
      </c>
      <c r="N87" s="220"/>
    </row>
    <row r="88" spans="1:14" x14ac:dyDescent="0.25">
      <c r="A88" s="1449" t="s">
        <v>1612</v>
      </c>
      <c r="B88" s="1450"/>
      <c r="C88" s="1401"/>
      <c r="D88" s="1451">
        <f>D86-D87</f>
        <v>7390101</v>
      </c>
      <c r="E88" s="1452">
        <f t="shared" ref="E88:M88" si="9">E86-E87</f>
        <v>13110365</v>
      </c>
      <c r="F88" s="1453">
        <f t="shared" si="9"/>
        <v>8405623</v>
      </c>
      <c r="G88" s="1451">
        <f t="shared" si="9"/>
        <v>-13310447</v>
      </c>
      <c r="H88" s="1452">
        <f t="shared" si="9"/>
        <v>-22636924</v>
      </c>
      <c r="I88" s="1452">
        <f t="shared" si="9"/>
        <v>-22636924</v>
      </c>
      <c r="J88" s="1453">
        <f t="shared" si="9"/>
        <v>-36562103</v>
      </c>
      <c r="K88" s="1451">
        <f>K86-K87</f>
        <v>-32214342</v>
      </c>
      <c r="L88" s="1452">
        <f t="shared" si="9"/>
        <v>-10865410</v>
      </c>
      <c r="M88" s="1454">
        <f t="shared" si="9"/>
        <v>-19263185</v>
      </c>
      <c r="N88" s="220"/>
    </row>
    <row r="89" spans="1:14" x14ac:dyDescent="0.25">
      <c r="A89" s="1449" t="s">
        <v>1691</v>
      </c>
      <c r="B89" s="1450"/>
      <c r="C89" s="1401"/>
      <c r="D89" s="1455"/>
      <c r="E89" s="1456"/>
      <c r="F89" s="1457"/>
      <c r="G89" s="203"/>
      <c r="H89" s="199"/>
      <c r="I89" s="199"/>
      <c r="J89" s="1457"/>
      <c r="K89" s="1455">
        <f>'A7-CFlow'!J40</f>
        <v>30811927</v>
      </c>
      <c r="L89" s="199"/>
      <c r="M89" s="956"/>
      <c r="N89" s="220"/>
    </row>
    <row r="90" spans="1:14" x14ac:dyDescent="0.25">
      <c r="A90" s="204" t="s">
        <v>1613</v>
      </c>
      <c r="B90" s="1458"/>
      <c r="C90" s="1459"/>
      <c r="D90" s="705"/>
      <c r="E90" s="705"/>
      <c r="F90" s="1362"/>
      <c r="G90" s="950"/>
      <c r="H90" s="947"/>
      <c r="I90" s="947"/>
      <c r="J90" s="1362"/>
      <c r="K90" s="950"/>
      <c r="L90" s="947"/>
      <c r="M90" s="948"/>
    </row>
    <row r="91" spans="1:14" x14ac:dyDescent="0.25">
      <c r="A91" s="176" t="s">
        <v>1614</v>
      </c>
      <c r="B91" s="1460"/>
      <c r="C91" s="189"/>
      <c r="D91" s="1416"/>
      <c r="E91" s="1416">
        <f>IF(ISERROR(('A1-Sum'!C10-'A1-Sum'!B10)/'A1-Sum'!B10),0,(('A1-Sum'!C10-'A1-Sum'!B10)/'A1-Sum'!B10))</f>
        <v>8.2303279643137009E-2</v>
      </c>
      <c r="F91" s="1461">
        <f>IF(ISERROR(('A1-Sum'!D10-'A1-Sum'!C10)/'A1-Sum'!C10),0,(('A1-Sum'!D10-'A1-Sum'!C10)/'A1-Sum'!C10))</f>
        <v>8.5588141224992989E-2</v>
      </c>
      <c r="G91" s="1402">
        <f>IF(ISERROR(('A1-Sum'!E10-'A1-Sum'!D10)/'A1-Sum'!D10),0,(('A1-Sum'!E10-'A1-Sum'!D10)/'A1-Sum'!D10))</f>
        <v>5.8688592558541974E-2</v>
      </c>
      <c r="H91" s="1416">
        <f>IF(ISERROR(('A1-Sum'!F10-'A1-Sum'!E10)/'A1-Sum'!E10),0,(('A1-Sum'!F10-'A1-Sum'!E10)/'A1-Sum'!E10))</f>
        <v>0.10789034899091909</v>
      </c>
      <c r="I91" s="1416">
        <f>IF(ISERROR(('A1-Sum'!G10-'A1-Sum'!F10)/'A1-Sum'!F10),0,(('A1-Sum'!G10-'A1-Sum'!F10)/'A1-Sum'!F10))</f>
        <v>0</v>
      </c>
      <c r="J91" s="1461">
        <f>IF(ISERROR(('A1-Sum'!H10-'A1-Sum'!G10)/'A1-Sum'!G10),0,(('A1-Sum'!H10-'A1-Sum'!G10)/'A1-Sum'!G10))</f>
        <v>-0.41028138192820707</v>
      </c>
      <c r="K91" s="1402">
        <f>IF(ISERROR(('A1-Sum'!I10-'A1-Sum'!F10)/'A1-Sum'!F10),0,(('A1-Sum'!I10-'A1-Sum'!F10)/'A1-Sum'!F10))</f>
        <v>-7.685311911803408E-2</v>
      </c>
      <c r="L91" s="1416">
        <f>IF(ISERROR(('A1-Sum'!J10-'A1-Sum'!I10)/'A1-Sum'!I10),0,(('A1-Sum'!J10-'A1-Sum'!I10)/'A1-Sum'!I10))</f>
        <v>0.12769679116969751</v>
      </c>
      <c r="M91" s="1462">
        <f>IF(ISERROR(('A1-Sum'!K10-'A1-Sum'!J10)/'A1-Sum'!J10),0,(('A1-Sum'!K10-'A1-Sum'!J10)/'A1-Sum'!J10))</f>
        <v>2.0323108051552186E-2</v>
      </c>
    </row>
    <row r="92" spans="1:14" x14ac:dyDescent="0.25">
      <c r="A92" s="176" t="s">
        <v>1615</v>
      </c>
      <c r="B92" s="1460"/>
      <c r="C92" s="189"/>
      <c r="D92" s="1416"/>
      <c r="E92" s="1416">
        <f>IF(ISERROR(('A4-FinPerf RE'!D5-'A4-FinPerf RE'!C5)/'A4-FinPerf RE'!C5),0,(('A4-FinPerf RE'!D5-'A4-FinPerf RE'!C5)/'A4-FinPerf RE'!C5))</f>
        <v>1.9640180933228099E-2</v>
      </c>
      <c r="F92" s="1461">
        <f>IF(ISERROR(('A4-FinPerf RE'!E5-'A4-FinPerf RE'!D5)/'A4-FinPerf RE'!D5),0,(('A4-FinPerf RE'!E5-'A4-FinPerf RE'!D5)/'A4-FinPerf RE'!D5))</f>
        <v>0.24993012209611973</v>
      </c>
      <c r="G92" s="1402">
        <f>IF(ISERROR(('A4-FinPerf RE'!F5-'A4-FinPerf RE'!E5)/'A4-FinPerf RE'!E5),0,(('A4-FinPerf RE'!F5-'A4-FinPerf RE'!E5)/'A4-FinPerf RE'!E5))</f>
        <v>-9.4637374561149096E-2</v>
      </c>
      <c r="H92" s="1416">
        <f>IF(ISERROR(('A4-FinPerf RE'!G5-'A4-FinPerf RE'!F5)/'A4-FinPerf RE'!F5),0,(('A4-FinPerf RE'!G5-'A4-FinPerf RE'!F5)/'A4-FinPerf RE'!F5))</f>
        <v>0</v>
      </c>
      <c r="I92" s="1416">
        <f>IF(ISERROR(('A4-FinPerf RE'!H5-'A4-FinPerf RE'!G5)/'A4-FinPerf RE'!G5),0,(('A4-FinPerf RE'!H5-'A4-FinPerf RE'!G5)/'A4-FinPerf RE'!G5))</f>
        <v>0</v>
      </c>
      <c r="J92" s="1461">
        <f>IF(ISERROR(('A4-FinPerf RE'!I5-'A4-FinPerf RE'!H5)/'A4-FinPerf RE'!H5),0,(('A4-FinPerf RE'!I5-'A4-FinPerf RE'!H5)/'A4-FinPerf RE'!H5))</f>
        <v>-2.1524071180816216</v>
      </c>
      <c r="K92" s="1402">
        <f>IF(ISERROR(('A4-FinPerf RE'!J5-'A4-FinPerf RE'!G5)/'A4-FinPerf RE'!G5),0,(('A4-FinPerf RE'!J5-'A4-FinPerf RE'!G5)/'A4-FinPerf RE'!G5))</f>
        <v>3.8999885853647394E-2</v>
      </c>
      <c r="L92" s="1416">
        <f>IF(ISERROR(('A4-FinPerf RE'!K5-'A4-FinPerf RE'!J5)/'A4-FinPerf RE'!J5),0,(('A4-FinPerf RE'!K5-'A4-FinPerf RE'!J5)/'A4-FinPerf RE'!J5))</f>
        <v>4.0000188779280674E-2</v>
      </c>
      <c r="M92" s="1462">
        <f>IF(ISERROR(('A4-FinPerf RE'!L5-'A4-FinPerf RE'!K5)/'A4-FinPerf RE'!K5),0,(('A4-FinPerf RE'!L5-'A4-FinPerf RE'!K5)/'A4-FinPerf RE'!K5))</f>
        <v>3.9999941988931018E-2</v>
      </c>
    </row>
    <row r="93" spans="1:14" x14ac:dyDescent="0.25">
      <c r="A93" s="176" t="s">
        <v>1616</v>
      </c>
      <c r="B93" s="1460"/>
      <c r="C93" s="189"/>
      <c r="D93" s="1416"/>
      <c r="E93" s="1416">
        <f>IF(ISERROR(('A4-FinPerf RE'!D6-'A4-FinPerf RE'!C6)/'A4-FinPerf RE'!C6),0,(('A4-FinPerf RE'!D6-'A4-FinPerf RE'!C6)/'A4-FinPerf RE'!C6))</f>
        <v>0</v>
      </c>
      <c r="F93" s="1461">
        <f>IF(ISERROR(('A4-FinPerf RE'!E6-'A4-FinPerf RE'!D6)/'A4-FinPerf RE'!D6),0,(('A4-FinPerf RE'!E6-'A4-FinPerf RE'!D6)/'A4-FinPerf RE'!D6))</f>
        <v>0</v>
      </c>
      <c r="G93" s="1402">
        <f>IF(ISERROR(('A4-FinPerf RE'!F6-'A4-FinPerf RE'!E6)/'A4-FinPerf RE'!E6),0,(('A4-FinPerf RE'!F6-'A4-FinPerf RE'!E6)/'A4-FinPerf RE'!E6))</f>
        <v>0</v>
      </c>
      <c r="H93" s="1416">
        <f>IF(ISERROR(('A4-FinPerf RE'!G6-'A4-FinPerf RE'!F6)/'A4-FinPerf RE'!F6),0,(('A4-FinPerf RE'!G6-'A4-FinPerf RE'!F6)/'A4-FinPerf RE'!F6))</f>
        <v>0</v>
      </c>
      <c r="I93" s="1416">
        <f>IF(ISERROR(('A4-FinPerf RE'!H6-'A4-FinPerf RE'!G6)/'A4-FinPerf RE'!G6),0,(('A4-FinPerf RE'!H6-'A4-FinPerf RE'!G6)/'A4-FinPerf RE'!G6))</f>
        <v>0</v>
      </c>
      <c r="J93" s="1461">
        <f>IF(ISERROR(('A4-FinPerf RE'!I6-'A4-FinPerf RE'!H6)/'A4-FinPerf RE'!H6),0,(('A4-FinPerf RE'!I6-'A4-FinPerf RE'!H6)/'A4-FinPerf RE'!H6))</f>
        <v>0</v>
      </c>
      <c r="K93" s="1402">
        <f>IF(ISERROR(('A4-FinPerf RE'!J6-'A4-FinPerf RE'!G6)/'A4-FinPerf RE'!G6),0,(('A4-FinPerf RE'!J6-'A4-FinPerf RE'!G6)/'A4-FinPerf RE'!G6))</f>
        <v>0</v>
      </c>
      <c r="L93" s="1416">
        <f>IF(ISERROR(('A4-FinPerf RE'!K6-'A4-FinPerf RE'!J6)/'A4-FinPerf RE'!J6),0,(('A4-FinPerf RE'!K6-'A4-FinPerf RE'!J6)/'A4-FinPerf RE'!J6))</f>
        <v>0</v>
      </c>
      <c r="M93" s="1462">
        <f>IF(ISERROR(('A4-FinPerf RE'!L6-'A4-FinPerf RE'!K6)/'A4-FinPerf RE'!K6),0,(('A4-FinPerf RE'!L6-'A4-FinPerf RE'!K6)/'A4-FinPerf RE'!K6))</f>
        <v>0</v>
      </c>
    </row>
    <row r="94" spans="1:14" x14ac:dyDescent="0.25">
      <c r="A94" s="197" t="s">
        <v>1617</v>
      </c>
      <c r="B94" s="1463"/>
      <c r="C94" s="1436"/>
      <c r="D94" s="1464"/>
      <c r="E94" s="1464">
        <f>IF(ISERROR((('A1-Sum'!C5+'A1-Sum'!C6)-('A1-Sum'!B5+'A1-Sum'!B6))/('A1-Sum'!B5+'A1-Sum'!B6)),0,((('A1-Sum'!C5+'A1-Sum'!C6)-('A1-Sum'!B5+'A1-Sum'!B6))/('A1-Sum'!B5+'A1-Sum'!B6)))</f>
        <v>2.0668556449632607E-2</v>
      </c>
      <c r="F94" s="1465">
        <f>IF(ISERROR((('A1-Sum'!D5+'A1-Sum'!D6)-('A1-Sum'!C5+'A1-Sum'!C6))/('A1-Sum'!C5+'A1-Sum'!C6)),0,((('A1-Sum'!D5+'A1-Sum'!D6)-('A1-Sum'!C5+'A1-Sum'!C6))/('A1-Sum'!C5+'A1-Sum'!C6)))</f>
        <v>0.2427744576480145</v>
      </c>
      <c r="G94" s="1466">
        <f>IF(ISERROR((('A1-Sum'!E5+'A1-Sum'!E6)-('A1-Sum'!D5+'A1-Sum'!D6))/('A1-Sum'!D5+'A1-Sum'!D6)),0,((('A1-Sum'!E5+'A1-Sum'!E6)-('A1-Sum'!D5+'A1-Sum'!D6))/('A1-Sum'!D5+'A1-Sum'!D6)))</f>
        <v>-9.034408170459092E-2</v>
      </c>
      <c r="H94" s="1464">
        <f>IF(ISERROR((('A1-Sum'!F5+'A1-Sum'!F6)-('A1-Sum'!E5+'A1-Sum'!E6))/('A1-Sum'!E5+'A1-Sum'!E6)),0,((('A1-Sum'!F5+'A1-Sum'!F6)-('A1-Sum'!E5+'A1-Sum'!E6))/('A1-Sum'!E5+'A1-Sum'!E6)))</f>
        <v>0</v>
      </c>
      <c r="I94" s="1464">
        <f>IF(ISERROR((('A1-Sum'!G5+'A1-Sum'!G6)-('A1-Sum'!F5+'A1-Sum'!F6))/('A1-Sum'!F5+'A1-Sum'!F6)),0,((('A1-Sum'!G5+'A1-Sum'!G6)-('A1-Sum'!F5+'A1-Sum'!F6))/('A1-Sum'!F5+'A1-Sum'!F6)))</f>
        <v>0</v>
      </c>
      <c r="J94" s="1465">
        <f>IF(ISERROR((('A1-Sum'!H5+'A1-Sum'!H6)-('A1-Sum'!G5+'A1-Sum'!G6))/('A1-Sum'!G5+'A1-Sum'!G6)),0,((('A1-Sum'!H5+'A1-Sum'!H6)-('A1-Sum'!G5+'A1-Sum'!G6))/('A1-Sum'!G5+'A1-Sum'!G6)))</f>
        <v>-2.1481073628301246</v>
      </c>
      <c r="K94" s="1466">
        <f>IF(ISERROR((('A1-Sum'!I5+'A1-Sum'!I6)-('A1-Sum'!F5+'A1-Sum'!F6))/('A1-Sum'!F5+'A1-Sum'!F6)),0,((('A1-Sum'!I5+'A1-Sum'!I6)-('A1-Sum'!F5+'A1-Sum'!F6))/('A1-Sum'!F5+'A1-Sum'!F6)))</f>
        <v>3.8999879592702048E-2</v>
      </c>
      <c r="L94" s="1464">
        <f>IF(ISERROR((('A1-Sum'!J5+'A1-Sum'!J6)-('A1-Sum'!I5+'A1-Sum'!I6))/('A1-Sum'!I5+'A1-Sum'!I6)),0,((('A1-Sum'!J5+'A1-Sum'!J6)-('A1-Sum'!I5+'A1-Sum'!I6))/('A1-Sum'!I5+'A1-Sum'!I6)))</f>
        <v>4.0000213713736216E-2</v>
      </c>
      <c r="M94" s="1467">
        <f>IF(ISERROR((('A1-Sum'!K5+'A1-Sum'!K6)-('A1-Sum'!J5+'A1-Sum'!J6))/('A1-Sum'!J5+'A1-Sum'!J6)),0,((('A1-Sum'!K5+'A1-Sum'!K6)-('A1-Sum'!J5+'A1-Sum'!J6))/('A1-Sum'!J5+'A1-Sum'!J6)))</f>
        <v>3.9999939988496887E-2</v>
      </c>
    </row>
    <row r="95" spans="1:14" x14ac:dyDescent="0.25">
      <c r="A95" s="1449" t="s">
        <v>1618</v>
      </c>
      <c r="B95" s="1460"/>
      <c r="D95" s="711"/>
      <c r="E95" s="711"/>
      <c r="F95" s="1468"/>
      <c r="G95" s="865"/>
      <c r="H95" s="1361"/>
      <c r="I95" s="1361"/>
      <c r="J95" s="1468"/>
      <c r="K95" s="865"/>
      <c r="L95" s="1361"/>
      <c r="M95" s="1469"/>
    </row>
    <row r="96" spans="1:14" x14ac:dyDescent="0.25">
      <c r="A96" s="176" t="s">
        <v>1619</v>
      </c>
      <c r="B96" s="1460"/>
      <c r="D96" s="1416"/>
      <c r="E96" s="1416">
        <f>IF(ISERROR(('A1-Sum'!C18-'A1-Sum'!B18)/'A1-Sum'!B18),0,(('A1-Sum'!C18-'A1-Sum'!B18)/'A1-Sum'!B18))</f>
        <v>1.8094878226296563E-2</v>
      </c>
      <c r="F96" s="1461">
        <f>IF(ISERROR(('A1-Sum'!D18-'A1-Sum'!C18)/'A1-Sum'!C18),0,(('A1-Sum'!D18-'A1-Sum'!C18)/'A1-Sum'!C18))</f>
        <v>0.15747383385453284</v>
      </c>
      <c r="G96" s="1402">
        <f>IF(ISERROR(('A1-Sum'!E18-'A1-Sum'!D18)/'A1-Sum'!D18),0,(('A1-Sum'!E18-'A1-Sum'!D18)/'A1-Sum'!D18))</f>
        <v>0.29540871000063856</v>
      </c>
      <c r="H96" s="1416">
        <f>IF(ISERROR(('A1-Sum'!F18-'A1-Sum'!E18)/'A1-Sum'!E18),0,(('A1-Sum'!F18-'A1-Sum'!E18)/'A1-Sum'!E18))</f>
        <v>0.1728122624024101</v>
      </c>
      <c r="I96" s="1416">
        <f>IF(ISERROR(('A1-Sum'!G18-'A1-Sum'!F18)/'A1-Sum'!F18),0,(('A1-Sum'!G18-'A1-Sum'!F18)/'A1-Sum'!F18))</f>
        <v>0</v>
      </c>
      <c r="J96" s="1461">
        <f>IF(ISERROR(('A1-Sum'!H18-'A1-Sum'!G18)/'A1-Sum'!G18),0,(('A1-Sum'!H18-'A1-Sum'!G18)/'A1-Sum'!G18))</f>
        <v>-0.24743100652701841</v>
      </c>
      <c r="K96" s="1402">
        <f>IF(ISERROR(('A1-Sum'!I18-'A1-Sum'!F18)/'A1-Sum'!F18),0,(('A1-Sum'!I18-'A1-Sum'!F18)/'A1-Sum'!F18))</f>
        <v>2.5431112588497895E-3</v>
      </c>
      <c r="L96" s="1416">
        <f>IF(ISERROR(('A1-Sum'!J18-'A1-Sum'!I18)/'A1-Sum'!I18),0,(('A1-Sum'!J18-'A1-Sum'!I18)/'A1-Sum'!I18))</f>
        <v>-5.0484881772227527E-2</v>
      </c>
      <c r="M96" s="1462">
        <f>IF(ISERROR(('A1-Sum'!K18-'A1-Sum'!J18)/'A1-Sum'!J18),0,(('A1-Sum'!K18-'A1-Sum'!J18)/'A1-Sum'!J18))</f>
        <v>8.0586013285620955E-2</v>
      </c>
    </row>
    <row r="97" spans="1:13" x14ac:dyDescent="0.25">
      <c r="A97" s="176" t="s">
        <v>1620</v>
      </c>
      <c r="B97" s="1460"/>
      <c r="D97" s="1416"/>
      <c r="E97" s="1416">
        <f>IF(ISERROR(('A1-Sum'!C11-'A1-Sum'!B11)/'A1-Sum'!B11),0,(('A1-Sum'!C11-'A1-Sum'!B11)/'A1-Sum'!B11))</f>
        <v>2.4788505608422214E-2</v>
      </c>
      <c r="F97" s="1461">
        <f>IF(ISERROR(('A1-Sum'!D11-'A1-Sum'!C11)/'A1-Sum'!C11),0,(('A1-Sum'!D11-'A1-Sum'!C11)/'A1-Sum'!C11))</f>
        <v>4.4545254121309226E-2</v>
      </c>
      <c r="G97" s="1402">
        <f>IF(ISERROR(('A1-Sum'!E11-'A1-Sum'!D11)/'A1-Sum'!D11),0,(('A1-Sum'!E11-'A1-Sum'!D11)/'A1-Sum'!D11))</f>
        <v>0.22345174442454707</v>
      </c>
      <c r="H97" s="1416">
        <f>IF(ISERROR(('A1-Sum'!F11-'A1-Sum'!E11)/'A1-Sum'!E11),0,(('A1-Sum'!F11-'A1-Sum'!E11)/'A1-Sum'!E11))</f>
        <v>-1.917586946177899E-3</v>
      </c>
      <c r="I97" s="1416">
        <f>IF(ISERROR(('A1-Sum'!G11-'A1-Sum'!F11)/'A1-Sum'!F11),0,(('A1-Sum'!G11-'A1-Sum'!F11)/'A1-Sum'!F11))</f>
        <v>0</v>
      </c>
      <c r="J97" s="1461">
        <f>IF(ISERROR(('A1-Sum'!H11-'A1-Sum'!G11)/'A1-Sum'!G11),0,(('A1-Sum'!H11-'A1-Sum'!G11)/'A1-Sum'!G11))</f>
        <v>-0.22933863995748544</v>
      </c>
      <c r="K97" s="1402">
        <f>IF(ISERROR(('A1-Sum'!I11-'A1-Sum'!F11)/'A1-Sum'!F11),0,(('A1-Sum'!I11-'A1-Sum'!F11)/'A1-Sum'!F11))</f>
        <v>8.8607344075787312E-2</v>
      </c>
      <c r="L97" s="1416">
        <f>IF(ISERROR(('A1-Sum'!J11-'A1-Sum'!I11)/'A1-Sum'!I11),0,(('A1-Sum'!J11-'A1-Sum'!I11)/'A1-Sum'!I11))</f>
        <v>3.2886390119059784E-2</v>
      </c>
      <c r="M97" s="1462">
        <f>IF(ISERROR(('A1-Sum'!K11-'A1-Sum'!J11)/'A1-Sum'!J11),0,(('A1-Sum'!K11-'A1-Sum'!J11)/'A1-Sum'!J11))</f>
        <v>6.9567760280733401E-2</v>
      </c>
    </row>
    <row r="98" spans="1:13" x14ac:dyDescent="0.25">
      <c r="A98" s="176" t="s">
        <v>1621</v>
      </c>
      <c r="B98" s="1460"/>
      <c r="D98" s="1416"/>
      <c r="E98" s="1416">
        <f>IF(ISERROR(('SA1'!D103-'SA1'!C103)/'SA1'!C103),0,(('SA1'!D103-'SA1'!C103)/'SA1'!C103))</f>
        <v>0</v>
      </c>
      <c r="F98" s="1461">
        <f>IF(ISERROR(('SA1'!E103-'SA1'!D103)/'SA1'!D103),0,(('SA1'!E103-'SA1'!D103)/'SA1'!D103))</f>
        <v>0</v>
      </c>
      <c r="G98" s="1402">
        <f>IF(ISERROR(('SA1'!F103-'SA1'!E103)/'SA1'!E103),0,(('SA1'!F103-'SA1'!E103)/'SA1'!E103))</f>
        <v>0</v>
      </c>
      <c r="H98" s="1416">
        <f>IF(ISERROR(('SA1'!G103-'SA1'!F103)/'SA1'!F103),0,(('SA1'!G103-'SA1'!F103)/'SA1'!F103))</f>
        <v>0</v>
      </c>
      <c r="I98" s="1416">
        <f>IF(ISERROR(('SA1'!H103-'SA1'!G103)/'SA1'!G103),0,(('SA1'!H103-'SA1'!G103)/'SA1'!G103))</f>
        <v>0</v>
      </c>
      <c r="J98" s="1461">
        <f>IF(ISERROR(('SA1'!I103-'SA1'!H103)/'SA1'!H103),0,(('SA1'!I103-'SA1'!H103)/'SA1'!H103))</f>
        <v>0</v>
      </c>
      <c r="K98" s="1402">
        <f>IF(ISERROR(('SA1'!J103-'SA1'!G103)/'SA1'!G103),0,(('SA1'!J103-'SA1'!G103)/'SA1'!G103))</f>
        <v>0</v>
      </c>
      <c r="L98" s="1416">
        <f>IF(ISERROR(('SA1'!K103-'SA1'!J103)/'SA1'!J103),0,(('SA1'!K103-'SA1'!J103)/'SA1'!J103))</f>
        <v>0</v>
      </c>
      <c r="M98" s="1462">
        <f>IF(ISERROR(('SA1'!L103-'SA1'!K103)/'SA1'!K103),0,(('SA1'!L103-'SA1'!K103)/'SA1'!K103))</f>
        <v>0</v>
      </c>
    </row>
    <row r="99" spans="1:13" x14ac:dyDescent="0.25">
      <c r="A99" s="176" t="s">
        <v>1705</v>
      </c>
      <c r="B99" s="1460"/>
      <c r="D99" s="711"/>
      <c r="E99" s="711"/>
      <c r="F99" s="864">
        <f>IF(ISERROR('A1-Sum'!D11/('SA24'!D36+'SA24'!E36-'SA24'!C5)),0,('A1-Sum'!D11/('SA24'!D36+'SA24'!E36-'SA24'!C5)))</f>
        <v>652305.26785714284</v>
      </c>
      <c r="G99" s="1408">
        <f>IF(ISERROR('A1-Sum'!E11/('SA24'!F36-'SA24'!F5)),0,('A1-Sum'!E11/('SA24'!F36-'SA24'!F5)))</f>
        <v>893831.7</v>
      </c>
      <c r="H99" s="1361"/>
      <c r="I99" s="1361"/>
      <c r="J99" s="1468"/>
      <c r="K99" s="1408">
        <f>IF(ISERROR('A1-Sum'!I11/('SA24'!I36-'SA24'!I5)),0,('A1-Sum'!I11/('SA24'!I36-'SA24'!I5)))</f>
        <v>1033155.1914893617</v>
      </c>
      <c r="L99" s="1361"/>
      <c r="M99" s="1469"/>
    </row>
    <row r="100" spans="1:13" x14ac:dyDescent="0.25">
      <c r="A100" s="176" t="s">
        <v>1622</v>
      </c>
      <c r="B100" s="1460"/>
      <c r="D100" s="711"/>
      <c r="E100" s="711"/>
      <c r="F100" s="864">
        <f>IF(ISERROR('A1-Sum'!D12/'SA24'!C5),0,('A1-Sum'!D12/'SA24'!C5))</f>
        <v>430253.92857142858</v>
      </c>
      <c r="G100" s="1408">
        <f>IF(ISERROR('A1-Sum'!E12/'SA24'!F5),0,('A1-Sum'!E12/'SA24'!F5))</f>
        <v>455280.07142857142</v>
      </c>
      <c r="H100" s="1361"/>
      <c r="I100" s="1361"/>
      <c r="J100" s="1468"/>
      <c r="K100" s="1408">
        <f>IF(ISERROR('A1-Sum'!I12/'SA24'!I5),0,('A1-Sum'!I12/'SA24'!I5))</f>
        <v>478043.92857142858</v>
      </c>
      <c r="L100" s="1361"/>
      <c r="M100" s="1469"/>
    </row>
    <row r="101" spans="1:13" x14ac:dyDescent="0.25">
      <c r="A101" s="176" t="s">
        <v>1623</v>
      </c>
      <c r="B101" s="1470"/>
      <c r="D101" s="1416">
        <f>'A9-Asset'!C205</f>
        <v>2.5999999999999999E-2</v>
      </c>
      <c r="E101" s="1416">
        <f>'A9-Asset'!D205</f>
        <v>3.2000000000000001E-2</v>
      </c>
      <c r="F101" s="1461">
        <f>'A9-Asset'!E205</f>
        <v>5.2999999999999999E-2</v>
      </c>
      <c r="G101" s="1402">
        <f>'A9-Asset'!F205</f>
        <v>0.10199999999999999</v>
      </c>
      <c r="H101" s="1416">
        <f>'A9-Asset'!G205</f>
        <v>0.158</v>
      </c>
      <c r="I101" s="1416">
        <f>'A9-Asset'!H205</f>
        <v>0.158</v>
      </c>
      <c r="J101" s="1461"/>
      <c r="K101" s="1402">
        <f>'A9-Asset'!I205</f>
        <v>0.153</v>
      </c>
      <c r="L101" s="1416">
        <f>'A9-Asset'!J205</f>
        <v>0.154</v>
      </c>
      <c r="M101" s="1462">
        <f>'A9-Asset'!K205</f>
        <v>0.156</v>
      </c>
    </row>
    <row r="102" spans="1:13" x14ac:dyDescent="0.25">
      <c r="A102" s="176" t="s">
        <v>1624</v>
      </c>
      <c r="B102" s="1470"/>
      <c r="D102" s="1416">
        <f>'A9-Asset'!C206</f>
        <v>0.03</v>
      </c>
      <c r="E102" s="1416">
        <f>'A9-Asset'!D206</f>
        <v>0.05</v>
      </c>
      <c r="F102" s="1461">
        <f>'A9-Asset'!E206</f>
        <v>0.05</v>
      </c>
      <c r="G102" s="1402">
        <f>'A9-Asset'!F206</f>
        <v>0.1</v>
      </c>
      <c r="H102" s="1416">
        <f>'A9-Asset'!G206</f>
        <v>0.15</v>
      </c>
      <c r="I102" s="1416">
        <f>'A9-Asset'!H206</f>
        <v>0.15</v>
      </c>
      <c r="J102" s="1461"/>
      <c r="K102" s="1402">
        <f>'A9-Asset'!I206</f>
        <v>0.16</v>
      </c>
      <c r="L102" s="1416">
        <f>'A9-Asset'!J206</f>
        <v>0.13</v>
      </c>
      <c r="M102" s="1462">
        <f>'A9-Asset'!K206</f>
        <v>0.13</v>
      </c>
    </row>
    <row r="103" spans="1:13" x14ac:dyDescent="0.25">
      <c r="A103" s="197" t="s">
        <v>1715</v>
      </c>
      <c r="B103" s="1471"/>
      <c r="C103" s="1436"/>
      <c r="D103" s="1464">
        <f>'SA10'!D11</f>
        <v>4.2039432856511558E-2</v>
      </c>
      <c r="E103" s="1464">
        <f>'SA10'!E11</f>
        <v>8.550030969962108E-2</v>
      </c>
      <c r="F103" s="1465">
        <f>'SA10'!F11</f>
        <v>2.6385993631486356E-2</v>
      </c>
      <c r="G103" s="1466">
        <f>'SA10'!G11</f>
        <v>0.15426159549052809</v>
      </c>
      <c r="H103" s="1464">
        <f>'SA10'!H11</f>
        <v>0.15426159549052809</v>
      </c>
      <c r="I103" s="1464">
        <f>'SA10'!I11</f>
        <v>0.15426159549052809</v>
      </c>
      <c r="J103" s="1464">
        <f>'SA10'!J11</f>
        <v>0</v>
      </c>
      <c r="K103" s="1466">
        <f>'SA10'!K11</f>
        <v>0.14847123519494546</v>
      </c>
      <c r="L103" s="1464">
        <f>'SA10'!L11</f>
        <v>0.16274724114163155</v>
      </c>
      <c r="M103" s="1467">
        <f>'SA10'!M11</f>
        <v>0.17839604997689024</v>
      </c>
    </row>
    <row r="104" spans="1:13" x14ac:dyDescent="0.25">
      <c r="A104" s="1449" t="s">
        <v>1625</v>
      </c>
      <c r="B104" s="1460"/>
      <c r="D104" s="711"/>
      <c r="E104" s="711"/>
      <c r="F104" s="1468"/>
      <c r="G104" s="865"/>
      <c r="H104" s="1361"/>
      <c r="I104" s="1361"/>
      <c r="J104" s="1468"/>
      <c r="K104" s="865"/>
      <c r="L104" s="1361"/>
      <c r="M104" s="1469"/>
    </row>
    <row r="105" spans="1:13" x14ac:dyDescent="0.25">
      <c r="A105" s="176" t="s">
        <v>1626</v>
      </c>
      <c r="B105" s="1472"/>
      <c r="D105" s="1451">
        <f>'A1-Sum'!B29+'A1-Sum'!B31</f>
        <v>69606055</v>
      </c>
      <c r="E105" s="1452">
        <f>'A1-Sum'!C29+'A1-Sum'!C31</f>
        <v>82105714</v>
      </c>
      <c r="F105" s="1453">
        <f>'A1-Sum'!D29+'A1-Sum'!D31</f>
        <v>92392856</v>
      </c>
      <c r="G105" s="1451">
        <f>'A1-Sum'!E29+'A1-Sum'!E31</f>
        <v>9700000</v>
      </c>
      <c r="H105" s="1452">
        <f>'A1-Sum'!F29+'A1-Sum'!F31</f>
        <v>17962486</v>
      </c>
      <c r="I105" s="1452">
        <f>'A1-Sum'!G29+'A1-Sum'!G31</f>
        <v>17962486</v>
      </c>
      <c r="J105" s="1453">
        <f>'A1-Sum'!H29+'A1-Sum'!H31</f>
        <v>106177361</v>
      </c>
      <c r="K105" s="1451">
        <f>'A1-Sum'!I29+'A1-Sum'!I31</f>
        <v>6866000</v>
      </c>
      <c r="L105" s="1452">
        <f>'A1-Sum'!J29+'A1-Sum'!J31</f>
        <v>756392</v>
      </c>
      <c r="M105" s="1454">
        <f>'A1-Sum'!K29+'A1-Sum'!K31</f>
        <v>786648</v>
      </c>
    </row>
    <row r="106" spans="1:13" x14ac:dyDescent="0.25">
      <c r="A106" s="176" t="s">
        <v>1627</v>
      </c>
      <c r="B106" s="1472"/>
      <c r="D106" s="1451">
        <f>'A1-Sum'!B30</f>
        <v>0</v>
      </c>
      <c r="E106" s="1452">
        <f>'A1-Sum'!C30</f>
        <v>0</v>
      </c>
      <c r="F106" s="1453">
        <f>'A1-Sum'!D30</f>
        <v>0</v>
      </c>
      <c r="G106" s="1451">
        <f>'A1-Sum'!E30</f>
        <v>0</v>
      </c>
      <c r="H106" s="1452">
        <f>'A1-Sum'!F30</f>
        <v>0</v>
      </c>
      <c r="I106" s="1452">
        <f>'A1-Sum'!G30</f>
        <v>0</v>
      </c>
      <c r="J106" s="1453">
        <f>'A1-Sum'!H30</f>
        <v>0</v>
      </c>
      <c r="K106" s="1451">
        <f>'A1-Sum'!I30</f>
        <v>0</v>
      </c>
      <c r="L106" s="1452">
        <f>'A1-Sum'!J30</f>
        <v>0</v>
      </c>
      <c r="M106" s="1454">
        <f>'A1-Sum'!K30</f>
        <v>0</v>
      </c>
    </row>
    <row r="107" spans="1:13" x14ac:dyDescent="0.25">
      <c r="A107" s="176" t="s">
        <v>1628</v>
      </c>
      <c r="B107" s="1472"/>
      <c r="D107" s="1451">
        <f>'A1-Sum'!B28</f>
        <v>96588188</v>
      </c>
      <c r="E107" s="1452">
        <f>'A1-Sum'!C28</f>
        <v>112168084</v>
      </c>
      <c r="F107" s="1453">
        <f>'A1-Sum'!D28</f>
        <v>121249308</v>
      </c>
      <c r="G107" s="1451">
        <f>'A1-Sum'!E28</f>
        <v>15996767</v>
      </c>
      <c r="H107" s="1452">
        <f>'A1-Sum'!F28</f>
        <v>25800002</v>
      </c>
      <c r="I107" s="1452">
        <f>'A1-Sum'!G28</f>
        <v>25800002</v>
      </c>
      <c r="J107" s="1453">
        <f>'A1-Sum'!H28</f>
        <v>135339364</v>
      </c>
      <c r="K107" s="1451">
        <f>'A1-Sum'!I28</f>
        <v>24755000</v>
      </c>
      <c r="L107" s="1452">
        <f>'A1-Sum'!J28</f>
        <v>17781000</v>
      </c>
      <c r="M107" s="1454">
        <f>'A1-Sum'!K28</f>
        <v>18394000</v>
      </c>
    </row>
    <row r="108" spans="1:13" x14ac:dyDescent="0.25">
      <c r="A108" s="176" t="s">
        <v>1629</v>
      </c>
      <c r="B108" s="1473"/>
      <c r="D108" s="1474">
        <f>IF(ISERROR(('A1-Sum'!B29+'A1-Sum'!B31)/('A1-Sum'!B32-'A1-Sum'!B28)),0,(('A1-Sum'!B29+'A1-Sum'!B31)/('A1-Sum'!B32-'A1-Sum'!B28)))</f>
        <v>1</v>
      </c>
      <c r="E108" s="1474">
        <f>IF(ISERROR(('A1-Sum'!C29+'A1-Sum'!C31)/('A1-Sum'!C32-'A1-Sum'!C28)),0,(('A1-Sum'!C29+'A1-Sum'!C31)/('A1-Sum'!C32-'A1-Sum'!C28)))</f>
        <v>1</v>
      </c>
      <c r="F108" s="1475">
        <f>IF(ISERROR(('A1-Sum'!D29+'A1-Sum'!D31)/('A1-Sum'!D32-'A1-Sum'!D28)),0,(('A1-Sum'!D29+'A1-Sum'!D31)/('A1-Sum'!D32-'A1-Sum'!D28)))</f>
        <v>1</v>
      </c>
      <c r="G108" s="1476">
        <f>IF(ISERROR(('A1-Sum'!E29+'A1-Sum'!E31)/('A1-Sum'!E32-'A1-Sum'!E28)),0,(('A1-Sum'!E29+'A1-Sum'!E31)/('A1-Sum'!E32-'A1-Sum'!E28)))</f>
        <v>1</v>
      </c>
      <c r="H108" s="1474">
        <f>IF(ISERROR(('A1-Sum'!F29+'A1-Sum'!F31)/('A1-Sum'!F32-'A1-Sum'!F28)),0,(('A1-Sum'!F29+'A1-Sum'!F31)/('A1-Sum'!F32-'A1-Sum'!F28)))</f>
        <v>1</v>
      </c>
      <c r="I108" s="1474">
        <f>IF(ISERROR(('A1-Sum'!G29+'A1-Sum'!G31)/('A1-Sum'!G32-'A1-Sum'!G28)),0,(('A1-Sum'!G29+'A1-Sum'!G31)/('A1-Sum'!G32-'A1-Sum'!G28)))</f>
        <v>1</v>
      </c>
      <c r="J108" s="1475">
        <f>IF(ISERROR(('A1-Sum'!H29+'A1-Sum'!H31)/('A1-Sum'!H32-'A1-Sum'!H28)),0,(('A1-Sum'!H29+'A1-Sum'!H31)/('A1-Sum'!H32-'A1-Sum'!H28)))</f>
        <v>1</v>
      </c>
      <c r="K108" s="1476">
        <f>IF(ISERROR(('A1-Sum'!I29+'A1-Sum'!I31)/('A1-Sum'!I32-'A1-Sum'!I28)),0,(('A1-Sum'!I29+'A1-Sum'!I31)/('A1-Sum'!I32-'A1-Sum'!I28)))</f>
        <v>1</v>
      </c>
      <c r="L108" s="1474">
        <f>IF(ISERROR(('A1-Sum'!J29+'A1-Sum'!J31)/('A1-Sum'!J32-'A1-Sum'!J28)),0,(('A1-Sum'!J29+'A1-Sum'!J31)/('A1-Sum'!J32-'A1-Sum'!J28)))</f>
        <v>1</v>
      </c>
      <c r="M108" s="1477">
        <f>IF(ISERROR(('A1-Sum'!K29+'A1-Sum'!K31)/('A1-Sum'!K32-'A1-Sum'!K28)),0,(('A1-Sum'!K29+'A1-Sum'!K31)/('A1-Sum'!K32-'A1-Sum'!K28)))</f>
        <v>1</v>
      </c>
    </row>
    <row r="109" spans="1:13" x14ac:dyDescent="0.25">
      <c r="A109" s="176" t="s">
        <v>1630</v>
      </c>
      <c r="B109" s="1473"/>
      <c r="D109" s="1474">
        <f>IF(ISERROR('A1-Sum'!B30/('A1-Sum'!B32-'A1-Sum'!B28)),0,('A1-Sum'!B30/('A1-Sum'!B32-'A1-Sum'!B28)))</f>
        <v>0</v>
      </c>
      <c r="E109" s="1474">
        <f>IF(ISERROR('A1-Sum'!C30/('A1-Sum'!C32-'A1-Sum'!C28)),0,('A1-Sum'!C30/('A1-Sum'!C32-'A1-Sum'!C28)))</f>
        <v>0</v>
      </c>
      <c r="F109" s="1475">
        <f>IF(ISERROR('A1-Sum'!D30/('A1-Sum'!D32-'A1-Sum'!D28)),0,('A1-Sum'!D30/('A1-Sum'!D32-'A1-Sum'!D28)))</f>
        <v>0</v>
      </c>
      <c r="G109" s="1476">
        <f>IF(ISERROR('A1-Sum'!E30/('A1-Sum'!E32-'A1-Sum'!E28)),0,('A1-Sum'!E30/('A1-Sum'!E32-'A1-Sum'!E28)))</f>
        <v>0</v>
      </c>
      <c r="H109" s="1474">
        <f>IF(ISERROR('A1-Sum'!F30/('A1-Sum'!F32-'A1-Sum'!F28)),0,('A1-Sum'!F30/('A1-Sum'!F32-'A1-Sum'!F28)))</f>
        <v>0</v>
      </c>
      <c r="I109" s="1474">
        <f>IF(ISERROR('A1-Sum'!G30/('A1-Sum'!G32-'A1-Sum'!G28)),0,('A1-Sum'!G30/('A1-Sum'!G32-'A1-Sum'!G28)))</f>
        <v>0</v>
      </c>
      <c r="J109" s="1475">
        <f>IF(ISERROR('A1-Sum'!H30/('A1-Sum'!H32-'A1-Sum'!H28)),0,('A1-Sum'!H30/('A1-Sum'!H32-'A1-Sum'!H28)))</f>
        <v>0</v>
      </c>
      <c r="K109" s="1476">
        <f>IF(ISERROR('A1-Sum'!I30/('A1-Sum'!I32-'A1-Sum'!I28)),0,('A1-Sum'!I30/('A1-Sum'!I32-'A1-Sum'!I28)))</f>
        <v>0</v>
      </c>
      <c r="L109" s="1474">
        <f>IF(ISERROR('A1-Sum'!J30/('A1-Sum'!J32-'A1-Sum'!J28)),0,('A1-Sum'!J30/('A1-Sum'!J32-'A1-Sum'!J28)))</f>
        <v>0</v>
      </c>
      <c r="M109" s="1477">
        <f>IF(ISERROR('A1-Sum'!K30/('A1-Sum'!K32-'A1-Sum'!K28)),0,('A1-Sum'!K30/('A1-Sum'!K32-'A1-Sum'!K28)))</f>
        <v>0</v>
      </c>
    </row>
    <row r="110" spans="1:13" x14ac:dyDescent="0.25">
      <c r="A110" s="1328" t="s">
        <v>1631</v>
      </c>
      <c r="B110" s="1471"/>
      <c r="C110" s="1436"/>
      <c r="D110" s="1478">
        <f>IF(ISERROR('A1-Sum'!B28/'A1-Sum'!B32),0,('A1-Sum'!B28/'A1-Sum'!B32))</f>
        <v>0.58117649719069997</v>
      </c>
      <c r="E110" s="1478">
        <f>IF(ISERROR('A1-Sum'!C28/'A1-Sum'!C32),0,('A1-Sum'!C28/'A1-Sum'!C32))</f>
        <v>0.57737113885012947</v>
      </c>
      <c r="F110" s="1479">
        <f>IF(ISERROR('A1-Sum'!D28/'A1-Sum'!D32),0,('A1-Sum'!D28/'A1-Sum'!D32))</f>
        <v>0.56753454341531573</v>
      </c>
      <c r="G110" s="1480">
        <f>IF(ISERROR('A1-Sum'!E28/'A1-Sum'!E32),0,('A1-Sum'!E28/'A1-Sum'!E32))</f>
        <v>0.62252060735889458</v>
      </c>
      <c r="H110" s="1478">
        <f>IF(ISERROR('A1-Sum'!F28/'A1-Sum'!F32),0,('A1-Sum'!F28/'A1-Sum'!F32))</f>
        <v>0.58954605140365879</v>
      </c>
      <c r="I110" s="1478">
        <f>IF(ISERROR('A1-Sum'!G28/'A1-Sum'!G32),0,('A1-Sum'!G28/'A1-Sum'!G32))</f>
        <v>0.58954605140365879</v>
      </c>
      <c r="J110" s="1479">
        <f>IF(ISERROR('A1-Sum'!H28/'A1-Sum'!H32),0,('A1-Sum'!H28/'A1-Sum'!H32))</f>
        <v>0.56037263671905124</v>
      </c>
      <c r="K110" s="1480">
        <f>IF(ISERROR('A1-Sum'!I28/'A1-Sum'!I32),0,('A1-Sum'!I28/'A1-Sum'!I32))</f>
        <v>0.78286581702033464</v>
      </c>
      <c r="L110" s="1478">
        <f>IF(ISERROR('A1-Sum'!J28/'A1-Sum'!J32),0,('A1-Sum'!J28/'A1-Sum'!J32))</f>
        <v>0.95919641770536002</v>
      </c>
      <c r="M110" s="1481">
        <f>IF(ISERROR('A1-Sum'!K28/'A1-Sum'!K32),0,('A1-Sum'!K28/'A1-Sum'!K32))</f>
        <v>0.95898741272974719</v>
      </c>
    </row>
    <row r="111" spans="1:13" x14ac:dyDescent="0.25">
      <c r="A111" s="1449" t="s">
        <v>1632</v>
      </c>
      <c r="B111" s="1460"/>
      <c r="D111" s="711"/>
      <c r="E111" s="711"/>
      <c r="F111" s="1468"/>
      <c r="G111" s="865"/>
      <c r="H111" s="1361"/>
      <c r="I111" s="1361"/>
      <c r="J111" s="1468"/>
      <c r="K111" s="865"/>
      <c r="L111" s="1361"/>
      <c r="M111" s="1469"/>
    </row>
    <row r="112" spans="1:13" x14ac:dyDescent="0.25">
      <c r="A112" s="220" t="s">
        <v>1633</v>
      </c>
      <c r="B112" s="1472"/>
      <c r="D112" s="1451">
        <f>'A1-Sum'!B27</f>
        <v>166194243</v>
      </c>
      <c r="E112" s="1452">
        <f>'A1-Sum'!C27</f>
        <v>194273798</v>
      </c>
      <c r="F112" s="1453">
        <f>'A1-Sum'!D27</f>
        <v>213642164</v>
      </c>
      <c r="G112" s="1451">
        <f>'A1-Sum'!E27</f>
        <v>25696767</v>
      </c>
      <c r="H112" s="1452">
        <f>'A1-Sum'!F27</f>
        <v>43762488</v>
      </c>
      <c r="I112" s="1452">
        <f>'A1-Sum'!G27</f>
        <v>43762488</v>
      </c>
      <c r="J112" s="1453">
        <f>'A1-Sum'!H27</f>
        <v>241516725</v>
      </c>
      <c r="K112" s="1451">
        <f>'A1-Sum'!I27</f>
        <v>31621000</v>
      </c>
      <c r="L112" s="1452">
        <f>'A1-Sum'!J27</f>
        <v>3756392</v>
      </c>
      <c r="M112" s="1454">
        <f>'A1-Sum'!K27</f>
        <v>3986648</v>
      </c>
    </row>
    <row r="113" spans="1:13" x14ac:dyDescent="0.25">
      <c r="A113" s="220" t="s">
        <v>1634</v>
      </c>
      <c r="B113" s="1472"/>
      <c r="D113" s="1451">
        <f>'A1-Sum'!B55</f>
        <v>603494</v>
      </c>
      <c r="E113" s="1452">
        <f>'A1-Sum'!C55</f>
        <v>2214342</v>
      </c>
      <c r="F113" s="1453">
        <f>'A1-Sum'!D55</f>
        <v>1</v>
      </c>
      <c r="G113" s="1451">
        <f>'A1-Sum'!E55</f>
        <v>1000000</v>
      </c>
      <c r="H113" s="1452">
        <f>'A1-Sum'!F55</f>
        <v>1550000</v>
      </c>
      <c r="I113" s="1452">
        <f>'A1-Sum'!G55</f>
        <v>1550000</v>
      </c>
      <c r="J113" s="1453">
        <f>'A1-Sum'!H55</f>
        <v>1550000</v>
      </c>
      <c r="K113" s="1451">
        <f>'A1-Sum'!I55</f>
        <v>5161000</v>
      </c>
      <c r="L113" s="1452">
        <f>'A1-Sum'!J55</f>
        <v>0</v>
      </c>
      <c r="M113" s="1454">
        <f>'A1-Sum'!K55</f>
        <v>0</v>
      </c>
    </row>
    <row r="114" spans="1:13" x14ac:dyDescent="0.25">
      <c r="A114" s="1328" t="s">
        <v>1635</v>
      </c>
      <c r="B114" s="1471"/>
      <c r="C114" s="1436"/>
      <c r="D114" s="1464">
        <f>IF(ISERROR('A1-Sum'!B55/'A1-Sum'!B32),0,('A1-Sum'!B55/'A1-Sum'!B32))</f>
        <v>3.6312569503385264E-3</v>
      </c>
      <c r="E114" s="1464">
        <f>IF(ISERROR('A1-Sum'!C55/'A1-Sum'!C32),0,('A1-Sum'!C55/'A1-Sum'!C32))</f>
        <v>1.1398047615252779E-2</v>
      </c>
      <c r="F114" s="1465">
        <f>IF(ISERROR('A1-Sum'!D55/'A1-Sum'!D32),0,('A1-Sum'!D55/'A1-Sum'!D32))</f>
        <v>4.6807239791860558E-9</v>
      </c>
      <c r="G114" s="1466">
        <f>IF(ISERROR('A1-Sum'!E55/'A1-Sum'!E32),0,('A1-Sum'!E55/'A1-Sum'!E32))</f>
        <v>3.891540130320674E-2</v>
      </c>
      <c r="H114" s="1464">
        <f>IF(ISERROR('A1-Sum'!F55/'A1-Sum'!F32),0,('A1-Sum'!F55/'A1-Sum'!F32))</f>
        <v>3.5418461582897208E-2</v>
      </c>
      <c r="I114" s="1464">
        <f>IF(ISERROR('A1-Sum'!G55/'A1-Sum'!G32),0,('A1-Sum'!G55/'A1-Sum'!G32))</f>
        <v>3.5418461582897208E-2</v>
      </c>
      <c r="J114" s="1467">
        <f>IF(ISERROR('A1-Sum'!H55/'A1-Sum'!H32),0,('A1-Sum'!H55/'A1-Sum'!H32))</f>
        <v>6.417775000882444E-3</v>
      </c>
      <c r="K114" s="1482">
        <f>IF(ISERROR('A1-Sum'!I55/'A1-Sum'!I32),0,('A1-Sum'!I55/'A1-Sum'!I32))</f>
        <v>0.16321431959773569</v>
      </c>
      <c r="L114" s="1464">
        <f>IF(ISERROR('A1-Sum'!J55/'A1-Sum'!J32),0,('A1-Sum'!J55/'A1-Sum'!J32))</f>
        <v>0</v>
      </c>
      <c r="M114" s="1467">
        <f>IF(ISERROR('A1-Sum'!K55/'A1-Sum'!K32),0,('A1-Sum'!K55/'A1-Sum'!K32))</f>
        <v>0</v>
      </c>
    </row>
    <row r="115" spans="1:13" x14ac:dyDescent="0.25">
      <c r="A115" s="1449" t="s">
        <v>599</v>
      </c>
      <c r="B115" s="1460"/>
      <c r="D115" s="711"/>
      <c r="E115" s="711"/>
      <c r="F115" s="1468"/>
      <c r="G115" s="865"/>
      <c r="H115" s="1361"/>
      <c r="I115" s="1361"/>
      <c r="J115" s="1468"/>
      <c r="K115" s="865"/>
      <c r="L115" s="1361"/>
      <c r="M115" s="1469"/>
    </row>
    <row r="116" spans="1:13" x14ac:dyDescent="0.25">
      <c r="A116" s="220" t="s">
        <v>1636</v>
      </c>
      <c r="B116" s="1473"/>
      <c r="D116" s="1474">
        <f>'SA10'!D10</f>
        <v>0</v>
      </c>
      <c r="E116" s="1474">
        <f>'SA10'!E10</f>
        <v>0</v>
      </c>
      <c r="F116" s="1475">
        <f>'SA10'!F10</f>
        <v>0</v>
      </c>
      <c r="G116" s="1476">
        <f>'SA10'!G10</f>
        <v>0.84309451831705129</v>
      </c>
      <c r="H116" s="1474">
        <f>'SA10'!H10</f>
        <v>0.85292305185099371</v>
      </c>
      <c r="I116" s="1474">
        <f>'SA10'!I10</f>
        <v>0.85292305185099371</v>
      </c>
      <c r="J116" s="1475">
        <f>'SA10'!J10</f>
        <v>0</v>
      </c>
      <c r="K116" s="1476">
        <f>'SA10'!K10</f>
        <v>0.89470384187021046</v>
      </c>
      <c r="L116" s="1474">
        <f>'SA10'!L10</f>
        <v>0.8404651039115798</v>
      </c>
      <c r="M116" s="1477">
        <f>'SA10'!M10</f>
        <v>0.85271460788608933</v>
      </c>
    </row>
    <row r="117" spans="1:13" x14ac:dyDescent="0.25">
      <c r="A117" s="1328" t="s">
        <v>1637</v>
      </c>
      <c r="B117" s="1483"/>
      <c r="C117" s="1436"/>
      <c r="D117" s="1484">
        <f>'SA10'!D7</f>
        <v>0</v>
      </c>
      <c r="E117" s="1484">
        <f>'SA10'!E7</f>
        <v>0</v>
      </c>
      <c r="F117" s="1485">
        <f>'SA10'!F7</f>
        <v>0</v>
      </c>
      <c r="G117" s="1486">
        <f>'SA10'!G7</f>
        <v>15.035352832161648</v>
      </c>
      <c r="H117" s="1484">
        <f>'SA10'!H7</f>
        <v>-3.3306578712341399</v>
      </c>
      <c r="I117" s="1484">
        <f>'SA10'!I7</f>
        <v>-3.3306578712341399</v>
      </c>
      <c r="J117" s="1485">
        <f>'SA10'!J7</f>
        <v>0</v>
      </c>
      <c r="K117" s="1486">
        <f>'SA10'!K7</f>
        <v>3.2550721208511457</v>
      </c>
      <c r="L117" s="1484">
        <f>'SA10'!L7</f>
        <v>1.0783806029832279</v>
      </c>
      <c r="M117" s="1487">
        <f>'SA10'!M7</f>
        <v>-1.7193677642882497</v>
      </c>
    </row>
    <row r="118" spans="1:13" x14ac:dyDescent="0.25">
      <c r="A118" s="1449" t="s">
        <v>1115</v>
      </c>
      <c r="B118" s="1460"/>
      <c r="D118" s="711"/>
      <c r="E118" s="711"/>
      <c r="F118" s="1468"/>
      <c r="G118" s="865"/>
      <c r="H118" s="1361"/>
      <c r="I118" s="1361"/>
      <c r="J118" s="1468"/>
      <c r="K118" s="865"/>
      <c r="L118" s="1361"/>
      <c r="M118" s="1469"/>
    </row>
    <row r="119" spans="1:13" ht="4.9000000000000004" customHeight="1" x14ac:dyDescent="0.25">
      <c r="A119" s="1488"/>
      <c r="B119" s="1473"/>
      <c r="D119" s="1416"/>
      <c r="E119" s="1416"/>
      <c r="F119" s="1461"/>
      <c r="G119" s="1402"/>
      <c r="H119" s="1416"/>
      <c r="I119" s="1416"/>
      <c r="J119" s="1461"/>
      <c r="K119" s="1402"/>
      <c r="L119" s="1416"/>
      <c r="M119" s="1462"/>
    </row>
    <row r="120" spans="1:13" x14ac:dyDescent="0.25">
      <c r="A120" s="1488" t="s">
        <v>1638</v>
      </c>
      <c r="B120" s="1460"/>
      <c r="D120" s="951"/>
      <c r="E120" s="711"/>
      <c r="F120" s="1468"/>
      <c r="G120" s="865"/>
      <c r="H120" s="1361"/>
      <c r="I120" s="1361"/>
      <c r="J120" s="1468"/>
      <c r="K120" s="1408">
        <f>'SA8'!F6</f>
        <v>0</v>
      </c>
      <c r="L120" s="1361"/>
      <c r="M120" s="1469"/>
    </row>
    <row r="121" spans="1:13" x14ac:dyDescent="0.25">
      <c r="A121" s="1488" t="s">
        <v>1639</v>
      </c>
      <c r="B121" s="1473"/>
      <c r="D121" s="1416">
        <f>'SA8'!C7</f>
        <v>0</v>
      </c>
      <c r="E121" s="1416">
        <f>'SA8'!D7</f>
        <v>3.2643722160077288E-5</v>
      </c>
      <c r="F121" s="1461">
        <f>'SA8'!E7</f>
        <v>4.3796034799312424E-5</v>
      </c>
      <c r="G121" s="1402">
        <f>'SA8'!F7</f>
        <v>0</v>
      </c>
      <c r="H121" s="1416">
        <f>'SA8'!G7</f>
        <v>0</v>
      </c>
      <c r="I121" s="1416">
        <f>'SA8'!H7</f>
        <v>0</v>
      </c>
      <c r="J121" s="1461">
        <f>'SA8'!I7</f>
        <v>4.6060842018853509E-5</v>
      </c>
      <c r="K121" s="1402">
        <f>'SA8'!J7</f>
        <v>0</v>
      </c>
      <c r="L121" s="1416">
        <f>'SA8'!K7</f>
        <v>0</v>
      </c>
      <c r="M121" s="1462">
        <f>'SA8'!L7</f>
        <v>0</v>
      </c>
    </row>
    <row r="122" spans="1:13" x14ac:dyDescent="0.25">
      <c r="A122" s="1489" t="s">
        <v>1640</v>
      </c>
      <c r="B122" s="1471"/>
      <c r="C122" s="1436"/>
      <c r="D122" s="1464">
        <f>'SA10'!D13</f>
        <v>0</v>
      </c>
      <c r="E122" s="1464">
        <f>'SA10'!E13</f>
        <v>0</v>
      </c>
      <c r="F122" s="1465">
        <f>'SA10'!F13</f>
        <v>0</v>
      </c>
      <c r="G122" s="1466">
        <f>'SA10'!G13</f>
        <v>0</v>
      </c>
      <c r="H122" s="1464">
        <f>'SA10'!H13</f>
        <v>0</v>
      </c>
      <c r="I122" s="1464">
        <f>'SA10'!I13</f>
        <v>0</v>
      </c>
      <c r="J122" s="1465">
        <f>'SA10'!J13</f>
        <v>0</v>
      </c>
      <c r="K122" s="1466">
        <f>'SA10'!K13</f>
        <v>0</v>
      </c>
      <c r="L122" s="1464">
        <f>'SA10'!L13</f>
        <v>0</v>
      </c>
      <c r="M122" s="1467">
        <f>'SA10'!M13</f>
        <v>0</v>
      </c>
    </row>
    <row r="123" spans="1:13" x14ac:dyDescent="0.25">
      <c r="A123" s="1449" t="s">
        <v>638</v>
      </c>
      <c r="B123" s="1460"/>
      <c r="D123" s="711"/>
      <c r="E123" s="711"/>
      <c r="F123" s="1468"/>
      <c r="G123" s="865"/>
      <c r="H123" s="1361"/>
      <c r="I123" s="1361"/>
      <c r="J123" s="1468"/>
      <c r="K123" s="865"/>
      <c r="L123" s="1361"/>
      <c r="M123" s="948"/>
    </row>
    <row r="124" spans="1:13" x14ac:dyDescent="0.25">
      <c r="A124" s="1328" t="s">
        <v>1488</v>
      </c>
      <c r="B124" s="1490"/>
      <c r="C124" s="1436"/>
      <c r="D124" s="1484">
        <f>'A8-ResRecon'!C19</f>
        <v>48816250</v>
      </c>
      <c r="E124" s="1484">
        <f>'A8-ResRecon'!D19</f>
        <v>54701269</v>
      </c>
      <c r="F124" s="1485">
        <f>'A8-ResRecon'!E19</f>
        <v>57159668</v>
      </c>
      <c r="G124" s="1486">
        <f>'A8-ResRecon'!F19</f>
        <v>59495752</v>
      </c>
      <c r="H124" s="1484">
        <f>'A8-ResRecon'!G19</f>
        <v>48871827</v>
      </c>
      <c r="I124" s="1484">
        <f>'A8-ResRecon'!H19</f>
        <v>48871827</v>
      </c>
      <c r="J124" s="1485">
        <f>'A8-ResRecon'!I19</f>
        <v>56289785</v>
      </c>
      <c r="K124" s="1486">
        <f>'A8-ResRecon'!J19</f>
        <v>50110424</v>
      </c>
      <c r="L124" s="1484">
        <f>'A8-ResRecon'!K19</f>
        <v>26563827</v>
      </c>
      <c r="M124" s="1487">
        <f>'A8-ResRecon'!L19</f>
        <v>7751666</v>
      </c>
    </row>
    <row r="125" spans="1:13" x14ac:dyDescent="0.25">
      <c r="A125" s="1449" t="s">
        <v>1641</v>
      </c>
      <c r="B125" s="1460"/>
      <c r="D125" s="711"/>
      <c r="E125" s="711"/>
      <c r="F125" s="1468"/>
      <c r="G125" s="865"/>
      <c r="H125" s="1361"/>
      <c r="I125" s="1361"/>
      <c r="J125" s="948"/>
      <c r="K125" s="951"/>
      <c r="L125" s="1361"/>
      <c r="M125" s="1469"/>
    </row>
    <row r="126" spans="1:13" x14ac:dyDescent="0.25">
      <c r="A126" s="220" t="s">
        <v>1642</v>
      </c>
      <c r="B126" s="376"/>
      <c r="D126" s="1416">
        <f>IF(ISERROR('A10-SerDel'!C60/'SA18'!C8),0,('A10-SerDel'!C60/'SA18'!C8))</f>
        <v>0</v>
      </c>
      <c r="E126" s="1416">
        <f>IF(ISERROR('A10-SerDel'!D60/'SA18'!D8),0,('A10-SerDel'!D60/'SA18'!D8))</f>
        <v>0</v>
      </c>
      <c r="F126" s="1461">
        <f>IF(ISERROR('A10-SerDel'!E60/'SA18'!E8),0,('A10-SerDel'!E60/'SA18'!E8))</f>
        <v>0</v>
      </c>
      <c r="G126" s="1402">
        <f>IF(ISERROR('A10-SerDel'!F60/'SA18'!F8),0,('A10-SerDel'!F60/'SA18'!F8))</f>
        <v>0</v>
      </c>
      <c r="H126" s="1416">
        <f>IF(ISERROR('A10-SerDel'!G60/'SA18'!G8),0,('A10-SerDel'!G60/'SA18'!G8))</f>
        <v>0</v>
      </c>
      <c r="I126" s="1416">
        <f>IF(ISERROR('A10-SerDel'!H60/'SA18'!H8),0,('A10-SerDel'!H60/'SA18'!H8))</f>
        <v>0</v>
      </c>
      <c r="J126" s="1462"/>
      <c r="K126" s="1491">
        <f>IF(ISERROR('A10-SerDel'!I60/'SA18'!I8),0,('A10-SerDel'!I60/'SA18'!I8))</f>
        <v>0</v>
      </c>
      <c r="L126" s="1416">
        <f>IF(ISERROR('A10-SerDel'!J60/'SA18'!J8),0,('A10-SerDel'!J60/'SA18'!J8))</f>
        <v>0</v>
      </c>
      <c r="M126" s="1462">
        <f>IF(ISERROR('A10-SerDel'!K60/'SA18'!K8),0,('A10-SerDel'!K60/'SA18'!K8))</f>
        <v>0</v>
      </c>
    </row>
    <row r="127" spans="1:13" ht="25.5" x14ac:dyDescent="0.25">
      <c r="A127" s="1492" t="s">
        <v>1643</v>
      </c>
      <c r="B127" s="1473"/>
      <c r="D127" s="1416">
        <f>IF(ISERROR('A10-SerDel'!C79/('A1-Sum'!B10-'A1-Sum'!B8)),0,('A10-SerDel'!C79/('A1-Sum'!B10-'A1-Sum'!B8)))</f>
        <v>-4.8906203210869331E-2</v>
      </c>
      <c r="E127" s="1416">
        <f>IF(ISERROR('A10-SerDel'!D79/('A1-Sum'!C10-'A1-Sum'!C8)),0,('A10-SerDel'!D79/('A1-Sum'!C10-'A1-Sum'!C8)))</f>
        <v>-4.7508497388921281E-2</v>
      </c>
      <c r="F127" s="1462">
        <f>IF(ISERROR('A10-SerDel'!E79/('A1-Sum'!D10-'A1-Sum'!D8)),0,('A10-SerDel'!E79/('A1-Sum'!D10-'A1-Sum'!D8)))</f>
        <v>-6.7628266716097007E-2</v>
      </c>
      <c r="G127" s="1491">
        <f>IF(ISERROR('A10-SerDel'!F79/('A1-Sum'!E10-'A1-Sum'!E8)),0,('A10-SerDel'!F79/('A1-Sum'!E10-'A1-Sum'!E8)))</f>
        <v>4.3361867198366814E-2</v>
      </c>
      <c r="H127" s="1416">
        <f>IF(ISERROR('A10-SerDel'!G79/('A1-Sum'!F10-'A1-Sum'!F8)),0,('A10-SerDel'!G79/('A1-Sum'!F10-'A1-Sum'!F8)))</f>
        <v>4.3810393761110226E-2</v>
      </c>
      <c r="I127" s="1416">
        <f>IF(ISERROR('A10-SerDel'!H79/('A1-Sum'!G10-'A1-Sum'!G8)),0,('A10-SerDel'!H79/('A1-Sum'!G10-'A1-Sum'!G8)))</f>
        <v>4.3810393761110226E-2</v>
      </c>
      <c r="J127" s="1462"/>
      <c r="K127" s="1491">
        <f>IF(ISERROR('A10-SerDel'!I79/('A1-Sum'!I10-'A1-Sum'!I8)),0,('A10-SerDel'!I79/('A1-Sum'!I10-'A1-Sum'!I8)))</f>
        <v>4.5891072146538078E-2</v>
      </c>
      <c r="L127" s="1416">
        <f>IF(ISERROR('A10-SerDel'!J79/('A1-Sum'!J10-'A1-Sum'!J8)),0,('A10-SerDel'!J79/('A1-Sum'!J10-'A1-Sum'!J8)))</f>
        <v>4.381034837046624E-2</v>
      </c>
      <c r="M127" s="1462">
        <f>IF(ISERROR('A10-SerDel'!K79/('A1-Sum'!K10-'A1-Sum'!K8)),0,('A10-SerDel'!K79/('A1-Sum'!K10-'A1-Sum'!K8)))</f>
        <v>4.3810384094181011E-2</v>
      </c>
    </row>
    <row r="128" spans="1:13" ht="5.25" customHeight="1" x14ac:dyDescent="0.25">
      <c r="A128" s="1492"/>
      <c r="B128" s="1473"/>
      <c r="D128" s="1491"/>
      <c r="E128" s="1416"/>
      <c r="F128" s="1467"/>
      <c r="G128" s="1491"/>
      <c r="H128" s="1416"/>
      <c r="I128" s="1416"/>
      <c r="J128" s="1462"/>
      <c r="K128" s="1491"/>
      <c r="L128" s="1416"/>
      <c r="M128" s="1462"/>
    </row>
    <row r="129" spans="1:13" ht="18" customHeight="1" x14ac:dyDescent="0.25">
      <c r="A129" s="1493" t="s">
        <v>1684</v>
      </c>
      <c r="B129" s="1494"/>
      <c r="C129" s="1495"/>
      <c r="D129" s="1496"/>
      <c r="E129" s="1497"/>
      <c r="F129" s="1498"/>
      <c r="G129" s="1499"/>
      <c r="H129" s="1500"/>
      <c r="I129" s="1500"/>
      <c r="J129" s="1498"/>
      <c r="K129" s="1499"/>
      <c r="L129" s="1500"/>
      <c r="M129" s="1498"/>
    </row>
    <row r="130" spans="1:13" ht="13.5" x14ac:dyDescent="0.25">
      <c r="A130" s="1501" t="s">
        <v>1610</v>
      </c>
      <c r="B130" s="1502"/>
      <c r="C130" s="1503"/>
      <c r="D130" s="1504">
        <f>D86</f>
        <v>87006387</v>
      </c>
      <c r="E130" s="1504">
        <f t="shared" ref="E130:M130" si="10">E86</f>
        <v>94167298</v>
      </c>
      <c r="F130" s="1505">
        <f t="shared" si="10"/>
        <v>102226902</v>
      </c>
      <c r="G130" s="1504">
        <f t="shared" si="10"/>
        <v>108226455</v>
      </c>
      <c r="H130" s="1504">
        <f t="shared" si="10"/>
        <v>119903045</v>
      </c>
      <c r="I130" s="1504">
        <f t="shared" si="10"/>
        <v>119903045</v>
      </c>
      <c r="J130" s="1505">
        <f>J86</f>
        <v>70709058</v>
      </c>
      <c r="K130" s="1504">
        <f t="shared" si="10"/>
        <v>110688122</v>
      </c>
      <c r="L130" s="1504">
        <f t="shared" si="10"/>
        <v>124822640</v>
      </c>
      <c r="M130" s="1505">
        <f t="shared" si="10"/>
        <v>127359424</v>
      </c>
    </row>
    <row r="131" spans="1:13" ht="13.5" x14ac:dyDescent="0.25">
      <c r="A131" s="1501" t="s">
        <v>1611</v>
      </c>
      <c r="B131" s="1502"/>
      <c r="C131" s="1503"/>
      <c r="D131" s="1504">
        <f t="shared" ref="D131:M132" si="11">D87</f>
        <v>79616286</v>
      </c>
      <c r="E131" s="1504">
        <f t="shared" si="11"/>
        <v>81056933</v>
      </c>
      <c r="F131" s="1505">
        <f t="shared" si="11"/>
        <v>93821279</v>
      </c>
      <c r="G131" s="1504">
        <f t="shared" si="11"/>
        <v>121536902</v>
      </c>
      <c r="H131" s="1504">
        <f t="shared" si="11"/>
        <v>142539969</v>
      </c>
      <c r="I131" s="1504">
        <f t="shared" si="11"/>
        <v>142539969</v>
      </c>
      <c r="J131" s="1505">
        <f t="shared" si="11"/>
        <v>107271161</v>
      </c>
      <c r="K131" s="1504">
        <f t="shared" si="11"/>
        <v>142902464</v>
      </c>
      <c r="L131" s="1504">
        <f t="shared" si="11"/>
        <v>135688050</v>
      </c>
      <c r="M131" s="1505">
        <f t="shared" si="11"/>
        <v>146622609</v>
      </c>
    </row>
    <row r="132" spans="1:13" ht="13.5" x14ac:dyDescent="0.25">
      <c r="A132" s="1501" t="s">
        <v>1685</v>
      </c>
      <c r="B132" s="1502"/>
      <c r="C132" s="1503"/>
      <c r="D132" s="1504">
        <f t="shared" si="11"/>
        <v>7390101</v>
      </c>
      <c r="E132" s="1504">
        <f t="shared" si="11"/>
        <v>13110365</v>
      </c>
      <c r="F132" s="1505">
        <f t="shared" si="11"/>
        <v>8405623</v>
      </c>
      <c r="G132" s="1504">
        <f t="shared" si="11"/>
        <v>-13310447</v>
      </c>
      <c r="H132" s="1504">
        <f t="shared" si="11"/>
        <v>-22636924</v>
      </c>
      <c r="I132" s="1504">
        <f t="shared" si="11"/>
        <v>-22636924</v>
      </c>
      <c r="J132" s="1505">
        <f t="shared" si="11"/>
        <v>-36562103</v>
      </c>
      <c r="K132" s="1504">
        <f t="shared" si="11"/>
        <v>-32214342</v>
      </c>
      <c r="L132" s="1504">
        <f t="shared" si="11"/>
        <v>-10865410</v>
      </c>
      <c r="M132" s="1505">
        <f t="shared" si="11"/>
        <v>-19263185</v>
      </c>
    </row>
    <row r="133" spans="1:13" ht="13.5" x14ac:dyDescent="0.25">
      <c r="A133" s="1501" t="s">
        <v>1687</v>
      </c>
      <c r="B133" s="1502"/>
      <c r="C133" s="1503"/>
      <c r="D133" s="1504">
        <f>'A8-ResRecon'!C19</f>
        <v>48816250</v>
      </c>
      <c r="E133" s="1504">
        <f>'A8-ResRecon'!D19</f>
        <v>54701269</v>
      </c>
      <c r="F133" s="1505">
        <f>'A8-ResRecon'!E19</f>
        <v>57159668</v>
      </c>
      <c r="G133" s="1504">
        <f>'A8-ResRecon'!F19</f>
        <v>59495752</v>
      </c>
      <c r="H133" s="1504">
        <f>'A8-ResRecon'!G19</f>
        <v>48871827</v>
      </c>
      <c r="I133" s="1504">
        <f>'A8-ResRecon'!H19</f>
        <v>48871827</v>
      </c>
      <c r="J133" s="1505">
        <f>'A8-ResRecon'!I19</f>
        <v>56289785</v>
      </c>
      <c r="K133" s="1504">
        <f>'A8-ResRecon'!J19</f>
        <v>50110424</v>
      </c>
      <c r="L133" s="1504">
        <f>'A8-ResRecon'!K19</f>
        <v>26563827</v>
      </c>
      <c r="M133" s="1505">
        <f>'A8-ResRecon'!L19</f>
        <v>7751666</v>
      </c>
    </row>
    <row r="134" spans="1:13" ht="13.5" x14ac:dyDescent="0.25">
      <c r="A134" s="1506" t="s">
        <v>1686</v>
      </c>
      <c r="B134" s="1501"/>
      <c r="C134" s="1507">
        <v>15</v>
      </c>
      <c r="D134" s="1508">
        <f>IF(D133&gt;=0,1,0)</f>
        <v>1</v>
      </c>
      <c r="E134" s="1508">
        <f t="shared" ref="E134:M134" si="12">IF(E133&gt;=0,1,0)</f>
        <v>1</v>
      </c>
      <c r="F134" s="1509">
        <f t="shared" si="12"/>
        <v>1</v>
      </c>
      <c r="G134" s="1508">
        <f t="shared" si="12"/>
        <v>1</v>
      </c>
      <c r="H134" s="1508">
        <f t="shared" si="12"/>
        <v>1</v>
      </c>
      <c r="I134" s="1508">
        <f t="shared" si="12"/>
        <v>1</v>
      </c>
      <c r="J134" s="1509">
        <f t="shared" si="12"/>
        <v>1</v>
      </c>
      <c r="K134" s="1508">
        <f t="shared" si="12"/>
        <v>1</v>
      </c>
      <c r="L134" s="1508">
        <f t="shared" si="12"/>
        <v>1</v>
      </c>
      <c r="M134" s="1509">
        <f t="shared" si="12"/>
        <v>1</v>
      </c>
    </row>
    <row r="135" spans="1:13" s="1514" customFormat="1" ht="13.5" x14ac:dyDescent="0.25">
      <c r="A135" s="1510" t="s">
        <v>1695</v>
      </c>
      <c r="B135" s="1511"/>
      <c r="C135" s="1503">
        <v>15</v>
      </c>
      <c r="D135" s="1512" t="str">
        <f>IF(D134=1,"ü","û")</f>
        <v>ü</v>
      </c>
      <c r="E135" s="1512" t="str">
        <f t="shared" ref="E135:M135" si="13">IF(E134=1,"ü","û")</f>
        <v>ü</v>
      </c>
      <c r="F135" s="1513" t="str">
        <f t="shared" si="13"/>
        <v>ü</v>
      </c>
      <c r="G135" s="1512" t="str">
        <f t="shared" si="13"/>
        <v>ü</v>
      </c>
      <c r="H135" s="1512" t="str">
        <f t="shared" si="13"/>
        <v>ü</v>
      </c>
      <c r="I135" s="1512" t="str">
        <f t="shared" si="13"/>
        <v>ü</v>
      </c>
      <c r="J135" s="1513" t="str">
        <f t="shared" si="13"/>
        <v>ü</v>
      </c>
      <c r="K135" s="1512" t="str">
        <f t="shared" si="13"/>
        <v>ü</v>
      </c>
      <c r="L135" s="1512" t="str">
        <f t="shared" si="13"/>
        <v>ü</v>
      </c>
      <c r="M135" s="1513" t="str">
        <f t="shared" si="13"/>
        <v>ü</v>
      </c>
    </row>
    <row r="136" spans="1:13" ht="13.5" x14ac:dyDescent="0.25">
      <c r="A136" s="1515"/>
      <c r="B136" s="1516"/>
      <c r="C136" s="1517"/>
      <c r="D136" s="1518"/>
      <c r="E136" s="1519"/>
      <c r="F136" s="1520"/>
      <c r="G136" s="1521"/>
      <c r="H136" s="1522"/>
      <c r="I136" s="1522"/>
      <c r="J136" s="1520"/>
      <c r="K136" s="1521"/>
      <c r="L136" s="1522"/>
      <c r="M136" s="1520"/>
    </row>
    <row r="137" spans="1:13" x14ac:dyDescent="0.25">
      <c r="A137" s="1523" t="str">
        <f>head27a</f>
        <v>References</v>
      </c>
    </row>
    <row r="138" spans="1:13" x14ac:dyDescent="0.25">
      <c r="A138" s="296" t="s">
        <v>1958</v>
      </c>
    </row>
  </sheetData>
  <mergeCells count="5">
    <mergeCell ref="A2:A3"/>
    <mergeCell ref="K2:M2"/>
    <mergeCell ref="B2:B3"/>
    <mergeCell ref="C2:C3"/>
    <mergeCell ref="G2:J2"/>
  </mergeCells>
  <phoneticPr fontId="7" type="noConversion"/>
  <dataValidations count="1">
    <dataValidation type="decimal" allowBlank="1" showInputMessage="1" showErrorMessage="1" sqref="K63:M67 K72:M75 K78:M81" xr:uid="{00000000-0002-0000-1D00-000000000000}">
      <formula1>-9999999999999990</formula1>
      <formula2>99999999999999900</formula2>
    </dataValidation>
  </dataValidations>
  <printOptions horizontalCentered="1"/>
  <pageMargins left="0" right="0" top="0.78740157480314965" bottom="0.59055118110236227" header="0.51181102362204722" footer="0.39"/>
  <pageSetup paperSize="9" scale="48" orientation="portrait" horizontalDpi="300" verticalDpi="300" r:id="rId1"/>
  <headerFooter alignWithMargins="0"/>
  <ignoredErrors>
    <ignoredError sqref="K68 L68:M68" formulaRange="1"/>
  </ignoredError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31">
    <pageSetUpPr fitToPage="1"/>
  </sheetPr>
  <dimension ref="A1:L112"/>
  <sheetViews>
    <sheetView showGridLines="0" zoomScale="110" zoomScaleNormal="110" workbookViewId="0">
      <pane xSplit="2" ySplit="4" topLeftCell="C20" activePane="bottomRight" state="frozen"/>
      <selection pane="topRight"/>
      <selection pane="bottomLeft"/>
      <selection pane="bottomRight" activeCell="C19" sqref="C19"/>
    </sheetView>
  </sheetViews>
  <sheetFormatPr defaultColWidth="9.140625" defaultRowHeight="12.75" x14ac:dyDescent="0.25"/>
  <cols>
    <col min="1" max="1" width="30.7109375" style="58" customWidth="1"/>
    <col min="2" max="2" width="3" style="55" customWidth="1"/>
    <col min="3" max="11" width="9.28515625" style="58" customWidth="1"/>
    <col min="12" max="12" width="9.7109375" style="58" customWidth="1"/>
    <col min="13" max="13" width="9.42578125" style="58" customWidth="1"/>
    <col min="14" max="14" width="9.7109375" style="58" customWidth="1"/>
    <col min="15" max="17" width="9.42578125" style="58" customWidth="1"/>
    <col min="18" max="18" width="9.7109375" style="58" customWidth="1"/>
    <col min="19" max="21" width="9.42578125" style="58" customWidth="1"/>
    <col min="22" max="23" width="9.7109375" style="58" customWidth="1"/>
    <col min="24" max="16384" width="9.140625" style="58"/>
  </cols>
  <sheetData>
    <row r="1" spans="1:11" ht="13.5" x14ac:dyDescent="0.25">
      <c r="A1" s="92" t="str">
        <f>muni&amp;" - "&amp;TableA11</f>
        <v>KZN226 Mkhambathini - Supporting Table SA11 Property rates summary</v>
      </c>
      <c r="B1" s="92"/>
      <c r="C1" s="92"/>
      <c r="D1" s="92"/>
      <c r="E1" s="92"/>
      <c r="F1" s="92"/>
      <c r="G1" s="92"/>
      <c r="H1" s="92"/>
      <c r="I1" s="92"/>
      <c r="J1" s="92"/>
      <c r="K1" s="92"/>
    </row>
    <row r="2" spans="1:11" ht="28.5" customHeight="1" x14ac:dyDescent="0.25">
      <c r="A2" s="2499" t="str">
        <f>desc</f>
        <v>Description</v>
      </c>
      <c r="B2" s="2470" t="str">
        <f>head27</f>
        <v>Ref</v>
      </c>
      <c r="C2" s="683" t="str">
        <f>head1b</f>
        <v>2017/18</v>
      </c>
      <c r="D2" s="837" t="str">
        <f>head1A</f>
        <v>2018/19</v>
      </c>
      <c r="E2" s="684" t="str">
        <f>Head1</f>
        <v>2019/20</v>
      </c>
      <c r="F2" s="2447" t="str">
        <f>Head2</f>
        <v>Current Year 2020/21</v>
      </c>
      <c r="G2" s="2448"/>
      <c r="H2" s="2449"/>
      <c r="I2" s="2450" t="str">
        <f>Head3</f>
        <v>2021/22 Medium Term Revenue &amp; Expenditure Framework</v>
      </c>
      <c r="J2" s="2451"/>
      <c r="K2" s="2452"/>
    </row>
    <row r="3" spans="1:11" ht="25.5" x14ac:dyDescent="0.25">
      <c r="A3" s="2500"/>
      <c r="B3" s="2473"/>
      <c r="C3" s="906" t="str">
        <f>Head5</f>
        <v>Audited Outcome</v>
      </c>
      <c r="D3" s="421" t="str">
        <f>Head5</f>
        <v>Audited Outcome</v>
      </c>
      <c r="E3" s="422" t="str">
        <f>Head5</f>
        <v>Audited Outcome</v>
      </c>
      <c r="F3" s="423" t="str">
        <f>Head6</f>
        <v>Original Budget</v>
      </c>
      <c r="G3" s="421" t="str">
        <f>Head7</f>
        <v>Adjusted Budget</v>
      </c>
      <c r="H3" s="422" t="str">
        <f>Head8</f>
        <v>Full Year Forecast</v>
      </c>
      <c r="I3" s="423" t="str">
        <f>Head9</f>
        <v>Budget Year 2021/22</v>
      </c>
      <c r="J3" s="421" t="str">
        <f>Head10</f>
        <v>Budget Year +1 2022/23</v>
      </c>
      <c r="K3" s="422" t="str">
        <f>Head11</f>
        <v>Budget Year +2 2023/24</v>
      </c>
    </row>
    <row r="4" spans="1:11" ht="4.5" customHeight="1" x14ac:dyDescent="0.25">
      <c r="A4" s="156"/>
      <c r="B4" s="2471"/>
      <c r="C4" s="909"/>
      <c r="D4" s="691"/>
      <c r="E4" s="907"/>
      <c r="F4" s="908"/>
      <c r="G4" s="691"/>
      <c r="H4" s="907"/>
      <c r="I4" s="908"/>
      <c r="J4" s="691"/>
      <c r="K4" s="907"/>
    </row>
    <row r="5" spans="1:11" ht="11.25" customHeight="1" x14ac:dyDescent="0.25">
      <c r="A5" s="158" t="s">
        <v>644</v>
      </c>
      <c r="B5" s="1524">
        <v>1</v>
      </c>
      <c r="C5" s="1525"/>
      <c r="D5" s="1525"/>
      <c r="E5" s="740"/>
      <c r="F5" s="928"/>
      <c r="G5" s="1526"/>
      <c r="H5" s="1527"/>
      <c r="I5" s="1528"/>
      <c r="J5" s="1526"/>
      <c r="K5" s="1529"/>
    </row>
    <row r="6" spans="1:11" ht="11.25" customHeight="1" x14ac:dyDescent="0.25">
      <c r="A6" s="164" t="s">
        <v>643</v>
      </c>
      <c r="B6" s="864"/>
      <c r="C6" s="1530"/>
      <c r="D6" s="1530"/>
      <c r="E6" s="1531"/>
      <c r="F6" s="1532"/>
      <c r="G6" s="1533"/>
      <c r="H6" s="1534"/>
      <c r="I6" s="1535"/>
      <c r="J6" s="1533"/>
      <c r="K6" s="1536"/>
    </row>
    <row r="7" spans="1:11" ht="11.25" customHeight="1" x14ac:dyDescent="0.25">
      <c r="A7" s="164" t="s">
        <v>562</v>
      </c>
      <c r="B7" s="864"/>
      <c r="C7" s="1537">
        <v>2017</v>
      </c>
      <c r="D7" s="1537">
        <v>2018</v>
      </c>
      <c r="E7" s="1538">
        <v>2019</v>
      </c>
      <c r="F7" s="1539">
        <v>2020</v>
      </c>
      <c r="G7" s="1540"/>
      <c r="H7" s="1541"/>
      <c r="I7" s="1542">
        <v>2021</v>
      </c>
      <c r="J7" s="1543"/>
      <c r="K7" s="1544"/>
    </row>
    <row r="8" spans="1:11" ht="11.25" customHeight="1" x14ac:dyDescent="0.25">
      <c r="A8" s="164" t="s">
        <v>348</v>
      </c>
      <c r="B8" s="1545" t="s">
        <v>665</v>
      </c>
      <c r="C8" s="1546" t="s">
        <v>364</v>
      </c>
      <c r="D8" s="1546" t="s">
        <v>364</v>
      </c>
      <c r="E8" s="1547" t="s">
        <v>364</v>
      </c>
      <c r="F8" s="1548" t="s">
        <v>364</v>
      </c>
      <c r="G8" s="1549"/>
      <c r="H8" s="1550"/>
      <c r="I8" s="1551" t="s">
        <v>364</v>
      </c>
      <c r="J8" s="1543"/>
      <c r="K8" s="1544"/>
    </row>
    <row r="9" spans="1:11" ht="11.25" customHeight="1" x14ac:dyDescent="0.25">
      <c r="A9" s="164" t="s">
        <v>1099</v>
      </c>
      <c r="B9" s="864"/>
      <c r="C9" s="1546" t="s">
        <v>364</v>
      </c>
      <c r="D9" s="1546" t="s">
        <v>364</v>
      </c>
      <c r="E9" s="1547" t="s">
        <v>364</v>
      </c>
      <c r="F9" s="1548" t="s">
        <v>364</v>
      </c>
      <c r="G9" s="1552"/>
      <c r="H9" s="1553"/>
      <c r="I9" s="1551" t="s">
        <v>364</v>
      </c>
      <c r="J9" s="1554"/>
      <c r="K9" s="1555"/>
    </row>
    <row r="10" spans="1:11" ht="11.25" customHeight="1" x14ac:dyDescent="0.25">
      <c r="A10" s="164" t="s">
        <v>645</v>
      </c>
      <c r="B10" s="864"/>
      <c r="C10" s="1546"/>
      <c r="D10" s="1546"/>
      <c r="E10" s="1547"/>
      <c r="F10" s="1548"/>
      <c r="G10" s="1546"/>
      <c r="H10" s="1556"/>
      <c r="I10" s="1551"/>
      <c r="J10" s="1546"/>
      <c r="K10" s="1547"/>
    </row>
    <row r="11" spans="1:11" ht="11.25" customHeight="1" x14ac:dyDescent="0.25">
      <c r="A11" s="164" t="s">
        <v>1100</v>
      </c>
      <c r="B11" s="1545">
        <v>3</v>
      </c>
      <c r="C11" s="1557"/>
      <c r="D11" s="1558"/>
      <c r="E11" s="1559"/>
      <c r="F11" s="1560"/>
      <c r="G11" s="1557"/>
      <c r="H11" s="1561"/>
      <c r="I11" s="1562"/>
      <c r="J11" s="1557"/>
      <c r="K11" s="1563"/>
    </row>
    <row r="12" spans="1:11" ht="11.25" customHeight="1" x14ac:dyDescent="0.25">
      <c r="A12" s="136" t="s">
        <v>1101</v>
      </c>
      <c r="B12" s="1369">
        <v>3</v>
      </c>
      <c r="C12" s="1564"/>
      <c r="D12" s="1565"/>
      <c r="E12" s="1566"/>
      <c r="F12" s="1560"/>
      <c r="G12" s="1564"/>
      <c r="H12" s="1567"/>
      <c r="I12" s="1562"/>
      <c r="J12" s="1564"/>
      <c r="K12" s="1568"/>
    </row>
    <row r="13" spans="1:11" ht="11.25" customHeight="1" x14ac:dyDescent="0.25">
      <c r="A13" s="136" t="s">
        <v>1102</v>
      </c>
      <c r="B13" s="1369">
        <v>3</v>
      </c>
      <c r="C13" s="1564"/>
      <c r="D13" s="1565"/>
      <c r="E13" s="1566"/>
      <c r="F13" s="1560"/>
      <c r="G13" s="1564"/>
      <c r="H13" s="1567"/>
      <c r="I13" s="1562"/>
      <c r="J13" s="1564"/>
      <c r="K13" s="1568"/>
    </row>
    <row r="14" spans="1:11" ht="11.25" customHeight="1" x14ac:dyDescent="0.25">
      <c r="A14" s="136" t="s">
        <v>1103</v>
      </c>
      <c r="B14" s="1369">
        <v>3</v>
      </c>
      <c r="C14" s="1564"/>
      <c r="D14" s="1565"/>
      <c r="E14" s="1566"/>
      <c r="F14" s="1560"/>
      <c r="G14" s="1564"/>
      <c r="H14" s="1567"/>
      <c r="I14" s="1562"/>
      <c r="J14" s="1564"/>
      <c r="K14" s="1568"/>
    </row>
    <row r="15" spans="1:11" ht="11.25" customHeight="1" x14ac:dyDescent="0.25">
      <c r="A15" s="136" t="s">
        <v>1384</v>
      </c>
      <c r="B15" s="1569">
        <v>4</v>
      </c>
      <c r="C15" s="1564"/>
      <c r="D15" s="1565"/>
      <c r="E15" s="1566"/>
      <c r="F15" s="1560"/>
      <c r="G15" s="1564"/>
      <c r="H15" s="1567"/>
      <c r="I15" s="1562"/>
      <c r="J15" s="1564"/>
      <c r="K15" s="1568"/>
    </row>
    <row r="16" spans="1:11" ht="11.25" customHeight="1" x14ac:dyDescent="0.25">
      <c r="A16" s="164" t="s">
        <v>563</v>
      </c>
      <c r="B16" s="864"/>
      <c r="C16" s="1546" t="s">
        <v>364</v>
      </c>
      <c r="D16" s="1546" t="s">
        <v>364</v>
      </c>
      <c r="E16" s="1547" t="s">
        <v>364</v>
      </c>
      <c r="F16" s="1548" t="s">
        <v>364</v>
      </c>
      <c r="G16" s="1552"/>
      <c r="H16" s="1553"/>
      <c r="I16" s="1551"/>
      <c r="J16" s="1554"/>
      <c r="K16" s="1555"/>
    </row>
    <row r="17" spans="1:11" ht="11.25" customHeight="1" x14ac:dyDescent="0.25">
      <c r="A17" s="164" t="s">
        <v>346</v>
      </c>
      <c r="B17" s="864"/>
      <c r="C17" s="1564"/>
      <c r="D17" s="1565"/>
      <c r="E17" s="1566"/>
      <c r="F17" s="1560"/>
      <c r="G17" s="1552"/>
      <c r="H17" s="1553"/>
      <c r="I17" s="1562"/>
      <c r="J17" s="1570"/>
      <c r="K17" s="1571"/>
    </row>
    <row r="18" spans="1:11" ht="11.25" customHeight="1" x14ac:dyDescent="0.25">
      <c r="A18" s="164" t="s">
        <v>349</v>
      </c>
      <c r="B18" s="1545">
        <v>5</v>
      </c>
      <c r="C18" s="1565"/>
      <c r="D18" s="1565"/>
      <c r="E18" s="1566"/>
      <c r="F18" s="1560"/>
      <c r="G18" s="1565"/>
      <c r="H18" s="1572"/>
      <c r="I18" s="1562">
        <v>1267</v>
      </c>
      <c r="J18" s="1564">
        <v>1267</v>
      </c>
      <c r="K18" s="1568">
        <v>1267</v>
      </c>
    </row>
    <row r="19" spans="1:11" ht="11.25" customHeight="1" x14ac:dyDescent="0.25">
      <c r="A19" s="164" t="s">
        <v>350</v>
      </c>
      <c r="B19" s="1545">
        <v>5</v>
      </c>
      <c r="C19" s="1565">
        <v>74816000</v>
      </c>
      <c r="D19" s="1565">
        <v>74816000</v>
      </c>
      <c r="E19" s="1566">
        <v>74816000</v>
      </c>
      <c r="F19" s="1560" t="s">
        <v>6297</v>
      </c>
      <c r="G19" s="1565" t="s">
        <v>6297</v>
      </c>
      <c r="H19" s="1572" t="s">
        <v>6297</v>
      </c>
      <c r="I19" s="1562" t="s">
        <v>6297</v>
      </c>
      <c r="J19" s="1564" t="s">
        <v>6297</v>
      </c>
      <c r="K19" s="1568" t="s">
        <v>6297</v>
      </c>
    </row>
    <row r="20" spans="1:11" ht="11.25" customHeight="1" x14ac:dyDescent="0.25">
      <c r="A20" s="164" t="s">
        <v>351</v>
      </c>
      <c r="B20" s="1545"/>
      <c r="C20" s="1565"/>
      <c r="D20" s="1565"/>
      <c r="E20" s="1566"/>
      <c r="F20" s="1560"/>
      <c r="G20" s="1565"/>
      <c r="H20" s="1572"/>
      <c r="I20" s="1562"/>
      <c r="J20" s="1564"/>
      <c r="K20" s="1568"/>
    </row>
    <row r="21" spans="1:11" ht="11.25" customHeight="1" x14ac:dyDescent="0.25">
      <c r="A21" s="164" t="s">
        <v>636</v>
      </c>
      <c r="B21" s="864"/>
      <c r="C21" s="1564">
        <v>3</v>
      </c>
      <c r="D21" s="1565">
        <v>3</v>
      </c>
      <c r="E21" s="1566">
        <v>3</v>
      </c>
      <c r="F21" s="1560">
        <v>1</v>
      </c>
      <c r="G21" s="1565">
        <v>1</v>
      </c>
      <c r="H21" s="1572">
        <v>1</v>
      </c>
      <c r="I21" s="1562">
        <v>1</v>
      </c>
      <c r="J21" s="1564">
        <v>0</v>
      </c>
      <c r="K21" s="1568">
        <v>0</v>
      </c>
    </row>
    <row r="22" spans="1:11" ht="11.25" customHeight="1" x14ac:dyDescent="0.25">
      <c r="A22" s="164" t="s">
        <v>637</v>
      </c>
      <c r="B22" s="864"/>
      <c r="C22" s="1564">
        <v>0</v>
      </c>
      <c r="D22" s="1565">
        <v>0</v>
      </c>
      <c r="E22" s="1566">
        <v>0</v>
      </c>
      <c r="F22" s="1560">
        <v>0</v>
      </c>
      <c r="G22" s="1564">
        <v>0</v>
      </c>
      <c r="H22" s="1567">
        <v>0</v>
      </c>
      <c r="I22" s="1562">
        <v>0</v>
      </c>
      <c r="J22" s="1564">
        <v>0</v>
      </c>
      <c r="K22" s="1568">
        <v>0</v>
      </c>
    </row>
    <row r="23" spans="1:11" ht="11.25" customHeight="1" x14ac:dyDescent="0.25">
      <c r="A23" s="164" t="s">
        <v>318</v>
      </c>
      <c r="B23" s="864"/>
      <c r="C23" s="1564">
        <v>10</v>
      </c>
      <c r="D23" s="1565">
        <v>10</v>
      </c>
      <c r="E23" s="1566">
        <v>10</v>
      </c>
      <c r="F23" s="1560">
        <v>16</v>
      </c>
      <c r="G23" s="1564">
        <v>16</v>
      </c>
      <c r="H23" s="1567">
        <v>16</v>
      </c>
      <c r="I23" s="1562">
        <v>0</v>
      </c>
      <c r="J23" s="1564">
        <v>0</v>
      </c>
      <c r="K23" s="1568">
        <v>0</v>
      </c>
    </row>
    <row r="24" spans="1:11" ht="11.25" customHeight="1" x14ac:dyDescent="0.25">
      <c r="A24" s="164" t="s">
        <v>319</v>
      </c>
      <c r="B24" s="864"/>
      <c r="C24" s="1564">
        <v>2</v>
      </c>
      <c r="D24" s="1565">
        <v>2</v>
      </c>
      <c r="E24" s="1566">
        <v>2</v>
      </c>
      <c r="F24" s="1560">
        <v>2</v>
      </c>
      <c r="G24" s="1564">
        <v>2</v>
      </c>
      <c r="H24" s="1567">
        <v>2</v>
      </c>
      <c r="I24" s="1562">
        <v>0</v>
      </c>
      <c r="J24" s="1564">
        <v>0</v>
      </c>
      <c r="K24" s="1568">
        <v>0</v>
      </c>
    </row>
    <row r="25" spans="1:11" ht="11.25" customHeight="1" x14ac:dyDescent="0.25">
      <c r="A25" s="164" t="s">
        <v>646</v>
      </c>
      <c r="B25" s="864">
        <v>8</v>
      </c>
      <c r="C25" s="1564">
        <v>0</v>
      </c>
      <c r="D25" s="1565">
        <v>0</v>
      </c>
      <c r="E25" s="1566">
        <v>0</v>
      </c>
      <c r="F25" s="1560">
        <v>0</v>
      </c>
      <c r="G25" s="1564">
        <v>0</v>
      </c>
      <c r="H25" s="1567">
        <v>0</v>
      </c>
      <c r="I25" s="1562">
        <v>0</v>
      </c>
      <c r="J25" s="1564">
        <v>0</v>
      </c>
      <c r="K25" s="1568">
        <v>0</v>
      </c>
    </row>
    <row r="26" spans="1:11" ht="11.25" customHeight="1" x14ac:dyDescent="0.25">
      <c r="A26" s="164" t="s">
        <v>635</v>
      </c>
      <c r="B26" s="864">
        <v>8</v>
      </c>
      <c r="C26" s="1564">
        <v>0</v>
      </c>
      <c r="D26" s="1565">
        <v>0</v>
      </c>
      <c r="E26" s="1566">
        <v>0</v>
      </c>
      <c r="F26" s="1560">
        <v>0</v>
      </c>
      <c r="G26" s="1564">
        <v>0</v>
      </c>
      <c r="H26" s="1567">
        <v>0</v>
      </c>
      <c r="I26" s="1562">
        <v>0</v>
      </c>
      <c r="J26" s="1564">
        <v>0</v>
      </c>
      <c r="K26" s="1568">
        <v>0</v>
      </c>
    </row>
    <row r="27" spans="1:11" ht="11.25" customHeight="1" x14ac:dyDescent="0.25">
      <c r="A27" s="164" t="s">
        <v>1341</v>
      </c>
      <c r="B27" s="864"/>
      <c r="C27" s="1565">
        <v>2</v>
      </c>
      <c r="D27" s="1565">
        <v>2</v>
      </c>
      <c r="E27" s="1566">
        <v>2</v>
      </c>
      <c r="F27" s="1560">
        <v>2</v>
      </c>
      <c r="G27" s="1565">
        <v>2</v>
      </c>
      <c r="H27" s="1572">
        <v>2</v>
      </c>
      <c r="I27" s="1562">
        <v>2</v>
      </c>
      <c r="J27" s="1564">
        <v>2</v>
      </c>
      <c r="K27" s="1568">
        <v>2</v>
      </c>
    </row>
    <row r="28" spans="1:11" ht="11.25" customHeight="1" x14ac:dyDescent="0.25">
      <c r="A28" s="164" t="s">
        <v>450</v>
      </c>
      <c r="B28" s="1545">
        <v>5</v>
      </c>
      <c r="C28" s="1573"/>
      <c r="D28" s="1573"/>
      <c r="E28" s="1574"/>
      <c r="F28" s="1575"/>
      <c r="G28" s="1573"/>
      <c r="H28" s="1576"/>
      <c r="I28" s="1577"/>
      <c r="J28" s="1578"/>
      <c r="K28" s="1579"/>
    </row>
    <row r="29" spans="1:11" ht="11.25" customHeight="1" x14ac:dyDescent="0.25">
      <c r="A29" s="164" t="s">
        <v>1225</v>
      </c>
      <c r="B29" s="1545"/>
      <c r="C29" s="1573">
        <v>8880000</v>
      </c>
      <c r="D29" s="1573">
        <v>8880000</v>
      </c>
      <c r="E29" s="1574">
        <v>8880000</v>
      </c>
      <c r="F29" s="1575">
        <v>8880000</v>
      </c>
      <c r="G29" s="1573">
        <v>8880000</v>
      </c>
      <c r="H29" s="1576">
        <v>8880000</v>
      </c>
      <c r="I29" s="1577">
        <v>8880000</v>
      </c>
      <c r="J29" s="1578">
        <v>8880000</v>
      </c>
      <c r="K29" s="1579">
        <v>8880000</v>
      </c>
    </row>
    <row r="30" spans="1:11" ht="11.25" customHeight="1" x14ac:dyDescent="0.25">
      <c r="A30" s="158" t="s">
        <v>1342</v>
      </c>
      <c r="B30" s="1545"/>
      <c r="C30" s="1580"/>
      <c r="D30" s="1580"/>
      <c r="E30" s="1581"/>
      <c r="F30" s="1582"/>
      <c r="G30" s="1580"/>
      <c r="H30" s="1583"/>
      <c r="I30" s="1584"/>
      <c r="J30" s="1585"/>
      <c r="K30" s="723"/>
    </row>
    <row r="31" spans="1:11" ht="11.25" customHeight="1" x14ac:dyDescent="0.25">
      <c r="A31" s="164" t="s">
        <v>451</v>
      </c>
      <c r="B31" s="1545"/>
      <c r="C31" s="1573">
        <v>4151232</v>
      </c>
      <c r="D31" s="1573">
        <v>10378080</v>
      </c>
      <c r="E31" s="1574">
        <v>17296800</v>
      </c>
      <c r="F31" s="1575" t="s">
        <v>6297</v>
      </c>
      <c r="G31" s="1573" t="s">
        <v>6297</v>
      </c>
      <c r="H31" s="1576" t="s">
        <v>6297</v>
      </c>
      <c r="I31" s="1577" t="s">
        <v>6297</v>
      </c>
      <c r="J31" s="1578" t="s">
        <v>6297</v>
      </c>
      <c r="K31" s="1579" t="s">
        <v>6297</v>
      </c>
    </row>
    <row r="32" spans="1:11" ht="11.25" customHeight="1" x14ac:dyDescent="0.25">
      <c r="A32" s="164" t="s">
        <v>452</v>
      </c>
      <c r="B32" s="1545"/>
      <c r="C32" s="1573">
        <v>0</v>
      </c>
      <c r="D32" s="1573">
        <v>0</v>
      </c>
      <c r="E32" s="1574">
        <v>0</v>
      </c>
      <c r="F32" s="1575">
        <v>0</v>
      </c>
      <c r="G32" s="1573">
        <v>0</v>
      </c>
      <c r="H32" s="1576">
        <v>0</v>
      </c>
      <c r="I32" s="1577">
        <v>0</v>
      </c>
      <c r="J32" s="1578">
        <v>0</v>
      </c>
      <c r="K32" s="1579">
        <v>0</v>
      </c>
    </row>
    <row r="33" spans="1:11" ht="11.25" customHeight="1" x14ac:dyDescent="0.25">
      <c r="A33" s="164" t="s">
        <v>453</v>
      </c>
      <c r="B33" s="1545"/>
      <c r="C33" s="1573">
        <v>0</v>
      </c>
      <c r="D33" s="1573">
        <v>0</v>
      </c>
      <c r="E33" s="1574">
        <v>0</v>
      </c>
      <c r="F33" s="1575">
        <v>0</v>
      </c>
      <c r="G33" s="1573">
        <v>0</v>
      </c>
      <c r="H33" s="1576">
        <v>0</v>
      </c>
      <c r="I33" s="1577">
        <v>0</v>
      </c>
      <c r="J33" s="1578">
        <v>0</v>
      </c>
      <c r="K33" s="1579">
        <v>0</v>
      </c>
    </row>
    <row r="34" spans="1:11" ht="11.25" customHeight="1" x14ac:dyDescent="0.25">
      <c r="A34" s="164" t="s">
        <v>454</v>
      </c>
      <c r="B34" s="1545"/>
      <c r="C34" s="1573">
        <v>5595000</v>
      </c>
      <c r="D34" s="1573">
        <v>5595000</v>
      </c>
      <c r="E34" s="1574">
        <v>5595000</v>
      </c>
      <c r="F34" s="1575">
        <v>5595000</v>
      </c>
      <c r="G34" s="1573">
        <v>5595000</v>
      </c>
      <c r="H34" s="1576">
        <v>5595000</v>
      </c>
      <c r="I34" s="1577">
        <v>5595000</v>
      </c>
      <c r="J34" s="1578">
        <v>5595000</v>
      </c>
      <c r="K34" s="1579">
        <v>5595000</v>
      </c>
    </row>
    <row r="35" spans="1:11" ht="11.25" customHeight="1" x14ac:dyDescent="0.25">
      <c r="A35" s="164" t="s">
        <v>455</v>
      </c>
      <c r="B35" s="1545"/>
      <c r="C35" s="1573">
        <v>0</v>
      </c>
      <c r="D35" s="1573">
        <v>0</v>
      </c>
      <c r="E35" s="1574">
        <v>0</v>
      </c>
      <c r="F35" s="1575">
        <v>0</v>
      </c>
      <c r="G35" s="1573">
        <v>0</v>
      </c>
      <c r="H35" s="1576">
        <v>0</v>
      </c>
      <c r="I35" s="1577">
        <v>0</v>
      </c>
      <c r="J35" s="1578">
        <v>0</v>
      </c>
      <c r="K35" s="1579">
        <v>0</v>
      </c>
    </row>
    <row r="36" spans="1:11" ht="11.25" customHeight="1" x14ac:dyDescent="0.25">
      <c r="A36" s="164" t="s">
        <v>456</v>
      </c>
      <c r="B36" s="1545"/>
      <c r="C36" s="1573">
        <v>0</v>
      </c>
      <c r="D36" s="1573">
        <v>0</v>
      </c>
      <c r="E36" s="1574">
        <v>106305000</v>
      </c>
      <c r="F36" s="1575">
        <v>106305000</v>
      </c>
      <c r="G36" s="1573">
        <v>106305000</v>
      </c>
      <c r="H36" s="1576">
        <v>106305000</v>
      </c>
      <c r="I36" s="1577">
        <v>106305000</v>
      </c>
      <c r="J36" s="1578">
        <v>106305000</v>
      </c>
      <c r="K36" s="1579">
        <v>106305000</v>
      </c>
    </row>
    <row r="37" spans="1:11" ht="11.25" customHeight="1" x14ac:dyDescent="0.25">
      <c r="A37" s="801" t="s">
        <v>1343</v>
      </c>
      <c r="B37" s="1545"/>
      <c r="C37" s="1586">
        <f>SUM(C31:C36)</f>
        <v>9746232</v>
      </c>
      <c r="D37" s="1586">
        <f t="shared" ref="D37:K37" si="0">SUM(D31:D36)</f>
        <v>15973080</v>
      </c>
      <c r="E37" s="1587">
        <f t="shared" si="0"/>
        <v>129196800</v>
      </c>
      <c r="F37" s="1588">
        <f t="shared" si="0"/>
        <v>111900000</v>
      </c>
      <c r="G37" s="1586">
        <f t="shared" si="0"/>
        <v>111900000</v>
      </c>
      <c r="H37" s="1589">
        <f t="shared" si="0"/>
        <v>111900000</v>
      </c>
      <c r="I37" s="1590">
        <f t="shared" si="0"/>
        <v>111900000</v>
      </c>
      <c r="J37" s="1591">
        <f t="shared" si="0"/>
        <v>111900000</v>
      </c>
      <c r="K37" s="1592">
        <f t="shared" si="0"/>
        <v>111900000</v>
      </c>
    </row>
    <row r="38" spans="1:11" ht="15.75" customHeight="1" x14ac:dyDescent="0.25">
      <c r="A38" s="164" t="s">
        <v>1273</v>
      </c>
      <c r="B38" s="1545">
        <v>5</v>
      </c>
      <c r="C38" s="1578">
        <v>2805561260</v>
      </c>
      <c r="D38" s="1578">
        <v>2805561260</v>
      </c>
      <c r="E38" s="1579">
        <v>2805561260</v>
      </c>
      <c r="F38" s="1593">
        <v>45577890000</v>
      </c>
      <c r="G38" s="1578">
        <v>45577890000</v>
      </c>
      <c r="H38" s="1594">
        <v>45577890000</v>
      </c>
      <c r="I38" s="1595">
        <v>45577890000</v>
      </c>
      <c r="J38" s="1578">
        <v>45577890000</v>
      </c>
      <c r="K38" s="1579">
        <v>45577890000</v>
      </c>
    </row>
    <row r="39" spans="1:11" ht="11.25" customHeight="1" x14ac:dyDescent="0.25">
      <c r="A39" s="164" t="s">
        <v>1274</v>
      </c>
      <c r="B39" s="1545">
        <v>5</v>
      </c>
      <c r="C39" s="1578"/>
      <c r="D39" s="1578"/>
      <c r="E39" s="1579"/>
      <c r="F39" s="1593"/>
      <c r="G39" s="1578"/>
      <c r="H39" s="1594"/>
      <c r="I39" s="1595"/>
      <c r="J39" s="1596"/>
      <c r="K39" s="1597"/>
    </row>
    <row r="40" spans="1:11" ht="11.25" customHeight="1" x14ac:dyDescent="0.25">
      <c r="A40" s="136" t="s">
        <v>1275</v>
      </c>
      <c r="B40" s="1545">
        <v>5</v>
      </c>
      <c r="C40" s="1578"/>
      <c r="D40" s="1578"/>
      <c r="E40" s="1579"/>
      <c r="F40" s="1593"/>
      <c r="G40" s="1578"/>
      <c r="H40" s="1594"/>
      <c r="I40" s="1595"/>
      <c r="J40" s="1578"/>
      <c r="K40" s="1579"/>
    </row>
    <row r="41" spans="1:11" ht="11.25" customHeight="1" x14ac:dyDescent="0.25">
      <c r="A41" s="136" t="s">
        <v>1276</v>
      </c>
      <c r="B41" s="1545">
        <v>5</v>
      </c>
      <c r="C41" s="1578">
        <v>2805561260</v>
      </c>
      <c r="D41" s="1573">
        <v>2805561260</v>
      </c>
      <c r="E41" s="1574">
        <v>2805561260</v>
      </c>
      <c r="F41" s="1575">
        <v>45577890000</v>
      </c>
      <c r="G41" s="1573">
        <v>45577890000</v>
      </c>
      <c r="H41" s="1576">
        <v>45577890000</v>
      </c>
      <c r="I41" s="1577">
        <v>45577890000</v>
      </c>
      <c r="J41" s="1578">
        <v>45577890000</v>
      </c>
      <c r="K41" s="1579">
        <v>45577890000</v>
      </c>
    </row>
    <row r="42" spans="1:11" ht="4.9000000000000004" customHeight="1" x14ac:dyDescent="0.25">
      <c r="A42" s="931"/>
      <c r="B42" s="1545"/>
      <c r="C42" s="916"/>
      <c r="D42" s="1598"/>
      <c r="E42" s="814"/>
      <c r="F42" s="1599"/>
      <c r="G42" s="1598"/>
      <c r="H42" s="1600"/>
      <c r="I42" s="1601"/>
      <c r="J42" s="916"/>
      <c r="K42" s="917"/>
    </row>
    <row r="43" spans="1:11" ht="11.25" customHeight="1" x14ac:dyDescent="0.25">
      <c r="A43" s="1602" t="s">
        <v>1344</v>
      </c>
      <c r="B43" s="1603"/>
      <c r="C43" s="1604"/>
      <c r="D43" s="1604"/>
      <c r="E43" s="1605"/>
      <c r="F43" s="1606"/>
      <c r="G43" s="1604"/>
      <c r="H43" s="1607"/>
      <c r="I43" s="1608"/>
      <c r="J43" s="1604"/>
      <c r="K43" s="1605"/>
    </row>
    <row r="44" spans="1:11" ht="26.25" customHeight="1" x14ac:dyDescent="0.25">
      <c r="A44" s="1119" t="s">
        <v>1272</v>
      </c>
      <c r="B44" s="864"/>
      <c r="C44" s="1546" t="s">
        <v>706</v>
      </c>
      <c r="D44" s="1546" t="s">
        <v>706</v>
      </c>
      <c r="E44" s="1609" t="s">
        <v>706</v>
      </c>
      <c r="F44" s="1610" t="s">
        <v>706</v>
      </c>
      <c r="G44" s="1611"/>
      <c r="H44" s="1612"/>
      <c r="I44" s="1613" t="s">
        <v>706</v>
      </c>
      <c r="J44" s="1611"/>
      <c r="K44" s="1614"/>
    </row>
    <row r="45" spans="1:11" ht="11.25" customHeight="1" x14ac:dyDescent="0.25">
      <c r="A45" s="164" t="s">
        <v>640</v>
      </c>
      <c r="B45" s="864">
        <v>5</v>
      </c>
      <c r="C45" s="1546" t="s">
        <v>364</v>
      </c>
      <c r="D45" s="1546" t="s">
        <v>364</v>
      </c>
      <c r="E45" s="1547" t="s">
        <v>364</v>
      </c>
      <c r="F45" s="1548" t="s">
        <v>364</v>
      </c>
      <c r="G45" s="1615"/>
      <c r="H45" s="1616"/>
      <c r="I45" s="1551" t="s">
        <v>364</v>
      </c>
      <c r="J45" s="1615"/>
      <c r="K45" s="1617"/>
    </row>
    <row r="46" spans="1:11" ht="11.25" customHeight="1" x14ac:dyDescent="0.25">
      <c r="A46" s="164" t="s">
        <v>641</v>
      </c>
      <c r="B46" s="864"/>
      <c r="C46" s="1546"/>
      <c r="D46" s="1546"/>
      <c r="E46" s="1547"/>
      <c r="F46" s="1548"/>
      <c r="G46" s="1546"/>
      <c r="H46" s="1556"/>
      <c r="I46" s="1551" t="s">
        <v>706</v>
      </c>
      <c r="J46" s="1546"/>
      <c r="K46" s="1547"/>
    </row>
    <row r="47" spans="1:11" ht="11.25" customHeight="1" x14ac:dyDescent="0.25">
      <c r="A47" s="164" t="s">
        <v>642</v>
      </c>
      <c r="B47" s="864"/>
      <c r="C47" s="1546" t="s">
        <v>706</v>
      </c>
      <c r="D47" s="1546" t="s">
        <v>706</v>
      </c>
      <c r="E47" s="1547" t="s">
        <v>706</v>
      </c>
      <c r="F47" s="1548" t="s">
        <v>706</v>
      </c>
      <c r="G47" s="1615"/>
      <c r="H47" s="1616"/>
      <c r="I47" s="1551"/>
      <c r="J47" s="1615"/>
      <c r="K47" s="1617"/>
    </row>
    <row r="48" spans="1:11" ht="11.25" customHeight="1" x14ac:dyDescent="0.25">
      <c r="A48" s="164" t="s">
        <v>140</v>
      </c>
      <c r="B48" s="864"/>
      <c r="C48" s="1546">
        <v>0</v>
      </c>
      <c r="D48" s="1546">
        <v>0</v>
      </c>
      <c r="E48" s="1547">
        <v>0</v>
      </c>
      <c r="F48" s="1548">
        <v>0</v>
      </c>
      <c r="G48" s="1546">
        <v>0</v>
      </c>
      <c r="H48" s="1556">
        <v>0</v>
      </c>
      <c r="I48" s="1551">
        <v>0</v>
      </c>
      <c r="J48" s="1546">
        <v>0</v>
      </c>
      <c r="K48" s="1547">
        <v>0</v>
      </c>
    </row>
    <row r="49" spans="1:12" ht="11.25" customHeight="1" x14ac:dyDescent="0.25">
      <c r="A49" s="164" t="s">
        <v>347</v>
      </c>
      <c r="B49" s="864"/>
      <c r="C49" s="1546" t="s">
        <v>364</v>
      </c>
      <c r="D49" s="1546" t="s">
        <v>364</v>
      </c>
      <c r="E49" s="1547" t="s">
        <v>364</v>
      </c>
      <c r="F49" s="1548" t="s">
        <v>364</v>
      </c>
      <c r="G49" s="1615"/>
      <c r="H49" s="1616"/>
      <c r="I49" s="1551" t="s">
        <v>364</v>
      </c>
      <c r="J49" s="1615"/>
      <c r="K49" s="1617"/>
    </row>
    <row r="50" spans="1:12" ht="11.25" customHeight="1" x14ac:dyDescent="0.25">
      <c r="A50" s="164" t="s">
        <v>355</v>
      </c>
      <c r="B50" s="864"/>
      <c r="C50" s="712">
        <v>0</v>
      </c>
      <c r="D50" s="712">
        <v>0</v>
      </c>
      <c r="E50" s="717">
        <v>0</v>
      </c>
      <c r="F50" s="718">
        <v>0</v>
      </c>
      <c r="G50" s="1615"/>
      <c r="H50" s="1616"/>
      <c r="I50" s="719">
        <v>0</v>
      </c>
      <c r="J50" s="1615"/>
      <c r="K50" s="1617"/>
    </row>
    <row r="51" spans="1:12" ht="11.25" customHeight="1" x14ac:dyDescent="0.25">
      <c r="A51" s="164" t="s">
        <v>457</v>
      </c>
      <c r="B51" s="864"/>
      <c r="C51" s="1618">
        <v>0.98</v>
      </c>
      <c r="D51" s="1618">
        <v>0.98</v>
      </c>
      <c r="E51" s="1619">
        <v>0.98</v>
      </c>
      <c r="F51" s="1620">
        <v>0.98</v>
      </c>
      <c r="G51" s="1615"/>
      <c r="H51" s="1616"/>
      <c r="I51" s="1621">
        <v>0.98</v>
      </c>
      <c r="J51" s="1615"/>
      <c r="K51" s="1617"/>
    </row>
    <row r="52" spans="1:12" ht="4.9000000000000004" customHeight="1" x14ac:dyDescent="0.25">
      <c r="A52" s="176"/>
      <c r="B52" s="864"/>
      <c r="C52" s="1585"/>
      <c r="D52" s="1585"/>
      <c r="E52" s="723"/>
      <c r="F52" s="1622"/>
      <c r="G52" s="1615"/>
      <c r="H52" s="1616"/>
      <c r="I52" s="919"/>
      <c r="J52" s="1615"/>
      <c r="K52" s="1617"/>
    </row>
    <row r="53" spans="1:12" ht="11.25" customHeight="1" x14ac:dyDescent="0.25">
      <c r="A53" s="158" t="s">
        <v>566</v>
      </c>
      <c r="B53" s="864"/>
      <c r="C53" s="1585"/>
      <c r="D53" s="1585"/>
      <c r="E53" s="723"/>
      <c r="F53" s="1622"/>
      <c r="G53" s="1615"/>
      <c r="H53" s="1616"/>
      <c r="I53" s="851"/>
      <c r="J53" s="1615"/>
      <c r="K53" s="1617"/>
    </row>
    <row r="54" spans="1:12" ht="11.25" customHeight="1" x14ac:dyDescent="0.25">
      <c r="A54" s="136" t="s">
        <v>1277</v>
      </c>
      <c r="B54" s="1545">
        <v>6</v>
      </c>
      <c r="C54" s="712">
        <v>16462214</v>
      </c>
      <c r="D54" s="712">
        <v>17989451</v>
      </c>
      <c r="E54" s="717">
        <v>22114206.039999995</v>
      </c>
      <c r="F54" s="718">
        <v>18699082.340000004</v>
      </c>
      <c r="G54" s="712">
        <v>18699082.340000004</v>
      </c>
      <c r="H54" s="713">
        <v>19781621.691214111</v>
      </c>
      <c r="I54" s="719">
        <v>20553104.949999999</v>
      </c>
      <c r="J54" s="712">
        <v>21042554.800000001</v>
      </c>
      <c r="K54" s="717">
        <v>22379143.899999999</v>
      </c>
      <c r="L54" s="322"/>
    </row>
    <row r="55" spans="1:12" ht="11.25" customHeight="1" x14ac:dyDescent="0.25">
      <c r="A55" s="136" t="s">
        <v>1278</v>
      </c>
      <c r="B55" s="1545">
        <v>6</v>
      </c>
      <c r="C55" s="712">
        <v>12895369.35</v>
      </c>
      <c r="D55" s="712">
        <v>12029780.188354285</v>
      </c>
      <c r="E55" s="717">
        <v>21008495.737999994</v>
      </c>
      <c r="F55" s="718">
        <v>17764128.223000001</v>
      </c>
      <c r="G55" s="712">
        <v>17764128.223000001</v>
      </c>
      <c r="H55" s="712">
        <v>17764128.223000001</v>
      </c>
      <c r="I55" s="719">
        <v>17470139</v>
      </c>
      <c r="J55" s="712">
        <v>17886172</v>
      </c>
      <c r="K55" s="717">
        <v>19022272</v>
      </c>
      <c r="L55" s="322"/>
    </row>
    <row r="56" spans="1:12" ht="11.25" customHeight="1" x14ac:dyDescent="0.25">
      <c r="A56" s="164" t="s">
        <v>1380</v>
      </c>
      <c r="B56" s="1545"/>
      <c r="C56" s="1623">
        <v>0.95</v>
      </c>
      <c r="D56" s="1623">
        <v>0.95</v>
      </c>
      <c r="E56" s="1624">
        <v>0.95</v>
      </c>
      <c r="F56" s="1625">
        <v>0.95</v>
      </c>
      <c r="G56" s="1623">
        <v>0.95</v>
      </c>
      <c r="H56" s="1626">
        <v>0.85</v>
      </c>
      <c r="I56" s="1626">
        <v>0.85</v>
      </c>
      <c r="J56" s="1626">
        <v>0.85</v>
      </c>
      <c r="K56" s="1626">
        <v>0.85</v>
      </c>
    </row>
    <row r="57" spans="1:12" ht="11.25" customHeight="1" x14ac:dyDescent="0.25">
      <c r="A57" s="164" t="s">
        <v>1308</v>
      </c>
      <c r="B57" s="1545">
        <v>7</v>
      </c>
      <c r="C57" s="1627">
        <v>0</v>
      </c>
      <c r="D57" s="1627">
        <v>0</v>
      </c>
      <c r="E57" s="1628">
        <v>0</v>
      </c>
      <c r="F57" s="1629">
        <v>0</v>
      </c>
      <c r="G57" s="1627">
        <v>0</v>
      </c>
      <c r="H57" s="1630">
        <v>0</v>
      </c>
      <c r="I57" s="1631">
        <v>0</v>
      </c>
      <c r="J57" s="712">
        <v>0</v>
      </c>
      <c r="K57" s="717">
        <v>0</v>
      </c>
    </row>
    <row r="58" spans="1:12" ht="15.75" customHeight="1" x14ac:dyDescent="0.25">
      <c r="A58" s="164" t="s">
        <v>356</v>
      </c>
      <c r="B58" s="1545"/>
      <c r="C58" s="1632">
        <v>0</v>
      </c>
      <c r="D58" s="1632">
        <v>0</v>
      </c>
      <c r="E58" s="1633">
        <v>0</v>
      </c>
      <c r="F58" s="1634">
        <v>0</v>
      </c>
      <c r="G58" s="1632">
        <v>0</v>
      </c>
      <c r="H58" s="1635">
        <v>0</v>
      </c>
      <c r="I58" s="1636">
        <v>0</v>
      </c>
      <c r="J58" s="1637">
        <v>0</v>
      </c>
      <c r="K58" s="1638">
        <v>0</v>
      </c>
    </row>
    <row r="59" spans="1:12" ht="11.25" customHeight="1" x14ac:dyDescent="0.25">
      <c r="A59" s="164" t="s">
        <v>447</v>
      </c>
      <c r="B59" s="1545"/>
      <c r="C59" s="1627">
        <v>6000</v>
      </c>
      <c r="D59" s="1627">
        <v>7000</v>
      </c>
      <c r="E59" s="1628">
        <v>8000</v>
      </c>
      <c r="F59" s="1629">
        <v>9000</v>
      </c>
      <c r="G59" s="1627">
        <v>9000</v>
      </c>
      <c r="H59" s="1630">
        <v>9000</v>
      </c>
      <c r="I59" s="1631">
        <v>10000</v>
      </c>
      <c r="J59" s="712">
        <v>11000</v>
      </c>
      <c r="K59" s="717">
        <v>12000</v>
      </c>
    </row>
    <row r="60" spans="1:12" ht="11.25" customHeight="1" x14ac:dyDescent="0.25">
      <c r="A60" s="164" t="s">
        <v>448</v>
      </c>
      <c r="B60" s="1545"/>
      <c r="C60" s="1627">
        <v>0</v>
      </c>
      <c r="D60" s="1627">
        <v>0</v>
      </c>
      <c r="E60" s="1628">
        <v>0</v>
      </c>
      <c r="F60" s="1629">
        <v>0</v>
      </c>
      <c r="G60" s="1627">
        <v>3500000</v>
      </c>
      <c r="H60" s="1630">
        <v>3500000</v>
      </c>
      <c r="I60" s="1630">
        <v>3500000</v>
      </c>
      <c r="J60" s="1630">
        <v>3500000</v>
      </c>
      <c r="K60" s="1630">
        <v>3500000</v>
      </c>
    </row>
    <row r="61" spans="1:12" ht="11.25" customHeight="1" x14ac:dyDescent="0.25">
      <c r="A61" s="164" t="s">
        <v>449</v>
      </c>
      <c r="B61" s="1545"/>
      <c r="C61" s="1627"/>
      <c r="D61" s="1627"/>
      <c r="E61" s="1628">
        <v>0</v>
      </c>
      <c r="F61" s="1629">
        <v>0</v>
      </c>
      <c r="G61" s="1627">
        <v>0</v>
      </c>
      <c r="H61" s="1630">
        <v>0</v>
      </c>
      <c r="I61" s="1631">
        <v>0</v>
      </c>
      <c r="J61" s="712">
        <v>0</v>
      </c>
      <c r="K61" s="717">
        <v>0</v>
      </c>
    </row>
    <row r="62" spans="1:12" ht="11.25" customHeight="1" x14ac:dyDescent="0.25">
      <c r="A62" s="164" t="s">
        <v>1307</v>
      </c>
      <c r="B62" s="1545"/>
      <c r="C62" s="1639">
        <v>0</v>
      </c>
      <c r="D62" s="1639">
        <v>0</v>
      </c>
      <c r="E62" s="1640">
        <v>0</v>
      </c>
      <c r="F62" s="1641">
        <v>0</v>
      </c>
      <c r="G62" s="1639">
        <v>0</v>
      </c>
      <c r="H62" s="1642">
        <v>0</v>
      </c>
      <c r="I62" s="1643">
        <v>0</v>
      </c>
      <c r="J62" s="827">
        <v>0</v>
      </c>
      <c r="K62" s="830">
        <v>0</v>
      </c>
    </row>
    <row r="63" spans="1:12" ht="11.25" customHeight="1" x14ac:dyDescent="0.25">
      <c r="A63" s="801" t="s">
        <v>564</v>
      </c>
      <c r="B63" s="1545"/>
      <c r="C63" s="98">
        <f>SUM(C58:C62)</f>
        <v>6000</v>
      </c>
      <c r="D63" s="98">
        <f t="shared" ref="D63:K63" si="1">SUM(D58:D62)</f>
        <v>7000</v>
      </c>
      <c r="E63" s="99">
        <f t="shared" si="1"/>
        <v>8000</v>
      </c>
      <c r="F63" s="100">
        <f t="shared" si="1"/>
        <v>9000</v>
      </c>
      <c r="G63" s="98">
        <f t="shared" si="1"/>
        <v>3509000</v>
      </c>
      <c r="H63" s="292">
        <f t="shared" si="1"/>
        <v>3509000</v>
      </c>
      <c r="I63" s="101">
        <f t="shared" si="1"/>
        <v>3510000</v>
      </c>
      <c r="J63" s="98">
        <f t="shared" si="1"/>
        <v>3511000</v>
      </c>
      <c r="K63" s="99">
        <f t="shared" si="1"/>
        <v>3512000</v>
      </c>
    </row>
    <row r="64" spans="1:12" ht="4.9000000000000004" customHeight="1" x14ac:dyDescent="0.25">
      <c r="A64" s="197"/>
      <c r="B64" s="1644"/>
      <c r="C64" s="1645"/>
      <c r="D64" s="1645"/>
      <c r="E64" s="1646"/>
      <c r="F64" s="1647"/>
      <c r="G64" s="1648"/>
      <c r="H64" s="1649"/>
      <c r="I64" s="1650"/>
      <c r="J64" s="1645"/>
      <c r="K64" s="1646"/>
    </row>
    <row r="65" spans="1:11" x14ac:dyDescent="0.25">
      <c r="A65" s="188" t="str">
        <f>head27a</f>
        <v>References</v>
      </c>
      <c r="B65" s="189"/>
      <c r="C65" s="193"/>
      <c r="D65" s="193"/>
      <c r="E65" s="193"/>
      <c r="F65" s="193"/>
      <c r="G65" s="193"/>
      <c r="H65" s="193"/>
      <c r="I65" s="193"/>
      <c r="J65" s="193"/>
      <c r="K65" s="193"/>
    </row>
    <row r="66" spans="1:11" x14ac:dyDescent="0.25">
      <c r="A66" s="154" t="s">
        <v>1379</v>
      </c>
      <c r="B66" s="220"/>
      <c r="C66" s="220"/>
      <c r="D66" s="220"/>
      <c r="E66" s="220"/>
      <c r="F66" s="220"/>
      <c r="G66" s="220"/>
      <c r="H66" s="220"/>
      <c r="I66" s="220"/>
      <c r="J66" s="220"/>
      <c r="K66" s="220"/>
    </row>
    <row r="67" spans="1:11" x14ac:dyDescent="0.25">
      <c r="A67" s="151" t="s">
        <v>1381</v>
      </c>
      <c r="B67" s="220"/>
      <c r="C67" s="220"/>
      <c r="D67" s="220"/>
      <c r="E67" s="220"/>
      <c r="F67" s="220"/>
      <c r="G67" s="220"/>
      <c r="H67" s="220"/>
      <c r="I67" s="220"/>
      <c r="J67" s="220"/>
      <c r="K67" s="220"/>
    </row>
    <row r="68" spans="1:11" x14ac:dyDescent="0.25">
      <c r="A68" s="151" t="s">
        <v>1382</v>
      </c>
      <c r="B68" s="220"/>
      <c r="C68" s="220"/>
      <c r="D68" s="220"/>
      <c r="E68" s="126"/>
      <c r="F68" s="126"/>
      <c r="G68" s="220"/>
      <c r="H68" s="220"/>
      <c r="I68" s="220"/>
      <c r="J68" s="220"/>
      <c r="K68" s="220"/>
    </row>
    <row r="69" spans="1:11" x14ac:dyDescent="0.25">
      <c r="A69" s="151" t="s">
        <v>1383</v>
      </c>
      <c r="B69" s="220"/>
      <c r="C69" s="220"/>
      <c r="D69" s="220"/>
      <c r="E69" s="126"/>
      <c r="F69" s="126"/>
      <c r="G69" s="220"/>
      <c r="H69" s="220"/>
      <c r="I69" s="220"/>
      <c r="J69" s="220"/>
      <c r="K69" s="220"/>
    </row>
    <row r="70" spans="1:11" x14ac:dyDescent="0.25">
      <c r="A70" s="154" t="s">
        <v>1398</v>
      </c>
      <c r="B70" s="220"/>
      <c r="C70" s="220"/>
      <c r="D70" s="220"/>
      <c r="E70" s="126"/>
      <c r="F70" s="126"/>
      <c r="G70" s="220"/>
      <c r="H70" s="220"/>
      <c r="I70" s="220"/>
      <c r="J70" s="220"/>
      <c r="K70" s="220"/>
    </row>
    <row r="71" spans="1:11" x14ac:dyDescent="0.25">
      <c r="A71" s="154" t="str">
        <f>"6. Current and budget year must reconcile to "&amp;'Template names'!F103</f>
        <v>6. Current and budget year must reconcile to Table A4 Budgeted Financial Performance (revenue and expenditure)</v>
      </c>
      <c r="B71" s="220"/>
      <c r="C71" s="220"/>
      <c r="D71" s="220"/>
      <c r="E71" s="126"/>
      <c r="F71" s="126"/>
      <c r="G71" s="220"/>
      <c r="H71" s="220"/>
      <c r="I71" s="220"/>
      <c r="J71" s="220"/>
      <c r="K71" s="220"/>
    </row>
    <row r="72" spans="1:11" x14ac:dyDescent="0.25">
      <c r="A72" s="154" t="s">
        <v>565</v>
      </c>
      <c r="B72" s="220"/>
      <c r="C72" s="220"/>
      <c r="D72" s="220"/>
      <c r="E72" s="126"/>
      <c r="F72" s="126"/>
      <c r="G72" s="220"/>
      <c r="H72" s="220"/>
      <c r="I72" s="220"/>
      <c r="J72" s="220"/>
      <c r="K72" s="220"/>
    </row>
    <row r="73" spans="1:11" x14ac:dyDescent="0.25">
      <c r="A73" s="154" t="s">
        <v>1396</v>
      </c>
      <c r="B73" s="220"/>
      <c r="C73" s="220"/>
      <c r="D73" s="220"/>
      <c r="E73" s="126"/>
      <c r="F73" s="126"/>
      <c r="G73" s="220"/>
      <c r="H73" s="220"/>
      <c r="I73" s="220"/>
      <c r="J73" s="220"/>
      <c r="K73" s="220"/>
    </row>
    <row r="74" spans="1:11" x14ac:dyDescent="0.25">
      <c r="A74" s="220"/>
      <c r="B74" s="220"/>
      <c r="C74" s="220"/>
      <c r="D74" s="220"/>
      <c r="E74" s="126"/>
      <c r="F74" s="126"/>
      <c r="G74" s="220"/>
      <c r="H74" s="220"/>
      <c r="I74" s="220"/>
      <c r="J74" s="220"/>
      <c r="K74" s="220"/>
    </row>
    <row r="75" spans="1:11" x14ac:dyDescent="0.25">
      <c r="A75" s="220"/>
      <c r="B75" s="189"/>
      <c r="C75" s="192"/>
      <c r="D75" s="192"/>
      <c r="E75" s="193"/>
      <c r="F75" s="193"/>
      <c r="G75" s="193"/>
      <c r="H75" s="193"/>
      <c r="I75" s="193"/>
      <c r="J75" s="193"/>
      <c r="K75" s="193"/>
    </row>
    <row r="76" spans="1:11" x14ac:dyDescent="0.25">
      <c r="A76" s="220"/>
      <c r="B76" s="189"/>
      <c r="C76" s="192"/>
      <c r="D76" s="192"/>
      <c r="E76" s="193"/>
      <c r="F76" s="193"/>
      <c r="G76" s="193"/>
      <c r="H76" s="193"/>
      <c r="I76" s="193"/>
      <c r="J76" s="193"/>
      <c r="K76" s="193"/>
    </row>
    <row r="77" spans="1:11" x14ac:dyDescent="0.25">
      <c r="A77" s="220"/>
      <c r="B77" s="189"/>
      <c r="C77" s="192"/>
      <c r="D77" s="192"/>
      <c r="E77" s="193"/>
      <c r="F77" s="193"/>
      <c r="G77" s="193"/>
      <c r="H77" s="193"/>
      <c r="I77" s="193"/>
      <c r="J77" s="193"/>
      <c r="K77" s="193"/>
    </row>
    <row r="78" spans="1:11" x14ac:dyDescent="0.25">
      <c r="A78" s="220"/>
      <c r="B78" s="189"/>
      <c r="C78" s="192"/>
      <c r="D78" s="192"/>
      <c r="E78" s="193"/>
      <c r="F78" s="193"/>
      <c r="G78" s="193"/>
      <c r="H78" s="193"/>
      <c r="I78" s="193"/>
      <c r="J78" s="193"/>
      <c r="K78" s="193"/>
    </row>
    <row r="79" spans="1:11" ht="11.25" customHeight="1" x14ac:dyDescent="0.25">
      <c r="A79" s="220"/>
      <c r="B79" s="189"/>
      <c r="C79" s="220"/>
      <c r="D79" s="220"/>
      <c r="E79" s="220"/>
      <c r="F79" s="220"/>
      <c r="G79" s="220"/>
    </row>
    <row r="80" spans="1:11" ht="11.25" customHeight="1" x14ac:dyDescent="0.25">
      <c r="A80" s="220"/>
      <c r="B80" s="220"/>
      <c r="C80" s="220"/>
      <c r="D80" s="220"/>
      <c r="E80" s="220"/>
      <c r="F80" s="220"/>
      <c r="G80" s="220"/>
    </row>
    <row r="81" spans="1:7" ht="11.25" customHeight="1" x14ac:dyDescent="0.25">
      <c r="A81" s="220"/>
      <c r="B81" s="220"/>
      <c r="C81" s="220"/>
      <c r="D81" s="220"/>
      <c r="E81" s="220"/>
      <c r="F81" s="220"/>
      <c r="G81" s="220"/>
    </row>
    <row r="82" spans="1:7" ht="11.25" customHeight="1" x14ac:dyDescent="0.25">
      <c r="A82" s="220"/>
      <c r="B82" s="220"/>
      <c r="C82" s="220"/>
      <c r="D82" s="220"/>
      <c r="E82" s="220"/>
      <c r="F82" s="220"/>
      <c r="G82" s="220"/>
    </row>
    <row r="83" spans="1:7" ht="11.25" customHeight="1" x14ac:dyDescent="0.25">
      <c r="A83" s="220"/>
      <c r="B83" s="189"/>
      <c r="C83" s="220"/>
      <c r="D83" s="220"/>
      <c r="E83" s="220"/>
      <c r="F83" s="220"/>
      <c r="G83" s="220"/>
    </row>
    <row r="84" spans="1:7" ht="11.25" customHeight="1" x14ac:dyDescent="0.25"/>
    <row r="85" spans="1:7" ht="11.25" customHeight="1" x14ac:dyDescent="0.25"/>
    <row r="86" spans="1:7" ht="11.25" customHeight="1" x14ac:dyDescent="0.25"/>
    <row r="87" spans="1:7" ht="11.25" customHeight="1" x14ac:dyDescent="0.25"/>
    <row r="88" spans="1:7" ht="11.25" customHeight="1" x14ac:dyDescent="0.25"/>
    <row r="89" spans="1:7" ht="11.25" customHeight="1" x14ac:dyDescent="0.25"/>
    <row r="90" spans="1:7" ht="11.25" customHeight="1" x14ac:dyDescent="0.25"/>
    <row r="91" spans="1:7" ht="11.25" customHeight="1" x14ac:dyDescent="0.25"/>
    <row r="92" spans="1:7" ht="11.25" customHeight="1" x14ac:dyDescent="0.25"/>
    <row r="93" spans="1:7" ht="11.25" customHeight="1" x14ac:dyDescent="0.25"/>
    <row r="94" spans="1:7" ht="11.25" customHeight="1" x14ac:dyDescent="0.25"/>
    <row r="95" spans="1:7" ht="11.25" customHeight="1" x14ac:dyDescent="0.25"/>
    <row r="96" spans="1:7" ht="11.25" customHeight="1" x14ac:dyDescent="0.25"/>
    <row r="97" ht="11.25" customHeight="1" x14ac:dyDescent="0.25"/>
    <row r="98" ht="11.25" customHeight="1" x14ac:dyDescent="0.25"/>
    <row r="99" ht="11.25" customHeight="1" x14ac:dyDescent="0.25"/>
    <row r="100" ht="11.25" customHeight="1" x14ac:dyDescent="0.25"/>
    <row r="101" ht="11.25" customHeight="1" x14ac:dyDescent="0.25"/>
    <row r="102" ht="11.25" customHeight="1" x14ac:dyDescent="0.25"/>
    <row r="103" ht="11.25" customHeight="1" x14ac:dyDescent="0.25"/>
    <row r="104" ht="11.25" customHeight="1" x14ac:dyDescent="0.25"/>
    <row r="105" ht="11.25" customHeight="1" x14ac:dyDescent="0.25"/>
    <row r="106" ht="11.25" customHeight="1" x14ac:dyDescent="0.25"/>
    <row r="107" ht="11.25" customHeight="1" x14ac:dyDescent="0.25"/>
    <row r="108" ht="11.25" customHeight="1" x14ac:dyDescent="0.25"/>
    <row r="109" ht="11.25" customHeight="1" x14ac:dyDescent="0.25"/>
    <row r="110" ht="11.25" customHeight="1" x14ac:dyDescent="0.25"/>
    <row r="111" ht="11.25" customHeight="1" x14ac:dyDescent="0.25"/>
    <row r="112" ht="11.25" customHeight="1" x14ac:dyDescent="0.25"/>
  </sheetData>
  <mergeCells count="4">
    <mergeCell ref="F2:H2"/>
    <mergeCell ref="I2:K2"/>
    <mergeCell ref="B2:B4"/>
    <mergeCell ref="A2:A3"/>
  </mergeCells>
  <phoneticPr fontId="7" type="noConversion"/>
  <dataValidations xWindow="491" yWindow="324" count="1">
    <dataValidation type="list" showInputMessage="1" showErrorMessage="1" promptTitle="Guidance" prompt="Select Yes, No or 'blank'" sqref="C8:F9 I16 C16:F16 I8:I9 C49:F49 C44:F47 I49 I44:I47 G46:H46 J46:K46" xr:uid="{00000000-0002-0000-1E00-000000000000}">
      <formula1>List1</formula1>
    </dataValidation>
  </dataValidations>
  <pageMargins left="0.37" right="0.2" top="0.6" bottom="0.5" header="0.5" footer="0.5"/>
  <pageSetup paperSize="9" scale="85" orientation="portrait" blackAndWhite="1"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32"/>
  <dimension ref="A1:S146"/>
  <sheetViews>
    <sheetView showGridLines="0" zoomScale="110" zoomScaleNormal="110" workbookViewId="0">
      <pane xSplit="2" ySplit="2" topLeftCell="C3" activePane="bottomRight" state="frozen"/>
      <selection pane="topRight"/>
      <selection pane="bottomLeft"/>
      <selection pane="bottomRight" activeCell="H42" sqref="H42"/>
    </sheetView>
  </sheetViews>
  <sheetFormatPr defaultColWidth="9.140625" defaultRowHeight="12.75" x14ac:dyDescent="0.25"/>
  <cols>
    <col min="1" max="1" width="30.7109375" style="58" customWidth="1"/>
    <col min="2" max="2" width="3" style="1692" customWidth="1"/>
    <col min="3" max="18" width="8.140625" style="58" customWidth="1"/>
    <col min="19" max="19" width="9.7109375" style="58" customWidth="1"/>
    <col min="20" max="20" width="9.42578125" style="58" customWidth="1"/>
    <col min="21" max="21" width="9.7109375" style="58" customWidth="1"/>
    <col min="22" max="24" width="9.42578125" style="58" customWidth="1"/>
    <col min="25" max="25" width="9.7109375" style="58" customWidth="1"/>
    <col min="26" max="28" width="9.42578125" style="58" customWidth="1"/>
    <col min="29" max="30" width="9.7109375" style="58" customWidth="1"/>
    <col min="31" max="16384" width="9.140625" style="58"/>
  </cols>
  <sheetData>
    <row r="1" spans="1:18" ht="13.5" x14ac:dyDescent="0.25">
      <c r="A1" s="92" t="str">
        <f>muni&amp;" - "&amp;TableA12a</f>
        <v>KZN226 Mkhambathini - Supporting Table SA12a Property rates by category (current year)</v>
      </c>
      <c r="B1" s="1651"/>
      <c r="C1" s="92"/>
      <c r="D1" s="92"/>
      <c r="E1" s="92"/>
      <c r="F1" s="92"/>
      <c r="G1" s="92"/>
      <c r="H1" s="92"/>
      <c r="I1" s="92"/>
      <c r="J1" s="92"/>
      <c r="K1" s="92"/>
      <c r="L1" s="92"/>
      <c r="M1" s="92"/>
      <c r="N1" s="92"/>
      <c r="O1" s="92"/>
      <c r="P1" s="92"/>
      <c r="Q1" s="92"/>
      <c r="R1" s="92"/>
    </row>
    <row r="2" spans="1:18" ht="38.25" x14ac:dyDescent="0.25">
      <c r="A2" s="1652" t="str">
        <f>desc</f>
        <v>Description</v>
      </c>
      <c r="B2" s="1653" t="str">
        <f>head27</f>
        <v>Ref</v>
      </c>
      <c r="C2" s="1654" t="s">
        <v>929</v>
      </c>
      <c r="D2" s="1654" t="s">
        <v>930</v>
      </c>
      <c r="E2" s="1654" t="s">
        <v>931</v>
      </c>
      <c r="F2" s="1654" t="s">
        <v>932</v>
      </c>
      <c r="G2" s="1654" t="s">
        <v>1279</v>
      </c>
      <c r="H2" s="1654" t="s">
        <v>1345</v>
      </c>
      <c r="I2" s="1654" t="s">
        <v>1280</v>
      </c>
      <c r="J2" s="1654" t="s">
        <v>933</v>
      </c>
      <c r="K2" s="1654" t="s">
        <v>352</v>
      </c>
      <c r="L2" s="1654" t="s">
        <v>934</v>
      </c>
      <c r="M2" s="1654" t="s">
        <v>353</v>
      </c>
      <c r="N2" s="1654" t="s">
        <v>1346</v>
      </c>
      <c r="O2" s="1654" t="s">
        <v>935</v>
      </c>
      <c r="P2" s="1654" t="s">
        <v>354</v>
      </c>
      <c r="Q2" s="1654" t="s">
        <v>1347</v>
      </c>
      <c r="R2" s="1655" t="s">
        <v>1348</v>
      </c>
    </row>
    <row r="3" spans="1:18" ht="11.25" customHeight="1" x14ac:dyDescent="0.25">
      <c r="A3" s="96" t="str">
        <f>Head2</f>
        <v>Current Year 2020/21</v>
      </c>
      <c r="B3" s="144"/>
      <c r="C3" s="1656"/>
      <c r="D3" s="1656"/>
      <c r="E3" s="1656"/>
      <c r="F3" s="1656"/>
      <c r="G3" s="1656"/>
      <c r="H3" s="1656"/>
      <c r="I3" s="1656"/>
      <c r="J3" s="1656"/>
      <c r="K3" s="1656"/>
      <c r="L3" s="1656"/>
      <c r="M3" s="1656"/>
      <c r="N3" s="1656"/>
      <c r="O3" s="1656"/>
      <c r="P3" s="1656"/>
      <c r="Q3" s="1656"/>
      <c r="R3" s="1657"/>
    </row>
    <row r="4" spans="1:18" ht="11.25" customHeight="1" x14ac:dyDescent="0.25">
      <c r="A4" s="96" t="s">
        <v>644</v>
      </c>
      <c r="B4" s="144"/>
      <c r="C4" s="1656"/>
      <c r="D4" s="1656"/>
      <c r="E4" s="1656"/>
      <c r="F4" s="1656"/>
      <c r="G4" s="1656"/>
      <c r="H4" s="1656"/>
      <c r="I4" s="1656"/>
      <c r="J4" s="1656"/>
      <c r="K4" s="1656"/>
      <c r="L4" s="1656"/>
      <c r="M4" s="1656"/>
      <c r="N4" s="1656"/>
      <c r="O4" s="1656"/>
      <c r="P4" s="1656"/>
      <c r="Q4" s="1656"/>
      <c r="R4" s="1657"/>
    </row>
    <row r="5" spans="1:18" ht="11.25" customHeight="1" x14ac:dyDescent="0.25">
      <c r="A5" s="104" t="s">
        <v>349</v>
      </c>
      <c r="B5" s="144"/>
      <c r="C5" s="896">
        <v>373</v>
      </c>
      <c r="D5" s="896">
        <v>56</v>
      </c>
      <c r="E5" s="896">
        <v>54</v>
      </c>
      <c r="F5" s="896">
        <v>737</v>
      </c>
      <c r="G5" s="896">
        <v>0</v>
      </c>
      <c r="H5" s="896">
        <v>0</v>
      </c>
      <c r="I5" s="896">
        <v>242</v>
      </c>
      <c r="J5" s="896">
        <v>0</v>
      </c>
      <c r="K5" s="896">
        <v>0</v>
      </c>
      <c r="L5" s="896">
        <v>0</v>
      </c>
      <c r="M5" s="896">
        <v>0</v>
      </c>
      <c r="N5" s="896">
        <v>0</v>
      </c>
      <c r="O5" s="896">
        <v>0</v>
      </c>
      <c r="P5" s="896">
        <v>0</v>
      </c>
      <c r="Q5" s="896">
        <v>56</v>
      </c>
      <c r="R5" s="1658">
        <v>0</v>
      </c>
    </row>
    <row r="6" spans="1:18" ht="11.25" customHeight="1" x14ac:dyDescent="0.25">
      <c r="A6" s="104" t="s">
        <v>1222</v>
      </c>
      <c r="B6" s="144"/>
      <c r="C6" s="896">
        <v>0</v>
      </c>
      <c r="D6" s="896">
        <v>0</v>
      </c>
      <c r="E6" s="896">
        <v>0</v>
      </c>
      <c r="F6" s="896">
        <v>0</v>
      </c>
      <c r="G6" s="896">
        <v>0</v>
      </c>
      <c r="H6" s="896">
        <v>0</v>
      </c>
      <c r="I6" s="896">
        <v>0</v>
      </c>
      <c r="J6" s="896">
        <v>0</v>
      </c>
      <c r="K6" s="896">
        <v>0</v>
      </c>
      <c r="L6" s="896">
        <v>0</v>
      </c>
      <c r="M6" s="896">
        <v>0</v>
      </c>
      <c r="N6" s="896">
        <v>0</v>
      </c>
      <c r="O6" s="896">
        <v>0</v>
      </c>
      <c r="P6" s="896">
        <v>0</v>
      </c>
      <c r="Q6" s="896">
        <v>0</v>
      </c>
      <c r="R6" s="1658">
        <v>0</v>
      </c>
    </row>
    <row r="7" spans="1:18" ht="11.25" customHeight="1" x14ac:dyDescent="0.25">
      <c r="A7" s="104" t="s">
        <v>351</v>
      </c>
      <c r="B7" s="144"/>
      <c r="C7" s="896">
        <v>0</v>
      </c>
      <c r="D7" s="896">
        <v>0</v>
      </c>
      <c r="E7" s="896">
        <v>0</v>
      </c>
      <c r="F7" s="896">
        <v>0</v>
      </c>
      <c r="G7" s="896">
        <v>0</v>
      </c>
      <c r="H7" s="896">
        <v>0</v>
      </c>
      <c r="I7" s="896">
        <v>0</v>
      </c>
      <c r="J7" s="896">
        <v>0</v>
      </c>
      <c r="K7" s="896">
        <v>0</v>
      </c>
      <c r="L7" s="896">
        <v>0</v>
      </c>
      <c r="M7" s="896">
        <v>0</v>
      </c>
      <c r="N7" s="896">
        <v>0</v>
      </c>
      <c r="O7" s="896">
        <v>0</v>
      </c>
      <c r="P7" s="896">
        <v>0</v>
      </c>
      <c r="Q7" s="896">
        <v>0</v>
      </c>
      <c r="R7" s="1658">
        <v>0</v>
      </c>
    </row>
    <row r="8" spans="1:18" ht="11.25" customHeight="1" x14ac:dyDescent="0.25">
      <c r="A8" s="104" t="s">
        <v>636</v>
      </c>
      <c r="B8" s="144"/>
      <c r="C8" s="896">
        <v>2</v>
      </c>
      <c r="D8" s="896">
        <v>2</v>
      </c>
      <c r="E8" s="896">
        <v>2</v>
      </c>
      <c r="F8" s="896">
        <v>2</v>
      </c>
      <c r="G8" s="896">
        <v>2</v>
      </c>
      <c r="H8" s="896">
        <v>2</v>
      </c>
      <c r="I8" s="896">
        <v>2</v>
      </c>
      <c r="J8" s="896">
        <v>2</v>
      </c>
      <c r="K8" s="896">
        <v>2</v>
      </c>
      <c r="L8" s="896">
        <v>2</v>
      </c>
      <c r="M8" s="896">
        <v>2</v>
      </c>
      <c r="N8" s="896">
        <v>2</v>
      </c>
      <c r="O8" s="896">
        <v>2</v>
      </c>
      <c r="P8" s="896">
        <v>2</v>
      </c>
      <c r="Q8" s="896">
        <v>2</v>
      </c>
      <c r="R8" s="1658">
        <v>2</v>
      </c>
    </row>
    <row r="9" spans="1:18" ht="11.25" customHeight="1" x14ac:dyDescent="0.25">
      <c r="A9" s="104" t="s">
        <v>1223</v>
      </c>
      <c r="B9" s="144"/>
      <c r="C9" s="896">
        <v>0</v>
      </c>
      <c r="D9" s="896">
        <v>0</v>
      </c>
      <c r="E9" s="896">
        <v>0</v>
      </c>
      <c r="F9" s="896">
        <v>0</v>
      </c>
      <c r="G9" s="896">
        <v>0</v>
      </c>
      <c r="H9" s="896">
        <v>0</v>
      </c>
      <c r="I9" s="896">
        <v>0</v>
      </c>
      <c r="J9" s="896">
        <v>0</v>
      </c>
      <c r="K9" s="896">
        <v>0</v>
      </c>
      <c r="L9" s="896">
        <v>0</v>
      </c>
      <c r="M9" s="896">
        <v>0</v>
      </c>
      <c r="N9" s="896">
        <v>0</v>
      </c>
      <c r="O9" s="896">
        <v>0</v>
      </c>
      <c r="P9" s="896">
        <v>0</v>
      </c>
      <c r="Q9" s="896">
        <v>0</v>
      </c>
      <c r="R9" s="1658">
        <v>0</v>
      </c>
    </row>
    <row r="10" spans="1:18" ht="11.25" customHeight="1" x14ac:dyDescent="0.25">
      <c r="A10" s="104" t="s">
        <v>637</v>
      </c>
      <c r="B10" s="144"/>
      <c r="C10" s="896">
        <v>0</v>
      </c>
      <c r="D10" s="896">
        <v>0</v>
      </c>
      <c r="E10" s="896">
        <v>0</v>
      </c>
      <c r="F10" s="896">
        <v>0</v>
      </c>
      <c r="G10" s="896">
        <v>0</v>
      </c>
      <c r="H10" s="896">
        <v>0</v>
      </c>
      <c r="I10" s="896">
        <v>0</v>
      </c>
      <c r="J10" s="896">
        <v>0</v>
      </c>
      <c r="K10" s="896">
        <v>0</v>
      </c>
      <c r="L10" s="896">
        <v>0</v>
      </c>
      <c r="M10" s="896">
        <v>0</v>
      </c>
      <c r="N10" s="896">
        <v>0</v>
      </c>
      <c r="O10" s="896">
        <v>0</v>
      </c>
      <c r="P10" s="896">
        <v>0</v>
      </c>
      <c r="Q10" s="896">
        <v>0</v>
      </c>
      <c r="R10" s="1658">
        <v>0</v>
      </c>
    </row>
    <row r="11" spans="1:18" ht="11.25" customHeight="1" x14ac:dyDescent="0.25">
      <c r="A11" s="104" t="s">
        <v>315</v>
      </c>
      <c r="B11" s="144"/>
      <c r="C11" s="896">
        <v>3</v>
      </c>
      <c r="D11" s="896">
        <v>3</v>
      </c>
      <c r="E11" s="896">
        <v>0</v>
      </c>
      <c r="F11" s="896">
        <v>10</v>
      </c>
      <c r="G11" s="896">
        <v>0</v>
      </c>
      <c r="H11" s="896">
        <v>0</v>
      </c>
      <c r="I11" s="896">
        <v>0</v>
      </c>
      <c r="J11" s="896">
        <v>0</v>
      </c>
      <c r="K11" s="896">
        <v>0</v>
      </c>
      <c r="L11" s="896">
        <v>0</v>
      </c>
      <c r="M11" s="896">
        <v>0</v>
      </c>
      <c r="N11" s="896">
        <v>0</v>
      </c>
      <c r="O11" s="896">
        <v>0</v>
      </c>
      <c r="P11" s="896">
        <v>0</v>
      </c>
      <c r="Q11" s="896">
        <v>0</v>
      </c>
      <c r="R11" s="1658">
        <v>0</v>
      </c>
    </row>
    <row r="12" spans="1:18" ht="11.25" customHeight="1" x14ac:dyDescent="0.25">
      <c r="A12" s="104" t="s">
        <v>316</v>
      </c>
      <c r="B12" s="144"/>
      <c r="C12" s="896">
        <v>0</v>
      </c>
      <c r="D12" s="896">
        <v>2</v>
      </c>
      <c r="E12" s="896">
        <v>0</v>
      </c>
      <c r="F12" s="896">
        <v>0</v>
      </c>
      <c r="G12" s="896">
        <v>0</v>
      </c>
      <c r="H12" s="896">
        <v>0</v>
      </c>
      <c r="I12" s="896">
        <v>0</v>
      </c>
      <c r="J12" s="896">
        <v>0</v>
      </c>
      <c r="K12" s="896">
        <v>0</v>
      </c>
      <c r="L12" s="896">
        <v>0</v>
      </c>
      <c r="M12" s="896">
        <v>0</v>
      </c>
      <c r="N12" s="896">
        <v>0</v>
      </c>
      <c r="O12" s="896">
        <v>0</v>
      </c>
      <c r="P12" s="896">
        <v>0</v>
      </c>
      <c r="Q12" s="896">
        <v>0</v>
      </c>
      <c r="R12" s="1658">
        <v>0</v>
      </c>
    </row>
    <row r="13" spans="1:18" ht="11.25" customHeight="1" x14ac:dyDescent="0.25">
      <c r="A13" s="104" t="s">
        <v>317</v>
      </c>
      <c r="B13" s="144"/>
      <c r="C13" s="896">
        <v>0</v>
      </c>
      <c r="D13" s="896">
        <v>0</v>
      </c>
      <c r="E13" s="896">
        <v>0</v>
      </c>
      <c r="F13" s="896">
        <v>0</v>
      </c>
      <c r="G13" s="896">
        <v>0</v>
      </c>
      <c r="H13" s="896">
        <v>0</v>
      </c>
      <c r="I13" s="896">
        <v>0</v>
      </c>
      <c r="J13" s="896">
        <v>0</v>
      </c>
      <c r="K13" s="896">
        <v>0</v>
      </c>
      <c r="L13" s="896">
        <v>0</v>
      </c>
      <c r="M13" s="896">
        <v>0</v>
      </c>
      <c r="N13" s="896">
        <v>0</v>
      </c>
      <c r="O13" s="896">
        <v>0</v>
      </c>
      <c r="P13" s="896">
        <v>0</v>
      </c>
      <c r="Q13" s="896">
        <v>0</v>
      </c>
      <c r="R13" s="1658">
        <v>0</v>
      </c>
    </row>
    <row r="14" spans="1:18" ht="11.25" customHeight="1" x14ac:dyDescent="0.25">
      <c r="A14" s="104" t="s">
        <v>646</v>
      </c>
      <c r="B14" s="144">
        <v>5</v>
      </c>
      <c r="C14" s="896">
        <v>0</v>
      </c>
      <c r="D14" s="896">
        <v>0</v>
      </c>
      <c r="E14" s="896">
        <v>0</v>
      </c>
      <c r="F14" s="896">
        <v>0</v>
      </c>
      <c r="G14" s="896">
        <v>0</v>
      </c>
      <c r="H14" s="896">
        <v>0</v>
      </c>
      <c r="I14" s="896">
        <v>0</v>
      </c>
      <c r="J14" s="896">
        <v>0</v>
      </c>
      <c r="K14" s="896">
        <v>0</v>
      </c>
      <c r="L14" s="896">
        <v>0</v>
      </c>
      <c r="M14" s="896">
        <v>0</v>
      </c>
      <c r="N14" s="896">
        <v>0</v>
      </c>
      <c r="O14" s="896">
        <v>0</v>
      </c>
      <c r="P14" s="896">
        <v>0</v>
      </c>
      <c r="Q14" s="896">
        <v>0</v>
      </c>
      <c r="R14" s="1658">
        <v>0</v>
      </c>
    </row>
    <row r="15" spans="1:18" ht="11.25" customHeight="1" x14ac:dyDescent="0.25">
      <c r="A15" s="104" t="s">
        <v>635</v>
      </c>
      <c r="B15" s="144">
        <v>5</v>
      </c>
      <c r="C15" s="896">
        <v>0</v>
      </c>
      <c r="D15" s="896">
        <v>0</v>
      </c>
      <c r="E15" s="896">
        <v>0</v>
      </c>
      <c r="F15" s="896">
        <v>0</v>
      </c>
      <c r="G15" s="896">
        <v>0</v>
      </c>
      <c r="H15" s="896">
        <v>0</v>
      </c>
      <c r="I15" s="896">
        <v>0</v>
      </c>
      <c r="J15" s="896">
        <v>0</v>
      </c>
      <c r="K15" s="896">
        <v>0</v>
      </c>
      <c r="L15" s="896">
        <v>0</v>
      </c>
      <c r="M15" s="896">
        <v>0</v>
      </c>
      <c r="N15" s="896">
        <v>0</v>
      </c>
      <c r="O15" s="896">
        <v>0</v>
      </c>
      <c r="P15" s="896">
        <v>0</v>
      </c>
      <c r="Q15" s="896">
        <v>0</v>
      </c>
      <c r="R15" s="1658">
        <v>0</v>
      </c>
    </row>
    <row r="16" spans="1:18" ht="11.25" customHeight="1" x14ac:dyDescent="0.25">
      <c r="A16" s="137" t="s">
        <v>1224</v>
      </c>
      <c r="B16" s="97"/>
      <c r="C16" s="891">
        <v>0</v>
      </c>
      <c r="D16" s="891">
        <v>0</v>
      </c>
      <c r="E16" s="891">
        <v>0</v>
      </c>
      <c r="F16" s="891">
        <v>0</v>
      </c>
      <c r="G16" s="891">
        <v>0</v>
      </c>
      <c r="H16" s="891">
        <v>0</v>
      </c>
      <c r="I16" s="916">
        <v>0</v>
      </c>
      <c r="J16" s="891">
        <v>0</v>
      </c>
      <c r="K16" s="891">
        <v>0</v>
      </c>
      <c r="L16" s="891">
        <v>0</v>
      </c>
      <c r="M16" s="891">
        <v>0</v>
      </c>
      <c r="N16" s="891">
        <v>0</v>
      </c>
      <c r="O16" s="891">
        <v>0</v>
      </c>
      <c r="P16" s="891">
        <v>0</v>
      </c>
      <c r="Q16" s="891">
        <v>0</v>
      </c>
      <c r="R16" s="1659">
        <v>0</v>
      </c>
    </row>
    <row r="17" spans="1:18" ht="11.25" customHeight="1" x14ac:dyDescent="0.25">
      <c r="A17" s="104" t="s">
        <v>1459</v>
      </c>
      <c r="B17" s="144"/>
      <c r="C17" s="1546">
        <v>1</v>
      </c>
      <c r="D17" s="1546">
        <v>1</v>
      </c>
      <c r="E17" s="1546">
        <v>1</v>
      </c>
      <c r="F17" s="1546">
        <v>1</v>
      </c>
      <c r="G17" s="1546">
        <v>1</v>
      </c>
      <c r="H17" s="1546">
        <v>1</v>
      </c>
      <c r="I17" s="1546">
        <v>1</v>
      </c>
      <c r="J17" s="1546">
        <v>1</v>
      </c>
      <c r="K17" s="1546">
        <v>1</v>
      </c>
      <c r="L17" s="1546">
        <v>1</v>
      </c>
      <c r="M17" s="1546">
        <v>1</v>
      </c>
      <c r="N17" s="1546">
        <v>1</v>
      </c>
      <c r="O17" s="1546">
        <v>1</v>
      </c>
      <c r="P17" s="1546">
        <v>1</v>
      </c>
      <c r="Q17" s="1546">
        <v>1</v>
      </c>
      <c r="R17" s="1556">
        <v>1</v>
      </c>
    </row>
    <row r="18" spans="1:18" ht="11.25" customHeight="1" x14ac:dyDescent="0.25">
      <c r="A18" s="104" t="s">
        <v>1460</v>
      </c>
      <c r="B18" s="144"/>
      <c r="C18" s="1546">
        <v>5</v>
      </c>
      <c r="D18" s="1660">
        <v>5</v>
      </c>
      <c r="E18" s="1660">
        <v>5</v>
      </c>
      <c r="F18" s="1660">
        <v>5</v>
      </c>
      <c r="G18" s="1660">
        <v>5</v>
      </c>
      <c r="H18" s="1660">
        <v>5</v>
      </c>
      <c r="I18" s="1660">
        <v>5</v>
      </c>
      <c r="J18" s="1660">
        <v>5</v>
      </c>
      <c r="K18" s="1660">
        <v>5</v>
      </c>
      <c r="L18" s="1660">
        <v>5</v>
      </c>
      <c r="M18" s="1660">
        <v>5</v>
      </c>
      <c r="N18" s="1660">
        <v>5</v>
      </c>
      <c r="O18" s="1660">
        <v>5</v>
      </c>
      <c r="P18" s="1660">
        <v>5</v>
      </c>
      <c r="Q18" s="1660">
        <v>5</v>
      </c>
      <c r="R18" s="1661">
        <v>5</v>
      </c>
    </row>
    <row r="19" spans="1:18" ht="11.25" customHeight="1" x14ac:dyDescent="0.25">
      <c r="A19" s="104" t="s">
        <v>1461</v>
      </c>
      <c r="B19" s="144"/>
      <c r="C19" s="1546" t="s">
        <v>137</v>
      </c>
      <c r="D19" s="1546" t="s">
        <v>137</v>
      </c>
      <c r="E19" s="1546" t="s">
        <v>137</v>
      </c>
      <c r="F19" s="1546" t="s">
        <v>137</v>
      </c>
      <c r="G19" s="1546" t="s">
        <v>137</v>
      </c>
      <c r="H19" s="1546" t="s">
        <v>137</v>
      </c>
      <c r="I19" s="1546" t="s">
        <v>137</v>
      </c>
      <c r="J19" s="1546" t="s">
        <v>137</v>
      </c>
      <c r="K19" s="1546" t="s">
        <v>137</v>
      </c>
      <c r="L19" s="1546" t="s">
        <v>137</v>
      </c>
      <c r="M19" s="1546" t="s">
        <v>137</v>
      </c>
      <c r="N19" s="1546" t="s">
        <v>137</v>
      </c>
      <c r="O19" s="1546" t="s">
        <v>137</v>
      </c>
      <c r="P19" s="1546" t="s">
        <v>137</v>
      </c>
      <c r="Q19" s="1546" t="s">
        <v>137</v>
      </c>
      <c r="R19" s="1556" t="s">
        <v>137</v>
      </c>
    </row>
    <row r="20" spans="1:18" ht="11.25" customHeight="1" x14ac:dyDescent="0.25">
      <c r="A20" s="104" t="s">
        <v>1462</v>
      </c>
      <c r="B20" s="144"/>
      <c r="C20" s="1546" t="s">
        <v>141</v>
      </c>
      <c r="D20" s="1546" t="s">
        <v>141</v>
      </c>
      <c r="E20" s="1546" t="s">
        <v>141</v>
      </c>
      <c r="F20" s="1546" t="s">
        <v>141</v>
      </c>
      <c r="G20" s="1546" t="s">
        <v>141</v>
      </c>
      <c r="H20" s="1546" t="s">
        <v>141</v>
      </c>
      <c r="I20" s="1546" t="s">
        <v>141</v>
      </c>
      <c r="J20" s="1546" t="s">
        <v>141</v>
      </c>
      <c r="K20" s="1546" t="s">
        <v>141</v>
      </c>
      <c r="L20" s="1546" t="s">
        <v>141</v>
      </c>
      <c r="M20" s="1546" t="s">
        <v>141</v>
      </c>
      <c r="N20" s="1546" t="s">
        <v>141</v>
      </c>
      <c r="O20" s="1546" t="s">
        <v>141</v>
      </c>
      <c r="P20" s="1546" t="s">
        <v>141</v>
      </c>
      <c r="Q20" s="1546" t="s">
        <v>141</v>
      </c>
      <c r="R20" s="1556" t="s">
        <v>141</v>
      </c>
    </row>
    <row r="21" spans="1:18" ht="11.25" customHeight="1" x14ac:dyDescent="0.25">
      <c r="A21" s="104" t="s">
        <v>140</v>
      </c>
      <c r="B21" s="144"/>
      <c r="C21" s="1546">
        <v>0</v>
      </c>
      <c r="D21" s="1546">
        <v>0</v>
      </c>
      <c r="E21" s="1546">
        <v>0</v>
      </c>
      <c r="F21" s="1546">
        <v>0</v>
      </c>
      <c r="G21" s="1546">
        <v>0</v>
      </c>
      <c r="H21" s="1546">
        <v>0</v>
      </c>
      <c r="I21" s="1546">
        <v>0</v>
      </c>
      <c r="J21" s="1546">
        <v>0</v>
      </c>
      <c r="K21" s="1546">
        <v>0</v>
      </c>
      <c r="L21" s="1546">
        <v>0</v>
      </c>
      <c r="M21" s="1546">
        <v>0</v>
      </c>
      <c r="N21" s="1546">
        <v>0</v>
      </c>
      <c r="O21" s="1546">
        <v>0</v>
      </c>
      <c r="P21" s="1546">
        <v>0</v>
      </c>
      <c r="Q21" s="1546">
        <v>0</v>
      </c>
      <c r="R21" s="1556">
        <v>0</v>
      </c>
    </row>
    <row r="22" spans="1:18" ht="11.25" customHeight="1" x14ac:dyDescent="0.25">
      <c r="A22" s="104" t="s">
        <v>578</v>
      </c>
      <c r="B22" s="1662"/>
      <c r="C22" s="1546" t="s">
        <v>706</v>
      </c>
      <c r="D22" s="1546" t="s">
        <v>706</v>
      </c>
      <c r="E22" s="1546" t="s">
        <v>706</v>
      </c>
      <c r="F22" s="1546" t="s">
        <v>706</v>
      </c>
      <c r="G22" s="1546" t="s">
        <v>706</v>
      </c>
      <c r="H22" s="1546" t="s">
        <v>706</v>
      </c>
      <c r="I22" s="1546" t="s">
        <v>706</v>
      </c>
      <c r="J22" s="1546" t="s">
        <v>706</v>
      </c>
      <c r="K22" s="1546" t="s">
        <v>706</v>
      </c>
      <c r="L22" s="1546" t="s">
        <v>706</v>
      </c>
      <c r="M22" s="1546" t="s">
        <v>706</v>
      </c>
      <c r="N22" s="1546" t="s">
        <v>706</v>
      </c>
      <c r="O22" s="1546" t="s">
        <v>706</v>
      </c>
      <c r="P22" s="1546" t="s">
        <v>706</v>
      </c>
      <c r="Q22" s="1546" t="s">
        <v>706</v>
      </c>
      <c r="R22" s="1556" t="s">
        <v>706</v>
      </c>
    </row>
    <row r="23" spans="1:18" ht="11.25" customHeight="1" x14ac:dyDescent="0.25">
      <c r="A23" s="104" t="s">
        <v>579</v>
      </c>
      <c r="B23" s="1662"/>
      <c r="C23" s="1546" t="s">
        <v>364</v>
      </c>
      <c r="D23" s="1546" t="s">
        <v>364</v>
      </c>
      <c r="E23" s="1546" t="s">
        <v>364</v>
      </c>
      <c r="F23" s="1546" t="s">
        <v>364</v>
      </c>
      <c r="G23" s="1546" t="s">
        <v>364</v>
      </c>
      <c r="H23" s="1546" t="s">
        <v>364</v>
      </c>
      <c r="I23" s="1546" t="s">
        <v>364</v>
      </c>
      <c r="J23" s="1546" t="s">
        <v>364</v>
      </c>
      <c r="K23" s="1546" t="s">
        <v>364</v>
      </c>
      <c r="L23" s="1546" t="s">
        <v>364</v>
      </c>
      <c r="M23" s="1546" t="s">
        <v>364</v>
      </c>
      <c r="N23" s="1546" t="s">
        <v>364</v>
      </c>
      <c r="O23" s="1546" t="s">
        <v>364</v>
      </c>
      <c r="P23" s="1546" t="s">
        <v>364</v>
      </c>
      <c r="Q23" s="1546" t="s">
        <v>364</v>
      </c>
      <c r="R23" s="1556" t="s">
        <v>364</v>
      </c>
    </row>
    <row r="24" spans="1:18" ht="11.25" customHeight="1" x14ac:dyDescent="0.25">
      <c r="A24" s="104" t="s">
        <v>264</v>
      </c>
      <c r="B24" s="1662"/>
      <c r="C24" s="1546" t="s">
        <v>1463</v>
      </c>
      <c r="D24" s="1546" t="s">
        <v>1463</v>
      </c>
      <c r="E24" s="1546" t="s">
        <v>1463</v>
      </c>
      <c r="F24" s="1546" t="s">
        <v>1463</v>
      </c>
      <c r="G24" s="1546" t="s">
        <v>1463</v>
      </c>
      <c r="H24" s="1546" t="s">
        <v>1463</v>
      </c>
      <c r="I24" s="1546" t="s">
        <v>1463</v>
      </c>
      <c r="J24" s="1546" t="s">
        <v>1463</v>
      </c>
      <c r="K24" s="1546" t="s">
        <v>1463</v>
      </c>
      <c r="L24" s="1546" t="s">
        <v>1463</v>
      </c>
      <c r="M24" s="1546" t="s">
        <v>1463</v>
      </c>
      <c r="N24" s="1546" t="s">
        <v>1463</v>
      </c>
      <c r="O24" s="1546" t="s">
        <v>1463</v>
      </c>
      <c r="P24" s="1546" t="s">
        <v>1463</v>
      </c>
      <c r="Q24" s="1546" t="s">
        <v>1463</v>
      </c>
      <c r="R24" s="1556" t="s">
        <v>1463</v>
      </c>
    </row>
    <row r="25" spans="1:18" ht="11.25" customHeight="1" x14ac:dyDescent="0.25">
      <c r="A25" s="96" t="s">
        <v>1342</v>
      </c>
      <c r="B25" s="144"/>
      <c r="C25" s="1580"/>
      <c r="D25" s="1580"/>
      <c r="E25" s="1580"/>
      <c r="F25" s="1580"/>
      <c r="G25" s="1580"/>
      <c r="H25" s="1580"/>
      <c r="I25" s="1580"/>
      <c r="J25" s="1580"/>
      <c r="K25" s="1580"/>
      <c r="L25" s="1580"/>
      <c r="M25" s="1580"/>
      <c r="N25" s="1580"/>
      <c r="O25" s="1580"/>
      <c r="P25" s="1580"/>
      <c r="Q25" s="1580"/>
      <c r="R25" s="1583"/>
    </row>
    <row r="26" spans="1:18" ht="11.25" customHeight="1" x14ac:dyDescent="0.25">
      <c r="A26" s="104" t="s">
        <v>451</v>
      </c>
      <c r="B26" s="144"/>
      <c r="C26" s="1573">
        <v>0</v>
      </c>
      <c r="D26" s="1573">
        <v>0</v>
      </c>
      <c r="E26" s="1573">
        <v>0</v>
      </c>
      <c r="F26" s="1573">
        <v>0</v>
      </c>
      <c r="G26" s="1573">
        <v>0</v>
      </c>
      <c r="H26" s="1573">
        <v>0</v>
      </c>
      <c r="I26" s="1573">
        <v>0</v>
      </c>
      <c r="J26" s="1573">
        <v>0</v>
      </c>
      <c r="K26" s="1573">
        <v>0</v>
      </c>
      <c r="L26" s="1573">
        <v>0</v>
      </c>
      <c r="M26" s="1573">
        <v>0</v>
      </c>
      <c r="N26" s="1573">
        <v>0</v>
      </c>
      <c r="O26" s="1573">
        <v>0</v>
      </c>
      <c r="P26" s="1573">
        <v>0</v>
      </c>
      <c r="Q26" s="1573">
        <v>0</v>
      </c>
      <c r="R26" s="1576">
        <v>0</v>
      </c>
    </row>
    <row r="27" spans="1:18" ht="11.25" customHeight="1" x14ac:dyDescent="0.25">
      <c r="A27" s="104" t="s">
        <v>452</v>
      </c>
      <c r="B27" s="144"/>
      <c r="C27" s="1573">
        <v>0</v>
      </c>
      <c r="D27" s="1573">
        <v>0</v>
      </c>
      <c r="E27" s="1573">
        <v>0</v>
      </c>
      <c r="F27" s="1573">
        <v>0</v>
      </c>
      <c r="G27" s="1573">
        <v>0</v>
      </c>
      <c r="H27" s="1573">
        <v>0</v>
      </c>
      <c r="I27" s="1573">
        <v>0</v>
      </c>
      <c r="J27" s="1573">
        <v>0</v>
      </c>
      <c r="K27" s="1573">
        <v>0</v>
      </c>
      <c r="L27" s="1573">
        <v>0</v>
      </c>
      <c r="M27" s="1573">
        <v>0</v>
      </c>
      <c r="N27" s="1573">
        <v>0</v>
      </c>
      <c r="O27" s="1573">
        <v>0</v>
      </c>
      <c r="P27" s="1573">
        <v>0</v>
      </c>
      <c r="Q27" s="1573">
        <v>0</v>
      </c>
      <c r="R27" s="1576">
        <v>0</v>
      </c>
    </row>
    <row r="28" spans="1:18" ht="11.25" customHeight="1" x14ac:dyDescent="0.25">
      <c r="A28" s="104" t="s">
        <v>453</v>
      </c>
      <c r="B28" s="144"/>
      <c r="C28" s="1573">
        <v>0</v>
      </c>
      <c r="D28" s="1573">
        <v>0</v>
      </c>
      <c r="E28" s="1573">
        <v>0</v>
      </c>
      <c r="F28" s="1573">
        <v>0</v>
      </c>
      <c r="G28" s="1573">
        <v>0</v>
      </c>
      <c r="H28" s="1573">
        <v>0</v>
      </c>
      <c r="I28" s="1573">
        <v>0</v>
      </c>
      <c r="J28" s="1573">
        <v>0</v>
      </c>
      <c r="K28" s="1573">
        <v>0</v>
      </c>
      <c r="L28" s="1573">
        <v>0</v>
      </c>
      <c r="M28" s="1573">
        <v>0</v>
      </c>
      <c r="N28" s="1573">
        <v>0</v>
      </c>
      <c r="O28" s="1573">
        <v>0</v>
      </c>
      <c r="P28" s="1573">
        <v>0</v>
      </c>
      <c r="Q28" s="1573">
        <v>0</v>
      </c>
      <c r="R28" s="1576">
        <v>0</v>
      </c>
    </row>
    <row r="29" spans="1:18" ht="11.25" customHeight="1" x14ac:dyDescent="0.25">
      <c r="A29" s="104" t="s">
        <v>454</v>
      </c>
      <c r="B29" s="144"/>
      <c r="C29" s="1573">
        <v>5595000</v>
      </c>
      <c r="D29" s="1573">
        <v>840000</v>
      </c>
      <c r="E29" s="1573"/>
      <c r="F29" s="1573">
        <v>11055000</v>
      </c>
      <c r="G29" s="1573">
        <v>840000</v>
      </c>
      <c r="H29" s="1573">
        <v>0</v>
      </c>
      <c r="I29" s="1573">
        <v>0</v>
      </c>
      <c r="J29" s="1573">
        <v>0</v>
      </c>
      <c r="K29" s="1573">
        <v>0</v>
      </c>
      <c r="L29" s="1573">
        <v>0</v>
      </c>
      <c r="M29" s="1573">
        <v>0</v>
      </c>
      <c r="N29" s="1573">
        <v>0</v>
      </c>
      <c r="O29" s="1573">
        <v>0</v>
      </c>
      <c r="P29" s="1573">
        <v>0</v>
      </c>
      <c r="Q29" s="1573">
        <v>0</v>
      </c>
      <c r="R29" s="1576">
        <v>0</v>
      </c>
    </row>
    <row r="30" spans="1:18" ht="11.25" customHeight="1" x14ac:dyDescent="0.25">
      <c r="A30" s="104" t="s">
        <v>455</v>
      </c>
      <c r="B30" s="144"/>
      <c r="C30" s="1573"/>
      <c r="D30" s="1573"/>
      <c r="E30" s="1573"/>
      <c r="F30" s="1573"/>
      <c r="G30" s="1573"/>
      <c r="H30" s="1573"/>
      <c r="I30" s="1573"/>
      <c r="J30" s="1573"/>
      <c r="K30" s="1573"/>
      <c r="L30" s="1573"/>
      <c r="M30" s="1573"/>
      <c r="N30" s="1573"/>
      <c r="O30" s="1573"/>
      <c r="P30" s="1573"/>
      <c r="Q30" s="1573"/>
      <c r="R30" s="1576"/>
    </row>
    <row r="31" spans="1:18" ht="11.25" customHeight="1" x14ac:dyDescent="0.25">
      <c r="A31" s="104" t="s">
        <v>456</v>
      </c>
      <c r="B31" s="1662">
        <v>2</v>
      </c>
      <c r="C31" s="1573"/>
      <c r="D31" s="1573"/>
      <c r="E31" s="1573"/>
      <c r="F31" s="1573"/>
      <c r="G31" s="1573"/>
      <c r="H31" s="1573"/>
      <c r="I31" s="1573"/>
      <c r="J31" s="1573"/>
      <c r="K31" s="1573"/>
      <c r="L31" s="1573"/>
      <c r="M31" s="1573"/>
      <c r="N31" s="1573"/>
      <c r="O31" s="1573"/>
      <c r="P31" s="1573"/>
      <c r="Q31" s="1573"/>
      <c r="R31" s="1576"/>
    </row>
    <row r="32" spans="1:18" ht="11.25" customHeight="1" x14ac:dyDescent="0.25">
      <c r="A32" s="145" t="s">
        <v>1343</v>
      </c>
      <c r="B32" s="144"/>
      <c r="C32" s="1663"/>
      <c r="D32" s="1663"/>
      <c r="E32" s="1663"/>
      <c r="F32" s="1663"/>
      <c r="G32" s="1663"/>
      <c r="H32" s="1663"/>
      <c r="I32" s="1663"/>
      <c r="J32" s="1663"/>
      <c r="K32" s="1663"/>
      <c r="L32" s="1663"/>
      <c r="M32" s="1663"/>
      <c r="N32" s="1663"/>
      <c r="O32" s="1663"/>
      <c r="P32" s="1663"/>
      <c r="Q32" s="1663"/>
      <c r="R32" s="1664"/>
    </row>
    <row r="33" spans="1:19" ht="15.75" customHeight="1" x14ac:dyDescent="0.25">
      <c r="A33" s="104" t="s">
        <v>1273</v>
      </c>
      <c r="B33" s="144">
        <v>6</v>
      </c>
      <c r="C33" s="1578">
        <v>486420000</v>
      </c>
      <c r="D33" s="1578">
        <v>392430000</v>
      </c>
      <c r="E33" s="1578">
        <v>184483000</v>
      </c>
      <c r="F33" s="1578">
        <v>3076852000</v>
      </c>
      <c r="G33" s="1578">
        <v>261430000</v>
      </c>
      <c r="H33" s="1578">
        <v>0</v>
      </c>
      <c r="I33" s="1578">
        <v>0</v>
      </c>
      <c r="J33" s="1578">
        <v>129915</v>
      </c>
      <c r="K33" s="1578">
        <v>0</v>
      </c>
      <c r="L33" s="1578">
        <v>0</v>
      </c>
      <c r="M33" s="1578">
        <v>0</v>
      </c>
      <c r="N33" s="1578">
        <v>0</v>
      </c>
      <c r="O33" s="1578">
        <v>2141000</v>
      </c>
      <c r="P33" s="1578">
        <v>0</v>
      </c>
      <c r="Q33" s="1578">
        <v>28187000</v>
      </c>
      <c r="R33" s="1594">
        <v>0</v>
      </c>
    </row>
    <row r="34" spans="1:19" ht="11.25" customHeight="1" x14ac:dyDescent="0.25">
      <c r="A34" s="104" t="s">
        <v>1274</v>
      </c>
      <c r="B34" s="144">
        <v>6</v>
      </c>
      <c r="C34" s="1578">
        <v>0</v>
      </c>
      <c r="D34" s="1578">
        <v>0</v>
      </c>
      <c r="E34" s="1578">
        <v>0</v>
      </c>
      <c r="F34" s="1578">
        <v>0</v>
      </c>
      <c r="G34" s="1578">
        <v>0</v>
      </c>
      <c r="H34" s="1578">
        <v>0</v>
      </c>
      <c r="I34" s="1578">
        <v>0</v>
      </c>
      <c r="J34" s="1578">
        <v>0</v>
      </c>
      <c r="K34" s="1578">
        <v>0</v>
      </c>
      <c r="L34" s="1578">
        <v>0</v>
      </c>
      <c r="M34" s="1578">
        <v>0</v>
      </c>
      <c r="N34" s="1578">
        <v>0</v>
      </c>
      <c r="O34" s="1578">
        <v>0</v>
      </c>
      <c r="P34" s="1578">
        <v>0</v>
      </c>
      <c r="Q34" s="1578">
        <v>0</v>
      </c>
      <c r="R34" s="1594">
        <v>0</v>
      </c>
    </row>
    <row r="35" spans="1:19" ht="11.25" customHeight="1" x14ac:dyDescent="0.25">
      <c r="A35" s="104" t="s">
        <v>1275</v>
      </c>
      <c r="B35" s="144">
        <v>6</v>
      </c>
      <c r="C35" s="1578">
        <v>0</v>
      </c>
      <c r="D35" s="1578">
        <v>0</v>
      </c>
      <c r="E35" s="1578">
        <v>0</v>
      </c>
      <c r="F35" s="1578">
        <v>0</v>
      </c>
      <c r="G35" s="1578">
        <v>0</v>
      </c>
      <c r="H35" s="1578">
        <v>0</v>
      </c>
      <c r="I35" s="1578">
        <v>0</v>
      </c>
      <c r="J35" s="1578">
        <v>0</v>
      </c>
      <c r="K35" s="1578">
        <v>0</v>
      </c>
      <c r="L35" s="1578">
        <v>0</v>
      </c>
      <c r="M35" s="1578">
        <v>0</v>
      </c>
      <c r="N35" s="1578">
        <v>0</v>
      </c>
      <c r="O35" s="1578">
        <v>0</v>
      </c>
      <c r="P35" s="1578">
        <v>0</v>
      </c>
      <c r="Q35" s="1578">
        <v>0</v>
      </c>
      <c r="R35" s="1594">
        <v>0</v>
      </c>
    </row>
    <row r="36" spans="1:19" ht="11.25" customHeight="1" x14ac:dyDescent="0.25">
      <c r="A36" s="104" t="s">
        <v>1276</v>
      </c>
      <c r="B36" s="144">
        <v>6</v>
      </c>
      <c r="C36" s="1596">
        <v>486420000</v>
      </c>
      <c r="D36" s="1596">
        <v>392430000</v>
      </c>
      <c r="E36" s="1596">
        <v>184483000</v>
      </c>
      <c r="F36" s="1596">
        <v>3076852000</v>
      </c>
      <c r="G36" s="1596">
        <v>261430000</v>
      </c>
      <c r="H36" s="1596"/>
      <c r="I36" s="1596">
        <v>21620000</v>
      </c>
      <c r="J36" s="1596">
        <v>129915</v>
      </c>
      <c r="K36" s="1596"/>
      <c r="L36" s="1596"/>
      <c r="M36" s="1596"/>
      <c r="N36" s="1596"/>
      <c r="O36" s="1596">
        <v>2141000</v>
      </c>
      <c r="P36" s="1596"/>
      <c r="Q36" s="1596">
        <v>28187000</v>
      </c>
      <c r="R36" s="1665"/>
    </row>
    <row r="37" spans="1:19" ht="15.75" customHeight="1" x14ac:dyDescent="0.25">
      <c r="A37" s="1666" t="s">
        <v>1344</v>
      </c>
      <c r="B37" s="1667"/>
      <c r="C37" s="1668"/>
      <c r="D37" s="1668"/>
      <c r="E37" s="1668"/>
      <c r="F37" s="1668"/>
      <c r="G37" s="1668"/>
      <c r="H37" s="1668"/>
      <c r="I37" s="1668"/>
      <c r="J37" s="1668"/>
      <c r="K37" s="1668"/>
      <c r="L37" s="1668"/>
      <c r="M37" s="1668"/>
      <c r="N37" s="1668"/>
      <c r="O37" s="1668"/>
      <c r="P37" s="1668"/>
      <c r="Q37" s="1668"/>
      <c r="R37" s="1669"/>
    </row>
    <row r="38" spans="1:19" ht="11.25" customHeight="1" x14ac:dyDescent="0.25">
      <c r="A38" s="137" t="s">
        <v>263</v>
      </c>
      <c r="B38" s="1670">
        <v>3</v>
      </c>
      <c r="C38" s="1671"/>
      <c r="D38" s="1671"/>
      <c r="E38" s="1671"/>
      <c r="F38" s="1671"/>
      <c r="G38" s="1671"/>
      <c r="H38" s="1671"/>
      <c r="I38" s="1671"/>
      <c r="J38" s="1671"/>
      <c r="K38" s="1671"/>
      <c r="L38" s="1671"/>
      <c r="M38" s="1671"/>
      <c r="N38" s="1671"/>
      <c r="O38" s="1671"/>
      <c r="P38" s="1671"/>
      <c r="Q38" s="1671"/>
      <c r="R38" s="1672"/>
      <c r="S38" s="322"/>
    </row>
    <row r="39" spans="1:19" ht="11.25" customHeight="1" x14ac:dyDescent="0.25">
      <c r="A39" s="137" t="s">
        <v>1277</v>
      </c>
      <c r="B39" s="1670"/>
      <c r="C39" s="712">
        <v>3495474</v>
      </c>
      <c r="D39" s="712">
        <v>3662632</v>
      </c>
      <c r="E39" s="712">
        <v>2152274</v>
      </c>
      <c r="F39" s="712">
        <v>3589614</v>
      </c>
      <c r="G39" s="712">
        <v>4635965</v>
      </c>
      <c r="H39" s="712">
        <v>0</v>
      </c>
      <c r="I39" s="712">
        <v>0</v>
      </c>
      <c r="J39" s="712">
        <v>0</v>
      </c>
      <c r="K39" s="712">
        <v>0</v>
      </c>
      <c r="L39" s="712">
        <v>1927939</v>
      </c>
      <c r="M39" s="712">
        <v>0</v>
      </c>
      <c r="N39" s="712">
        <v>0</v>
      </c>
      <c r="O39" s="712">
        <v>317724</v>
      </c>
      <c r="P39" s="712">
        <v>0</v>
      </c>
      <c r="Q39" s="712">
        <v>0</v>
      </c>
      <c r="R39" s="713">
        <v>0</v>
      </c>
      <c r="S39" s="1673">
        <f>SUM(C39:R39)</f>
        <v>19781622</v>
      </c>
    </row>
    <row r="40" spans="1:19" ht="11.25" customHeight="1" x14ac:dyDescent="0.25">
      <c r="A40" s="137" t="s">
        <v>1278</v>
      </c>
      <c r="B40" s="1670"/>
      <c r="C40" s="712">
        <v>3320700.3</v>
      </c>
      <c r="D40" s="712">
        <v>3479500.4</v>
      </c>
      <c r="E40" s="712">
        <v>2044660.2999999998</v>
      </c>
      <c r="F40" s="712">
        <v>3410133.3</v>
      </c>
      <c r="G40" s="712">
        <v>4404166.75</v>
      </c>
      <c r="H40" s="712">
        <v>0</v>
      </c>
      <c r="I40" s="712">
        <v>0</v>
      </c>
      <c r="J40" s="712">
        <v>0</v>
      </c>
      <c r="K40" s="712">
        <v>0</v>
      </c>
      <c r="L40" s="712">
        <v>1831542.0499999998</v>
      </c>
      <c r="M40" s="712">
        <v>0</v>
      </c>
      <c r="N40" s="712">
        <v>0</v>
      </c>
      <c r="O40" s="712">
        <v>301837.8</v>
      </c>
      <c r="P40" s="712">
        <v>0</v>
      </c>
      <c r="Q40" s="712">
        <v>0</v>
      </c>
      <c r="R40" s="713">
        <v>0</v>
      </c>
      <c r="S40" s="1673">
        <f>SUM(C40:R40)</f>
        <v>18792540.900000002</v>
      </c>
    </row>
    <row r="41" spans="1:19" ht="11.25" customHeight="1" x14ac:dyDescent="0.25">
      <c r="A41" s="137" t="s">
        <v>1380</v>
      </c>
      <c r="B41" s="1670">
        <v>4</v>
      </c>
      <c r="C41" s="1623">
        <v>0.95</v>
      </c>
      <c r="D41" s="1623">
        <v>0.95</v>
      </c>
      <c r="E41" s="1623">
        <v>0.95</v>
      </c>
      <c r="F41" s="1623">
        <v>0.95</v>
      </c>
      <c r="G41" s="1623">
        <v>0.95</v>
      </c>
      <c r="H41" s="1623"/>
      <c r="I41" s="1623"/>
      <c r="J41" s="1623"/>
      <c r="K41" s="1623"/>
      <c r="L41" s="1623">
        <v>0.95</v>
      </c>
      <c r="M41" s="1623"/>
      <c r="N41" s="1623"/>
      <c r="O41" s="1623">
        <v>0.95</v>
      </c>
      <c r="P41" s="1623"/>
      <c r="Q41" s="1623"/>
      <c r="R41" s="1626"/>
    </row>
    <row r="42" spans="1:19" ht="11.25" customHeight="1" x14ac:dyDescent="0.25">
      <c r="A42" s="137" t="s">
        <v>1308</v>
      </c>
      <c r="B42" s="1670"/>
      <c r="C42" s="720"/>
      <c r="D42" s="720"/>
      <c r="E42" s="720"/>
      <c r="F42" s="720"/>
      <c r="G42" s="720"/>
      <c r="H42" s="720"/>
      <c r="I42" s="720"/>
      <c r="J42" s="720"/>
      <c r="K42" s="720"/>
      <c r="L42" s="720"/>
      <c r="M42" s="720"/>
      <c r="N42" s="720"/>
      <c r="O42" s="720"/>
      <c r="P42" s="720"/>
      <c r="Q42" s="720"/>
      <c r="R42" s="721"/>
      <c r="S42" s="322"/>
    </row>
    <row r="43" spans="1:19" ht="15.75" customHeight="1" x14ac:dyDescent="0.25">
      <c r="A43" s="137" t="s">
        <v>356</v>
      </c>
      <c r="B43" s="1670"/>
      <c r="C43" s="1674">
        <v>0</v>
      </c>
      <c r="D43" s="1674">
        <v>0</v>
      </c>
      <c r="E43" s="1674">
        <v>0</v>
      </c>
      <c r="F43" s="1674">
        <v>0</v>
      </c>
      <c r="G43" s="1674">
        <v>0</v>
      </c>
      <c r="H43" s="1674">
        <v>0</v>
      </c>
      <c r="I43" s="1674">
        <v>0</v>
      </c>
      <c r="J43" s="1674">
        <v>0</v>
      </c>
      <c r="K43" s="1674">
        <v>0</v>
      </c>
      <c r="L43" s="1674">
        <v>0</v>
      </c>
      <c r="M43" s="1674">
        <v>0</v>
      </c>
      <c r="N43" s="1674">
        <v>0</v>
      </c>
      <c r="O43" s="1674">
        <v>0</v>
      </c>
      <c r="P43" s="1674">
        <v>0</v>
      </c>
      <c r="Q43" s="1674">
        <v>0</v>
      </c>
      <c r="R43" s="1675">
        <v>0</v>
      </c>
      <c r="S43" s="322"/>
    </row>
    <row r="44" spans="1:19" ht="11.25" customHeight="1" x14ac:dyDescent="0.25">
      <c r="A44" s="137" t="s">
        <v>447</v>
      </c>
      <c r="B44" s="1670"/>
      <c r="C44" s="720">
        <v>10000</v>
      </c>
      <c r="D44" s="720"/>
      <c r="E44" s="720"/>
      <c r="F44" s="720"/>
      <c r="G44" s="720"/>
      <c r="H44" s="720"/>
      <c r="I44" s="720"/>
      <c r="J44" s="720"/>
      <c r="K44" s="720"/>
      <c r="L44" s="720"/>
      <c r="M44" s="720"/>
      <c r="N44" s="720"/>
      <c r="O44" s="720"/>
      <c r="P44" s="720"/>
      <c r="Q44" s="720"/>
      <c r="R44" s="721"/>
      <c r="S44" s="322"/>
    </row>
    <row r="45" spans="1:19" ht="11.25" customHeight="1" x14ac:dyDescent="0.25">
      <c r="A45" s="137" t="s">
        <v>448</v>
      </c>
      <c r="B45" s="1670"/>
      <c r="C45" s="720">
        <v>0</v>
      </c>
      <c r="D45" s="720">
        <v>0</v>
      </c>
      <c r="E45" s="720">
        <v>0</v>
      </c>
      <c r="F45" s="720">
        <v>1794807</v>
      </c>
      <c r="G45" s="720">
        <v>0</v>
      </c>
      <c r="H45" s="720">
        <v>0</v>
      </c>
      <c r="I45" s="720">
        <v>0</v>
      </c>
      <c r="J45" s="720">
        <v>0</v>
      </c>
      <c r="K45" s="720">
        <v>0</v>
      </c>
      <c r="L45" s="720">
        <v>0</v>
      </c>
      <c r="M45" s="720">
        <v>0</v>
      </c>
      <c r="N45" s="720">
        <v>0</v>
      </c>
      <c r="O45" s="720">
        <v>0</v>
      </c>
      <c r="P45" s="720">
        <v>0</v>
      </c>
      <c r="Q45" s="720">
        <v>0</v>
      </c>
      <c r="R45" s="721">
        <v>0</v>
      </c>
      <c r="S45" s="322"/>
    </row>
    <row r="46" spans="1:19" ht="11.25" customHeight="1" x14ac:dyDescent="0.25">
      <c r="A46" s="137" t="s">
        <v>449</v>
      </c>
      <c r="B46" s="1670"/>
      <c r="C46" s="720">
        <v>0</v>
      </c>
      <c r="D46" s="720">
        <v>0</v>
      </c>
      <c r="E46" s="720">
        <v>0</v>
      </c>
      <c r="F46" s="720">
        <v>0</v>
      </c>
      <c r="G46" s="720">
        <v>0</v>
      </c>
      <c r="H46" s="720">
        <v>0</v>
      </c>
      <c r="I46" s="720">
        <v>0</v>
      </c>
      <c r="J46" s="720">
        <v>0</v>
      </c>
      <c r="K46" s="720">
        <v>0</v>
      </c>
      <c r="L46" s="720">
        <v>0</v>
      </c>
      <c r="M46" s="720">
        <v>0</v>
      </c>
      <c r="N46" s="720">
        <v>0</v>
      </c>
      <c r="O46" s="720">
        <v>0</v>
      </c>
      <c r="P46" s="720">
        <v>0</v>
      </c>
      <c r="Q46" s="720">
        <v>0</v>
      </c>
      <c r="R46" s="721">
        <v>0</v>
      </c>
      <c r="S46" s="322"/>
    </row>
    <row r="47" spans="1:19" ht="11.25" customHeight="1" x14ac:dyDescent="0.25">
      <c r="A47" s="137" t="s">
        <v>1307</v>
      </c>
      <c r="B47" s="1670"/>
      <c r="C47" s="720">
        <v>0</v>
      </c>
      <c r="D47" s="720">
        <v>0</v>
      </c>
      <c r="E47" s="720">
        <v>0</v>
      </c>
      <c r="F47" s="720">
        <v>0</v>
      </c>
      <c r="G47" s="720">
        <v>0</v>
      </c>
      <c r="H47" s="720">
        <v>0</v>
      </c>
      <c r="I47" s="720">
        <v>0</v>
      </c>
      <c r="J47" s="720">
        <v>0</v>
      </c>
      <c r="K47" s="720">
        <v>0</v>
      </c>
      <c r="L47" s="720">
        <v>0</v>
      </c>
      <c r="M47" s="720">
        <v>0</v>
      </c>
      <c r="N47" s="720">
        <v>0</v>
      </c>
      <c r="O47" s="720">
        <v>0</v>
      </c>
      <c r="P47" s="720">
        <v>0</v>
      </c>
      <c r="Q47" s="720">
        <v>0</v>
      </c>
      <c r="R47" s="721">
        <v>0</v>
      </c>
      <c r="S47" s="322"/>
    </row>
    <row r="48" spans="1:19" ht="11.25" customHeight="1" x14ac:dyDescent="0.25">
      <c r="A48" s="475" t="s">
        <v>564</v>
      </c>
      <c r="B48" s="1662"/>
      <c r="C48" s="1676"/>
      <c r="D48" s="1676"/>
      <c r="E48" s="1676"/>
      <c r="F48" s="1676"/>
      <c r="G48" s="1676"/>
      <c r="H48" s="1676"/>
      <c r="I48" s="1676"/>
      <c r="J48" s="1676"/>
      <c r="K48" s="1676"/>
      <c r="L48" s="1676"/>
      <c r="M48" s="1676"/>
      <c r="N48" s="1676"/>
      <c r="O48" s="1676"/>
      <c r="P48" s="1676"/>
      <c r="Q48" s="1676"/>
      <c r="R48" s="1677"/>
      <c r="S48" s="322"/>
    </row>
    <row r="49" spans="1:19" ht="4.9000000000000004" customHeight="1" x14ac:dyDescent="0.25">
      <c r="A49" s="1678"/>
      <c r="B49" s="118"/>
      <c r="C49" s="1648"/>
      <c r="D49" s="1648"/>
      <c r="E49" s="1648"/>
      <c r="F49" s="1648"/>
      <c r="G49" s="1648"/>
      <c r="H49" s="1648"/>
      <c r="I49" s="1648"/>
      <c r="J49" s="1648"/>
      <c r="K49" s="1648"/>
      <c r="L49" s="1648"/>
      <c r="M49" s="1648"/>
      <c r="N49" s="1648"/>
      <c r="O49" s="1648"/>
      <c r="P49" s="1648"/>
      <c r="Q49" s="1648"/>
      <c r="R49" s="1649"/>
    </row>
    <row r="50" spans="1:19" x14ac:dyDescent="0.25">
      <c r="A50" s="217" t="str">
        <f>head27a</f>
        <v>References</v>
      </c>
      <c r="B50" s="1679"/>
      <c r="C50" s="193"/>
      <c r="D50" s="193"/>
      <c r="E50" s="193"/>
      <c r="F50" s="193"/>
      <c r="G50" s="193"/>
      <c r="H50" s="193"/>
      <c r="I50" s="193"/>
      <c r="J50" s="193"/>
      <c r="K50" s="193"/>
      <c r="L50" s="193"/>
      <c r="M50" s="193"/>
      <c r="N50" s="193"/>
      <c r="O50" s="193"/>
      <c r="P50" s="193"/>
      <c r="Q50" s="193"/>
      <c r="R50" s="193"/>
    </row>
    <row r="51" spans="1:19" x14ac:dyDescent="0.25">
      <c r="A51" s="297" t="s">
        <v>459</v>
      </c>
      <c r="B51" s="1679"/>
      <c r="C51" s="193"/>
      <c r="D51" s="193"/>
      <c r="E51" s="193"/>
      <c r="F51" s="193"/>
      <c r="G51" s="193"/>
      <c r="H51" s="193"/>
      <c r="I51" s="193"/>
      <c r="J51" s="193"/>
      <c r="K51" s="193"/>
      <c r="L51" s="193"/>
      <c r="M51" s="193"/>
      <c r="N51" s="193"/>
      <c r="O51" s="193"/>
      <c r="P51" s="193"/>
      <c r="Q51" s="193"/>
      <c r="R51" s="193"/>
    </row>
    <row r="52" spans="1:19" x14ac:dyDescent="0.25">
      <c r="A52" s="297" t="s">
        <v>460</v>
      </c>
      <c r="B52" s="1679"/>
      <c r="C52" s="193"/>
      <c r="D52" s="193"/>
      <c r="E52" s="193"/>
      <c r="F52" s="193"/>
      <c r="G52" s="193"/>
      <c r="H52" s="193"/>
      <c r="I52" s="193"/>
      <c r="J52" s="193"/>
      <c r="K52" s="193"/>
      <c r="L52" s="193"/>
      <c r="M52" s="193"/>
      <c r="N52" s="193"/>
      <c r="O52" s="193"/>
      <c r="P52" s="193"/>
      <c r="Q52" s="193"/>
      <c r="R52" s="193"/>
    </row>
    <row r="53" spans="1:19" x14ac:dyDescent="0.25">
      <c r="A53" s="218" t="s">
        <v>461</v>
      </c>
      <c r="B53" s="1679"/>
      <c r="C53" s="193"/>
      <c r="D53" s="193"/>
      <c r="E53" s="193"/>
      <c r="F53" s="193"/>
      <c r="G53" s="193"/>
      <c r="H53" s="193"/>
      <c r="I53" s="193"/>
      <c r="J53" s="193"/>
      <c r="K53" s="193"/>
      <c r="L53" s="193"/>
      <c r="M53" s="193"/>
      <c r="N53" s="193"/>
      <c r="O53" s="193"/>
      <c r="P53" s="193"/>
      <c r="Q53" s="193"/>
      <c r="R53" s="193"/>
    </row>
    <row r="54" spans="1:19" x14ac:dyDescent="0.25">
      <c r="A54" s="297" t="s">
        <v>462</v>
      </c>
      <c r="B54" s="1679"/>
      <c r="C54" s="193"/>
      <c r="D54" s="193"/>
      <c r="E54" s="193"/>
      <c r="F54" s="193"/>
      <c r="G54" s="193"/>
      <c r="H54" s="193"/>
      <c r="I54" s="193"/>
      <c r="J54" s="193"/>
      <c r="K54" s="193"/>
      <c r="L54" s="193"/>
      <c r="M54" s="193"/>
      <c r="N54" s="193"/>
      <c r="O54" s="193"/>
      <c r="P54" s="193"/>
      <c r="Q54" s="193"/>
      <c r="R54" s="193"/>
    </row>
    <row r="55" spans="1:19" x14ac:dyDescent="0.25">
      <c r="A55" s="151" t="s">
        <v>1397</v>
      </c>
      <c r="B55" s="1679"/>
      <c r="C55" s="193"/>
      <c r="D55" s="193"/>
      <c r="E55" s="193"/>
      <c r="F55" s="193"/>
      <c r="G55" s="193"/>
      <c r="H55" s="193"/>
      <c r="I55" s="193"/>
      <c r="J55" s="193"/>
      <c r="K55" s="193"/>
      <c r="L55" s="193"/>
      <c r="M55" s="193"/>
      <c r="N55" s="193"/>
      <c r="O55" s="193"/>
      <c r="P55" s="193"/>
      <c r="Q55" s="193"/>
      <c r="R55" s="193"/>
    </row>
    <row r="56" spans="1:19" x14ac:dyDescent="0.25">
      <c r="A56" s="151" t="s">
        <v>1399</v>
      </c>
      <c r="B56" s="1679"/>
      <c r="C56" s="193"/>
      <c r="D56" s="193"/>
      <c r="E56" s="193"/>
      <c r="F56" s="193"/>
      <c r="G56" s="193"/>
      <c r="H56" s="193"/>
      <c r="I56" s="193"/>
      <c r="J56" s="193"/>
      <c r="K56" s="193"/>
      <c r="L56" s="193"/>
      <c r="M56" s="193"/>
      <c r="N56" s="193"/>
      <c r="O56" s="193"/>
      <c r="P56" s="193"/>
      <c r="Q56" s="193"/>
      <c r="R56" s="193"/>
    </row>
    <row r="57" spans="1:19" ht="15.75" customHeight="1" x14ac:dyDescent="0.25">
      <c r="A57" s="1680"/>
      <c r="B57" s="1680"/>
      <c r="C57" s="671"/>
      <c r="D57" s="671"/>
      <c r="E57" s="671"/>
      <c r="F57" s="671"/>
      <c r="G57" s="671"/>
      <c r="H57" s="671"/>
      <c r="I57" s="671"/>
      <c r="J57" s="671"/>
      <c r="K57" s="671"/>
      <c r="L57" s="671"/>
      <c r="M57" s="671"/>
      <c r="N57" s="671"/>
      <c r="O57" s="671"/>
      <c r="P57" s="671"/>
      <c r="Q57" s="671"/>
      <c r="R57" s="671"/>
      <c r="S57" s="126"/>
    </row>
    <row r="58" spans="1:19" ht="38.25" customHeight="1" x14ac:dyDescent="0.25">
      <c r="A58" s="1681"/>
      <c r="B58" s="1682"/>
      <c r="C58" s="1683"/>
      <c r="D58" s="1683"/>
      <c r="E58" s="1683"/>
      <c r="F58" s="1683"/>
      <c r="G58" s="1683"/>
      <c r="H58" s="1683"/>
      <c r="I58" s="1683"/>
      <c r="J58" s="1683"/>
      <c r="K58" s="1683"/>
      <c r="L58" s="1683"/>
      <c r="M58" s="1683"/>
      <c r="N58" s="1683"/>
      <c r="O58" s="1683"/>
      <c r="P58" s="1683"/>
      <c r="Q58" s="1683"/>
      <c r="R58" s="1683"/>
      <c r="S58" s="126"/>
    </row>
    <row r="59" spans="1:19" ht="11.25" customHeight="1" x14ac:dyDescent="0.25">
      <c r="A59" s="1684"/>
      <c r="B59" s="513"/>
      <c r="C59" s="191"/>
      <c r="D59" s="191"/>
      <c r="E59" s="191"/>
      <c r="F59" s="191"/>
      <c r="G59" s="191"/>
      <c r="H59" s="191"/>
      <c r="I59" s="191"/>
      <c r="J59" s="191"/>
      <c r="K59" s="191"/>
      <c r="L59" s="191"/>
      <c r="M59" s="191"/>
      <c r="N59" s="191"/>
      <c r="O59" s="191"/>
      <c r="P59" s="191"/>
      <c r="Q59" s="191"/>
      <c r="R59" s="191"/>
      <c r="S59" s="126"/>
    </row>
    <row r="60" spans="1:19" ht="11.25" customHeight="1" x14ac:dyDescent="0.25">
      <c r="A60" s="1684"/>
      <c r="B60" s="513"/>
      <c r="C60" s="191"/>
      <c r="D60" s="191"/>
      <c r="E60" s="191"/>
      <c r="F60" s="191"/>
      <c r="G60" s="191"/>
      <c r="H60" s="191"/>
      <c r="I60" s="191"/>
      <c r="J60" s="191"/>
      <c r="K60" s="191"/>
      <c r="L60" s="191"/>
      <c r="M60" s="191"/>
      <c r="N60" s="191"/>
      <c r="O60" s="191"/>
      <c r="P60" s="191"/>
      <c r="Q60" s="191"/>
      <c r="R60" s="191"/>
      <c r="S60" s="126"/>
    </row>
    <row r="61" spans="1:19" ht="11.25" customHeight="1" x14ac:dyDescent="0.25">
      <c r="A61" s="512"/>
      <c r="B61" s="513"/>
      <c r="C61" s="1685"/>
      <c r="D61" s="1685"/>
      <c r="E61" s="1685"/>
      <c r="F61" s="1685"/>
      <c r="G61" s="1685"/>
      <c r="H61" s="1685"/>
      <c r="I61" s="1685"/>
      <c r="J61" s="1685"/>
      <c r="K61" s="1685"/>
      <c r="L61" s="1685"/>
      <c r="M61" s="1685"/>
      <c r="N61" s="1685"/>
      <c r="O61" s="1685"/>
      <c r="P61" s="1685"/>
      <c r="Q61" s="1685"/>
      <c r="R61" s="1685"/>
      <c r="S61" s="126"/>
    </row>
    <row r="62" spans="1:19" ht="11.25" customHeight="1" x14ac:dyDescent="0.25">
      <c r="A62" s="512"/>
      <c r="B62" s="513"/>
      <c r="C62" s="1685"/>
      <c r="D62" s="1685"/>
      <c r="E62" s="1685"/>
      <c r="F62" s="1685"/>
      <c r="G62" s="1685"/>
      <c r="H62" s="1685"/>
      <c r="I62" s="1685"/>
      <c r="J62" s="1685"/>
      <c r="K62" s="1685"/>
      <c r="L62" s="1685"/>
      <c r="M62" s="1685"/>
      <c r="N62" s="1685"/>
      <c r="O62" s="1685"/>
      <c r="P62" s="1685"/>
      <c r="Q62" s="1685"/>
      <c r="R62" s="1685"/>
      <c r="S62" s="126"/>
    </row>
    <row r="63" spans="1:19" ht="11.25" customHeight="1" x14ac:dyDescent="0.25">
      <c r="A63" s="512"/>
      <c r="B63" s="513"/>
      <c r="C63" s="1685"/>
      <c r="D63" s="1685"/>
      <c r="E63" s="1685"/>
      <c r="F63" s="1685"/>
      <c r="G63" s="1685"/>
      <c r="H63" s="1685"/>
      <c r="I63" s="1685"/>
      <c r="J63" s="1685"/>
      <c r="K63" s="1685"/>
      <c r="L63" s="1685"/>
      <c r="M63" s="1685"/>
      <c r="N63" s="1685"/>
      <c r="O63" s="1685"/>
      <c r="P63" s="1685"/>
      <c r="Q63" s="1685"/>
      <c r="R63" s="1685"/>
      <c r="S63" s="126"/>
    </row>
    <row r="64" spans="1:19" ht="11.25" customHeight="1" x14ac:dyDescent="0.25">
      <c r="A64" s="512"/>
      <c r="B64" s="513"/>
      <c r="C64" s="1685"/>
      <c r="D64" s="1685"/>
      <c r="E64" s="1685"/>
      <c r="F64" s="1685"/>
      <c r="G64" s="1685"/>
      <c r="H64" s="1685"/>
      <c r="I64" s="1685"/>
      <c r="J64" s="1685"/>
      <c r="K64" s="1685"/>
      <c r="L64" s="1685"/>
      <c r="M64" s="1685"/>
      <c r="N64" s="1685"/>
      <c r="O64" s="1685"/>
      <c r="P64" s="1685"/>
      <c r="Q64" s="1685"/>
      <c r="R64" s="1685"/>
      <c r="S64" s="126"/>
    </row>
    <row r="65" spans="1:19" ht="11.25" customHeight="1" x14ac:dyDescent="0.25">
      <c r="A65" s="512"/>
      <c r="B65" s="513"/>
      <c r="C65" s="1685"/>
      <c r="D65" s="1685"/>
      <c r="E65" s="1685"/>
      <c r="F65" s="1685"/>
      <c r="G65" s="1685"/>
      <c r="H65" s="1685"/>
      <c r="I65" s="1685"/>
      <c r="J65" s="1685"/>
      <c r="K65" s="1685"/>
      <c r="L65" s="1685"/>
      <c r="M65" s="1685"/>
      <c r="N65" s="1685"/>
      <c r="O65" s="1685"/>
      <c r="P65" s="1685"/>
      <c r="Q65" s="1685"/>
      <c r="R65" s="1685"/>
      <c r="S65" s="126"/>
    </row>
    <row r="66" spans="1:19" ht="11.25" customHeight="1" x14ac:dyDescent="0.25">
      <c r="A66" s="512"/>
      <c r="B66" s="513"/>
      <c r="C66" s="1685"/>
      <c r="D66" s="1685"/>
      <c r="E66" s="1685"/>
      <c r="F66" s="1685"/>
      <c r="G66" s="1685"/>
      <c r="H66" s="1685"/>
      <c r="I66" s="1685"/>
      <c r="J66" s="1685"/>
      <c r="K66" s="1685"/>
      <c r="L66" s="1685"/>
      <c r="M66" s="1685"/>
      <c r="N66" s="1685"/>
      <c r="O66" s="1685"/>
      <c r="P66" s="1685"/>
      <c r="Q66" s="1685"/>
      <c r="R66" s="1685"/>
      <c r="S66" s="126"/>
    </row>
    <row r="67" spans="1:19" ht="11.25" customHeight="1" x14ac:dyDescent="0.25">
      <c r="A67" s="512"/>
      <c r="B67" s="513"/>
      <c r="C67" s="1685"/>
      <c r="D67" s="1685"/>
      <c r="E67" s="1685"/>
      <c r="F67" s="1685"/>
      <c r="G67" s="1685"/>
      <c r="H67" s="1685"/>
      <c r="I67" s="1685"/>
      <c r="J67" s="1685"/>
      <c r="K67" s="1685"/>
      <c r="L67" s="1685"/>
      <c r="M67" s="1685"/>
      <c r="N67" s="1685"/>
      <c r="O67" s="1685"/>
      <c r="P67" s="1685"/>
      <c r="Q67" s="1685"/>
      <c r="R67" s="1685"/>
      <c r="S67" s="126"/>
    </row>
    <row r="68" spans="1:19" ht="11.25" customHeight="1" x14ac:dyDescent="0.25">
      <c r="A68" s="512"/>
      <c r="B68" s="513"/>
      <c r="C68" s="1685"/>
      <c r="D68" s="1685"/>
      <c r="E68" s="1685"/>
      <c r="F68" s="1685"/>
      <c r="G68" s="1685"/>
      <c r="H68" s="1685"/>
      <c r="I68" s="1685"/>
      <c r="J68" s="1685"/>
      <c r="K68" s="1685"/>
      <c r="L68" s="1685"/>
      <c r="M68" s="1685"/>
      <c r="N68" s="1685"/>
      <c r="O68" s="1685"/>
      <c r="P68" s="1685"/>
      <c r="Q68" s="1685"/>
      <c r="R68" s="1685"/>
      <c r="S68" s="126"/>
    </row>
    <row r="69" spans="1:19" ht="11.25" customHeight="1" x14ac:dyDescent="0.25">
      <c r="A69" s="512"/>
      <c r="B69" s="513"/>
      <c r="C69" s="1685"/>
      <c r="D69" s="1685"/>
      <c r="E69" s="1685"/>
      <c r="F69" s="1685"/>
      <c r="G69" s="1685"/>
      <c r="H69" s="1685"/>
      <c r="I69" s="1685"/>
      <c r="J69" s="1685"/>
      <c r="K69" s="1685"/>
      <c r="L69" s="1685"/>
      <c r="M69" s="1685"/>
      <c r="N69" s="1685"/>
      <c r="O69" s="1685"/>
      <c r="P69" s="1685"/>
      <c r="Q69" s="1685"/>
      <c r="R69" s="1685"/>
      <c r="S69" s="126"/>
    </row>
    <row r="70" spans="1:19" ht="11.25" customHeight="1" x14ac:dyDescent="0.25">
      <c r="A70" s="512"/>
      <c r="B70" s="513"/>
      <c r="C70" s="1685"/>
      <c r="D70" s="1685"/>
      <c r="E70" s="1685"/>
      <c r="F70" s="1685"/>
      <c r="G70" s="1685"/>
      <c r="H70" s="1685"/>
      <c r="I70" s="1685"/>
      <c r="J70" s="1685"/>
      <c r="K70" s="1685"/>
      <c r="L70" s="1685"/>
      <c r="M70" s="1685"/>
      <c r="N70" s="1685"/>
      <c r="O70" s="1685"/>
      <c r="P70" s="1685"/>
      <c r="Q70" s="1685"/>
      <c r="R70" s="1685"/>
      <c r="S70" s="126"/>
    </row>
    <row r="71" spans="1:19" ht="11.25" customHeight="1" x14ac:dyDescent="0.25">
      <c r="A71" s="512"/>
      <c r="B71" s="513"/>
      <c r="C71" s="1685"/>
      <c r="D71" s="1685"/>
      <c r="E71" s="1685"/>
      <c r="F71" s="1685"/>
      <c r="G71" s="1685"/>
      <c r="H71" s="1685"/>
      <c r="I71" s="1685"/>
      <c r="J71" s="1685"/>
      <c r="K71" s="1685"/>
      <c r="L71" s="1685"/>
      <c r="M71" s="1685"/>
      <c r="N71" s="1685"/>
      <c r="O71" s="1685"/>
      <c r="P71" s="1685"/>
      <c r="Q71" s="1685"/>
      <c r="R71" s="1685"/>
      <c r="S71" s="126"/>
    </row>
    <row r="72" spans="1:19" ht="11.25" customHeight="1" x14ac:dyDescent="0.25">
      <c r="A72" s="512"/>
      <c r="B72" s="513"/>
      <c r="C72" s="469"/>
      <c r="D72" s="469"/>
      <c r="E72" s="469"/>
      <c r="F72" s="469"/>
      <c r="G72" s="469"/>
      <c r="H72" s="469"/>
      <c r="I72" s="851"/>
      <c r="J72" s="469"/>
      <c r="K72" s="469"/>
      <c r="L72" s="469"/>
      <c r="M72" s="469"/>
      <c r="N72" s="469"/>
      <c r="O72" s="469"/>
      <c r="P72" s="469"/>
      <c r="Q72" s="469"/>
      <c r="R72" s="469"/>
      <c r="S72" s="126"/>
    </row>
    <row r="73" spans="1:19" ht="11.25" customHeight="1" x14ac:dyDescent="0.25">
      <c r="A73" s="512"/>
      <c r="B73" s="513"/>
      <c r="C73" s="513"/>
      <c r="D73" s="513"/>
      <c r="E73" s="513"/>
      <c r="F73" s="513"/>
      <c r="G73" s="513"/>
      <c r="H73" s="513"/>
      <c r="I73" s="513"/>
      <c r="J73" s="513"/>
      <c r="K73" s="513"/>
      <c r="L73" s="513"/>
      <c r="M73" s="513"/>
      <c r="N73" s="513"/>
      <c r="O73" s="513"/>
      <c r="P73" s="513"/>
      <c r="Q73" s="513"/>
      <c r="R73" s="513"/>
      <c r="S73" s="126"/>
    </row>
    <row r="74" spans="1:19" ht="11.25" customHeight="1" x14ac:dyDescent="0.25">
      <c r="A74" s="512"/>
      <c r="B74" s="513"/>
      <c r="C74" s="1686"/>
      <c r="D74" s="1686"/>
      <c r="E74" s="1686"/>
      <c r="F74" s="1686"/>
      <c r="G74" s="1686"/>
      <c r="H74" s="1686"/>
      <c r="I74" s="1686"/>
      <c r="J74" s="1686"/>
      <c r="K74" s="1686"/>
      <c r="L74" s="1686"/>
      <c r="M74" s="1686"/>
      <c r="N74" s="1686"/>
      <c r="O74" s="1686"/>
      <c r="P74" s="1686"/>
      <c r="Q74" s="1686"/>
      <c r="R74" s="1686"/>
      <c r="S74" s="126"/>
    </row>
    <row r="75" spans="1:19" ht="11.25" customHeight="1" x14ac:dyDescent="0.25">
      <c r="A75" s="512"/>
      <c r="B75" s="513"/>
      <c r="C75" s="513"/>
      <c r="D75" s="513"/>
      <c r="E75" s="513"/>
      <c r="F75" s="513"/>
      <c r="G75" s="513"/>
      <c r="H75" s="513"/>
      <c r="I75" s="513"/>
      <c r="J75" s="513"/>
      <c r="K75" s="513"/>
      <c r="L75" s="513"/>
      <c r="M75" s="513"/>
      <c r="N75" s="513"/>
      <c r="O75" s="513"/>
      <c r="P75" s="513"/>
      <c r="Q75" s="513"/>
      <c r="R75" s="513"/>
      <c r="S75" s="126"/>
    </row>
    <row r="76" spans="1:19" ht="11.25" customHeight="1" x14ac:dyDescent="0.25">
      <c r="A76" s="512"/>
      <c r="B76" s="513"/>
      <c r="C76" s="513"/>
      <c r="D76" s="513"/>
      <c r="E76" s="513"/>
      <c r="F76" s="513"/>
      <c r="G76" s="513"/>
      <c r="H76" s="513"/>
      <c r="I76" s="513"/>
      <c r="J76" s="513"/>
      <c r="K76" s="513"/>
      <c r="L76" s="513"/>
      <c r="M76" s="513"/>
      <c r="N76" s="513"/>
      <c r="O76" s="513"/>
      <c r="P76" s="513"/>
      <c r="Q76" s="513"/>
      <c r="R76" s="513"/>
      <c r="S76" s="126"/>
    </row>
    <row r="77" spans="1:19" ht="11.25" customHeight="1" x14ac:dyDescent="0.25">
      <c r="A77" s="512"/>
      <c r="B77" s="513"/>
      <c r="C77" s="513"/>
      <c r="D77" s="513"/>
      <c r="E77" s="513"/>
      <c r="F77" s="513"/>
      <c r="G77" s="513"/>
      <c r="H77" s="513"/>
      <c r="I77" s="513"/>
      <c r="J77" s="513"/>
      <c r="K77" s="513"/>
      <c r="L77" s="513"/>
      <c r="M77" s="513"/>
      <c r="N77" s="513"/>
      <c r="O77" s="513"/>
      <c r="P77" s="513"/>
      <c r="Q77" s="513"/>
      <c r="R77" s="513"/>
      <c r="S77" s="126"/>
    </row>
    <row r="78" spans="1:19" ht="11.25" customHeight="1" x14ac:dyDescent="0.25">
      <c r="A78" s="512"/>
      <c r="B78" s="1687"/>
      <c r="C78" s="513"/>
      <c r="D78" s="513"/>
      <c r="E78" s="513"/>
      <c r="F78" s="513"/>
      <c r="G78" s="513"/>
      <c r="H78" s="513"/>
      <c r="I78" s="513"/>
      <c r="J78" s="513"/>
      <c r="K78" s="513"/>
      <c r="L78" s="513"/>
      <c r="M78" s="513"/>
      <c r="N78" s="513"/>
      <c r="O78" s="513"/>
      <c r="P78" s="513"/>
      <c r="Q78" s="513"/>
      <c r="R78" s="513"/>
      <c r="S78" s="126"/>
    </row>
    <row r="79" spans="1:19" ht="11.25" customHeight="1" x14ac:dyDescent="0.25">
      <c r="A79" s="512"/>
      <c r="B79" s="1687"/>
      <c r="C79" s="513"/>
      <c r="D79" s="513"/>
      <c r="E79" s="513"/>
      <c r="F79" s="513"/>
      <c r="G79" s="513"/>
      <c r="H79" s="513"/>
      <c r="I79" s="513"/>
      <c r="J79" s="513"/>
      <c r="K79" s="513"/>
      <c r="L79" s="513"/>
      <c r="M79" s="513"/>
      <c r="N79" s="513"/>
      <c r="O79" s="513"/>
      <c r="P79" s="513"/>
      <c r="Q79" s="513"/>
      <c r="R79" s="513"/>
      <c r="S79" s="126"/>
    </row>
    <row r="80" spans="1:19" ht="11.25" customHeight="1" x14ac:dyDescent="0.25">
      <c r="A80" s="512"/>
      <c r="B80" s="1687"/>
      <c r="C80" s="513"/>
      <c r="D80" s="513"/>
      <c r="E80" s="513"/>
      <c r="F80" s="513"/>
      <c r="G80" s="513"/>
      <c r="H80" s="513"/>
      <c r="I80" s="513"/>
      <c r="J80" s="513"/>
      <c r="K80" s="513"/>
      <c r="L80" s="513"/>
      <c r="M80" s="513"/>
      <c r="N80" s="513"/>
      <c r="O80" s="513"/>
      <c r="P80" s="513"/>
      <c r="Q80" s="513"/>
      <c r="R80" s="513"/>
      <c r="S80" s="126"/>
    </row>
    <row r="81" spans="1:19" ht="11.25" customHeight="1" x14ac:dyDescent="0.25">
      <c r="A81" s="1684"/>
      <c r="B81" s="513"/>
      <c r="C81" s="1584"/>
      <c r="D81" s="1584"/>
      <c r="E81" s="1584"/>
      <c r="F81" s="1584"/>
      <c r="G81" s="1584"/>
      <c r="H81" s="1584"/>
      <c r="I81" s="1584"/>
      <c r="J81" s="1584"/>
      <c r="K81" s="1584"/>
      <c r="L81" s="1584"/>
      <c r="M81" s="1584"/>
      <c r="N81" s="1584"/>
      <c r="O81" s="1584"/>
      <c r="P81" s="1584"/>
      <c r="Q81" s="1584"/>
      <c r="R81" s="1584"/>
      <c r="S81" s="126"/>
    </row>
    <row r="82" spans="1:19" ht="11.25" customHeight="1" x14ac:dyDescent="0.25">
      <c r="A82" s="512"/>
      <c r="B82" s="513"/>
      <c r="C82" s="514"/>
      <c r="D82" s="514"/>
      <c r="E82" s="514"/>
      <c r="F82" s="514"/>
      <c r="G82" s="514"/>
      <c r="H82" s="514"/>
      <c r="I82" s="514"/>
      <c r="J82" s="514"/>
      <c r="K82" s="514"/>
      <c r="L82" s="514"/>
      <c r="M82" s="514"/>
      <c r="N82" s="514"/>
      <c r="O82" s="514"/>
      <c r="P82" s="514"/>
      <c r="Q82" s="514"/>
      <c r="R82" s="514"/>
      <c r="S82" s="126"/>
    </row>
    <row r="83" spans="1:19" ht="11.25" customHeight="1" x14ac:dyDescent="0.25">
      <c r="A83" s="512"/>
      <c r="B83" s="513"/>
      <c r="C83" s="514"/>
      <c r="D83" s="514"/>
      <c r="E83" s="514"/>
      <c r="F83" s="514"/>
      <c r="G83" s="514"/>
      <c r="H83" s="514"/>
      <c r="I83" s="514"/>
      <c r="J83" s="514"/>
      <c r="K83" s="514"/>
      <c r="L83" s="514"/>
      <c r="M83" s="514"/>
      <c r="N83" s="514"/>
      <c r="O83" s="514"/>
      <c r="P83" s="514"/>
      <c r="Q83" s="514"/>
      <c r="R83" s="514"/>
      <c r="S83" s="126"/>
    </row>
    <row r="84" spans="1:19" ht="11.25" customHeight="1" x14ac:dyDescent="0.25">
      <c r="A84" s="512"/>
      <c r="B84" s="513"/>
      <c r="C84" s="514"/>
      <c r="D84" s="514"/>
      <c r="E84" s="514"/>
      <c r="F84" s="514"/>
      <c r="G84" s="514"/>
      <c r="H84" s="514"/>
      <c r="I84" s="514"/>
      <c r="J84" s="514"/>
      <c r="K84" s="514"/>
      <c r="L84" s="514"/>
      <c r="M84" s="514"/>
      <c r="N84" s="514"/>
      <c r="O84" s="514"/>
      <c r="P84" s="514"/>
      <c r="Q84" s="514"/>
      <c r="R84" s="514"/>
      <c r="S84" s="126"/>
    </row>
    <row r="85" spans="1:19" ht="11.25" customHeight="1" x14ac:dyDescent="0.25">
      <c r="A85" s="512"/>
      <c r="B85" s="513"/>
      <c r="C85" s="514"/>
      <c r="D85" s="514"/>
      <c r="E85" s="514"/>
      <c r="F85" s="514"/>
      <c r="G85" s="514"/>
      <c r="H85" s="514"/>
      <c r="I85" s="514"/>
      <c r="J85" s="514"/>
      <c r="K85" s="514"/>
      <c r="L85" s="514"/>
      <c r="M85" s="514"/>
      <c r="N85" s="514"/>
      <c r="O85" s="514"/>
      <c r="P85" s="514"/>
      <c r="Q85" s="514"/>
      <c r="R85" s="514"/>
      <c r="S85" s="126"/>
    </row>
    <row r="86" spans="1:19" ht="11.25" customHeight="1" x14ac:dyDescent="0.25">
      <c r="A86" s="512"/>
      <c r="B86" s="513"/>
      <c r="C86" s="514"/>
      <c r="D86" s="514"/>
      <c r="E86" s="514"/>
      <c r="F86" s="514"/>
      <c r="G86" s="514"/>
      <c r="H86" s="514"/>
      <c r="I86" s="514"/>
      <c r="J86" s="514"/>
      <c r="K86" s="514"/>
      <c r="L86" s="514"/>
      <c r="M86" s="514"/>
      <c r="N86" s="514"/>
      <c r="O86" s="514"/>
      <c r="P86" s="514"/>
      <c r="Q86" s="514"/>
      <c r="R86" s="514"/>
      <c r="S86" s="126"/>
    </row>
    <row r="87" spans="1:19" ht="11.25" customHeight="1" x14ac:dyDescent="0.25">
      <c r="A87" s="512"/>
      <c r="B87" s="1687"/>
      <c r="C87" s="514"/>
      <c r="D87" s="514"/>
      <c r="E87" s="514"/>
      <c r="F87" s="514"/>
      <c r="G87" s="514"/>
      <c r="H87" s="514"/>
      <c r="I87" s="514"/>
      <c r="J87" s="514"/>
      <c r="K87" s="514"/>
      <c r="L87" s="514"/>
      <c r="M87" s="514"/>
      <c r="N87" s="514"/>
      <c r="O87" s="514"/>
      <c r="P87" s="514"/>
      <c r="Q87" s="514"/>
      <c r="R87" s="514"/>
      <c r="S87" s="126"/>
    </row>
    <row r="88" spans="1:19" ht="11.25" customHeight="1" x14ac:dyDescent="0.25">
      <c r="A88" s="476"/>
      <c r="B88" s="513"/>
      <c r="C88" s="514"/>
      <c r="D88" s="514"/>
      <c r="E88" s="514"/>
      <c r="F88" s="514"/>
      <c r="G88" s="514"/>
      <c r="H88" s="514"/>
      <c r="I88" s="514"/>
      <c r="J88" s="514"/>
      <c r="K88" s="514"/>
      <c r="L88" s="514"/>
      <c r="M88" s="514"/>
      <c r="N88" s="514"/>
      <c r="O88" s="514"/>
      <c r="P88" s="514"/>
      <c r="Q88" s="514"/>
      <c r="R88" s="514"/>
      <c r="S88" s="126"/>
    </row>
    <row r="89" spans="1:19" ht="11.25" customHeight="1" x14ac:dyDescent="0.25">
      <c r="A89" s="512"/>
      <c r="B89" s="513"/>
      <c r="C89" s="662"/>
      <c r="D89" s="662"/>
      <c r="E89" s="662"/>
      <c r="F89" s="662"/>
      <c r="G89" s="662"/>
      <c r="H89" s="662"/>
      <c r="I89" s="662"/>
      <c r="J89" s="662"/>
      <c r="K89" s="662"/>
      <c r="L89" s="662"/>
      <c r="M89" s="662"/>
      <c r="N89" s="662"/>
      <c r="O89" s="662"/>
      <c r="P89" s="662"/>
      <c r="Q89" s="662"/>
      <c r="R89" s="662"/>
      <c r="S89" s="126"/>
    </row>
    <row r="90" spans="1:19" ht="11.25" customHeight="1" x14ac:dyDescent="0.25">
      <c r="A90" s="512"/>
      <c r="B90" s="513"/>
      <c r="C90" s="662"/>
      <c r="D90" s="662"/>
      <c r="E90" s="662"/>
      <c r="F90" s="662"/>
      <c r="G90" s="662"/>
      <c r="H90" s="662"/>
      <c r="I90" s="662"/>
      <c r="J90" s="662"/>
      <c r="K90" s="662"/>
      <c r="L90" s="662"/>
      <c r="M90" s="662"/>
      <c r="N90" s="662"/>
      <c r="O90" s="662"/>
      <c r="P90" s="662"/>
      <c r="Q90" s="662"/>
      <c r="R90" s="662"/>
      <c r="S90" s="126"/>
    </row>
    <row r="91" spans="1:19" ht="11.25" customHeight="1" x14ac:dyDescent="0.25">
      <c r="A91" s="512"/>
      <c r="B91" s="513"/>
      <c r="C91" s="662"/>
      <c r="D91" s="662"/>
      <c r="E91" s="662"/>
      <c r="F91" s="662"/>
      <c r="G91" s="662"/>
      <c r="H91" s="662"/>
      <c r="I91" s="662"/>
      <c r="J91" s="662"/>
      <c r="K91" s="662"/>
      <c r="L91" s="662"/>
      <c r="M91" s="662"/>
      <c r="N91" s="662"/>
      <c r="O91" s="662"/>
      <c r="P91" s="662"/>
      <c r="Q91" s="662"/>
      <c r="R91" s="662"/>
      <c r="S91" s="126"/>
    </row>
    <row r="92" spans="1:19" ht="11.25" customHeight="1" x14ac:dyDescent="0.25">
      <c r="A92" s="512"/>
      <c r="B92" s="1688"/>
      <c r="C92" s="1689"/>
      <c r="D92" s="1689"/>
      <c r="E92" s="1689"/>
      <c r="F92" s="1689"/>
      <c r="G92" s="1689"/>
      <c r="H92" s="1689"/>
      <c r="I92" s="1689"/>
      <c r="J92" s="1689"/>
      <c r="K92" s="1689"/>
      <c r="L92" s="1689"/>
      <c r="M92" s="1689"/>
      <c r="N92" s="1689"/>
      <c r="O92" s="1689"/>
      <c r="P92" s="1689"/>
      <c r="Q92" s="1689"/>
      <c r="R92" s="1689"/>
      <c r="S92" s="126"/>
    </row>
    <row r="93" spans="1:19" ht="11.25" customHeight="1" x14ac:dyDescent="0.25">
      <c r="A93" s="1684"/>
      <c r="B93" s="1688"/>
      <c r="C93" s="1690"/>
      <c r="D93" s="1690"/>
      <c r="E93" s="1690"/>
      <c r="F93" s="1690"/>
      <c r="G93" s="1690"/>
      <c r="H93" s="1690"/>
      <c r="I93" s="1690"/>
      <c r="J93" s="1690"/>
      <c r="K93" s="1690"/>
      <c r="L93" s="1690"/>
      <c r="M93" s="1690"/>
      <c r="N93" s="1690"/>
      <c r="O93" s="1690"/>
      <c r="P93" s="1690"/>
      <c r="Q93" s="1690"/>
      <c r="R93" s="1690"/>
      <c r="S93" s="126"/>
    </row>
    <row r="94" spans="1:19" ht="11.25" customHeight="1" x14ac:dyDescent="0.25">
      <c r="A94" s="512"/>
      <c r="B94" s="1687"/>
      <c r="C94" s="1691"/>
      <c r="D94" s="1691"/>
      <c r="E94" s="1691"/>
      <c r="F94" s="1691"/>
      <c r="G94" s="1691"/>
      <c r="H94" s="1691"/>
      <c r="I94" s="1691"/>
      <c r="J94" s="1691"/>
      <c r="K94" s="1691"/>
      <c r="L94" s="1691"/>
      <c r="M94" s="1691"/>
      <c r="N94" s="1691"/>
      <c r="O94" s="1691"/>
      <c r="P94" s="1691"/>
      <c r="Q94" s="1691"/>
      <c r="R94" s="1691"/>
      <c r="S94" s="126"/>
    </row>
    <row r="95" spans="1:19" ht="11.25" customHeight="1" x14ac:dyDescent="0.25">
      <c r="A95" s="512"/>
      <c r="B95" s="1687"/>
      <c r="C95" s="74"/>
      <c r="D95" s="74"/>
      <c r="E95" s="74"/>
      <c r="F95" s="74"/>
      <c r="G95" s="74"/>
      <c r="H95" s="74"/>
      <c r="I95" s="74"/>
      <c r="J95" s="74"/>
      <c r="K95" s="74"/>
      <c r="L95" s="74"/>
      <c r="M95" s="74"/>
      <c r="N95" s="74"/>
      <c r="O95" s="74"/>
      <c r="P95" s="74"/>
      <c r="Q95" s="74"/>
      <c r="R95" s="74"/>
      <c r="S95" s="126"/>
    </row>
    <row r="96" spans="1:19" ht="11.25" customHeight="1" x14ac:dyDescent="0.25">
      <c r="A96" s="512"/>
      <c r="B96" s="1687"/>
      <c r="C96" s="74"/>
      <c r="D96" s="74"/>
      <c r="E96" s="74"/>
      <c r="F96" s="74"/>
      <c r="G96" s="74"/>
      <c r="H96" s="74"/>
      <c r="I96" s="74"/>
      <c r="J96" s="74"/>
      <c r="K96" s="74"/>
      <c r="L96" s="74"/>
      <c r="M96" s="74"/>
      <c r="N96" s="74"/>
      <c r="O96" s="74"/>
      <c r="P96" s="74"/>
      <c r="Q96" s="74"/>
      <c r="R96" s="74"/>
      <c r="S96" s="126"/>
    </row>
    <row r="97" spans="1:19" ht="11.25" customHeight="1" x14ac:dyDescent="0.25">
      <c r="A97" s="512"/>
      <c r="B97" s="1687"/>
      <c r="C97" s="1373"/>
      <c r="D97" s="1373"/>
      <c r="E97" s="1373"/>
      <c r="F97" s="1373"/>
      <c r="G97" s="1373"/>
      <c r="H97" s="1373"/>
      <c r="I97" s="1373"/>
      <c r="J97" s="1373"/>
      <c r="K97" s="1373"/>
      <c r="L97" s="1373"/>
      <c r="M97" s="1373"/>
      <c r="N97" s="1373"/>
      <c r="O97" s="1373"/>
      <c r="P97" s="1373"/>
      <c r="Q97" s="1373"/>
      <c r="R97" s="1373"/>
      <c r="S97" s="126"/>
    </row>
    <row r="98" spans="1:19" ht="11.25" customHeight="1" x14ac:dyDescent="0.25">
      <c r="A98" s="512"/>
      <c r="B98" s="1687"/>
      <c r="C98" s="326"/>
      <c r="D98" s="326"/>
      <c r="E98" s="326"/>
      <c r="F98" s="326"/>
      <c r="G98" s="326"/>
      <c r="H98" s="326"/>
      <c r="I98" s="326"/>
      <c r="J98" s="326"/>
      <c r="K98" s="326"/>
      <c r="L98" s="326"/>
      <c r="M98" s="326"/>
      <c r="N98" s="326"/>
      <c r="O98" s="326"/>
      <c r="P98" s="326"/>
      <c r="Q98" s="326"/>
      <c r="R98" s="326"/>
      <c r="S98" s="126"/>
    </row>
    <row r="99" spans="1:19" ht="11.25" customHeight="1" x14ac:dyDescent="0.25">
      <c r="A99" s="512"/>
      <c r="B99" s="1687"/>
      <c r="C99" s="326"/>
      <c r="D99" s="326"/>
      <c r="E99" s="326"/>
      <c r="F99" s="326"/>
      <c r="G99" s="326"/>
      <c r="H99" s="326"/>
      <c r="I99" s="326"/>
      <c r="J99" s="326"/>
      <c r="K99" s="326"/>
      <c r="L99" s="326"/>
      <c r="M99" s="326"/>
      <c r="N99" s="326"/>
      <c r="O99" s="326"/>
      <c r="P99" s="326"/>
      <c r="Q99" s="326"/>
      <c r="R99" s="326"/>
      <c r="S99" s="126"/>
    </row>
    <row r="100" spans="1:19" ht="11.25" customHeight="1" x14ac:dyDescent="0.25">
      <c r="A100" s="512"/>
      <c r="B100" s="1687"/>
      <c r="C100" s="326"/>
      <c r="D100" s="326"/>
      <c r="E100" s="326"/>
      <c r="F100" s="326"/>
      <c r="G100" s="326"/>
      <c r="H100" s="326"/>
      <c r="I100" s="326"/>
      <c r="J100" s="326"/>
      <c r="K100" s="326"/>
      <c r="L100" s="326"/>
      <c r="M100" s="326"/>
      <c r="N100" s="326"/>
      <c r="O100" s="326"/>
      <c r="P100" s="326"/>
      <c r="Q100" s="326"/>
      <c r="R100" s="326"/>
      <c r="S100" s="126"/>
    </row>
    <row r="101" spans="1:19" ht="11.25" customHeight="1" x14ac:dyDescent="0.25">
      <c r="A101" s="512"/>
      <c r="B101" s="1687"/>
      <c r="C101" s="326"/>
      <c r="D101" s="326"/>
      <c r="E101" s="326"/>
      <c r="F101" s="326"/>
      <c r="G101" s="326"/>
      <c r="H101" s="326"/>
      <c r="I101" s="326"/>
      <c r="J101" s="326"/>
      <c r="K101" s="326"/>
      <c r="L101" s="326"/>
      <c r="M101" s="326"/>
      <c r="N101" s="326"/>
      <c r="O101" s="326"/>
      <c r="P101" s="326"/>
      <c r="Q101" s="326"/>
      <c r="R101" s="326"/>
      <c r="S101" s="126"/>
    </row>
    <row r="102" spans="1:19" ht="11.25" customHeight="1" x14ac:dyDescent="0.25">
      <c r="A102" s="512"/>
      <c r="B102" s="1687"/>
      <c r="C102" s="326"/>
      <c r="D102" s="326"/>
      <c r="E102" s="326"/>
      <c r="F102" s="326"/>
      <c r="G102" s="326"/>
      <c r="H102" s="326"/>
      <c r="I102" s="326"/>
      <c r="J102" s="326"/>
      <c r="K102" s="326"/>
      <c r="L102" s="326"/>
      <c r="M102" s="326"/>
      <c r="N102" s="326"/>
      <c r="O102" s="326"/>
      <c r="P102" s="326"/>
      <c r="Q102" s="326"/>
      <c r="R102" s="326"/>
      <c r="S102" s="126"/>
    </row>
    <row r="103" spans="1:19" ht="11.25" customHeight="1" x14ac:dyDescent="0.25">
      <c r="A103" s="512"/>
      <c r="B103" s="1687"/>
      <c r="C103" s="326"/>
      <c r="D103" s="326"/>
      <c r="E103" s="326"/>
      <c r="F103" s="326"/>
      <c r="G103" s="326"/>
      <c r="H103" s="326"/>
      <c r="I103" s="326"/>
      <c r="J103" s="326"/>
      <c r="K103" s="326"/>
      <c r="L103" s="326"/>
      <c r="M103" s="326"/>
      <c r="N103" s="326"/>
      <c r="O103" s="326"/>
      <c r="P103" s="326"/>
      <c r="Q103" s="326"/>
      <c r="R103" s="326"/>
      <c r="S103" s="126"/>
    </row>
    <row r="104" spans="1:19" ht="11.25" customHeight="1" x14ac:dyDescent="0.25">
      <c r="A104" s="476"/>
      <c r="B104" s="1687"/>
      <c r="C104" s="326"/>
      <c r="D104" s="326"/>
      <c r="E104" s="326"/>
      <c r="F104" s="326"/>
      <c r="G104" s="326"/>
      <c r="H104" s="326"/>
      <c r="I104" s="326"/>
      <c r="J104" s="326"/>
      <c r="K104" s="326"/>
      <c r="L104" s="326"/>
      <c r="M104" s="326"/>
      <c r="N104" s="326"/>
      <c r="O104" s="326"/>
      <c r="P104" s="326"/>
      <c r="Q104" s="326"/>
      <c r="R104" s="326"/>
      <c r="S104" s="126"/>
    </row>
    <row r="105" spans="1:19" ht="4.9000000000000004" customHeight="1" x14ac:dyDescent="0.25">
      <c r="A105" s="449"/>
      <c r="B105" s="513"/>
      <c r="C105" s="851"/>
      <c r="D105" s="851"/>
      <c r="E105" s="851"/>
      <c r="F105" s="851"/>
      <c r="G105" s="851"/>
      <c r="H105" s="851"/>
      <c r="I105" s="851"/>
      <c r="J105" s="851"/>
      <c r="K105" s="851"/>
      <c r="L105" s="851"/>
      <c r="M105" s="851"/>
      <c r="N105" s="851"/>
      <c r="O105" s="851"/>
      <c r="P105" s="851"/>
      <c r="Q105" s="851"/>
      <c r="R105" s="851"/>
      <c r="S105" s="126"/>
    </row>
    <row r="106" spans="1:19" x14ac:dyDescent="0.25">
      <c r="A106" s="398"/>
      <c r="B106" s="513"/>
      <c r="C106" s="191"/>
      <c r="D106" s="191"/>
      <c r="E106" s="191"/>
      <c r="F106" s="191"/>
      <c r="G106" s="191"/>
      <c r="H106" s="191"/>
      <c r="I106" s="191"/>
      <c r="J106" s="191"/>
      <c r="K106" s="191"/>
      <c r="L106" s="191"/>
      <c r="M106" s="191"/>
      <c r="N106" s="191"/>
      <c r="O106" s="191"/>
      <c r="P106" s="191"/>
      <c r="Q106" s="191"/>
      <c r="R106" s="191"/>
      <c r="S106" s="126"/>
    </row>
    <row r="107" spans="1:19" x14ac:dyDescent="0.25">
      <c r="A107" s="399"/>
      <c r="B107" s="513"/>
      <c r="C107" s="191"/>
      <c r="D107" s="191"/>
      <c r="E107" s="191"/>
      <c r="F107" s="191"/>
      <c r="G107" s="191"/>
      <c r="H107" s="191"/>
      <c r="I107" s="191"/>
      <c r="J107" s="191"/>
      <c r="K107" s="191"/>
      <c r="L107" s="191"/>
      <c r="M107" s="191"/>
      <c r="N107" s="191"/>
      <c r="O107" s="191"/>
      <c r="P107" s="191"/>
      <c r="Q107" s="191"/>
      <c r="R107" s="191"/>
      <c r="S107" s="126"/>
    </row>
    <row r="108" spans="1:19" x14ac:dyDescent="0.25">
      <c r="A108" s="399"/>
      <c r="B108" s="513"/>
      <c r="C108" s="191"/>
      <c r="D108" s="191"/>
      <c r="E108" s="191"/>
      <c r="F108" s="191"/>
      <c r="G108" s="191"/>
      <c r="H108" s="191"/>
      <c r="I108" s="191"/>
      <c r="J108" s="191"/>
      <c r="K108" s="191"/>
      <c r="L108" s="191"/>
      <c r="M108" s="191"/>
      <c r="N108" s="191"/>
      <c r="O108" s="191"/>
      <c r="P108" s="191"/>
      <c r="Q108" s="191"/>
      <c r="R108" s="191"/>
      <c r="S108" s="126"/>
    </row>
    <row r="109" spans="1:19" x14ac:dyDescent="0.25">
      <c r="A109" s="363"/>
      <c r="B109" s="513"/>
      <c r="C109" s="191"/>
      <c r="D109" s="191"/>
      <c r="E109" s="191"/>
      <c r="F109" s="191"/>
      <c r="G109" s="191"/>
      <c r="H109" s="191"/>
      <c r="I109" s="191"/>
      <c r="J109" s="191"/>
      <c r="K109" s="191"/>
      <c r="L109" s="191"/>
      <c r="M109" s="191"/>
      <c r="N109" s="191"/>
      <c r="O109" s="191"/>
      <c r="P109" s="191"/>
      <c r="Q109" s="191"/>
      <c r="R109" s="191"/>
      <c r="S109" s="126"/>
    </row>
    <row r="110" spans="1:19" x14ac:dyDescent="0.25">
      <c r="A110" s="399"/>
      <c r="B110" s="513"/>
      <c r="C110" s="191"/>
      <c r="D110" s="191"/>
      <c r="E110" s="191"/>
      <c r="F110" s="191"/>
      <c r="G110" s="191"/>
      <c r="H110" s="191"/>
      <c r="I110" s="191"/>
      <c r="J110" s="191"/>
      <c r="K110" s="191"/>
      <c r="L110" s="191"/>
      <c r="M110" s="191"/>
      <c r="N110" s="191"/>
      <c r="O110" s="191"/>
      <c r="P110" s="191"/>
      <c r="Q110" s="191"/>
      <c r="R110" s="191"/>
      <c r="S110" s="126"/>
    </row>
    <row r="111" spans="1:19" x14ac:dyDescent="0.25">
      <c r="A111" s="125"/>
      <c r="B111" s="513"/>
      <c r="C111" s="190"/>
      <c r="D111" s="190"/>
      <c r="E111" s="190"/>
      <c r="F111" s="190"/>
      <c r="G111" s="191"/>
      <c r="H111" s="191"/>
      <c r="I111" s="191"/>
      <c r="J111" s="191"/>
      <c r="K111" s="191"/>
      <c r="L111" s="191"/>
      <c r="M111" s="191"/>
      <c r="N111" s="191"/>
      <c r="O111" s="191"/>
      <c r="P111" s="191"/>
      <c r="Q111" s="191"/>
      <c r="R111" s="191"/>
      <c r="S111" s="126"/>
    </row>
    <row r="112" spans="1:19" x14ac:dyDescent="0.25">
      <c r="A112" s="125"/>
      <c r="B112" s="513"/>
      <c r="C112" s="190"/>
      <c r="D112" s="190"/>
      <c r="E112" s="190"/>
      <c r="F112" s="190"/>
      <c r="G112" s="191"/>
      <c r="H112" s="191"/>
      <c r="I112" s="191"/>
      <c r="J112" s="191"/>
      <c r="K112" s="191"/>
      <c r="L112" s="191"/>
      <c r="M112" s="191"/>
      <c r="N112" s="191"/>
      <c r="O112" s="191"/>
      <c r="P112" s="191"/>
      <c r="Q112" s="191"/>
      <c r="R112" s="191"/>
      <c r="S112" s="126"/>
    </row>
    <row r="113" spans="1:9" ht="11.25" customHeight="1" x14ac:dyDescent="0.25">
      <c r="A113" s="220"/>
      <c r="B113" s="1679"/>
      <c r="C113" s="220"/>
      <c r="D113" s="220"/>
      <c r="E113" s="220"/>
      <c r="F113" s="220"/>
      <c r="G113" s="220"/>
      <c r="H113" s="220"/>
      <c r="I113" s="220"/>
    </row>
    <row r="114" spans="1:9" ht="11.25" customHeight="1" x14ac:dyDescent="0.25">
      <c r="A114" s="220"/>
      <c r="B114" s="560"/>
      <c r="C114" s="220"/>
      <c r="D114" s="220"/>
      <c r="E114" s="220"/>
      <c r="F114" s="220"/>
      <c r="G114" s="220"/>
      <c r="H114" s="220"/>
      <c r="I114" s="220"/>
    </row>
    <row r="115" spans="1:9" ht="11.25" customHeight="1" x14ac:dyDescent="0.25">
      <c r="A115" s="220"/>
      <c r="B115" s="560"/>
      <c r="C115" s="220"/>
      <c r="D115" s="220"/>
      <c r="E115" s="220"/>
      <c r="F115" s="220"/>
      <c r="G115" s="220"/>
      <c r="H115" s="220"/>
      <c r="I115" s="220"/>
    </row>
    <row r="116" spans="1:9" ht="11.25" customHeight="1" x14ac:dyDescent="0.25">
      <c r="A116" s="220"/>
      <c r="B116" s="560"/>
      <c r="C116" s="220"/>
      <c r="D116" s="220"/>
      <c r="E116" s="220"/>
      <c r="F116" s="220"/>
      <c r="G116" s="220"/>
      <c r="H116" s="220"/>
      <c r="I116" s="220"/>
    </row>
    <row r="117" spans="1:9" ht="11.25" customHeight="1" x14ac:dyDescent="0.25">
      <c r="A117" s="220"/>
      <c r="B117" s="1679"/>
      <c r="C117" s="220"/>
      <c r="D117" s="220"/>
      <c r="E117" s="220"/>
      <c r="F117" s="220"/>
      <c r="G117" s="220"/>
      <c r="H117" s="220"/>
      <c r="I117" s="220"/>
    </row>
    <row r="118" spans="1:9" ht="11.25" customHeight="1" x14ac:dyDescent="0.25"/>
    <row r="119" spans="1:9" ht="11.25" customHeight="1" x14ac:dyDescent="0.25"/>
    <row r="120" spans="1:9" ht="11.25" customHeight="1" x14ac:dyDescent="0.25"/>
    <row r="121" spans="1:9" ht="11.25" customHeight="1" x14ac:dyDescent="0.25"/>
    <row r="122" spans="1:9" ht="11.25" customHeight="1" x14ac:dyDescent="0.25"/>
    <row r="123" spans="1:9" ht="11.25" customHeight="1" x14ac:dyDescent="0.25"/>
    <row r="124" spans="1:9" ht="11.25" customHeight="1" x14ac:dyDescent="0.25"/>
    <row r="125" spans="1:9" ht="11.25" customHeight="1" x14ac:dyDescent="0.25"/>
    <row r="126" spans="1:9" ht="11.25" customHeight="1" x14ac:dyDescent="0.25"/>
    <row r="127" spans="1:9" ht="11.25" customHeight="1" x14ac:dyDescent="0.25"/>
    <row r="128" spans="1:9" ht="11.25" customHeight="1" x14ac:dyDescent="0.25"/>
    <row r="129" ht="11.25" customHeight="1" x14ac:dyDescent="0.25"/>
    <row r="130" ht="11.25" customHeight="1" x14ac:dyDescent="0.25"/>
    <row r="131" ht="11.25" customHeight="1" x14ac:dyDescent="0.25"/>
    <row r="132" ht="11.25" customHeight="1" x14ac:dyDescent="0.25"/>
    <row r="133" ht="11.25" customHeight="1" x14ac:dyDescent="0.25"/>
    <row r="134" ht="11.25" customHeight="1" x14ac:dyDescent="0.25"/>
    <row r="135" ht="11.25" customHeight="1" x14ac:dyDescent="0.25"/>
    <row r="136" ht="11.25" customHeight="1" x14ac:dyDescent="0.25"/>
    <row r="137" ht="11.25" customHeight="1" x14ac:dyDescent="0.25"/>
    <row r="138" ht="11.25" customHeight="1" x14ac:dyDescent="0.25"/>
    <row r="139" ht="11.25" customHeight="1" x14ac:dyDescent="0.25"/>
    <row r="140" ht="11.25" customHeight="1" x14ac:dyDescent="0.25"/>
    <row r="141" ht="11.25" customHeight="1" x14ac:dyDescent="0.25"/>
    <row r="142" ht="11.25" customHeight="1" x14ac:dyDescent="0.25"/>
    <row r="143" ht="11.25" customHeight="1" x14ac:dyDescent="0.25"/>
    <row r="144" ht="11.25" customHeight="1" x14ac:dyDescent="0.25"/>
    <row r="145" ht="11.25" customHeight="1" x14ac:dyDescent="0.25"/>
    <row r="146" ht="11.25" customHeight="1" x14ac:dyDescent="0.25"/>
  </sheetData>
  <phoneticPr fontId="7" type="noConversion"/>
  <dataValidations xWindow="281" yWindow="416" count="6">
    <dataValidation type="list" allowBlank="1" showInputMessage="1" showErrorMessage="1" promptTitle="Select" prompt="Select one" sqref="C18:R18" xr:uid="{00000000-0002-0000-1F00-000000000000}">
      <formula1>List3</formula1>
    </dataValidation>
    <dataValidation type="list" allowBlank="1" showInputMessage="1" showErrorMessage="1" promptTitle="Select" prompt="Select one" sqref="C17:R17 C73:R74" xr:uid="{00000000-0002-0000-1F00-000001000000}">
      <formula1>List2</formula1>
    </dataValidation>
    <dataValidation type="list" allowBlank="1" showInputMessage="1" showErrorMessage="1" promptTitle="Select" prompt="Select one" sqref="C19:R19 C75:R75" xr:uid="{00000000-0002-0000-1F00-000002000000}">
      <formula1>List4</formula1>
    </dataValidation>
    <dataValidation type="list" allowBlank="1" showInputMessage="1" showErrorMessage="1" promptTitle="Select" prompt="Select one" sqref="C20:R20 C76:R76" xr:uid="{00000000-0002-0000-1F00-000003000000}">
      <formula1>List5</formula1>
    </dataValidation>
    <dataValidation type="list" showInputMessage="1" showErrorMessage="1" promptTitle="Guidance" prompt="Select Yes or No" sqref="C78:R79 C22:R23" xr:uid="{00000000-0002-0000-1F00-000004000000}">
      <formula1>List6</formula1>
    </dataValidation>
    <dataValidation type="list" showInputMessage="1" showErrorMessage="1" promptTitle="Guidance" prompt="Select Uniform or Variable" sqref="C24:R24 C80:R80" xr:uid="{00000000-0002-0000-1F00-000005000000}">
      <formula1>List7</formula1>
    </dataValidation>
  </dataValidations>
  <printOptions horizontalCentered="1"/>
  <pageMargins left="0" right="0" top="0.59055118110236227" bottom="0.24" header="0.51181102362204722" footer="0.23622047244094491"/>
  <pageSetup paperSize="9" scale="80" orientation="landscape" r:id="rId1"/>
  <headerFooter alignWithMargins="0"/>
  <rowBreaks count="1" manualBreakCount="1">
    <brk id="56" max="16383" man="1"/>
  </row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64"/>
  <dimension ref="A1:R146"/>
  <sheetViews>
    <sheetView showGridLines="0" zoomScale="110" zoomScaleNormal="110" workbookViewId="0">
      <pane xSplit="2" ySplit="2" topLeftCell="C3" activePane="bottomRight" state="frozen"/>
      <selection pane="topRight"/>
      <selection pane="bottomLeft"/>
      <selection pane="bottomRight" activeCell="D43" sqref="D43"/>
    </sheetView>
  </sheetViews>
  <sheetFormatPr defaultColWidth="9.140625" defaultRowHeight="12.75" x14ac:dyDescent="0.25"/>
  <cols>
    <col min="1" max="1" width="30.7109375" style="58" customWidth="1"/>
    <col min="2" max="2" width="3" style="1692" customWidth="1"/>
    <col min="3" max="18" width="8.140625" style="58" customWidth="1"/>
    <col min="19" max="19" width="9.42578125" style="58" customWidth="1"/>
    <col min="20" max="20" width="9.7109375" style="58" customWidth="1"/>
    <col min="21" max="23" width="9.42578125" style="58" customWidth="1"/>
    <col min="24" max="24" width="9.7109375" style="58" customWidth="1"/>
    <col min="25" max="27" width="9.42578125" style="58" customWidth="1"/>
    <col min="28" max="29" width="9.7109375" style="58" customWidth="1"/>
    <col min="30" max="16384" width="9.140625" style="58"/>
  </cols>
  <sheetData>
    <row r="1" spans="1:18" ht="13.5" x14ac:dyDescent="0.25">
      <c r="A1" s="92" t="str">
        <f>muni&amp;" - "&amp;TableA12b</f>
        <v>KZN226 Mkhambathini - Supporting Table SA12b Property rates by category (budget year)</v>
      </c>
      <c r="B1" s="1651"/>
      <c r="C1" s="92"/>
      <c r="D1" s="92"/>
      <c r="E1" s="92"/>
      <c r="F1" s="92"/>
      <c r="G1" s="92"/>
      <c r="H1" s="92"/>
      <c r="I1" s="92"/>
      <c r="J1" s="92"/>
      <c r="K1" s="92"/>
      <c r="L1" s="92"/>
      <c r="M1" s="92"/>
      <c r="N1" s="92"/>
      <c r="O1" s="92"/>
      <c r="P1" s="92"/>
      <c r="Q1" s="92"/>
      <c r="R1" s="92"/>
    </row>
    <row r="2" spans="1:18" ht="38.25" x14ac:dyDescent="0.25">
      <c r="A2" s="1652" t="str">
        <f>desc</f>
        <v>Description</v>
      </c>
      <c r="B2" s="1653" t="str">
        <f>head27</f>
        <v>Ref</v>
      </c>
      <c r="C2" s="1654" t="s">
        <v>929</v>
      </c>
      <c r="D2" s="1654" t="s">
        <v>930</v>
      </c>
      <c r="E2" s="1654" t="s">
        <v>931</v>
      </c>
      <c r="F2" s="1654" t="s">
        <v>932</v>
      </c>
      <c r="G2" s="1654" t="s">
        <v>1279</v>
      </c>
      <c r="H2" s="1654" t="s">
        <v>1345</v>
      </c>
      <c r="I2" s="1654" t="s">
        <v>1280</v>
      </c>
      <c r="J2" s="1654" t="s">
        <v>933</v>
      </c>
      <c r="K2" s="1654" t="s">
        <v>352</v>
      </c>
      <c r="L2" s="1654" t="s">
        <v>934</v>
      </c>
      <c r="M2" s="1654" t="s">
        <v>353</v>
      </c>
      <c r="N2" s="1654" t="s">
        <v>1346</v>
      </c>
      <c r="O2" s="1654" t="s">
        <v>935</v>
      </c>
      <c r="P2" s="1654" t="s">
        <v>354</v>
      </c>
      <c r="Q2" s="1654" t="s">
        <v>1347</v>
      </c>
      <c r="R2" s="1655" t="s">
        <v>1348</v>
      </c>
    </row>
    <row r="3" spans="1:18" ht="11.25" customHeight="1" x14ac:dyDescent="0.25">
      <c r="A3" s="96" t="str">
        <f>Head9</f>
        <v>Budget Year 2021/22</v>
      </c>
      <c r="B3" s="144"/>
      <c r="C3" s="1656"/>
      <c r="D3" s="1656"/>
      <c r="E3" s="1656"/>
      <c r="F3" s="1656"/>
      <c r="G3" s="1656"/>
      <c r="H3" s="1656"/>
      <c r="I3" s="1656"/>
      <c r="J3" s="1656"/>
      <c r="K3" s="1656"/>
      <c r="L3" s="1656"/>
      <c r="M3" s="1656"/>
      <c r="N3" s="1656"/>
      <c r="O3" s="1656"/>
      <c r="P3" s="1656"/>
      <c r="Q3" s="1656"/>
      <c r="R3" s="1657"/>
    </row>
    <row r="4" spans="1:18" ht="11.25" customHeight="1" x14ac:dyDescent="0.25">
      <c r="A4" s="96" t="s">
        <v>644</v>
      </c>
      <c r="B4" s="144"/>
      <c r="C4" s="1656"/>
      <c r="D4" s="1656"/>
      <c r="E4" s="1656"/>
      <c r="F4" s="1656"/>
      <c r="G4" s="1656"/>
      <c r="H4" s="1656"/>
      <c r="I4" s="1656"/>
      <c r="J4" s="1656"/>
      <c r="K4" s="1656"/>
      <c r="L4" s="1656"/>
      <c r="M4" s="1656"/>
      <c r="N4" s="1656"/>
      <c r="O4" s="1656"/>
      <c r="P4" s="1656"/>
      <c r="Q4" s="1656"/>
      <c r="R4" s="1657"/>
    </row>
    <row r="5" spans="1:18" ht="11.25" customHeight="1" x14ac:dyDescent="0.25">
      <c r="A5" s="104" t="s">
        <v>349</v>
      </c>
      <c r="B5" s="144"/>
      <c r="C5" s="896">
        <v>373</v>
      </c>
      <c r="D5" s="896">
        <v>56</v>
      </c>
      <c r="E5" s="896">
        <v>54</v>
      </c>
      <c r="F5" s="896">
        <v>737</v>
      </c>
      <c r="G5" s="896">
        <v>0</v>
      </c>
      <c r="H5" s="896">
        <v>0</v>
      </c>
      <c r="I5" s="896">
        <v>242</v>
      </c>
      <c r="J5" s="896">
        <v>0</v>
      </c>
      <c r="K5" s="896">
        <v>0</v>
      </c>
      <c r="L5" s="896">
        <v>0</v>
      </c>
      <c r="M5" s="896">
        <v>0</v>
      </c>
      <c r="N5" s="896">
        <v>0</v>
      </c>
      <c r="O5" s="896">
        <v>0</v>
      </c>
      <c r="P5" s="896">
        <v>0</v>
      </c>
      <c r="Q5" s="896">
        <v>56</v>
      </c>
      <c r="R5" s="1658">
        <v>0</v>
      </c>
    </row>
    <row r="6" spans="1:18" ht="11.25" customHeight="1" x14ac:dyDescent="0.25">
      <c r="A6" s="104" t="s">
        <v>1222</v>
      </c>
      <c r="B6" s="144"/>
      <c r="C6" s="896">
        <v>0</v>
      </c>
      <c r="D6" s="896">
        <v>0</v>
      </c>
      <c r="E6" s="896">
        <v>0</v>
      </c>
      <c r="F6" s="896">
        <v>0</v>
      </c>
      <c r="G6" s="896">
        <v>0</v>
      </c>
      <c r="H6" s="896">
        <v>0</v>
      </c>
      <c r="I6" s="896">
        <v>0</v>
      </c>
      <c r="J6" s="896">
        <v>0</v>
      </c>
      <c r="K6" s="896">
        <v>0</v>
      </c>
      <c r="L6" s="896">
        <v>0</v>
      </c>
      <c r="M6" s="896">
        <v>0</v>
      </c>
      <c r="N6" s="896">
        <v>0</v>
      </c>
      <c r="O6" s="896">
        <v>0</v>
      </c>
      <c r="P6" s="896">
        <v>0</v>
      </c>
      <c r="Q6" s="896">
        <v>0</v>
      </c>
      <c r="R6" s="1658">
        <v>0</v>
      </c>
    </row>
    <row r="7" spans="1:18" ht="11.25" customHeight="1" x14ac:dyDescent="0.25">
      <c r="A7" s="104" t="s">
        <v>351</v>
      </c>
      <c r="B7" s="144"/>
      <c r="C7" s="896">
        <v>0</v>
      </c>
      <c r="D7" s="896">
        <v>0</v>
      </c>
      <c r="E7" s="896">
        <v>0</v>
      </c>
      <c r="F7" s="896">
        <v>0</v>
      </c>
      <c r="G7" s="896">
        <v>0</v>
      </c>
      <c r="H7" s="896">
        <v>0</v>
      </c>
      <c r="I7" s="896">
        <v>0</v>
      </c>
      <c r="J7" s="896">
        <v>0</v>
      </c>
      <c r="K7" s="896">
        <v>0</v>
      </c>
      <c r="L7" s="896">
        <v>0</v>
      </c>
      <c r="M7" s="896">
        <v>0</v>
      </c>
      <c r="N7" s="896">
        <v>0</v>
      </c>
      <c r="O7" s="896">
        <v>0</v>
      </c>
      <c r="P7" s="896">
        <v>0</v>
      </c>
      <c r="Q7" s="896">
        <v>0</v>
      </c>
      <c r="R7" s="1658">
        <v>0</v>
      </c>
    </row>
    <row r="8" spans="1:18" ht="11.25" customHeight="1" x14ac:dyDescent="0.25">
      <c r="A8" s="104" t="s">
        <v>636</v>
      </c>
      <c r="B8" s="144"/>
      <c r="C8" s="896">
        <v>2</v>
      </c>
      <c r="D8" s="896">
        <v>2</v>
      </c>
      <c r="E8" s="896">
        <v>2</v>
      </c>
      <c r="F8" s="896">
        <v>2</v>
      </c>
      <c r="G8" s="896">
        <v>2</v>
      </c>
      <c r="H8" s="896">
        <v>2</v>
      </c>
      <c r="I8" s="896">
        <v>2</v>
      </c>
      <c r="J8" s="896">
        <v>2</v>
      </c>
      <c r="K8" s="896">
        <v>2</v>
      </c>
      <c r="L8" s="896">
        <v>2</v>
      </c>
      <c r="M8" s="896">
        <v>2</v>
      </c>
      <c r="N8" s="896">
        <v>2</v>
      </c>
      <c r="O8" s="896">
        <v>2</v>
      </c>
      <c r="P8" s="896">
        <v>2</v>
      </c>
      <c r="Q8" s="896">
        <v>2</v>
      </c>
      <c r="R8" s="1658">
        <v>2</v>
      </c>
    </row>
    <row r="9" spans="1:18" ht="11.25" customHeight="1" x14ac:dyDescent="0.25">
      <c r="A9" s="104" t="s">
        <v>1223</v>
      </c>
      <c r="B9" s="144"/>
      <c r="C9" s="896">
        <v>0</v>
      </c>
      <c r="D9" s="896">
        <v>0</v>
      </c>
      <c r="E9" s="896">
        <v>0</v>
      </c>
      <c r="F9" s="896">
        <v>0</v>
      </c>
      <c r="G9" s="896">
        <v>0</v>
      </c>
      <c r="H9" s="896">
        <v>0</v>
      </c>
      <c r="I9" s="896">
        <v>0</v>
      </c>
      <c r="J9" s="896">
        <v>0</v>
      </c>
      <c r="K9" s="896">
        <v>0</v>
      </c>
      <c r="L9" s="896">
        <v>0</v>
      </c>
      <c r="M9" s="896">
        <v>0</v>
      </c>
      <c r="N9" s="896">
        <v>0</v>
      </c>
      <c r="O9" s="896">
        <v>0</v>
      </c>
      <c r="P9" s="896">
        <v>0</v>
      </c>
      <c r="Q9" s="896">
        <v>0</v>
      </c>
      <c r="R9" s="1658">
        <v>0</v>
      </c>
    </row>
    <row r="10" spans="1:18" ht="11.25" customHeight="1" x14ac:dyDescent="0.25">
      <c r="A10" s="104" t="s">
        <v>637</v>
      </c>
      <c r="B10" s="144"/>
      <c r="C10" s="896">
        <v>0</v>
      </c>
      <c r="D10" s="896">
        <v>0</v>
      </c>
      <c r="E10" s="896">
        <v>0</v>
      </c>
      <c r="F10" s="896">
        <v>0</v>
      </c>
      <c r="G10" s="896">
        <v>0</v>
      </c>
      <c r="H10" s="896">
        <v>0</v>
      </c>
      <c r="I10" s="896">
        <v>0</v>
      </c>
      <c r="J10" s="896">
        <v>0</v>
      </c>
      <c r="K10" s="896">
        <v>0</v>
      </c>
      <c r="L10" s="896">
        <v>0</v>
      </c>
      <c r="M10" s="896">
        <v>0</v>
      </c>
      <c r="N10" s="896">
        <v>0</v>
      </c>
      <c r="O10" s="896">
        <v>0</v>
      </c>
      <c r="P10" s="896">
        <v>0</v>
      </c>
      <c r="Q10" s="896">
        <v>0</v>
      </c>
      <c r="R10" s="1658">
        <v>0</v>
      </c>
    </row>
    <row r="11" spans="1:18" ht="11.25" customHeight="1" x14ac:dyDescent="0.25">
      <c r="A11" s="104" t="s">
        <v>315</v>
      </c>
      <c r="B11" s="144"/>
      <c r="C11" s="896">
        <v>3</v>
      </c>
      <c r="D11" s="896">
        <v>3</v>
      </c>
      <c r="E11" s="896">
        <v>0</v>
      </c>
      <c r="F11" s="896">
        <v>10</v>
      </c>
      <c r="G11" s="896">
        <v>0</v>
      </c>
      <c r="H11" s="896">
        <v>0</v>
      </c>
      <c r="I11" s="896">
        <v>0</v>
      </c>
      <c r="J11" s="896">
        <v>0</v>
      </c>
      <c r="K11" s="896">
        <v>0</v>
      </c>
      <c r="L11" s="896">
        <v>0</v>
      </c>
      <c r="M11" s="896">
        <v>0</v>
      </c>
      <c r="N11" s="896">
        <v>0</v>
      </c>
      <c r="O11" s="896">
        <v>0</v>
      </c>
      <c r="P11" s="896">
        <v>0</v>
      </c>
      <c r="Q11" s="896">
        <v>0</v>
      </c>
      <c r="R11" s="1658">
        <v>0</v>
      </c>
    </row>
    <row r="12" spans="1:18" ht="11.25" customHeight="1" x14ac:dyDescent="0.25">
      <c r="A12" s="104" t="s">
        <v>316</v>
      </c>
      <c r="B12" s="144"/>
      <c r="C12" s="896">
        <v>0</v>
      </c>
      <c r="D12" s="896">
        <v>2</v>
      </c>
      <c r="E12" s="896">
        <v>0</v>
      </c>
      <c r="F12" s="896">
        <v>0</v>
      </c>
      <c r="G12" s="896">
        <v>0</v>
      </c>
      <c r="H12" s="896">
        <v>0</v>
      </c>
      <c r="I12" s="896">
        <v>0</v>
      </c>
      <c r="J12" s="896">
        <v>0</v>
      </c>
      <c r="K12" s="896">
        <v>0</v>
      </c>
      <c r="L12" s="896">
        <v>0</v>
      </c>
      <c r="M12" s="896">
        <v>0</v>
      </c>
      <c r="N12" s="896">
        <v>0</v>
      </c>
      <c r="O12" s="896">
        <v>0</v>
      </c>
      <c r="P12" s="896">
        <v>0</v>
      </c>
      <c r="Q12" s="896">
        <v>0</v>
      </c>
      <c r="R12" s="1658">
        <v>0</v>
      </c>
    </row>
    <row r="13" spans="1:18" ht="11.25" customHeight="1" x14ac:dyDescent="0.25">
      <c r="A13" s="104" t="s">
        <v>317</v>
      </c>
      <c r="B13" s="144"/>
      <c r="C13" s="896">
        <v>0</v>
      </c>
      <c r="D13" s="896">
        <v>0</v>
      </c>
      <c r="E13" s="896">
        <v>0</v>
      </c>
      <c r="F13" s="896">
        <v>0</v>
      </c>
      <c r="G13" s="896">
        <v>0</v>
      </c>
      <c r="H13" s="896">
        <v>0</v>
      </c>
      <c r="I13" s="896">
        <v>0</v>
      </c>
      <c r="J13" s="896">
        <v>0</v>
      </c>
      <c r="K13" s="896">
        <v>0</v>
      </c>
      <c r="L13" s="896">
        <v>0</v>
      </c>
      <c r="M13" s="896">
        <v>0</v>
      </c>
      <c r="N13" s="896">
        <v>0</v>
      </c>
      <c r="O13" s="896">
        <v>0</v>
      </c>
      <c r="P13" s="896">
        <v>0</v>
      </c>
      <c r="Q13" s="896">
        <v>0</v>
      </c>
      <c r="R13" s="1658">
        <v>0</v>
      </c>
    </row>
    <row r="14" spans="1:18" ht="11.25" customHeight="1" x14ac:dyDescent="0.25">
      <c r="A14" s="104" t="s">
        <v>646</v>
      </c>
      <c r="B14" s="144">
        <v>5</v>
      </c>
      <c r="C14" s="896">
        <v>0</v>
      </c>
      <c r="D14" s="896">
        <v>0</v>
      </c>
      <c r="E14" s="896">
        <v>0</v>
      </c>
      <c r="F14" s="896">
        <v>0</v>
      </c>
      <c r="G14" s="896">
        <v>0</v>
      </c>
      <c r="H14" s="896">
        <v>0</v>
      </c>
      <c r="I14" s="896">
        <v>0</v>
      </c>
      <c r="J14" s="896">
        <v>0</v>
      </c>
      <c r="K14" s="896">
        <v>0</v>
      </c>
      <c r="L14" s="896">
        <v>0</v>
      </c>
      <c r="M14" s="896">
        <v>0</v>
      </c>
      <c r="N14" s="896">
        <v>0</v>
      </c>
      <c r="O14" s="896">
        <v>0</v>
      </c>
      <c r="P14" s="896">
        <v>0</v>
      </c>
      <c r="Q14" s="896">
        <v>0</v>
      </c>
      <c r="R14" s="1658">
        <v>0</v>
      </c>
    </row>
    <row r="15" spans="1:18" ht="11.25" customHeight="1" x14ac:dyDescent="0.25">
      <c r="A15" s="104" t="s">
        <v>635</v>
      </c>
      <c r="B15" s="144">
        <v>5</v>
      </c>
      <c r="C15" s="896">
        <v>0</v>
      </c>
      <c r="D15" s="896">
        <v>0</v>
      </c>
      <c r="E15" s="896">
        <v>0</v>
      </c>
      <c r="F15" s="896">
        <v>0</v>
      </c>
      <c r="G15" s="896">
        <v>0</v>
      </c>
      <c r="H15" s="896">
        <v>0</v>
      </c>
      <c r="I15" s="896">
        <v>0</v>
      </c>
      <c r="J15" s="896">
        <v>0</v>
      </c>
      <c r="K15" s="896">
        <v>0</v>
      </c>
      <c r="L15" s="896">
        <v>0</v>
      </c>
      <c r="M15" s="896">
        <v>0</v>
      </c>
      <c r="N15" s="896">
        <v>0</v>
      </c>
      <c r="O15" s="896">
        <v>0</v>
      </c>
      <c r="P15" s="896">
        <v>0</v>
      </c>
      <c r="Q15" s="896">
        <v>0</v>
      </c>
      <c r="R15" s="1658">
        <v>0</v>
      </c>
    </row>
    <row r="16" spans="1:18" ht="11.25" customHeight="1" x14ac:dyDescent="0.25">
      <c r="A16" s="137" t="s">
        <v>1224</v>
      </c>
      <c r="B16" s="97"/>
      <c r="C16" s="891">
        <v>0</v>
      </c>
      <c r="D16" s="891">
        <v>0</v>
      </c>
      <c r="E16" s="891">
        <v>0</v>
      </c>
      <c r="F16" s="891">
        <v>0</v>
      </c>
      <c r="G16" s="891">
        <v>0</v>
      </c>
      <c r="H16" s="891">
        <v>0</v>
      </c>
      <c r="I16" s="916">
        <v>0</v>
      </c>
      <c r="J16" s="891">
        <v>0</v>
      </c>
      <c r="K16" s="891">
        <v>0</v>
      </c>
      <c r="L16" s="891">
        <v>0</v>
      </c>
      <c r="M16" s="891">
        <v>0</v>
      </c>
      <c r="N16" s="891">
        <v>0</v>
      </c>
      <c r="O16" s="891">
        <v>0</v>
      </c>
      <c r="P16" s="891">
        <v>0</v>
      </c>
      <c r="Q16" s="891">
        <v>0</v>
      </c>
      <c r="R16" s="1659">
        <v>0</v>
      </c>
    </row>
    <row r="17" spans="1:18" ht="11.25" customHeight="1" x14ac:dyDescent="0.25">
      <c r="A17" s="104" t="s">
        <v>1459</v>
      </c>
      <c r="B17" s="144"/>
      <c r="C17" s="1546">
        <v>1</v>
      </c>
      <c r="D17" s="1546">
        <v>1</v>
      </c>
      <c r="E17" s="1546">
        <v>1</v>
      </c>
      <c r="F17" s="1546">
        <v>1</v>
      </c>
      <c r="G17" s="1546">
        <v>1</v>
      </c>
      <c r="H17" s="1546">
        <v>1</v>
      </c>
      <c r="I17" s="1546">
        <v>1</v>
      </c>
      <c r="J17" s="1546">
        <v>1</v>
      </c>
      <c r="K17" s="1546">
        <v>1</v>
      </c>
      <c r="L17" s="1546">
        <v>1</v>
      </c>
      <c r="M17" s="1546">
        <v>1</v>
      </c>
      <c r="N17" s="1546">
        <v>1</v>
      </c>
      <c r="O17" s="1546">
        <v>1</v>
      </c>
      <c r="P17" s="1546">
        <v>1</v>
      </c>
      <c r="Q17" s="1546">
        <v>1</v>
      </c>
      <c r="R17" s="1556">
        <v>1</v>
      </c>
    </row>
    <row r="18" spans="1:18" ht="11.25" customHeight="1" x14ac:dyDescent="0.25">
      <c r="A18" s="104" t="s">
        <v>1460</v>
      </c>
      <c r="B18" s="144"/>
      <c r="C18" s="1546">
        <v>5</v>
      </c>
      <c r="D18" s="1660">
        <v>5</v>
      </c>
      <c r="E18" s="1660">
        <v>5</v>
      </c>
      <c r="F18" s="1660">
        <v>5</v>
      </c>
      <c r="G18" s="1660">
        <v>5</v>
      </c>
      <c r="H18" s="1660">
        <v>5</v>
      </c>
      <c r="I18" s="1660">
        <v>5</v>
      </c>
      <c r="J18" s="1660">
        <v>5</v>
      </c>
      <c r="K18" s="1660">
        <v>5</v>
      </c>
      <c r="L18" s="1660">
        <v>5</v>
      </c>
      <c r="M18" s="1660">
        <v>5</v>
      </c>
      <c r="N18" s="1660">
        <v>5</v>
      </c>
      <c r="O18" s="1660">
        <v>5</v>
      </c>
      <c r="P18" s="1660">
        <v>5</v>
      </c>
      <c r="Q18" s="1660">
        <v>5</v>
      </c>
      <c r="R18" s="1661">
        <v>5</v>
      </c>
    </row>
    <row r="19" spans="1:18" ht="11.25" customHeight="1" x14ac:dyDescent="0.25">
      <c r="A19" s="104" t="s">
        <v>1461</v>
      </c>
      <c r="B19" s="144"/>
      <c r="C19" s="1546" t="s">
        <v>137</v>
      </c>
      <c r="D19" s="1546" t="s">
        <v>137</v>
      </c>
      <c r="E19" s="1546" t="s">
        <v>137</v>
      </c>
      <c r="F19" s="1546" t="s">
        <v>137</v>
      </c>
      <c r="G19" s="1546" t="s">
        <v>137</v>
      </c>
      <c r="H19" s="1546" t="s">
        <v>137</v>
      </c>
      <c r="I19" s="1546" t="s">
        <v>137</v>
      </c>
      <c r="J19" s="1546" t="s">
        <v>137</v>
      </c>
      <c r="K19" s="1546" t="s">
        <v>137</v>
      </c>
      <c r="L19" s="1546" t="s">
        <v>137</v>
      </c>
      <c r="M19" s="1546" t="s">
        <v>137</v>
      </c>
      <c r="N19" s="1546" t="s">
        <v>137</v>
      </c>
      <c r="O19" s="1546" t="s">
        <v>137</v>
      </c>
      <c r="P19" s="1546" t="s">
        <v>137</v>
      </c>
      <c r="Q19" s="1546" t="s">
        <v>137</v>
      </c>
      <c r="R19" s="1556" t="s">
        <v>137</v>
      </c>
    </row>
    <row r="20" spans="1:18" ht="11.25" customHeight="1" x14ac:dyDescent="0.25">
      <c r="A20" s="104" t="s">
        <v>1462</v>
      </c>
      <c r="B20" s="144"/>
      <c r="C20" s="1546" t="s">
        <v>141</v>
      </c>
      <c r="D20" s="1546" t="s">
        <v>141</v>
      </c>
      <c r="E20" s="1546" t="s">
        <v>141</v>
      </c>
      <c r="F20" s="1546" t="s">
        <v>141</v>
      </c>
      <c r="G20" s="1546" t="s">
        <v>141</v>
      </c>
      <c r="H20" s="1546" t="s">
        <v>141</v>
      </c>
      <c r="I20" s="1546" t="s">
        <v>141</v>
      </c>
      <c r="J20" s="1546" t="s">
        <v>141</v>
      </c>
      <c r="K20" s="1546" t="s">
        <v>141</v>
      </c>
      <c r="L20" s="1546" t="s">
        <v>141</v>
      </c>
      <c r="M20" s="1546" t="s">
        <v>141</v>
      </c>
      <c r="N20" s="1546" t="s">
        <v>141</v>
      </c>
      <c r="O20" s="1546" t="s">
        <v>141</v>
      </c>
      <c r="P20" s="1546" t="s">
        <v>141</v>
      </c>
      <c r="Q20" s="1546" t="s">
        <v>141</v>
      </c>
      <c r="R20" s="1556" t="s">
        <v>141</v>
      </c>
    </row>
    <row r="21" spans="1:18" ht="11.25" customHeight="1" x14ac:dyDescent="0.25">
      <c r="A21" s="104" t="s">
        <v>140</v>
      </c>
      <c r="B21" s="144"/>
      <c r="C21" s="1546">
        <v>0</v>
      </c>
      <c r="D21" s="1546">
        <v>0</v>
      </c>
      <c r="E21" s="1546">
        <v>0</v>
      </c>
      <c r="F21" s="1546">
        <v>0</v>
      </c>
      <c r="G21" s="1546">
        <v>0</v>
      </c>
      <c r="H21" s="1546">
        <v>0</v>
      </c>
      <c r="I21" s="1546">
        <v>0</v>
      </c>
      <c r="J21" s="1546">
        <v>0</v>
      </c>
      <c r="K21" s="1546">
        <v>0</v>
      </c>
      <c r="L21" s="1546">
        <v>0</v>
      </c>
      <c r="M21" s="1546">
        <v>0</v>
      </c>
      <c r="N21" s="1546">
        <v>0</v>
      </c>
      <c r="O21" s="1546">
        <v>0</v>
      </c>
      <c r="P21" s="1546">
        <v>0</v>
      </c>
      <c r="Q21" s="1546">
        <v>0</v>
      </c>
      <c r="R21" s="1556">
        <v>0</v>
      </c>
    </row>
    <row r="22" spans="1:18" ht="11.25" customHeight="1" x14ac:dyDescent="0.25">
      <c r="A22" s="104" t="s">
        <v>578</v>
      </c>
      <c r="B22" s="1662"/>
      <c r="C22" s="1546" t="s">
        <v>706</v>
      </c>
      <c r="D22" s="1546" t="s">
        <v>706</v>
      </c>
      <c r="E22" s="1546" t="s">
        <v>706</v>
      </c>
      <c r="F22" s="1546" t="s">
        <v>706</v>
      </c>
      <c r="G22" s="1546" t="s">
        <v>706</v>
      </c>
      <c r="H22" s="1546" t="s">
        <v>706</v>
      </c>
      <c r="I22" s="1546" t="s">
        <v>706</v>
      </c>
      <c r="J22" s="1546" t="s">
        <v>706</v>
      </c>
      <c r="K22" s="1546" t="s">
        <v>706</v>
      </c>
      <c r="L22" s="1546" t="s">
        <v>706</v>
      </c>
      <c r="M22" s="1546" t="s">
        <v>706</v>
      </c>
      <c r="N22" s="1546" t="s">
        <v>706</v>
      </c>
      <c r="O22" s="1546" t="s">
        <v>706</v>
      </c>
      <c r="P22" s="1546" t="s">
        <v>706</v>
      </c>
      <c r="Q22" s="1546" t="s">
        <v>706</v>
      </c>
      <c r="R22" s="1556" t="s">
        <v>706</v>
      </c>
    </row>
    <row r="23" spans="1:18" ht="11.25" customHeight="1" x14ac:dyDescent="0.25">
      <c r="A23" s="104" t="s">
        <v>579</v>
      </c>
      <c r="B23" s="1662"/>
      <c r="C23" s="1546" t="s">
        <v>364</v>
      </c>
      <c r="D23" s="1546" t="s">
        <v>364</v>
      </c>
      <c r="E23" s="1546" t="s">
        <v>364</v>
      </c>
      <c r="F23" s="1546" t="s">
        <v>364</v>
      </c>
      <c r="G23" s="1546" t="s">
        <v>364</v>
      </c>
      <c r="H23" s="1546" t="s">
        <v>364</v>
      </c>
      <c r="I23" s="1546" t="s">
        <v>364</v>
      </c>
      <c r="J23" s="1546" t="s">
        <v>364</v>
      </c>
      <c r="K23" s="1546" t="s">
        <v>364</v>
      </c>
      <c r="L23" s="1546" t="s">
        <v>364</v>
      </c>
      <c r="M23" s="1546" t="s">
        <v>364</v>
      </c>
      <c r="N23" s="1546" t="s">
        <v>364</v>
      </c>
      <c r="O23" s="1546" t="s">
        <v>364</v>
      </c>
      <c r="P23" s="1546" t="s">
        <v>364</v>
      </c>
      <c r="Q23" s="1546" t="s">
        <v>364</v>
      </c>
      <c r="R23" s="1556" t="s">
        <v>364</v>
      </c>
    </row>
    <row r="24" spans="1:18" ht="11.25" customHeight="1" x14ac:dyDescent="0.25">
      <c r="A24" s="104" t="s">
        <v>264</v>
      </c>
      <c r="B24" s="1662"/>
      <c r="C24" s="1546" t="s">
        <v>1463</v>
      </c>
      <c r="D24" s="1546" t="s">
        <v>1463</v>
      </c>
      <c r="E24" s="1546" t="s">
        <v>1463</v>
      </c>
      <c r="F24" s="1546" t="s">
        <v>1463</v>
      </c>
      <c r="G24" s="1546" t="s">
        <v>1463</v>
      </c>
      <c r="H24" s="1546" t="s">
        <v>1463</v>
      </c>
      <c r="I24" s="1546" t="s">
        <v>1463</v>
      </c>
      <c r="J24" s="1546" t="s">
        <v>1463</v>
      </c>
      <c r="K24" s="1546" t="s">
        <v>1463</v>
      </c>
      <c r="L24" s="1546" t="s">
        <v>1463</v>
      </c>
      <c r="M24" s="1546" t="s">
        <v>1463</v>
      </c>
      <c r="N24" s="1546" t="s">
        <v>1463</v>
      </c>
      <c r="O24" s="1546" t="s">
        <v>1463</v>
      </c>
      <c r="P24" s="1546" t="s">
        <v>1463</v>
      </c>
      <c r="Q24" s="1546" t="s">
        <v>1463</v>
      </c>
      <c r="R24" s="1556" t="s">
        <v>1463</v>
      </c>
    </row>
    <row r="25" spans="1:18" ht="11.25" customHeight="1" x14ac:dyDescent="0.25">
      <c r="A25" s="96" t="s">
        <v>1342</v>
      </c>
      <c r="B25" s="144"/>
      <c r="C25" s="1580"/>
      <c r="D25" s="1580"/>
      <c r="E25" s="1580"/>
      <c r="F25" s="1580"/>
      <c r="G25" s="1580"/>
      <c r="H25" s="1580"/>
      <c r="I25" s="1580"/>
      <c r="J25" s="1580"/>
      <c r="K25" s="1580"/>
      <c r="L25" s="1580"/>
      <c r="M25" s="1580"/>
      <c r="N25" s="1580"/>
      <c r="O25" s="1580"/>
      <c r="P25" s="1580"/>
      <c r="Q25" s="1580"/>
      <c r="R25" s="1583"/>
    </row>
    <row r="26" spans="1:18" ht="11.25" customHeight="1" x14ac:dyDescent="0.25">
      <c r="A26" s="104" t="s">
        <v>451</v>
      </c>
      <c r="B26" s="144"/>
      <c r="C26" s="1573">
        <v>0</v>
      </c>
      <c r="D26" s="1573">
        <v>0</v>
      </c>
      <c r="E26" s="1573">
        <v>0</v>
      </c>
      <c r="F26" s="1573">
        <v>0</v>
      </c>
      <c r="G26" s="1573">
        <v>0</v>
      </c>
      <c r="H26" s="1573">
        <v>0</v>
      </c>
      <c r="I26" s="1573">
        <v>0</v>
      </c>
      <c r="J26" s="1573">
        <v>0</v>
      </c>
      <c r="K26" s="1573">
        <v>0</v>
      </c>
      <c r="L26" s="1573">
        <v>0</v>
      </c>
      <c r="M26" s="1573">
        <v>0</v>
      </c>
      <c r="N26" s="1573">
        <v>0</v>
      </c>
      <c r="O26" s="1573">
        <v>0</v>
      </c>
      <c r="P26" s="1573">
        <v>0</v>
      </c>
      <c r="Q26" s="1573">
        <v>0</v>
      </c>
      <c r="R26" s="1576">
        <v>0</v>
      </c>
    </row>
    <row r="27" spans="1:18" ht="11.25" customHeight="1" x14ac:dyDescent="0.25">
      <c r="A27" s="104" t="s">
        <v>452</v>
      </c>
      <c r="B27" s="144"/>
      <c r="C27" s="1573">
        <v>0</v>
      </c>
      <c r="D27" s="1573">
        <v>0</v>
      </c>
      <c r="E27" s="1573">
        <v>0</v>
      </c>
      <c r="F27" s="1573">
        <v>0</v>
      </c>
      <c r="G27" s="1573">
        <v>0</v>
      </c>
      <c r="H27" s="1573">
        <v>0</v>
      </c>
      <c r="I27" s="1573">
        <v>0</v>
      </c>
      <c r="J27" s="1573">
        <v>0</v>
      </c>
      <c r="K27" s="1573">
        <v>0</v>
      </c>
      <c r="L27" s="1573">
        <v>0</v>
      </c>
      <c r="M27" s="1573">
        <v>0</v>
      </c>
      <c r="N27" s="1573">
        <v>0</v>
      </c>
      <c r="O27" s="1573">
        <v>0</v>
      </c>
      <c r="P27" s="1573">
        <v>0</v>
      </c>
      <c r="Q27" s="1573">
        <v>0</v>
      </c>
      <c r="R27" s="1576">
        <v>0</v>
      </c>
    </row>
    <row r="28" spans="1:18" ht="11.25" customHeight="1" x14ac:dyDescent="0.25">
      <c r="A28" s="104" t="s">
        <v>453</v>
      </c>
      <c r="B28" s="144"/>
      <c r="C28" s="1573">
        <v>0</v>
      </c>
      <c r="D28" s="1573">
        <v>0</v>
      </c>
      <c r="E28" s="1573">
        <v>0</v>
      </c>
      <c r="F28" s="1573">
        <v>0</v>
      </c>
      <c r="G28" s="1573">
        <v>0</v>
      </c>
      <c r="H28" s="1573">
        <v>0</v>
      </c>
      <c r="I28" s="1573">
        <v>0</v>
      </c>
      <c r="J28" s="1573">
        <v>0</v>
      </c>
      <c r="K28" s="1573">
        <v>0</v>
      </c>
      <c r="L28" s="1573">
        <v>0</v>
      </c>
      <c r="M28" s="1573">
        <v>0</v>
      </c>
      <c r="N28" s="1573">
        <v>0</v>
      </c>
      <c r="O28" s="1573">
        <v>0</v>
      </c>
      <c r="P28" s="1573">
        <v>0</v>
      </c>
      <c r="Q28" s="1573">
        <v>0</v>
      </c>
      <c r="R28" s="1576">
        <v>0</v>
      </c>
    </row>
    <row r="29" spans="1:18" ht="11.25" customHeight="1" x14ac:dyDescent="0.25">
      <c r="A29" s="104" t="s">
        <v>454</v>
      </c>
      <c r="B29" s="144"/>
      <c r="C29" s="1573">
        <v>5595000</v>
      </c>
      <c r="D29" s="1573">
        <v>840000</v>
      </c>
      <c r="E29" s="1573"/>
      <c r="F29" s="1573">
        <v>11055000</v>
      </c>
      <c r="G29" s="1573">
        <v>840000</v>
      </c>
      <c r="H29" s="1573">
        <v>0</v>
      </c>
      <c r="I29" s="1573">
        <v>0</v>
      </c>
      <c r="J29" s="1573">
        <v>0</v>
      </c>
      <c r="K29" s="1573">
        <v>0</v>
      </c>
      <c r="L29" s="1573">
        <v>0</v>
      </c>
      <c r="M29" s="1573">
        <v>0</v>
      </c>
      <c r="N29" s="1573">
        <v>0</v>
      </c>
      <c r="O29" s="1573">
        <v>0</v>
      </c>
      <c r="P29" s="1573">
        <v>0</v>
      </c>
      <c r="Q29" s="1573">
        <v>0</v>
      </c>
      <c r="R29" s="1576">
        <v>0</v>
      </c>
    </row>
    <row r="30" spans="1:18" ht="11.25" customHeight="1" x14ac:dyDescent="0.25">
      <c r="A30" s="104" t="s">
        <v>455</v>
      </c>
      <c r="B30" s="144"/>
      <c r="C30" s="1573"/>
      <c r="D30" s="1573"/>
      <c r="E30" s="1573"/>
      <c r="F30" s="1573"/>
      <c r="G30" s="1573"/>
      <c r="H30" s="1573"/>
      <c r="I30" s="1573"/>
      <c r="J30" s="1573"/>
      <c r="K30" s="1573"/>
      <c r="L30" s="1573"/>
      <c r="M30" s="1573"/>
      <c r="N30" s="1573"/>
      <c r="O30" s="1573"/>
      <c r="P30" s="1573"/>
      <c r="Q30" s="1573"/>
      <c r="R30" s="1576"/>
    </row>
    <row r="31" spans="1:18" ht="11.25" customHeight="1" x14ac:dyDescent="0.25">
      <c r="A31" s="104" t="s">
        <v>456</v>
      </c>
      <c r="B31" s="1662">
        <v>2</v>
      </c>
      <c r="C31" s="1573"/>
      <c r="D31" s="1573"/>
      <c r="E31" s="1573"/>
      <c r="F31" s="1573"/>
      <c r="G31" s="1573"/>
      <c r="H31" s="1573"/>
      <c r="I31" s="1573"/>
      <c r="J31" s="1573"/>
      <c r="K31" s="1573"/>
      <c r="L31" s="1573"/>
      <c r="M31" s="1573"/>
      <c r="N31" s="1573"/>
      <c r="O31" s="1573"/>
      <c r="P31" s="1573"/>
      <c r="Q31" s="1573"/>
      <c r="R31" s="1576"/>
    </row>
    <row r="32" spans="1:18" ht="11.25" customHeight="1" x14ac:dyDescent="0.25">
      <c r="A32" s="145" t="s">
        <v>1343</v>
      </c>
      <c r="B32" s="144"/>
      <c r="C32" s="1663"/>
      <c r="D32" s="1663"/>
      <c r="E32" s="1663"/>
      <c r="F32" s="1663"/>
      <c r="G32" s="1663"/>
      <c r="H32" s="1663"/>
      <c r="I32" s="1663"/>
      <c r="J32" s="1663"/>
      <c r="K32" s="1663"/>
      <c r="L32" s="1663"/>
      <c r="M32" s="1663"/>
      <c r="N32" s="1663"/>
      <c r="O32" s="1663"/>
      <c r="P32" s="1663"/>
      <c r="Q32" s="1663"/>
      <c r="R32" s="1664"/>
    </row>
    <row r="33" spans="1:18" ht="15.75" customHeight="1" x14ac:dyDescent="0.25">
      <c r="A33" s="104" t="s">
        <v>1273</v>
      </c>
      <c r="B33" s="144">
        <v>6</v>
      </c>
      <c r="C33" s="1578">
        <v>486420000</v>
      </c>
      <c r="D33" s="1578">
        <v>392430000</v>
      </c>
      <c r="E33" s="1578">
        <v>184483000</v>
      </c>
      <c r="F33" s="1578">
        <v>3076852000</v>
      </c>
      <c r="G33" s="1578">
        <v>261430000</v>
      </c>
      <c r="H33" s="1578">
        <v>0</v>
      </c>
      <c r="I33" s="1578">
        <v>0</v>
      </c>
      <c r="J33" s="1578">
        <v>129915</v>
      </c>
      <c r="K33" s="1578">
        <v>0</v>
      </c>
      <c r="L33" s="1578">
        <v>0</v>
      </c>
      <c r="M33" s="1578">
        <v>0</v>
      </c>
      <c r="N33" s="1578">
        <v>0</v>
      </c>
      <c r="O33" s="1578">
        <v>2141000</v>
      </c>
      <c r="P33" s="1578">
        <v>0</v>
      </c>
      <c r="Q33" s="1578">
        <v>28187000</v>
      </c>
      <c r="R33" s="1594">
        <v>0</v>
      </c>
    </row>
    <row r="34" spans="1:18" ht="11.25" customHeight="1" x14ac:dyDescent="0.25">
      <c r="A34" s="104" t="s">
        <v>1274</v>
      </c>
      <c r="B34" s="144">
        <v>6</v>
      </c>
      <c r="C34" s="1578">
        <v>0</v>
      </c>
      <c r="D34" s="1578">
        <v>0</v>
      </c>
      <c r="E34" s="1578">
        <v>0</v>
      </c>
      <c r="F34" s="1578">
        <v>0</v>
      </c>
      <c r="G34" s="1578">
        <v>0</v>
      </c>
      <c r="H34" s="1578">
        <v>0</v>
      </c>
      <c r="I34" s="1578">
        <v>0</v>
      </c>
      <c r="J34" s="1578">
        <v>0</v>
      </c>
      <c r="K34" s="1578">
        <v>0</v>
      </c>
      <c r="L34" s="1578">
        <v>0</v>
      </c>
      <c r="M34" s="1578">
        <v>0</v>
      </c>
      <c r="N34" s="1578">
        <v>0</v>
      </c>
      <c r="O34" s="1578">
        <v>0</v>
      </c>
      <c r="P34" s="1578">
        <v>0</v>
      </c>
      <c r="Q34" s="1578">
        <v>0</v>
      </c>
      <c r="R34" s="1594">
        <v>0</v>
      </c>
    </row>
    <row r="35" spans="1:18" ht="11.25" customHeight="1" x14ac:dyDescent="0.25">
      <c r="A35" s="104" t="s">
        <v>1275</v>
      </c>
      <c r="B35" s="144">
        <v>6</v>
      </c>
      <c r="C35" s="1578">
        <v>0</v>
      </c>
      <c r="D35" s="1578">
        <v>0</v>
      </c>
      <c r="E35" s="1578">
        <v>0</v>
      </c>
      <c r="F35" s="1578">
        <v>0</v>
      </c>
      <c r="G35" s="1578">
        <v>0</v>
      </c>
      <c r="H35" s="1578">
        <v>0</v>
      </c>
      <c r="I35" s="1578">
        <v>0</v>
      </c>
      <c r="J35" s="1578">
        <v>0</v>
      </c>
      <c r="K35" s="1578">
        <v>0</v>
      </c>
      <c r="L35" s="1578">
        <v>0</v>
      </c>
      <c r="M35" s="1578">
        <v>0</v>
      </c>
      <c r="N35" s="1578">
        <v>0</v>
      </c>
      <c r="O35" s="1578">
        <v>0</v>
      </c>
      <c r="P35" s="1578">
        <v>0</v>
      </c>
      <c r="Q35" s="1578">
        <v>0</v>
      </c>
      <c r="R35" s="1594">
        <v>0</v>
      </c>
    </row>
    <row r="36" spans="1:18" ht="11.25" customHeight="1" x14ac:dyDescent="0.25">
      <c r="A36" s="104" t="s">
        <v>1276</v>
      </c>
      <c r="B36" s="211">
        <v>6</v>
      </c>
      <c r="C36" s="1596">
        <v>486420000</v>
      </c>
      <c r="D36" s="1596">
        <v>392430000</v>
      </c>
      <c r="E36" s="1596">
        <v>184483000</v>
      </c>
      <c r="F36" s="1596">
        <v>3076852000</v>
      </c>
      <c r="G36" s="1596">
        <v>261430000</v>
      </c>
      <c r="H36" s="1596"/>
      <c r="I36" s="1596">
        <v>21620000</v>
      </c>
      <c r="J36" s="1596">
        <v>129915</v>
      </c>
      <c r="K36" s="1596"/>
      <c r="L36" s="1596"/>
      <c r="M36" s="1596"/>
      <c r="N36" s="1596"/>
      <c r="O36" s="1596">
        <v>2141000</v>
      </c>
      <c r="P36" s="1596"/>
      <c r="Q36" s="1596">
        <v>28187000</v>
      </c>
      <c r="R36" s="1665"/>
    </row>
    <row r="37" spans="1:18" ht="15.75" customHeight="1" x14ac:dyDescent="0.25">
      <c r="A37" s="1666" t="s">
        <v>1344</v>
      </c>
      <c r="B37" s="1667"/>
      <c r="C37" s="1668"/>
      <c r="D37" s="1668"/>
      <c r="E37" s="1668"/>
      <c r="F37" s="1668"/>
      <c r="G37" s="1668"/>
      <c r="H37" s="1668"/>
      <c r="I37" s="1668"/>
      <c r="J37" s="1668"/>
      <c r="K37" s="1668"/>
      <c r="L37" s="1668"/>
      <c r="M37" s="1668"/>
      <c r="N37" s="1668"/>
      <c r="O37" s="1668"/>
      <c r="P37" s="1668"/>
      <c r="Q37" s="1668"/>
      <c r="R37" s="1669"/>
    </row>
    <row r="38" spans="1:18" ht="11.25" customHeight="1" x14ac:dyDescent="0.25">
      <c r="A38" s="137" t="s">
        <v>263</v>
      </c>
      <c r="B38" s="1670">
        <v>3</v>
      </c>
      <c r="C38" s="1671"/>
      <c r="D38" s="1671"/>
      <c r="E38" s="1671"/>
      <c r="F38" s="1671"/>
      <c r="G38" s="1671"/>
      <c r="H38" s="1671"/>
      <c r="I38" s="1671"/>
      <c r="J38" s="1671"/>
      <c r="K38" s="1671"/>
      <c r="L38" s="1671"/>
      <c r="M38" s="1671"/>
      <c r="N38" s="1671"/>
      <c r="O38" s="1671"/>
      <c r="P38" s="1671"/>
      <c r="Q38" s="1671"/>
      <c r="R38" s="1672"/>
    </row>
    <row r="39" spans="1:18" ht="11.25" customHeight="1" x14ac:dyDescent="0.25">
      <c r="A39" s="137" t="s">
        <v>1277</v>
      </c>
      <c r="B39" s="1670"/>
      <c r="C39" s="712">
        <v>3495474</v>
      </c>
      <c r="D39" s="712">
        <v>3662632</v>
      </c>
      <c r="E39" s="712">
        <v>2152274</v>
      </c>
      <c r="F39" s="712">
        <v>3589614</v>
      </c>
      <c r="G39" s="712">
        <v>4635965</v>
      </c>
      <c r="H39" s="712">
        <v>0</v>
      </c>
      <c r="I39" s="712">
        <v>0</v>
      </c>
      <c r="J39" s="712">
        <v>0</v>
      </c>
      <c r="K39" s="712">
        <v>0</v>
      </c>
      <c r="L39" s="712">
        <v>1927939</v>
      </c>
      <c r="M39" s="712">
        <v>0</v>
      </c>
      <c r="N39" s="712">
        <v>0</v>
      </c>
      <c r="O39" s="712">
        <v>317724</v>
      </c>
      <c r="P39" s="712">
        <v>0</v>
      </c>
      <c r="Q39" s="712">
        <v>0</v>
      </c>
      <c r="R39" s="713">
        <v>0</v>
      </c>
    </row>
    <row r="40" spans="1:18" ht="11.25" customHeight="1" x14ac:dyDescent="0.25">
      <c r="A40" s="137" t="s">
        <v>1278</v>
      </c>
      <c r="B40" s="1670"/>
      <c r="C40" s="712">
        <v>3320700.3</v>
      </c>
      <c r="D40" s="712">
        <v>3479500.4</v>
      </c>
      <c r="E40" s="712">
        <v>2044660.2999999998</v>
      </c>
      <c r="F40" s="712">
        <v>3410133.3</v>
      </c>
      <c r="G40" s="712">
        <v>4404166.75</v>
      </c>
      <c r="H40" s="712">
        <v>0</v>
      </c>
      <c r="I40" s="712">
        <v>0</v>
      </c>
      <c r="J40" s="712">
        <v>0</v>
      </c>
      <c r="K40" s="712">
        <v>0</v>
      </c>
      <c r="L40" s="712">
        <v>1831542.0499999998</v>
      </c>
      <c r="M40" s="712">
        <v>0</v>
      </c>
      <c r="N40" s="712">
        <v>0</v>
      </c>
      <c r="O40" s="712">
        <v>301837.8</v>
      </c>
      <c r="P40" s="712">
        <v>0</v>
      </c>
      <c r="Q40" s="712">
        <v>0</v>
      </c>
      <c r="R40" s="713">
        <v>0</v>
      </c>
    </row>
    <row r="41" spans="1:18" ht="11.25" customHeight="1" x14ac:dyDescent="0.25">
      <c r="A41" s="137" t="s">
        <v>1380</v>
      </c>
      <c r="B41" s="1670">
        <v>4</v>
      </c>
      <c r="C41" s="1623">
        <v>0.95</v>
      </c>
      <c r="D41" s="1623">
        <v>0.95</v>
      </c>
      <c r="E41" s="1623">
        <v>0.95</v>
      </c>
      <c r="F41" s="1623">
        <v>0.95</v>
      </c>
      <c r="G41" s="1623">
        <v>0.95</v>
      </c>
      <c r="H41" s="1623"/>
      <c r="I41" s="1623"/>
      <c r="J41" s="1623"/>
      <c r="K41" s="1623"/>
      <c r="L41" s="1623">
        <v>0.95</v>
      </c>
      <c r="M41" s="1623"/>
      <c r="N41" s="1623"/>
      <c r="O41" s="1623">
        <v>0.95</v>
      </c>
      <c r="P41" s="1623"/>
      <c r="Q41" s="1623"/>
      <c r="R41" s="1626"/>
    </row>
    <row r="42" spans="1:18" ht="11.25" customHeight="1" x14ac:dyDescent="0.25">
      <c r="A42" s="137" t="s">
        <v>1308</v>
      </c>
      <c r="B42" s="1670"/>
      <c r="C42" s="720"/>
      <c r="D42" s="720"/>
      <c r="E42" s="720"/>
      <c r="F42" s="720"/>
      <c r="G42" s="720"/>
      <c r="H42" s="720"/>
      <c r="I42" s="720"/>
      <c r="J42" s="720"/>
      <c r="K42" s="720"/>
      <c r="L42" s="720"/>
      <c r="M42" s="720"/>
      <c r="N42" s="720"/>
      <c r="O42" s="720"/>
      <c r="P42" s="720"/>
      <c r="Q42" s="720"/>
      <c r="R42" s="721"/>
    </row>
    <row r="43" spans="1:18" ht="15.75" customHeight="1" x14ac:dyDescent="0.25">
      <c r="A43" s="137" t="s">
        <v>356</v>
      </c>
      <c r="B43" s="1670"/>
      <c r="C43" s="1674">
        <v>0</v>
      </c>
      <c r="D43" s="1674">
        <v>0</v>
      </c>
      <c r="E43" s="1674">
        <v>0</v>
      </c>
      <c r="F43" s="1674">
        <v>0</v>
      </c>
      <c r="G43" s="1674">
        <v>0</v>
      </c>
      <c r="H43" s="1674">
        <v>0</v>
      </c>
      <c r="I43" s="1674">
        <v>0</v>
      </c>
      <c r="J43" s="1674">
        <v>0</v>
      </c>
      <c r="K43" s="1674">
        <v>0</v>
      </c>
      <c r="L43" s="1674">
        <v>0</v>
      </c>
      <c r="M43" s="1674">
        <v>0</v>
      </c>
      <c r="N43" s="1674">
        <v>0</v>
      </c>
      <c r="O43" s="1674">
        <v>0</v>
      </c>
      <c r="P43" s="1674">
        <v>0</v>
      </c>
      <c r="Q43" s="1674">
        <v>0</v>
      </c>
      <c r="R43" s="1675">
        <v>0</v>
      </c>
    </row>
    <row r="44" spans="1:18" ht="11.25" customHeight="1" x14ac:dyDescent="0.25">
      <c r="A44" s="137" t="s">
        <v>447</v>
      </c>
      <c r="B44" s="1670"/>
      <c r="C44" s="720">
        <v>10000</v>
      </c>
      <c r="D44" s="720"/>
      <c r="E44" s="720"/>
      <c r="F44" s="720"/>
      <c r="G44" s="720"/>
      <c r="H44" s="720"/>
      <c r="I44" s="720"/>
      <c r="J44" s="720"/>
      <c r="K44" s="720"/>
      <c r="L44" s="720"/>
      <c r="M44" s="720"/>
      <c r="N44" s="720"/>
      <c r="O44" s="720"/>
      <c r="P44" s="720"/>
      <c r="Q44" s="720"/>
      <c r="R44" s="721"/>
    </row>
    <row r="45" spans="1:18" ht="11.25" customHeight="1" x14ac:dyDescent="0.25">
      <c r="A45" s="137" t="s">
        <v>448</v>
      </c>
      <c r="B45" s="1670"/>
      <c r="C45" s="720">
        <v>0</v>
      </c>
      <c r="D45" s="720">
        <v>0</v>
      </c>
      <c r="E45" s="720">
        <v>0</v>
      </c>
      <c r="F45" s="720">
        <v>1794807</v>
      </c>
      <c r="G45" s="720">
        <v>0</v>
      </c>
      <c r="H45" s="720">
        <v>0</v>
      </c>
      <c r="I45" s="720">
        <v>0</v>
      </c>
      <c r="J45" s="720">
        <v>0</v>
      </c>
      <c r="K45" s="720">
        <v>0</v>
      </c>
      <c r="L45" s="720">
        <v>0</v>
      </c>
      <c r="M45" s="720">
        <v>0</v>
      </c>
      <c r="N45" s="720">
        <v>0</v>
      </c>
      <c r="O45" s="720">
        <v>0</v>
      </c>
      <c r="P45" s="720">
        <v>0</v>
      </c>
      <c r="Q45" s="720">
        <v>0</v>
      </c>
      <c r="R45" s="721">
        <v>0</v>
      </c>
    </row>
    <row r="46" spans="1:18" ht="11.25" customHeight="1" x14ac:dyDescent="0.25">
      <c r="A46" s="137" t="s">
        <v>449</v>
      </c>
      <c r="B46" s="1670"/>
      <c r="C46" s="720">
        <v>0</v>
      </c>
      <c r="D46" s="720">
        <v>0</v>
      </c>
      <c r="E46" s="720">
        <v>0</v>
      </c>
      <c r="F46" s="720">
        <v>0</v>
      </c>
      <c r="G46" s="720">
        <v>0</v>
      </c>
      <c r="H46" s="720">
        <v>0</v>
      </c>
      <c r="I46" s="720">
        <v>0</v>
      </c>
      <c r="J46" s="720">
        <v>0</v>
      </c>
      <c r="K46" s="720">
        <v>0</v>
      </c>
      <c r="L46" s="720">
        <v>0</v>
      </c>
      <c r="M46" s="720">
        <v>0</v>
      </c>
      <c r="N46" s="720">
        <v>0</v>
      </c>
      <c r="O46" s="720">
        <v>0</v>
      </c>
      <c r="P46" s="720">
        <v>0</v>
      </c>
      <c r="Q46" s="720">
        <v>0</v>
      </c>
      <c r="R46" s="721">
        <v>0</v>
      </c>
    </row>
    <row r="47" spans="1:18" ht="11.25" customHeight="1" x14ac:dyDescent="0.25">
      <c r="A47" s="137" t="s">
        <v>1307</v>
      </c>
      <c r="B47" s="1670"/>
      <c r="C47" s="720">
        <v>0</v>
      </c>
      <c r="D47" s="720">
        <v>0</v>
      </c>
      <c r="E47" s="720">
        <v>0</v>
      </c>
      <c r="F47" s="720">
        <v>0</v>
      </c>
      <c r="G47" s="720">
        <v>0</v>
      </c>
      <c r="H47" s="720">
        <v>0</v>
      </c>
      <c r="I47" s="720">
        <v>0</v>
      </c>
      <c r="J47" s="720">
        <v>0</v>
      </c>
      <c r="K47" s="720">
        <v>0</v>
      </c>
      <c r="L47" s="720">
        <v>0</v>
      </c>
      <c r="M47" s="720">
        <v>0</v>
      </c>
      <c r="N47" s="720">
        <v>0</v>
      </c>
      <c r="O47" s="720">
        <v>0</v>
      </c>
      <c r="P47" s="720">
        <v>0</v>
      </c>
      <c r="Q47" s="720">
        <v>0</v>
      </c>
      <c r="R47" s="721">
        <v>0</v>
      </c>
    </row>
    <row r="48" spans="1:18" ht="11.25" customHeight="1" x14ac:dyDescent="0.25">
      <c r="A48" s="475" t="s">
        <v>564</v>
      </c>
      <c r="B48" s="1662"/>
      <c r="C48" s="1676"/>
      <c r="D48" s="1676"/>
      <c r="E48" s="1676"/>
      <c r="F48" s="1676"/>
      <c r="G48" s="1676"/>
      <c r="H48" s="1676"/>
      <c r="I48" s="1676"/>
      <c r="J48" s="1676"/>
      <c r="K48" s="1676"/>
      <c r="L48" s="1676"/>
      <c r="M48" s="1676"/>
      <c r="N48" s="1676"/>
      <c r="O48" s="1676"/>
      <c r="P48" s="1676"/>
      <c r="Q48" s="1676"/>
      <c r="R48" s="1677"/>
    </row>
    <row r="49" spans="1:18" ht="4.9000000000000004" customHeight="1" x14ac:dyDescent="0.25">
      <c r="A49" s="1678"/>
      <c r="B49" s="118"/>
      <c r="C49" s="1648"/>
      <c r="D49" s="1648"/>
      <c r="E49" s="1648"/>
      <c r="F49" s="1648"/>
      <c r="G49" s="1648"/>
      <c r="H49" s="1648"/>
      <c r="I49" s="1648"/>
      <c r="J49" s="1648"/>
      <c r="K49" s="1648"/>
      <c r="L49" s="1648"/>
      <c r="M49" s="1648"/>
      <c r="N49" s="1648"/>
      <c r="O49" s="1648"/>
      <c r="P49" s="1648"/>
      <c r="Q49" s="1648"/>
      <c r="R49" s="1649"/>
    </row>
    <row r="50" spans="1:18" x14ac:dyDescent="0.25">
      <c r="A50" s="217" t="str">
        <f>head27a</f>
        <v>References</v>
      </c>
      <c r="B50" s="1679"/>
      <c r="C50" s="193"/>
      <c r="D50" s="193"/>
      <c r="E50" s="193"/>
      <c r="F50" s="193"/>
      <c r="G50" s="193"/>
      <c r="H50" s="193"/>
      <c r="I50" s="193"/>
      <c r="J50" s="193"/>
      <c r="K50" s="193"/>
      <c r="L50" s="193"/>
      <c r="M50" s="193"/>
      <c r="N50" s="193"/>
      <c r="O50" s="193"/>
      <c r="P50" s="193"/>
      <c r="Q50" s="193"/>
      <c r="R50" s="193"/>
    </row>
    <row r="51" spans="1:18" x14ac:dyDescent="0.25">
      <c r="A51" s="297" t="s">
        <v>459</v>
      </c>
      <c r="B51" s="1679"/>
      <c r="C51" s="193"/>
      <c r="D51" s="193"/>
      <c r="E51" s="193"/>
      <c r="F51" s="193"/>
      <c r="G51" s="193"/>
      <c r="H51" s="193"/>
      <c r="I51" s="193"/>
      <c r="J51" s="193"/>
      <c r="K51" s="193"/>
      <c r="L51" s="193"/>
      <c r="M51" s="193"/>
      <c r="N51" s="193"/>
      <c r="O51" s="193"/>
      <c r="P51" s="193"/>
      <c r="Q51" s="193"/>
      <c r="R51" s="193"/>
    </row>
    <row r="52" spans="1:18" x14ac:dyDescent="0.25">
      <c r="A52" s="297" t="s">
        <v>460</v>
      </c>
      <c r="B52" s="1679"/>
      <c r="C52" s="193"/>
      <c r="D52" s="193"/>
      <c r="E52" s="193"/>
      <c r="F52" s="193"/>
      <c r="G52" s="193"/>
      <c r="H52" s="193"/>
      <c r="I52" s="193"/>
      <c r="J52" s="193"/>
      <c r="K52" s="193"/>
      <c r="L52" s="193"/>
      <c r="M52" s="193"/>
      <c r="N52" s="193"/>
      <c r="O52" s="193"/>
      <c r="P52" s="193"/>
      <c r="Q52" s="193"/>
      <c r="R52" s="193"/>
    </row>
    <row r="53" spans="1:18" x14ac:dyDescent="0.25">
      <c r="A53" s="218" t="s">
        <v>2013</v>
      </c>
      <c r="B53" s="1679"/>
      <c r="C53" s="193"/>
      <c r="D53" s="193"/>
      <c r="E53" s="193"/>
      <c r="F53" s="193"/>
      <c r="G53" s="193"/>
      <c r="H53" s="193"/>
      <c r="I53" s="193"/>
      <c r="J53" s="193"/>
      <c r="K53" s="193"/>
      <c r="L53" s="193"/>
      <c r="M53" s="193"/>
      <c r="N53" s="193"/>
      <c r="O53" s="193"/>
      <c r="P53" s="193"/>
      <c r="Q53" s="193"/>
      <c r="R53" s="193"/>
    </row>
    <row r="54" spans="1:18" x14ac:dyDescent="0.25">
      <c r="A54" s="297" t="s">
        <v>462</v>
      </c>
      <c r="B54" s="1679"/>
      <c r="C54" s="193"/>
      <c r="D54" s="193"/>
      <c r="E54" s="193"/>
      <c r="F54" s="193"/>
      <c r="G54" s="193"/>
      <c r="H54" s="193"/>
      <c r="I54" s="193"/>
      <c r="J54" s="193"/>
      <c r="K54" s="193"/>
      <c r="L54" s="193"/>
      <c r="M54" s="193"/>
      <c r="N54" s="193"/>
      <c r="O54" s="193"/>
      <c r="P54" s="193"/>
      <c r="Q54" s="193"/>
      <c r="R54" s="193"/>
    </row>
    <row r="55" spans="1:18" x14ac:dyDescent="0.25">
      <c r="A55" s="151" t="s">
        <v>1397</v>
      </c>
      <c r="B55" s="1679"/>
      <c r="C55" s="193"/>
      <c r="D55" s="193"/>
      <c r="E55" s="193"/>
      <c r="F55" s="193"/>
      <c r="G55" s="193"/>
      <c r="H55" s="193"/>
      <c r="I55" s="193"/>
      <c r="J55" s="193"/>
      <c r="K55" s="193"/>
      <c r="L55" s="193"/>
      <c r="M55" s="193"/>
      <c r="N55" s="193"/>
      <c r="O55" s="193"/>
      <c r="P55" s="193"/>
      <c r="Q55" s="193"/>
      <c r="R55" s="193"/>
    </row>
    <row r="56" spans="1:18" x14ac:dyDescent="0.25">
      <c r="A56" s="151" t="s">
        <v>1399</v>
      </c>
      <c r="B56" s="1679"/>
      <c r="C56" s="193"/>
      <c r="D56" s="193"/>
      <c r="E56" s="193"/>
      <c r="F56" s="193"/>
      <c r="G56" s="193"/>
      <c r="H56" s="193"/>
      <c r="I56" s="193"/>
      <c r="J56" s="193"/>
      <c r="K56" s="193"/>
      <c r="L56" s="193"/>
      <c r="M56" s="193"/>
      <c r="N56" s="193"/>
      <c r="O56" s="193"/>
      <c r="P56" s="193"/>
      <c r="Q56" s="193"/>
      <c r="R56" s="193"/>
    </row>
    <row r="57" spans="1:18" ht="15.75" customHeight="1" x14ac:dyDescent="0.25">
      <c r="A57" s="1680"/>
      <c r="B57" s="1680"/>
      <c r="C57" s="671"/>
      <c r="D57" s="671"/>
      <c r="E57" s="671"/>
      <c r="F57" s="671"/>
      <c r="G57" s="671"/>
      <c r="H57" s="671"/>
      <c r="I57" s="671"/>
      <c r="J57" s="671"/>
      <c r="K57" s="671"/>
      <c r="L57" s="671"/>
      <c r="M57" s="671"/>
      <c r="N57" s="671"/>
      <c r="O57" s="671"/>
      <c r="P57" s="671"/>
      <c r="Q57" s="671"/>
      <c r="R57" s="671"/>
    </row>
    <row r="58" spans="1:18" ht="38.25" customHeight="1" x14ac:dyDescent="0.25">
      <c r="A58" s="1681"/>
      <c r="B58" s="1682"/>
      <c r="C58" s="1683"/>
      <c r="D58" s="1683"/>
      <c r="E58" s="1683"/>
      <c r="F58" s="1683"/>
      <c r="G58" s="1683"/>
      <c r="H58" s="1683"/>
      <c r="I58" s="1683"/>
      <c r="J58" s="1683"/>
      <c r="K58" s="1683"/>
      <c r="L58" s="1683"/>
      <c r="M58" s="1683"/>
      <c r="N58" s="1683"/>
      <c r="O58" s="1683"/>
      <c r="P58" s="1683"/>
      <c r="Q58" s="1683"/>
      <c r="R58" s="1683"/>
    </row>
    <row r="59" spans="1:18" ht="11.25" customHeight="1" x14ac:dyDescent="0.25">
      <c r="A59" s="1684"/>
      <c r="B59" s="513"/>
      <c r="C59" s="191"/>
      <c r="D59" s="191"/>
      <c r="E59" s="191"/>
      <c r="F59" s="191"/>
      <c r="G59" s="191"/>
      <c r="H59" s="191"/>
      <c r="I59" s="191"/>
      <c r="J59" s="191"/>
      <c r="K59" s="191"/>
      <c r="L59" s="191"/>
      <c r="M59" s="191"/>
      <c r="N59" s="191"/>
      <c r="O59" s="191"/>
      <c r="P59" s="191"/>
      <c r="Q59" s="191"/>
      <c r="R59" s="191"/>
    </row>
    <row r="60" spans="1:18" ht="11.25" customHeight="1" x14ac:dyDescent="0.25">
      <c r="A60" s="1684"/>
      <c r="B60" s="513"/>
      <c r="C60" s="191"/>
      <c r="D60" s="191"/>
      <c r="E60" s="191"/>
      <c r="F60" s="191"/>
      <c r="G60" s="191"/>
      <c r="H60" s="191"/>
      <c r="I60" s="191"/>
      <c r="J60" s="191"/>
      <c r="K60" s="191"/>
      <c r="L60" s="191"/>
      <c r="M60" s="191"/>
      <c r="N60" s="191"/>
      <c r="O60" s="191"/>
      <c r="P60" s="191"/>
      <c r="Q60" s="191"/>
      <c r="R60" s="191"/>
    </row>
    <row r="61" spans="1:18" ht="11.25" customHeight="1" x14ac:dyDescent="0.25">
      <c r="A61" s="512"/>
      <c r="B61" s="513"/>
      <c r="C61" s="1685"/>
      <c r="D61" s="1685"/>
      <c r="E61" s="1685"/>
      <c r="F61" s="1685"/>
      <c r="G61" s="1685"/>
      <c r="H61" s="1685"/>
      <c r="I61" s="1685"/>
      <c r="J61" s="1685"/>
      <c r="K61" s="1685"/>
      <c r="L61" s="1685"/>
      <c r="M61" s="1685"/>
      <c r="N61" s="1685"/>
      <c r="O61" s="1685"/>
      <c r="P61" s="1685"/>
      <c r="Q61" s="1685"/>
      <c r="R61" s="1685"/>
    </row>
    <row r="62" spans="1:18" ht="11.25" customHeight="1" x14ac:dyDescent="0.25">
      <c r="A62" s="512"/>
      <c r="B62" s="513"/>
      <c r="C62" s="1685"/>
      <c r="D62" s="1685"/>
      <c r="E62" s="1685"/>
      <c r="F62" s="1685"/>
      <c r="G62" s="1685"/>
      <c r="H62" s="1685"/>
      <c r="I62" s="1685"/>
      <c r="J62" s="1685"/>
      <c r="K62" s="1685"/>
      <c r="L62" s="1685"/>
      <c r="M62" s="1685"/>
      <c r="N62" s="1685"/>
      <c r="O62" s="1685"/>
      <c r="P62" s="1685"/>
      <c r="Q62" s="1685"/>
      <c r="R62" s="1685"/>
    </row>
    <row r="63" spans="1:18" ht="11.25" customHeight="1" x14ac:dyDescent="0.25">
      <c r="A63" s="512"/>
      <c r="B63" s="513"/>
      <c r="C63" s="1685"/>
      <c r="D63" s="1685"/>
      <c r="E63" s="1685"/>
      <c r="F63" s="1685"/>
      <c r="G63" s="1685"/>
      <c r="H63" s="1685"/>
      <c r="I63" s="1685"/>
      <c r="J63" s="1685"/>
      <c r="K63" s="1685"/>
      <c r="L63" s="1685"/>
      <c r="M63" s="1685"/>
      <c r="N63" s="1685"/>
      <c r="O63" s="1685"/>
      <c r="P63" s="1685"/>
      <c r="Q63" s="1685"/>
      <c r="R63" s="1685"/>
    </row>
    <row r="64" spans="1:18" ht="11.25" customHeight="1" x14ac:dyDescent="0.25">
      <c r="A64" s="512"/>
      <c r="B64" s="513"/>
      <c r="C64" s="1685"/>
      <c r="D64" s="1685"/>
      <c r="E64" s="1685"/>
      <c r="F64" s="1685"/>
      <c r="G64" s="1685"/>
      <c r="H64" s="1685"/>
      <c r="I64" s="1685"/>
      <c r="J64" s="1685"/>
      <c r="K64" s="1685"/>
      <c r="L64" s="1685"/>
      <c r="M64" s="1685"/>
      <c r="N64" s="1685"/>
      <c r="O64" s="1685"/>
      <c r="P64" s="1685"/>
      <c r="Q64" s="1685"/>
      <c r="R64" s="1685"/>
    </row>
    <row r="65" spans="1:18" ht="11.25" customHeight="1" x14ac:dyDescent="0.25">
      <c r="A65" s="512"/>
      <c r="B65" s="513"/>
      <c r="C65" s="1685"/>
      <c r="D65" s="1685"/>
      <c r="E65" s="1685"/>
      <c r="F65" s="1685"/>
      <c r="G65" s="1685"/>
      <c r="H65" s="1685"/>
      <c r="I65" s="1685"/>
      <c r="J65" s="1685"/>
      <c r="K65" s="1685"/>
      <c r="L65" s="1685"/>
      <c r="M65" s="1685"/>
      <c r="N65" s="1685"/>
      <c r="O65" s="1685"/>
      <c r="P65" s="1685"/>
      <c r="Q65" s="1685"/>
      <c r="R65" s="1685"/>
    </row>
    <row r="66" spans="1:18" ht="11.25" customHeight="1" x14ac:dyDescent="0.25">
      <c r="A66" s="512"/>
      <c r="B66" s="513"/>
      <c r="C66" s="1685"/>
      <c r="D66" s="1685"/>
      <c r="E66" s="1685"/>
      <c r="F66" s="1685"/>
      <c r="G66" s="1685"/>
      <c r="H66" s="1685"/>
      <c r="I66" s="1685"/>
      <c r="J66" s="1685"/>
      <c r="K66" s="1685"/>
      <c r="L66" s="1685"/>
      <c r="M66" s="1685"/>
      <c r="N66" s="1685"/>
      <c r="O66" s="1685"/>
      <c r="P66" s="1685"/>
      <c r="Q66" s="1685"/>
      <c r="R66" s="1685"/>
    </row>
    <row r="67" spans="1:18" ht="11.25" customHeight="1" x14ac:dyDescent="0.25">
      <c r="A67" s="512"/>
      <c r="B67" s="513"/>
      <c r="C67" s="1685"/>
      <c r="D67" s="1685"/>
      <c r="E67" s="1685"/>
      <c r="F67" s="1685"/>
      <c r="G67" s="1685"/>
      <c r="H67" s="1685"/>
      <c r="I67" s="1685"/>
      <c r="J67" s="1685"/>
      <c r="K67" s="1685"/>
      <c r="L67" s="1685"/>
      <c r="M67" s="1685"/>
      <c r="N67" s="1685"/>
      <c r="O67" s="1685"/>
      <c r="P67" s="1685"/>
      <c r="Q67" s="1685"/>
      <c r="R67" s="1685"/>
    </row>
    <row r="68" spans="1:18" ht="11.25" customHeight="1" x14ac:dyDescent="0.25">
      <c r="A68" s="512"/>
      <c r="B68" s="513"/>
      <c r="C68" s="1685"/>
      <c r="D68" s="1685"/>
      <c r="E68" s="1685"/>
      <c r="F68" s="1685"/>
      <c r="G68" s="1685"/>
      <c r="H68" s="1685"/>
      <c r="I68" s="1685"/>
      <c r="J68" s="1685"/>
      <c r="K68" s="1685"/>
      <c r="L68" s="1685"/>
      <c r="M68" s="1685"/>
      <c r="N68" s="1685"/>
      <c r="O68" s="1685"/>
      <c r="P68" s="1685"/>
      <c r="Q68" s="1685"/>
      <c r="R68" s="1685"/>
    </row>
    <row r="69" spans="1:18" ht="11.25" customHeight="1" x14ac:dyDescent="0.25">
      <c r="A69" s="512"/>
      <c r="B69" s="513"/>
      <c r="C69" s="1685"/>
      <c r="D69" s="1685"/>
      <c r="E69" s="1685"/>
      <c r="F69" s="1685"/>
      <c r="G69" s="1685"/>
      <c r="H69" s="1685"/>
      <c r="I69" s="1685"/>
      <c r="J69" s="1685"/>
      <c r="K69" s="1685"/>
      <c r="L69" s="1685"/>
      <c r="M69" s="1685"/>
      <c r="N69" s="1685"/>
      <c r="O69" s="1685"/>
      <c r="P69" s="1685"/>
      <c r="Q69" s="1685"/>
      <c r="R69" s="1685"/>
    </row>
    <row r="70" spans="1:18" ht="11.25" customHeight="1" x14ac:dyDescent="0.25">
      <c r="A70" s="512"/>
      <c r="B70" s="513"/>
      <c r="C70" s="1685"/>
      <c r="D70" s="1685"/>
      <c r="E70" s="1685"/>
      <c r="F70" s="1685"/>
      <c r="G70" s="1685"/>
      <c r="H70" s="1685"/>
      <c r="I70" s="1685"/>
      <c r="J70" s="1685"/>
      <c r="K70" s="1685"/>
      <c r="L70" s="1685"/>
      <c r="M70" s="1685"/>
      <c r="N70" s="1685"/>
      <c r="O70" s="1685"/>
      <c r="P70" s="1685"/>
      <c r="Q70" s="1685"/>
      <c r="R70" s="1685"/>
    </row>
    <row r="71" spans="1:18" ht="11.25" customHeight="1" x14ac:dyDescent="0.25">
      <c r="A71" s="512"/>
      <c r="B71" s="513"/>
      <c r="C71" s="1685"/>
      <c r="D71" s="1685"/>
      <c r="E71" s="1685"/>
      <c r="F71" s="1685"/>
      <c r="G71" s="1685"/>
      <c r="H71" s="1685"/>
      <c r="I71" s="1685"/>
      <c r="J71" s="1685"/>
      <c r="K71" s="1685"/>
      <c r="L71" s="1685"/>
      <c r="M71" s="1685"/>
      <c r="N71" s="1685"/>
      <c r="O71" s="1685"/>
      <c r="P71" s="1685"/>
      <c r="Q71" s="1685"/>
      <c r="R71" s="1685"/>
    </row>
    <row r="72" spans="1:18" ht="11.25" customHeight="1" x14ac:dyDescent="0.25">
      <c r="A72" s="512"/>
      <c r="B72" s="513"/>
      <c r="C72" s="469"/>
      <c r="D72" s="469"/>
      <c r="E72" s="469"/>
      <c r="F72" s="469"/>
      <c r="G72" s="469"/>
      <c r="H72" s="469"/>
      <c r="I72" s="851"/>
      <c r="J72" s="469"/>
      <c r="K72" s="469"/>
      <c r="L72" s="469"/>
      <c r="M72" s="469"/>
      <c r="N72" s="469"/>
      <c r="O72" s="469"/>
      <c r="P72" s="469"/>
      <c r="Q72" s="469"/>
      <c r="R72" s="469"/>
    </row>
    <row r="73" spans="1:18" ht="11.25" customHeight="1" x14ac:dyDescent="0.25">
      <c r="A73" s="512"/>
      <c r="B73" s="513"/>
      <c r="C73" s="513"/>
      <c r="D73" s="513"/>
      <c r="E73" s="513"/>
      <c r="F73" s="513"/>
      <c r="G73" s="513"/>
      <c r="H73" s="513"/>
      <c r="I73" s="513"/>
      <c r="J73" s="513"/>
      <c r="K73" s="513"/>
      <c r="L73" s="513"/>
      <c r="M73" s="513"/>
      <c r="N73" s="513"/>
      <c r="O73" s="513"/>
      <c r="P73" s="513"/>
      <c r="Q73" s="513"/>
      <c r="R73" s="513"/>
    </row>
    <row r="74" spans="1:18" ht="11.25" customHeight="1" x14ac:dyDescent="0.25">
      <c r="A74" s="512"/>
      <c r="B74" s="513"/>
      <c r="C74" s="1686"/>
      <c r="D74" s="1686"/>
      <c r="E74" s="1686"/>
      <c r="F74" s="1686"/>
      <c r="G74" s="1686"/>
      <c r="H74" s="1686"/>
      <c r="I74" s="1686"/>
      <c r="J74" s="1686"/>
      <c r="K74" s="1686"/>
      <c r="L74" s="1686"/>
      <c r="M74" s="1686"/>
      <c r="N74" s="1686"/>
      <c r="O74" s="1686"/>
      <c r="P74" s="1686"/>
      <c r="Q74" s="1686"/>
      <c r="R74" s="1686"/>
    </row>
    <row r="75" spans="1:18" ht="11.25" customHeight="1" x14ac:dyDescent="0.25">
      <c r="A75" s="512"/>
      <c r="B75" s="513"/>
      <c r="C75" s="513"/>
      <c r="D75" s="513"/>
      <c r="E75" s="513"/>
      <c r="F75" s="513"/>
      <c r="G75" s="513"/>
      <c r="H75" s="513"/>
      <c r="I75" s="513"/>
      <c r="J75" s="513"/>
      <c r="K75" s="513"/>
      <c r="L75" s="513"/>
      <c r="M75" s="513"/>
      <c r="N75" s="513"/>
      <c r="O75" s="513"/>
      <c r="P75" s="513"/>
      <c r="Q75" s="513"/>
      <c r="R75" s="513"/>
    </row>
    <row r="76" spans="1:18" ht="11.25" customHeight="1" x14ac:dyDescent="0.25">
      <c r="A76" s="512"/>
      <c r="B76" s="513"/>
      <c r="C76" s="513"/>
      <c r="D76" s="513"/>
      <c r="E76" s="513"/>
      <c r="F76" s="513"/>
      <c r="G76" s="513"/>
      <c r="H76" s="513"/>
      <c r="I76" s="513"/>
      <c r="J76" s="513"/>
      <c r="K76" s="513"/>
      <c r="L76" s="513"/>
      <c r="M76" s="513"/>
      <c r="N76" s="513"/>
      <c r="O76" s="513"/>
      <c r="P76" s="513"/>
      <c r="Q76" s="513"/>
      <c r="R76" s="513"/>
    </row>
    <row r="77" spans="1:18" ht="11.25" customHeight="1" x14ac:dyDescent="0.25">
      <c r="A77" s="512"/>
      <c r="B77" s="513"/>
      <c r="C77" s="513"/>
      <c r="D77" s="513"/>
      <c r="E77" s="513"/>
      <c r="F77" s="513"/>
      <c r="G77" s="513"/>
      <c r="H77" s="513"/>
      <c r="I77" s="513"/>
      <c r="J77" s="513"/>
      <c r="K77" s="513"/>
      <c r="L77" s="513"/>
      <c r="M77" s="513"/>
      <c r="N77" s="513"/>
      <c r="O77" s="513"/>
      <c r="P77" s="513"/>
      <c r="Q77" s="513"/>
      <c r="R77" s="513"/>
    </row>
    <row r="78" spans="1:18" ht="11.25" customHeight="1" x14ac:dyDescent="0.25">
      <c r="A78" s="512"/>
      <c r="B78" s="1687"/>
      <c r="C78" s="513"/>
      <c r="D78" s="513"/>
      <c r="E78" s="513"/>
      <c r="F78" s="513"/>
      <c r="G78" s="513"/>
      <c r="H78" s="513"/>
      <c r="I78" s="513"/>
      <c r="J78" s="513"/>
      <c r="K78" s="513"/>
      <c r="L78" s="513"/>
      <c r="M78" s="513"/>
      <c r="N78" s="513"/>
      <c r="O78" s="513"/>
      <c r="P78" s="513"/>
      <c r="Q78" s="513"/>
      <c r="R78" s="513"/>
    </row>
    <row r="79" spans="1:18" ht="11.25" customHeight="1" x14ac:dyDescent="0.25">
      <c r="A79" s="512"/>
      <c r="B79" s="1687"/>
      <c r="C79" s="513"/>
      <c r="D79" s="513"/>
      <c r="E79" s="513"/>
      <c r="F79" s="513"/>
      <c r="G79" s="513"/>
      <c r="H79" s="513"/>
      <c r="I79" s="513"/>
      <c r="J79" s="513"/>
      <c r="K79" s="513"/>
      <c r="L79" s="513"/>
      <c r="M79" s="513"/>
      <c r="N79" s="513"/>
      <c r="O79" s="513"/>
      <c r="P79" s="513"/>
      <c r="Q79" s="513"/>
      <c r="R79" s="513"/>
    </row>
    <row r="80" spans="1:18" ht="11.25" customHeight="1" x14ac:dyDescent="0.25">
      <c r="A80" s="512"/>
      <c r="B80" s="1687"/>
      <c r="C80" s="513"/>
      <c r="D80" s="513"/>
      <c r="E80" s="513"/>
      <c r="F80" s="513"/>
      <c r="G80" s="513"/>
      <c r="H80" s="513"/>
      <c r="I80" s="513"/>
      <c r="J80" s="513"/>
      <c r="K80" s="513"/>
      <c r="L80" s="513"/>
      <c r="M80" s="513"/>
      <c r="N80" s="513"/>
      <c r="O80" s="513"/>
      <c r="P80" s="513"/>
      <c r="Q80" s="513"/>
      <c r="R80" s="513"/>
    </row>
    <row r="81" spans="1:18" ht="11.25" customHeight="1" x14ac:dyDescent="0.25">
      <c r="A81" s="1684"/>
      <c r="B81" s="513"/>
      <c r="C81" s="1584"/>
      <c r="D81" s="1584"/>
      <c r="E81" s="1584"/>
      <c r="F81" s="1584"/>
      <c r="G81" s="1584"/>
      <c r="H81" s="1584"/>
      <c r="I81" s="1584"/>
      <c r="J81" s="1584"/>
      <c r="K81" s="1584"/>
      <c r="L81" s="1584"/>
      <c r="M81" s="1584"/>
      <c r="N81" s="1584"/>
      <c r="O81" s="1584"/>
      <c r="P81" s="1584"/>
      <c r="Q81" s="1584"/>
      <c r="R81" s="1584"/>
    </row>
    <row r="82" spans="1:18" ht="11.25" customHeight="1" x14ac:dyDescent="0.25">
      <c r="A82" s="512"/>
      <c r="B82" s="513"/>
      <c r="C82" s="514"/>
      <c r="D82" s="514"/>
      <c r="E82" s="514"/>
      <c r="F82" s="514"/>
      <c r="G82" s="514"/>
      <c r="H82" s="514"/>
      <c r="I82" s="514"/>
      <c r="J82" s="514"/>
      <c r="K82" s="514"/>
      <c r="L82" s="514"/>
      <c r="M82" s="514"/>
      <c r="N82" s="514"/>
      <c r="O82" s="514"/>
      <c r="P82" s="514"/>
      <c r="Q82" s="514"/>
      <c r="R82" s="514"/>
    </row>
    <row r="83" spans="1:18" ht="11.25" customHeight="1" x14ac:dyDescent="0.25">
      <c r="A83" s="512"/>
      <c r="B83" s="513"/>
      <c r="C83" s="514"/>
      <c r="D83" s="514"/>
      <c r="E83" s="514"/>
      <c r="F83" s="514"/>
      <c r="G83" s="514"/>
      <c r="H83" s="514"/>
      <c r="I83" s="514"/>
      <c r="J83" s="514"/>
      <c r="K83" s="514"/>
      <c r="L83" s="514"/>
      <c r="M83" s="514"/>
      <c r="N83" s="514"/>
      <c r="O83" s="514"/>
      <c r="P83" s="514"/>
      <c r="Q83" s="514"/>
      <c r="R83" s="514"/>
    </row>
    <row r="84" spans="1:18" ht="11.25" customHeight="1" x14ac:dyDescent="0.25">
      <c r="A84" s="512"/>
      <c r="B84" s="513"/>
      <c r="C84" s="514"/>
      <c r="D84" s="514"/>
      <c r="E84" s="514"/>
      <c r="F84" s="514"/>
      <c r="G84" s="514"/>
      <c r="H84" s="514"/>
      <c r="I84" s="514"/>
      <c r="J84" s="514"/>
      <c r="K84" s="514"/>
      <c r="L84" s="514"/>
      <c r="M84" s="514"/>
      <c r="N84" s="514"/>
      <c r="O84" s="514"/>
      <c r="P84" s="514"/>
      <c r="Q84" s="514"/>
      <c r="R84" s="514"/>
    </row>
    <row r="85" spans="1:18" ht="11.25" customHeight="1" x14ac:dyDescent="0.25">
      <c r="A85" s="512"/>
      <c r="B85" s="513"/>
      <c r="C85" s="514"/>
      <c r="D85" s="514"/>
      <c r="E85" s="514"/>
      <c r="F85" s="514"/>
      <c r="G85" s="514"/>
      <c r="H85" s="514"/>
      <c r="I85" s="514"/>
      <c r="J85" s="514"/>
      <c r="K85" s="514"/>
      <c r="L85" s="514"/>
      <c r="M85" s="514"/>
      <c r="N85" s="514"/>
      <c r="O85" s="514"/>
      <c r="P85" s="514"/>
      <c r="Q85" s="514"/>
      <c r="R85" s="514"/>
    </row>
    <row r="86" spans="1:18" ht="11.25" customHeight="1" x14ac:dyDescent="0.25">
      <c r="A86" s="512"/>
      <c r="B86" s="513"/>
      <c r="C86" s="514"/>
      <c r="D86" s="514"/>
      <c r="E86" s="514"/>
      <c r="F86" s="514"/>
      <c r="G86" s="514"/>
      <c r="H86" s="514"/>
      <c r="I86" s="514"/>
      <c r="J86" s="514"/>
      <c r="K86" s="514"/>
      <c r="L86" s="514"/>
      <c r="M86" s="514"/>
      <c r="N86" s="514"/>
      <c r="O86" s="514"/>
      <c r="P86" s="514"/>
      <c r="Q86" s="514"/>
      <c r="R86" s="514"/>
    </row>
    <row r="87" spans="1:18" ht="11.25" customHeight="1" x14ac:dyDescent="0.25">
      <c r="A87" s="512"/>
      <c r="B87" s="1687"/>
      <c r="C87" s="514"/>
      <c r="D87" s="514"/>
      <c r="E87" s="514"/>
      <c r="F87" s="514"/>
      <c r="G87" s="514"/>
      <c r="H87" s="514"/>
      <c r="I87" s="514"/>
      <c r="J87" s="514"/>
      <c r="K87" s="514"/>
      <c r="L87" s="514"/>
      <c r="M87" s="514"/>
      <c r="N87" s="514"/>
      <c r="O87" s="514"/>
      <c r="P87" s="514"/>
      <c r="Q87" s="514"/>
      <c r="R87" s="514"/>
    </row>
    <row r="88" spans="1:18" ht="11.25" customHeight="1" x14ac:dyDescent="0.25">
      <c r="A88" s="476"/>
      <c r="B88" s="513"/>
      <c r="C88" s="514"/>
      <c r="D88" s="514"/>
      <c r="E88" s="514"/>
      <c r="F88" s="514"/>
      <c r="G88" s="514"/>
      <c r="H88" s="514"/>
      <c r="I88" s="514"/>
      <c r="J88" s="514"/>
      <c r="K88" s="514"/>
      <c r="L88" s="514"/>
      <c r="M88" s="514"/>
      <c r="N88" s="514"/>
      <c r="O88" s="514"/>
      <c r="P88" s="514"/>
      <c r="Q88" s="514"/>
      <c r="R88" s="514"/>
    </row>
    <row r="89" spans="1:18" ht="11.25" customHeight="1" x14ac:dyDescent="0.25">
      <c r="A89" s="512"/>
      <c r="B89" s="513"/>
      <c r="C89" s="662"/>
      <c r="D89" s="662"/>
      <c r="E89" s="662"/>
      <c r="F89" s="662"/>
      <c r="G89" s="662"/>
      <c r="H89" s="662"/>
      <c r="I89" s="662"/>
      <c r="J89" s="662"/>
      <c r="K89" s="662"/>
      <c r="L89" s="662"/>
      <c r="M89" s="662"/>
      <c r="N89" s="662"/>
      <c r="O89" s="662"/>
      <c r="P89" s="662"/>
      <c r="Q89" s="662"/>
      <c r="R89" s="662"/>
    </row>
    <row r="90" spans="1:18" ht="11.25" customHeight="1" x14ac:dyDescent="0.25">
      <c r="A90" s="512"/>
      <c r="B90" s="513"/>
      <c r="C90" s="662"/>
      <c r="D90" s="662"/>
      <c r="E90" s="662"/>
      <c r="F90" s="662"/>
      <c r="G90" s="662"/>
      <c r="H90" s="662"/>
      <c r="I90" s="662"/>
      <c r="J90" s="662"/>
      <c r="K90" s="662"/>
      <c r="L90" s="662"/>
      <c r="M90" s="662"/>
      <c r="N90" s="662"/>
      <c r="O90" s="662"/>
      <c r="P90" s="662"/>
      <c r="Q90" s="662"/>
      <c r="R90" s="662"/>
    </row>
    <row r="91" spans="1:18" ht="11.25" customHeight="1" x14ac:dyDescent="0.25">
      <c r="A91" s="512"/>
      <c r="B91" s="513"/>
      <c r="C91" s="662"/>
      <c r="D91" s="662"/>
      <c r="E91" s="662"/>
      <c r="F91" s="662"/>
      <c r="G91" s="662"/>
      <c r="H91" s="662"/>
      <c r="I91" s="662"/>
      <c r="J91" s="662"/>
      <c r="K91" s="662"/>
      <c r="L91" s="662"/>
      <c r="M91" s="662"/>
      <c r="N91" s="662"/>
      <c r="O91" s="662"/>
      <c r="P91" s="662"/>
      <c r="Q91" s="662"/>
      <c r="R91" s="662"/>
    </row>
    <row r="92" spans="1:18" ht="11.25" customHeight="1" x14ac:dyDescent="0.25">
      <c r="A92" s="512"/>
      <c r="B92" s="1688"/>
      <c r="C92" s="1689"/>
      <c r="D92" s="1689"/>
      <c r="E92" s="1689"/>
      <c r="F92" s="1689"/>
      <c r="G92" s="1689"/>
      <c r="H92" s="1689"/>
      <c r="I92" s="1689"/>
      <c r="J92" s="1689"/>
      <c r="K92" s="1689"/>
      <c r="L92" s="1689"/>
      <c r="M92" s="1689"/>
      <c r="N92" s="1689"/>
      <c r="O92" s="1689"/>
      <c r="P92" s="1689"/>
      <c r="Q92" s="1689"/>
      <c r="R92" s="1689"/>
    </row>
    <row r="93" spans="1:18" ht="11.25" customHeight="1" x14ac:dyDescent="0.25">
      <c r="A93" s="1684"/>
      <c r="B93" s="1688"/>
      <c r="C93" s="1690"/>
      <c r="D93" s="1690"/>
      <c r="E93" s="1690"/>
      <c r="F93" s="1690"/>
      <c r="G93" s="1690"/>
      <c r="H93" s="1690"/>
      <c r="I93" s="1690"/>
      <c r="J93" s="1690"/>
      <c r="K93" s="1690"/>
      <c r="L93" s="1690"/>
      <c r="M93" s="1690"/>
      <c r="N93" s="1690"/>
      <c r="O93" s="1690"/>
      <c r="P93" s="1690"/>
      <c r="Q93" s="1690"/>
      <c r="R93" s="1690"/>
    </row>
    <row r="94" spans="1:18" ht="11.25" customHeight="1" x14ac:dyDescent="0.25">
      <c r="A94" s="512"/>
      <c r="B94" s="1687"/>
      <c r="C94" s="1691"/>
      <c r="D94" s="1691"/>
      <c r="E94" s="1691"/>
      <c r="F94" s="1691"/>
      <c r="G94" s="1691"/>
      <c r="H94" s="1691"/>
      <c r="I94" s="1691"/>
      <c r="J94" s="1691"/>
      <c r="K94" s="1691"/>
      <c r="L94" s="1691"/>
      <c r="M94" s="1691"/>
      <c r="N94" s="1691"/>
      <c r="O94" s="1691"/>
      <c r="P94" s="1691"/>
      <c r="Q94" s="1691"/>
      <c r="R94" s="1691"/>
    </row>
    <row r="95" spans="1:18" ht="11.25" customHeight="1" x14ac:dyDescent="0.25">
      <c r="A95" s="512"/>
      <c r="B95" s="1687"/>
      <c r="C95" s="74"/>
      <c r="D95" s="74"/>
      <c r="E95" s="74"/>
      <c r="F95" s="74"/>
      <c r="G95" s="74"/>
      <c r="H95" s="74"/>
      <c r="I95" s="74"/>
      <c r="J95" s="74"/>
      <c r="K95" s="74"/>
      <c r="L95" s="74"/>
      <c r="M95" s="74"/>
      <c r="N95" s="74"/>
      <c r="O95" s="74"/>
      <c r="P95" s="74"/>
      <c r="Q95" s="74"/>
      <c r="R95" s="74"/>
    </row>
    <row r="96" spans="1:18" ht="11.25" customHeight="1" x14ac:dyDescent="0.25">
      <c r="A96" s="512"/>
      <c r="B96" s="1687"/>
      <c r="C96" s="74"/>
      <c r="D96" s="74"/>
      <c r="E96" s="74"/>
      <c r="F96" s="74"/>
      <c r="G96" s="74"/>
      <c r="H96" s="74"/>
      <c r="I96" s="74"/>
      <c r="J96" s="74"/>
      <c r="K96" s="74"/>
      <c r="L96" s="74"/>
      <c r="M96" s="74"/>
      <c r="N96" s="74"/>
      <c r="O96" s="74"/>
      <c r="P96" s="74"/>
      <c r="Q96" s="74"/>
      <c r="R96" s="74"/>
    </row>
    <row r="97" spans="1:18" ht="11.25" customHeight="1" x14ac:dyDescent="0.25">
      <c r="A97" s="512"/>
      <c r="B97" s="1687"/>
      <c r="C97" s="1373"/>
      <c r="D97" s="1373"/>
      <c r="E97" s="1373"/>
      <c r="F97" s="1373"/>
      <c r="G97" s="1373"/>
      <c r="H97" s="1373"/>
      <c r="I97" s="1373"/>
      <c r="J97" s="1373"/>
      <c r="K97" s="1373"/>
      <c r="L97" s="1373"/>
      <c r="M97" s="1373"/>
      <c r="N97" s="1373"/>
      <c r="O97" s="1373"/>
      <c r="P97" s="1373"/>
      <c r="Q97" s="1373"/>
      <c r="R97" s="1373"/>
    </row>
    <row r="98" spans="1:18" ht="11.25" customHeight="1" x14ac:dyDescent="0.25">
      <c r="A98" s="512"/>
      <c r="B98" s="1687"/>
      <c r="C98" s="326"/>
      <c r="D98" s="326"/>
      <c r="E98" s="326"/>
      <c r="F98" s="326"/>
      <c r="G98" s="326"/>
      <c r="H98" s="326"/>
      <c r="I98" s="326"/>
      <c r="J98" s="326"/>
      <c r="K98" s="326"/>
      <c r="L98" s="326"/>
      <c r="M98" s="326"/>
      <c r="N98" s="326"/>
      <c r="O98" s="326"/>
      <c r="P98" s="326"/>
      <c r="Q98" s="326"/>
      <c r="R98" s="326"/>
    </row>
    <row r="99" spans="1:18" ht="11.25" customHeight="1" x14ac:dyDescent="0.25">
      <c r="A99" s="512"/>
      <c r="B99" s="1687"/>
      <c r="C99" s="326"/>
      <c r="D99" s="326"/>
      <c r="E99" s="326"/>
      <c r="F99" s="326"/>
      <c r="G99" s="326"/>
      <c r="H99" s="326"/>
      <c r="I99" s="326"/>
      <c r="J99" s="326"/>
      <c r="K99" s="326"/>
      <c r="L99" s="326"/>
      <c r="M99" s="326"/>
      <c r="N99" s="326"/>
      <c r="O99" s="326"/>
      <c r="P99" s="326"/>
      <c r="Q99" s="326"/>
      <c r="R99" s="326"/>
    </row>
    <row r="100" spans="1:18" ht="11.25" customHeight="1" x14ac:dyDescent="0.25">
      <c r="A100" s="512"/>
      <c r="B100" s="1687"/>
      <c r="C100" s="326"/>
      <c r="D100" s="326"/>
      <c r="E100" s="326"/>
      <c r="F100" s="326"/>
      <c r="G100" s="326"/>
      <c r="H100" s="326"/>
      <c r="I100" s="326"/>
      <c r="J100" s="326"/>
      <c r="K100" s="326"/>
      <c r="L100" s="326"/>
      <c r="M100" s="326"/>
      <c r="N100" s="326"/>
      <c r="O100" s="326"/>
      <c r="P100" s="326"/>
      <c r="Q100" s="326"/>
      <c r="R100" s="326"/>
    </row>
    <row r="101" spans="1:18" ht="11.25" customHeight="1" x14ac:dyDescent="0.25">
      <c r="A101" s="512"/>
      <c r="B101" s="1687"/>
      <c r="C101" s="326"/>
      <c r="D101" s="326"/>
      <c r="E101" s="326"/>
      <c r="F101" s="326"/>
      <c r="G101" s="326"/>
      <c r="H101" s="326"/>
      <c r="I101" s="326"/>
      <c r="J101" s="326"/>
      <c r="K101" s="326"/>
      <c r="L101" s="326"/>
      <c r="M101" s="326"/>
      <c r="N101" s="326"/>
      <c r="O101" s="326"/>
      <c r="P101" s="326"/>
      <c r="Q101" s="326"/>
      <c r="R101" s="326"/>
    </row>
    <row r="102" spans="1:18" ht="11.25" customHeight="1" x14ac:dyDescent="0.25">
      <c r="A102" s="512"/>
      <c r="B102" s="1687"/>
      <c r="C102" s="326"/>
      <c r="D102" s="326"/>
      <c r="E102" s="326"/>
      <c r="F102" s="326"/>
      <c r="G102" s="326"/>
      <c r="H102" s="326"/>
      <c r="I102" s="326"/>
      <c r="J102" s="326"/>
      <c r="K102" s="326"/>
      <c r="L102" s="326"/>
      <c r="M102" s="326"/>
      <c r="N102" s="326"/>
      <c r="O102" s="326"/>
      <c r="P102" s="326"/>
      <c r="Q102" s="326"/>
      <c r="R102" s="326"/>
    </row>
    <row r="103" spans="1:18" ht="11.25" customHeight="1" x14ac:dyDescent="0.25">
      <c r="A103" s="512"/>
      <c r="B103" s="1687"/>
      <c r="C103" s="326"/>
      <c r="D103" s="326"/>
      <c r="E103" s="326"/>
      <c r="F103" s="326"/>
      <c r="G103" s="326"/>
      <c r="H103" s="326"/>
      <c r="I103" s="326"/>
      <c r="J103" s="326"/>
      <c r="K103" s="326"/>
      <c r="L103" s="326"/>
      <c r="M103" s="326"/>
      <c r="N103" s="326"/>
      <c r="O103" s="326"/>
      <c r="P103" s="326"/>
      <c r="Q103" s="326"/>
      <c r="R103" s="326"/>
    </row>
    <row r="104" spans="1:18" ht="11.25" customHeight="1" x14ac:dyDescent="0.25">
      <c r="A104" s="476"/>
      <c r="B104" s="1687"/>
      <c r="C104" s="326"/>
      <c r="D104" s="326"/>
      <c r="E104" s="326"/>
      <c r="F104" s="326"/>
      <c r="G104" s="326"/>
      <c r="H104" s="326"/>
      <c r="I104" s="326"/>
      <c r="J104" s="326"/>
      <c r="K104" s="326"/>
      <c r="L104" s="326"/>
      <c r="M104" s="326"/>
      <c r="N104" s="326"/>
      <c r="O104" s="326"/>
      <c r="P104" s="326"/>
      <c r="Q104" s="326"/>
      <c r="R104" s="326"/>
    </row>
    <row r="105" spans="1:18" ht="4.9000000000000004" customHeight="1" x14ac:dyDescent="0.25">
      <c r="A105" s="449"/>
      <c r="B105" s="513"/>
      <c r="C105" s="851"/>
      <c r="D105" s="851"/>
      <c r="E105" s="851"/>
      <c r="F105" s="851"/>
      <c r="G105" s="851"/>
      <c r="H105" s="851"/>
      <c r="I105" s="851"/>
      <c r="J105" s="851"/>
      <c r="K105" s="851"/>
      <c r="L105" s="851"/>
      <c r="M105" s="851"/>
      <c r="N105" s="851"/>
      <c r="O105" s="851"/>
      <c r="P105" s="851"/>
      <c r="Q105" s="851"/>
      <c r="R105" s="851"/>
    </row>
    <row r="106" spans="1:18" x14ac:dyDescent="0.25">
      <c r="A106" s="398"/>
      <c r="B106" s="513"/>
      <c r="C106" s="191"/>
      <c r="D106" s="191"/>
      <c r="E106" s="191"/>
      <c r="F106" s="191"/>
      <c r="G106" s="191"/>
      <c r="H106" s="191"/>
      <c r="I106" s="191"/>
      <c r="J106" s="191"/>
      <c r="K106" s="191"/>
      <c r="L106" s="191"/>
      <c r="M106" s="191"/>
      <c r="N106" s="191"/>
      <c r="O106" s="191"/>
      <c r="P106" s="191"/>
      <c r="Q106" s="191"/>
      <c r="R106" s="191"/>
    </row>
    <row r="107" spans="1:18" x14ac:dyDescent="0.25">
      <c r="A107" s="399"/>
      <c r="B107" s="513"/>
      <c r="C107" s="191"/>
      <c r="D107" s="191"/>
      <c r="E107" s="191"/>
      <c r="F107" s="191"/>
      <c r="G107" s="191"/>
      <c r="H107" s="191"/>
      <c r="I107" s="191"/>
      <c r="J107" s="191"/>
      <c r="K107" s="191"/>
      <c r="L107" s="191"/>
      <c r="M107" s="191"/>
      <c r="N107" s="191"/>
      <c r="O107" s="191"/>
      <c r="P107" s="191"/>
      <c r="Q107" s="191"/>
      <c r="R107" s="191"/>
    </row>
    <row r="108" spans="1:18" x14ac:dyDescent="0.25">
      <c r="A108" s="399"/>
      <c r="B108" s="513"/>
      <c r="C108" s="191"/>
      <c r="D108" s="191"/>
      <c r="E108" s="191"/>
      <c r="F108" s="191"/>
      <c r="G108" s="191"/>
      <c r="H108" s="191"/>
      <c r="I108" s="191"/>
      <c r="J108" s="191"/>
      <c r="K108" s="191"/>
      <c r="L108" s="191"/>
      <c r="M108" s="191"/>
      <c r="N108" s="191"/>
      <c r="O108" s="191"/>
      <c r="P108" s="191"/>
      <c r="Q108" s="191"/>
      <c r="R108" s="191"/>
    </row>
    <row r="109" spans="1:18" x14ac:dyDescent="0.25">
      <c r="A109" s="363"/>
      <c r="B109" s="513"/>
      <c r="C109" s="191"/>
      <c r="D109" s="191"/>
      <c r="E109" s="191"/>
      <c r="F109" s="191"/>
      <c r="G109" s="191"/>
      <c r="H109" s="191"/>
      <c r="I109" s="191"/>
      <c r="J109" s="191"/>
      <c r="K109" s="191"/>
      <c r="L109" s="191"/>
      <c r="M109" s="191"/>
      <c r="N109" s="191"/>
      <c r="O109" s="191"/>
      <c r="P109" s="191"/>
      <c r="Q109" s="191"/>
      <c r="R109" s="191"/>
    </row>
    <row r="110" spans="1:18" x14ac:dyDescent="0.25">
      <c r="A110" s="399"/>
      <c r="B110" s="513"/>
      <c r="C110" s="191"/>
      <c r="D110" s="191"/>
      <c r="E110" s="191"/>
      <c r="F110" s="191"/>
      <c r="G110" s="191"/>
      <c r="H110" s="191"/>
      <c r="I110" s="191"/>
      <c r="J110" s="191"/>
      <c r="K110" s="191"/>
      <c r="L110" s="191"/>
      <c r="M110" s="191"/>
      <c r="N110" s="191"/>
      <c r="O110" s="191"/>
      <c r="P110" s="191"/>
      <c r="Q110" s="191"/>
      <c r="R110" s="191"/>
    </row>
    <row r="111" spans="1:18" x14ac:dyDescent="0.25">
      <c r="A111" s="125"/>
      <c r="B111" s="513"/>
      <c r="C111" s="190"/>
      <c r="D111" s="190"/>
      <c r="E111" s="190"/>
      <c r="F111" s="190"/>
      <c r="G111" s="191"/>
      <c r="H111" s="191"/>
      <c r="I111" s="191"/>
      <c r="J111" s="191"/>
      <c r="K111" s="191"/>
      <c r="L111" s="191"/>
      <c r="M111" s="191"/>
      <c r="N111" s="191"/>
      <c r="O111" s="191"/>
      <c r="P111" s="191"/>
      <c r="Q111" s="191"/>
      <c r="R111" s="191"/>
    </row>
    <row r="112" spans="1:18" x14ac:dyDescent="0.25">
      <c r="A112" s="125"/>
      <c r="B112" s="513"/>
      <c r="C112" s="190"/>
      <c r="D112" s="190"/>
      <c r="E112" s="190"/>
      <c r="F112" s="190"/>
      <c r="G112" s="191"/>
      <c r="H112" s="191"/>
      <c r="I112" s="191"/>
      <c r="J112" s="191"/>
      <c r="K112" s="191"/>
      <c r="L112" s="191"/>
      <c r="M112" s="191"/>
      <c r="N112" s="191"/>
      <c r="O112" s="191"/>
      <c r="P112" s="191"/>
      <c r="Q112" s="191"/>
      <c r="R112" s="191"/>
    </row>
    <row r="113" spans="1:18" ht="11.25" customHeight="1" x14ac:dyDescent="0.25">
      <c r="A113" s="126"/>
      <c r="B113" s="513"/>
      <c r="C113" s="126"/>
      <c r="D113" s="126"/>
      <c r="E113" s="126"/>
      <c r="F113" s="126"/>
      <c r="G113" s="126"/>
      <c r="H113" s="126"/>
      <c r="I113" s="126"/>
      <c r="J113" s="126"/>
      <c r="K113" s="126"/>
      <c r="L113" s="126"/>
      <c r="M113" s="126"/>
      <c r="N113" s="126"/>
      <c r="O113" s="126"/>
      <c r="P113" s="126"/>
      <c r="Q113" s="126"/>
      <c r="R113" s="126"/>
    </row>
    <row r="114" spans="1:18" ht="11.25" customHeight="1" x14ac:dyDescent="0.25">
      <c r="A114" s="126"/>
      <c r="B114" s="449"/>
      <c r="C114" s="126"/>
      <c r="D114" s="126"/>
      <c r="E114" s="126"/>
      <c r="F114" s="126"/>
      <c r="G114" s="126"/>
      <c r="H114" s="126"/>
      <c r="I114" s="126"/>
      <c r="J114" s="126"/>
      <c r="K114" s="126"/>
      <c r="L114" s="126"/>
      <c r="M114" s="126"/>
      <c r="N114" s="126"/>
      <c r="O114" s="126"/>
      <c r="P114" s="126"/>
      <c r="Q114" s="126"/>
      <c r="R114" s="126"/>
    </row>
    <row r="115" spans="1:18" ht="11.25" customHeight="1" x14ac:dyDescent="0.25">
      <c r="A115" s="220"/>
      <c r="B115" s="560"/>
      <c r="C115" s="220"/>
      <c r="D115" s="220"/>
      <c r="E115" s="220"/>
      <c r="F115" s="220"/>
      <c r="G115" s="220"/>
      <c r="H115" s="220"/>
      <c r="I115" s="220"/>
    </row>
    <row r="116" spans="1:18" ht="11.25" customHeight="1" x14ac:dyDescent="0.25">
      <c r="A116" s="220"/>
      <c r="B116" s="560"/>
      <c r="C116" s="220"/>
      <c r="D116" s="220"/>
      <c r="E116" s="220"/>
      <c r="F116" s="220"/>
      <c r="G116" s="220"/>
      <c r="H116" s="220"/>
      <c r="I116" s="220"/>
    </row>
    <row r="117" spans="1:18" ht="11.25" customHeight="1" x14ac:dyDescent="0.25">
      <c r="A117" s="220"/>
      <c r="B117" s="1679"/>
      <c r="C117" s="220"/>
      <c r="D117" s="220"/>
      <c r="E117" s="220"/>
      <c r="F117" s="220"/>
      <c r="G117" s="220"/>
      <c r="H117" s="220"/>
      <c r="I117" s="220"/>
    </row>
    <row r="118" spans="1:18" ht="11.25" customHeight="1" x14ac:dyDescent="0.25"/>
    <row r="119" spans="1:18" ht="11.25" customHeight="1" x14ac:dyDescent="0.25"/>
    <row r="120" spans="1:18" ht="11.25" customHeight="1" x14ac:dyDescent="0.25"/>
    <row r="121" spans="1:18" ht="11.25" customHeight="1" x14ac:dyDescent="0.25"/>
    <row r="122" spans="1:18" ht="11.25" customHeight="1" x14ac:dyDescent="0.25"/>
    <row r="123" spans="1:18" ht="11.25" customHeight="1" x14ac:dyDescent="0.25"/>
    <row r="124" spans="1:18" ht="11.25" customHeight="1" x14ac:dyDescent="0.25"/>
    <row r="125" spans="1:18" ht="11.25" customHeight="1" x14ac:dyDescent="0.25"/>
    <row r="126" spans="1:18" ht="11.25" customHeight="1" x14ac:dyDescent="0.25"/>
    <row r="127" spans="1:18" ht="11.25" customHeight="1" x14ac:dyDescent="0.25"/>
    <row r="128" spans="1:18" ht="11.25" customHeight="1" x14ac:dyDescent="0.25"/>
    <row r="129" ht="11.25" customHeight="1" x14ac:dyDescent="0.25"/>
    <row r="130" ht="11.25" customHeight="1" x14ac:dyDescent="0.25"/>
    <row r="131" ht="11.25" customHeight="1" x14ac:dyDescent="0.25"/>
    <row r="132" ht="11.25" customHeight="1" x14ac:dyDescent="0.25"/>
    <row r="133" ht="11.25" customHeight="1" x14ac:dyDescent="0.25"/>
    <row r="134" ht="11.25" customHeight="1" x14ac:dyDescent="0.25"/>
    <row r="135" ht="11.25" customHeight="1" x14ac:dyDescent="0.25"/>
    <row r="136" ht="11.25" customHeight="1" x14ac:dyDescent="0.25"/>
    <row r="137" ht="11.25" customHeight="1" x14ac:dyDescent="0.25"/>
    <row r="138" ht="11.25" customHeight="1" x14ac:dyDescent="0.25"/>
    <row r="139" ht="11.25" customHeight="1" x14ac:dyDescent="0.25"/>
    <row r="140" ht="11.25" customHeight="1" x14ac:dyDescent="0.25"/>
    <row r="141" ht="11.25" customHeight="1" x14ac:dyDescent="0.25"/>
    <row r="142" ht="11.25" customHeight="1" x14ac:dyDescent="0.25"/>
    <row r="143" ht="11.25" customHeight="1" x14ac:dyDescent="0.25"/>
    <row r="144" ht="11.25" customHeight="1" x14ac:dyDescent="0.25"/>
    <row r="145" ht="11.25" customHeight="1" x14ac:dyDescent="0.25"/>
    <row r="146" ht="11.25" customHeight="1" x14ac:dyDescent="0.25"/>
  </sheetData>
  <dataValidations count="6">
    <dataValidation type="list" showInputMessage="1" showErrorMessage="1" promptTitle="Guidance" prompt="Select Uniform or Variable" sqref="C24:R24 C80:R80" xr:uid="{00000000-0002-0000-2000-000000000000}">
      <formula1>List7</formula1>
    </dataValidation>
    <dataValidation type="list" showInputMessage="1" showErrorMessage="1" promptTitle="Guidance" prompt="Select Yes or No" sqref="C78:R79 C22:R23" xr:uid="{00000000-0002-0000-2000-000001000000}">
      <formula1>List6</formula1>
    </dataValidation>
    <dataValidation type="list" allowBlank="1" showInputMessage="1" showErrorMessage="1" promptTitle="Select" prompt="Select one" sqref="C20:R20 C76:R76" xr:uid="{00000000-0002-0000-2000-000002000000}">
      <formula1>List5</formula1>
    </dataValidation>
    <dataValidation type="list" allowBlank="1" showInputMessage="1" showErrorMessage="1" promptTitle="Select" prompt="Select one" sqref="C19:R19 C75:R75" xr:uid="{00000000-0002-0000-2000-000003000000}">
      <formula1>List4</formula1>
    </dataValidation>
    <dataValidation type="list" allowBlank="1" showInputMessage="1" showErrorMessage="1" promptTitle="Select" prompt="Select one" sqref="C17:R17 C73:R74" xr:uid="{00000000-0002-0000-2000-000004000000}">
      <formula1>List2</formula1>
    </dataValidation>
    <dataValidation type="list" allowBlank="1" showInputMessage="1" showErrorMessage="1" promptTitle="Select" prompt="Select one" sqref="C18:R18" xr:uid="{00000000-0002-0000-2000-000005000000}">
      <formula1>List3</formula1>
    </dataValidation>
  </dataValidations>
  <printOptions horizontalCentered="1"/>
  <pageMargins left="0" right="0" top="0.59055118110236227" bottom="0.24" header="0.51181102362204722" footer="0.23622047244094491"/>
  <pageSetup paperSize="9" scale="80" orientation="landscape" r:id="rId1"/>
  <headerFooter alignWithMargins="0"/>
  <rowBreaks count="1" manualBreakCount="1">
    <brk id="56" max="16383" man="1"/>
  </row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65"/>
  <dimension ref="A1:S166"/>
  <sheetViews>
    <sheetView showGridLines="0" topLeftCell="A19" zoomScale="110" zoomScaleNormal="110" workbookViewId="0">
      <selection activeCell="E30" sqref="E30"/>
    </sheetView>
  </sheetViews>
  <sheetFormatPr defaultColWidth="9.140625" defaultRowHeight="12.75" x14ac:dyDescent="0.25"/>
  <cols>
    <col min="1" max="1" width="31.42578125" style="126" customWidth="1"/>
    <col min="2" max="2" width="3.7109375" style="513" customWidth="1"/>
    <col min="3" max="3" width="17.7109375" style="126" customWidth="1"/>
    <col min="4" max="10" width="9.28515625" style="126" customWidth="1"/>
    <col min="11" max="18" width="8.140625" style="126" customWidth="1"/>
    <col min="19" max="19" width="9.7109375" style="126" customWidth="1"/>
    <col min="20" max="20" width="9.42578125" style="126" customWidth="1"/>
    <col min="21" max="21" width="9.7109375" style="126" customWidth="1"/>
    <col min="22" max="24" width="9.42578125" style="126" customWidth="1"/>
    <col min="25" max="25" width="9.7109375" style="126" customWidth="1"/>
    <col min="26" max="28" width="9.42578125" style="126" customWidth="1"/>
    <col min="29" max="30" width="9.7109375" style="126" customWidth="1"/>
    <col min="31" max="16384" width="9.140625" style="126"/>
  </cols>
  <sheetData>
    <row r="1" spans="1:18" ht="13.5" x14ac:dyDescent="0.25">
      <c r="A1" s="482" t="str">
        <f>muni&amp;" - "&amp;TableA13a</f>
        <v>KZN226 Mkhambathini - Supporting Table SA13a Service Tariffs by category</v>
      </c>
      <c r="B1" s="92"/>
      <c r="C1" s="92"/>
      <c r="D1" s="92"/>
      <c r="E1" s="92"/>
      <c r="F1" s="92"/>
      <c r="G1" s="92"/>
      <c r="H1" s="92"/>
      <c r="I1" s="92"/>
      <c r="J1" s="92"/>
      <c r="K1" s="671"/>
      <c r="L1" s="671"/>
      <c r="M1" s="671"/>
      <c r="N1" s="671"/>
      <c r="O1" s="671"/>
      <c r="P1" s="671"/>
      <c r="Q1" s="671"/>
      <c r="R1" s="671"/>
    </row>
    <row r="2" spans="1:18" ht="25.15" customHeight="1" x14ac:dyDescent="0.25">
      <c r="A2" s="2499" t="str">
        <f>desc</f>
        <v>Description</v>
      </c>
      <c r="B2" s="2470" t="str">
        <f>head27</f>
        <v>Ref</v>
      </c>
      <c r="C2" s="2497" t="s">
        <v>1828</v>
      </c>
      <c r="D2" s="2497" t="str">
        <f>head1b</f>
        <v>2017/18</v>
      </c>
      <c r="E2" s="2497" t="str">
        <f>head1A</f>
        <v>2018/19</v>
      </c>
      <c r="F2" s="2478" t="str">
        <f>Head1</f>
        <v>2019/20</v>
      </c>
      <c r="G2" s="2489" t="str">
        <f>Head2</f>
        <v>Current Year 2020/21</v>
      </c>
      <c r="H2" s="483" t="str">
        <f>Head3</f>
        <v>2021/22 Medium Term Revenue &amp; Expenditure Framework</v>
      </c>
      <c r="I2" s="484"/>
      <c r="J2" s="485"/>
      <c r="K2" s="1683"/>
      <c r="L2" s="1683"/>
      <c r="M2" s="1683"/>
      <c r="N2" s="1683"/>
      <c r="O2" s="1683"/>
      <c r="P2" s="1683"/>
      <c r="Q2" s="1683"/>
      <c r="R2" s="1683"/>
    </row>
    <row r="3" spans="1:18" ht="25.15" customHeight="1" x14ac:dyDescent="0.25">
      <c r="A3" s="2501"/>
      <c r="B3" s="2473"/>
      <c r="C3" s="2498"/>
      <c r="D3" s="2498"/>
      <c r="E3" s="2498"/>
      <c r="F3" s="2479"/>
      <c r="G3" s="2490"/>
      <c r="H3" s="423" t="str">
        <f>Head9</f>
        <v>Budget Year 2021/22</v>
      </c>
      <c r="I3" s="486" t="str">
        <f>Head10</f>
        <v>Budget Year +1 2022/23</v>
      </c>
      <c r="J3" s="422" t="str">
        <f>Head11</f>
        <v>Budget Year +2 2023/24</v>
      </c>
      <c r="K3" s="191"/>
      <c r="L3" s="191"/>
      <c r="M3" s="191"/>
      <c r="N3" s="191"/>
      <c r="O3" s="191"/>
      <c r="P3" s="191"/>
      <c r="Q3" s="191"/>
      <c r="R3" s="191"/>
    </row>
    <row r="4" spans="1:18" ht="12.75" customHeight="1" x14ac:dyDescent="0.25">
      <c r="A4" s="487" t="s">
        <v>1829</v>
      </c>
      <c r="B4" s="488">
        <v>1</v>
      </c>
      <c r="C4" s="488"/>
      <c r="D4" s="489"/>
      <c r="E4" s="489"/>
      <c r="F4" s="490"/>
      <c r="G4" s="491"/>
      <c r="H4" s="491"/>
      <c r="I4" s="489"/>
      <c r="J4" s="490"/>
      <c r="K4" s="191"/>
      <c r="L4" s="191"/>
      <c r="M4" s="191"/>
      <c r="N4" s="191"/>
      <c r="O4" s="191"/>
      <c r="P4" s="191"/>
      <c r="Q4" s="191"/>
      <c r="R4" s="191"/>
    </row>
    <row r="5" spans="1:18" ht="12.75" customHeight="1" x14ac:dyDescent="0.25">
      <c r="A5" s="492" t="s">
        <v>1830</v>
      </c>
      <c r="B5" s="493"/>
      <c r="C5" s="1693"/>
      <c r="D5" s="1694">
        <v>1.0214535239999999E-2</v>
      </c>
      <c r="E5" s="1694">
        <v>1.08274073544E-2</v>
      </c>
      <c r="F5" s="1695">
        <v>0.13397999999999999</v>
      </c>
      <c r="G5" s="1696">
        <v>9.3332114650992292E-3</v>
      </c>
      <c r="H5" s="1696">
        <v>9.7000000000000003E-3</v>
      </c>
      <c r="I5" s="1694">
        <v>9.7000000000000003E-3</v>
      </c>
      <c r="J5" s="1695">
        <v>9.7000000000000003E-3</v>
      </c>
      <c r="K5" s="1685"/>
      <c r="L5" s="1685"/>
      <c r="M5" s="1685"/>
      <c r="N5" s="1685"/>
      <c r="O5" s="1685"/>
      <c r="P5" s="1685"/>
      <c r="Q5" s="1685"/>
      <c r="R5" s="1685"/>
    </row>
    <row r="6" spans="1:18" ht="12.75" customHeight="1" x14ac:dyDescent="0.25">
      <c r="A6" s="492" t="s">
        <v>1831</v>
      </c>
      <c r="B6" s="493"/>
      <c r="C6" s="1693"/>
      <c r="D6" s="1694">
        <v>1.0214535239999999E-2</v>
      </c>
      <c r="E6" s="1694">
        <v>1.08274073544E-2</v>
      </c>
      <c r="F6" s="1695">
        <v>1.2999999999999999E-2</v>
      </c>
      <c r="G6" s="1696">
        <v>1.4840000000000001E-2</v>
      </c>
      <c r="H6" s="1696">
        <v>1.542E-2</v>
      </c>
      <c r="I6" s="1694">
        <v>1.542E-2</v>
      </c>
      <c r="J6" s="1695">
        <v>1.542E-2</v>
      </c>
      <c r="K6" s="1685"/>
      <c r="L6" s="1685"/>
      <c r="M6" s="1685"/>
      <c r="N6" s="1685"/>
      <c r="O6" s="1685"/>
      <c r="P6" s="1685"/>
      <c r="Q6" s="1685"/>
      <c r="R6" s="1685"/>
    </row>
    <row r="7" spans="1:18" ht="12.75" customHeight="1" x14ac:dyDescent="0.25">
      <c r="A7" s="492" t="s">
        <v>1832</v>
      </c>
      <c r="B7" s="493"/>
      <c r="C7" s="1693"/>
      <c r="D7" s="1694"/>
      <c r="E7" s="1694"/>
      <c r="F7" s="1695"/>
      <c r="G7" s="1696"/>
      <c r="H7" s="1696"/>
      <c r="I7" s="1694"/>
      <c r="J7" s="1695"/>
      <c r="K7" s="1685"/>
      <c r="L7" s="1685"/>
      <c r="M7" s="1685"/>
      <c r="N7" s="1685"/>
      <c r="O7" s="1685"/>
      <c r="P7" s="1685"/>
      <c r="Q7" s="1685"/>
      <c r="R7" s="1685"/>
    </row>
    <row r="8" spans="1:18" ht="12.75" customHeight="1" x14ac:dyDescent="0.25">
      <c r="A8" s="492" t="s">
        <v>1833</v>
      </c>
      <c r="B8" s="493"/>
      <c r="C8" s="1693"/>
      <c r="D8" s="1694">
        <v>2.8404607999999998E-3</v>
      </c>
      <c r="E8" s="1694">
        <v>3.0108884479999997E-3</v>
      </c>
      <c r="F8" s="1695"/>
      <c r="G8" s="1696"/>
      <c r="H8" s="1696"/>
      <c r="I8" s="1694"/>
      <c r="J8" s="1695"/>
      <c r="K8" s="1685"/>
      <c r="L8" s="1685"/>
      <c r="M8" s="1685"/>
      <c r="N8" s="1685"/>
      <c r="O8" s="1685"/>
      <c r="P8" s="1685"/>
      <c r="Q8" s="1685"/>
      <c r="R8" s="1685"/>
    </row>
    <row r="9" spans="1:18" ht="12.75" customHeight="1" x14ac:dyDescent="0.25">
      <c r="A9" s="492" t="s">
        <v>1834</v>
      </c>
      <c r="B9" s="493"/>
      <c r="C9" s="1693"/>
      <c r="D9" s="1694"/>
      <c r="E9" s="1694"/>
      <c r="F9" s="1695">
        <v>2.2000000000000001E-3</v>
      </c>
      <c r="G9" s="1696">
        <v>1.4839999999999999E-2</v>
      </c>
      <c r="H9" s="1696">
        <v>1.5418759999999998E-2</v>
      </c>
      <c r="I9" s="1696">
        <v>1.5418759999999998E-2</v>
      </c>
      <c r="J9" s="1696">
        <v>1.5418759999999998E-2</v>
      </c>
      <c r="K9" s="1685"/>
      <c r="L9" s="1685"/>
      <c r="M9" s="1685"/>
      <c r="N9" s="1685"/>
      <c r="O9" s="1685"/>
      <c r="P9" s="1685"/>
      <c r="Q9" s="1685"/>
      <c r="R9" s="1685"/>
    </row>
    <row r="10" spans="1:18" ht="12.75" customHeight="1" x14ac:dyDescent="0.25">
      <c r="A10" s="492" t="s">
        <v>1835</v>
      </c>
      <c r="B10" s="493"/>
      <c r="C10" s="1693"/>
      <c r="D10" s="1694"/>
      <c r="E10" s="1694"/>
      <c r="F10" s="1695"/>
      <c r="G10" s="1696"/>
      <c r="H10" s="1696"/>
      <c r="I10" s="1694"/>
      <c r="J10" s="1695"/>
      <c r="K10" s="1685"/>
      <c r="L10" s="1685"/>
      <c r="M10" s="1685"/>
      <c r="N10" s="1685"/>
      <c r="O10" s="1685"/>
      <c r="P10" s="1685"/>
      <c r="Q10" s="1685"/>
      <c r="R10" s="1685"/>
    </row>
    <row r="11" spans="1:18" ht="12.75" customHeight="1" x14ac:dyDescent="0.25">
      <c r="A11" s="492" t="s">
        <v>1836</v>
      </c>
      <c r="B11" s="493"/>
      <c r="C11" s="1693"/>
      <c r="D11" s="1694">
        <v>7.0191291999999999E-3</v>
      </c>
      <c r="E11" s="1694">
        <v>7.4402769519999997E-3</v>
      </c>
      <c r="F11" s="1695">
        <v>8.8999999999999999E-3</v>
      </c>
      <c r="G11" s="1696">
        <v>9.3332114650992292E-3</v>
      </c>
      <c r="H11" s="1696">
        <v>9.7000000000000003E-3</v>
      </c>
      <c r="I11" s="1694">
        <v>9.7000000000000003E-3</v>
      </c>
      <c r="J11" s="1695">
        <v>9.7000000000000003E-3</v>
      </c>
      <c r="K11" s="1685"/>
      <c r="L11" s="1685"/>
      <c r="M11" s="1685"/>
      <c r="N11" s="1685"/>
      <c r="O11" s="1685"/>
      <c r="P11" s="1685"/>
      <c r="Q11" s="1685"/>
      <c r="R11" s="1685"/>
    </row>
    <row r="12" spans="1:18" ht="12.75" customHeight="1" x14ac:dyDescent="0.25">
      <c r="A12" s="492" t="s">
        <v>1837</v>
      </c>
      <c r="B12" s="493"/>
      <c r="C12" s="1693"/>
      <c r="D12" s="1694">
        <v>8.4229550399999992E-3</v>
      </c>
      <c r="E12" s="1694">
        <v>8.9283323423999996E-3</v>
      </c>
      <c r="F12" s="1695">
        <v>1.11E-2</v>
      </c>
      <c r="G12" s="1696">
        <v>1.167E-2</v>
      </c>
      <c r="H12" s="1696">
        <v>1.2120000000000001E-2</v>
      </c>
      <c r="I12" s="1694">
        <v>1.2120000000000001E-2</v>
      </c>
      <c r="J12" s="1695">
        <v>1.2120000000000001E-2</v>
      </c>
      <c r="K12" s="1685"/>
      <c r="L12" s="1685"/>
      <c r="M12" s="1685"/>
      <c r="N12" s="1685"/>
      <c r="O12" s="1685"/>
      <c r="P12" s="1685"/>
      <c r="Q12" s="1685"/>
      <c r="R12" s="1685"/>
    </row>
    <row r="13" spans="1:18" ht="12.75" customHeight="1" x14ac:dyDescent="0.25">
      <c r="A13" s="492" t="s">
        <v>1838</v>
      </c>
      <c r="B13" s="493"/>
      <c r="C13" s="1693"/>
      <c r="D13" s="1694"/>
      <c r="E13" s="1694"/>
      <c r="F13" s="1695"/>
      <c r="G13" s="1696"/>
      <c r="H13" s="1696"/>
      <c r="I13" s="1694"/>
      <c r="J13" s="1695"/>
      <c r="K13" s="1685"/>
      <c r="L13" s="1685"/>
      <c r="M13" s="1685"/>
      <c r="N13" s="1685"/>
      <c r="O13" s="1685"/>
      <c r="P13" s="1685"/>
      <c r="Q13" s="1685"/>
      <c r="R13" s="1685"/>
    </row>
    <row r="14" spans="1:18" ht="12.75" customHeight="1" x14ac:dyDescent="0.25">
      <c r="A14" s="492" t="s">
        <v>1839</v>
      </c>
      <c r="B14" s="493"/>
      <c r="C14" s="1693"/>
      <c r="D14" s="1694"/>
      <c r="E14" s="1694"/>
      <c r="F14" s="1695"/>
      <c r="G14" s="1696"/>
      <c r="H14" s="1696"/>
      <c r="I14" s="1694"/>
      <c r="J14" s="1695"/>
      <c r="K14" s="1685"/>
      <c r="L14" s="1685"/>
      <c r="M14" s="1685"/>
      <c r="N14" s="1685"/>
      <c r="O14" s="1685"/>
      <c r="P14" s="1685"/>
      <c r="Q14" s="1685"/>
      <c r="R14" s="1685"/>
    </row>
    <row r="15" spans="1:18" ht="12.75" customHeight="1" x14ac:dyDescent="0.25">
      <c r="A15" s="492" t="s">
        <v>1840</v>
      </c>
      <c r="B15" s="493"/>
      <c r="C15" s="1693"/>
      <c r="D15" s="1694"/>
      <c r="E15" s="1694"/>
      <c r="F15" s="1695"/>
      <c r="G15" s="1696"/>
      <c r="H15" s="1696"/>
      <c r="I15" s="1694"/>
      <c r="J15" s="1695"/>
      <c r="K15" s="1685"/>
      <c r="L15" s="1685"/>
      <c r="M15" s="1685"/>
      <c r="N15" s="1685"/>
      <c r="O15" s="1685"/>
      <c r="P15" s="1685"/>
      <c r="Q15" s="1685"/>
      <c r="R15" s="1685"/>
    </row>
    <row r="16" spans="1:18" ht="12.75" customHeight="1" x14ac:dyDescent="0.25">
      <c r="A16" s="492" t="s">
        <v>1841</v>
      </c>
      <c r="B16" s="493"/>
      <c r="C16" s="1693"/>
      <c r="D16" s="1694"/>
      <c r="E16" s="1694"/>
      <c r="F16" s="1695"/>
      <c r="G16" s="1696"/>
      <c r="H16" s="1696"/>
      <c r="I16" s="1694"/>
      <c r="J16" s="1695"/>
      <c r="K16" s="469"/>
      <c r="L16" s="469"/>
      <c r="M16" s="469"/>
      <c r="N16" s="469"/>
      <c r="O16" s="469"/>
      <c r="P16" s="469"/>
      <c r="Q16" s="469"/>
      <c r="R16" s="469"/>
    </row>
    <row r="17" spans="1:18" ht="12.75" customHeight="1" x14ac:dyDescent="0.25">
      <c r="A17" s="492" t="s">
        <v>1842</v>
      </c>
      <c r="B17" s="493"/>
      <c r="C17" s="1693"/>
      <c r="D17" s="1694"/>
      <c r="E17" s="1694"/>
      <c r="F17" s="1695"/>
      <c r="G17" s="1696"/>
      <c r="H17" s="1696"/>
      <c r="I17" s="1694"/>
      <c r="J17" s="1695"/>
      <c r="K17" s="513"/>
      <c r="L17" s="513"/>
      <c r="M17" s="513"/>
      <c r="N17" s="513"/>
      <c r="O17" s="513"/>
      <c r="P17" s="513"/>
      <c r="Q17" s="513"/>
      <c r="R17" s="513"/>
    </row>
    <row r="18" spans="1:18" ht="12.75" customHeight="1" x14ac:dyDescent="0.25">
      <c r="A18" s="492" t="s">
        <v>1843</v>
      </c>
      <c r="B18" s="493"/>
      <c r="C18" s="1693"/>
      <c r="D18" s="1694">
        <v>2.8382135999999998E-3</v>
      </c>
      <c r="E18" s="1694">
        <v>3.0085064159999998E-3</v>
      </c>
      <c r="F18" s="1695"/>
      <c r="G18" s="1696">
        <v>2.3333028662748064E-3</v>
      </c>
      <c r="H18" s="1696">
        <v>2.4243016780595237E-3</v>
      </c>
      <c r="I18" s="1694">
        <v>2.4243016780595237E-3</v>
      </c>
      <c r="J18" s="1695">
        <v>2.4243016780595237E-3</v>
      </c>
      <c r="K18" s="1686"/>
      <c r="L18" s="1686"/>
      <c r="M18" s="1686"/>
      <c r="N18" s="1686"/>
      <c r="O18" s="1686"/>
      <c r="P18" s="1686"/>
      <c r="Q18" s="1686"/>
      <c r="R18" s="1686"/>
    </row>
    <row r="19" spans="1:18" ht="12.75" customHeight="1" x14ac:dyDescent="0.25">
      <c r="A19" s="492" t="s">
        <v>1844</v>
      </c>
      <c r="B19" s="493"/>
      <c r="C19" s="1693"/>
      <c r="D19" s="1694"/>
      <c r="E19" s="1694"/>
      <c r="F19" s="1695"/>
      <c r="G19" s="1696"/>
      <c r="H19" s="1696"/>
      <c r="I19" s="1694"/>
      <c r="J19" s="1695"/>
      <c r="K19" s="513"/>
      <c r="L19" s="513"/>
      <c r="M19" s="513"/>
      <c r="N19" s="513"/>
      <c r="O19" s="513"/>
      <c r="P19" s="513"/>
      <c r="Q19" s="513"/>
      <c r="R19" s="513"/>
    </row>
    <row r="20" spans="1:18" ht="12.75" customHeight="1" x14ac:dyDescent="0.25">
      <c r="A20" s="492" t="s">
        <v>1845</v>
      </c>
      <c r="B20" s="493"/>
      <c r="C20" s="1693"/>
      <c r="D20" s="1694">
        <v>1.84483884E-3</v>
      </c>
      <c r="E20" s="1694">
        <v>1.9555291704000002E-3</v>
      </c>
      <c r="F20" s="1695"/>
      <c r="G20" s="1696">
        <v>1.7733101783688501E-2</v>
      </c>
      <c r="H20" s="1696">
        <v>1.8419999999999999E-2</v>
      </c>
      <c r="I20" s="1694">
        <v>1.8419999999999999E-2</v>
      </c>
      <c r="J20" s="1695">
        <v>1.8419999999999999E-2</v>
      </c>
      <c r="K20" s="513"/>
      <c r="L20" s="513"/>
      <c r="M20" s="513"/>
      <c r="N20" s="513"/>
      <c r="O20" s="513"/>
      <c r="P20" s="513"/>
      <c r="Q20" s="513"/>
      <c r="R20" s="513"/>
    </row>
    <row r="21" spans="1:18" ht="12.75" customHeight="1" x14ac:dyDescent="0.25">
      <c r="A21" s="492" t="s">
        <v>1846</v>
      </c>
      <c r="B21" s="493"/>
      <c r="C21" s="1693"/>
      <c r="D21" s="1694"/>
      <c r="E21" s="1694"/>
      <c r="F21" s="1695"/>
      <c r="G21" s="1696"/>
      <c r="H21" s="1696">
        <v>0</v>
      </c>
      <c r="I21" s="1694">
        <v>0</v>
      </c>
      <c r="J21" s="1695">
        <v>0</v>
      </c>
      <c r="K21" s="513"/>
      <c r="L21" s="513"/>
      <c r="M21" s="513"/>
      <c r="N21" s="513"/>
      <c r="O21" s="513"/>
      <c r="P21" s="513"/>
      <c r="Q21" s="513"/>
      <c r="R21" s="513"/>
    </row>
    <row r="22" spans="1:18" ht="12.75" customHeight="1" x14ac:dyDescent="0.25">
      <c r="A22" s="492" t="s">
        <v>353</v>
      </c>
      <c r="B22" s="493"/>
      <c r="C22" s="1693"/>
      <c r="D22" s="1694">
        <v>1.2711500284000001E-2</v>
      </c>
      <c r="E22" s="1694">
        <v>1.3474190301040001E-2</v>
      </c>
      <c r="F22" s="1695"/>
      <c r="G22" s="1696"/>
      <c r="H22" s="1696"/>
      <c r="I22" s="1696"/>
      <c r="J22" s="1696"/>
      <c r="K22" s="513"/>
      <c r="L22" s="513"/>
      <c r="M22" s="513"/>
      <c r="N22" s="513"/>
      <c r="O22" s="513"/>
      <c r="P22" s="513"/>
      <c r="Q22" s="513"/>
      <c r="R22" s="513"/>
    </row>
    <row r="23" spans="1:18" ht="12.75" customHeight="1" x14ac:dyDescent="0.25">
      <c r="A23" s="492" t="s">
        <v>1847</v>
      </c>
      <c r="B23" s="493"/>
      <c r="C23" s="1693"/>
      <c r="D23" s="1694"/>
      <c r="E23" s="1694"/>
      <c r="F23" s="1695"/>
      <c r="G23" s="1696"/>
      <c r="H23" s="1696"/>
      <c r="I23" s="1694"/>
      <c r="J23" s="1695"/>
      <c r="K23" s="513"/>
      <c r="L23" s="513"/>
      <c r="M23" s="513"/>
      <c r="N23" s="513"/>
      <c r="O23" s="513"/>
      <c r="P23" s="513"/>
      <c r="Q23" s="513"/>
      <c r="R23" s="513"/>
    </row>
    <row r="24" spans="1:18" ht="12.75" customHeight="1" x14ac:dyDescent="0.25">
      <c r="A24" s="492" t="s">
        <v>1848</v>
      </c>
      <c r="B24" s="493"/>
      <c r="C24" s="1693"/>
      <c r="D24" s="1694"/>
      <c r="E24" s="1694"/>
      <c r="F24" s="1695"/>
      <c r="G24" s="1696"/>
      <c r="H24" s="1696"/>
      <c r="I24" s="1694"/>
      <c r="J24" s="1695"/>
      <c r="K24" s="513"/>
      <c r="L24" s="513"/>
      <c r="M24" s="513"/>
      <c r="N24" s="513"/>
      <c r="O24" s="513"/>
      <c r="P24" s="513"/>
      <c r="Q24" s="513"/>
      <c r="R24" s="513"/>
    </row>
    <row r="25" spans="1:18" ht="12.75" customHeight="1" x14ac:dyDescent="0.25">
      <c r="A25" s="492" t="s">
        <v>1849</v>
      </c>
      <c r="B25" s="494"/>
      <c r="C25" s="1693"/>
      <c r="D25" s="1694"/>
      <c r="E25" s="1694"/>
      <c r="F25" s="1695"/>
      <c r="G25" s="1696"/>
      <c r="H25" s="1696"/>
      <c r="I25" s="1694"/>
      <c r="J25" s="1695"/>
      <c r="K25" s="1584"/>
      <c r="L25" s="1584"/>
      <c r="M25" s="1584"/>
      <c r="N25" s="1584"/>
      <c r="O25" s="1584"/>
      <c r="P25" s="1584"/>
      <c r="Q25" s="1584"/>
      <c r="R25" s="1584"/>
    </row>
    <row r="26" spans="1:18" ht="4.9000000000000004" customHeight="1" x14ac:dyDescent="0.25">
      <c r="A26" s="492"/>
      <c r="B26" s="494"/>
      <c r="C26" s="1693"/>
      <c r="D26" s="1693"/>
      <c r="E26" s="1693"/>
      <c r="F26" s="1697"/>
      <c r="G26" s="1698"/>
      <c r="H26" s="1698"/>
      <c r="I26" s="1693"/>
      <c r="J26" s="1697"/>
      <c r="K26" s="1584"/>
      <c r="L26" s="1584"/>
      <c r="M26" s="1584"/>
      <c r="N26" s="1584"/>
      <c r="O26" s="1584"/>
      <c r="P26" s="1584"/>
      <c r="Q26" s="1584"/>
      <c r="R26" s="1584"/>
    </row>
    <row r="27" spans="1:18" ht="12.75" customHeight="1" x14ac:dyDescent="0.25">
      <c r="A27" s="487" t="s">
        <v>1850</v>
      </c>
      <c r="B27" s="494"/>
      <c r="C27" s="495"/>
      <c r="D27" s="495"/>
      <c r="E27" s="495"/>
      <c r="F27" s="496"/>
      <c r="G27" s="497"/>
      <c r="H27" s="497"/>
      <c r="I27" s="495"/>
      <c r="J27" s="496"/>
      <c r="K27" s="514"/>
      <c r="L27" s="514"/>
      <c r="M27" s="514"/>
      <c r="N27" s="514"/>
      <c r="O27" s="514"/>
      <c r="P27" s="514"/>
      <c r="Q27" s="514"/>
      <c r="R27" s="514"/>
    </row>
    <row r="28" spans="1:18" ht="12.75" customHeight="1" x14ac:dyDescent="0.25">
      <c r="A28" s="498" t="s">
        <v>1830</v>
      </c>
      <c r="B28" s="494"/>
      <c r="C28" s="495"/>
      <c r="D28" s="495"/>
      <c r="E28" s="495"/>
      <c r="F28" s="496"/>
      <c r="G28" s="497"/>
      <c r="H28" s="497"/>
      <c r="I28" s="495"/>
      <c r="J28" s="496"/>
      <c r="K28" s="514"/>
      <c r="L28" s="514"/>
      <c r="M28" s="514"/>
      <c r="N28" s="514"/>
      <c r="O28" s="514"/>
      <c r="P28" s="514"/>
      <c r="Q28" s="514"/>
      <c r="R28" s="514"/>
    </row>
    <row r="29" spans="1:18" ht="12.75" customHeight="1" x14ac:dyDescent="0.25">
      <c r="A29" s="492" t="s">
        <v>1885</v>
      </c>
      <c r="B29" s="493"/>
      <c r="C29" s="495"/>
      <c r="D29" s="495">
        <v>15000</v>
      </c>
      <c r="E29" s="495">
        <v>15000</v>
      </c>
      <c r="F29" s="495">
        <v>15000</v>
      </c>
      <c r="G29" s="495">
        <v>15000</v>
      </c>
      <c r="H29" s="495">
        <v>15000</v>
      </c>
      <c r="I29" s="495">
        <v>15000</v>
      </c>
      <c r="J29" s="495">
        <v>15000</v>
      </c>
      <c r="K29" s="514"/>
      <c r="L29" s="514"/>
      <c r="M29" s="514"/>
      <c r="N29" s="514"/>
      <c r="O29" s="514"/>
      <c r="P29" s="514"/>
      <c r="Q29" s="514"/>
      <c r="R29" s="514"/>
    </row>
    <row r="30" spans="1:18" ht="12.75" customHeight="1" x14ac:dyDescent="0.25">
      <c r="A30" s="499" t="s">
        <v>1851</v>
      </c>
      <c r="B30" s="493"/>
      <c r="C30" s="1693"/>
      <c r="D30" s="1693">
        <v>285000</v>
      </c>
      <c r="E30" s="1693">
        <v>285000</v>
      </c>
      <c r="F30" s="1693">
        <v>285000</v>
      </c>
      <c r="G30" s="1693">
        <v>285000</v>
      </c>
      <c r="H30" s="1693">
        <v>285000</v>
      </c>
      <c r="I30" s="1693">
        <v>285000</v>
      </c>
      <c r="J30" s="1693">
        <v>285000</v>
      </c>
      <c r="K30" s="514"/>
      <c r="L30" s="514"/>
      <c r="M30" s="514"/>
      <c r="N30" s="514"/>
      <c r="O30" s="514"/>
      <c r="P30" s="514"/>
      <c r="Q30" s="514"/>
      <c r="R30" s="514"/>
    </row>
    <row r="31" spans="1:18" ht="12.75" customHeight="1" x14ac:dyDescent="0.25">
      <c r="A31" s="226" t="s">
        <v>1852</v>
      </c>
      <c r="B31" s="493"/>
      <c r="C31" s="1693"/>
      <c r="D31" s="1693"/>
      <c r="E31" s="1693"/>
      <c r="F31" s="1697"/>
      <c r="G31" s="1698"/>
      <c r="H31" s="1698"/>
      <c r="I31" s="1693"/>
      <c r="J31" s="1697"/>
      <c r="K31" s="514"/>
      <c r="L31" s="514"/>
      <c r="M31" s="514"/>
      <c r="N31" s="514"/>
      <c r="O31" s="514"/>
      <c r="P31" s="514"/>
      <c r="Q31" s="514"/>
      <c r="R31" s="514"/>
    </row>
    <row r="32" spans="1:18" ht="12.75" customHeight="1" x14ac:dyDescent="0.25">
      <c r="A32" s="226" t="s">
        <v>1853</v>
      </c>
      <c r="B32" s="493"/>
      <c r="C32" s="1693"/>
      <c r="D32" s="1693"/>
      <c r="E32" s="1693"/>
      <c r="F32" s="1697"/>
      <c r="G32" s="1698"/>
      <c r="H32" s="1698"/>
      <c r="I32" s="1693"/>
      <c r="J32" s="1697"/>
      <c r="K32" s="514"/>
      <c r="L32" s="514"/>
      <c r="M32" s="514"/>
      <c r="N32" s="514"/>
      <c r="O32" s="514"/>
      <c r="P32" s="514"/>
      <c r="Q32" s="514"/>
      <c r="R32" s="514"/>
    </row>
    <row r="33" spans="1:19" ht="12.75" customHeight="1" x14ac:dyDescent="0.25">
      <c r="A33" s="226" t="s">
        <v>1854</v>
      </c>
      <c r="B33" s="493"/>
      <c r="C33" s="1693"/>
      <c r="D33" s="1693"/>
      <c r="E33" s="1693"/>
      <c r="F33" s="1697"/>
      <c r="G33" s="1698"/>
      <c r="H33" s="1698"/>
      <c r="I33" s="1693"/>
      <c r="J33" s="1697"/>
      <c r="K33" s="514"/>
      <c r="L33" s="514"/>
      <c r="M33" s="514"/>
      <c r="N33" s="514"/>
      <c r="O33" s="514"/>
      <c r="P33" s="514"/>
      <c r="Q33" s="514"/>
      <c r="R33" s="514"/>
    </row>
    <row r="34" spans="1:19" ht="12.75" customHeight="1" x14ac:dyDescent="0.25">
      <c r="A34" s="226" t="s">
        <v>1855</v>
      </c>
      <c r="B34" s="493"/>
      <c r="C34" s="1693"/>
      <c r="D34" s="1693"/>
      <c r="E34" s="1693"/>
      <c r="F34" s="1697"/>
      <c r="G34" s="1698"/>
      <c r="H34" s="1698"/>
      <c r="I34" s="1693"/>
      <c r="J34" s="1697"/>
      <c r="K34" s="662"/>
      <c r="L34" s="662"/>
      <c r="M34" s="662"/>
      <c r="N34" s="662"/>
      <c r="O34" s="662"/>
      <c r="P34" s="662"/>
      <c r="Q34" s="662"/>
      <c r="R34" s="662"/>
    </row>
    <row r="35" spans="1:19" ht="12.75" customHeight="1" x14ac:dyDescent="0.25">
      <c r="A35" s="225" t="s">
        <v>1990</v>
      </c>
      <c r="B35" s="493">
        <v>2</v>
      </c>
      <c r="C35" s="1693"/>
      <c r="D35" s="1693"/>
      <c r="E35" s="1693"/>
      <c r="F35" s="1697"/>
      <c r="G35" s="1698"/>
      <c r="H35" s="1698"/>
      <c r="I35" s="1693"/>
      <c r="J35" s="1697"/>
      <c r="K35" s="662"/>
      <c r="L35" s="662"/>
      <c r="M35" s="662"/>
      <c r="N35" s="662"/>
      <c r="O35" s="662"/>
      <c r="P35" s="662"/>
      <c r="Q35" s="662"/>
      <c r="R35" s="662"/>
    </row>
    <row r="36" spans="1:19" ht="4.9000000000000004" customHeight="1" x14ac:dyDescent="0.25">
      <c r="A36" s="500"/>
      <c r="B36" s="494"/>
      <c r="C36" s="494"/>
      <c r="D36" s="501"/>
      <c r="E36" s="501"/>
      <c r="F36" s="502"/>
      <c r="G36" s="503"/>
      <c r="H36" s="503"/>
      <c r="I36" s="501"/>
      <c r="J36" s="502"/>
      <c r="K36" s="1689"/>
      <c r="L36" s="1689"/>
      <c r="M36" s="1689"/>
      <c r="N36" s="1689"/>
      <c r="O36" s="1689"/>
      <c r="P36" s="1689"/>
      <c r="Q36" s="1689"/>
      <c r="R36" s="1689"/>
    </row>
    <row r="37" spans="1:19" ht="12.75" customHeight="1" x14ac:dyDescent="0.25">
      <c r="A37" s="487" t="s">
        <v>1856</v>
      </c>
      <c r="B37" s="494"/>
      <c r="C37" s="494"/>
      <c r="D37" s="495"/>
      <c r="E37" s="495"/>
      <c r="F37" s="496"/>
      <c r="G37" s="497"/>
      <c r="H37" s="497"/>
      <c r="I37" s="495"/>
      <c r="J37" s="496"/>
      <c r="K37" s="1690"/>
      <c r="L37" s="1690"/>
      <c r="M37" s="1690"/>
      <c r="N37" s="1690"/>
      <c r="O37" s="1690"/>
      <c r="P37" s="1690"/>
      <c r="Q37" s="1690"/>
      <c r="R37" s="1690"/>
    </row>
    <row r="38" spans="1:19" ht="12.75" customHeight="1" x14ac:dyDescent="0.25">
      <c r="A38" s="498" t="s">
        <v>1857</v>
      </c>
      <c r="B38" s="493"/>
      <c r="C38" s="494"/>
      <c r="D38" s="495"/>
      <c r="E38" s="495"/>
      <c r="F38" s="496"/>
      <c r="G38" s="497"/>
      <c r="H38" s="497"/>
      <c r="I38" s="495"/>
      <c r="J38" s="496"/>
      <c r="K38" s="1691"/>
      <c r="L38" s="1691"/>
      <c r="M38" s="1691"/>
      <c r="N38" s="1691"/>
      <c r="O38" s="1691"/>
      <c r="P38" s="1691"/>
      <c r="Q38" s="1691"/>
      <c r="R38" s="1691"/>
    </row>
    <row r="39" spans="1:19" ht="12.75" customHeight="1" x14ac:dyDescent="0.25">
      <c r="A39" s="492" t="s">
        <v>1858</v>
      </c>
      <c r="B39" s="493"/>
      <c r="C39" s="1693"/>
      <c r="D39" s="1693"/>
      <c r="E39" s="1693"/>
      <c r="F39" s="1697"/>
      <c r="G39" s="1698"/>
      <c r="H39" s="1698"/>
      <c r="I39" s="1693"/>
      <c r="J39" s="1697"/>
      <c r="K39" s="74"/>
      <c r="L39" s="74"/>
      <c r="M39" s="74"/>
      <c r="N39" s="74"/>
      <c r="O39" s="74"/>
      <c r="P39" s="74"/>
      <c r="Q39" s="74"/>
      <c r="R39" s="74"/>
      <c r="S39" s="74">
        <f>SUM(C39:R39)</f>
        <v>0</v>
      </c>
    </row>
    <row r="40" spans="1:19" ht="12.75" customHeight="1" x14ac:dyDescent="0.25">
      <c r="A40" s="492" t="s">
        <v>1859</v>
      </c>
      <c r="B40" s="493"/>
      <c r="C40" s="1693"/>
      <c r="D40" s="1693"/>
      <c r="E40" s="1693"/>
      <c r="F40" s="1697"/>
      <c r="G40" s="1698"/>
      <c r="H40" s="1698"/>
      <c r="I40" s="1693"/>
      <c r="J40" s="1697"/>
      <c r="K40" s="74"/>
      <c r="L40" s="74"/>
      <c r="M40" s="74"/>
      <c r="N40" s="74"/>
      <c r="O40" s="74"/>
      <c r="P40" s="74"/>
      <c r="Q40" s="74"/>
      <c r="R40" s="74"/>
      <c r="S40" s="74">
        <f>SUM(C40:R40)</f>
        <v>0</v>
      </c>
    </row>
    <row r="41" spans="1:19" ht="12.75" customHeight="1" x14ac:dyDescent="0.25">
      <c r="A41" s="492" t="s">
        <v>1860</v>
      </c>
      <c r="B41" s="493"/>
      <c r="C41" s="1693"/>
      <c r="D41" s="1693"/>
      <c r="E41" s="1693"/>
      <c r="F41" s="1697"/>
      <c r="G41" s="1698"/>
      <c r="H41" s="1698"/>
      <c r="I41" s="1693"/>
      <c r="J41" s="1697"/>
      <c r="K41" s="1373"/>
      <c r="L41" s="1373"/>
      <c r="M41" s="1373"/>
      <c r="N41" s="1373"/>
      <c r="O41" s="1373"/>
      <c r="P41" s="1373"/>
      <c r="Q41" s="1373"/>
      <c r="R41" s="1373"/>
    </row>
    <row r="42" spans="1:19" ht="12.75" customHeight="1" x14ac:dyDescent="0.25">
      <c r="A42" s="226" t="s">
        <v>1861</v>
      </c>
      <c r="B42" s="493"/>
      <c r="C42" s="1693" t="s">
        <v>1862</v>
      </c>
      <c r="D42" s="1693"/>
      <c r="E42" s="1693"/>
      <c r="F42" s="1697"/>
      <c r="G42" s="1698"/>
      <c r="H42" s="1698"/>
      <c r="I42" s="1693"/>
      <c r="J42" s="1697"/>
      <c r="K42" s="326"/>
      <c r="L42" s="326"/>
      <c r="M42" s="326"/>
      <c r="N42" s="326"/>
      <c r="O42" s="326"/>
      <c r="P42" s="326"/>
      <c r="Q42" s="326"/>
      <c r="R42" s="326"/>
    </row>
    <row r="43" spans="1:19" ht="12.75" customHeight="1" x14ac:dyDescent="0.25">
      <c r="A43" s="226" t="s">
        <v>1863</v>
      </c>
      <c r="B43" s="493"/>
      <c r="C43" s="1693" t="s">
        <v>1864</v>
      </c>
      <c r="D43" s="1693"/>
      <c r="E43" s="1693"/>
      <c r="F43" s="1697"/>
      <c r="G43" s="1698"/>
      <c r="H43" s="1698"/>
      <c r="I43" s="1693"/>
      <c r="J43" s="1697"/>
      <c r="K43" s="326"/>
      <c r="L43" s="326"/>
      <c r="M43" s="326"/>
      <c r="N43" s="326"/>
      <c r="O43" s="326"/>
      <c r="P43" s="326"/>
      <c r="Q43" s="326"/>
      <c r="R43" s="326"/>
    </row>
    <row r="44" spans="1:19" ht="12.75" customHeight="1" x14ac:dyDescent="0.25">
      <c r="A44" s="226" t="s">
        <v>1865</v>
      </c>
      <c r="B44" s="493"/>
      <c r="C44" s="1693" t="s">
        <v>1864</v>
      </c>
      <c r="D44" s="1693"/>
      <c r="E44" s="1693"/>
      <c r="F44" s="1697"/>
      <c r="G44" s="1698"/>
      <c r="H44" s="1698"/>
      <c r="I44" s="1693"/>
      <c r="J44" s="1697"/>
      <c r="K44" s="326"/>
      <c r="L44" s="326"/>
      <c r="M44" s="326"/>
      <c r="N44" s="326"/>
      <c r="O44" s="326"/>
      <c r="P44" s="326"/>
      <c r="Q44" s="326"/>
      <c r="R44" s="326"/>
    </row>
    <row r="45" spans="1:19" ht="12.75" customHeight="1" x14ac:dyDescent="0.25">
      <c r="A45" s="226" t="s">
        <v>1866</v>
      </c>
      <c r="B45" s="493"/>
      <c r="C45" s="1693" t="s">
        <v>1864</v>
      </c>
      <c r="D45" s="1693"/>
      <c r="E45" s="1693"/>
      <c r="F45" s="1697"/>
      <c r="G45" s="1698"/>
      <c r="H45" s="1698"/>
      <c r="I45" s="1693"/>
      <c r="J45" s="1697"/>
      <c r="K45" s="326"/>
      <c r="L45" s="326"/>
      <c r="M45" s="326"/>
      <c r="N45" s="326"/>
      <c r="O45" s="326"/>
      <c r="P45" s="326"/>
      <c r="Q45" s="326"/>
      <c r="R45" s="326"/>
    </row>
    <row r="46" spans="1:19" ht="12.75" customHeight="1" x14ac:dyDescent="0.25">
      <c r="A46" s="226" t="s">
        <v>1867</v>
      </c>
      <c r="B46" s="493"/>
      <c r="C46" s="1693" t="s">
        <v>1864</v>
      </c>
      <c r="D46" s="1693"/>
      <c r="E46" s="1693"/>
      <c r="F46" s="1697"/>
      <c r="G46" s="1698"/>
      <c r="H46" s="1698"/>
      <c r="I46" s="1693"/>
      <c r="J46" s="1697"/>
      <c r="K46" s="326"/>
      <c r="L46" s="326"/>
      <c r="M46" s="326"/>
      <c r="N46" s="326"/>
      <c r="O46" s="326"/>
      <c r="P46" s="326"/>
      <c r="Q46" s="326"/>
      <c r="R46" s="326"/>
    </row>
    <row r="47" spans="1:19" ht="12.75" customHeight="1" x14ac:dyDescent="0.25">
      <c r="A47" s="225" t="s">
        <v>245</v>
      </c>
      <c r="B47" s="493">
        <v>2</v>
      </c>
      <c r="C47" s="1693"/>
      <c r="D47" s="1693"/>
      <c r="E47" s="1693"/>
      <c r="F47" s="1697"/>
      <c r="G47" s="1698"/>
      <c r="H47" s="1698"/>
      <c r="I47" s="1693"/>
      <c r="J47" s="1697"/>
      <c r="K47" s="326"/>
      <c r="L47" s="326"/>
      <c r="M47" s="326"/>
      <c r="N47" s="326"/>
      <c r="O47" s="326"/>
      <c r="P47" s="326"/>
      <c r="Q47" s="326"/>
      <c r="R47" s="326"/>
    </row>
    <row r="48" spans="1:19" ht="4.5" customHeight="1" x14ac:dyDescent="0.25">
      <c r="A48" s="176"/>
      <c r="B48" s="493"/>
      <c r="C48" s="494"/>
      <c r="D48" s="495"/>
      <c r="E48" s="495"/>
      <c r="F48" s="496"/>
      <c r="G48" s="497"/>
      <c r="H48" s="497"/>
      <c r="I48" s="495"/>
      <c r="J48" s="496"/>
      <c r="K48" s="326"/>
      <c r="L48" s="326"/>
      <c r="M48" s="326"/>
      <c r="N48" s="326"/>
      <c r="O48" s="326"/>
      <c r="P48" s="326"/>
      <c r="Q48" s="326"/>
      <c r="R48" s="326"/>
    </row>
    <row r="49" spans="1:18" ht="12.75" customHeight="1" x14ac:dyDescent="0.25">
      <c r="A49" s="487" t="s">
        <v>1868</v>
      </c>
      <c r="B49" s="493"/>
      <c r="C49" s="494"/>
      <c r="D49" s="495"/>
      <c r="E49" s="495"/>
      <c r="F49" s="496"/>
      <c r="G49" s="497"/>
      <c r="H49" s="497"/>
      <c r="I49" s="495"/>
      <c r="J49" s="496"/>
      <c r="K49" s="851"/>
      <c r="L49" s="851"/>
      <c r="M49" s="851"/>
      <c r="N49" s="851"/>
      <c r="O49" s="851"/>
      <c r="P49" s="851"/>
      <c r="Q49" s="851"/>
      <c r="R49" s="851"/>
    </row>
    <row r="50" spans="1:18" ht="12.75" customHeight="1" x14ac:dyDescent="0.25">
      <c r="A50" s="498" t="s">
        <v>1857</v>
      </c>
      <c r="B50" s="493"/>
      <c r="C50" s="494"/>
      <c r="D50" s="495"/>
      <c r="E50" s="495"/>
      <c r="F50" s="496"/>
      <c r="G50" s="497"/>
      <c r="H50" s="497"/>
      <c r="I50" s="495"/>
      <c r="J50" s="496"/>
      <c r="K50" s="191"/>
      <c r="L50" s="191"/>
      <c r="M50" s="191"/>
      <c r="N50" s="191"/>
      <c r="O50" s="191"/>
      <c r="P50" s="191"/>
      <c r="Q50" s="191"/>
      <c r="R50" s="191"/>
    </row>
    <row r="51" spans="1:18" ht="12.75" customHeight="1" x14ac:dyDescent="0.25">
      <c r="A51" s="492" t="s">
        <v>1858</v>
      </c>
      <c r="B51" s="493"/>
      <c r="C51" s="1693"/>
      <c r="D51" s="1693"/>
      <c r="E51" s="1693"/>
      <c r="F51" s="1697"/>
      <c r="G51" s="1698"/>
      <c r="H51" s="1698"/>
      <c r="I51" s="1693"/>
      <c r="J51" s="1697"/>
      <c r="K51" s="191"/>
      <c r="L51" s="191"/>
      <c r="M51" s="191"/>
      <c r="N51" s="191"/>
      <c r="O51" s="191"/>
      <c r="P51" s="191"/>
      <c r="Q51" s="191"/>
      <c r="R51" s="191"/>
    </row>
    <row r="52" spans="1:18" ht="12.75" customHeight="1" x14ac:dyDescent="0.25">
      <c r="A52" s="492" t="s">
        <v>1859</v>
      </c>
      <c r="B52" s="493"/>
      <c r="C52" s="1693"/>
      <c r="D52" s="1693"/>
      <c r="E52" s="1693"/>
      <c r="F52" s="1697"/>
      <c r="G52" s="1698"/>
      <c r="H52" s="1698"/>
      <c r="I52" s="1693"/>
      <c r="J52" s="1697"/>
      <c r="K52" s="191"/>
      <c r="L52" s="191"/>
      <c r="M52" s="191"/>
      <c r="N52" s="191"/>
      <c r="O52" s="191"/>
      <c r="P52" s="191"/>
      <c r="Q52" s="191"/>
      <c r="R52" s="191"/>
    </row>
    <row r="53" spans="1:18" ht="12.75" customHeight="1" x14ac:dyDescent="0.25">
      <c r="A53" s="492" t="s">
        <v>1869</v>
      </c>
      <c r="B53" s="493"/>
      <c r="C53" s="1693"/>
      <c r="D53" s="1693"/>
      <c r="E53" s="1693"/>
      <c r="F53" s="1697"/>
      <c r="G53" s="1698"/>
      <c r="H53" s="1698"/>
      <c r="I53" s="1693"/>
      <c r="J53" s="1697"/>
      <c r="K53" s="191"/>
      <c r="L53" s="191"/>
      <c r="M53" s="191"/>
      <c r="N53" s="191"/>
      <c r="O53" s="191"/>
      <c r="P53" s="191"/>
      <c r="Q53" s="191"/>
      <c r="R53" s="191"/>
    </row>
    <row r="54" spans="1:18" ht="12.75" customHeight="1" x14ac:dyDescent="0.25">
      <c r="A54" s="492" t="s">
        <v>1870</v>
      </c>
      <c r="B54" s="493"/>
      <c r="C54" s="1693" t="s">
        <v>1871</v>
      </c>
      <c r="D54" s="1693"/>
      <c r="E54" s="1693"/>
      <c r="F54" s="1697"/>
      <c r="G54" s="1698"/>
      <c r="H54" s="1698"/>
      <c r="I54" s="1693"/>
      <c r="J54" s="1697"/>
      <c r="K54" s="191"/>
      <c r="L54" s="191"/>
      <c r="M54" s="191"/>
      <c r="N54" s="191"/>
      <c r="O54" s="191"/>
      <c r="P54" s="191"/>
      <c r="Q54" s="191"/>
      <c r="R54" s="191"/>
    </row>
    <row r="55" spans="1:18" ht="12.75" customHeight="1" x14ac:dyDescent="0.25">
      <c r="A55" s="492" t="s">
        <v>1872</v>
      </c>
      <c r="B55" s="493"/>
      <c r="C55" s="1693" t="s">
        <v>1871</v>
      </c>
      <c r="D55" s="1693"/>
      <c r="E55" s="1693"/>
      <c r="F55" s="1697"/>
      <c r="G55" s="1698"/>
      <c r="H55" s="1698"/>
      <c r="I55" s="1693"/>
      <c r="J55" s="1697"/>
      <c r="K55" s="191"/>
      <c r="L55" s="191"/>
      <c r="M55" s="191"/>
      <c r="N55" s="191"/>
      <c r="O55" s="191"/>
      <c r="P55" s="191"/>
      <c r="Q55" s="191"/>
      <c r="R55" s="191"/>
    </row>
    <row r="56" spans="1:18" ht="12.75" customHeight="1" x14ac:dyDescent="0.25">
      <c r="A56" s="492" t="s">
        <v>1873</v>
      </c>
      <c r="B56" s="493"/>
      <c r="C56" s="1693" t="s">
        <v>1871</v>
      </c>
      <c r="D56" s="1693"/>
      <c r="E56" s="1693"/>
      <c r="F56" s="1697"/>
      <c r="G56" s="1698"/>
      <c r="H56" s="1698"/>
      <c r="I56" s="1693"/>
      <c r="J56" s="1697"/>
      <c r="K56" s="191"/>
      <c r="L56" s="191"/>
      <c r="M56" s="191"/>
      <c r="N56" s="191"/>
      <c r="O56" s="191"/>
      <c r="P56" s="191"/>
      <c r="Q56" s="191"/>
      <c r="R56" s="191"/>
    </row>
    <row r="57" spans="1:18" ht="12.75" customHeight="1" x14ac:dyDescent="0.25">
      <c r="A57" s="492" t="s">
        <v>1874</v>
      </c>
      <c r="B57" s="493"/>
      <c r="C57" s="1693" t="s">
        <v>1871</v>
      </c>
      <c r="D57" s="1693"/>
      <c r="E57" s="1693"/>
      <c r="F57" s="1697"/>
      <c r="G57" s="1698"/>
      <c r="H57" s="1698"/>
      <c r="I57" s="1693"/>
      <c r="J57" s="1697"/>
      <c r="K57" s="671"/>
      <c r="L57" s="671"/>
      <c r="M57" s="671"/>
      <c r="N57" s="671"/>
      <c r="O57" s="671"/>
      <c r="P57" s="671"/>
      <c r="Q57" s="671"/>
      <c r="R57" s="671"/>
    </row>
    <row r="58" spans="1:18" ht="12.75" customHeight="1" x14ac:dyDescent="0.25">
      <c r="A58" s="225" t="s">
        <v>245</v>
      </c>
      <c r="B58" s="493">
        <v>2</v>
      </c>
      <c r="C58" s="1693"/>
      <c r="D58" s="1693"/>
      <c r="E58" s="1693"/>
      <c r="F58" s="1697"/>
      <c r="G58" s="1698"/>
      <c r="H58" s="1698"/>
      <c r="I58" s="1693"/>
      <c r="J58" s="1697"/>
      <c r="K58" s="1683"/>
      <c r="L58" s="1683"/>
      <c r="M58" s="1683"/>
      <c r="N58" s="1683"/>
      <c r="O58" s="1683"/>
      <c r="P58" s="1683"/>
      <c r="Q58" s="1683"/>
      <c r="R58" s="1683"/>
    </row>
    <row r="59" spans="1:18" ht="4.5" customHeight="1" x14ac:dyDescent="0.25">
      <c r="A59" s="504"/>
      <c r="B59" s="494"/>
      <c r="C59" s="494"/>
      <c r="D59" s="495"/>
      <c r="E59" s="495"/>
      <c r="F59" s="496"/>
      <c r="G59" s="497"/>
      <c r="H59" s="497"/>
      <c r="I59" s="495"/>
      <c r="J59" s="496"/>
      <c r="K59" s="191"/>
      <c r="L59" s="191"/>
      <c r="M59" s="191"/>
      <c r="N59" s="191"/>
      <c r="O59" s="191"/>
      <c r="P59" s="191"/>
      <c r="Q59" s="191"/>
      <c r="R59" s="191"/>
    </row>
    <row r="60" spans="1:18" ht="12.75" customHeight="1" x14ac:dyDescent="0.25">
      <c r="A60" s="487" t="s">
        <v>1875</v>
      </c>
      <c r="B60" s="493"/>
      <c r="C60" s="494"/>
      <c r="D60" s="495"/>
      <c r="E60" s="495"/>
      <c r="F60" s="496"/>
      <c r="G60" s="497"/>
      <c r="H60" s="497"/>
      <c r="I60" s="495"/>
      <c r="J60" s="496"/>
      <c r="K60" s="191"/>
      <c r="L60" s="191"/>
      <c r="M60" s="191"/>
      <c r="N60" s="191"/>
      <c r="O60" s="191"/>
      <c r="P60" s="191"/>
      <c r="Q60" s="191"/>
      <c r="R60" s="191"/>
    </row>
    <row r="61" spans="1:18" ht="12.75" customHeight="1" x14ac:dyDescent="0.25">
      <c r="A61" s="498" t="s">
        <v>1857</v>
      </c>
      <c r="B61" s="493"/>
      <c r="C61" s="494"/>
      <c r="D61" s="495"/>
      <c r="E61" s="495"/>
      <c r="F61" s="496"/>
      <c r="G61" s="497"/>
      <c r="H61" s="497"/>
      <c r="I61" s="495"/>
      <c r="J61" s="496"/>
      <c r="K61" s="1685"/>
      <c r="L61" s="1685"/>
      <c r="M61" s="1685"/>
      <c r="N61" s="1685"/>
      <c r="O61" s="1685"/>
      <c r="P61" s="1685"/>
      <c r="Q61" s="1685"/>
      <c r="R61" s="1685"/>
    </row>
    <row r="62" spans="1:18" ht="12.75" customHeight="1" x14ac:dyDescent="0.25">
      <c r="A62" s="492" t="s">
        <v>1858</v>
      </c>
      <c r="B62" s="493"/>
      <c r="C62" s="1693"/>
      <c r="D62" s="1693"/>
      <c r="E62" s="1693"/>
      <c r="F62" s="1697"/>
      <c r="G62" s="1698"/>
      <c r="H62" s="1698"/>
      <c r="I62" s="1693"/>
      <c r="J62" s="1697"/>
      <c r="K62" s="1685"/>
      <c r="L62" s="1685"/>
      <c r="M62" s="1685"/>
      <c r="N62" s="1685"/>
      <c r="O62" s="1685"/>
      <c r="P62" s="1685"/>
      <c r="Q62" s="1685"/>
      <c r="R62" s="1685"/>
    </row>
    <row r="63" spans="1:18" ht="12.75" customHeight="1" x14ac:dyDescent="0.25">
      <c r="A63" s="492" t="s">
        <v>1876</v>
      </c>
      <c r="B63" s="493"/>
      <c r="C63" s="1693"/>
      <c r="D63" s="1693"/>
      <c r="E63" s="1693"/>
      <c r="F63" s="1697"/>
      <c r="G63" s="1698"/>
      <c r="H63" s="1698"/>
      <c r="I63" s="1693"/>
      <c r="J63" s="1697"/>
      <c r="K63" s="1685"/>
      <c r="L63" s="1685"/>
      <c r="M63" s="1685"/>
      <c r="N63" s="1685"/>
      <c r="O63" s="1685"/>
      <c r="P63" s="1685"/>
      <c r="Q63" s="1685"/>
      <c r="R63" s="1685"/>
    </row>
    <row r="64" spans="1:18" ht="12.75" customHeight="1" x14ac:dyDescent="0.25">
      <c r="A64" s="505" t="s">
        <v>1877</v>
      </c>
      <c r="B64" s="493"/>
      <c r="C64" s="1693" t="s">
        <v>1878</v>
      </c>
      <c r="D64" s="1693"/>
      <c r="E64" s="1693"/>
      <c r="F64" s="1697"/>
      <c r="G64" s="1698"/>
      <c r="H64" s="1698"/>
      <c r="I64" s="1693"/>
      <c r="J64" s="1697"/>
      <c r="K64" s="1685"/>
      <c r="L64" s="1685"/>
      <c r="M64" s="1685"/>
      <c r="N64" s="1685"/>
      <c r="O64" s="1685"/>
      <c r="P64" s="1685"/>
      <c r="Q64" s="1685"/>
      <c r="R64" s="1685"/>
    </row>
    <row r="65" spans="1:18" ht="12.75" customHeight="1" x14ac:dyDescent="0.25">
      <c r="A65" s="492" t="s">
        <v>1898</v>
      </c>
      <c r="B65" s="493"/>
      <c r="C65" s="1693" t="s">
        <v>1862</v>
      </c>
      <c r="D65" s="1693"/>
      <c r="E65" s="1693"/>
      <c r="F65" s="1697"/>
      <c r="G65" s="1698"/>
      <c r="H65" s="1698"/>
      <c r="I65" s="1693"/>
      <c r="J65" s="1697"/>
      <c r="K65" s="1685"/>
      <c r="L65" s="1685"/>
      <c r="M65" s="1685"/>
      <c r="N65" s="1685"/>
      <c r="O65" s="1685"/>
      <c r="P65" s="1685"/>
      <c r="Q65" s="1685"/>
      <c r="R65" s="1685"/>
    </row>
    <row r="66" spans="1:18" ht="12.75" customHeight="1" x14ac:dyDescent="0.25">
      <c r="A66" s="492" t="s">
        <v>1899</v>
      </c>
      <c r="B66" s="493"/>
      <c r="C66" s="1693" t="s">
        <v>1862</v>
      </c>
      <c r="D66" s="1693"/>
      <c r="E66" s="1693"/>
      <c r="F66" s="1697"/>
      <c r="G66" s="1698"/>
      <c r="H66" s="1698"/>
      <c r="I66" s="1693"/>
      <c r="J66" s="1697"/>
      <c r="K66" s="1685"/>
      <c r="L66" s="1685"/>
      <c r="M66" s="1685"/>
      <c r="N66" s="1685"/>
      <c r="O66" s="1685"/>
      <c r="P66" s="1685"/>
      <c r="Q66" s="1685"/>
      <c r="R66" s="1685"/>
    </row>
    <row r="67" spans="1:18" ht="12.75" customHeight="1" x14ac:dyDescent="0.25">
      <c r="A67" s="492" t="s">
        <v>1900</v>
      </c>
      <c r="B67" s="493"/>
      <c r="C67" s="1693"/>
      <c r="D67" s="1693"/>
      <c r="E67" s="1693"/>
      <c r="F67" s="1697"/>
      <c r="G67" s="1698"/>
      <c r="H67" s="1698"/>
      <c r="I67" s="1693"/>
      <c r="J67" s="1697"/>
      <c r="K67" s="1685"/>
      <c r="L67" s="1685"/>
      <c r="M67" s="1685"/>
      <c r="N67" s="1685"/>
      <c r="O67" s="1685"/>
      <c r="P67" s="1685"/>
      <c r="Q67" s="1685"/>
      <c r="R67" s="1685"/>
    </row>
    <row r="68" spans="1:18" ht="12.75" customHeight="1" x14ac:dyDescent="0.25">
      <c r="A68" s="492" t="s">
        <v>1901</v>
      </c>
      <c r="B68" s="493"/>
      <c r="C68" s="1693"/>
      <c r="D68" s="1693"/>
      <c r="E68" s="1693"/>
      <c r="F68" s="1697"/>
      <c r="G68" s="1698"/>
      <c r="H68" s="1698"/>
      <c r="I68" s="1693"/>
      <c r="J68" s="1697"/>
      <c r="K68" s="1685"/>
      <c r="L68" s="1685"/>
      <c r="M68" s="1685"/>
      <c r="N68" s="1685"/>
      <c r="O68" s="1685"/>
      <c r="P68" s="1685"/>
      <c r="Q68" s="1685"/>
      <c r="R68" s="1685"/>
    </row>
    <row r="69" spans="1:18" ht="12.75" customHeight="1" x14ac:dyDescent="0.25">
      <c r="A69" s="492" t="s">
        <v>1902</v>
      </c>
      <c r="B69" s="493"/>
      <c r="C69" s="1693" t="s">
        <v>1879</v>
      </c>
      <c r="D69" s="1693"/>
      <c r="E69" s="1693"/>
      <c r="F69" s="1697"/>
      <c r="G69" s="1698"/>
      <c r="H69" s="1698"/>
      <c r="I69" s="1693"/>
      <c r="J69" s="1697"/>
      <c r="K69" s="1685"/>
      <c r="L69" s="1685"/>
      <c r="M69" s="1685"/>
      <c r="N69" s="1685"/>
      <c r="O69" s="1685"/>
      <c r="P69" s="1685"/>
      <c r="Q69" s="1685"/>
      <c r="R69" s="1685"/>
    </row>
    <row r="70" spans="1:18" ht="12.75" customHeight="1" x14ac:dyDescent="0.25">
      <c r="A70" s="492" t="s">
        <v>1903</v>
      </c>
      <c r="B70" s="493"/>
      <c r="C70" s="1693" t="s">
        <v>1879</v>
      </c>
      <c r="D70" s="1693"/>
      <c r="E70" s="1693"/>
      <c r="F70" s="1697"/>
      <c r="G70" s="1698"/>
      <c r="H70" s="1698"/>
      <c r="I70" s="1693"/>
      <c r="J70" s="1697"/>
      <c r="K70" s="1685"/>
      <c r="L70" s="1685"/>
      <c r="M70" s="1685"/>
      <c r="N70" s="1685"/>
      <c r="O70" s="1685"/>
      <c r="P70" s="1685"/>
      <c r="Q70" s="1685"/>
      <c r="R70" s="1685"/>
    </row>
    <row r="71" spans="1:18" ht="12.75" customHeight="1" x14ac:dyDescent="0.25">
      <c r="A71" s="492" t="s">
        <v>1904</v>
      </c>
      <c r="B71" s="493"/>
      <c r="C71" s="1693" t="s">
        <v>1879</v>
      </c>
      <c r="D71" s="1693"/>
      <c r="E71" s="1693"/>
      <c r="F71" s="1697"/>
      <c r="G71" s="1698"/>
      <c r="H71" s="1698"/>
      <c r="I71" s="1693"/>
      <c r="J71" s="1697"/>
      <c r="K71" s="1685"/>
      <c r="L71" s="1685"/>
      <c r="M71" s="1685"/>
      <c r="N71" s="1685"/>
      <c r="O71" s="1685"/>
      <c r="P71" s="1685"/>
      <c r="Q71" s="1685"/>
      <c r="R71" s="1685"/>
    </row>
    <row r="72" spans="1:18" ht="12.75" customHeight="1" x14ac:dyDescent="0.25">
      <c r="A72" s="492" t="s">
        <v>1905</v>
      </c>
      <c r="B72" s="493"/>
      <c r="C72" s="1693" t="s">
        <v>1879</v>
      </c>
      <c r="D72" s="1693"/>
      <c r="E72" s="1693"/>
      <c r="F72" s="1697"/>
      <c r="G72" s="1698"/>
      <c r="H72" s="1698"/>
      <c r="I72" s="1693"/>
      <c r="J72" s="1697"/>
      <c r="K72" s="1685"/>
      <c r="L72" s="1685"/>
      <c r="M72" s="1685"/>
      <c r="N72" s="1685"/>
      <c r="O72" s="1685"/>
      <c r="P72" s="1685"/>
      <c r="Q72" s="1685"/>
      <c r="R72" s="1685"/>
    </row>
    <row r="73" spans="1:18" ht="12.75" customHeight="1" x14ac:dyDescent="0.25">
      <c r="A73" s="492" t="s">
        <v>1906</v>
      </c>
      <c r="B73" s="493"/>
      <c r="C73" s="1693" t="s">
        <v>1879</v>
      </c>
      <c r="D73" s="1693"/>
      <c r="E73" s="1693"/>
      <c r="F73" s="1697"/>
      <c r="G73" s="1698"/>
      <c r="H73" s="1698"/>
      <c r="I73" s="1693"/>
      <c r="J73" s="1697"/>
      <c r="K73" s="1685"/>
      <c r="L73" s="1685"/>
      <c r="M73" s="1685"/>
      <c r="N73" s="1685"/>
      <c r="O73" s="1685"/>
      <c r="P73" s="1685"/>
      <c r="Q73" s="1685"/>
      <c r="R73" s="1685"/>
    </row>
    <row r="74" spans="1:18" ht="12.75" customHeight="1" x14ac:dyDescent="0.25">
      <c r="A74" s="492" t="s">
        <v>1907</v>
      </c>
      <c r="B74" s="493"/>
      <c r="C74" s="1693" t="s">
        <v>1879</v>
      </c>
      <c r="D74" s="1693"/>
      <c r="E74" s="1693"/>
      <c r="F74" s="1697"/>
      <c r="G74" s="1698"/>
      <c r="H74" s="1698"/>
      <c r="I74" s="1693"/>
      <c r="J74" s="1697"/>
      <c r="K74" s="1685"/>
      <c r="L74" s="1685"/>
      <c r="M74" s="1685"/>
      <c r="N74" s="1685"/>
      <c r="O74" s="1685"/>
      <c r="P74" s="1685"/>
      <c r="Q74" s="1685"/>
      <c r="R74" s="1685"/>
    </row>
    <row r="75" spans="1:18" ht="12.75" customHeight="1" x14ac:dyDescent="0.25">
      <c r="A75" s="492" t="s">
        <v>1908</v>
      </c>
      <c r="B75" s="493"/>
      <c r="C75" s="1693" t="s">
        <v>1879</v>
      </c>
      <c r="D75" s="1693"/>
      <c r="E75" s="1693"/>
      <c r="F75" s="1697"/>
      <c r="G75" s="1698"/>
      <c r="H75" s="1698"/>
      <c r="I75" s="1693"/>
      <c r="J75" s="1697"/>
      <c r="K75" s="1685"/>
      <c r="L75" s="1685"/>
      <c r="M75" s="1685"/>
      <c r="N75" s="1685"/>
      <c r="O75" s="1685"/>
      <c r="P75" s="1685"/>
      <c r="Q75" s="1685"/>
      <c r="R75" s="1685"/>
    </row>
    <row r="76" spans="1:18" ht="12.75" customHeight="1" x14ac:dyDescent="0.25">
      <c r="A76" s="492" t="s">
        <v>1909</v>
      </c>
      <c r="B76" s="493"/>
      <c r="C76" s="1693" t="s">
        <v>1879</v>
      </c>
      <c r="D76" s="1693"/>
      <c r="E76" s="1693"/>
      <c r="F76" s="1697"/>
      <c r="G76" s="1698"/>
      <c r="H76" s="1698"/>
      <c r="I76" s="1693"/>
      <c r="J76" s="1697"/>
      <c r="K76" s="1685"/>
      <c r="L76" s="1685"/>
      <c r="M76" s="1685"/>
      <c r="N76" s="1685"/>
      <c r="O76" s="1685"/>
      <c r="P76" s="1685"/>
      <c r="Q76" s="1685"/>
      <c r="R76" s="1685"/>
    </row>
    <row r="77" spans="1:18" ht="12.75" customHeight="1" x14ac:dyDescent="0.25">
      <c r="A77" s="492" t="s">
        <v>1910</v>
      </c>
      <c r="B77" s="493"/>
      <c r="C77" s="1693" t="s">
        <v>1879</v>
      </c>
      <c r="D77" s="1693"/>
      <c r="E77" s="1693"/>
      <c r="F77" s="1697"/>
      <c r="G77" s="1698"/>
      <c r="H77" s="1698"/>
      <c r="I77" s="1693"/>
      <c r="J77" s="1697"/>
      <c r="K77" s="1685"/>
      <c r="L77" s="1685"/>
      <c r="M77" s="1685"/>
      <c r="N77" s="1685"/>
      <c r="O77" s="1685"/>
      <c r="P77" s="1685"/>
      <c r="Q77" s="1685"/>
      <c r="R77" s="1685"/>
    </row>
    <row r="78" spans="1:18" ht="12.75" customHeight="1" x14ac:dyDescent="0.25">
      <c r="A78" s="492" t="s">
        <v>1911</v>
      </c>
      <c r="B78" s="493"/>
      <c r="C78" s="1693" t="s">
        <v>1879</v>
      </c>
      <c r="D78" s="1693"/>
      <c r="E78" s="1693"/>
      <c r="F78" s="1697"/>
      <c r="G78" s="1698"/>
      <c r="H78" s="1698"/>
      <c r="I78" s="1693"/>
      <c r="J78" s="1697"/>
      <c r="K78" s="1685"/>
      <c r="L78" s="1685"/>
      <c r="M78" s="1685"/>
      <c r="N78" s="1685"/>
      <c r="O78" s="1685"/>
      <c r="P78" s="1685"/>
      <c r="Q78" s="1685"/>
      <c r="R78" s="1685"/>
    </row>
    <row r="79" spans="1:18" ht="12.75" customHeight="1" x14ac:dyDescent="0.25">
      <c r="A79" s="225" t="s">
        <v>245</v>
      </c>
      <c r="B79" s="493">
        <v>2</v>
      </c>
      <c r="C79" s="1693"/>
      <c r="D79" s="1693"/>
      <c r="E79" s="1693"/>
      <c r="F79" s="1697"/>
      <c r="G79" s="1698"/>
      <c r="H79" s="1698"/>
      <c r="I79" s="1693"/>
      <c r="J79" s="1697"/>
      <c r="K79" s="469"/>
      <c r="L79" s="469"/>
      <c r="M79" s="469"/>
      <c r="N79" s="469"/>
      <c r="O79" s="469"/>
      <c r="P79" s="469"/>
      <c r="Q79" s="469"/>
      <c r="R79" s="469"/>
    </row>
    <row r="80" spans="1:18" ht="4.9000000000000004" customHeight="1" x14ac:dyDescent="0.25">
      <c r="A80" s="498"/>
      <c r="B80" s="493"/>
      <c r="C80" s="493"/>
      <c r="D80" s="495"/>
      <c r="E80" s="495"/>
      <c r="F80" s="496"/>
      <c r="G80" s="497"/>
      <c r="H80" s="497"/>
      <c r="I80" s="495"/>
      <c r="J80" s="496"/>
      <c r="K80" s="513"/>
      <c r="L80" s="513"/>
      <c r="M80" s="513"/>
      <c r="N80" s="513"/>
      <c r="O80" s="513"/>
      <c r="P80" s="513"/>
      <c r="Q80" s="513"/>
      <c r="R80" s="513"/>
    </row>
    <row r="81" spans="1:18" ht="12.75" customHeight="1" x14ac:dyDescent="0.25">
      <c r="A81" s="487" t="s">
        <v>1880</v>
      </c>
      <c r="B81" s="493"/>
      <c r="C81" s="494"/>
      <c r="D81" s="495"/>
      <c r="E81" s="495"/>
      <c r="F81" s="496"/>
      <c r="G81" s="497"/>
      <c r="H81" s="497"/>
      <c r="I81" s="495"/>
      <c r="J81" s="496"/>
      <c r="K81" s="1686"/>
      <c r="L81" s="1686"/>
      <c r="M81" s="1686"/>
      <c r="N81" s="1686"/>
      <c r="O81" s="1686"/>
      <c r="P81" s="1686"/>
      <c r="Q81" s="1686"/>
      <c r="R81" s="1686"/>
    </row>
    <row r="82" spans="1:18" ht="12.75" customHeight="1" x14ac:dyDescent="0.25">
      <c r="A82" s="498" t="s">
        <v>1857</v>
      </c>
      <c r="B82" s="493"/>
      <c r="C82" s="494"/>
      <c r="D82" s="495"/>
      <c r="E82" s="495"/>
      <c r="F82" s="496"/>
      <c r="G82" s="497"/>
      <c r="H82" s="497"/>
      <c r="I82" s="495"/>
      <c r="J82" s="496"/>
      <c r="K82" s="513"/>
      <c r="L82" s="513"/>
      <c r="M82" s="513"/>
      <c r="N82" s="513"/>
      <c r="O82" s="513"/>
      <c r="P82" s="513"/>
      <c r="Q82" s="513"/>
      <c r="R82" s="513"/>
    </row>
    <row r="83" spans="1:18" ht="12.75" customHeight="1" x14ac:dyDescent="0.25">
      <c r="A83" s="492" t="s">
        <v>1881</v>
      </c>
      <c r="B83" s="493"/>
      <c r="C83" s="1693"/>
      <c r="D83" s="1693"/>
      <c r="E83" s="1693"/>
      <c r="F83" s="1697"/>
      <c r="G83" s="1698"/>
      <c r="H83" s="1698"/>
      <c r="I83" s="1693"/>
      <c r="J83" s="1697"/>
      <c r="K83" s="513"/>
      <c r="L83" s="513"/>
      <c r="M83" s="513"/>
      <c r="N83" s="513"/>
      <c r="O83" s="513"/>
      <c r="P83" s="513"/>
      <c r="Q83" s="513"/>
      <c r="R83" s="513"/>
    </row>
    <row r="84" spans="1:18" ht="12.75" customHeight="1" x14ac:dyDescent="0.25">
      <c r="A84" s="492" t="s">
        <v>1882</v>
      </c>
      <c r="B84" s="493"/>
      <c r="C84" s="1693"/>
      <c r="D84" s="1693"/>
      <c r="E84" s="1693"/>
      <c r="F84" s="1697"/>
      <c r="G84" s="1698"/>
      <c r="H84" s="1698"/>
      <c r="I84" s="1693"/>
      <c r="J84" s="1697"/>
      <c r="K84" s="513"/>
      <c r="L84" s="513"/>
      <c r="M84" s="513"/>
      <c r="N84" s="513"/>
      <c r="O84" s="513"/>
      <c r="P84" s="513"/>
      <c r="Q84" s="513"/>
      <c r="R84" s="513"/>
    </row>
    <row r="85" spans="1:18" ht="12.75" customHeight="1" x14ac:dyDescent="0.25">
      <c r="A85" s="492" t="s">
        <v>1883</v>
      </c>
      <c r="B85" s="493"/>
      <c r="C85" s="1693"/>
      <c r="D85" s="1693"/>
      <c r="E85" s="1693"/>
      <c r="F85" s="1697"/>
      <c r="G85" s="1698"/>
      <c r="H85" s="1698"/>
      <c r="I85" s="1693"/>
      <c r="J85" s="1697"/>
      <c r="K85" s="513"/>
      <c r="L85" s="513"/>
      <c r="M85" s="513"/>
      <c r="N85" s="513"/>
      <c r="O85" s="513"/>
      <c r="P85" s="513"/>
      <c r="Q85" s="513"/>
      <c r="R85" s="513"/>
    </row>
    <row r="86" spans="1:18" ht="12.75" customHeight="1" x14ac:dyDescent="0.25">
      <c r="A86" s="492" t="s">
        <v>1884</v>
      </c>
      <c r="B86" s="493"/>
      <c r="C86" s="1693"/>
      <c r="D86" s="1693"/>
      <c r="E86" s="1693"/>
      <c r="F86" s="1697"/>
      <c r="G86" s="1698"/>
      <c r="H86" s="1698"/>
      <c r="I86" s="1693"/>
      <c r="J86" s="1697"/>
      <c r="K86" s="513"/>
      <c r="L86" s="513"/>
      <c r="M86" s="513"/>
      <c r="N86" s="513"/>
      <c r="O86" s="513"/>
      <c r="P86" s="513"/>
      <c r="Q86" s="513"/>
      <c r="R86" s="513"/>
    </row>
    <row r="87" spans="1:18" ht="4.9000000000000004" customHeight="1" x14ac:dyDescent="0.25">
      <c r="A87" s="506"/>
      <c r="B87" s="507"/>
      <c r="C87" s="507"/>
      <c r="D87" s="508"/>
      <c r="E87" s="508"/>
      <c r="F87" s="509"/>
      <c r="G87" s="510"/>
      <c r="H87" s="510"/>
      <c r="I87" s="508"/>
      <c r="J87" s="509"/>
      <c r="K87" s="513"/>
      <c r="L87" s="513"/>
      <c r="M87" s="513"/>
      <c r="N87" s="513"/>
      <c r="O87" s="513"/>
      <c r="P87" s="513"/>
      <c r="Q87" s="513"/>
      <c r="R87" s="513"/>
    </row>
    <row r="88" spans="1:18" ht="11.25" customHeight="1" x14ac:dyDescent="0.25">
      <c r="A88" s="124" t="str">
        <f>head27a</f>
        <v>References</v>
      </c>
      <c r="B88" s="55"/>
      <c r="C88" s="55"/>
      <c r="D88" s="56"/>
      <c r="E88" s="56"/>
      <c r="F88" s="56"/>
      <c r="G88" s="57"/>
      <c r="H88" s="56"/>
      <c r="I88" s="56"/>
      <c r="J88" s="58"/>
      <c r="K88" s="1584"/>
      <c r="L88" s="1584"/>
      <c r="M88" s="1584"/>
      <c r="N88" s="1584"/>
      <c r="O88" s="1584"/>
      <c r="P88" s="1584"/>
      <c r="Q88" s="1584"/>
      <c r="R88" s="1584"/>
    </row>
    <row r="89" spans="1:18" ht="11.25" customHeight="1" x14ac:dyDescent="0.25">
      <c r="A89" s="298" t="s">
        <v>1989</v>
      </c>
      <c r="B89" s="511"/>
      <c r="C89" s="511"/>
      <c r="D89" s="296"/>
      <c r="E89" s="296"/>
      <c r="F89" s="296"/>
      <c r="G89" s="296"/>
      <c r="H89" s="296"/>
      <c r="I89" s="296"/>
      <c r="J89" s="296"/>
      <c r="K89" s="514"/>
      <c r="L89" s="514"/>
      <c r="M89" s="514"/>
      <c r="N89" s="514"/>
      <c r="O89" s="514"/>
      <c r="P89" s="514"/>
      <c r="Q89" s="514"/>
      <c r="R89" s="514"/>
    </row>
    <row r="90" spans="1:18" ht="11.25" customHeight="1" x14ac:dyDescent="0.25">
      <c r="A90" s="298" t="s">
        <v>1995</v>
      </c>
      <c r="B90" s="511"/>
      <c r="C90" s="511"/>
      <c r="D90" s="296"/>
      <c r="E90" s="296"/>
      <c r="F90" s="296"/>
      <c r="G90" s="296"/>
      <c r="H90" s="296"/>
      <c r="I90" s="296"/>
      <c r="J90" s="296"/>
      <c r="K90" s="514"/>
      <c r="L90" s="514"/>
      <c r="M90" s="514"/>
      <c r="N90" s="514"/>
      <c r="O90" s="514"/>
      <c r="P90" s="514"/>
      <c r="Q90" s="514"/>
      <c r="R90" s="514"/>
    </row>
    <row r="91" spans="1:18" ht="11.25" customHeight="1" x14ac:dyDescent="0.25">
      <c r="A91" s="512"/>
      <c r="C91" s="514"/>
      <c r="D91" s="514"/>
      <c r="E91" s="514"/>
      <c r="F91" s="514"/>
      <c r="G91" s="514"/>
      <c r="H91" s="514"/>
      <c r="I91" s="514"/>
      <c r="J91" s="514"/>
      <c r="K91" s="514"/>
      <c r="L91" s="514"/>
      <c r="M91" s="514"/>
      <c r="N91" s="514"/>
      <c r="O91" s="514"/>
      <c r="P91" s="514"/>
      <c r="Q91" s="514"/>
      <c r="R91" s="514"/>
    </row>
    <row r="92" spans="1:18" ht="11.25" customHeight="1" x14ac:dyDescent="0.25">
      <c r="A92" s="512"/>
      <c r="C92" s="514"/>
      <c r="D92" s="514"/>
      <c r="E92" s="514"/>
      <c r="F92" s="514"/>
      <c r="G92" s="514"/>
      <c r="H92" s="514"/>
      <c r="I92" s="514"/>
      <c r="J92" s="514"/>
      <c r="K92" s="514"/>
      <c r="L92" s="514"/>
      <c r="M92" s="514"/>
      <c r="N92" s="514"/>
      <c r="O92" s="514"/>
      <c r="P92" s="514"/>
      <c r="Q92" s="514"/>
      <c r="R92" s="514"/>
    </row>
    <row r="93" spans="1:18" ht="21" customHeight="1" x14ac:dyDescent="0.25">
      <c r="A93" s="1699"/>
      <c r="C93" s="1700"/>
      <c r="D93" s="1700"/>
      <c r="E93" s="1700"/>
      <c r="F93" s="1700"/>
      <c r="G93" s="1700"/>
      <c r="H93" s="1700"/>
      <c r="I93" s="1700"/>
      <c r="J93" s="1700"/>
      <c r="K93" s="1700"/>
      <c r="L93" s="514"/>
      <c r="M93" s="514"/>
      <c r="N93" s="514"/>
      <c r="O93" s="514"/>
      <c r="P93" s="514"/>
      <c r="Q93" s="514"/>
      <c r="R93" s="514"/>
    </row>
    <row r="94" spans="1:18" ht="22.5" customHeight="1" x14ac:dyDescent="0.25">
      <c r="A94" s="2503"/>
      <c r="B94" s="2503"/>
      <c r="C94" s="2502"/>
      <c r="D94" s="2502"/>
      <c r="E94" s="2502"/>
      <c r="F94" s="2502"/>
      <c r="G94" s="2502"/>
      <c r="H94" s="1701"/>
      <c r="I94" s="1701"/>
      <c r="J94" s="1701"/>
      <c r="K94" s="1700"/>
      <c r="L94" s="514"/>
      <c r="M94" s="514"/>
      <c r="N94" s="514"/>
      <c r="O94" s="514"/>
      <c r="P94" s="514"/>
      <c r="Q94" s="514"/>
      <c r="R94" s="514"/>
    </row>
    <row r="95" spans="1:18" ht="36.75" customHeight="1" x14ac:dyDescent="0.25">
      <c r="A95" s="2503"/>
      <c r="B95" s="2503"/>
      <c r="C95" s="2502"/>
      <c r="D95" s="2502"/>
      <c r="E95" s="2502"/>
      <c r="F95" s="2502"/>
      <c r="G95" s="2502"/>
      <c r="H95" s="1702"/>
      <c r="I95" s="1702"/>
      <c r="J95" s="1702"/>
      <c r="K95" s="1700"/>
      <c r="L95" s="514"/>
      <c r="M95" s="514"/>
      <c r="N95" s="514"/>
      <c r="O95" s="514"/>
      <c r="P95" s="514"/>
      <c r="Q95" s="514"/>
      <c r="R95" s="514"/>
    </row>
    <row r="96" spans="1:18" ht="21.75" customHeight="1" x14ac:dyDescent="0.25">
      <c r="A96" s="520"/>
      <c r="B96" s="516"/>
      <c r="C96" s="1703"/>
      <c r="D96" s="1703"/>
      <c r="E96" s="1703"/>
      <c r="F96" s="1703"/>
      <c r="G96" s="1703"/>
      <c r="H96" s="1703"/>
      <c r="I96" s="1703"/>
      <c r="J96" s="1703"/>
      <c r="K96" s="449"/>
      <c r="L96" s="662"/>
      <c r="M96" s="662"/>
      <c r="N96" s="662"/>
      <c r="O96" s="662"/>
      <c r="P96" s="662"/>
      <c r="Q96" s="662"/>
      <c r="R96" s="662"/>
    </row>
    <row r="97" spans="1:18" ht="11.65" customHeight="1" x14ac:dyDescent="0.25">
      <c r="A97" s="1704"/>
      <c r="B97" s="516"/>
      <c r="C97" s="1703"/>
      <c r="D97" s="1703"/>
      <c r="E97" s="1703"/>
      <c r="F97" s="1703"/>
      <c r="G97" s="1703"/>
      <c r="H97" s="1703"/>
      <c r="I97" s="1703"/>
      <c r="J97" s="1703"/>
      <c r="K97" s="449"/>
      <c r="L97" s="662"/>
      <c r="M97" s="662"/>
      <c r="N97" s="662"/>
      <c r="O97" s="662"/>
      <c r="P97" s="662"/>
      <c r="Q97" s="662"/>
      <c r="R97" s="662"/>
    </row>
    <row r="98" spans="1:18" ht="11.65" customHeight="1" x14ac:dyDescent="0.25">
      <c r="A98" s="1704"/>
      <c r="B98" s="516"/>
      <c r="C98" s="1703"/>
      <c r="D98" s="1703"/>
      <c r="E98" s="1703"/>
      <c r="F98" s="1703"/>
      <c r="G98" s="1703"/>
      <c r="H98" s="1703"/>
      <c r="I98" s="1703"/>
      <c r="J98" s="1703"/>
      <c r="K98" s="449"/>
      <c r="L98" s="662"/>
      <c r="M98" s="662"/>
      <c r="N98" s="662"/>
      <c r="O98" s="662"/>
      <c r="P98" s="662"/>
      <c r="Q98" s="662"/>
      <c r="R98" s="662"/>
    </row>
    <row r="99" spans="1:18" ht="11.65" customHeight="1" x14ac:dyDescent="0.25">
      <c r="A99" s="1704"/>
      <c r="B99" s="516"/>
      <c r="C99" s="1703"/>
      <c r="D99" s="1703"/>
      <c r="E99" s="1703"/>
      <c r="F99" s="1703"/>
      <c r="G99" s="1703"/>
      <c r="H99" s="1703"/>
      <c r="I99" s="1703"/>
      <c r="J99" s="1703"/>
      <c r="K99" s="449"/>
      <c r="L99" s="662"/>
      <c r="M99" s="662"/>
      <c r="N99" s="662"/>
      <c r="O99" s="662"/>
      <c r="P99" s="662"/>
      <c r="Q99" s="662"/>
      <c r="R99" s="662"/>
    </row>
    <row r="100" spans="1:18" ht="21" customHeight="1" x14ac:dyDescent="0.25">
      <c r="A100" s="520"/>
      <c r="B100" s="516"/>
      <c r="C100" s="1703"/>
      <c r="D100" s="1703"/>
      <c r="E100" s="1703"/>
      <c r="F100" s="1703"/>
      <c r="G100" s="1703"/>
      <c r="H100" s="1703"/>
      <c r="I100" s="1703"/>
      <c r="J100" s="1703"/>
      <c r="K100" s="449"/>
      <c r="L100" s="662"/>
      <c r="M100" s="662"/>
      <c r="N100" s="662"/>
      <c r="O100" s="662"/>
      <c r="P100" s="662"/>
      <c r="Q100" s="662"/>
      <c r="R100" s="662"/>
    </row>
    <row r="101" spans="1:18" ht="11.65" customHeight="1" x14ac:dyDescent="0.25">
      <c r="A101" s="1704"/>
      <c r="B101" s="516"/>
      <c r="C101" s="1703"/>
      <c r="D101" s="1703"/>
      <c r="E101" s="1703"/>
      <c r="F101" s="1703"/>
      <c r="G101" s="1703"/>
      <c r="H101" s="1703"/>
      <c r="I101" s="1703"/>
      <c r="J101" s="1703"/>
      <c r="K101" s="449"/>
      <c r="L101" s="662"/>
      <c r="M101" s="662"/>
      <c r="N101" s="662"/>
      <c r="O101" s="662"/>
      <c r="P101" s="662"/>
      <c r="Q101" s="662"/>
      <c r="R101" s="662"/>
    </row>
    <row r="102" spans="1:18" ht="11.65" customHeight="1" x14ac:dyDescent="0.25">
      <c r="A102" s="1704"/>
      <c r="B102" s="516"/>
      <c r="C102" s="1703"/>
      <c r="D102" s="1703"/>
      <c r="E102" s="1703"/>
      <c r="F102" s="1703"/>
      <c r="G102" s="1703"/>
      <c r="H102" s="1703"/>
      <c r="I102" s="1703"/>
      <c r="J102" s="1703"/>
      <c r="K102" s="449"/>
      <c r="L102" s="662"/>
      <c r="M102" s="662"/>
      <c r="N102" s="662"/>
      <c r="O102" s="662"/>
      <c r="P102" s="662"/>
      <c r="Q102" s="662"/>
      <c r="R102" s="662"/>
    </row>
    <row r="103" spans="1:18" ht="11.65" customHeight="1" x14ac:dyDescent="0.25">
      <c r="A103" s="1704"/>
      <c r="B103" s="516"/>
      <c r="C103" s="1703"/>
      <c r="D103" s="1703"/>
      <c r="E103" s="1703"/>
      <c r="F103" s="1703"/>
      <c r="G103" s="1703"/>
      <c r="H103" s="1703"/>
      <c r="I103" s="1703"/>
      <c r="J103" s="1703"/>
      <c r="K103" s="449"/>
      <c r="L103" s="662"/>
      <c r="M103" s="662"/>
      <c r="N103" s="662"/>
      <c r="O103" s="662"/>
      <c r="P103" s="662"/>
      <c r="Q103" s="662"/>
      <c r="R103" s="662"/>
    </row>
    <row r="104" spans="1:18" ht="11.65" customHeight="1" x14ac:dyDescent="0.25">
      <c r="A104" s="1704"/>
      <c r="B104" s="516"/>
      <c r="C104" s="1703"/>
      <c r="D104" s="1703"/>
      <c r="E104" s="1703"/>
      <c r="F104" s="1703"/>
      <c r="G104" s="1703"/>
      <c r="H104" s="1703"/>
      <c r="I104" s="1703"/>
      <c r="J104" s="1703"/>
      <c r="K104" s="449"/>
      <c r="L104" s="662"/>
      <c r="M104" s="662"/>
      <c r="N104" s="662"/>
      <c r="O104" s="662"/>
      <c r="P104" s="662"/>
      <c r="Q104" s="662"/>
      <c r="R104" s="662"/>
    </row>
    <row r="105" spans="1:18" ht="21" customHeight="1" x14ac:dyDescent="0.25">
      <c r="A105" s="520"/>
      <c r="B105" s="516"/>
      <c r="C105" s="1703"/>
      <c r="D105" s="1703"/>
      <c r="E105" s="1703"/>
      <c r="F105" s="1703"/>
      <c r="G105" s="1703"/>
      <c r="H105" s="1703"/>
      <c r="I105" s="1703"/>
      <c r="J105" s="1703"/>
      <c r="K105" s="449"/>
      <c r="L105" s="662"/>
      <c r="M105" s="662"/>
      <c r="N105" s="662"/>
      <c r="O105" s="662"/>
      <c r="P105" s="662"/>
      <c r="Q105" s="662"/>
      <c r="R105" s="662"/>
    </row>
    <row r="106" spans="1:18" ht="11.65" customHeight="1" x14ac:dyDescent="0.25">
      <c r="A106" s="1704"/>
      <c r="B106" s="516"/>
      <c r="C106" s="1703"/>
      <c r="D106" s="1703"/>
      <c r="E106" s="1703"/>
      <c r="F106" s="1703"/>
      <c r="G106" s="1703"/>
      <c r="H106" s="1703"/>
      <c r="I106" s="1703"/>
      <c r="J106" s="1703"/>
      <c r="K106" s="449"/>
      <c r="L106" s="662"/>
      <c r="M106" s="662"/>
      <c r="N106" s="662"/>
      <c r="O106" s="662"/>
      <c r="P106" s="662"/>
      <c r="Q106" s="662"/>
      <c r="R106" s="662"/>
    </row>
    <row r="107" spans="1:18" ht="11.65" customHeight="1" x14ac:dyDescent="0.25">
      <c r="A107" s="1704"/>
      <c r="B107" s="516"/>
      <c r="C107" s="1703"/>
      <c r="D107" s="1703"/>
      <c r="E107" s="1703"/>
      <c r="F107" s="1703"/>
      <c r="G107" s="1703"/>
      <c r="H107" s="1703"/>
      <c r="I107" s="1703"/>
      <c r="J107" s="1703"/>
      <c r="K107" s="449"/>
      <c r="L107" s="662"/>
      <c r="M107" s="662"/>
      <c r="N107" s="662"/>
      <c r="O107" s="662"/>
      <c r="P107" s="662"/>
      <c r="Q107" s="662"/>
      <c r="R107" s="662"/>
    </row>
    <row r="108" spans="1:18" ht="11.65" customHeight="1" x14ac:dyDescent="0.25">
      <c r="A108" s="1704"/>
      <c r="B108" s="516"/>
      <c r="C108" s="1703"/>
      <c r="D108" s="1703"/>
      <c r="E108" s="1703"/>
      <c r="F108" s="1703"/>
      <c r="G108" s="1703"/>
      <c r="H108" s="1703"/>
      <c r="I108" s="1703"/>
      <c r="J108" s="1703"/>
      <c r="K108" s="449"/>
      <c r="L108" s="662"/>
      <c r="M108" s="662"/>
      <c r="N108" s="662"/>
      <c r="O108" s="662"/>
      <c r="P108" s="662"/>
      <c r="Q108" s="662"/>
      <c r="R108" s="662"/>
    </row>
    <row r="109" spans="1:18" ht="21" customHeight="1" x14ac:dyDescent="0.25">
      <c r="A109" s="520"/>
      <c r="B109" s="516"/>
      <c r="C109" s="1703"/>
      <c r="D109" s="1703"/>
      <c r="E109" s="1703"/>
      <c r="F109" s="1703"/>
      <c r="G109" s="1703"/>
      <c r="H109" s="1703"/>
      <c r="I109" s="1703"/>
      <c r="J109" s="1703"/>
      <c r="K109" s="476"/>
      <c r="L109" s="1689"/>
      <c r="M109" s="1689"/>
      <c r="N109" s="1689"/>
      <c r="O109" s="1689"/>
      <c r="P109" s="1689"/>
      <c r="Q109" s="1689"/>
      <c r="R109" s="1689"/>
    </row>
    <row r="110" spans="1:18" ht="11.65" customHeight="1" x14ac:dyDescent="0.25">
      <c r="A110" s="1704"/>
      <c r="B110" s="516"/>
      <c r="C110" s="1703"/>
      <c r="D110" s="1703"/>
      <c r="E110" s="1703"/>
      <c r="F110" s="1703"/>
      <c r="G110" s="1703"/>
      <c r="H110" s="1703"/>
      <c r="I110" s="1703"/>
      <c r="J110" s="1703"/>
      <c r="K110" s="476"/>
      <c r="L110" s="1689"/>
      <c r="M110" s="1689"/>
      <c r="N110" s="1689"/>
      <c r="O110" s="1689"/>
      <c r="P110" s="1689"/>
      <c r="Q110" s="1689"/>
      <c r="R110" s="1689"/>
    </row>
    <row r="111" spans="1:18" ht="11.65" customHeight="1" x14ac:dyDescent="0.25">
      <c r="A111" s="1704"/>
      <c r="B111" s="516"/>
      <c r="C111" s="1703"/>
      <c r="D111" s="1703"/>
      <c r="E111" s="1703"/>
      <c r="F111" s="1703"/>
      <c r="G111" s="1703"/>
      <c r="H111" s="1703"/>
      <c r="I111" s="1703"/>
      <c r="J111" s="1703"/>
      <c r="K111" s="476"/>
      <c r="L111" s="1689"/>
      <c r="M111" s="1689"/>
      <c r="N111" s="1689"/>
      <c r="O111" s="1689"/>
      <c r="P111" s="1689"/>
      <c r="Q111" s="1689"/>
      <c r="R111" s="1689"/>
    </row>
    <row r="112" spans="1:18" ht="11.65" customHeight="1" x14ac:dyDescent="0.25">
      <c r="A112" s="1704"/>
      <c r="B112" s="516"/>
      <c r="C112" s="1703"/>
      <c r="D112" s="1703"/>
      <c r="E112" s="1703"/>
      <c r="F112" s="1703"/>
      <c r="G112" s="1703"/>
      <c r="H112" s="1703"/>
      <c r="I112" s="1703"/>
      <c r="J112" s="1703"/>
      <c r="K112" s="476"/>
      <c r="L112" s="1689"/>
      <c r="M112" s="1689"/>
      <c r="N112" s="1689"/>
      <c r="O112" s="1689"/>
      <c r="P112" s="1689"/>
      <c r="Q112" s="1689"/>
      <c r="R112" s="1689"/>
    </row>
    <row r="113" spans="1:18" ht="5.25" customHeight="1" x14ac:dyDescent="0.25">
      <c r="A113" s="512"/>
      <c r="B113" s="516"/>
      <c r="C113" s="1703"/>
      <c r="D113" s="1703"/>
      <c r="E113" s="1703"/>
      <c r="F113" s="1703"/>
      <c r="G113" s="1703"/>
      <c r="H113" s="1703"/>
      <c r="I113" s="1703"/>
      <c r="J113" s="1703"/>
      <c r="K113" s="476"/>
      <c r="L113" s="1690"/>
      <c r="M113" s="1690"/>
      <c r="N113" s="1690"/>
      <c r="O113" s="1690"/>
      <c r="P113" s="1690"/>
      <c r="Q113" s="1690"/>
      <c r="R113" s="1690"/>
    </row>
    <row r="114" spans="1:18" ht="11.25" customHeight="1" x14ac:dyDescent="0.25">
      <c r="A114" s="512"/>
      <c r="B114" s="1688"/>
      <c r="C114" s="476"/>
      <c r="D114" s="476"/>
      <c r="E114" s="476"/>
      <c r="F114" s="476"/>
      <c r="G114" s="476"/>
      <c r="H114" s="476"/>
      <c r="I114" s="476"/>
      <c r="J114" s="476"/>
      <c r="K114" s="1700"/>
      <c r="L114" s="1691"/>
      <c r="M114" s="1691"/>
      <c r="N114" s="1691"/>
      <c r="O114" s="1691"/>
      <c r="P114" s="1691"/>
      <c r="Q114" s="1691"/>
      <c r="R114" s="1691"/>
    </row>
    <row r="115" spans="1:18" ht="11.25" customHeight="1" x14ac:dyDescent="0.25">
      <c r="A115" s="1684"/>
      <c r="B115" s="1688"/>
      <c r="C115" s="476"/>
      <c r="D115" s="476"/>
      <c r="E115" s="476"/>
      <c r="F115" s="476"/>
      <c r="G115" s="476"/>
      <c r="H115" s="476"/>
      <c r="I115" s="476"/>
      <c r="J115" s="476"/>
      <c r="K115" s="449"/>
      <c r="L115" s="74"/>
      <c r="M115" s="74"/>
      <c r="N115" s="74"/>
      <c r="O115" s="74"/>
      <c r="P115" s="74"/>
      <c r="Q115" s="74"/>
      <c r="R115" s="74"/>
    </row>
    <row r="116" spans="1:18" ht="11.25" customHeight="1" x14ac:dyDescent="0.25">
      <c r="A116" s="512"/>
      <c r="B116" s="1687"/>
      <c r="C116" s="1700"/>
      <c r="D116" s="1700"/>
      <c r="E116" s="1700"/>
      <c r="F116" s="1700"/>
      <c r="G116" s="1700"/>
      <c r="H116" s="1700"/>
      <c r="I116" s="1700"/>
      <c r="J116" s="1700"/>
      <c r="K116" s="449"/>
      <c r="L116" s="74"/>
      <c r="M116" s="74"/>
      <c r="N116" s="74"/>
      <c r="O116" s="74"/>
      <c r="P116" s="74"/>
      <c r="Q116" s="74"/>
      <c r="R116" s="74"/>
    </row>
    <row r="117" spans="1:18" ht="11.25" customHeight="1" x14ac:dyDescent="0.25">
      <c r="A117" s="512"/>
      <c r="B117" s="1687"/>
      <c r="C117" s="449"/>
      <c r="D117" s="449"/>
      <c r="E117" s="449"/>
      <c r="F117" s="449"/>
      <c r="G117" s="449"/>
      <c r="H117" s="449"/>
      <c r="I117" s="449"/>
      <c r="J117" s="449"/>
      <c r="K117" s="1705"/>
      <c r="L117" s="1373"/>
      <c r="M117" s="1373"/>
      <c r="N117" s="1373"/>
      <c r="O117" s="1373"/>
      <c r="P117" s="1373"/>
      <c r="Q117" s="1373"/>
      <c r="R117" s="1373"/>
    </row>
    <row r="118" spans="1:18" ht="11.25" customHeight="1" x14ac:dyDescent="0.25">
      <c r="A118" s="512"/>
      <c r="B118" s="1687"/>
      <c r="C118" s="74"/>
      <c r="D118" s="74"/>
      <c r="E118" s="74"/>
      <c r="F118" s="74"/>
      <c r="G118" s="74"/>
      <c r="H118" s="74"/>
      <c r="I118" s="74"/>
      <c r="J118" s="74"/>
      <c r="K118" s="326"/>
      <c r="L118" s="326"/>
      <c r="M118" s="326"/>
      <c r="N118" s="326"/>
      <c r="O118" s="326"/>
      <c r="P118" s="326"/>
      <c r="Q118" s="326"/>
      <c r="R118" s="326"/>
    </row>
    <row r="119" spans="1:18" ht="11.25" customHeight="1" x14ac:dyDescent="0.25">
      <c r="A119" s="512"/>
      <c r="B119" s="1687"/>
      <c r="C119" s="1373"/>
      <c r="D119" s="1373"/>
      <c r="E119" s="1373"/>
      <c r="F119" s="1373"/>
      <c r="G119" s="1373"/>
      <c r="H119" s="1373"/>
      <c r="I119" s="1373"/>
      <c r="J119" s="1373"/>
      <c r="K119" s="326"/>
      <c r="L119" s="326"/>
      <c r="M119" s="326"/>
      <c r="N119" s="326"/>
      <c r="O119" s="326"/>
      <c r="P119" s="326"/>
      <c r="Q119" s="326"/>
      <c r="R119" s="326"/>
    </row>
    <row r="120" spans="1:18" ht="11.25" customHeight="1" x14ac:dyDescent="0.25">
      <c r="A120" s="512"/>
      <c r="B120" s="1687"/>
      <c r="C120" s="326"/>
      <c r="D120" s="326"/>
      <c r="E120" s="326"/>
      <c r="F120" s="326"/>
      <c r="G120" s="326"/>
      <c r="H120" s="326"/>
      <c r="I120" s="326"/>
      <c r="J120" s="326"/>
      <c r="K120" s="326"/>
      <c r="L120" s="326"/>
      <c r="M120" s="326"/>
      <c r="N120" s="326"/>
      <c r="O120" s="326"/>
      <c r="P120" s="326"/>
      <c r="Q120" s="326"/>
      <c r="R120" s="326"/>
    </row>
    <row r="121" spans="1:18" ht="11.25" customHeight="1" x14ac:dyDescent="0.25">
      <c r="A121" s="512"/>
      <c r="B121" s="1687"/>
      <c r="C121" s="326"/>
      <c r="D121" s="326"/>
      <c r="E121" s="326"/>
      <c r="F121" s="326"/>
      <c r="G121" s="326"/>
      <c r="H121" s="326"/>
      <c r="I121" s="326"/>
      <c r="J121" s="326"/>
      <c r="K121" s="326"/>
      <c r="L121" s="326"/>
      <c r="M121" s="326"/>
      <c r="N121" s="326"/>
      <c r="O121" s="326"/>
      <c r="P121" s="326"/>
      <c r="Q121" s="326"/>
      <c r="R121" s="326"/>
    </row>
    <row r="122" spans="1:18" ht="11.25" customHeight="1" x14ac:dyDescent="0.25">
      <c r="A122" s="512"/>
      <c r="B122" s="1687"/>
      <c r="C122" s="326"/>
      <c r="D122" s="326"/>
      <c r="E122" s="326"/>
      <c r="F122" s="326"/>
      <c r="G122" s="326"/>
      <c r="H122" s="326"/>
      <c r="I122" s="326"/>
      <c r="J122" s="326"/>
      <c r="K122" s="326"/>
      <c r="L122" s="326"/>
      <c r="M122" s="326"/>
      <c r="N122" s="326"/>
      <c r="O122" s="326"/>
      <c r="P122" s="326"/>
      <c r="Q122" s="326"/>
      <c r="R122" s="326"/>
    </row>
    <row r="123" spans="1:18" ht="11.25" customHeight="1" x14ac:dyDescent="0.25">
      <c r="A123" s="512"/>
      <c r="B123" s="1687"/>
      <c r="C123" s="326"/>
      <c r="D123" s="326"/>
      <c r="E123" s="326"/>
      <c r="F123" s="326"/>
      <c r="G123" s="326"/>
      <c r="H123" s="326"/>
      <c r="I123" s="326"/>
      <c r="J123" s="326"/>
      <c r="K123" s="326"/>
      <c r="L123" s="326"/>
      <c r="M123" s="326"/>
      <c r="N123" s="326"/>
      <c r="O123" s="326"/>
      <c r="P123" s="326"/>
      <c r="Q123" s="326"/>
      <c r="R123" s="326"/>
    </row>
    <row r="124" spans="1:18" ht="11.25" customHeight="1" x14ac:dyDescent="0.25">
      <c r="A124" s="512"/>
      <c r="B124" s="1687"/>
      <c r="C124" s="326"/>
      <c r="D124" s="326"/>
      <c r="E124" s="326"/>
      <c r="F124" s="326"/>
      <c r="G124" s="326"/>
      <c r="H124" s="326"/>
      <c r="I124" s="326"/>
      <c r="J124" s="326"/>
      <c r="K124" s="326"/>
      <c r="L124" s="326"/>
      <c r="M124" s="326"/>
      <c r="N124" s="326"/>
      <c r="O124" s="326"/>
      <c r="P124" s="326"/>
      <c r="Q124" s="326"/>
      <c r="R124" s="326"/>
    </row>
    <row r="125" spans="1:18" ht="4.9000000000000004" customHeight="1" x14ac:dyDescent="0.25">
      <c r="A125" s="512"/>
      <c r="B125" s="1687"/>
      <c r="C125" s="326"/>
      <c r="D125" s="326"/>
      <c r="E125" s="326"/>
      <c r="F125" s="326"/>
      <c r="G125" s="326"/>
      <c r="H125" s="326"/>
      <c r="I125" s="326"/>
      <c r="J125" s="326"/>
      <c r="K125" s="851"/>
      <c r="L125" s="851"/>
      <c r="M125" s="851"/>
      <c r="N125" s="851"/>
      <c r="O125" s="851"/>
      <c r="P125" s="851"/>
      <c r="Q125" s="851"/>
      <c r="R125" s="851"/>
    </row>
    <row r="126" spans="1:18" x14ac:dyDescent="0.25">
      <c r="A126" s="476"/>
      <c r="B126" s="1687"/>
      <c r="C126" s="326"/>
      <c r="D126" s="326"/>
      <c r="E126" s="326"/>
      <c r="F126" s="326"/>
      <c r="G126" s="326"/>
      <c r="H126" s="326"/>
      <c r="I126" s="326"/>
      <c r="J126" s="326"/>
      <c r="K126" s="191"/>
      <c r="L126" s="191"/>
      <c r="M126" s="191"/>
      <c r="N126" s="191"/>
      <c r="O126" s="191"/>
      <c r="P126" s="191"/>
      <c r="Q126" s="191"/>
      <c r="R126" s="191"/>
    </row>
    <row r="127" spans="1:18" x14ac:dyDescent="0.25">
      <c r="A127" s="449"/>
      <c r="C127" s="851"/>
      <c r="D127" s="851"/>
      <c r="E127" s="851"/>
      <c r="F127" s="851"/>
      <c r="G127" s="851"/>
      <c r="H127" s="851"/>
      <c r="I127" s="851"/>
      <c r="J127" s="851"/>
      <c r="K127" s="191"/>
      <c r="L127" s="191"/>
      <c r="M127" s="191"/>
      <c r="N127" s="191"/>
      <c r="O127" s="191"/>
      <c r="P127" s="191"/>
      <c r="Q127" s="191"/>
      <c r="R127" s="191"/>
    </row>
    <row r="128" spans="1:18" x14ac:dyDescent="0.25">
      <c r="A128" s="398"/>
      <c r="C128" s="191"/>
      <c r="D128" s="191"/>
      <c r="E128" s="191"/>
      <c r="F128" s="191"/>
      <c r="G128" s="191"/>
      <c r="H128" s="191"/>
      <c r="I128" s="191"/>
      <c r="J128" s="191"/>
      <c r="K128" s="191"/>
      <c r="L128" s="191"/>
      <c r="M128" s="191"/>
      <c r="N128" s="191"/>
      <c r="O128" s="191"/>
      <c r="P128" s="191"/>
      <c r="Q128" s="191"/>
      <c r="R128" s="191"/>
    </row>
    <row r="129" spans="1:18" x14ac:dyDescent="0.25">
      <c r="A129" s="399"/>
      <c r="C129" s="191"/>
      <c r="D129" s="191"/>
      <c r="E129" s="191"/>
      <c r="F129" s="191"/>
      <c r="G129" s="191"/>
      <c r="H129" s="191"/>
      <c r="I129" s="191"/>
      <c r="J129" s="191"/>
      <c r="K129" s="191"/>
      <c r="L129" s="191"/>
      <c r="M129" s="191"/>
      <c r="N129" s="191"/>
      <c r="O129" s="191"/>
      <c r="P129" s="191"/>
      <c r="Q129" s="191"/>
      <c r="R129" s="191"/>
    </row>
    <row r="130" spans="1:18" x14ac:dyDescent="0.25">
      <c r="A130" s="399"/>
      <c r="C130" s="191"/>
      <c r="D130" s="191"/>
      <c r="E130" s="191"/>
      <c r="F130" s="191"/>
      <c r="G130" s="191"/>
      <c r="H130" s="191"/>
      <c r="I130" s="191"/>
      <c r="J130" s="191"/>
      <c r="K130" s="191"/>
      <c r="L130" s="191"/>
      <c r="M130" s="191"/>
      <c r="N130" s="191"/>
      <c r="O130" s="191"/>
      <c r="P130" s="191"/>
      <c r="Q130" s="191"/>
      <c r="R130" s="191"/>
    </row>
    <row r="131" spans="1:18" x14ac:dyDescent="0.25">
      <c r="A131" s="363"/>
      <c r="C131" s="191"/>
      <c r="D131" s="191"/>
      <c r="E131" s="191"/>
      <c r="F131" s="191"/>
      <c r="G131" s="191"/>
      <c r="H131" s="191"/>
      <c r="I131" s="191"/>
      <c r="J131" s="191"/>
      <c r="K131" s="191"/>
      <c r="L131" s="191"/>
      <c r="M131" s="191"/>
      <c r="N131" s="191"/>
      <c r="O131" s="191"/>
      <c r="P131" s="191"/>
      <c r="Q131" s="191"/>
      <c r="R131" s="191"/>
    </row>
    <row r="132" spans="1:18" x14ac:dyDescent="0.25">
      <c r="A132" s="399"/>
      <c r="C132" s="191"/>
      <c r="D132" s="191"/>
      <c r="E132" s="191"/>
      <c r="F132" s="191"/>
      <c r="G132" s="191"/>
      <c r="H132" s="191"/>
      <c r="I132" s="191"/>
      <c r="J132" s="191"/>
      <c r="K132" s="191"/>
      <c r="L132" s="191"/>
      <c r="M132" s="191"/>
      <c r="N132" s="191"/>
      <c r="O132" s="191"/>
      <c r="P132" s="191"/>
      <c r="Q132" s="191"/>
      <c r="R132" s="191"/>
    </row>
    <row r="133" spans="1:18" ht="11.25" customHeight="1" x14ac:dyDescent="0.25">
      <c r="A133" s="125"/>
      <c r="C133" s="190"/>
      <c r="D133" s="190"/>
      <c r="E133" s="190"/>
      <c r="F133" s="190"/>
      <c r="G133" s="191"/>
      <c r="H133" s="191"/>
      <c r="I133" s="191"/>
      <c r="J133" s="191"/>
    </row>
    <row r="134" spans="1:18" ht="11.25" customHeight="1" x14ac:dyDescent="0.25">
      <c r="A134" s="125"/>
      <c r="C134" s="190"/>
      <c r="D134" s="190"/>
      <c r="E134" s="190"/>
      <c r="F134" s="190"/>
      <c r="G134" s="191"/>
      <c r="H134" s="191"/>
      <c r="I134" s="191"/>
      <c r="J134" s="191"/>
    </row>
    <row r="135" spans="1:18" ht="11.25" customHeight="1" x14ac:dyDescent="0.25"/>
    <row r="136" spans="1:18" ht="11.25" customHeight="1" x14ac:dyDescent="0.25">
      <c r="B136" s="449"/>
    </row>
    <row r="137" spans="1:18" ht="11.25" customHeight="1" x14ac:dyDescent="0.25">
      <c r="B137" s="449"/>
    </row>
    <row r="138" spans="1:18" ht="11.25" customHeight="1" x14ac:dyDescent="0.25">
      <c r="B138" s="449"/>
    </row>
    <row r="139" spans="1:18" ht="11.25" customHeight="1" x14ac:dyDescent="0.25"/>
    <row r="140" spans="1:18" ht="11.25" customHeight="1" x14ac:dyDescent="0.25"/>
    <row r="141" spans="1:18" ht="11.25" customHeight="1" x14ac:dyDescent="0.25"/>
    <row r="142" spans="1:18" ht="11.25" customHeight="1" x14ac:dyDescent="0.25"/>
    <row r="143" spans="1:18" ht="11.25" customHeight="1" x14ac:dyDescent="0.25"/>
    <row r="144" spans="1:18" ht="11.25" customHeight="1" x14ac:dyDescent="0.25"/>
    <row r="145" ht="11.25" customHeight="1" x14ac:dyDescent="0.25"/>
    <row r="146" ht="11.25" customHeight="1" x14ac:dyDescent="0.25"/>
    <row r="147" ht="11.25" customHeight="1" x14ac:dyDescent="0.25"/>
    <row r="148" ht="11.25" customHeight="1" x14ac:dyDescent="0.25"/>
    <row r="149" ht="11.25" customHeight="1" x14ac:dyDescent="0.25"/>
    <row r="150" ht="11.25" customHeight="1" x14ac:dyDescent="0.25"/>
    <row r="151" ht="11.25" customHeight="1" x14ac:dyDescent="0.25"/>
    <row r="152" ht="11.25" customHeight="1" x14ac:dyDescent="0.25"/>
    <row r="153" ht="11.25" customHeight="1" x14ac:dyDescent="0.25"/>
    <row r="154" ht="11.25" customHeight="1" x14ac:dyDescent="0.25"/>
    <row r="155" ht="11.25" customHeight="1" x14ac:dyDescent="0.25"/>
    <row r="156" ht="11.25" customHeight="1" x14ac:dyDescent="0.25"/>
    <row r="157" ht="11.25" customHeight="1" x14ac:dyDescent="0.25"/>
    <row r="158" ht="11.25" customHeight="1" x14ac:dyDescent="0.25"/>
    <row r="159" ht="11.25" customHeight="1" x14ac:dyDescent="0.25"/>
    <row r="160" ht="11.25" customHeight="1" x14ac:dyDescent="0.25"/>
    <row r="161" ht="11.25" customHeight="1" x14ac:dyDescent="0.25"/>
    <row r="162" ht="11.25" customHeight="1" x14ac:dyDescent="0.25"/>
    <row r="163" ht="11.25" customHeight="1" x14ac:dyDescent="0.25"/>
    <row r="164" ht="11.25" customHeight="1" x14ac:dyDescent="0.25"/>
    <row r="165" ht="11.25" customHeight="1" x14ac:dyDescent="0.25"/>
    <row r="166" ht="11.25" customHeight="1" x14ac:dyDescent="0.25"/>
  </sheetData>
  <mergeCells count="14">
    <mergeCell ref="G94:G95"/>
    <mergeCell ref="A94:A95"/>
    <mergeCell ref="B94:B95"/>
    <mergeCell ref="C94:C95"/>
    <mergeCell ref="D94:D95"/>
    <mergeCell ref="E94:E95"/>
    <mergeCell ref="F94:F95"/>
    <mergeCell ref="G2:G3"/>
    <mergeCell ref="A2:A3"/>
    <mergeCell ref="B2:B3"/>
    <mergeCell ref="C2:C3"/>
    <mergeCell ref="D2:D3"/>
    <mergeCell ref="E2:E3"/>
    <mergeCell ref="F2:F3"/>
  </mergeCells>
  <dataValidations count="6">
    <dataValidation type="list" allowBlank="1" showInputMessage="1" showErrorMessage="1" promptTitle="Select" prompt="Select one" sqref="K18:R18" xr:uid="{00000000-0002-0000-2100-000000000000}">
      <formula1>List3</formula1>
    </dataValidation>
    <dataValidation type="list" allowBlank="1" showInputMessage="1" showErrorMessage="1" promptTitle="Select" prompt="Select one" sqref="K80:R81 C80:C81 K17:R17" xr:uid="{00000000-0002-0000-2100-000001000000}">
      <formula1>List2</formula1>
    </dataValidation>
    <dataValidation type="list" allowBlank="1" showInputMessage="1" showErrorMessage="1" promptTitle="Select" prompt="Select one" sqref="K82:R82 C82 K19:R19" xr:uid="{00000000-0002-0000-2100-000002000000}">
      <formula1>List4</formula1>
    </dataValidation>
    <dataValidation type="list" allowBlank="1" showInputMessage="1" showErrorMessage="1" promptTitle="Select" prompt="Select one" sqref="K83:R83 K20:R20" xr:uid="{00000000-0002-0000-2100-000003000000}">
      <formula1>List5</formula1>
    </dataValidation>
    <dataValidation type="list" showInputMessage="1" showErrorMessage="1" promptTitle="Guidance" prompt="Select Yes or No" sqref="K85:R86 K22:R23" xr:uid="{00000000-0002-0000-2100-000004000000}">
      <formula1>List6</formula1>
    </dataValidation>
    <dataValidation type="list" showInputMessage="1" showErrorMessage="1" promptTitle="Guidance" prompt="Select Uniform or Variable" sqref="K87:R87 K24:R24" xr:uid="{00000000-0002-0000-2100-000005000000}">
      <formula1>List7</formula1>
    </dataValidation>
  </dataValidations>
  <printOptions horizontalCentered="1"/>
  <pageMargins left="0" right="0" top="0.59055118110236227" bottom="0.24" header="0.51181102362204722" footer="0.23622047244094491"/>
  <pageSetup paperSize="9" scale="75" orientation="landscape" r:id="rId1"/>
  <headerFooter alignWithMargins="0"/>
  <rowBreaks count="1" manualBreakCount="1">
    <brk id="56" max="16383" man="1"/>
  </row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66"/>
  <dimension ref="A1:S167"/>
  <sheetViews>
    <sheetView showGridLines="0" zoomScale="110" zoomScaleNormal="110" workbookViewId="0">
      <selection activeCell="A18" sqref="A18"/>
    </sheetView>
  </sheetViews>
  <sheetFormatPr defaultColWidth="9.140625" defaultRowHeight="12.75" x14ac:dyDescent="0.25"/>
  <cols>
    <col min="1" max="1" width="31.42578125" style="126" customWidth="1"/>
    <col min="2" max="2" width="3.7109375" style="513" customWidth="1"/>
    <col min="3" max="3" width="17.7109375" style="126" customWidth="1"/>
    <col min="4" max="10" width="9.28515625" style="126" customWidth="1"/>
    <col min="11" max="18" width="8.140625" style="126" customWidth="1"/>
    <col min="19" max="19" width="9.7109375" style="126" customWidth="1"/>
    <col min="20" max="20" width="9.42578125" style="126" customWidth="1"/>
    <col min="21" max="21" width="9.7109375" style="126" customWidth="1"/>
    <col min="22" max="24" width="9.42578125" style="126" customWidth="1"/>
    <col min="25" max="25" width="9.7109375" style="126" customWidth="1"/>
    <col min="26" max="28" width="9.42578125" style="126" customWidth="1"/>
    <col min="29" max="30" width="9.7109375" style="126" customWidth="1"/>
    <col min="31" max="16384" width="9.140625" style="126"/>
  </cols>
  <sheetData>
    <row r="1" spans="1:18" ht="13.5" x14ac:dyDescent="0.25">
      <c r="A1" s="482" t="str">
        <f>muni&amp;" - "&amp;TableA13b</f>
        <v>KZN226 Mkhambathini - Supporting Table SA13b Service Tariffs by category - explanatory</v>
      </c>
      <c r="B1" s="92"/>
      <c r="C1" s="92"/>
      <c r="D1" s="92"/>
      <c r="E1" s="92"/>
      <c r="F1" s="92"/>
      <c r="G1" s="92"/>
      <c r="H1" s="92"/>
      <c r="I1" s="92"/>
      <c r="J1" s="92"/>
      <c r="K1" s="671"/>
      <c r="L1" s="671"/>
      <c r="M1" s="671"/>
      <c r="N1" s="671"/>
      <c r="O1" s="671"/>
      <c r="P1" s="671"/>
      <c r="Q1" s="671"/>
      <c r="R1" s="671"/>
    </row>
    <row r="2" spans="1:18" ht="25.15" customHeight="1" x14ac:dyDescent="0.25">
      <c r="A2" s="2499" t="str">
        <f>desc</f>
        <v>Description</v>
      </c>
      <c r="B2" s="2470" t="str">
        <f>head27</f>
        <v>Ref</v>
      </c>
      <c r="C2" s="2497" t="s">
        <v>1828</v>
      </c>
      <c r="D2" s="2497" t="str">
        <f>head1b</f>
        <v>2017/18</v>
      </c>
      <c r="E2" s="2497" t="str">
        <f>head1A</f>
        <v>2018/19</v>
      </c>
      <c r="F2" s="2478" t="str">
        <f>Head1</f>
        <v>2019/20</v>
      </c>
      <c r="G2" s="2489" t="str">
        <f>Head2</f>
        <v>Current Year 2020/21</v>
      </c>
      <c r="H2" s="483" t="str">
        <f>Head3</f>
        <v>2021/22 Medium Term Revenue &amp; Expenditure Framework</v>
      </c>
      <c r="I2" s="484"/>
      <c r="J2" s="485"/>
      <c r="K2" s="1683"/>
      <c r="L2" s="1683"/>
      <c r="M2" s="1683"/>
      <c r="N2" s="1683"/>
      <c r="O2" s="1683"/>
      <c r="P2" s="1683"/>
      <c r="Q2" s="1683"/>
      <c r="R2" s="1683"/>
    </row>
    <row r="3" spans="1:18" ht="25.15" customHeight="1" x14ac:dyDescent="0.25">
      <c r="A3" s="2501"/>
      <c r="B3" s="2471"/>
      <c r="C3" s="2498"/>
      <c r="D3" s="2498"/>
      <c r="E3" s="2498"/>
      <c r="F3" s="2479"/>
      <c r="G3" s="2490"/>
      <c r="H3" s="526" t="str">
        <f>Head9</f>
        <v>Budget Year 2021/22</v>
      </c>
      <c r="I3" s="527" t="str">
        <f>Head10</f>
        <v>Budget Year +1 2022/23</v>
      </c>
      <c r="J3" s="528" t="str">
        <f>Head11</f>
        <v>Budget Year +2 2023/24</v>
      </c>
      <c r="K3" s="191"/>
      <c r="L3" s="191"/>
      <c r="M3" s="191"/>
      <c r="N3" s="191"/>
      <c r="O3" s="191"/>
      <c r="P3" s="191"/>
      <c r="Q3" s="191"/>
      <c r="R3" s="191"/>
    </row>
    <row r="4" spans="1:18" ht="12.75" customHeight="1" x14ac:dyDescent="0.25">
      <c r="A4" s="487" t="s">
        <v>1850</v>
      </c>
      <c r="B4" s="494"/>
      <c r="C4" s="495"/>
      <c r="D4" s="495"/>
      <c r="E4" s="495"/>
      <c r="F4" s="496"/>
      <c r="G4" s="497"/>
      <c r="H4" s="497"/>
      <c r="I4" s="495"/>
      <c r="J4" s="496"/>
      <c r="K4" s="191"/>
      <c r="L4" s="191"/>
      <c r="M4" s="191"/>
      <c r="N4" s="191"/>
      <c r="O4" s="191"/>
      <c r="P4" s="191"/>
      <c r="Q4" s="191"/>
      <c r="R4" s="191"/>
    </row>
    <row r="5" spans="1:18" ht="12.75" customHeight="1" x14ac:dyDescent="0.25">
      <c r="A5" s="1706" t="s">
        <v>1998</v>
      </c>
      <c r="B5" s="494"/>
      <c r="C5" s="1693"/>
      <c r="D5" s="1693"/>
      <c r="E5" s="1693"/>
      <c r="F5" s="1697"/>
      <c r="G5" s="1698"/>
      <c r="H5" s="1698"/>
      <c r="I5" s="1693"/>
      <c r="J5" s="1697"/>
      <c r="K5" s="1685"/>
      <c r="L5" s="1685"/>
      <c r="M5" s="1685"/>
      <c r="N5" s="1685"/>
      <c r="O5" s="1685"/>
      <c r="P5" s="1685"/>
      <c r="Q5" s="1685"/>
      <c r="R5" s="1685"/>
    </row>
    <row r="6" spans="1:18" ht="12.75" customHeight="1" x14ac:dyDescent="0.25">
      <c r="A6" s="1706"/>
      <c r="B6" s="493"/>
      <c r="C6" s="1693"/>
      <c r="D6" s="1693"/>
      <c r="E6" s="1693"/>
      <c r="F6" s="1697"/>
      <c r="G6" s="1698"/>
      <c r="H6" s="1698"/>
      <c r="I6" s="1693"/>
      <c r="J6" s="1697"/>
      <c r="K6" s="1685"/>
      <c r="L6" s="1685"/>
      <c r="M6" s="1685"/>
      <c r="N6" s="1685"/>
      <c r="O6" s="1685"/>
      <c r="P6" s="1685"/>
      <c r="Q6" s="1685"/>
      <c r="R6" s="1685"/>
    </row>
    <row r="7" spans="1:18" ht="12.75" customHeight="1" x14ac:dyDescent="0.25">
      <c r="A7" s="1706"/>
      <c r="B7" s="493"/>
      <c r="C7" s="1693"/>
      <c r="D7" s="1693"/>
      <c r="E7" s="1693"/>
      <c r="F7" s="1697"/>
      <c r="G7" s="1698"/>
      <c r="H7" s="1698"/>
      <c r="I7" s="1693"/>
      <c r="J7" s="1697"/>
      <c r="K7" s="1685"/>
      <c r="L7" s="1685"/>
      <c r="M7" s="1685"/>
      <c r="N7" s="1685"/>
      <c r="O7" s="1685"/>
      <c r="P7" s="1685"/>
      <c r="Q7" s="1685"/>
      <c r="R7" s="1685"/>
    </row>
    <row r="8" spans="1:18" ht="12.75" customHeight="1" x14ac:dyDescent="0.25">
      <c r="A8" s="1706"/>
      <c r="B8" s="493"/>
      <c r="C8" s="1693"/>
      <c r="D8" s="1693"/>
      <c r="E8" s="1693"/>
      <c r="F8" s="1697"/>
      <c r="G8" s="1698"/>
      <c r="H8" s="1698"/>
      <c r="I8" s="1693"/>
      <c r="J8" s="1697"/>
      <c r="K8" s="1685"/>
      <c r="L8" s="1685"/>
      <c r="M8" s="1685"/>
      <c r="N8" s="1685"/>
      <c r="O8" s="1685"/>
      <c r="P8" s="1685"/>
      <c r="Q8" s="1685"/>
      <c r="R8" s="1685"/>
    </row>
    <row r="9" spans="1:18" ht="12.75" customHeight="1" x14ac:dyDescent="0.25">
      <c r="A9" s="1706"/>
      <c r="B9" s="493"/>
      <c r="C9" s="1693"/>
      <c r="D9" s="1693"/>
      <c r="E9" s="1693"/>
      <c r="F9" s="1697"/>
      <c r="G9" s="1698"/>
      <c r="H9" s="1698"/>
      <c r="I9" s="1693"/>
      <c r="J9" s="1697"/>
      <c r="K9" s="1685"/>
      <c r="L9" s="1685"/>
      <c r="M9" s="1685"/>
      <c r="N9" s="1685"/>
      <c r="O9" s="1685"/>
      <c r="P9" s="1685"/>
      <c r="Q9" s="1685"/>
      <c r="R9" s="1685"/>
    </row>
    <row r="10" spans="1:18" ht="12.75" customHeight="1" x14ac:dyDescent="0.25">
      <c r="A10" s="1706"/>
      <c r="B10" s="493"/>
      <c r="C10" s="1693"/>
      <c r="D10" s="1693"/>
      <c r="E10" s="1693"/>
      <c r="F10" s="1697"/>
      <c r="G10" s="1698"/>
      <c r="H10" s="1698"/>
      <c r="I10" s="1693"/>
      <c r="J10" s="1697"/>
      <c r="K10" s="1685"/>
      <c r="L10" s="1685"/>
      <c r="M10" s="1685"/>
      <c r="N10" s="1685"/>
      <c r="O10" s="1685"/>
      <c r="P10" s="1685"/>
      <c r="Q10" s="1685"/>
      <c r="R10" s="1685"/>
    </row>
    <row r="11" spans="1:18" ht="12.75" customHeight="1" x14ac:dyDescent="0.25">
      <c r="A11" s="1706"/>
      <c r="B11" s="493"/>
      <c r="C11" s="1693"/>
      <c r="D11" s="1693"/>
      <c r="E11" s="1693"/>
      <c r="F11" s="1697"/>
      <c r="G11" s="1698"/>
      <c r="H11" s="1698"/>
      <c r="I11" s="1693"/>
      <c r="J11" s="1697"/>
      <c r="K11" s="1685"/>
      <c r="L11" s="1685"/>
      <c r="M11" s="1685"/>
      <c r="N11" s="1685"/>
      <c r="O11" s="1685"/>
      <c r="P11" s="1685"/>
      <c r="Q11" s="1685"/>
      <c r="R11" s="1685"/>
    </row>
    <row r="12" spans="1:18" ht="12.75" customHeight="1" x14ac:dyDescent="0.25">
      <c r="A12" s="1706"/>
      <c r="B12" s="493"/>
      <c r="C12" s="1693"/>
      <c r="D12" s="1693"/>
      <c r="E12" s="1693"/>
      <c r="F12" s="1697"/>
      <c r="G12" s="1698"/>
      <c r="H12" s="1698"/>
      <c r="I12" s="1693"/>
      <c r="J12" s="1697"/>
      <c r="K12" s="1685"/>
      <c r="L12" s="1685"/>
      <c r="M12" s="1685"/>
      <c r="N12" s="1685"/>
      <c r="O12" s="1685"/>
      <c r="P12" s="1685"/>
      <c r="Q12" s="1685"/>
      <c r="R12" s="1685"/>
    </row>
    <row r="13" spans="1:18" ht="6" customHeight="1" x14ac:dyDescent="0.25">
      <c r="A13" s="500"/>
      <c r="B13" s="494"/>
      <c r="C13" s="494"/>
      <c r="D13" s="501"/>
      <c r="E13" s="501"/>
      <c r="F13" s="502"/>
      <c r="G13" s="503"/>
      <c r="H13" s="503"/>
      <c r="I13" s="501"/>
      <c r="J13" s="502"/>
      <c r="K13" s="1685"/>
      <c r="L13" s="1685"/>
      <c r="M13" s="1685"/>
      <c r="N13" s="1685"/>
      <c r="O13" s="1685"/>
      <c r="P13" s="1685"/>
      <c r="Q13" s="1685"/>
      <c r="R13" s="1685"/>
    </row>
    <row r="14" spans="1:18" ht="12.75" customHeight="1" x14ac:dyDescent="0.25">
      <c r="A14" s="487" t="s">
        <v>1856</v>
      </c>
      <c r="B14" s="494"/>
      <c r="C14" s="494"/>
      <c r="D14" s="495"/>
      <c r="E14" s="495"/>
      <c r="F14" s="496"/>
      <c r="G14" s="497"/>
      <c r="H14" s="497"/>
      <c r="I14" s="495"/>
      <c r="J14" s="496"/>
      <c r="K14" s="1685"/>
      <c r="L14" s="1685"/>
      <c r="M14" s="1685"/>
      <c r="N14" s="1685"/>
      <c r="O14" s="1685"/>
      <c r="P14" s="1685"/>
      <c r="Q14" s="1685"/>
      <c r="R14" s="1685"/>
    </row>
    <row r="15" spans="1:18" ht="12.75" customHeight="1" x14ac:dyDescent="0.25">
      <c r="A15" s="1706" t="s">
        <v>1991</v>
      </c>
      <c r="B15" s="493"/>
      <c r="C15" s="1693" t="s">
        <v>1864</v>
      </c>
      <c r="D15" s="1693"/>
      <c r="E15" s="1693"/>
      <c r="F15" s="1697"/>
      <c r="G15" s="1698"/>
      <c r="H15" s="1698"/>
      <c r="I15" s="1693"/>
      <c r="J15" s="1697"/>
      <c r="K15" s="1685"/>
      <c r="L15" s="1685"/>
      <c r="M15" s="1685"/>
      <c r="N15" s="1685"/>
      <c r="O15" s="1685"/>
      <c r="P15" s="1685"/>
      <c r="Q15" s="1685"/>
      <c r="R15" s="1685"/>
    </row>
    <row r="16" spans="1:18" ht="12.75" customHeight="1" x14ac:dyDescent="0.25">
      <c r="A16" s="1706"/>
      <c r="B16" s="493"/>
      <c r="C16" s="1693" t="s">
        <v>1864</v>
      </c>
      <c r="D16" s="1693"/>
      <c r="E16" s="1693"/>
      <c r="F16" s="1697"/>
      <c r="G16" s="1698"/>
      <c r="H16" s="1698"/>
      <c r="I16" s="1693"/>
      <c r="J16" s="1697"/>
      <c r="K16" s="469"/>
      <c r="L16" s="469"/>
      <c r="M16" s="469"/>
      <c r="N16" s="469"/>
      <c r="O16" s="469"/>
      <c r="P16" s="469"/>
      <c r="Q16" s="469"/>
      <c r="R16" s="469"/>
    </row>
    <row r="17" spans="1:18" ht="12.75" customHeight="1" x14ac:dyDescent="0.25">
      <c r="A17" s="1706"/>
      <c r="B17" s="493"/>
      <c r="C17" s="1693" t="s">
        <v>1864</v>
      </c>
      <c r="D17" s="1693"/>
      <c r="E17" s="1693"/>
      <c r="F17" s="1697"/>
      <c r="G17" s="1698"/>
      <c r="H17" s="1698"/>
      <c r="I17" s="1693"/>
      <c r="J17" s="1697"/>
      <c r="K17" s="513"/>
      <c r="L17" s="513"/>
      <c r="M17" s="513"/>
      <c r="N17" s="513"/>
      <c r="O17" s="513"/>
      <c r="P17" s="513"/>
      <c r="Q17" s="513"/>
      <c r="R17" s="513"/>
    </row>
    <row r="18" spans="1:18" ht="12.75" customHeight="1" x14ac:dyDescent="0.25">
      <c r="A18" s="1706"/>
      <c r="B18" s="493"/>
      <c r="C18" s="1693" t="s">
        <v>1864</v>
      </c>
      <c r="D18" s="1693"/>
      <c r="E18" s="1693"/>
      <c r="F18" s="1697"/>
      <c r="G18" s="1698"/>
      <c r="H18" s="1698"/>
      <c r="I18" s="1693"/>
      <c r="J18" s="1697"/>
      <c r="K18" s="1686"/>
      <c r="L18" s="1686"/>
      <c r="M18" s="1686"/>
      <c r="N18" s="1686"/>
      <c r="O18" s="1686"/>
      <c r="P18" s="1686"/>
      <c r="Q18" s="1686"/>
      <c r="R18" s="1686"/>
    </row>
    <row r="19" spans="1:18" ht="12.75" customHeight="1" x14ac:dyDescent="0.25">
      <c r="A19" s="1706"/>
      <c r="B19" s="493"/>
      <c r="C19" s="1693" t="s">
        <v>1864</v>
      </c>
      <c r="D19" s="1693"/>
      <c r="E19" s="1693"/>
      <c r="F19" s="1697"/>
      <c r="G19" s="1698"/>
      <c r="H19" s="1698"/>
      <c r="I19" s="1693"/>
      <c r="J19" s="1697"/>
      <c r="K19" s="513"/>
      <c r="L19" s="513"/>
      <c r="M19" s="513"/>
      <c r="N19" s="513"/>
      <c r="O19" s="513"/>
      <c r="P19" s="513"/>
      <c r="Q19" s="513"/>
      <c r="R19" s="513"/>
    </row>
    <row r="20" spans="1:18" ht="12.75" customHeight="1" x14ac:dyDescent="0.25">
      <c r="A20" s="1706"/>
      <c r="B20" s="493"/>
      <c r="C20" s="1693" t="s">
        <v>1864</v>
      </c>
      <c r="D20" s="1693"/>
      <c r="E20" s="1693"/>
      <c r="F20" s="1697"/>
      <c r="G20" s="1698"/>
      <c r="H20" s="1698"/>
      <c r="I20" s="1693"/>
      <c r="J20" s="1697"/>
      <c r="K20" s="513"/>
      <c r="L20" s="513"/>
      <c r="M20" s="513"/>
      <c r="N20" s="513"/>
      <c r="O20" s="513"/>
      <c r="P20" s="513"/>
      <c r="Q20" s="513"/>
      <c r="R20" s="513"/>
    </row>
    <row r="21" spans="1:18" ht="12.75" customHeight="1" x14ac:dyDescent="0.25">
      <c r="A21" s="1706"/>
      <c r="B21" s="493"/>
      <c r="C21" s="1693" t="s">
        <v>1864</v>
      </c>
      <c r="D21" s="1693"/>
      <c r="E21" s="1693"/>
      <c r="F21" s="1697"/>
      <c r="G21" s="1698"/>
      <c r="H21" s="1698"/>
      <c r="I21" s="1693"/>
      <c r="J21" s="1697"/>
      <c r="K21" s="513"/>
      <c r="L21" s="513"/>
      <c r="M21" s="513"/>
      <c r="N21" s="513"/>
      <c r="O21" s="513"/>
      <c r="P21" s="513"/>
      <c r="Q21" s="513"/>
      <c r="R21" s="513"/>
    </row>
    <row r="22" spans="1:18" ht="12.75" customHeight="1" x14ac:dyDescent="0.25">
      <c r="A22" s="1706"/>
      <c r="B22" s="493"/>
      <c r="C22" s="1693" t="s">
        <v>1864</v>
      </c>
      <c r="D22" s="1693"/>
      <c r="E22" s="1693"/>
      <c r="F22" s="1697"/>
      <c r="G22" s="1698"/>
      <c r="H22" s="1698"/>
      <c r="I22" s="1693"/>
      <c r="J22" s="1697"/>
      <c r="K22" s="513"/>
      <c r="L22" s="513"/>
      <c r="M22" s="513"/>
      <c r="N22" s="513"/>
      <c r="O22" s="513"/>
      <c r="P22" s="513"/>
      <c r="Q22" s="513"/>
      <c r="R22" s="513"/>
    </row>
    <row r="23" spans="1:18" ht="12.75" customHeight="1" x14ac:dyDescent="0.25">
      <c r="A23" s="1706"/>
      <c r="B23" s="493"/>
      <c r="C23" s="1693" t="s">
        <v>1864</v>
      </c>
      <c r="D23" s="1693"/>
      <c r="E23" s="1693"/>
      <c r="F23" s="1697"/>
      <c r="G23" s="1698"/>
      <c r="H23" s="1698"/>
      <c r="I23" s="1693"/>
      <c r="J23" s="1697"/>
      <c r="K23" s="513"/>
      <c r="L23" s="513"/>
      <c r="M23" s="513"/>
      <c r="N23" s="513"/>
      <c r="O23" s="513"/>
      <c r="P23" s="513"/>
      <c r="Q23" s="513"/>
      <c r="R23" s="513"/>
    </row>
    <row r="24" spans="1:18" ht="12.75" customHeight="1" x14ac:dyDescent="0.25">
      <c r="A24" s="1706"/>
      <c r="B24" s="493"/>
      <c r="C24" s="1693" t="s">
        <v>1864</v>
      </c>
      <c r="D24" s="1693"/>
      <c r="E24" s="1693"/>
      <c r="F24" s="1697"/>
      <c r="G24" s="1698"/>
      <c r="H24" s="1698"/>
      <c r="I24" s="1693"/>
      <c r="J24" s="1697"/>
      <c r="K24" s="513"/>
      <c r="L24" s="513"/>
      <c r="M24" s="513"/>
      <c r="N24" s="513"/>
      <c r="O24" s="513"/>
      <c r="P24" s="513"/>
      <c r="Q24" s="513"/>
      <c r="R24" s="513"/>
    </row>
    <row r="25" spans="1:18" ht="6" customHeight="1" x14ac:dyDescent="0.25">
      <c r="A25" s="176"/>
      <c r="B25" s="493"/>
      <c r="C25" s="494"/>
      <c r="D25" s="495"/>
      <c r="E25" s="495"/>
      <c r="F25" s="496"/>
      <c r="G25" s="497"/>
      <c r="H25" s="497"/>
      <c r="I25" s="495"/>
      <c r="J25" s="496"/>
      <c r="K25" s="1584"/>
      <c r="L25" s="1584"/>
      <c r="M25" s="1584"/>
      <c r="N25" s="1584"/>
      <c r="O25" s="1584"/>
      <c r="P25" s="1584"/>
      <c r="Q25" s="1584"/>
      <c r="R25" s="1584"/>
    </row>
    <row r="26" spans="1:18" ht="12.75" customHeight="1" x14ac:dyDescent="0.25">
      <c r="A26" s="487" t="s">
        <v>1868</v>
      </c>
      <c r="B26" s="493"/>
      <c r="C26" s="494"/>
      <c r="D26" s="495"/>
      <c r="E26" s="495"/>
      <c r="F26" s="496"/>
      <c r="G26" s="497"/>
      <c r="H26" s="497"/>
      <c r="I26" s="495"/>
      <c r="J26" s="496"/>
      <c r="K26" s="1584"/>
      <c r="L26" s="1584"/>
      <c r="M26" s="1584"/>
      <c r="N26" s="1584"/>
      <c r="O26" s="1584"/>
      <c r="P26" s="1584"/>
      <c r="Q26" s="1584"/>
      <c r="R26" s="1584"/>
    </row>
    <row r="27" spans="1:18" ht="12.75" customHeight="1" x14ac:dyDescent="0.25">
      <c r="A27" s="1706" t="s">
        <v>1991</v>
      </c>
      <c r="B27" s="493"/>
      <c r="C27" s="1693" t="s">
        <v>1871</v>
      </c>
      <c r="D27" s="1693"/>
      <c r="E27" s="1693"/>
      <c r="F27" s="1697"/>
      <c r="G27" s="1698"/>
      <c r="H27" s="1698"/>
      <c r="I27" s="1693"/>
      <c r="J27" s="1697"/>
      <c r="K27" s="514"/>
      <c r="L27" s="514"/>
      <c r="M27" s="514"/>
      <c r="N27" s="514"/>
      <c r="O27" s="514"/>
      <c r="P27" s="514"/>
      <c r="Q27" s="514"/>
      <c r="R27" s="514"/>
    </row>
    <row r="28" spans="1:18" ht="12.75" customHeight="1" x14ac:dyDescent="0.25">
      <c r="A28" s="1706"/>
      <c r="B28" s="493"/>
      <c r="C28" s="1693" t="s">
        <v>1871</v>
      </c>
      <c r="D28" s="1693"/>
      <c r="E28" s="1693"/>
      <c r="F28" s="1697"/>
      <c r="G28" s="1698"/>
      <c r="H28" s="1698"/>
      <c r="I28" s="1693"/>
      <c r="J28" s="1697"/>
      <c r="K28" s="514"/>
      <c r="L28" s="514"/>
      <c r="M28" s="514"/>
      <c r="N28" s="514"/>
      <c r="O28" s="514"/>
      <c r="P28" s="514"/>
      <c r="Q28" s="514"/>
      <c r="R28" s="514"/>
    </row>
    <row r="29" spans="1:18" ht="12.75" customHeight="1" x14ac:dyDescent="0.25">
      <c r="A29" s="1706"/>
      <c r="B29" s="493"/>
      <c r="C29" s="1693" t="s">
        <v>1871</v>
      </c>
      <c r="D29" s="1693"/>
      <c r="E29" s="1693"/>
      <c r="F29" s="1697"/>
      <c r="G29" s="1698"/>
      <c r="H29" s="1698"/>
      <c r="I29" s="1693"/>
      <c r="J29" s="1697"/>
      <c r="K29" s="514"/>
      <c r="L29" s="514"/>
      <c r="M29" s="514"/>
      <c r="N29" s="514"/>
      <c r="O29" s="514"/>
      <c r="P29" s="514"/>
      <c r="Q29" s="514"/>
      <c r="R29" s="514"/>
    </row>
    <row r="30" spans="1:18" ht="12.75" customHeight="1" x14ac:dyDescent="0.25">
      <c r="A30" s="1706"/>
      <c r="B30" s="493"/>
      <c r="C30" s="1693" t="s">
        <v>1871</v>
      </c>
      <c r="D30" s="1693"/>
      <c r="E30" s="1693"/>
      <c r="F30" s="1697"/>
      <c r="G30" s="1698"/>
      <c r="H30" s="1698"/>
      <c r="I30" s="1693"/>
      <c r="J30" s="1697"/>
      <c r="K30" s="514"/>
      <c r="L30" s="514"/>
      <c r="M30" s="514"/>
      <c r="N30" s="514"/>
      <c r="O30" s="514"/>
      <c r="P30" s="514"/>
      <c r="Q30" s="514"/>
      <c r="R30" s="514"/>
    </row>
    <row r="31" spans="1:18" ht="12.75" customHeight="1" x14ac:dyDescent="0.25">
      <c r="A31" s="1706"/>
      <c r="B31" s="493"/>
      <c r="C31" s="1693" t="s">
        <v>1871</v>
      </c>
      <c r="D31" s="1693"/>
      <c r="E31" s="1693"/>
      <c r="F31" s="1697"/>
      <c r="G31" s="1698"/>
      <c r="H31" s="1698"/>
      <c r="I31" s="1693"/>
      <c r="J31" s="1697"/>
      <c r="K31" s="514"/>
      <c r="L31" s="514"/>
      <c r="M31" s="514"/>
      <c r="N31" s="514"/>
      <c r="O31" s="514"/>
      <c r="P31" s="514"/>
      <c r="Q31" s="514"/>
      <c r="R31" s="514"/>
    </row>
    <row r="32" spans="1:18" ht="12.75" customHeight="1" x14ac:dyDescent="0.25">
      <c r="A32" s="1706"/>
      <c r="B32" s="493"/>
      <c r="C32" s="1693" t="s">
        <v>1871</v>
      </c>
      <c r="D32" s="1693"/>
      <c r="E32" s="1693"/>
      <c r="F32" s="1697"/>
      <c r="G32" s="1698"/>
      <c r="H32" s="1698"/>
      <c r="I32" s="1693"/>
      <c r="J32" s="1697"/>
      <c r="K32" s="514"/>
      <c r="L32" s="514"/>
      <c r="M32" s="514"/>
      <c r="N32" s="514"/>
      <c r="O32" s="514"/>
      <c r="P32" s="514"/>
      <c r="Q32" s="514"/>
      <c r="R32" s="514"/>
    </row>
    <row r="33" spans="1:19" ht="12.75" customHeight="1" x14ac:dyDescent="0.25">
      <c r="A33" s="1706"/>
      <c r="B33" s="493"/>
      <c r="C33" s="1693" t="s">
        <v>1871</v>
      </c>
      <c r="D33" s="1693"/>
      <c r="E33" s="1693"/>
      <c r="F33" s="1697"/>
      <c r="G33" s="1698"/>
      <c r="H33" s="1698"/>
      <c r="I33" s="1693"/>
      <c r="J33" s="1697"/>
      <c r="K33" s="514"/>
      <c r="L33" s="514"/>
      <c r="M33" s="514"/>
      <c r="N33" s="514"/>
      <c r="O33" s="514"/>
      <c r="P33" s="514"/>
      <c r="Q33" s="514"/>
      <c r="R33" s="514"/>
    </row>
    <row r="34" spans="1:19" ht="12.75" customHeight="1" x14ac:dyDescent="0.25">
      <c r="A34" s="1706"/>
      <c r="B34" s="493"/>
      <c r="C34" s="1693" t="s">
        <v>1871</v>
      </c>
      <c r="D34" s="1693"/>
      <c r="E34" s="1693"/>
      <c r="F34" s="1697"/>
      <c r="G34" s="1698"/>
      <c r="H34" s="1698"/>
      <c r="I34" s="1693"/>
      <c r="J34" s="1697"/>
      <c r="K34" s="662"/>
      <c r="L34" s="662"/>
      <c r="M34" s="662"/>
      <c r="N34" s="662"/>
      <c r="O34" s="662"/>
      <c r="P34" s="662"/>
      <c r="Q34" s="662"/>
      <c r="R34" s="662"/>
    </row>
    <row r="35" spans="1:19" ht="12.75" customHeight="1" x14ac:dyDescent="0.25">
      <c r="A35" s="1706"/>
      <c r="B35" s="493"/>
      <c r="C35" s="1693" t="s">
        <v>1871</v>
      </c>
      <c r="D35" s="1693"/>
      <c r="E35" s="1693"/>
      <c r="F35" s="1697"/>
      <c r="G35" s="1698"/>
      <c r="H35" s="1698"/>
      <c r="I35" s="1693"/>
      <c r="J35" s="1697"/>
      <c r="K35" s="662"/>
      <c r="L35" s="662"/>
      <c r="M35" s="662"/>
      <c r="N35" s="662"/>
      <c r="O35" s="662"/>
      <c r="P35" s="662"/>
      <c r="Q35" s="662"/>
      <c r="R35" s="662"/>
    </row>
    <row r="36" spans="1:19" ht="4.9000000000000004" customHeight="1" x14ac:dyDescent="0.25">
      <c r="A36" s="504"/>
      <c r="B36" s="494"/>
      <c r="C36" s="494"/>
      <c r="D36" s="495"/>
      <c r="E36" s="495"/>
      <c r="F36" s="496"/>
      <c r="G36" s="497"/>
      <c r="H36" s="497"/>
      <c r="I36" s="495"/>
      <c r="J36" s="496"/>
      <c r="K36" s="1689"/>
      <c r="L36" s="1689"/>
      <c r="M36" s="1689"/>
      <c r="N36" s="1689"/>
      <c r="O36" s="1689"/>
      <c r="P36" s="1689"/>
      <c r="Q36" s="1689"/>
      <c r="R36" s="1689"/>
    </row>
    <row r="37" spans="1:19" ht="12.75" customHeight="1" x14ac:dyDescent="0.25">
      <c r="A37" s="487" t="s">
        <v>1875</v>
      </c>
      <c r="B37" s="493"/>
      <c r="C37" s="494"/>
      <c r="D37" s="495"/>
      <c r="E37" s="495"/>
      <c r="F37" s="496"/>
      <c r="G37" s="497"/>
      <c r="H37" s="497"/>
      <c r="I37" s="495"/>
      <c r="J37" s="496"/>
      <c r="K37" s="1690"/>
      <c r="L37" s="1690"/>
      <c r="M37" s="1690"/>
      <c r="N37" s="1690"/>
      <c r="O37" s="1690"/>
      <c r="P37" s="1690"/>
      <c r="Q37" s="1690"/>
      <c r="R37" s="1690"/>
    </row>
    <row r="38" spans="1:19" ht="12.75" customHeight="1" x14ac:dyDescent="0.25">
      <c r="A38" s="1706" t="s">
        <v>1991</v>
      </c>
      <c r="B38" s="493"/>
      <c r="C38" s="1693" t="s">
        <v>1879</v>
      </c>
      <c r="D38" s="1693"/>
      <c r="E38" s="1693"/>
      <c r="F38" s="1697"/>
      <c r="G38" s="1698"/>
      <c r="H38" s="1698"/>
      <c r="I38" s="1693"/>
      <c r="J38" s="1697"/>
      <c r="K38" s="1691"/>
      <c r="L38" s="1691"/>
      <c r="M38" s="1691"/>
      <c r="N38" s="1691"/>
      <c r="O38" s="1691"/>
      <c r="P38" s="1691"/>
      <c r="Q38" s="1691"/>
      <c r="R38" s="1691"/>
    </row>
    <row r="39" spans="1:19" ht="12.75" customHeight="1" x14ac:dyDescent="0.25">
      <c r="A39" s="1706"/>
      <c r="B39" s="493"/>
      <c r="C39" s="1693" t="s">
        <v>1879</v>
      </c>
      <c r="D39" s="1693"/>
      <c r="E39" s="1693"/>
      <c r="F39" s="1697"/>
      <c r="G39" s="1698"/>
      <c r="H39" s="1698"/>
      <c r="I39" s="1693"/>
      <c r="J39" s="1697"/>
      <c r="K39" s="74"/>
      <c r="L39" s="74"/>
      <c r="M39" s="74"/>
      <c r="N39" s="74"/>
      <c r="O39" s="74"/>
      <c r="P39" s="74"/>
      <c r="Q39" s="74"/>
      <c r="R39" s="74"/>
      <c r="S39" s="74">
        <f>SUM(C39:R39)</f>
        <v>0</v>
      </c>
    </row>
    <row r="40" spans="1:19" ht="12.75" customHeight="1" x14ac:dyDescent="0.25">
      <c r="A40" s="1706"/>
      <c r="B40" s="493"/>
      <c r="C40" s="1693" t="s">
        <v>1879</v>
      </c>
      <c r="D40" s="1693"/>
      <c r="E40" s="1693"/>
      <c r="F40" s="1697"/>
      <c r="G40" s="1698"/>
      <c r="H40" s="1698"/>
      <c r="I40" s="1693"/>
      <c r="J40" s="1697"/>
      <c r="K40" s="74"/>
      <c r="L40" s="74"/>
      <c r="M40" s="74"/>
      <c r="N40" s="74"/>
      <c r="O40" s="74"/>
      <c r="P40" s="74"/>
      <c r="Q40" s="74"/>
      <c r="R40" s="74"/>
      <c r="S40" s="74">
        <f>SUM(C40:R40)</f>
        <v>0</v>
      </c>
    </row>
    <row r="41" spans="1:19" ht="12.75" customHeight="1" x14ac:dyDescent="0.25">
      <c r="A41" s="1706"/>
      <c r="B41" s="493"/>
      <c r="C41" s="1693" t="s">
        <v>1879</v>
      </c>
      <c r="D41" s="1693"/>
      <c r="E41" s="1693"/>
      <c r="F41" s="1697"/>
      <c r="G41" s="1698"/>
      <c r="H41" s="1698"/>
      <c r="I41" s="1693"/>
      <c r="J41" s="1697"/>
      <c r="K41" s="1373"/>
      <c r="L41" s="1373"/>
      <c r="M41" s="1373"/>
      <c r="N41" s="1373"/>
      <c r="O41" s="1373"/>
      <c r="P41" s="1373"/>
      <c r="Q41" s="1373"/>
      <c r="R41" s="1373"/>
    </row>
    <row r="42" spans="1:19" ht="12.75" customHeight="1" x14ac:dyDescent="0.25">
      <c r="A42" s="1706"/>
      <c r="B42" s="493"/>
      <c r="C42" s="1693" t="s">
        <v>1879</v>
      </c>
      <c r="D42" s="1693"/>
      <c r="E42" s="1693"/>
      <c r="F42" s="1697"/>
      <c r="G42" s="1698"/>
      <c r="H42" s="1698"/>
      <c r="I42" s="1693"/>
      <c r="J42" s="1697"/>
      <c r="K42" s="326"/>
      <c r="L42" s="326"/>
      <c r="M42" s="326"/>
      <c r="N42" s="326"/>
      <c r="O42" s="326"/>
      <c r="P42" s="326"/>
      <c r="Q42" s="326"/>
      <c r="R42" s="326"/>
    </row>
    <row r="43" spans="1:19" ht="12.75" customHeight="1" x14ac:dyDescent="0.25">
      <c r="A43" s="1706"/>
      <c r="B43" s="493"/>
      <c r="C43" s="1693" t="s">
        <v>1879</v>
      </c>
      <c r="D43" s="1693"/>
      <c r="E43" s="1693"/>
      <c r="F43" s="1697"/>
      <c r="G43" s="1698"/>
      <c r="H43" s="1698"/>
      <c r="I43" s="1693"/>
      <c r="J43" s="1697"/>
      <c r="K43" s="326"/>
      <c r="L43" s="326"/>
      <c r="M43" s="326"/>
      <c r="N43" s="326"/>
      <c r="O43" s="326"/>
      <c r="P43" s="326"/>
      <c r="Q43" s="326"/>
      <c r="R43" s="326"/>
    </row>
    <row r="44" spans="1:19" ht="12.75" customHeight="1" x14ac:dyDescent="0.25">
      <c r="A44" s="1706"/>
      <c r="B44" s="493"/>
      <c r="C44" s="1693" t="s">
        <v>1879</v>
      </c>
      <c r="D44" s="1693"/>
      <c r="E44" s="1693"/>
      <c r="F44" s="1697"/>
      <c r="G44" s="1698"/>
      <c r="H44" s="1698"/>
      <c r="I44" s="1693"/>
      <c r="J44" s="1697"/>
      <c r="K44" s="326"/>
      <c r="L44" s="326"/>
      <c r="M44" s="326"/>
      <c r="N44" s="326"/>
      <c r="O44" s="326"/>
      <c r="P44" s="326"/>
      <c r="Q44" s="326"/>
      <c r="R44" s="326"/>
    </row>
    <row r="45" spans="1:19" ht="12.75" customHeight="1" x14ac:dyDescent="0.25">
      <c r="A45" s="1706"/>
      <c r="B45" s="493"/>
      <c r="C45" s="1693" t="s">
        <v>1879</v>
      </c>
      <c r="D45" s="1693"/>
      <c r="E45" s="1693"/>
      <c r="F45" s="1697"/>
      <c r="G45" s="1698"/>
      <c r="H45" s="1698"/>
      <c r="I45" s="1693"/>
      <c r="J45" s="1697"/>
      <c r="K45" s="326"/>
      <c r="L45" s="326"/>
      <c r="M45" s="326"/>
      <c r="N45" s="326"/>
      <c r="O45" s="326"/>
      <c r="P45" s="326"/>
      <c r="Q45" s="326"/>
      <c r="R45" s="326"/>
    </row>
    <row r="46" spans="1:19" ht="12.75" customHeight="1" x14ac:dyDescent="0.25">
      <c r="A46" s="1706"/>
      <c r="B46" s="493"/>
      <c r="C46" s="1693" t="s">
        <v>1879</v>
      </c>
      <c r="D46" s="1693"/>
      <c r="E46" s="1693"/>
      <c r="F46" s="1697"/>
      <c r="G46" s="1698"/>
      <c r="H46" s="1698"/>
      <c r="I46" s="1693"/>
      <c r="J46" s="1697"/>
      <c r="K46" s="326"/>
      <c r="L46" s="326"/>
      <c r="M46" s="326"/>
      <c r="N46" s="326"/>
      <c r="O46" s="326"/>
      <c r="P46" s="326"/>
      <c r="Q46" s="326"/>
      <c r="R46" s="326"/>
    </row>
    <row r="47" spans="1:19" ht="12.75" customHeight="1" x14ac:dyDescent="0.25">
      <c r="A47" s="1706"/>
      <c r="B47" s="493"/>
      <c r="C47" s="1693" t="s">
        <v>1879</v>
      </c>
      <c r="D47" s="1693"/>
      <c r="E47" s="1693"/>
      <c r="F47" s="1697"/>
      <c r="G47" s="1698"/>
      <c r="H47" s="1698"/>
      <c r="I47" s="1693"/>
      <c r="J47" s="1697"/>
      <c r="K47" s="326"/>
      <c r="L47" s="326"/>
      <c r="M47" s="326"/>
      <c r="N47" s="326"/>
      <c r="O47" s="326"/>
      <c r="P47" s="326"/>
      <c r="Q47" s="326"/>
      <c r="R47" s="326"/>
    </row>
    <row r="48" spans="1:19" ht="12.75" customHeight="1" x14ac:dyDescent="0.25">
      <c r="A48" s="1706"/>
      <c r="B48" s="493"/>
      <c r="C48" s="1693" t="s">
        <v>1879</v>
      </c>
      <c r="D48" s="1693"/>
      <c r="E48" s="1693"/>
      <c r="F48" s="1697"/>
      <c r="G48" s="1698"/>
      <c r="H48" s="1698"/>
      <c r="I48" s="1693"/>
      <c r="J48" s="1697"/>
      <c r="K48" s="326"/>
      <c r="L48" s="326"/>
      <c r="M48" s="326"/>
      <c r="N48" s="326"/>
      <c r="O48" s="326"/>
      <c r="P48" s="326"/>
      <c r="Q48" s="326"/>
      <c r="R48" s="326"/>
    </row>
    <row r="49" spans="1:18" ht="12.75" customHeight="1" x14ac:dyDescent="0.25">
      <c r="A49" s="1706"/>
      <c r="B49" s="493"/>
      <c r="C49" s="1693" t="s">
        <v>1879</v>
      </c>
      <c r="D49" s="1693"/>
      <c r="E49" s="1693"/>
      <c r="F49" s="1697"/>
      <c r="G49" s="1698"/>
      <c r="H49" s="1698"/>
      <c r="I49" s="1693"/>
      <c r="J49" s="1697"/>
      <c r="K49" s="851"/>
      <c r="L49" s="851"/>
      <c r="M49" s="851"/>
      <c r="N49" s="851"/>
      <c r="O49" s="851"/>
      <c r="P49" s="851"/>
      <c r="Q49" s="851"/>
      <c r="R49" s="851"/>
    </row>
    <row r="50" spans="1:18" ht="12.75" customHeight="1" x14ac:dyDescent="0.25">
      <c r="A50" s="1706"/>
      <c r="B50" s="493"/>
      <c r="C50" s="1693" t="s">
        <v>1879</v>
      </c>
      <c r="D50" s="1693"/>
      <c r="E50" s="1693"/>
      <c r="F50" s="1697"/>
      <c r="G50" s="1698"/>
      <c r="H50" s="1698"/>
      <c r="I50" s="1693"/>
      <c r="J50" s="1697"/>
      <c r="K50" s="191"/>
      <c r="L50" s="191"/>
      <c r="M50" s="191"/>
      <c r="N50" s="191"/>
      <c r="O50" s="191"/>
      <c r="P50" s="191"/>
      <c r="Q50" s="191"/>
      <c r="R50" s="191"/>
    </row>
    <row r="51" spans="1:18" ht="6" customHeight="1" x14ac:dyDescent="0.25">
      <c r="A51" s="1707"/>
      <c r="B51" s="522"/>
      <c r="C51" s="523"/>
      <c r="D51" s="523"/>
      <c r="E51" s="523"/>
      <c r="F51" s="524"/>
      <c r="G51" s="525"/>
      <c r="H51" s="525"/>
      <c r="I51" s="523"/>
      <c r="J51" s="524"/>
      <c r="K51" s="191"/>
      <c r="L51" s="191"/>
      <c r="M51" s="191"/>
      <c r="N51" s="191"/>
      <c r="O51" s="191"/>
      <c r="P51" s="191"/>
      <c r="Q51" s="191"/>
      <c r="R51" s="191"/>
    </row>
    <row r="52" spans="1:18" ht="12.75" customHeight="1" x14ac:dyDescent="0.25">
      <c r="A52" s="515"/>
      <c r="B52" s="516"/>
      <c r="C52" s="517"/>
      <c r="D52" s="517"/>
      <c r="E52" s="517"/>
      <c r="F52" s="517"/>
      <c r="G52" s="517"/>
      <c r="H52" s="517"/>
      <c r="I52" s="517"/>
      <c r="J52" s="517"/>
      <c r="K52" s="191"/>
      <c r="L52" s="191"/>
      <c r="M52" s="191"/>
      <c r="N52" s="191"/>
      <c r="O52" s="191"/>
      <c r="P52" s="191"/>
      <c r="Q52" s="191"/>
      <c r="R52" s="191"/>
    </row>
    <row r="53" spans="1:18" ht="12.75" customHeight="1" x14ac:dyDescent="0.25">
      <c r="A53" s="515"/>
      <c r="B53" s="516"/>
      <c r="C53" s="517"/>
      <c r="D53" s="517"/>
      <c r="E53" s="517"/>
      <c r="F53" s="517"/>
      <c r="G53" s="517"/>
      <c r="H53" s="517"/>
      <c r="I53" s="517"/>
      <c r="J53" s="517"/>
      <c r="K53" s="191"/>
      <c r="L53" s="191"/>
      <c r="M53" s="191"/>
      <c r="N53" s="191"/>
      <c r="O53" s="191"/>
      <c r="P53" s="191"/>
      <c r="Q53" s="191"/>
      <c r="R53" s="191"/>
    </row>
    <row r="54" spans="1:18" ht="12.75" customHeight="1" x14ac:dyDescent="0.25">
      <c r="A54" s="515"/>
      <c r="B54" s="516"/>
      <c r="C54" s="517"/>
      <c r="D54" s="517"/>
      <c r="E54" s="517"/>
      <c r="F54" s="517"/>
      <c r="G54" s="517"/>
      <c r="H54" s="517"/>
      <c r="I54" s="517"/>
      <c r="J54" s="517"/>
      <c r="K54" s="191"/>
      <c r="L54" s="191"/>
      <c r="M54" s="191"/>
      <c r="N54" s="191"/>
      <c r="O54" s="191"/>
      <c r="P54" s="191"/>
      <c r="Q54" s="191"/>
      <c r="R54" s="191"/>
    </row>
    <row r="55" spans="1:18" ht="12.75" customHeight="1" x14ac:dyDescent="0.25">
      <c r="A55" s="515"/>
      <c r="B55" s="516"/>
      <c r="C55" s="517"/>
      <c r="D55" s="517"/>
      <c r="E55" s="517"/>
      <c r="F55" s="517"/>
      <c r="G55" s="517"/>
      <c r="H55" s="517"/>
      <c r="I55" s="517"/>
      <c r="J55" s="517"/>
      <c r="K55" s="191"/>
      <c r="L55" s="191"/>
      <c r="M55" s="191"/>
      <c r="N55" s="191"/>
      <c r="O55" s="191"/>
      <c r="P55" s="191"/>
      <c r="Q55" s="191"/>
      <c r="R55" s="191"/>
    </row>
    <row r="56" spans="1:18" ht="12.75" customHeight="1" x14ac:dyDescent="0.25">
      <c r="A56" s="515"/>
      <c r="B56" s="516"/>
      <c r="C56" s="517"/>
      <c r="D56" s="517"/>
      <c r="E56" s="517"/>
      <c r="F56" s="517"/>
      <c r="G56" s="517"/>
      <c r="H56" s="517"/>
      <c r="I56" s="517"/>
      <c r="J56" s="517"/>
      <c r="K56" s="191"/>
      <c r="L56" s="191"/>
      <c r="M56" s="191"/>
      <c r="N56" s="191"/>
      <c r="O56" s="191"/>
      <c r="P56" s="191"/>
      <c r="Q56" s="191"/>
      <c r="R56" s="191"/>
    </row>
    <row r="57" spans="1:18" ht="12.75" customHeight="1" x14ac:dyDescent="0.25">
      <c r="A57" s="518"/>
      <c r="B57" s="516"/>
      <c r="C57" s="517"/>
      <c r="D57" s="517"/>
      <c r="E57" s="517"/>
      <c r="F57" s="517"/>
      <c r="G57" s="517"/>
      <c r="H57" s="517"/>
      <c r="I57" s="517"/>
      <c r="J57" s="517"/>
      <c r="K57" s="671"/>
      <c r="L57" s="671"/>
      <c r="M57" s="671"/>
      <c r="N57" s="671"/>
      <c r="O57" s="671"/>
      <c r="P57" s="671"/>
      <c r="Q57" s="671"/>
      <c r="R57" s="671"/>
    </row>
    <row r="58" spans="1:18" ht="12.75" customHeight="1" x14ac:dyDescent="0.25">
      <c r="A58" s="519"/>
      <c r="B58" s="516"/>
      <c r="C58" s="516"/>
      <c r="D58" s="517"/>
      <c r="E58" s="517"/>
      <c r="F58" s="517"/>
      <c r="G58" s="517"/>
      <c r="H58" s="517"/>
      <c r="I58" s="517"/>
      <c r="J58" s="517"/>
      <c r="K58" s="1683"/>
      <c r="L58" s="1683"/>
      <c r="M58" s="1683"/>
      <c r="N58" s="1683"/>
      <c r="O58" s="1683"/>
      <c r="P58" s="1683"/>
      <c r="Q58" s="1683"/>
      <c r="R58" s="1683"/>
    </row>
    <row r="59" spans="1:18" ht="15" customHeight="1" x14ac:dyDescent="0.25">
      <c r="A59" s="520"/>
      <c r="B59" s="516"/>
      <c r="C59" s="516"/>
      <c r="D59" s="517"/>
      <c r="E59" s="517"/>
      <c r="F59" s="517"/>
      <c r="G59" s="517"/>
      <c r="H59" s="517"/>
      <c r="I59" s="517"/>
      <c r="J59" s="517"/>
      <c r="K59" s="191"/>
      <c r="L59" s="191"/>
      <c r="M59" s="191"/>
      <c r="N59" s="191"/>
      <c r="O59" s="191"/>
      <c r="P59" s="191"/>
      <c r="Q59" s="191"/>
      <c r="R59" s="191"/>
    </row>
    <row r="60" spans="1:18" ht="12.75" customHeight="1" x14ac:dyDescent="0.25">
      <c r="A60" s="519"/>
      <c r="B60" s="516"/>
      <c r="C60" s="516"/>
      <c r="D60" s="517"/>
      <c r="E60" s="517"/>
      <c r="F60" s="517"/>
      <c r="G60" s="517"/>
      <c r="H60" s="517"/>
      <c r="I60" s="517"/>
      <c r="J60" s="517"/>
      <c r="K60" s="191"/>
      <c r="L60" s="191"/>
      <c r="M60" s="191"/>
      <c r="N60" s="191"/>
      <c r="O60" s="191"/>
      <c r="P60" s="191"/>
      <c r="Q60" s="191"/>
      <c r="R60" s="191"/>
    </row>
    <row r="61" spans="1:18" ht="12.75" customHeight="1" x14ac:dyDescent="0.25">
      <c r="A61" s="515"/>
      <c r="B61" s="516"/>
      <c r="C61" s="517"/>
      <c r="D61" s="517"/>
      <c r="E61" s="517"/>
      <c r="F61" s="517"/>
      <c r="G61" s="517"/>
      <c r="H61" s="517"/>
      <c r="I61" s="517"/>
      <c r="J61" s="517"/>
      <c r="K61" s="1685"/>
      <c r="L61" s="1685"/>
      <c r="M61" s="1685"/>
      <c r="N61" s="1685"/>
      <c r="O61" s="1685"/>
      <c r="P61" s="1685"/>
      <c r="Q61" s="1685"/>
      <c r="R61" s="1685"/>
    </row>
    <row r="62" spans="1:18" ht="12.75" customHeight="1" x14ac:dyDescent="0.25">
      <c r="A62" s="515"/>
      <c r="B62" s="516"/>
      <c r="C62" s="517"/>
      <c r="D62" s="517"/>
      <c r="E62" s="517"/>
      <c r="F62" s="517"/>
      <c r="G62" s="517"/>
      <c r="H62" s="517"/>
      <c r="I62" s="517"/>
      <c r="J62" s="517"/>
      <c r="K62" s="1685"/>
      <c r="L62" s="1685"/>
      <c r="M62" s="1685"/>
      <c r="N62" s="1685"/>
      <c r="O62" s="1685"/>
      <c r="P62" s="1685"/>
      <c r="Q62" s="1685"/>
      <c r="R62" s="1685"/>
    </row>
    <row r="63" spans="1:18" ht="12.75" customHeight="1" x14ac:dyDescent="0.25">
      <c r="A63" s="515"/>
      <c r="B63" s="516"/>
      <c r="C63" s="517"/>
      <c r="D63" s="517"/>
      <c r="E63" s="517"/>
      <c r="F63" s="517"/>
      <c r="G63" s="517"/>
      <c r="H63" s="517"/>
      <c r="I63" s="517"/>
      <c r="J63" s="517"/>
      <c r="K63" s="1685"/>
      <c r="L63" s="1685"/>
      <c r="M63" s="1685"/>
      <c r="N63" s="1685"/>
      <c r="O63" s="1685"/>
      <c r="P63" s="1685"/>
      <c r="Q63" s="1685"/>
      <c r="R63" s="1685"/>
    </row>
    <row r="64" spans="1:18" ht="12.75" customHeight="1" x14ac:dyDescent="0.25">
      <c r="A64" s="515"/>
      <c r="B64" s="516"/>
      <c r="C64" s="517"/>
      <c r="D64" s="517"/>
      <c r="E64" s="517"/>
      <c r="F64" s="517"/>
      <c r="G64" s="517"/>
      <c r="H64" s="517"/>
      <c r="I64" s="517"/>
      <c r="J64" s="517"/>
      <c r="K64" s="1685"/>
      <c r="L64" s="1685"/>
      <c r="M64" s="1685"/>
      <c r="N64" s="1685"/>
      <c r="O64" s="1685"/>
      <c r="P64" s="1685"/>
      <c r="Q64" s="1685"/>
      <c r="R64" s="1685"/>
    </row>
    <row r="65" spans="1:18" ht="12.75" customHeight="1" x14ac:dyDescent="0.25">
      <c r="A65" s="515"/>
      <c r="B65" s="516"/>
      <c r="C65" s="517"/>
      <c r="D65" s="517"/>
      <c r="E65" s="517"/>
      <c r="F65" s="517"/>
      <c r="G65" s="517"/>
      <c r="H65" s="517"/>
      <c r="I65" s="517"/>
      <c r="J65" s="517"/>
      <c r="K65" s="1685"/>
      <c r="L65" s="1685"/>
      <c r="M65" s="1685"/>
      <c r="N65" s="1685"/>
      <c r="O65" s="1685"/>
      <c r="P65" s="1685"/>
      <c r="Q65" s="1685"/>
      <c r="R65" s="1685"/>
    </row>
    <row r="66" spans="1:18" ht="12.75" customHeight="1" x14ac:dyDescent="0.25">
      <c r="A66" s="515"/>
      <c r="B66" s="516"/>
      <c r="C66" s="517"/>
      <c r="D66" s="517"/>
      <c r="E66" s="517"/>
      <c r="F66" s="517"/>
      <c r="G66" s="517"/>
      <c r="H66" s="517"/>
      <c r="I66" s="517"/>
      <c r="J66" s="517"/>
      <c r="K66" s="1685"/>
      <c r="L66" s="1685"/>
      <c r="M66" s="1685"/>
      <c r="N66" s="1685"/>
      <c r="O66" s="1685"/>
      <c r="P66" s="1685"/>
      <c r="Q66" s="1685"/>
      <c r="R66" s="1685"/>
    </row>
    <row r="67" spans="1:18" ht="12.75" customHeight="1" x14ac:dyDescent="0.25">
      <c r="A67" s="515"/>
      <c r="B67" s="516"/>
      <c r="C67" s="517"/>
      <c r="D67" s="517"/>
      <c r="E67" s="517"/>
      <c r="F67" s="517"/>
      <c r="G67" s="517"/>
      <c r="H67" s="517"/>
      <c r="I67" s="517"/>
      <c r="J67" s="517"/>
      <c r="K67" s="1685"/>
      <c r="L67" s="1685"/>
      <c r="M67" s="1685"/>
      <c r="N67" s="1685"/>
      <c r="O67" s="1685"/>
      <c r="P67" s="1685"/>
      <c r="Q67" s="1685"/>
      <c r="R67" s="1685"/>
    </row>
    <row r="68" spans="1:18" ht="12.75" customHeight="1" x14ac:dyDescent="0.25">
      <c r="A68" s="515"/>
      <c r="B68" s="516"/>
      <c r="C68" s="517"/>
      <c r="D68" s="517"/>
      <c r="E68" s="517"/>
      <c r="F68" s="517"/>
      <c r="G68" s="517"/>
      <c r="H68" s="517"/>
      <c r="I68" s="517"/>
      <c r="J68" s="517"/>
      <c r="K68" s="1685"/>
      <c r="L68" s="1685"/>
      <c r="M68" s="1685"/>
      <c r="N68" s="1685"/>
      <c r="O68" s="1685"/>
      <c r="P68" s="1685"/>
      <c r="Q68" s="1685"/>
      <c r="R68" s="1685"/>
    </row>
    <row r="69" spans="1:18" ht="12.75" customHeight="1" x14ac:dyDescent="0.25">
      <c r="A69" s="515"/>
      <c r="B69" s="516"/>
      <c r="C69" s="517"/>
      <c r="D69" s="517"/>
      <c r="E69" s="517"/>
      <c r="F69" s="517"/>
      <c r="G69" s="517"/>
      <c r="H69" s="517"/>
      <c r="I69" s="517"/>
      <c r="J69" s="517"/>
      <c r="K69" s="1685"/>
      <c r="L69" s="1685"/>
      <c r="M69" s="1685"/>
      <c r="N69" s="1685"/>
      <c r="O69" s="1685"/>
      <c r="P69" s="1685"/>
      <c r="Q69" s="1685"/>
      <c r="R69" s="1685"/>
    </row>
    <row r="70" spans="1:18" ht="12.75" customHeight="1" x14ac:dyDescent="0.25">
      <c r="A70" s="515"/>
      <c r="B70" s="516"/>
      <c r="C70" s="517"/>
      <c r="D70" s="517"/>
      <c r="E70" s="517"/>
      <c r="F70" s="517"/>
      <c r="G70" s="517"/>
      <c r="H70" s="517"/>
      <c r="I70" s="517"/>
      <c r="J70" s="517"/>
      <c r="K70" s="1685"/>
      <c r="L70" s="1685"/>
      <c r="M70" s="1685"/>
      <c r="N70" s="1685"/>
      <c r="O70" s="1685"/>
      <c r="P70" s="1685"/>
      <c r="Q70" s="1685"/>
      <c r="R70" s="1685"/>
    </row>
    <row r="71" spans="1:18" ht="12.75" customHeight="1" x14ac:dyDescent="0.25">
      <c r="A71" s="515"/>
      <c r="B71" s="516"/>
      <c r="C71" s="517"/>
      <c r="D71" s="517"/>
      <c r="E71" s="517"/>
      <c r="F71" s="517"/>
      <c r="G71" s="517"/>
      <c r="H71" s="517"/>
      <c r="I71" s="517"/>
      <c r="J71" s="517"/>
      <c r="K71" s="1685"/>
      <c r="L71" s="1685"/>
      <c r="M71" s="1685"/>
      <c r="N71" s="1685"/>
      <c r="O71" s="1685"/>
      <c r="P71" s="1685"/>
      <c r="Q71" s="1685"/>
      <c r="R71" s="1685"/>
    </row>
    <row r="72" spans="1:18" ht="12.75" customHeight="1" x14ac:dyDescent="0.25">
      <c r="A72" s="515"/>
      <c r="B72" s="516"/>
      <c r="C72" s="517"/>
      <c r="D72" s="517"/>
      <c r="E72" s="517"/>
      <c r="F72" s="517"/>
      <c r="G72" s="517"/>
      <c r="H72" s="517"/>
      <c r="I72" s="517"/>
      <c r="J72" s="517"/>
      <c r="K72" s="1685"/>
      <c r="L72" s="1685"/>
      <c r="M72" s="1685"/>
      <c r="N72" s="1685"/>
      <c r="O72" s="1685"/>
      <c r="P72" s="1685"/>
      <c r="Q72" s="1685"/>
      <c r="R72" s="1685"/>
    </row>
    <row r="73" spans="1:18" ht="12.75" customHeight="1" x14ac:dyDescent="0.25">
      <c r="A73" s="515"/>
      <c r="B73" s="516"/>
      <c r="C73" s="517"/>
      <c r="D73" s="517"/>
      <c r="E73" s="517"/>
      <c r="F73" s="517"/>
      <c r="G73" s="517"/>
      <c r="H73" s="517"/>
      <c r="I73" s="517"/>
      <c r="J73" s="517"/>
      <c r="K73" s="1685"/>
      <c r="L73" s="1685"/>
      <c r="M73" s="1685"/>
      <c r="N73" s="1685"/>
      <c r="O73" s="1685"/>
      <c r="P73" s="1685"/>
      <c r="Q73" s="1685"/>
      <c r="R73" s="1685"/>
    </row>
    <row r="74" spans="1:18" ht="12.75" customHeight="1" x14ac:dyDescent="0.25">
      <c r="A74" s="515"/>
      <c r="B74" s="516"/>
      <c r="C74" s="517"/>
      <c r="D74" s="517"/>
      <c r="E74" s="517"/>
      <c r="F74" s="517"/>
      <c r="G74" s="517"/>
      <c r="H74" s="517"/>
      <c r="I74" s="517"/>
      <c r="J74" s="517"/>
      <c r="K74" s="1685"/>
      <c r="L74" s="1685"/>
      <c r="M74" s="1685"/>
      <c r="N74" s="1685"/>
      <c r="O74" s="1685"/>
      <c r="P74" s="1685"/>
      <c r="Q74" s="1685"/>
      <c r="R74" s="1685"/>
    </row>
    <row r="75" spans="1:18" ht="12.75" customHeight="1" x14ac:dyDescent="0.25">
      <c r="A75" s="515"/>
      <c r="B75" s="516"/>
      <c r="C75" s="517"/>
      <c r="D75" s="517"/>
      <c r="E75" s="517"/>
      <c r="F75" s="517"/>
      <c r="G75" s="517"/>
      <c r="H75" s="517"/>
      <c r="I75" s="517"/>
      <c r="J75" s="517"/>
      <c r="K75" s="1685"/>
      <c r="L75" s="1685"/>
      <c r="M75" s="1685"/>
      <c r="N75" s="1685"/>
      <c r="O75" s="1685"/>
      <c r="P75" s="1685"/>
      <c r="Q75" s="1685"/>
      <c r="R75" s="1685"/>
    </row>
    <row r="76" spans="1:18" ht="12.75" customHeight="1" x14ac:dyDescent="0.25">
      <c r="A76" s="515"/>
      <c r="B76" s="516"/>
      <c r="C76" s="517"/>
      <c r="D76" s="517"/>
      <c r="E76" s="517"/>
      <c r="F76" s="517"/>
      <c r="G76" s="517"/>
      <c r="H76" s="517"/>
      <c r="I76" s="517"/>
      <c r="J76" s="517"/>
      <c r="K76" s="1685"/>
      <c r="L76" s="1685"/>
      <c r="M76" s="1685"/>
      <c r="N76" s="1685"/>
      <c r="O76" s="1685"/>
      <c r="P76" s="1685"/>
      <c r="Q76" s="1685"/>
      <c r="R76" s="1685"/>
    </row>
    <row r="77" spans="1:18" ht="12.75" customHeight="1" x14ac:dyDescent="0.25">
      <c r="A77" s="515"/>
      <c r="B77" s="516"/>
      <c r="C77" s="517"/>
      <c r="D77" s="517"/>
      <c r="E77" s="517"/>
      <c r="F77" s="517"/>
      <c r="G77" s="517"/>
      <c r="H77" s="517"/>
      <c r="I77" s="517"/>
      <c r="J77" s="517"/>
      <c r="K77" s="1685"/>
      <c r="L77" s="1685"/>
      <c r="M77" s="1685"/>
      <c r="N77" s="1685"/>
      <c r="O77" s="1685"/>
      <c r="P77" s="1685"/>
      <c r="Q77" s="1685"/>
      <c r="R77" s="1685"/>
    </row>
    <row r="78" spans="1:18" ht="12.75" customHeight="1" x14ac:dyDescent="0.25">
      <c r="A78" s="515"/>
      <c r="B78" s="516"/>
      <c r="C78" s="517"/>
      <c r="D78" s="517"/>
      <c r="E78" s="517"/>
      <c r="F78" s="517"/>
      <c r="G78" s="517"/>
      <c r="H78" s="517"/>
      <c r="I78" s="517"/>
      <c r="J78" s="517"/>
      <c r="K78" s="1685"/>
      <c r="L78" s="1685"/>
      <c r="M78" s="1685"/>
      <c r="N78" s="1685"/>
      <c r="O78" s="1685"/>
      <c r="P78" s="1685"/>
      <c r="Q78" s="1685"/>
      <c r="R78" s="1685"/>
    </row>
    <row r="79" spans="1:18" ht="12.75" customHeight="1" x14ac:dyDescent="0.25">
      <c r="A79" s="515"/>
      <c r="B79" s="516"/>
      <c r="C79" s="517"/>
      <c r="D79" s="517"/>
      <c r="E79" s="517"/>
      <c r="F79" s="517"/>
      <c r="G79" s="517"/>
      <c r="H79" s="517"/>
      <c r="I79" s="517"/>
      <c r="J79" s="517"/>
      <c r="K79" s="1685"/>
      <c r="L79" s="1685"/>
      <c r="M79" s="1685"/>
      <c r="N79" s="1685"/>
      <c r="O79" s="1685"/>
      <c r="P79" s="1685"/>
      <c r="Q79" s="1685"/>
      <c r="R79" s="1685"/>
    </row>
    <row r="80" spans="1:18" ht="12.75" customHeight="1" x14ac:dyDescent="0.25">
      <c r="A80" s="518"/>
      <c r="B80" s="516"/>
      <c r="C80" s="517"/>
      <c r="D80" s="517"/>
      <c r="E80" s="517"/>
      <c r="F80" s="517"/>
      <c r="G80" s="517"/>
      <c r="H80" s="517"/>
      <c r="I80" s="517"/>
      <c r="J80" s="517"/>
      <c r="K80" s="469"/>
      <c r="L80" s="469"/>
      <c r="M80" s="469"/>
      <c r="N80" s="469"/>
      <c r="O80" s="469"/>
      <c r="P80" s="469"/>
      <c r="Q80" s="469"/>
      <c r="R80" s="469"/>
    </row>
    <row r="81" spans="1:18" ht="4.9000000000000004" customHeight="1" x14ac:dyDescent="0.25">
      <c r="A81" s="519"/>
      <c r="B81" s="516"/>
      <c r="C81" s="516"/>
      <c r="D81" s="517"/>
      <c r="E81" s="517"/>
      <c r="F81" s="517"/>
      <c r="G81" s="517"/>
      <c r="H81" s="517"/>
      <c r="I81" s="517"/>
      <c r="J81" s="517"/>
      <c r="K81" s="513"/>
      <c r="L81" s="513"/>
      <c r="M81" s="513"/>
      <c r="N81" s="513"/>
      <c r="O81" s="513"/>
      <c r="P81" s="513"/>
      <c r="Q81" s="513"/>
      <c r="R81" s="513"/>
    </row>
    <row r="82" spans="1:18" ht="12.75" customHeight="1" x14ac:dyDescent="0.25">
      <c r="A82" s="520"/>
      <c r="B82" s="516"/>
      <c r="C82" s="516"/>
      <c r="D82" s="517"/>
      <c r="E82" s="517"/>
      <c r="F82" s="517"/>
      <c r="G82" s="517"/>
      <c r="H82" s="517"/>
      <c r="I82" s="517"/>
      <c r="J82" s="517"/>
      <c r="K82" s="1686"/>
      <c r="L82" s="1686"/>
      <c r="M82" s="1686"/>
      <c r="N82" s="1686"/>
      <c r="O82" s="1686"/>
      <c r="P82" s="1686"/>
      <c r="Q82" s="1686"/>
      <c r="R82" s="1686"/>
    </row>
    <row r="83" spans="1:18" ht="12.75" customHeight="1" x14ac:dyDescent="0.25">
      <c r="A83" s="519"/>
      <c r="B83" s="516"/>
      <c r="C83" s="516"/>
      <c r="D83" s="517"/>
      <c r="E83" s="517"/>
      <c r="F83" s="517"/>
      <c r="G83" s="517"/>
      <c r="H83" s="517"/>
      <c r="I83" s="517"/>
      <c r="J83" s="517"/>
      <c r="K83" s="513"/>
      <c r="L83" s="513"/>
      <c r="M83" s="513"/>
      <c r="N83" s="513"/>
      <c r="O83" s="513"/>
      <c r="P83" s="513"/>
      <c r="Q83" s="513"/>
      <c r="R83" s="513"/>
    </row>
    <row r="84" spans="1:18" ht="12.75" customHeight="1" x14ac:dyDescent="0.25">
      <c r="A84" s="515"/>
      <c r="B84" s="516"/>
      <c r="C84" s="517"/>
      <c r="D84" s="517"/>
      <c r="E84" s="517"/>
      <c r="F84" s="517"/>
      <c r="G84" s="517"/>
      <c r="H84" s="517"/>
      <c r="I84" s="517"/>
      <c r="J84" s="517"/>
      <c r="K84" s="513"/>
      <c r="L84" s="513"/>
      <c r="M84" s="513"/>
      <c r="N84" s="513"/>
      <c r="O84" s="513"/>
      <c r="P84" s="513"/>
      <c r="Q84" s="513"/>
      <c r="R84" s="513"/>
    </row>
    <row r="85" spans="1:18" ht="12.75" customHeight="1" x14ac:dyDescent="0.25">
      <c r="A85" s="515"/>
      <c r="B85" s="516"/>
      <c r="C85" s="517"/>
      <c r="D85" s="517"/>
      <c r="E85" s="517"/>
      <c r="F85" s="517"/>
      <c r="G85" s="517"/>
      <c r="H85" s="517"/>
      <c r="I85" s="517"/>
      <c r="J85" s="517"/>
      <c r="K85" s="513"/>
      <c r="L85" s="513"/>
      <c r="M85" s="513"/>
      <c r="N85" s="513"/>
      <c r="O85" s="513"/>
      <c r="P85" s="513"/>
      <c r="Q85" s="513"/>
      <c r="R85" s="513"/>
    </row>
    <row r="86" spans="1:18" ht="12.75" customHeight="1" x14ac:dyDescent="0.25">
      <c r="A86" s="515"/>
      <c r="B86" s="516"/>
      <c r="C86" s="517"/>
      <c r="D86" s="517"/>
      <c r="E86" s="517"/>
      <c r="F86" s="517"/>
      <c r="G86" s="517"/>
      <c r="H86" s="517"/>
      <c r="I86" s="517"/>
      <c r="J86" s="517"/>
      <c r="K86" s="513"/>
      <c r="L86" s="513"/>
      <c r="M86" s="513"/>
      <c r="N86" s="513"/>
      <c r="O86" s="513"/>
      <c r="P86" s="513"/>
      <c r="Q86" s="513"/>
      <c r="R86" s="513"/>
    </row>
    <row r="87" spans="1:18" ht="12.75" customHeight="1" x14ac:dyDescent="0.25">
      <c r="A87" s="515"/>
      <c r="B87" s="516"/>
      <c r="C87" s="517"/>
      <c r="D87" s="517"/>
      <c r="E87" s="517"/>
      <c r="F87" s="517"/>
      <c r="G87" s="517"/>
      <c r="H87" s="517"/>
      <c r="I87" s="517"/>
      <c r="J87" s="517"/>
      <c r="K87" s="513"/>
      <c r="L87" s="513"/>
      <c r="M87" s="513"/>
      <c r="N87" s="513"/>
      <c r="O87" s="513"/>
      <c r="P87" s="513"/>
      <c r="Q87" s="513"/>
      <c r="R87" s="513"/>
    </row>
    <row r="88" spans="1:18" ht="4.9000000000000004" customHeight="1" x14ac:dyDescent="0.25">
      <c r="A88" s="520"/>
      <c r="B88" s="521"/>
      <c r="C88" s="521"/>
      <c r="D88" s="410"/>
      <c r="E88" s="410"/>
      <c r="F88" s="410"/>
      <c r="G88" s="410"/>
      <c r="H88" s="410"/>
      <c r="I88" s="410"/>
      <c r="J88" s="410"/>
      <c r="K88" s="513"/>
      <c r="L88" s="513"/>
      <c r="M88" s="513"/>
      <c r="N88" s="513"/>
      <c r="O88" s="513"/>
      <c r="P88" s="513"/>
      <c r="Q88" s="513"/>
      <c r="R88" s="513"/>
    </row>
    <row r="89" spans="1:18" ht="11.25" customHeight="1" x14ac:dyDescent="0.25">
      <c r="A89" s="124"/>
      <c r="B89" s="55"/>
      <c r="C89" s="55"/>
      <c r="D89" s="56"/>
      <c r="E89" s="56"/>
      <c r="F89" s="56"/>
      <c r="G89" s="57"/>
      <c r="H89" s="56"/>
      <c r="I89" s="56"/>
      <c r="J89" s="58"/>
      <c r="K89" s="1584"/>
      <c r="L89" s="1584"/>
      <c r="M89" s="1584"/>
      <c r="N89" s="1584"/>
      <c r="O89" s="1584"/>
      <c r="P89" s="1584"/>
      <c r="Q89" s="1584"/>
      <c r="R89" s="1584"/>
    </row>
    <row r="90" spans="1:18" ht="11.25" customHeight="1" x14ac:dyDescent="0.25">
      <c r="A90" s="298"/>
      <c r="B90" s="511"/>
      <c r="C90" s="511"/>
      <c r="D90" s="296"/>
      <c r="E90" s="296"/>
      <c r="F90" s="296"/>
      <c r="G90" s="296"/>
      <c r="H90" s="296"/>
      <c r="I90" s="296"/>
      <c r="J90" s="296"/>
      <c r="K90" s="514"/>
      <c r="L90" s="514"/>
      <c r="M90" s="514"/>
      <c r="N90" s="514"/>
      <c r="O90" s="514"/>
      <c r="P90" s="514"/>
      <c r="Q90" s="514"/>
      <c r="R90" s="514"/>
    </row>
    <row r="91" spans="1:18" ht="11.25" customHeight="1" x14ac:dyDescent="0.25">
      <c r="A91" s="298"/>
      <c r="B91" s="511"/>
      <c r="C91" s="511"/>
      <c r="D91" s="296"/>
      <c r="E91" s="296"/>
      <c r="F91" s="296"/>
      <c r="G91" s="296"/>
      <c r="H91" s="296"/>
      <c r="I91" s="296"/>
      <c r="J91" s="296"/>
      <c r="K91" s="514"/>
      <c r="L91" s="514"/>
      <c r="M91" s="514"/>
      <c r="N91" s="514"/>
      <c r="O91" s="514"/>
      <c r="P91" s="514"/>
      <c r="Q91" s="514"/>
      <c r="R91" s="514"/>
    </row>
    <row r="92" spans="1:18" ht="11.25" customHeight="1" x14ac:dyDescent="0.25">
      <c r="A92" s="512"/>
      <c r="C92" s="514"/>
      <c r="D92" s="514"/>
      <c r="E92" s="514"/>
      <c r="F92" s="514"/>
      <c r="G92" s="514"/>
      <c r="H92" s="514"/>
      <c r="I92" s="514"/>
      <c r="J92" s="514"/>
      <c r="K92" s="514"/>
      <c r="L92" s="514"/>
      <c r="M92" s="514"/>
      <c r="N92" s="514"/>
      <c r="O92" s="514"/>
      <c r="P92" s="514"/>
      <c r="Q92" s="514"/>
      <c r="R92" s="514"/>
    </row>
    <row r="93" spans="1:18" ht="11.25" customHeight="1" x14ac:dyDescent="0.25">
      <c r="A93" s="512"/>
      <c r="C93" s="514"/>
      <c r="D93" s="514"/>
      <c r="E93" s="514"/>
      <c r="F93" s="514"/>
      <c r="G93" s="514"/>
      <c r="H93" s="514"/>
      <c r="I93" s="514"/>
      <c r="J93" s="514"/>
      <c r="K93" s="514"/>
      <c r="L93" s="514"/>
      <c r="M93" s="514"/>
      <c r="N93" s="514"/>
      <c r="O93" s="514"/>
      <c r="P93" s="514"/>
      <c r="Q93" s="514"/>
      <c r="R93" s="514"/>
    </row>
    <row r="94" spans="1:18" ht="21" customHeight="1" x14ac:dyDescent="0.25">
      <c r="A94" s="846"/>
      <c r="C94" s="514"/>
      <c r="D94" s="514"/>
      <c r="E94" s="514"/>
      <c r="F94" s="514"/>
      <c r="G94" s="514"/>
      <c r="H94" s="514"/>
      <c r="I94" s="514"/>
      <c r="J94" s="514"/>
      <c r="K94" s="514"/>
      <c r="L94" s="514"/>
      <c r="M94" s="514"/>
      <c r="N94" s="514"/>
      <c r="O94" s="514"/>
      <c r="P94" s="514"/>
      <c r="Q94" s="514"/>
      <c r="R94" s="514"/>
    </row>
    <row r="95" spans="1:18" ht="22.5" customHeight="1" x14ac:dyDescent="0.25">
      <c r="A95" s="2505"/>
      <c r="B95" s="2505"/>
      <c r="C95" s="2504"/>
      <c r="D95" s="2504"/>
      <c r="E95" s="2504"/>
      <c r="F95" s="2504"/>
      <c r="G95" s="2504"/>
      <c r="H95" s="1708"/>
      <c r="I95" s="1708"/>
      <c r="J95" s="1708"/>
      <c r="K95" s="514"/>
      <c r="L95" s="514"/>
      <c r="M95" s="514"/>
      <c r="N95" s="514"/>
      <c r="O95" s="514"/>
      <c r="P95" s="514"/>
      <c r="Q95" s="514"/>
      <c r="R95" s="514"/>
    </row>
    <row r="96" spans="1:18" ht="36.75" customHeight="1" x14ac:dyDescent="0.25">
      <c r="A96" s="2505"/>
      <c r="B96" s="2505"/>
      <c r="C96" s="2504"/>
      <c r="D96" s="2504"/>
      <c r="E96" s="2504"/>
      <c r="F96" s="2504"/>
      <c r="G96" s="2504"/>
      <c r="H96" s="906"/>
      <c r="I96" s="906"/>
      <c r="J96" s="906"/>
      <c r="K96" s="514"/>
      <c r="L96" s="514"/>
      <c r="M96" s="514"/>
      <c r="N96" s="514"/>
      <c r="O96" s="514"/>
      <c r="P96" s="514"/>
      <c r="Q96" s="514"/>
      <c r="R96" s="514"/>
    </row>
    <row r="97" spans="1:18" ht="21.75" customHeight="1" x14ac:dyDescent="0.25">
      <c r="A97" s="520"/>
      <c r="B97" s="516"/>
      <c r="C97" s="517"/>
      <c r="D97" s="517"/>
      <c r="E97" s="517"/>
      <c r="F97" s="517"/>
      <c r="G97" s="517"/>
      <c r="H97" s="517"/>
      <c r="I97" s="517"/>
      <c r="J97" s="517"/>
      <c r="K97" s="662"/>
      <c r="L97" s="662"/>
      <c r="M97" s="662"/>
      <c r="N97" s="662"/>
      <c r="O97" s="662"/>
      <c r="P97" s="662"/>
      <c r="Q97" s="662"/>
      <c r="R97" s="662"/>
    </row>
    <row r="98" spans="1:18" ht="11.65" customHeight="1" x14ac:dyDescent="0.25">
      <c r="A98" s="1704"/>
      <c r="B98" s="516"/>
      <c r="C98" s="517"/>
      <c r="D98" s="517"/>
      <c r="E98" s="517"/>
      <c r="F98" s="517"/>
      <c r="G98" s="517"/>
      <c r="H98" s="517"/>
      <c r="I98" s="517"/>
      <c r="J98" s="517"/>
      <c r="K98" s="662"/>
      <c r="L98" s="662"/>
      <c r="M98" s="662"/>
      <c r="N98" s="662"/>
      <c r="O98" s="662"/>
      <c r="P98" s="662"/>
      <c r="Q98" s="662"/>
      <c r="R98" s="662"/>
    </row>
    <row r="99" spans="1:18" ht="11.65" customHeight="1" x14ac:dyDescent="0.25">
      <c r="A99" s="1704"/>
      <c r="B99" s="516"/>
      <c r="C99" s="517"/>
      <c r="D99" s="517"/>
      <c r="E99" s="517"/>
      <c r="F99" s="517"/>
      <c r="G99" s="517"/>
      <c r="H99" s="517"/>
      <c r="I99" s="517"/>
      <c r="J99" s="517"/>
      <c r="K99" s="662"/>
      <c r="L99" s="662"/>
      <c r="M99" s="662"/>
      <c r="N99" s="662"/>
      <c r="O99" s="662"/>
      <c r="P99" s="662"/>
      <c r="Q99" s="662"/>
      <c r="R99" s="662"/>
    </row>
    <row r="100" spans="1:18" ht="11.65" customHeight="1" x14ac:dyDescent="0.25">
      <c r="A100" s="1704"/>
      <c r="B100" s="516"/>
      <c r="C100" s="517"/>
      <c r="D100" s="517"/>
      <c r="E100" s="517"/>
      <c r="F100" s="517"/>
      <c r="G100" s="517"/>
      <c r="H100" s="517"/>
      <c r="I100" s="517"/>
      <c r="J100" s="517"/>
      <c r="K100" s="662"/>
      <c r="L100" s="662"/>
      <c r="M100" s="662"/>
      <c r="N100" s="662"/>
      <c r="O100" s="662"/>
      <c r="P100" s="662"/>
      <c r="Q100" s="662"/>
      <c r="R100" s="662"/>
    </row>
    <row r="101" spans="1:18" ht="21" customHeight="1" x14ac:dyDescent="0.25">
      <c r="A101" s="520"/>
      <c r="B101" s="516"/>
      <c r="C101" s="517"/>
      <c r="D101" s="517"/>
      <c r="E101" s="517"/>
      <c r="F101" s="517"/>
      <c r="G101" s="517"/>
      <c r="H101" s="517"/>
      <c r="I101" s="517"/>
      <c r="J101" s="517"/>
      <c r="K101" s="662"/>
      <c r="L101" s="662"/>
      <c r="M101" s="662"/>
      <c r="N101" s="662"/>
      <c r="O101" s="662"/>
      <c r="P101" s="662"/>
      <c r="Q101" s="662"/>
      <c r="R101" s="662"/>
    </row>
    <row r="102" spans="1:18" ht="11.65" customHeight="1" x14ac:dyDescent="0.25">
      <c r="A102" s="1704"/>
      <c r="B102" s="516"/>
      <c r="C102" s="517"/>
      <c r="D102" s="517"/>
      <c r="E102" s="517"/>
      <c r="F102" s="517"/>
      <c r="G102" s="517"/>
      <c r="H102" s="517"/>
      <c r="I102" s="517"/>
      <c r="J102" s="517"/>
      <c r="K102" s="662"/>
      <c r="L102" s="662"/>
      <c r="M102" s="662"/>
      <c r="N102" s="662"/>
      <c r="O102" s="662"/>
      <c r="P102" s="662"/>
      <c r="Q102" s="662"/>
      <c r="R102" s="662"/>
    </row>
    <row r="103" spans="1:18" ht="11.65" customHeight="1" x14ac:dyDescent="0.25">
      <c r="A103" s="1704"/>
      <c r="B103" s="516"/>
      <c r="C103" s="517"/>
      <c r="D103" s="517"/>
      <c r="E103" s="517"/>
      <c r="F103" s="517"/>
      <c r="G103" s="517"/>
      <c r="H103" s="517"/>
      <c r="I103" s="517"/>
      <c r="J103" s="517"/>
      <c r="K103" s="662"/>
      <c r="L103" s="662"/>
      <c r="M103" s="662"/>
      <c r="N103" s="662"/>
      <c r="O103" s="662"/>
      <c r="P103" s="662"/>
      <c r="Q103" s="662"/>
      <c r="R103" s="662"/>
    </row>
    <row r="104" spans="1:18" ht="11.65" customHeight="1" x14ac:dyDescent="0.25">
      <c r="A104" s="1704"/>
      <c r="B104" s="516"/>
      <c r="C104" s="517"/>
      <c r="D104" s="517"/>
      <c r="E104" s="517"/>
      <c r="F104" s="517"/>
      <c r="G104" s="517"/>
      <c r="H104" s="517"/>
      <c r="I104" s="517"/>
      <c r="J104" s="517"/>
      <c r="K104" s="662"/>
      <c r="L104" s="662"/>
      <c r="M104" s="662"/>
      <c r="N104" s="662"/>
      <c r="O104" s="662"/>
      <c r="P104" s="662"/>
      <c r="Q104" s="662"/>
      <c r="R104" s="662"/>
    </row>
    <row r="105" spans="1:18" ht="11.65" customHeight="1" x14ac:dyDescent="0.25">
      <c r="A105" s="1704"/>
      <c r="B105" s="516"/>
      <c r="C105" s="517"/>
      <c r="D105" s="517"/>
      <c r="E105" s="517"/>
      <c r="F105" s="517"/>
      <c r="G105" s="517"/>
      <c r="H105" s="517"/>
      <c r="I105" s="517"/>
      <c r="J105" s="517"/>
      <c r="K105" s="662"/>
      <c r="L105" s="662"/>
      <c r="M105" s="662"/>
      <c r="N105" s="662"/>
      <c r="O105" s="662"/>
      <c r="P105" s="662"/>
      <c r="Q105" s="662"/>
      <c r="R105" s="662"/>
    </row>
    <row r="106" spans="1:18" ht="21" customHeight="1" x14ac:dyDescent="0.25">
      <c r="A106" s="520"/>
      <c r="B106" s="516"/>
      <c r="C106" s="517"/>
      <c r="D106" s="517"/>
      <c r="E106" s="517"/>
      <c r="F106" s="517"/>
      <c r="G106" s="517"/>
      <c r="H106" s="517"/>
      <c r="I106" s="517"/>
      <c r="J106" s="517"/>
      <c r="K106" s="662"/>
      <c r="L106" s="662"/>
      <c r="M106" s="662"/>
      <c r="N106" s="662"/>
      <c r="O106" s="662"/>
      <c r="P106" s="662"/>
      <c r="Q106" s="662"/>
      <c r="R106" s="662"/>
    </row>
    <row r="107" spans="1:18" ht="11.65" customHeight="1" x14ac:dyDescent="0.25">
      <c r="A107" s="1704"/>
      <c r="B107" s="516"/>
      <c r="C107" s="517"/>
      <c r="D107" s="517"/>
      <c r="E107" s="517"/>
      <c r="F107" s="517"/>
      <c r="G107" s="517"/>
      <c r="H107" s="517"/>
      <c r="I107" s="517"/>
      <c r="J107" s="517"/>
      <c r="K107" s="662"/>
      <c r="L107" s="662"/>
      <c r="M107" s="662"/>
      <c r="N107" s="662"/>
      <c r="O107" s="662"/>
      <c r="P107" s="662"/>
      <c r="Q107" s="662"/>
      <c r="R107" s="662"/>
    </row>
    <row r="108" spans="1:18" ht="11.65" customHeight="1" x14ac:dyDescent="0.25">
      <c r="A108" s="1704"/>
      <c r="B108" s="516"/>
      <c r="C108" s="517"/>
      <c r="D108" s="517"/>
      <c r="E108" s="517"/>
      <c r="F108" s="517"/>
      <c r="G108" s="517"/>
      <c r="H108" s="517"/>
      <c r="I108" s="517"/>
      <c r="J108" s="517"/>
      <c r="K108" s="662"/>
      <c r="L108" s="662"/>
      <c r="M108" s="662"/>
      <c r="N108" s="662"/>
      <c r="O108" s="662"/>
      <c r="P108" s="662"/>
      <c r="Q108" s="662"/>
      <c r="R108" s="662"/>
    </row>
    <row r="109" spans="1:18" ht="11.65" customHeight="1" x14ac:dyDescent="0.25">
      <c r="A109" s="1704"/>
      <c r="B109" s="516"/>
      <c r="C109" s="517"/>
      <c r="D109" s="517"/>
      <c r="E109" s="517"/>
      <c r="F109" s="517"/>
      <c r="G109" s="517"/>
      <c r="H109" s="517"/>
      <c r="I109" s="517"/>
      <c r="J109" s="517"/>
      <c r="K109" s="662"/>
      <c r="L109" s="662"/>
      <c r="M109" s="662"/>
      <c r="N109" s="662"/>
      <c r="O109" s="662"/>
      <c r="P109" s="662"/>
      <c r="Q109" s="662"/>
      <c r="R109" s="662"/>
    </row>
    <row r="110" spans="1:18" ht="21" customHeight="1" x14ac:dyDescent="0.25">
      <c r="A110" s="520"/>
      <c r="B110" s="516"/>
      <c r="C110" s="517"/>
      <c r="D110" s="517"/>
      <c r="E110" s="517"/>
      <c r="F110" s="517"/>
      <c r="G110" s="517"/>
      <c r="H110" s="517"/>
      <c r="I110" s="517"/>
      <c r="J110" s="517"/>
      <c r="K110" s="1689"/>
      <c r="L110" s="1689"/>
      <c r="M110" s="1689"/>
      <c r="N110" s="1689"/>
      <c r="O110" s="1689"/>
      <c r="P110" s="1689"/>
      <c r="Q110" s="1689"/>
      <c r="R110" s="1689"/>
    </row>
    <row r="111" spans="1:18" ht="11.65" customHeight="1" x14ac:dyDescent="0.25">
      <c r="A111" s="1704"/>
      <c r="B111" s="516"/>
      <c r="C111" s="517"/>
      <c r="D111" s="517"/>
      <c r="E111" s="517"/>
      <c r="F111" s="517"/>
      <c r="G111" s="517"/>
      <c r="H111" s="517"/>
      <c r="I111" s="517"/>
      <c r="J111" s="517"/>
      <c r="K111" s="1689"/>
      <c r="L111" s="1689"/>
      <c r="M111" s="1689"/>
      <c r="N111" s="1689"/>
      <c r="O111" s="1689"/>
      <c r="P111" s="1689"/>
      <c r="Q111" s="1689"/>
      <c r="R111" s="1689"/>
    </row>
    <row r="112" spans="1:18" ht="11.65" customHeight="1" x14ac:dyDescent="0.25">
      <c r="A112" s="1704"/>
      <c r="B112" s="516"/>
      <c r="C112" s="517"/>
      <c r="D112" s="517"/>
      <c r="E112" s="517"/>
      <c r="F112" s="517"/>
      <c r="G112" s="517"/>
      <c r="H112" s="517"/>
      <c r="I112" s="517"/>
      <c r="J112" s="517"/>
      <c r="K112" s="1689"/>
      <c r="L112" s="1689"/>
      <c r="M112" s="1689"/>
      <c r="N112" s="1689"/>
      <c r="O112" s="1689"/>
      <c r="P112" s="1689"/>
      <c r="Q112" s="1689"/>
      <c r="R112" s="1689"/>
    </row>
    <row r="113" spans="1:18" ht="11.65" customHeight="1" x14ac:dyDescent="0.25">
      <c r="A113" s="1704"/>
      <c r="B113" s="516"/>
      <c r="C113" s="517"/>
      <c r="D113" s="517"/>
      <c r="E113" s="517"/>
      <c r="F113" s="517"/>
      <c r="G113" s="517"/>
      <c r="H113" s="517"/>
      <c r="I113" s="517"/>
      <c r="J113" s="517"/>
      <c r="K113" s="1689"/>
      <c r="L113" s="1689"/>
      <c r="M113" s="1689"/>
      <c r="N113" s="1689"/>
      <c r="O113" s="1689"/>
      <c r="P113" s="1689"/>
      <c r="Q113" s="1689"/>
      <c r="R113" s="1689"/>
    </row>
    <row r="114" spans="1:18" ht="5.25" customHeight="1" x14ac:dyDescent="0.25">
      <c r="A114" s="512"/>
      <c r="B114" s="516"/>
      <c r="C114" s="517"/>
      <c r="D114" s="517"/>
      <c r="E114" s="517"/>
      <c r="F114" s="517"/>
      <c r="G114" s="517"/>
      <c r="H114" s="517"/>
      <c r="I114" s="517"/>
      <c r="J114" s="517"/>
      <c r="K114" s="1690"/>
      <c r="L114" s="1690"/>
      <c r="M114" s="1690"/>
      <c r="N114" s="1690"/>
      <c r="O114" s="1690"/>
      <c r="P114" s="1690"/>
      <c r="Q114" s="1690"/>
      <c r="R114" s="1690"/>
    </row>
    <row r="115" spans="1:18" ht="11.25" customHeight="1" x14ac:dyDescent="0.25">
      <c r="A115" s="512"/>
      <c r="B115" s="1688"/>
      <c r="C115" s="1689"/>
      <c r="D115" s="1689"/>
      <c r="E115" s="1689"/>
      <c r="F115" s="1689"/>
      <c r="G115" s="1689"/>
      <c r="H115" s="1689"/>
      <c r="I115" s="1689"/>
      <c r="J115" s="1689"/>
      <c r="K115" s="1691"/>
      <c r="L115" s="1691"/>
      <c r="M115" s="1691"/>
      <c r="N115" s="1691"/>
      <c r="O115" s="1691"/>
      <c r="P115" s="1691"/>
      <c r="Q115" s="1691"/>
      <c r="R115" s="1691"/>
    </row>
    <row r="116" spans="1:18" ht="11.25" customHeight="1" x14ac:dyDescent="0.25">
      <c r="A116" s="1684"/>
      <c r="B116" s="1688"/>
      <c r="C116" s="1690"/>
      <c r="D116" s="1690"/>
      <c r="E116" s="1690"/>
      <c r="F116" s="1690"/>
      <c r="G116" s="1690"/>
      <c r="H116" s="1690"/>
      <c r="I116" s="1690"/>
      <c r="J116" s="1690"/>
      <c r="K116" s="74"/>
      <c r="L116" s="74"/>
      <c r="M116" s="74"/>
      <c r="N116" s="74"/>
      <c r="O116" s="74"/>
      <c r="P116" s="74"/>
      <c r="Q116" s="74"/>
      <c r="R116" s="74"/>
    </row>
    <row r="117" spans="1:18" ht="11.25" customHeight="1" x14ac:dyDescent="0.25">
      <c r="A117" s="512"/>
      <c r="B117" s="1687"/>
      <c r="C117" s="1691"/>
      <c r="D117" s="1691"/>
      <c r="E117" s="1691"/>
      <c r="F117" s="1691"/>
      <c r="G117" s="1691"/>
      <c r="H117" s="1691"/>
      <c r="I117" s="1691"/>
      <c r="J117" s="1691"/>
      <c r="K117" s="74"/>
      <c r="L117" s="74"/>
      <c r="M117" s="74"/>
      <c r="N117" s="74"/>
      <c r="O117" s="74"/>
      <c r="P117" s="74"/>
      <c r="Q117" s="74"/>
      <c r="R117" s="74"/>
    </row>
    <row r="118" spans="1:18" ht="11.25" customHeight="1" x14ac:dyDescent="0.25">
      <c r="A118" s="512"/>
      <c r="B118" s="1687"/>
      <c r="C118" s="74"/>
      <c r="D118" s="74"/>
      <c r="E118" s="74"/>
      <c r="F118" s="74"/>
      <c r="G118" s="74"/>
      <c r="H118" s="74"/>
      <c r="I118" s="74"/>
      <c r="J118" s="74"/>
      <c r="K118" s="1373"/>
      <c r="L118" s="1373"/>
      <c r="M118" s="1373"/>
      <c r="N118" s="1373"/>
      <c r="O118" s="1373"/>
      <c r="P118" s="1373"/>
      <c r="Q118" s="1373"/>
      <c r="R118" s="1373"/>
    </row>
    <row r="119" spans="1:18" ht="11.25" customHeight="1" x14ac:dyDescent="0.25">
      <c r="A119" s="512"/>
      <c r="B119" s="1687"/>
      <c r="C119" s="74"/>
      <c r="D119" s="74"/>
      <c r="E119" s="74"/>
      <c r="F119" s="74"/>
      <c r="G119" s="74"/>
      <c r="H119" s="74"/>
      <c r="I119" s="74"/>
      <c r="J119" s="74"/>
      <c r="K119" s="326"/>
      <c r="L119" s="326"/>
      <c r="M119" s="326"/>
      <c r="N119" s="326"/>
      <c r="O119" s="326"/>
      <c r="P119" s="326"/>
      <c r="Q119" s="326"/>
      <c r="R119" s="326"/>
    </row>
    <row r="120" spans="1:18" ht="11.25" customHeight="1" x14ac:dyDescent="0.25">
      <c r="A120" s="512"/>
      <c r="B120" s="1687"/>
      <c r="C120" s="1373"/>
      <c r="D120" s="1373"/>
      <c r="E120" s="1373"/>
      <c r="F120" s="1373"/>
      <c r="G120" s="1373"/>
      <c r="H120" s="1373"/>
      <c r="I120" s="1373"/>
      <c r="J120" s="1373"/>
      <c r="K120" s="326"/>
      <c r="L120" s="326"/>
      <c r="M120" s="326"/>
      <c r="N120" s="326"/>
      <c r="O120" s="326"/>
      <c r="P120" s="326"/>
      <c r="Q120" s="326"/>
      <c r="R120" s="326"/>
    </row>
    <row r="121" spans="1:18" ht="11.25" customHeight="1" x14ac:dyDescent="0.25">
      <c r="A121" s="512"/>
      <c r="B121" s="1687"/>
      <c r="C121" s="326"/>
      <c r="D121" s="326"/>
      <c r="E121" s="326"/>
      <c r="F121" s="326"/>
      <c r="G121" s="326"/>
      <c r="H121" s="326"/>
      <c r="I121" s="326"/>
      <c r="J121" s="326"/>
      <c r="K121" s="326"/>
      <c r="L121" s="326"/>
      <c r="M121" s="326"/>
      <c r="N121" s="326"/>
      <c r="O121" s="326"/>
      <c r="P121" s="326"/>
      <c r="Q121" s="326"/>
      <c r="R121" s="326"/>
    </row>
    <row r="122" spans="1:18" ht="11.25" customHeight="1" x14ac:dyDescent="0.25">
      <c r="A122" s="512"/>
      <c r="B122" s="1687"/>
      <c r="C122" s="326"/>
      <c r="D122" s="326"/>
      <c r="E122" s="326"/>
      <c r="F122" s="326"/>
      <c r="G122" s="326"/>
      <c r="H122" s="326"/>
      <c r="I122" s="326"/>
      <c r="J122" s="326"/>
      <c r="K122" s="326"/>
      <c r="L122" s="326"/>
      <c r="M122" s="326"/>
      <c r="N122" s="326"/>
      <c r="O122" s="326"/>
      <c r="P122" s="326"/>
      <c r="Q122" s="326"/>
      <c r="R122" s="326"/>
    </row>
    <row r="123" spans="1:18" ht="11.25" customHeight="1" x14ac:dyDescent="0.25">
      <c r="A123" s="512"/>
      <c r="B123" s="1687"/>
      <c r="C123" s="326"/>
      <c r="D123" s="326"/>
      <c r="E123" s="326"/>
      <c r="F123" s="326"/>
      <c r="G123" s="326"/>
      <c r="H123" s="326"/>
      <c r="I123" s="326"/>
      <c r="J123" s="326"/>
      <c r="K123" s="326"/>
      <c r="L123" s="326"/>
      <c r="M123" s="326"/>
      <c r="N123" s="326"/>
      <c r="O123" s="326"/>
      <c r="P123" s="326"/>
      <c r="Q123" s="326"/>
      <c r="R123" s="326"/>
    </row>
    <row r="124" spans="1:18" ht="11.25" customHeight="1" x14ac:dyDescent="0.25">
      <c r="A124" s="512"/>
      <c r="B124" s="1687"/>
      <c r="C124" s="326"/>
      <c r="D124" s="326"/>
      <c r="E124" s="326"/>
      <c r="F124" s="326"/>
      <c r="G124" s="326"/>
      <c r="H124" s="326"/>
      <c r="I124" s="326"/>
      <c r="J124" s="326"/>
      <c r="K124" s="326"/>
      <c r="L124" s="326"/>
      <c r="M124" s="326"/>
      <c r="N124" s="326"/>
      <c r="O124" s="326"/>
      <c r="P124" s="326"/>
      <c r="Q124" s="326"/>
      <c r="R124" s="326"/>
    </row>
    <row r="125" spans="1:18" ht="11.25" customHeight="1" x14ac:dyDescent="0.25">
      <c r="A125" s="512"/>
      <c r="B125" s="1687"/>
      <c r="C125" s="326"/>
      <c r="D125" s="326"/>
      <c r="E125" s="326"/>
      <c r="F125" s="326"/>
      <c r="G125" s="326"/>
      <c r="H125" s="326"/>
      <c r="I125" s="326"/>
      <c r="J125" s="326"/>
      <c r="K125" s="326"/>
      <c r="L125" s="326"/>
      <c r="M125" s="326"/>
      <c r="N125" s="326"/>
      <c r="O125" s="326"/>
      <c r="P125" s="326"/>
      <c r="Q125" s="326"/>
      <c r="R125" s="326"/>
    </row>
    <row r="126" spans="1:18" ht="4.9000000000000004" customHeight="1" x14ac:dyDescent="0.25">
      <c r="A126" s="512"/>
      <c r="B126" s="1687"/>
      <c r="C126" s="326"/>
      <c r="D126" s="326"/>
      <c r="E126" s="326"/>
      <c r="F126" s="326"/>
      <c r="G126" s="326"/>
      <c r="H126" s="326"/>
      <c r="I126" s="326"/>
      <c r="J126" s="326"/>
      <c r="K126" s="851"/>
      <c r="L126" s="851"/>
      <c r="M126" s="851"/>
      <c r="N126" s="851"/>
      <c r="O126" s="851"/>
      <c r="P126" s="851"/>
      <c r="Q126" s="851"/>
      <c r="R126" s="851"/>
    </row>
    <row r="127" spans="1:18" x14ac:dyDescent="0.25">
      <c r="A127" s="476"/>
      <c r="B127" s="1687"/>
      <c r="C127" s="326"/>
      <c r="D127" s="326"/>
      <c r="E127" s="326"/>
      <c r="F127" s="326"/>
      <c r="G127" s="326"/>
      <c r="H127" s="326"/>
      <c r="I127" s="326"/>
      <c r="J127" s="326"/>
      <c r="K127" s="191"/>
      <c r="L127" s="191"/>
      <c r="M127" s="191"/>
      <c r="N127" s="191"/>
      <c r="O127" s="191"/>
      <c r="P127" s="191"/>
      <c r="Q127" s="191"/>
      <c r="R127" s="191"/>
    </row>
    <row r="128" spans="1:18" x14ac:dyDescent="0.25">
      <c r="A128" s="449"/>
      <c r="C128" s="851"/>
      <c r="D128" s="851"/>
      <c r="E128" s="851"/>
      <c r="F128" s="851"/>
      <c r="G128" s="851"/>
      <c r="H128" s="851"/>
      <c r="I128" s="851"/>
      <c r="J128" s="851"/>
      <c r="K128" s="191"/>
      <c r="L128" s="191"/>
      <c r="M128" s="191"/>
      <c r="N128" s="191"/>
      <c r="O128" s="191"/>
      <c r="P128" s="191"/>
      <c r="Q128" s="191"/>
      <c r="R128" s="191"/>
    </row>
    <row r="129" spans="1:18" x14ac:dyDescent="0.25">
      <c r="A129" s="398"/>
      <c r="C129" s="191"/>
      <c r="D129" s="191"/>
      <c r="E129" s="191"/>
      <c r="F129" s="191"/>
      <c r="G129" s="191"/>
      <c r="H129" s="191"/>
      <c r="I129" s="191"/>
      <c r="J129" s="191"/>
      <c r="K129" s="191"/>
      <c r="L129" s="191"/>
      <c r="M129" s="191"/>
      <c r="N129" s="191"/>
      <c r="O129" s="191"/>
      <c r="P129" s="191"/>
      <c r="Q129" s="191"/>
      <c r="R129" s="191"/>
    </row>
    <row r="130" spans="1:18" x14ac:dyDescent="0.25">
      <c r="A130" s="399"/>
      <c r="C130" s="191"/>
      <c r="D130" s="191"/>
      <c r="E130" s="191"/>
      <c r="F130" s="191"/>
      <c r="G130" s="191"/>
      <c r="H130" s="191"/>
      <c r="I130" s="191"/>
      <c r="J130" s="191"/>
      <c r="K130" s="191"/>
      <c r="L130" s="191"/>
      <c r="M130" s="191"/>
      <c r="N130" s="191"/>
      <c r="O130" s="191"/>
      <c r="P130" s="191"/>
      <c r="Q130" s="191"/>
      <c r="R130" s="191"/>
    </row>
    <row r="131" spans="1:18" x14ac:dyDescent="0.25">
      <c r="A131" s="399"/>
      <c r="C131" s="191"/>
      <c r="D131" s="191"/>
      <c r="E131" s="191"/>
      <c r="F131" s="191"/>
      <c r="G131" s="191"/>
      <c r="H131" s="191"/>
      <c r="I131" s="191"/>
      <c r="J131" s="191"/>
      <c r="K131" s="191"/>
      <c r="L131" s="191"/>
      <c r="M131" s="191"/>
      <c r="N131" s="191"/>
      <c r="O131" s="191"/>
      <c r="P131" s="191"/>
      <c r="Q131" s="191"/>
      <c r="R131" s="191"/>
    </row>
    <row r="132" spans="1:18" x14ac:dyDescent="0.25">
      <c r="A132" s="363"/>
      <c r="C132" s="191"/>
      <c r="D132" s="191"/>
      <c r="E132" s="191"/>
      <c r="F132" s="191"/>
      <c r="G132" s="191"/>
      <c r="H132" s="191"/>
      <c r="I132" s="191"/>
      <c r="J132" s="191"/>
      <c r="K132" s="191"/>
      <c r="L132" s="191"/>
      <c r="M132" s="191"/>
      <c r="N132" s="191"/>
      <c r="O132" s="191"/>
      <c r="P132" s="191"/>
      <c r="Q132" s="191"/>
      <c r="R132" s="191"/>
    </row>
    <row r="133" spans="1:18" x14ac:dyDescent="0.25">
      <c r="A133" s="399"/>
      <c r="C133" s="191"/>
      <c r="D133" s="191"/>
      <c r="E133" s="191"/>
      <c r="F133" s="191"/>
      <c r="G133" s="191"/>
      <c r="H133" s="191"/>
      <c r="I133" s="191"/>
      <c r="J133" s="191"/>
      <c r="K133" s="191"/>
      <c r="L133" s="191"/>
      <c r="M133" s="191"/>
      <c r="N133" s="191"/>
      <c r="O133" s="191"/>
      <c r="P133" s="191"/>
      <c r="Q133" s="191"/>
      <c r="R133" s="191"/>
    </row>
    <row r="134" spans="1:18" ht="11.25" customHeight="1" x14ac:dyDescent="0.25">
      <c r="A134" s="125"/>
      <c r="C134" s="190"/>
      <c r="D134" s="190"/>
      <c r="E134" s="190"/>
      <c r="F134" s="190"/>
      <c r="G134" s="191"/>
      <c r="H134" s="191"/>
      <c r="I134" s="191"/>
      <c r="J134" s="191"/>
    </row>
    <row r="135" spans="1:18" ht="11.25" customHeight="1" x14ac:dyDescent="0.25">
      <c r="A135" s="125"/>
      <c r="C135" s="190"/>
      <c r="D135" s="190"/>
      <c r="E135" s="190"/>
      <c r="F135" s="190"/>
      <c r="G135" s="191"/>
      <c r="H135" s="191"/>
      <c r="I135" s="191"/>
      <c r="J135" s="191"/>
    </row>
    <row r="136" spans="1:18" ht="11.25" customHeight="1" x14ac:dyDescent="0.25"/>
    <row r="137" spans="1:18" ht="11.25" customHeight="1" x14ac:dyDescent="0.25">
      <c r="B137" s="449"/>
    </row>
    <row r="138" spans="1:18" ht="11.25" customHeight="1" x14ac:dyDescent="0.25">
      <c r="B138" s="449"/>
    </row>
    <row r="139" spans="1:18" ht="11.25" customHeight="1" x14ac:dyDescent="0.25">
      <c r="B139" s="449"/>
    </row>
    <row r="140" spans="1:18" ht="11.25" customHeight="1" x14ac:dyDescent="0.25"/>
    <row r="141" spans="1:18" ht="11.25" customHeight="1" x14ac:dyDescent="0.25"/>
    <row r="142" spans="1:18" ht="11.25" customHeight="1" x14ac:dyDescent="0.25"/>
    <row r="143" spans="1:18" ht="11.25" customHeight="1" x14ac:dyDescent="0.25"/>
    <row r="144" spans="1:18" ht="11.25" customHeight="1" x14ac:dyDescent="0.25"/>
    <row r="145" ht="11.25" customHeight="1" x14ac:dyDescent="0.25"/>
    <row r="146" ht="11.25" customHeight="1" x14ac:dyDescent="0.25"/>
    <row r="147" ht="11.25" customHeight="1" x14ac:dyDescent="0.25"/>
    <row r="148" ht="11.25" customHeight="1" x14ac:dyDescent="0.25"/>
    <row r="149" ht="11.25" customHeight="1" x14ac:dyDescent="0.25"/>
    <row r="150" ht="11.25" customHeight="1" x14ac:dyDescent="0.25"/>
    <row r="151" ht="11.25" customHeight="1" x14ac:dyDescent="0.25"/>
    <row r="152" ht="11.25" customHeight="1" x14ac:dyDescent="0.25"/>
    <row r="153" ht="11.25" customHeight="1" x14ac:dyDescent="0.25"/>
    <row r="154" ht="11.25" customHeight="1" x14ac:dyDescent="0.25"/>
    <row r="155" ht="11.25" customHeight="1" x14ac:dyDescent="0.25"/>
    <row r="156" ht="11.25" customHeight="1" x14ac:dyDescent="0.25"/>
    <row r="157" ht="11.25" customHeight="1" x14ac:dyDescent="0.25"/>
    <row r="158" ht="11.25" customHeight="1" x14ac:dyDescent="0.25"/>
    <row r="159" ht="11.25" customHeight="1" x14ac:dyDescent="0.25"/>
    <row r="160" ht="11.25" customHeight="1" x14ac:dyDescent="0.25"/>
    <row r="161" ht="11.25" customHeight="1" x14ac:dyDescent="0.25"/>
    <row r="162" ht="11.25" customHeight="1" x14ac:dyDescent="0.25"/>
    <row r="163" ht="11.25" customHeight="1" x14ac:dyDescent="0.25"/>
    <row r="164" ht="11.25" customHeight="1" x14ac:dyDescent="0.25"/>
    <row r="165" ht="11.25" customHeight="1" x14ac:dyDescent="0.25"/>
    <row r="166" ht="11.25" customHeight="1" x14ac:dyDescent="0.25"/>
    <row r="167" ht="11.25" customHeight="1" x14ac:dyDescent="0.25"/>
  </sheetData>
  <sheetProtection sheet="1" objects="1" scenarios="1"/>
  <mergeCells count="14">
    <mergeCell ref="A95:A96"/>
    <mergeCell ref="A2:A3"/>
    <mergeCell ref="B2:B3"/>
    <mergeCell ref="C2:C3"/>
    <mergeCell ref="D2:D3"/>
    <mergeCell ref="B95:B96"/>
    <mergeCell ref="C95:C96"/>
    <mergeCell ref="D95:D96"/>
    <mergeCell ref="F95:F96"/>
    <mergeCell ref="G95:G96"/>
    <mergeCell ref="G2:G3"/>
    <mergeCell ref="F2:F3"/>
    <mergeCell ref="E2:E3"/>
    <mergeCell ref="E95:E96"/>
  </mergeCells>
  <dataValidations count="6">
    <dataValidation type="list" showInputMessage="1" showErrorMessage="1" promptTitle="Guidance" prompt="Select Uniform or Variable" sqref="K88:R88 K24:R24" xr:uid="{00000000-0002-0000-2200-000000000000}">
      <formula1>List7</formula1>
    </dataValidation>
    <dataValidation type="list" showInputMessage="1" showErrorMessage="1" promptTitle="Guidance" prompt="Select Yes or No" sqref="K86:R87 K22:R23" xr:uid="{00000000-0002-0000-2200-000001000000}">
      <formula1>List6</formula1>
    </dataValidation>
    <dataValidation type="list" allowBlank="1" showInputMessage="1" showErrorMessage="1" promptTitle="Select" prompt="Select one" sqref="K84:R84 K20:R20" xr:uid="{00000000-0002-0000-2200-000002000000}">
      <formula1>List5</formula1>
    </dataValidation>
    <dataValidation type="list" allowBlank="1" showInputMessage="1" showErrorMessage="1" promptTitle="Select" prompt="Select one" sqref="K83:R83 C83 K19:R19 C60" xr:uid="{00000000-0002-0000-2200-000003000000}">
      <formula1>List4</formula1>
    </dataValidation>
    <dataValidation type="list" allowBlank="1" showInputMessage="1" showErrorMessage="1" promptTitle="Select" prompt="Select one" sqref="K81:R82 C81:C82 K17:R17 C58:C59" xr:uid="{00000000-0002-0000-2200-000004000000}">
      <formula1>List2</formula1>
    </dataValidation>
    <dataValidation type="list" allowBlank="1" showInputMessage="1" showErrorMessage="1" promptTitle="Select" prompt="Select one" sqref="K18:R18" xr:uid="{00000000-0002-0000-2200-000005000000}">
      <formula1>List3</formula1>
    </dataValidation>
  </dataValidations>
  <printOptions horizontalCentered="1"/>
  <pageMargins left="0" right="0" top="0.59055118110236227" bottom="0.24" header="0.51181102362204722" footer="0.23622047244094491"/>
  <pageSetup paperSize="9" scale="75" orientation="landscape" r:id="rId1"/>
  <headerFooter alignWithMargins="0"/>
  <rowBreaks count="1" manualBreakCount="1">
    <brk id="56" max="16383" man="1"/>
  </rowBreak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33">
    <pageSetUpPr fitToPage="1"/>
  </sheetPr>
  <dimension ref="A1:AN118"/>
  <sheetViews>
    <sheetView showGridLines="0" zoomScale="110" zoomScaleNormal="110" workbookViewId="0">
      <pane xSplit="2" ySplit="4" topLeftCell="C5" activePane="bottomRight" state="frozen"/>
      <selection pane="topRight"/>
      <selection pane="bottomLeft"/>
      <selection pane="bottomRight" activeCell="I55" sqref="I55"/>
    </sheetView>
  </sheetViews>
  <sheetFormatPr defaultColWidth="9.140625" defaultRowHeight="12.75" x14ac:dyDescent="0.25"/>
  <cols>
    <col min="1" max="1" width="30.7109375" style="58" customWidth="1"/>
    <col min="2" max="2" width="3" style="55" customWidth="1"/>
    <col min="3" max="12" width="9.28515625" style="58" customWidth="1"/>
    <col min="13" max="16384" width="9.140625" style="58"/>
  </cols>
  <sheetData>
    <row r="1" spans="1:12" ht="13.5" x14ac:dyDescent="0.25">
      <c r="A1" s="92" t="str">
        <f>muni&amp;" - "&amp;TableA14</f>
        <v>KZN226 Mkhambathini - Supporting Table SA14 Household bills</v>
      </c>
      <c r="B1" s="92"/>
      <c r="C1" s="92"/>
      <c r="D1" s="92"/>
      <c r="E1" s="92"/>
      <c r="F1" s="92"/>
      <c r="G1" s="92"/>
      <c r="H1" s="92"/>
      <c r="I1" s="92"/>
      <c r="J1" s="92"/>
      <c r="K1" s="92"/>
      <c r="L1" s="92"/>
    </row>
    <row r="2" spans="1:12" ht="27" customHeight="1" x14ac:dyDescent="0.25">
      <c r="A2" s="2468" t="str">
        <f>desc</f>
        <v>Description</v>
      </c>
      <c r="B2" s="2470" t="str">
        <f>head27</f>
        <v>Ref</v>
      </c>
      <c r="C2" s="837" t="str">
        <f>head1b</f>
        <v>2017/18</v>
      </c>
      <c r="D2" s="837" t="str">
        <f>head1A</f>
        <v>2018/19</v>
      </c>
      <c r="E2" s="684" t="str">
        <f>Head1</f>
        <v>2019/20</v>
      </c>
      <c r="F2" s="2447" t="str">
        <f>Head2</f>
        <v>Current Year 2020/21</v>
      </c>
      <c r="G2" s="2448"/>
      <c r="H2" s="2448"/>
      <c r="I2" s="1709" t="str">
        <f>Head3</f>
        <v>2021/22 Medium Term Revenue &amp; Expenditure Framework</v>
      </c>
      <c r="J2" s="1710"/>
      <c r="K2" s="484"/>
      <c r="L2" s="485"/>
    </row>
    <row r="3" spans="1:12" ht="25.5" x14ac:dyDescent="0.25">
      <c r="A3" s="2472"/>
      <c r="B3" s="2473"/>
      <c r="C3" s="421" t="str">
        <f>Head5</f>
        <v>Audited Outcome</v>
      </c>
      <c r="D3" s="421" t="str">
        <f>Head5</f>
        <v>Audited Outcome</v>
      </c>
      <c r="E3" s="422" t="str">
        <f>Head5</f>
        <v>Audited Outcome</v>
      </c>
      <c r="F3" s="423" t="str">
        <f>Head6</f>
        <v>Original Budget</v>
      </c>
      <c r="G3" s="421" t="str">
        <f>Head7</f>
        <v>Adjusted Budget</v>
      </c>
      <c r="H3" s="906" t="str">
        <f>Head8</f>
        <v>Full Year Forecast</v>
      </c>
      <c r="I3" s="694" t="str">
        <f>Head9</f>
        <v>Budget Year 2021/22</v>
      </c>
      <c r="J3" s="906" t="str">
        <f>Head9</f>
        <v>Budget Year 2021/22</v>
      </c>
      <c r="K3" s="486" t="str">
        <f>Head10</f>
        <v>Budget Year +1 2022/23</v>
      </c>
      <c r="L3" s="422" t="str">
        <f>Head11</f>
        <v>Budget Year +2 2023/24</v>
      </c>
    </row>
    <row r="4" spans="1:12" x14ac:dyDescent="0.25">
      <c r="A4" s="156" t="s">
        <v>1123</v>
      </c>
      <c r="B4" s="2471"/>
      <c r="C4" s="691"/>
      <c r="D4" s="691"/>
      <c r="E4" s="907"/>
      <c r="F4" s="908"/>
      <c r="G4" s="691"/>
      <c r="H4" s="909"/>
      <c r="I4" s="967" t="s">
        <v>705</v>
      </c>
      <c r="J4" s="909"/>
      <c r="K4" s="691"/>
      <c r="L4" s="907"/>
    </row>
    <row r="5" spans="1:12" ht="25.5" x14ac:dyDescent="0.25">
      <c r="A5" s="487" t="s">
        <v>1926</v>
      </c>
      <c r="B5" s="488">
        <v>1</v>
      </c>
      <c r="C5" s="1711"/>
      <c r="D5" s="1711"/>
      <c r="E5" s="1712"/>
      <c r="F5" s="1713"/>
      <c r="G5" s="1711"/>
      <c r="H5" s="1714"/>
      <c r="I5" s="1715"/>
      <c r="J5" s="1714"/>
      <c r="K5" s="1711"/>
      <c r="L5" s="1712"/>
    </row>
    <row r="6" spans="1:12" x14ac:dyDescent="0.25">
      <c r="A6" s="744" t="s">
        <v>682</v>
      </c>
      <c r="B6" s="493"/>
      <c r="C6" s="1716"/>
      <c r="D6" s="1716"/>
      <c r="E6" s="1717"/>
      <c r="F6" s="1718"/>
      <c r="G6" s="1716"/>
      <c r="H6" s="1719"/>
      <c r="I6" s="1720"/>
      <c r="J6" s="1719"/>
      <c r="K6" s="1716"/>
      <c r="L6" s="1717"/>
    </row>
    <row r="7" spans="1:12" x14ac:dyDescent="0.25">
      <c r="A7" s="478" t="s">
        <v>467</v>
      </c>
      <c r="B7" s="493"/>
      <c r="C7" s="2402">
        <v>1010.95</v>
      </c>
      <c r="D7" s="1721">
        <v>1010.95</v>
      </c>
      <c r="E7" s="2403">
        <v>742.98</v>
      </c>
      <c r="F7" s="1723">
        <v>1751</v>
      </c>
      <c r="G7" s="1723">
        <v>1751</v>
      </c>
      <c r="H7" s="1723">
        <v>1751</v>
      </c>
      <c r="I7" s="1725">
        <v>3.9E-2</v>
      </c>
      <c r="J7" s="1724">
        <v>1819</v>
      </c>
      <c r="K7" s="1724">
        <v>1892</v>
      </c>
      <c r="L7" s="1724">
        <v>1967</v>
      </c>
    </row>
    <row r="8" spans="1:12" x14ac:dyDescent="0.25">
      <c r="A8" s="478" t="s">
        <v>1361</v>
      </c>
      <c r="B8" s="493"/>
      <c r="C8" s="1721"/>
      <c r="D8" s="1721"/>
      <c r="E8" s="1722"/>
      <c r="F8" s="1723"/>
      <c r="G8" s="1721"/>
      <c r="H8" s="1724"/>
      <c r="I8" s="1725"/>
      <c r="J8" s="1724"/>
      <c r="K8" s="1721"/>
      <c r="L8" s="1722"/>
    </row>
    <row r="9" spans="1:12" x14ac:dyDescent="0.25">
      <c r="A9" s="478" t="s">
        <v>1362</v>
      </c>
      <c r="B9" s="493"/>
      <c r="C9" s="1721"/>
      <c r="D9" s="1721"/>
      <c r="E9" s="1722"/>
      <c r="F9" s="1723"/>
      <c r="G9" s="1721"/>
      <c r="H9" s="1724"/>
      <c r="I9" s="1725"/>
      <c r="J9" s="1724"/>
      <c r="K9" s="1721"/>
      <c r="L9" s="1722"/>
    </row>
    <row r="10" spans="1:12" x14ac:dyDescent="0.25">
      <c r="A10" s="478" t="s">
        <v>1363</v>
      </c>
      <c r="B10" s="493"/>
      <c r="C10" s="1721"/>
      <c r="D10" s="1721"/>
      <c r="E10" s="1722"/>
      <c r="F10" s="1723"/>
      <c r="G10" s="1721"/>
      <c r="H10" s="1724"/>
      <c r="I10" s="1725"/>
      <c r="J10" s="1724"/>
      <c r="K10" s="1721"/>
      <c r="L10" s="1722"/>
    </row>
    <row r="11" spans="1:12" x14ac:dyDescent="0.25">
      <c r="A11" s="478" t="s">
        <v>702</v>
      </c>
      <c r="B11" s="493"/>
      <c r="C11" s="1721"/>
      <c r="D11" s="1721"/>
      <c r="E11" s="1722"/>
      <c r="F11" s="1723"/>
      <c r="G11" s="1721"/>
      <c r="H11" s="1724"/>
      <c r="I11" s="1725"/>
      <c r="J11" s="1724"/>
      <c r="K11" s="1721"/>
      <c r="L11" s="1722"/>
    </row>
    <row r="12" spans="1:12" x14ac:dyDescent="0.25">
      <c r="A12" s="478" t="s">
        <v>821</v>
      </c>
      <c r="B12" s="493"/>
      <c r="C12" s="1721"/>
      <c r="D12" s="1721"/>
      <c r="E12" s="1722"/>
      <c r="F12" s="1723"/>
      <c r="G12" s="1721"/>
      <c r="H12" s="1724"/>
      <c r="I12" s="1725"/>
      <c r="J12" s="1724"/>
      <c r="K12" s="1721"/>
      <c r="L12" s="1722"/>
    </row>
    <row r="13" spans="1:12" x14ac:dyDescent="0.25">
      <c r="A13" s="478" t="s">
        <v>569</v>
      </c>
      <c r="B13" s="493"/>
      <c r="C13" s="1721">
        <v>110</v>
      </c>
      <c r="D13" s="1721">
        <v>121</v>
      </c>
      <c r="E13" s="1722">
        <v>121</v>
      </c>
      <c r="F13" s="1723">
        <v>113</v>
      </c>
      <c r="G13" s="1723">
        <v>113</v>
      </c>
      <c r="H13" s="1723">
        <v>113</v>
      </c>
      <c r="I13" s="1725">
        <v>3.9E-2</v>
      </c>
      <c r="J13" s="1724">
        <v>117</v>
      </c>
      <c r="K13" s="1721">
        <v>122</v>
      </c>
      <c r="L13" s="1722">
        <v>126</v>
      </c>
    </row>
    <row r="14" spans="1:12" x14ac:dyDescent="0.25">
      <c r="A14" s="478" t="s">
        <v>245</v>
      </c>
      <c r="B14" s="493"/>
      <c r="C14" s="1721"/>
      <c r="D14" s="1721"/>
      <c r="E14" s="1722"/>
      <c r="F14" s="1723"/>
      <c r="G14" s="1721"/>
      <c r="H14" s="1724"/>
      <c r="I14" s="1725"/>
      <c r="J14" s="1724"/>
      <c r="K14" s="1721"/>
      <c r="L14" s="1722"/>
    </row>
    <row r="15" spans="1:12" x14ac:dyDescent="0.25">
      <c r="A15" s="1726" t="s">
        <v>117</v>
      </c>
      <c r="B15" s="493"/>
      <c r="C15" s="1727">
        <f>SUM(C7:C14)</f>
        <v>1120.95</v>
      </c>
      <c r="D15" s="1727">
        <f>SUM(D7:D14)</f>
        <v>1131.95</v>
      </c>
      <c r="E15" s="1728">
        <f>SUM(E7:E14)</f>
        <v>863.98</v>
      </c>
      <c r="F15" s="1729">
        <f>SUM(F7:F14)</f>
        <v>1864</v>
      </c>
      <c r="G15" s="1727">
        <f t="shared" ref="G15:L15" si="0">SUM(G7:G14)</f>
        <v>1864</v>
      </c>
      <c r="H15" s="1730">
        <f t="shared" si="0"/>
        <v>1864</v>
      </c>
      <c r="I15" s="1731">
        <f>IF(ISERROR(ROUND((J15-F15)/F15,3)),0,(ROUND((J15-F15)/F15,3)))</f>
        <v>3.9E-2</v>
      </c>
      <c r="J15" s="1730">
        <f t="shared" si="0"/>
        <v>1936</v>
      </c>
      <c r="K15" s="1727">
        <f t="shared" si="0"/>
        <v>2014</v>
      </c>
      <c r="L15" s="1728">
        <f t="shared" si="0"/>
        <v>2093</v>
      </c>
    </row>
    <row r="16" spans="1:12" x14ac:dyDescent="0.25">
      <c r="A16" s="478" t="s">
        <v>681</v>
      </c>
      <c r="B16" s="493"/>
      <c r="C16" s="1721"/>
      <c r="D16" s="1721"/>
      <c r="E16" s="1722"/>
      <c r="F16" s="1723"/>
      <c r="G16" s="1721"/>
      <c r="H16" s="1724"/>
      <c r="I16" s="1725"/>
      <c r="J16" s="1724"/>
      <c r="K16" s="1721"/>
      <c r="L16" s="1722"/>
    </row>
    <row r="17" spans="1:12" x14ac:dyDescent="0.25">
      <c r="A17" s="744" t="s">
        <v>703</v>
      </c>
      <c r="B17" s="493"/>
      <c r="C17" s="1727">
        <f>SUM(C15:C16)</f>
        <v>1120.95</v>
      </c>
      <c r="D17" s="1727">
        <f>SUM(D15:D16)</f>
        <v>1131.95</v>
      </c>
      <c r="E17" s="1728">
        <f>SUM(E15:E16)</f>
        <v>863.98</v>
      </c>
      <c r="F17" s="1729">
        <f>SUM(F15:F16)</f>
        <v>1864</v>
      </c>
      <c r="G17" s="1727">
        <f t="shared" ref="G17:L17" si="1">SUM(G15:G16)</f>
        <v>1864</v>
      </c>
      <c r="H17" s="1730">
        <f t="shared" si="1"/>
        <v>1864</v>
      </c>
      <c r="I17" s="1731">
        <f>IF(ISERROR(ROUND((J17-F17)/F17,3)),0,(ROUND((J17-F17)/F17,3)))</f>
        <v>3.9E-2</v>
      </c>
      <c r="J17" s="1730">
        <f t="shared" si="1"/>
        <v>1936</v>
      </c>
      <c r="K17" s="1727">
        <f t="shared" si="1"/>
        <v>2014</v>
      </c>
      <c r="L17" s="1728">
        <f t="shared" si="1"/>
        <v>2093</v>
      </c>
    </row>
    <row r="18" spans="1:12" x14ac:dyDescent="0.25">
      <c r="A18" s="1732" t="s">
        <v>113</v>
      </c>
      <c r="B18" s="493"/>
      <c r="C18" s="1733"/>
      <c r="D18" s="1734">
        <f>IF(ISERROR((D17/C17)-1),0,((D17/C17)-1))</f>
        <v>9.8131049556180461E-3</v>
      </c>
      <c r="E18" s="1735">
        <f>IF(ISERROR((E17/D17)-1),0,((E17/D17)-1))</f>
        <v>-0.23673307124873011</v>
      </c>
      <c r="F18" s="1736">
        <f>IF(ISERROR((F17/E17)-1),0,((F17/E17)-1))</f>
        <v>1.1574573485497348</v>
      </c>
      <c r="G18" s="1734">
        <f>IF(ISERROR((G17/F17)-1),0,((G17/F17)-1))</f>
        <v>0</v>
      </c>
      <c r="H18" s="1737">
        <f>IF(ISERROR((H17/G17)-1),0,((H17/G17)-1))</f>
        <v>0</v>
      </c>
      <c r="I18" s="1738"/>
      <c r="J18" s="1737">
        <f>IF(ISERROR((J17/H17)-1),0,((J17/H17)-1))</f>
        <v>3.8626609442059978E-2</v>
      </c>
      <c r="K18" s="1734">
        <f>IF(ISERROR((K17/J17)-1),0,((K17/J17)-1))</f>
        <v>4.0289256198347001E-2</v>
      </c>
      <c r="L18" s="1735">
        <f>IF(ISERROR((L17/K17)-1),0,((L17/K17)-1))</f>
        <v>3.9225422045680247E-2</v>
      </c>
    </row>
    <row r="19" spans="1:12" ht="4.9000000000000004" customHeight="1" x14ac:dyDescent="0.25">
      <c r="A19" s="487"/>
      <c r="B19" s="493"/>
      <c r="C19" s="1739"/>
      <c r="D19" s="1739"/>
      <c r="E19" s="1740"/>
      <c r="F19" s="1741"/>
      <c r="G19" s="1739"/>
      <c r="H19" s="1742"/>
      <c r="I19" s="1720"/>
      <c r="J19" s="1742"/>
      <c r="K19" s="1739"/>
      <c r="L19" s="1740"/>
    </row>
    <row r="20" spans="1:12" ht="25.5" customHeight="1" x14ac:dyDescent="0.25">
      <c r="A20" s="1743" t="s">
        <v>1927</v>
      </c>
      <c r="B20" s="1744">
        <v>2</v>
      </c>
      <c r="C20" s="1745"/>
      <c r="D20" s="1745"/>
      <c r="E20" s="1746"/>
      <c r="F20" s="1747"/>
      <c r="G20" s="1745"/>
      <c r="H20" s="1748"/>
      <c r="I20" s="1749"/>
      <c r="J20" s="1748"/>
      <c r="K20" s="1745"/>
      <c r="L20" s="1746"/>
    </row>
    <row r="21" spans="1:12" ht="11.25" customHeight="1" x14ac:dyDescent="0.25">
      <c r="A21" s="744" t="str">
        <f>A6</f>
        <v>Rates and services charges:</v>
      </c>
      <c r="B21" s="493"/>
      <c r="C21" s="1716"/>
      <c r="D21" s="1716"/>
      <c r="E21" s="1717"/>
      <c r="F21" s="1718"/>
      <c r="G21" s="1716"/>
      <c r="H21" s="1719"/>
      <c r="I21" s="1720"/>
      <c r="J21" s="1719"/>
      <c r="K21" s="1716"/>
      <c r="L21" s="1717"/>
    </row>
    <row r="22" spans="1:12" ht="11.25" customHeight="1" x14ac:dyDescent="0.25">
      <c r="A22" s="478" t="str">
        <f t="shared" ref="A22:A31" si="2">A7</f>
        <v>Property rates</v>
      </c>
      <c r="B22" s="493"/>
      <c r="C22" s="1721">
        <v>1010.95</v>
      </c>
      <c r="D22" s="1721">
        <v>1010.95</v>
      </c>
      <c r="E22" s="1722">
        <v>742.98</v>
      </c>
      <c r="F22" s="1723">
        <v>1751</v>
      </c>
      <c r="G22" s="1721">
        <v>1751</v>
      </c>
      <c r="H22" s="1724">
        <v>1751</v>
      </c>
      <c r="I22" s="1725">
        <v>3.9E-2</v>
      </c>
      <c r="J22" s="1724">
        <v>1819</v>
      </c>
      <c r="K22" s="1721">
        <v>1892</v>
      </c>
      <c r="L22" s="1722">
        <v>1967</v>
      </c>
    </row>
    <row r="23" spans="1:12" ht="11.25" customHeight="1" x14ac:dyDescent="0.25">
      <c r="A23" s="478" t="str">
        <f t="shared" si="2"/>
        <v>Electricity: Basic levy</v>
      </c>
      <c r="B23" s="493"/>
      <c r="C23" s="1721"/>
      <c r="D23" s="1721"/>
      <c r="E23" s="1722"/>
      <c r="F23" s="1723"/>
      <c r="G23" s="1721"/>
      <c r="H23" s="1724"/>
      <c r="I23" s="1725"/>
      <c r="J23" s="1724"/>
      <c r="K23" s="1721"/>
      <c r="L23" s="1722"/>
    </row>
    <row r="24" spans="1:12" ht="11.25" customHeight="1" x14ac:dyDescent="0.25">
      <c r="A24" s="478" t="str">
        <f t="shared" si="2"/>
        <v>Electricity: Consumption</v>
      </c>
      <c r="B24" s="493"/>
      <c r="C24" s="1721"/>
      <c r="D24" s="1721"/>
      <c r="E24" s="1722"/>
      <c r="F24" s="1723"/>
      <c r="G24" s="1721"/>
      <c r="H24" s="1724"/>
      <c r="I24" s="1725"/>
      <c r="J24" s="1724"/>
      <c r="K24" s="1721"/>
      <c r="L24" s="1722"/>
    </row>
    <row r="25" spans="1:12" ht="11.25" customHeight="1" x14ac:dyDescent="0.25">
      <c r="A25" s="478" t="str">
        <f t="shared" si="2"/>
        <v>Water: Basic levy</v>
      </c>
      <c r="B25" s="493"/>
      <c r="C25" s="1721"/>
      <c r="D25" s="1721"/>
      <c r="E25" s="1722"/>
      <c r="F25" s="1723"/>
      <c r="G25" s="1721"/>
      <c r="H25" s="1724"/>
      <c r="I25" s="1725"/>
      <c r="J25" s="1724"/>
      <c r="K25" s="1721"/>
      <c r="L25" s="1722"/>
    </row>
    <row r="26" spans="1:12" ht="11.25" customHeight="1" x14ac:dyDescent="0.25">
      <c r="A26" s="478" t="str">
        <f t="shared" si="2"/>
        <v>Water: Consumption</v>
      </c>
      <c r="B26" s="493"/>
      <c r="C26" s="1721"/>
      <c r="D26" s="1721"/>
      <c r="E26" s="1722"/>
      <c r="F26" s="1723"/>
      <c r="G26" s="1721"/>
      <c r="H26" s="1724"/>
      <c r="I26" s="1725"/>
      <c r="J26" s="1724"/>
      <c r="K26" s="1721"/>
      <c r="L26" s="1722"/>
    </row>
    <row r="27" spans="1:12" ht="11.25" customHeight="1" x14ac:dyDescent="0.25">
      <c r="A27" s="478" t="str">
        <f t="shared" si="2"/>
        <v>Sanitation</v>
      </c>
      <c r="B27" s="493"/>
      <c r="C27" s="1721"/>
      <c r="D27" s="1721"/>
      <c r="E27" s="1722"/>
      <c r="F27" s="1723"/>
      <c r="G27" s="1721"/>
      <c r="H27" s="1724"/>
      <c r="I27" s="1725"/>
      <c r="J27" s="1724"/>
      <c r="K27" s="1721"/>
      <c r="L27" s="1722"/>
    </row>
    <row r="28" spans="1:12" ht="11.25" customHeight="1" x14ac:dyDescent="0.25">
      <c r="A28" s="478" t="str">
        <f t="shared" si="2"/>
        <v>Refuse removal</v>
      </c>
      <c r="B28" s="493"/>
      <c r="C28" s="1721">
        <v>110</v>
      </c>
      <c r="D28" s="1721">
        <v>121</v>
      </c>
      <c r="E28" s="1722">
        <v>121</v>
      </c>
      <c r="F28" s="1723">
        <v>113</v>
      </c>
      <c r="G28" s="1721">
        <v>113</v>
      </c>
      <c r="H28" s="1724">
        <v>113</v>
      </c>
      <c r="I28" s="1725">
        <v>3.9E-2</v>
      </c>
      <c r="J28" s="1724">
        <v>117</v>
      </c>
      <c r="K28" s="1721">
        <v>122</v>
      </c>
      <c r="L28" s="1722">
        <v>126</v>
      </c>
    </row>
    <row r="29" spans="1:12" ht="11.25" customHeight="1" x14ac:dyDescent="0.25">
      <c r="A29" s="478" t="str">
        <f t="shared" si="2"/>
        <v>Other</v>
      </c>
      <c r="B29" s="493"/>
      <c r="C29" s="1721"/>
      <c r="D29" s="1721"/>
      <c r="E29" s="1722"/>
      <c r="F29" s="1723"/>
      <c r="G29" s="1721"/>
      <c r="H29" s="1724"/>
      <c r="I29" s="1725"/>
      <c r="J29" s="1724"/>
      <c r="K29" s="1721"/>
      <c r="L29" s="1722"/>
    </row>
    <row r="30" spans="1:12" ht="11.25" customHeight="1" x14ac:dyDescent="0.25">
      <c r="A30" s="1726" t="str">
        <f t="shared" si="2"/>
        <v>sub-total</v>
      </c>
      <c r="B30" s="1750"/>
      <c r="C30" s="1727">
        <f t="shared" ref="C30:H30" si="3">SUM(C22:C29)</f>
        <v>1120.95</v>
      </c>
      <c r="D30" s="1727">
        <f t="shared" si="3"/>
        <v>1131.95</v>
      </c>
      <c r="E30" s="1728">
        <f t="shared" si="3"/>
        <v>863.98</v>
      </c>
      <c r="F30" s="1729">
        <f t="shared" si="3"/>
        <v>1864</v>
      </c>
      <c r="G30" s="1727">
        <f t="shared" si="3"/>
        <v>1864</v>
      </c>
      <c r="H30" s="1730">
        <f t="shared" si="3"/>
        <v>1864</v>
      </c>
      <c r="I30" s="1731">
        <f>IF(ISERROR(ROUND((J30-F30)/F30,3)),0,(ROUND((J30-F30)/F30,3)))</f>
        <v>3.9E-2</v>
      </c>
      <c r="J30" s="1730">
        <f>SUM(J22:J29)</f>
        <v>1936</v>
      </c>
      <c r="K30" s="1727">
        <f>SUM(K22:K29)</f>
        <v>2014</v>
      </c>
      <c r="L30" s="1728">
        <f>SUM(L22:L29)</f>
        <v>2093</v>
      </c>
    </row>
    <row r="31" spans="1:12" ht="11.25" customHeight="1" x14ac:dyDescent="0.25">
      <c r="A31" s="478" t="str">
        <f t="shared" si="2"/>
        <v>VAT on Services</v>
      </c>
      <c r="B31" s="493"/>
      <c r="C31" s="1721"/>
      <c r="D31" s="1721"/>
      <c r="E31" s="1722"/>
      <c r="F31" s="1723"/>
      <c r="G31" s="1721"/>
      <c r="H31" s="1724"/>
      <c r="I31" s="1725"/>
      <c r="J31" s="1724"/>
      <c r="K31" s="1721"/>
      <c r="L31" s="1722"/>
    </row>
    <row r="32" spans="1:12" ht="11.25" customHeight="1" x14ac:dyDescent="0.25">
      <c r="A32" s="744" t="s">
        <v>704</v>
      </c>
      <c r="B32" s="493"/>
      <c r="C32" s="1727">
        <f t="shared" ref="C32:H32" si="4">SUM(C30:C31)</f>
        <v>1120.95</v>
      </c>
      <c r="D32" s="1727">
        <f t="shared" si="4"/>
        <v>1131.95</v>
      </c>
      <c r="E32" s="1728">
        <f t="shared" si="4"/>
        <v>863.98</v>
      </c>
      <c r="F32" s="1729">
        <f t="shared" si="4"/>
        <v>1864</v>
      </c>
      <c r="G32" s="1727">
        <f t="shared" si="4"/>
        <v>1864</v>
      </c>
      <c r="H32" s="1730">
        <f t="shared" si="4"/>
        <v>1864</v>
      </c>
      <c r="I32" s="1731">
        <f>IF(ISERROR(ROUND((J32-F32)/F32,3)),0,(ROUND((J32-F32)/F32,3)))</f>
        <v>3.9E-2</v>
      </c>
      <c r="J32" s="1730">
        <f>SUM(J30:J31)</f>
        <v>1936</v>
      </c>
      <c r="K32" s="1727">
        <f>SUM(K30:K31)</f>
        <v>2014</v>
      </c>
      <c r="L32" s="1728">
        <f>SUM(L30:L31)</f>
        <v>2093</v>
      </c>
    </row>
    <row r="33" spans="1:15" ht="11.25" customHeight="1" x14ac:dyDescent="0.25">
      <c r="A33" s="1732" t="s">
        <v>113</v>
      </c>
      <c r="B33" s="493"/>
      <c r="C33" s="1733"/>
      <c r="D33" s="1734">
        <f>IF(ISERROR((D32/C32)-1),0,((D32/C32)-1))</f>
        <v>9.8131049556180461E-3</v>
      </c>
      <c r="E33" s="1735">
        <f>IF(ISERROR((E32/D32)-1),0,((E32/D32)-1))</f>
        <v>-0.23673307124873011</v>
      </c>
      <c r="F33" s="1736">
        <f>IF(ISERROR((F32/E32)-1),0,((F32/E32)-1))</f>
        <v>1.1574573485497348</v>
      </c>
      <c r="G33" s="1734">
        <f>IF(ISERROR((G32/F32)-1),0,((G32/F32)-1))</f>
        <v>0</v>
      </c>
      <c r="H33" s="1737">
        <f>IF(ISERROR((H32/G32)-1),0,((H32/G32)-1))</f>
        <v>0</v>
      </c>
      <c r="I33" s="1738"/>
      <c r="J33" s="1737">
        <f>IF(ISERROR((J32/H32)-1),0,((J32/H32)-1))</f>
        <v>3.8626609442059978E-2</v>
      </c>
      <c r="K33" s="1734">
        <f>IF(ISERROR((K32/J32)-1),0,((K32/J32)-1))</f>
        <v>4.0289256198347001E-2</v>
      </c>
      <c r="L33" s="1735">
        <f>IF(ISERROR((L32/K32)-1),0,((L32/K32)-1))</f>
        <v>3.9225422045680247E-2</v>
      </c>
    </row>
    <row r="34" spans="1:15" ht="4.5" customHeight="1" x14ac:dyDescent="0.25">
      <c r="A34" s="487"/>
      <c r="B34" s="493"/>
      <c r="C34" s="1739"/>
      <c r="D34" s="1739"/>
      <c r="E34" s="1740">
        <f>IF(ISERROR((E33/D33)-1),0,((E33/D33)-1))</f>
        <v>-25.124176019660258</v>
      </c>
      <c r="F34" s="1741">
        <f>IF(ISERROR((F33/E33)-1),0,((F33/E33)-1))</f>
        <v>-5.8892930017945</v>
      </c>
      <c r="G34" s="1739">
        <f>IF(ISERROR((G33/F33)-1),0,((G33/F33)-1))</f>
        <v>-1</v>
      </c>
      <c r="H34" s="1742">
        <f>IF(ISERROR((H33/G33)-1),0,((H33/G33)-1))</f>
        <v>0</v>
      </c>
      <c r="I34" s="1720"/>
      <c r="J34" s="1742"/>
      <c r="K34" s="1739"/>
      <c r="L34" s="1740"/>
    </row>
    <row r="35" spans="1:15" ht="25.5" customHeight="1" x14ac:dyDescent="0.25">
      <c r="A35" s="1743" t="s">
        <v>1925</v>
      </c>
      <c r="B35" s="1744">
        <v>3</v>
      </c>
      <c r="C35" s="1745"/>
      <c r="D35" s="1745"/>
      <c r="E35" s="1746"/>
      <c r="F35" s="1747"/>
      <c r="G35" s="1745"/>
      <c r="H35" s="1748"/>
      <c r="I35" s="1749"/>
      <c r="J35" s="1748"/>
      <c r="K35" s="1745"/>
      <c r="L35" s="1746"/>
    </row>
    <row r="36" spans="1:15" x14ac:dyDescent="0.25">
      <c r="A36" s="744" t="str">
        <f>A6</f>
        <v>Rates and services charges:</v>
      </c>
      <c r="B36" s="493"/>
      <c r="C36" s="1716"/>
      <c r="D36" s="1716"/>
      <c r="E36" s="1717"/>
      <c r="F36" s="1718"/>
      <c r="G36" s="1716"/>
      <c r="H36" s="1719"/>
      <c r="I36" s="1720"/>
      <c r="J36" s="1719"/>
      <c r="K36" s="1716"/>
      <c r="L36" s="1717"/>
    </row>
    <row r="37" spans="1:15" x14ac:dyDescent="0.25">
      <c r="A37" s="478" t="str">
        <f t="shared" ref="A37:A46" si="5">A7</f>
        <v>Property rates</v>
      </c>
      <c r="B37" s="493"/>
      <c r="C37" s="1721"/>
      <c r="D37" s="1721"/>
      <c r="E37" s="1722"/>
      <c r="F37" s="1723">
        <v>553</v>
      </c>
      <c r="G37" s="1723">
        <v>553</v>
      </c>
      <c r="H37" s="1723">
        <v>553</v>
      </c>
      <c r="I37" s="1725">
        <v>3.9E-2</v>
      </c>
      <c r="J37" s="1724">
        <v>575</v>
      </c>
      <c r="K37" s="1721">
        <v>593</v>
      </c>
      <c r="L37" s="1722">
        <v>617</v>
      </c>
      <c r="O37" s="322"/>
    </row>
    <row r="38" spans="1:15" x14ac:dyDescent="0.25">
      <c r="A38" s="478" t="str">
        <f t="shared" si="5"/>
        <v>Electricity: Basic levy</v>
      </c>
      <c r="B38" s="493"/>
      <c r="C38" s="1721"/>
      <c r="D38" s="1721"/>
      <c r="E38" s="1722"/>
      <c r="F38" s="1723"/>
      <c r="G38" s="1721"/>
      <c r="H38" s="1724"/>
      <c r="I38" s="1725" t="str">
        <f t="shared" ref="I38:I44" si="6">IF(J38&gt;0,ROUND((J38-F38)/F38,3),"")</f>
        <v/>
      </c>
      <c r="J38" s="1724"/>
      <c r="K38" s="1721"/>
      <c r="L38" s="1722"/>
    </row>
    <row r="39" spans="1:15" x14ac:dyDescent="0.25">
      <c r="A39" s="478" t="str">
        <f t="shared" si="5"/>
        <v>Electricity: Consumption</v>
      </c>
      <c r="B39" s="493"/>
      <c r="C39" s="1721"/>
      <c r="D39" s="1721"/>
      <c r="E39" s="1722"/>
      <c r="F39" s="1723"/>
      <c r="G39" s="1721"/>
      <c r="H39" s="1724"/>
      <c r="I39" s="1725" t="str">
        <f t="shared" si="6"/>
        <v/>
      </c>
      <c r="J39" s="1724"/>
      <c r="K39" s="1721"/>
      <c r="L39" s="1722"/>
    </row>
    <row r="40" spans="1:15" x14ac:dyDescent="0.25">
      <c r="A40" s="478" t="str">
        <f t="shared" si="5"/>
        <v>Water: Basic levy</v>
      </c>
      <c r="B40" s="493"/>
      <c r="C40" s="1721"/>
      <c r="D40" s="1721"/>
      <c r="E40" s="1722"/>
      <c r="F40" s="1723"/>
      <c r="G40" s="1721"/>
      <c r="H40" s="1724"/>
      <c r="I40" s="1725" t="str">
        <f t="shared" si="6"/>
        <v/>
      </c>
      <c r="J40" s="1724"/>
      <c r="K40" s="1721"/>
      <c r="L40" s="1722"/>
    </row>
    <row r="41" spans="1:15" x14ac:dyDescent="0.25">
      <c r="A41" s="478" t="str">
        <f t="shared" si="5"/>
        <v>Water: Consumption</v>
      </c>
      <c r="B41" s="493"/>
      <c r="C41" s="1721"/>
      <c r="D41" s="1721"/>
      <c r="E41" s="1722"/>
      <c r="F41" s="1723"/>
      <c r="G41" s="1721"/>
      <c r="H41" s="1724"/>
      <c r="I41" s="1725" t="str">
        <f t="shared" si="6"/>
        <v/>
      </c>
      <c r="J41" s="1724"/>
      <c r="K41" s="1721"/>
      <c r="L41" s="1722"/>
    </row>
    <row r="42" spans="1:15" x14ac:dyDescent="0.25">
      <c r="A42" s="478" t="str">
        <f t="shared" si="5"/>
        <v>Sanitation</v>
      </c>
      <c r="B42" s="493"/>
      <c r="C42" s="1721"/>
      <c r="D42" s="1721"/>
      <c r="E42" s="1722"/>
      <c r="F42" s="1723"/>
      <c r="G42" s="1721"/>
      <c r="H42" s="1724"/>
      <c r="I42" s="1725" t="str">
        <f t="shared" si="6"/>
        <v/>
      </c>
      <c r="J42" s="1724"/>
      <c r="K42" s="1721"/>
      <c r="L42" s="1722"/>
    </row>
    <row r="43" spans="1:15" x14ac:dyDescent="0.25">
      <c r="A43" s="478" t="str">
        <f t="shared" si="5"/>
        <v>Refuse removal</v>
      </c>
      <c r="B43" s="493"/>
      <c r="C43" s="1721">
        <v>110</v>
      </c>
      <c r="D43" s="1721">
        <v>121</v>
      </c>
      <c r="E43" s="1722">
        <v>121</v>
      </c>
      <c r="F43" s="1723">
        <v>113</v>
      </c>
      <c r="G43" s="1721">
        <v>113</v>
      </c>
      <c r="H43" s="1724">
        <v>113</v>
      </c>
      <c r="I43" s="1725">
        <v>3.9E-2</v>
      </c>
      <c r="J43" s="1724">
        <v>117</v>
      </c>
      <c r="K43" s="1721">
        <v>122</v>
      </c>
      <c r="L43" s="1722">
        <v>126</v>
      </c>
    </row>
    <row r="44" spans="1:15" x14ac:dyDescent="0.25">
      <c r="A44" s="478" t="str">
        <f t="shared" si="5"/>
        <v>Other</v>
      </c>
      <c r="B44" s="493"/>
      <c r="C44" s="1721"/>
      <c r="D44" s="1721"/>
      <c r="E44" s="1722"/>
      <c r="F44" s="1723"/>
      <c r="G44" s="1721"/>
      <c r="H44" s="1724"/>
      <c r="I44" s="1725" t="str">
        <f t="shared" si="6"/>
        <v/>
      </c>
      <c r="J44" s="1724"/>
      <c r="K44" s="1721"/>
      <c r="L44" s="1722"/>
    </row>
    <row r="45" spans="1:15" x14ac:dyDescent="0.25">
      <c r="A45" s="1726" t="str">
        <f t="shared" si="5"/>
        <v>sub-total</v>
      </c>
      <c r="B45" s="1750"/>
      <c r="C45" s="1727">
        <f>SUM(C37:C44)</f>
        <v>110</v>
      </c>
      <c r="D45" s="1727">
        <f>SUM(D37:D44)</f>
        <v>121</v>
      </c>
      <c r="E45" s="1728">
        <f>SUM(E37:E44)</f>
        <v>121</v>
      </c>
      <c r="F45" s="1729">
        <f>SUM(F37:F44)</f>
        <v>666</v>
      </c>
      <c r="G45" s="1727">
        <f t="shared" ref="G45:L45" si="7">SUM(G37:G44)</f>
        <v>666</v>
      </c>
      <c r="H45" s="1730">
        <f t="shared" si="7"/>
        <v>666</v>
      </c>
      <c r="I45" s="1731">
        <f>IF(ISERROR(ROUND((J45-F45)/F45,3)),0,(ROUND((J45-F45)/F45,3)))</f>
        <v>3.9E-2</v>
      </c>
      <c r="J45" s="1730">
        <f t="shared" si="7"/>
        <v>692</v>
      </c>
      <c r="K45" s="1727">
        <f t="shared" si="7"/>
        <v>715</v>
      </c>
      <c r="L45" s="1728">
        <f t="shared" si="7"/>
        <v>743</v>
      </c>
    </row>
    <row r="46" spans="1:15" x14ac:dyDescent="0.25">
      <c r="A46" s="478" t="str">
        <f t="shared" si="5"/>
        <v>VAT on Services</v>
      </c>
      <c r="B46" s="493"/>
      <c r="C46" s="1721"/>
      <c r="D46" s="1721"/>
      <c r="E46" s="1722"/>
      <c r="F46" s="1723"/>
      <c r="G46" s="1721"/>
      <c r="H46" s="1724"/>
      <c r="I46" s="1725" t="str">
        <f>IF(J46&gt;0,I13ROUND((J46-F46)/F46,3),"")</f>
        <v/>
      </c>
      <c r="J46" s="1724"/>
      <c r="K46" s="1721"/>
      <c r="L46" s="1722"/>
    </row>
    <row r="47" spans="1:15" x14ac:dyDescent="0.25">
      <c r="A47" s="744" t="s">
        <v>704</v>
      </c>
      <c r="B47" s="493"/>
      <c r="C47" s="1727">
        <f>SUM(C45:C46)</f>
        <v>110</v>
      </c>
      <c r="D47" s="1727">
        <f>SUM(D45:D46)</f>
        <v>121</v>
      </c>
      <c r="E47" s="1728">
        <f>SUM(E45:E46)</f>
        <v>121</v>
      </c>
      <c r="F47" s="1729">
        <f>SUM(F45:F46)</f>
        <v>666</v>
      </c>
      <c r="G47" s="1727">
        <f t="shared" ref="G47:L47" si="8">SUM(G45:G46)</f>
        <v>666</v>
      </c>
      <c r="H47" s="1730">
        <f t="shared" si="8"/>
        <v>666</v>
      </c>
      <c r="I47" s="1731">
        <f>IF(ISERROR(ROUND((J47-F47)/F47,3)),0,(ROUND((J47-F47)/F47,3)))</f>
        <v>3.9E-2</v>
      </c>
      <c r="J47" s="1730">
        <f t="shared" si="8"/>
        <v>692</v>
      </c>
      <c r="K47" s="1727">
        <f t="shared" si="8"/>
        <v>715</v>
      </c>
      <c r="L47" s="1728">
        <f t="shared" si="8"/>
        <v>743</v>
      </c>
    </row>
    <row r="48" spans="1:15" x14ac:dyDescent="0.25">
      <c r="A48" s="1732" t="str">
        <f>A18</f>
        <v>% increase/-decrease</v>
      </c>
      <c r="B48" s="493"/>
      <c r="C48" s="1733"/>
      <c r="D48" s="1734">
        <f>IF(ISERROR((D47/C47)-1),0,((D47/C47)-1))</f>
        <v>0.10000000000000009</v>
      </c>
      <c r="E48" s="1735">
        <f>IF(ISERROR((E47/D47)-1),0,((E47/D47)-1))</f>
        <v>0</v>
      </c>
      <c r="F48" s="1736">
        <f>IF(ISERROR((F47/E47)-1),0,((F47/E47)-1))</f>
        <v>4.5041322314049586</v>
      </c>
      <c r="G48" s="1734">
        <f>IF(ISERROR((G47/F47)-1),0,((G47/F47)-1))</f>
        <v>0</v>
      </c>
      <c r="H48" s="1737">
        <f>IF(ISERROR((H47/G47)-1),0,((H47/G47)-1))</f>
        <v>0</v>
      </c>
      <c r="I48" s="1738"/>
      <c r="J48" s="1737">
        <f>IF(ISERROR((J47/H47)-1),0,((J47/H47)-1))</f>
        <v>3.9039039039038936E-2</v>
      </c>
      <c r="K48" s="1734">
        <f>IF(ISERROR((K47/J47)-1),0,((K47/J47)-1))</f>
        <v>3.3236994219653093E-2</v>
      </c>
      <c r="L48" s="1735">
        <f>IF(ISERROR((L47/K47)-1),0,((L47/K47)-1))</f>
        <v>3.9160839160839123E-2</v>
      </c>
    </row>
    <row r="49" spans="1:40" ht="4.9000000000000004" customHeight="1" x14ac:dyDescent="0.25">
      <c r="A49" s="506"/>
      <c r="B49" s="507"/>
      <c r="C49" s="507"/>
      <c r="D49" s="507"/>
      <c r="E49" s="1751"/>
      <c r="F49" s="1752"/>
      <c r="G49" s="507"/>
      <c r="H49" s="1753"/>
      <c r="I49" s="1754"/>
      <c r="J49" s="1753"/>
      <c r="K49" s="507"/>
      <c r="L49" s="1751"/>
    </row>
    <row r="50" spans="1:40" x14ac:dyDescent="0.25">
      <c r="A50" s="124" t="str">
        <f>head27a</f>
        <v>References</v>
      </c>
      <c r="C50" s="56"/>
      <c r="D50" s="56"/>
      <c r="E50" s="56"/>
      <c r="F50" s="57"/>
      <c r="G50" s="56"/>
      <c r="H50" s="56"/>
      <c r="I50" s="56"/>
      <c r="J50" s="56"/>
      <c r="K50" s="56"/>
    </row>
    <row r="51" spans="1:40" x14ac:dyDescent="0.25">
      <c r="A51" s="296" t="s">
        <v>1928</v>
      </c>
      <c r="B51" s="511"/>
      <c r="C51" s="296"/>
      <c r="D51" s="296"/>
      <c r="E51" s="296"/>
      <c r="F51" s="296"/>
      <c r="G51" s="296"/>
      <c r="H51" s="296"/>
      <c r="I51" s="296"/>
      <c r="J51" s="296"/>
      <c r="K51" s="296"/>
      <c r="L51" s="296"/>
      <c r="M51" s="296"/>
      <c r="N51" s="296"/>
      <c r="O51" s="296"/>
      <c r="P51" s="296"/>
      <c r="Q51" s="296"/>
      <c r="R51" s="296"/>
      <c r="S51" s="296"/>
      <c r="T51" s="296"/>
      <c r="U51" s="296"/>
      <c r="V51" s="296"/>
      <c r="W51" s="296"/>
      <c r="X51" s="296"/>
      <c r="Y51" s="296"/>
      <c r="Z51" s="296"/>
      <c r="AA51" s="296"/>
      <c r="AB51" s="296"/>
      <c r="AC51" s="296"/>
      <c r="AD51" s="296"/>
      <c r="AE51" s="296"/>
      <c r="AF51" s="296"/>
      <c r="AG51" s="296"/>
      <c r="AH51" s="296"/>
      <c r="AI51" s="296"/>
      <c r="AJ51" s="296"/>
      <c r="AK51" s="296"/>
      <c r="AL51" s="296"/>
      <c r="AM51" s="296"/>
      <c r="AN51" s="296"/>
    </row>
    <row r="52" spans="1:40" x14ac:dyDescent="0.25">
      <c r="A52" s="296" t="s">
        <v>1929</v>
      </c>
      <c r="B52" s="511"/>
      <c r="C52" s="296"/>
      <c r="D52" s="296"/>
      <c r="E52" s="296"/>
      <c r="F52" s="296"/>
      <c r="G52" s="296"/>
      <c r="H52" s="296"/>
      <c r="I52" s="296"/>
      <c r="J52" s="296"/>
      <c r="K52" s="296"/>
      <c r="L52" s="296"/>
      <c r="M52" s="296"/>
      <c r="N52" s="296"/>
      <c r="O52" s="296"/>
      <c r="P52" s="296"/>
      <c r="Q52" s="296"/>
      <c r="R52" s="296"/>
      <c r="S52" s="296"/>
      <c r="T52" s="296"/>
      <c r="U52" s="296"/>
      <c r="V52" s="296"/>
      <c r="W52" s="296"/>
      <c r="X52" s="296"/>
      <c r="Y52" s="296"/>
      <c r="Z52" s="296"/>
      <c r="AA52" s="296"/>
      <c r="AB52" s="296"/>
      <c r="AC52" s="296"/>
      <c r="AD52" s="296"/>
      <c r="AE52" s="296"/>
      <c r="AF52" s="296"/>
      <c r="AG52" s="296"/>
      <c r="AH52" s="296"/>
      <c r="AI52" s="296"/>
      <c r="AJ52" s="296"/>
      <c r="AK52" s="296"/>
      <c r="AL52" s="296"/>
      <c r="AM52" s="296"/>
      <c r="AN52" s="296"/>
    </row>
    <row r="53" spans="1:40" x14ac:dyDescent="0.25">
      <c r="A53" s="296" t="s">
        <v>1959</v>
      </c>
      <c r="B53" s="511"/>
      <c r="C53" s="296"/>
      <c r="D53" s="296"/>
      <c r="E53" s="296"/>
      <c r="F53" s="296"/>
      <c r="G53" s="296"/>
      <c r="H53" s="296"/>
      <c r="I53" s="296"/>
      <c r="J53" s="296"/>
      <c r="K53" s="296"/>
      <c r="L53" s="296"/>
      <c r="M53" s="296"/>
      <c r="N53" s="296"/>
      <c r="O53" s="296"/>
      <c r="P53" s="296"/>
      <c r="Q53" s="296"/>
      <c r="R53" s="296"/>
      <c r="S53" s="296"/>
      <c r="T53" s="296"/>
      <c r="U53" s="296"/>
      <c r="V53" s="296"/>
      <c r="W53" s="296"/>
      <c r="X53" s="296"/>
      <c r="Y53" s="296"/>
      <c r="Z53" s="296"/>
      <c r="AA53" s="296"/>
      <c r="AB53" s="296"/>
      <c r="AC53" s="296"/>
      <c r="AD53" s="296"/>
      <c r="AE53" s="296"/>
      <c r="AF53" s="296"/>
      <c r="AG53" s="296"/>
      <c r="AH53" s="296"/>
      <c r="AI53" s="296"/>
      <c r="AJ53" s="296"/>
      <c r="AK53" s="296"/>
      <c r="AL53" s="296"/>
      <c r="AM53" s="296"/>
      <c r="AN53" s="296"/>
    </row>
    <row r="54" spans="1:40" x14ac:dyDescent="0.25">
      <c r="A54" s="58" t="s">
        <v>2012</v>
      </c>
    </row>
    <row r="55" spans="1:40" x14ac:dyDescent="0.25">
      <c r="C55" s="56"/>
      <c r="D55" s="56"/>
      <c r="E55" s="56"/>
      <c r="F55" s="57"/>
      <c r="G55" s="56"/>
      <c r="H55" s="56"/>
      <c r="I55" s="56"/>
      <c r="J55" s="56"/>
      <c r="K55" s="56"/>
    </row>
    <row r="56" spans="1:40" x14ac:dyDescent="0.25">
      <c r="C56" s="56"/>
      <c r="D56" s="56"/>
      <c r="E56" s="56"/>
      <c r="F56" s="57"/>
      <c r="G56" s="56"/>
      <c r="H56" s="56"/>
      <c r="I56" s="56"/>
      <c r="J56" s="56"/>
      <c r="K56" s="56"/>
    </row>
    <row r="57" spans="1:40" x14ac:dyDescent="0.25">
      <c r="C57" s="56"/>
      <c r="D57" s="56"/>
      <c r="E57" s="56"/>
      <c r="F57" s="57"/>
      <c r="G57" s="56"/>
      <c r="H57" s="56"/>
      <c r="I57" s="56"/>
      <c r="J57" s="56"/>
      <c r="K57" s="56"/>
    </row>
    <row r="58" spans="1:40" x14ac:dyDescent="0.25">
      <c r="K58" s="56"/>
    </row>
    <row r="59" spans="1:40" x14ac:dyDescent="0.25">
      <c r="K59" s="56"/>
    </row>
    <row r="60" spans="1:40" x14ac:dyDescent="0.25">
      <c r="K60" s="56"/>
    </row>
    <row r="61" spans="1:40" x14ac:dyDescent="0.25">
      <c r="K61" s="56"/>
    </row>
    <row r="62" spans="1:40" x14ac:dyDescent="0.25">
      <c r="K62" s="56"/>
    </row>
    <row r="63" spans="1:40" x14ac:dyDescent="0.25">
      <c r="K63" s="56"/>
    </row>
    <row r="64" spans="1:40" x14ac:dyDescent="0.25">
      <c r="K64" s="56"/>
    </row>
    <row r="65" spans="11:11" x14ac:dyDescent="0.25">
      <c r="K65" s="56"/>
    </row>
    <row r="66" spans="11:11" x14ac:dyDescent="0.25">
      <c r="K66" s="56"/>
    </row>
    <row r="67" spans="11:11" x14ac:dyDescent="0.25">
      <c r="K67" s="56"/>
    </row>
    <row r="68" spans="11:11" x14ac:dyDescent="0.25">
      <c r="K68" s="56"/>
    </row>
    <row r="69" spans="11:11" x14ac:dyDescent="0.25">
      <c r="K69" s="56"/>
    </row>
    <row r="70" spans="11:11" x14ac:dyDescent="0.25">
      <c r="K70" s="56"/>
    </row>
    <row r="71" spans="11:11" x14ac:dyDescent="0.25">
      <c r="K71" s="56"/>
    </row>
    <row r="72" spans="11:11" x14ac:dyDescent="0.25">
      <c r="K72" s="56"/>
    </row>
    <row r="73" spans="11:11" x14ac:dyDescent="0.25">
      <c r="K73" s="56"/>
    </row>
    <row r="74" spans="11:11" x14ac:dyDescent="0.25">
      <c r="K74" s="56"/>
    </row>
    <row r="75" spans="11:11" x14ac:dyDescent="0.25">
      <c r="K75" s="56"/>
    </row>
    <row r="76" spans="11:11" x14ac:dyDescent="0.25">
      <c r="K76" s="56"/>
    </row>
    <row r="77" spans="11:11" x14ac:dyDescent="0.25">
      <c r="K77" s="56"/>
    </row>
    <row r="78" spans="11:11" x14ac:dyDescent="0.25">
      <c r="K78" s="56"/>
    </row>
    <row r="79" spans="11:11" x14ac:dyDescent="0.25">
      <c r="K79" s="56"/>
    </row>
    <row r="80" spans="11:11" x14ac:dyDescent="0.25">
      <c r="K80" s="56"/>
    </row>
    <row r="81" spans="11:11" x14ac:dyDescent="0.25">
      <c r="K81" s="56"/>
    </row>
    <row r="82" spans="11:11" x14ac:dyDescent="0.25">
      <c r="K82" s="56"/>
    </row>
    <row r="83" spans="11:11" x14ac:dyDescent="0.25">
      <c r="K83" s="56"/>
    </row>
    <row r="84" spans="11:11" x14ac:dyDescent="0.25">
      <c r="K84" s="56"/>
    </row>
    <row r="85" spans="11:11" x14ac:dyDescent="0.25">
      <c r="K85" s="56"/>
    </row>
    <row r="86" spans="11:11" x14ac:dyDescent="0.25">
      <c r="K86" s="56"/>
    </row>
    <row r="87" spans="11:11" x14ac:dyDescent="0.25">
      <c r="K87" s="56"/>
    </row>
    <row r="88" spans="11:11" x14ac:dyDescent="0.25">
      <c r="K88" s="56"/>
    </row>
    <row r="89" spans="11:11" x14ac:dyDescent="0.25">
      <c r="K89" s="56"/>
    </row>
    <row r="90" spans="11:11" x14ac:dyDescent="0.25">
      <c r="K90" s="56"/>
    </row>
    <row r="91" spans="11:11" x14ac:dyDescent="0.25">
      <c r="K91" s="56"/>
    </row>
    <row r="92" spans="11:11" x14ac:dyDescent="0.25">
      <c r="K92" s="56"/>
    </row>
    <row r="93" spans="11:11" x14ac:dyDescent="0.25">
      <c r="K93" s="56"/>
    </row>
    <row r="94" spans="11:11" x14ac:dyDescent="0.25">
      <c r="K94" s="56"/>
    </row>
    <row r="95" spans="11:11" x14ac:dyDescent="0.25">
      <c r="K95" s="56"/>
    </row>
    <row r="96" spans="11:11" x14ac:dyDescent="0.25">
      <c r="K96" s="56"/>
    </row>
    <row r="97" spans="11:11" x14ac:dyDescent="0.25">
      <c r="K97" s="56"/>
    </row>
    <row r="98" spans="11:11" x14ac:dyDescent="0.25">
      <c r="K98" s="56"/>
    </row>
    <row r="99" spans="11:11" x14ac:dyDescent="0.25">
      <c r="K99" s="56"/>
    </row>
    <row r="100" spans="11:11" x14ac:dyDescent="0.25">
      <c r="K100" s="56"/>
    </row>
    <row r="101" spans="11:11" x14ac:dyDescent="0.25">
      <c r="K101" s="56"/>
    </row>
    <row r="102" spans="11:11" x14ac:dyDescent="0.25">
      <c r="K102" s="56"/>
    </row>
    <row r="103" spans="11:11" x14ac:dyDescent="0.25">
      <c r="K103" s="56"/>
    </row>
    <row r="104" spans="11:11" x14ac:dyDescent="0.25">
      <c r="K104" s="56"/>
    </row>
    <row r="105" spans="11:11" x14ac:dyDescent="0.25">
      <c r="K105" s="56"/>
    </row>
    <row r="106" spans="11:11" x14ac:dyDescent="0.25">
      <c r="K106" s="56"/>
    </row>
    <row r="107" spans="11:11" x14ac:dyDescent="0.25">
      <c r="K107" s="56"/>
    </row>
    <row r="108" spans="11:11" x14ac:dyDescent="0.25">
      <c r="K108" s="56"/>
    </row>
    <row r="109" spans="11:11" x14ac:dyDescent="0.25">
      <c r="K109" s="56"/>
    </row>
    <row r="110" spans="11:11" x14ac:dyDescent="0.25">
      <c r="K110" s="56"/>
    </row>
    <row r="111" spans="11:11" x14ac:dyDescent="0.25">
      <c r="K111" s="56"/>
    </row>
    <row r="112" spans="11:11" x14ac:dyDescent="0.25">
      <c r="K112" s="56"/>
    </row>
    <row r="113" spans="11:11" x14ac:dyDescent="0.25">
      <c r="K113" s="56"/>
    </row>
    <row r="114" spans="11:11" x14ac:dyDescent="0.25">
      <c r="K114" s="56"/>
    </row>
    <row r="115" spans="11:11" x14ac:dyDescent="0.25">
      <c r="K115" s="56"/>
    </row>
    <row r="116" spans="11:11" x14ac:dyDescent="0.25">
      <c r="K116" s="56"/>
    </row>
    <row r="117" spans="11:11" x14ac:dyDescent="0.25">
      <c r="K117" s="56"/>
    </row>
    <row r="118" spans="11:11" x14ac:dyDescent="0.25">
      <c r="K118" s="56"/>
    </row>
  </sheetData>
  <sheetProtection algorithmName="SHA-512" hashValue="egDdGmE5qWV0jTKgOxTxY2sUB6XmvJgwHAsAc3XHkW5lDxIvAhPOh/brEhmM49aOsHyO+hDMqysaWFGdbDaG/w==" saltValue="Mowb4mDVC6+O3VH+a+xGeg==" spinCount="100000" sheet="1" objects="1" scenarios="1"/>
  <mergeCells count="3">
    <mergeCell ref="B2:B4"/>
    <mergeCell ref="F2:H2"/>
    <mergeCell ref="A2:A3"/>
  </mergeCells>
  <phoneticPr fontId="7" type="noConversion"/>
  <printOptions horizontalCentered="1"/>
  <pageMargins left="0" right="0" top="0.78740157480314965" bottom="0.59055118110236227" header="0.51181102362204722" footer="0.51181102362204722"/>
  <pageSetup paperSize="9" scale="81" orientation="portrait"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34">
    <pageSetUpPr fitToPage="1"/>
  </sheetPr>
  <dimension ref="A1:AC70"/>
  <sheetViews>
    <sheetView showGridLines="0" zoomScale="110" zoomScaleNormal="110" workbookViewId="0">
      <pane xSplit="2" ySplit="4" topLeftCell="C5" activePane="bottomRight" state="frozen"/>
      <selection pane="topRight"/>
      <selection pane="bottomLeft"/>
      <selection pane="bottomRight" activeCell="G6" sqref="G6"/>
    </sheetView>
  </sheetViews>
  <sheetFormatPr defaultColWidth="9.140625" defaultRowHeight="12.75" x14ac:dyDescent="0.25"/>
  <cols>
    <col min="1" max="1" width="30.7109375" style="58" customWidth="1"/>
    <col min="2" max="2" width="3" style="55" customWidth="1"/>
    <col min="3" max="11" width="9.28515625" style="58" customWidth="1"/>
    <col min="12" max="12" width="9.7109375" style="58" hidden="1" customWidth="1"/>
    <col min="13" max="13" width="9.42578125" style="58" hidden="1" customWidth="1"/>
    <col min="14" max="14" width="9.7109375" style="58" hidden="1" customWidth="1"/>
    <col min="15" max="17" width="9.42578125" style="58" hidden="1" customWidth="1"/>
    <col min="18" max="18" width="9.7109375" style="58" hidden="1" customWidth="1"/>
    <col min="19" max="21" width="9.42578125" style="58" hidden="1" customWidth="1"/>
    <col min="22" max="23" width="9.7109375" style="58" hidden="1" customWidth="1"/>
    <col min="24" max="28" width="0" style="58" hidden="1" customWidth="1"/>
    <col min="29" max="29" width="6.28515625" style="2311" customWidth="1"/>
    <col min="30" max="16384" width="9.140625" style="58"/>
  </cols>
  <sheetData>
    <row r="1" spans="1:29" ht="13.5" x14ac:dyDescent="0.25">
      <c r="A1" s="92" t="str">
        <f>muni&amp;" - "&amp;TableA15</f>
        <v>KZN226 Mkhambathini - Supporting Table SA15 Investment particulars by type</v>
      </c>
      <c r="B1" s="92"/>
      <c r="C1" s="92"/>
      <c r="D1" s="92"/>
      <c r="E1" s="92"/>
      <c r="F1" s="92"/>
      <c r="G1" s="92"/>
      <c r="H1" s="92"/>
      <c r="I1" s="92"/>
      <c r="J1" s="92"/>
      <c r="K1" s="92"/>
    </row>
    <row r="2" spans="1:29" ht="28.5" customHeight="1" x14ac:dyDescent="0.25">
      <c r="A2" s="2499" t="s">
        <v>508</v>
      </c>
      <c r="B2" s="2470" t="str">
        <f>head27</f>
        <v>Ref</v>
      </c>
      <c r="C2" s="683" t="str">
        <f>head1b</f>
        <v>2017/18</v>
      </c>
      <c r="D2" s="837" t="str">
        <f>head1A</f>
        <v>2018/19</v>
      </c>
      <c r="E2" s="684" t="str">
        <f>Head1</f>
        <v>2019/20</v>
      </c>
      <c r="F2" s="2447" t="str">
        <f>Head2</f>
        <v>Current Year 2020/21</v>
      </c>
      <c r="G2" s="2448"/>
      <c r="H2" s="2449"/>
      <c r="I2" s="2450" t="str">
        <f>Head3</f>
        <v>2021/22 Medium Term Revenue &amp; Expenditure Framework</v>
      </c>
      <c r="J2" s="2451"/>
      <c r="K2" s="2452"/>
    </row>
    <row r="3" spans="1:29" ht="25.5" x14ac:dyDescent="0.25">
      <c r="A3" s="2500"/>
      <c r="B3" s="2473"/>
      <c r="C3" s="906" t="str">
        <f>Head5</f>
        <v>Audited Outcome</v>
      </c>
      <c r="D3" s="421" t="str">
        <f>Head5</f>
        <v>Audited Outcome</v>
      </c>
      <c r="E3" s="422" t="str">
        <f>Head5</f>
        <v>Audited Outcome</v>
      </c>
      <c r="F3" s="423" t="str">
        <f>Head6</f>
        <v>Original Budget</v>
      </c>
      <c r="G3" s="421" t="str">
        <f>Head7</f>
        <v>Adjusted Budget</v>
      </c>
      <c r="H3" s="422" t="str">
        <f>Head8</f>
        <v>Full Year Forecast</v>
      </c>
      <c r="I3" s="423" t="str">
        <f>Head9</f>
        <v>Budget Year 2021/22</v>
      </c>
      <c r="J3" s="421" t="str">
        <f>Head10</f>
        <v>Budget Year +1 2022/23</v>
      </c>
      <c r="K3" s="422" t="str">
        <f>Head11</f>
        <v>Budget Year +2 2023/24</v>
      </c>
    </row>
    <row r="4" spans="1:29" x14ac:dyDescent="0.25">
      <c r="A4" s="156" t="s">
        <v>568</v>
      </c>
      <c r="B4" s="2471"/>
      <c r="C4" s="691"/>
      <c r="D4" s="691"/>
      <c r="E4" s="907"/>
      <c r="F4" s="908"/>
      <c r="G4" s="691"/>
      <c r="H4" s="907"/>
      <c r="I4" s="908"/>
      <c r="J4" s="691"/>
      <c r="K4" s="907"/>
    </row>
    <row r="5" spans="1:29" x14ac:dyDescent="0.25">
      <c r="A5" s="96" t="s">
        <v>154</v>
      </c>
      <c r="B5" s="705"/>
      <c r="C5" s="1755"/>
      <c r="D5" s="1755"/>
      <c r="E5" s="1756"/>
      <c r="F5" s="1757"/>
      <c r="G5" s="1755"/>
      <c r="H5" s="1758"/>
      <c r="I5" s="1759"/>
      <c r="J5" s="1755"/>
      <c r="K5" s="1756"/>
    </row>
    <row r="6" spans="1:29" ht="11.25" customHeight="1" x14ac:dyDescent="0.25">
      <c r="A6" s="104" t="s">
        <v>1368</v>
      </c>
      <c r="B6" s="711"/>
      <c r="C6" s="1760">
        <f>SUMIFS(Sheet1!S71_PPPYearAmount,Sheet1!S71_SA15Ref,$AC:$AC)</f>
        <v>0</v>
      </c>
      <c r="D6" s="1760">
        <f>SUMIFS(Sheet1!S71_PPYearAmount,Sheet1!S71_SA15Ref,$AC:$AC)</f>
        <v>0</v>
      </c>
      <c r="E6" s="1761">
        <f>SUMIFS(Sheet1!S71_PYearAmount,Sheet1!S71_SA15Ref,$AC:$AC)</f>
        <v>0</v>
      </c>
      <c r="F6" s="1762">
        <f>SUMIFS(Sheet1!S71_OriginalBudAmnt,Sheet1!S71_SA15Ref,$AC:$AC)</f>
        <v>0</v>
      </c>
      <c r="G6" s="1760">
        <f>SUMIFS(Sheet1!S71_AdjustmentBudAmnt,Sheet1!S71_SA15Ref,$AC:$AC)</f>
        <v>0</v>
      </c>
      <c r="H6" s="1763">
        <f>SUMIFS(Sheet1!S71_AdjustmentBudAmnt,Sheet1!S71_SA15Ref,$AC:$AC)</f>
        <v>0</v>
      </c>
      <c r="I6" s="1764">
        <f>SUMIFS(Sheet1!S71_ASBudgetAmount,Sheet1!S71_SA15Ref,$AC:$AC)</f>
        <v>0</v>
      </c>
      <c r="J6" s="1760">
        <f>SUMIFS(Sheet1!S71_OY1BudgetAmount,Sheet1!S71_SA15Ref,$AC:$AC)</f>
        <v>0</v>
      </c>
      <c r="K6" s="1761">
        <f>SUMIFS(Sheet1!S71_OY2BudgetAmount,Sheet1!S71_SA15Ref,$AC:$AC)</f>
        <v>0</v>
      </c>
      <c r="AC6" s="2311">
        <v>6</v>
      </c>
    </row>
    <row r="7" spans="1:29" ht="11.25" customHeight="1" x14ac:dyDescent="0.25">
      <c r="A7" s="104" t="s">
        <v>1369</v>
      </c>
      <c r="B7" s="711"/>
      <c r="C7" s="1760">
        <f>SUMIFS(Sheet1!S71_PPPYearAmount,Sheet1!S71_SA15Ref,$AC:$AC)</f>
        <v>0</v>
      </c>
      <c r="D7" s="1760">
        <f>SUMIFS(Sheet1!S71_PPYearAmount,Sheet1!S71_SA15Ref,$AC:$AC)</f>
        <v>0</v>
      </c>
      <c r="E7" s="1761">
        <f>SUMIFS(Sheet1!S71_PYearAmount,Sheet1!S71_SA15Ref,$AC:$AC)</f>
        <v>0</v>
      </c>
      <c r="F7" s="1762">
        <f>SUMIFS(Sheet1!S71_OriginalBudAmnt,Sheet1!S71_SA15Ref,$AC:$AC)</f>
        <v>0</v>
      </c>
      <c r="G7" s="1760">
        <f>SUMIFS(Sheet1!S71_AdjustmentBudAmnt,Sheet1!S71_SA15Ref,$AC:$AC)</f>
        <v>0</v>
      </c>
      <c r="H7" s="1763">
        <f>SUMIFS(Sheet1!S71_AdjustmentBudAmnt,Sheet1!S71_SA15Ref,$AC:$AC)</f>
        <v>0</v>
      </c>
      <c r="I7" s="1764">
        <f>SUMIFS(Sheet1!S71_ASBudgetAmount,Sheet1!S71_SA15Ref,$AC:$AC)</f>
        <v>0</v>
      </c>
      <c r="J7" s="1760">
        <f>SUMIFS(Sheet1!S71_OY1BudgetAmount,Sheet1!S71_SA15Ref,$AC:$AC)</f>
        <v>0</v>
      </c>
      <c r="K7" s="1761">
        <f>SUMIFS(Sheet1!S71_OY2BudgetAmount,Sheet1!S71_SA15Ref,$AC:$AC)</f>
        <v>0</v>
      </c>
      <c r="AC7" s="2311">
        <v>7</v>
      </c>
    </row>
    <row r="8" spans="1:29" ht="11.25" customHeight="1" x14ac:dyDescent="0.25">
      <c r="A8" s="104" t="s">
        <v>1371</v>
      </c>
      <c r="B8" s="711"/>
      <c r="C8" s="1760">
        <f>SUMIFS(Sheet1!S71_PPPYearAmount,Sheet1!S71_SA15Ref,$AC:$AC)</f>
        <v>57375565</v>
      </c>
      <c r="D8" s="1760">
        <f>SUMIFS(Sheet1!S71_PPYearAmount,Sheet1!S71_SA15Ref,$AC:$AC)</f>
        <v>0</v>
      </c>
      <c r="E8" s="1761">
        <f>SUMIFS(Sheet1!S71_PYearAmount,Sheet1!S71_SA15Ref,$AC:$AC)</f>
        <v>0</v>
      </c>
      <c r="F8" s="1762">
        <f>SUMIFS(Sheet1!S71_OriginalBudAmnt,Sheet1!S71_SA15Ref,$AC:$AC)</f>
        <v>3408647</v>
      </c>
      <c r="G8" s="1760">
        <f>SUMIFS(Sheet1!S71_AdjustmentBudAmnt,Sheet1!S71_SA15Ref,$AC:$AC)</f>
        <v>0</v>
      </c>
      <c r="H8" s="1763">
        <f>SUMIFS(Sheet1!S71_AdjustmentBudAmnt,Sheet1!S71_SA15Ref,$AC:$AC)</f>
        <v>0</v>
      </c>
      <c r="I8" s="1764">
        <f>SUMIFS(Sheet1!S71_ASBudgetAmount,Sheet1!S71_SA15Ref,$AC:$AC)</f>
        <v>0</v>
      </c>
      <c r="J8" s="1760">
        <f>SUMIFS(Sheet1!S71_OY1BudgetAmount,Sheet1!S71_SA15Ref,$AC:$AC)</f>
        <v>0</v>
      </c>
      <c r="K8" s="1761">
        <f>SUMIFS(Sheet1!S71_OY2BudgetAmount,Sheet1!S71_SA15Ref,$AC:$AC)</f>
        <v>0</v>
      </c>
      <c r="AC8" s="2311">
        <v>8</v>
      </c>
    </row>
    <row r="9" spans="1:29" ht="11.25" customHeight="1" x14ac:dyDescent="0.25">
      <c r="A9" s="104" t="s">
        <v>1370</v>
      </c>
      <c r="B9" s="711"/>
      <c r="C9" s="1760">
        <f>SUMIFS(Sheet1!S71_PPPYearAmount,Sheet1!S71_SA15Ref,$AC:$AC)</f>
        <v>0</v>
      </c>
      <c r="D9" s="1760">
        <f>SUMIFS(Sheet1!S71_PPYearAmount,Sheet1!S71_SA15Ref,$AC:$AC)</f>
        <v>0</v>
      </c>
      <c r="E9" s="1761">
        <f>SUMIFS(Sheet1!S71_PYearAmount,Sheet1!S71_SA15Ref,$AC:$AC)</f>
        <v>0</v>
      </c>
      <c r="F9" s="1762">
        <f>SUMIFS(Sheet1!S71_OriginalBudAmnt,Sheet1!S71_SA15Ref,$AC:$AC)</f>
        <v>0</v>
      </c>
      <c r="G9" s="1760">
        <f>SUMIFS(Sheet1!S71_AdjustmentBudAmnt,Sheet1!S71_SA15Ref,$AC:$AC)</f>
        <v>0</v>
      </c>
      <c r="H9" s="1763">
        <f>SUMIFS(Sheet1!S71_AdjustmentBudAmnt,Sheet1!S71_SA15Ref,$AC:$AC)</f>
        <v>0</v>
      </c>
      <c r="I9" s="1764">
        <f>SUMIFS(Sheet1!S71_ASBudgetAmount,Sheet1!S71_SA15Ref,$AC:$AC)</f>
        <v>0</v>
      </c>
      <c r="J9" s="1760">
        <f>SUMIFS(Sheet1!S71_OY1BudgetAmount,Sheet1!S71_SA15Ref,$AC:$AC)</f>
        <v>0</v>
      </c>
      <c r="K9" s="1761">
        <f>SUMIFS(Sheet1!S71_OY2BudgetAmount,Sheet1!S71_SA15Ref,$AC:$AC)</f>
        <v>0</v>
      </c>
      <c r="AC9" s="2311">
        <v>9</v>
      </c>
    </row>
    <row r="10" spans="1:29" ht="11.25" customHeight="1" x14ac:dyDescent="0.25">
      <c r="A10" s="104" t="s">
        <v>1372</v>
      </c>
      <c r="B10" s="711"/>
      <c r="C10" s="1760">
        <f>SUMIFS(Sheet1!S71_PPPYearAmount,Sheet1!S71_SA15Ref,$AC:$AC)</f>
        <v>0</v>
      </c>
      <c r="D10" s="1760">
        <f>SUMIFS(Sheet1!S71_PPYearAmount,Sheet1!S71_SA15Ref,$AC:$AC)</f>
        <v>0</v>
      </c>
      <c r="E10" s="1761">
        <f>SUMIFS(Sheet1!S71_PYearAmount,Sheet1!S71_SA15Ref,$AC:$AC)</f>
        <v>0</v>
      </c>
      <c r="F10" s="1762">
        <f>SUMIFS(Sheet1!S71_OriginalBudAmnt,Sheet1!S71_SA15Ref,$AC:$AC)</f>
        <v>0</v>
      </c>
      <c r="G10" s="1760">
        <f>SUMIFS(Sheet1!S71_AdjustmentBudAmnt,Sheet1!S71_SA15Ref,$AC:$AC)</f>
        <v>0</v>
      </c>
      <c r="H10" s="1763">
        <f>SUMIFS(Sheet1!S71_AdjustmentBudAmnt,Sheet1!S71_SA15Ref,$AC:$AC)</f>
        <v>0</v>
      </c>
      <c r="I10" s="1764">
        <f>SUMIFS(Sheet1!S71_ASBudgetAmount,Sheet1!S71_SA15Ref,$AC:$AC)</f>
        <v>0</v>
      </c>
      <c r="J10" s="1760">
        <f>SUMIFS(Sheet1!S71_OY1BudgetAmount,Sheet1!S71_SA15Ref,$AC:$AC)</f>
        <v>0</v>
      </c>
      <c r="K10" s="1761">
        <f>SUMIFS(Sheet1!S71_OY2BudgetAmount,Sheet1!S71_SA15Ref,$AC:$AC)</f>
        <v>0</v>
      </c>
      <c r="AC10" s="2311">
        <v>10</v>
      </c>
    </row>
    <row r="11" spans="1:29" ht="11.25" customHeight="1" x14ac:dyDescent="0.25">
      <c r="A11" s="104" t="s">
        <v>1373</v>
      </c>
      <c r="B11" s="711"/>
      <c r="C11" s="1760">
        <f>SUMIFS(Sheet1!S71_PPPYearAmount,Sheet1!S71_SA15Ref,$AC:$AC)</f>
        <v>0</v>
      </c>
      <c r="D11" s="1760">
        <f>SUMIFS(Sheet1!S71_PPYearAmount,Sheet1!S71_SA15Ref,$AC:$AC)</f>
        <v>0</v>
      </c>
      <c r="E11" s="1761">
        <f>SUMIFS(Sheet1!S71_PYearAmount,Sheet1!S71_SA15Ref,$AC:$AC)</f>
        <v>0</v>
      </c>
      <c r="F11" s="1762">
        <f>SUMIFS(Sheet1!S71_OriginalBudAmnt,Sheet1!S71_SA15Ref,$AC:$AC)</f>
        <v>0</v>
      </c>
      <c r="G11" s="1760">
        <f>SUMIFS(Sheet1!S71_AdjustmentBudAmnt,Sheet1!S71_SA15Ref,$AC:$AC)</f>
        <v>0</v>
      </c>
      <c r="H11" s="1763">
        <f>SUMIFS(Sheet1!S71_AdjustmentBudAmnt,Sheet1!S71_SA15Ref,$AC:$AC)</f>
        <v>0</v>
      </c>
      <c r="I11" s="1764">
        <f>SUMIFS(Sheet1!S71_ASBudgetAmount,Sheet1!S71_SA15Ref,$AC:$AC)</f>
        <v>0</v>
      </c>
      <c r="J11" s="1760">
        <f>SUMIFS(Sheet1!S71_OY1BudgetAmount,Sheet1!S71_SA15Ref,$AC:$AC)</f>
        <v>0</v>
      </c>
      <c r="K11" s="1761">
        <f>SUMIFS(Sheet1!S71_OY2BudgetAmount,Sheet1!S71_SA15Ref,$AC:$AC)</f>
        <v>0</v>
      </c>
      <c r="AC11" s="2311">
        <v>11</v>
      </c>
    </row>
    <row r="12" spans="1:29" ht="11.25" customHeight="1" x14ac:dyDescent="0.25">
      <c r="A12" s="104" t="s">
        <v>1374</v>
      </c>
      <c r="B12" s="711"/>
      <c r="C12" s="1760">
        <f>SUMIFS(Sheet1!S71_PPPYearAmount,Sheet1!S71_SA15Ref,$AC:$AC)</f>
        <v>0</v>
      </c>
      <c r="D12" s="1760">
        <f>SUMIFS(Sheet1!S71_PPYearAmount,Sheet1!S71_SA15Ref,$AC:$AC)</f>
        <v>0</v>
      </c>
      <c r="E12" s="1761">
        <f>SUMIFS(Sheet1!S71_PYearAmount,Sheet1!S71_SA15Ref,$AC:$AC)</f>
        <v>0</v>
      </c>
      <c r="F12" s="1762">
        <f>SUMIFS(Sheet1!S71_OriginalBudAmnt,Sheet1!S71_SA15Ref,$AC:$AC)</f>
        <v>0</v>
      </c>
      <c r="G12" s="1760">
        <f>SUMIFS(Sheet1!S71_AdjustmentBudAmnt,Sheet1!S71_SA15Ref,$AC:$AC)</f>
        <v>0</v>
      </c>
      <c r="H12" s="1763">
        <f>SUMIFS(Sheet1!S71_AdjustmentBudAmnt,Sheet1!S71_SA15Ref,$AC:$AC)</f>
        <v>0</v>
      </c>
      <c r="I12" s="1764">
        <f>SUMIFS(Sheet1!S71_ASBudgetAmount,Sheet1!S71_SA15Ref,$AC:$AC)</f>
        <v>0</v>
      </c>
      <c r="J12" s="1760">
        <f>SUMIFS(Sheet1!S71_OY1BudgetAmount,Sheet1!S71_SA15Ref,$AC:$AC)</f>
        <v>0</v>
      </c>
      <c r="K12" s="1761">
        <f>SUMIFS(Sheet1!S71_OY2BudgetAmount,Sheet1!S71_SA15Ref,$AC:$AC)</f>
        <v>0</v>
      </c>
      <c r="AC12" s="2311">
        <v>12</v>
      </c>
    </row>
    <row r="13" spans="1:29" ht="11.25" customHeight="1" x14ac:dyDescent="0.25">
      <c r="A13" s="104" t="s">
        <v>1375</v>
      </c>
      <c r="B13" s="711"/>
      <c r="C13" s="1760">
        <f>SUMIFS(Sheet1!S71_PPPYearAmount,Sheet1!S71_SA15Ref,$AC:$AC)</f>
        <v>0</v>
      </c>
      <c r="D13" s="1760">
        <f>SUMIFS(Sheet1!S71_PPYearAmount,Sheet1!S71_SA15Ref,$AC:$AC)</f>
        <v>0</v>
      </c>
      <c r="E13" s="1761">
        <f>SUMIFS(Sheet1!S71_PYearAmount,Sheet1!S71_SA15Ref,$AC:$AC)</f>
        <v>0</v>
      </c>
      <c r="F13" s="1762">
        <f>SUMIFS(Sheet1!S71_OriginalBudAmnt,Sheet1!S71_SA15Ref,$AC:$AC)</f>
        <v>0</v>
      </c>
      <c r="G13" s="1760">
        <f>SUMIFS(Sheet1!S71_AdjustmentBudAmnt,Sheet1!S71_SA15Ref,$AC:$AC)</f>
        <v>0</v>
      </c>
      <c r="H13" s="1763">
        <f>SUMIFS(Sheet1!S71_AdjustmentBudAmnt,Sheet1!S71_SA15Ref,$AC:$AC)</f>
        <v>0</v>
      </c>
      <c r="I13" s="1764">
        <f>SUMIFS(Sheet1!S71_ASBudgetAmount,Sheet1!S71_SA15Ref,$AC:$AC)</f>
        <v>0</v>
      </c>
      <c r="J13" s="1760">
        <f>SUMIFS(Sheet1!S71_OY1BudgetAmount,Sheet1!S71_SA15Ref,$AC:$AC)</f>
        <v>0</v>
      </c>
      <c r="K13" s="1761">
        <f>SUMIFS(Sheet1!S71_OY2BudgetAmount,Sheet1!S71_SA15Ref,$AC:$AC)</f>
        <v>0</v>
      </c>
      <c r="AC13" s="2311">
        <v>13</v>
      </c>
    </row>
    <row r="14" spans="1:29" ht="11.25" customHeight="1" x14ac:dyDescent="0.25">
      <c r="A14" s="104" t="s">
        <v>1376</v>
      </c>
      <c r="B14" s="711"/>
      <c r="C14" s="1760">
        <f>SUMIFS(Sheet1!S71_PPPYearAmount,Sheet1!S71_SA15Ref,$AC:$AC)</f>
        <v>0</v>
      </c>
      <c r="D14" s="1760">
        <f>SUMIFS(Sheet1!S71_PPYearAmount,Sheet1!S71_SA15Ref,$AC:$AC)</f>
        <v>0</v>
      </c>
      <c r="E14" s="1761">
        <f>SUMIFS(Sheet1!S71_PYearAmount,Sheet1!S71_SA15Ref,$AC:$AC)</f>
        <v>0</v>
      </c>
      <c r="F14" s="1762">
        <f>SUMIFS(Sheet1!S71_OriginalBudAmnt,Sheet1!S71_SA15Ref,$AC:$AC)</f>
        <v>0</v>
      </c>
      <c r="G14" s="1760">
        <f>SUMIFS(Sheet1!S71_AdjustmentBudAmnt,Sheet1!S71_SA15Ref,$AC:$AC)</f>
        <v>0</v>
      </c>
      <c r="H14" s="1763">
        <f>SUMIFS(Sheet1!S71_AdjustmentBudAmnt,Sheet1!S71_SA15Ref,$AC:$AC)</f>
        <v>0</v>
      </c>
      <c r="I14" s="1764">
        <f>SUMIFS(Sheet1!S71_ASBudgetAmount,Sheet1!S71_SA15Ref,$AC:$AC)</f>
        <v>0</v>
      </c>
      <c r="J14" s="1760">
        <f>SUMIFS(Sheet1!S71_OY1BudgetAmount,Sheet1!S71_SA15Ref,$AC:$AC)</f>
        <v>0</v>
      </c>
      <c r="K14" s="1761">
        <f>SUMIFS(Sheet1!S71_OY2BudgetAmount,Sheet1!S71_SA15Ref,$AC:$AC)</f>
        <v>0</v>
      </c>
      <c r="AC14" s="2311">
        <v>14</v>
      </c>
    </row>
    <row r="15" spans="1:29" ht="11.25" customHeight="1" x14ac:dyDescent="0.25">
      <c r="A15" s="104" t="s">
        <v>1377</v>
      </c>
      <c r="B15" s="711"/>
      <c r="C15" s="1760">
        <f>SUMIFS(Sheet1!S71_PPPYearAmount,Sheet1!S71_SA15Ref,$AC:$AC)</f>
        <v>0</v>
      </c>
      <c r="D15" s="1760">
        <f>SUMIFS(Sheet1!S71_PPYearAmount,Sheet1!S71_SA15Ref,$AC:$AC)</f>
        <v>0</v>
      </c>
      <c r="E15" s="1761">
        <f>SUMIFS(Sheet1!S71_PYearAmount,Sheet1!S71_SA15Ref,$AC:$AC)</f>
        <v>0</v>
      </c>
      <c r="F15" s="1762">
        <f>SUMIFS(Sheet1!S71_OriginalBudAmnt,Sheet1!S71_SA15Ref,$AC:$AC)</f>
        <v>0</v>
      </c>
      <c r="G15" s="1760">
        <f>SUMIFS(Sheet1!S71_AdjustmentBudAmnt,Sheet1!S71_SA15Ref,$AC:$AC)</f>
        <v>0</v>
      </c>
      <c r="H15" s="1763">
        <f>SUMIFS(Sheet1!S71_AdjustmentBudAmnt,Sheet1!S71_SA15Ref,$AC:$AC)</f>
        <v>0</v>
      </c>
      <c r="I15" s="1764">
        <f>SUMIFS(Sheet1!S71_ASBudgetAmount,Sheet1!S71_SA15Ref,$AC:$AC)</f>
        <v>0</v>
      </c>
      <c r="J15" s="1760">
        <f>SUMIFS(Sheet1!S71_OY1BudgetAmount,Sheet1!S71_SA15Ref,$AC:$AC)</f>
        <v>0</v>
      </c>
      <c r="K15" s="1761">
        <f>SUMIFS(Sheet1!S71_OY2BudgetAmount,Sheet1!S71_SA15Ref,$AC:$AC)</f>
        <v>0</v>
      </c>
      <c r="AC15" s="2311">
        <v>15</v>
      </c>
    </row>
    <row r="16" spans="1:29" ht="4.9000000000000004" customHeight="1" x14ac:dyDescent="0.25">
      <c r="A16" s="116"/>
      <c r="B16" s="711"/>
      <c r="C16" s="76"/>
      <c r="D16" s="76"/>
      <c r="E16" s="77"/>
      <c r="F16" s="78"/>
      <c r="G16" s="76"/>
      <c r="H16" s="79"/>
      <c r="I16" s="80"/>
      <c r="J16" s="76"/>
      <c r="K16" s="77"/>
    </row>
    <row r="17" spans="1:11" ht="11.25" customHeight="1" x14ac:dyDescent="0.25">
      <c r="A17" s="145" t="s">
        <v>153</v>
      </c>
      <c r="B17" s="711">
        <v>1</v>
      </c>
      <c r="C17" s="1765">
        <f t="shared" ref="C17:K17" si="0">SUM(C6:C15)</f>
        <v>57375565</v>
      </c>
      <c r="D17" s="1765">
        <f t="shared" si="0"/>
        <v>0</v>
      </c>
      <c r="E17" s="1766">
        <f t="shared" si="0"/>
        <v>0</v>
      </c>
      <c r="F17" s="1767">
        <f t="shared" si="0"/>
        <v>3408647</v>
      </c>
      <c r="G17" s="1765">
        <f t="shared" si="0"/>
        <v>0</v>
      </c>
      <c r="H17" s="1768">
        <f t="shared" si="0"/>
        <v>0</v>
      </c>
      <c r="I17" s="1769">
        <f t="shared" si="0"/>
        <v>0</v>
      </c>
      <c r="J17" s="1765">
        <f t="shared" si="0"/>
        <v>0</v>
      </c>
      <c r="K17" s="1766">
        <f t="shared" si="0"/>
        <v>0</v>
      </c>
    </row>
    <row r="18" spans="1:11" ht="4.9000000000000004" customHeight="1" x14ac:dyDescent="0.25">
      <c r="A18" s="116"/>
      <c r="B18" s="711"/>
      <c r="C18" s="1770"/>
      <c r="D18" s="1770"/>
      <c r="E18" s="1756"/>
      <c r="F18" s="1757"/>
      <c r="G18" s="1770"/>
      <c r="H18" s="1758"/>
      <c r="I18" s="1771"/>
      <c r="J18" s="1770"/>
      <c r="K18" s="1756"/>
    </row>
    <row r="19" spans="1:11" ht="11.25" customHeight="1" x14ac:dyDescent="0.25">
      <c r="A19" s="96" t="s">
        <v>580</v>
      </c>
      <c r="B19" s="711"/>
      <c r="C19" s="1770"/>
      <c r="D19" s="1770"/>
      <c r="E19" s="1756"/>
      <c r="F19" s="1757"/>
      <c r="G19" s="1770"/>
      <c r="H19" s="1758"/>
      <c r="I19" s="1771"/>
      <c r="J19" s="1770"/>
      <c r="K19" s="1756"/>
    </row>
    <row r="20" spans="1:11" ht="11.25" customHeight="1" x14ac:dyDescent="0.25">
      <c r="A20" s="104" t="str">
        <f>A6</f>
        <v>Securities - National Government</v>
      </c>
      <c r="B20" s="711"/>
      <c r="C20" s="1760"/>
      <c r="D20" s="1760"/>
      <c r="E20" s="1761"/>
      <c r="F20" s="1762"/>
      <c r="G20" s="1760"/>
      <c r="H20" s="1763"/>
      <c r="I20" s="1764"/>
      <c r="J20" s="1760"/>
      <c r="K20" s="1761"/>
    </row>
    <row r="21" spans="1:11" ht="11.25" customHeight="1" x14ac:dyDescent="0.25">
      <c r="A21" s="104" t="str">
        <f t="shared" ref="A21:A28" si="1">A7</f>
        <v>Listed Corporate Bonds</v>
      </c>
      <c r="B21" s="711"/>
      <c r="C21" s="1760"/>
      <c r="D21" s="1760"/>
      <c r="E21" s="1761"/>
      <c r="F21" s="1762"/>
      <c r="G21" s="1760"/>
      <c r="H21" s="1763"/>
      <c r="I21" s="1764"/>
      <c r="J21" s="1760"/>
      <c r="K21" s="1761"/>
    </row>
    <row r="22" spans="1:11" ht="11.25" customHeight="1" x14ac:dyDescent="0.25">
      <c r="A22" s="104" t="str">
        <f t="shared" si="1"/>
        <v>Deposits - Bank</v>
      </c>
      <c r="B22" s="711"/>
      <c r="C22" s="1760"/>
      <c r="D22" s="1760"/>
      <c r="E22" s="1761"/>
      <c r="F22" s="1762"/>
      <c r="G22" s="1760"/>
      <c r="H22" s="1763"/>
      <c r="I22" s="1764"/>
      <c r="J22" s="1760"/>
      <c r="K22" s="1761"/>
    </row>
    <row r="23" spans="1:11" ht="11.25" customHeight="1" x14ac:dyDescent="0.25">
      <c r="A23" s="104" t="str">
        <f t="shared" si="1"/>
        <v>Deposits - Public Investment Commissioners</v>
      </c>
      <c r="B23" s="711"/>
      <c r="C23" s="1760"/>
      <c r="D23" s="1760"/>
      <c r="E23" s="1761"/>
      <c r="F23" s="1762"/>
      <c r="G23" s="1760"/>
      <c r="H23" s="1763"/>
      <c r="I23" s="1764"/>
      <c r="J23" s="1760"/>
      <c r="K23" s="1761"/>
    </row>
    <row r="24" spans="1:11" ht="11.25" customHeight="1" x14ac:dyDescent="0.25">
      <c r="A24" s="104" t="str">
        <f t="shared" si="1"/>
        <v>Deposits - Corporation for Public Deposits</v>
      </c>
      <c r="B24" s="711"/>
      <c r="C24" s="1760"/>
      <c r="D24" s="1760"/>
      <c r="E24" s="1761"/>
      <c r="F24" s="1762"/>
      <c r="G24" s="1760"/>
      <c r="H24" s="1763"/>
      <c r="I24" s="1764"/>
      <c r="J24" s="1760"/>
      <c r="K24" s="1761"/>
    </row>
    <row r="25" spans="1:11" ht="11.25" customHeight="1" x14ac:dyDescent="0.25">
      <c r="A25" s="104" t="str">
        <f t="shared" si="1"/>
        <v>Bankers Acceptance Certificates</v>
      </c>
      <c r="B25" s="711"/>
      <c r="C25" s="1760"/>
      <c r="D25" s="1760"/>
      <c r="E25" s="1761"/>
      <c r="F25" s="1762"/>
      <c r="G25" s="1760"/>
      <c r="H25" s="1763"/>
      <c r="I25" s="1764"/>
      <c r="J25" s="1760"/>
      <c r="K25" s="1761"/>
    </row>
    <row r="26" spans="1:11" ht="11.25" customHeight="1" x14ac:dyDescent="0.25">
      <c r="A26" s="104" t="str">
        <f t="shared" si="1"/>
        <v>Negotiable Certificates of Deposit - Banks</v>
      </c>
      <c r="B26" s="711"/>
      <c r="C26" s="1760"/>
      <c r="D26" s="1760"/>
      <c r="E26" s="1761"/>
      <c r="F26" s="1762"/>
      <c r="G26" s="1760"/>
      <c r="H26" s="1763"/>
      <c r="I26" s="1764"/>
      <c r="J26" s="1760"/>
      <c r="K26" s="1761"/>
    </row>
    <row r="27" spans="1:11" ht="11.25" customHeight="1" x14ac:dyDescent="0.25">
      <c r="A27" s="104" t="str">
        <f t="shared" si="1"/>
        <v>Guaranteed Endowment Policies (sinking)</v>
      </c>
      <c r="B27" s="711"/>
      <c r="C27" s="1760"/>
      <c r="D27" s="1760"/>
      <c r="E27" s="1761"/>
      <c r="F27" s="1762"/>
      <c r="G27" s="1760"/>
      <c r="H27" s="1763"/>
      <c r="I27" s="1764"/>
      <c r="J27" s="1760"/>
      <c r="K27" s="1761"/>
    </row>
    <row r="28" spans="1:11" ht="11.25" customHeight="1" x14ac:dyDescent="0.25">
      <c r="A28" s="104" t="str">
        <f t="shared" si="1"/>
        <v>Repurchase Agreements - Banks</v>
      </c>
      <c r="B28" s="711"/>
      <c r="C28" s="1760"/>
      <c r="D28" s="1760"/>
      <c r="E28" s="1761"/>
      <c r="F28" s="1762"/>
      <c r="G28" s="1760"/>
      <c r="H28" s="1763"/>
      <c r="I28" s="1764"/>
      <c r="J28" s="1760"/>
      <c r="K28" s="1761"/>
    </row>
    <row r="29" spans="1:11" ht="4.9000000000000004" customHeight="1" x14ac:dyDescent="0.25">
      <c r="A29" s="116"/>
      <c r="B29" s="711"/>
      <c r="C29" s="1770"/>
      <c r="D29" s="1770"/>
      <c r="E29" s="1756"/>
      <c r="F29" s="1757"/>
      <c r="G29" s="1770"/>
      <c r="H29" s="1758"/>
      <c r="I29" s="1771"/>
      <c r="J29" s="1770"/>
      <c r="K29" s="1756"/>
    </row>
    <row r="30" spans="1:11" ht="11.25" customHeight="1" x14ac:dyDescent="0.25">
      <c r="A30" s="145" t="s">
        <v>152</v>
      </c>
      <c r="B30" s="711"/>
      <c r="C30" s="1765">
        <f t="shared" ref="C30:K30" si="2">SUM(C20:C29)</f>
        <v>0</v>
      </c>
      <c r="D30" s="1772">
        <f t="shared" si="2"/>
        <v>0</v>
      </c>
      <c r="E30" s="1773">
        <f t="shared" si="2"/>
        <v>0</v>
      </c>
      <c r="F30" s="1774">
        <f t="shared" si="2"/>
        <v>0</v>
      </c>
      <c r="G30" s="1772">
        <f t="shared" si="2"/>
        <v>0</v>
      </c>
      <c r="H30" s="1775">
        <f t="shared" si="2"/>
        <v>0</v>
      </c>
      <c r="I30" s="1776">
        <f t="shared" si="2"/>
        <v>0</v>
      </c>
      <c r="J30" s="1772">
        <f t="shared" si="2"/>
        <v>0</v>
      </c>
      <c r="K30" s="1773">
        <f t="shared" si="2"/>
        <v>0</v>
      </c>
    </row>
    <row r="31" spans="1:11" ht="4.9000000000000004" customHeight="1" x14ac:dyDescent="0.25">
      <c r="A31" s="116"/>
      <c r="B31" s="711"/>
      <c r="C31" s="1770"/>
      <c r="D31" s="1770"/>
      <c r="E31" s="1756"/>
      <c r="F31" s="1757"/>
      <c r="G31" s="1770"/>
      <c r="H31" s="1758"/>
      <c r="I31" s="1771"/>
      <c r="J31" s="1770"/>
      <c r="K31" s="1756"/>
    </row>
    <row r="32" spans="1:11" x14ac:dyDescent="0.25">
      <c r="A32" s="147" t="s">
        <v>151</v>
      </c>
      <c r="B32" s="1777"/>
      <c r="C32" s="1778">
        <f t="shared" ref="C32:K32" si="3">C17+C30</f>
        <v>57375565</v>
      </c>
      <c r="D32" s="1778">
        <f t="shared" si="3"/>
        <v>0</v>
      </c>
      <c r="E32" s="1779">
        <f t="shared" si="3"/>
        <v>0</v>
      </c>
      <c r="F32" s="1780">
        <f t="shared" si="3"/>
        <v>3408647</v>
      </c>
      <c r="G32" s="1778">
        <f t="shared" si="3"/>
        <v>0</v>
      </c>
      <c r="H32" s="1781">
        <f t="shared" si="3"/>
        <v>0</v>
      </c>
      <c r="I32" s="1782">
        <f t="shared" si="3"/>
        <v>0</v>
      </c>
      <c r="J32" s="1778">
        <f t="shared" si="3"/>
        <v>0</v>
      </c>
      <c r="K32" s="1779">
        <f t="shared" si="3"/>
        <v>0</v>
      </c>
    </row>
    <row r="33" spans="1:29" ht="6" customHeight="1" x14ac:dyDescent="0.25">
      <c r="A33" s="560"/>
      <c r="B33" s="189"/>
      <c r="C33" s="221"/>
      <c r="D33" s="221"/>
      <c r="E33" s="221"/>
      <c r="F33" s="221"/>
      <c r="G33" s="221"/>
      <c r="H33" s="221"/>
      <c r="I33" s="221"/>
      <c r="J33" s="221"/>
      <c r="K33" s="221"/>
      <c r="L33" s="220"/>
      <c r="M33" s="220"/>
      <c r="N33" s="220"/>
    </row>
    <row r="34" spans="1:29" ht="10.5" customHeight="1" x14ac:dyDescent="0.25">
      <c r="A34" s="217" t="str">
        <f>head27a</f>
        <v>References</v>
      </c>
      <c r="B34" s="189"/>
      <c r="C34" s="221"/>
      <c r="D34" s="221"/>
      <c r="E34" s="221"/>
      <c r="F34" s="221"/>
      <c r="G34" s="221"/>
      <c r="H34" s="221"/>
      <c r="I34" s="221"/>
      <c r="J34" s="221"/>
      <c r="K34" s="221"/>
      <c r="L34" s="220"/>
      <c r="M34" s="220"/>
      <c r="N34" s="220"/>
      <c r="AC34" s="2321"/>
    </row>
    <row r="35" spans="1:29" ht="10.5" customHeight="1" x14ac:dyDescent="0.25">
      <c r="A35" s="218" t="s">
        <v>1110</v>
      </c>
      <c r="B35" s="189"/>
      <c r="C35" s="193"/>
      <c r="D35" s="192"/>
      <c r="E35" s="193"/>
      <c r="F35" s="193"/>
      <c r="G35" s="193"/>
      <c r="H35" s="193"/>
      <c r="I35" s="193"/>
      <c r="J35" s="193"/>
      <c r="K35" s="193"/>
      <c r="AC35" s="2321"/>
    </row>
    <row r="36" spans="1:29" ht="10.5" customHeight="1" x14ac:dyDescent="0.25">
      <c r="A36" s="219" t="s">
        <v>475</v>
      </c>
      <c r="B36" s="189"/>
      <c r="C36" s="222">
        <f>C17-'A6-FinPos'!C7-'A6-FinPos'!C16</f>
        <v>0</v>
      </c>
      <c r="D36" s="222">
        <f>D17-'A6-FinPos'!D7-'A6-FinPos'!D16</f>
        <v>-57134917</v>
      </c>
      <c r="E36" s="1028">
        <f>E17-'A6-FinPos'!E7-'A6-FinPos'!E16</f>
        <v>-45233789</v>
      </c>
      <c r="F36" s="1584">
        <f>F17-'A6-FinPos'!F7-'A6-FinPos'!F16</f>
        <v>-57134917</v>
      </c>
      <c r="G36" s="1028">
        <f>G17-'A6-FinPos'!G7-'A6-FinPos'!G16</f>
        <v>0</v>
      </c>
      <c r="H36" s="1028">
        <f>H17-'A6-FinPos'!H7-'A6-FinPos'!H16</f>
        <v>0</v>
      </c>
      <c r="I36" s="1028">
        <f>I17-'A6-FinPos'!J7-'A6-FinPos'!J16</f>
        <v>0</v>
      </c>
      <c r="J36" s="1028">
        <f>J17-'A6-FinPos'!K7-'A6-FinPos'!K16</f>
        <v>0</v>
      </c>
      <c r="K36" s="1028">
        <f>K17-'A6-FinPos'!L7-'A6-FinPos'!L16</f>
        <v>0</v>
      </c>
    </row>
    <row r="37" spans="1:29" ht="11.25" customHeight="1" x14ac:dyDescent="0.25">
      <c r="O37" s="322"/>
    </row>
    <row r="38" spans="1:29" ht="11.25" customHeight="1" x14ac:dyDescent="0.25"/>
    <row r="39" spans="1:29" ht="11.25" customHeight="1" x14ac:dyDescent="0.25"/>
    <row r="40" spans="1:29" ht="11.25" customHeight="1" x14ac:dyDescent="0.25"/>
    <row r="41" spans="1:29" ht="11.25" customHeight="1" x14ac:dyDescent="0.25"/>
    <row r="42" spans="1:29" ht="11.25" customHeight="1" x14ac:dyDescent="0.25"/>
    <row r="43" spans="1:29" ht="11.25" customHeight="1" x14ac:dyDescent="0.25"/>
    <row r="44" spans="1:29" ht="11.25" customHeight="1" x14ac:dyDescent="0.25"/>
    <row r="45" spans="1:29" ht="11.25" customHeight="1" x14ac:dyDescent="0.25"/>
    <row r="46" spans="1:29" ht="11.25" customHeight="1" x14ac:dyDescent="0.25"/>
    <row r="47" spans="1:29" ht="11.25" customHeight="1" x14ac:dyDescent="0.25"/>
    <row r="48" spans="1:29" ht="11.25" customHeight="1" x14ac:dyDescent="0.25"/>
    <row r="49" ht="11.25" customHeight="1" x14ac:dyDescent="0.25"/>
    <row r="50" ht="11.25" customHeight="1" x14ac:dyDescent="0.25"/>
    <row r="51" ht="11.25" customHeight="1" x14ac:dyDescent="0.25"/>
    <row r="52" ht="11.25" customHeight="1" x14ac:dyDescent="0.25"/>
    <row r="53" ht="11.25" customHeight="1" x14ac:dyDescent="0.25"/>
    <row r="54" ht="11.25" customHeight="1" x14ac:dyDescent="0.25"/>
    <row r="55" ht="11.25" customHeight="1" x14ac:dyDescent="0.25"/>
    <row r="56" ht="11.25" customHeight="1" x14ac:dyDescent="0.25"/>
    <row r="57" ht="11.25" customHeight="1" x14ac:dyDescent="0.25"/>
    <row r="58" ht="11.25" customHeight="1" x14ac:dyDescent="0.25"/>
    <row r="59" ht="11.25" customHeight="1" x14ac:dyDescent="0.25"/>
    <row r="60" ht="11.25" customHeight="1" x14ac:dyDescent="0.25"/>
    <row r="61" ht="11.25" customHeight="1" x14ac:dyDescent="0.25"/>
    <row r="62" ht="11.25" customHeight="1" x14ac:dyDescent="0.25"/>
    <row r="63" ht="11.25" customHeight="1" x14ac:dyDescent="0.25"/>
    <row r="64" ht="11.25" customHeight="1" x14ac:dyDescent="0.25"/>
    <row r="65" ht="11.25" customHeight="1" x14ac:dyDescent="0.25"/>
    <row r="66" ht="11.25" customHeight="1" x14ac:dyDescent="0.25"/>
    <row r="67" ht="11.25" customHeight="1" x14ac:dyDescent="0.25"/>
    <row r="68" ht="11.25" customHeight="1" x14ac:dyDescent="0.25"/>
    <row r="69" ht="11.25" customHeight="1" x14ac:dyDescent="0.25"/>
    <row r="70" ht="11.25" customHeight="1" x14ac:dyDescent="0.25"/>
  </sheetData>
  <sheetProtection sheet="1" objects="1" scenarios="1"/>
  <mergeCells count="4">
    <mergeCell ref="F2:H2"/>
    <mergeCell ref="I2:K2"/>
    <mergeCell ref="B2:B4"/>
    <mergeCell ref="A2:A3"/>
  </mergeCells>
  <phoneticPr fontId="7" type="noConversion"/>
  <printOptions horizontalCentered="1"/>
  <pageMargins left="0" right="0" top="0.78740157480314965" bottom="0.59055118110236227" header="0.51181102362204722" footer="0.39370078740157483"/>
  <pageSetup paperSize="9" scale="91" orientation="portrait" r:id="rId1"/>
  <headerFooter alignWithMargins="0"/>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35">
    <pageSetUpPr fitToPage="1"/>
  </sheetPr>
  <dimension ref="A1:S64"/>
  <sheetViews>
    <sheetView showGridLines="0" zoomScale="110" zoomScaleNormal="110" workbookViewId="0">
      <pane xSplit="2" ySplit="3" topLeftCell="C4" activePane="bottomRight" state="frozen"/>
      <selection pane="topRight"/>
      <selection pane="bottomLeft"/>
      <selection pane="bottomRight" activeCell="N6" sqref="N6"/>
    </sheetView>
  </sheetViews>
  <sheetFormatPr defaultColWidth="9.140625" defaultRowHeight="12.75" x14ac:dyDescent="0.25"/>
  <cols>
    <col min="1" max="1" width="30.7109375" style="58" customWidth="1"/>
    <col min="2" max="2" width="3" style="1010" customWidth="1"/>
    <col min="3" max="10" width="13.7109375" style="58" customWidth="1"/>
    <col min="11" max="15" width="13.42578125" style="58" customWidth="1"/>
    <col min="16" max="16" width="9.42578125" style="58" customWidth="1"/>
    <col min="17" max="17" width="9.7109375" style="58" customWidth="1"/>
    <col min="18" max="20" width="9.42578125" style="58" customWidth="1"/>
    <col min="21" max="21" width="9.7109375" style="58" customWidth="1"/>
    <col min="22" max="24" width="9.42578125" style="58" customWidth="1"/>
    <col min="25" max="26" width="9.7109375" style="58" customWidth="1"/>
    <col min="27" max="16384" width="9.140625" style="58"/>
  </cols>
  <sheetData>
    <row r="1" spans="1:15" ht="13.5" x14ac:dyDescent="0.25">
      <c r="A1" s="92" t="str">
        <f>muni&amp;" - "&amp;TableA16</f>
        <v>KZN226 Mkhambathini - Supporting Table SA16 Investment particulars by maturity</v>
      </c>
      <c r="B1" s="92"/>
      <c r="C1" s="92"/>
      <c r="D1" s="92"/>
      <c r="E1" s="92"/>
      <c r="F1" s="92"/>
      <c r="G1" s="92"/>
      <c r="H1" s="92"/>
      <c r="I1" s="92"/>
      <c r="J1" s="92"/>
    </row>
    <row r="2" spans="1:15" ht="43.5" customHeight="1" x14ac:dyDescent="0.25">
      <c r="A2" s="687" t="s">
        <v>476</v>
      </c>
      <c r="B2" s="1783" t="str">
        <f>head27</f>
        <v>Ref</v>
      </c>
      <c r="C2" s="837" t="s">
        <v>478</v>
      </c>
      <c r="D2" s="2495" t="s">
        <v>479</v>
      </c>
      <c r="E2" s="1784" t="s">
        <v>1796</v>
      </c>
      <c r="F2" s="1784" t="s">
        <v>1795</v>
      </c>
      <c r="G2" s="1784" t="s">
        <v>2461</v>
      </c>
      <c r="H2" s="1784" t="s">
        <v>1947</v>
      </c>
      <c r="I2" s="1784" t="s">
        <v>1797</v>
      </c>
      <c r="J2" s="2478" t="s">
        <v>480</v>
      </c>
      <c r="K2" s="836" t="s">
        <v>2004</v>
      </c>
      <c r="L2" s="838" t="s">
        <v>481</v>
      </c>
      <c r="M2" s="837" t="s">
        <v>2008</v>
      </c>
      <c r="N2" s="837" t="s">
        <v>2005</v>
      </c>
      <c r="O2" s="838" t="s">
        <v>2006</v>
      </c>
    </row>
    <row r="3" spans="1:15" ht="12.75" customHeight="1" x14ac:dyDescent="0.25">
      <c r="A3" s="688" t="s">
        <v>477</v>
      </c>
      <c r="B3" s="1785">
        <v>1</v>
      </c>
      <c r="C3" s="691" t="s">
        <v>1378</v>
      </c>
      <c r="D3" s="2496"/>
      <c r="E3" s="1786"/>
      <c r="F3" s="1786"/>
      <c r="G3" s="1786"/>
      <c r="H3" s="1786"/>
      <c r="I3" s="1786"/>
      <c r="J3" s="2479"/>
      <c r="K3" s="2506"/>
      <c r="L3" s="2506"/>
      <c r="M3" s="2506"/>
      <c r="N3" s="2506"/>
      <c r="O3" s="2507"/>
    </row>
    <row r="4" spans="1:15" ht="12.75" customHeight="1" x14ac:dyDescent="0.25">
      <c r="A4" s="96" t="s">
        <v>154</v>
      </c>
      <c r="B4" s="1787"/>
      <c r="C4" s="144"/>
      <c r="D4" s="1788"/>
      <c r="E4" s="1788"/>
      <c r="F4" s="1788"/>
      <c r="G4" s="1788"/>
      <c r="H4" s="1788"/>
      <c r="I4" s="1788"/>
      <c r="J4" s="1789"/>
      <c r="K4" s="1790"/>
      <c r="L4" s="1791"/>
      <c r="M4" s="1792"/>
      <c r="N4" s="1792"/>
      <c r="O4" s="1793"/>
    </row>
    <row r="5" spans="1:15" ht="11.25" customHeight="1" x14ac:dyDescent="0.25">
      <c r="A5" s="1794" t="s">
        <v>6364</v>
      </c>
      <c r="B5" s="1787"/>
      <c r="C5" s="2409" t="s">
        <v>6365</v>
      </c>
      <c r="D5" s="2410" t="s">
        <v>6366</v>
      </c>
      <c r="E5" s="2410" t="s">
        <v>6367</v>
      </c>
      <c r="F5" s="2410" t="s">
        <v>6366</v>
      </c>
      <c r="G5" s="1795">
        <v>4.3250000000000002</v>
      </c>
      <c r="H5" s="1795">
        <v>0</v>
      </c>
      <c r="I5" s="1795">
        <v>0</v>
      </c>
      <c r="J5" s="1796" t="s">
        <v>6368</v>
      </c>
      <c r="K5" s="1764">
        <v>30000000</v>
      </c>
      <c r="L5" s="1797">
        <v>108125000</v>
      </c>
      <c r="M5" s="1760">
        <v>0</v>
      </c>
      <c r="N5" s="1760">
        <v>0</v>
      </c>
      <c r="O5" s="540">
        <f>SUM(K5:N5)</f>
        <v>138125000</v>
      </c>
    </row>
    <row r="6" spans="1:15" ht="11.25" customHeight="1" x14ac:dyDescent="0.25">
      <c r="A6" s="1794"/>
      <c r="B6" s="1787"/>
      <c r="C6" s="2409"/>
      <c r="D6" s="2410"/>
      <c r="E6" s="2410"/>
      <c r="F6" s="2410"/>
      <c r="G6" s="1795"/>
      <c r="H6" s="1795"/>
      <c r="I6" s="1795"/>
      <c r="J6" s="1796"/>
      <c r="K6" s="1764"/>
      <c r="L6" s="1797"/>
      <c r="M6" s="1760"/>
      <c r="N6" s="1760"/>
      <c r="O6" s="540">
        <f t="shared" ref="O6:O11" si="0">SUM(K6:N6)</f>
        <v>0</v>
      </c>
    </row>
    <row r="7" spans="1:15" ht="11.25" customHeight="1" x14ac:dyDescent="0.25">
      <c r="A7" s="1794"/>
      <c r="B7" s="1787"/>
      <c r="C7" s="1546"/>
      <c r="D7" s="1795"/>
      <c r="E7" s="1795"/>
      <c r="F7" s="1795"/>
      <c r="G7" s="1795"/>
      <c r="H7" s="1795"/>
      <c r="I7" s="1795"/>
      <c r="J7" s="1796"/>
      <c r="K7" s="1764"/>
      <c r="L7" s="1797"/>
      <c r="M7" s="1760"/>
      <c r="N7" s="1760"/>
      <c r="O7" s="540">
        <f t="shared" si="0"/>
        <v>0</v>
      </c>
    </row>
    <row r="8" spans="1:15" ht="11.25" customHeight="1" x14ac:dyDescent="0.25">
      <c r="A8" s="1794"/>
      <c r="B8" s="1787"/>
      <c r="C8" s="1546"/>
      <c r="D8" s="1795"/>
      <c r="E8" s="1795"/>
      <c r="F8" s="1795"/>
      <c r="G8" s="1795"/>
      <c r="H8" s="1795"/>
      <c r="I8" s="1795"/>
      <c r="J8" s="1796"/>
      <c r="K8" s="1764"/>
      <c r="L8" s="1797"/>
      <c r="M8" s="1760"/>
      <c r="N8" s="1760"/>
      <c r="O8" s="540">
        <f t="shared" si="0"/>
        <v>0</v>
      </c>
    </row>
    <row r="9" spans="1:15" ht="11.25" customHeight="1" x14ac:dyDescent="0.25">
      <c r="A9" s="1794"/>
      <c r="B9" s="1787"/>
      <c r="C9" s="1546"/>
      <c r="D9" s="1795"/>
      <c r="E9" s="1795"/>
      <c r="F9" s="1795"/>
      <c r="G9" s="1795"/>
      <c r="H9" s="1795"/>
      <c r="I9" s="1795"/>
      <c r="J9" s="1796"/>
      <c r="K9" s="1764"/>
      <c r="L9" s="1797"/>
      <c r="M9" s="1760"/>
      <c r="N9" s="1760"/>
      <c r="O9" s="540">
        <f t="shared" si="0"/>
        <v>0</v>
      </c>
    </row>
    <row r="10" spans="1:15" ht="11.25" customHeight="1" x14ac:dyDescent="0.25">
      <c r="A10" s="1794"/>
      <c r="B10" s="1787"/>
      <c r="C10" s="1546"/>
      <c r="D10" s="1795"/>
      <c r="E10" s="1795"/>
      <c r="F10" s="1795"/>
      <c r="G10" s="1795"/>
      <c r="H10" s="1795"/>
      <c r="I10" s="1795"/>
      <c r="J10" s="1796"/>
      <c r="K10" s="1764"/>
      <c r="L10" s="1797"/>
      <c r="M10" s="1760"/>
      <c r="N10" s="1760"/>
      <c r="O10" s="540">
        <f t="shared" si="0"/>
        <v>0</v>
      </c>
    </row>
    <row r="11" spans="1:15" ht="11.25" customHeight="1" x14ac:dyDescent="0.25">
      <c r="A11" s="1794"/>
      <c r="B11" s="1787"/>
      <c r="C11" s="1546"/>
      <c r="D11" s="1795"/>
      <c r="E11" s="1795"/>
      <c r="F11" s="1795"/>
      <c r="G11" s="1795"/>
      <c r="H11" s="1795"/>
      <c r="I11" s="1795"/>
      <c r="J11" s="1796"/>
      <c r="K11" s="1764"/>
      <c r="L11" s="1797"/>
      <c r="M11" s="1760"/>
      <c r="N11" s="1760"/>
      <c r="O11" s="541">
        <f t="shared" si="0"/>
        <v>0</v>
      </c>
    </row>
    <row r="12" spans="1:15" ht="11.25" customHeight="1" x14ac:dyDescent="0.25">
      <c r="A12" s="145" t="s">
        <v>153</v>
      </c>
      <c r="B12" s="1787"/>
      <c r="C12" s="1798"/>
      <c r="D12" s="1799"/>
      <c r="E12" s="1799"/>
      <c r="F12" s="1799"/>
      <c r="G12" s="1799"/>
      <c r="H12" s="1799"/>
      <c r="I12" s="1799"/>
      <c r="J12" s="1800"/>
      <c r="K12" s="1769">
        <f>SUM(K5:K11)</f>
        <v>30000000</v>
      </c>
      <c r="L12" s="1801"/>
      <c r="M12" s="1765">
        <f>SUM(M5:M11)</f>
        <v>0</v>
      </c>
      <c r="N12" s="1765">
        <f>SUM(N5:N11)</f>
        <v>0</v>
      </c>
      <c r="O12" s="1802">
        <f>SUM(O5:O11)</f>
        <v>138125000</v>
      </c>
    </row>
    <row r="13" spans="1:15" ht="11.25" customHeight="1" x14ac:dyDescent="0.25">
      <c r="A13" s="116"/>
      <c r="B13" s="1787"/>
      <c r="C13" s="144"/>
      <c r="D13" s="1788"/>
      <c r="E13" s="1788"/>
      <c r="F13" s="1788"/>
      <c r="G13" s="1788"/>
      <c r="H13" s="1788"/>
      <c r="I13" s="1788"/>
      <c r="J13" s="1803"/>
      <c r="K13" s="1771"/>
      <c r="L13" s="1804"/>
      <c r="M13" s="1770"/>
      <c r="N13" s="1770"/>
      <c r="O13" s="1805"/>
    </row>
    <row r="14" spans="1:15" ht="11.25" customHeight="1" x14ac:dyDescent="0.25">
      <c r="A14" s="96" t="s">
        <v>580</v>
      </c>
      <c r="B14" s="1787"/>
      <c r="C14" s="144"/>
      <c r="D14" s="1788"/>
      <c r="E14" s="1788"/>
      <c r="F14" s="1788"/>
      <c r="G14" s="1788"/>
      <c r="H14" s="1788"/>
      <c r="I14" s="1788"/>
      <c r="J14" s="1803"/>
      <c r="K14" s="1771"/>
      <c r="L14" s="1804"/>
      <c r="M14" s="1770"/>
      <c r="N14" s="1770"/>
      <c r="O14" s="1805"/>
    </row>
    <row r="15" spans="1:15" ht="11.25" customHeight="1" x14ac:dyDescent="0.25">
      <c r="A15" s="1794"/>
      <c r="B15" s="1787"/>
      <c r="C15" s="1546"/>
      <c r="D15" s="1795"/>
      <c r="E15" s="1795"/>
      <c r="F15" s="1795"/>
      <c r="G15" s="1795"/>
      <c r="H15" s="1795"/>
      <c r="I15" s="1795"/>
      <c r="J15" s="1796"/>
      <c r="K15" s="1764"/>
      <c r="L15" s="1797"/>
      <c r="M15" s="1760"/>
      <c r="N15" s="1760"/>
      <c r="O15" s="540">
        <f>SUM(K15:N15)</f>
        <v>0</v>
      </c>
    </row>
    <row r="16" spans="1:15" ht="11.25" customHeight="1" x14ac:dyDescent="0.25">
      <c r="A16" s="1794"/>
      <c r="B16" s="1787"/>
      <c r="C16" s="1546"/>
      <c r="D16" s="1795"/>
      <c r="E16" s="1795"/>
      <c r="F16" s="1795"/>
      <c r="G16" s="1795"/>
      <c r="H16" s="1795"/>
      <c r="I16" s="1795"/>
      <c r="J16" s="1796"/>
      <c r="K16" s="1764"/>
      <c r="L16" s="1797"/>
      <c r="M16" s="1760"/>
      <c r="N16" s="1760"/>
      <c r="O16" s="540">
        <f t="shared" ref="O16:O21" si="1">SUM(K16:N16)</f>
        <v>0</v>
      </c>
    </row>
    <row r="17" spans="1:17" ht="11.25" customHeight="1" x14ac:dyDescent="0.25">
      <c r="A17" s="1794"/>
      <c r="B17" s="1787"/>
      <c r="C17" s="1546"/>
      <c r="D17" s="1795"/>
      <c r="E17" s="1795"/>
      <c r="F17" s="1795"/>
      <c r="G17" s="1795"/>
      <c r="H17" s="1795"/>
      <c r="I17" s="1795"/>
      <c r="J17" s="1796"/>
      <c r="K17" s="1764"/>
      <c r="L17" s="1797"/>
      <c r="M17" s="1760"/>
      <c r="N17" s="1760"/>
      <c r="O17" s="540">
        <f t="shared" si="1"/>
        <v>0</v>
      </c>
    </row>
    <row r="18" spans="1:17" ht="11.25" customHeight="1" x14ac:dyDescent="0.25">
      <c r="A18" s="1794"/>
      <c r="B18" s="1787"/>
      <c r="C18" s="1546"/>
      <c r="D18" s="1795"/>
      <c r="E18" s="1795"/>
      <c r="F18" s="1795"/>
      <c r="G18" s="1795"/>
      <c r="H18" s="1795"/>
      <c r="I18" s="1795"/>
      <c r="J18" s="1796"/>
      <c r="K18" s="1764"/>
      <c r="L18" s="1797"/>
      <c r="M18" s="1760"/>
      <c r="N18" s="1760"/>
      <c r="O18" s="540">
        <f t="shared" si="1"/>
        <v>0</v>
      </c>
    </row>
    <row r="19" spans="1:17" ht="11.25" customHeight="1" x14ac:dyDescent="0.25">
      <c r="A19" s="1794"/>
      <c r="B19" s="1787"/>
      <c r="C19" s="1546"/>
      <c r="D19" s="1795"/>
      <c r="E19" s="1795"/>
      <c r="F19" s="1795"/>
      <c r="G19" s="1795"/>
      <c r="H19" s="1795"/>
      <c r="I19" s="1795"/>
      <c r="J19" s="1796"/>
      <c r="K19" s="1764"/>
      <c r="L19" s="1797"/>
      <c r="M19" s="1760"/>
      <c r="N19" s="1760"/>
      <c r="O19" s="540">
        <f t="shared" si="1"/>
        <v>0</v>
      </c>
    </row>
    <row r="20" spans="1:17" ht="11.25" customHeight="1" x14ac:dyDescent="0.25">
      <c r="A20" s="1794"/>
      <c r="B20" s="1787"/>
      <c r="C20" s="1546"/>
      <c r="D20" s="1795"/>
      <c r="E20" s="1795"/>
      <c r="F20" s="1795"/>
      <c r="G20" s="1795"/>
      <c r="H20" s="1795"/>
      <c r="I20" s="1795"/>
      <c r="J20" s="1796"/>
      <c r="K20" s="1764"/>
      <c r="L20" s="1797"/>
      <c r="M20" s="1760"/>
      <c r="N20" s="1760"/>
      <c r="O20" s="540">
        <f t="shared" si="1"/>
        <v>0</v>
      </c>
    </row>
    <row r="21" spans="1:17" ht="11.25" customHeight="1" x14ac:dyDescent="0.25">
      <c r="A21" s="1794"/>
      <c r="B21" s="1787"/>
      <c r="C21" s="1546"/>
      <c r="D21" s="1795"/>
      <c r="E21" s="1795"/>
      <c r="F21" s="1795"/>
      <c r="G21" s="1795"/>
      <c r="H21" s="1795"/>
      <c r="I21" s="1795"/>
      <c r="J21" s="1796"/>
      <c r="K21" s="1764"/>
      <c r="L21" s="1797"/>
      <c r="M21" s="1760"/>
      <c r="N21" s="1760"/>
      <c r="O21" s="540">
        <f t="shared" si="1"/>
        <v>0</v>
      </c>
    </row>
    <row r="22" spans="1:17" ht="11.25" customHeight="1" x14ac:dyDescent="0.25">
      <c r="A22" s="145" t="s">
        <v>152</v>
      </c>
      <c r="B22" s="1787"/>
      <c r="C22" s="1798"/>
      <c r="D22" s="1799"/>
      <c r="E22" s="1799"/>
      <c r="F22" s="1799"/>
      <c r="G22" s="1799"/>
      <c r="H22" s="1799"/>
      <c r="I22" s="1799"/>
      <c r="J22" s="1800"/>
      <c r="K22" s="1769">
        <f>SUM(K15:K21)</f>
        <v>0</v>
      </c>
      <c r="L22" s="1801"/>
      <c r="M22" s="1765">
        <f>SUM(M15:M21)</f>
        <v>0</v>
      </c>
      <c r="N22" s="1765">
        <f>SUM(N15:N21)</f>
        <v>0</v>
      </c>
      <c r="O22" s="1802">
        <f>SUM(O15:O21)</f>
        <v>0</v>
      </c>
    </row>
    <row r="23" spans="1:17" ht="4.9000000000000004" customHeight="1" x14ac:dyDescent="0.25">
      <c r="A23" s="116"/>
      <c r="B23" s="1787"/>
      <c r="C23" s="144"/>
      <c r="D23" s="1788"/>
      <c r="E23" s="1788"/>
      <c r="F23" s="1788"/>
      <c r="G23" s="1788"/>
      <c r="H23" s="1788"/>
      <c r="I23" s="1788"/>
      <c r="J23" s="1803"/>
      <c r="K23" s="1806"/>
      <c r="L23" s="1807"/>
      <c r="M23" s="1808"/>
      <c r="N23" s="1808"/>
      <c r="O23" s="540"/>
    </row>
    <row r="24" spans="1:17" x14ac:dyDescent="0.25">
      <c r="A24" s="571" t="s">
        <v>489</v>
      </c>
      <c r="B24" s="1809">
        <v>1</v>
      </c>
      <c r="C24" s="198"/>
      <c r="D24" s="1810"/>
      <c r="E24" s="1810"/>
      <c r="F24" s="1810"/>
      <c r="G24" s="1810"/>
      <c r="H24" s="1810"/>
      <c r="I24" s="1810"/>
      <c r="J24" s="1811"/>
      <c r="K24" s="1782">
        <f>K12+K22</f>
        <v>30000000</v>
      </c>
      <c r="L24" s="1812"/>
      <c r="M24" s="1778">
        <f>M12+M22</f>
        <v>0</v>
      </c>
      <c r="N24" s="1778">
        <f>N12+N22</f>
        <v>0</v>
      </c>
      <c r="O24" s="1813">
        <f>O12+O22</f>
        <v>138125000</v>
      </c>
    </row>
    <row r="25" spans="1:17" ht="6" customHeight="1" x14ac:dyDescent="0.25">
      <c r="A25" s="220"/>
      <c r="B25" s="670"/>
      <c r="C25" s="221"/>
      <c r="D25" s="1814"/>
      <c r="E25" s="221"/>
      <c r="F25" s="221"/>
      <c r="G25" s="221"/>
      <c r="H25" s="221"/>
      <c r="I25" s="221"/>
      <c r="J25" s="221"/>
      <c r="O25" s="220"/>
      <c r="P25" s="220"/>
      <c r="Q25" s="220"/>
    </row>
    <row r="26" spans="1:17" x14ac:dyDescent="0.25">
      <c r="A26" s="188" t="str">
        <f>head27a</f>
        <v>References</v>
      </c>
      <c r="B26" s="670"/>
      <c r="C26" s="221"/>
      <c r="D26" s="221"/>
      <c r="E26" s="221"/>
      <c r="F26" s="221"/>
      <c r="G26" s="221"/>
      <c r="H26" s="221"/>
      <c r="I26" s="221"/>
      <c r="J26" s="221"/>
      <c r="O26" s="220"/>
      <c r="P26" s="220"/>
      <c r="Q26" s="220"/>
    </row>
    <row r="27" spans="1:17" ht="11.25" customHeight="1" x14ac:dyDescent="0.25">
      <c r="A27" s="151" t="s">
        <v>314</v>
      </c>
      <c r="B27" s="670"/>
      <c r="C27" s="193"/>
      <c r="D27" s="192"/>
      <c r="E27" s="192"/>
      <c r="F27" s="192"/>
      <c r="G27" s="192"/>
      <c r="H27" s="192"/>
      <c r="I27" s="192"/>
      <c r="J27" s="193"/>
    </row>
    <row r="28" spans="1:17" ht="11.25" customHeight="1" x14ac:dyDescent="0.25">
      <c r="A28" s="151" t="s">
        <v>796</v>
      </c>
      <c r="B28" s="670"/>
      <c r="C28" s="193"/>
      <c r="D28" s="192"/>
      <c r="E28" s="192"/>
      <c r="F28" s="192"/>
      <c r="G28" s="192"/>
      <c r="H28" s="192"/>
      <c r="I28" s="192"/>
      <c r="J28" s="193"/>
    </row>
    <row r="29" spans="1:17" ht="11.25" customHeight="1" x14ac:dyDescent="0.25">
      <c r="A29" s="151" t="s">
        <v>1946</v>
      </c>
      <c r="B29" s="670"/>
      <c r="C29" s="221"/>
      <c r="D29" s="221"/>
      <c r="E29" s="221"/>
      <c r="F29" s="221"/>
      <c r="G29" s="221"/>
      <c r="H29" s="221"/>
      <c r="I29" s="221"/>
      <c r="J29" s="221"/>
    </row>
    <row r="30" spans="1:17" ht="11.25" customHeight="1" x14ac:dyDescent="0.25">
      <c r="A30" s="151" t="s">
        <v>2007</v>
      </c>
      <c r="B30" s="670"/>
      <c r="C30" s="221"/>
      <c r="D30" s="221"/>
      <c r="E30" s="221"/>
      <c r="F30" s="221"/>
      <c r="G30" s="221"/>
      <c r="H30" s="221"/>
      <c r="I30" s="221"/>
      <c r="J30" s="221"/>
    </row>
    <row r="31" spans="1:17" ht="11.25" customHeight="1" x14ac:dyDescent="0.25">
      <c r="A31" s="1815" t="s">
        <v>1330</v>
      </c>
    </row>
    <row r="32" spans="1:17" ht="11.25" customHeight="1" x14ac:dyDescent="0.25">
      <c r="M32" s="58" t="s">
        <v>1952</v>
      </c>
    </row>
    <row r="33" spans="19:19" ht="11.25" customHeight="1" x14ac:dyDescent="0.25"/>
    <row r="34" spans="19:19" ht="11.25" customHeight="1" x14ac:dyDescent="0.25"/>
    <row r="35" spans="19:19" ht="11.25" customHeight="1" x14ac:dyDescent="0.25"/>
    <row r="36" spans="19:19" ht="11.25" customHeight="1" x14ac:dyDescent="0.25"/>
    <row r="37" spans="19:19" ht="11.25" customHeight="1" x14ac:dyDescent="0.25"/>
    <row r="38" spans="19:19" ht="11.25" customHeight="1" x14ac:dyDescent="0.25">
      <c r="S38" s="322"/>
    </row>
    <row r="39" spans="19:19" ht="11.25" customHeight="1" x14ac:dyDescent="0.25"/>
    <row r="40" spans="19:19" ht="11.25" customHeight="1" x14ac:dyDescent="0.25"/>
    <row r="41" spans="19:19" ht="11.25" customHeight="1" x14ac:dyDescent="0.25"/>
    <row r="42" spans="19:19" ht="11.25" customHeight="1" x14ac:dyDescent="0.25"/>
    <row r="43" spans="19:19" ht="11.25" customHeight="1" x14ac:dyDescent="0.25"/>
    <row r="44" spans="19:19" ht="11.25" customHeight="1" x14ac:dyDescent="0.25"/>
    <row r="45" spans="19:19" ht="11.25" customHeight="1" x14ac:dyDescent="0.25"/>
    <row r="46" spans="19:19" ht="11.25" customHeight="1" x14ac:dyDescent="0.25"/>
    <row r="47" spans="19:19" ht="11.25" customHeight="1" x14ac:dyDescent="0.25"/>
    <row r="48" spans="19:19" ht="11.25" customHeight="1" x14ac:dyDescent="0.25"/>
    <row r="49" ht="11.25" customHeight="1" x14ac:dyDescent="0.25"/>
    <row r="50" ht="11.25" customHeight="1" x14ac:dyDescent="0.25"/>
    <row r="51" ht="11.25" customHeight="1" x14ac:dyDescent="0.25"/>
    <row r="52" ht="11.25" customHeight="1" x14ac:dyDescent="0.25"/>
    <row r="53" ht="11.25" customHeight="1" x14ac:dyDescent="0.25"/>
    <row r="54" ht="11.25" customHeight="1" x14ac:dyDescent="0.25"/>
    <row r="55" ht="11.25" customHeight="1" x14ac:dyDescent="0.25"/>
    <row r="56" ht="11.25" customHeight="1" x14ac:dyDescent="0.25"/>
    <row r="57" ht="11.25" customHeight="1" x14ac:dyDescent="0.25"/>
    <row r="58" ht="11.25" customHeight="1" x14ac:dyDescent="0.25"/>
    <row r="59" ht="11.25" customHeight="1" x14ac:dyDescent="0.25"/>
    <row r="60" ht="11.25" customHeight="1" x14ac:dyDescent="0.25"/>
    <row r="61" ht="11.25" customHeight="1" x14ac:dyDescent="0.25"/>
    <row r="62" ht="11.25" customHeight="1" x14ac:dyDescent="0.25"/>
    <row r="63" ht="11.25" customHeight="1" x14ac:dyDescent="0.25"/>
    <row r="64" ht="11.25" customHeight="1" x14ac:dyDescent="0.25"/>
  </sheetData>
  <mergeCells count="3">
    <mergeCell ref="D2:D3"/>
    <mergeCell ref="J2:J3"/>
    <mergeCell ref="K3:O3"/>
  </mergeCells>
  <phoneticPr fontId="7" type="noConversion"/>
  <printOptions horizontalCentered="1"/>
  <pageMargins left="0" right="0" top="0.78740157480314965" bottom="0.59055118110236227" header="0.51181102362204722" footer="0.39370078740157483"/>
  <pageSetup paperSize="9" scale="72" orientation="landscape" r:id="rId1"/>
  <headerFooter alignWithMargins="0"/>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1"/>
  <dimension ref="D2:AJ288"/>
  <sheetViews>
    <sheetView showGridLines="0" tabSelected="1" zoomScaleNormal="100" zoomScaleSheetLayoutView="90" workbookViewId="0">
      <selection activeCell="O15" sqref="O15"/>
    </sheetView>
  </sheetViews>
  <sheetFormatPr defaultColWidth="8.7109375" defaultRowHeight="12.75" x14ac:dyDescent="0.2"/>
  <cols>
    <col min="1" max="18" width="8.7109375" customWidth="1"/>
    <col min="19" max="21" width="9.140625" style="364" customWidth="1"/>
    <col min="22" max="22" width="123.140625" style="364" customWidth="1"/>
    <col min="23" max="23" width="18.42578125" style="365" customWidth="1"/>
    <col min="24" max="24" width="9.42578125" style="365" customWidth="1"/>
    <col min="25" max="25" width="12.7109375" style="365" customWidth="1"/>
    <col min="26" max="26" width="9.140625" style="364" customWidth="1"/>
    <col min="27" max="27" width="13" style="364" customWidth="1"/>
    <col min="28" max="28" width="24.7109375" style="364" customWidth="1"/>
    <col min="29" max="36" width="9.140625" style="364" customWidth="1"/>
  </cols>
  <sheetData>
    <row r="2" spans="4:29" x14ac:dyDescent="0.2">
      <c r="D2">
        <v>2020</v>
      </c>
    </row>
    <row r="4" spans="4:29" x14ac:dyDescent="0.2">
      <c r="X4" s="366" t="s">
        <v>364</v>
      </c>
    </row>
    <row r="5" spans="4:29" x14ac:dyDescent="0.2">
      <c r="X5" s="366" t="s">
        <v>706</v>
      </c>
    </row>
    <row r="6" spans="4:29" x14ac:dyDescent="0.2">
      <c r="AB6" s="369"/>
      <c r="AC6" s="316"/>
    </row>
    <row r="7" spans="4:29" x14ac:dyDescent="0.2">
      <c r="W7" s="366" t="s">
        <v>760</v>
      </c>
      <c r="AB7" s="369"/>
      <c r="AC7" s="318"/>
    </row>
    <row r="8" spans="4:29" x14ac:dyDescent="0.2">
      <c r="X8" s="366" t="s">
        <v>231</v>
      </c>
      <c r="AB8" s="369"/>
      <c r="AC8" s="316"/>
    </row>
    <row r="9" spans="4:29" x14ac:dyDescent="0.2">
      <c r="X9" s="366" t="s">
        <v>1560</v>
      </c>
      <c r="AB9" s="369"/>
      <c r="AC9" s="316"/>
    </row>
    <row r="10" spans="4:29" x14ac:dyDescent="0.2">
      <c r="AB10" s="369"/>
      <c r="AC10" s="316"/>
    </row>
    <row r="11" spans="4:29" x14ac:dyDescent="0.2">
      <c r="AB11" s="369"/>
      <c r="AC11" s="316"/>
    </row>
    <row r="12" spans="4:29" x14ac:dyDescent="0.2">
      <c r="AB12" s="369"/>
      <c r="AC12" s="316"/>
    </row>
    <row r="13" spans="4:29" x14ac:dyDescent="0.2">
      <c r="AB13" s="369"/>
      <c r="AC13" s="318"/>
    </row>
    <row r="14" spans="4:29" x14ac:dyDescent="0.2">
      <c r="AB14" s="369"/>
      <c r="AC14" s="316"/>
    </row>
    <row r="15" spans="4:29" x14ac:dyDescent="0.2">
      <c r="AB15" s="369"/>
      <c r="AC15" s="312"/>
    </row>
    <row r="16" spans="4:29" x14ac:dyDescent="0.2">
      <c r="AB16" s="369"/>
      <c r="AC16" s="312"/>
    </row>
    <row r="17" spans="23:29" x14ac:dyDescent="0.2">
      <c r="W17" s="366" t="s">
        <v>759</v>
      </c>
      <c r="X17" s="366">
        <v>2008</v>
      </c>
      <c r="AB17" s="369"/>
      <c r="AC17" s="312"/>
    </row>
    <row r="18" spans="23:29" x14ac:dyDescent="0.2">
      <c r="X18" s="366">
        <v>2009</v>
      </c>
      <c r="AB18" s="369"/>
      <c r="AC18" s="312"/>
    </row>
    <row r="19" spans="23:29" x14ac:dyDescent="0.2">
      <c r="X19" s="366">
        <v>2010</v>
      </c>
      <c r="AB19" s="369"/>
      <c r="AC19" s="312"/>
    </row>
    <row r="20" spans="23:29" x14ac:dyDescent="0.2">
      <c r="X20" s="366">
        <v>2011</v>
      </c>
      <c r="AB20" s="369"/>
      <c r="AC20" s="312"/>
    </row>
    <row r="21" spans="23:29" x14ac:dyDescent="0.2">
      <c r="X21" s="366">
        <v>2012</v>
      </c>
      <c r="AB21" s="369"/>
      <c r="AC21" s="312"/>
    </row>
    <row r="22" spans="23:29" x14ac:dyDescent="0.2">
      <c r="X22" s="366">
        <v>2013</v>
      </c>
      <c r="AB22" s="369"/>
      <c r="AC22" s="312"/>
    </row>
    <row r="23" spans="23:29" x14ac:dyDescent="0.2">
      <c r="X23" s="366">
        <v>2014</v>
      </c>
      <c r="AB23" s="369"/>
      <c r="AC23" s="312"/>
    </row>
    <row r="24" spans="23:29" x14ac:dyDescent="0.2">
      <c r="X24" s="366">
        <v>2015</v>
      </c>
      <c r="AB24" s="369"/>
      <c r="AC24" s="312"/>
    </row>
    <row r="25" spans="23:29" x14ac:dyDescent="0.2">
      <c r="X25" s="366">
        <v>2016</v>
      </c>
      <c r="AB25" s="369"/>
      <c r="AC25" s="312"/>
    </row>
    <row r="26" spans="23:29" x14ac:dyDescent="0.2">
      <c r="X26" s="366">
        <v>2017</v>
      </c>
      <c r="AB26" s="369"/>
      <c r="AC26" s="312"/>
    </row>
    <row r="27" spans="23:29" x14ac:dyDescent="0.2">
      <c r="X27" s="366">
        <v>2018</v>
      </c>
      <c r="AB27" s="369"/>
      <c r="AC27" s="312"/>
    </row>
    <row r="28" spans="23:29" x14ac:dyDescent="0.2">
      <c r="X28" s="366">
        <v>2019</v>
      </c>
      <c r="AB28" s="369"/>
      <c r="AC28" s="312"/>
    </row>
    <row r="29" spans="23:29" x14ac:dyDescent="0.2">
      <c r="X29" s="366">
        <v>2020</v>
      </c>
      <c r="AB29" s="369"/>
      <c r="AC29" s="312"/>
    </row>
    <row r="30" spans="23:29" x14ac:dyDescent="0.2">
      <c r="X30" s="366">
        <v>2021</v>
      </c>
      <c r="AB30" s="369"/>
      <c r="AC30" s="312"/>
    </row>
    <row r="31" spans="23:29" x14ac:dyDescent="0.2">
      <c r="X31" s="366">
        <v>2022</v>
      </c>
      <c r="AB31" s="369"/>
      <c r="AC31" s="312"/>
    </row>
    <row r="32" spans="23:29" x14ac:dyDescent="0.2">
      <c r="AB32" s="369"/>
      <c r="AC32" s="312"/>
    </row>
    <row r="33" spans="15:29" x14ac:dyDescent="0.2">
      <c r="W33" s="366" t="s">
        <v>1561</v>
      </c>
      <c r="X33" s="365">
        <v>15</v>
      </c>
      <c r="AB33" s="369"/>
      <c r="AC33" s="315"/>
    </row>
    <row r="34" spans="15:29" x14ac:dyDescent="0.2">
      <c r="W34" s="366" t="s">
        <v>1559</v>
      </c>
      <c r="X34" s="367">
        <f>INDEX(X17:X31,X33,1)</f>
        <v>2022</v>
      </c>
      <c r="AB34" s="369"/>
      <c r="AC34" s="319"/>
    </row>
    <row r="35" spans="15:29" x14ac:dyDescent="0.2">
      <c r="AB35" s="369"/>
      <c r="AC35" s="319"/>
    </row>
    <row r="36" spans="15:29" x14ac:dyDescent="0.2">
      <c r="W36" s="366" t="s">
        <v>1562</v>
      </c>
      <c r="X36" s="368" t="str">
        <f>MTREF&amp;"/"&amp;RIGHT(MTREF,2)+1</f>
        <v>2022/23</v>
      </c>
      <c r="AB36" s="369"/>
      <c r="AC36" s="312"/>
    </row>
    <row r="37" spans="15:29" x14ac:dyDescent="0.2">
      <c r="O37" s="379"/>
      <c r="AB37" s="369"/>
      <c r="AC37" s="312"/>
    </row>
    <row r="38" spans="15:29" x14ac:dyDescent="0.2">
      <c r="O38" s="379"/>
      <c r="AB38" s="369"/>
      <c r="AC38" s="312"/>
    </row>
    <row r="39" spans="15:29" x14ac:dyDescent="0.2">
      <c r="O39" s="379"/>
      <c r="AB39" s="369"/>
      <c r="AC39" s="312"/>
    </row>
    <row r="40" spans="15:29" x14ac:dyDescent="0.2">
      <c r="O40" s="380"/>
      <c r="AB40" s="369"/>
      <c r="AC40" s="312"/>
    </row>
    <row r="41" spans="15:29" x14ac:dyDescent="0.2">
      <c r="AB41" s="369"/>
      <c r="AC41" s="312"/>
    </row>
    <row r="42" spans="15:29" x14ac:dyDescent="0.2">
      <c r="AB42" s="369"/>
      <c r="AC42" s="312"/>
    </row>
    <row r="43" spans="15:29" x14ac:dyDescent="0.2">
      <c r="AB43" s="369"/>
      <c r="AC43" s="312"/>
    </row>
    <row r="44" spans="15:29" x14ac:dyDescent="0.2">
      <c r="AB44" s="369"/>
      <c r="AC44" s="312"/>
    </row>
    <row r="45" spans="15:29" x14ac:dyDescent="0.2">
      <c r="AB45" s="369"/>
      <c r="AC45" s="312"/>
    </row>
    <row r="46" spans="15:29" x14ac:dyDescent="0.2">
      <c r="AB46" s="369"/>
      <c r="AC46" s="312"/>
    </row>
    <row r="47" spans="15:29" x14ac:dyDescent="0.2">
      <c r="AB47" s="369"/>
      <c r="AC47" s="312"/>
    </row>
    <row r="48" spans="15:29" x14ac:dyDescent="0.2">
      <c r="AB48" s="369"/>
      <c r="AC48" s="312"/>
    </row>
    <row r="49" spans="28:29" x14ac:dyDescent="0.2">
      <c r="AB49" s="369"/>
      <c r="AC49" s="312"/>
    </row>
    <row r="50" spans="28:29" x14ac:dyDescent="0.2">
      <c r="AB50" s="369"/>
      <c r="AC50" s="312"/>
    </row>
    <row r="51" spans="28:29" x14ac:dyDescent="0.2">
      <c r="AB51" s="369"/>
      <c r="AC51" s="312"/>
    </row>
    <row r="52" spans="28:29" x14ac:dyDescent="0.2">
      <c r="AB52" s="369"/>
      <c r="AC52" s="312"/>
    </row>
    <row r="53" spans="28:29" x14ac:dyDescent="0.2">
      <c r="AB53" s="369"/>
      <c r="AC53" s="312"/>
    </row>
    <row r="54" spans="28:29" x14ac:dyDescent="0.2">
      <c r="AB54" s="369"/>
      <c r="AC54" s="312"/>
    </row>
    <row r="55" spans="28:29" x14ac:dyDescent="0.2">
      <c r="AB55" s="369"/>
      <c r="AC55" s="312"/>
    </row>
    <row r="56" spans="28:29" x14ac:dyDescent="0.2">
      <c r="AB56" s="369"/>
      <c r="AC56" s="312"/>
    </row>
    <row r="57" spans="28:29" x14ac:dyDescent="0.2">
      <c r="AB57" s="369"/>
      <c r="AC57" s="312"/>
    </row>
    <row r="58" spans="28:29" x14ac:dyDescent="0.2">
      <c r="AB58" s="369"/>
      <c r="AC58" s="312"/>
    </row>
    <row r="59" spans="28:29" x14ac:dyDescent="0.2">
      <c r="AB59" s="369"/>
      <c r="AC59" s="312"/>
    </row>
    <row r="60" spans="28:29" x14ac:dyDescent="0.2">
      <c r="AB60" s="369"/>
      <c r="AC60" s="312"/>
    </row>
    <row r="61" spans="28:29" x14ac:dyDescent="0.2">
      <c r="AB61" s="369"/>
      <c r="AC61" s="312"/>
    </row>
    <row r="62" spans="28:29" x14ac:dyDescent="0.2">
      <c r="AB62" s="369"/>
      <c r="AC62" s="312"/>
    </row>
    <row r="63" spans="28:29" x14ac:dyDescent="0.2">
      <c r="AB63" s="369"/>
      <c r="AC63" s="312"/>
    </row>
    <row r="64" spans="28:29" x14ac:dyDescent="0.2">
      <c r="AB64" s="369"/>
      <c r="AC64" s="312"/>
    </row>
    <row r="65" spans="28:29" x14ac:dyDescent="0.2">
      <c r="AB65" s="369"/>
      <c r="AC65" s="312"/>
    </row>
    <row r="66" spans="28:29" x14ac:dyDescent="0.2">
      <c r="AB66" s="369"/>
      <c r="AC66" s="312"/>
    </row>
    <row r="67" spans="28:29" x14ac:dyDescent="0.2">
      <c r="AB67" s="369"/>
      <c r="AC67" s="312"/>
    </row>
    <row r="68" spans="28:29" x14ac:dyDescent="0.2">
      <c r="AB68" s="369"/>
      <c r="AC68" s="312"/>
    </row>
    <row r="69" spans="28:29" x14ac:dyDescent="0.2">
      <c r="AB69" s="369"/>
      <c r="AC69" s="312"/>
    </row>
    <row r="70" spans="28:29" x14ac:dyDescent="0.2">
      <c r="AB70" s="369"/>
      <c r="AC70" s="312"/>
    </row>
    <row r="71" spans="28:29" x14ac:dyDescent="0.2">
      <c r="AB71" s="369"/>
      <c r="AC71" s="312"/>
    </row>
    <row r="72" spans="28:29" x14ac:dyDescent="0.2">
      <c r="AB72" s="369"/>
      <c r="AC72" s="312"/>
    </row>
    <row r="73" spans="28:29" x14ac:dyDescent="0.2">
      <c r="AB73" s="369"/>
      <c r="AC73" s="312"/>
    </row>
    <row r="74" spans="28:29" x14ac:dyDescent="0.2">
      <c r="AB74" s="369"/>
      <c r="AC74" s="312"/>
    </row>
    <row r="75" spans="28:29" x14ac:dyDescent="0.2">
      <c r="AB75" s="369"/>
      <c r="AC75" s="312"/>
    </row>
    <row r="76" spans="28:29" x14ac:dyDescent="0.2">
      <c r="AB76" s="369"/>
      <c r="AC76" s="312"/>
    </row>
    <row r="77" spans="28:29" x14ac:dyDescent="0.2">
      <c r="AB77" s="369"/>
      <c r="AC77" s="312"/>
    </row>
    <row r="78" spans="28:29" x14ac:dyDescent="0.2">
      <c r="AB78" s="369"/>
      <c r="AC78" s="312"/>
    </row>
    <row r="79" spans="28:29" x14ac:dyDescent="0.2">
      <c r="AB79" s="369"/>
      <c r="AC79" s="312"/>
    </row>
    <row r="80" spans="28:29" x14ac:dyDescent="0.2">
      <c r="AB80" s="369"/>
      <c r="AC80" s="312"/>
    </row>
    <row r="81" spans="28:29" x14ac:dyDescent="0.2">
      <c r="AB81" s="369"/>
      <c r="AC81" s="312"/>
    </row>
    <row r="82" spans="28:29" x14ac:dyDescent="0.2">
      <c r="AB82" s="369"/>
      <c r="AC82" s="312"/>
    </row>
    <row r="83" spans="28:29" x14ac:dyDescent="0.2">
      <c r="AB83" s="369"/>
      <c r="AC83" s="312"/>
    </row>
    <row r="84" spans="28:29" x14ac:dyDescent="0.2">
      <c r="AB84" s="369"/>
      <c r="AC84" s="312"/>
    </row>
    <row r="85" spans="28:29" x14ac:dyDescent="0.2">
      <c r="AB85" s="369"/>
      <c r="AC85" s="312"/>
    </row>
    <row r="86" spans="28:29" x14ac:dyDescent="0.2">
      <c r="AB86" s="369"/>
      <c r="AC86" s="312"/>
    </row>
    <row r="87" spans="28:29" x14ac:dyDescent="0.2">
      <c r="AB87" s="369"/>
      <c r="AC87" s="312"/>
    </row>
    <row r="88" spans="28:29" x14ac:dyDescent="0.2">
      <c r="AB88" s="369"/>
      <c r="AC88" s="312"/>
    </row>
    <row r="89" spans="28:29" x14ac:dyDescent="0.2">
      <c r="AB89" s="369"/>
      <c r="AC89" s="312"/>
    </row>
    <row r="90" spans="28:29" x14ac:dyDescent="0.2">
      <c r="AB90" s="369"/>
      <c r="AC90" s="312"/>
    </row>
    <row r="91" spans="28:29" x14ac:dyDescent="0.2">
      <c r="AB91" s="369"/>
      <c r="AC91" s="312"/>
    </row>
    <row r="92" spans="28:29" x14ac:dyDescent="0.2">
      <c r="AB92" s="369"/>
      <c r="AC92" s="312"/>
    </row>
    <row r="93" spans="28:29" x14ac:dyDescent="0.2">
      <c r="AB93" s="369"/>
      <c r="AC93" s="312"/>
    </row>
    <row r="94" spans="28:29" x14ac:dyDescent="0.2">
      <c r="AB94" s="369"/>
      <c r="AC94" s="312"/>
    </row>
    <row r="95" spans="28:29" x14ac:dyDescent="0.2">
      <c r="AB95" s="369"/>
      <c r="AC95" s="312"/>
    </row>
    <row r="96" spans="28:29" x14ac:dyDescent="0.2">
      <c r="AB96" s="369"/>
      <c r="AC96" s="312"/>
    </row>
    <row r="97" spans="28:29" x14ac:dyDescent="0.2">
      <c r="AB97" s="369"/>
      <c r="AC97" s="312"/>
    </row>
    <row r="98" spans="28:29" x14ac:dyDescent="0.2">
      <c r="AB98" s="369"/>
      <c r="AC98" s="312"/>
    </row>
    <row r="99" spans="28:29" x14ac:dyDescent="0.2">
      <c r="AB99" s="369"/>
      <c r="AC99" s="312"/>
    </row>
    <row r="100" spans="28:29" x14ac:dyDescent="0.2">
      <c r="AB100" s="369"/>
      <c r="AC100" s="312"/>
    </row>
    <row r="101" spans="28:29" x14ac:dyDescent="0.2">
      <c r="AB101" s="369"/>
      <c r="AC101" s="312"/>
    </row>
    <row r="102" spans="28:29" x14ac:dyDescent="0.2">
      <c r="AB102" s="369"/>
      <c r="AC102" s="312"/>
    </row>
    <row r="103" spans="28:29" x14ac:dyDescent="0.2">
      <c r="AB103" s="369"/>
      <c r="AC103" s="312"/>
    </row>
    <row r="104" spans="28:29" x14ac:dyDescent="0.2">
      <c r="AB104" s="369"/>
      <c r="AC104" s="312"/>
    </row>
    <row r="105" spans="28:29" x14ac:dyDescent="0.2">
      <c r="AB105" s="369"/>
      <c r="AC105" s="312"/>
    </row>
    <row r="106" spans="28:29" x14ac:dyDescent="0.2">
      <c r="AB106" s="369"/>
      <c r="AC106" s="312"/>
    </row>
    <row r="107" spans="28:29" x14ac:dyDescent="0.2">
      <c r="AB107" s="369"/>
      <c r="AC107" s="312"/>
    </row>
    <row r="108" spans="28:29" x14ac:dyDescent="0.2">
      <c r="AB108" s="369"/>
      <c r="AC108" s="312"/>
    </row>
    <row r="109" spans="28:29" x14ac:dyDescent="0.2">
      <c r="AB109" s="369"/>
      <c r="AC109" s="312"/>
    </row>
    <row r="110" spans="28:29" x14ac:dyDescent="0.2">
      <c r="AB110" s="369"/>
      <c r="AC110" s="312"/>
    </row>
    <row r="111" spans="28:29" x14ac:dyDescent="0.2">
      <c r="AB111" s="369"/>
      <c r="AC111" s="312"/>
    </row>
    <row r="112" spans="28:29" x14ac:dyDescent="0.2">
      <c r="AB112" s="369"/>
      <c r="AC112" s="312"/>
    </row>
    <row r="113" spans="28:29" x14ac:dyDescent="0.2">
      <c r="AB113" s="369"/>
      <c r="AC113" s="312"/>
    </row>
    <row r="114" spans="28:29" x14ac:dyDescent="0.2">
      <c r="AB114" s="369"/>
      <c r="AC114" s="312"/>
    </row>
    <row r="115" spans="28:29" x14ac:dyDescent="0.2">
      <c r="AB115" s="369"/>
      <c r="AC115" s="312"/>
    </row>
    <row r="116" spans="28:29" x14ac:dyDescent="0.2">
      <c r="AB116" s="369"/>
      <c r="AC116" s="312"/>
    </row>
    <row r="117" spans="28:29" x14ac:dyDescent="0.2">
      <c r="AB117" s="369"/>
      <c r="AC117" s="312"/>
    </row>
    <row r="118" spans="28:29" x14ac:dyDescent="0.2">
      <c r="AB118" s="369"/>
      <c r="AC118" s="312"/>
    </row>
    <row r="119" spans="28:29" x14ac:dyDescent="0.2">
      <c r="AB119" s="369"/>
      <c r="AC119" s="312"/>
    </row>
    <row r="120" spans="28:29" x14ac:dyDescent="0.2">
      <c r="AB120" s="369"/>
      <c r="AC120" s="312"/>
    </row>
    <row r="121" spans="28:29" x14ac:dyDescent="0.2">
      <c r="AB121" s="369"/>
      <c r="AC121" s="312"/>
    </row>
    <row r="122" spans="28:29" x14ac:dyDescent="0.2">
      <c r="AB122" s="369"/>
      <c r="AC122" s="312"/>
    </row>
    <row r="123" spans="28:29" x14ac:dyDescent="0.2">
      <c r="AB123" s="369"/>
      <c r="AC123" s="312"/>
    </row>
    <row r="124" spans="28:29" x14ac:dyDescent="0.2">
      <c r="AB124" s="369"/>
      <c r="AC124" s="312"/>
    </row>
    <row r="125" spans="28:29" x14ac:dyDescent="0.2">
      <c r="AB125" s="369"/>
      <c r="AC125" s="312"/>
    </row>
    <row r="126" spans="28:29" x14ac:dyDescent="0.2">
      <c r="AB126" s="369"/>
      <c r="AC126" s="312"/>
    </row>
    <row r="127" spans="28:29" x14ac:dyDescent="0.2">
      <c r="AB127" s="369"/>
      <c r="AC127" s="312"/>
    </row>
    <row r="128" spans="28:29" x14ac:dyDescent="0.2">
      <c r="AB128" s="369"/>
      <c r="AC128" s="312"/>
    </row>
    <row r="129" spans="28:29" x14ac:dyDescent="0.2">
      <c r="AB129" s="369"/>
      <c r="AC129" s="312"/>
    </row>
    <row r="130" spans="28:29" x14ac:dyDescent="0.2">
      <c r="AB130" s="369"/>
      <c r="AC130" s="312"/>
    </row>
    <row r="131" spans="28:29" x14ac:dyDescent="0.2">
      <c r="AB131" s="369"/>
      <c r="AC131" s="312"/>
    </row>
    <row r="132" spans="28:29" x14ac:dyDescent="0.2">
      <c r="AB132" s="369"/>
      <c r="AC132" s="312"/>
    </row>
    <row r="133" spans="28:29" x14ac:dyDescent="0.2">
      <c r="AB133" s="369"/>
      <c r="AC133" s="312"/>
    </row>
    <row r="134" spans="28:29" x14ac:dyDescent="0.2">
      <c r="AB134" s="369"/>
      <c r="AC134" s="312"/>
    </row>
    <row r="135" spans="28:29" x14ac:dyDescent="0.2">
      <c r="AB135" s="369"/>
      <c r="AC135" s="312"/>
    </row>
    <row r="136" spans="28:29" x14ac:dyDescent="0.2">
      <c r="AB136" s="369"/>
      <c r="AC136" s="312"/>
    </row>
    <row r="137" spans="28:29" x14ac:dyDescent="0.2">
      <c r="AB137" s="369"/>
      <c r="AC137" s="312"/>
    </row>
    <row r="138" spans="28:29" x14ac:dyDescent="0.2">
      <c r="AB138" s="369"/>
      <c r="AC138" s="312"/>
    </row>
    <row r="139" spans="28:29" x14ac:dyDescent="0.2">
      <c r="AB139" s="369"/>
      <c r="AC139" s="312"/>
    </row>
    <row r="140" spans="28:29" x14ac:dyDescent="0.2">
      <c r="AB140" s="369"/>
      <c r="AC140" s="312"/>
    </row>
    <row r="141" spans="28:29" x14ac:dyDescent="0.2">
      <c r="AB141" s="369"/>
      <c r="AC141" s="312"/>
    </row>
    <row r="142" spans="28:29" x14ac:dyDescent="0.2">
      <c r="AB142" s="369"/>
      <c r="AC142" s="312"/>
    </row>
    <row r="143" spans="28:29" x14ac:dyDescent="0.2">
      <c r="AB143" s="369"/>
      <c r="AC143" s="312"/>
    </row>
    <row r="144" spans="28:29" x14ac:dyDescent="0.2">
      <c r="AB144" s="369"/>
      <c r="AC144" s="312"/>
    </row>
    <row r="145" spans="28:29" x14ac:dyDescent="0.2">
      <c r="AB145" s="369"/>
      <c r="AC145" s="312"/>
    </row>
    <row r="146" spans="28:29" x14ac:dyDescent="0.2">
      <c r="AB146" s="369"/>
      <c r="AC146" s="312"/>
    </row>
    <row r="147" spans="28:29" x14ac:dyDescent="0.2">
      <c r="AB147" s="369"/>
      <c r="AC147" s="312"/>
    </row>
    <row r="148" spans="28:29" x14ac:dyDescent="0.2">
      <c r="AB148" s="369"/>
      <c r="AC148" s="312"/>
    </row>
    <row r="149" spans="28:29" x14ac:dyDescent="0.2">
      <c r="AB149" s="369"/>
      <c r="AC149" s="312"/>
    </row>
    <row r="150" spans="28:29" x14ac:dyDescent="0.2">
      <c r="AB150" s="369"/>
      <c r="AC150" s="312"/>
    </row>
    <row r="151" spans="28:29" x14ac:dyDescent="0.2">
      <c r="AB151" s="369"/>
      <c r="AC151" s="312"/>
    </row>
    <row r="152" spans="28:29" x14ac:dyDescent="0.2">
      <c r="AB152" s="369"/>
      <c r="AC152" s="312"/>
    </row>
    <row r="153" spans="28:29" x14ac:dyDescent="0.2">
      <c r="AB153" s="369"/>
      <c r="AC153" s="312"/>
    </row>
    <row r="154" spans="28:29" x14ac:dyDescent="0.2">
      <c r="AB154" s="369"/>
      <c r="AC154" s="312"/>
    </row>
    <row r="155" spans="28:29" x14ac:dyDescent="0.2">
      <c r="AB155" s="369"/>
      <c r="AC155" s="312"/>
    </row>
    <row r="156" spans="28:29" x14ac:dyDescent="0.2">
      <c r="AB156" s="369"/>
      <c r="AC156" s="312"/>
    </row>
    <row r="157" spans="28:29" x14ac:dyDescent="0.2">
      <c r="AB157" s="369"/>
      <c r="AC157" s="312"/>
    </row>
    <row r="158" spans="28:29" x14ac:dyDescent="0.2">
      <c r="AB158" s="369"/>
      <c r="AC158" s="312"/>
    </row>
    <row r="159" spans="28:29" x14ac:dyDescent="0.2">
      <c r="AB159" s="369"/>
      <c r="AC159" s="312"/>
    </row>
    <row r="160" spans="28:29" x14ac:dyDescent="0.2">
      <c r="AB160" s="369"/>
      <c r="AC160" s="312"/>
    </row>
    <row r="161" spans="28:29" x14ac:dyDescent="0.2">
      <c r="AB161" s="369"/>
      <c r="AC161" s="312"/>
    </row>
    <row r="162" spans="28:29" x14ac:dyDescent="0.2">
      <c r="AB162" s="369"/>
      <c r="AC162" s="312"/>
    </row>
    <row r="163" spans="28:29" x14ac:dyDescent="0.2">
      <c r="AB163" s="369"/>
      <c r="AC163" s="312"/>
    </row>
    <row r="164" spans="28:29" x14ac:dyDescent="0.2">
      <c r="AB164" s="369"/>
      <c r="AC164" s="312"/>
    </row>
    <row r="165" spans="28:29" x14ac:dyDescent="0.2">
      <c r="AB165" s="369"/>
      <c r="AC165" s="312"/>
    </row>
    <row r="166" spans="28:29" x14ac:dyDescent="0.2">
      <c r="AB166" s="369"/>
      <c r="AC166" s="312"/>
    </row>
    <row r="167" spans="28:29" x14ac:dyDescent="0.2">
      <c r="AB167" s="369"/>
      <c r="AC167" s="312"/>
    </row>
    <row r="168" spans="28:29" x14ac:dyDescent="0.2">
      <c r="AB168" s="369"/>
      <c r="AC168" s="312"/>
    </row>
    <row r="169" spans="28:29" x14ac:dyDescent="0.2">
      <c r="AB169" s="369"/>
      <c r="AC169" s="312"/>
    </row>
    <row r="170" spans="28:29" x14ac:dyDescent="0.2">
      <c r="AB170" s="369"/>
      <c r="AC170" s="312"/>
    </row>
    <row r="171" spans="28:29" x14ac:dyDescent="0.2">
      <c r="AB171" s="369"/>
      <c r="AC171" s="312"/>
    </row>
    <row r="172" spans="28:29" x14ac:dyDescent="0.2">
      <c r="AB172" s="369"/>
      <c r="AC172" s="312"/>
    </row>
    <row r="173" spans="28:29" x14ac:dyDescent="0.2">
      <c r="AB173" s="369"/>
      <c r="AC173" s="312"/>
    </row>
    <row r="174" spans="28:29" x14ac:dyDescent="0.2">
      <c r="AB174" s="369"/>
      <c r="AC174" s="312"/>
    </row>
    <row r="175" spans="28:29" x14ac:dyDescent="0.2">
      <c r="AB175" s="369"/>
      <c r="AC175" s="312"/>
    </row>
    <row r="176" spans="28:29" x14ac:dyDescent="0.2">
      <c r="AB176" s="369"/>
      <c r="AC176" s="312"/>
    </row>
    <row r="177" spans="28:29" x14ac:dyDescent="0.2">
      <c r="AB177" s="369"/>
      <c r="AC177" s="312"/>
    </row>
    <row r="178" spans="28:29" x14ac:dyDescent="0.2">
      <c r="AB178" s="369"/>
      <c r="AC178" s="312"/>
    </row>
    <row r="179" spans="28:29" x14ac:dyDescent="0.2">
      <c r="AB179" s="369"/>
      <c r="AC179" s="312"/>
    </row>
    <row r="180" spans="28:29" x14ac:dyDescent="0.2">
      <c r="AB180" s="369"/>
      <c r="AC180" s="312"/>
    </row>
    <row r="181" spans="28:29" x14ac:dyDescent="0.2">
      <c r="AB181" s="369"/>
      <c r="AC181" s="312"/>
    </row>
    <row r="182" spans="28:29" x14ac:dyDescent="0.2">
      <c r="AB182" s="369"/>
      <c r="AC182" s="312"/>
    </row>
    <row r="183" spans="28:29" x14ac:dyDescent="0.2">
      <c r="AB183" s="369"/>
      <c r="AC183" s="312"/>
    </row>
    <row r="184" spans="28:29" x14ac:dyDescent="0.2">
      <c r="AB184" s="369"/>
      <c r="AC184" s="312"/>
    </row>
    <row r="185" spans="28:29" x14ac:dyDescent="0.2">
      <c r="AB185" s="369"/>
      <c r="AC185" s="312"/>
    </row>
    <row r="186" spans="28:29" x14ac:dyDescent="0.2">
      <c r="AB186" s="369"/>
      <c r="AC186" s="312"/>
    </row>
    <row r="187" spans="28:29" x14ac:dyDescent="0.2">
      <c r="AB187" s="369"/>
      <c r="AC187" s="312"/>
    </row>
    <row r="188" spans="28:29" x14ac:dyDescent="0.2">
      <c r="AB188" s="369"/>
      <c r="AC188" s="312"/>
    </row>
    <row r="189" spans="28:29" x14ac:dyDescent="0.2">
      <c r="AB189" s="369"/>
      <c r="AC189" s="312"/>
    </row>
    <row r="190" spans="28:29" x14ac:dyDescent="0.2">
      <c r="AB190" s="369"/>
      <c r="AC190" s="312"/>
    </row>
    <row r="191" spans="28:29" x14ac:dyDescent="0.2">
      <c r="AB191" s="369"/>
      <c r="AC191" s="312"/>
    </row>
    <row r="192" spans="28:29" x14ac:dyDescent="0.2">
      <c r="AB192" s="369"/>
      <c r="AC192" s="312"/>
    </row>
    <row r="193" spans="28:29" x14ac:dyDescent="0.2">
      <c r="AB193" s="369"/>
      <c r="AC193" s="312"/>
    </row>
    <row r="194" spans="28:29" x14ac:dyDescent="0.2">
      <c r="AB194" s="369"/>
      <c r="AC194" s="312"/>
    </row>
    <row r="195" spans="28:29" x14ac:dyDescent="0.2">
      <c r="AB195" s="369"/>
      <c r="AC195" s="312"/>
    </row>
    <row r="196" spans="28:29" x14ac:dyDescent="0.2">
      <c r="AB196" s="369"/>
      <c r="AC196" s="312"/>
    </row>
    <row r="197" spans="28:29" x14ac:dyDescent="0.2">
      <c r="AB197" s="369"/>
      <c r="AC197" s="312"/>
    </row>
    <row r="198" spans="28:29" x14ac:dyDescent="0.2">
      <c r="AB198" s="369"/>
      <c r="AC198" s="312"/>
    </row>
    <row r="199" spans="28:29" x14ac:dyDescent="0.2">
      <c r="AB199" s="369"/>
      <c r="AC199" s="312"/>
    </row>
    <row r="200" spans="28:29" x14ac:dyDescent="0.2">
      <c r="AB200" s="369"/>
      <c r="AC200" s="312"/>
    </row>
    <row r="201" spans="28:29" x14ac:dyDescent="0.2">
      <c r="AB201" s="369"/>
      <c r="AC201" s="312"/>
    </row>
    <row r="202" spans="28:29" x14ac:dyDescent="0.2">
      <c r="AB202" s="369"/>
      <c r="AC202" s="312"/>
    </row>
    <row r="203" spans="28:29" x14ac:dyDescent="0.2">
      <c r="AB203" s="369"/>
      <c r="AC203" s="312"/>
    </row>
    <row r="204" spans="28:29" x14ac:dyDescent="0.2">
      <c r="AB204" s="369"/>
      <c r="AC204" s="312"/>
    </row>
    <row r="205" spans="28:29" x14ac:dyDescent="0.2">
      <c r="AB205" s="369"/>
      <c r="AC205" s="312"/>
    </row>
    <row r="206" spans="28:29" x14ac:dyDescent="0.2">
      <c r="AB206" s="369"/>
      <c r="AC206" s="312"/>
    </row>
    <row r="207" spans="28:29" x14ac:dyDescent="0.2">
      <c r="AB207" s="369"/>
      <c r="AC207" s="312"/>
    </row>
    <row r="208" spans="28:29" x14ac:dyDescent="0.2">
      <c r="AB208" s="369"/>
      <c r="AC208" s="312"/>
    </row>
    <row r="209" spans="28:29" x14ac:dyDescent="0.2">
      <c r="AB209" s="369"/>
      <c r="AC209" s="312"/>
    </row>
    <row r="210" spans="28:29" x14ac:dyDescent="0.2">
      <c r="AB210" s="369"/>
      <c r="AC210" s="312"/>
    </row>
    <row r="211" spans="28:29" x14ac:dyDescent="0.2">
      <c r="AB211" s="369"/>
      <c r="AC211" s="312"/>
    </row>
    <row r="212" spans="28:29" x14ac:dyDescent="0.2">
      <c r="AB212" s="369"/>
      <c r="AC212" s="312"/>
    </row>
    <row r="213" spans="28:29" x14ac:dyDescent="0.2">
      <c r="AB213" s="369"/>
      <c r="AC213" s="312"/>
    </row>
    <row r="214" spans="28:29" x14ac:dyDescent="0.2">
      <c r="AB214" s="369"/>
      <c r="AC214" s="312"/>
    </row>
    <row r="215" spans="28:29" x14ac:dyDescent="0.2">
      <c r="AB215" s="369"/>
      <c r="AC215" s="312"/>
    </row>
    <row r="216" spans="28:29" x14ac:dyDescent="0.2">
      <c r="AB216" s="369"/>
      <c r="AC216" s="312"/>
    </row>
    <row r="217" spans="28:29" x14ac:dyDescent="0.2">
      <c r="AB217" s="369"/>
      <c r="AC217" s="312"/>
    </row>
    <row r="218" spans="28:29" x14ac:dyDescent="0.2">
      <c r="AB218" s="369"/>
      <c r="AC218" s="312"/>
    </row>
    <row r="219" spans="28:29" x14ac:dyDescent="0.2">
      <c r="AB219" s="369"/>
      <c r="AC219" s="312"/>
    </row>
    <row r="220" spans="28:29" x14ac:dyDescent="0.2">
      <c r="AB220" s="369"/>
      <c r="AC220" s="312"/>
    </row>
    <row r="221" spans="28:29" x14ac:dyDescent="0.2">
      <c r="AB221" s="369"/>
      <c r="AC221" s="312"/>
    </row>
    <row r="222" spans="28:29" x14ac:dyDescent="0.2">
      <c r="AB222" s="369"/>
      <c r="AC222" s="312"/>
    </row>
    <row r="223" spans="28:29" x14ac:dyDescent="0.2">
      <c r="AB223" s="369"/>
      <c r="AC223" s="312"/>
    </row>
    <row r="224" spans="28:29" x14ac:dyDescent="0.2">
      <c r="AB224" s="369"/>
      <c r="AC224" s="312"/>
    </row>
    <row r="225" spans="28:29" x14ac:dyDescent="0.2">
      <c r="AB225" s="369"/>
      <c r="AC225" s="312"/>
    </row>
    <row r="226" spans="28:29" x14ac:dyDescent="0.2">
      <c r="AB226" s="369"/>
      <c r="AC226" s="312"/>
    </row>
    <row r="227" spans="28:29" x14ac:dyDescent="0.2">
      <c r="AB227" s="369"/>
      <c r="AC227" s="312"/>
    </row>
    <row r="228" spans="28:29" x14ac:dyDescent="0.2">
      <c r="AB228" s="369"/>
      <c r="AC228" s="312"/>
    </row>
    <row r="229" spans="28:29" x14ac:dyDescent="0.2">
      <c r="AB229" s="369"/>
      <c r="AC229" s="312"/>
    </row>
    <row r="230" spans="28:29" x14ac:dyDescent="0.2">
      <c r="AB230" s="369"/>
      <c r="AC230" s="312"/>
    </row>
    <row r="231" spans="28:29" x14ac:dyDescent="0.2">
      <c r="AB231" s="369"/>
      <c r="AC231" s="312"/>
    </row>
    <row r="232" spans="28:29" x14ac:dyDescent="0.2">
      <c r="AB232" s="369"/>
      <c r="AC232" s="312"/>
    </row>
    <row r="233" spans="28:29" x14ac:dyDescent="0.2">
      <c r="AB233" s="369"/>
      <c r="AC233" s="312"/>
    </row>
    <row r="234" spans="28:29" x14ac:dyDescent="0.2">
      <c r="AB234" s="369"/>
      <c r="AC234" s="312"/>
    </row>
    <row r="235" spans="28:29" x14ac:dyDescent="0.2">
      <c r="AB235" s="369"/>
      <c r="AC235" s="312"/>
    </row>
    <row r="236" spans="28:29" x14ac:dyDescent="0.2">
      <c r="AB236" s="369"/>
      <c r="AC236" s="312"/>
    </row>
    <row r="237" spans="28:29" x14ac:dyDescent="0.2">
      <c r="AB237" s="369"/>
      <c r="AC237" s="312"/>
    </row>
    <row r="238" spans="28:29" x14ac:dyDescent="0.2">
      <c r="AB238" s="369"/>
      <c r="AC238" s="312"/>
    </row>
    <row r="239" spans="28:29" x14ac:dyDescent="0.2">
      <c r="AB239" s="369"/>
      <c r="AC239" s="312"/>
    </row>
    <row r="240" spans="28:29" x14ac:dyDescent="0.2">
      <c r="AB240" s="369"/>
      <c r="AC240" s="312"/>
    </row>
    <row r="241" spans="28:29" x14ac:dyDescent="0.2">
      <c r="AB241" s="369"/>
      <c r="AC241" s="312"/>
    </row>
    <row r="242" spans="28:29" x14ac:dyDescent="0.2">
      <c r="AB242" s="369"/>
      <c r="AC242" s="312"/>
    </row>
    <row r="243" spans="28:29" x14ac:dyDescent="0.2">
      <c r="AB243" s="369"/>
      <c r="AC243" s="312"/>
    </row>
    <row r="244" spans="28:29" x14ac:dyDescent="0.2">
      <c r="AB244" s="369"/>
      <c r="AC244" s="312"/>
    </row>
    <row r="245" spans="28:29" x14ac:dyDescent="0.2">
      <c r="AB245" s="369"/>
      <c r="AC245" s="312"/>
    </row>
    <row r="246" spans="28:29" x14ac:dyDescent="0.2">
      <c r="AB246" s="369"/>
      <c r="AC246" s="312"/>
    </row>
    <row r="247" spans="28:29" x14ac:dyDescent="0.2">
      <c r="AB247" s="369"/>
      <c r="AC247" s="312"/>
    </row>
    <row r="248" spans="28:29" x14ac:dyDescent="0.2">
      <c r="AB248" s="369"/>
      <c r="AC248" s="312"/>
    </row>
    <row r="249" spans="28:29" x14ac:dyDescent="0.2">
      <c r="AB249" s="369"/>
      <c r="AC249" s="312"/>
    </row>
    <row r="250" spans="28:29" x14ac:dyDescent="0.2">
      <c r="AB250" s="369"/>
      <c r="AC250" s="312"/>
    </row>
    <row r="251" spans="28:29" x14ac:dyDescent="0.2">
      <c r="AB251" s="369"/>
      <c r="AC251" s="312"/>
    </row>
    <row r="252" spans="28:29" x14ac:dyDescent="0.2">
      <c r="AB252" s="369"/>
      <c r="AC252" s="312"/>
    </row>
    <row r="253" spans="28:29" x14ac:dyDescent="0.2">
      <c r="AB253" s="369"/>
      <c r="AC253" s="312"/>
    </row>
    <row r="254" spans="28:29" x14ac:dyDescent="0.2">
      <c r="AB254" s="369"/>
      <c r="AC254" s="312"/>
    </row>
    <row r="255" spans="28:29" x14ac:dyDescent="0.2">
      <c r="AB255" s="369"/>
      <c r="AC255" s="312"/>
    </row>
    <row r="256" spans="28:29" x14ac:dyDescent="0.2">
      <c r="AB256" s="369"/>
      <c r="AC256" s="312"/>
    </row>
    <row r="257" spans="28:29" x14ac:dyDescent="0.2">
      <c r="AB257" s="369"/>
      <c r="AC257" s="312"/>
    </row>
    <row r="258" spans="28:29" x14ac:dyDescent="0.2">
      <c r="AB258" s="369"/>
      <c r="AC258" s="312"/>
    </row>
    <row r="259" spans="28:29" x14ac:dyDescent="0.2">
      <c r="AB259" s="369"/>
      <c r="AC259" s="312"/>
    </row>
    <row r="260" spans="28:29" x14ac:dyDescent="0.2">
      <c r="AB260" s="369"/>
      <c r="AC260" s="312"/>
    </row>
    <row r="261" spans="28:29" x14ac:dyDescent="0.2">
      <c r="AB261" s="369"/>
      <c r="AC261" s="312"/>
    </row>
    <row r="262" spans="28:29" x14ac:dyDescent="0.2">
      <c r="AB262" s="369"/>
      <c r="AC262" s="312"/>
    </row>
    <row r="263" spans="28:29" x14ac:dyDescent="0.2">
      <c r="AB263" s="369"/>
      <c r="AC263" s="312"/>
    </row>
    <row r="264" spans="28:29" x14ac:dyDescent="0.2">
      <c r="AB264" s="369"/>
      <c r="AC264" s="312"/>
    </row>
    <row r="265" spans="28:29" x14ac:dyDescent="0.2">
      <c r="AB265" s="369"/>
      <c r="AC265" s="312"/>
    </row>
    <row r="266" spans="28:29" x14ac:dyDescent="0.2">
      <c r="AB266" s="369"/>
      <c r="AC266" s="312"/>
    </row>
    <row r="267" spans="28:29" x14ac:dyDescent="0.2">
      <c r="AB267" s="369"/>
      <c r="AC267" s="312"/>
    </row>
    <row r="268" spans="28:29" x14ac:dyDescent="0.2">
      <c r="AB268" s="369"/>
      <c r="AC268" s="312"/>
    </row>
    <row r="269" spans="28:29" x14ac:dyDescent="0.2">
      <c r="AB269" s="369"/>
      <c r="AC269" s="312"/>
    </row>
    <row r="270" spans="28:29" x14ac:dyDescent="0.2">
      <c r="AB270" s="369"/>
      <c r="AC270" s="312"/>
    </row>
    <row r="271" spans="28:29" x14ac:dyDescent="0.2">
      <c r="AB271" s="369"/>
      <c r="AC271" s="312"/>
    </row>
    <row r="272" spans="28:29" x14ac:dyDescent="0.2">
      <c r="AB272" s="369"/>
      <c r="AC272" s="312"/>
    </row>
    <row r="273" spans="28:29" x14ac:dyDescent="0.2">
      <c r="AB273" s="369"/>
      <c r="AC273" s="312"/>
    </row>
    <row r="274" spans="28:29" x14ac:dyDescent="0.2">
      <c r="AB274" s="369"/>
      <c r="AC274" s="312"/>
    </row>
    <row r="275" spans="28:29" x14ac:dyDescent="0.2">
      <c r="AB275" s="369"/>
      <c r="AC275" s="312"/>
    </row>
    <row r="276" spans="28:29" x14ac:dyDescent="0.2">
      <c r="AB276" s="369"/>
      <c r="AC276" s="312"/>
    </row>
    <row r="277" spans="28:29" x14ac:dyDescent="0.2">
      <c r="AB277" s="369"/>
      <c r="AC277" s="312"/>
    </row>
    <row r="278" spans="28:29" x14ac:dyDescent="0.2">
      <c r="AB278" s="369"/>
      <c r="AC278" s="312"/>
    </row>
    <row r="279" spans="28:29" x14ac:dyDescent="0.2">
      <c r="AB279" s="369"/>
      <c r="AC279" s="312"/>
    </row>
    <row r="280" spans="28:29" x14ac:dyDescent="0.2">
      <c r="AB280" s="369"/>
      <c r="AC280" s="312"/>
    </row>
    <row r="281" spans="28:29" x14ac:dyDescent="0.2">
      <c r="AB281" s="369"/>
      <c r="AC281" s="312"/>
    </row>
    <row r="282" spans="28:29" x14ac:dyDescent="0.2">
      <c r="AB282" s="369"/>
      <c r="AC282" s="312"/>
    </row>
    <row r="283" spans="28:29" x14ac:dyDescent="0.2">
      <c r="AB283" s="369"/>
      <c r="AC283" s="312"/>
    </row>
    <row r="284" spans="28:29" x14ac:dyDescent="0.2">
      <c r="AB284" s="369"/>
      <c r="AC284" s="312"/>
    </row>
    <row r="285" spans="28:29" x14ac:dyDescent="0.2">
      <c r="AB285" s="369"/>
      <c r="AC285" s="312"/>
    </row>
    <row r="286" spans="28:29" x14ac:dyDescent="0.2">
      <c r="AB286" s="369"/>
      <c r="AC286" s="312"/>
    </row>
    <row r="287" spans="28:29" x14ac:dyDescent="0.2">
      <c r="AB287" s="369"/>
      <c r="AC287" s="312"/>
    </row>
    <row r="288" spans="28:29" x14ac:dyDescent="0.2">
      <c r="AB288" s="369"/>
      <c r="AC288" s="312"/>
    </row>
  </sheetData>
  <dataConsolidate/>
  <phoneticPr fontId="7" type="noConversion"/>
  <pageMargins left="0.74803149606299213" right="0.74803149606299213" top="0.98425196850393704" bottom="0.98425196850393704" header="0.51181102362204722" footer="0.51181102362204722"/>
  <pageSetup scale="75" orientation="portrait" horizontalDpi="20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23931" r:id="rId4" name="Drop Down 27">
              <controlPr defaultSize="0" autoLine="0" autoPict="0">
                <anchor moveWithCells="1">
                  <from>
                    <xdr:col>5</xdr:col>
                    <xdr:colOff>209550</xdr:colOff>
                    <xdr:row>18</xdr:row>
                    <xdr:rowOff>38100</xdr:rowOff>
                  </from>
                  <to>
                    <xdr:col>6</xdr:col>
                    <xdr:colOff>247650</xdr:colOff>
                    <xdr:row>19</xdr:row>
                    <xdr:rowOff>57150</xdr:rowOff>
                  </to>
                </anchor>
              </controlPr>
            </control>
          </mc:Choice>
        </mc:AlternateContent>
        <mc:AlternateContent xmlns:mc="http://schemas.openxmlformats.org/markup-compatibility/2006">
          <mc:Choice Requires="x14">
            <control shapeId="123932" r:id="rId5" name="Drop Down 28">
              <controlPr locked="0" defaultSize="0" autoLine="0" autoPict="0">
                <anchor moveWithCells="1">
                  <from>
                    <xdr:col>5</xdr:col>
                    <xdr:colOff>171450</xdr:colOff>
                    <xdr:row>21</xdr:row>
                    <xdr:rowOff>38100</xdr:rowOff>
                  </from>
                  <to>
                    <xdr:col>7</xdr:col>
                    <xdr:colOff>171450</xdr:colOff>
                    <xdr:row>22</xdr:row>
                    <xdr:rowOff>57150</xdr:rowOff>
                  </to>
                </anchor>
              </controlPr>
            </control>
          </mc:Choice>
        </mc:AlternateContent>
        <mc:AlternateContent xmlns:mc="http://schemas.openxmlformats.org/markup-compatibility/2006">
          <mc:Choice Requires="x14">
            <control shapeId="123936" r:id="rId6" name="Drop Down 32">
              <controlPr defaultSize="0" autoLine="0" autoPict="0">
                <anchor moveWithCells="1">
                  <from>
                    <xdr:col>5</xdr:col>
                    <xdr:colOff>209550</xdr:colOff>
                    <xdr:row>15</xdr:row>
                    <xdr:rowOff>95250</xdr:rowOff>
                  </from>
                  <to>
                    <xdr:col>6</xdr:col>
                    <xdr:colOff>552450</xdr:colOff>
                    <xdr:row>16</xdr:row>
                    <xdr:rowOff>133350</xdr:rowOff>
                  </to>
                </anchor>
              </controlPr>
            </control>
          </mc:Choice>
        </mc:AlternateContent>
        <mc:AlternateContent xmlns:mc="http://schemas.openxmlformats.org/markup-compatibility/2006">
          <mc:Choice Requires="x14">
            <control shapeId="124151" r:id="rId7" name="Drop Down 247">
              <controlPr defaultSize="0" autoLine="0" autoPict="0">
                <anchor moveWithCells="1">
                  <from>
                    <xdr:col>5</xdr:col>
                    <xdr:colOff>114300</xdr:colOff>
                    <xdr:row>4</xdr:row>
                    <xdr:rowOff>95250</xdr:rowOff>
                  </from>
                  <to>
                    <xdr:col>9</xdr:col>
                    <xdr:colOff>438150</xdr:colOff>
                    <xdr:row>5</xdr:row>
                    <xdr:rowOff>133350</xdr:rowOff>
                  </to>
                </anchor>
              </controlPr>
            </control>
          </mc:Choice>
        </mc:AlternateContent>
      </controls>
    </mc:Choice>
  </mc:AlternateContent>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36">
    <pageSetUpPr fitToPage="1"/>
  </sheetPr>
  <dimension ref="A1:AS72"/>
  <sheetViews>
    <sheetView showGridLines="0" zoomScale="110" zoomScaleNormal="110" workbookViewId="0">
      <pane xSplit="2" ySplit="3" topLeftCell="C19" activePane="bottomRight" state="frozen"/>
      <selection pane="topRight"/>
      <selection pane="bottomLeft"/>
      <selection pane="bottomRight" activeCell="N51" sqref="N51"/>
    </sheetView>
  </sheetViews>
  <sheetFormatPr defaultColWidth="9.140625" defaultRowHeight="12.75" x14ac:dyDescent="0.25"/>
  <cols>
    <col min="1" max="1" width="30.7109375" style="58" customWidth="1"/>
    <col min="2" max="2" width="3" style="55" customWidth="1"/>
    <col min="3" max="11" width="9.28515625" style="58" customWidth="1"/>
    <col min="12" max="12" width="9.7109375" style="58" customWidth="1"/>
    <col min="13" max="13" width="9.42578125" style="58" customWidth="1"/>
    <col min="14" max="14" width="9.7109375" style="58" customWidth="1"/>
    <col min="15" max="17" width="9.42578125" style="58" customWidth="1"/>
    <col min="18" max="18" width="9.7109375" style="58" customWidth="1"/>
    <col min="19" max="21" width="9.42578125" style="58" customWidth="1"/>
    <col min="22" max="23" width="9.7109375" style="58" customWidth="1"/>
    <col min="24" max="28" width="9.140625" style="58" customWidth="1"/>
    <col min="29" max="29" width="5" style="2343" customWidth="1"/>
    <col min="30" max="35" width="9.140625" style="2312"/>
    <col min="36" max="16384" width="9.140625" style="58"/>
  </cols>
  <sheetData>
    <row r="1" spans="1:29" ht="13.5" x14ac:dyDescent="0.25">
      <c r="A1" s="92" t="str">
        <f>muni&amp;" - "&amp;TableA17</f>
        <v>KZN226 Mkhambathini - Supporting Table SA17 Borrowing</v>
      </c>
      <c r="B1" s="92"/>
      <c r="C1" s="92"/>
      <c r="D1" s="92"/>
      <c r="E1" s="92"/>
      <c r="F1" s="92"/>
      <c r="G1" s="92"/>
      <c r="H1" s="92"/>
      <c r="I1" s="92"/>
      <c r="J1" s="92"/>
      <c r="K1" s="92"/>
    </row>
    <row r="2" spans="1:29" ht="28.5" customHeight="1" x14ac:dyDescent="0.25">
      <c r="A2" s="1816" t="s">
        <v>707</v>
      </c>
      <c r="B2" s="155" t="str">
        <f>head27</f>
        <v>Ref</v>
      </c>
      <c r="C2" s="837" t="str">
        <f>head1b</f>
        <v>2017/18</v>
      </c>
      <c r="D2" s="837" t="str">
        <f>head1A</f>
        <v>2018/19</v>
      </c>
      <c r="E2" s="683" t="str">
        <f>Head1</f>
        <v>2019/20</v>
      </c>
      <c r="F2" s="2447" t="str">
        <f>Head2</f>
        <v>Current Year 2020/21</v>
      </c>
      <c r="G2" s="2448"/>
      <c r="H2" s="2449"/>
      <c r="I2" s="2450" t="str">
        <f>Head3</f>
        <v>2021/22 Medium Term Revenue &amp; Expenditure Framework</v>
      </c>
      <c r="J2" s="2451"/>
      <c r="K2" s="2452"/>
    </row>
    <row r="3" spans="1:29" ht="25.5" x14ac:dyDescent="0.25">
      <c r="A3" s="156" t="s">
        <v>568</v>
      </c>
      <c r="B3" s="157"/>
      <c r="C3" s="698" t="str">
        <f>Head5</f>
        <v>Audited Outcome</v>
      </c>
      <c r="D3" s="698" t="str">
        <f>Head5</f>
        <v>Audited Outcome</v>
      </c>
      <c r="E3" s="702" t="str">
        <f>Head5</f>
        <v>Audited Outcome</v>
      </c>
      <c r="F3" s="95" t="str">
        <f>Head6</f>
        <v>Original Budget</v>
      </c>
      <c r="G3" s="698" t="str">
        <f>Head7</f>
        <v>Adjusted Budget</v>
      </c>
      <c r="H3" s="94" t="str">
        <f>Head8</f>
        <v>Full Year Forecast</v>
      </c>
      <c r="I3" s="95" t="str">
        <f>Head9</f>
        <v>Budget Year 2021/22</v>
      </c>
      <c r="J3" s="698" t="str">
        <f>Head10</f>
        <v>Budget Year +1 2022/23</v>
      </c>
      <c r="K3" s="94" t="str">
        <f>Head11</f>
        <v>Budget Year +2 2023/24</v>
      </c>
    </row>
    <row r="4" spans="1:29" ht="12.75" customHeight="1" x14ac:dyDescent="0.25">
      <c r="A4" s="96" t="s">
        <v>154</v>
      </c>
      <c r="B4" s="144"/>
      <c r="C4" s="1770"/>
      <c r="D4" s="1770"/>
      <c r="E4" s="79"/>
      <c r="F4" s="1757"/>
      <c r="G4" s="1770"/>
      <c r="H4" s="1756"/>
      <c r="I4" s="1771"/>
      <c r="J4" s="1770"/>
      <c r="K4" s="1756"/>
    </row>
    <row r="5" spans="1:29" ht="12.75" customHeight="1" x14ac:dyDescent="0.25">
      <c r="A5" s="104" t="s">
        <v>2363</v>
      </c>
      <c r="B5" s="144"/>
      <c r="C5" s="1760">
        <f>SUMIFS(Sheet1!S71_PPPYearAmount,Sheet1!S71_SA17Ref,$AC:$AC)</f>
        <v>0</v>
      </c>
      <c r="D5" s="1760">
        <f>SUMIFS(Sheet1!S71_PPYearAmount,Sheet1!S71_SA17Ref,$AC:$AC)</f>
        <v>0</v>
      </c>
      <c r="E5" s="1817">
        <f>SUMIFS(Sheet1!S71_PYearAmount,Sheet1!S71_SA17Ref,$AC:$AC)</f>
        <v>0</v>
      </c>
      <c r="F5" s="1764">
        <f>SUMIFS(Sheet1!S71_OriginalBudAmnt,Sheet1!S71_SA17Ref,$AC:$AC)</f>
        <v>0</v>
      </c>
      <c r="G5" s="1760">
        <f>SUMIFS(Sheet1!S71_AdjustmentBudAmnt,Sheet1!S71_SA17Ref,$AC:$AC)</f>
        <v>0</v>
      </c>
      <c r="H5" s="1818">
        <f>SUMIFS(Sheet1!S71_AdjustmentBudAmnt,Sheet1!S71_SA17Ref,$AC:$AC)</f>
        <v>0</v>
      </c>
      <c r="I5" s="1764">
        <f>SUMIFS(Sheet1!S71_ASBudgetAmount,Sheet1!S71_SA17Ref,$AC:$AC)</f>
        <v>0</v>
      </c>
      <c r="J5" s="1760">
        <f>SUMIFS(Sheet1!S71_OY1BudgetAmount,Sheet1!S71_SA17Ref,$AC:$AC)</f>
        <v>0</v>
      </c>
      <c r="K5" s="1818">
        <f>SUMIFS(Sheet1!S71_OY2BudgetAmount,Sheet1!S71_SA17Ref,$AC:$AC)</f>
        <v>0</v>
      </c>
      <c r="AC5" s="2343">
        <v>5</v>
      </c>
    </row>
    <row r="6" spans="1:29" ht="12.75" customHeight="1" x14ac:dyDescent="0.25">
      <c r="A6" s="104" t="s">
        <v>246</v>
      </c>
      <c r="B6" s="144"/>
      <c r="C6" s="1760">
        <f>SUMIFS(Sheet1!S71_PPPYearAmount,Sheet1!S71_SA17Ref,$AC:$AC)</f>
        <v>0</v>
      </c>
      <c r="D6" s="1760">
        <f>SUMIFS(Sheet1!S71_PPYearAmount,Sheet1!S71_SA17Ref,$AC:$AC)</f>
        <v>0</v>
      </c>
      <c r="E6" s="1817">
        <f>SUMIFS(Sheet1!S71_PYearAmount,Sheet1!S71_SA17Ref,$AC:$AC)</f>
        <v>0</v>
      </c>
      <c r="F6" s="1764">
        <f>SUMIFS(Sheet1!S71_OriginalBudAmnt,Sheet1!S71_SA17Ref,$AC:$AC)</f>
        <v>0</v>
      </c>
      <c r="G6" s="1760">
        <f>SUMIFS(Sheet1!S71_AdjustmentBudAmnt,Sheet1!S71_SA17Ref,$AC:$AC)</f>
        <v>0</v>
      </c>
      <c r="H6" s="1818">
        <f>SUMIFS(Sheet1!S71_AdjustmentBudAmnt,Sheet1!S71_SA17Ref,$AC:$AC)</f>
        <v>0</v>
      </c>
      <c r="I6" s="1764">
        <f>SUMIFS(Sheet1!S71_ASBudgetAmount,Sheet1!S71_SA17Ref,$AC:$AC)</f>
        <v>0</v>
      </c>
      <c r="J6" s="1760">
        <f>SUMIFS(Sheet1!S71_OY1BudgetAmount,Sheet1!S71_SA17Ref,$AC:$AC)</f>
        <v>0</v>
      </c>
      <c r="K6" s="1818">
        <f>SUMIFS(Sheet1!S71_OY2BudgetAmount,Sheet1!S71_SA17Ref,$AC:$AC)</f>
        <v>0</v>
      </c>
      <c r="AC6" s="2343">
        <v>6</v>
      </c>
    </row>
    <row r="7" spans="1:29" ht="12.75" customHeight="1" x14ac:dyDescent="0.25">
      <c r="A7" s="104" t="s">
        <v>84</v>
      </c>
      <c r="B7" s="144"/>
      <c r="C7" s="1760">
        <f>SUMIFS(Sheet1!S71_PPPYearAmount,Sheet1!S71_SA17Ref,$AC:$AC)</f>
        <v>0</v>
      </c>
      <c r="D7" s="1760">
        <f>SUMIFS(Sheet1!S71_PPYearAmount,Sheet1!S71_SA17Ref,$AC:$AC)</f>
        <v>0</v>
      </c>
      <c r="E7" s="1817">
        <f>SUMIFS(Sheet1!S71_PYearAmount,Sheet1!S71_SA17Ref,$AC:$AC)</f>
        <v>0</v>
      </c>
      <c r="F7" s="1764">
        <f>SUMIFS(Sheet1!S71_OriginalBudAmnt,Sheet1!S71_SA17Ref,$AC:$AC)</f>
        <v>0</v>
      </c>
      <c r="G7" s="1760">
        <f>SUMIFS(Sheet1!S71_AdjustmentBudAmnt,Sheet1!S71_SA17Ref,$AC:$AC)</f>
        <v>0</v>
      </c>
      <c r="H7" s="1818">
        <f>SUMIFS(Sheet1!S71_AdjustmentBudAmnt,Sheet1!S71_SA17Ref,$AC:$AC)</f>
        <v>0</v>
      </c>
      <c r="I7" s="1764">
        <f>SUMIFS(Sheet1!S71_ASBudgetAmount,Sheet1!S71_SA17Ref,$AC:$AC)</f>
        <v>0</v>
      </c>
      <c r="J7" s="1760">
        <f>SUMIFS(Sheet1!S71_OY1BudgetAmount,Sheet1!S71_SA17Ref,$AC:$AC)</f>
        <v>0</v>
      </c>
      <c r="K7" s="1818">
        <f>SUMIFS(Sheet1!S71_OY2BudgetAmount,Sheet1!S71_SA17Ref,$AC:$AC)</f>
        <v>0</v>
      </c>
      <c r="AC7" s="2343">
        <v>7</v>
      </c>
    </row>
    <row r="8" spans="1:29" ht="12.75" customHeight="1" x14ac:dyDescent="0.25">
      <c r="A8" s="104" t="s">
        <v>483</v>
      </c>
      <c r="B8" s="144"/>
      <c r="C8" s="1760">
        <f>SUMIFS(Sheet1!S71_PPPYearAmount,Sheet1!S71_SA17Ref,$AC:$AC)</f>
        <v>0</v>
      </c>
      <c r="D8" s="1760">
        <f>SUMIFS(Sheet1!S71_PPYearAmount,Sheet1!S71_SA17Ref,$AC:$AC)</f>
        <v>0</v>
      </c>
      <c r="E8" s="1817">
        <f>SUMIFS(Sheet1!S71_PYearAmount,Sheet1!S71_SA17Ref,$AC:$AC)</f>
        <v>0</v>
      </c>
      <c r="F8" s="1764">
        <f>SUMIFS(Sheet1!S71_OriginalBudAmnt,Sheet1!S71_SA17Ref,$AC:$AC)</f>
        <v>0</v>
      </c>
      <c r="G8" s="1760">
        <f>SUMIFS(Sheet1!S71_AdjustmentBudAmnt,Sheet1!S71_SA17Ref,$AC:$AC)</f>
        <v>0</v>
      </c>
      <c r="H8" s="1818">
        <f>SUMIFS(Sheet1!S71_AdjustmentBudAmnt,Sheet1!S71_SA17Ref,$AC:$AC)</f>
        <v>0</v>
      </c>
      <c r="I8" s="1764">
        <f>SUMIFS(Sheet1!S71_ASBudgetAmount,Sheet1!S71_SA17Ref,$AC:$AC)</f>
        <v>0</v>
      </c>
      <c r="J8" s="1760">
        <f>SUMIFS(Sheet1!S71_OY1BudgetAmount,Sheet1!S71_SA17Ref,$AC:$AC)</f>
        <v>0</v>
      </c>
      <c r="K8" s="1818">
        <f>SUMIFS(Sheet1!S71_OY2BudgetAmount,Sheet1!S71_SA17Ref,$AC:$AC)</f>
        <v>0</v>
      </c>
      <c r="AC8" s="2343">
        <v>8</v>
      </c>
    </row>
    <row r="9" spans="1:29" ht="12.75" customHeight="1" x14ac:dyDescent="0.25">
      <c r="A9" s="104" t="s">
        <v>484</v>
      </c>
      <c r="B9" s="144"/>
      <c r="C9" s="1760">
        <f>SUMIFS(Sheet1!S71_PPPYearAmount,Sheet1!S71_SA17Ref,$AC:$AC)</f>
        <v>0</v>
      </c>
      <c r="D9" s="1760">
        <f>SUMIFS(Sheet1!S71_PPYearAmount,Sheet1!S71_SA17Ref,$AC:$AC)</f>
        <v>0</v>
      </c>
      <c r="E9" s="1817">
        <f>SUMIFS(Sheet1!S71_PYearAmount,Sheet1!S71_SA17Ref,$AC:$AC)</f>
        <v>0</v>
      </c>
      <c r="F9" s="1764">
        <f>SUMIFS(Sheet1!S71_OriginalBudAmnt,Sheet1!S71_SA17Ref,$AC:$AC)</f>
        <v>0</v>
      </c>
      <c r="G9" s="1760">
        <f>SUMIFS(Sheet1!S71_AdjustmentBudAmnt,Sheet1!S71_SA17Ref,$AC:$AC)</f>
        <v>0</v>
      </c>
      <c r="H9" s="1818">
        <f>SUMIFS(Sheet1!S71_AdjustmentBudAmnt,Sheet1!S71_SA17Ref,$AC:$AC)</f>
        <v>0</v>
      </c>
      <c r="I9" s="1764">
        <f>SUMIFS(Sheet1!S71_ASBudgetAmount,Sheet1!S71_SA17Ref,$AC:$AC)</f>
        <v>0</v>
      </c>
      <c r="J9" s="1760">
        <f>SUMIFS(Sheet1!S71_OY1BudgetAmount,Sheet1!S71_SA17Ref,$AC:$AC)</f>
        <v>0</v>
      </c>
      <c r="K9" s="1818">
        <f>SUMIFS(Sheet1!S71_OY2BudgetAmount,Sheet1!S71_SA17Ref,$AC:$AC)</f>
        <v>0</v>
      </c>
      <c r="AC9" s="2343">
        <v>9</v>
      </c>
    </row>
    <row r="10" spans="1:29" ht="12.75" customHeight="1" x14ac:dyDescent="0.25">
      <c r="A10" s="104" t="s">
        <v>668</v>
      </c>
      <c r="B10" s="144"/>
      <c r="C10" s="1760">
        <f>SUMIFS(Sheet1!S71_PPPYearAmount,Sheet1!S71_SA17Ref,$AC:$AC)</f>
        <v>0</v>
      </c>
      <c r="D10" s="1760">
        <f>SUMIFS(Sheet1!S71_PPYearAmount,Sheet1!S71_SA17Ref,$AC:$AC)</f>
        <v>0</v>
      </c>
      <c r="E10" s="1817">
        <f>SUMIFS(Sheet1!S71_PYearAmount,Sheet1!S71_SA17Ref,$AC:$AC)</f>
        <v>0</v>
      </c>
      <c r="F10" s="1764">
        <f>SUMIFS(Sheet1!S71_OriginalBudAmnt,Sheet1!S71_SA17Ref,$AC:$AC)</f>
        <v>0</v>
      </c>
      <c r="G10" s="1760">
        <f>SUMIFS(Sheet1!S71_AdjustmentBudAmnt,Sheet1!S71_SA17Ref,$AC:$AC)</f>
        <v>0</v>
      </c>
      <c r="H10" s="1818">
        <f>SUMIFS(Sheet1!S71_AdjustmentBudAmnt,Sheet1!S71_SA17Ref,$AC:$AC)</f>
        <v>0</v>
      </c>
      <c r="I10" s="1764">
        <f>SUMIFS(Sheet1!S71_ASBudgetAmount,Sheet1!S71_SA17Ref,$AC:$AC)</f>
        <v>0</v>
      </c>
      <c r="J10" s="1760">
        <f>SUMIFS(Sheet1!S71_OY1BudgetAmount,Sheet1!S71_SA17Ref,$AC:$AC)</f>
        <v>0</v>
      </c>
      <c r="K10" s="1818">
        <f>SUMIFS(Sheet1!S71_OY2BudgetAmount,Sheet1!S71_SA17Ref,$AC:$AC)</f>
        <v>0</v>
      </c>
      <c r="AC10" s="2343">
        <v>10</v>
      </c>
    </row>
    <row r="11" spans="1:29" ht="12.75" customHeight="1" x14ac:dyDescent="0.25">
      <c r="A11" s="104" t="s">
        <v>86</v>
      </c>
      <c r="B11" s="144"/>
      <c r="C11" s="1760">
        <f>SUMIFS(Sheet1!S71_PPPYearAmount,Sheet1!S71_SA17Ref,$AC:$AC)</f>
        <v>0</v>
      </c>
      <c r="D11" s="1760">
        <f>SUMIFS(Sheet1!S71_PPYearAmount,Sheet1!S71_SA17Ref,$AC:$AC)</f>
        <v>0</v>
      </c>
      <c r="E11" s="1817">
        <f>SUMIFS(Sheet1!S71_PYearAmount,Sheet1!S71_SA17Ref,$AC:$AC)</f>
        <v>0</v>
      </c>
      <c r="F11" s="1764">
        <f>SUMIFS(Sheet1!S71_OriginalBudAmnt,Sheet1!S71_SA17Ref,$AC:$AC)</f>
        <v>0</v>
      </c>
      <c r="G11" s="1760">
        <f>SUMIFS(Sheet1!S71_AdjustmentBudAmnt,Sheet1!S71_SA17Ref,$AC:$AC)</f>
        <v>0</v>
      </c>
      <c r="H11" s="1818">
        <f>SUMIFS(Sheet1!S71_AdjustmentBudAmnt,Sheet1!S71_SA17Ref,$AC:$AC)</f>
        <v>0</v>
      </c>
      <c r="I11" s="1764">
        <f>SUMIFS(Sheet1!S71_ASBudgetAmount,Sheet1!S71_SA17Ref,$AC:$AC)</f>
        <v>0</v>
      </c>
      <c r="J11" s="1760">
        <f>SUMIFS(Sheet1!S71_OY1BudgetAmount,Sheet1!S71_SA17Ref,$AC:$AC)</f>
        <v>0</v>
      </c>
      <c r="K11" s="1818">
        <f>SUMIFS(Sheet1!S71_OY2BudgetAmount,Sheet1!S71_SA17Ref,$AC:$AC)</f>
        <v>0</v>
      </c>
      <c r="AC11" s="2343">
        <v>11</v>
      </c>
    </row>
    <row r="12" spans="1:29" ht="12.75" customHeight="1" x14ac:dyDescent="0.25">
      <c r="A12" s="104" t="s">
        <v>87</v>
      </c>
      <c r="B12" s="144"/>
      <c r="C12" s="1760">
        <f>SUMIFS(Sheet1!S71_PPPYearAmount,Sheet1!S71_SA17Ref,$AC:$AC)</f>
        <v>0</v>
      </c>
      <c r="D12" s="1760">
        <f>SUMIFS(Sheet1!S71_PPYearAmount,Sheet1!S71_SA17Ref,$AC:$AC)</f>
        <v>0</v>
      </c>
      <c r="E12" s="1817">
        <f>SUMIFS(Sheet1!S71_PYearAmount,Sheet1!S71_SA17Ref,$AC:$AC)</f>
        <v>0</v>
      </c>
      <c r="F12" s="1764">
        <f>SUMIFS(Sheet1!S71_OriginalBudAmnt,Sheet1!S71_SA17Ref,$AC:$AC)</f>
        <v>0</v>
      </c>
      <c r="G12" s="1760">
        <f>SUMIFS(Sheet1!S71_AdjustmentBudAmnt,Sheet1!S71_SA17Ref,$AC:$AC)</f>
        <v>0</v>
      </c>
      <c r="H12" s="1818">
        <f>SUMIFS(Sheet1!S71_AdjustmentBudAmnt,Sheet1!S71_SA17Ref,$AC:$AC)</f>
        <v>0</v>
      </c>
      <c r="I12" s="1764">
        <f>SUMIFS(Sheet1!S71_ASBudgetAmount,Sheet1!S71_SA17Ref,$AC:$AC)</f>
        <v>0</v>
      </c>
      <c r="J12" s="1760">
        <f>SUMIFS(Sheet1!S71_OY1BudgetAmount,Sheet1!S71_SA17Ref,$AC:$AC)</f>
        <v>0</v>
      </c>
      <c r="K12" s="1818">
        <f>SUMIFS(Sheet1!S71_OY2BudgetAmount,Sheet1!S71_SA17Ref,$AC:$AC)</f>
        <v>0</v>
      </c>
      <c r="AC12" s="2343">
        <v>12</v>
      </c>
    </row>
    <row r="13" spans="1:29" ht="12.75" customHeight="1" x14ac:dyDescent="0.25">
      <c r="A13" s="104" t="s">
        <v>88</v>
      </c>
      <c r="B13" s="144"/>
      <c r="C13" s="1760">
        <f>SUMIFS(Sheet1!S71_PPPYearAmount,Sheet1!S71_SA17Ref,$AC:$AC)</f>
        <v>0</v>
      </c>
      <c r="D13" s="1760">
        <f>SUMIFS(Sheet1!S71_PPYearAmount,Sheet1!S71_SA17Ref,$AC:$AC)</f>
        <v>0</v>
      </c>
      <c r="E13" s="1817">
        <f>SUMIFS(Sheet1!S71_PYearAmount,Sheet1!S71_SA17Ref,$AC:$AC)</f>
        <v>0</v>
      </c>
      <c r="F13" s="1764">
        <f>SUMIFS(Sheet1!S71_OriginalBudAmnt,Sheet1!S71_SA17Ref,$AC:$AC)</f>
        <v>0</v>
      </c>
      <c r="G13" s="1760">
        <f>SUMIFS(Sheet1!S71_AdjustmentBudAmnt,Sheet1!S71_SA17Ref,$AC:$AC)</f>
        <v>0</v>
      </c>
      <c r="H13" s="1818">
        <f>SUMIFS(Sheet1!S71_AdjustmentBudAmnt,Sheet1!S71_SA17Ref,$AC:$AC)</f>
        <v>0</v>
      </c>
      <c r="I13" s="1764">
        <f>SUMIFS(Sheet1!S71_ASBudgetAmount,Sheet1!S71_SA17Ref,$AC:$AC)</f>
        <v>0</v>
      </c>
      <c r="J13" s="1760">
        <f>SUMIFS(Sheet1!S71_OY1BudgetAmount,Sheet1!S71_SA17Ref,$AC:$AC)</f>
        <v>0</v>
      </c>
      <c r="K13" s="1818">
        <f>SUMIFS(Sheet1!S71_OY2BudgetAmount,Sheet1!S71_SA17Ref,$AC:$AC)</f>
        <v>0</v>
      </c>
      <c r="AC13" s="2343">
        <v>13</v>
      </c>
    </row>
    <row r="14" spans="1:29" ht="12.75" customHeight="1" x14ac:dyDescent="0.25">
      <c r="A14" s="104" t="s">
        <v>89</v>
      </c>
      <c r="B14" s="144"/>
      <c r="C14" s="1760">
        <f>SUMIFS(Sheet1!S71_PPPYearAmount,Sheet1!S71_SA17Ref,$AC:$AC)</f>
        <v>0</v>
      </c>
      <c r="D14" s="1760">
        <f>SUMIFS(Sheet1!S71_PPYearAmount,Sheet1!S71_SA17Ref,$AC:$AC)</f>
        <v>0</v>
      </c>
      <c r="E14" s="1817">
        <f>SUMIFS(Sheet1!S71_PYearAmount,Sheet1!S71_SA17Ref,$AC:$AC)</f>
        <v>0</v>
      </c>
      <c r="F14" s="1764">
        <f>SUMIFS(Sheet1!S71_OriginalBudAmnt,Sheet1!S71_SA17Ref,$AC:$AC)</f>
        <v>0</v>
      </c>
      <c r="G14" s="1760">
        <f>SUMIFS(Sheet1!S71_AdjustmentBudAmnt,Sheet1!S71_SA17Ref,$AC:$AC)</f>
        <v>0</v>
      </c>
      <c r="H14" s="1818">
        <f>SUMIFS(Sheet1!S71_AdjustmentBudAmnt,Sheet1!S71_SA17Ref,$AC:$AC)</f>
        <v>0</v>
      </c>
      <c r="I14" s="1764">
        <f>SUMIFS(Sheet1!S71_ASBudgetAmount,Sheet1!S71_SA17Ref,$AC:$AC)</f>
        <v>0</v>
      </c>
      <c r="J14" s="1760">
        <f>SUMIFS(Sheet1!S71_OY1BudgetAmount,Sheet1!S71_SA17Ref,$AC:$AC)</f>
        <v>0</v>
      </c>
      <c r="K14" s="1818">
        <f>SUMIFS(Sheet1!S71_OY2BudgetAmount,Sheet1!S71_SA17Ref,$AC:$AC)</f>
        <v>0</v>
      </c>
      <c r="AC14" s="2343">
        <v>14</v>
      </c>
    </row>
    <row r="15" spans="1:29" ht="12.75" customHeight="1" x14ac:dyDescent="0.25">
      <c r="A15" s="104" t="s">
        <v>669</v>
      </c>
      <c r="B15" s="144"/>
      <c r="C15" s="1760">
        <f>SUMIFS(Sheet1!S71_PPPYearAmount,Sheet1!S71_SA17Ref,$AC:$AC)</f>
        <v>0</v>
      </c>
      <c r="D15" s="1760">
        <f>SUMIFS(Sheet1!S71_PPYearAmount,Sheet1!S71_SA17Ref,$AC:$AC)</f>
        <v>0</v>
      </c>
      <c r="E15" s="1817">
        <f>SUMIFS(Sheet1!S71_PYearAmount,Sheet1!S71_SA17Ref,$AC:$AC)</f>
        <v>0</v>
      </c>
      <c r="F15" s="1764">
        <f>SUMIFS(Sheet1!S71_OriginalBudAmnt,Sheet1!S71_SA17Ref,$AC:$AC)</f>
        <v>0</v>
      </c>
      <c r="G15" s="1760">
        <f>SUMIFS(Sheet1!S71_AdjustmentBudAmnt,Sheet1!S71_SA17Ref,$AC:$AC)</f>
        <v>0</v>
      </c>
      <c r="H15" s="1818">
        <f>SUMIFS(Sheet1!S71_AdjustmentBudAmnt,Sheet1!S71_SA17Ref,$AC:$AC)</f>
        <v>0</v>
      </c>
      <c r="I15" s="1764">
        <f>SUMIFS(Sheet1!S71_ASBudgetAmount,Sheet1!S71_SA17Ref,$AC:$AC)</f>
        <v>0</v>
      </c>
      <c r="J15" s="1760">
        <f>SUMIFS(Sheet1!S71_OY1BudgetAmount,Sheet1!S71_SA17Ref,$AC:$AC)</f>
        <v>0</v>
      </c>
      <c r="K15" s="1818">
        <f>SUMIFS(Sheet1!S71_OY2BudgetAmount,Sheet1!S71_SA17Ref,$AC:$AC)</f>
        <v>0</v>
      </c>
      <c r="AC15" s="2343">
        <v>15</v>
      </c>
    </row>
    <row r="16" spans="1:29" ht="12.75" customHeight="1" x14ac:dyDescent="0.25">
      <c r="A16" s="104" t="s">
        <v>90</v>
      </c>
      <c r="B16" s="144"/>
      <c r="C16" s="1760">
        <f>SUMIFS(Sheet1!S71_PPPYearAmount,Sheet1!S71_SA17Ref,$AC:$AC)</f>
        <v>0</v>
      </c>
      <c r="D16" s="1760">
        <f>SUMIFS(Sheet1!S71_PPYearAmount,Sheet1!S71_SA17Ref,$AC:$AC)</f>
        <v>0</v>
      </c>
      <c r="E16" s="1817">
        <f>SUMIFS(Sheet1!S71_PYearAmount,Sheet1!S71_SA17Ref,$AC:$AC)</f>
        <v>0</v>
      </c>
      <c r="F16" s="1764">
        <f>SUMIFS(Sheet1!S71_OriginalBudAmnt,Sheet1!S71_SA17Ref,$AC:$AC)</f>
        <v>0</v>
      </c>
      <c r="G16" s="1760">
        <f>SUMIFS(Sheet1!S71_AdjustmentBudAmnt,Sheet1!S71_SA17Ref,$AC:$AC)</f>
        <v>0</v>
      </c>
      <c r="H16" s="1818">
        <f>SUMIFS(Sheet1!S71_AdjustmentBudAmnt,Sheet1!S71_SA17Ref,$AC:$AC)</f>
        <v>0</v>
      </c>
      <c r="I16" s="1764">
        <f>SUMIFS(Sheet1!S71_ASBudgetAmount,Sheet1!S71_SA17Ref,$AC:$AC)</f>
        <v>0</v>
      </c>
      <c r="J16" s="1760">
        <f>SUMIFS(Sheet1!S71_OY1BudgetAmount,Sheet1!S71_SA17Ref,$AC:$AC)</f>
        <v>0</v>
      </c>
      <c r="K16" s="1818">
        <f>SUMIFS(Sheet1!S71_OY2BudgetAmount,Sheet1!S71_SA17Ref,$AC:$AC)</f>
        <v>0</v>
      </c>
      <c r="AC16" s="2343">
        <v>16</v>
      </c>
    </row>
    <row r="17" spans="1:11" ht="12.75" customHeight="1" x14ac:dyDescent="0.25">
      <c r="A17" s="145" t="s">
        <v>153</v>
      </c>
      <c r="B17" s="144">
        <v>1</v>
      </c>
      <c r="C17" s="1765">
        <f>SUM(C5:C16)</f>
        <v>0</v>
      </c>
      <c r="D17" s="1765">
        <f t="shared" ref="D17:K17" si="0">SUM(D5:D16)</f>
        <v>0</v>
      </c>
      <c r="E17" s="1768">
        <f t="shared" si="0"/>
        <v>0</v>
      </c>
      <c r="F17" s="1767">
        <f t="shared" si="0"/>
        <v>0</v>
      </c>
      <c r="G17" s="1765">
        <f t="shared" si="0"/>
        <v>0</v>
      </c>
      <c r="H17" s="1766">
        <f t="shared" si="0"/>
        <v>0</v>
      </c>
      <c r="I17" s="1769">
        <f t="shared" si="0"/>
        <v>0</v>
      </c>
      <c r="J17" s="1765">
        <f t="shared" si="0"/>
        <v>0</v>
      </c>
      <c r="K17" s="1766">
        <f t="shared" si="0"/>
        <v>0</v>
      </c>
    </row>
    <row r="18" spans="1:11" ht="12.75" customHeight="1" x14ac:dyDescent="0.25">
      <c r="A18" s="145"/>
      <c r="B18" s="144"/>
      <c r="C18" s="1808"/>
      <c r="D18" s="1808"/>
      <c r="E18" s="1819"/>
      <c r="F18" s="1820"/>
      <c r="G18" s="1808"/>
      <c r="H18" s="1821"/>
      <c r="I18" s="1806"/>
      <c r="J18" s="1808"/>
      <c r="K18" s="1821"/>
    </row>
    <row r="19" spans="1:11" ht="12.75" customHeight="1" x14ac:dyDescent="0.25">
      <c r="A19" s="96" t="s">
        <v>580</v>
      </c>
      <c r="B19" s="144"/>
      <c r="C19" s="1770"/>
      <c r="D19" s="1770"/>
      <c r="E19" s="1758"/>
      <c r="F19" s="1757"/>
      <c r="G19" s="1770"/>
      <c r="H19" s="1756"/>
      <c r="I19" s="1771"/>
      <c r="J19" s="1770"/>
      <c r="K19" s="1756"/>
    </row>
    <row r="20" spans="1:11" ht="12.75" customHeight="1" x14ac:dyDescent="0.25">
      <c r="A20" s="104" t="str">
        <f t="shared" ref="A20:A31" si="1">A5</f>
        <v>Annuity and Bullet Loans</v>
      </c>
      <c r="B20" s="144"/>
      <c r="C20" s="1760"/>
      <c r="D20" s="1760"/>
      <c r="E20" s="1817"/>
      <c r="F20" s="1764"/>
      <c r="G20" s="1760"/>
      <c r="H20" s="1818"/>
      <c r="I20" s="1764"/>
      <c r="J20" s="1760"/>
      <c r="K20" s="1818"/>
    </row>
    <row r="21" spans="1:11" ht="12.75" customHeight="1" x14ac:dyDescent="0.25">
      <c r="A21" s="104" t="str">
        <f t="shared" si="1"/>
        <v>Long-Term Loans (non-annuity)</v>
      </c>
      <c r="B21" s="144"/>
      <c r="C21" s="1760"/>
      <c r="D21" s="1760"/>
      <c r="E21" s="1817"/>
      <c r="F21" s="1764"/>
      <c r="G21" s="1760"/>
      <c r="H21" s="1818"/>
      <c r="I21" s="1764"/>
      <c r="J21" s="1760"/>
      <c r="K21" s="1818"/>
    </row>
    <row r="22" spans="1:11" ht="12.75" customHeight="1" x14ac:dyDescent="0.25">
      <c r="A22" s="104" t="str">
        <f t="shared" si="1"/>
        <v>Local registered stock</v>
      </c>
      <c r="B22" s="144"/>
      <c r="C22" s="1760"/>
      <c r="D22" s="1760"/>
      <c r="E22" s="1817"/>
      <c r="F22" s="1764"/>
      <c r="G22" s="1760"/>
      <c r="H22" s="1818"/>
      <c r="I22" s="1764"/>
      <c r="J22" s="1760"/>
      <c r="K22" s="1818"/>
    </row>
    <row r="23" spans="1:11" ht="12.75" customHeight="1" x14ac:dyDescent="0.25">
      <c r="A23" s="104" t="str">
        <f t="shared" si="1"/>
        <v>Instalment Credit</v>
      </c>
      <c r="B23" s="144"/>
      <c r="C23" s="1760"/>
      <c r="D23" s="1760"/>
      <c r="E23" s="1817"/>
      <c r="F23" s="1764"/>
      <c r="G23" s="1760"/>
      <c r="H23" s="1818"/>
      <c r="I23" s="1764"/>
      <c r="J23" s="1760"/>
      <c r="K23" s="1818"/>
    </row>
    <row r="24" spans="1:11" ht="12.75" customHeight="1" x14ac:dyDescent="0.25">
      <c r="A24" s="104" t="str">
        <f t="shared" si="1"/>
        <v>Financial Leases</v>
      </c>
      <c r="B24" s="144"/>
      <c r="C24" s="1760"/>
      <c r="D24" s="1760"/>
      <c r="E24" s="1817"/>
      <c r="F24" s="1764"/>
      <c r="G24" s="1760"/>
      <c r="H24" s="1818"/>
      <c r="I24" s="1764"/>
      <c r="J24" s="1760"/>
      <c r="K24" s="1818"/>
    </row>
    <row r="25" spans="1:11" ht="12.75" customHeight="1" x14ac:dyDescent="0.25">
      <c r="A25" s="104" t="str">
        <f t="shared" si="1"/>
        <v>PPP liabilities</v>
      </c>
      <c r="B25" s="144"/>
      <c r="C25" s="1760"/>
      <c r="D25" s="1760"/>
      <c r="E25" s="1817"/>
      <c r="F25" s="1764"/>
      <c r="G25" s="1760"/>
      <c r="H25" s="1818"/>
      <c r="I25" s="1764"/>
      <c r="J25" s="1760"/>
      <c r="K25" s="1818"/>
    </row>
    <row r="26" spans="1:11" ht="12.75" customHeight="1" x14ac:dyDescent="0.25">
      <c r="A26" s="104" t="str">
        <f t="shared" si="1"/>
        <v>Finance Granted By Cap Equipment Supplier</v>
      </c>
      <c r="B26" s="144"/>
      <c r="C26" s="1760"/>
      <c r="D26" s="1760"/>
      <c r="E26" s="1817"/>
      <c r="F26" s="1764"/>
      <c r="G26" s="1760"/>
      <c r="H26" s="1818"/>
      <c r="I26" s="1764"/>
      <c r="J26" s="1760"/>
      <c r="K26" s="1818"/>
    </row>
    <row r="27" spans="1:11" ht="12.75" customHeight="1" x14ac:dyDescent="0.25">
      <c r="A27" s="104" t="str">
        <f t="shared" si="1"/>
        <v>Marketable Bonds</v>
      </c>
      <c r="B27" s="144"/>
      <c r="C27" s="1760"/>
      <c r="D27" s="1760"/>
      <c r="E27" s="1817"/>
      <c r="F27" s="1764"/>
      <c r="G27" s="1760"/>
      <c r="H27" s="1818"/>
      <c r="I27" s="1764"/>
      <c r="J27" s="1760"/>
      <c r="K27" s="1818"/>
    </row>
    <row r="28" spans="1:11" ht="12.75" customHeight="1" x14ac:dyDescent="0.25">
      <c r="A28" s="104" t="str">
        <f t="shared" si="1"/>
        <v>Non-Marketable Bonds</v>
      </c>
      <c r="B28" s="144"/>
      <c r="C28" s="1760"/>
      <c r="D28" s="1760"/>
      <c r="E28" s="1817"/>
      <c r="F28" s="1764"/>
      <c r="G28" s="1760"/>
      <c r="H28" s="1818"/>
      <c r="I28" s="1764"/>
      <c r="J28" s="1760"/>
      <c r="K28" s="1818"/>
    </row>
    <row r="29" spans="1:11" ht="12.75" customHeight="1" x14ac:dyDescent="0.25">
      <c r="A29" s="104" t="str">
        <f t="shared" si="1"/>
        <v>Bankers Acceptances</v>
      </c>
      <c r="B29" s="144"/>
      <c r="C29" s="1760"/>
      <c r="D29" s="1760"/>
      <c r="E29" s="1817"/>
      <c r="F29" s="1764"/>
      <c r="G29" s="1760"/>
      <c r="H29" s="1818"/>
      <c r="I29" s="1764"/>
      <c r="J29" s="1760"/>
      <c r="K29" s="1818"/>
    </row>
    <row r="30" spans="1:11" ht="12.75" customHeight="1" x14ac:dyDescent="0.25">
      <c r="A30" s="104" t="str">
        <f t="shared" si="1"/>
        <v>Financial derivatives</v>
      </c>
      <c r="B30" s="144"/>
      <c r="C30" s="1760"/>
      <c r="D30" s="1760"/>
      <c r="E30" s="1817"/>
      <c r="F30" s="1764"/>
      <c r="G30" s="1760"/>
      <c r="H30" s="1818"/>
      <c r="I30" s="1764"/>
      <c r="J30" s="1760"/>
      <c r="K30" s="1818"/>
    </row>
    <row r="31" spans="1:11" ht="12.75" customHeight="1" x14ac:dyDescent="0.25">
      <c r="A31" s="104" t="str">
        <f t="shared" si="1"/>
        <v>Other Securities</v>
      </c>
      <c r="B31" s="144"/>
      <c r="C31" s="1760"/>
      <c r="D31" s="1760"/>
      <c r="E31" s="1817"/>
      <c r="F31" s="1764"/>
      <c r="G31" s="1760"/>
      <c r="H31" s="1818"/>
      <c r="I31" s="1764"/>
      <c r="J31" s="1760"/>
      <c r="K31" s="1818"/>
    </row>
    <row r="32" spans="1:11" ht="12.75" customHeight="1" x14ac:dyDescent="0.25">
      <c r="A32" s="145" t="s">
        <v>152</v>
      </c>
      <c r="B32" s="144">
        <v>1</v>
      </c>
      <c r="C32" s="1765">
        <f>SUM(C20:C31)</f>
        <v>0</v>
      </c>
      <c r="D32" s="1765">
        <f t="shared" ref="D32:K32" si="2">SUM(D20:D31)</f>
        <v>0</v>
      </c>
      <c r="E32" s="1768">
        <f t="shared" si="2"/>
        <v>0</v>
      </c>
      <c r="F32" s="1767">
        <f t="shared" si="2"/>
        <v>0</v>
      </c>
      <c r="G32" s="1765">
        <f t="shared" si="2"/>
        <v>0</v>
      </c>
      <c r="H32" s="1766">
        <f t="shared" si="2"/>
        <v>0</v>
      </c>
      <c r="I32" s="1769">
        <f t="shared" si="2"/>
        <v>0</v>
      </c>
      <c r="J32" s="1765">
        <f t="shared" si="2"/>
        <v>0</v>
      </c>
      <c r="K32" s="1766">
        <f t="shared" si="2"/>
        <v>0</v>
      </c>
    </row>
    <row r="33" spans="1:45" ht="12.75" customHeight="1" x14ac:dyDescent="0.25">
      <c r="A33" s="116"/>
      <c r="B33" s="144"/>
      <c r="C33" s="1770"/>
      <c r="D33" s="1770"/>
      <c r="E33" s="1758"/>
      <c r="F33" s="1757"/>
      <c r="G33" s="1770"/>
      <c r="H33" s="1756"/>
      <c r="I33" s="1771"/>
      <c r="J33" s="1770"/>
      <c r="K33" s="1756"/>
    </row>
    <row r="34" spans="1:45" ht="12.75" customHeight="1" x14ac:dyDescent="0.25">
      <c r="A34" s="147" t="s">
        <v>1188</v>
      </c>
      <c r="B34" s="148">
        <v>1</v>
      </c>
      <c r="C34" s="1778">
        <f>C17+C32</f>
        <v>0</v>
      </c>
      <c r="D34" s="1778">
        <f t="shared" ref="D34:K34" si="3">D17+D32</f>
        <v>0</v>
      </c>
      <c r="E34" s="1781">
        <f t="shared" si="3"/>
        <v>0</v>
      </c>
      <c r="F34" s="1780">
        <f t="shared" si="3"/>
        <v>0</v>
      </c>
      <c r="G34" s="1778">
        <f t="shared" si="3"/>
        <v>0</v>
      </c>
      <c r="H34" s="1779">
        <f t="shared" si="3"/>
        <v>0</v>
      </c>
      <c r="I34" s="1782">
        <f t="shared" si="3"/>
        <v>0</v>
      </c>
      <c r="J34" s="1778">
        <f t="shared" si="3"/>
        <v>0</v>
      </c>
      <c r="K34" s="1779">
        <f t="shared" si="3"/>
        <v>0</v>
      </c>
    </row>
    <row r="35" spans="1:45" ht="12.75" customHeight="1" x14ac:dyDescent="0.25">
      <c r="A35" s="1822"/>
      <c r="B35" s="1679"/>
      <c r="C35" s="1819"/>
      <c r="D35" s="1819"/>
      <c r="E35" s="1819"/>
      <c r="F35" s="1820"/>
      <c r="G35" s="1819"/>
      <c r="H35" s="1821"/>
      <c r="I35" s="1819"/>
      <c r="J35" s="1819"/>
      <c r="K35" s="1819"/>
    </row>
    <row r="36" spans="1:45" ht="18.75" customHeight="1" x14ac:dyDescent="0.25">
      <c r="A36" s="1816" t="s">
        <v>1930</v>
      </c>
      <c r="B36" s="155"/>
      <c r="C36" s="697"/>
      <c r="D36" s="697"/>
      <c r="E36" s="1823"/>
      <c r="F36" s="1824"/>
      <c r="G36" s="155"/>
      <c r="H36" s="1825"/>
      <c r="I36" s="1826"/>
      <c r="J36" s="1827"/>
      <c r="K36" s="1828"/>
      <c r="L36" s="220"/>
      <c r="M36" s="220"/>
      <c r="N36" s="220"/>
    </row>
    <row r="37" spans="1:45" ht="12.75" customHeight="1" x14ac:dyDescent="0.25">
      <c r="A37" s="96" t="s">
        <v>154</v>
      </c>
      <c r="B37" s="144"/>
      <c r="C37" s="1770"/>
      <c r="D37" s="1770"/>
      <c r="E37" s="79"/>
      <c r="F37" s="1771"/>
      <c r="G37" s="1770"/>
      <c r="H37" s="1805"/>
      <c r="I37" s="1804"/>
      <c r="J37" s="1770"/>
      <c r="K37" s="1805"/>
    </row>
    <row r="38" spans="1:45" ht="11.25" customHeight="1" x14ac:dyDescent="0.25">
      <c r="A38" s="104" t="s">
        <v>83</v>
      </c>
      <c r="B38" s="144"/>
      <c r="C38" s="1760">
        <f>SUMIFS(Sheet1!S71_PPPYearAmount,Sheet1!S71_SA17Ref,$AC:$AC)</f>
        <v>0</v>
      </c>
      <c r="D38" s="1760">
        <f>SUMIFS(Sheet1!S71_PPYearAmount,Sheet1!S71_SA17Ref,$AC:$AC)</f>
        <v>0</v>
      </c>
      <c r="E38" s="1817">
        <f>SUMIFS(Sheet1!S71_PYearAmount,Sheet1!S71_SA17Ref,$AC:$AC)</f>
        <v>0</v>
      </c>
      <c r="F38" s="1764">
        <f>SUMIFS(Sheet1!S71_OriginalBudAmnt,Sheet1!S71_SA17Ref,$AC:$AC)</f>
        <v>0</v>
      </c>
      <c r="G38" s="1760">
        <f>SUMIFS(Sheet1!S71_AdjustmentBudAmnt,Sheet1!S71_SA17Ref,$AC:$AC)</f>
        <v>0</v>
      </c>
      <c r="H38" s="1818">
        <f>SUMIFS(Sheet1!S71_AdjustmentBudAmnt,Sheet1!S71_SA17Ref,$AC:$AC)</f>
        <v>0</v>
      </c>
      <c r="I38" s="1764">
        <f>SUMIFS(Sheet1!S71_ASBudgetAmount,Sheet1!S71_SA17Ref,$AC:$AC)</f>
        <v>0</v>
      </c>
      <c r="J38" s="1760">
        <f>SUMIFS(Sheet1!S71_OY1BudgetAmount,Sheet1!S71_SA17Ref,$AC:$AC)</f>
        <v>0</v>
      </c>
      <c r="K38" s="1818">
        <f>SUMIFS(Sheet1!S71_OY2BudgetAmount,Sheet1!S71_SA17Ref,$AC:$AC)</f>
        <v>0</v>
      </c>
      <c r="L38" s="322"/>
      <c r="AC38" s="2343">
        <v>38</v>
      </c>
    </row>
    <row r="39" spans="1:45" ht="11.25" customHeight="1" x14ac:dyDescent="0.25">
      <c r="A39" s="104" t="s">
        <v>246</v>
      </c>
      <c r="B39" s="144"/>
      <c r="C39" s="1760">
        <f>SUMIFS(Sheet1!S71_PPPYearAmount,Sheet1!S71_SA17Ref,$AC:$AC)</f>
        <v>0</v>
      </c>
      <c r="D39" s="1760">
        <f>SUMIFS(Sheet1!S71_PPYearAmount,Sheet1!S71_SA17Ref,$AC:$AC)</f>
        <v>0</v>
      </c>
      <c r="E39" s="1817">
        <f>SUMIFS(Sheet1!S71_PYearAmount,Sheet1!S71_SA17Ref,$AC:$AC)</f>
        <v>0</v>
      </c>
      <c r="F39" s="1764">
        <f>SUMIFS(Sheet1!S71_OriginalBudAmnt,Sheet1!S71_SA17Ref,$AC:$AC)</f>
        <v>0</v>
      </c>
      <c r="G39" s="1760">
        <f>SUMIFS(Sheet1!S71_AdjustmentBudAmnt,Sheet1!S71_SA17Ref,$AC:$AC)</f>
        <v>0</v>
      </c>
      <c r="H39" s="1818">
        <f>SUMIFS(Sheet1!S71_AdjustmentBudAmnt,Sheet1!S71_SA17Ref,$AC:$AC)</f>
        <v>0</v>
      </c>
      <c r="I39" s="1764">
        <f>SUMIFS(Sheet1!S71_ASBudgetAmount,Sheet1!S71_SA17Ref,$AC:$AC)</f>
        <v>0</v>
      </c>
      <c r="J39" s="1760">
        <f>SUMIFS(Sheet1!S71_OY1BudgetAmount,Sheet1!S71_SA17Ref,$AC:$AC)</f>
        <v>0</v>
      </c>
      <c r="K39" s="1818">
        <f>SUMIFS(Sheet1!S71_OY2BudgetAmount,Sheet1!S71_SA17Ref,$AC:$AC)</f>
        <v>0</v>
      </c>
      <c r="AC39" s="2343">
        <v>39</v>
      </c>
    </row>
    <row r="40" spans="1:45" ht="11.25" customHeight="1" x14ac:dyDescent="0.25">
      <c r="A40" s="104" t="s">
        <v>84</v>
      </c>
      <c r="B40" s="144"/>
      <c r="C40" s="1760">
        <f>SUMIFS(Sheet1!S71_PPPYearAmount,Sheet1!S71_SA17Ref,$AC:$AC)</f>
        <v>0</v>
      </c>
      <c r="D40" s="1760">
        <f>SUMIFS(Sheet1!S71_PPYearAmount,Sheet1!S71_SA17Ref,$AC:$AC)</f>
        <v>0</v>
      </c>
      <c r="E40" s="1817">
        <f>SUMIFS(Sheet1!S71_PYearAmount,Sheet1!S71_SA17Ref,$AC:$AC)</f>
        <v>0</v>
      </c>
      <c r="F40" s="1764">
        <f>SUMIFS(Sheet1!S71_OriginalBudAmnt,Sheet1!S71_SA17Ref,$AC:$AC)</f>
        <v>0</v>
      </c>
      <c r="G40" s="1760">
        <f>SUMIFS(Sheet1!S71_AdjustmentBudAmnt,Sheet1!S71_SA17Ref,$AC:$AC)</f>
        <v>0</v>
      </c>
      <c r="H40" s="1818">
        <f>SUMIFS(Sheet1!S71_AdjustmentBudAmnt,Sheet1!S71_SA17Ref,$AC:$AC)</f>
        <v>0</v>
      </c>
      <c r="I40" s="1764">
        <f>SUMIFS(Sheet1!S71_ASBudgetAmount,Sheet1!S71_SA17Ref,$AC:$AC)</f>
        <v>0</v>
      </c>
      <c r="J40" s="1760">
        <f>SUMIFS(Sheet1!S71_OY1BudgetAmount,Sheet1!S71_SA17Ref,$AC:$AC)</f>
        <v>0</v>
      </c>
      <c r="K40" s="1818">
        <f>SUMIFS(Sheet1!S71_OY2BudgetAmount,Sheet1!S71_SA17Ref,$AC:$AC)</f>
        <v>0</v>
      </c>
      <c r="AC40" s="2343">
        <v>40</v>
      </c>
    </row>
    <row r="41" spans="1:45" ht="11.25" customHeight="1" x14ac:dyDescent="0.25">
      <c r="A41" s="104" t="s">
        <v>483</v>
      </c>
      <c r="B41" s="144"/>
      <c r="C41" s="1760">
        <f>SUMIFS(Sheet1!S71_PPPYearAmount,Sheet1!S71_SA17Ref,$AC:$AC)</f>
        <v>0</v>
      </c>
      <c r="D41" s="1760">
        <f>SUMIFS(Sheet1!S71_PPYearAmount,Sheet1!S71_SA17Ref,$AC:$AC)</f>
        <v>0</v>
      </c>
      <c r="E41" s="1817">
        <f>SUMIFS(Sheet1!S71_PYearAmount,Sheet1!S71_SA17Ref,$AC:$AC)</f>
        <v>0</v>
      </c>
      <c r="F41" s="1764">
        <f>SUMIFS(Sheet1!S71_OriginalBudAmnt,Sheet1!S71_SA17Ref,$AC:$AC)</f>
        <v>0</v>
      </c>
      <c r="G41" s="1760">
        <f>SUMIFS(Sheet1!S71_AdjustmentBudAmnt,Sheet1!S71_SA17Ref,$AC:$AC)</f>
        <v>0</v>
      </c>
      <c r="H41" s="1818">
        <f>SUMIFS(Sheet1!S71_AdjustmentBudAmnt,Sheet1!S71_SA17Ref,$AC:$AC)</f>
        <v>0</v>
      </c>
      <c r="I41" s="1764">
        <f>SUMIFS(Sheet1!S71_ASBudgetAmount,Sheet1!S71_SA17Ref,$AC:$AC)</f>
        <v>0</v>
      </c>
      <c r="J41" s="1760">
        <f>SUMIFS(Sheet1!S71_OY1BudgetAmount,Sheet1!S71_SA17Ref,$AC:$AC)</f>
        <v>0</v>
      </c>
      <c r="K41" s="1818">
        <f>SUMIFS(Sheet1!S71_OY2BudgetAmount,Sheet1!S71_SA17Ref,$AC:$AC)</f>
        <v>0</v>
      </c>
      <c r="AC41" s="2343">
        <v>41</v>
      </c>
      <c r="AQ41" s="58">
        <v>439005000</v>
      </c>
      <c r="AS41" s="58">
        <v>539442200</v>
      </c>
    </row>
    <row r="42" spans="1:45" ht="11.25" customHeight="1" x14ac:dyDescent="0.25">
      <c r="A42" s="104" t="s">
        <v>484</v>
      </c>
      <c r="B42" s="144"/>
      <c r="C42" s="1760">
        <f>SUMIFS(Sheet1!S71_PPPYearAmount,Sheet1!S71_SA17Ref,$AC:$AC)</f>
        <v>0</v>
      </c>
      <c r="D42" s="1760">
        <f>SUMIFS(Sheet1!S71_PPYearAmount,Sheet1!S71_SA17Ref,$AC:$AC)</f>
        <v>0</v>
      </c>
      <c r="E42" s="1817">
        <f>SUMIFS(Sheet1!S71_PYearAmount,Sheet1!S71_SA17Ref,$AC:$AC)</f>
        <v>0</v>
      </c>
      <c r="F42" s="1764">
        <f>SUMIFS(Sheet1!S71_OriginalBudAmnt,Sheet1!S71_SA17Ref,$AC:$AC)</f>
        <v>0</v>
      </c>
      <c r="G42" s="1760">
        <f>SUMIFS(Sheet1!S71_AdjustmentBudAmnt,Sheet1!S71_SA17Ref,$AC:$AC)</f>
        <v>0</v>
      </c>
      <c r="H42" s="1818">
        <f>SUMIFS(Sheet1!S71_AdjustmentBudAmnt,Sheet1!S71_SA17Ref,$AC:$AC)</f>
        <v>0</v>
      </c>
      <c r="I42" s="1764">
        <f>SUMIFS(Sheet1!S71_ASBudgetAmount,Sheet1!S71_SA17Ref,$AC:$AC)</f>
        <v>0</v>
      </c>
      <c r="J42" s="1760">
        <f>SUMIFS(Sheet1!S71_OY1BudgetAmount,Sheet1!S71_SA17Ref,$AC:$AC)</f>
        <v>0</v>
      </c>
      <c r="K42" s="1818">
        <f>SUMIFS(Sheet1!S71_OY2BudgetAmount,Sheet1!S71_SA17Ref,$AC:$AC)</f>
        <v>0</v>
      </c>
      <c r="AC42" s="2343">
        <v>42</v>
      </c>
    </row>
    <row r="43" spans="1:45" ht="11.25" customHeight="1" x14ac:dyDescent="0.25">
      <c r="A43" s="104" t="s">
        <v>668</v>
      </c>
      <c r="B43" s="144"/>
      <c r="C43" s="1760">
        <f>SUMIFS(Sheet1!S71_PPPYearAmount,Sheet1!S71_SA17Ref,$AC:$AC)</f>
        <v>0</v>
      </c>
      <c r="D43" s="1760">
        <f>SUMIFS(Sheet1!S71_PPYearAmount,Sheet1!S71_SA17Ref,$AC:$AC)</f>
        <v>0</v>
      </c>
      <c r="E43" s="1817">
        <f>SUMIFS(Sheet1!S71_PYearAmount,Sheet1!S71_SA17Ref,$AC:$AC)</f>
        <v>0</v>
      </c>
      <c r="F43" s="1764">
        <f>SUMIFS(Sheet1!S71_OriginalBudAmnt,Sheet1!S71_SA17Ref,$AC:$AC)</f>
        <v>0</v>
      </c>
      <c r="G43" s="1760">
        <f>SUMIFS(Sheet1!S71_AdjustmentBudAmnt,Sheet1!S71_SA17Ref,$AC:$AC)</f>
        <v>0</v>
      </c>
      <c r="H43" s="1818">
        <f>SUMIFS(Sheet1!S71_AdjustmentBudAmnt,Sheet1!S71_SA17Ref,$AC:$AC)</f>
        <v>0</v>
      </c>
      <c r="I43" s="1764">
        <f>SUMIFS(Sheet1!S71_ASBudgetAmount,Sheet1!S71_SA17Ref,$AC:$AC)</f>
        <v>0</v>
      </c>
      <c r="J43" s="1760">
        <f>SUMIFS(Sheet1!S71_OY1BudgetAmount,Sheet1!S71_SA17Ref,$AC:$AC)</f>
        <v>0</v>
      </c>
      <c r="K43" s="1818">
        <f>SUMIFS(Sheet1!S71_OY2BudgetAmount,Sheet1!S71_SA17Ref,$AC:$AC)</f>
        <v>0</v>
      </c>
      <c r="W43" s="58">
        <v>0</v>
      </c>
      <c r="Y43" s="58">
        <v>0</v>
      </c>
      <c r="AB43" s="58">
        <v>0</v>
      </c>
      <c r="AC43" s="2343">
        <v>43</v>
      </c>
      <c r="AD43" s="2312">
        <v>0</v>
      </c>
      <c r="AG43" s="2312">
        <v>0</v>
      </c>
      <c r="AI43" s="2312">
        <v>0</v>
      </c>
      <c r="AL43" s="58">
        <v>0</v>
      </c>
      <c r="AN43" s="58">
        <v>0</v>
      </c>
      <c r="AQ43" s="58">
        <v>1834701353</v>
      </c>
      <c r="AS43" s="58">
        <v>1241876995</v>
      </c>
    </row>
    <row r="44" spans="1:45" ht="11.25" customHeight="1" x14ac:dyDescent="0.25">
      <c r="A44" s="104" t="s">
        <v>86</v>
      </c>
      <c r="B44" s="144"/>
      <c r="C44" s="1760">
        <f>SUMIFS(Sheet1!S71_PPPYearAmount,Sheet1!S71_SA17Ref,$AC:$AC)</f>
        <v>0</v>
      </c>
      <c r="D44" s="1760">
        <f>SUMIFS(Sheet1!S71_PPYearAmount,Sheet1!S71_SA17Ref,$AC:$AC)</f>
        <v>0</v>
      </c>
      <c r="E44" s="1817">
        <f>SUMIFS(Sheet1!S71_PYearAmount,Sheet1!S71_SA17Ref,$AC:$AC)</f>
        <v>0</v>
      </c>
      <c r="F44" s="1764">
        <f>SUMIFS(Sheet1!S71_OriginalBudAmnt,Sheet1!S71_SA17Ref,$AC:$AC)</f>
        <v>0</v>
      </c>
      <c r="G44" s="1760">
        <f>SUMIFS(Sheet1!S71_AdjustmentBudAmnt,Sheet1!S71_SA17Ref,$AC:$AC)</f>
        <v>0</v>
      </c>
      <c r="H44" s="1818">
        <f>SUMIFS(Sheet1!S71_AdjustmentBudAmnt,Sheet1!S71_SA17Ref,$AC:$AC)</f>
        <v>0</v>
      </c>
      <c r="I44" s="1764">
        <f>SUMIFS(Sheet1!S71_ASBudgetAmount,Sheet1!S71_SA17Ref,$AC:$AC)</f>
        <v>0</v>
      </c>
      <c r="J44" s="1760">
        <f>SUMIFS(Sheet1!S71_OY1BudgetAmount,Sheet1!S71_SA17Ref,$AC:$AC)</f>
        <v>0</v>
      </c>
      <c r="K44" s="1818">
        <f>SUMIFS(Sheet1!S71_OY2BudgetAmount,Sheet1!S71_SA17Ref,$AC:$AC)</f>
        <v>0</v>
      </c>
      <c r="AC44" s="2343">
        <v>44</v>
      </c>
      <c r="AQ44" s="58">
        <v>839041298</v>
      </c>
      <c r="AS44" s="58">
        <v>440387617</v>
      </c>
    </row>
    <row r="45" spans="1:45" ht="11.25" customHeight="1" x14ac:dyDescent="0.25">
      <c r="A45" s="104" t="s">
        <v>87</v>
      </c>
      <c r="B45" s="144"/>
      <c r="C45" s="1760">
        <f>SUMIFS(Sheet1!S71_PPPYearAmount,Sheet1!S71_SA17Ref,$AC:$AC)</f>
        <v>0</v>
      </c>
      <c r="D45" s="1760">
        <f>SUMIFS(Sheet1!S71_PPYearAmount,Sheet1!S71_SA17Ref,$AC:$AC)</f>
        <v>0</v>
      </c>
      <c r="E45" s="1817">
        <f>SUMIFS(Sheet1!S71_PYearAmount,Sheet1!S71_SA17Ref,$AC:$AC)</f>
        <v>0</v>
      </c>
      <c r="F45" s="1764">
        <f>SUMIFS(Sheet1!S71_OriginalBudAmnt,Sheet1!S71_SA17Ref,$AC:$AC)</f>
        <v>0</v>
      </c>
      <c r="G45" s="1760">
        <f>SUMIFS(Sheet1!S71_AdjustmentBudAmnt,Sheet1!S71_SA17Ref,$AC:$AC)</f>
        <v>0</v>
      </c>
      <c r="H45" s="1818">
        <f>SUMIFS(Sheet1!S71_AdjustmentBudAmnt,Sheet1!S71_SA17Ref,$AC:$AC)</f>
        <v>0</v>
      </c>
      <c r="I45" s="1764">
        <f>SUMIFS(Sheet1!S71_ASBudgetAmount,Sheet1!S71_SA17Ref,$AC:$AC)</f>
        <v>0</v>
      </c>
      <c r="J45" s="1760">
        <f>SUMIFS(Sheet1!S71_OY1BudgetAmount,Sheet1!S71_SA17Ref,$AC:$AC)</f>
        <v>0</v>
      </c>
      <c r="K45" s="1818">
        <f>SUMIFS(Sheet1!S71_OY2BudgetAmount,Sheet1!S71_SA17Ref,$AC:$AC)</f>
        <v>0</v>
      </c>
      <c r="AC45" s="2343">
        <v>45</v>
      </c>
      <c r="AQ45" s="58">
        <v>976543638</v>
      </c>
      <c r="AS45" s="58">
        <v>782372961</v>
      </c>
    </row>
    <row r="46" spans="1:45" ht="11.25" customHeight="1" x14ac:dyDescent="0.25">
      <c r="A46" s="104" t="s">
        <v>88</v>
      </c>
      <c r="B46" s="144"/>
      <c r="C46" s="1760">
        <f>SUMIFS(Sheet1!S71_PPPYearAmount,Sheet1!S71_SA17Ref,$AC:$AC)</f>
        <v>0</v>
      </c>
      <c r="D46" s="1760">
        <f>SUMIFS(Sheet1!S71_PPYearAmount,Sheet1!S71_SA17Ref,$AC:$AC)</f>
        <v>0</v>
      </c>
      <c r="E46" s="1817">
        <f>SUMIFS(Sheet1!S71_PYearAmount,Sheet1!S71_SA17Ref,$AC:$AC)</f>
        <v>0</v>
      </c>
      <c r="F46" s="1764">
        <f>SUMIFS(Sheet1!S71_OriginalBudAmnt,Sheet1!S71_SA17Ref,$AC:$AC)</f>
        <v>0</v>
      </c>
      <c r="G46" s="1760">
        <f>SUMIFS(Sheet1!S71_AdjustmentBudAmnt,Sheet1!S71_SA17Ref,$AC:$AC)</f>
        <v>0</v>
      </c>
      <c r="H46" s="1818">
        <f>SUMIFS(Sheet1!S71_AdjustmentBudAmnt,Sheet1!S71_SA17Ref,$AC:$AC)</f>
        <v>0</v>
      </c>
      <c r="I46" s="1764">
        <f>SUMIFS(Sheet1!S71_ASBudgetAmount,Sheet1!S71_SA17Ref,$AC:$AC)</f>
        <v>0</v>
      </c>
      <c r="J46" s="1760">
        <f>SUMIFS(Sheet1!S71_OY1BudgetAmount,Sheet1!S71_SA17Ref,$AC:$AC)</f>
        <v>0</v>
      </c>
      <c r="K46" s="1818">
        <f>SUMIFS(Sheet1!S71_OY2BudgetAmount,Sheet1!S71_SA17Ref,$AC:$AC)</f>
        <v>0</v>
      </c>
      <c r="AC46" s="2343">
        <v>46</v>
      </c>
      <c r="AQ46" s="58">
        <v>19116417</v>
      </c>
      <c r="AS46" s="58">
        <v>19116417</v>
      </c>
    </row>
    <row r="47" spans="1:45" ht="11.25" customHeight="1" x14ac:dyDescent="0.25">
      <c r="A47" s="104" t="s">
        <v>89</v>
      </c>
      <c r="B47" s="144"/>
      <c r="C47" s="1760">
        <f>SUMIFS(Sheet1!S71_PPPYearAmount,Sheet1!S71_SA17Ref,$AC:$AC)</f>
        <v>0</v>
      </c>
      <c r="D47" s="1760">
        <f>SUMIFS(Sheet1!S71_PPYearAmount,Sheet1!S71_SA17Ref,$AC:$AC)</f>
        <v>0</v>
      </c>
      <c r="E47" s="1817">
        <f>SUMIFS(Sheet1!S71_PYearAmount,Sheet1!S71_SA17Ref,$AC:$AC)</f>
        <v>0</v>
      </c>
      <c r="F47" s="1764">
        <f>SUMIFS(Sheet1!S71_OriginalBudAmnt,Sheet1!S71_SA17Ref,$AC:$AC)</f>
        <v>0</v>
      </c>
      <c r="G47" s="1760">
        <f>SUMIFS(Sheet1!S71_AdjustmentBudAmnt,Sheet1!S71_SA17Ref,$AC:$AC)</f>
        <v>0</v>
      </c>
      <c r="H47" s="1818">
        <f>SUMIFS(Sheet1!S71_AdjustmentBudAmnt,Sheet1!S71_SA17Ref,$AC:$AC)</f>
        <v>0</v>
      </c>
      <c r="I47" s="1764">
        <f>SUMIFS(Sheet1!S71_ASBudgetAmount,Sheet1!S71_SA17Ref,$AC:$AC)</f>
        <v>0</v>
      </c>
      <c r="J47" s="1760">
        <f>SUMIFS(Sheet1!S71_OY1BudgetAmount,Sheet1!S71_SA17Ref,$AC:$AC)</f>
        <v>0</v>
      </c>
      <c r="K47" s="1818">
        <f>SUMIFS(Sheet1!S71_OY2BudgetAmount,Sheet1!S71_SA17Ref,$AC:$AC)</f>
        <v>0</v>
      </c>
      <c r="AC47" s="2343">
        <v>47</v>
      </c>
      <c r="AQ47" s="58">
        <v>2273706353</v>
      </c>
      <c r="AS47" s="58">
        <v>1781319195</v>
      </c>
    </row>
    <row r="48" spans="1:45" ht="11.25" customHeight="1" x14ac:dyDescent="0.25">
      <c r="A48" s="104" t="s">
        <v>669</v>
      </c>
      <c r="B48" s="144"/>
      <c r="C48" s="1760">
        <f>SUMIFS(Sheet1!S71_PPPYearAmount,Sheet1!S71_SA17Ref,$AC:$AC)</f>
        <v>0</v>
      </c>
      <c r="D48" s="1760">
        <f>SUMIFS(Sheet1!S71_PPYearAmount,Sheet1!S71_SA17Ref,$AC:$AC)</f>
        <v>0</v>
      </c>
      <c r="E48" s="1817">
        <f>SUMIFS(Sheet1!S71_PYearAmount,Sheet1!S71_SA17Ref,$AC:$AC)</f>
        <v>0</v>
      </c>
      <c r="F48" s="1764">
        <f>SUMIFS(Sheet1!S71_OriginalBudAmnt,Sheet1!S71_SA17Ref,$AC:$AC)</f>
        <v>0</v>
      </c>
      <c r="G48" s="1760">
        <f>SUMIFS(Sheet1!S71_AdjustmentBudAmnt,Sheet1!S71_SA17Ref,$AC:$AC)</f>
        <v>0</v>
      </c>
      <c r="H48" s="1818">
        <f>SUMIFS(Sheet1!S71_AdjustmentBudAmnt,Sheet1!S71_SA17Ref,$AC:$AC)</f>
        <v>0</v>
      </c>
      <c r="I48" s="1764">
        <f>SUMIFS(Sheet1!S71_ASBudgetAmount,Sheet1!S71_SA17Ref,$AC:$AC)</f>
        <v>0</v>
      </c>
      <c r="J48" s="1760">
        <f>SUMIFS(Sheet1!S71_OY1BudgetAmount,Sheet1!S71_SA17Ref,$AC:$AC)</f>
        <v>0</v>
      </c>
      <c r="K48" s="1818">
        <f>SUMIFS(Sheet1!S71_OY2BudgetAmount,Sheet1!S71_SA17Ref,$AC:$AC)</f>
        <v>0</v>
      </c>
      <c r="AC48" s="2343">
        <v>48</v>
      </c>
      <c r="AQ48" s="58">
        <v>180259232</v>
      </c>
      <c r="AS48" s="58">
        <v>140396729</v>
      </c>
    </row>
    <row r="49" spans="1:45" ht="11.25" customHeight="1" x14ac:dyDescent="0.25">
      <c r="A49" s="104" t="s">
        <v>90</v>
      </c>
      <c r="B49" s="144"/>
      <c r="C49" s="1760">
        <f>SUMIFS(Sheet1!S71_PPPYearAmount,Sheet1!S71_SA17Ref,$AC:$AC)</f>
        <v>0</v>
      </c>
      <c r="D49" s="1760">
        <f>SUMIFS(Sheet1!S71_PPYearAmount,Sheet1!S71_SA17Ref,$AC:$AC)</f>
        <v>0</v>
      </c>
      <c r="E49" s="1817">
        <f>SUMIFS(Sheet1!S71_PYearAmount,Sheet1!S71_SA17Ref,$AC:$AC)</f>
        <v>0</v>
      </c>
      <c r="F49" s="1764">
        <f>SUMIFS(Sheet1!S71_OriginalBudAmnt,Sheet1!S71_SA17Ref,$AC:$AC)</f>
        <v>0</v>
      </c>
      <c r="G49" s="1760">
        <f>SUMIFS(Sheet1!S71_AdjustmentBudAmnt,Sheet1!S71_SA17Ref,$AC:$AC)</f>
        <v>0</v>
      </c>
      <c r="H49" s="1818">
        <f>SUMIFS(Sheet1!S71_AdjustmentBudAmnt,Sheet1!S71_SA17Ref,$AC:$AC)</f>
        <v>0</v>
      </c>
      <c r="I49" s="1764">
        <f>SUMIFS(Sheet1!S71_ASBudgetAmount,Sheet1!S71_SA17Ref,$AC:$AC)</f>
        <v>0</v>
      </c>
      <c r="J49" s="1760">
        <f>SUMIFS(Sheet1!S71_OY1BudgetAmount,Sheet1!S71_SA17Ref,$AC:$AC)</f>
        <v>0</v>
      </c>
      <c r="K49" s="1818">
        <f>SUMIFS(Sheet1!S71_OY2BudgetAmount,Sheet1!S71_SA17Ref,$AC:$AC)</f>
        <v>0</v>
      </c>
      <c r="AC49" s="2343">
        <v>49</v>
      </c>
      <c r="AQ49" s="58">
        <v>125005000</v>
      </c>
      <c r="AS49" s="58">
        <v>100442200</v>
      </c>
    </row>
    <row r="50" spans="1:45" ht="11.25" customHeight="1" x14ac:dyDescent="0.25">
      <c r="A50" s="145" t="s">
        <v>153</v>
      </c>
      <c r="B50" s="144">
        <v>1</v>
      </c>
      <c r="C50" s="1765">
        <f>SUM(C38:C49)</f>
        <v>0</v>
      </c>
      <c r="D50" s="1765">
        <f t="shared" ref="D50:K50" si="4">SUM(D38:D49)</f>
        <v>0</v>
      </c>
      <c r="E50" s="1768">
        <f t="shared" si="4"/>
        <v>0</v>
      </c>
      <c r="F50" s="1767">
        <f t="shared" si="4"/>
        <v>0</v>
      </c>
      <c r="G50" s="1765">
        <f t="shared" si="4"/>
        <v>0</v>
      </c>
      <c r="H50" s="1766">
        <f t="shared" si="4"/>
        <v>0</v>
      </c>
      <c r="I50" s="1801">
        <f t="shared" si="4"/>
        <v>0</v>
      </c>
      <c r="J50" s="1765">
        <f t="shared" si="4"/>
        <v>0</v>
      </c>
      <c r="K50" s="1802">
        <f t="shared" si="4"/>
        <v>0</v>
      </c>
      <c r="AQ50" s="58">
        <v>40341797</v>
      </c>
      <c r="AS50" s="58">
        <v>38954529</v>
      </c>
    </row>
    <row r="51" spans="1:45" ht="11.25" customHeight="1" x14ac:dyDescent="0.25">
      <c r="A51" s="145"/>
      <c r="B51" s="144"/>
      <c r="C51" s="1808"/>
      <c r="D51" s="1808"/>
      <c r="E51" s="1819"/>
      <c r="F51" s="1820"/>
      <c r="G51" s="1808"/>
      <c r="H51" s="1821"/>
      <c r="I51" s="1807"/>
      <c r="J51" s="1808"/>
      <c r="K51" s="540"/>
      <c r="AQ51" s="58">
        <v>14912435</v>
      </c>
      <c r="AS51" s="58">
        <v>1000000</v>
      </c>
    </row>
    <row r="52" spans="1:45" ht="11.25" customHeight="1" x14ac:dyDescent="0.25">
      <c r="A52" s="96" t="s">
        <v>580</v>
      </c>
      <c r="B52" s="144"/>
      <c r="C52" s="1770"/>
      <c r="D52" s="1770"/>
      <c r="E52" s="1758"/>
      <c r="F52" s="1757"/>
      <c r="G52" s="1770"/>
      <c r="H52" s="1756"/>
      <c r="I52" s="1804"/>
      <c r="J52" s="1770"/>
      <c r="K52" s="1805"/>
    </row>
    <row r="53" spans="1:45" ht="11.25" customHeight="1" x14ac:dyDescent="0.25">
      <c r="A53" s="104" t="str">
        <f t="shared" ref="A53:A64" si="5">A38</f>
        <v>Long-Term Loans (annuity/reducing balance)</v>
      </c>
      <c r="B53" s="144"/>
      <c r="C53" s="1760"/>
      <c r="D53" s="1760"/>
      <c r="E53" s="1817"/>
      <c r="F53" s="1764"/>
      <c r="G53" s="1760"/>
      <c r="H53" s="1818"/>
      <c r="I53" s="1797"/>
      <c r="J53" s="1760"/>
      <c r="K53" s="1818"/>
    </row>
    <row r="54" spans="1:45" ht="11.25" customHeight="1" x14ac:dyDescent="0.25">
      <c r="A54" s="104" t="str">
        <f t="shared" si="5"/>
        <v>Long-Term Loans (non-annuity)</v>
      </c>
      <c r="B54" s="144"/>
      <c r="C54" s="1760"/>
      <c r="D54" s="1760"/>
      <c r="E54" s="1817"/>
      <c r="F54" s="1764"/>
      <c r="G54" s="1760"/>
      <c r="H54" s="1818"/>
      <c r="I54" s="1797"/>
      <c r="J54" s="1760"/>
      <c r="K54" s="1818"/>
    </row>
    <row r="55" spans="1:45" ht="11.25" customHeight="1" x14ac:dyDescent="0.25">
      <c r="A55" s="104" t="str">
        <f t="shared" si="5"/>
        <v>Local registered stock</v>
      </c>
      <c r="B55" s="144"/>
      <c r="C55" s="1760"/>
      <c r="D55" s="1760"/>
      <c r="E55" s="1817"/>
      <c r="F55" s="1764"/>
      <c r="G55" s="1760"/>
      <c r="H55" s="1818"/>
      <c r="I55" s="1797"/>
      <c r="J55" s="1760"/>
      <c r="K55" s="1818"/>
    </row>
    <row r="56" spans="1:45" ht="11.25" customHeight="1" x14ac:dyDescent="0.25">
      <c r="A56" s="104" t="str">
        <f t="shared" si="5"/>
        <v>Instalment Credit</v>
      </c>
      <c r="B56" s="144"/>
      <c r="C56" s="1760"/>
      <c r="D56" s="1760"/>
      <c r="E56" s="1817"/>
      <c r="F56" s="1764"/>
      <c r="G56" s="1760"/>
      <c r="H56" s="1818"/>
      <c r="I56" s="1797"/>
      <c r="J56" s="1760"/>
      <c r="K56" s="1818"/>
    </row>
    <row r="57" spans="1:45" ht="11.25" customHeight="1" x14ac:dyDescent="0.25">
      <c r="A57" s="104" t="str">
        <f t="shared" si="5"/>
        <v>Financial Leases</v>
      </c>
      <c r="B57" s="144"/>
      <c r="C57" s="1760"/>
      <c r="D57" s="1760"/>
      <c r="E57" s="1817"/>
      <c r="F57" s="1764"/>
      <c r="G57" s="1760"/>
      <c r="H57" s="1818"/>
      <c r="I57" s="1797"/>
      <c r="J57" s="1760"/>
      <c r="K57" s="1818"/>
    </row>
    <row r="58" spans="1:45" ht="11.25" customHeight="1" x14ac:dyDescent="0.25">
      <c r="A58" s="104" t="str">
        <f t="shared" si="5"/>
        <v>PPP liabilities</v>
      </c>
      <c r="B58" s="144"/>
      <c r="C58" s="1760"/>
      <c r="D58" s="1760"/>
      <c r="E58" s="1817"/>
      <c r="F58" s="1764"/>
      <c r="G58" s="1760"/>
      <c r="H58" s="1818"/>
      <c r="I58" s="1797"/>
      <c r="J58" s="1760"/>
      <c r="K58" s="1818"/>
    </row>
    <row r="59" spans="1:45" ht="11.25" customHeight="1" x14ac:dyDescent="0.25">
      <c r="A59" s="104" t="str">
        <f t="shared" si="5"/>
        <v>Finance Granted By Cap Equipment Supplier</v>
      </c>
      <c r="B59" s="144"/>
      <c r="C59" s="1760"/>
      <c r="D59" s="1760"/>
      <c r="E59" s="1817"/>
      <c r="F59" s="1764"/>
      <c r="G59" s="1760"/>
      <c r="H59" s="1818"/>
      <c r="I59" s="1797"/>
      <c r="J59" s="1760"/>
      <c r="K59" s="1818"/>
    </row>
    <row r="60" spans="1:45" ht="11.25" customHeight="1" x14ac:dyDescent="0.25">
      <c r="A60" s="104" t="str">
        <f t="shared" si="5"/>
        <v>Marketable Bonds</v>
      </c>
      <c r="B60" s="144"/>
      <c r="C60" s="1760"/>
      <c r="D60" s="1760"/>
      <c r="E60" s="1817"/>
      <c r="F60" s="1764"/>
      <c r="G60" s="1760"/>
      <c r="H60" s="1818"/>
      <c r="I60" s="1797"/>
      <c r="J60" s="1760"/>
      <c r="K60" s="1818"/>
    </row>
    <row r="61" spans="1:45" ht="11.25" customHeight="1" x14ac:dyDescent="0.25">
      <c r="A61" s="104" t="str">
        <f t="shared" si="5"/>
        <v>Non-Marketable Bonds</v>
      </c>
      <c r="B61" s="144"/>
      <c r="C61" s="1760"/>
      <c r="D61" s="1760"/>
      <c r="E61" s="1817"/>
      <c r="F61" s="1764"/>
      <c r="G61" s="1760"/>
      <c r="H61" s="1818"/>
      <c r="I61" s="1797"/>
      <c r="J61" s="1760"/>
      <c r="K61" s="1818"/>
    </row>
    <row r="62" spans="1:45" ht="11.25" customHeight="1" x14ac:dyDescent="0.25">
      <c r="A62" s="104" t="str">
        <f t="shared" si="5"/>
        <v>Bankers Acceptances</v>
      </c>
      <c r="B62" s="144"/>
      <c r="C62" s="1760"/>
      <c r="D62" s="1760"/>
      <c r="E62" s="1817"/>
      <c r="F62" s="1764"/>
      <c r="G62" s="1760"/>
      <c r="H62" s="1818"/>
      <c r="I62" s="1797"/>
      <c r="J62" s="1760"/>
      <c r="K62" s="1818"/>
    </row>
    <row r="63" spans="1:45" ht="11.25" customHeight="1" x14ac:dyDescent="0.25">
      <c r="A63" s="104" t="str">
        <f t="shared" si="5"/>
        <v>Financial derivatives</v>
      </c>
      <c r="B63" s="144"/>
      <c r="C63" s="1760"/>
      <c r="D63" s="1760"/>
      <c r="E63" s="1817"/>
      <c r="F63" s="1764"/>
      <c r="G63" s="1760"/>
      <c r="H63" s="1818"/>
      <c r="I63" s="1797"/>
      <c r="J63" s="1760"/>
      <c r="K63" s="1818"/>
    </row>
    <row r="64" spans="1:45" ht="11.25" customHeight="1" x14ac:dyDescent="0.25">
      <c r="A64" s="104" t="str">
        <f t="shared" si="5"/>
        <v>Other Securities</v>
      </c>
      <c r="B64" s="144"/>
      <c r="C64" s="1760"/>
      <c r="D64" s="1760"/>
      <c r="E64" s="1817"/>
      <c r="F64" s="1764"/>
      <c r="G64" s="1760"/>
      <c r="H64" s="1818"/>
      <c r="I64" s="1797"/>
      <c r="J64" s="1760"/>
      <c r="K64" s="1818"/>
    </row>
    <row r="65" spans="1:11" ht="11.25" customHeight="1" x14ac:dyDescent="0.25">
      <c r="A65" s="145" t="s">
        <v>152</v>
      </c>
      <c r="B65" s="144">
        <v>1</v>
      </c>
      <c r="C65" s="1765">
        <f>SUM(C53:C64)</f>
        <v>0</v>
      </c>
      <c r="D65" s="1765">
        <f t="shared" ref="D65:K65" si="6">SUM(D53:D64)</f>
        <v>0</v>
      </c>
      <c r="E65" s="1768">
        <f t="shared" si="6"/>
        <v>0</v>
      </c>
      <c r="F65" s="1767">
        <f t="shared" si="6"/>
        <v>0</v>
      </c>
      <c r="G65" s="1765">
        <f t="shared" si="6"/>
        <v>0</v>
      </c>
      <c r="H65" s="1766">
        <f t="shared" si="6"/>
        <v>0</v>
      </c>
      <c r="I65" s="1801">
        <f t="shared" si="6"/>
        <v>0</v>
      </c>
      <c r="J65" s="1765">
        <f t="shared" si="6"/>
        <v>0</v>
      </c>
      <c r="K65" s="1802">
        <f t="shared" si="6"/>
        <v>0</v>
      </c>
    </row>
    <row r="66" spans="1:11" ht="11.25" customHeight="1" x14ac:dyDescent="0.25">
      <c r="A66" s="116"/>
      <c r="B66" s="144"/>
      <c r="C66" s="1770"/>
      <c r="D66" s="1770"/>
      <c r="E66" s="1758"/>
      <c r="F66" s="1757"/>
      <c r="G66" s="1770"/>
      <c r="H66" s="1756"/>
      <c r="I66" s="1804"/>
      <c r="J66" s="1770"/>
      <c r="K66" s="1805"/>
    </row>
    <row r="67" spans="1:11" ht="11.25" customHeight="1" x14ac:dyDescent="0.25">
      <c r="A67" s="147" t="s">
        <v>1931</v>
      </c>
      <c r="B67" s="148">
        <v>1</v>
      </c>
      <c r="C67" s="1778">
        <f>C50+C65</f>
        <v>0</v>
      </c>
      <c r="D67" s="1778">
        <f t="shared" ref="D67:K67" si="7">D50+D65</f>
        <v>0</v>
      </c>
      <c r="E67" s="1781">
        <f t="shared" si="7"/>
        <v>0</v>
      </c>
      <c r="F67" s="1780">
        <f t="shared" si="7"/>
        <v>0</v>
      </c>
      <c r="G67" s="1778">
        <f t="shared" si="7"/>
        <v>0</v>
      </c>
      <c r="H67" s="1779">
        <f t="shared" si="7"/>
        <v>0</v>
      </c>
      <c r="I67" s="1812">
        <f t="shared" si="7"/>
        <v>0</v>
      </c>
      <c r="J67" s="1778">
        <f t="shared" si="7"/>
        <v>0</v>
      </c>
      <c r="K67" s="1813">
        <f t="shared" si="7"/>
        <v>0</v>
      </c>
    </row>
    <row r="68" spans="1:11" ht="11.25" customHeight="1" x14ac:dyDescent="0.25">
      <c r="A68" s="220"/>
      <c r="B68" s="189"/>
      <c r="C68" s="221"/>
      <c r="D68" s="221"/>
      <c r="E68" s="221"/>
      <c r="F68" s="221"/>
      <c r="G68" s="221"/>
      <c r="H68" s="221"/>
      <c r="I68" s="221"/>
      <c r="J68" s="221"/>
      <c r="K68" s="221"/>
    </row>
    <row r="69" spans="1:11" ht="11.25" customHeight="1" x14ac:dyDescent="0.25">
      <c r="A69" s="188" t="str">
        <f>head27a</f>
        <v>References</v>
      </c>
      <c r="B69" s="189"/>
      <c r="C69" s="221"/>
      <c r="D69" s="221"/>
      <c r="E69" s="221"/>
      <c r="F69" s="221"/>
      <c r="G69" s="221"/>
      <c r="H69" s="221"/>
      <c r="I69" s="221"/>
      <c r="J69" s="221"/>
      <c r="K69" s="221"/>
    </row>
    <row r="70" spans="1:11" ht="11.25" customHeight="1" x14ac:dyDescent="0.25">
      <c r="A70" s="151" t="s">
        <v>1111</v>
      </c>
      <c r="B70" s="189"/>
      <c r="C70" s="193"/>
      <c r="D70" s="192"/>
      <c r="E70" s="193"/>
      <c r="F70" s="193"/>
      <c r="G70" s="193"/>
      <c r="H70" s="193"/>
      <c r="I70" s="193"/>
      <c r="J70" s="193"/>
      <c r="K70" s="193"/>
    </row>
    <row r="71" spans="1:11" ht="11.25" customHeight="1" x14ac:dyDescent="0.25">
      <c r="A71" s="219" t="s">
        <v>482</v>
      </c>
      <c r="B71" s="189"/>
      <c r="C71" s="79">
        <f>C34-'A6-FinPos'!C37</f>
        <v>0</v>
      </c>
      <c r="D71" s="79">
        <f>D34-'A6-FinPos'!D37</f>
        <v>0</v>
      </c>
      <c r="E71" s="79">
        <f>E34-'A6-FinPos'!E37</f>
        <v>0</v>
      </c>
      <c r="F71" s="79">
        <f>F34-'A6-FinPos'!F37</f>
        <v>0</v>
      </c>
      <c r="G71" s="79">
        <f>G34-'A6-FinPos'!G37</f>
        <v>0</v>
      </c>
      <c r="H71" s="79">
        <f>H34-'A6-FinPos'!H37</f>
        <v>0</v>
      </c>
      <c r="I71" s="79">
        <f>I34-'A6-FinPos'!J37</f>
        <v>0</v>
      </c>
      <c r="J71" s="79">
        <f>J34-'A6-FinPos'!K37</f>
        <v>0</v>
      </c>
      <c r="K71" s="79">
        <f>K34-'A6-FinPos'!L37</f>
        <v>0</v>
      </c>
    </row>
    <row r="72" spans="1:11" ht="11.25" customHeight="1" x14ac:dyDescent="0.25">
      <c r="F72" s="754"/>
    </row>
  </sheetData>
  <sheetProtection sheet="1" objects="1" scenarios="1"/>
  <mergeCells count="2">
    <mergeCell ref="F2:H2"/>
    <mergeCell ref="I2:K2"/>
  </mergeCells>
  <phoneticPr fontId="7" type="noConversion"/>
  <printOptions horizontalCentered="1"/>
  <pageMargins left="0" right="0" top="0.78740157480314965" bottom="0.59055118110236227" header="0.51181102362204722" footer="0.39370078740157483"/>
  <pageSetup paperSize="9" scale="85" orientation="portrait"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37">
    <pageSetUpPr fitToPage="1"/>
  </sheetPr>
  <dimension ref="A1:O88"/>
  <sheetViews>
    <sheetView showGridLines="0" zoomScale="110" zoomScaleNormal="110" workbookViewId="0">
      <pane xSplit="2" ySplit="3" topLeftCell="C4" activePane="bottomRight" state="frozen"/>
      <selection pane="topRight"/>
      <selection pane="bottomLeft"/>
      <selection pane="bottomRight" activeCell="A12" sqref="A12"/>
    </sheetView>
  </sheetViews>
  <sheetFormatPr defaultColWidth="9.140625" defaultRowHeight="12.75" x14ac:dyDescent="0.25"/>
  <cols>
    <col min="1" max="1" width="30.7109375" style="58" customWidth="1"/>
    <col min="2" max="2" width="3" style="55" customWidth="1"/>
    <col min="3" max="11" width="9.28515625" style="58" customWidth="1"/>
    <col min="12" max="12" width="9.7109375" style="58" customWidth="1"/>
    <col min="13" max="13" width="9.42578125" style="58" customWidth="1"/>
    <col min="14" max="14" width="9.7109375" style="58" customWidth="1"/>
    <col min="15" max="17" width="9.42578125" style="58" customWidth="1"/>
    <col min="18" max="18" width="9.7109375" style="58" customWidth="1"/>
    <col min="19" max="21" width="9.42578125" style="58" customWidth="1"/>
    <col min="22" max="23" width="9.7109375" style="58" customWidth="1"/>
    <col min="24" max="16384" width="9.140625" style="58"/>
  </cols>
  <sheetData>
    <row r="1" spans="1:12" ht="13.5" customHeight="1" x14ac:dyDescent="0.25">
      <c r="A1" s="92" t="str">
        <f>muni&amp;" - "&amp; TableA18</f>
        <v>KZN226 Mkhambathini - Supporting Table SA18 Transfers and grant receipts</v>
      </c>
      <c r="B1" s="92"/>
      <c r="C1" s="92"/>
      <c r="D1" s="92"/>
      <c r="E1" s="92"/>
      <c r="F1" s="92"/>
      <c r="G1" s="92"/>
      <c r="H1" s="92"/>
      <c r="I1" s="92"/>
      <c r="J1" s="92"/>
      <c r="K1" s="92"/>
    </row>
    <row r="2" spans="1:12" ht="28.5" customHeight="1" x14ac:dyDescent="0.25">
      <c r="A2" s="1829" t="str">
        <f>desc</f>
        <v>Description</v>
      </c>
      <c r="B2" s="155" t="str">
        <f>head27</f>
        <v>Ref</v>
      </c>
      <c r="C2" s="837" t="str">
        <f>head1b</f>
        <v>2017/18</v>
      </c>
      <c r="D2" s="561" t="str">
        <f>head1A</f>
        <v>2018/19</v>
      </c>
      <c r="E2" s="684" t="str">
        <f>Head1</f>
        <v>2019/20</v>
      </c>
      <c r="F2" s="2447" t="str">
        <f>Head2</f>
        <v>Current Year 2020/21</v>
      </c>
      <c r="G2" s="2448"/>
      <c r="H2" s="2449"/>
      <c r="I2" s="2450" t="str">
        <f>Head3</f>
        <v>2021/22 Medium Term Revenue &amp; Expenditure Framework</v>
      </c>
      <c r="J2" s="2451"/>
      <c r="K2" s="2452"/>
    </row>
    <row r="3" spans="1:12" ht="25.5" x14ac:dyDescent="0.25">
      <c r="A3" s="156" t="s">
        <v>568</v>
      </c>
      <c r="B3" s="157"/>
      <c r="C3" s="698" t="str">
        <f>Head5</f>
        <v>Audited Outcome</v>
      </c>
      <c r="D3" s="562" t="str">
        <f>Head5</f>
        <v>Audited Outcome</v>
      </c>
      <c r="E3" s="94" t="str">
        <f>Head5</f>
        <v>Audited Outcome</v>
      </c>
      <c r="F3" s="95" t="str">
        <f>Head6</f>
        <v>Original Budget</v>
      </c>
      <c r="G3" s="698" t="str">
        <f>Head7</f>
        <v>Adjusted Budget</v>
      </c>
      <c r="H3" s="94" t="str">
        <f>Head8</f>
        <v>Full Year Forecast</v>
      </c>
      <c r="I3" s="95" t="str">
        <f>Head9</f>
        <v>Budget Year 2021/22</v>
      </c>
      <c r="J3" s="698" t="str">
        <f>Head10</f>
        <v>Budget Year +1 2022/23</v>
      </c>
      <c r="K3" s="94" t="str">
        <f>Head11</f>
        <v>Budget Year +2 2023/24</v>
      </c>
    </row>
    <row r="4" spans="1:12" ht="11.25" customHeight="1" x14ac:dyDescent="0.25">
      <c r="A4" s="145" t="s">
        <v>1112</v>
      </c>
      <c r="B4" s="205" t="s">
        <v>1337</v>
      </c>
      <c r="C4" s="1830"/>
      <c r="D4" s="1830"/>
      <c r="E4" s="1831"/>
      <c r="F4" s="1832"/>
      <c r="G4" s="1830"/>
      <c r="H4" s="1833"/>
      <c r="I4" s="1834"/>
      <c r="J4" s="1830"/>
      <c r="K4" s="1831"/>
    </row>
    <row r="5" spans="1:12" ht="4.9000000000000004" customHeight="1" x14ac:dyDescent="0.25">
      <c r="A5" s="96"/>
      <c r="B5" s="144"/>
      <c r="C5" s="1808"/>
      <c r="D5" s="1808"/>
      <c r="E5" s="1821"/>
      <c r="F5" s="1820"/>
      <c r="G5" s="1808"/>
      <c r="H5" s="1819"/>
      <c r="I5" s="1806"/>
      <c r="J5" s="1808"/>
      <c r="K5" s="1821"/>
    </row>
    <row r="6" spans="1:12" ht="11.25" customHeight="1" x14ac:dyDescent="0.25">
      <c r="A6" s="96" t="s">
        <v>309</v>
      </c>
      <c r="B6" s="144"/>
      <c r="C6" s="1808"/>
      <c r="D6" s="1808"/>
      <c r="E6" s="1821"/>
      <c r="F6" s="1820"/>
      <c r="G6" s="1808"/>
      <c r="H6" s="1819"/>
      <c r="I6" s="1806"/>
      <c r="J6" s="1808"/>
      <c r="K6" s="1821"/>
    </row>
    <row r="7" spans="1:12" ht="18" customHeight="1" x14ac:dyDescent="0.25">
      <c r="A7" s="1835" t="s">
        <v>886</v>
      </c>
      <c r="B7" s="144"/>
      <c r="C7" s="1808">
        <f>SUM(C8:C14)</f>
        <v>64326000</v>
      </c>
      <c r="D7" s="1808">
        <f t="shared" ref="D7:K7" si="0">SUM(D8:D14)</f>
        <v>58550000</v>
      </c>
      <c r="E7" s="1821">
        <f t="shared" si="0"/>
        <v>66608000</v>
      </c>
      <c r="F7" s="1820">
        <f t="shared" si="0"/>
        <v>78273000</v>
      </c>
      <c r="G7" s="1808">
        <f t="shared" si="0"/>
        <v>88678000</v>
      </c>
      <c r="H7" s="1819">
        <f t="shared" si="0"/>
        <v>88678000</v>
      </c>
      <c r="I7" s="1806">
        <f t="shared" si="0"/>
        <v>92759000</v>
      </c>
      <c r="J7" s="1808">
        <f t="shared" si="0"/>
        <v>84752000</v>
      </c>
      <c r="K7" s="1821">
        <f t="shared" si="0"/>
        <v>91410000</v>
      </c>
    </row>
    <row r="8" spans="1:12" ht="11.25" customHeight="1" x14ac:dyDescent="0.25">
      <c r="A8" s="226" t="s">
        <v>1681</v>
      </c>
      <c r="B8" s="144" t="str">
        <f t="shared" ref="B8:B13" si="1">IF(A8="  Levy replacement",3,"")</f>
        <v/>
      </c>
      <c r="C8" s="1836">
        <v>51173000</v>
      </c>
      <c r="D8" s="1836">
        <v>55546000</v>
      </c>
      <c r="E8" s="1837">
        <v>62733000</v>
      </c>
      <c r="F8" s="1838">
        <v>67330000</v>
      </c>
      <c r="G8" s="1836">
        <v>79735000</v>
      </c>
      <c r="H8" s="1839">
        <v>79735000</v>
      </c>
      <c r="I8" s="1840">
        <v>70470000</v>
      </c>
      <c r="J8" s="1836">
        <v>72423000</v>
      </c>
      <c r="K8" s="1837">
        <v>76881000</v>
      </c>
    </row>
    <row r="9" spans="1:12" ht="11.25" customHeight="1" x14ac:dyDescent="0.25">
      <c r="A9" s="1841" t="s">
        <v>1679</v>
      </c>
      <c r="B9" s="144" t="str">
        <f t="shared" si="1"/>
        <v/>
      </c>
      <c r="C9" s="1760">
        <v>1900000</v>
      </c>
      <c r="D9" s="1760">
        <v>1970000</v>
      </c>
      <c r="E9" s="1761">
        <v>2435000</v>
      </c>
      <c r="F9" s="1762">
        <v>2800000</v>
      </c>
      <c r="G9" s="1760">
        <v>2800000</v>
      </c>
      <c r="H9" s="1763">
        <v>2800000</v>
      </c>
      <c r="I9" s="1764">
        <v>2850000</v>
      </c>
      <c r="J9" s="1760">
        <v>3000000</v>
      </c>
      <c r="K9" s="1761">
        <v>3200000</v>
      </c>
    </row>
    <row r="10" spans="1:12" ht="11.25" customHeight="1" x14ac:dyDescent="0.25">
      <c r="A10" s="1841" t="s">
        <v>1669</v>
      </c>
      <c r="B10" s="144" t="str">
        <f t="shared" si="1"/>
        <v/>
      </c>
      <c r="C10" s="1760">
        <v>1253000</v>
      </c>
      <c r="D10" s="1760">
        <v>1034000</v>
      </c>
      <c r="E10" s="1761">
        <v>1440000</v>
      </c>
      <c r="F10" s="1762">
        <v>1143000</v>
      </c>
      <c r="G10" s="1760">
        <v>1143000</v>
      </c>
      <c r="H10" s="1763">
        <v>1143000</v>
      </c>
      <c r="I10" s="1764">
        <v>1329000</v>
      </c>
      <c r="J10" s="1760">
        <v>1329000</v>
      </c>
      <c r="K10" s="1761">
        <v>1329000</v>
      </c>
    </row>
    <row r="11" spans="1:12" ht="11.25" customHeight="1" x14ac:dyDescent="0.25">
      <c r="A11" s="1841" t="s">
        <v>1660</v>
      </c>
      <c r="B11" s="144" t="str">
        <f t="shared" si="1"/>
        <v/>
      </c>
      <c r="C11" s="1760">
        <v>10000000</v>
      </c>
      <c r="D11" s="1760">
        <v>0</v>
      </c>
      <c r="E11" s="1761"/>
      <c r="F11" s="1762">
        <v>7000000</v>
      </c>
      <c r="G11" s="1760">
        <v>5000000</v>
      </c>
      <c r="H11" s="1763">
        <v>5000000</v>
      </c>
      <c r="I11" s="1764">
        <v>18110000</v>
      </c>
      <c r="J11" s="1760">
        <v>8000000</v>
      </c>
      <c r="K11" s="1761">
        <v>10000000</v>
      </c>
    </row>
    <row r="12" spans="1:12" ht="11.25" customHeight="1" x14ac:dyDescent="0.25">
      <c r="A12" s="1841"/>
      <c r="B12" s="144" t="str">
        <f t="shared" si="1"/>
        <v/>
      </c>
      <c r="C12" s="1760"/>
      <c r="D12" s="1760"/>
      <c r="E12" s="1761"/>
      <c r="F12" s="1762"/>
      <c r="G12" s="1760"/>
      <c r="H12" s="1763"/>
      <c r="I12" s="1764"/>
      <c r="J12" s="1760"/>
      <c r="K12" s="1761"/>
    </row>
    <row r="13" spans="1:12" ht="11.25" customHeight="1" x14ac:dyDescent="0.25">
      <c r="A13" s="1841"/>
      <c r="B13" s="144" t="str">
        <f t="shared" si="1"/>
        <v/>
      </c>
      <c r="C13" s="1760"/>
      <c r="D13" s="1760"/>
      <c r="E13" s="1761"/>
      <c r="F13" s="1762"/>
      <c r="G13" s="1760"/>
      <c r="H13" s="1763"/>
      <c r="I13" s="1764"/>
      <c r="J13" s="1760"/>
      <c r="K13" s="1761"/>
    </row>
    <row r="14" spans="1:12" ht="18" customHeight="1" x14ac:dyDescent="0.25">
      <c r="A14" s="1841" t="s">
        <v>1074</v>
      </c>
      <c r="B14" s="144"/>
      <c r="C14" s="1842"/>
      <c r="D14" s="1842"/>
      <c r="E14" s="1843"/>
      <c r="F14" s="1844"/>
      <c r="G14" s="1842"/>
      <c r="H14" s="1845"/>
      <c r="I14" s="1846"/>
      <c r="J14" s="1842"/>
      <c r="K14" s="1843"/>
    </row>
    <row r="15" spans="1:12" ht="18" customHeight="1" x14ac:dyDescent="0.25">
      <c r="A15" s="1835" t="s">
        <v>887</v>
      </c>
      <c r="B15" s="144"/>
      <c r="C15" s="1808">
        <f>SUM(C16:C20)</f>
        <v>1264000</v>
      </c>
      <c r="D15" s="1808">
        <f t="shared" ref="D15:K15" si="2">SUM(D16:D20)</f>
        <v>1617000</v>
      </c>
      <c r="E15" s="1821">
        <f t="shared" si="2"/>
        <v>1714000</v>
      </c>
      <c r="F15" s="1820">
        <f t="shared" si="2"/>
        <v>1816000</v>
      </c>
      <c r="G15" s="1808">
        <f t="shared" si="2"/>
        <v>1816000</v>
      </c>
      <c r="H15" s="1819">
        <f t="shared" si="2"/>
        <v>1816000</v>
      </c>
      <c r="I15" s="1806">
        <f t="shared" si="2"/>
        <v>1910000</v>
      </c>
      <c r="J15" s="1808">
        <f t="shared" si="2"/>
        <v>2004000</v>
      </c>
      <c r="K15" s="1821">
        <f t="shared" si="2"/>
        <v>0</v>
      </c>
      <c r="L15" s="322"/>
    </row>
    <row r="16" spans="1:12" ht="11.25" customHeight="1" x14ac:dyDescent="0.25">
      <c r="A16" s="1841"/>
      <c r="B16" s="144" t="str">
        <f>IF(A16="  Housing",4,"")</f>
        <v/>
      </c>
      <c r="C16" s="1836"/>
      <c r="D16" s="1836"/>
      <c r="E16" s="1837"/>
      <c r="F16" s="1838"/>
      <c r="G16" s="1836"/>
      <c r="H16" s="1839"/>
      <c r="I16" s="1840"/>
      <c r="J16" s="1836"/>
      <c r="K16" s="1837"/>
      <c r="L16" s="322"/>
    </row>
    <row r="17" spans="1:12" ht="11.25" customHeight="1" x14ac:dyDescent="0.25">
      <c r="A17" s="1841" t="s">
        <v>1683</v>
      </c>
      <c r="B17" s="144" t="str">
        <f>IF(A17="  Housing",4,"")</f>
        <v/>
      </c>
      <c r="C17" s="1760"/>
      <c r="D17" s="1760"/>
      <c r="E17" s="1761"/>
      <c r="F17" s="1762"/>
      <c r="G17" s="1760"/>
      <c r="H17" s="1763"/>
      <c r="I17" s="1764"/>
      <c r="J17" s="1760"/>
      <c r="K17" s="1761"/>
      <c r="L17" s="322"/>
    </row>
    <row r="18" spans="1:12" ht="11.25" customHeight="1" x14ac:dyDescent="0.25">
      <c r="A18" s="1841"/>
      <c r="B18" s="144" t="str">
        <f>IF(A18="  Housing",4,"")</f>
        <v/>
      </c>
      <c r="C18" s="1760"/>
      <c r="D18" s="1760"/>
      <c r="E18" s="1761"/>
      <c r="F18" s="1762"/>
      <c r="G18" s="1760"/>
      <c r="H18" s="1763"/>
      <c r="I18" s="1764"/>
      <c r="J18" s="1760"/>
      <c r="K18" s="1761"/>
      <c r="L18" s="322"/>
    </row>
    <row r="19" spans="1:12" ht="11.25" customHeight="1" x14ac:dyDescent="0.25">
      <c r="A19" s="1841"/>
      <c r="B19" s="144" t="str">
        <f>IF(A19="  Housing",4,"")</f>
        <v/>
      </c>
      <c r="C19" s="1760"/>
      <c r="D19" s="1760"/>
      <c r="E19" s="1761"/>
      <c r="F19" s="1762"/>
      <c r="G19" s="1760"/>
      <c r="H19" s="1763"/>
      <c r="I19" s="1764"/>
      <c r="J19" s="1760"/>
      <c r="K19" s="1761"/>
      <c r="L19" s="322"/>
    </row>
    <row r="20" spans="1:12" ht="11.25" customHeight="1" x14ac:dyDescent="0.25">
      <c r="A20" s="1841" t="s">
        <v>6363</v>
      </c>
      <c r="B20" s="144"/>
      <c r="C20" s="1842">
        <v>1264000</v>
      </c>
      <c r="D20" s="1842">
        <v>1617000</v>
      </c>
      <c r="E20" s="1843">
        <v>1714000</v>
      </c>
      <c r="F20" s="1844">
        <v>1816000</v>
      </c>
      <c r="G20" s="1842">
        <v>1816000</v>
      </c>
      <c r="H20" s="1845">
        <v>1816000</v>
      </c>
      <c r="I20" s="1846">
        <v>1910000</v>
      </c>
      <c r="J20" s="1842">
        <v>2004000</v>
      </c>
      <c r="K20" s="1843"/>
      <c r="L20" s="322"/>
    </row>
    <row r="21" spans="1:12" ht="18" customHeight="1" x14ac:dyDescent="0.25">
      <c r="A21" s="1835" t="s">
        <v>921</v>
      </c>
      <c r="B21" s="144"/>
      <c r="C21" s="1808">
        <f>SUM(C22:C23)</f>
        <v>0</v>
      </c>
      <c r="D21" s="1808">
        <f t="shared" ref="D21:K21" si="3">SUM(D22:D23)</f>
        <v>0</v>
      </c>
      <c r="E21" s="1821">
        <f t="shared" si="3"/>
        <v>0</v>
      </c>
      <c r="F21" s="1820">
        <f t="shared" si="3"/>
        <v>0</v>
      </c>
      <c r="G21" s="1808">
        <f t="shared" si="3"/>
        <v>0</v>
      </c>
      <c r="H21" s="1819">
        <f t="shared" si="3"/>
        <v>0</v>
      </c>
      <c r="I21" s="1806">
        <f t="shared" si="3"/>
        <v>0</v>
      </c>
      <c r="J21" s="1808">
        <f t="shared" si="3"/>
        <v>0</v>
      </c>
      <c r="K21" s="1821">
        <f t="shared" si="3"/>
        <v>0</v>
      </c>
      <c r="L21" s="322"/>
    </row>
    <row r="22" spans="1:12" ht="11.25" customHeight="1" x14ac:dyDescent="0.25">
      <c r="A22" s="1847" t="s">
        <v>948</v>
      </c>
      <c r="B22" s="144"/>
      <c r="C22" s="1836"/>
      <c r="D22" s="1836"/>
      <c r="E22" s="1837"/>
      <c r="F22" s="1838"/>
      <c r="G22" s="1836"/>
      <c r="H22" s="1839"/>
      <c r="I22" s="1840"/>
      <c r="J22" s="1836"/>
      <c r="K22" s="1837"/>
      <c r="L22" s="322"/>
    </row>
    <row r="23" spans="1:12" ht="11.25" customHeight="1" x14ac:dyDescent="0.25">
      <c r="A23" s="1847"/>
      <c r="B23" s="144"/>
      <c r="C23" s="1842"/>
      <c r="D23" s="1842"/>
      <c r="E23" s="1843"/>
      <c r="F23" s="1844"/>
      <c r="G23" s="1842"/>
      <c r="H23" s="1845"/>
      <c r="I23" s="1846"/>
      <c r="J23" s="1842"/>
      <c r="K23" s="1843"/>
      <c r="L23" s="322"/>
    </row>
    <row r="24" spans="1:12" ht="18" customHeight="1" x14ac:dyDescent="0.25">
      <c r="A24" s="1835" t="s">
        <v>510</v>
      </c>
      <c r="B24" s="144"/>
      <c r="C24" s="1808">
        <f>SUM(C25:C26)</f>
        <v>0</v>
      </c>
      <c r="D24" s="1808">
        <f t="shared" ref="D24:K24" si="4">SUM(D25:D26)</f>
        <v>0</v>
      </c>
      <c r="E24" s="1821">
        <f t="shared" si="4"/>
        <v>0</v>
      </c>
      <c r="F24" s="1820">
        <f t="shared" si="4"/>
        <v>0</v>
      </c>
      <c r="G24" s="1808">
        <f t="shared" si="4"/>
        <v>0</v>
      </c>
      <c r="H24" s="1819">
        <f t="shared" si="4"/>
        <v>0</v>
      </c>
      <c r="I24" s="1806">
        <f t="shared" si="4"/>
        <v>0</v>
      </c>
      <c r="J24" s="1808">
        <f t="shared" si="4"/>
        <v>0</v>
      </c>
      <c r="K24" s="1821">
        <f t="shared" si="4"/>
        <v>0</v>
      </c>
      <c r="L24" s="322"/>
    </row>
    <row r="25" spans="1:12" ht="11.25" customHeight="1" x14ac:dyDescent="0.25">
      <c r="A25" s="1847" t="s">
        <v>948</v>
      </c>
      <c r="B25" s="144"/>
      <c r="C25" s="1836"/>
      <c r="D25" s="1836"/>
      <c r="E25" s="1837"/>
      <c r="F25" s="1838"/>
      <c r="G25" s="1836"/>
      <c r="H25" s="1839"/>
      <c r="I25" s="1840"/>
      <c r="J25" s="1836"/>
      <c r="K25" s="1837"/>
      <c r="L25" s="322"/>
    </row>
    <row r="26" spans="1:12" ht="11.25" customHeight="1" x14ac:dyDescent="0.25">
      <c r="A26" s="1847"/>
      <c r="B26" s="144"/>
      <c r="C26" s="1842"/>
      <c r="D26" s="1842"/>
      <c r="E26" s="1843"/>
      <c r="F26" s="1844"/>
      <c r="G26" s="1842"/>
      <c r="H26" s="1845"/>
      <c r="I26" s="1846"/>
      <c r="J26" s="1842"/>
      <c r="K26" s="1843"/>
      <c r="L26" s="322"/>
    </row>
    <row r="27" spans="1:12" s="1856" customFormat="1" ht="15.75" customHeight="1" x14ac:dyDescent="0.2">
      <c r="A27" s="1848" t="s">
        <v>310</v>
      </c>
      <c r="B27" s="1849">
        <v>5</v>
      </c>
      <c r="C27" s="1850">
        <f>C7+C15+C21+C24</f>
        <v>65590000</v>
      </c>
      <c r="D27" s="1850">
        <f t="shared" ref="D27:K27" si="5">D7+D15+D21+D24</f>
        <v>60167000</v>
      </c>
      <c r="E27" s="1851">
        <f t="shared" si="5"/>
        <v>68322000</v>
      </c>
      <c r="F27" s="1852">
        <f t="shared" si="5"/>
        <v>80089000</v>
      </c>
      <c r="G27" s="1850">
        <f t="shared" si="5"/>
        <v>90494000</v>
      </c>
      <c r="H27" s="1853">
        <f t="shared" si="5"/>
        <v>90494000</v>
      </c>
      <c r="I27" s="1854">
        <f t="shared" si="5"/>
        <v>94669000</v>
      </c>
      <c r="J27" s="1850">
        <f t="shared" si="5"/>
        <v>86756000</v>
      </c>
      <c r="K27" s="1851">
        <f t="shared" si="5"/>
        <v>91410000</v>
      </c>
      <c r="L27" s="1855"/>
    </row>
    <row r="28" spans="1:12" ht="4.9000000000000004" customHeight="1" x14ac:dyDescent="0.25">
      <c r="A28" s="116"/>
      <c r="B28" s="144"/>
      <c r="C28" s="1770"/>
      <c r="D28" s="1770"/>
      <c r="E28" s="1756"/>
      <c r="F28" s="1757"/>
      <c r="G28" s="1770"/>
      <c r="H28" s="1758"/>
      <c r="I28" s="1771"/>
      <c r="J28" s="1770"/>
      <c r="K28" s="1756"/>
      <c r="L28" s="322"/>
    </row>
    <row r="29" spans="1:12" ht="11.25" customHeight="1" x14ac:dyDescent="0.25">
      <c r="A29" s="96" t="s">
        <v>311</v>
      </c>
      <c r="B29" s="144"/>
      <c r="C29" s="1770"/>
      <c r="D29" s="1770"/>
      <c r="E29" s="1756"/>
      <c r="F29" s="1757"/>
      <c r="G29" s="1770"/>
      <c r="H29" s="1758"/>
      <c r="I29" s="1771"/>
      <c r="J29" s="1770"/>
      <c r="K29" s="1756"/>
      <c r="L29" s="322"/>
    </row>
    <row r="30" spans="1:12" ht="18" customHeight="1" x14ac:dyDescent="0.25">
      <c r="A30" s="1835" t="str">
        <f>A7</f>
        <v>National Government:</v>
      </c>
      <c r="B30" s="144"/>
      <c r="C30" s="1808">
        <f>SUM(C31:C36)</f>
        <v>16284999</v>
      </c>
      <c r="D30" s="1808">
        <f t="shared" ref="D30:K30" si="6">SUM(D31:D36)</f>
        <v>15835000</v>
      </c>
      <c r="E30" s="1821">
        <f t="shared" si="6"/>
        <v>16076000</v>
      </c>
      <c r="F30" s="1820">
        <f t="shared" si="6"/>
        <v>12053000</v>
      </c>
      <c r="G30" s="1808">
        <f t="shared" si="6"/>
        <v>21857000</v>
      </c>
      <c r="H30" s="1819">
        <f t="shared" si="6"/>
        <v>21857000</v>
      </c>
      <c r="I30" s="1806">
        <f t="shared" si="6"/>
        <v>20576000</v>
      </c>
      <c r="J30" s="1808">
        <f t="shared" si="6"/>
        <v>13602000</v>
      </c>
      <c r="K30" s="1821">
        <f t="shared" si="6"/>
        <v>14215000</v>
      </c>
      <c r="L30" s="322"/>
    </row>
    <row r="31" spans="1:12" ht="11.25" customHeight="1" x14ac:dyDescent="0.25">
      <c r="A31" s="1841" t="s">
        <v>1669</v>
      </c>
      <c r="B31" s="144" t="s">
        <v>3108</v>
      </c>
      <c r="C31" s="1836">
        <v>-1</v>
      </c>
      <c r="D31" s="1836">
        <v>0</v>
      </c>
      <c r="E31" s="1837">
        <v>0</v>
      </c>
      <c r="F31" s="1838">
        <v>-1143000</v>
      </c>
      <c r="G31" s="1836">
        <v>-1143000</v>
      </c>
      <c r="H31" s="1839">
        <v>-1143000</v>
      </c>
      <c r="I31" s="1840">
        <v>-1329000</v>
      </c>
      <c r="J31" s="1836">
        <v>-1329000</v>
      </c>
      <c r="K31" s="1837">
        <v>-1329000</v>
      </c>
      <c r="L31" s="322"/>
    </row>
    <row r="32" spans="1:12" ht="11.25" customHeight="1" x14ac:dyDescent="0.25">
      <c r="A32" s="1841" t="s">
        <v>1679</v>
      </c>
      <c r="B32" s="144" t="s">
        <v>3108</v>
      </c>
      <c r="C32" s="1760">
        <v>0</v>
      </c>
      <c r="D32" s="1760">
        <v>0</v>
      </c>
      <c r="E32" s="1761">
        <v>0</v>
      </c>
      <c r="F32" s="1762">
        <v>-2800000</v>
      </c>
      <c r="G32" s="1760">
        <v>-2800000</v>
      </c>
      <c r="H32" s="1763">
        <v>-2800000</v>
      </c>
      <c r="I32" s="1764">
        <v>-2850000</v>
      </c>
      <c r="J32" s="1760">
        <v>-2850000</v>
      </c>
      <c r="K32" s="1761">
        <v>-2850000</v>
      </c>
      <c r="L32" s="322"/>
    </row>
    <row r="33" spans="1:15" ht="11.25" customHeight="1" x14ac:dyDescent="0.25">
      <c r="A33" s="1841" t="s">
        <v>1677</v>
      </c>
      <c r="B33" s="144"/>
      <c r="C33" s="1760">
        <v>16285000</v>
      </c>
      <c r="D33" s="1760">
        <v>15835000</v>
      </c>
      <c r="E33" s="1761">
        <v>16076000</v>
      </c>
      <c r="F33" s="1762">
        <v>15996000</v>
      </c>
      <c r="G33" s="1760">
        <v>25800000</v>
      </c>
      <c r="H33" s="1763">
        <v>25800000</v>
      </c>
      <c r="I33" s="1764">
        <v>24755000</v>
      </c>
      <c r="J33" s="1760">
        <v>17781000</v>
      </c>
      <c r="K33" s="1761">
        <v>18394000</v>
      </c>
      <c r="L33" s="322"/>
    </row>
    <row r="34" spans="1:15" ht="11.25" customHeight="1" x14ac:dyDescent="0.25">
      <c r="A34" s="1841"/>
      <c r="B34" s="144"/>
      <c r="C34" s="1760"/>
      <c r="D34" s="1760"/>
      <c r="E34" s="1761"/>
      <c r="F34" s="1762"/>
      <c r="G34" s="1760"/>
      <c r="H34" s="1763"/>
      <c r="I34" s="1764"/>
      <c r="J34" s="1760"/>
      <c r="K34" s="1761"/>
      <c r="L34" s="322"/>
    </row>
    <row r="35" spans="1:15" ht="11.25" customHeight="1" x14ac:dyDescent="0.25">
      <c r="A35" s="1841"/>
      <c r="B35" s="144"/>
      <c r="C35" s="1760"/>
      <c r="D35" s="1760"/>
      <c r="E35" s="1761"/>
      <c r="F35" s="1762"/>
      <c r="G35" s="1760"/>
      <c r="H35" s="1763"/>
      <c r="I35" s="1764"/>
      <c r="J35" s="1760"/>
      <c r="K35" s="1761"/>
      <c r="L35" s="322"/>
    </row>
    <row r="36" spans="1:15" ht="11.25" customHeight="1" x14ac:dyDescent="0.25">
      <c r="A36" s="1841" t="s">
        <v>762</v>
      </c>
      <c r="B36" s="144"/>
      <c r="C36" s="1842"/>
      <c r="D36" s="1842"/>
      <c r="E36" s="1843"/>
      <c r="F36" s="1844"/>
      <c r="G36" s="1842"/>
      <c r="H36" s="1845"/>
      <c r="I36" s="1846"/>
      <c r="J36" s="1842"/>
      <c r="K36" s="1843"/>
      <c r="L36" s="322"/>
    </row>
    <row r="37" spans="1:15" ht="18" customHeight="1" x14ac:dyDescent="0.25">
      <c r="A37" s="1857" t="str">
        <f>A15</f>
        <v>Provincial Government:</v>
      </c>
      <c r="B37" s="144"/>
      <c r="C37" s="1808">
        <f>SUM(C38)</f>
        <v>0</v>
      </c>
      <c r="D37" s="1808">
        <f t="shared" ref="D37:K37" si="7">SUM(D38)</f>
        <v>0</v>
      </c>
      <c r="E37" s="1821">
        <f t="shared" si="7"/>
        <v>0</v>
      </c>
      <c r="F37" s="1820">
        <f t="shared" si="7"/>
        <v>0</v>
      </c>
      <c r="G37" s="1808">
        <f t="shared" si="7"/>
        <v>0</v>
      </c>
      <c r="H37" s="1819">
        <f t="shared" si="7"/>
        <v>0</v>
      </c>
      <c r="I37" s="1806">
        <f t="shared" si="7"/>
        <v>0</v>
      </c>
      <c r="J37" s="1808">
        <f t="shared" si="7"/>
        <v>0</v>
      </c>
      <c r="K37" s="1821">
        <f t="shared" si="7"/>
        <v>0</v>
      </c>
      <c r="L37" s="322"/>
      <c r="O37" s="322"/>
    </row>
    <row r="38" spans="1:15" ht="25.5" x14ac:dyDescent="0.25">
      <c r="A38" s="1858" t="s">
        <v>1422</v>
      </c>
      <c r="B38" s="144"/>
      <c r="C38" s="1859"/>
      <c r="D38" s="1859"/>
      <c r="E38" s="1860"/>
      <c r="F38" s="1861"/>
      <c r="G38" s="1859"/>
      <c r="H38" s="1862"/>
      <c r="I38" s="1863"/>
      <c r="J38" s="1859"/>
      <c r="K38" s="1860"/>
      <c r="L38" s="322"/>
    </row>
    <row r="39" spans="1:15" x14ac:dyDescent="0.25">
      <c r="A39" s="1858"/>
      <c r="B39" s="144"/>
      <c r="C39" s="1760"/>
      <c r="D39" s="1760"/>
      <c r="E39" s="1761"/>
      <c r="F39" s="1762"/>
      <c r="G39" s="1760"/>
      <c r="H39" s="1763"/>
      <c r="I39" s="1764"/>
      <c r="J39" s="1760"/>
      <c r="K39" s="1761"/>
      <c r="L39" s="322"/>
    </row>
    <row r="40" spans="1:15" x14ac:dyDescent="0.25">
      <c r="A40" s="1858"/>
      <c r="B40" s="144"/>
      <c r="C40" s="1760"/>
      <c r="D40" s="1760"/>
      <c r="E40" s="1761"/>
      <c r="F40" s="1762"/>
      <c r="G40" s="1760"/>
      <c r="H40" s="1763"/>
      <c r="I40" s="1764"/>
      <c r="J40" s="1760"/>
      <c r="K40" s="1761"/>
      <c r="L40" s="322"/>
    </row>
    <row r="41" spans="1:15" ht="18" customHeight="1" x14ac:dyDescent="0.25">
      <c r="A41" s="1835" t="str">
        <f>A21</f>
        <v>District Municipality:</v>
      </c>
      <c r="B41" s="144"/>
      <c r="C41" s="1808">
        <f t="shared" ref="C41:K41" si="8">SUM(C42:C43)</f>
        <v>0</v>
      </c>
      <c r="D41" s="1808">
        <f t="shared" si="8"/>
        <v>0</v>
      </c>
      <c r="E41" s="1821">
        <f t="shared" si="8"/>
        <v>0</v>
      </c>
      <c r="F41" s="1820">
        <f t="shared" si="8"/>
        <v>0</v>
      </c>
      <c r="G41" s="1808">
        <f t="shared" si="8"/>
        <v>0</v>
      </c>
      <c r="H41" s="1819">
        <f t="shared" si="8"/>
        <v>0</v>
      </c>
      <c r="I41" s="1806">
        <f t="shared" si="8"/>
        <v>0</v>
      </c>
      <c r="J41" s="1808">
        <f t="shared" si="8"/>
        <v>0</v>
      </c>
      <c r="K41" s="1821">
        <f t="shared" si="8"/>
        <v>0</v>
      </c>
      <c r="L41" s="322"/>
    </row>
    <row r="42" spans="1:15" ht="11.25" customHeight="1" x14ac:dyDescent="0.25">
      <c r="A42" s="1847" t="str">
        <f>A22</f>
        <v xml:space="preserve">  [insert description]</v>
      </c>
      <c r="B42" s="144"/>
      <c r="C42" s="1836"/>
      <c r="D42" s="1836"/>
      <c r="E42" s="1837"/>
      <c r="F42" s="1838"/>
      <c r="G42" s="1836"/>
      <c r="H42" s="1839"/>
      <c r="I42" s="1840"/>
      <c r="J42" s="1836"/>
      <c r="K42" s="1837"/>
      <c r="L42" s="322"/>
    </row>
    <row r="43" spans="1:15" ht="11.25" customHeight="1" x14ac:dyDescent="0.25">
      <c r="A43" s="1847"/>
      <c r="B43" s="144"/>
      <c r="C43" s="1842"/>
      <c r="D43" s="1842"/>
      <c r="E43" s="1843"/>
      <c r="F43" s="1844"/>
      <c r="G43" s="1842"/>
      <c r="H43" s="1845"/>
      <c r="I43" s="1846"/>
      <c r="J43" s="1842"/>
      <c r="K43" s="1843"/>
      <c r="L43" s="322"/>
    </row>
    <row r="44" spans="1:15" ht="18" customHeight="1" x14ac:dyDescent="0.25">
      <c r="A44" s="1835" t="str">
        <f>A24</f>
        <v>Other grant providers:</v>
      </c>
      <c r="B44" s="144"/>
      <c r="C44" s="1808">
        <f>SUM(C45:C46)</f>
        <v>0</v>
      </c>
      <c r="D44" s="1808">
        <f t="shared" ref="D44:K44" si="9">SUM(D45:D46)</f>
        <v>0</v>
      </c>
      <c r="E44" s="1821">
        <f t="shared" si="9"/>
        <v>0</v>
      </c>
      <c r="F44" s="1820">
        <f t="shared" si="9"/>
        <v>0</v>
      </c>
      <c r="G44" s="1808">
        <f t="shared" si="9"/>
        <v>0</v>
      </c>
      <c r="H44" s="1819">
        <f t="shared" si="9"/>
        <v>0</v>
      </c>
      <c r="I44" s="1806">
        <f t="shared" si="9"/>
        <v>0</v>
      </c>
      <c r="J44" s="1808">
        <f t="shared" si="9"/>
        <v>0</v>
      </c>
      <c r="K44" s="1821">
        <f t="shared" si="9"/>
        <v>0</v>
      </c>
      <c r="L44" s="322"/>
    </row>
    <row r="45" spans="1:15" ht="11.25" customHeight="1" x14ac:dyDescent="0.25">
      <c r="A45" s="1847" t="str">
        <f>LEFT(A25,22)</f>
        <v xml:space="preserve">  [insert description]</v>
      </c>
      <c r="B45" s="144"/>
      <c r="C45" s="1836"/>
      <c r="D45" s="1836"/>
      <c r="E45" s="1837"/>
      <c r="F45" s="1838"/>
      <c r="G45" s="1836"/>
      <c r="H45" s="1839"/>
      <c r="I45" s="1840"/>
      <c r="J45" s="1836"/>
      <c r="K45" s="1837"/>
      <c r="L45" s="322"/>
    </row>
    <row r="46" spans="1:15" ht="11.25" customHeight="1" x14ac:dyDescent="0.25">
      <c r="A46" s="1847"/>
      <c r="B46" s="144"/>
      <c r="C46" s="1842"/>
      <c r="D46" s="1842"/>
      <c r="E46" s="1843"/>
      <c r="F46" s="1844"/>
      <c r="G46" s="1842"/>
      <c r="H46" s="1845"/>
      <c r="I46" s="1846"/>
      <c r="J46" s="1842"/>
      <c r="K46" s="1843"/>
      <c r="L46" s="322"/>
    </row>
    <row r="47" spans="1:15" ht="15.75" customHeight="1" x14ac:dyDescent="0.25">
      <c r="A47" s="1864" t="s">
        <v>312</v>
      </c>
      <c r="B47" s="1865">
        <v>5</v>
      </c>
      <c r="C47" s="1808">
        <f t="shared" ref="C47:K47" si="10">C30+C37+C41+C44</f>
        <v>16284999</v>
      </c>
      <c r="D47" s="1808">
        <f t="shared" si="10"/>
        <v>15835000</v>
      </c>
      <c r="E47" s="1821">
        <f t="shared" si="10"/>
        <v>16076000</v>
      </c>
      <c r="F47" s="1820">
        <f t="shared" si="10"/>
        <v>12053000</v>
      </c>
      <c r="G47" s="1808">
        <f t="shared" si="10"/>
        <v>21857000</v>
      </c>
      <c r="H47" s="1819">
        <f t="shared" si="10"/>
        <v>21857000</v>
      </c>
      <c r="I47" s="1806">
        <f t="shared" si="10"/>
        <v>20576000</v>
      </c>
      <c r="J47" s="1808">
        <f t="shared" si="10"/>
        <v>13602000</v>
      </c>
      <c r="K47" s="1821">
        <f t="shared" si="10"/>
        <v>14215000</v>
      </c>
      <c r="L47" s="322"/>
    </row>
    <row r="48" spans="1:15" s="1856" customFormat="1" ht="16.5" customHeight="1" x14ac:dyDescent="0.2">
      <c r="A48" s="1866" t="s">
        <v>313</v>
      </c>
      <c r="B48" s="1867"/>
      <c r="C48" s="1868">
        <f t="shared" ref="C48:K48" si="11">C27+C47</f>
        <v>81874999</v>
      </c>
      <c r="D48" s="1868">
        <f t="shared" si="11"/>
        <v>76002000</v>
      </c>
      <c r="E48" s="1869">
        <f t="shared" si="11"/>
        <v>84398000</v>
      </c>
      <c r="F48" s="1870">
        <f t="shared" si="11"/>
        <v>92142000</v>
      </c>
      <c r="G48" s="1868">
        <f t="shared" si="11"/>
        <v>112351000</v>
      </c>
      <c r="H48" s="1871">
        <f t="shared" si="11"/>
        <v>112351000</v>
      </c>
      <c r="I48" s="1872">
        <f t="shared" si="11"/>
        <v>115245000</v>
      </c>
      <c r="J48" s="1868">
        <f t="shared" si="11"/>
        <v>100358000</v>
      </c>
      <c r="K48" s="1869">
        <f t="shared" si="11"/>
        <v>105625000</v>
      </c>
      <c r="L48" s="1855"/>
    </row>
    <row r="49" spans="1:12" x14ac:dyDescent="0.25">
      <c r="A49" s="188" t="str">
        <f>head27a</f>
        <v>References</v>
      </c>
      <c r="B49" s="189"/>
      <c r="C49" s="193"/>
      <c r="D49" s="193"/>
      <c r="E49" s="193"/>
      <c r="F49" s="193"/>
      <c r="G49" s="193"/>
      <c r="H49" s="193"/>
      <c r="I49" s="193"/>
      <c r="J49" s="193"/>
      <c r="K49" s="193"/>
      <c r="L49" s="322"/>
    </row>
    <row r="50" spans="1:12" ht="11.25" customHeight="1" x14ac:dyDescent="0.25">
      <c r="A50" s="154" t="s">
        <v>258</v>
      </c>
      <c r="B50" s="189"/>
      <c r="C50" s="192"/>
      <c r="D50" s="192"/>
      <c r="E50" s="193"/>
      <c r="F50" s="193"/>
      <c r="G50" s="193"/>
      <c r="H50" s="193"/>
      <c r="I50" s="193"/>
      <c r="J50" s="193"/>
      <c r="K50" s="193"/>
    </row>
    <row r="51" spans="1:12" ht="11.25" customHeight="1" x14ac:dyDescent="0.25">
      <c r="A51" s="151" t="s">
        <v>1226</v>
      </c>
      <c r="B51" s="189"/>
      <c r="C51" s="192"/>
      <c r="D51" s="192"/>
      <c r="E51" s="193"/>
      <c r="F51" s="193"/>
      <c r="G51" s="193"/>
      <c r="H51" s="193"/>
      <c r="I51" s="193"/>
      <c r="J51" s="193"/>
      <c r="K51" s="193"/>
    </row>
    <row r="52" spans="1:12" ht="11.25" customHeight="1" x14ac:dyDescent="0.25">
      <c r="A52" s="151" t="s">
        <v>509</v>
      </c>
      <c r="B52" s="189"/>
      <c r="C52" s="192"/>
      <c r="D52" s="192"/>
      <c r="E52" s="193"/>
      <c r="F52" s="193"/>
      <c r="G52" s="193"/>
      <c r="H52" s="193"/>
      <c r="I52" s="193"/>
      <c r="J52" s="193"/>
      <c r="K52" s="193"/>
    </row>
    <row r="53" spans="1:12" ht="11.25" customHeight="1" x14ac:dyDescent="0.25">
      <c r="A53" s="154" t="s">
        <v>1189</v>
      </c>
      <c r="B53" s="189"/>
      <c r="C53" s="192"/>
      <c r="D53" s="192"/>
      <c r="E53" s="193"/>
      <c r="F53" s="193"/>
      <c r="G53" s="193"/>
      <c r="H53" s="193"/>
      <c r="I53" s="193"/>
      <c r="J53" s="193"/>
      <c r="K53" s="193"/>
    </row>
    <row r="54" spans="1:12" ht="11.25" customHeight="1" x14ac:dyDescent="0.25">
      <c r="A54" s="685" t="s">
        <v>257</v>
      </c>
      <c r="B54" s="150"/>
      <c r="C54" s="221"/>
      <c r="D54" s="222"/>
      <c r="E54" s="221"/>
      <c r="F54" s="222"/>
      <c r="G54" s="221"/>
      <c r="H54" s="221"/>
      <c r="I54" s="221"/>
      <c r="J54" s="221"/>
      <c r="K54" s="221"/>
    </row>
    <row r="55" spans="1:12" ht="11.25" customHeight="1" x14ac:dyDescent="0.25">
      <c r="A55" s="685" t="s">
        <v>778</v>
      </c>
    </row>
    <row r="56" spans="1:12" ht="11.25" customHeight="1" x14ac:dyDescent="0.25"/>
    <row r="57" spans="1:12" ht="11.25" customHeight="1" x14ac:dyDescent="0.25"/>
    <row r="58" spans="1:12" ht="11.25" customHeight="1" x14ac:dyDescent="0.25"/>
    <row r="59" spans="1:12" ht="11.25" customHeight="1" x14ac:dyDescent="0.25"/>
    <row r="60" spans="1:12" ht="11.25" customHeight="1" x14ac:dyDescent="0.25"/>
    <row r="61" spans="1:12" ht="11.25" customHeight="1" x14ac:dyDescent="0.25"/>
    <row r="62" spans="1:12" ht="11.25" customHeight="1" x14ac:dyDescent="0.25"/>
    <row r="63" spans="1:12" ht="11.25" customHeight="1" x14ac:dyDescent="0.25"/>
    <row r="64" spans="1:12" ht="11.25" customHeight="1" x14ac:dyDescent="0.25"/>
    <row r="65" ht="11.25" customHeight="1" x14ac:dyDescent="0.25"/>
    <row r="66" ht="11.25" customHeight="1" x14ac:dyDescent="0.25"/>
    <row r="67" ht="11.25" customHeight="1" x14ac:dyDescent="0.25"/>
    <row r="68" ht="11.25" customHeight="1" x14ac:dyDescent="0.25"/>
    <row r="69" ht="11.25" customHeight="1" x14ac:dyDescent="0.25"/>
    <row r="70" ht="11.25" customHeight="1" x14ac:dyDescent="0.25"/>
    <row r="71" ht="11.25" customHeight="1" x14ac:dyDescent="0.25"/>
    <row r="72" ht="11.25" customHeight="1" x14ac:dyDescent="0.25"/>
    <row r="73" ht="11.25" customHeight="1" x14ac:dyDescent="0.25"/>
    <row r="74" ht="11.25" customHeight="1" x14ac:dyDescent="0.25"/>
    <row r="75" ht="11.25" customHeight="1" x14ac:dyDescent="0.25"/>
    <row r="76" ht="11.25" customHeight="1" x14ac:dyDescent="0.25"/>
    <row r="77" ht="11.25" customHeight="1" x14ac:dyDescent="0.25"/>
    <row r="78" ht="11.25" customHeight="1" x14ac:dyDescent="0.25"/>
    <row r="79" ht="11.25" customHeight="1" x14ac:dyDescent="0.25"/>
    <row r="80" ht="11.25" customHeight="1" x14ac:dyDescent="0.25"/>
    <row r="81" ht="11.25" customHeight="1" x14ac:dyDescent="0.25"/>
    <row r="82" ht="11.25" customHeight="1" x14ac:dyDescent="0.25"/>
    <row r="83" ht="11.25" customHeight="1" x14ac:dyDescent="0.25"/>
    <row r="84" ht="11.25" customHeight="1" x14ac:dyDescent="0.25"/>
    <row r="85" ht="11.25" customHeight="1" x14ac:dyDescent="0.25"/>
    <row r="86" ht="11.25" customHeight="1" x14ac:dyDescent="0.25"/>
    <row r="87" ht="11.25" customHeight="1" x14ac:dyDescent="0.25"/>
    <row r="88" ht="11.25" customHeight="1" x14ac:dyDescent="0.25"/>
  </sheetData>
  <mergeCells count="2">
    <mergeCell ref="F2:H2"/>
    <mergeCell ref="I2:K2"/>
  </mergeCells>
  <phoneticPr fontId="7" type="noConversion"/>
  <dataValidations xWindow="42844" yWindow="125" count="4">
    <dataValidation type="list" showInputMessage="1" showErrorMessage="1" prompt="Select transfer/grant description" sqref="A9:A13" xr:uid="{00000000-0002-0000-2700-000000000000}">
      <formula1>GrantNatOpex</formula1>
    </dataValidation>
    <dataValidation type="list" showInputMessage="1" showErrorMessage="1" prompt="Select transfer/grant description" sqref="A16:A19" xr:uid="{00000000-0002-0000-2700-000001000000}">
      <formula1>GrantProvOpex</formula1>
    </dataValidation>
    <dataValidation type="list" showInputMessage="1" showErrorMessage="1" prompt="Select transfer/grant description" sqref="A31:A35" xr:uid="{00000000-0002-0000-2700-000002000000}">
      <formula1>GrantNatCapex</formula1>
    </dataValidation>
    <dataValidation showInputMessage="1" showErrorMessage="1" prompt="Select transfer/grant description" sqref="A8" xr:uid="{00000000-0002-0000-2700-000003000000}"/>
  </dataValidations>
  <printOptions horizontalCentered="1"/>
  <pageMargins left="0" right="0" top="0.78740157480314965" bottom="0.59055118110236227" header="0.51181102362204722" footer="0.39370078740157483"/>
  <pageSetup paperSize="9" scale="91" orientation="portrait"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38">
    <pageSetUpPr fitToPage="1"/>
  </sheetPr>
  <dimension ref="A1:O80"/>
  <sheetViews>
    <sheetView showGridLines="0" zoomScale="110" zoomScaleNormal="110" workbookViewId="0">
      <pane xSplit="2" ySplit="3" topLeftCell="C4" activePane="bottomRight" state="frozen"/>
      <selection pane="topRight"/>
      <selection pane="bottomLeft"/>
      <selection pane="bottomRight" activeCell="C16" sqref="C16"/>
    </sheetView>
  </sheetViews>
  <sheetFormatPr defaultColWidth="9.140625" defaultRowHeight="12.75" x14ac:dyDescent="0.25"/>
  <cols>
    <col min="1" max="1" width="30.7109375" style="58" customWidth="1"/>
    <col min="2" max="2" width="3" style="55" customWidth="1"/>
    <col min="3" max="11" width="9.28515625" style="58" customWidth="1"/>
    <col min="12" max="12" width="9.7109375" style="58" customWidth="1"/>
    <col min="13" max="13" width="9.42578125" style="58" customWidth="1"/>
    <col min="14" max="14" width="9.7109375" style="58" customWidth="1"/>
    <col min="15" max="17" width="9.42578125" style="58" customWidth="1"/>
    <col min="18" max="18" width="9.7109375" style="58" customWidth="1"/>
    <col min="19" max="21" width="9.42578125" style="58" customWidth="1"/>
    <col min="22" max="23" width="9.7109375" style="58" customWidth="1"/>
    <col min="24" max="16384" width="9.140625" style="58"/>
  </cols>
  <sheetData>
    <row r="1" spans="1:11" ht="13.5" customHeight="1" x14ac:dyDescent="0.25">
      <c r="A1" s="92" t="str">
        <f>muni&amp;" - "&amp; TableA19</f>
        <v>KZN226 Mkhambathini - Supporting Table SA19 Expenditure on transfers and grant programme</v>
      </c>
      <c r="B1" s="92"/>
      <c r="C1" s="92"/>
      <c r="D1" s="92"/>
      <c r="E1" s="92"/>
      <c r="F1" s="92"/>
      <c r="G1" s="92"/>
      <c r="H1" s="92"/>
      <c r="I1" s="92"/>
      <c r="J1" s="92"/>
      <c r="K1" s="92"/>
    </row>
    <row r="2" spans="1:11" ht="28.5" customHeight="1" x14ac:dyDescent="0.25">
      <c r="A2" s="1829" t="str">
        <f>desc</f>
        <v>Description</v>
      </c>
      <c r="B2" s="155" t="str">
        <f>head27</f>
        <v>Ref</v>
      </c>
      <c r="C2" s="837" t="str">
        <f>head1b</f>
        <v>2017/18</v>
      </c>
      <c r="D2" s="561" t="str">
        <f>head1A</f>
        <v>2018/19</v>
      </c>
      <c r="E2" s="684" t="str">
        <f>Head1</f>
        <v>2019/20</v>
      </c>
      <c r="F2" s="2447" t="str">
        <f>Head2</f>
        <v>Current Year 2020/21</v>
      </c>
      <c r="G2" s="2448"/>
      <c r="H2" s="2449"/>
      <c r="I2" s="2450" t="str">
        <f>Head3</f>
        <v>2021/22 Medium Term Revenue &amp; Expenditure Framework</v>
      </c>
      <c r="J2" s="2451"/>
      <c r="K2" s="2452"/>
    </row>
    <row r="3" spans="1:11" ht="25.5" x14ac:dyDescent="0.25">
      <c r="A3" s="156" t="s">
        <v>568</v>
      </c>
      <c r="B3" s="157"/>
      <c r="C3" s="698" t="str">
        <f>Head5</f>
        <v>Audited Outcome</v>
      </c>
      <c r="D3" s="562" t="str">
        <f>Head5</f>
        <v>Audited Outcome</v>
      </c>
      <c r="E3" s="94" t="str">
        <f>Head5</f>
        <v>Audited Outcome</v>
      </c>
      <c r="F3" s="95" t="str">
        <f>Head6</f>
        <v>Original Budget</v>
      </c>
      <c r="G3" s="698" t="str">
        <f>Head7</f>
        <v>Adjusted Budget</v>
      </c>
      <c r="H3" s="94" t="str">
        <f>Head8</f>
        <v>Full Year Forecast</v>
      </c>
      <c r="I3" s="95" t="str">
        <f>Head9</f>
        <v>Budget Year 2021/22</v>
      </c>
      <c r="J3" s="698" t="str">
        <f>Head10</f>
        <v>Budget Year +1 2022/23</v>
      </c>
      <c r="K3" s="94" t="str">
        <f>Head11</f>
        <v>Budget Year +2 2023/24</v>
      </c>
    </row>
    <row r="4" spans="1:11" ht="11.25" customHeight="1" x14ac:dyDescent="0.25">
      <c r="A4" s="145" t="s">
        <v>259</v>
      </c>
      <c r="B4" s="205">
        <v>1</v>
      </c>
      <c r="C4" s="1830"/>
      <c r="D4" s="1830"/>
      <c r="E4" s="1831"/>
      <c r="F4" s="1832"/>
      <c r="G4" s="1830"/>
      <c r="H4" s="1833"/>
      <c r="I4" s="1834"/>
      <c r="J4" s="1830"/>
      <c r="K4" s="1831"/>
    </row>
    <row r="5" spans="1:11" ht="4.9000000000000004" customHeight="1" x14ac:dyDescent="0.25">
      <c r="A5" s="96"/>
      <c r="B5" s="144"/>
      <c r="C5" s="1808"/>
      <c r="D5" s="1808"/>
      <c r="E5" s="1821"/>
      <c r="F5" s="1820"/>
      <c r="G5" s="1808"/>
      <c r="H5" s="1819"/>
      <c r="I5" s="1806"/>
      <c r="J5" s="1808"/>
      <c r="K5" s="1821"/>
    </row>
    <row r="6" spans="1:11" ht="11.25" customHeight="1" x14ac:dyDescent="0.25">
      <c r="A6" s="96" t="s">
        <v>305</v>
      </c>
      <c r="B6" s="144"/>
      <c r="C6" s="1808"/>
      <c r="D6" s="1808"/>
      <c r="E6" s="1821"/>
      <c r="F6" s="1820"/>
      <c r="G6" s="1808"/>
      <c r="H6" s="1819"/>
      <c r="I6" s="1806"/>
      <c r="J6" s="1808"/>
      <c r="K6" s="1821"/>
    </row>
    <row r="7" spans="1:11" ht="18" customHeight="1" x14ac:dyDescent="0.25">
      <c r="A7" s="1835" t="str">
        <f>'SA18'!A7</f>
        <v>National Government:</v>
      </c>
      <c r="B7" s="144"/>
      <c r="C7" s="1808">
        <f>SUM(C8:C14)</f>
        <v>64326000</v>
      </c>
      <c r="D7" s="1808">
        <f t="shared" ref="D7:K7" si="0">SUM(D8:D14)</f>
        <v>58550000</v>
      </c>
      <c r="E7" s="1821">
        <f t="shared" si="0"/>
        <v>66608000</v>
      </c>
      <c r="F7" s="1820">
        <f t="shared" si="0"/>
        <v>78273000</v>
      </c>
      <c r="G7" s="1808">
        <f t="shared" si="0"/>
        <v>88678000</v>
      </c>
      <c r="H7" s="1819">
        <f>SUM(H8:H14)</f>
        <v>88678000</v>
      </c>
      <c r="I7" s="1806">
        <f>SUM(I8:I14)</f>
        <v>92759000</v>
      </c>
      <c r="J7" s="1808">
        <f t="shared" si="0"/>
        <v>84752000</v>
      </c>
      <c r="K7" s="1821">
        <f t="shared" si="0"/>
        <v>91410000</v>
      </c>
    </row>
    <row r="8" spans="1:11" ht="11.25" customHeight="1" x14ac:dyDescent="0.25">
      <c r="A8" s="1873" t="str">
        <f>IF('SA18'!A8="","",'SA18'!A8)</f>
        <v>Local Government Equitable Share</v>
      </c>
      <c r="B8" s="144"/>
      <c r="C8" s="1836">
        <v>51173000</v>
      </c>
      <c r="D8" s="1836">
        <v>55546000</v>
      </c>
      <c r="E8" s="1837">
        <v>62733000</v>
      </c>
      <c r="F8" s="1838">
        <v>67330000</v>
      </c>
      <c r="G8" s="1836">
        <v>79735000</v>
      </c>
      <c r="H8" s="1839">
        <v>79735000</v>
      </c>
      <c r="I8" s="1840">
        <v>70470000</v>
      </c>
      <c r="J8" s="1836">
        <v>72423000</v>
      </c>
      <c r="K8" s="1837">
        <v>76881000</v>
      </c>
    </row>
    <row r="9" spans="1:11" ht="11.25" customHeight="1" x14ac:dyDescent="0.25">
      <c r="A9" s="2404" t="str">
        <f>IF([4]SA18!A9="","",[4]SA18!A9)</f>
        <v xml:space="preserve">Finance Management </v>
      </c>
      <c r="B9" s="144"/>
      <c r="C9" s="1760">
        <v>1900000</v>
      </c>
      <c r="D9" s="1760">
        <v>1970000</v>
      </c>
      <c r="E9" s="1761">
        <v>2435000</v>
      </c>
      <c r="F9" s="1762">
        <v>2800000</v>
      </c>
      <c r="G9" s="1760">
        <v>2800000</v>
      </c>
      <c r="H9" s="1763">
        <v>2800000</v>
      </c>
      <c r="I9" s="1764">
        <v>2850000</v>
      </c>
      <c r="J9" s="1760">
        <v>3000000</v>
      </c>
      <c r="K9" s="1761">
        <v>3200000</v>
      </c>
    </row>
    <row r="10" spans="1:11" ht="11.25" customHeight="1" x14ac:dyDescent="0.25">
      <c r="A10" s="2404" t="str">
        <f>IF([4]SA18!A10="","",[4]SA18!A10)</f>
        <v>Municipal Systems Improvement</v>
      </c>
      <c r="B10" s="144"/>
      <c r="C10" s="1760">
        <v>0</v>
      </c>
      <c r="D10" s="1760"/>
      <c r="E10" s="1761"/>
      <c r="F10" s="1762"/>
      <c r="G10" s="1760"/>
      <c r="H10" s="1763"/>
      <c r="I10" s="1764"/>
      <c r="J10" s="1760"/>
      <c r="K10" s="1761"/>
    </row>
    <row r="11" spans="1:11" ht="11.25" customHeight="1" x14ac:dyDescent="0.25">
      <c r="A11" s="2404" t="str">
        <f>IF([4]SA18!A11="","",[4]SA18!A11)</f>
        <v>Integrated National Electrification Programme</v>
      </c>
      <c r="B11" s="144"/>
      <c r="C11" s="1760">
        <v>10000000</v>
      </c>
      <c r="D11" s="1760">
        <v>0</v>
      </c>
      <c r="E11" s="1761"/>
      <c r="F11" s="1762">
        <v>7000000</v>
      </c>
      <c r="G11" s="1760">
        <v>5000000</v>
      </c>
      <c r="H11" s="1763">
        <v>5000000</v>
      </c>
      <c r="I11" s="1764">
        <v>18110000</v>
      </c>
      <c r="J11" s="1760">
        <v>8000000</v>
      </c>
      <c r="K11" s="1761">
        <v>10000000</v>
      </c>
    </row>
    <row r="12" spans="1:11" ht="11.25" customHeight="1" x14ac:dyDescent="0.25">
      <c r="A12" s="2404" t="str">
        <f>IF([4]SA18!A12="","",[4]SA18!A12)</f>
        <v>EPWP Incentive</v>
      </c>
      <c r="B12" s="144"/>
      <c r="C12" s="1760">
        <v>1253000</v>
      </c>
      <c r="D12" s="1760">
        <v>1034000</v>
      </c>
      <c r="E12" s="1761">
        <v>1440000</v>
      </c>
      <c r="F12" s="1762">
        <v>1143000</v>
      </c>
      <c r="G12" s="1760">
        <v>1143000</v>
      </c>
      <c r="H12" s="1763">
        <v>1143000</v>
      </c>
      <c r="I12" s="1764">
        <v>1329000</v>
      </c>
      <c r="J12" s="1760">
        <v>1329000</v>
      </c>
      <c r="K12" s="1761">
        <v>1329000</v>
      </c>
    </row>
    <row r="13" spans="1:11" ht="11.25" customHeight="1" x14ac:dyDescent="0.25">
      <c r="A13" s="1873" t="str">
        <f>IF('SA18'!A13="","",'SA18'!A13)</f>
        <v/>
      </c>
      <c r="B13" s="144"/>
      <c r="C13" s="1760"/>
      <c r="D13" s="1760"/>
      <c r="E13" s="1761"/>
      <c r="F13" s="1762"/>
      <c r="G13" s="1760"/>
      <c r="H13" s="1763"/>
      <c r="I13" s="1764"/>
      <c r="J13" s="1760"/>
      <c r="K13" s="1761"/>
    </row>
    <row r="14" spans="1:11" ht="11.25" customHeight="1" x14ac:dyDescent="0.25">
      <c r="A14" s="1841" t="str">
        <f>'SA18'!A14</f>
        <v xml:space="preserve">  Other transfers/grants [insert description]</v>
      </c>
      <c r="B14" s="144"/>
      <c r="C14" s="1842"/>
      <c r="D14" s="1842"/>
      <c r="E14" s="1843">
        <v>0</v>
      </c>
      <c r="F14" s="1844"/>
      <c r="G14" s="1842"/>
      <c r="H14" s="1845"/>
      <c r="I14" s="1846"/>
      <c r="J14" s="1842"/>
      <c r="K14" s="1843"/>
    </row>
    <row r="15" spans="1:11" ht="18" customHeight="1" x14ac:dyDescent="0.25">
      <c r="A15" s="1835" t="str">
        <f>'SA18'!A15</f>
        <v>Provincial Government:</v>
      </c>
      <c r="B15" s="144"/>
      <c r="C15" s="1808">
        <f>SUM(C16:C20)</f>
        <v>1264000</v>
      </c>
      <c r="D15" s="1808">
        <f t="shared" ref="D15:K15" si="1">SUM(D16:D20)</f>
        <v>1617000</v>
      </c>
      <c r="E15" s="1821">
        <f t="shared" si="1"/>
        <v>1714000</v>
      </c>
      <c r="F15" s="1820">
        <f t="shared" si="1"/>
        <v>1816000</v>
      </c>
      <c r="G15" s="1808">
        <f t="shared" si="1"/>
        <v>1816000</v>
      </c>
      <c r="H15" s="1819">
        <f t="shared" si="1"/>
        <v>1816000</v>
      </c>
      <c r="I15" s="1806">
        <f t="shared" si="1"/>
        <v>1910000</v>
      </c>
      <c r="J15" s="1808">
        <f t="shared" si="1"/>
        <v>2004000</v>
      </c>
      <c r="K15" s="1821">
        <f t="shared" si="1"/>
        <v>0</v>
      </c>
    </row>
    <row r="16" spans="1:11" ht="11.25" customHeight="1" x14ac:dyDescent="0.25">
      <c r="A16" s="2404" t="str">
        <f>IF([4]SA18!A16="","",[4]SA18!A16)</f>
        <v>Liblary Grant</v>
      </c>
      <c r="B16" s="144"/>
      <c r="C16" s="1836">
        <v>1264000</v>
      </c>
      <c r="D16" s="2405">
        <v>1617000</v>
      </c>
      <c r="E16" s="1837">
        <v>1714000</v>
      </c>
      <c r="F16" s="1838">
        <v>1816000</v>
      </c>
      <c r="G16" s="1836">
        <v>1816000</v>
      </c>
      <c r="H16" s="1839">
        <v>1816000</v>
      </c>
      <c r="I16" s="1840">
        <v>1910000</v>
      </c>
      <c r="J16" s="1836">
        <v>2004000</v>
      </c>
      <c r="K16" s="1837"/>
    </row>
    <row r="17" spans="1:12" ht="11.25" customHeight="1" x14ac:dyDescent="0.25">
      <c r="A17" s="2404" t="str">
        <f>IF([4]SA18!A17="","",[4]SA18!A17)</f>
        <v>Spatial Development Framework Support</v>
      </c>
      <c r="B17" s="144"/>
      <c r="C17" s="1760"/>
      <c r="D17" s="1760"/>
      <c r="E17" s="1761"/>
      <c r="F17" s="1762"/>
      <c r="G17" s="1760"/>
      <c r="H17" s="1763"/>
      <c r="I17" s="1764"/>
      <c r="J17" s="1760"/>
      <c r="K17" s="1761"/>
    </row>
    <row r="18" spans="1:12" ht="11.25" customHeight="1" x14ac:dyDescent="0.25">
      <c r="A18" s="2404" t="str">
        <f>IF([4]SA18!A18="","",[4]SA18!A18)</f>
        <v>Planning Scheme Support</v>
      </c>
      <c r="B18" s="144"/>
      <c r="C18" s="1760"/>
      <c r="D18" s="1760"/>
      <c r="E18" s="1761"/>
      <c r="F18" s="1762"/>
      <c r="G18" s="1760"/>
      <c r="H18" s="1763"/>
      <c r="I18" s="1764"/>
      <c r="J18" s="1760"/>
      <c r="K18" s="1761"/>
    </row>
    <row r="19" spans="1:12" ht="11.25" customHeight="1" x14ac:dyDescent="0.25">
      <c r="A19" s="2404" t="str">
        <f>IF([4]SA18!A19="","",[4]SA18!A19)</f>
        <v>Sports and recreation Subsidy</v>
      </c>
      <c r="B19" s="144"/>
      <c r="C19" s="1760"/>
      <c r="D19" s="1760"/>
      <c r="E19" s="1761"/>
      <c r="F19" s="1762"/>
      <c r="G19" s="1760"/>
      <c r="H19" s="1763"/>
      <c r="I19" s="1764"/>
      <c r="J19" s="1760"/>
      <c r="K19" s="1761"/>
    </row>
    <row r="20" spans="1:12" ht="11.25" customHeight="1" x14ac:dyDescent="0.25">
      <c r="A20" s="1841" t="str">
        <f>'SA18'!A20</f>
        <v>Library Grant</v>
      </c>
      <c r="B20" s="144"/>
      <c r="C20" s="1842"/>
      <c r="D20" s="1842"/>
      <c r="E20" s="1843"/>
      <c r="F20" s="1844"/>
      <c r="G20" s="1842"/>
      <c r="H20" s="1845"/>
      <c r="I20" s="1846"/>
      <c r="J20" s="1842"/>
      <c r="K20" s="1843"/>
      <c r="L20" s="322"/>
    </row>
    <row r="21" spans="1:12" ht="18" customHeight="1" x14ac:dyDescent="0.25">
      <c r="A21" s="1835" t="str">
        <f>'SA18'!A21</f>
        <v>District Municipality:</v>
      </c>
      <c r="B21" s="144"/>
      <c r="C21" s="1808">
        <f>SUM(C22:C23)</f>
        <v>0</v>
      </c>
      <c r="D21" s="1808">
        <f t="shared" ref="D21:K21" si="2">SUM(D22:D23)</f>
        <v>0</v>
      </c>
      <c r="E21" s="1821">
        <f t="shared" si="2"/>
        <v>0</v>
      </c>
      <c r="F21" s="1820">
        <f t="shared" si="2"/>
        <v>0</v>
      </c>
      <c r="G21" s="1808">
        <f t="shared" si="2"/>
        <v>0</v>
      </c>
      <c r="H21" s="1819">
        <f t="shared" si="2"/>
        <v>0</v>
      </c>
      <c r="I21" s="1806">
        <f t="shared" si="2"/>
        <v>0</v>
      </c>
      <c r="J21" s="1808">
        <f t="shared" si="2"/>
        <v>0</v>
      </c>
      <c r="K21" s="1821">
        <f t="shared" si="2"/>
        <v>0</v>
      </c>
      <c r="L21" s="322"/>
    </row>
    <row r="22" spans="1:12" ht="11.25" customHeight="1" x14ac:dyDescent="0.25">
      <c r="A22" s="1847" t="str">
        <f>'SA18'!A22</f>
        <v xml:space="preserve">  [insert description]</v>
      </c>
      <c r="B22" s="144"/>
      <c r="C22" s="1836"/>
      <c r="D22" s="1836"/>
      <c r="E22" s="1837"/>
      <c r="F22" s="1838"/>
      <c r="G22" s="1836"/>
      <c r="H22" s="1839"/>
      <c r="I22" s="1840"/>
      <c r="J22" s="1836"/>
      <c r="K22" s="1837"/>
      <c r="L22" s="322"/>
    </row>
    <row r="23" spans="1:12" ht="11.25" customHeight="1" x14ac:dyDescent="0.25">
      <c r="A23" s="1847"/>
      <c r="B23" s="144"/>
      <c r="C23" s="1842"/>
      <c r="D23" s="1842"/>
      <c r="E23" s="1843"/>
      <c r="F23" s="1844"/>
      <c r="G23" s="1842"/>
      <c r="H23" s="1845"/>
      <c r="I23" s="1846"/>
      <c r="J23" s="1842"/>
      <c r="K23" s="1843"/>
      <c r="L23" s="322"/>
    </row>
    <row r="24" spans="1:12" ht="18" customHeight="1" x14ac:dyDescent="0.25">
      <c r="A24" s="1835" t="str">
        <f>'SA18'!A24</f>
        <v>Other grant providers:</v>
      </c>
      <c r="B24" s="144"/>
      <c r="C24" s="1808">
        <f>SUM(C25:C26)</f>
        <v>0</v>
      </c>
      <c r="D24" s="1808">
        <f t="shared" ref="D24:K24" si="3">SUM(D25:D26)</f>
        <v>0</v>
      </c>
      <c r="E24" s="1821">
        <f t="shared" si="3"/>
        <v>0</v>
      </c>
      <c r="F24" s="1820">
        <f t="shared" si="3"/>
        <v>0</v>
      </c>
      <c r="G24" s="1808">
        <f t="shared" si="3"/>
        <v>0</v>
      </c>
      <c r="H24" s="1819">
        <f t="shared" si="3"/>
        <v>0</v>
      </c>
      <c r="I24" s="1806">
        <f t="shared" si="3"/>
        <v>0</v>
      </c>
      <c r="J24" s="1808">
        <f t="shared" si="3"/>
        <v>0</v>
      </c>
      <c r="K24" s="1821">
        <f t="shared" si="3"/>
        <v>0</v>
      </c>
      <c r="L24" s="322"/>
    </row>
    <row r="25" spans="1:12" ht="11.25" customHeight="1" x14ac:dyDescent="0.25">
      <c r="A25" s="1847" t="str">
        <f>'SA18'!A25</f>
        <v xml:space="preserve">  [insert description]</v>
      </c>
      <c r="B25" s="144"/>
      <c r="C25" s="1836"/>
      <c r="D25" s="1836"/>
      <c r="E25" s="1837"/>
      <c r="F25" s="1838"/>
      <c r="G25" s="1836"/>
      <c r="H25" s="1839"/>
      <c r="I25" s="1840"/>
      <c r="J25" s="1836"/>
      <c r="K25" s="1837"/>
      <c r="L25" s="322"/>
    </row>
    <row r="26" spans="1:12" ht="11.25" customHeight="1" x14ac:dyDescent="0.25">
      <c r="A26" s="1847"/>
      <c r="B26" s="144"/>
      <c r="C26" s="1842"/>
      <c r="D26" s="1842"/>
      <c r="E26" s="1843"/>
      <c r="F26" s="1844"/>
      <c r="G26" s="1842"/>
      <c r="H26" s="1845"/>
      <c r="I26" s="1846"/>
      <c r="J26" s="1842"/>
      <c r="K26" s="1843"/>
      <c r="L26" s="322"/>
    </row>
    <row r="27" spans="1:12" s="1856" customFormat="1" ht="15.75" customHeight="1" x14ac:dyDescent="0.2">
      <c r="A27" s="1848" t="s">
        <v>306</v>
      </c>
      <c r="B27" s="1849"/>
      <c r="C27" s="1850">
        <f t="shared" ref="C27:K27" si="4">C7+C15+C21+C24</f>
        <v>65590000</v>
      </c>
      <c r="D27" s="1850">
        <f t="shared" si="4"/>
        <v>60167000</v>
      </c>
      <c r="E27" s="1851">
        <f t="shared" si="4"/>
        <v>68322000</v>
      </c>
      <c r="F27" s="1852">
        <f t="shared" si="4"/>
        <v>80089000</v>
      </c>
      <c r="G27" s="1850">
        <f t="shared" si="4"/>
        <v>90494000</v>
      </c>
      <c r="H27" s="1853">
        <f t="shared" si="4"/>
        <v>90494000</v>
      </c>
      <c r="I27" s="1854">
        <f t="shared" si="4"/>
        <v>94669000</v>
      </c>
      <c r="J27" s="1850">
        <f t="shared" si="4"/>
        <v>86756000</v>
      </c>
      <c r="K27" s="1851">
        <f t="shared" si="4"/>
        <v>91410000</v>
      </c>
      <c r="L27" s="1855"/>
    </row>
    <row r="28" spans="1:12" ht="4.9000000000000004" customHeight="1" x14ac:dyDescent="0.25">
      <c r="A28" s="116"/>
      <c r="B28" s="144"/>
      <c r="C28" s="1770"/>
      <c r="D28" s="1770"/>
      <c r="E28" s="1756"/>
      <c r="F28" s="1757"/>
      <c r="G28" s="1770"/>
      <c r="H28" s="1758"/>
      <c r="I28" s="1771"/>
      <c r="J28" s="1770"/>
      <c r="K28" s="1756"/>
      <c r="L28" s="322"/>
    </row>
    <row r="29" spans="1:12" ht="11.25" customHeight="1" x14ac:dyDescent="0.25">
      <c r="A29" s="96" t="s">
        <v>307</v>
      </c>
      <c r="B29" s="144"/>
      <c r="C29" s="1770"/>
      <c r="D29" s="1770"/>
      <c r="E29" s="1756"/>
      <c r="F29" s="1757"/>
      <c r="G29" s="1770"/>
      <c r="H29" s="1758"/>
      <c r="I29" s="1771"/>
      <c r="J29" s="1770"/>
      <c r="K29" s="1756"/>
      <c r="L29" s="322"/>
    </row>
    <row r="30" spans="1:12" ht="18" customHeight="1" x14ac:dyDescent="0.25">
      <c r="A30" s="1835" t="str">
        <f>'SA18'!A30</f>
        <v>National Government:</v>
      </c>
      <c r="B30" s="144"/>
      <c r="C30" s="1808">
        <f>SUM(C31:C36)</f>
        <v>16285000</v>
      </c>
      <c r="D30" s="1808">
        <f t="shared" ref="D30:K30" si="5">SUM(D31:D36)</f>
        <v>15835000</v>
      </c>
      <c r="E30" s="1821">
        <f t="shared" si="5"/>
        <v>16076000</v>
      </c>
      <c r="F30" s="1820">
        <f t="shared" si="5"/>
        <v>15996000</v>
      </c>
      <c r="G30" s="1808">
        <f t="shared" si="5"/>
        <v>25800000</v>
      </c>
      <c r="H30" s="1819">
        <f t="shared" si="5"/>
        <v>25800000</v>
      </c>
      <c r="I30" s="1806">
        <f t="shared" si="5"/>
        <v>24755000</v>
      </c>
      <c r="J30" s="1808">
        <f t="shared" si="5"/>
        <v>17781000</v>
      </c>
      <c r="K30" s="1821">
        <f t="shared" si="5"/>
        <v>18394000</v>
      </c>
      <c r="L30" s="322"/>
    </row>
    <row r="31" spans="1:12" ht="11.25" customHeight="1" x14ac:dyDescent="0.25">
      <c r="A31" s="1873" t="s">
        <v>6340</v>
      </c>
      <c r="B31" s="144"/>
      <c r="C31" s="1836">
        <v>16285000</v>
      </c>
      <c r="D31" s="1836">
        <v>15835000</v>
      </c>
      <c r="E31" s="1837">
        <v>16076000</v>
      </c>
      <c r="F31" s="1838">
        <v>15996000</v>
      </c>
      <c r="G31" s="1836">
        <v>25800000</v>
      </c>
      <c r="H31" s="1839">
        <v>25800000</v>
      </c>
      <c r="I31" s="1840">
        <v>24755000</v>
      </c>
      <c r="J31" s="1836">
        <v>17781000</v>
      </c>
      <c r="K31" s="1837">
        <v>18394000</v>
      </c>
      <c r="L31" s="322"/>
    </row>
    <row r="32" spans="1:12" ht="11.25" customHeight="1" x14ac:dyDescent="0.25">
      <c r="A32" s="1873" t="str">
        <f>IF('SA18'!A32="","",'SA18'!A32)</f>
        <v xml:space="preserve">Finance Management </v>
      </c>
      <c r="B32" s="144"/>
      <c r="C32" s="1760"/>
      <c r="D32" s="1760"/>
      <c r="E32" s="1761"/>
      <c r="F32" s="1762"/>
      <c r="G32" s="1760"/>
      <c r="H32" s="1763"/>
      <c r="I32" s="1764"/>
      <c r="J32" s="1760"/>
      <c r="K32" s="1761"/>
      <c r="L32" s="322"/>
    </row>
    <row r="33" spans="1:15" ht="11.25" customHeight="1" x14ac:dyDescent="0.25">
      <c r="A33" s="1873" t="str">
        <f>IF('SA18'!A33="","",'SA18'!A33)</f>
        <v xml:space="preserve"> Municipal Infrastructure Grant (MIG)</v>
      </c>
      <c r="B33" s="144"/>
      <c r="C33" s="1760"/>
      <c r="D33" s="1760"/>
      <c r="E33" s="1761"/>
      <c r="F33" s="1762"/>
      <c r="G33" s="1760"/>
      <c r="H33" s="1763"/>
      <c r="I33" s="1764"/>
      <c r="J33" s="1760"/>
      <c r="K33" s="1761"/>
      <c r="L33" s="322"/>
    </row>
    <row r="34" spans="1:15" ht="11.25" customHeight="1" x14ac:dyDescent="0.25">
      <c r="A34" s="1873" t="str">
        <f>IF('SA18'!A34="","",'SA18'!A34)</f>
        <v/>
      </c>
      <c r="B34" s="144"/>
      <c r="C34" s="1760"/>
      <c r="D34" s="1760"/>
      <c r="E34" s="1761"/>
      <c r="F34" s="1762"/>
      <c r="G34" s="1760"/>
      <c r="H34" s="1763"/>
      <c r="I34" s="1764"/>
      <c r="J34" s="1760"/>
      <c r="K34" s="1761"/>
      <c r="L34" s="322"/>
    </row>
    <row r="35" spans="1:15" ht="11.25" customHeight="1" x14ac:dyDescent="0.25">
      <c r="A35" s="1873" t="str">
        <f>IF('SA18'!A35="","",'SA18'!A35)</f>
        <v/>
      </c>
      <c r="B35" s="144"/>
      <c r="C35" s="1760"/>
      <c r="D35" s="1760"/>
      <c r="E35" s="1761"/>
      <c r="F35" s="1762"/>
      <c r="G35" s="1760"/>
      <c r="H35" s="1763"/>
      <c r="I35" s="1764"/>
      <c r="J35" s="1760"/>
      <c r="K35" s="1761"/>
      <c r="L35" s="322"/>
    </row>
    <row r="36" spans="1:15" ht="11.25" customHeight="1" x14ac:dyDescent="0.25">
      <c r="A36" s="1841" t="str">
        <f>'SA18'!A36</f>
        <v xml:space="preserve">  Other capital transfers/grants [insert desc]</v>
      </c>
      <c r="B36" s="144"/>
      <c r="C36" s="1842"/>
      <c r="D36" s="1842"/>
      <c r="E36" s="1843"/>
      <c r="F36" s="1844"/>
      <c r="G36" s="1842"/>
      <c r="H36" s="1845"/>
      <c r="I36" s="1846"/>
      <c r="J36" s="1842"/>
      <c r="K36" s="1843"/>
      <c r="L36" s="322"/>
    </row>
    <row r="37" spans="1:15" ht="18" customHeight="1" x14ac:dyDescent="0.25">
      <c r="A37" s="1857" t="str">
        <f>'SA18'!A37</f>
        <v>Provincial Government:</v>
      </c>
      <c r="B37" s="144"/>
      <c r="C37" s="1808">
        <f>SUM(C38)</f>
        <v>0</v>
      </c>
      <c r="D37" s="1808">
        <f t="shared" ref="D37:K37" si="6">SUM(D38)</f>
        <v>0</v>
      </c>
      <c r="E37" s="1821">
        <f t="shared" si="6"/>
        <v>0</v>
      </c>
      <c r="F37" s="1820">
        <f t="shared" si="6"/>
        <v>0</v>
      </c>
      <c r="G37" s="1808">
        <f t="shared" si="6"/>
        <v>0</v>
      </c>
      <c r="H37" s="1819">
        <f t="shared" si="6"/>
        <v>0</v>
      </c>
      <c r="I37" s="1806">
        <f t="shared" si="6"/>
        <v>0</v>
      </c>
      <c r="J37" s="1808">
        <f t="shared" si="6"/>
        <v>0</v>
      </c>
      <c r="K37" s="1821">
        <f t="shared" si="6"/>
        <v>0</v>
      </c>
      <c r="L37" s="322"/>
      <c r="O37" s="322"/>
    </row>
    <row r="38" spans="1:15" ht="25.5" x14ac:dyDescent="0.25">
      <c r="A38" s="1858" t="str">
        <f>'SA18'!A38</f>
        <v>Other capital transfers/grants [insert description]</v>
      </c>
      <c r="B38" s="144"/>
      <c r="C38" s="1859"/>
      <c r="D38" s="1859"/>
      <c r="E38" s="1860"/>
      <c r="F38" s="1861"/>
      <c r="G38" s="1859"/>
      <c r="H38" s="1862"/>
      <c r="I38" s="1863"/>
      <c r="J38" s="1859"/>
      <c r="K38" s="1860"/>
      <c r="L38" s="322"/>
    </row>
    <row r="39" spans="1:15" ht="18" customHeight="1" x14ac:dyDescent="0.25">
      <c r="A39" s="1835" t="str">
        <f>'SA18'!A41</f>
        <v>District Municipality:</v>
      </c>
      <c r="B39" s="144"/>
      <c r="C39" s="1808">
        <f>SUM(C40:C41)</f>
        <v>0</v>
      </c>
      <c r="D39" s="1808">
        <f t="shared" ref="D39:K39" si="7">SUM(D40:D41)</f>
        <v>0</v>
      </c>
      <c r="E39" s="1821">
        <f t="shared" si="7"/>
        <v>0</v>
      </c>
      <c r="F39" s="1820">
        <f t="shared" si="7"/>
        <v>0</v>
      </c>
      <c r="G39" s="1808">
        <f t="shared" si="7"/>
        <v>0</v>
      </c>
      <c r="H39" s="1819">
        <f t="shared" si="7"/>
        <v>0</v>
      </c>
      <c r="I39" s="1806">
        <f t="shared" si="7"/>
        <v>0</v>
      </c>
      <c r="J39" s="1808">
        <f t="shared" si="7"/>
        <v>0</v>
      </c>
      <c r="K39" s="1821">
        <f t="shared" si="7"/>
        <v>0</v>
      </c>
      <c r="L39" s="322"/>
    </row>
    <row r="40" spans="1:15" ht="11.25" customHeight="1" x14ac:dyDescent="0.25">
      <c r="A40" s="1847" t="str">
        <f>'SA18'!A42</f>
        <v xml:space="preserve">  [insert description]</v>
      </c>
      <c r="B40" s="144"/>
      <c r="C40" s="1836"/>
      <c r="D40" s="1836"/>
      <c r="E40" s="1837"/>
      <c r="F40" s="1838"/>
      <c r="G40" s="1836"/>
      <c r="H40" s="1839"/>
      <c r="I40" s="1840"/>
      <c r="J40" s="1836"/>
      <c r="K40" s="1837"/>
      <c r="L40" s="322"/>
    </row>
    <row r="41" spans="1:15" ht="11.25" customHeight="1" x14ac:dyDescent="0.25">
      <c r="A41" s="1847"/>
      <c r="B41" s="144"/>
      <c r="C41" s="1842"/>
      <c r="D41" s="1842"/>
      <c r="E41" s="1843"/>
      <c r="F41" s="1844"/>
      <c r="G41" s="1842"/>
      <c r="H41" s="1845"/>
      <c r="I41" s="1846"/>
      <c r="J41" s="1842"/>
      <c r="K41" s="1843"/>
      <c r="L41" s="322"/>
    </row>
    <row r="42" spans="1:15" ht="18" customHeight="1" x14ac:dyDescent="0.25">
      <c r="A42" s="1835" t="str">
        <f>'SA18'!A44</f>
        <v>Other grant providers:</v>
      </c>
      <c r="B42" s="144"/>
      <c r="C42" s="1808">
        <f>SUM(C43:C44)</f>
        <v>0</v>
      </c>
      <c r="D42" s="1808">
        <f t="shared" ref="D42:K42" si="8">SUM(D43:D44)</f>
        <v>0</v>
      </c>
      <c r="E42" s="1821">
        <f t="shared" si="8"/>
        <v>0</v>
      </c>
      <c r="F42" s="1820">
        <f t="shared" si="8"/>
        <v>0</v>
      </c>
      <c r="G42" s="1808">
        <f t="shared" si="8"/>
        <v>0</v>
      </c>
      <c r="H42" s="1819">
        <f t="shared" si="8"/>
        <v>0</v>
      </c>
      <c r="I42" s="1806">
        <f t="shared" si="8"/>
        <v>0</v>
      </c>
      <c r="J42" s="1808">
        <f t="shared" si="8"/>
        <v>0</v>
      </c>
      <c r="K42" s="1821">
        <f t="shared" si="8"/>
        <v>0</v>
      </c>
      <c r="L42" s="322"/>
    </row>
    <row r="43" spans="1:15" ht="11.25" customHeight="1" x14ac:dyDescent="0.25">
      <c r="A43" s="1847" t="str">
        <f>'SA18'!A45</f>
        <v xml:space="preserve">  [insert description]</v>
      </c>
      <c r="B43" s="144"/>
      <c r="C43" s="1836"/>
      <c r="D43" s="1836"/>
      <c r="E43" s="1837"/>
      <c r="F43" s="1838"/>
      <c r="G43" s="1836"/>
      <c r="H43" s="1839"/>
      <c r="I43" s="1840"/>
      <c r="J43" s="1836"/>
      <c r="K43" s="1837"/>
      <c r="L43" s="322"/>
    </row>
    <row r="44" spans="1:15" ht="11.25" customHeight="1" x14ac:dyDescent="0.25">
      <c r="A44" s="1847"/>
      <c r="B44" s="144"/>
      <c r="C44" s="1842"/>
      <c r="D44" s="1842"/>
      <c r="E44" s="1843"/>
      <c r="F44" s="1844"/>
      <c r="G44" s="1842"/>
      <c r="H44" s="1845"/>
      <c r="I44" s="1846"/>
      <c r="J44" s="1842"/>
      <c r="K44" s="1843"/>
      <c r="L44" s="322"/>
    </row>
    <row r="45" spans="1:15" ht="15.75" customHeight="1" x14ac:dyDescent="0.25">
      <c r="A45" s="1864" t="s">
        <v>308</v>
      </c>
      <c r="B45" s="1865"/>
      <c r="C45" s="1808">
        <f>C30+C37+C39+C42</f>
        <v>16285000</v>
      </c>
      <c r="D45" s="1808">
        <f t="shared" ref="D45:K45" si="9">D30+D37+D39+D42</f>
        <v>15835000</v>
      </c>
      <c r="E45" s="1821">
        <f t="shared" si="9"/>
        <v>16076000</v>
      </c>
      <c r="F45" s="1820">
        <f t="shared" si="9"/>
        <v>15996000</v>
      </c>
      <c r="G45" s="1808">
        <f t="shared" si="9"/>
        <v>25800000</v>
      </c>
      <c r="H45" s="1819">
        <f t="shared" si="9"/>
        <v>25800000</v>
      </c>
      <c r="I45" s="1806">
        <f t="shared" si="9"/>
        <v>24755000</v>
      </c>
      <c r="J45" s="1808">
        <f t="shared" si="9"/>
        <v>17781000</v>
      </c>
      <c r="K45" s="1821">
        <f t="shared" si="9"/>
        <v>18394000</v>
      </c>
      <c r="L45" s="322"/>
    </row>
    <row r="46" spans="1:15" ht="3.75" customHeight="1" x14ac:dyDescent="0.25">
      <c r="A46" s="116"/>
      <c r="B46" s="144"/>
      <c r="C46" s="1770"/>
      <c r="D46" s="1770"/>
      <c r="E46" s="1756"/>
      <c r="F46" s="1757"/>
      <c r="G46" s="1770"/>
      <c r="H46" s="1758"/>
      <c r="I46" s="1771"/>
      <c r="J46" s="1770"/>
      <c r="K46" s="1756"/>
      <c r="L46" s="322"/>
    </row>
    <row r="47" spans="1:15" s="1856" customFormat="1" ht="16.5" customHeight="1" x14ac:dyDescent="0.25">
      <c r="A47" s="1874" t="s">
        <v>490</v>
      </c>
      <c r="B47" s="1875"/>
      <c r="C47" s="1868">
        <f t="shared" ref="C47:K47" si="10">C27+C45</f>
        <v>81875000</v>
      </c>
      <c r="D47" s="1868">
        <f t="shared" si="10"/>
        <v>76002000</v>
      </c>
      <c r="E47" s="1869">
        <f t="shared" si="10"/>
        <v>84398000</v>
      </c>
      <c r="F47" s="1870">
        <f t="shared" si="10"/>
        <v>96085000</v>
      </c>
      <c r="G47" s="1868">
        <f t="shared" si="10"/>
        <v>116294000</v>
      </c>
      <c r="H47" s="1871">
        <f t="shared" si="10"/>
        <v>116294000</v>
      </c>
      <c r="I47" s="1872">
        <f t="shared" si="10"/>
        <v>119424000</v>
      </c>
      <c r="J47" s="1868">
        <f t="shared" si="10"/>
        <v>104537000</v>
      </c>
      <c r="K47" s="1869">
        <f t="shared" si="10"/>
        <v>109804000</v>
      </c>
      <c r="L47" s="1855"/>
    </row>
    <row r="48" spans="1:15" ht="11.25" customHeight="1" x14ac:dyDescent="0.25">
      <c r="A48" s="188" t="str">
        <f>head27a</f>
        <v>References</v>
      </c>
      <c r="L48" s="322"/>
    </row>
    <row r="49" spans="1:12" ht="11.25" customHeight="1" x14ac:dyDescent="0.25">
      <c r="A49" s="151" t="s">
        <v>1227</v>
      </c>
      <c r="L49" s="322"/>
    </row>
    <row r="50" spans="1:12" ht="11.25" customHeight="1" x14ac:dyDescent="0.25">
      <c r="L50" s="322"/>
    </row>
    <row r="51" spans="1:12" ht="11.25" customHeight="1" x14ac:dyDescent="0.25">
      <c r="L51" s="322"/>
    </row>
    <row r="52" spans="1:12" ht="11.25" customHeight="1" x14ac:dyDescent="0.25">
      <c r="L52" s="322"/>
    </row>
    <row r="53" spans="1:12" ht="11.25" customHeight="1" x14ac:dyDescent="0.25"/>
    <row r="54" spans="1:12" ht="11.25" customHeight="1" x14ac:dyDescent="0.25"/>
    <row r="55" spans="1:12" ht="11.25" customHeight="1" x14ac:dyDescent="0.25"/>
    <row r="56" spans="1:12" ht="11.25" customHeight="1" x14ac:dyDescent="0.25"/>
    <row r="57" spans="1:12" ht="11.25" customHeight="1" x14ac:dyDescent="0.25"/>
    <row r="58" spans="1:12" ht="11.25" customHeight="1" x14ac:dyDescent="0.25"/>
    <row r="59" spans="1:12" ht="11.25" customHeight="1" x14ac:dyDescent="0.25"/>
    <row r="60" spans="1:12" ht="11.25" customHeight="1" x14ac:dyDescent="0.25"/>
    <row r="61" spans="1:12" ht="11.25" customHeight="1" x14ac:dyDescent="0.25"/>
    <row r="62" spans="1:12" ht="11.25" customHeight="1" x14ac:dyDescent="0.25"/>
    <row r="63" spans="1:12" ht="11.25" customHeight="1" x14ac:dyDescent="0.25"/>
    <row r="64" spans="1:12" ht="11.25" customHeight="1" x14ac:dyDescent="0.25"/>
    <row r="65" ht="11.25" customHeight="1" x14ac:dyDescent="0.25"/>
    <row r="66" ht="11.25" customHeight="1" x14ac:dyDescent="0.25"/>
    <row r="67" ht="11.25" customHeight="1" x14ac:dyDescent="0.25"/>
    <row r="68" ht="11.25" customHeight="1" x14ac:dyDescent="0.25"/>
    <row r="69" ht="11.25" customHeight="1" x14ac:dyDescent="0.25"/>
    <row r="70" ht="11.25" customHeight="1" x14ac:dyDescent="0.25"/>
    <row r="71" ht="11.25" customHeight="1" x14ac:dyDescent="0.25"/>
    <row r="72" ht="11.25" customHeight="1" x14ac:dyDescent="0.25"/>
    <row r="73" ht="11.25" customHeight="1" x14ac:dyDescent="0.25"/>
    <row r="74" ht="11.25" customHeight="1" x14ac:dyDescent="0.25"/>
    <row r="75" ht="11.25" customHeight="1" x14ac:dyDescent="0.25"/>
    <row r="76" ht="11.25" customHeight="1" x14ac:dyDescent="0.25"/>
    <row r="77" ht="11.25" customHeight="1" x14ac:dyDescent="0.25"/>
    <row r="78" ht="11.25" customHeight="1" x14ac:dyDescent="0.25"/>
    <row r="79" ht="11.25" customHeight="1" x14ac:dyDescent="0.25"/>
    <row r="80" ht="11.25" customHeight="1" x14ac:dyDescent="0.25"/>
  </sheetData>
  <mergeCells count="2">
    <mergeCell ref="F2:H2"/>
    <mergeCell ref="I2:K2"/>
  </mergeCells>
  <phoneticPr fontId="7" type="noConversion"/>
  <printOptions horizontalCentered="1"/>
  <pageMargins left="0" right="0" top="0.78740157480314965" bottom="0.59055118110236227" header="0.51181102362204722" footer="0.39370078740157483"/>
  <pageSetup paperSize="9" scale="91" orientation="portrait"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39">
    <pageSetUpPr fitToPage="1"/>
  </sheetPr>
  <dimension ref="A1:W87"/>
  <sheetViews>
    <sheetView showGridLines="0" zoomScale="110" zoomScaleNormal="110" workbookViewId="0">
      <pane xSplit="2" ySplit="3" topLeftCell="C4" activePane="bottomRight" state="frozen"/>
      <selection pane="topRight"/>
      <selection pane="bottomLeft"/>
      <selection pane="bottomRight" activeCell="K61" sqref="K61"/>
    </sheetView>
  </sheetViews>
  <sheetFormatPr defaultColWidth="9.140625" defaultRowHeight="12.75" x14ac:dyDescent="0.25"/>
  <cols>
    <col min="1" max="1" width="32.28515625" style="58" customWidth="1"/>
    <col min="2" max="2" width="3" style="55" customWidth="1"/>
    <col min="3" max="11" width="9.28515625" style="58" customWidth="1"/>
    <col min="12" max="12" width="9.7109375" style="58" hidden="1" customWidth="1"/>
    <col min="13" max="13" width="9.42578125" style="58" hidden="1" customWidth="1"/>
    <col min="14" max="14" width="9.7109375" style="58" hidden="1" customWidth="1"/>
    <col min="15" max="17" width="9.42578125" style="58" hidden="1" customWidth="1"/>
    <col min="18" max="18" width="9.7109375" style="58" hidden="1" customWidth="1"/>
    <col min="19" max="21" width="9.42578125" style="58" hidden="1" customWidth="1"/>
    <col min="22" max="23" width="9.7109375" style="58" hidden="1" customWidth="1"/>
    <col min="24" max="28" width="0" style="58" hidden="1" customWidth="1"/>
    <col min="29" max="16384" width="9.140625" style="58"/>
  </cols>
  <sheetData>
    <row r="1" spans="1:11" ht="13.5" customHeight="1" x14ac:dyDescent="0.25">
      <c r="A1" s="92" t="str">
        <f>muni&amp;" - "&amp; TableA20</f>
        <v>KZN226 Mkhambathini - Supporting Table SA20 Reconciliation of transfers, grant receipts and unspent funds</v>
      </c>
      <c r="B1" s="92"/>
      <c r="C1" s="92"/>
      <c r="D1" s="92"/>
      <c r="E1" s="92"/>
      <c r="F1" s="92"/>
      <c r="G1" s="92"/>
      <c r="H1" s="92"/>
      <c r="I1" s="92"/>
      <c r="J1" s="92"/>
      <c r="K1" s="92"/>
    </row>
    <row r="2" spans="1:11" ht="28.5" customHeight="1" x14ac:dyDescent="0.25">
      <c r="A2" s="1829" t="str">
        <f>desc</f>
        <v>Description</v>
      </c>
      <c r="B2" s="155" t="str">
        <f>head27</f>
        <v>Ref</v>
      </c>
      <c r="C2" s="837" t="str">
        <f>head1b</f>
        <v>2017/18</v>
      </c>
      <c r="D2" s="561" t="str">
        <f>head1A</f>
        <v>2018/19</v>
      </c>
      <c r="E2" s="684" t="str">
        <f>Head1</f>
        <v>2019/20</v>
      </c>
      <c r="F2" s="2447" t="str">
        <f>Head2</f>
        <v>Current Year 2020/21</v>
      </c>
      <c r="G2" s="2448"/>
      <c r="H2" s="2449"/>
      <c r="I2" s="2450" t="str">
        <f>Head3</f>
        <v>2021/22 Medium Term Revenue &amp; Expenditure Framework</v>
      </c>
      <c r="J2" s="2451"/>
      <c r="K2" s="2452"/>
    </row>
    <row r="3" spans="1:11" ht="25.5" x14ac:dyDescent="0.25">
      <c r="A3" s="156" t="s">
        <v>568</v>
      </c>
      <c r="B3" s="157"/>
      <c r="C3" s="698" t="str">
        <f>Head5</f>
        <v>Audited Outcome</v>
      </c>
      <c r="D3" s="562" t="str">
        <f>Head5</f>
        <v>Audited Outcome</v>
      </c>
      <c r="E3" s="94" t="str">
        <f>Head5</f>
        <v>Audited Outcome</v>
      </c>
      <c r="F3" s="95" t="str">
        <f>Head6</f>
        <v>Original Budget</v>
      </c>
      <c r="G3" s="698" t="str">
        <f>Head7</f>
        <v>Adjusted Budget</v>
      </c>
      <c r="H3" s="94" t="str">
        <f>Head8</f>
        <v>Full Year Forecast</v>
      </c>
      <c r="I3" s="95" t="str">
        <f>Head9</f>
        <v>Budget Year 2021/22</v>
      </c>
      <c r="J3" s="698" t="str">
        <f>Head10</f>
        <v>Budget Year +1 2022/23</v>
      </c>
      <c r="K3" s="94" t="str">
        <f>Head11</f>
        <v>Budget Year +2 2023/24</v>
      </c>
    </row>
    <row r="4" spans="1:11" ht="11.25" customHeight="1" x14ac:dyDescent="0.25">
      <c r="A4" s="96" t="s">
        <v>261</v>
      </c>
      <c r="B4" s="144" t="s">
        <v>446</v>
      </c>
      <c r="C4" s="1808"/>
      <c r="D4" s="1808"/>
      <c r="E4" s="1821"/>
      <c r="F4" s="1820"/>
      <c r="G4" s="1808"/>
      <c r="H4" s="1819"/>
      <c r="I4" s="1806"/>
      <c r="J4" s="1808"/>
      <c r="K4" s="1821"/>
    </row>
    <row r="5" spans="1:11" ht="11.25" customHeight="1" x14ac:dyDescent="0.25">
      <c r="A5" s="1835" t="str">
        <f>'SA18'!A7</f>
        <v>National Government:</v>
      </c>
      <c r="B5" s="144"/>
      <c r="C5" s="1808"/>
      <c r="D5" s="1808"/>
      <c r="E5" s="1821"/>
      <c r="F5" s="1820"/>
      <c r="G5" s="1808"/>
      <c r="H5" s="1819"/>
      <c r="I5" s="1806"/>
      <c r="J5" s="1808"/>
      <c r="K5" s="1821"/>
    </row>
    <row r="6" spans="1:11" ht="11.25" customHeight="1" x14ac:dyDescent="0.25">
      <c r="A6" s="1873" t="s">
        <v>1063</v>
      </c>
      <c r="B6" s="144"/>
      <c r="C6" s="1876"/>
      <c r="D6" s="1876"/>
      <c r="E6" s="1877"/>
      <c r="F6" s="1878"/>
      <c r="G6" s="1876"/>
      <c r="H6" s="1877"/>
      <c r="I6" s="1879"/>
      <c r="J6" s="1876"/>
      <c r="K6" s="1880"/>
    </row>
    <row r="7" spans="1:11" ht="11.25" customHeight="1" x14ac:dyDescent="0.25">
      <c r="A7" s="1873" t="s">
        <v>1064</v>
      </c>
      <c r="B7" s="144"/>
      <c r="C7" s="1836">
        <v>51173000</v>
      </c>
      <c r="D7" s="1836">
        <v>55546000</v>
      </c>
      <c r="E7" s="1837">
        <v>62733000</v>
      </c>
      <c r="F7" s="1838">
        <v>67330000</v>
      </c>
      <c r="G7" s="1836">
        <v>79735000</v>
      </c>
      <c r="H7" s="1839">
        <v>79735000</v>
      </c>
      <c r="I7" s="1840">
        <v>70470000</v>
      </c>
      <c r="J7" s="1836">
        <v>72423000</v>
      </c>
      <c r="K7" s="1837">
        <v>76881000</v>
      </c>
    </row>
    <row r="8" spans="1:11" ht="11.25" customHeight="1" x14ac:dyDescent="0.25">
      <c r="A8" s="1881" t="s">
        <v>1062</v>
      </c>
      <c r="B8" s="144"/>
      <c r="C8" s="1882">
        <f>C6+C7-C9</f>
        <v>38020000</v>
      </c>
      <c r="D8" s="1883">
        <f t="shared" ref="D8:K8" si="0">D6+D7-D9</f>
        <v>52542000</v>
      </c>
      <c r="E8" s="1884">
        <f t="shared" si="0"/>
        <v>58858000</v>
      </c>
      <c r="F8" s="1885">
        <f t="shared" si="0"/>
        <v>56387000</v>
      </c>
      <c r="G8" s="1883">
        <f t="shared" si="0"/>
        <v>70792000</v>
      </c>
      <c r="H8" s="1886">
        <f t="shared" si="0"/>
        <v>70792000</v>
      </c>
      <c r="I8" s="1887">
        <f t="shared" si="0"/>
        <v>48181000</v>
      </c>
      <c r="J8" s="1883">
        <f t="shared" si="0"/>
        <v>60094000</v>
      </c>
      <c r="K8" s="1884">
        <f t="shared" si="0"/>
        <v>62352000</v>
      </c>
    </row>
    <row r="9" spans="1:11" ht="11.25" customHeight="1" x14ac:dyDescent="0.25">
      <c r="A9" s="1873" t="s">
        <v>399</v>
      </c>
      <c r="B9" s="144"/>
      <c r="C9" s="1876">
        <v>13153000</v>
      </c>
      <c r="D9" s="1876">
        <v>3004000</v>
      </c>
      <c r="E9" s="1877">
        <v>3875000</v>
      </c>
      <c r="F9" s="1878">
        <v>10943000</v>
      </c>
      <c r="G9" s="1876">
        <v>8943000</v>
      </c>
      <c r="H9" s="1877">
        <v>8943000</v>
      </c>
      <c r="I9" s="1879">
        <v>22289000</v>
      </c>
      <c r="J9" s="1876">
        <v>12329000</v>
      </c>
      <c r="K9" s="1880">
        <v>14529000</v>
      </c>
    </row>
    <row r="10" spans="1:11" ht="11.25" customHeight="1" x14ac:dyDescent="0.25">
      <c r="A10" s="1857" t="s">
        <v>887</v>
      </c>
      <c r="B10" s="144"/>
      <c r="C10" s="1888"/>
      <c r="D10" s="1888"/>
      <c r="E10" s="1819"/>
      <c r="F10" s="1820"/>
      <c r="G10" s="1808"/>
      <c r="H10" s="1819"/>
      <c r="I10" s="1806"/>
      <c r="J10" s="1808"/>
      <c r="K10" s="1821"/>
    </row>
    <row r="11" spans="1:11" ht="11.25" customHeight="1" x14ac:dyDescent="0.25">
      <c r="A11" s="1873" t="s">
        <v>1063</v>
      </c>
      <c r="B11" s="144"/>
      <c r="C11" s="1876"/>
      <c r="D11" s="1876"/>
      <c r="E11" s="1877"/>
      <c r="F11" s="1878"/>
      <c r="G11" s="1876"/>
      <c r="H11" s="1877"/>
      <c r="I11" s="1879"/>
      <c r="J11" s="1876"/>
      <c r="K11" s="1880"/>
    </row>
    <row r="12" spans="1:11" ht="11.25" customHeight="1" x14ac:dyDescent="0.25">
      <c r="A12" s="1889" t="str">
        <f>A7</f>
        <v>Current year receipts</v>
      </c>
      <c r="B12" s="144"/>
      <c r="C12" s="1876">
        <v>1264000</v>
      </c>
      <c r="D12" s="1876">
        <v>1617000</v>
      </c>
      <c r="E12" s="1877">
        <v>1714000</v>
      </c>
      <c r="F12" s="1878">
        <v>1816000</v>
      </c>
      <c r="G12" s="1876">
        <v>1816000</v>
      </c>
      <c r="H12" s="1877">
        <v>1816000</v>
      </c>
      <c r="I12" s="1879">
        <v>1910000</v>
      </c>
      <c r="J12" s="1876">
        <v>2004000</v>
      </c>
      <c r="K12" s="1880"/>
    </row>
    <row r="13" spans="1:11" ht="11.25" customHeight="1" x14ac:dyDescent="0.25">
      <c r="A13" s="1890" t="str">
        <f>A8</f>
        <v>Conditions met - transferred to revenue</v>
      </c>
      <c r="B13" s="144"/>
      <c r="C13" s="1882">
        <f t="shared" ref="C13:K13" si="1">C11+C12-C14</f>
        <v>1264000</v>
      </c>
      <c r="D13" s="1883">
        <f t="shared" si="1"/>
        <v>1617000</v>
      </c>
      <c r="E13" s="1884">
        <f t="shared" si="1"/>
        <v>1714000</v>
      </c>
      <c r="F13" s="1885">
        <f t="shared" si="1"/>
        <v>1816000</v>
      </c>
      <c r="G13" s="1883">
        <f t="shared" si="1"/>
        <v>1816000</v>
      </c>
      <c r="H13" s="1886">
        <f t="shared" si="1"/>
        <v>1816000</v>
      </c>
      <c r="I13" s="1887">
        <f t="shared" si="1"/>
        <v>1910000</v>
      </c>
      <c r="J13" s="1883">
        <f t="shared" si="1"/>
        <v>2004000</v>
      </c>
      <c r="K13" s="1884">
        <f t="shared" si="1"/>
        <v>0</v>
      </c>
    </row>
    <row r="14" spans="1:11" ht="11.25" customHeight="1" x14ac:dyDescent="0.25">
      <c r="A14" s="1889" t="str">
        <f>A9</f>
        <v>Conditions still to be met - transferred to liabilities</v>
      </c>
      <c r="B14" s="144"/>
      <c r="C14" s="1876"/>
      <c r="D14" s="1876"/>
      <c r="E14" s="1877"/>
      <c r="F14" s="1878"/>
      <c r="G14" s="1876"/>
      <c r="H14" s="1877"/>
      <c r="I14" s="1879"/>
      <c r="J14" s="1876"/>
      <c r="K14" s="1880"/>
    </row>
    <row r="15" spans="1:11" ht="11.25" customHeight="1" x14ac:dyDescent="0.25">
      <c r="A15" s="1857" t="s">
        <v>921</v>
      </c>
      <c r="B15" s="144"/>
      <c r="C15" s="1891"/>
      <c r="D15" s="1891"/>
      <c r="E15" s="1892"/>
      <c r="F15" s="1893"/>
      <c r="G15" s="1894"/>
      <c r="H15" s="1895"/>
      <c r="I15" s="1896"/>
      <c r="J15" s="1894"/>
      <c r="K15" s="1897"/>
    </row>
    <row r="16" spans="1:11" ht="11.25" customHeight="1" x14ac:dyDescent="0.25">
      <c r="A16" s="1873" t="str">
        <f>A11</f>
        <v>Balance unspent at beginning of the year</v>
      </c>
      <c r="B16" s="144"/>
      <c r="C16" s="1876"/>
      <c r="D16" s="1876"/>
      <c r="E16" s="1877"/>
      <c r="F16" s="1878"/>
      <c r="G16" s="1876"/>
      <c r="H16" s="1877"/>
      <c r="I16" s="1879"/>
      <c r="J16" s="1876"/>
      <c r="K16" s="1880"/>
    </row>
    <row r="17" spans="1:11" ht="11.25" customHeight="1" x14ac:dyDescent="0.25">
      <c r="A17" s="1889" t="str">
        <f>A12</f>
        <v>Current year receipts</v>
      </c>
      <c r="B17" s="144"/>
      <c r="C17" s="1876"/>
      <c r="D17" s="1876"/>
      <c r="E17" s="1877"/>
      <c r="F17" s="1878"/>
      <c r="G17" s="1876"/>
      <c r="H17" s="1877"/>
      <c r="I17" s="1879"/>
      <c r="J17" s="1876"/>
      <c r="K17" s="1880"/>
    </row>
    <row r="18" spans="1:11" ht="11.25" customHeight="1" x14ac:dyDescent="0.25">
      <c r="A18" s="1890" t="str">
        <f>A13</f>
        <v>Conditions met - transferred to revenue</v>
      </c>
      <c r="B18" s="144"/>
      <c r="C18" s="1882">
        <f t="shared" ref="C18:K18" si="2">C16+C17-C19</f>
        <v>0</v>
      </c>
      <c r="D18" s="1883">
        <f t="shared" si="2"/>
        <v>0</v>
      </c>
      <c r="E18" s="1884">
        <f t="shared" si="2"/>
        <v>0</v>
      </c>
      <c r="F18" s="1885">
        <f t="shared" si="2"/>
        <v>0</v>
      </c>
      <c r="G18" s="1883">
        <f t="shared" si="2"/>
        <v>0</v>
      </c>
      <c r="H18" s="1886">
        <f t="shared" si="2"/>
        <v>0</v>
      </c>
      <c r="I18" s="1887">
        <f t="shared" si="2"/>
        <v>0</v>
      </c>
      <c r="J18" s="1883">
        <f t="shared" si="2"/>
        <v>0</v>
      </c>
      <c r="K18" s="1884">
        <f t="shared" si="2"/>
        <v>0</v>
      </c>
    </row>
    <row r="19" spans="1:11" ht="11.25" customHeight="1" x14ac:dyDescent="0.25">
      <c r="A19" s="1889" t="str">
        <f>A14</f>
        <v>Conditions still to be met - transferred to liabilities</v>
      </c>
      <c r="B19" s="144"/>
      <c r="C19" s="1876"/>
      <c r="D19" s="1876"/>
      <c r="E19" s="1877"/>
      <c r="F19" s="1878"/>
      <c r="G19" s="1876"/>
      <c r="H19" s="1877"/>
      <c r="I19" s="1879"/>
      <c r="J19" s="1876"/>
      <c r="K19" s="1880"/>
    </row>
    <row r="20" spans="1:11" ht="11.25" customHeight="1" x14ac:dyDescent="0.25">
      <c r="A20" s="1857" t="s">
        <v>510</v>
      </c>
      <c r="B20" s="144"/>
      <c r="C20" s="1891"/>
      <c r="D20" s="1891"/>
      <c r="E20" s="1892"/>
      <c r="F20" s="1893"/>
      <c r="G20" s="1894"/>
      <c r="H20" s="1895"/>
      <c r="I20" s="1896"/>
      <c r="J20" s="1894"/>
      <c r="K20" s="1897"/>
    </row>
    <row r="21" spans="1:11" ht="11.25" customHeight="1" x14ac:dyDescent="0.25">
      <c r="A21" s="1889" t="str">
        <f>A11</f>
        <v>Balance unspent at beginning of the year</v>
      </c>
      <c r="B21" s="144"/>
      <c r="C21" s="1876"/>
      <c r="D21" s="1876"/>
      <c r="E21" s="1877"/>
      <c r="F21" s="1878"/>
      <c r="G21" s="1876"/>
      <c r="H21" s="1877"/>
      <c r="I21" s="1879"/>
      <c r="J21" s="1876"/>
      <c r="K21" s="1880"/>
    </row>
    <row r="22" spans="1:11" ht="11.25" customHeight="1" x14ac:dyDescent="0.25">
      <c r="A22" s="1889" t="str">
        <f>A12</f>
        <v>Current year receipts</v>
      </c>
      <c r="B22" s="144"/>
      <c r="C22" s="1876"/>
      <c r="D22" s="1876"/>
      <c r="E22" s="1877"/>
      <c r="F22" s="1878"/>
      <c r="G22" s="1876"/>
      <c r="H22" s="1877"/>
      <c r="I22" s="1879"/>
      <c r="J22" s="1876"/>
      <c r="K22" s="1880"/>
    </row>
    <row r="23" spans="1:11" ht="11.25" customHeight="1" x14ac:dyDescent="0.25">
      <c r="A23" s="1890" t="str">
        <f>A13</f>
        <v>Conditions met - transferred to revenue</v>
      </c>
      <c r="B23" s="144"/>
      <c r="C23" s="1882">
        <f t="shared" ref="C23:K23" si="3">C21+C22-C24</f>
        <v>0</v>
      </c>
      <c r="D23" s="1883">
        <f t="shared" si="3"/>
        <v>0</v>
      </c>
      <c r="E23" s="1884">
        <f t="shared" si="3"/>
        <v>0</v>
      </c>
      <c r="F23" s="1885">
        <f t="shared" si="3"/>
        <v>0</v>
      </c>
      <c r="G23" s="1883">
        <f t="shared" si="3"/>
        <v>0</v>
      </c>
      <c r="H23" s="1886">
        <f t="shared" si="3"/>
        <v>0</v>
      </c>
      <c r="I23" s="1887">
        <f t="shared" si="3"/>
        <v>0</v>
      </c>
      <c r="J23" s="1883">
        <f t="shared" si="3"/>
        <v>0</v>
      </c>
      <c r="K23" s="1884">
        <f t="shared" si="3"/>
        <v>0</v>
      </c>
    </row>
    <row r="24" spans="1:11" ht="11.25" customHeight="1" x14ac:dyDescent="0.25">
      <c r="A24" s="1889" t="str">
        <f>A14</f>
        <v>Conditions still to be met - transferred to liabilities</v>
      </c>
      <c r="B24" s="144"/>
      <c r="C24" s="1876"/>
      <c r="D24" s="1876"/>
      <c r="E24" s="1880"/>
      <c r="F24" s="1878"/>
      <c r="G24" s="1876"/>
      <c r="H24" s="1877"/>
      <c r="I24" s="1879"/>
      <c r="J24" s="1876"/>
      <c r="K24" s="1880"/>
    </row>
    <row r="25" spans="1:11" ht="11.25" customHeight="1" x14ac:dyDescent="0.25">
      <c r="A25" s="256" t="s">
        <v>302</v>
      </c>
      <c r="B25" s="257"/>
      <c r="C25" s="1883">
        <f t="shared" ref="C25:K26" si="4">C8+C13+C18+C23</f>
        <v>39284000</v>
      </c>
      <c r="D25" s="1883">
        <f t="shared" si="4"/>
        <v>54159000</v>
      </c>
      <c r="E25" s="1884">
        <f t="shared" si="4"/>
        <v>60572000</v>
      </c>
      <c r="F25" s="1885">
        <f t="shared" si="4"/>
        <v>58203000</v>
      </c>
      <c r="G25" s="1883">
        <f t="shared" si="4"/>
        <v>72608000</v>
      </c>
      <c r="H25" s="1886">
        <f t="shared" si="4"/>
        <v>72608000</v>
      </c>
      <c r="I25" s="1887">
        <f t="shared" si="4"/>
        <v>50091000</v>
      </c>
      <c r="J25" s="1883">
        <f t="shared" si="4"/>
        <v>62098000</v>
      </c>
      <c r="K25" s="1884">
        <f t="shared" si="4"/>
        <v>62352000</v>
      </c>
    </row>
    <row r="26" spans="1:11" ht="11.25" customHeight="1" x14ac:dyDescent="0.25">
      <c r="A26" s="256" t="s">
        <v>303</v>
      </c>
      <c r="B26" s="257">
        <v>2</v>
      </c>
      <c r="C26" s="1883">
        <f t="shared" si="4"/>
        <v>13153000</v>
      </c>
      <c r="D26" s="1883">
        <f t="shared" si="4"/>
        <v>3004000</v>
      </c>
      <c r="E26" s="1884">
        <f t="shared" si="4"/>
        <v>3875000</v>
      </c>
      <c r="F26" s="1885">
        <f t="shared" si="4"/>
        <v>10943000</v>
      </c>
      <c r="G26" s="1883">
        <f t="shared" si="4"/>
        <v>8943000</v>
      </c>
      <c r="H26" s="1886">
        <f t="shared" si="4"/>
        <v>8943000</v>
      </c>
      <c r="I26" s="1887">
        <f t="shared" si="4"/>
        <v>22289000</v>
      </c>
      <c r="J26" s="1883">
        <f t="shared" si="4"/>
        <v>12329000</v>
      </c>
      <c r="K26" s="1884">
        <f t="shared" si="4"/>
        <v>14529000</v>
      </c>
    </row>
    <row r="27" spans="1:11" ht="4.9000000000000004" customHeight="1" x14ac:dyDescent="0.25">
      <c r="A27" s="116"/>
      <c r="B27" s="144"/>
      <c r="C27" s="1770"/>
      <c r="D27" s="1770"/>
      <c r="E27" s="1756"/>
      <c r="F27" s="1757"/>
      <c r="G27" s="1770"/>
      <c r="H27" s="1758"/>
      <c r="I27" s="1771"/>
      <c r="J27" s="1770"/>
      <c r="K27" s="1756"/>
    </row>
    <row r="28" spans="1:11" ht="11.25" customHeight="1" x14ac:dyDescent="0.25">
      <c r="A28" s="96" t="s">
        <v>260</v>
      </c>
      <c r="B28" s="144" t="s">
        <v>446</v>
      </c>
      <c r="C28" s="1770"/>
      <c r="D28" s="1770"/>
      <c r="E28" s="1756"/>
      <c r="F28" s="1757"/>
      <c r="G28" s="1770"/>
      <c r="H28" s="1758"/>
      <c r="I28" s="1771"/>
      <c r="J28" s="1770"/>
      <c r="K28" s="1756"/>
    </row>
    <row r="29" spans="1:11" ht="11.25" customHeight="1" x14ac:dyDescent="0.25">
      <c r="A29" s="1857" t="str">
        <f>A5</f>
        <v>National Government:</v>
      </c>
      <c r="B29" s="144"/>
      <c r="C29" s="1770"/>
      <c r="D29" s="1770"/>
      <c r="E29" s="1756"/>
      <c r="F29" s="1757"/>
      <c r="G29" s="1770"/>
      <c r="H29" s="1758"/>
      <c r="I29" s="1771"/>
      <c r="J29" s="1770"/>
      <c r="K29" s="1756"/>
    </row>
    <row r="30" spans="1:11" ht="11.25" customHeight="1" x14ac:dyDescent="0.25">
      <c r="A30" s="1873" t="s">
        <v>1063</v>
      </c>
      <c r="B30" s="144"/>
      <c r="C30" s="1876"/>
      <c r="D30" s="1876"/>
      <c r="E30" s="1877"/>
      <c r="F30" s="1878"/>
      <c r="G30" s="1876"/>
      <c r="H30" s="1877"/>
      <c r="I30" s="1879"/>
      <c r="J30" s="1876"/>
      <c r="K30" s="1880"/>
    </row>
    <row r="31" spans="1:11" ht="11.25" customHeight="1" x14ac:dyDescent="0.25">
      <c r="A31" s="1873" t="s">
        <v>1064</v>
      </c>
      <c r="B31" s="144"/>
      <c r="C31" s="1760">
        <v>16285000</v>
      </c>
      <c r="D31" s="1760">
        <v>15835000</v>
      </c>
      <c r="E31" s="1763">
        <v>16076000</v>
      </c>
      <c r="F31" s="1762">
        <v>15996000</v>
      </c>
      <c r="G31" s="1760">
        <v>25800000</v>
      </c>
      <c r="H31" s="1763">
        <v>25800000</v>
      </c>
      <c r="I31" s="1764">
        <v>24755000</v>
      </c>
      <c r="J31" s="1760">
        <v>17781000</v>
      </c>
      <c r="K31" s="1761">
        <v>18394000</v>
      </c>
    </row>
    <row r="32" spans="1:11" ht="11.25" customHeight="1" x14ac:dyDescent="0.25">
      <c r="A32" s="1881" t="s">
        <v>1062</v>
      </c>
      <c r="B32" s="144"/>
      <c r="C32" s="1882">
        <f t="shared" ref="C32:K32" si="5">C30+C31-C33</f>
        <v>16285000</v>
      </c>
      <c r="D32" s="1883">
        <f t="shared" si="5"/>
        <v>15835000</v>
      </c>
      <c r="E32" s="1884">
        <f t="shared" si="5"/>
        <v>16076000</v>
      </c>
      <c r="F32" s="1885">
        <f t="shared" si="5"/>
        <v>15996000</v>
      </c>
      <c r="G32" s="1883">
        <f t="shared" si="5"/>
        <v>25800000</v>
      </c>
      <c r="H32" s="1886">
        <f t="shared" si="5"/>
        <v>25800000</v>
      </c>
      <c r="I32" s="1887">
        <f t="shared" si="5"/>
        <v>24755000</v>
      </c>
      <c r="J32" s="1883">
        <f t="shared" si="5"/>
        <v>17781000</v>
      </c>
      <c r="K32" s="1884">
        <f t="shared" si="5"/>
        <v>18394000</v>
      </c>
    </row>
    <row r="33" spans="1:15" ht="11.25" customHeight="1" x14ac:dyDescent="0.25">
      <c r="A33" s="1873" t="s">
        <v>399</v>
      </c>
      <c r="B33" s="144"/>
      <c r="C33" s="1876"/>
      <c r="D33" s="1876"/>
      <c r="E33" s="1877"/>
      <c r="F33" s="1878"/>
      <c r="G33" s="1876"/>
      <c r="H33" s="1877"/>
      <c r="I33" s="1879"/>
      <c r="J33" s="1876"/>
      <c r="K33" s="1880"/>
    </row>
    <row r="34" spans="1:15" ht="11.25" customHeight="1" x14ac:dyDescent="0.25">
      <c r="A34" s="1857" t="s">
        <v>887</v>
      </c>
      <c r="B34" s="144"/>
      <c r="C34" s="1888"/>
      <c r="D34" s="1888"/>
      <c r="E34" s="1819"/>
      <c r="F34" s="1820"/>
      <c r="G34" s="1808"/>
      <c r="H34" s="1819"/>
      <c r="I34" s="1806"/>
      <c r="J34" s="1808"/>
      <c r="K34" s="1821"/>
    </row>
    <row r="35" spans="1:15" ht="11.25" customHeight="1" x14ac:dyDescent="0.25">
      <c r="A35" s="1873" t="s">
        <v>1063</v>
      </c>
      <c r="B35" s="144"/>
      <c r="C35" s="1876"/>
      <c r="D35" s="1876"/>
      <c r="E35" s="1877"/>
      <c r="F35" s="1878"/>
      <c r="G35" s="1876"/>
      <c r="H35" s="1877"/>
      <c r="I35" s="1879"/>
      <c r="J35" s="1876"/>
      <c r="K35" s="1880"/>
    </row>
    <row r="36" spans="1:15" ht="11.25" customHeight="1" x14ac:dyDescent="0.25">
      <c r="A36" s="1889" t="str">
        <f>A31</f>
        <v>Current year receipts</v>
      </c>
      <c r="B36" s="144"/>
      <c r="C36" s="1876"/>
      <c r="D36" s="1760"/>
      <c r="E36" s="1763"/>
      <c r="F36" s="1762"/>
      <c r="G36" s="1760"/>
      <c r="H36" s="1763"/>
      <c r="I36" s="1764"/>
      <c r="J36" s="1760"/>
      <c r="K36" s="1761"/>
    </row>
    <row r="37" spans="1:15" ht="11.25" customHeight="1" x14ac:dyDescent="0.25">
      <c r="A37" s="1890" t="str">
        <f>A32</f>
        <v>Conditions met - transferred to revenue</v>
      </c>
      <c r="B37" s="144"/>
      <c r="C37" s="1882">
        <f t="shared" ref="C37:K37" si="6">C35+C36-C38</f>
        <v>0</v>
      </c>
      <c r="D37" s="1883">
        <f t="shared" si="6"/>
        <v>0</v>
      </c>
      <c r="E37" s="1884">
        <f t="shared" si="6"/>
        <v>0</v>
      </c>
      <c r="F37" s="1885">
        <f t="shared" si="6"/>
        <v>0</v>
      </c>
      <c r="G37" s="1883">
        <f t="shared" si="6"/>
        <v>0</v>
      </c>
      <c r="H37" s="1886">
        <f t="shared" si="6"/>
        <v>0</v>
      </c>
      <c r="I37" s="1887">
        <f t="shared" si="6"/>
        <v>0</v>
      </c>
      <c r="J37" s="1883">
        <f t="shared" si="6"/>
        <v>0</v>
      </c>
      <c r="K37" s="1884">
        <f t="shared" si="6"/>
        <v>0</v>
      </c>
      <c r="O37" s="322"/>
    </row>
    <row r="38" spans="1:15" ht="11.25" customHeight="1" x14ac:dyDescent="0.25">
      <c r="A38" s="1889" t="str">
        <f>A33</f>
        <v>Conditions still to be met - transferred to liabilities</v>
      </c>
      <c r="B38" s="144"/>
      <c r="C38" s="1876"/>
      <c r="D38" s="1876"/>
      <c r="E38" s="1877"/>
      <c r="F38" s="1878"/>
      <c r="G38" s="1876"/>
      <c r="H38" s="1877"/>
      <c r="I38" s="1879"/>
      <c r="J38" s="1876"/>
      <c r="K38" s="1880"/>
    </row>
    <row r="39" spans="1:15" ht="11.25" customHeight="1" x14ac:dyDescent="0.25">
      <c r="A39" s="1857" t="s">
        <v>921</v>
      </c>
      <c r="B39" s="144"/>
      <c r="C39" s="1891"/>
      <c r="D39" s="1891"/>
      <c r="E39" s="1892"/>
      <c r="F39" s="1893"/>
      <c r="G39" s="1894"/>
      <c r="H39" s="1895"/>
      <c r="I39" s="1896"/>
      <c r="J39" s="1894"/>
      <c r="K39" s="1897"/>
    </row>
    <row r="40" spans="1:15" ht="11.25" customHeight="1" x14ac:dyDescent="0.25">
      <c r="A40" s="1873" t="str">
        <f>A35</f>
        <v>Balance unspent at beginning of the year</v>
      </c>
      <c r="B40" s="144"/>
      <c r="C40" s="1876"/>
      <c r="D40" s="1876"/>
      <c r="E40" s="1877"/>
      <c r="F40" s="1878"/>
      <c r="G40" s="1876"/>
      <c r="H40" s="1877"/>
      <c r="I40" s="1879"/>
      <c r="J40" s="1876"/>
      <c r="K40" s="1880"/>
    </row>
    <row r="41" spans="1:15" ht="11.25" customHeight="1" x14ac:dyDescent="0.25">
      <c r="A41" s="1889" t="str">
        <f>A36</f>
        <v>Current year receipts</v>
      </c>
      <c r="B41" s="144"/>
      <c r="C41" s="1876"/>
      <c r="D41" s="1876"/>
      <c r="E41" s="1877"/>
      <c r="F41" s="1878"/>
      <c r="G41" s="1876"/>
      <c r="H41" s="1877"/>
      <c r="I41" s="1879"/>
      <c r="J41" s="1876"/>
      <c r="K41" s="1880"/>
    </row>
    <row r="42" spans="1:15" ht="11.25" customHeight="1" x14ac:dyDescent="0.25">
      <c r="A42" s="1890" t="str">
        <f>A37</f>
        <v>Conditions met - transferred to revenue</v>
      </c>
      <c r="B42" s="144"/>
      <c r="C42" s="1882">
        <f t="shared" ref="C42:K42" si="7">C40+C41-C43</f>
        <v>0</v>
      </c>
      <c r="D42" s="1883">
        <f t="shared" si="7"/>
        <v>0</v>
      </c>
      <c r="E42" s="1884">
        <f t="shared" si="7"/>
        <v>0</v>
      </c>
      <c r="F42" s="1885">
        <f t="shared" si="7"/>
        <v>0</v>
      </c>
      <c r="G42" s="1883">
        <f t="shared" si="7"/>
        <v>0</v>
      </c>
      <c r="H42" s="1886">
        <f t="shared" si="7"/>
        <v>0</v>
      </c>
      <c r="I42" s="1887">
        <f t="shared" si="7"/>
        <v>0</v>
      </c>
      <c r="J42" s="1883">
        <f t="shared" si="7"/>
        <v>0</v>
      </c>
      <c r="K42" s="1884">
        <f t="shared" si="7"/>
        <v>0</v>
      </c>
    </row>
    <row r="43" spans="1:15" ht="11.25" customHeight="1" x14ac:dyDescent="0.25">
      <c r="A43" s="1889" t="str">
        <f>A38</f>
        <v>Conditions still to be met - transferred to liabilities</v>
      </c>
      <c r="B43" s="144"/>
      <c r="C43" s="1876"/>
      <c r="D43" s="1876"/>
      <c r="E43" s="1877"/>
      <c r="F43" s="1878"/>
      <c r="G43" s="1876"/>
      <c r="H43" s="1877"/>
      <c r="I43" s="1879"/>
      <c r="J43" s="1876"/>
      <c r="K43" s="1880"/>
    </row>
    <row r="44" spans="1:15" ht="11.25" customHeight="1" x14ac:dyDescent="0.25">
      <c r="A44" s="1857" t="s">
        <v>510</v>
      </c>
      <c r="B44" s="144"/>
      <c r="C44" s="1891"/>
      <c r="D44" s="1891"/>
      <c r="E44" s="1892"/>
      <c r="F44" s="1893"/>
      <c r="G44" s="1894"/>
      <c r="H44" s="1895"/>
      <c r="I44" s="1896"/>
      <c r="J44" s="1894"/>
      <c r="K44" s="1897"/>
    </row>
    <row r="45" spans="1:15" ht="11.25" customHeight="1" x14ac:dyDescent="0.25">
      <c r="A45" s="1889" t="str">
        <f>A35</f>
        <v>Balance unspent at beginning of the year</v>
      </c>
      <c r="B45" s="144"/>
      <c r="C45" s="1876"/>
      <c r="D45" s="1876"/>
      <c r="E45" s="1877"/>
      <c r="F45" s="1878"/>
      <c r="G45" s="1876"/>
      <c r="H45" s="1877"/>
      <c r="I45" s="1879"/>
      <c r="J45" s="1876"/>
      <c r="K45" s="1880"/>
    </row>
    <row r="46" spans="1:15" ht="11.25" customHeight="1" x14ac:dyDescent="0.25">
      <c r="A46" s="1889" t="str">
        <f>A36</f>
        <v>Current year receipts</v>
      </c>
      <c r="B46" s="144"/>
      <c r="C46" s="1876"/>
      <c r="D46" s="1876"/>
      <c r="E46" s="1877"/>
      <c r="F46" s="1878"/>
      <c r="G46" s="1876"/>
      <c r="H46" s="1877"/>
      <c r="I46" s="1879"/>
      <c r="J46" s="1876"/>
      <c r="K46" s="1880"/>
    </row>
    <row r="47" spans="1:15" ht="11.25" customHeight="1" x14ac:dyDescent="0.25">
      <c r="A47" s="1890" t="str">
        <f>A37</f>
        <v>Conditions met - transferred to revenue</v>
      </c>
      <c r="B47" s="144"/>
      <c r="C47" s="1882">
        <f t="shared" ref="C47:K47" si="8">C45+C46-C48</f>
        <v>0</v>
      </c>
      <c r="D47" s="1883">
        <f t="shared" si="8"/>
        <v>0</v>
      </c>
      <c r="E47" s="1884">
        <f t="shared" si="8"/>
        <v>0</v>
      </c>
      <c r="F47" s="1885">
        <f t="shared" si="8"/>
        <v>0</v>
      </c>
      <c r="G47" s="1883">
        <f t="shared" si="8"/>
        <v>0</v>
      </c>
      <c r="H47" s="1886">
        <f t="shared" si="8"/>
        <v>0</v>
      </c>
      <c r="I47" s="1887">
        <f t="shared" si="8"/>
        <v>0</v>
      </c>
      <c r="J47" s="1883">
        <f t="shared" si="8"/>
        <v>0</v>
      </c>
      <c r="K47" s="1884">
        <f t="shared" si="8"/>
        <v>0</v>
      </c>
    </row>
    <row r="48" spans="1:15" ht="11.25" customHeight="1" x14ac:dyDescent="0.25">
      <c r="A48" s="1889" t="str">
        <f>A38</f>
        <v>Conditions still to be met - transferred to liabilities</v>
      </c>
      <c r="B48" s="144"/>
      <c r="C48" s="1876"/>
      <c r="D48" s="1876"/>
      <c r="E48" s="1880"/>
      <c r="F48" s="1878"/>
      <c r="G48" s="1876"/>
      <c r="H48" s="1877"/>
      <c r="I48" s="1879"/>
      <c r="J48" s="1876"/>
      <c r="K48" s="1880"/>
    </row>
    <row r="49" spans="1:11" x14ac:dyDescent="0.25">
      <c r="A49" s="256" t="s">
        <v>532</v>
      </c>
      <c r="B49" s="257"/>
      <c r="C49" s="1898">
        <f t="shared" ref="C49:K50" si="9">C32+C37+C42+C47</f>
        <v>16285000</v>
      </c>
      <c r="D49" s="1898">
        <f t="shared" si="9"/>
        <v>15835000</v>
      </c>
      <c r="E49" s="1899">
        <f t="shared" si="9"/>
        <v>16076000</v>
      </c>
      <c r="F49" s="1900">
        <f t="shared" si="9"/>
        <v>15996000</v>
      </c>
      <c r="G49" s="1898">
        <f t="shared" si="9"/>
        <v>25800000</v>
      </c>
      <c r="H49" s="1901">
        <f t="shared" si="9"/>
        <v>25800000</v>
      </c>
      <c r="I49" s="1902">
        <f t="shared" si="9"/>
        <v>24755000</v>
      </c>
      <c r="J49" s="1898">
        <f t="shared" si="9"/>
        <v>17781000</v>
      </c>
      <c r="K49" s="1899">
        <f t="shared" si="9"/>
        <v>18394000</v>
      </c>
    </row>
    <row r="50" spans="1:11" x14ac:dyDescent="0.25">
      <c r="A50" s="256" t="s">
        <v>304</v>
      </c>
      <c r="B50" s="257">
        <v>2</v>
      </c>
      <c r="C50" s="1898">
        <f t="shared" si="9"/>
        <v>0</v>
      </c>
      <c r="D50" s="1898">
        <f t="shared" si="9"/>
        <v>0</v>
      </c>
      <c r="E50" s="1899">
        <f t="shared" si="9"/>
        <v>0</v>
      </c>
      <c r="F50" s="1900">
        <f t="shared" si="9"/>
        <v>0</v>
      </c>
      <c r="G50" s="1898">
        <f t="shared" si="9"/>
        <v>0</v>
      </c>
      <c r="H50" s="1901">
        <f t="shared" si="9"/>
        <v>0</v>
      </c>
      <c r="I50" s="1902">
        <f t="shared" si="9"/>
        <v>0</v>
      </c>
      <c r="J50" s="1898">
        <f t="shared" si="9"/>
        <v>0</v>
      </c>
      <c r="K50" s="1899">
        <f t="shared" si="9"/>
        <v>0</v>
      </c>
    </row>
    <row r="51" spans="1:11" ht="4.9000000000000004" customHeight="1" x14ac:dyDescent="0.25">
      <c r="A51" s="1903"/>
      <c r="B51" s="144"/>
      <c r="C51" s="1891"/>
      <c r="D51" s="1891"/>
      <c r="E51" s="1892"/>
      <c r="F51" s="1893"/>
      <c r="G51" s="1894"/>
      <c r="H51" s="1895"/>
      <c r="I51" s="1896"/>
      <c r="J51" s="1894"/>
      <c r="K51" s="1897"/>
    </row>
    <row r="52" spans="1:11" ht="11.25" customHeight="1" x14ac:dyDescent="0.25">
      <c r="A52" s="242" t="s">
        <v>243</v>
      </c>
      <c r="B52" s="1904"/>
      <c r="C52" s="1905">
        <f t="shared" ref="C52:K52" si="10">C25+C49</f>
        <v>55569000</v>
      </c>
      <c r="D52" s="1905">
        <f t="shared" si="10"/>
        <v>69994000</v>
      </c>
      <c r="E52" s="1906">
        <f t="shared" si="10"/>
        <v>76648000</v>
      </c>
      <c r="F52" s="1907">
        <f t="shared" si="10"/>
        <v>74199000</v>
      </c>
      <c r="G52" s="1905">
        <f t="shared" si="10"/>
        <v>98408000</v>
      </c>
      <c r="H52" s="1908">
        <f t="shared" si="10"/>
        <v>98408000</v>
      </c>
      <c r="I52" s="1909">
        <f t="shared" si="10"/>
        <v>74846000</v>
      </c>
      <c r="J52" s="1905">
        <f t="shared" si="10"/>
        <v>79879000</v>
      </c>
      <c r="K52" s="1906">
        <f t="shared" si="10"/>
        <v>80746000</v>
      </c>
    </row>
    <row r="53" spans="1:11" ht="11.25" customHeight="1" x14ac:dyDescent="0.25">
      <c r="A53" s="147" t="s">
        <v>1258</v>
      </c>
      <c r="B53" s="148"/>
      <c r="C53" s="1778">
        <f>C26+C50</f>
        <v>13153000</v>
      </c>
      <c r="D53" s="1778">
        <f t="shared" ref="D53:K53" si="11">D26+D50</f>
        <v>3004000</v>
      </c>
      <c r="E53" s="1779">
        <f t="shared" si="11"/>
        <v>3875000</v>
      </c>
      <c r="F53" s="1780">
        <f t="shared" si="11"/>
        <v>10943000</v>
      </c>
      <c r="G53" s="1778">
        <f t="shared" si="11"/>
        <v>8943000</v>
      </c>
      <c r="H53" s="1781">
        <f t="shared" si="11"/>
        <v>8943000</v>
      </c>
      <c r="I53" s="1782">
        <f t="shared" si="11"/>
        <v>22289000</v>
      </c>
      <c r="J53" s="1778">
        <f t="shared" si="11"/>
        <v>12329000</v>
      </c>
      <c r="K53" s="1779">
        <f t="shared" si="11"/>
        <v>14529000</v>
      </c>
    </row>
    <row r="54" spans="1:11" ht="11.25" customHeight="1" x14ac:dyDescent="0.25">
      <c r="A54" s="188" t="str">
        <f>head27a</f>
        <v>References</v>
      </c>
      <c r="B54" s="441"/>
      <c r="C54" s="296"/>
      <c r="D54" s="296"/>
      <c r="E54" s="296"/>
      <c r="F54" s="296"/>
      <c r="G54" s="296"/>
      <c r="H54" s="296"/>
      <c r="I54" s="296"/>
      <c r="J54" s="296"/>
      <c r="K54" s="296"/>
    </row>
    <row r="55" spans="1:11" ht="11.25" customHeight="1" x14ac:dyDescent="0.25">
      <c r="A55" s="2463" t="s">
        <v>531</v>
      </c>
      <c r="B55" s="2463"/>
      <c r="C55" s="2463"/>
      <c r="D55" s="2463"/>
      <c r="E55" s="2463"/>
      <c r="F55" s="2463"/>
      <c r="G55" s="2463"/>
      <c r="H55" s="2463"/>
      <c r="I55" s="2463"/>
      <c r="J55" s="2463"/>
      <c r="K55" s="2463"/>
    </row>
    <row r="56" spans="1:11" ht="11.25" customHeight="1" x14ac:dyDescent="0.25">
      <c r="A56" s="2463" t="s">
        <v>242</v>
      </c>
      <c r="B56" s="2463"/>
      <c r="C56" s="2463"/>
      <c r="D56" s="2463"/>
      <c r="E56" s="2463"/>
      <c r="F56" s="2463"/>
      <c r="G56" s="2463"/>
      <c r="H56" s="2463"/>
      <c r="I56" s="2463"/>
      <c r="J56" s="2463"/>
      <c r="K56" s="2463"/>
    </row>
    <row r="57" spans="1:11" ht="11.25" customHeight="1" x14ac:dyDescent="0.25">
      <c r="A57" s="2463" t="s">
        <v>761</v>
      </c>
      <c r="B57" s="2463"/>
      <c r="C57" s="2463"/>
      <c r="D57" s="2463"/>
      <c r="E57" s="2463"/>
      <c r="F57" s="2463"/>
      <c r="G57" s="2463"/>
      <c r="H57" s="2463"/>
      <c r="I57" s="2463"/>
      <c r="J57" s="2463"/>
      <c r="K57" s="2463"/>
    </row>
    <row r="58" spans="1:11" ht="11.25" customHeight="1" x14ac:dyDescent="0.25">
      <c r="A58" s="1910"/>
      <c r="B58" s="1910"/>
      <c r="C58" s="1910"/>
      <c r="D58" s="1910"/>
      <c r="E58" s="1910"/>
      <c r="F58" s="1910"/>
      <c r="G58" s="1910"/>
      <c r="H58" s="1910"/>
      <c r="I58" s="1910"/>
      <c r="J58" s="1910"/>
      <c r="K58" s="1910"/>
    </row>
    <row r="59" spans="1:11" ht="11.25" customHeight="1" x14ac:dyDescent="0.25">
      <c r="A59" s="1815" t="s">
        <v>400</v>
      </c>
      <c r="C59" s="982">
        <f>C25-'A4-FinPerf RE'!C18</f>
        <v>-16328210</v>
      </c>
      <c r="D59" s="982">
        <f>D25-'A4-FinPerf RE'!D18</f>
        <v>-6449754</v>
      </c>
      <c r="E59" s="982">
        <f>E25-'A4-FinPerf RE'!E18</f>
        <v>-8520059</v>
      </c>
      <c r="F59" s="982">
        <f>F25-'A4-FinPerf RE'!F18</f>
        <v>-15259500</v>
      </c>
      <c r="G59" s="982">
        <f>G25-'A4-FinPerf RE'!G18</f>
        <v>-12887000</v>
      </c>
      <c r="H59" s="982">
        <f>H25-'A4-FinPerf RE'!H18</f>
        <v>-12887000</v>
      </c>
      <c r="I59" s="982">
        <f>I25-'A4-FinPerf RE'!J18</f>
        <v>-26468000</v>
      </c>
      <c r="J59" s="982">
        <f>J25-'A4-FinPerf RE'!K18</f>
        <v>-25544680</v>
      </c>
      <c r="K59" s="982">
        <f>K25-'A4-FinPerf RE'!L18</f>
        <v>-26340267</v>
      </c>
    </row>
    <row r="60" spans="1:11" ht="11.25" customHeight="1" x14ac:dyDescent="0.25">
      <c r="A60" s="1815" t="s">
        <v>401</v>
      </c>
      <c r="C60" s="982">
        <f>C49-'A5-Capex'!C70</f>
        <v>-80303188</v>
      </c>
      <c r="D60" s="982">
        <f>D49-'A5-Capex'!D70</f>
        <v>-96333084</v>
      </c>
      <c r="E60" s="982">
        <f>E49-'A5-Capex'!E70</f>
        <v>-105173308</v>
      </c>
      <c r="F60" s="982">
        <f>F49-'A5-Capex'!F70</f>
        <v>-767</v>
      </c>
      <c r="G60" s="982">
        <f>G49-'A5-Capex'!G70</f>
        <v>-2</v>
      </c>
      <c r="H60" s="982">
        <f>H49-'A5-Capex'!H70</f>
        <v>-2</v>
      </c>
      <c r="I60" s="982">
        <f>I49-'A5-Capex'!J70</f>
        <v>0</v>
      </c>
      <c r="J60" s="982">
        <f>J49-'A5-Capex'!K70</f>
        <v>0</v>
      </c>
      <c r="K60" s="982">
        <f>K49-'A5-Capex'!L70</f>
        <v>0</v>
      </c>
    </row>
    <row r="61" spans="1:11" ht="11.25" customHeight="1" x14ac:dyDescent="0.25"/>
    <row r="62" spans="1:11" ht="11.25" customHeight="1" x14ac:dyDescent="0.25"/>
    <row r="63" spans="1:11" ht="11.25" customHeight="1" x14ac:dyDescent="0.25"/>
    <row r="64" spans="1:11" ht="11.25" customHeight="1" x14ac:dyDescent="0.25"/>
    <row r="65" ht="11.25" customHeight="1" x14ac:dyDescent="0.25"/>
    <row r="66" ht="11.25" customHeight="1" x14ac:dyDescent="0.25"/>
    <row r="67" ht="11.25" customHeight="1" x14ac:dyDescent="0.25"/>
    <row r="68" ht="11.25" customHeight="1" x14ac:dyDescent="0.25"/>
    <row r="69" ht="11.25" customHeight="1" x14ac:dyDescent="0.25"/>
    <row r="70" ht="11.25" customHeight="1" x14ac:dyDescent="0.25"/>
    <row r="71" ht="11.25" customHeight="1" x14ac:dyDescent="0.25"/>
    <row r="72" ht="11.25" customHeight="1" x14ac:dyDescent="0.25"/>
    <row r="73" ht="11.25" customHeight="1" x14ac:dyDescent="0.25"/>
    <row r="74" ht="11.25" customHeight="1" x14ac:dyDescent="0.25"/>
    <row r="75" ht="11.25" customHeight="1" x14ac:dyDescent="0.25"/>
    <row r="76" ht="11.25" customHeight="1" x14ac:dyDescent="0.25"/>
    <row r="77" ht="11.25" customHeight="1" x14ac:dyDescent="0.25"/>
    <row r="78" ht="11.25" customHeight="1" x14ac:dyDescent="0.25"/>
    <row r="79" ht="11.25" customHeight="1" x14ac:dyDescent="0.25"/>
    <row r="80" ht="11.25" customHeight="1" x14ac:dyDescent="0.25"/>
    <row r="81" ht="11.25" customHeight="1" x14ac:dyDescent="0.25"/>
    <row r="82" ht="11.25" customHeight="1" x14ac:dyDescent="0.25"/>
    <row r="83" ht="11.25" customHeight="1" x14ac:dyDescent="0.25"/>
    <row r="84" ht="11.25" customHeight="1" x14ac:dyDescent="0.25"/>
    <row r="85" ht="11.25" customHeight="1" x14ac:dyDescent="0.25"/>
    <row r="86" ht="11.25" customHeight="1" x14ac:dyDescent="0.25"/>
    <row r="87" ht="11.25" customHeight="1" x14ac:dyDescent="0.25"/>
  </sheetData>
  <mergeCells count="5">
    <mergeCell ref="A57:K57"/>
    <mergeCell ref="F2:H2"/>
    <mergeCell ref="I2:K2"/>
    <mergeCell ref="A55:K55"/>
    <mergeCell ref="A56:K56"/>
  </mergeCells>
  <phoneticPr fontId="7" type="noConversion"/>
  <printOptions horizontalCentered="1"/>
  <pageMargins left="0" right="0" top="0.78740157480314965" bottom="0.59055118110236227" header="0.51181102362204722" footer="0.51181102362204722"/>
  <pageSetup paperSize="9" scale="90" orientation="portrait"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411">
    <pageSetUpPr fitToPage="1"/>
  </sheetPr>
  <dimension ref="A1:AC71"/>
  <sheetViews>
    <sheetView showGridLines="0" zoomScale="110" zoomScaleNormal="110" zoomScaleSheetLayoutView="100" workbookViewId="0">
      <selection activeCell="I59" sqref="I59:I61"/>
    </sheetView>
  </sheetViews>
  <sheetFormatPr defaultColWidth="9.140625" defaultRowHeight="12.75" x14ac:dyDescent="0.25"/>
  <cols>
    <col min="1" max="1" width="47.140625" style="58" customWidth="1"/>
    <col min="2" max="2" width="3" style="55" customWidth="1"/>
    <col min="3" max="12" width="9.28515625" style="58" customWidth="1"/>
    <col min="13" max="13" width="9.7109375" style="58" customWidth="1"/>
    <col min="14" max="14" width="9.42578125" style="58" customWidth="1"/>
    <col min="15" max="15" width="9.7109375" style="58" customWidth="1"/>
    <col min="16" max="18" width="9.42578125" style="58" customWidth="1"/>
    <col min="19" max="19" width="9.7109375" style="58" customWidth="1"/>
    <col min="20" max="22" width="9.42578125" style="58" customWidth="1"/>
    <col min="23" max="24" width="9.7109375" style="58" customWidth="1"/>
    <col min="25" max="28" width="9.140625" style="58" customWidth="1"/>
    <col min="29" max="29" width="9.140625" style="2343"/>
    <col min="30" max="16384" width="9.140625" style="58"/>
  </cols>
  <sheetData>
    <row r="1" spans="1:29" ht="13.5" customHeight="1" x14ac:dyDescent="0.25">
      <c r="A1" s="92" t="str">
        <f>muni&amp;" - "&amp; TableA21</f>
        <v>KZN226 Mkhambathini - Supporting Table SA21 Transfers and grants made by the municipality</v>
      </c>
      <c r="B1" s="92"/>
      <c r="C1" s="92"/>
      <c r="D1" s="92"/>
      <c r="E1" s="92"/>
      <c r="F1" s="92"/>
      <c r="G1" s="92"/>
      <c r="H1" s="92"/>
      <c r="I1" s="92"/>
      <c r="J1" s="92"/>
      <c r="K1" s="92"/>
      <c r="L1" s="92"/>
    </row>
    <row r="2" spans="1:29" ht="28.5" customHeight="1" x14ac:dyDescent="0.25">
      <c r="A2" s="1911" t="str">
        <f>desc</f>
        <v>Description</v>
      </c>
      <c r="B2" s="1824" t="str">
        <f>head27</f>
        <v>Ref</v>
      </c>
      <c r="C2" s="837" t="str">
        <f>head1b</f>
        <v>2017/18</v>
      </c>
      <c r="D2" s="561" t="str">
        <f>head1A</f>
        <v>2018/19</v>
      </c>
      <c r="E2" s="684" t="str">
        <f>Head1</f>
        <v>2019/20</v>
      </c>
      <c r="F2" s="2447" t="str">
        <f>Head2</f>
        <v>Current Year 2020/21</v>
      </c>
      <c r="G2" s="2448"/>
      <c r="H2" s="2448"/>
      <c r="I2" s="2449"/>
      <c r="J2" s="2450" t="str">
        <f>Head3</f>
        <v>2021/22 Medium Term Revenue &amp; Expenditure Framework</v>
      </c>
      <c r="K2" s="2451"/>
      <c r="L2" s="2452"/>
    </row>
    <row r="3" spans="1:29" ht="25.5" x14ac:dyDescent="0.25">
      <c r="A3" s="156" t="s">
        <v>568</v>
      </c>
      <c r="B3" s="1912"/>
      <c r="C3" s="698" t="str">
        <f>Head5</f>
        <v>Audited Outcome</v>
      </c>
      <c r="D3" s="562" t="str">
        <f>Head5</f>
        <v>Audited Outcome</v>
      </c>
      <c r="E3" s="94" t="str">
        <f>Head5</f>
        <v>Audited Outcome</v>
      </c>
      <c r="F3" s="95" t="str">
        <f>Head6</f>
        <v>Original Budget</v>
      </c>
      <c r="G3" s="698" t="str">
        <f>Head7</f>
        <v>Adjusted Budget</v>
      </c>
      <c r="H3" s="702" t="str">
        <f>Head8</f>
        <v>Full Year Forecast</v>
      </c>
      <c r="I3" s="755" t="str">
        <f>Head5b</f>
        <v>Pre-audit outcome</v>
      </c>
      <c r="J3" s="702" t="str">
        <f>Head9</f>
        <v>Budget Year 2021/22</v>
      </c>
      <c r="K3" s="698" t="str">
        <f>Head10</f>
        <v>Budget Year +1 2022/23</v>
      </c>
      <c r="L3" s="94" t="str">
        <f>Head11</f>
        <v>Budget Year +2 2023/24</v>
      </c>
    </row>
    <row r="4" spans="1:29" ht="5.25" customHeight="1" x14ac:dyDescent="0.25">
      <c r="A4" s="1913"/>
      <c r="B4" s="1914"/>
      <c r="C4" s="421"/>
      <c r="D4" s="1915"/>
      <c r="E4" s="422"/>
      <c r="F4" s="423"/>
      <c r="G4" s="421"/>
      <c r="H4" s="906"/>
      <c r="I4" s="694"/>
      <c r="J4" s="906"/>
      <c r="K4" s="421"/>
      <c r="L4" s="422"/>
    </row>
    <row r="5" spans="1:29" ht="11.25" customHeight="1" x14ac:dyDescent="0.25">
      <c r="A5" s="96" t="s">
        <v>1776</v>
      </c>
      <c r="B5" s="1916"/>
      <c r="C5" s="177"/>
      <c r="D5" s="177"/>
      <c r="E5" s="178"/>
      <c r="F5" s="179"/>
      <c r="G5" s="177"/>
      <c r="H5" s="529"/>
      <c r="I5" s="1472"/>
      <c r="J5" s="180"/>
      <c r="K5" s="177"/>
      <c r="L5" s="178"/>
    </row>
    <row r="6" spans="1:29" ht="12" customHeight="1" x14ac:dyDescent="0.25">
      <c r="A6" s="1917" t="s">
        <v>950</v>
      </c>
      <c r="B6" s="1916">
        <v>1</v>
      </c>
      <c r="C6" s="712">
        <f>SUMIFS(Sheet1!S71_PPPYearAmount,Sheet1!S71_A4SubCode,$AC:$AC)</f>
        <v>0</v>
      </c>
      <c r="D6" s="712">
        <f>SUMIFS(Sheet1!S71_PPYearAmount,Sheet1!S71_A4SubCode,$AC:$AC)</f>
        <v>0</v>
      </c>
      <c r="E6" s="717">
        <f>SUMIFS(Sheet1!S71_PYearAmount,Sheet1!S71_A4SubCode,$AC:$AC)</f>
        <v>0</v>
      </c>
      <c r="F6" s="718">
        <f>SUMIFS(Sheet1!S71_OriginalBudAmnt,Sheet1!S71_A4SubCode,$AC:$AC)</f>
        <v>0</v>
      </c>
      <c r="G6" s="712">
        <f>SUMIFS(Sheet1!S71_AdjustmentBudAmnt,Sheet1!S71_A4SubCode,$AC:$AC)</f>
        <v>0</v>
      </c>
      <c r="H6" s="715">
        <f>SUMIFS(Sheet1!S71_AdjustmentBudAmnt,Sheet1!S71_A4SubCode,$AC:$AC)</f>
        <v>0</v>
      </c>
      <c r="I6" s="716">
        <f>SUMIFS(Sheet1!CD:CD,Sheet1!S71_A4SubCode,$AC:$AC)</f>
        <v>0</v>
      </c>
      <c r="J6" s="719">
        <f>SUMIFS(Sheet1!S71_ASBudgetAmount,Sheet1!S71_A4SubCode,$AC:$AC)</f>
        <v>0</v>
      </c>
      <c r="K6" s="712">
        <f>SUMIFS(Sheet1!S71_OY1BudgetAmount,Sheet1!S71_A4SubCode,$AC:$AC)</f>
        <v>0</v>
      </c>
      <c r="L6" s="717">
        <f>SUMIFS(Sheet1!S71_OY2BudgetAmount,Sheet1!S71_A4SubCode,$AC:$AC)</f>
        <v>0</v>
      </c>
      <c r="AC6" s="2344" t="s">
        <v>2918</v>
      </c>
    </row>
    <row r="7" spans="1:29" ht="11.25" customHeight="1" x14ac:dyDescent="0.25">
      <c r="A7" s="1918"/>
      <c r="B7" s="1916"/>
      <c r="C7" s="712">
        <f>SUMIFS(Sheet1!S71_PPPYearAmount,Sheet1!S71_A4SubCode,$AC:$AC)</f>
        <v>0</v>
      </c>
      <c r="D7" s="712">
        <f>SUMIFS(Sheet1!S71_PPYearAmount,Sheet1!S71_A4SubCode,$AC:$AC)</f>
        <v>0</v>
      </c>
      <c r="E7" s="717">
        <f>SUMIFS(Sheet1!S71_PYearAmount,Sheet1!S71_A4SubCode,$AC:$AC)</f>
        <v>0</v>
      </c>
      <c r="F7" s="718">
        <f>SUMIFS(Sheet1!S71_OriginalBudAmnt,Sheet1!S71_A4SubCode,$AC:$AC)</f>
        <v>0</v>
      </c>
      <c r="G7" s="712">
        <f>SUMIFS(Sheet1!S71_AdjustmentBudAmnt,Sheet1!S71_A4SubCode,$AC:$AC)</f>
        <v>0</v>
      </c>
      <c r="H7" s="715">
        <f>SUMIFS(Sheet1!S71_AdjustmentBudAmnt,Sheet1!S71_A4SubCode,$AC:$AC)</f>
        <v>0</v>
      </c>
      <c r="I7" s="716">
        <f>SUMIFS(Sheet1!CD:CD,Sheet1!S71_A4SubCode,$AC:$AC)</f>
        <v>0</v>
      </c>
      <c r="J7" s="719">
        <f>SUMIFS(Sheet1!S71_ASBudgetAmount,Sheet1!S71_A4SubCode,$AC:$AC)</f>
        <v>0</v>
      </c>
      <c r="K7" s="712">
        <f>SUMIFS(Sheet1!S71_OY1BudgetAmount,Sheet1!S71_A4SubCode,$AC:$AC)</f>
        <v>0</v>
      </c>
      <c r="L7" s="717">
        <f>SUMIFS(Sheet1!S71_OY2BudgetAmount,Sheet1!S71_A4SubCode,$AC:$AC)</f>
        <v>0</v>
      </c>
    </row>
    <row r="8" spans="1:29" ht="11.25" customHeight="1" x14ac:dyDescent="0.25">
      <c r="A8" s="1918"/>
      <c r="B8" s="1916"/>
      <c r="C8" s="712">
        <f>SUMIFS(Sheet1!S71_PPPYearAmount,Sheet1!S71_A4SubCode,$AC:$AC)</f>
        <v>0</v>
      </c>
      <c r="D8" s="712">
        <f>SUMIFS(Sheet1!S71_PPYearAmount,Sheet1!S71_A4SubCode,$AC:$AC)</f>
        <v>0</v>
      </c>
      <c r="E8" s="717">
        <f>SUMIFS(Sheet1!S71_PYearAmount,Sheet1!S71_A4SubCode,$AC:$AC)</f>
        <v>0</v>
      </c>
      <c r="F8" s="718">
        <f>SUMIFS(Sheet1!S71_OriginalBudAmnt,Sheet1!S71_A4SubCode,$AC:$AC)</f>
        <v>0</v>
      </c>
      <c r="G8" s="712">
        <f>SUMIFS(Sheet1!S71_AdjustmentBudAmnt,Sheet1!S71_A4SubCode,$AC:$AC)</f>
        <v>0</v>
      </c>
      <c r="H8" s="715">
        <f>SUMIFS(Sheet1!S71_AdjustmentBudAmnt,Sheet1!S71_A4SubCode,$AC:$AC)</f>
        <v>0</v>
      </c>
      <c r="I8" s="716">
        <f>SUMIFS(Sheet1!CD:CD,Sheet1!S71_A4SubCode,$AC:$AC)</f>
        <v>0</v>
      </c>
      <c r="J8" s="719">
        <f>SUMIFS(Sheet1!S71_ASBudgetAmount,Sheet1!S71_A4SubCode,$AC:$AC)</f>
        <v>0</v>
      </c>
      <c r="K8" s="712">
        <f>SUMIFS(Sheet1!S71_OY1BudgetAmount,Sheet1!S71_A4SubCode,$AC:$AC)</f>
        <v>0</v>
      </c>
      <c r="L8" s="717">
        <f>SUMIFS(Sheet1!S71_OY2BudgetAmount,Sheet1!S71_A4SubCode,$AC:$AC)</f>
        <v>0</v>
      </c>
    </row>
    <row r="9" spans="1:29" ht="11.25" customHeight="1" x14ac:dyDescent="0.25">
      <c r="A9" s="256" t="s">
        <v>1778</v>
      </c>
      <c r="B9" s="1919"/>
      <c r="C9" s="264">
        <f>SUM(C6:C8)</f>
        <v>0</v>
      </c>
      <c r="D9" s="264">
        <f t="shared" ref="D9:L9" si="0">SUM(D6:D8)</f>
        <v>0</v>
      </c>
      <c r="E9" s="265">
        <f t="shared" si="0"/>
        <v>0</v>
      </c>
      <c r="F9" s="266">
        <f t="shared" si="0"/>
        <v>0</v>
      </c>
      <c r="G9" s="264">
        <f t="shared" si="0"/>
        <v>0</v>
      </c>
      <c r="H9" s="1920">
        <f t="shared" si="0"/>
        <v>0</v>
      </c>
      <c r="I9" s="1921">
        <f t="shared" si="0"/>
        <v>0</v>
      </c>
      <c r="J9" s="267">
        <f t="shared" si="0"/>
        <v>0</v>
      </c>
      <c r="K9" s="264">
        <f t="shared" si="0"/>
        <v>0</v>
      </c>
      <c r="L9" s="265">
        <f t="shared" si="0"/>
        <v>0</v>
      </c>
    </row>
    <row r="10" spans="1:29" ht="6" customHeight="1" x14ac:dyDescent="0.25">
      <c r="A10" s="116"/>
      <c r="B10" s="1916"/>
      <c r="C10" s="177"/>
      <c r="D10" s="177"/>
      <c r="E10" s="178"/>
      <c r="F10" s="179"/>
      <c r="G10" s="177"/>
      <c r="H10" s="529"/>
      <c r="I10" s="1472"/>
      <c r="J10" s="180"/>
      <c r="K10" s="177"/>
      <c r="L10" s="178"/>
    </row>
    <row r="11" spans="1:29" ht="11.25" customHeight="1" x14ac:dyDescent="0.25">
      <c r="A11" s="574" t="s">
        <v>1779</v>
      </c>
      <c r="B11" s="1922"/>
      <c r="C11" s="71"/>
      <c r="D11" s="71"/>
      <c r="E11" s="72"/>
      <c r="F11" s="73"/>
      <c r="G11" s="71"/>
      <c r="H11" s="305"/>
      <c r="I11" s="1923"/>
      <c r="J11" s="74"/>
      <c r="K11" s="71"/>
      <c r="L11" s="72"/>
    </row>
    <row r="12" spans="1:29" ht="11.25" customHeight="1" x14ac:dyDescent="0.25">
      <c r="A12" s="1917" t="str">
        <f>$A$6</f>
        <v>Insert description</v>
      </c>
      <c r="B12" s="1922">
        <v>2</v>
      </c>
      <c r="C12" s="712">
        <f>SUMIFS(Sheet1!S71_PPPYearAmount,Sheet1!S71_A4SubCode,$AC:$AC)</f>
        <v>0</v>
      </c>
      <c r="D12" s="712">
        <f>SUMIFS(Sheet1!S71_PPYearAmount,Sheet1!S71_A4SubCode,$AC:$AC)</f>
        <v>0</v>
      </c>
      <c r="E12" s="717">
        <f>SUMIFS(Sheet1!S71_PYearAmount,Sheet1!S71_A4SubCode,$AC:$AC)</f>
        <v>0</v>
      </c>
      <c r="F12" s="718">
        <f>SUMIFS(Sheet1!S71_OriginalBudAmnt,Sheet1!S71_A4SubCode,$AC:$AC)</f>
        <v>0</v>
      </c>
      <c r="G12" s="712">
        <f>SUMIFS(Sheet1!S71_AdjustmentBudAmnt,Sheet1!S71_A4SubCode,$AC:$AC)</f>
        <v>0</v>
      </c>
      <c r="H12" s="715">
        <f>SUMIFS(Sheet1!S71_AdjustmentBudAmnt,Sheet1!S71_A4SubCode,$AC:$AC)</f>
        <v>0</v>
      </c>
      <c r="I12" s="716">
        <f>SUMIFS(Sheet1!CD:CD,Sheet1!S71_A4SubCode,$AC:$AC)</f>
        <v>0</v>
      </c>
      <c r="J12" s="719">
        <f>SUMIFS(Sheet1!S71_ASBudgetAmount,Sheet1!S71_A4SubCode,$AC:$AC)</f>
        <v>0</v>
      </c>
      <c r="K12" s="712">
        <f>SUMIFS(Sheet1!S71_OY1BudgetAmount,Sheet1!S71_A4SubCode,$AC:$AC)</f>
        <v>0</v>
      </c>
      <c r="L12" s="717">
        <f>SUMIFS(Sheet1!S71_OY2BudgetAmount,Sheet1!S71_A4SubCode,$AC:$AC)</f>
        <v>0</v>
      </c>
      <c r="AC12" s="2343" t="s">
        <v>2919</v>
      </c>
    </row>
    <row r="13" spans="1:29" ht="11.25" customHeight="1" x14ac:dyDescent="0.25">
      <c r="A13" s="1794"/>
      <c r="B13" s="1922"/>
      <c r="C13" s="712">
        <f>SUMIFS(Sheet1!S71_PPPYearAmount,Sheet1!S71_A4SubCode,$AC:$AC)</f>
        <v>0</v>
      </c>
      <c r="D13" s="712">
        <f>SUMIFS(Sheet1!S71_PPYearAmount,Sheet1!S71_A4SubCode,$AC:$AC)</f>
        <v>0</v>
      </c>
      <c r="E13" s="717">
        <f>SUMIFS(Sheet1!S71_PYearAmount,Sheet1!S71_A4SubCode,$AC:$AC)</f>
        <v>0</v>
      </c>
      <c r="F13" s="718">
        <f>SUMIFS(Sheet1!S71_OriginalBudAmnt,Sheet1!S71_A4SubCode,$AC:$AC)</f>
        <v>0</v>
      </c>
      <c r="G13" s="712">
        <f>SUMIFS(Sheet1!S71_AdjustmentBudAmnt,Sheet1!S71_A4SubCode,$AC:$AC)</f>
        <v>0</v>
      </c>
      <c r="H13" s="715">
        <f>SUMIFS(Sheet1!S71_AdjustmentBudAmnt,Sheet1!S71_A4SubCode,$AC:$AC)</f>
        <v>0</v>
      </c>
      <c r="I13" s="716">
        <f>SUMIFS(Sheet1!CD:CD,Sheet1!S71_A4SubCode,$AC:$AC)</f>
        <v>0</v>
      </c>
      <c r="J13" s="719">
        <f>SUMIFS(Sheet1!S71_ASBudgetAmount,Sheet1!S71_A4SubCode,$AC:$AC)</f>
        <v>0</v>
      </c>
      <c r="K13" s="712">
        <f>SUMIFS(Sheet1!S71_OY1BudgetAmount,Sheet1!S71_A4SubCode,$AC:$AC)</f>
        <v>0</v>
      </c>
      <c r="L13" s="717">
        <f>SUMIFS(Sheet1!S71_OY2BudgetAmount,Sheet1!S71_A4SubCode,$AC:$AC)</f>
        <v>0</v>
      </c>
    </row>
    <row r="14" spans="1:29" ht="11.25" customHeight="1" x14ac:dyDescent="0.25">
      <c r="A14" s="1794"/>
      <c r="B14" s="1922"/>
      <c r="C14" s="712">
        <f>SUMIFS(Sheet1!S71_PPPYearAmount,Sheet1!S71_A4SubCode,$AC:$AC)</f>
        <v>0</v>
      </c>
      <c r="D14" s="712">
        <f>SUMIFS(Sheet1!S71_PPYearAmount,Sheet1!S71_A4SubCode,$AC:$AC)</f>
        <v>0</v>
      </c>
      <c r="E14" s="717">
        <f>SUMIFS(Sheet1!S71_PYearAmount,Sheet1!S71_A4SubCode,$AC:$AC)</f>
        <v>0</v>
      </c>
      <c r="F14" s="718">
        <f>SUMIFS(Sheet1!S71_OriginalBudAmnt,Sheet1!S71_A4SubCode,$AC:$AC)</f>
        <v>0</v>
      </c>
      <c r="G14" s="712">
        <f>SUMIFS(Sheet1!S71_AdjustmentBudAmnt,Sheet1!S71_A4SubCode,$AC:$AC)</f>
        <v>0</v>
      </c>
      <c r="H14" s="715">
        <f>SUMIFS(Sheet1!S71_AdjustmentBudAmnt,Sheet1!S71_A4SubCode,$AC:$AC)</f>
        <v>0</v>
      </c>
      <c r="I14" s="716">
        <f>SUMIFS(Sheet1!CD:CD,Sheet1!S71_A4SubCode,$AC:$AC)</f>
        <v>0</v>
      </c>
      <c r="J14" s="719">
        <f>SUMIFS(Sheet1!S71_ASBudgetAmount,Sheet1!S71_A4SubCode,$AC:$AC)</f>
        <v>0</v>
      </c>
      <c r="K14" s="712">
        <f>SUMIFS(Sheet1!S71_OY1BudgetAmount,Sheet1!S71_A4SubCode,$AC:$AC)</f>
        <v>0</v>
      </c>
      <c r="L14" s="717">
        <f>SUMIFS(Sheet1!S71_OY2BudgetAmount,Sheet1!S71_A4SubCode,$AC:$AC)</f>
        <v>0</v>
      </c>
    </row>
    <row r="15" spans="1:29" ht="11.25" customHeight="1" x14ac:dyDescent="0.25">
      <c r="A15" s="1924" t="s">
        <v>1780</v>
      </c>
      <c r="B15" s="1925"/>
      <c r="C15" s="243">
        <f>SUM(C12:C14)</f>
        <v>0</v>
      </c>
      <c r="D15" s="243">
        <f t="shared" ref="D15:L15" si="1">SUM(D12:D14)</f>
        <v>0</v>
      </c>
      <c r="E15" s="581">
        <f t="shared" si="1"/>
        <v>0</v>
      </c>
      <c r="F15" s="582">
        <f t="shared" si="1"/>
        <v>0</v>
      </c>
      <c r="G15" s="243">
        <f t="shared" si="1"/>
        <v>0</v>
      </c>
      <c r="H15" s="1926">
        <f t="shared" si="1"/>
        <v>0</v>
      </c>
      <c r="I15" s="1927">
        <f t="shared" si="1"/>
        <v>0</v>
      </c>
      <c r="J15" s="583">
        <f t="shared" si="1"/>
        <v>0</v>
      </c>
      <c r="K15" s="243">
        <f t="shared" si="1"/>
        <v>0</v>
      </c>
      <c r="L15" s="581">
        <f t="shared" si="1"/>
        <v>0</v>
      </c>
    </row>
    <row r="16" spans="1:29" x14ac:dyDescent="0.25">
      <c r="A16" s="475"/>
      <c r="B16" s="1922"/>
      <c r="C16" s="98"/>
      <c r="D16" s="98"/>
      <c r="E16" s="99"/>
      <c r="F16" s="100"/>
      <c r="G16" s="98"/>
      <c r="H16" s="291"/>
      <c r="I16" s="657"/>
      <c r="J16" s="101"/>
      <c r="K16" s="98"/>
      <c r="L16" s="99"/>
    </row>
    <row r="17" spans="1:29" ht="11.25" customHeight="1" x14ac:dyDescent="0.25">
      <c r="A17" s="574" t="s">
        <v>1781</v>
      </c>
      <c r="B17" s="1922"/>
      <c r="C17" s="71"/>
      <c r="D17" s="71"/>
      <c r="E17" s="72"/>
      <c r="F17" s="73"/>
      <c r="G17" s="71"/>
      <c r="H17" s="305"/>
      <c r="I17" s="1923"/>
      <c r="J17" s="74"/>
      <c r="K17" s="71"/>
      <c r="L17" s="72"/>
    </row>
    <row r="18" spans="1:29" ht="11.25" customHeight="1" x14ac:dyDescent="0.25">
      <c r="A18" s="1917" t="str">
        <f>$A$6</f>
        <v>Insert description</v>
      </c>
      <c r="B18" s="1922">
        <v>3</v>
      </c>
      <c r="C18" s="712">
        <f>SUMIFS(Sheet1!S71_PPPYearAmount,Sheet1!S71_A4SubCode,$AC:$AC)</f>
        <v>0</v>
      </c>
      <c r="D18" s="712">
        <f>SUMIFS(Sheet1!S71_PPYearAmount,Sheet1!S71_A4SubCode,$AC:$AC)</f>
        <v>0</v>
      </c>
      <c r="E18" s="717">
        <f>SUMIFS(Sheet1!S71_PYearAmount,Sheet1!S71_A4SubCode,$AC:$AC)</f>
        <v>0</v>
      </c>
      <c r="F18" s="718">
        <f>SUMIFS(Sheet1!S71_OriginalBudAmnt,Sheet1!S71_A4SubCode,$AC:$AC)</f>
        <v>0</v>
      </c>
      <c r="G18" s="712">
        <f>SUMIFS(Sheet1!S71_AdjustmentBudAmnt,Sheet1!S71_A4SubCode,$AC:$AC)</f>
        <v>0</v>
      </c>
      <c r="H18" s="715">
        <f>SUMIFS(Sheet1!S71_AdjustmentBudAmnt,Sheet1!S71_A4SubCode,$AC:$AC)</f>
        <v>0</v>
      </c>
      <c r="I18" s="716">
        <f>SUMIFS(Sheet1!CD:CD,Sheet1!S71_A4SubCode,$AC:$AC)</f>
        <v>0</v>
      </c>
      <c r="J18" s="719">
        <f>SUMIFS(Sheet1!S71_ASBudgetAmount,Sheet1!S71_A4SubCode,$AC:$AC)</f>
        <v>0</v>
      </c>
      <c r="K18" s="712">
        <f>SUMIFS(Sheet1!S71_OY1BudgetAmount,Sheet1!S71_A4SubCode,$AC:$AC)</f>
        <v>0</v>
      </c>
      <c r="L18" s="717">
        <f>SUMIFS(Sheet1!S71_OY2BudgetAmount,Sheet1!S71_A4SubCode,$AC:$AC)</f>
        <v>0</v>
      </c>
      <c r="AC18" s="2343" t="s">
        <v>2920</v>
      </c>
    </row>
    <row r="19" spans="1:29" ht="11.25" customHeight="1" x14ac:dyDescent="0.25">
      <c r="A19" s="1794"/>
      <c r="B19" s="1922"/>
      <c r="C19" s="712">
        <f>SUMIFS(Sheet1!S71_PPPYearAmount,Sheet1!S71_A4SubCode,$AC:$AC)</f>
        <v>0</v>
      </c>
      <c r="D19" s="712">
        <f>SUMIFS(Sheet1!S71_PPYearAmount,Sheet1!S71_A4SubCode,$AC:$AC)</f>
        <v>0</v>
      </c>
      <c r="E19" s="717">
        <f>SUMIFS(Sheet1!S71_PYearAmount,Sheet1!S71_A4SubCode,$AC:$AC)</f>
        <v>0</v>
      </c>
      <c r="F19" s="718">
        <f>SUMIFS(Sheet1!S71_OriginalBudAmnt,Sheet1!S71_A4SubCode,$AC:$AC)</f>
        <v>0</v>
      </c>
      <c r="G19" s="712">
        <f>SUMIFS(Sheet1!S71_AdjustmentBudAmnt,Sheet1!S71_A4SubCode,$AC:$AC)</f>
        <v>0</v>
      </c>
      <c r="H19" s="715">
        <f>SUMIFS(Sheet1!S71_AdjustmentBudAmnt,Sheet1!S71_A4SubCode,$AC:$AC)</f>
        <v>0</v>
      </c>
      <c r="I19" s="716">
        <f>SUMIFS(Sheet1!CD:CD,Sheet1!S71_A4SubCode,$AC:$AC)</f>
        <v>0</v>
      </c>
      <c r="J19" s="719">
        <f>SUMIFS(Sheet1!S71_ASBudgetAmount,Sheet1!S71_A4SubCode,$AC:$AC)</f>
        <v>0</v>
      </c>
      <c r="K19" s="712">
        <f>SUMIFS(Sheet1!S71_OY1BudgetAmount,Sheet1!S71_A4SubCode,$AC:$AC)</f>
        <v>0</v>
      </c>
      <c r="L19" s="717">
        <f>SUMIFS(Sheet1!S71_OY2BudgetAmount,Sheet1!S71_A4SubCode,$AC:$AC)</f>
        <v>0</v>
      </c>
    </row>
    <row r="20" spans="1:29" ht="11.25" customHeight="1" x14ac:dyDescent="0.25">
      <c r="A20" s="1794"/>
      <c r="B20" s="1922"/>
      <c r="C20" s="712">
        <f>SUMIFS(Sheet1!S71_PPPYearAmount,Sheet1!S71_A4SubCode,$AC:$AC)</f>
        <v>0</v>
      </c>
      <c r="D20" s="712">
        <f>SUMIFS(Sheet1!S71_PPYearAmount,Sheet1!S71_A4SubCode,$AC:$AC)</f>
        <v>0</v>
      </c>
      <c r="E20" s="717">
        <f>SUMIFS(Sheet1!S71_PYearAmount,Sheet1!S71_A4SubCode,$AC:$AC)</f>
        <v>0</v>
      </c>
      <c r="F20" s="718">
        <f>SUMIFS(Sheet1!S71_OriginalBudAmnt,Sheet1!S71_A4SubCode,$AC:$AC)</f>
        <v>0</v>
      </c>
      <c r="G20" s="712">
        <f>SUMIFS(Sheet1!S71_AdjustmentBudAmnt,Sheet1!S71_A4SubCode,$AC:$AC)</f>
        <v>0</v>
      </c>
      <c r="H20" s="715">
        <f>SUMIFS(Sheet1!S71_AdjustmentBudAmnt,Sheet1!S71_A4SubCode,$AC:$AC)</f>
        <v>0</v>
      </c>
      <c r="I20" s="716">
        <f>SUMIFS(Sheet1!CD:CD,Sheet1!S71_A4SubCode,$AC:$AC)</f>
        <v>0</v>
      </c>
      <c r="J20" s="719">
        <f>SUMIFS(Sheet1!S71_ASBudgetAmount,Sheet1!S71_A4SubCode,$AC:$AC)</f>
        <v>0</v>
      </c>
      <c r="K20" s="712">
        <f>SUMIFS(Sheet1!S71_OY1BudgetAmount,Sheet1!S71_A4SubCode,$AC:$AC)</f>
        <v>0</v>
      </c>
      <c r="L20" s="717">
        <f>SUMIFS(Sheet1!S71_OY2BudgetAmount,Sheet1!S71_A4SubCode,$AC:$AC)</f>
        <v>0</v>
      </c>
    </row>
    <row r="21" spans="1:29" ht="11.25" customHeight="1" x14ac:dyDescent="0.25">
      <c r="A21" s="1924" t="s">
        <v>1782</v>
      </c>
      <c r="B21" s="1925"/>
      <c r="C21" s="243">
        <f>SUM(C18:C20)</f>
        <v>0</v>
      </c>
      <c r="D21" s="243">
        <f t="shared" ref="D21:L21" si="2">SUM(D18:D20)</f>
        <v>0</v>
      </c>
      <c r="E21" s="581">
        <f t="shared" si="2"/>
        <v>0</v>
      </c>
      <c r="F21" s="582">
        <f t="shared" si="2"/>
        <v>0</v>
      </c>
      <c r="G21" s="243">
        <f t="shared" si="2"/>
        <v>0</v>
      </c>
      <c r="H21" s="1926">
        <f t="shared" si="2"/>
        <v>0</v>
      </c>
      <c r="I21" s="1927">
        <f t="shared" si="2"/>
        <v>0</v>
      </c>
      <c r="J21" s="583">
        <f t="shared" si="2"/>
        <v>0</v>
      </c>
      <c r="K21" s="243">
        <f>SUM(K18:K20)</f>
        <v>0</v>
      </c>
      <c r="L21" s="581">
        <f t="shared" si="2"/>
        <v>0</v>
      </c>
    </row>
    <row r="22" spans="1:29" ht="11.25" customHeight="1" x14ac:dyDescent="0.25">
      <c r="A22" s="475"/>
      <c r="B22" s="1922"/>
      <c r="C22" s="98"/>
      <c r="D22" s="98"/>
      <c r="E22" s="99"/>
      <c r="F22" s="100"/>
      <c r="G22" s="98"/>
      <c r="H22" s="291"/>
      <c r="I22" s="657"/>
      <c r="J22" s="101"/>
      <c r="K22" s="98"/>
      <c r="L22" s="99"/>
    </row>
    <row r="23" spans="1:29" ht="11.25" customHeight="1" x14ac:dyDescent="0.25">
      <c r="A23" s="574" t="s">
        <v>1783</v>
      </c>
      <c r="B23" s="1922"/>
      <c r="C23" s="71"/>
      <c r="D23" s="71"/>
      <c r="E23" s="72"/>
      <c r="F23" s="73"/>
      <c r="G23" s="71"/>
      <c r="H23" s="305"/>
      <c r="I23" s="1923"/>
      <c r="J23" s="74"/>
      <c r="K23" s="71"/>
      <c r="L23" s="72"/>
    </row>
    <row r="24" spans="1:29" ht="11.25" customHeight="1" x14ac:dyDescent="0.25">
      <c r="A24" s="1917" t="str">
        <f>$A$6</f>
        <v>Insert description</v>
      </c>
      <c r="B24" s="1922"/>
      <c r="C24" s="712">
        <f>SUMIFS(Sheet1!S71_PPPYearAmount,Sheet1!S71_A4SubCode,$AC:$AC)</f>
        <v>0</v>
      </c>
      <c r="D24" s="712">
        <f>SUMIFS(Sheet1!S71_PPYearAmount,Sheet1!S71_A4SubCode,$AC:$AC)</f>
        <v>0</v>
      </c>
      <c r="E24" s="717">
        <f>SUMIFS(Sheet1!S71_PYearAmount,Sheet1!S71_A4SubCode,$AC:$AC)</f>
        <v>0</v>
      </c>
      <c r="F24" s="718">
        <f>SUMIFS(Sheet1!S71_OriginalBudAmnt,Sheet1!S71_A4SubCode,$AC:$AC)</f>
        <v>0</v>
      </c>
      <c r="G24" s="712">
        <f>SUMIFS(Sheet1!S71_AdjustmentBudAmnt,Sheet1!S71_A4SubCode,$AC:$AC)</f>
        <v>0</v>
      </c>
      <c r="H24" s="715">
        <f>SUMIFS(Sheet1!S71_AdjustmentBudAmnt,Sheet1!S71_A4SubCode,$AC:$AC)</f>
        <v>0</v>
      </c>
      <c r="I24" s="716">
        <f>SUMIFS(Sheet1!CD:CD,Sheet1!S71_A4SubCode,$AC:$AC)</f>
        <v>0</v>
      </c>
      <c r="J24" s="719">
        <f>SUMIFS(Sheet1!S71_ASBudgetAmount,Sheet1!S71_A4SubCode,$AC:$AC)</f>
        <v>0</v>
      </c>
      <c r="K24" s="712">
        <f>SUMIFS(Sheet1!S71_OY1BudgetAmount,Sheet1!S71_A4SubCode,$AC:$AC)</f>
        <v>0</v>
      </c>
      <c r="L24" s="717">
        <f>SUMIFS(Sheet1!S71_OY2BudgetAmount,Sheet1!S71_A4SubCode,$AC:$AC)</f>
        <v>0</v>
      </c>
      <c r="AC24" s="2343" t="s">
        <v>2921</v>
      </c>
    </row>
    <row r="25" spans="1:29" ht="11.25" customHeight="1" x14ac:dyDescent="0.25">
      <c r="A25" s="1794"/>
      <c r="B25" s="1922"/>
      <c r="C25" s="712">
        <f>SUMIFS(Sheet1!S71_PPPYearAmount,Sheet1!S71_A4SubCode,$AC:$AC)</f>
        <v>0</v>
      </c>
      <c r="D25" s="712">
        <f>SUMIFS(Sheet1!S71_PPYearAmount,Sheet1!S71_A4SubCode,$AC:$AC)</f>
        <v>0</v>
      </c>
      <c r="E25" s="717">
        <f>SUMIFS(Sheet1!S71_PYearAmount,Sheet1!S71_A4SubCode,$AC:$AC)</f>
        <v>0</v>
      </c>
      <c r="F25" s="718">
        <f>SUMIFS(Sheet1!S71_OriginalBudAmnt,Sheet1!S71_A4SubCode,$AC:$AC)</f>
        <v>0</v>
      </c>
      <c r="G25" s="712">
        <f>SUMIFS(Sheet1!S71_AdjustmentBudAmnt,Sheet1!S71_A4SubCode,$AC:$AC)</f>
        <v>0</v>
      </c>
      <c r="H25" s="715">
        <f>SUMIFS(Sheet1!S71_AdjustmentBudAmnt,Sheet1!S71_A4SubCode,$AC:$AC)</f>
        <v>0</v>
      </c>
      <c r="I25" s="716">
        <f>SUMIFS(Sheet1!CD:CD,Sheet1!S71_A4SubCode,$AC:$AC)</f>
        <v>0</v>
      </c>
      <c r="J25" s="719">
        <f>SUMIFS(Sheet1!S71_ASBudgetAmount,Sheet1!S71_A4SubCode,$AC:$AC)</f>
        <v>0</v>
      </c>
      <c r="K25" s="712">
        <f>SUMIFS(Sheet1!S71_OY1BudgetAmount,Sheet1!S71_A4SubCode,$AC:$AC)</f>
        <v>0</v>
      </c>
      <c r="L25" s="717">
        <f>SUMIFS(Sheet1!S71_OY2BudgetAmount,Sheet1!S71_A4SubCode,$AC:$AC)</f>
        <v>0</v>
      </c>
    </row>
    <row r="26" spans="1:29" ht="12" customHeight="1" x14ac:dyDescent="0.25">
      <c r="A26" s="1928" t="s">
        <v>1784</v>
      </c>
      <c r="B26" s="1925"/>
      <c r="C26" s="243">
        <f t="shared" ref="C26:L26" si="3">SUM(C24:C25)</f>
        <v>0</v>
      </c>
      <c r="D26" s="243">
        <f t="shared" si="3"/>
        <v>0</v>
      </c>
      <c r="E26" s="581">
        <f t="shared" si="3"/>
        <v>0</v>
      </c>
      <c r="F26" s="582">
        <f t="shared" si="3"/>
        <v>0</v>
      </c>
      <c r="G26" s="243">
        <f t="shared" si="3"/>
        <v>0</v>
      </c>
      <c r="H26" s="1926">
        <f t="shared" si="3"/>
        <v>0</v>
      </c>
      <c r="I26" s="1927">
        <f t="shared" si="3"/>
        <v>0</v>
      </c>
      <c r="J26" s="583">
        <f t="shared" si="3"/>
        <v>0</v>
      </c>
      <c r="K26" s="243">
        <f t="shared" si="3"/>
        <v>0</v>
      </c>
      <c r="L26" s="581">
        <f t="shared" si="3"/>
        <v>0</v>
      </c>
    </row>
    <row r="27" spans="1:29" ht="12" customHeight="1" x14ac:dyDescent="0.25">
      <c r="A27" s="1929"/>
      <c r="B27" s="1922"/>
      <c r="C27" s="98"/>
      <c r="D27" s="98"/>
      <c r="E27" s="99"/>
      <c r="F27" s="100"/>
      <c r="G27" s="98"/>
      <c r="H27" s="291"/>
      <c r="I27" s="657"/>
      <c r="J27" s="101"/>
      <c r="K27" s="98"/>
      <c r="L27" s="99"/>
    </row>
    <row r="28" spans="1:29" x14ac:dyDescent="0.25">
      <c r="A28" s="574" t="s">
        <v>1785</v>
      </c>
      <c r="B28" s="1922"/>
      <c r="C28" s="71"/>
      <c r="D28" s="71"/>
      <c r="E28" s="72"/>
      <c r="F28" s="73"/>
      <c r="G28" s="71"/>
      <c r="H28" s="305"/>
      <c r="I28" s="1923"/>
      <c r="J28" s="74"/>
      <c r="K28" s="71"/>
      <c r="L28" s="72"/>
    </row>
    <row r="29" spans="1:29" ht="11.25" customHeight="1" x14ac:dyDescent="0.25">
      <c r="A29" s="1917" t="str">
        <f>$A$6</f>
        <v>Insert description</v>
      </c>
      <c r="B29" s="1922"/>
      <c r="C29" s="712">
        <f>SUMIFS(Sheet1!S71_PPPYearAmount,Sheet1!S71_A4SubCode,$AC:$AC)</f>
        <v>0</v>
      </c>
      <c r="D29" s="712">
        <f>SUMIFS(Sheet1!S71_PPYearAmount,Sheet1!S71_A4SubCode,$AC:$AC)</f>
        <v>0</v>
      </c>
      <c r="E29" s="717">
        <f>SUMIFS(Sheet1!S71_PYearAmount,Sheet1!S71_A4SubCode,$AC:$AC)</f>
        <v>0</v>
      </c>
      <c r="F29" s="718">
        <f>SUMIFS(Sheet1!S71_OriginalBudAmnt,Sheet1!S71_A4SubCode,$AC:$AC)</f>
        <v>0</v>
      </c>
      <c r="G29" s="712">
        <f>SUMIFS(Sheet1!S71_AdjustmentBudAmnt,Sheet1!S71_A4SubCode,$AC:$AC)</f>
        <v>0</v>
      </c>
      <c r="H29" s="715">
        <f>SUMIFS(Sheet1!S71_AdjustmentBudAmnt,Sheet1!S71_A4SubCode,$AC:$AC)</f>
        <v>0</v>
      </c>
      <c r="I29" s="716">
        <f>SUMIFS(Sheet1!CD:CD,Sheet1!S71_A4SubCode,$AC:$AC)</f>
        <v>0</v>
      </c>
      <c r="J29" s="719">
        <f>SUMIFS(Sheet1!S71_ASBudgetAmount,Sheet1!S71_A4SubCode,$AC:$AC)</f>
        <v>0</v>
      </c>
      <c r="K29" s="712">
        <f>SUMIFS(Sheet1!S71_OY1BudgetAmount,Sheet1!S71_A4SubCode,$AC:$AC)</f>
        <v>0</v>
      </c>
      <c r="L29" s="717">
        <f>SUMIFS(Sheet1!S71_OY2BudgetAmount,Sheet1!S71_A4SubCode,$AC:$AC)</f>
        <v>0</v>
      </c>
      <c r="AC29" s="2343" t="s">
        <v>2922</v>
      </c>
    </row>
    <row r="30" spans="1:29" ht="11.25" customHeight="1" x14ac:dyDescent="0.25">
      <c r="A30" s="1794"/>
      <c r="B30" s="1922"/>
      <c r="C30" s="712">
        <f>SUMIFS(Sheet1!S71_PPPYearAmount,Sheet1!S71_A4SubCode,$AC:$AC)</f>
        <v>0</v>
      </c>
      <c r="D30" s="712">
        <f>SUMIFS(Sheet1!S71_PPYearAmount,Sheet1!S71_A4SubCode,$AC:$AC)</f>
        <v>0</v>
      </c>
      <c r="E30" s="717">
        <f>SUMIFS(Sheet1!S71_PYearAmount,Sheet1!S71_A4SubCode,$AC:$AC)</f>
        <v>0</v>
      </c>
      <c r="F30" s="718">
        <f>SUMIFS(Sheet1!S71_OriginalBudAmnt,Sheet1!S71_A4SubCode,$AC:$AC)</f>
        <v>0</v>
      </c>
      <c r="G30" s="712">
        <f>SUMIFS(Sheet1!S71_AdjustmentBudAmnt,Sheet1!S71_A4SubCode,$AC:$AC)</f>
        <v>0</v>
      </c>
      <c r="H30" s="715">
        <f>SUMIFS(Sheet1!S71_AdjustmentBudAmnt,Sheet1!S71_A4SubCode,$AC:$AC)</f>
        <v>0</v>
      </c>
      <c r="I30" s="716">
        <f>SUMIFS(Sheet1!CD:CD,Sheet1!S71_A4SubCode,$AC:$AC)</f>
        <v>0</v>
      </c>
      <c r="J30" s="719">
        <f>SUMIFS(Sheet1!S71_ASBudgetAmount,Sheet1!S71_A4SubCode,$AC:$AC)</f>
        <v>0</v>
      </c>
      <c r="K30" s="712">
        <f>SUMIFS(Sheet1!S71_OY1BudgetAmount,Sheet1!S71_A4SubCode,$AC:$AC)</f>
        <v>0</v>
      </c>
      <c r="L30" s="717">
        <f>SUMIFS(Sheet1!S71_OY2BudgetAmount,Sheet1!S71_A4SubCode,$AC:$AC)</f>
        <v>0</v>
      </c>
    </row>
    <row r="31" spans="1:29" ht="11.25" customHeight="1" x14ac:dyDescent="0.25">
      <c r="A31" s="1928" t="s">
        <v>1786</v>
      </c>
      <c r="B31" s="1925"/>
      <c r="C31" s="243">
        <f t="shared" ref="C31:L31" si="4">SUM(C29:C30)</f>
        <v>0</v>
      </c>
      <c r="D31" s="243">
        <f t="shared" si="4"/>
        <v>0</v>
      </c>
      <c r="E31" s="581">
        <f t="shared" si="4"/>
        <v>0</v>
      </c>
      <c r="F31" s="582">
        <f t="shared" si="4"/>
        <v>0</v>
      </c>
      <c r="G31" s="243">
        <f t="shared" si="4"/>
        <v>0</v>
      </c>
      <c r="H31" s="1926">
        <f t="shared" si="4"/>
        <v>0</v>
      </c>
      <c r="I31" s="1927">
        <f t="shared" si="4"/>
        <v>0</v>
      </c>
      <c r="J31" s="583">
        <f t="shared" si="4"/>
        <v>0</v>
      </c>
      <c r="K31" s="243">
        <f t="shared" si="4"/>
        <v>0</v>
      </c>
      <c r="L31" s="581">
        <f t="shared" si="4"/>
        <v>0</v>
      </c>
    </row>
    <row r="32" spans="1:29" ht="15" customHeight="1" x14ac:dyDescent="0.25">
      <c r="A32" s="1930" t="s">
        <v>1777</v>
      </c>
      <c r="B32" s="1931">
        <v>6</v>
      </c>
      <c r="C32" s="119">
        <f t="shared" ref="C32:L32" si="5">C9+C15+C21+C26+C31</f>
        <v>0</v>
      </c>
      <c r="D32" s="119">
        <f t="shared" si="5"/>
        <v>0</v>
      </c>
      <c r="E32" s="120">
        <f t="shared" si="5"/>
        <v>0</v>
      </c>
      <c r="F32" s="121">
        <f t="shared" si="5"/>
        <v>0</v>
      </c>
      <c r="G32" s="119">
        <f t="shared" si="5"/>
        <v>0</v>
      </c>
      <c r="H32" s="1932">
        <f t="shared" si="5"/>
        <v>0</v>
      </c>
      <c r="I32" s="1933">
        <f t="shared" si="5"/>
        <v>0</v>
      </c>
      <c r="J32" s="122">
        <f t="shared" si="5"/>
        <v>0</v>
      </c>
      <c r="K32" s="119">
        <f t="shared" si="5"/>
        <v>0</v>
      </c>
      <c r="L32" s="120">
        <f t="shared" si="5"/>
        <v>0</v>
      </c>
    </row>
    <row r="33" spans="1:29" ht="7.5" customHeight="1" x14ac:dyDescent="0.25">
      <c r="A33" s="1934"/>
      <c r="B33" s="1935"/>
      <c r="C33" s="427"/>
      <c r="D33" s="427"/>
      <c r="E33" s="427"/>
      <c r="F33" s="427"/>
      <c r="G33" s="427"/>
      <c r="H33" s="427"/>
      <c r="I33" s="1936"/>
      <c r="J33" s="427"/>
      <c r="K33" s="427"/>
      <c r="L33" s="427"/>
    </row>
    <row r="34" spans="1:29" ht="11.25" customHeight="1" x14ac:dyDescent="0.25">
      <c r="A34" s="1937" t="s">
        <v>1886</v>
      </c>
      <c r="B34" s="1938"/>
      <c r="C34" s="206"/>
      <c r="D34" s="206"/>
      <c r="E34" s="207"/>
      <c r="F34" s="208"/>
      <c r="G34" s="206"/>
      <c r="H34" s="1939"/>
      <c r="I34" s="1940"/>
      <c r="J34" s="209"/>
      <c r="K34" s="206"/>
      <c r="L34" s="207"/>
    </row>
    <row r="35" spans="1:29" ht="11.25" customHeight="1" x14ac:dyDescent="0.25">
      <c r="A35" s="1917" t="s">
        <v>950</v>
      </c>
      <c r="B35" s="1916">
        <v>1</v>
      </c>
      <c r="C35" s="712">
        <f>SUMIFS(Sheet1!S71_PPPYearAmount,Sheet1!S71_A4SubCode,$AC:$AC)</f>
        <v>0</v>
      </c>
      <c r="D35" s="712">
        <f>SUMIFS(Sheet1!S71_PPYearAmount,Sheet1!S71_A4SubCode,$AC:$AC)</f>
        <v>0</v>
      </c>
      <c r="E35" s="717">
        <f>SUMIFS(Sheet1!S71_PYearAmount,Sheet1!S71_A4SubCode,$AC:$AC)</f>
        <v>0</v>
      </c>
      <c r="F35" s="718">
        <f>SUMIFS(Sheet1!S71_OriginalBudAmnt,Sheet1!S71_A4SubCode,$AC:$AC)</f>
        <v>0</v>
      </c>
      <c r="G35" s="712">
        <f>SUMIFS(Sheet1!S71_AdjustmentBudAmnt,Sheet1!S71_A4SubCode,$AC:$AC)</f>
        <v>0</v>
      </c>
      <c r="H35" s="715">
        <f>SUMIFS(Sheet1!S71_AdjustmentBudAmnt,Sheet1!S71_A4SubCode,$AC:$AC)</f>
        <v>0</v>
      </c>
      <c r="I35" s="716">
        <f>SUMIFS(Sheet1!CD:CD,Sheet1!S71_A4SubCode,$AC:$AC)</f>
        <v>0</v>
      </c>
      <c r="J35" s="719">
        <f>SUMIFS(Sheet1!S71_ASBudgetAmount,Sheet1!S71_A4SubCode,$AC:$AC)</f>
        <v>0</v>
      </c>
      <c r="K35" s="712">
        <f>SUMIFS(Sheet1!S71_OY1BudgetAmount,Sheet1!S71_A4SubCode,$AC:$AC)</f>
        <v>0</v>
      </c>
      <c r="L35" s="717">
        <f>SUMIFS(Sheet1!S71_OY2BudgetAmount,Sheet1!S71_A4SubCode,$AC:$AC)</f>
        <v>0</v>
      </c>
      <c r="AC35" s="2344" t="s">
        <v>2923</v>
      </c>
    </row>
    <row r="36" spans="1:29" ht="11.25" customHeight="1" x14ac:dyDescent="0.25">
      <c r="A36" s="1918"/>
      <c r="B36" s="1916"/>
      <c r="C36" s="712">
        <f>SUMIFS(Sheet1!S71_PPPYearAmount,Sheet1!S71_A4SubCode,$AC:$AC)</f>
        <v>0</v>
      </c>
      <c r="D36" s="712">
        <f>SUMIFS(Sheet1!S71_PPYearAmount,Sheet1!S71_A4SubCode,$AC:$AC)</f>
        <v>0</v>
      </c>
      <c r="E36" s="717">
        <f>SUMIFS(Sheet1!S71_PYearAmount,Sheet1!S71_A4SubCode,$AC:$AC)</f>
        <v>0</v>
      </c>
      <c r="F36" s="718">
        <f>SUMIFS(Sheet1!S71_OriginalBudAmnt,Sheet1!S71_A4SubCode,$AC:$AC)</f>
        <v>0</v>
      </c>
      <c r="G36" s="712">
        <f>SUMIFS(Sheet1!S71_AdjustmentBudAmnt,Sheet1!S71_A4SubCode,$AC:$AC)</f>
        <v>0</v>
      </c>
      <c r="H36" s="715">
        <f>SUMIFS(Sheet1!S71_AdjustmentBudAmnt,Sheet1!S71_A4SubCode,$AC:$AC)</f>
        <v>0</v>
      </c>
      <c r="I36" s="716">
        <f>SUMIFS(Sheet1!CD:CD,Sheet1!S71_A4SubCode,$AC:$AC)</f>
        <v>0</v>
      </c>
      <c r="J36" s="719">
        <f>SUMIFS(Sheet1!S71_ASBudgetAmount,Sheet1!S71_A4SubCode,$AC:$AC)</f>
        <v>0</v>
      </c>
      <c r="K36" s="712">
        <f>SUMIFS(Sheet1!S71_OY1BudgetAmount,Sheet1!S71_A4SubCode,$AC:$AC)</f>
        <v>0</v>
      </c>
      <c r="L36" s="717">
        <f>SUMIFS(Sheet1!S71_OY2BudgetAmount,Sheet1!S71_A4SubCode,$AC:$AC)</f>
        <v>0</v>
      </c>
      <c r="P36" s="322"/>
    </row>
    <row r="37" spans="1:29" ht="11.25" customHeight="1" x14ac:dyDescent="0.25">
      <c r="A37" s="1918"/>
      <c r="B37" s="1916"/>
      <c r="C37" s="712">
        <f>SUMIFS(Sheet1!S71_PPPYearAmount,Sheet1!S71_A4SubCode,$AC:$AC)</f>
        <v>0</v>
      </c>
      <c r="D37" s="712">
        <f>SUMIFS(Sheet1!S71_PPYearAmount,Sheet1!S71_A4SubCode,$AC:$AC)</f>
        <v>0</v>
      </c>
      <c r="E37" s="717">
        <f>SUMIFS(Sheet1!S71_PYearAmount,Sheet1!S71_A4SubCode,$AC:$AC)</f>
        <v>0</v>
      </c>
      <c r="F37" s="718">
        <f>SUMIFS(Sheet1!S71_OriginalBudAmnt,Sheet1!S71_A4SubCode,$AC:$AC)</f>
        <v>0</v>
      </c>
      <c r="G37" s="712">
        <f>SUMIFS(Sheet1!S71_AdjustmentBudAmnt,Sheet1!S71_A4SubCode,$AC:$AC)</f>
        <v>0</v>
      </c>
      <c r="H37" s="715">
        <f>SUMIFS(Sheet1!S71_AdjustmentBudAmnt,Sheet1!S71_A4SubCode,$AC:$AC)</f>
        <v>0</v>
      </c>
      <c r="I37" s="716">
        <f>SUMIFS(Sheet1!CD:CD,Sheet1!S71_A4SubCode,$AC:$AC)</f>
        <v>0</v>
      </c>
      <c r="J37" s="719">
        <f>SUMIFS(Sheet1!S71_ASBudgetAmount,Sheet1!S71_A4SubCode,$AC:$AC)</f>
        <v>0</v>
      </c>
      <c r="K37" s="712">
        <f>SUMIFS(Sheet1!S71_OY1BudgetAmount,Sheet1!S71_A4SubCode,$AC:$AC)</f>
        <v>0</v>
      </c>
      <c r="L37" s="717">
        <f>SUMIFS(Sheet1!S71_OY2BudgetAmount,Sheet1!S71_A4SubCode,$AC:$AC)</f>
        <v>0</v>
      </c>
    </row>
    <row r="38" spans="1:29" ht="11.25" customHeight="1" x14ac:dyDescent="0.25">
      <c r="A38" s="256" t="s">
        <v>1887</v>
      </c>
      <c r="B38" s="1919"/>
      <c r="C38" s="264">
        <f>SUM(C35:C37)</f>
        <v>0</v>
      </c>
      <c r="D38" s="264">
        <f t="shared" ref="D38:L38" si="6">SUM(D35:D37)</f>
        <v>0</v>
      </c>
      <c r="E38" s="265">
        <f t="shared" si="6"/>
        <v>0</v>
      </c>
      <c r="F38" s="266">
        <f t="shared" si="6"/>
        <v>0</v>
      </c>
      <c r="G38" s="264">
        <f t="shared" si="6"/>
        <v>0</v>
      </c>
      <c r="H38" s="1920">
        <f t="shared" si="6"/>
        <v>0</v>
      </c>
      <c r="I38" s="1921">
        <f t="shared" si="6"/>
        <v>0</v>
      </c>
      <c r="J38" s="267">
        <f t="shared" si="6"/>
        <v>0</v>
      </c>
      <c r="K38" s="264">
        <f t="shared" si="6"/>
        <v>0</v>
      </c>
      <c r="L38" s="265">
        <f t="shared" si="6"/>
        <v>0</v>
      </c>
    </row>
    <row r="39" spans="1:29" ht="11.25" customHeight="1" x14ac:dyDescent="0.25">
      <c r="A39" s="116"/>
      <c r="B39" s="1916"/>
      <c r="C39" s="177"/>
      <c r="D39" s="177"/>
      <c r="E39" s="178"/>
      <c r="F39" s="179"/>
      <c r="G39" s="177"/>
      <c r="H39" s="529"/>
      <c r="I39" s="1472"/>
      <c r="J39" s="180"/>
      <c r="K39" s="177"/>
      <c r="L39" s="178"/>
    </row>
    <row r="40" spans="1:29" ht="11.25" customHeight="1" x14ac:dyDescent="0.25">
      <c r="A40" s="574" t="s">
        <v>1888</v>
      </c>
      <c r="B40" s="1922"/>
      <c r="C40" s="71"/>
      <c r="D40" s="71"/>
      <c r="E40" s="72"/>
      <c r="F40" s="73"/>
      <c r="G40" s="71"/>
      <c r="H40" s="305"/>
      <c r="I40" s="1923"/>
      <c r="J40" s="74"/>
      <c r="K40" s="71"/>
      <c r="L40" s="72"/>
    </row>
    <row r="41" spans="1:29" ht="11.25" customHeight="1" x14ac:dyDescent="0.25">
      <c r="A41" s="1917" t="str">
        <f>$A$6</f>
        <v>Insert description</v>
      </c>
      <c r="B41" s="1922">
        <v>2</v>
      </c>
      <c r="C41" s="712">
        <f>SUMIFS(Sheet1!S71_PPPYearAmount,Sheet1!S71_A4SubCode,$AC:$AC)</f>
        <v>0</v>
      </c>
      <c r="D41" s="712">
        <f>SUMIFS(Sheet1!S71_PPYearAmount,Sheet1!S71_A4SubCode,$AC:$AC)</f>
        <v>0</v>
      </c>
      <c r="E41" s="717">
        <f>SUMIFS(Sheet1!S71_PYearAmount,Sheet1!S71_A4SubCode,$AC:$AC)</f>
        <v>0</v>
      </c>
      <c r="F41" s="718">
        <f>SUMIFS(Sheet1!S71_OriginalBudAmnt,Sheet1!S71_A4SubCode,$AC:$AC)</f>
        <v>0</v>
      </c>
      <c r="G41" s="712">
        <f>SUMIFS(Sheet1!S71_AdjustmentBudAmnt,Sheet1!S71_A4SubCode,$AC:$AC)</f>
        <v>0</v>
      </c>
      <c r="H41" s="715">
        <f>SUMIFS(Sheet1!S71_AdjustmentBudAmnt,Sheet1!S71_A4SubCode,$AC:$AC)</f>
        <v>0</v>
      </c>
      <c r="I41" s="716">
        <f>SUMIFS(Sheet1!CD:CD,Sheet1!S71_A4SubCode,$AC:$AC)</f>
        <v>0</v>
      </c>
      <c r="J41" s="719">
        <f>SUMIFS(Sheet1!S71_ASBudgetAmount,Sheet1!S71_A4SubCode,$AC:$AC)</f>
        <v>0</v>
      </c>
      <c r="K41" s="712">
        <f>SUMIFS(Sheet1!S71_OY1BudgetAmount,Sheet1!S71_A4SubCode,$AC:$AC)</f>
        <v>0</v>
      </c>
      <c r="L41" s="717">
        <f>SUMIFS(Sheet1!S71_OY2BudgetAmount,Sheet1!S71_A4SubCode,$AC:$AC)</f>
        <v>0</v>
      </c>
      <c r="AC41" s="2343" t="s">
        <v>2924</v>
      </c>
    </row>
    <row r="42" spans="1:29" ht="11.25" customHeight="1" x14ac:dyDescent="0.25">
      <c r="A42" s="1794"/>
      <c r="B42" s="1922"/>
      <c r="C42" s="712">
        <f>SUMIFS(Sheet1!S71_PPPYearAmount,Sheet1!S71_A4SubCode,$AC:$AC)</f>
        <v>0</v>
      </c>
      <c r="D42" s="712">
        <f>SUMIFS(Sheet1!S71_PPYearAmount,Sheet1!S71_A4SubCode,$AC:$AC)</f>
        <v>0</v>
      </c>
      <c r="E42" s="717">
        <f>SUMIFS(Sheet1!S71_PYearAmount,Sheet1!S71_A4SubCode,$AC:$AC)</f>
        <v>0</v>
      </c>
      <c r="F42" s="718">
        <f>SUMIFS(Sheet1!S71_OriginalBudAmnt,Sheet1!S71_A4SubCode,$AC:$AC)</f>
        <v>0</v>
      </c>
      <c r="G42" s="712">
        <f>SUMIFS(Sheet1!S71_AdjustmentBudAmnt,Sheet1!S71_A4SubCode,$AC:$AC)</f>
        <v>0</v>
      </c>
      <c r="H42" s="715">
        <f>SUMIFS(Sheet1!S71_AdjustmentBudAmnt,Sheet1!S71_A4SubCode,$AC:$AC)</f>
        <v>0</v>
      </c>
      <c r="I42" s="716">
        <f>SUMIFS(Sheet1!CD:CD,Sheet1!S71_A4SubCode,$AC:$AC)</f>
        <v>0</v>
      </c>
      <c r="J42" s="719">
        <f>SUMIFS(Sheet1!S71_ASBudgetAmount,Sheet1!S71_A4SubCode,$AC:$AC)</f>
        <v>0</v>
      </c>
      <c r="K42" s="712">
        <f>SUMIFS(Sheet1!S71_OY1BudgetAmount,Sheet1!S71_A4SubCode,$AC:$AC)</f>
        <v>0</v>
      </c>
      <c r="L42" s="717">
        <f>SUMIFS(Sheet1!S71_OY2BudgetAmount,Sheet1!S71_A4SubCode,$AC:$AC)</f>
        <v>0</v>
      </c>
    </row>
    <row r="43" spans="1:29" ht="11.25" customHeight="1" x14ac:dyDescent="0.25">
      <c r="A43" s="1794"/>
      <c r="B43" s="1922"/>
      <c r="C43" s="712">
        <f>SUMIFS(Sheet1!S71_PPPYearAmount,Sheet1!S71_A4SubCode,$AC:$AC)</f>
        <v>0</v>
      </c>
      <c r="D43" s="712">
        <f>SUMIFS(Sheet1!S71_PPYearAmount,Sheet1!S71_A4SubCode,$AC:$AC)</f>
        <v>0</v>
      </c>
      <c r="E43" s="717">
        <f>SUMIFS(Sheet1!S71_PYearAmount,Sheet1!S71_A4SubCode,$AC:$AC)</f>
        <v>0</v>
      </c>
      <c r="F43" s="718">
        <f>SUMIFS(Sheet1!S71_OriginalBudAmnt,Sheet1!S71_A4SubCode,$AC:$AC)</f>
        <v>0</v>
      </c>
      <c r="G43" s="712">
        <f>SUMIFS(Sheet1!S71_AdjustmentBudAmnt,Sheet1!S71_A4SubCode,$AC:$AC)</f>
        <v>0</v>
      </c>
      <c r="H43" s="715">
        <f>SUMIFS(Sheet1!S71_AdjustmentBudAmnt,Sheet1!S71_A4SubCode,$AC:$AC)</f>
        <v>0</v>
      </c>
      <c r="I43" s="716">
        <f>SUMIFS(Sheet1!CD:CD,Sheet1!S71_A4SubCode,$AC:$AC)</f>
        <v>0</v>
      </c>
      <c r="J43" s="719">
        <f>SUMIFS(Sheet1!S71_ASBudgetAmount,Sheet1!S71_A4SubCode,$AC:$AC)</f>
        <v>0</v>
      </c>
      <c r="K43" s="712">
        <f>SUMIFS(Sheet1!S71_OY1BudgetAmount,Sheet1!S71_A4SubCode,$AC:$AC)</f>
        <v>0</v>
      </c>
      <c r="L43" s="717">
        <f>SUMIFS(Sheet1!S71_OY2BudgetAmount,Sheet1!S71_A4SubCode,$AC:$AC)</f>
        <v>0</v>
      </c>
    </row>
    <row r="44" spans="1:29" ht="11.25" customHeight="1" x14ac:dyDescent="0.25">
      <c r="A44" s="1924" t="s">
        <v>1889</v>
      </c>
      <c r="B44" s="1925"/>
      <c r="C44" s="243">
        <f>SUM(C41:C43)</f>
        <v>0</v>
      </c>
      <c r="D44" s="243">
        <f t="shared" ref="D44:L44" si="7">SUM(D41:D43)</f>
        <v>0</v>
      </c>
      <c r="E44" s="581">
        <f t="shared" si="7"/>
        <v>0</v>
      </c>
      <c r="F44" s="582">
        <f t="shared" si="7"/>
        <v>0</v>
      </c>
      <c r="G44" s="243">
        <f t="shared" si="7"/>
        <v>0</v>
      </c>
      <c r="H44" s="1926">
        <f t="shared" si="7"/>
        <v>0</v>
      </c>
      <c r="I44" s="1927">
        <f t="shared" si="7"/>
        <v>0</v>
      </c>
      <c r="J44" s="583">
        <f t="shared" si="7"/>
        <v>0</v>
      </c>
      <c r="K44" s="243">
        <f t="shared" si="7"/>
        <v>0</v>
      </c>
      <c r="L44" s="581">
        <f t="shared" si="7"/>
        <v>0</v>
      </c>
    </row>
    <row r="45" spans="1:29" ht="11.25" customHeight="1" x14ac:dyDescent="0.25">
      <c r="A45" s="475"/>
      <c r="B45" s="1922"/>
      <c r="C45" s="98"/>
      <c r="D45" s="98"/>
      <c r="E45" s="99"/>
      <c r="F45" s="100"/>
      <c r="G45" s="98"/>
      <c r="H45" s="291"/>
      <c r="I45" s="657"/>
      <c r="J45" s="101"/>
      <c r="K45" s="98"/>
      <c r="L45" s="99"/>
    </row>
    <row r="46" spans="1:29" ht="11.25" customHeight="1" x14ac:dyDescent="0.25">
      <c r="A46" s="574" t="s">
        <v>1890</v>
      </c>
      <c r="B46" s="1922"/>
      <c r="C46" s="71"/>
      <c r="D46" s="71"/>
      <c r="E46" s="72"/>
      <c r="F46" s="73"/>
      <c r="G46" s="71"/>
      <c r="H46" s="305"/>
      <c r="I46" s="1923"/>
      <c r="J46" s="74"/>
      <c r="K46" s="71"/>
      <c r="L46" s="72"/>
    </row>
    <row r="47" spans="1:29" ht="11.25" customHeight="1" x14ac:dyDescent="0.25">
      <c r="A47" s="1917" t="str">
        <f>$A$6</f>
        <v>Insert description</v>
      </c>
      <c r="B47" s="1922">
        <v>3</v>
      </c>
      <c r="C47" s="712">
        <f>SUMIFS(Sheet1!S71_PPPYearAmount,Sheet1!S71_A4SubCode,$AC:$AC)</f>
        <v>0</v>
      </c>
      <c r="D47" s="712">
        <f>SUMIFS(Sheet1!S71_PPYearAmount,Sheet1!S71_A4SubCode,$AC:$AC)</f>
        <v>0</v>
      </c>
      <c r="E47" s="717">
        <f>SUMIFS(Sheet1!S71_PYearAmount,Sheet1!S71_A4SubCode,$AC:$AC)</f>
        <v>0</v>
      </c>
      <c r="F47" s="718">
        <f>SUMIFS(Sheet1!S71_OriginalBudAmnt,Sheet1!S71_A4SubCode,$AC:$AC)</f>
        <v>0</v>
      </c>
      <c r="G47" s="712">
        <f>SUMIFS(Sheet1!S71_AdjustmentBudAmnt,Sheet1!S71_A4SubCode,$AC:$AC)</f>
        <v>0</v>
      </c>
      <c r="H47" s="715">
        <f>SUMIFS(Sheet1!S71_AdjustmentBudAmnt,Sheet1!S71_A4SubCode,$AC:$AC)</f>
        <v>0</v>
      </c>
      <c r="I47" s="716">
        <f>SUMIFS(Sheet1!CD:CD,Sheet1!S71_A4SubCode,$AC:$AC)</f>
        <v>0</v>
      </c>
      <c r="J47" s="719">
        <f>SUMIFS(Sheet1!S71_ASBudgetAmount,Sheet1!S71_A4SubCode,$AC:$AC)</f>
        <v>0</v>
      </c>
      <c r="K47" s="712">
        <f>SUMIFS(Sheet1!S71_OY1BudgetAmount,Sheet1!S71_A4SubCode,$AC:$AC)</f>
        <v>0</v>
      </c>
      <c r="L47" s="717">
        <f>SUMIFS(Sheet1!S71_OY2BudgetAmount,Sheet1!S71_A4SubCode,$AC:$AC)</f>
        <v>0</v>
      </c>
      <c r="AC47" s="2343" t="s">
        <v>2925</v>
      </c>
    </row>
    <row r="48" spans="1:29" ht="11.25" customHeight="1" x14ac:dyDescent="0.25">
      <c r="A48" s="1794"/>
      <c r="B48" s="1922"/>
      <c r="C48" s="712">
        <f>SUMIFS(Sheet1!S71_PPPYearAmount,Sheet1!S71_A4SubCode,$AC:$AC)</f>
        <v>0</v>
      </c>
      <c r="D48" s="712">
        <f>SUMIFS(Sheet1!S71_PPYearAmount,Sheet1!S71_A4SubCode,$AC:$AC)</f>
        <v>0</v>
      </c>
      <c r="E48" s="717">
        <f>SUMIFS(Sheet1!S71_PYearAmount,Sheet1!S71_A4SubCode,$AC:$AC)</f>
        <v>0</v>
      </c>
      <c r="F48" s="718">
        <f>SUMIFS(Sheet1!S71_OriginalBudAmnt,Sheet1!S71_A4SubCode,$AC:$AC)</f>
        <v>0</v>
      </c>
      <c r="G48" s="712">
        <f>SUMIFS(Sheet1!S71_AdjustmentBudAmnt,Sheet1!S71_A4SubCode,$AC:$AC)</f>
        <v>0</v>
      </c>
      <c r="H48" s="715">
        <f>SUMIFS(Sheet1!S71_AdjustmentBudAmnt,Sheet1!S71_A4SubCode,$AC:$AC)</f>
        <v>0</v>
      </c>
      <c r="I48" s="716">
        <f>SUMIFS(Sheet1!CD:CD,Sheet1!S71_A4SubCode,$AC:$AC)</f>
        <v>0</v>
      </c>
      <c r="J48" s="719">
        <f>SUMIFS(Sheet1!S71_ASBudgetAmount,Sheet1!S71_A4SubCode,$AC:$AC)</f>
        <v>0</v>
      </c>
      <c r="K48" s="712">
        <f>SUMIFS(Sheet1!S71_OY1BudgetAmount,Sheet1!S71_A4SubCode,$AC:$AC)</f>
        <v>0</v>
      </c>
      <c r="L48" s="717">
        <f>SUMIFS(Sheet1!S71_OY2BudgetAmount,Sheet1!S71_A4SubCode,$AC:$AC)</f>
        <v>0</v>
      </c>
    </row>
    <row r="49" spans="1:29" ht="11.25" customHeight="1" x14ac:dyDescent="0.25">
      <c r="A49" s="1794"/>
      <c r="B49" s="1922"/>
      <c r="C49" s="712">
        <f>SUMIFS(Sheet1!S71_PPPYearAmount,Sheet1!S71_A4SubCode,$AC:$AC)</f>
        <v>0</v>
      </c>
      <c r="D49" s="712">
        <f>SUMIFS(Sheet1!S71_PPYearAmount,Sheet1!S71_A4SubCode,$AC:$AC)</f>
        <v>0</v>
      </c>
      <c r="E49" s="717">
        <f>SUMIFS(Sheet1!S71_PYearAmount,Sheet1!S71_A4SubCode,$AC:$AC)</f>
        <v>0</v>
      </c>
      <c r="F49" s="718">
        <f>SUMIFS(Sheet1!S71_OriginalBudAmnt,Sheet1!S71_A4SubCode,$AC:$AC)</f>
        <v>0</v>
      </c>
      <c r="G49" s="712">
        <f>SUMIFS(Sheet1!S71_AdjustmentBudAmnt,Sheet1!S71_A4SubCode,$AC:$AC)</f>
        <v>0</v>
      </c>
      <c r="H49" s="715">
        <f>SUMIFS(Sheet1!S71_AdjustmentBudAmnt,Sheet1!S71_A4SubCode,$AC:$AC)</f>
        <v>0</v>
      </c>
      <c r="I49" s="716">
        <f>SUMIFS(Sheet1!CD:CD,Sheet1!S71_A4SubCode,$AC:$AC)</f>
        <v>0</v>
      </c>
      <c r="J49" s="719">
        <f>SUMIFS(Sheet1!S71_ASBudgetAmount,Sheet1!S71_A4SubCode,$AC:$AC)</f>
        <v>0</v>
      </c>
      <c r="K49" s="712">
        <f>SUMIFS(Sheet1!S71_OY1BudgetAmount,Sheet1!S71_A4SubCode,$AC:$AC)</f>
        <v>0</v>
      </c>
      <c r="L49" s="717">
        <f>SUMIFS(Sheet1!S71_OY2BudgetAmount,Sheet1!S71_A4SubCode,$AC:$AC)</f>
        <v>0</v>
      </c>
    </row>
    <row r="50" spans="1:29" ht="11.25" customHeight="1" x14ac:dyDescent="0.25">
      <c r="A50" s="1924" t="s">
        <v>1891</v>
      </c>
      <c r="B50" s="1925"/>
      <c r="C50" s="243">
        <f>SUM(C47:C49)</f>
        <v>0</v>
      </c>
      <c r="D50" s="243">
        <f t="shared" ref="D50:J50" si="8">SUM(D47:D49)</f>
        <v>0</v>
      </c>
      <c r="E50" s="581">
        <f t="shared" si="8"/>
        <v>0</v>
      </c>
      <c r="F50" s="582">
        <f t="shared" si="8"/>
        <v>0</v>
      </c>
      <c r="G50" s="243">
        <f t="shared" si="8"/>
        <v>0</v>
      </c>
      <c r="H50" s="1926">
        <f t="shared" si="8"/>
        <v>0</v>
      </c>
      <c r="I50" s="1927">
        <f t="shared" si="8"/>
        <v>0</v>
      </c>
      <c r="J50" s="583">
        <f t="shared" si="8"/>
        <v>0</v>
      </c>
      <c r="K50" s="243">
        <f>SUM(K47:K49)</f>
        <v>0</v>
      </c>
      <c r="L50" s="581">
        <f>SUM(L47:L49)</f>
        <v>0</v>
      </c>
    </row>
    <row r="51" spans="1:29" ht="11.25" customHeight="1" x14ac:dyDescent="0.25">
      <c r="A51" s="475"/>
      <c r="B51" s="1922"/>
      <c r="C51" s="98"/>
      <c r="D51" s="98"/>
      <c r="E51" s="99"/>
      <c r="F51" s="100"/>
      <c r="G51" s="98"/>
      <c r="H51" s="291"/>
      <c r="I51" s="657"/>
      <c r="J51" s="101"/>
      <c r="K51" s="98"/>
      <c r="L51" s="99"/>
    </row>
    <row r="52" spans="1:29" ht="11.25" customHeight="1" x14ac:dyDescent="0.25">
      <c r="A52" s="574" t="s">
        <v>1892</v>
      </c>
      <c r="B52" s="1922"/>
      <c r="C52" s="71"/>
      <c r="D52" s="71"/>
      <c r="E52" s="72"/>
      <c r="F52" s="73"/>
      <c r="G52" s="71"/>
      <c r="H52" s="305"/>
      <c r="I52" s="1923"/>
      <c r="J52" s="74"/>
      <c r="K52" s="71"/>
      <c r="L52" s="72"/>
    </row>
    <row r="53" spans="1:29" ht="11.25" customHeight="1" x14ac:dyDescent="0.25">
      <c r="A53" s="1917" t="str">
        <f>$A$6</f>
        <v>Insert description</v>
      </c>
      <c r="B53" s="1922">
        <v>4</v>
      </c>
      <c r="C53" s="712">
        <f>SUMIFS(Sheet1!S71_PPPYearAmount,Sheet1!S71_A4SubCode,$AC:$AC)</f>
        <v>0</v>
      </c>
      <c r="D53" s="712">
        <f>SUMIFS(Sheet1!S71_PPYearAmount,Sheet1!S71_A4SubCode,$AC:$AC)</f>
        <v>0</v>
      </c>
      <c r="E53" s="717">
        <f>SUMIFS(Sheet1!S71_PYearAmount,Sheet1!S71_A4SubCode,$AC:$AC)</f>
        <v>0</v>
      </c>
      <c r="F53" s="718">
        <f>SUMIFS(Sheet1!S71_OriginalBudAmnt,Sheet1!S71_A4SubCode,$AC:$AC)</f>
        <v>0</v>
      </c>
      <c r="G53" s="712">
        <f>SUMIFS(Sheet1!S71_AdjustmentBudAmnt,Sheet1!S71_A4SubCode,$AC:$AC)</f>
        <v>0</v>
      </c>
      <c r="H53" s="715">
        <f>SUMIFS(Sheet1!S71_AdjustmentBudAmnt,Sheet1!S71_A4SubCode,$AC:$AC)</f>
        <v>0</v>
      </c>
      <c r="I53" s="716">
        <f>SUMIFS(Sheet1!CD:CD,Sheet1!S71_A4SubCode,$AC:$AC)</f>
        <v>0</v>
      </c>
      <c r="J53" s="719">
        <f>SUMIFS(Sheet1!S71_ASBudgetAmount,Sheet1!S71_A4SubCode,$AC:$AC)</f>
        <v>0</v>
      </c>
      <c r="K53" s="712">
        <f>SUMIFS(Sheet1!S71_OY1BudgetAmount,Sheet1!S71_A4SubCode,$AC:$AC)</f>
        <v>0</v>
      </c>
      <c r="L53" s="717">
        <f>SUMIFS(Sheet1!S71_OY2BudgetAmount,Sheet1!S71_A4SubCode,$AC:$AC)</f>
        <v>0</v>
      </c>
      <c r="AC53" s="2343" t="s">
        <v>2926</v>
      </c>
    </row>
    <row r="54" spans="1:29" ht="11.25" customHeight="1" x14ac:dyDescent="0.25">
      <c r="A54" s="1794"/>
      <c r="B54" s="1922"/>
      <c r="C54" s="712">
        <f>SUMIFS(Sheet1!S71_PPPYearAmount,Sheet1!S71_A4SubCode,$AC:$AC)</f>
        <v>0</v>
      </c>
      <c r="D54" s="712">
        <f>SUMIFS(Sheet1!S71_PPYearAmount,Sheet1!S71_A4SubCode,$AC:$AC)</f>
        <v>0</v>
      </c>
      <c r="E54" s="717">
        <f>SUMIFS(Sheet1!S71_PYearAmount,Sheet1!S71_A4SubCode,$AC:$AC)</f>
        <v>0</v>
      </c>
      <c r="F54" s="718">
        <f>SUMIFS(Sheet1!S71_OriginalBudAmnt,Sheet1!S71_A4SubCode,$AC:$AC)</f>
        <v>0</v>
      </c>
      <c r="G54" s="712">
        <f>SUMIFS(Sheet1!S71_AdjustmentBudAmnt,Sheet1!S71_A4SubCode,$AC:$AC)</f>
        <v>0</v>
      </c>
      <c r="H54" s="715">
        <f>SUMIFS(Sheet1!S71_AdjustmentBudAmnt,Sheet1!S71_A4SubCode,$AC:$AC)</f>
        <v>0</v>
      </c>
      <c r="I54" s="716">
        <f>SUMIFS(Sheet1!CD:CD,Sheet1!S71_A4SubCode,$AC:$AC)</f>
        <v>0</v>
      </c>
      <c r="J54" s="719">
        <f>SUMIFS(Sheet1!S71_ASBudgetAmount,Sheet1!S71_A4SubCode,$AC:$AC)</f>
        <v>0</v>
      </c>
      <c r="K54" s="712">
        <f>SUMIFS(Sheet1!S71_OY1BudgetAmount,Sheet1!S71_A4SubCode,$AC:$AC)</f>
        <v>0</v>
      </c>
      <c r="L54" s="717">
        <f>SUMIFS(Sheet1!S71_OY2BudgetAmount,Sheet1!S71_A4SubCode,$AC:$AC)</f>
        <v>0</v>
      </c>
    </row>
    <row r="55" spans="1:29" ht="11.25" customHeight="1" x14ac:dyDescent="0.25">
      <c r="A55" s="1794"/>
      <c r="B55" s="1922"/>
      <c r="C55" s="712">
        <f>SUMIFS(Sheet1!S71_PPPYearAmount,Sheet1!S71_A4SubCode,$AC:$AC)</f>
        <v>0</v>
      </c>
      <c r="D55" s="712">
        <f>SUMIFS(Sheet1!S71_PPYearAmount,Sheet1!S71_A4SubCode,$AC:$AC)</f>
        <v>0</v>
      </c>
      <c r="E55" s="717">
        <f>SUMIFS(Sheet1!S71_PYearAmount,Sheet1!S71_A4SubCode,$AC:$AC)</f>
        <v>0</v>
      </c>
      <c r="F55" s="718">
        <f>SUMIFS(Sheet1!S71_OriginalBudAmnt,Sheet1!S71_A4SubCode,$AC:$AC)</f>
        <v>0</v>
      </c>
      <c r="G55" s="712">
        <f>SUMIFS(Sheet1!S71_AdjustmentBudAmnt,Sheet1!S71_A4SubCode,$AC:$AC)</f>
        <v>0</v>
      </c>
      <c r="H55" s="715">
        <f>SUMIFS(Sheet1!S71_AdjustmentBudAmnt,Sheet1!S71_A4SubCode,$AC:$AC)</f>
        <v>0</v>
      </c>
      <c r="I55" s="716">
        <f>SUMIFS(Sheet1!CD:CD,Sheet1!S71_A4SubCode,$AC:$AC)</f>
        <v>0</v>
      </c>
      <c r="J55" s="719">
        <f>SUMIFS(Sheet1!S71_ASBudgetAmount,Sheet1!S71_A4SubCode,$AC:$AC)</f>
        <v>0</v>
      </c>
      <c r="K55" s="712">
        <f>SUMIFS(Sheet1!S71_OY1BudgetAmount,Sheet1!S71_A4SubCode,$AC:$AC)</f>
        <v>0</v>
      </c>
      <c r="L55" s="717">
        <f>SUMIFS(Sheet1!S71_OY2BudgetAmount,Sheet1!S71_A4SubCode,$AC:$AC)</f>
        <v>0</v>
      </c>
    </row>
    <row r="56" spans="1:29" ht="11.25" customHeight="1" x14ac:dyDescent="0.25">
      <c r="A56" s="1928" t="s">
        <v>1893</v>
      </c>
      <c r="B56" s="1925"/>
      <c r="C56" s="243">
        <f>SUM(C53:C55)</f>
        <v>0</v>
      </c>
      <c r="D56" s="243">
        <f t="shared" ref="D56:J56" si="9">SUM(D53:D55)</f>
        <v>0</v>
      </c>
      <c r="E56" s="581">
        <f t="shared" si="9"/>
        <v>0</v>
      </c>
      <c r="F56" s="582">
        <f t="shared" si="9"/>
        <v>0</v>
      </c>
      <c r="G56" s="243">
        <f t="shared" si="9"/>
        <v>0</v>
      </c>
      <c r="H56" s="1926">
        <f t="shared" si="9"/>
        <v>0</v>
      </c>
      <c r="I56" s="1927">
        <f t="shared" si="9"/>
        <v>0</v>
      </c>
      <c r="J56" s="583">
        <f t="shared" si="9"/>
        <v>0</v>
      </c>
      <c r="K56" s="243">
        <f>SUM(K53:K55)</f>
        <v>0</v>
      </c>
      <c r="L56" s="581">
        <f>SUM(L53:L55)</f>
        <v>0</v>
      </c>
    </row>
    <row r="57" spans="1:29" ht="11.25" customHeight="1" x14ac:dyDescent="0.25">
      <c r="A57" s="1929"/>
      <c r="B57" s="1922"/>
      <c r="C57" s="98"/>
      <c r="D57" s="98"/>
      <c r="E57" s="99"/>
      <c r="F57" s="100"/>
      <c r="G57" s="98"/>
      <c r="H57" s="291"/>
      <c r="I57" s="657"/>
      <c r="J57" s="101"/>
      <c r="K57" s="98"/>
      <c r="L57" s="99"/>
    </row>
    <row r="58" spans="1:29" ht="11.25" customHeight="1" x14ac:dyDescent="0.25">
      <c r="A58" s="574" t="s">
        <v>1773</v>
      </c>
      <c r="B58" s="1922"/>
      <c r="C58" s="71"/>
      <c r="D58" s="71"/>
      <c r="E58" s="72"/>
      <c r="F58" s="73"/>
      <c r="G58" s="71"/>
      <c r="H58" s="305"/>
      <c r="I58" s="1923"/>
      <c r="J58" s="74"/>
      <c r="K58" s="71"/>
      <c r="L58" s="72"/>
    </row>
    <row r="59" spans="1:29" ht="11.25" customHeight="1" x14ac:dyDescent="0.25">
      <c r="A59" s="1917" t="str">
        <f>$A$6</f>
        <v>Insert description</v>
      </c>
      <c r="B59" s="1922">
        <v>5</v>
      </c>
      <c r="C59" s="712">
        <f>SUMIFS(Sheet1!S71_PPPYearAmount,Sheet1!S71_A4SubCode,$AC:$AC)</f>
        <v>0</v>
      </c>
      <c r="D59" s="712">
        <f>SUMIFS(Sheet1!S71_PPYearAmount,Sheet1!S71_A4SubCode,$AC:$AC)</f>
        <v>0</v>
      </c>
      <c r="E59" s="717">
        <f>SUMIFS(Sheet1!S71_PYearAmount,Sheet1!S71_A4SubCode,$AC:$AC)</f>
        <v>0</v>
      </c>
      <c r="F59" s="718">
        <f>SUMIFS(Sheet1!S71_OriginalBudAmnt,Sheet1!S71_A4SubCode,$AC:$AC)</f>
        <v>0</v>
      </c>
      <c r="G59" s="712">
        <f>SUMIFS(Sheet1!S71_AdjustmentBudAmnt,Sheet1!S71_A4SubCode,$AC:$AC)</f>
        <v>0</v>
      </c>
      <c r="H59" s="715">
        <f>SUMIFS(Sheet1!S71_AdjustmentBudAmnt,Sheet1!S71_A4SubCode,$AC:$AC)</f>
        <v>0</v>
      </c>
      <c r="I59" s="716">
        <f>SUMIFS(Sheet1!CD:CD,Sheet1!S71_A4SubCode,$AC:$AC)</f>
        <v>0</v>
      </c>
      <c r="J59" s="719">
        <f>SUMIFS(Sheet1!S71_ASBudgetAmount,Sheet1!S71_A4SubCode,$AC:$AC)</f>
        <v>0</v>
      </c>
      <c r="K59" s="712">
        <f>SUMIFS(Sheet1!S71_OY1BudgetAmount,Sheet1!S71_A4SubCode,$AC:$AC)</f>
        <v>0</v>
      </c>
      <c r="L59" s="717">
        <f>SUMIFS(Sheet1!S71_OY2BudgetAmount,Sheet1!S71_A4SubCode,$AC:$AC)</f>
        <v>0</v>
      </c>
      <c r="AC59" s="2343" t="s">
        <v>2927</v>
      </c>
    </row>
    <row r="60" spans="1:29" ht="11.25" customHeight="1" x14ac:dyDescent="0.25">
      <c r="A60" s="1794"/>
      <c r="B60" s="1922"/>
      <c r="C60" s="712">
        <f>SUMIFS(Sheet1!S71_PPPYearAmount,Sheet1!S71_A4SubCode,$AC:$AC)</f>
        <v>0</v>
      </c>
      <c r="D60" s="712">
        <f>SUMIFS(Sheet1!S71_PPYearAmount,Sheet1!S71_A4SubCode,$AC:$AC)</f>
        <v>0</v>
      </c>
      <c r="E60" s="717">
        <f>SUMIFS(Sheet1!S71_PYearAmount,Sheet1!S71_A4SubCode,$AC:$AC)</f>
        <v>0</v>
      </c>
      <c r="F60" s="718">
        <f>SUMIFS(Sheet1!S71_OriginalBudAmnt,Sheet1!S71_A4SubCode,$AC:$AC)</f>
        <v>0</v>
      </c>
      <c r="G60" s="712">
        <f>SUMIFS(Sheet1!S71_AdjustmentBudAmnt,Sheet1!S71_A4SubCode,$AC:$AC)</f>
        <v>0</v>
      </c>
      <c r="H60" s="715">
        <f>SUMIFS(Sheet1!S71_AdjustmentBudAmnt,Sheet1!S71_A4SubCode,$AC:$AC)</f>
        <v>0</v>
      </c>
      <c r="I60" s="716">
        <f>SUMIFS(Sheet1!CD:CD,Sheet1!S71_A4SubCode,$AC:$AC)</f>
        <v>0</v>
      </c>
      <c r="J60" s="719">
        <f>SUMIFS(Sheet1!S71_ASBudgetAmount,Sheet1!S71_A4SubCode,$AC:$AC)</f>
        <v>0</v>
      </c>
      <c r="K60" s="712">
        <f>SUMIFS(Sheet1!S71_OY1BudgetAmount,Sheet1!S71_A4SubCode,$AC:$AC)</f>
        <v>0</v>
      </c>
      <c r="L60" s="717">
        <f>SUMIFS(Sheet1!S71_OY2BudgetAmount,Sheet1!S71_A4SubCode,$AC:$AC)</f>
        <v>0</v>
      </c>
    </row>
    <row r="61" spans="1:29" ht="11.25" customHeight="1" x14ac:dyDescent="0.25">
      <c r="A61" s="1794"/>
      <c r="B61" s="1922"/>
      <c r="C61" s="712">
        <f>SUMIFS(Sheet1!S71_PPPYearAmount,Sheet1!S71_A4SubCode,$AC:$AC)</f>
        <v>0</v>
      </c>
      <c r="D61" s="712">
        <f>SUMIFS(Sheet1!S71_PPYearAmount,Sheet1!S71_A4SubCode,$AC:$AC)</f>
        <v>0</v>
      </c>
      <c r="E61" s="717">
        <f>SUMIFS(Sheet1!S71_PYearAmount,Sheet1!S71_A4SubCode,$AC:$AC)</f>
        <v>0</v>
      </c>
      <c r="F61" s="718">
        <f>SUMIFS(Sheet1!S71_OriginalBudAmnt,Sheet1!S71_A4SubCode,$AC:$AC)</f>
        <v>0</v>
      </c>
      <c r="G61" s="712">
        <f>SUMIFS(Sheet1!S71_AdjustmentBudAmnt,Sheet1!S71_A4SubCode,$AC:$AC)</f>
        <v>0</v>
      </c>
      <c r="H61" s="715">
        <f>SUMIFS(Sheet1!S71_AdjustmentBudAmnt,Sheet1!S71_A4SubCode,$AC:$AC)</f>
        <v>0</v>
      </c>
      <c r="I61" s="716">
        <f>SUMIFS(Sheet1!CD:CD,Sheet1!S71_A4SubCode,$AC:$AC)</f>
        <v>0</v>
      </c>
      <c r="J61" s="719">
        <f>SUMIFS(Sheet1!S71_ASBudgetAmount,Sheet1!S71_A4SubCode,$AC:$AC)</f>
        <v>0</v>
      </c>
      <c r="K61" s="712">
        <f>SUMIFS(Sheet1!S71_OY1BudgetAmount,Sheet1!S71_A4SubCode,$AC:$AC)</f>
        <v>0</v>
      </c>
      <c r="L61" s="717">
        <f>SUMIFS(Sheet1!S71_OY2BudgetAmount,Sheet1!S71_A4SubCode,$AC:$AC)</f>
        <v>0</v>
      </c>
    </row>
    <row r="62" spans="1:29" ht="11.25" customHeight="1" x14ac:dyDescent="0.25">
      <c r="A62" s="1928" t="s">
        <v>1894</v>
      </c>
      <c r="B62" s="1925"/>
      <c r="C62" s="243">
        <f t="shared" ref="C62:L62" si="10">SUM(C59:C61)</f>
        <v>0</v>
      </c>
      <c r="D62" s="243">
        <f t="shared" si="10"/>
        <v>0</v>
      </c>
      <c r="E62" s="581">
        <f t="shared" si="10"/>
        <v>0</v>
      </c>
      <c r="F62" s="582">
        <f t="shared" si="10"/>
        <v>0</v>
      </c>
      <c r="G62" s="243">
        <f t="shared" si="10"/>
        <v>0</v>
      </c>
      <c r="H62" s="1926">
        <f t="shared" si="10"/>
        <v>0</v>
      </c>
      <c r="I62" s="1927">
        <f t="shared" si="10"/>
        <v>0</v>
      </c>
      <c r="J62" s="583">
        <f t="shared" si="10"/>
        <v>0</v>
      </c>
      <c r="K62" s="243">
        <f t="shared" si="10"/>
        <v>0</v>
      </c>
      <c r="L62" s="581">
        <f t="shared" si="10"/>
        <v>0</v>
      </c>
    </row>
    <row r="63" spans="1:29" ht="15" customHeight="1" x14ac:dyDescent="0.25">
      <c r="A63" s="1930" t="s">
        <v>1895</v>
      </c>
      <c r="B63" s="1931"/>
      <c r="C63" s="119">
        <f t="shared" ref="C63:L63" si="11">C38+C44+C50+C56+C62</f>
        <v>0</v>
      </c>
      <c r="D63" s="119">
        <f t="shared" si="11"/>
        <v>0</v>
      </c>
      <c r="E63" s="120">
        <f t="shared" si="11"/>
        <v>0</v>
      </c>
      <c r="F63" s="121">
        <f t="shared" si="11"/>
        <v>0</v>
      </c>
      <c r="G63" s="119">
        <f t="shared" si="11"/>
        <v>0</v>
      </c>
      <c r="H63" s="1932">
        <f t="shared" si="11"/>
        <v>0</v>
      </c>
      <c r="I63" s="1933">
        <f t="shared" si="11"/>
        <v>0</v>
      </c>
      <c r="J63" s="122">
        <f t="shared" si="11"/>
        <v>0</v>
      </c>
      <c r="K63" s="119">
        <f t="shared" si="11"/>
        <v>0</v>
      </c>
      <c r="L63" s="120">
        <f t="shared" si="11"/>
        <v>0</v>
      </c>
    </row>
    <row r="64" spans="1:29" ht="15" customHeight="1" x14ac:dyDescent="0.25">
      <c r="A64" s="1930" t="s">
        <v>262</v>
      </c>
      <c r="B64" s="1931">
        <v>6</v>
      </c>
      <c r="C64" s="119">
        <f>C32+C63</f>
        <v>0</v>
      </c>
      <c r="D64" s="119">
        <f t="shared" ref="D64:L64" si="12">D32+D63</f>
        <v>0</v>
      </c>
      <c r="E64" s="120">
        <f t="shared" si="12"/>
        <v>0</v>
      </c>
      <c r="F64" s="121">
        <f t="shared" si="12"/>
        <v>0</v>
      </c>
      <c r="G64" s="119">
        <f t="shared" si="12"/>
        <v>0</v>
      </c>
      <c r="H64" s="1932">
        <f t="shared" si="12"/>
        <v>0</v>
      </c>
      <c r="I64" s="1933">
        <f t="shared" si="12"/>
        <v>0</v>
      </c>
      <c r="J64" s="122">
        <f t="shared" si="12"/>
        <v>0</v>
      </c>
      <c r="K64" s="119">
        <f t="shared" si="12"/>
        <v>0</v>
      </c>
      <c r="L64" s="120">
        <f t="shared" si="12"/>
        <v>0</v>
      </c>
    </row>
    <row r="65" spans="1:12" ht="11.25" customHeight="1" x14ac:dyDescent="0.25">
      <c r="A65" s="188" t="str">
        <f>head27a</f>
        <v>References</v>
      </c>
      <c r="B65" s="189"/>
      <c r="C65" s="193"/>
      <c r="D65" s="193"/>
      <c r="E65" s="193"/>
      <c r="F65" s="193"/>
      <c r="G65" s="193"/>
      <c r="H65" s="193"/>
      <c r="I65" s="193"/>
      <c r="J65" s="193"/>
      <c r="K65" s="193"/>
      <c r="L65" s="193"/>
    </row>
    <row r="66" spans="1:12" x14ac:dyDescent="0.25">
      <c r="A66" s="194" t="s">
        <v>1164</v>
      </c>
    </row>
    <row r="67" spans="1:12" x14ac:dyDescent="0.25">
      <c r="A67" s="194" t="s">
        <v>1125</v>
      </c>
    </row>
    <row r="68" spans="1:12" x14ac:dyDescent="0.25">
      <c r="A68" s="194" t="s">
        <v>1217</v>
      </c>
    </row>
    <row r="69" spans="1:12" x14ac:dyDescent="0.25">
      <c r="A69" s="194" t="s">
        <v>1492</v>
      </c>
    </row>
    <row r="70" spans="1:12" x14ac:dyDescent="0.25">
      <c r="A70" s="194" t="s">
        <v>1775</v>
      </c>
    </row>
    <row r="71" spans="1:12" x14ac:dyDescent="0.25">
      <c r="A71" s="194" t="s">
        <v>1774</v>
      </c>
    </row>
  </sheetData>
  <sheetProtection sheet="1" objects="1" scenarios="1"/>
  <mergeCells count="2">
    <mergeCell ref="J2:L2"/>
    <mergeCell ref="F2:I2"/>
  </mergeCells>
  <phoneticPr fontId="7" type="noConversion"/>
  <printOptions horizontalCentered="1"/>
  <pageMargins left="0" right="0" top="0.78740157480314965" bottom="0.59055118110236227" header="0.51181102362204722" footer="0.39370078740157483"/>
  <pageSetup paperSize="9" scale="75" orientation="portrait" r:id="rId1"/>
  <headerFooter alignWithMargins="0"/>
  <ignoredErrors>
    <ignoredError sqref="A18 A41 A47 A53 A59 A24 A29" unlockedFormula="1"/>
  </ignoredError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42"/>
  <dimension ref="A1:AE196"/>
  <sheetViews>
    <sheetView showGridLines="0" zoomScale="110" zoomScaleNormal="110" workbookViewId="0">
      <pane xSplit="2" ySplit="4" topLeftCell="F89" activePane="bottomRight" state="frozen"/>
      <selection pane="topRight"/>
      <selection pane="bottomLeft"/>
      <selection pane="bottomRight" activeCell="A47" sqref="A47"/>
    </sheetView>
  </sheetViews>
  <sheetFormatPr defaultColWidth="9.140625" defaultRowHeight="12.75" x14ac:dyDescent="0.25"/>
  <cols>
    <col min="1" max="1" width="30.7109375" style="58" customWidth="1"/>
    <col min="2" max="2" width="3" style="55" customWidth="1"/>
    <col min="3" max="11" width="9.28515625" style="58" customWidth="1"/>
    <col min="12" max="12" width="9.7109375" style="58" customWidth="1"/>
    <col min="13" max="13" width="9.42578125" style="58" customWidth="1"/>
    <col min="14" max="14" width="9.7109375" style="58" customWidth="1"/>
    <col min="15" max="17" width="9.42578125" style="58" customWidth="1"/>
    <col min="18" max="18" width="9.7109375" style="58" customWidth="1"/>
    <col min="19" max="21" width="9.42578125" style="58" customWidth="1"/>
    <col min="22" max="23" width="9.7109375" style="58" customWidth="1"/>
    <col min="24" max="28" width="9.140625" style="58" customWidth="1"/>
    <col min="29" max="29" width="5.28515625" style="2365" bestFit="1" customWidth="1"/>
    <col min="30" max="30" width="2.5703125" style="2365" bestFit="1" customWidth="1"/>
    <col min="31" max="31" width="9.140625" style="2312"/>
    <col min="32" max="16384" width="9.140625" style="58"/>
  </cols>
  <sheetData>
    <row r="1" spans="1:29" ht="13.5" customHeight="1" x14ac:dyDescent="0.25">
      <c r="A1" s="92" t="str">
        <f>muni&amp;" - "&amp;TableA22</f>
        <v>KZN226 Mkhambathini - Supporting Table SA22 Summary councillor and staff benefits</v>
      </c>
      <c r="B1" s="92"/>
      <c r="C1" s="92"/>
      <c r="D1" s="92"/>
      <c r="E1" s="92"/>
      <c r="F1" s="92"/>
      <c r="G1" s="92"/>
      <c r="H1" s="92"/>
      <c r="I1" s="92"/>
      <c r="J1" s="92"/>
      <c r="K1" s="92"/>
      <c r="AC1" s="2364"/>
    </row>
    <row r="2" spans="1:29" ht="28.5" customHeight="1" x14ac:dyDescent="0.25">
      <c r="A2" s="1829" t="s">
        <v>1435</v>
      </c>
      <c r="B2" s="155" t="str">
        <f>head27</f>
        <v>Ref</v>
      </c>
      <c r="C2" s="837" t="str">
        <f>head1b</f>
        <v>2017/18</v>
      </c>
      <c r="D2" s="561" t="str">
        <f>head1A</f>
        <v>2018/19</v>
      </c>
      <c r="E2" s="684" t="str">
        <f>Head1</f>
        <v>2019/20</v>
      </c>
      <c r="F2" s="2447" t="str">
        <f>Head2</f>
        <v>Current Year 2020/21</v>
      </c>
      <c r="G2" s="2448"/>
      <c r="H2" s="2449"/>
      <c r="I2" s="2451" t="str">
        <f>Head3</f>
        <v>2021/22 Medium Term Revenue &amp; Expenditure Framework</v>
      </c>
      <c r="J2" s="2451"/>
      <c r="K2" s="2452"/>
      <c r="AC2" s="2366"/>
    </row>
    <row r="3" spans="1:29" ht="25.5" x14ac:dyDescent="0.25">
      <c r="A3" s="156" t="s">
        <v>568</v>
      </c>
      <c r="B3" s="157"/>
      <c r="C3" s="698" t="str">
        <f>Head5</f>
        <v>Audited Outcome</v>
      </c>
      <c r="D3" s="562" t="str">
        <f>Head5</f>
        <v>Audited Outcome</v>
      </c>
      <c r="E3" s="94" t="str">
        <f>Head5</f>
        <v>Audited Outcome</v>
      </c>
      <c r="F3" s="95" t="str">
        <f>Head6</f>
        <v>Original Budget</v>
      </c>
      <c r="G3" s="698" t="str">
        <f>Head7</f>
        <v>Adjusted Budget</v>
      </c>
      <c r="H3" s="94" t="str">
        <f>Head8</f>
        <v>Full Year Forecast</v>
      </c>
      <c r="I3" s="702" t="str">
        <f>Head9</f>
        <v>Budget Year 2021/22</v>
      </c>
      <c r="J3" s="698" t="str">
        <f>Head10</f>
        <v>Budget Year +1 2022/23</v>
      </c>
      <c r="K3" s="94" t="str">
        <f>Head11</f>
        <v>Budget Year +2 2023/24</v>
      </c>
      <c r="AC3" s="2364"/>
    </row>
    <row r="4" spans="1:29" ht="13.5" x14ac:dyDescent="0.25">
      <c r="A4" s="96"/>
      <c r="B4" s="144">
        <v>1</v>
      </c>
      <c r="C4" s="144" t="s">
        <v>345</v>
      </c>
      <c r="D4" s="144" t="s">
        <v>1166</v>
      </c>
      <c r="E4" s="1941" t="s">
        <v>427</v>
      </c>
      <c r="F4" s="1942" t="s">
        <v>472</v>
      </c>
      <c r="G4" s="144" t="s">
        <v>1352</v>
      </c>
      <c r="H4" s="1941" t="s">
        <v>1353</v>
      </c>
      <c r="I4" s="1679" t="s">
        <v>1354</v>
      </c>
      <c r="J4" s="144" t="s">
        <v>485</v>
      </c>
      <c r="K4" s="1941" t="s">
        <v>486</v>
      </c>
      <c r="AC4" s="2364"/>
    </row>
    <row r="5" spans="1:29" ht="11.25" customHeight="1" x14ac:dyDescent="0.25">
      <c r="A5" s="96" t="s">
        <v>649</v>
      </c>
      <c r="B5" s="144"/>
      <c r="C5" s="177"/>
      <c r="D5" s="177"/>
      <c r="E5" s="178"/>
      <c r="F5" s="179"/>
      <c r="G5" s="177"/>
      <c r="H5" s="178"/>
      <c r="I5" s="180"/>
      <c r="J5" s="177"/>
      <c r="K5" s="178"/>
      <c r="AC5" s="2364"/>
    </row>
    <row r="6" spans="1:29" ht="11.25" customHeight="1" x14ac:dyDescent="0.25">
      <c r="A6" s="104" t="s">
        <v>1135</v>
      </c>
      <c r="B6" s="144"/>
      <c r="C6" s="712">
        <f>SUMIFS(Sheet1!S71_PPPYearAmount,Sheet1!S71_A4SubCode,$AC:$AC)</f>
        <v>4770185</v>
      </c>
      <c r="D6" s="712">
        <f>SUMIFS(Sheet1!S71_PPYearAmount,Sheet1!S71_A4SubCode,$AC:$AC)</f>
        <v>5235671</v>
      </c>
      <c r="E6" s="717">
        <f>SUMIFS(Sheet1!S71_PYearAmount,Sheet1!S71_A4SubCode,$AC:$AC)</f>
        <v>5429725</v>
      </c>
      <c r="F6" s="718">
        <f>SUMIFS(Sheet1!S71_OriginalBudAmnt,Sheet1!S71_A4SubCode,$AC:$AC)</f>
        <v>5752321</v>
      </c>
      <c r="G6" s="712">
        <f>SUMIFS(Sheet1!S71_AdjustmentBudAmnt,Sheet1!S71_A4SubCode,$AC:$AC)</f>
        <v>5752321</v>
      </c>
      <c r="H6" s="717">
        <f>SUMIFS(Sheet1!S71_AdjustmentBudAmnt,Sheet1!S71_A4SubCode,$AC:$AC)</f>
        <v>5752321</v>
      </c>
      <c r="I6" s="719">
        <f>SUMIFS(Sheet1!S71_ASBudgetAmount,Sheet1!S71_A4SubCode,$AC:$AC)</f>
        <v>6039935</v>
      </c>
      <c r="J6" s="712">
        <f>SUMIFS(Sheet1!S71_OY1BudgetAmount,Sheet1!S71_A4SubCode,$AC:$AC)</f>
        <v>3357525</v>
      </c>
      <c r="K6" s="717">
        <f>SUMIFS(Sheet1!S71_OY2BudgetAmount,Sheet1!S71_A4SubCode,$AC:$AC)</f>
        <v>6526881</v>
      </c>
      <c r="AC6" s="2366" t="s">
        <v>2928</v>
      </c>
    </row>
    <row r="7" spans="1:29" ht="11.25" customHeight="1" x14ac:dyDescent="0.25">
      <c r="A7" s="104" t="s">
        <v>1792</v>
      </c>
      <c r="B7" s="144"/>
      <c r="C7" s="712">
        <f>SUMIFS(Sheet1!S71_PPPYearAmount,Sheet1!S71_A4SubCode,$AC:$AC)</f>
        <v>0</v>
      </c>
      <c r="D7" s="712">
        <f>SUMIFS(Sheet1!S71_PPYearAmount,Sheet1!S71_A4SubCode,$AC:$AC)</f>
        <v>0</v>
      </c>
      <c r="E7" s="717">
        <f>SUMIFS(Sheet1!S71_PYearAmount,Sheet1!S71_A4SubCode,$AC:$AC)</f>
        <v>0</v>
      </c>
      <c r="F7" s="718">
        <f>SUMIFS(Sheet1!S71_OriginalBudAmnt,Sheet1!S71_A4SubCode,$AC:$AC)</f>
        <v>0</v>
      </c>
      <c r="G7" s="712">
        <f>SUMIFS(Sheet1!S71_AdjustmentBudAmnt,Sheet1!S71_A4SubCode,$AC:$AC)</f>
        <v>0</v>
      </c>
      <c r="H7" s="717">
        <f>SUMIFS(Sheet1!S71_AdjustmentBudAmnt,Sheet1!S71_A4SubCode,$AC:$AC)</f>
        <v>0</v>
      </c>
      <c r="I7" s="719">
        <f>SUMIFS(Sheet1!S71_ASBudgetAmount,Sheet1!S71_A4SubCode,$AC:$AC)</f>
        <v>0</v>
      </c>
      <c r="J7" s="712">
        <f>SUMIFS(Sheet1!S71_OY1BudgetAmount,Sheet1!S71_A4SubCode,$AC:$AC)</f>
        <v>0</v>
      </c>
      <c r="K7" s="717">
        <f>SUMIFS(Sheet1!S71_OY2BudgetAmount,Sheet1!S71_A4SubCode,$AC:$AC)</f>
        <v>0</v>
      </c>
      <c r="AC7" s="2366">
        <v>210002</v>
      </c>
    </row>
    <row r="8" spans="1:29" ht="11.25" customHeight="1" x14ac:dyDescent="0.25">
      <c r="A8" s="104" t="s">
        <v>650</v>
      </c>
      <c r="B8" s="144"/>
      <c r="C8" s="712">
        <f>SUMIFS(Sheet1!S71_PPPYearAmount,Sheet1!S71_A4SubCode,$AC:$AC)</f>
        <v>0</v>
      </c>
      <c r="D8" s="712">
        <f>SUMIFS(Sheet1!S71_PPYearAmount,Sheet1!S71_A4SubCode,$AC:$AC)</f>
        <v>0</v>
      </c>
      <c r="E8" s="717">
        <f>SUMIFS(Sheet1!S71_PYearAmount,Sheet1!S71_A4SubCode,$AC:$AC)</f>
        <v>0</v>
      </c>
      <c r="F8" s="718">
        <f>SUMIFS(Sheet1!S71_OriginalBudAmnt,Sheet1!S71_A4SubCode,$AC:$AC)</f>
        <v>0</v>
      </c>
      <c r="G8" s="712">
        <f>SUMIFS(Sheet1!S71_AdjustmentBudAmnt,Sheet1!S71_A4SubCode,$AC:$AC)</f>
        <v>0</v>
      </c>
      <c r="H8" s="717">
        <f>SUMIFS(Sheet1!S71_AdjustmentBudAmnt,Sheet1!S71_A4SubCode,$AC:$AC)</f>
        <v>0</v>
      </c>
      <c r="I8" s="719">
        <f>SUMIFS(Sheet1!S71_ASBudgetAmount,Sheet1!S71_A4SubCode,$AC:$AC)</f>
        <v>0</v>
      </c>
      <c r="J8" s="712">
        <f>SUMIFS(Sheet1!S71_OY1BudgetAmount,Sheet1!S71_A4SubCode,$AC:$AC)</f>
        <v>0</v>
      </c>
      <c r="K8" s="717">
        <f>SUMIFS(Sheet1!S71_OY2BudgetAmount,Sheet1!S71_A4SubCode,$AC:$AC)</f>
        <v>0</v>
      </c>
      <c r="AC8" s="2366">
        <v>210003</v>
      </c>
    </row>
    <row r="9" spans="1:29" ht="11.25" customHeight="1" x14ac:dyDescent="0.25">
      <c r="A9" s="104" t="s">
        <v>1940</v>
      </c>
      <c r="B9" s="144"/>
      <c r="C9" s="712">
        <f>SUMIFS(Sheet1!S71_PPPYearAmount,Sheet1!S71_A4SubCode,$AC:$AC)</f>
        <v>0</v>
      </c>
      <c r="D9" s="712">
        <f>SUMIFS(Sheet1!S71_PPYearAmount,Sheet1!S71_A4SubCode,$AC:$AC)</f>
        <v>0</v>
      </c>
      <c r="E9" s="717">
        <f>SUMIFS(Sheet1!S71_PYearAmount,Sheet1!S71_A4SubCode,$AC:$AC)</f>
        <v>0</v>
      </c>
      <c r="F9" s="718">
        <f>SUMIFS(Sheet1!S71_OriginalBudAmnt,Sheet1!S71_A4SubCode,$AC:$AC)</f>
        <v>0</v>
      </c>
      <c r="G9" s="712">
        <f>SUMIFS(Sheet1!S71_AdjustmentBudAmnt,Sheet1!S71_A4SubCode,$AC:$AC)</f>
        <v>0</v>
      </c>
      <c r="H9" s="717">
        <f>SUMIFS(Sheet1!S71_AdjustmentBudAmnt,Sheet1!S71_A4SubCode,$AC:$AC)</f>
        <v>0</v>
      </c>
      <c r="I9" s="719">
        <f>SUMIFS(Sheet1!S71_ASBudgetAmount,Sheet1!S71_A4SubCode,$AC:$AC)</f>
        <v>0</v>
      </c>
      <c r="J9" s="712">
        <f>SUMIFS(Sheet1!S71_OY1BudgetAmount,Sheet1!S71_A4SubCode,$AC:$AC)</f>
        <v>0</v>
      </c>
      <c r="K9" s="717">
        <f>SUMIFS(Sheet1!S71_OY2BudgetAmount,Sheet1!S71_A4SubCode,$AC:$AC)</f>
        <v>0</v>
      </c>
      <c r="L9" s="322"/>
      <c r="AC9" s="2366">
        <v>210004</v>
      </c>
    </row>
    <row r="10" spans="1:29" ht="11.25" customHeight="1" x14ac:dyDescent="0.25">
      <c r="A10" s="164" t="s">
        <v>1793</v>
      </c>
      <c r="B10" s="144"/>
      <c r="C10" s="712">
        <f>SUMIFS(Sheet1!S71_PPPYearAmount,Sheet1!S71_A4SubCode,$AC:$AC)</f>
        <v>402800</v>
      </c>
      <c r="D10" s="712">
        <f>SUMIFS(Sheet1!S71_PPYearAmount,Sheet1!S71_A4SubCode,$AC:$AC)</f>
        <v>573500</v>
      </c>
      <c r="E10" s="717">
        <f>SUMIFS(Sheet1!S71_PYearAmount,Sheet1!S71_A4SubCode,$AC:$AC)</f>
        <v>593830</v>
      </c>
      <c r="F10" s="718">
        <f>SUMIFS(Sheet1!S71_OriginalBudAmnt,Sheet1!S71_A4SubCode,$AC:$AC)</f>
        <v>621600</v>
      </c>
      <c r="G10" s="712">
        <f>SUMIFS(Sheet1!S71_AdjustmentBudAmnt,Sheet1!S71_A4SubCode,$AC:$AC)</f>
        <v>621600</v>
      </c>
      <c r="H10" s="717">
        <f>SUMIFS(Sheet1!S71_AdjustmentBudAmnt,Sheet1!S71_A4SubCode,$AC:$AC)</f>
        <v>621600</v>
      </c>
      <c r="I10" s="719">
        <f>SUMIFS(Sheet1!S71_ASBudgetAmount,Sheet1!S71_A4SubCode,$AC:$AC)</f>
        <v>652680</v>
      </c>
      <c r="J10" s="712">
        <f>SUMIFS(Sheet1!S71_OY1BudgetAmount,Sheet1!S71_A4SubCode,$AC:$AC)</f>
        <v>681917</v>
      </c>
      <c r="K10" s="717">
        <f>SUMIFS(Sheet1!S71_OY2BudgetAmount,Sheet1!S71_A4SubCode,$AC:$AC)</f>
        <v>720328</v>
      </c>
      <c r="L10" s="322"/>
      <c r="AC10" s="2366">
        <v>210005</v>
      </c>
    </row>
    <row r="11" spans="1:29" ht="11.25" customHeight="1" x14ac:dyDescent="0.25">
      <c r="A11" s="164" t="s">
        <v>1941</v>
      </c>
      <c r="B11" s="144"/>
      <c r="C11" s="712">
        <f>SUMIFS(Sheet1!S71_PPPYearAmount,Sheet1!S71_A4SubCode,$AC:$AC)</f>
        <v>0</v>
      </c>
      <c r="D11" s="712">
        <f>SUMIFS(Sheet1!S71_PPYearAmount,Sheet1!S71_A4SubCode,$AC:$AC)</f>
        <v>0</v>
      </c>
      <c r="E11" s="717">
        <f>SUMIFS(Sheet1!S71_PYearAmount,Sheet1!S71_A4SubCode,$AC:$AC)</f>
        <v>0</v>
      </c>
      <c r="F11" s="718">
        <f>SUMIFS(Sheet1!S71_OriginalBudAmnt,Sheet1!S71_A4SubCode,$AC:$AC)</f>
        <v>0</v>
      </c>
      <c r="G11" s="712">
        <f>SUMIFS(Sheet1!S71_AdjustmentBudAmnt,Sheet1!S71_A4SubCode,$AC:$AC)</f>
        <v>0</v>
      </c>
      <c r="H11" s="717">
        <f>SUMIFS(Sheet1!S71_AdjustmentBudAmnt,Sheet1!S71_A4SubCode,$AC:$AC)</f>
        <v>0</v>
      </c>
      <c r="I11" s="719">
        <f>SUMIFS(Sheet1!S71_ASBudgetAmount,Sheet1!S71_A4SubCode,$AC:$AC)</f>
        <v>0</v>
      </c>
      <c r="J11" s="712">
        <f>SUMIFS(Sheet1!S71_OY1BudgetAmount,Sheet1!S71_A4SubCode,$AC:$AC)</f>
        <v>0</v>
      </c>
      <c r="K11" s="717">
        <f>SUMIFS(Sheet1!S71_OY2BudgetAmount,Sheet1!S71_A4SubCode,$AC:$AC)</f>
        <v>0</v>
      </c>
      <c r="L11" s="322"/>
      <c r="AC11" s="2366">
        <v>210006</v>
      </c>
    </row>
    <row r="12" spans="1:29" ht="11.25" customHeight="1" x14ac:dyDescent="0.25">
      <c r="A12" s="164" t="s">
        <v>1340</v>
      </c>
      <c r="B12" s="144"/>
      <c r="C12" s="712">
        <f>SUMIFS(Sheet1!S71_PPPYearAmount,Sheet1!S71_A4SubCode,$AC:$AC)</f>
        <v>0</v>
      </c>
      <c r="D12" s="712">
        <f>SUMIFS(Sheet1!S71_PPYearAmount,Sheet1!S71_A4SubCode,$AC:$AC)</f>
        <v>0</v>
      </c>
      <c r="E12" s="717">
        <f>SUMIFS(Sheet1!S71_PYearAmount,Sheet1!S71_A4SubCode,$AC:$AC)</f>
        <v>0</v>
      </c>
      <c r="F12" s="718">
        <f>SUMIFS(Sheet1!S71_OriginalBudAmnt,Sheet1!S71_A4SubCode,$AC:$AC)</f>
        <v>0</v>
      </c>
      <c r="G12" s="712">
        <f>SUMIFS(Sheet1!S71_AdjustmentBudAmnt,Sheet1!S71_A4SubCode,$AC:$AC)</f>
        <v>0</v>
      </c>
      <c r="H12" s="717">
        <f>SUMIFS(Sheet1!S71_AdjustmentBudAmnt,Sheet1!S71_A4SubCode,$AC:$AC)</f>
        <v>0</v>
      </c>
      <c r="I12" s="719">
        <f>SUMIFS(Sheet1!S71_ASBudgetAmount,Sheet1!S71_A4SubCode,$AC:$AC)</f>
        <v>0</v>
      </c>
      <c r="J12" s="712">
        <f>SUMIFS(Sheet1!S71_OY1BudgetAmount,Sheet1!S71_A4SubCode,$AC:$AC)</f>
        <v>0</v>
      </c>
      <c r="K12" s="717">
        <f>SUMIFS(Sheet1!S71_OY2BudgetAmount,Sheet1!S71_A4SubCode,$AC:$AC)</f>
        <v>0</v>
      </c>
      <c r="L12" s="322"/>
      <c r="AC12" s="2366">
        <v>210007</v>
      </c>
    </row>
    <row r="13" spans="1:29" ht="11.25" customHeight="1" x14ac:dyDescent="0.25">
      <c r="A13" s="145" t="s">
        <v>651</v>
      </c>
      <c r="B13" s="144"/>
      <c r="C13" s="106">
        <f t="shared" ref="C13:K13" si="0">SUM(C6:C12)</f>
        <v>5172985</v>
      </c>
      <c r="D13" s="535">
        <f t="shared" si="0"/>
        <v>5809171</v>
      </c>
      <c r="E13" s="665">
        <f t="shared" si="0"/>
        <v>6023555</v>
      </c>
      <c r="F13" s="666">
        <f t="shared" si="0"/>
        <v>6373921</v>
      </c>
      <c r="G13" s="535">
        <f t="shared" si="0"/>
        <v>6373921</v>
      </c>
      <c r="H13" s="665">
        <f t="shared" si="0"/>
        <v>6373921</v>
      </c>
      <c r="I13" s="667">
        <f t="shared" si="0"/>
        <v>6692615</v>
      </c>
      <c r="J13" s="535">
        <f t="shared" si="0"/>
        <v>4039442</v>
      </c>
      <c r="K13" s="665">
        <f t="shared" si="0"/>
        <v>7247209</v>
      </c>
      <c r="L13" s="322"/>
      <c r="AC13" s="2364"/>
    </row>
    <row r="14" spans="1:29" ht="11.25" customHeight="1" x14ac:dyDescent="0.25">
      <c r="A14" s="1835" t="s">
        <v>797</v>
      </c>
      <c r="B14" s="144">
        <v>4</v>
      </c>
      <c r="C14" s="1943"/>
      <c r="D14" s="1944">
        <f>IF(ISERROR((D13/C13)-1),0,((D13/C13)-1))</f>
        <v>0.12298237864598494</v>
      </c>
      <c r="E14" s="1945">
        <f t="shared" ref="E14:K14" si="1">IF(ISERROR((E13/D13)-1),0,((E13/D13)-1))</f>
        <v>3.6904405120799399E-2</v>
      </c>
      <c r="F14" s="1946">
        <f t="shared" si="1"/>
        <v>5.8165983376926134E-2</v>
      </c>
      <c r="G14" s="1944">
        <f t="shared" si="1"/>
        <v>0</v>
      </c>
      <c r="H14" s="1945">
        <f t="shared" si="1"/>
        <v>0</v>
      </c>
      <c r="I14" s="1946">
        <f t="shared" si="1"/>
        <v>4.9999678376936307E-2</v>
      </c>
      <c r="J14" s="1944">
        <f t="shared" si="1"/>
        <v>-0.39643293391297718</v>
      </c>
      <c r="K14" s="1945">
        <f t="shared" si="1"/>
        <v>0.79411141439832522</v>
      </c>
      <c r="L14" s="322"/>
      <c r="AC14" s="2364"/>
    </row>
    <row r="15" spans="1:29" ht="4.9000000000000004" customHeight="1" x14ac:dyDescent="0.25">
      <c r="A15" s="116"/>
      <c r="B15" s="144"/>
      <c r="C15" s="1585"/>
      <c r="D15" s="914"/>
      <c r="E15" s="709"/>
      <c r="F15" s="911"/>
      <c r="G15" s="914"/>
      <c r="H15" s="709"/>
      <c r="I15" s="221"/>
      <c r="J15" s="914"/>
      <c r="K15" s="709"/>
      <c r="L15" s="322"/>
      <c r="AC15" s="2364"/>
    </row>
    <row r="16" spans="1:29" ht="11.25" customHeight="1" x14ac:dyDescent="0.25">
      <c r="A16" s="96" t="s">
        <v>1134</v>
      </c>
      <c r="B16" s="144">
        <v>2</v>
      </c>
      <c r="C16" s="71"/>
      <c r="D16" s="177"/>
      <c r="E16" s="178"/>
      <c r="F16" s="179"/>
      <c r="G16" s="177"/>
      <c r="H16" s="178"/>
      <c r="I16" s="180"/>
      <c r="J16" s="177"/>
      <c r="K16" s="178"/>
      <c r="L16" s="322"/>
      <c r="AC16" s="2364"/>
    </row>
    <row r="17" spans="1:30" ht="11.25" customHeight="1" x14ac:dyDescent="0.25">
      <c r="A17" s="164" t="s">
        <v>1135</v>
      </c>
      <c r="B17" s="144"/>
      <c r="C17" s="712">
        <f>SUMIFS(Sheet1!S71_PPPYearAmount,Sheet1!S71_SA1SubCode,$AC:$AC,Sheet1!S71_StaffCode,$AD:$AD)</f>
        <v>2974421</v>
      </c>
      <c r="D17" s="712">
        <f>SUMIFS(Sheet1!S71_PPYearAmount,Sheet1!S71_SA1SubCode,$AC:$AC,Sheet1!S71_StaffCode,$AD:$AD)</f>
        <v>3911983</v>
      </c>
      <c r="E17" s="717">
        <f>SUMIFS(Sheet1!S71_PYearAmount,Sheet1!S71_SA1SubCode,$AC:$AC,Sheet1!S71_StaffCode,$AD:$AD)</f>
        <v>3358616</v>
      </c>
      <c r="F17" s="718">
        <f>SUMIFS(Sheet1!S71_OriginalBudAmnt,Sheet1!S71_SA1SubCode,$AC:$AC,Sheet1!S71_StaffCode,$AD:$AD)</f>
        <v>4718457</v>
      </c>
      <c r="G17" s="712">
        <f>SUMIFS(Sheet1!S71_AdjustmentBudAmnt,Sheet1!S71_SA1SubCode,$AC:$AC,Sheet1!S71_StaffCode,$AD:$AD)</f>
        <v>4068457</v>
      </c>
      <c r="H17" s="717">
        <f>SUMIFS(Sheet1!S71_AdjustmentBudAmnt,Sheet1!S71_SA1SubCode,$AC:$AC,Sheet1!S71_StaffCode,$AD:$AD)</f>
        <v>4068457</v>
      </c>
      <c r="I17" s="719">
        <f>SUMIFS(Sheet1!S71_ASBudgetAmount,Sheet1!S71_SA1SubCode,$AC:$AC,Sheet1!S71_StaffCode,$AD:$AD)</f>
        <v>4353247</v>
      </c>
      <c r="J17" s="712">
        <f>SUMIFS(Sheet1!S71_OY1BudgetAmount,Sheet1!S71_SA1SubCode,$AC:$AC,Sheet1!S71_StaffCode,$AD:$AD)</f>
        <v>4584212</v>
      </c>
      <c r="K17" s="717">
        <f>SUMIFS(Sheet1!S71_OY2BudgetAmount,Sheet1!S71_SA1SubCode,$AC:$AC,Sheet1!S71_StaffCode,$AD:$AD)</f>
        <v>4905107</v>
      </c>
      <c r="L17" s="322"/>
      <c r="AC17" s="2366" t="s">
        <v>2730</v>
      </c>
      <c r="AD17" s="2365" t="s">
        <v>2917</v>
      </c>
    </row>
    <row r="18" spans="1:30" ht="11.25" customHeight="1" x14ac:dyDescent="0.25">
      <c r="A18" s="164" t="s">
        <v>1792</v>
      </c>
      <c r="B18" s="144"/>
      <c r="C18" s="712">
        <f>SUMIFS(Sheet1!S71_PPPYearAmount,Sheet1!S71_SA1SubCode,$AC:$AC,Sheet1!S71_StaffCode,$AD:$AD)</f>
        <v>5502</v>
      </c>
      <c r="D18" s="712">
        <f>SUMIFS(Sheet1!S71_PPYearAmount,Sheet1!S71_SA1SubCode,$AC:$AC,Sheet1!S71_StaffCode,$AD:$AD)</f>
        <v>596</v>
      </c>
      <c r="E18" s="717">
        <f>SUMIFS(Sheet1!S71_PYearAmount,Sheet1!S71_SA1SubCode,$AC:$AC,Sheet1!S71_StaffCode,$AD:$AD)</f>
        <v>14295</v>
      </c>
      <c r="F18" s="718">
        <f>SUMIFS(Sheet1!S71_OriginalBudAmnt,Sheet1!S71_SA1SubCode,$AC:$AC,Sheet1!S71_StaffCode,$AD:$AD)</f>
        <v>29458</v>
      </c>
      <c r="G18" s="712">
        <f>SUMIFS(Sheet1!S71_AdjustmentBudAmnt,Sheet1!S71_SA1SubCode,$AC:$AC,Sheet1!S71_StaffCode,$AD:$AD)</f>
        <v>55458</v>
      </c>
      <c r="H18" s="717">
        <f>SUMIFS(Sheet1!S71_AdjustmentBudAmnt,Sheet1!S71_SA1SubCode,$AC:$AC,Sheet1!S71_StaffCode,$AD:$AD)</f>
        <v>55458</v>
      </c>
      <c r="I18" s="719">
        <f>SUMIFS(Sheet1!S71_ASBudgetAmount,Sheet1!S71_SA1SubCode,$AC:$AC,Sheet1!S71_StaffCode,$AD:$AD)</f>
        <v>59341</v>
      </c>
      <c r="J18" s="712">
        <f>SUMIFS(Sheet1!S71_OY1BudgetAmount,Sheet1!S71_SA1SubCode,$AC:$AC,Sheet1!S71_StaffCode,$AD:$AD)</f>
        <v>58990</v>
      </c>
      <c r="K18" s="717">
        <f>SUMIFS(Sheet1!S71_OY2BudgetAmount,Sheet1!S71_SA1SubCode,$AC:$AC,Sheet1!S71_StaffCode,$AD:$AD)</f>
        <v>63118</v>
      </c>
      <c r="L18" s="322"/>
      <c r="AC18" s="2366" t="s">
        <v>2731</v>
      </c>
      <c r="AD18" s="2365" t="s">
        <v>2917</v>
      </c>
    </row>
    <row r="19" spans="1:30" ht="11.25" customHeight="1" x14ac:dyDescent="0.25">
      <c r="A19" s="164" t="s">
        <v>650</v>
      </c>
      <c r="B19" s="144"/>
      <c r="C19" s="712">
        <f>SUMIFS(Sheet1!S71_PPPYearAmount,Sheet1!S71_SA1SubCode,$AC:$AC,Sheet1!S71_StaffCode,$AD:$AD)</f>
        <v>0</v>
      </c>
      <c r="D19" s="712">
        <f>SUMIFS(Sheet1!S71_PPYearAmount,Sheet1!S71_SA1SubCode,$AC:$AC,Sheet1!S71_StaffCode,$AD:$AD)</f>
        <v>0</v>
      </c>
      <c r="E19" s="717">
        <f>SUMIFS(Sheet1!S71_PYearAmount,Sheet1!S71_SA1SubCode,$AC:$AC,Sheet1!S71_StaffCode,$AD:$AD)</f>
        <v>11470</v>
      </c>
      <c r="F19" s="718">
        <f>SUMIFS(Sheet1!S71_OriginalBudAmnt,Sheet1!S71_SA1SubCode,$AC:$AC,Sheet1!S71_StaffCode,$AD:$AD)</f>
        <v>0</v>
      </c>
      <c r="G19" s="712">
        <f>SUMIFS(Sheet1!S71_AdjustmentBudAmnt,Sheet1!S71_SA1SubCode,$AC:$AC,Sheet1!S71_StaffCode,$AD:$AD)</f>
        <v>40000</v>
      </c>
      <c r="H19" s="717">
        <f>SUMIFS(Sheet1!S71_AdjustmentBudAmnt,Sheet1!S71_SA1SubCode,$AC:$AC,Sheet1!S71_StaffCode,$AD:$AD)</f>
        <v>40000</v>
      </c>
      <c r="I19" s="719">
        <f>SUMIFS(Sheet1!S71_ASBudgetAmount,Sheet1!S71_SA1SubCode,$AC:$AC,Sheet1!S71_StaffCode,$AD:$AD)</f>
        <v>42800</v>
      </c>
      <c r="J19" s="712">
        <f>SUMIFS(Sheet1!S71_OY1BudgetAmount,Sheet1!S71_SA1SubCode,$AC:$AC,Sheet1!S71_StaffCode,$AD:$AD)</f>
        <v>40000</v>
      </c>
      <c r="K19" s="717">
        <f>SUMIFS(Sheet1!S71_OY2BudgetAmount,Sheet1!S71_SA1SubCode,$AC:$AC,Sheet1!S71_StaffCode,$AD:$AD)</f>
        <v>42800</v>
      </c>
      <c r="L19" s="322"/>
      <c r="AC19" s="2366" t="s">
        <v>2732</v>
      </c>
      <c r="AD19" s="2365" t="s">
        <v>2917</v>
      </c>
    </row>
    <row r="20" spans="1:30" ht="11.25" customHeight="1" x14ac:dyDescent="0.25">
      <c r="A20" s="164" t="s">
        <v>946</v>
      </c>
      <c r="B20" s="144"/>
      <c r="C20" s="712">
        <f>SUMIFS(Sheet1!S71_PPPYearAmount,Sheet1!S71_SA1SubCode,$AC:$AC,Sheet1!S71_StaffCode,$AD:$AD)</f>
        <v>0</v>
      </c>
      <c r="D20" s="712">
        <f>SUMIFS(Sheet1!S71_PPYearAmount,Sheet1!S71_SA1SubCode,$AC:$AC,Sheet1!S71_StaffCode,$AD:$AD)</f>
        <v>0</v>
      </c>
      <c r="E20" s="717">
        <f>SUMIFS(Sheet1!S71_PYearAmount,Sheet1!S71_SA1SubCode,$AC:$AC,Sheet1!S71_StaffCode,$AD:$AD)</f>
        <v>0</v>
      </c>
      <c r="F20" s="718">
        <f>SUMIFS(Sheet1!S71_OriginalBudAmnt,Sheet1!S71_SA1SubCode,$AC:$AC,Sheet1!S71_StaffCode,$AD:$AD)</f>
        <v>0</v>
      </c>
      <c r="G20" s="712">
        <f>SUMIFS(Sheet1!S71_AdjustmentBudAmnt,Sheet1!S71_SA1SubCode,$AC:$AC,Sheet1!S71_StaffCode,$AD:$AD)</f>
        <v>0</v>
      </c>
      <c r="H20" s="717">
        <f>SUMIFS(Sheet1!S71_AdjustmentBudAmnt,Sheet1!S71_SA1SubCode,$AC:$AC,Sheet1!S71_StaffCode,$AD:$AD)</f>
        <v>0</v>
      </c>
      <c r="I20" s="719">
        <f>SUMIFS(Sheet1!S71_ASBudgetAmount,Sheet1!S71_SA1SubCode,$AC:$AC,Sheet1!S71_StaffCode,$AD:$AD)</f>
        <v>0</v>
      </c>
      <c r="J20" s="712">
        <f>SUMIFS(Sheet1!S71_OY1BudgetAmount,Sheet1!S71_SA1SubCode,$AC:$AC,Sheet1!S71_StaffCode,$AD:$AD)</f>
        <v>0</v>
      </c>
      <c r="K20" s="717">
        <f>SUMIFS(Sheet1!S71_OY2BudgetAmount,Sheet1!S71_SA1SubCode,$AC:$AC,Sheet1!S71_StaffCode,$AD:$AD)</f>
        <v>0</v>
      </c>
      <c r="L20" s="322"/>
      <c r="AC20" s="2366" t="s">
        <v>2733</v>
      </c>
      <c r="AD20" s="2365" t="s">
        <v>2917</v>
      </c>
    </row>
    <row r="21" spans="1:30" ht="11.25" customHeight="1" x14ac:dyDescent="0.25">
      <c r="A21" s="164" t="s">
        <v>652</v>
      </c>
      <c r="B21" s="144"/>
      <c r="C21" s="712">
        <f>SUMIFS(Sheet1!S71_PPPYearAmount,Sheet1!S71_SA1SubCode,$AC:$AC,Sheet1!S71_StaffCode,$AD:$AD)</f>
        <v>130215</v>
      </c>
      <c r="D21" s="712">
        <f>SUMIFS(Sheet1!S71_PPYearAmount,Sheet1!S71_SA1SubCode,$AC:$AC,Sheet1!S71_StaffCode,$AD:$AD)</f>
        <v>0</v>
      </c>
      <c r="E21" s="717">
        <f>SUMIFS(Sheet1!S71_PYearAmount,Sheet1!S71_SA1SubCode,$AC:$AC,Sheet1!S71_StaffCode,$AD:$AD)</f>
        <v>170507</v>
      </c>
      <c r="F21" s="718">
        <f>SUMIFS(Sheet1!S71_OriginalBudAmnt,Sheet1!S71_SA1SubCode,$AC:$AC,Sheet1!S71_StaffCode,$AD:$AD)</f>
        <v>122042</v>
      </c>
      <c r="G21" s="712">
        <f>SUMIFS(Sheet1!S71_AdjustmentBudAmnt,Sheet1!S71_SA1SubCode,$AC:$AC,Sheet1!S71_StaffCode,$AD:$AD)</f>
        <v>122042</v>
      </c>
      <c r="H21" s="717">
        <f>SUMIFS(Sheet1!S71_AdjustmentBudAmnt,Sheet1!S71_SA1SubCode,$AC:$AC,Sheet1!S71_StaffCode,$AD:$AD)</f>
        <v>122042</v>
      </c>
      <c r="I21" s="719">
        <f>SUMIFS(Sheet1!S71_ASBudgetAmount,Sheet1!S71_SA1SubCode,$AC:$AC,Sheet1!S71_StaffCode,$AD:$AD)</f>
        <v>130585</v>
      </c>
      <c r="J21" s="712">
        <f>SUMIFS(Sheet1!S71_OY1BudgetAmount,Sheet1!S71_SA1SubCode,$AC:$AC,Sheet1!S71_StaffCode,$AD:$AD)</f>
        <v>139726</v>
      </c>
      <c r="K21" s="717">
        <f>SUMIFS(Sheet1!S71_OY2BudgetAmount,Sheet1!S71_SA1SubCode,$AC:$AC,Sheet1!S71_StaffCode,$AD:$AD)</f>
        <v>149507</v>
      </c>
      <c r="L21" s="322"/>
      <c r="AC21" s="2366" t="s">
        <v>2734</v>
      </c>
      <c r="AD21" s="2365" t="s">
        <v>2917</v>
      </c>
    </row>
    <row r="22" spans="1:30" ht="11.25" customHeight="1" x14ac:dyDescent="0.25">
      <c r="A22" s="164" t="s">
        <v>1940</v>
      </c>
      <c r="B22" s="144">
        <v>3</v>
      </c>
      <c r="C22" s="712">
        <f>SUMIFS(Sheet1!S71_PPPYearAmount,Sheet1!S71_SA1SubCode,$AC:$AC,Sheet1!S71_StaffCode,$AD:$AD)</f>
        <v>155421</v>
      </c>
      <c r="D22" s="712">
        <f>SUMIFS(Sheet1!S71_PPYearAmount,Sheet1!S71_SA1SubCode,$AC:$AC,Sheet1!S71_StaffCode,$AD:$AD)</f>
        <v>1248</v>
      </c>
      <c r="E22" s="717">
        <f>SUMIFS(Sheet1!S71_PYearAmount,Sheet1!S71_SA1SubCode,$AC:$AC,Sheet1!S71_StaffCode,$AD:$AD)</f>
        <v>2000</v>
      </c>
      <c r="F22" s="718">
        <f>SUMIFS(Sheet1!S71_OriginalBudAmnt,Sheet1!S71_SA1SubCode,$AC:$AC,Sheet1!S71_StaffCode,$AD:$AD)</f>
        <v>0</v>
      </c>
      <c r="G22" s="712">
        <f>SUMIFS(Sheet1!S71_AdjustmentBudAmnt,Sheet1!S71_SA1SubCode,$AC:$AC,Sheet1!S71_StaffCode,$AD:$AD)</f>
        <v>86000</v>
      </c>
      <c r="H22" s="717">
        <f>SUMIFS(Sheet1!S71_AdjustmentBudAmnt,Sheet1!S71_SA1SubCode,$AC:$AC,Sheet1!S71_StaffCode,$AD:$AD)</f>
        <v>86000</v>
      </c>
      <c r="I22" s="719">
        <f>SUMIFS(Sheet1!S71_ASBudgetAmount,Sheet1!S71_SA1SubCode,$AC:$AC,Sheet1!S71_StaffCode,$AD:$AD)</f>
        <v>92020</v>
      </c>
      <c r="J22" s="712">
        <f>SUMIFS(Sheet1!S71_OY1BudgetAmount,Sheet1!S71_SA1SubCode,$AC:$AC,Sheet1!S71_StaffCode,$AD:$AD)</f>
        <v>86000</v>
      </c>
      <c r="K22" s="717">
        <f>SUMIFS(Sheet1!S71_OY2BudgetAmount,Sheet1!S71_SA1SubCode,$AC:$AC,Sheet1!S71_StaffCode,$AD:$AD)</f>
        <v>92020</v>
      </c>
      <c r="L22" s="322"/>
      <c r="AC22" s="2366" t="s">
        <v>2735</v>
      </c>
      <c r="AD22" s="2365" t="s">
        <v>2917</v>
      </c>
    </row>
    <row r="23" spans="1:30" ht="11.25" customHeight="1" x14ac:dyDescent="0.25">
      <c r="A23" s="164" t="s">
        <v>1793</v>
      </c>
      <c r="B23" s="144">
        <v>3</v>
      </c>
      <c r="C23" s="712">
        <f>SUMIFS(Sheet1!S71_PPPYearAmount,Sheet1!S71_SA1SubCode,$AC:$AC,Sheet1!S71_StaffCode,$AD:$AD)</f>
        <v>44200</v>
      </c>
      <c r="D23" s="712">
        <f>SUMIFS(Sheet1!S71_PPYearAmount,Sheet1!S71_SA1SubCode,$AC:$AC,Sheet1!S71_StaffCode,$AD:$AD)</f>
        <v>55200</v>
      </c>
      <c r="E23" s="717">
        <f>SUMIFS(Sheet1!S71_PYearAmount,Sheet1!S71_SA1SubCode,$AC:$AC,Sheet1!S71_StaffCode,$AD:$AD)</f>
        <v>47360</v>
      </c>
      <c r="F23" s="718">
        <f>SUMIFS(Sheet1!S71_OriginalBudAmnt,Sheet1!S71_SA1SubCode,$AC:$AC,Sheet1!S71_StaffCode,$AD:$AD)</f>
        <v>78000</v>
      </c>
      <c r="G23" s="712">
        <f>SUMIFS(Sheet1!S71_AdjustmentBudAmnt,Sheet1!S71_SA1SubCode,$AC:$AC,Sheet1!S71_StaffCode,$AD:$AD)</f>
        <v>78000</v>
      </c>
      <c r="H23" s="717">
        <f>SUMIFS(Sheet1!S71_AdjustmentBudAmnt,Sheet1!S71_SA1SubCode,$AC:$AC,Sheet1!S71_StaffCode,$AD:$AD)</f>
        <v>78000</v>
      </c>
      <c r="I23" s="719">
        <f>SUMIFS(Sheet1!S71_ASBudgetAmount,Sheet1!S71_SA1SubCode,$AC:$AC,Sheet1!S71_StaffCode,$AD:$AD)</f>
        <v>83460</v>
      </c>
      <c r="J23" s="712">
        <f>SUMIFS(Sheet1!S71_OY1BudgetAmount,Sheet1!S71_SA1SubCode,$AC:$AC,Sheet1!S71_StaffCode,$AD:$AD)</f>
        <v>87953</v>
      </c>
      <c r="K23" s="717">
        <f>SUMIFS(Sheet1!S71_OY2BudgetAmount,Sheet1!S71_SA1SubCode,$AC:$AC,Sheet1!S71_StaffCode,$AD:$AD)</f>
        <v>94110</v>
      </c>
      <c r="L23" s="322"/>
      <c r="AC23" s="2366" t="s">
        <v>2736</v>
      </c>
      <c r="AD23" s="2365" t="s">
        <v>2917</v>
      </c>
    </row>
    <row r="24" spans="1:30" ht="11.25" customHeight="1" x14ac:dyDescent="0.25">
      <c r="A24" s="164" t="s">
        <v>1941</v>
      </c>
      <c r="B24" s="144">
        <v>3</v>
      </c>
      <c r="C24" s="712">
        <f>SUMIFS(Sheet1!S71_PPPYearAmount,Sheet1!S71_SA1SubCode,$AC:$AC,Sheet1!S71_StaffCode,$AD:$AD)</f>
        <v>26393</v>
      </c>
      <c r="D24" s="712">
        <f>SUMIFS(Sheet1!S71_PPYearAmount,Sheet1!S71_SA1SubCode,$AC:$AC,Sheet1!S71_StaffCode,$AD:$AD)</f>
        <v>63342</v>
      </c>
      <c r="E24" s="717">
        <f>SUMIFS(Sheet1!S71_PYearAmount,Sheet1!S71_SA1SubCode,$AC:$AC,Sheet1!S71_StaffCode,$AD:$AD)</f>
        <v>59671</v>
      </c>
      <c r="F24" s="718">
        <f>SUMIFS(Sheet1!S71_OriginalBudAmnt,Sheet1!S71_SA1SubCode,$AC:$AC,Sheet1!S71_StaffCode,$AD:$AD)</f>
        <v>13200</v>
      </c>
      <c r="G24" s="712">
        <f>SUMIFS(Sheet1!S71_AdjustmentBudAmnt,Sheet1!S71_SA1SubCode,$AC:$AC,Sheet1!S71_StaffCode,$AD:$AD)</f>
        <v>13200</v>
      </c>
      <c r="H24" s="717">
        <f>SUMIFS(Sheet1!S71_AdjustmentBudAmnt,Sheet1!S71_SA1SubCode,$AC:$AC,Sheet1!S71_StaffCode,$AD:$AD)</f>
        <v>13200</v>
      </c>
      <c r="I24" s="719">
        <f>SUMIFS(Sheet1!S71_ASBudgetAmount,Sheet1!S71_SA1SubCode,$AC:$AC,Sheet1!S71_StaffCode,$AD:$AD)</f>
        <v>14124</v>
      </c>
      <c r="J24" s="712">
        <f>SUMIFS(Sheet1!S71_OY1BudgetAmount,Sheet1!S71_SA1SubCode,$AC:$AC,Sheet1!S71_StaffCode,$AD:$AD)</f>
        <v>14124</v>
      </c>
      <c r="K24" s="717">
        <f>SUMIFS(Sheet1!S71_OY2BudgetAmount,Sheet1!S71_SA1SubCode,$AC:$AC,Sheet1!S71_StaffCode,$AD:$AD)</f>
        <v>15113</v>
      </c>
      <c r="L24" s="322"/>
      <c r="AC24" s="2366" t="s">
        <v>2737</v>
      </c>
      <c r="AD24" s="2365" t="s">
        <v>2917</v>
      </c>
    </row>
    <row r="25" spans="1:30" ht="11.25" customHeight="1" x14ac:dyDescent="0.25">
      <c r="A25" s="164" t="s">
        <v>1340</v>
      </c>
      <c r="B25" s="144">
        <v>3</v>
      </c>
      <c r="C25" s="712">
        <f>SUMIFS(Sheet1!S71_PPPYearAmount,Sheet1!S71_SA1SubCode,$AC:$AC,Sheet1!S71_StaffCode,$AD:$AD)</f>
        <v>198</v>
      </c>
      <c r="D25" s="712">
        <f>SUMIFS(Sheet1!S71_PPYearAmount,Sheet1!S71_SA1SubCode,$AC:$AC,Sheet1!S71_StaffCode,$AD:$AD)</f>
        <v>27</v>
      </c>
      <c r="E25" s="717">
        <f>SUMIFS(Sheet1!S71_PYearAmount,Sheet1!S71_SA1SubCode,$AC:$AC,Sheet1!S71_StaffCode,$AD:$AD)</f>
        <v>37</v>
      </c>
      <c r="F25" s="718">
        <f>SUMIFS(Sheet1!S71_OriginalBudAmnt,Sheet1!S71_SA1SubCode,$AC:$AC,Sheet1!S71_StaffCode,$AD:$AD)</f>
        <v>142</v>
      </c>
      <c r="G25" s="712">
        <f>SUMIFS(Sheet1!S71_AdjustmentBudAmnt,Sheet1!S71_SA1SubCode,$AC:$AC,Sheet1!S71_StaffCode,$AD:$AD)</f>
        <v>142</v>
      </c>
      <c r="H25" s="717">
        <f>SUMIFS(Sheet1!S71_AdjustmentBudAmnt,Sheet1!S71_SA1SubCode,$AC:$AC,Sheet1!S71_StaffCode,$AD:$AD)</f>
        <v>142</v>
      </c>
      <c r="I25" s="719">
        <f>SUMIFS(Sheet1!S71_ASBudgetAmount,Sheet1!S71_SA1SubCode,$AC:$AC,Sheet1!S71_StaffCode,$AD:$AD)</f>
        <v>152</v>
      </c>
      <c r="J25" s="712">
        <f>SUMIFS(Sheet1!S71_OY1BudgetAmount,Sheet1!S71_SA1SubCode,$AC:$AC,Sheet1!S71_StaffCode,$AD:$AD)</f>
        <v>164</v>
      </c>
      <c r="K25" s="717">
        <f>SUMIFS(Sheet1!S71_OY2BudgetAmount,Sheet1!S71_SA1SubCode,$AC:$AC,Sheet1!S71_StaffCode,$AD:$AD)</f>
        <v>174</v>
      </c>
      <c r="L25" s="322"/>
      <c r="AC25" s="2366" t="s">
        <v>2738</v>
      </c>
      <c r="AD25" s="2365" t="s">
        <v>2917</v>
      </c>
    </row>
    <row r="26" spans="1:30" ht="11.25" customHeight="1" x14ac:dyDescent="0.25">
      <c r="A26" s="164" t="s">
        <v>1453</v>
      </c>
      <c r="B26" s="144"/>
      <c r="C26" s="712">
        <f>SUMIFS(Sheet1!S71_PPPYearAmount,Sheet1!S71_SA1SubCode,$AC:$AC,Sheet1!S71_StaffCode,$AD:$AD)</f>
        <v>157474</v>
      </c>
      <c r="D26" s="712">
        <f>SUMIFS(Sheet1!S71_PPYearAmount,Sheet1!S71_SA1SubCode,$AC:$AC,Sheet1!S71_StaffCode,$AD:$AD)</f>
        <v>130471</v>
      </c>
      <c r="E26" s="717">
        <f>SUMIFS(Sheet1!S71_PYearAmount,Sheet1!S71_SA1SubCode,$AC:$AC,Sheet1!S71_StaffCode,$AD:$AD)</f>
        <v>5403</v>
      </c>
      <c r="F26" s="718">
        <f>SUMIFS(Sheet1!S71_OriginalBudAmnt,Sheet1!S71_SA1SubCode,$AC:$AC,Sheet1!S71_StaffCode,$AD:$AD)</f>
        <v>120931</v>
      </c>
      <c r="G26" s="712">
        <f>SUMIFS(Sheet1!S71_AdjustmentBudAmnt,Sheet1!S71_SA1SubCode,$AC:$AC,Sheet1!S71_StaffCode,$AD:$AD)</f>
        <v>120931</v>
      </c>
      <c r="H26" s="717">
        <f>SUMIFS(Sheet1!S71_AdjustmentBudAmnt,Sheet1!S71_SA1SubCode,$AC:$AC,Sheet1!S71_StaffCode,$AD:$AD)</f>
        <v>120931</v>
      </c>
      <c r="I26" s="719">
        <f>SUMIFS(Sheet1!S71_ASBudgetAmount,Sheet1!S71_SA1SubCode,$AC:$AC,Sheet1!S71_StaffCode,$AD:$AD)</f>
        <v>129396</v>
      </c>
      <c r="J26" s="712">
        <f>SUMIFS(Sheet1!S71_OY1BudgetAmount,Sheet1!S71_SA1SubCode,$AC:$AC,Sheet1!S71_StaffCode,$AD:$AD)</f>
        <v>134028</v>
      </c>
      <c r="K26" s="717">
        <f>SUMIFS(Sheet1!S71_OY2BudgetAmount,Sheet1!S71_SA1SubCode,$AC:$AC,Sheet1!S71_StaffCode,$AD:$AD)</f>
        <v>143411</v>
      </c>
      <c r="L26" s="322"/>
      <c r="AC26" s="2366" t="s">
        <v>2739</v>
      </c>
      <c r="AD26" s="2365" t="s">
        <v>2917</v>
      </c>
    </row>
    <row r="27" spans="1:30" ht="11.25" customHeight="1" x14ac:dyDescent="0.25">
      <c r="A27" s="164" t="s">
        <v>947</v>
      </c>
      <c r="B27" s="144"/>
      <c r="C27" s="712">
        <f>SUMIFS(Sheet1!S71_PPPYearAmount,Sheet1!S71_SA1SubCode,$AC:$AC,Sheet1!S71_StaffCode,$AD:$AD)</f>
        <v>0</v>
      </c>
      <c r="D27" s="712">
        <f>SUMIFS(Sheet1!S71_PPYearAmount,Sheet1!S71_SA1SubCode,$AC:$AC,Sheet1!S71_StaffCode,$AD:$AD)</f>
        <v>0</v>
      </c>
      <c r="E27" s="717">
        <f>SUMIFS(Sheet1!S71_PYearAmount,Sheet1!S71_SA1SubCode,$AC:$AC,Sheet1!S71_StaffCode,$AD:$AD)</f>
        <v>0</v>
      </c>
      <c r="F27" s="718">
        <f>SUMIFS(Sheet1!S71_OriginalBudAmnt,Sheet1!S71_SA1SubCode,$AC:$AC,Sheet1!S71_StaffCode,$AD:$AD)</f>
        <v>0</v>
      </c>
      <c r="G27" s="712">
        <f>SUMIFS(Sheet1!S71_AdjustmentBudAmnt,Sheet1!S71_SA1SubCode,$AC:$AC,Sheet1!S71_StaffCode,$AD:$AD)</f>
        <v>0</v>
      </c>
      <c r="H27" s="717">
        <f>SUMIFS(Sheet1!S71_AdjustmentBudAmnt,Sheet1!S71_SA1SubCode,$AC:$AC,Sheet1!S71_StaffCode,$AD:$AD)</f>
        <v>0</v>
      </c>
      <c r="I27" s="719">
        <f>SUMIFS(Sheet1!S71_ASBudgetAmount,Sheet1!S71_SA1SubCode,$AC:$AC,Sheet1!S71_StaffCode,$AD:$AD)</f>
        <v>0</v>
      </c>
      <c r="J27" s="712">
        <f>SUMIFS(Sheet1!S71_OY1BudgetAmount,Sheet1!S71_SA1SubCode,$AC:$AC,Sheet1!S71_StaffCode,$AD:$AD)</f>
        <v>0</v>
      </c>
      <c r="K27" s="717">
        <f>SUMIFS(Sheet1!S71_OY2BudgetAmount,Sheet1!S71_SA1SubCode,$AC:$AC,Sheet1!S71_StaffCode,$AD:$AD)</f>
        <v>0</v>
      </c>
      <c r="L27" s="322"/>
      <c r="AC27" s="2366" t="s">
        <v>2740</v>
      </c>
      <c r="AD27" s="2365" t="s">
        <v>2917</v>
      </c>
    </row>
    <row r="28" spans="1:30" ht="11.25" customHeight="1" x14ac:dyDescent="0.25">
      <c r="A28" s="164" t="s">
        <v>1454</v>
      </c>
      <c r="B28" s="144">
        <v>6</v>
      </c>
      <c r="C28" s="712">
        <f>SUMIFS(Sheet1!S71_PPPYearAmount,Sheet1!S71_SA1SubCode,$AC:$AC,Sheet1!S71_StaffCode,$AD:$AD)</f>
        <v>0</v>
      </c>
      <c r="D28" s="712">
        <f>SUMIFS(Sheet1!S71_PPYearAmount,Sheet1!S71_SA1SubCode,$AC:$AC,Sheet1!S71_StaffCode,$AD:$AD)</f>
        <v>0</v>
      </c>
      <c r="E28" s="717">
        <f>SUMIFS(Sheet1!S71_PYearAmount,Sheet1!S71_SA1SubCode,$AC:$AC,Sheet1!S71_StaffCode,$AD:$AD)</f>
        <v>0</v>
      </c>
      <c r="F28" s="718">
        <f>SUMIFS(Sheet1!S71_OriginalBudAmnt,Sheet1!S71_SA1SubCode,$AC:$AC,Sheet1!S71_StaffCode,$AD:$AD)</f>
        <v>0</v>
      </c>
      <c r="G28" s="712">
        <f>SUMIFS(Sheet1!S71_AdjustmentBudAmnt,Sheet1!S71_SA1SubCode,$AC:$AC,Sheet1!S71_StaffCode,$AD:$AD)</f>
        <v>0</v>
      </c>
      <c r="H28" s="717">
        <f>SUMIFS(Sheet1!S71_AdjustmentBudAmnt,Sheet1!S71_SA1SubCode,$AC:$AC,Sheet1!S71_StaffCode,$AD:$AD)</f>
        <v>0</v>
      </c>
      <c r="I28" s="719">
        <f>SUMIFS(Sheet1!S71_ASBudgetAmount,Sheet1!S71_SA1SubCode,$AC:$AC,Sheet1!S71_StaffCode,$AD:$AD)</f>
        <v>0</v>
      </c>
      <c r="J28" s="712">
        <f>SUMIFS(Sheet1!S71_OY1BudgetAmount,Sheet1!S71_SA1SubCode,$AC:$AC,Sheet1!S71_StaffCode,$AD:$AD)</f>
        <v>0</v>
      </c>
      <c r="K28" s="717">
        <f>SUMIFS(Sheet1!S71_OY2BudgetAmount,Sheet1!S71_SA1SubCode,$AC:$AC,Sheet1!S71_StaffCode,$AD:$AD)</f>
        <v>0</v>
      </c>
      <c r="L28" s="322"/>
      <c r="AC28" s="2366" t="s">
        <v>2741</v>
      </c>
      <c r="AD28" s="2365" t="s">
        <v>2917</v>
      </c>
    </row>
    <row r="29" spans="1:30" ht="11.25" customHeight="1" x14ac:dyDescent="0.25">
      <c r="A29" s="145" t="s">
        <v>653</v>
      </c>
      <c r="B29" s="144"/>
      <c r="C29" s="106">
        <f>SUM(C17:C28)</f>
        <v>3493824</v>
      </c>
      <c r="D29" s="535">
        <f t="shared" ref="D29:K29" si="2">SUM(D17:D28)</f>
        <v>4162867</v>
      </c>
      <c r="E29" s="665">
        <f t="shared" si="2"/>
        <v>3669359</v>
      </c>
      <c r="F29" s="666">
        <f t="shared" si="2"/>
        <v>5082230</v>
      </c>
      <c r="G29" s="535">
        <f t="shared" si="2"/>
        <v>4584230</v>
      </c>
      <c r="H29" s="665">
        <f t="shared" si="2"/>
        <v>4584230</v>
      </c>
      <c r="I29" s="667">
        <f t="shared" si="2"/>
        <v>4905125</v>
      </c>
      <c r="J29" s="535">
        <f t="shared" si="2"/>
        <v>5145197</v>
      </c>
      <c r="K29" s="665">
        <f t="shared" si="2"/>
        <v>5505360</v>
      </c>
      <c r="L29" s="322"/>
      <c r="AC29" s="2364"/>
    </row>
    <row r="30" spans="1:30" ht="11.25" customHeight="1" x14ac:dyDescent="0.25">
      <c r="A30" s="1835" t="str">
        <f>$A$14</f>
        <v>% increase</v>
      </c>
      <c r="B30" s="144">
        <f>$B$14</f>
        <v>4</v>
      </c>
      <c r="C30" s="1943"/>
      <c r="D30" s="1944">
        <f>IF(ISERROR((D29/C29)-1),0,((D29/C29)-1))</f>
        <v>0.19149304601491091</v>
      </c>
      <c r="E30" s="1947">
        <f t="shared" ref="E30:K30" si="3">IF(ISERROR((E29/D29)-1),0,((E29/D29)-1))</f>
        <v>-0.11855002814166293</v>
      </c>
      <c r="F30" s="1948">
        <f t="shared" si="3"/>
        <v>0.38504572597012166</v>
      </c>
      <c r="G30" s="1944">
        <f t="shared" si="3"/>
        <v>-9.7988481434331032E-2</v>
      </c>
      <c r="H30" s="1947">
        <f t="shared" si="3"/>
        <v>0</v>
      </c>
      <c r="I30" s="1949">
        <f t="shared" si="3"/>
        <v>6.9999760046943527E-2</v>
      </c>
      <c r="J30" s="1944">
        <f t="shared" si="3"/>
        <v>4.8943095232027778E-2</v>
      </c>
      <c r="K30" s="1947">
        <f t="shared" si="3"/>
        <v>6.9999846458745907E-2</v>
      </c>
      <c r="L30" s="322"/>
      <c r="AC30" s="2364"/>
    </row>
    <row r="31" spans="1:30" ht="4.9000000000000004" customHeight="1" x14ac:dyDescent="0.25">
      <c r="A31" s="116"/>
      <c r="B31" s="144"/>
      <c r="C31" s="1585"/>
      <c r="D31" s="914"/>
      <c r="E31" s="709"/>
      <c r="F31" s="911"/>
      <c r="G31" s="914"/>
      <c r="H31" s="709"/>
      <c r="I31" s="221"/>
      <c r="J31" s="914"/>
      <c r="K31" s="709"/>
      <c r="L31" s="322"/>
      <c r="AC31" s="2364"/>
    </row>
    <row r="32" spans="1:30" ht="11.25" customHeight="1" x14ac:dyDescent="0.25">
      <c r="A32" s="96" t="s">
        <v>654</v>
      </c>
      <c r="B32" s="144"/>
      <c r="C32" s="71"/>
      <c r="D32" s="177"/>
      <c r="E32" s="178"/>
      <c r="F32" s="179"/>
      <c r="G32" s="177"/>
      <c r="H32" s="178"/>
      <c r="I32" s="180"/>
      <c r="J32" s="177"/>
      <c r="K32" s="178"/>
      <c r="L32" s="322"/>
      <c r="AC32" s="2364"/>
    </row>
    <row r="33" spans="1:30" ht="11.25" customHeight="1" x14ac:dyDescent="0.25">
      <c r="A33" s="104" t="s">
        <v>1135</v>
      </c>
      <c r="B33" s="144"/>
      <c r="C33" s="712">
        <f>SUMIFS(Sheet1!S71_PPPYearAmount,Sheet1!S71_SA1SubCode,$AC:$AC,Sheet1!S71_StaffCode,$AD:$AD)</f>
        <v>21240845</v>
      </c>
      <c r="D33" s="712">
        <f>SUMIFS(Sheet1!S71_PPYearAmount,Sheet1!S71_SA1SubCode,$AC:$AC,Sheet1!S71_StaffCode,$AD:$AD)</f>
        <v>22445877</v>
      </c>
      <c r="E33" s="717">
        <f>SUMIFS(Sheet1!S71_PYearAmount,Sheet1!S71_SA1SubCode,$AC:$AC,Sheet1!S71_StaffCode,$AD:$AD)</f>
        <v>24116722</v>
      </c>
      <c r="F33" s="718">
        <f>SUMIFS(Sheet1!S71_OriginalBudAmnt,Sheet1!S71_SA1SubCode,$AC:$AC,Sheet1!S71_StaffCode,$AD:$AD)</f>
        <v>28014700</v>
      </c>
      <c r="G33" s="712">
        <f>SUMIFS(Sheet1!S71_AdjustmentBudAmnt,Sheet1!S71_SA1SubCode,$AC:$AC,Sheet1!S71_StaffCode,$AD:$AD)</f>
        <v>27224700</v>
      </c>
      <c r="H33" s="717">
        <f>SUMIFS(Sheet1!S71_AdjustmentBudAmnt,Sheet1!S71_SA1SubCode,$AC:$AC,Sheet1!S71_StaffCode,$AD:$AD)</f>
        <v>27224700</v>
      </c>
      <c r="I33" s="719">
        <f>SUMIFS(Sheet1!S71_ASBudgetAmount,Sheet1!S71_SA1SubCode,$AC:$AC,Sheet1!S71_StaffCode,$AD:$AD)</f>
        <v>29960428</v>
      </c>
      <c r="J33" s="712">
        <f>SUMIFS(Sheet1!S71_OY1BudgetAmount,Sheet1!S71_SA1SubCode,$AC:$AC,Sheet1!S71_StaffCode,$AD:$AD)</f>
        <v>30831693</v>
      </c>
      <c r="K33" s="717">
        <f>SUMIFS(Sheet1!S71_OY2BudgetAmount,Sheet1!S71_SA1SubCode,$AC:$AC,Sheet1!S71_StaffCode,$AD:$AD)</f>
        <v>32987910</v>
      </c>
      <c r="L33" s="322"/>
      <c r="AC33" s="2366" t="s">
        <v>2730</v>
      </c>
      <c r="AD33" s="2365" t="s">
        <v>2916</v>
      </c>
    </row>
    <row r="34" spans="1:30" ht="11.25" customHeight="1" x14ac:dyDescent="0.25">
      <c r="A34" s="104" t="s">
        <v>1792</v>
      </c>
      <c r="B34" s="144"/>
      <c r="C34" s="712">
        <f>SUMIFS(Sheet1!S71_PPPYearAmount,Sheet1!S71_SA1SubCode,$AC:$AC,Sheet1!S71_StaffCode,$AD:$AD)</f>
        <v>3322859</v>
      </c>
      <c r="D34" s="712">
        <f>SUMIFS(Sheet1!S71_PPYearAmount,Sheet1!S71_SA1SubCode,$AC:$AC,Sheet1!S71_StaffCode,$AD:$AD)</f>
        <v>3492763</v>
      </c>
      <c r="E34" s="717">
        <f>SUMIFS(Sheet1!S71_PYearAmount,Sheet1!S71_SA1SubCode,$AC:$AC,Sheet1!S71_StaffCode,$AD:$AD)</f>
        <v>3774067</v>
      </c>
      <c r="F34" s="718">
        <f>SUMIFS(Sheet1!S71_OriginalBudAmnt,Sheet1!S71_SA1SubCode,$AC:$AC,Sheet1!S71_StaffCode,$AD:$AD)</f>
        <v>4402609</v>
      </c>
      <c r="G34" s="712">
        <f>SUMIFS(Sheet1!S71_AdjustmentBudAmnt,Sheet1!S71_SA1SubCode,$AC:$AC,Sheet1!S71_StaffCode,$AD:$AD)</f>
        <v>4403409</v>
      </c>
      <c r="H34" s="717">
        <f>SUMIFS(Sheet1!S71_AdjustmentBudAmnt,Sheet1!S71_SA1SubCode,$AC:$AC,Sheet1!S71_StaffCode,$AD:$AD)</f>
        <v>4403409</v>
      </c>
      <c r="I34" s="719">
        <f>SUMIFS(Sheet1!S71_ASBudgetAmount,Sheet1!S71_SA1SubCode,$AC:$AC,Sheet1!S71_StaffCode,$AD:$AD)</f>
        <v>4711647</v>
      </c>
      <c r="J34" s="712">
        <f>SUMIFS(Sheet1!S71_OY1BudgetAmount,Sheet1!S71_SA1SubCode,$AC:$AC,Sheet1!S71_StaffCode,$AD:$AD)</f>
        <v>4984566</v>
      </c>
      <c r="K34" s="717">
        <f>SUMIFS(Sheet1!S71_OY2BudgetAmount,Sheet1!S71_SA1SubCode,$AC:$AC,Sheet1!S71_StaffCode,$AD:$AD)</f>
        <v>5333485</v>
      </c>
      <c r="L34" s="322"/>
      <c r="AC34" s="2366" t="s">
        <v>2731</v>
      </c>
      <c r="AD34" s="2365" t="s">
        <v>2916</v>
      </c>
    </row>
    <row r="35" spans="1:30" ht="11.25" customHeight="1" x14ac:dyDescent="0.25">
      <c r="A35" s="104" t="s">
        <v>650</v>
      </c>
      <c r="B35" s="144"/>
      <c r="C35" s="712">
        <f>SUMIFS(Sheet1!S71_PPPYearAmount,Sheet1!S71_SA1SubCode,$AC:$AC,Sheet1!S71_StaffCode,$AD:$AD)</f>
        <v>1360234</v>
      </c>
      <c r="D35" s="712">
        <f>SUMIFS(Sheet1!S71_PPYearAmount,Sheet1!S71_SA1SubCode,$AC:$AC,Sheet1!S71_StaffCode,$AD:$AD)</f>
        <v>1419978</v>
      </c>
      <c r="E35" s="717">
        <f>SUMIFS(Sheet1!S71_PYearAmount,Sheet1!S71_SA1SubCode,$AC:$AC,Sheet1!S71_StaffCode,$AD:$AD)</f>
        <v>1558246</v>
      </c>
      <c r="F35" s="718">
        <f>SUMIFS(Sheet1!S71_OriginalBudAmnt,Sheet1!S71_SA1SubCode,$AC:$AC,Sheet1!S71_StaffCode,$AD:$AD)</f>
        <v>1893423</v>
      </c>
      <c r="G35" s="712">
        <f>SUMIFS(Sheet1!S71_AdjustmentBudAmnt,Sheet1!S71_SA1SubCode,$AC:$AC,Sheet1!S71_StaffCode,$AD:$AD)</f>
        <v>1893423</v>
      </c>
      <c r="H35" s="717">
        <f>SUMIFS(Sheet1!S71_AdjustmentBudAmnt,Sheet1!S71_SA1SubCode,$AC:$AC,Sheet1!S71_StaffCode,$AD:$AD)</f>
        <v>1893423</v>
      </c>
      <c r="I35" s="719">
        <f>SUMIFS(Sheet1!S71_ASBudgetAmount,Sheet1!S71_SA1SubCode,$AC:$AC,Sheet1!S71_StaffCode,$AD:$AD)</f>
        <v>2025963</v>
      </c>
      <c r="J35" s="712">
        <f>SUMIFS(Sheet1!S71_OY1BudgetAmount,Sheet1!S71_SA1SubCode,$AC:$AC,Sheet1!S71_StaffCode,$AD:$AD)</f>
        <v>2143900</v>
      </c>
      <c r="K35" s="717">
        <f>SUMIFS(Sheet1!S71_OY2BudgetAmount,Sheet1!S71_SA1SubCode,$AC:$AC,Sheet1!S71_StaffCode,$AD:$AD)</f>
        <v>2293974</v>
      </c>
      <c r="L35" s="322"/>
      <c r="AC35" s="2366" t="s">
        <v>2732</v>
      </c>
      <c r="AD35" s="2365" t="s">
        <v>2916</v>
      </c>
    </row>
    <row r="36" spans="1:30" ht="11.25" customHeight="1" x14ac:dyDescent="0.25">
      <c r="A36" s="104" t="s">
        <v>946</v>
      </c>
      <c r="B36" s="144"/>
      <c r="C36" s="712">
        <f>SUMIFS(Sheet1!S71_PPPYearAmount,Sheet1!S71_SA1SubCode,$AC:$AC,Sheet1!S71_StaffCode,$AD:$AD)</f>
        <v>0</v>
      </c>
      <c r="D36" s="712">
        <f>SUMIFS(Sheet1!S71_PPYearAmount,Sheet1!S71_SA1SubCode,$AC:$AC,Sheet1!S71_StaffCode,$AD:$AD)</f>
        <v>0</v>
      </c>
      <c r="E36" s="717">
        <f>SUMIFS(Sheet1!S71_PYearAmount,Sheet1!S71_SA1SubCode,$AC:$AC,Sheet1!S71_StaffCode,$AD:$AD)</f>
        <v>0</v>
      </c>
      <c r="F36" s="718">
        <f>SUMIFS(Sheet1!S71_OriginalBudAmnt,Sheet1!S71_SA1SubCode,$AC:$AC,Sheet1!S71_StaffCode,$AD:$AD)</f>
        <v>0</v>
      </c>
      <c r="G36" s="712">
        <f>SUMIFS(Sheet1!S71_AdjustmentBudAmnt,Sheet1!S71_SA1SubCode,$AC:$AC,Sheet1!S71_StaffCode,$AD:$AD)</f>
        <v>0</v>
      </c>
      <c r="H36" s="717">
        <f>SUMIFS(Sheet1!S71_AdjustmentBudAmnt,Sheet1!S71_SA1SubCode,$AC:$AC,Sheet1!S71_StaffCode,$AD:$AD)</f>
        <v>0</v>
      </c>
      <c r="I36" s="719">
        <f>SUMIFS(Sheet1!S71_ASBudgetAmount,Sheet1!S71_SA1SubCode,$AC:$AC,Sheet1!S71_StaffCode,$AD:$AD)</f>
        <v>0</v>
      </c>
      <c r="J36" s="712">
        <f>SUMIFS(Sheet1!S71_OY1BudgetAmount,Sheet1!S71_SA1SubCode,$AC:$AC,Sheet1!S71_StaffCode,$AD:$AD)</f>
        <v>0</v>
      </c>
      <c r="K36" s="717">
        <f>SUMIFS(Sheet1!S71_OY2BudgetAmount,Sheet1!S71_SA1SubCode,$AC:$AC,Sheet1!S71_StaffCode,$AD:$AD)</f>
        <v>0</v>
      </c>
      <c r="L36" s="322"/>
      <c r="AC36" s="2366" t="s">
        <v>2733</v>
      </c>
      <c r="AD36" s="2365" t="s">
        <v>2916</v>
      </c>
    </row>
    <row r="37" spans="1:30" ht="11.25" customHeight="1" x14ac:dyDescent="0.25">
      <c r="A37" s="104" t="s">
        <v>652</v>
      </c>
      <c r="B37" s="144"/>
      <c r="C37" s="712">
        <f>SUMIFS(Sheet1!S71_PPPYearAmount,Sheet1!S71_SA1SubCode,$AC:$AC,Sheet1!S71_StaffCode,$AD:$AD)</f>
        <v>1232233</v>
      </c>
      <c r="D37" s="712">
        <f>SUMIFS(Sheet1!S71_PPYearAmount,Sheet1!S71_SA1SubCode,$AC:$AC,Sheet1!S71_StaffCode,$AD:$AD)</f>
        <v>1360383</v>
      </c>
      <c r="E37" s="717">
        <f>SUMIFS(Sheet1!S71_PYearAmount,Sheet1!S71_SA1SubCode,$AC:$AC,Sheet1!S71_StaffCode,$AD:$AD)</f>
        <v>1519641</v>
      </c>
      <c r="F37" s="718">
        <f>SUMIFS(Sheet1!S71_OriginalBudAmnt,Sheet1!S71_SA1SubCode,$AC:$AC,Sheet1!S71_StaffCode,$AD:$AD)</f>
        <v>2167886</v>
      </c>
      <c r="G37" s="712">
        <f>SUMIFS(Sheet1!S71_AdjustmentBudAmnt,Sheet1!S71_SA1SubCode,$AC:$AC,Sheet1!S71_StaffCode,$AD:$AD)</f>
        <v>2167886</v>
      </c>
      <c r="H37" s="717">
        <f>SUMIFS(Sheet1!S71_AdjustmentBudAmnt,Sheet1!S71_SA1SubCode,$AC:$AC,Sheet1!S71_StaffCode,$AD:$AD)</f>
        <v>2167886</v>
      </c>
      <c r="I37" s="719">
        <f>SUMIFS(Sheet1!S71_ASBudgetAmount,Sheet1!S71_SA1SubCode,$AC:$AC,Sheet1!S71_StaffCode,$AD:$AD)</f>
        <v>2319638</v>
      </c>
      <c r="J37" s="712">
        <f>SUMIFS(Sheet1!S71_OY1BudgetAmount,Sheet1!S71_SA1SubCode,$AC:$AC,Sheet1!S71_StaffCode,$AD:$AD)</f>
        <v>2451238</v>
      </c>
      <c r="K37" s="717">
        <f>SUMIFS(Sheet1!S71_OY2BudgetAmount,Sheet1!S71_SA1SubCode,$AC:$AC,Sheet1!S71_StaffCode,$AD:$AD)</f>
        <v>2622825</v>
      </c>
      <c r="L37" s="322"/>
      <c r="AC37" s="2366" t="s">
        <v>2734</v>
      </c>
      <c r="AD37" s="2365" t="s">
        <v>2916</v>
      </c>
    </row>
    <row r="38" spans="1:30" ht="11.25" customHeight="1" x14ac:dyDescent="0.25">
      <c r="A38" s="104" t="s">
        <v>1940</v>
      </c>
      <c r="B38" s="144">
        <v>3</v>
      </c>
      <c r="C38" s="712">
        <f>SUMIFS(Sheet1!S71_PPPYearAmount,Sheet1!S71_SA1SubCode,$AC:$AC,Sheet1!S71_StaffCode,$AD:$AD)</f>
        <v>260579</v>
      </c>
      <c r="D38" s="712">
        <f>SUMIFS(Sheet1!S71_PPYearAmount,Sheet1!S71_SA1SubCode,$AC:$AC,Sheet1!S71_StaffCode,$AD:$AD)</f>
        <v>1664</v>
      </c>
      <c r="E38" s="717">
        <f>SUMIFS(Sheet1!S71_PYearAmount,Sheet1!S71_SA1SubCode,$AC:$AC,Sheet1!S71_StaffCode,$AD:$AD)</f>
        <v>167944</v>
      </c>
      <c r="F38" s="718">
        <f>SUMIFS(Sheet1!S71_OriginalBudAmnt,Sheet1!S71_SA1SubCode,$AC:$AC,Sheet1!S71_StaffCode,$AD:$AD)</f>
        <v>0</v>
      </c>
      <c r="G38" s="712">
        <f>SUMIFS(Sheet1!S71_AdjustmentBudAmnt,Sheet1!S71_SA1SubCode,$AC:$AC,Sheet1!S71_StaffCode,$AD:$AD)</f>
        <v>139500</v>
      </c>
      <c r="H38" s="717">
        <f>SUMIFS(Sheet1!S71_AdjustmentBudAmnt,Sheet1!S71_SA1SubCode,$AC:$AC,Sheet1!S71_StaffCode,$AD:$AD)</f>
        <v>139500</v>
      </c>
      <c r="I38" s="719">
        <f>SUMIFS(Sheet1!S71_ASBudgetAmount,Sheet1!S71_SA1SubCode,$AC:$AC,Sheet1!S71_StaffCode,$AD:$AD)</f>
        <v>149265</v>
      </c>
      <c r="J38" s="712">
        <f>SUMIFS(Sheet1!S71_OY1BudgetAmount,Sheet1!S71_SA1SubCode,$AC:$AC,Sheet1!S71_StaffCode,$AD:$AD)</f>
        <v>43956</v>
      </c>
      <c r="K38" s="717">
        <f>SUMIFS(Sheet1!S71_OY2BudgetAmount,Sheet1!S71_SA1SubCode,$AC:$AC,Sheet1!S71_StaffCode,$AD:$AD)</f>
        <v>45714</v>
      </c>
      <c r="L38" s="322"/>
      <c r="AC38" s="2366" t="s">
        <v>2735</v>
      </c>
      <c r="AD38" s="2365" t="s">
        <v>2916</v>
      </c>
    </row>
    <row r="39" spans="1:30" ht="11.25" customHeight="1" x14ac:dyDescent="0.25">
      <c r="A39" s="104" t="s">
        <v>1793</v>
      </c>
      <c r="B39" s="144">
        <v>3</v>
      </c>
      <c r="C39" s="712">
        <f>SUMIFS(Sheet1!S71_PPPYearAmount,Sheet1!S71_SA1SubCode,$AC:$AC,Sheet1!S71_StaffCode,$AD:$AD)</f>
        <v>17620</v>
      </c>
      <c r="D39" s="712">
        <f>SUMIFS(Sheet1!S71_PPYearAmount,Sheet1!S71_SA1SubCode,$AC:$AC,Sheet1!S71_StaffCode,$AD:$AD)</f>
        <v>11520</v>
      </c>
      <c r="E39" s="717">
        <f>SUMIFS(Sheet1!S71_PYearAmount,Sheet1!S71_SA1SubCode,$AC:$AC,Sheet1!S71_StaffCode,$AD:$AD)</f>
        <v>9840</v>
      </c>
      <c r="F39" s="718">
        <f>SUMIFS(Sheet1!S71_OriginalBudAmnt,Sheet1!S71_SA1SubCode,$AC:$AC,Sheet1!S71_StaffCode,$AD:$AD)</f>
        <v>57001</v>
      </c>
      <c r="G39" s="712">
        <f>SUMIFS(Sheet1!S71_AdjustmentBudAmnt,Sheet1!S71_SA1SubCode,$AC:$AC,Sheet1!S71_StaffCode,$AD:$AD)</f>
        <v>57001</v>
      </c>
      <c r="H39" s="717">
        <f>SUMIFS(Sheet1!S71_AdjustmentBudAmnt,Sheet1!S71_SA1SubCode,$AC:$AC,Sheet1!S71_StaffCode,$AD:$AD)</f>
        <v>57001</v>
      </c>
      <c r="I39" s="719">
        <f>SUMIFS(Sheet1!S71_ASBudgetAmount,Sheet1!S71_SA1SubCode,$AC:$AC,Sheet1!S71_StaffCode,$AD:$AD)</f>
        <v>60991</v>
      </c>
      <c r="J39" s="712">
        <f>SUMIFS(Sheet1!S71_OY1BudgetAmount,Sheet1!S71_SA1SubCode,$AC:$AC,Sheet1!S71_StaffCode,$AD:$AD)</f>
        <v>65035</v>
      </c>
      <c r="K39" s="717">
        <f>SUMIFS(Sheet1!S71_OY2BudgetAmount,Sheet1!S71_SA1SubCode,$AC:$AC,Sheet1!S71_StaffCode,$AD:$AD)</f>
        <v>69589</v>
      </c>
      <c r="L39" s="322"/>
      <c r="O39" s="322"/>
      <c r="AC39" s="2366" t="s">
        <v>2736</v>
      </c>
      <c r="AD39" s="2365" t="s">
        <v>2916</v>
      </c>
    </row>
    <row r="40" spans="1:30" ht="11.25" customHeight="1" x14ac:dyDescent="0.25">
      <c r="A40" s="104" t="s">
        <v>1941</v>
      </c>
      <c r="B40" s="144">
        <v>3</v>
      </c>
      <c r="C40" s="712">
        <f>SUMIFS(Sheet1!S71_PPPYearAmount,Sheet1!S71_SA1SubCode,$AC:$AC,Sheet1!S71_StaffCode,$AD:$AD)</f>
        <v>221499</v>
      </c>
      <c r="D40" s="712">
        <f>SUMIFS(Sheet1!S71_PPYearAmount,Sheet1!S71_SA1SubCode,$AC:$AC,Sheet1!S71_StaffCode,$AD:$AD)</f>
        <v>112512</v>
      </c>
      <c r="E40" s="717">
        <f>SUMIFS(Sheet1!S71_PYearAmount,Sheet1!S71_SA1SubCode,$AC:$AC,Sheet1!S71_StaffCode,$AD:$AD)</f>
        <v>108931</v>
      </c>
      <c r="F40" s="718">
        <f>SUMIFS(Sheet1!S71_OriginalBudAmnt,Sheet1!S71_SA1SubCode,$AC:$AC,Sheet1!S71_StaffCode,$AD:$AD)</f>
        <v>324047</v>
      </c>
      <c r="G40" s="712">
        <f>SUMIFS(Sheet1!S71_AdjustmentBudAmnt,Sheet1!S71_SA1SubCode,$AC:$AC,Sheet1!S71_StaffCode,$AD:$AD)</f>
        <v>334047</v>
      </c>
      <c r="H40" s="717">
        <f>SUMIFS(Sheet1!S71_AdjustmentBudAmnt,Sheet1!S71_SA1SubCode,$AC:$AC,Sheet1!S71_StaffCode,$AD:$AD)</f>
        <v>334047</v>
      </c>
      <c r="I40" s="719">
        <f>SUMIFS(Sheet1!S71_ASBudgetAmount,Sheet1!S71_SA1SubCode,$AC:$AC,Sheet1!S71_StaffCode,$AD:$AD)</f>
        <v>357429</v>
      </c>
      <c r="J40" s="712">
        <f>SUMIFS(Sheet1!S71_OY1BudgetAmount,Sheet1!S71_SA1SubCode,$AC:$AC,Sheet1!S71_StaffCode,$AD:$AD)</f>
        <v>381001</v>
      </c>
      <c r="K40" s="717">
        <f>SUMIFS(Sheet1!S71_OY2BudgetAmount,Sheet1!S71_SA1SubCode,$AC:$AC,Sheet1!S71_StaffCode,$AD:$AD)</f>
        <v>407671</v>
      </c>
      <c r="L40" s="322"/>
      <c r="O40" s="322"/>
      <c r="AC40" s="2366" t="s">
        <v>2737</v>
      </c>
      <c r="AD40" s="2365" t="s">
        <v>2916</v>
      </c>
    </row>
    <row r="41" spans="1:30" ht="11.25" customHeight="1" x14ac:dyDescent="0.25">
      <c r="A41" s="104" t="s">
        <v>1340</v>
      </c>
      <c r="B41" s="144">
        <v>3</v>
      </c>
      <c r="C41" s="712">
        <f>SUMIFS(Sheet1!S71_PPPYearAmount,Sheet1!S71_SA1SubCode,$AC:$AC,Sheet1!S71_StaffCode,$AD:$AD)</f>
        <v>1382221</v>
      </c>
      <c r="D41" s="712">
        <f>SUMIFS(Sheet1!S71_PPYearAmount,Sheet1!S71_SA1SubCode,$AC:$AC,Sheet1!S71_StaffCode,$AD:$AD)</f>
        <v>349916</v>
      </c>
      <c r="E41" s="717">
        <f>SUMIFS(Sheet1!S71_PYearAmount,Sheet1!S71_SA1SubCode,$AC:$AC,Sheet1!S71_StaffCode,$AD:$AD)</f>
        <v>202424</v>
      </c>
      <c r="F41" s="718">
        <f>SUMIFS(Sheet1!S71_OriginalBudAmnt,Sheet1!S71_SA1SubCode,$AC:$AC,Sheet1!S71_StaffCode,$AD:$AD)</f>
        <v>1068111</v>
      </c>
      <c r="G41" s="712">
        <f>SUMIFS(Sheet1!S71_AdjustmentBudAmnt,Sheet1!S71_SA1SubCode,$AC:$AC,Sheet1!S71_StaffCode,$AD:$AD)</f>
        <v>1248111</v>
      </c>
      <c r="H41" s="717">
        <f>SUMIFS(Sheet1!S71_AdjustmentBudAmnt,Sheet1!S71_SA1SubCode,$AC:$AC,Sheet1!S71_StaffCode,$AD:$AD)</f>
        <v>1248111</v>
      </c>
      <c r="I41" s="719">
        <f>SUMIFS(Sheet1!S71_ASBudgetAmount,Sheet1!S71_SA1SubCode,$AC:$AC,Sheet1!S71_StaffCode,$AD:$AD)</f>
        <v>1335478</v>
      </c>
      <c r="J41" s="712">
        <f>SUMIFS(Sheet1!S71_OY1BudgetAmount,Sheet1!S71_SA1SubCode,$AC:$AC,Sheet1!S71_StaffCode,$AD:$AD)</f>
        <v>1344379</v>
      </c>
      <c r="K41" s="717">
        <f>SUMIFS(Sheet1!S71_OY2BudgetAmount,Sheet1!S71_SA1SubCode,$AC:$AC,Sheet1!S71_StaffCode,$AD:$AD)</f>
        <v>1435149</v>
      </c>
      <c r="L41" s="322"/>
      <c r="O41" s="322"/>
      <c r="AC41" s="2366" t="s">
        <v>2738</v>
      </c>
      <c r="AD41" s="2365" t="s">
        <v>2916</v>
      </c>
    </row>
    <row r="42" spans="1:30" ht="11.25" customHeight="1" x14ac:dyDescent="0.25">
      <c r="A42" s="104" t="s">
        <v>1453</v>
      </c>
      <c r="B42" s="144"/>
      <c r="C42" s="712">
        <f>SUMIFS(Sheet1!S71_PPPYearAmount,Sheet1!S71_SA1SubCode,$AC:$AC,Sheet1!S71_StaffCode,$AD:$AD)</f>
        <v>1326578</v>
      </c>
      <c r="D42" s="712">
        <f>SUMIFS(Sheet1!S71_PPYearAmount,Sheet1!S71_SA1SubCode,$AC:$AC,Sheet1!S71_StaffCode,$AD:$AD)</f>
        <v>976480</v>
      </c>
      <c r="E42" s="717">
        <f>SUMIFS(Sheet1!S71_PYearAmount,Sheet1!S71_SA1SubCode,$AC:$AC,Sheet1!S71_StaffCode,$AD:$AD)</f>
        <v>1437287</v>
      </c>
      <c r="F42" s="718">
        <f>SUMIFS(Sheet1!S71_OriginalBudAmnt,Sheet1!S71_SA1SubCode,$AC:$AC,Sheet1!S71_StaffCode,$AD:$AD)</f>
        <v>1681578</v>
      </c>
      <c r="G42" s="712">
        <f>SUMIFS(Sheet1!S71_AdjustmentBudAmnt,Sheet1!S71_SA1SubCode,$AC:$AC,Sheet1!S71_StaffCode,$AD:$AD)</f>
        <v>1681578</v>
      </c>
      <c r="H42" s="717">
        <f>SUMIFS(Sheet1!S71_AdjustmentBudAmnt,Sheet1!S71_SA1SubCode,$AC:$AC,Sheet1!S71_StaffCode,$AD:$AD)</f>
        <v>1681578</v>
      </c>
      <c r="I42" s="719">
        <f>SUMIFS(Sheet1!S71_ASBudgetAmount,Sheet1!S71_SA1SubCode,$AC:$AC,Sheet1!S71_StaffCode,$AD:$AD)</f>
        <v>1799290</v>
      </c>
      <c r="J42" s="712">
        <f>SUMIFS(Sheet1!S71_OY1BudgetAmount,Sheet1!S71_SA1SubCode,$AC:$AC,Sheet1!S71_StaffCode,$AD:$AD)</f>
        <v>1907331</v>
      </c>
      <c r="K42" s="717">
        <f>SUMIFS(Sheet1!S71_OY2BudgetAmount,Sheet1!S71_SA1SubCode,$AC:$AC,Sheet1!S71_StaffCode,$AD:$AD)</f>
        <v>2040844</v>
      </c>
      <c r="L42" s="322"/>
      <c r="AC42" s="2366" t="s">
        <v>2739</v>
      </c>
      <c r="AD42" s="2365" t="s">
        <v>2916</v>
      </c>
    </row>
    <row r="43" spans="1:30" ht="11.25" customHeight="1" x14ac:dyDescent="0.25">
      <c r="A43" s="104" t="s">
        <v>947</v>
      </c>
      <c r="B43" s="144"/>
      <c r="C43" s="712">
        <f>SUMIFS(Sheet1!S71_PPPYearAmount,Sheet1!S71_SA1SubCode,$AC:$AC,Sheet1!S71_StaffCode,$AD:$AD)</f>
        <v>0</v>
      </c>
      <c r="D43" s="712">
        <f>SUMIFS(Sheet1!S71_PPYearAmount,Sheet1!S71_SA1SubCode,$AC:$AC,Sheet1!S71_StaffCode,$AD:$AD)</f>
        <v>0</v>
      </c>
      <c r="E43" s="717">
        <f>SUMIFS(Sheet1!S71_PYearAmount,Sheet1!S71_SA1SubCode,$AC:$AC,Sheet1!S71_StaffCode,$AD:$AD)</f>
        <v>16682</v>
      </c>
      <c r="F43" s="718">
        <f>SUMIFS(Sheet1!S71_OriginalBudAmnt,Sheet1!S71_SA1SubCode,$AC:$AC,Sheet1!S71_StaffCode,$AD:$AD)</f>
        <v>0</v>
      </c>
      <c r="G43" s="712">
        <f>SUMIFS(Sheet1!S71_AdjustmentBudAmnt,Sheet1!S71_SA1SubCode,$AC:$AC,Sheet1!S71_StaffCode,$AD:$AD)</f>
        <v>800000</v>
      </c>
      <c r="H43" s="717">
        <f>SUMIFS(Sheet1!S71_AdjustmentBudAmnt,Sheet1!S71_SA1SubCode,$AC:$AC,Sheet1!S71_StaffCode,$AD:$AD)</f>
        <v>800000</v>
      </c>
      <c r="I43" s="719">
        <f>SUMIFS(Sheet1!S71_ASBudgetAmount,Sheet1!S71_SA1SubCode,$AC:$AC,Sheet1!S71_StaffCode,$AD:$AD)</f>
        <v>856000</v>
      </c>
      <c r="J43" s="712">
        <f>SUMIFS(Sheet1!S71_OY1BudgetAmount,Sheet1!S71_SA1SubCode,$AC:$AC,Sheet1!S71_StaffCode,$AD:$AD)</f>
        <v>850760</v>
      </c>
      <c r="K43" s="717">
        <f>SUMIFS(Sheet1!S71_OY2BudgetAmount,Sheet1!S71_SA1SubCode,$AC:$AC,Sheet1!S71_StaffCode,$AD:$AD)</f>
        <v>895290</v>
      </c>
      <c r="L43" s="322"/>
      <c r="AC43" s="2366" t="s">
        <v>2740</v>
      </c>
      <c r="AD43" s="2365" t="s">
        <v>2916</v>
      </c>
    </row>
    <row r="44" spans="1:30" ht="11.25" customHeight="1" x14ac:dyDescent="0.25">
      <c r="A44" s="104" t="s">
        <v>1454</v>
      </c>
      <c r="B44" s="144">
        <v>6</v>
      </c>
      <c r="C44" s="712">
        <f>SUMIFS(Sheet1!S71_PPPYearAmount,Sheet1!S71_SA1SubCode,$AC:$AC,Sheet1!S71_StaffCode,$AD:$AD)</f>
        <v>266881</v>
      </c>
      <c r="D44" s="712">
        <f>SUMIFS(Sheet1!S71_PPYearAmount,Sheet1!S71_SA1SubCode,$AC:$AC,Sheet1!S71_StaffCode,$AD:$AD)</f>
        <v>637330</v>
      </c>
      <c r="E44" s="717">
        <f>SUMIFS(Sheet1!S71_PYearAmount,Sheet1!S71_SA1SubCode,$AC:$AC,Sheet1!S71_StaffCode,$AD:$AD)</f>
        <v>-52048</v>
      </c>
      <c r="F44" s="718">
        <f>SUMIFS(Sheet1!S71_OriginalBudAmnt,Sheet1!S71_SA1SubCode,$AC:$AC,Sheet1!S71_StaffCode,$AD:$AD)</f>
        <v>0</v>
      </c>
      <c r="G44" s="712">
        <f>SUMIFS(Sheet1!S71_AdjustmentBudAmnt,Sheet1!S71_SA1SubCode,$AC:$AC,Sheet1!S71_StaffCode,$AD:$AD)</f>
        <v>72000</v>
      </c>
      <c r="H44" s="717">
        <f>SUMIFS(Sheet1!S71_AdjustmentBudAmnt,Sheet1!S71_SA1SubCode,$AC:$AC,Sheet1!S71_StaffCode,$AD:$AD)</f>
        <v>72000</v>
      </c>
      <c r="I44" s="719">
        <f>SUMIFS(Sheet1!S71_ASBudgetAmount,Sheet1!S71_SA1SubCode,$AC:$AC,Sheet1!S71_StaffCode,$AD:$AD)</f>
        <v>77040</v>
      </c>
      <c r="J44" s="712">
        <f>SUMIFS(Sheet1!S71_OY1BudgetAmount,Sheet1!S71_SA1SubCode,$AC:$AC,Sheet1!S71_StaffCode,$AD:$AD)</f>
        <v>6145</v>
      </c>
      <c r="K44" s="717">
        <f>SUMIFS(Sheet1!S71_OY2BudgetAmount,Sheet1!S71_SA1SubCode,$AC:$AC,Sheet1!S71_StaffCode,$AD:$AD)</f>
        <v>6575</v>
      </c>
      <c r="L44" s="322"/>
      <c r="AC44" s="2366" t="s">
        <v>2741</v>
      </c>
      <c r="AD44" s="2365" t="s">
        <v>2916</v>
      </c>
    </row>
    <row r="45" spans="1:30" ht="11.25" customHeight="1" x14ac:dyDescent="0.25">
      <c r="A45" s="145" t="s">
        <v>1563</v>
      </c>
      <c r="B45" s="144"/>
      <c r="C45" s="535">
        <f t="shared" ref="C45:K45" si="4">SUM(C33:C44)</f>
        <v>30631549</v>
      </c>
      <c r="D45" s="535">
        <f t="shared" si="4"/>
        <v>30808423</v>
      </c>
      <c r="E45" s="665">
        <f t="shared" si="4"/>
        <v>32859736</v>
      </c>
      <c r="F45" s="666">
        <f t="shared" si="4"/>
        <v>39609355</v>
      </c>
      <c r="G45" s="535">
        <f t="shared" si="4"/>
        <v>40021655</v>
      </c>
      <c r="H45" s="665">
        <f t="shared" si="4"/>
        <v>40021655</v>
      </c>
      <c r="I45" s="667">
        <f t="shared" si="4"/>
        <v>43653169</v>
      </c>
      <c r="J45" s="535">
        <f t="shared" si="4"/>
        <v>45010004</v>
      </c>
      <c r="K45" s="665">
        <f t="shared" si="4"/>
        <v>48139026</v>
      </c>
      <c r="L45" s="322"/>
      <c r="AC45" s="2364"/>
    </row>
    <row r="46" spans="1:30" ht="11.25" customHeight="1" x14ac:dyDescent="0.25">
      <c r="A46" s="1835" t="str">
        <f>$A$14</f>
        <v>% increase</v>
      </c>
      <c r="B46" s="144">
        <f>$B$14</f>
        <v>4</v>
      </c>
      <c r="C46" s="1950"/>
      <c r="D46" s="1944">
        <f>IF(ISERROR((D45/C45)-1),0,((D45/C45)-1))</f>
        <v>5.7742427586668921E-3</v>
      </c>
      <c r="E46" s="1947">
        <f t="shared" ref="E46:K46" si="5">IF(ISERROR((E45/D45)-1),0,((E45/D45)-1))</f>
        <v>6.6582862745035776E-2</v>
      </c>
      <c r="F46" s="1948">
        <f t="shared" si="5"/>
        <v>0.20540697588075574</v>
      </c>
      <c r="G46" s="1944">
        <f t="shared" si="5"/>
        <v>1.0409157129672941E-2</v>
      </c>
      <c r="H46" s="1947">
        <f t="shared" si="5"/>
        <v>0</v>
      </c>
      <c r="I46" s="1949">
        <f t="shared" si="5"/>
        <v>9.0738726322037389E-2</v>
      </c>
      <c r="J46" s="1944">
        <f t="shared" si="5"/>
        <v>3.1082164962640046E-2</v>
      </c>
      <c r="K46" s="1947">
        <f t="shared" si="5"/>
        <v>6.9518367516697044E-2</v>
      </c>
      <c r="L46" s="322"/>
      <c r="AC46" s="2364"/>
    </row>
    <row r="47" spans="1:30" ht="4.9000000000000004" customHeight="1" x14ac:dyDescent="0.25">
      <c r="A47" s="116"/>
      <c r="B47" s="144"/>
      <c r="C47" s="914"/>
      <c r="D47" s="914"/>
      <c r="E47" s="709"/>
      <c r="F47" s="911"/>
      <c r="G47" s="914"/>
      <c r="H47" s="709"/>
      <c r="I47" s="221"/>
      <c r="J47" s="914"/>
      <c r="K47" s="709"/>
      <c r="L47" s="322"/>
      <c r="AC47" s="2364"/>
    </row>
    <row r="48" spans="1:30" ht="11.25" customHeight="1" x14ac:dyDescent="0.25">
      <c r="A48" s="256" t="s">
        <v>1357</v>
      </c>
      <c r="B48" s="257"/>
      <c r="C48" s="264">
        <f t="shared" ref="C48:K48" si="6">C13+C29+C45</f>
        <v>39298358</v>
      </c>
      <c r="D48" s="264">
        <f t="shared" si="6"/>
        <v>40780461</v>
      </c>
      <c r="E48" s="265">
        <f t="shared" si="6"/>
        <v>42552650</v>
      </c>
      <c r="F48" s="266">
        <f t="shared" si="6"/>
        <v>51065506</v>
      </c>
      <c r="G48" s="264">
        <f t="shared" si="6"/>
        <v>50979806</v>
      </c>
      <c r="H48" s="265">
        <f t="shared" si="6"/>
        <v>50979806</v>
      </c>
      <c r="I48" s="267">
        <f t="shared" si="6"/>
        <v>55250909</v>
      </c>
      <c r="J48" s="264">
        <f t="shared" si="6"/>
        <v>54194643</v>
      </c>
      <c r="K48" s="265">
        <f t="shared" si="6"/>
        <v>60891595</v>
      </c>
      <c r="L48" s="322"/>
      <c r="AC48" s="2364"/>
    </row>
    <row r="49" spans="1:29" ht="11.25" customHeight="1" x14ac:dyDescent="0.25">
      <c r="A49" s="116"/>
      <c r="B49" s="144"/>
      <c r="C49" s="1951"/>
      <c r="D49" s="1944">
        <f>IF(ISERROR((D48/C48)-1),0,((D48/C48)-1))</f>
        <v>3.7714120269350726E-2</v>
      </c>
      <c r="E49" s="1947">
        <f t="shared" ref="E49:K49" si="7">IF(ISERROR((E48/D48)-1),0,((E48/D48)-1))</f>
        <v>4.3456816243445662E-2</v>
      </c>
      <c r="F49" s="1948">
        <f t="shared" si="7"/>
        <v>0.20005466169557007</v>
      </c>
      <c r="G49" s="1944">
        <f t="shared" si="7"/>
        <v>-1.6782365771524921E-3</v>
      </c>
      <c r="H49" s="1947">
        <f t="shared" si="7"/>
        <v>0</v>
      </c>
      <c r="I49" s="1949">
        <f t="shared" si="7"/>
        <v>8.3780291356934544E-2</v>
      </c>
      <c r="J49" s="1944">
        <f t="shared" si="7"/>
        <v>-1.9117622119122046E-2</v>
      </c>
      <c r="K49" s="1947">
        <f t="shared" si="7"/>
        <v>0.12357221358575976</v>
      </c>
      <c r="L49" s="322"/>
      <c r="AC49" s="2364"/>
    </row>
    <row r="50" spans="1:29" ht="4.9000000000000004" customHeight="1" x14ac:dyDescent="0.25">
      <c r="A50" s="116"/>
      <c r="B50" s="144"/>
      <c r="C50" s="914"/>
      <c r="D50" s="1952"/>
      <c r="E50" s="1953"/>
      <c r="F50" s="1954"/>
      <c r="G50" s="1952"/>
      <c r="H50" s="1953"/>
      <c r="I50" s="1955"/>
      <c r="J50" s="1952"/>
      <c r="K50" s="1953"/>
      <c r="L50" s="322"/>
      <c r="AC50" s="2364"/>
    </row>
    <row r="51" spans="1:29" ht="11.25" customHeight="1" x14ac:dyDescent="0.25">
      <c r="A51" s="96" t="s">
        <v>785</v>
      </c>
      <c r="B51" s="144"/>
      <c r="C51" s="177"/>
      <c r="D51" s="177"/>
      <c r="E51" s="178"/>
      <c r="F51" s="179"/>
      <c r="G51" s="177"/>
      <c r="H51" s="178"/>
      <c r="I51" s="180"/>
      <c r="J51" s="177"/>
      <c r="K51" s="178"/>
      <c r="L51" s="322"/>
      <c r="AC51" s="2364"/>
    </row>
    <row r="52" spans="1:29" ht="11.25" customHeight="1" x14ac:dyDescent="0.25">
      <c r="A52" s="164" t="s">
        <v>1135</v>
      </c>
      <c r="B52" s="144"/>
      <c r="C52" s="712"/>
      <c r="D52" s="712"/>
      <c r="E52" s="717"/>
      <c r="F52" s="718"/>
      <c r="G52" s="712"/>
      <c r="H52" s="717"/>
      <c r="I52" s="719"/>
      <c r="J52" s="712"/>
      <c r="K52" s="717"/>
      <c r="L52" s="322"/>
      <c r="AC52" s="2366"/>
    </row>
    <row r="53" spans="1:29" ht="11.25" customHeight="1" x14ac:dyDescent="0.25">
      <c r="A53" s="164" t="s">
        <v>1792</v>
      </c>
      <c r="B53" s="144"/>
      <c r="C53" s="712"/>
      <c r="D53" s="712"/>
      <c r="E53" s="717"/>
      <c r="F53" s="718"/>
      <c r="G53" s="712"/>
      <c r="H53" s="717"/>
      <c r="I53" s="719"/>
      <c r="J53" s="712"/>
      <c r="K53" s="717"/>
      <c r="L53" s="322"/>
      <c r="AC53" s="2366"/>
    </row>
    <row r="54" spans="1:29" ht="11.25" customHeight="1" x14ac:dyDescent="0.25">
      <c r="A54" s="164" t="s">
        <v>650</v>
      </c>
      <c r="B54" s="144"/>
      <c r="C54" s="712"/>
      <c r="D54" s="712"/>
      <c r="E54" s="717"/>
      <c r="F54" s="718"/>
      <c r="G54" s="712"/>
      <c r="H54" s="717"/>
      <c r="I54" s="719"/>
      <c r="J54" s="712"/>
      <c r="K54" s="717"/>
      <c r="L54" s="322"/>
      <c r="AC54" s="2366"/>
    </row>
    <row r="55" spans="1:29" ht="11.25" customHeight="1" x14ac:dyDescent="0.25">
      <c r="A55" s="164" t="s">
        <v>946</v>
      </c>
      <c r="B55" s="144"/>
      <c r="C55" s="712"/>
      <c r="D55" s="712"/>
      <c r="E55" s="717"/>
      <c r="F55" s="718"/>
      <c r="G55" s="712"/>
      <c r="H55" s="717"/>
      <c r="I55" s="719"/>
      <c r="J55" s="712"/>
      <c r="K55" s="717"/>
      <c r="L55" s="322"/>
      <c r="AC55" s="2366"/>
    </row>
    <row r="56" spans="1:29" ht="11.25" customHeight="1" x14ac:dyDescent="0.25">
      <c r="A56" s="164" t="s">
        <v>652</v>
      </c>
      <c r="B56" s="144"/>
      <c r="C56" s="712"/>
      <c r="D56" s="712"/>
      <c r="E56" s="717"/>
      <c r="F56" s="718"/>
      <c r="G56" s="712"/>
      <c r="H56" s="717"/>
      <c r="I56" s="719"/>
      <c r="J56" s="712"/>
      <c r="K56" s="717"/>
      <c r="L56" s="322"/>
      <c r="AC56" s="2366"/>
    </row>
    <row r="57" spans="1:29" ht="11.25" customHeight="1" x14ac:dyDescent="0.25">
      <c r="A57" s="164" t="s">
        <v>1940</v>
      </c>
      <c r="B57" s="144">
        <v>3</v>
      </c>
      <c r="C57" s="712"/>
      <c r="D57" s="712"/>
      <c r="E57" s="717"/>
      <c r="F57" s="718"/>
      <c r="G57" s="712"/>
      <c r="H57" s="717"/>
      <c r="I57" s="719"/>
      <c r="J57" s="712"/>
      <c r="K57" s="717"/>
      <c r="L57" s="322"/>
      <c r="AC57" s="2366"/>
    </row>
    <row r="58" spans="1:29" ht="11.25" customHeight="1" x14ac:dyDescent="0.25">
      <c r="A58" s="164" t="s">
        <v>1793</v>
      </c>
      <c r="B58" s="144">
        <v>3</v>
      </c>
      <c r="C58" s="712"/>
      <c r="D58" s="712"/>
      <c r="E58" s="717"/>
      <c r="F58" s="718"/>
      <c r="G58" s="712"/>
      <c r="H58" s="717"/>
      <c r="I58" s="719"/>
      <c r="J58" s="712"/>
      <c r="K58" s="717"/>
      <c r="L58" s="322"/>
      <c r="AC58" s="2366"/>
    </row>
    <row r="59" spans="1:29" ht="11.25" customHeight="1" x14ac:dyDescent="0.25">
      <c r="A59" s="164" t="s">
        <v>1941</v>
      </c>
      <c r="B59" s="144">
        <v>3</v>
      </c>
      <c r="C59" s="712"/>
      <c r="D59" s="712"/>
      <c r="E59" s="717"/>
      <c r="F59" s="718"/>
      <c r="G59" s="712"/>
      <c r="H59" s="717"/>
      <c r="I59" s="719"/>
      <c r="J59" s="712"/>
      <c r="K59" s="717"/>
      <c r="L59" s="322"/>
      <c r="AC59" s="2366"/>
    </row>
    <row r="60" spans="1:29" ht="11.25" customHeight="1" x14ac:dyDescent="0.25">
      <c r="A60" s="164" t="s">
        <v>1340</v>
      </c>
      <c r="B60" s="144">
        <v>3</v>
      </c>
      <c r="C60" s="712"/>
      <c r="D60" s="712"/>
      <c r="E60" s="717"/>
      <c r="F60" s="718"/>
      <c r="G60" s="712"/>
      <c r="H60" s="717"/>
      <c r="I60" s="719"/>
      <c r="J60" s="712"/>
      <c r="K60" s="717"/>
      <c r="L60" s="322"/>
      <c r="AC60" s="2366"/>
    </row>
    <row r="61" spans="1:29" ht="11.25" customHeight="1" x14ac:dyDescent="0.25">
      <c r="A61" s="164" t="s">
        <v>1944</v>
      </c>
      <c r="B61" s="144"/>
      <c r="C61" s="712"/>
      <c r="D61" s="712"/>
      <c r="E61" s="717"/>
      <c r="F61" s="718"/>
      <c r="G61" s="712"/>
      <c r="H61" s="717"/>
      <c r="I61" s="719"/>
      <c r="J61" s="712"/>
      <c r="K61" s="717"/>
      <c r="L61" s="322"/>
      <c r="AC61" s="2366"/>
    </row>
    <row r="62" spans="1:29" ht="11.25" customHeight="1" x14ac:dyDescent="0.25">
      <c r="A62" s="164" t="s">
        <v>1453</v>
      </c>
      <c r="B62" s="144"/>
      <c r="C62" s="712"/>
      <c r="D62" s="712"/>
      <c r="E62" s="717"/>
      <c r="F62" s="718"/>
      <c r="G62" s="712"/>
      <c r="H62" s="717"/>
      <c r="I62" s="719"/>
      <c r="J62" s="712"/>
      <c r="K62" s="717"/>
      <c r="L62" s="322"/>
      <c r="AC62" s="2366"/>
    </row>
    <row r="63" spans="1:29" ht="11.25" customHeight="1" x14ac:dyDescent="0.25">
      <c r="A63" s="164" t="s">
        <v>947</v>
      </c>
      <c r="B63" s="144"/>
      <c r="C63" s="712"/>
      <c r="D63" s="712"/>
      <c r="E63" s="717"/>
      <c r="F63" s="718"/>
      <c r="G63" s="712"/>
      <c r="H63" s="717"/>
      <c r="I63" s="719"/>
      <c r="J63" s="712"/>
      <c r="K63" s="717"/>
      <c r="L63" s="322"/>
      <c r="AC63" s="2366"/>
    </row>
    <row r="64" spans="1:29" ht="11.25" customHeight="1" x14ac:dyDescent="0.25">
      <c r="A64" s="164" t="s">
        <v>1454</v>
      </c>
      <c r="B64" s="144">
        <v>6</v>
      </c>
      <c r="C64" s="712"/>
      <c r="D64" s="712"/>
      <c r="E64" s="717"/>
      <c r="F64" s="718"/>
      <c r="G64" s="712"/>
      <c r="H64" s="717"/>
      <c r="I64" s="719"/>
      <c r="J64" s="712"/>
      <c r="K64" s="717"/>
      <c r="L64" s="322"/>
      <c r="AC64" s="2364"/>
    </row>
    <row r="65" spans="1:29" ht="11.25" customHeight="1" x14ac:dyDescent="0.25">
      <c r="A65" s="145" t="s">
        <v>1159</v>
      </c>
      <c r="B65" s="144"/>
      <c r="C65" s="535">
        <f>SUM(C52:C64)</f>
        <v>0</v>
      </c>
      <c r="D65" s="535">
        <f t="shared" ref="D65:K65" si="8">SUM(D52:D64)</f>
        <v>0</v>
      </c>
      <c r="E65" s="665">
        <f t="shared" si="8"/>
        <v>0</v>
      </c>
      <c r="F65" s="666">
        <f t="shared" si="8"/>
        <v>0</v>
      </c>
      <c r="G65" s="535">
        <f t="shared" si="8"/>
        <v>0</v>
      </c>
      <c r="H65" s="665">
        <f t="shared" si="8"/>
        <v>0</v>
      </c>
      <c r="I65" s="667">
        <f t="shared" si="8"/>
        <v>0</v>
      </c>
      <c r="J65" s="535">
        <f t="shared" si="8"/>
        <v>0</v>
      </c>
      <c r="K65" s="665">
        <f t="shared" si="8"/>
        <v>0</v>
      </c>
      <c r="L65" s="322"/>
      <c r="AC65" s="2364"/>
    </row>
    <row r="66" spans="1:29" ht="11.25" customHeight="1" x14ac:dyDescent="0.25">
      <c r="A66" s="1835" t="str">
        <f>$A$14</f>
        <v>% increase</v>
      </c>
      <c r="B66" s="144">
        <f>$B$14</f>
        <v>4</v>
      </c>
      <c r="C66" s="1950"/>
      <c r="D66" s="1944">
        <f>IF(ISERROR((D65/C65)-1),0,((D65/C65)-1))</f>
        <v>0</v>
      </c>
      <c r="E66" s="1947">
        <f t="shared" ref="E66:K66" si="9">IF(ISERROR((E65/D65)-1),0,((E65/D65)-1))</f>
        <v>0</v>
      </c>
      <c r="F66" s="1948">
        <f t="shared" si="9"/>
        <v>0</v>
      </c>
      <c r="G66" s="1944">
        <f t="shared" si="9"/>
        <v>0</v>
      </c>
      <c r="H66" s="1947">
        <f t="shared" si="9"/>
        <v>0</v>
      </c>
      <c r="I66" s="1949">
        <f t="shared" si="9"/>
        <v>0</v>
      </c>
      <c r="J66" s="1944">
        <f t="shared" si="9"/>
        <v>0</v>
      </c>
      <c r="K66" s="1947">
        <f t="shared" si="9"/>
        <v>0</v>
      </c>
      <c r="L66" s="322"/>
      <c r="AC66" s="2364"/>
    </row>
    <row r="67" spans="1:29" ht="4.9000000000000004" customHeight="1" x14ac:dyDescent="0.25">
      <c r="A67" s="116"/>
      <c r="B67" s="144"/>
      <c r="C67" s="914"/>
      <c r="D67" s="914"/>
      <c r="E67" s="709"/>
      <c r="F67" s="911"/>
      <c r="G67" s="914"/>
      <c r="H67" s="709"/>
      <c r="I67" s="221"/>
      <c r="J67" s="914"/>
      <c r="K67" s="709"/>
      <c r="L67" s="322"/>
      <c r="AC67" s="2364"/>
    </row>
    <row r="68" spans="1:29" ht="11.25" customHeight="1" x14ac:dyDescent="0.25">
      <c r="A68" s="96" t="s">
        <v>238</v>
      </c>
      <c r="B68" s="144"/>
      <c r="C68" s="177"/>
      <c r="D68" s="177"/>
      <c r="E68" s="178"/>
      <c r="F68" s="179"/>
      <c r="G68" s="177"/>
      <c r="H68" s="178"/>
      <c r="I68" s="180"/>
      <c r="J68" s="177"/>
      <c r="K68" s="178"/>
      <c r="L68" s="322"/>
      <c r="AC68" s="2364"/>
    </row>
    <row r="69" spans="1:29" ht="11.25" customHeight="1" x14ac:dyDescent="0.25">
      <c r="A69" s="104" t="s">
        <v>1135</v>
      </c>
      <c r="B69" s="144"/>
      <c r="C69" s="712"/>
      <c r="D69" s="712"/>
      <c r="E69" s="717"/>
      <c r="F69" s="718"/>
      <c r="G69" s="712"/>
      <c r="H69" s="717"/>
      <c r="I69" s="719"/>
      <c r="J69" s="712"/>
      <c r="K69" s="717"/>
      <c r="L69" s="322"/>
      <c r="AC69" s="2366"/>
    </row>
    <row r="70" spans="1:29" ht="11.25" customHeight="1" x14ac:dyDescent="0.25">
      <c r="A70" s="104" t="s">
        <v>1792</v>
      </c>
      <c r="B70" s="144"/>
      <c r="C70" s="712"/>
      <c r="D70" s="712"/>
      <c r="E70" s="717"/>
      <c r="F70" s="718"/>
      <c r="G70" s="712"/>
      <c r="H70" s="717"/>
      <c r="I70" s="719"/>
      <c r="J70" s="712"/>
      <c r="K70" s="717"/>
      <c r="L70" s="322"/>
      <c r="AC70" s="2366"/>
    </row>
    <row r="71" spans="1:29" ht="11.25" customHeight="1" x14ac:dyDescent="0.25">
      <c r="A71" s="104" t="s">
        <v>650</v>
      </c>
      <c r="B71" s="144"/>
      <c r="C71" s="712"/>
      <c r="D71" s="712"/>
      <c r="E71" s="717"/>
      <c r="F71" s="718"/>
      <c r="G71" s="712"/>
      <c r="H71" s="717"/>
      <c r="I71" s="719"/>
      <c r="J71" s="712"/>
      <c r="K71" s="717"/>
      <c r="L71" s="322"/>
      <c r="AC71" s="2366"/>
    </row>
    <row r="72" spans="1:29" ht="11.25" customHeight="1" x14ac:dyDescent="0.25">
      <c r="A72" s="104" t="s">
        <v>946</v>
      </c>
      <c r="B72" s="144"/>
      <c r="C72" s="712"/>
      <c r="D72" s="712"/>
      <c r="E72" s="717"/>
      <c r="F72" s="718"/>
      <c r="G72" s="712"/>
      <c r="H72" s="717"/>
      <c r="I72" s="719"/>
      <c r="J72" s="712"/>
      <c r="K72" s="717"/>
      <c r="L72" s="322"/>
      <c r="AC72" s="2366"/>
    </row>
    <row r="73" spans="1:29" ht="11.25" customHeight="1" x14ac:dyDescent="0.25">
      <c r="A73" s="104" t="s">
        <v>652</v>
      </c>
      <c r="B73" s="144"/>
      <c r="C73" s="712"/>
      <c r="D73" s="712"/>
      <c r="E73" s="717"/>
      <c r="F73" s="718"/>
      <c r="G73" s="712"/>
      <c r="H73" s="717"/>
      <c r="I73" s="719"/>
      <c r="J73" s="712"/>
      <c r="K73" s="717"/>
      <c r="L73" s="322"/>
      <c r="AC73" s="2366"/>
    </row>
    <row r="74" spans="1:29" ht="11.25" customHeight="1" x14ac:dyDescent="0.25">
      <c r="A74" s="104" t="s">
        <v>1940</v>
      </c>
      <c r="B74" s="144">
        <v>3</v>
      </c>
      <c r="C74" s="712"/>
      <c r="D74" s="712"/>
      <c r="E74" s="717"/>
      <c r="F74" s="718"/>
      <c r="G74" s="712"/>
      <c r="H74" s="717"/>
      <c r="I74" s="719"/>
      <c r="J74" s="712"/>
      <c r="K74" s="717"/>
      <c r="L74" s="322"/>
      <c r="AC74" s="2366"/>
    </row>
    <row r="75" spans="1:29" ht="11.25" customHeight="1" x14ac:dyDescent="0.25">
      <c r="A75" s="104" t="s">
        <v>1793</v>
      </c>
      <c r="B75" s="144">
        <v>3</v>
      </c>
      <c r="C75" s="712"/>
      <c r="D75" s="712"/>
      <c r="E75" s="717"/>
      <c r="F75" s="718"/>
      <c r="G75" s="712"/>
      <c r="H75" s="717"/>
      <c r="I75" s="719"/>
      <c r="J75" s="712"/>
      <c r="K75" s="717"/>
      <c r="L75" s="322"/>
      <c r="AC75" s="2366"/>
    </row>
    <row r="76" spans="1:29" ht="11.25" customHeight="1" x14ac:dyDescent="0.25">
      <c r="A76" s="104" t="s">
        <v>1941</v>
      </c>
      <c r="B76" s="144">
        <v>3</v>
      </c>
      <c r="C76" s="712"/>
      <c r="D76" s="712"/>
      <c r="E76" s="717"/>
      <c r="F76" s="718"/>
      <c r="G76" s="712"/>
      <c r="H76" s="717"/>
      <c r="I76" s="719"/>
      <c r="J76" s="712"/>
      <c r="K76" s="717"/>
      <c r="L76" s="322"/>
      <c r="AC76" s="2366"/>
    </row>
    <row r="77" spans="1:29" ht="11.25" customHeight="1" x14ac:dyDescent="0.25">
      <c r="A77" s="104" t="s">
        <v>1340</v>
      </c>
      <c r="B77" s="144">
        <v>3</v>
      </c>
      <c r="C77" s="712"/>
      <c r="D77" s="712"/>
      <c r="E77" s="717"/>
      <c r="F77" s="718"/>
      <c r="G77" s="712"/>
      <c r="H77" s="717"/>
      <c r="I77" s="719"/>
      <c r="J77" s="712"/>
      <c r="K77" s="717"/>
      <c r="L77" s="322"/>
      <c r="AC77" s="2366"/>
    </row>
    <row r="78" spans="1:29" ht="11.25" customHeight="1" x14ac:dyDescent="0.25">
      <c r="A78" s="104" t="s">
        <v>1453</v>
      </c>
      <c r="B78" s="144"/>
      <c r="C78" s="712"/>
      <c r="D78" s="712"/>
      <c r="E78" s="717"/>
      <c r="F78" s="718"/>
      <c r="G78" s="712"/>
      <c r="H78" s="717"/>
      <c r="I78" s="719"/>
      <c r="J78" s="712"/>
      <c r="K78" s="717"/>
      <c r="L78" s="322"/>
      <c r="AC78" s="2366"/>
    </row>
    <row r="79" spans="1:29" ht="11.25" customHeight="1" x14ac:dyDescent="0.25">
      <c r="A79" s="104" t="s">
        <v>947</v>
      </c>
      <c r="B79" s="144"/>
      <c r="C79" s="712"/>
      <c r="D79" s="712"/>
      <c r="E79" s="717"/>
      <c r="F79" s="718"/>
      <c r="G79" s="712"/>
      <c r="H79" s="717"/>
      <c r="I79" s="719"/>
      <c r="J79" s="712"/>
      <c r="K79" s="717"/>
      <c r="L79" s="322"/>
      <c r="AC79" s="2366"/>
    </row>
    <row r="80" spans="1:29" ht="11.25" customHeight="1" x14ac:dyDescent="0.25">
      <c r="A80" s="104" t="s">
        <v>1454</v>
      </c>
      <c r="B80" s="144">
        <v>6</v>
      </c>
      <c r="C80" s="712"/>
      <c r="D80" s="712"/>
      <c r="E80" s="717"/>
      <c r="F80" s="718"/>
      <c r="G80" s="712"/>
      <c r="H80" s="717"/>
      <c r="I80" s="719"/>
      <c r="J80" s="712"/>
      <c r="K80" s="717"/>
      <c r="L80" s="322"/>
      <c r="AC80" s="2366"/>
    </row>
    <row r="81" spans="1:29" ht="11.25" customHeight="1" x14ac:dyDescent="0.25">
      <c r="A81" s="145" t="s">
        <v>239</v>
      </c>
      <c r="B81" s="144"/>
      <c r="C81" s="535">
        <f>SUM(C69:C80)</f>
        <v>0</v>
      </c>
      <c r="D81" s="535">
        <f t="shared" ref="D81:K81" si="10">SUM(D69:D80)</f>
        <v>0</v>
      </c>
      <c r="E81" s="665">
        <f t="shared" si="10"/>
        <v>0</v>
      </c>
      <c r="F81" s="666">
        <f t="shared" si="10"/>
        <v>0</v>
      </c>
      <c r="G81" s="535">
        <f t="shared" si="10"/>
        <v>0</v>
      </c>
      <c r="H81" s="665">
        <f t="shared" si="10"/>
        <v>0</v>
      </c>
      <c r="I81" s="667">
        <f t="shared" si="10"/>
        <v>0</v>
      </c>
      <c r="J81" s="535">
        <f t="shared" si="10"/>
        <v>0</v>
      </c>
      <c r="K81" s="665">
        <f t="shared" si="10"/>
        <v>0</v>
      </c>
      <c r="L81" s="322"/>
      <c r="AC81" s="2364"/>
    </row>
    <row r="82" spans="1:29" ht="11.25" customHeight="1" x14ac:dyDescent="0.25">
      <c r="A82" s="1835" t="str">
        <f>$A$14</f>
        <v>% increase</v>
      </c>
      <c r="B82" s="144">
        <f>$B$14</f>
        <v>4</v>
      </c>
      <c r="C82" s="1950"/>
      <c r="D82" s="1944">
        <f>IF(ISERROR((D81/C81)-1),0,((D81/C81)-1))</f>
        <v>0</v>
      </c>
      <c r="E82" s="1947">
        <f t="shared" ref="E82:K82" si="11">IF(ISERROR((E81/D81)-1),0,((E81/D81)-1))</f>
        <v>0</v>
      </c>
      <c r="F82" s="1948">
        <f t="shared" si="11"/>
        <v>0</v>
      </c>
      <c r="G82" s="1944">
        <f t="shared" si="11"/>
        <v>0</v>
      </c>
      <c r="H82" s="1947">
        <f t="shared" si="11"/>
        <v>0</v>
      </c>
      <c r="I82" s="1949">
        <f t="shared" si="11"/>
        <v>0</v>
      </c>
      <c r="J82" s="1944">
        <f t="shared" si="11"/>
        <v>0</v>
      </c>
      <c r="K82" s="1947">
        <f t="shared" si="11"/>
        <v>0</v>
      </c>
      <c r="L82" s="322"/>
      <c r="AC82" s="2364"/>
    </row>
    <row r="83" spans="1:29" ht="4.9000000000000004" customHeight="1" x14ac:dyDescent="0.25">
      <c r="A83" s="116"/>
      <c r="B83" s="144"/>
      <c r="C83" s="914"/>
      <c r="D83" s="914"/>
      <c r="E83" s="709"/>
      <c r="F83" s="911"/>
      <c r="G83" s="914"/>
      <c r="H83" s="709"/>
      <c r="I83" s="221"/>
      <c r="J83" s="914"/>
      <c r="K83" s="709"/>
      <c r="L83" s="322"/>
      <c r="AC83" s="2364"/>
    </row>
    <row r="84" spans="1:29" ht="11.25" customHeight="1" x14ac:dyDescent="0.25">
      <c r="A84" s="96" t="s">
        <v>240</v>
      </c>
      <c r="B84" s="144"/>
      <c r="C84" s="177"/>
      <c r="D84" s="177"/>
      <c r="E84" s="178"/>
      <c r="F84" s="179"/>
      <c r="G84" s="177"/>
      <c r="H84" s="178"/>
      <c r="I84" s="180"/>
      <c r="J84" s="177"/>
      <c r="K84" s="178"/>
      <c r="L84" s="322"/>
      <c r="AC84" s="2364"/>
    </row>
    <row r="85" spans="1:29" ht="11.25" customHeight="1" x14ac:dyDescent="0.25">
      <c r="A85" s="104" t="s">
        <v>1135</v>
      </c>
      <c r="B85" s="144"/>
      <c r="C85" s="712"/>
      <c r="D85" s="712"/>
      <c r="E85" s="717"/>
      <c r="F85" s="718"/>
      <c r="G85" s="712"/>
      <c r="H85" s="717"/>
      <c r="I85" s="719"/>
      <c r="J85" s="712"/>
      <c r="K85" s="717"/>
      <c r="L85" s="322"/>
      <c r="AC85" s="2366"/>
    </row>
    <row r="86" spans="1:29" ht="11.25" customHeight="1" x14ac:dyDescent="0.25">
      <c r="A86" s="104" t="s">
        <v>1792</v>
      </c>
      <c r="B86" s="144"/>
      <c r="C86" s="712"/>
      <c r="D86" s="712"/>
      <c r="E86" s="717"/>
      <c r="F86" s="718"/>
      <c r="G86" s="712"/>
      <c r="H86" s="717"/>
      <c r="I86" s="719"/>
      <c r="J86" s="712"/>
      <c r="K86" s="717"/>
      <c r="L86" s="322"/>
      <c r="AC86" s="2366"/>
    </row>
    <row r="87" spans="1:29" ht="11.25" customHeight="1" x14ac:dyDescent="0.25">
      <c r="A87" s="104" t="s">
        <v>650</v>
      </c>
      <c r="B87" s="144"/>
      <c r="C87" s="712"/>
      <c r="D87" s="712"/>
      <c r="E87" s="717"/>
      <c r="F87" s="718"/>
      <c r="G87" s="712"/>
      <c r="H87" s="717"/>
      <c r="I87" s="719"/>
      <c r="J87" s="712"/>
      <c r="K87" s="717"/>
      <c r="L87" s="322"/>
      <c r="AC87" s="2366"/>
    </row>
    <row r="88" spans="1:29" ht="11.25" customHeight="1" x14ac:dyDescent="0.25">
      <c r="A88" s="104" t="s">
        <v>946</v>
      </c>
      <c r="B88" s="144"/>
      <c r="C88" s="712"/>
      <c r="D88" s="712"/>
      <c r="E88" s="717"/>
      <c r="F88" s="718"/>
      <c r="G88" s="712"/>
      <c r="H88" s="717"/>
      <c r="I88" s="719"/>
      <c r="J88" s="712"/>
      <c r="K88" s="717"/>
      <c r="L88" s="322"/>
      <c r="AC88" s="2366"/>
    </row>
    <row r="89" spans="1:29" ht="11.25" customHeight="1" x14ac:dyDescent="0.25">
      <c r="A89" s="104" t="s">
        <v>652</v>
      </c>
      <c r="B89" s="144"/>
      <c r="C89" s="712"/>
      <c r="D89" s="712"/>
      <c r="E89" s="717"/>
      <c r="F89" s="718"/>
      <c r="G89" s="712"/>
      <c r="H89" s="717"/>
      <c r="I89" s="719"/>
      <c r="J89" s="712"/>
      <c r="K89" s="717"/>
      <c r="L89" s="322"/>
      <c r="AC89" s="2366"/>
    </row>
    <row r="90" spans="1:29" ht="11.25" customHeight="1" x14ac:dyDescent="0.25">
      <c r="A90" s="104" t="s">
        <v>1940</v>
      </c>
      <c r="B90" s="144">
        <v>3</v>
      </c>
      <c r="C90" s="712"/>
      <c r="D90" s="712"/>
      <c r="E90" s="717"/>
      <c r="F90" s="718"/>
      <c r="G90" s="712"/>
      <c r="H90" s="717"/>
      <c r="I90" s="719"/>
      <c r="J90" s="712"/>
      <c r="K90" s="717"/>
      <c r="L90" s="322"/>
      <c r="AC90" s="2366"/>
    </row>
    <row r="91" spans="1:29" ht="11.25" customHeight="1" x14ac:dyDescent="0.25">
      <c r="A91" s="104" t="s">
        <v>1793</v>
      </c>
      <c r="B91" s="144">
        <v>3</v>
      </c>
      <c r="C91" s="712"/>
      <c r="D91" s="712"/>
      <c r="E91" s="717"/>
      <c r="F91" s="718"/>
      <c r="G91" s="712"/>
      <c r="H91" s="717"/>
      <c r="I91" s="719"/>
      <c r="J91" s="712"/>
      <c r="K91" s="717"/>
      <c r="L91" s="322"/>
      <c r="AC91" s="2366"/>
    </row>
    <row r="92" spans="1:29" ht="11.25" customHeight="1" x14ac:dyDescent="0.25">
      <c r="A92" s="104" t="s">
        <v>1941</v>
      </c>
      <c r="B92" s="144">
        <v>3</v>
      </c>
      <c r="C92" s="712"/>
      <c r="D92" s="712"/>
      <c r="E92" s="717"/>
      <c r="F92" s="718"/>
      <c r="G92" s="712"/>
      <c r="H92" s="717"/>
      <c r="I92" s="719"/>
      <c r="J92" s="712"/>
      <c r="K92" s="717"/>
      <c r="L92" s="322"/>
      <c r="AC92" s="2366"/>
    </row>
    <row r="93" spans="1:29" ht="11.25" customHeight="1" x14ac:dyDescent="0.25">
      <c r="A93" s="104" t="s">
        <v>1340</v>
      </c>
      <c r="B93" s="144">
        <v>3</v>
      </c>
      <c r="C93" s="712"/>
      <c r="D93" s="712"/>
      <c r="E93" s="717"/>
      <c r="F93" s="718"/>
      <c r="G93" s="712"/>
      <c r="H93" s="717"/>
      <c r="I93" s="719"/>
      <c r="J93" s="712"/>
      <c r="K93" s="717"/>
      <c r="L93" s="322"/>
      <c r="AC93" s="2366"/>
    </row>
    <row r="94" spans="1:29" ht="11.25" customHeight="1" x14ac:dyDescent="0.25">
      <c r="A94" s="104" t="s">
        <v>1453</v>
      </c>
      <c r="B94" s="144"/>
      <c r="C94" s="712"/>
      <c r="D94" s="712"/>
      <c r="E94" s="717"/>
      <c r="F94" s="718"/>
      <c r="G94" s="712"/>
      <c r="H94" s="717"/>
      <c r="I94" s="719"/>
      <c r="J94" s="712"/>
      <c r="K94" s="717"/>
      <c r="L94" s="322"/>
      <c r="AC94" s="2366"/>
    </row>
    <row r="95" spans="1:29" ht="11.25" customHeight="1" x14ac:dyDescent="0.25">
      <c r="A95" s="104" t="s">
        <v>947</v>
      </c>
      <c r="B95" s="144"/>
      <c r="C95" s="712"/>
      <c r="D95" s="712"/>
      <c r="E95" s="717"/>
      <c r="F95" s="718"/>
      <c r="G95" s="712"/>
      <c r="H95" s="717"/>
      <c r="I95" s="719"/>
      <c r="J95" s="712"/>
      <c r="K95" s="717"/>
      <c r="L95" s="322"/>
      <c r="AC95" s="2366"/>
    </row>
    <row r="96" spans="1:29" ht="11.25" customHeight="1" x14ac:dyDescent="0.25">
      <c r="A96" s="104" t="s">
        <v>1454</v>
      </c>
      <c r="B96" s="144">
        <v>6</v>
      </c>
      <c r="C96" s="712"/>
      <c r="D96" s="712"/>
      <c r="E96" s="717"/>
      <c r="F96" s="718"/>
      <c r="G96" s="712"/>
      <c r="H96" s="717"/>
      <c r="I96" s="719"/>
      <c r="J96" s="712"/>
      <c r="K96" s="717"/>
      <c r="L96" s="322"/>
      <c r="AC96" s="2366"/>
    </row>
    <row r="97" spans="1:30" ht="11.25" customHeight="1" x14ac:dyDescent="0.25">
      <c r="A97" s="145" t="s">
        <v>1133</v>
      </c>
      <c r="B97" s="144"/>
      <c r="C97" s="535">
        <f>SUM(C85:C96)</f>
        <v>0</v>
      </c>
      <c r="D97" s="535">
        <f t="shared" ref="D97:K97" si="12">SUM(D85:D96)</f>
        <v>0</v>
      </c>
      <c r="E97" s="665">
        <f t="shared" si="12"/>
        <v>0</v>
      </c>
      <c r="F97" s="666">
        <f t="shared" si="12"/>
        <v>0</v>
      </c>
      <c r="G97" s="535">
        <f t="shared" si="12"/>
        <v>0</v>
      </c>
      <c r="H97" s="665">
        <f t="shared" si="12"/>
        <v>0</v>
      </c>
      <c r="I97" s="667">
        <f t="shared" si="12"/>
        <v>0</v>
      </c>
      <c r="J97" s="535">
        <f t="shared" si="12"/>
        <v>0</v>
      </c>
      <c r="K97" s="665">
        <f t="shared" si="12"/>
        <v>0</v>
      </c>
      <c r="L97" s="322"/>
      <c r="AC97" s="2364"/>
    </row>
    <row r="98" spans="1:30" ht="11.25" customHeight="1" x14ac:dyDescent="0.25">
      <c r="A98" s="1835" t="str">
        <f>$A$14</f>
        <v>% increase</v>
      </c>
      <c r="B98" s="144">
        <f>$B$14</f>
        <v>4</v>
      </c>
      <c r="C98" s="1950"/>
      <c r="D98" s="1944">
        <f>IF(ISERROR((D97/C97)-1),0,((D97/C97)-1))</f>
        <v>0</v>
      </c>
      <c r="E98" s="1947">
        <f t="shared" ref="E98:K98" si="13">IF(ISERROR((E97/D97)-1),0,((E97/D97)-1))</f>
        <v>0</v>
      </c>
      <c r="F98" s="1948">
        <f t="shared" si="13"/>
        <v>0</v>
      </c>
      <c r="G98" s="1944">
        <f t="shared" si="13"/>
        <v>0</v>
      </c>
      <c r="H98" s="1947">
        <f t="shared" si="13"/>
        <v>0</v>
      </c>
      <c r="I98" s="1949">
        <f t="shared" si="13"/>
        <v>0</v>
      </c>
      <c r="J98" s="1944">
        <f t="shared" si="13"/>
        <v>0</v>
      </c>
      <c r="K98" s="1947">
        <f t="shared" si="13"/>
        <v>0</v>
      </c>
      <c r="L98" s="322"/>
      <c r="AC98" s="2364"/>
    </row>
    <row r="99" spans="1:30" ht="4.9000000000000004" customHeight="1" x14ac:dyDescent="0.25">
      <c r="A99" s="116"/>
      <c r="B99" s="144"/>
      <c r="C99" s="914"/>
      <c r="D99" s="914"/>
      <c r="E99" s="709"/>
      <c r="F99" s="911"/>
      <c r="G99" s="914"/>
      <c r="H99" s="709"/>
      <c r="I99" s="221"/>
      <c r="J99" s="914"/>
      <c r="K99" s="709"/>
      <c r="L99" s="322"/>
      <c r="AC99" s="2364"/>
    </row>
    <row r="100" spans="1:30" ht="11.25" customHeight="1" x14ac:dyDescent="0.25">
      <c r="A100" s="256" t="s">
        <v>1358</v>
      </c>
      <c r="B100" s="257"/>
      <c r="C100" s="264">
        <f>C65+C81+C97</f>
        <v>0</v>
      </c>
      <c r="D100" s="264">
        <f t="shared" ref="D100:K100" si="14">D65+D81+D97</f>
        <v>0</v>
      </c>
      <c r="E100" s="265">
        <f t="shared" si="14"/>
        <v>0</v>
      </c>
      <c r="F100" s="266">
        <f t="shared" si="14"/>
        <v>0</v>
      </c>
      <c r="G100" s="264">
        <f t="shared" si="14"/>
        <v>0</v>
      </c>
      <c r="H100" s="265">
        <f t="shared" si="14"/>
        <v>0</v>
      </c>
      <c r="I100" s="267">
        <f t="shared" si="14"/>
        <v>0</v>
      </c>
      <c r="J100" s="264">
        <f t="shared" si="14"/>
        <v>0</v>
      </c>
      <c r="K100" s="265">
        <f t="shared" si="14"/>
        <v>0</v>
      </c>
      <c r="L100" s="322"/>
      <c r="AC100" s="2364"/>
    </row>
    <row r="101" spans="1:30" ht="6" customHeight="1" x14ac:dyDescent="0.25">
      <c r="A101" s="116"/>
      <c r="B101" s="144"/>
      <c r="C101" s="914"/>
      <c r="D101" s="914"/>
      <c r="E101" s="709"/>
      <c r="F101" s="911"/>
      <c r="G101" s="914"/>
      <c r="H101" s="709"/>
      <c r="I101" s="221"/>
      <c r="J101" s="914"/>
      <c r="K101" s="709"/>
      <c r="L101" s="322"/>
      <c r="AC101" s="2364"/>
    </row>
    <row r="102" spans="1:30" ht="25.5" x14ac:dyDescent="0.25">
      <c r="A102" s="1956" t="s">
        <v>491</v>
      </c>
      <c r="B102" s="198"/>
      <c r="C102" s="549">
        <f>C48+C100</f>
        <v>39298358</v>
      </c>
      <c r="D102" s="549">
        <f>D48+D100</f>
        <v>40780461</v>
      </c>
      <c r="E102" s="817">
        <f t="shared" ref="E102:K102" si="15">E48+E100</f>
        <v>42552650</v>
      </c>
      <c r="F102" s="818">
        <f t="shared" si="15"/>
        <v>51065506</v>
      </c>
      <c r="G102" s="549">
        <f t="shared" si="15"/>
        <v>50979806</v>
      </c>
      <c r="H102" s="817">
        <f t="shared" si="15"/>
        <v>50979806</v>
      </c>
      <c r="I102" s="819">
        <f t="shared" si="15"/>
        <v>55250909</v>
      </c>
      <c r="J102" s="549">
        <f t="shared" si="15"/>
        <v>54194643</v>
      </c>
      <c r="K102" s="817">
        <f t="shared" si="15"/>
        <v>60891595</v>
      </c>
      <c r="L102" s="322"/>
      <c r="AC102" s="2364"/>
    </row>
    <row r="103" spans="1:30" ht="12.75" customHeight="1" x14ac:dyDescent="0.25">
      <c r="A103" s="1835" t="str">
        <f>$A$14</f>
        <v>% increase</v>
      </c>
      <c r="B103" s="144">
        <f>$B$14</f>
        <v>4</v>
      </c>
      <c r="C103" s="1951"/>
      <c r="D103" s="1944">
        <f>IF(ISERROR((D102/C102)-1),0,((D102/C102)-1))</f>
        <v>3.7714120269350726E-2</v>
      </c>
      <c r="E103" s="1949">
        <f t="shared" ref="E103:K103" si="16">IF(ISERROR((E102/D102)-1),0,((E102/D102)-1))</f>
        <v>4.3456816243445662E-2</v>
      </c>
      <c r="F103" s="1948">
        <f t="shared" si="16"/>
        <v>0.20005466169557007</v>
      </c>
      <c r="G103" s="1944">
        <f t="shared" si="16"/>
        <v>-1.6782365771524921E-3</v>
      </c>
      <c r="H103" s="1947">
        <f t="shared" si="16"/>
        <v>0</v>
      </c>
      <c r="I103" s="1949">
        <f t="shared" si="16"/>
        <v>8.3780291356934544E-2</v>
      </c>
      <c r="J103" s="1944">
        <f t="shared" si="16"/>
        <v>-1.9117622119122046E-2</v>
      </c>
      <c r="K103" s="1947">
        <f t="shared" si="16"/>
        <v>0.12357221358575976</v>
      </c>
      <c r="L103" s="126"/>
      <c r="M103" s="220"/>
      <c r="N103" s="220"/>
      <c r="AC103" s="2364"/>
    </row>
    <row r="104" spans="1:30" ht="12.75" customHeight="1" x14ac:dyDescent="0.25">
      <c r="A104" s="147" t="s">
        <v>1259</v>
      </c>
      <c r="B104" s="148" t="s">
        <v>1985</v>
      </c>
      <c r="C104" s="185">
        <f t="shared" ref="C104:K104" si="17">C29+C45+C81+C97</f>
        <v>34125373</v>
      </c>
      <c r="D104" s="185">
        <f t="shared" si="17"/>
        <v>34971290</v>
      </c>
      <c r="E104" s="186">
        <f t="shared" si="17"/>
        <v>36529095</v>
      </c>
      <c r="F104" s="184">
        <f t="shared" si="17"/>
        <v>44691585</v>
      </c>
      <c r="G104" s="185">
        <f t="shared" si="17"/>
        <v>44605885</v>
      </c>
      <c r="H104" s="183">
        <f t="shared" si="17"/>
        <v>44605885</v>
      </c>
      <c r="I104" s="186">
        <f t="shared" si="17"/>
        <v>48558294</v>
      </c>
      <c r="J104" s="185">
        <f t="shared" si="17"/>
        <v>50155201</v>
      </c>
      <c r="K104" s="183">
        <f t="shared" si="17"/>
        <v>53644386</v>
      </c>
      <c r="L104" s="126"/>
      <c r="M104" s="220"/>
      <c r="N104" s="220"/>
      <c r="AC104" s="2364"/>
    </row>
    <row r="105" spans="1:30" x14ac:dyDescent="0.25">
      <c r="A105" s="217" t="str">
        <f>head27a</f>
        <v>References</v>
      </c>
      <c r="B105" s="189"/>
      <c r="C105" s="221"/>
      <c r="D105" s="221"/>
      <c r="E105" s="221"/>
      <c r="F105" s="221"/>
      <c r="G105" s="221"/>
      <c r="H105" s="221"/>
      <c r="I105" s="221"/>
      <c r="J105" s="221"/>
      <c r="K105" s="221"/>
      <c r="L105" s="220"/>
      <c r="M105" s="220"/>
      <c r="N105" s="220"/>
      <c r="AC105" s="2367"/>
      <c r="AD105" s="2368"/>
    </row>
    <row r="106" spans="1:30" x14ac:dyDescent="0.25">
      <c r="A106" s="218" t="s">
        <v>1447</v>
      </c>
      <c r="B106" s="189"/>
      <c r="C106" s="221"/>
      <c r="D106" s="221"/>
      <c r="E106" s="221"/>
      <c r="F106" s="221"/>
      <c r="G106" s="221"/>
      <c r="H106" s="221"/>
      <c r="I106" s="221"/>
      <c r="J106" s="221"/>
      <c r="K106" s="221"/>
      <c r="L106" s="220"/>
      <c r="M106" s="220"/>
      <c r="N106" s="220"/>
      <c r="AC106" s="2367"/>
      <c r="AD106" s="2368"/>
    </row>
    <row r="107" spans="1:30" x14ac:dyDescent="0.25">
      <c r="A107" s="299" t="s">
        <v>582</v>
      </c>
      <c r="B107" s="189"/>
      <c r="C107" s="221"/>
      <c r="D107" s="221"/>
      <c r="E107" s="221"/>
      <c r="F107" s="221"/>
      <c r="G107" s="221"/>
      <c r="H107" s="221"/>
      <c r="I107" s="221"/>
      <c r="J107" s="221"/>
      <c r="K107" s="221"/>
      <c r="L107" s="220"/>
      <c r="M107" s="220"/>
      <c r="N107" s="220"/>
      <c r="AC107" s="2367"/>
      <c r="AD107" s="2368"/>
    </row>
    <row r="108" spans="1:30" x14ac:dyDescent="0.25">
      <c r="A108" s="218" t="s">
        <v>1963</v>
      </c>
      <c r="B108" s="189"/>
      <c r="C108" s="221"/>
      <c r="D108" s="221"/>
      <c r="E108" s="221"/>
      <c r="F108" s="221"/>
      <c r="G108" s="221"/>
      <c r="H108" s="221"/>
      <c r="I108" s="221"/>
      <c r="J108" s="221"/>
      <c r="K108" s="221"/>
      <c r="L108" s="220"/>
      <c r="M108" s="220"/>
      <c r="N108" s="220"/>
      <c r="AC108" s="2367"/>
      <c r="AD108" s="2368"/>
    </row>
    <row r="109" spans="1:30" x14ac:dyDescent="0.25">
      <c r="A109" s="299" t="s">
        <v>1448</v>
      </c>
      <c r="C109" s="1957"/>
      <c r="AC109" s="2367"/>
      <c r="AD109" s="2368"/>
    </row>
    <row r="110" spans="1:30" x14ac:dyDescent="0.25">
      <c r="A110" s="299" t="s">
        <v>108</v>
      </c>
      <c r="C110" s="1957"/>
      <c r="AC110" s="2367"/>
      <c r="AD110" s="2368"/>
    </row>
    <row r="111" spans="1:30" x14ac:dyDescent="0.25">
      <c r="A111" s="299" t="s">
        <v>1794</v>
      </c>
      <c r="C111" s="1957"/>
      <c r="AC111" s="2367"/>
      <c r="AD111" s="2368"/>
    </row>
    <row r="112" spans="1:30" x14ac:dyDescent="0.25">
      <c r="A112" s="299" t="s">
        <v>1984</v>
      </c>
      <c r="C112" s="1957"/>
      <c r="AC112" s="2367"/>
      <c r="AD112" s="2368"/>
    </row>
    <row r="113" spans="1:30" ht="3.75" customHeight="1" x14ac:dyDescent="0.25">
      <c r="A113" s="299"/>
      <c r="C113" s="1957"/>
      <c r="AC113" s="2367"/>
      <c r="AD113" s="2368"/>
    </row>
    <row r="114" spans="1:30" x14ac:dyDescent="0.25">
      <c r="A114" s="300" t="s">
        <v>471</v>
      </c>
      <c r="AC114" s="2367"/>
      <c r="AD114" s="2368"/>
    </row>
    <row r="115" spans="1:30" x14ac:dyDescent="0.25">
      <c r="A115" s="299" t="s">
        <v>1493</v>
      </c>
      <c r="AC115" s="2367"/>
      <c r="AD115" s="2368"/>
    </row>
    <row r="116" spans="1:30" x14ac:dyDescent="0.25">
      <c r="A116" s="299" t="s">
        <v>142</v>
      </c>
      <c r="AC116" s="2367"/>
      <c r="AD116" s="2368"/>
    </row>
    <row r="117" spans="1:30" x14ac:dyDescent="0.25">
      <c r="A117" s="299" t="s">
        <v>143</v>
      </c>
      <c r="AC117" s="2367"/>
      <c r="AD117" s="2368"/>
    </row>
    <row r="118" spans="1:30" x14ac:dyDescent="0.25">
      <c r="A118" s="299" t="s">
        <v>144</v>
      </c>
      <c r="AC118" s="2367"/>
      <c r="AD118" s="2368"/>
    </row>
    <row r="119" spans="1:30" x14ac:dyDescent="0.25">
      <c r="A119" s="299" t="s">
        <v>145</v>
      </c>
      <c r="AC119" s="2367"/>
      <c r="AD119" s="2368"/>
    </row>
    <row r="120" spans="1:30" x14ac:dyDescent="0.25">
      <c r="A120" s="299" t="s">
        <v>146</v>
      </c>
      <c r="AC120" s="2367"/>
      <c r="AD120" s="2368"/>
    </row>
    <row r="122" spans="1:30" ht="13.5" x14ac:dyDescent="0.25">
      <c r="B122" s="58"/>
      <c r="AC122" s="2364"/>
    </row>
    <row r="123" spans="1:30" ht="13.5" x14ac:dyDescent="0.25">
      <c r="B123" s="58"/>
      <c r="AC123" s="2364"/>
    </row>
    <row r="124" spans="1:30" ht="13.5" x14ac:dyDescent="0.25">
      <c r="B124" s="58"/>
      <c r="AC124" s="2364"/>
    </row>
    <row r="125" spans="1:30" ht="13.5" x14ac:dyDescent="0.25">
      <c r="B125" s="58"/>
      <c r="AC125" s="2364"/>
    </row>
    <row r="126" spans="1:30" ht="13.5" x14ac:dyDescent="0.25">
      <c r="B126" s="58"/>
      <c r="AC126" s="2364"/>
    </row>
    <row r="127" spans="1:30" ht="13.5" x14ac:dyDescent="0.25">
      <c r="B127" s="58"/>
      <c r="AC127" s="2364"/>
    </row>
    <row r="128" spans="1:30" ht="13.5" x14ac:dyDescent="0.25">
      <c r="B128" s="58"/>
      <c r="AC128" s="2364"/>
    </row>
    <row r="129" spans="2:2" x14ac:dyDescent="0.25">
      <c r="B129" s="58"/>
    </row>
    <row r="130" spans="2:2" x14ac:dyDescent="0.25">
      <c r="B130" s="58"/>
    </row>
    <row r="131" spans="2:2" x14ac:dyDescent="0.25">
      <c r="B131" s="58"/>
    </row>
    <row r="132" spans="2:2" x14ac:dyDescent="0.25">
      <c r="B132" s="58"/>
    </row>
    <row r="133" spans="2:2" x14ac:dyDescent="0.25">
      <c r="B133" s="58"/>
    </row>
    <row r="134" spans="2:2" x14ac:dyDescent="0.25">
      <c r="B134" s="58"/>
    </row>
    <row r="135" spans="2:2" x14ac:dyDescent="0.25">
      <c r="B135" s="58"/>
    </row>
    <row r="136" spans="2:2" x14ac:dyDescent="0.25">
      <c r="B136" s="58"/>
    </row>
    <row r="137" spans="2:2" x14ac:dyDescent="0.25">
      <c r="B137" s="58"/>
    </row>
    <row r="138" spans="2:2" x14ac:dyDescent="0.25">
      <c r="B138" s="58"/>
    </row>
    <row r="139" spans="2:2" x14ac:dyDescent="0.25">
      <c r="B139" s="58"/>
    </row>
    <row r="140" spans="2:2" x14ac:dyDescent="0.25">
      <c r="B140" s="58"/>
    </row>
    <row r="141" spans="2:2" x14ac:dyDescent="0.25">
      <c r="B141" s="58"/>
    </row>
    <row r="142" spans="2:2" x14ac:dyDescent="0.25">
      <c r="B142" s="58"/>
    </row>
    <row r="143" spans="2:2" x14ac:dyDescent="0.25">
      <c r="B143" s="58"/>
    </row>
    <row r="144" spans="2:2" x14ac:dyDescent="0.25">
      <c r="B144" s="58"/>
    </row>
    <row r="145" spans="2:2" x14ac:dyDescent="0.25">
      <c r="B145" s="58"/>
    </row>
    <row r="146" spans="2:2" x14ac:dyDescent="0.25">
      <c r="B146" s="58"/>
    </row>
    <row r="147" spans="2:2" x14ac:dyDescent="0.25">
      <c r="B147" s="58"/>
    </row>
    <row r="148" spans="2:2" x14ac:dyDescent="0.25">
      <c r="B148" s="58"/>
    </row>
    <row r="149" spans="2:2" x14ac:dyDescent="0.25">
      <c r="B149" s="58"/>
    </row>
    <row r="150" spans="2:2" x14ac:dyDescent="0.25">
      <c r="B150" s="58"/>
    </row>
    <row r="151" spans="2:2" x14ac:dyDescent="0.25">
      <c r="B151" s="58"/>
    </row>
    <row r="152" spans="2:2" x14ac:dyDescent="0.25">
      <c r="B152" s="58"/>
    </row>
    <row r="153" spans="2:2" x14ac:dyDescent="0.25">
      <c r="B153" s="58"/>
    </row>
    <row r="154" spans="2:2" x14ac:dyDescent="0.25">
      <c r="B154" s="58"/>
    </row>
    <row r="155" spans="2:2" x14ac:dyDescent="0.25">
      <c r="B155" s="58"/>
    </row>
    <row r="156" spans="2:2" x14ac:dyDescent="0.25">
      <c r="B156" s="58"/>
    </row>
    <row r="157" spans="2:2" x14ac:dyDescent="0.25">
      <c r="B157" s="58"/>
    </row>
    <row r="158" spans="2:2" x14ac:dyDescent="0.25">
      <c r="B158" s="58"/>
    </row>
    <row r="159" spans="2:2" x14ac:dyDescent="0.25">
      <c r="B159" s="58"/>
    </row>
    <row r="160" spans="2:2" x14ac:dyDescent="0.25">
      <c r="B160" s="58"/>
    </row>
    <row r="161" spans="2:2" x14ac:dyDescent="0.25">
      <c r="B161" s="58"/>
    </row>
    <row r="162" spans="2:2" x14ac:dyDescent="0.25">
      <c r="B162" s="58"/>
    </row>
    <row r="163" spans="2:2" x14ac:dyDescent="0.25">
      <c r="B163" s="58"/>
    </row>
    <row r="164" spans="2:2" x14ac:dyDescent="0.25">
      <c r="B164" s="58"/>
    </row>
    <row r="165" spans="2:2" x14ac:dyDescent="0.25">
      <c r="B165" s="58"/>
    </row>
    <row r="166" spans="2:2" x14ac:dyDescent="0.25">
      <c r="B166" s="58"/>
    </row>
    <row r="167" spans="2:2" x14ac:dyDescent="0.25">
      <c r="B167" s="58"/>
    </row>
    <row r="168" spans="2:2" x14ac:dyDescent="0.25">
      <c r="B168" s="58"/>
    </row>
    <row r="169" spans="2:2" x14ac:dyDescent="0.25">
      <c r="B169" s="58"/>
    </row>
    <row r="170" spans="2:2" x14ac:dyDescent="0.25">
      <c r="B170" s="58"/>
    </row>
    <row r="171" spans="2:2" x14ac:dyDescent="0.25">
      <c r="B171" s="58"/>
    </row>
    <row r="172" spans="2:2" x14ac:dyDescent="0.25">
      <c r="B172" s="58"/>
    </row>
    <row r="173" spans="2:2" x14ac:dyDescent="0.25">
      <c r="B173" s="58"/>
    </row>
    <row r="174" spans="2:2" x14ac:dyDescent="0.25">
      <c r="B174" s="58"/>
    </row>
    <row r="175" spans="2:2" x14ac:dyDescent="0.25">
      <c r="B175" s="58"/>
    </row>
    <row r="176" spans="2:2" x14ac:dyDescent="0.25">
      <c r="B176" s="58"/>
    </row>
    <row r="177" spans="2:2" x14ac:dyDescent="0.25">
      <c r="B177" s="58"/>
    </row>
    <row r="178" spans="2:2" x14ac:dyDescent="0.25">
      <c r="B178" s="58"/>
    </row>
    <row r="179" spans="2:2" x14ac:dyDescent="0.25">
      <c r="B179" s="58"/>
    </row>
    <row r="180" spans="2:2" x14ac:dyDescent="0.25">
      <c r="B180" s="58"/>
    </row>
    <row r="181" spans="2:2" x14ac:dyDescent="0.25">
      <c r="B181" s="58"/>
    </row>
    <row r="182" spans="2:2" x14ac:dyDescent="0.25">
      <c r="B182" s="58"/>
    </row>
    <row r="183" spans="2:2" x14ac:dyDescent="0.25">
      <c r="B183" s="58"/>
    </row>
    <row r="184" spans="2:2" x14ac:dyDescent="0.25">
      <c r="B184" s="58"/>
    </row>
    <row r="185" spans="2:2" x14ac:dyDescent="0.25">
      <c r="B185" s="58"/>
    </row>
    <row r="186" spans="2:2" x14ac:dyDescent="0.25">
      <c r="B186" s="58"/>
    </row>
    <row r="187" spans="2:2" x14ac:dyDescent="0.25">
      <c r="B187" s="58"/>
    </row>
    <row r="188" spans="2:2" x14ac:dyDescent="0.25">
      <c r="B188" s="58"/>
    </row>
    <row r="189" spans="2:2" x14ac:dyDescent="0.25">
      <c r="B189" s="58"/>
    </row>
    <row r="190" spans="2:2" x14ac:dyDescent="0.25">
      <c r="B190" s="58"/>
    </row>
    <row r="191" spans="2:2" x14ac:dyDescent="0.25">
      <c r="B191" s="58"/>
    </row>
    <row r="192" spans="2:2" x14ac:dyDescent="0.25">
      <c r="B192" s="58"/>
    </row>
    <row r="193" spans="2:2" x14ac:dyDescent="0.25">
      <c r="B193" s="58"/>
    </row>
    <row r="194" spans="2:2" x14ac:dyDescent="0.25">
      <c r="B194" s="58"/>
    </row>
    <row r="195" spans="2:2" x14ac:dyDescent="0.25">
      <c r="B195" s="58"/>
    </row>
    <row r="196" spans="2:2" x14ac:dyDescent="0.25">
      <c r="B196" s="58"/>
    </row>
  </sheetData>
  <sheetProtection algorithmName="SHA-512" hashValue="McurKR1xhIG59IflsMeq65lPgXD3DaQV0nhZ2ROmCP6w9fCI1PQn9X5LvstLpbx1q7uNunlPjJ+wKjb0G6hqbg==" saltValue="2nKME4yFEuYla/zkGRuwGQ==" spinCount="100000" sheet="1" objects="1" scenarios="1"/>
  <mergeCells count="2">
    <mergeCell ref="F2:H2"/>
    <mergeCell ref="I2:K2"/>
  </mergeCells>
  <phoneticPr fontId="7" type="noConversion"/>
  <dataValidations count="1">
    <dataValidation type="decimal" allowBlank="1" showInputMessage="1" showErrorMessage="1" sqref="C6:K12 C17:K28 C52:K64 C69:K80 C85:K96 C33:K44" xr:uid="{00000000-0002-0000-2B00-000000000000}">
      <formula1>-99999999999999900000</formula1>
      <formula2>99999999999999900000</formula2>
    </dataValidation>
  </dataValidations>
  <printOptions horizontalCentered="1"/>
  <pageMargins left="0" right="0" top="0.78740157480314965" bottom="0.39370078740157483" header="0.51181102362204722" footer="0.39370078740157483"/>
  <pageSetup paperSize="9" scale="87" fitToHeight="2" orientation="portrait" r:id="rId1"/>
  <headerFooter alignWithMargins="0"/>
  <rowBreaks count="1" manualBreakCount="1">
    <brk id="66" max="10" man="1"/>
  </rowBreak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43">
    <pageSetUpPr fitToPage="1"/>
  </sheetPr>
  <dimension ref="A1:O70"/>
  <sheetViews>
    <sheetView showGridLines="0" zoomScale="110" zoomScaleNormal="110" workbookViewId="0">
      <pane xSplit="2" ySplit="3" topLeftCell="C37" activePane="bottomRight" state="frozen"/>
      <selection pane="topRight"/>
      <selection pane="bottomLeft"/>
      <selection pane="bottomRight" activeCell="E15" sqref="E15"/>
    </sheetView>
  </sheetViews>
  <sheetFormatPr defaultColWidth="9.140625" defaultRowHeight="12.75" x14ac:dyDescent="0.25"/>
  <cols>
    <col min="1" max="1" width="38.7109375" style="58" customWidth="1"/>
    <col min="2" max="2" width="3" style="55" customWidth="1"/>
    <col min="3" max="3" width="4.140625" style="55" customWidth="1"/>
    <col min="4" max="4" width="9.28515625" style="58" customWidth="1"/>
    <col min="5" max="5" width="9.7109375" style="58" customWidth="1"/>
    <col min="6" max="9" width="9.28515625" style="58" customWidth="1"/>
    <col min="10" max="10" width="9.7109375" style="58" customWidth="1"/>
    <col min="11" max="11" width="9.42578125" style="58" customWidth="1"/>
    <col min="12" max="12" width="9.7109375" style="58" customWidth="1"/>
    <col min="13" max="15" width="9.42578125" style="58" customWidth="1"/>
    <col min="16" max="16" width="9.7109375" style="58" customWidth="1"/>
    <col min="17" max="19" width="9.42578125" style="58" customWidth="1"/>
    <col min="20" max="21" width="9.7109375" style="58" customWidth="1"/>
    <col min="22" max="16384" width="9.140625" style="58"/>
  </cols>
  <sheetData>
    <row r="1" spans="1:9" ht="13.5" customHeight="1" x14ac:dyDescent="0.25">
      <c r="A1" s="92" t="str">
        <f>muni&amp;" - "&amp;TableA23</f>
        <v>KZN226 Mkhambathini - Supporting Table SA23 Salaries, allowances &amp; benefits (political office bearers/councillors/senior managers)</v>
      </c>
      <c r="B1" s="92"/>
      <c r="C1" s="92"/>
      <c r="D1" s="92"/>
      <c r="E1" s="92"/>
      <c r="F1" s="92"/>
      <c r="G1" s="92"/>
      <c r="H1" s="92"/>
      <c r="I1" s="92"/>
    </row>
    <row r="2" spans="1:9" ht="24.75" customHeight="1" x14ac:dyDescent="0.25">
      <c r="A2" s="1829" t="s">
        <v>283</v>
      </c>
      <c r="B2" s="155" t="str">
        <f>head27</f>
        <v>Ref</v>
      </c>
      <c r="C2" s="2497" t="s">
        <v>1960</v>
      </c>
      <c r="D2" s="2474" t="s">
        <v>92</v>
      </c>
      <c r="E2" s="1958" t="s">
        <v>1962</v>
      </c>
      <c r="F2" s="2474" t="s">
        <v>93</v>
      </c>
      <c r="G2" s="2474" t="s">
        <v>647</v>
      </c>
      <c r="H2" s="1959" t="s">
        <v>832</v>
      </c>
      <c r="I2" s="1959" t="s">
        <v>833</v>
      </c>
    </row>
    <row r="3" spans="1:9" ht="29.25" customHeight="1" x14ac:dyDescent="0.25">
      <c r="A3" s="156" t="s">
        <v>664</v>
      </c>
      <c r="B3" s="1960"/>
      <c r="C3" s="2498"/>
      <c r="D3" s="2475"/>
      <c r="E3" s="1961" t="s">
        <v>1961</v>
      </c>
      <c r="F3" s="2475"/>
      <c r="G3" s="2475"/>
      <c r="H3" s="1962"/>
      <c r="I3" s="1962" t="s">
        <v>1567</v>
      </c>
    </row>
    <row r="4" spans="1:9" ht="11.25" customHeight="1" x14ac:dyDescent="0.25">
      <c r="A4" s="96" t="s">
        <v>91</v>
      </c>
      <c r="B4" s="144">
        <v>3</v>
      </c>
      <c r="C4" s="1963"/>
      <c r="D4" s="1964"/>
      <c r="E4" s="1964"/>
      <c r="F4" s="1964"/>
      <c r="G4" s="1965"/>
      <c r="H4" s="1685"/>
      <c r="I4" s="1966"/>
    </row>
    <row r="5" spans="1:9" ht="11.25" customHeight="1" x14ac:dyDescent="0.25">
      <c r="A5" s="104" t="s">
        <v>617</v>
      </c>
      <c r="B5" s="144">
        <v>4</v>
      </c>
      <c r="C5" s="1967"/>
      <c r="D5" s="896">
        <v>516516</v>
      </c>
      <c r="E5" s="896"/>
      <c r="F5" s="896">
        <v>216564</v>
      </c>
      <c r="G5" s="1968"/>
      <c r="H5" s="1969"/>
      <c r="I5" s="1966">
        <f t="shared" ref="I5:I10" si="0">SUM(D5:F5)</f>
        <v>733080</v>
      </c>
    </row>
    <row r="6" spans="1:9" ht="11.25" customHeight="1" x14ac:dyDescent="0.25">
      <c r="A6" s="104" t="s">
        <v>1136</v>
      </c>
      <c r="B6" s="144"/>
      <c r="C6" s="1967"/>
      <c r="D6" s="896">
        <v>204312</v>
      </c>
      <c r="E6" s="896"/>
      <c r="F6" s="896">
        <v>112500</v>
      </c>
      <c r="G6" s="1968"/>
      <c r="H6" s="1969"/>
      <c r="I6" s="1966">
        <f t="shared" si="0"/>
        <v>316812</v>
      </c>
    </row>
    <row r="7" spans="1:9" ht="11.25" customHeight="1" x14ac:dyDescent="0.25">
      <c r="A7" s="104" t="s">
        <v>618</v>
      </c>
      <c r="B7" s="144"/>
      <c r="C7" s="1967"/>
      <c r="D7" s="896">
        <v>645644</v>
      </c>
      <c r="E7" s="896"/>
      <c r="F7" s="896">
        <v>259620</v>
      </c>
      <c r="G7" s="1968"/>
      <c r="H7" s="1969"/>
      <c r="I7" s="1966">
        <f t="shared" si="0"/>
        <v>905264</v>
      </c>
    </row>
    <row r="8" spans="1:9" ht="11.25" customHeight="1" x14ac:dyDescent="0.25">
      <c r="A8" s="104" t="s">
        <v>234</v>
      </c>
      <c r="B8" s="144"/>
      <c r="C8" s="1967"/>
      <c r="D8" s="896">
        <v>516516</v>
      </c>
      <c r="E8" s="896"/>
      <c r="F8" s="896">
        <v>216564</v>
      </c>
      <c r="G8" s="1968"/>
      <c r="H8" s="1969"/>
      <c r="I8" s="1966">
        <f t="shared" si="0"/>
        <v>733080</v>
      </c>
    </row>
    <row r="9" spans="1:9" ht="11.25" customHeight="1" x14ac:dyDescent="0.25">
      <c r="A9" s="104" t="s">
        <v>393</v>
      </c>
      <c r="B9" s="144"/>
      <c r="C9" s="1967"/>
      <c r="D9" s="896">
        <v>262212</v>
      </c>
      <c r="E9" s="896"/>
      <c r="F9" s="896">
        <v>131796</v>
      </c>
      <c r="G9" s="1968"/>
      <c r="H9" s="1969"/>
      <c r="I9" s="1966">
        <f t="shared" si="0"/>
        <v>394008</v>
      </c>
    </row>
    <row r="10" spans="1:9" ht="11.25" customHeight="1" x14ac:dyDescent="0.25">
      <c r="A10" s="104" t="s">
        <v>394</v>
      </c>
      <c r="B10" s="144"/>
      <c r="C10" s="1967"/>
      <c r="D10" s="896">
        <v>204312</v>
      </c>
      <c r="E10" s="896"/>
      <c r="F10" s="896">
        <v>112512</v>
      </c>
      <c r="G10" s="1968"/>
      <c r="H10" s="1969"/>
      <c r="I10" s="1966">
        <f t="shared" si="0"/>
        <v>316824</v>
      </c>
    </row>
    <row r="11" spans="1:9" ht="11.25" customHeight="1" x14ac:dyDescent="0.25">
      <c r="A11" s="256" t="str">
        <f>"Total "&amp;A4</f>
        <v>Total Councillors</v>
      </c>
      <c r="B11" s="257">
        <v>8</v>
      </c>
      <c r="C11" s="1970">
        <f t="shared" ref="C11:I11" si="1">SUM(C5:C10)</f>
        <v>0</v>
      </c>
      <c r="D11" s="1971">
        <f t="shared" si="1"/>
        <v>2349512</v>
      </c>
      <c r="E11" s="1971">
        <f t="shared" si="1"/>
        <v>0</v>
      </c>
      <c r="F11" s="1972">
        <f t="shared" si="1"/>
        <v>1049556</v>
      </c>
      <c r="G11" s="1971"/>
      <c r="H11" s="1973"/>
      <c r="I11" s="1974">
        <f t="shared" si="1"/>
        <v>3399068</v>
      </c>
    </row>
    <row r="12" spans="1:9" x14ac:dyDescent="0.25">
      <c r="A12" s="116"/>
      <c r="B12" s="144"/>
      <c r="C12" s="1963"/>
      <c r="D12" s="1964"/>
      <c r="E12" s="1965"/>
      <c r="F12" s="1964"/>
      <c r="G12" s="1965"/>
      <c r="H12" s="1685"/>
      <c r="I12" s="1966"/>
    </row>
    <row r="13" spans="1:9" ht="11.25" customHeight="1" x14ac:dyDescent="0.25">
      <c r="A13" s="96" t="s">
        <v>1134</v>
      </c>
      <c r="B13" s="144">
        <v>5</v>
      </c>
      <c r="C13" s="1963"/>
      <c r="D13" s="1964"/>
      <c r="E13" s="1965"/>
      <c r="F13" s="1964"/>
      <c r="G13" s="1965"/>
      <c r="H13" s="1685"/>
      <c r="I13" s="1966"/>
    </row>
    <row r="14" spans="1:9" ht="11.25" customHeight="1" x14ac:dyDescent="0.25">
      <c r="A14" s="137" t="s">
        <v>94</v>
      </c>
      <c r="B14" s="144"/>
      <c r="C14" s="1967"/>
      <c r="D14" s="896">
        <v>972300</v>
      </c>
      <c r="E14" s="896">
        <v>9828</v>
      </c>
      <c r="F14" s="896">
        <v>44400</v>
      </c>
      <c r="G14" s="896"/>
      <c r="H14" s="1969"/>
      <c r="I14" s="1966">
        <f t="shared" ref="I14:I19" si="2">SUM(D14:H14)</f>
        <v>1026528</v>
      </c>
    </row>
    <row r="15" spans="1:9" ht="11.25" customHeight="1" x14ac:dyDescent="0.25">
      <c r="A15" s="137" t="s">
        <v>95</v>
      </c>
      <c r="B15" s="144"/>
      <c r="C15" s="1967"/>
      <c r="D15" s="896">
        <v>815052</v>
      </c>
      <c r="E15" s="896">
        <v>7303</v>
      </c>
      <c r="F15" s="896">
        <v>18000</v>
      </c>
      <c r="G15" s="896">
        <v>78146</v>
      </c>
      <c r="H15" s="1969"/>
      <c r="I15" s="1966">
        <f t="shared" si="2"/>
        <v>918501</v>
      </c>
    </row>
    <row r="16" spans="1:9" ht="11.25" customHeight="1" x14ac:dyDescent="0.25">
      <c r="A16" s="1794" t="s">
        <v>6362</v>
      </c>
      <c r="B16" s="144"/>
      <c r="C16" s="1967"/>
      <c r="D16" s="896">
        <v>815052</v>
      </c>
      <c r="E16" s="896">
        <v>7440</v>
      </c>
      <c r="F16" s="896">
        <v>18000</v>
      </c>
      <c r="G16" s="896"/>
      <c r="H16" s="1969"/>
      <c r="I16" s="1966">
        <f t="shared" si="2"/>
        <v>840492</v>
      </c>
    </row>
    <row r="17" spans="1:9" ht="11.25" customHeight="1" x14ac:dyDescent="0.25">
      <c r="A17" s="1794" t="s">
        <v>6360</v>
      </c>
      <c r="B17" s="144"/>
      <c r="C17" s="1967"/>
      <c r="D17" s="896">
        <v>803052</v>
      </c>
      <c r="E17" s="896">
        <v>8018</v>
      </c>
      <c r="F17" s="896">
        <v>34320</v>
      </c>
      <c r="G17" s="896">
        <v>70331</v>
      </c>
      <c r="H17" s="1969"/>
      <c r="I17" s="1966">
        <f t="shared" si="2"/>
        <v>915721</v>
      </c>
    </row>
    <row r="18" spans="1:9" ht="11.25" customHeight="1" x14ac:dyDescent="0.25">
      <c r="A18" s="1794" t="s">
        <v>6361</v>
      </c>
      <c r="B18" s="144"/>
      <c r="C18" s="1967"/>
      <c r="D18" s="896">
        <v>803052</v>
      </c>
      <c r="E18" s="896">
        <v>8090</v>
      </c>
      <c r="F18" s="896">
        <v>30000</v>
      </c>
      <c r="G18" s="896">
        <v>70331</v>
      </c>
      <c r="H18" s="1969"/>
      <c r="I18" s="1966">
        <f t="shared" si="2"/>
        <v>911473</v>
      </c>
    </row>
    <row r="19" spans="1:9" ht="11.25" customHeight="1" x14ac:dyDescent="0.25">
      <c r="A19" s="1794"/>
      <c r="B19" s="144"/>
      <c r="C19" s="1967"/>
      <c r="D19" s="896"/>
      <c r="E19" s="896"/>
      <c r="F19" s="896"/>
      <c r="G19" s="896"/>
      <c r="H19" s="1969"/>
      <c r="I19" s="1966">
        <f t="shared" si="2"/>
        <v>0</v>
      </c>
    </row>
    <row r="20" spans="1:9" ht="4.9000000000000004" customHeight="1" x14ac:dyDescent="0.25">
      <c r="A20" s="116"/>
      <c r="B20" s="144"/>
      <c r="C20" s="1963"/>
      <c r="D20" s="1964"/>
      <c r="E20" s="1965"/>
      <c r="F20" s="1964"/>
      <c r="G20" s="1965"/>
      <c r="H20" s="1685"/>
      <c r="I20" s="1966"/>
    </row>
    <row r="21" spans="1:9" ht="11.25" customHeight="1" x14ac:dyDescent="0.25">
      <c r="A21" s="1975" t="s">
        <v>274</v>
      </c>
      <c r="B21" s="144"/>
      <c r="C21" s="1963"/>
      <c r="D21" s="1964"/>
      <c r="E21" s="1965"/>
      <c r="F21" s="1964"/>
      <c r="G21" s="1965"/>
      <c r="H21" s="1685"/>
      <c r="I21" s="1966"/>
    </row>
    <row r="22" spans="1:9" ht="11.25" customHeight="1" x14ac:dyDescent="0.25">
      <c r="A22" s="1794"/>
      <c r="B22" s="144"/>
      <c r="C22" s="1967"/>
      <c r="D22" s="896"/>
      <c r="E22" s="896"/>
      <c r="F22" s="896"/>
      <c r="G22" s="896"/>
      <c r="H22" s="1969"/>
      <c r="I22" s="1966">
        <f>SUM(D22:H22)</f>
        <v>0</v>
      </c>
    </row>
    <row r="23" spans="1:9" ht="11.25" customHeight="1" x14ac:dyDescent="0.25">
      <c r="A23" s="1794"/>
      <c r="B23" s="144"/>
      <c r="C23" s="1967"/>
      <c r="D23" s="896"/>
      <c r="E23" s="896"/>
      <c r="F23" s="896"/>
      <c r="G23" s="896"/>
      <c r="H23" s="1969"/>
      <c r="I23" s="1966">
        <f t="shared" ref="I23:I32" si="3">SUM(D23:H23)</f>
        <v>0</v>
      </c>
    </row>
    <row r="24" spans="1:9" ht="11.25" customHeight="1" x14ac:dyDescent="0.25">
      <c r="A24" s="1794"/>
      <c r="B24" s="144"/>
      <c r="C24" s="1967"/>
      <c r="D24" s="896"/>
      <c r="E24" s="896"/>
      <c r="F24" s="896"/>
      <c r="G24" s="896"/>
      <c r="H24" s="1969"/>
      <c r="I24" s="1966">
        <f t="shared" si="3"/>
        <v>0</v>
      </c>
    </row>
    <row r="25" spans="1:9" ht="11.25" customHeight="1" x14ac:dyDescent="0.25">
      <c r="A25" s="1794"/>
      <c r="B25" s="144"/>
      <c r="C25" s="1967"/>
      <c r="D25" s="896"/>
      <c r="E25" s="896"/>
      <c r="F25" s="896"/>
      <c r="G25" s="896"/>
      <c r="H25" s="1969"/>
      <c r="I25" s="1966">
        <f t="shared" si="3"/>
        <v>0</v>
      </c>
    </row>
    <row r="26" spans="1:9" ht="11.25" customHeight="1" x14ac:dyDescent="0.25">
      <c r="A26" s="1794"/>
      <c r="B26" s="144"/>
      <c r="C26" s="1967"/>
      <c r="D26" s="896"/>
      <c r="E26" s="896"/>
      <c r="F26" s="896"/>
      <c r="G26" s="896"/>
      <c r="H26" s="1969"/>
      <c r="I26" s="1966">
        <f t="shared" si="3"/>
        <v>0</v>
      </c>
    </row>
    <row r="27" spans="1:9" ht="11.25" customHeight="1" x14ac:dyDescent="0.25">
      <c r="A27" s="1794"/>
      <c r="B27" s="144"/>
      <c r="C27" s="1967"/>
      <c r="D27" s="896"/>
      <c r="E27" s="896"/>
      <c r="F27" s="896"/>
      <c r="G27" s="896"/>
      <c r="H27" s="1969"/>
      <c r="I27" s="1966">
        <f t="shared" si="3"/>
        <v>0</v>
      </c>
    </row>
    <row r="28" spans="1:9" ht="11.25" customHeight="1" x14ac:dyDescent="0.25">
      <c r="A28" s="1794"/>
      <c r="B28" s="144"/>
      <c r="C28" s="1967"/>
      <c r="D28" s="896"/>
      <c r="E28" s="896"/>
      <c r="F28" s="896"/>
      <c r="G28" s="896"/>
      <c r="H28" s="1969"/>
      <c r="I28" s="1966">
        <f t="shared" si="3"/>
        <v>0</v>
      </c>
    </row>
    <row r="29" spans="1:9" ht="11.25" customHeight="1" x14ac:dyDescent="0.25">
      <c r="A29" s="1794"/>
      <c r="B29" s="144"/>
      <c r="C29" s="1967"/>
      <c r="D29" s="896"/>
      <c r="E29" s="896"/>
      <c r="F29" s="896"/>
      <c r="G29" s="896"/>
      <c r="H29" s="1969"/>
      <c r="I29" s="1966">
        <f t="shared" si="3"/>
        <v>0</v>
      </c>
    </row>
    <row r="30" spans="1:9" ht="11.25" customHeight="1" x14ac:dyDescent="0.25">
      <c r="A30" s="1794"/>
      <c r="B30" s="144"/>
      <c r="C30" s="1967"/>
      <c r="D30" s="896"/>
      <c r="E30" s="896"/>
      <c r="F30" s="896"/>
      <c r="G30" s="896"/>
      <c r="H30" s="1969"/>
      <c r="I30" s="1966">
        <f t="shared" si="3"/>
        <v>0</v>
      </c>
    </row>
    <row r="31" spans="1:9" ht="11.25" customHeight="1" x14ac:dyDescent="0.25">
      <c r="A31" s="1794"/>
      <c r="B31" s="144"/>
      <c r="C31" s="1967"/>
      <c r="D31" s="896"/>
      <c r="E31" s="896"/>
      <c r="F31" s="896"/>
      <c r="G31" s="896"/>
      <c r="H31" s="1969"/>
      <c r="I31" s="1966">
        <f t="shared" si="3"/>
        <v>0</v>
      </c>
    </row>
    <row r="32" spans="1:9" ht="11.25" customHeight="1" x14ac:dyDescent="0.25">
      <c r="A32" s="1794"/>
      <c r="B32" s="144"/>
      <c r="C32" s="1967"/>
      <c r="D32" s="896"/>
      <c r="E32" s="896"/>
      <c r="F32" s="896"/>
      <c r="G32" s="896"/>
      <c r="H32" s="1969"/>
      <c r="I32" s="1966">
        <f t="shared" si="3"/>
        <v>0</v>
      </c>
    </row>
    <row r="33" spans="1:9" ht="11.25" customHeight="1" x14ac:dyDescent="0.25">
      <c r="A33" s="852"/>
      <c r="B33" s="144"/>
      <c r="C33" s="1967"/>
      <c r="D33" s="896"/>
      <c r="E33" s="896"/>
      <c r="F33" s="896"/>
      <c r="G33" s="896"/>
      <c r="H33" s="1969"/>
      <c r="I33" s="1966">
        <f>SUM(D33:H33)</f>
        <v>0</v>
      </c>
    </row>
    <row r="34" spans="1:9" ht="11.25" customHeight="1" x14ac:dyDescent="0.25">
      <c r="A34" s="852"/>
      <c r="B34" s="144"/>
      <c r="C34" s="1967"/>
      <c r="D34" s="896"/>
      <c r="E34" s="896"/>
      <c r="F34" s="896"/>
      <c r="G34" s="896"/>
      <c r="H34" s="1969"/>
      <c r="I34" s="1966">
        <f>SUM(D34:H34)</f>
        <v>0</v>
      </c>
    </row>
    <row r="35" spans="1:9" ht="11.25" customHeight="1" x14ac:dyDescent="0.25">
      <c r="A35" s="256" t="str">
        <f>"Total "&amp;A13</f>
        <v>Total Senior Managers of the Municipality</v>
      </c>
      <c r="B35" s="257" t="s">
        <v>1987</v>
      </c>
      <c r="C35" s="1976">
        <f>SUM(C14:C34)</f>
        <v>0</v>
      </c>
      <c r="D35" s="1972">
        <f>SUM(D14:D34)</f>
        <v>4208508</v>
      </c>
      <c r="E35" s="1971">
        <f>SUM(E14:E34)</f>
        <v>40679</v>
      </c>
      <c r="F35" s="1972">
        <f>SUM(F14:F34)</f>
        <v>144720</v>
      </c>
      <c r="G35" s="1971">
        <f>SUM(G14:G34)</f>
        <v>218808</v>
      </c>
      <c r="H35" s="1973"/>
      <c r="I35" s="1974">
        <f>SUM(I14:I34)</f>
        <v>4612715</v>
      </c>
    </row>
    <row r="36" spans="1:9" x14ac:dyDescent="0.25">
      <c r="A36" s="116"/>
      <c r="B36" s="144"/>
      <c r="C36" s="1963"/>
      <c r="D36" s="1964"/>
      <c r="E36" s="1965"/>
      <c r="F36" s="1964"/>
      <c r="G36" s="1965"/>
      <c r="H36" s="1685"/>
      <c r="I36" s="1966"/>
    </row>
    <row r="37" spans="1:9" ht="11.25" customHeight="1" x14ac:dyDescent="0.25">
      <c r="A37" s="96" t="s">
        <v>648</v>
      </c>
      <c r="B37" s="144" t="s">
        <v>1964</v>
      </c>
      <c r="C37" s="1963"/>
      <c r="D37" s="1964"/>
      <c r="E37" s="1965"/>
      <c r="F37" s="1964"/>
      <c r="G37" s="1965"/>
      <c r="H37" s="1685"/>
      <c r="I37" s="1966"/>
    </row>
    <row r="38" spans="1:9" ht="11.25" customHeight="1" x14ac:dyDescent="0.25">
      <c r="A38" s="137" t="s">
        <v>96</v>
      </c>
      <c r="B38" s="144"/>
      <c r="C38" s="1977"/>
      <c r="D38" s="1965"/>
      <c r="E38" s="1965"/>
      <c r="F38" s="1965"/>
      <c r="G38" s="1965"/>
      <c r="H38" s="1685"/>
      <c r="I38" s="1978"/>
    </row>
    <row r="39" spans="1:9" ht="11.25" customHeight="1" x14ac:dyDescent="0.25">
      <c r="A39" s="1794"/>
      <c r="B39" s="144"/>
      <c r="C39" s="1967"/>
      <c r="D39" s="896"/>
      <c r="E39" s="896"/>
      <c r="F39" s="896"/>
      <c r="G39" s="896"/>
      <c r="H39" s="1969"/>
      <c r="I39" s="1978">
        <f>SUM(D39:G39)</f>
        <v>0</v>
      </c>
    </row>
    <row r="40" spans="1:9" ht="11.25" customHeight="1" x14ac:dyDescent="0.25">
      <c r="A40" s="1794"/>
      <c r="B40" s="144"/>
      <c r="C40" s="1967"/>
      <c r="D40" s="896"/>
      <c r="E40" s="896"/>
      <c r="F40" s="896"/>
      <c r="G40" s="896"/>
      <c r="H40" s="1969"/>
      <c r="I40" s="1978">
        <f t="shared" ref="I40:I54" si="4">SUM(D40:G40)</f>
        <v>0</v>
      </c>
    </row>
    <row r="41" spans="1:9" ht="11.25" customHeight="1" x14ac:dyDescent="0.25">
      <c r="A41" s="1794"/>
      <c r="B41" s="144"/>
      <c r="C41" s="1967"/>
      <c r="D41" s="896"/>
      <c r="E41" s="896"/>
      <c r="F41" s="896"/>
      <c r="G41" s="896"/>
      <c r="H41" s="1969"/>
      <c r="I41" s="1978">
        <f t="shared" si="4"/>
        <v>0</v>
      </c>
    </row>
    <row r="42" spans="1:9" ht="11.25" customHeight="1" x14ac:dyDescent="0.25">
      <c r="A42" s="1794"/>
      <c r="B42" s="144"/>
      <c r="C42" s="1967"/>
      <c r="D42" s="896"/>
      <c r="E42" s="896"/>
      <c r="F42" s="896"/>
      <c r="G42" s="896"/>
      <c r="H42" s="1969"/>
      <c r="I42" s="1978">
        <f t="shared" si="4"/>
        <v>0</v>
      </c>
    </row>
    <row r="43" spans="1:9" ht="11.25" customHeight="1" x14ac:dyDescent="0.25">
      <c r="A43" s="1794"/>
      <c r="B43" s="144"/>
      <c r="C43" s="1967"/>
      <c r="D43" s="896"/>
      <c r="E43" s="896"/>
      <c r="F43" s="896"/>
      <c r="G43" s="896"/>
      <c r="H43" s="1969"/>
      <c r="I43" s="1978">
        <f t="shared" si="4"/>
        <v>0</v>
      </c>
    </row>
    <row r="44" spans="1:9" ht="11.25" customHeight="1" x14ac:dyDescent="0.25">
      <c r="A44" s="1794"/>
      <c r="B44" s="144"/>
      <c r="C44" s="1967"/>
      <c r="D44" s="896"/>
      <c r="E44" s="896"/>
      <c r="F44" s="896"/>
      <c r="G44" s="896"/>
      <c r="H44" s="1969"/>
      <c r="I44" s="1978">
        <f t="shared" si="4"/>
        <v>0</v>
      </c>
    </row>
    <row r="45" spans="1:9" ht="11.25" customHeight="1" x14ac:dyDescent="0.25">
      <c r="A45" s="1794"/>
      <c r="B45" s="144"/>
      <c r="C45" s="1967"/>
      <c r="D45" s="896"/>
      <c r="E45" s="896"/>
      <c r="F45" s="896"/>
      <c r="G45" s="896"/>
      <c r="H45" s="1969"/>
      <c r="I45" s="1978">
        <f t="shared" si="4"/>
        <v>0</v>
      </c>
    </row>
    <row r="46" spans="1:9" ht="11.25" customHeight="1" x14ac:dyDescent="0.25">
      <c r="A46" s="1794"/>
      <c r="B46" s="144"/>
      <c r="C46" s="1967"/>
      <c r="D46" s="896"/>
      <c r="E46" s="896"/>
      <c r="F46" s="896"/>
      <c r="G46" s="896"/>
      <c r="H46" s="1969"/>
      <c r="I46" s="1978">
        <f t="shared" si="4"/>
        <v>0</v>
      </c>
    </row>
    <row r="47" spans="1:9" ht="11.25" customHeight="1" x14ac:dyDescent="0.25">
      <c r="A47" s="1794"/>
      <c r="B47" s="144"/>
      <c r="C47" s="1967"/>
      <c r="D47" s="896"/>
      <c r="E47" s="896"/>
      <c r="F47" s="896"/>
      <c r="G47" s="896"/>
      <c r="H47" s="1969"/>
      <c r="I47" s="1978">
        <f t="shared" si="4"/>
        <v>0</v>
      </c>
    </row>
    <row r="48" spans="1:9" ht="11.25" customHeight="1" x14ac:dyDescent="0.25">
      <c r="A48" s="1794"/>
      <c r="B48" s="144"/>
      <c r="C48" s="1967"/>
      <c r="D48" s="896"/>
      <c r="E48" s="896"/>
      <c r="F48" s="896"/>
      <c r="G48" s="896"/>
      <c r="H48" s="1969"/>
      <c r="I48" s="1978">
        <f t="shared" si="4"/>
        <v>0</v>
      </c>
    </row>
    <row r="49" spans="1:15" ht="11.25" customHeight="1" x14ac:dyDescent="0.25">
      <c r="A49" s="1794"/>
      <c r="B49" s="144"/>
      <c r="C49" s="1967"/>
      <c r="D49" s="896"/>
      <c r="E49" s="896"/>
      <c r="F49" s="896"/>
      <c r="G49" s="896"/>
      <c r="H49" s="1969"/>
      <c r="I49" s="1978">
        <f t="shared" si="4"/>
        <v>0</v>
      </c>
    </row>
    <row r="50" spans="1:15" ht="11.25" customHeight="1" x14ac:dyDescent="0.25">
      <c r="A50" s="1794"/>
      <c r="B50" s="144"/>
      <c r="C50" s="1967"/>
      <c r="D50" s="896"/>
      <c r="E50" s="896"/>
      <c r="F50" s="896"/>
      <c r="G50" s="896"/>
      <c r="H50" s="1969"/>
      <c r="I50" s="1978">
        <f t="shared" si="4"/>
        <v>0</v>
      </c>
    </row>
    <row r="51" spans="1:15" ht="11.25" customHeight="1" x14ac:dyDescent="0.25">
      <c r="A51" s="1794"/>
      <c r="B51" s="144"/>
      <c r="C51" s="1967"/>
      <c r="D51" s="896"/>
      <c r="E51" s="896"/>
      <c r="F51" s="896"/>
      <c r="G51" s="896"/>
      <c r="H51" s="1969"/>
      <c r="I51" s="1978">
        <f t="shared" si="4"/>
        <v>0</v>
      </c>
    </row>
    <row r="52" spans="1:15" ht="11.25" customHeight="1" x14ac:dyDescent="0.25">
      <c r="A52" s="1794"/>
      <c r="B52" s="144"/>
      <c r="C52" s="1967"/>
      <c r="D52" s="896"/>
      <c r="E52" s="896"/>
      <c r="F52" s="896"/>
      <c r="G52" s="896"/>
      <c r="H52" s="1969"/>
      <c r="I52" s="1978">
        <f t="shared" si="4"/>
        <v>0</v>
      </c>
    </row>
    <row r="53" spans="1:15" ht="11.25" customHeight="1" x14ac:dyDescent="0.25">
      <c r="A53" s="1794"/>
      <c r="B53" s="144"/>
      <c r="C53" s="1967"/>
      <c r="D53" s="896"/>
      <c r="E53" s="896"/>
      <c r="F53" s="896"/>
      <c r="G53" s="896"/>
      <c r="H53" s="1969"/>
      <c r="I53" s="1978">
        <f t="shared" si="4"/>
        <v>0</v>
      </c>
    </row>
    <row r="54" spans="1:15" ht="11.25" customHeight="1" x14ac:dyDescent="0.25">
      <c r="A54" s="1794"/>
      <c r="B54" s="144"/>
      <c r="C54" s="1967"/>
      <c r="D54" s="896"/>
      <c r="E54" s="896"/>
      <c r="F54" s="896"/>
      <c r="G54" s="896"/>
      <c r="H54" s="1969"/>
      <c r="I54" s="1978">
        <f t="shared" si="4"/>
        <v>0</v>
      </c>
    </row>
    <row r="55" spans="1:15" ht="11.25" customHeight="1" x14ac:dyDescent="0.25">
      <c r="A55" s="256" t="s">
        <v>275</v>
      </c>
      <c r="B55" s="257" t="s">
        <v>1987</v>
      </c>
      <c r="C55" s="1976">
        <f>SUM(C38:C54)</f>
        <v>0</v>
      </c>
      <c r="D55" s="1972">
        <f t="shared" ref="D55:I55" si="5">SUM(D39:D54)</f>
        <v>0</v>
      </c>
      <c r="E55" s="1971">
        <f t="shared" si="5"/>
        <v>0</v>
      </c>
      <c r="F55" s="1972">
        <f t="shared" si="5"/>
        <v>0</v>
      </c>
      <c r="G55" s="1971">
        <f t="shared" si="5"/>
        <v>0</v>
      </c>
      <c r="H55" s="1973"/>
      <c r="I55" s="1974">
        <f t="shared" si="5"/>
        <v>0</v>
      </c>
    </row>
    <row r="56" spans="1:15" x14ac:dyDescent="0.25">
      <c r="A56" s="116"/>
      <c r="B56" s="144"/>
      <c r="C56" s="1963"/>
      <c r="D56" s="1964"/>
      <c r="E56" s="1964"/>
      <c r="F56" s="1964"/>
      <c r="G56" s="1964"/>
      <c r="H56" s="1979"/>
      <c r="I56" s="1966"/>
    </row>
    <row r="57" spans="1:15" s="1856" customFormat="1" ht="25.5" x14ac:dyDescent="0.2">
      <c r="A57" s="1980" t="s">
        <v>235</v>
      </c>
      <c r="B57" s="1867">
        <v>10</v>
      </c>
      <c r="C57" s="1981">
        <f t="shared" ref="C57:I57" si="6">C11+C35+C55</f>
        <v>0</v>
      </c>
      <c r="D57" s="1982">
        <f t="shared" si="6"/>
        <v>6558020</v>
      </c>
      <c r="E57" s="1982">
        <f t="shared" si="6"/>
        <v>40679</v>
      </c>
      <c r="F57" s="1982">
        <f t="shared" si="6"/>
        <v>1194276</v>
      </c>
      <c r="G57" s="1982">
        <f t="shared" si="6"/>
        <v>218808</v>
      </c>
      <c r="H57" s="1983"/>
      <c r="I57" s="1984">
        <f t="shared" si="6"/>
        <v>8011783</v>
      </c>
    </row>
    <row r="58" spans="1:15" ht="4.9000000000000004" customHeight="1" x14ac:dyDescent="0.25">
      <c r="A58" s="560"/>
      <c r="B58" s="189"/>
      <c r="C58" s="189"/>
      <c r="D58" s="221"/>
      <c r="E58" s="221"/>
      <c r="F58" s="221"/>
      <c r="G58" s="221"/>
      <c r="H58" s="221"/>
      <c r="I58" s="221"/>
      <c r="J58" s="220"/>
      <c r="K58" s="220"/>
      <c r="L58" s="220"/>
    </row>
    <row r="59" spans="1:15" x14ac:dyDescent="0.25">
      <c r="A59" s="217" t="str">
        <f>head27a</f>
        <v>References</v>
      </c>
      <c r="B59" s="189"/>
      <c r="C59" s="189"/>
      <c r="D59" s="221"/>
      <c r="E59" s="221"/>
      <c r="F59" s="221"/>
      <c r="G59" s="221"/>
      <c r="H59" s="221"/>
      <c r="I59" s="221"/>
      <c r="J59" s="220"/>
      <c r="K59" s="220"/>
      <c r="L59" s="220"/>
    </row>
    <row r="60" spans="1:15" s="322" customFormat="1" x14ac:dyDescent="0.25">
      <c r="A60" s="481" t="s">
        <v>831</v>
      </c>
      <c r="B60" s="1010"/>
      <c r="C60" s="1010"/>
    </row>
    <row r="61" spans="1:15" x14ac:dyDescent="0.25">
      <c r="A61" s="299" t="s">
        <v>1965</v>
      </c>
      <c r="O61" s="322"/>
    </row>
    <row r="62" spans="1:15" x14ac:dyDescent="0.25">
      <c r="A62" s="299" t="s">
        <v>1966</v>
      </c>
    </row>
    <row r="63" spans="1:15" x14ac:dyDescent="0.25">
      <c r="A63" s="299" t="s">
        <v>1967</v>
      </c>
    </row>
    <row r="64" spans="1:15" x14ac:dyDescent="0.25">
      <c r="A64" s="299" t="s">
        <v>392</v>
      </c>
    </row>
    <row r="65" spans="1:1" x14ac:dyDescent="0.25">
      <c r="A65" s="299" t="s">
        <v>1968</v>
      </c>
    </row>
    <row r="66" spans="1:1" x14ac:dyDescent="0.25">
      <c r="A66" s="299" t="s">
        <v>1969</v>
      </c>
    </row>
    <row r="67" spans="1:1" x14ac:dyDescent="0.25">
      <c r="A67" s="299" t="s">
        <v>1970</v>
      </c>
    </row>
    <row r="68" spans="1:1" x14ac:dyDescent="0.25">
      <c r="A68" s="299" t="s">
        <v>1971</v>
      </c>
    </row>
    <row r="69" spans="1:1" x14ac:dyDescent="0.25">
      <c r="A69" s="299" t="s">
        <v>1972</v>
      </c>
    </row>
    <row r="70" spans="1:1" x14ac:dyDescent="0.25">
      <c r="A70" s="299" t="s">
        <v>1986</v>
      </c>
    </row>
  </sheetData>
  <sheetProtection algorithmName="SHA-512" hashValue="5OPLTiv5HHKE8PCFMImRqqenK5BmWMujMKMsZvSz47NgReiLYyLacVyBfsqEgbXOe75/5d7eJENZBjWR0HIZ2Q==" saltValue="AIedJHqyalBpurIR0iN6mA==" spinCount="100000" sheet="1" objects="1" scenarios="1"/>
  <mergeCells count="4">
    <mergeCell ref="C2:C3"/>
    <mergeCell ref="F2:F3"/>
    <mergeCell ref="D2:D3"/>
    <mergeCell ref="G2:G3"/>
  </mergeCells>
  <phoneticPr fontId="7" type="noConversion"/>
  <dataValidations count="2">
    <dataValidation type="whole" allowBlank="1" showInputMessage="1" showErrorMessage="1" sqref="C14:C19 C22:C34 C39:C54 C5:C10" xr:uid="{00000000-0002-0000-2C00-000000000000}">
      <formula1>-99999999999</formula1>
      <formula2>999999999999</formula2>
    </dataValidation>
    <dataValidation type="decimal" allowBlank="1" showInputMessage="1" showErrorMessage="1" sqref="D5:F10 D14:H19 D22:H34 D39:H54" xr:uid="{00000000-0002-0000-2C00-000001000000}">
      <formula1>-99999999999999900000</formula1>
      <formula2>99999999999999900000</formula2>
    </dataValidation>
  </dataValidations>
  <printOptions horizontalCentered="1"/>
  <pageMargins left="0" right="0" top="0.78740157480314965" bottom="0.59055118110236227" header="0.51181102362204722" footer="0.43307086614173229"/>
  <pageSetup paperSize="9" scale="90" orientation="portrait" r:id="rId1"/>
  <headerFooter alignWithMargins="0"/>
  <ignoredErrors>
    <ignoredError sqref="E3 I3" numberStoredAsText="1"/>
  </ignoredError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Sheet44">
    <pageSetUpPr fitToPage="1"/>
  </sheetPr>
  <dimension ref="A1:O53"/>
  <sheetViews>
    <sheetView showGridLines="0" topLeftCell="B1" zoomScale="110" zoomScaleNormal="110" workbookViewId="0">
      <pane ySplit="3" topLeftCell="A23" activePane="bottomLeft" state="frozen"/>
      <selection pane="bottomLeft" sqref="A1:K41"/>
    </sheetView>
  </sheetViews>
  <sheetFormatPr defaultColWidth="9.140625" defaultRowHeight="12.75" x14ac:dyDescent="0.25"/>
  <cols>
    <col min="1" max="1" width="37.7109375" style="58" customWidth="1"/>
    <col min="2" max="2" width="3.42578125" style="55" customWidth="1"/>
    <col min="3" max="11" width="8.7109375" style="58" customWidth="1"/>
    <col min="12" max="12" width="9.7109375" style="58" customWidth="1"/>
    <col min="13" max="13" width="9.42578125" style="58" customWidth="1"/>
    <col min="14" max="14" width="9.7109375" style="58" customWidth="1"/>
    <col min="15" max="17" width="9.42578125" style="58" customWidth="1"/>
    <col min="18" max="18" width="9.7109375" style="58" customWidth="1"/>
    <col min="19" max="21" width="9.42578125" style="58" customWidth="1"/>
    <col min="22" max="23" width="9.7109375" style="58" customWidth="1"/>
    <col min="24" max="16384" width="9.140625" style="58"/>
  </cols>
  <sheetData>
    <row r="1" spans="1:12" ht="13.5" customHeight="1" x14ac:dyDescent="0.25">
      <c r="A1" s="92" t="str">
        <f>muni&amp;" - "&amp;TableA24</f>
        <v>KZN226 Mkhambathini - Supporting Table SA24 Summary of personnel numbers</v>
      </c>
      <c r="B1" s="92"/>
      <c r="C1" s="92"/>
      <c r="D1" s="92"/>
      <c r="E1" s="92"/>
      <c r="F1" s="92"/>
      <c r="G1" s="92"/>
      <c r="H1" s="92"/>
      <c r="I1" s="92"/>
      <c r="J1" s="92"/>
      <c r="K1" s="92"/>
    </row>
    <row r="2" spans="1:12" ht="28.5" customHeight="1" x14ac:dyDescent="0.25">
      <c r="A2" s="1829" t="s">
        <v>583</v>
      </c>
      <c r="B2" s="155" t="str">
        <f>head27</f>
        <v>Ref</v>
      </c>
      <c r="C2" s="2508" t="str">
        <f>Head1</f>
        <v>2019/20</v>
      </c>
      <c r="D2" s="2509"/>
      <c r="E2" s="2510"/>
      <c r="F2" s="2447" t="str">
        <f>Head2</f>
        <v>Current Year 2020/21</v>
      </c>
      <c r="G2" s="2448"/>
      <c r="H2" s="2448"/>
      <c r="I2" s="2450" t="str">
        <f>Head9</f>
        <v>Budget Year 2021/22</v>
      </c>
      <c r="J2" s="2451"/>
      <c r="K2" s="2452"/>
      <c r="L2" s="322"/>
    </row>
    <row r="3" spans="1:12" ht="25.5" x14ac:dyDescent="0.25">
      <c r="A3" s="156" t="s">
        <v>1465</v>
      </c>
      <c r="B3" s="690" t="s">
        <v>1696</v>
      </c>
      <c r="C3" s="698" t="s">
        <v>381</v>
      </c>
      <c r="D3" s="562" t="s">
        <v>816</v>
      </c>
      <c r="E3" s="94" t="s">
        <v>382</v>
      </c>
      <c r="F3" s="698" t="s">
        <v>381</v>
      </c>
      <c r="G3" s="562" t="s">
        <v>816</v>
      </c>
      <c r="H3" s="94" t="s">
        <v>382</v>
      </c>
      <c r="I3" s="698" t="s">
        <v>381</v>
      </c>
      <c r="J3" s="562" t="s">
        <v>816</v>
      </c>
      <c r="K3" s="94" t="s">
        <v>382</v>
      </c>
      <c r="L3" s="322"/>
    </row>
    <row r="4" spans="1:12" x14ac:dyDescent="0.25">
      <c r="A4" s="475" t="s">
        <v>383</v>
      </c>
      <c r="B4" s="144"/>
      <c r="C4" s="1964"/>
      <c r="D4" s="1964"/>
      <c r="E4" s="1985"/>
      <c r="F4" s="1986"/>
      <c r="G4" s="1964"/>
      <c r="H4" s="1987"/>
      <c r="I4" s="1979"/>
      <c r="J4" s="1964"/>
      <c r="K4" s="1985"/>
      <c r="L4" s="322"/>
    </row>
    <row r="5" spans="1:12" ht="11.25" customHeight="1" x14ac:dyDescent="0.25">
      <c r="A5" s="104" t="s">
        <v>783</v>
      </c>
      <c r="B5" s="144"/>
      <c r="C5" s="893">
        <v>14</v>
      </c>
      <c r="D5" s="896">
        <v>3</v>
      </c>
      <c r="E5" s="1658">
        <v>11</v>
      </c>
      <c r="F5" s="893">
        <v>14</v>
      </c>
      <c r="G5" s="896">
        <v>3</v>
      </c>
      <c r="H5" s="1658">
        <v>11</v>
      </c>
      <c r="I5" s="898">
        <v>14</v>
      </c>
      <c r="J5" s="896">
        <v>3</v>
      </c>
      <c r="K5" s="897">
        <v>11</v>
      </c>
      <c r="L5" s="322"/>
    </row>
    <row r="6" spans="1:12" ht="11.25" customHeight="1" x14ac:dyDescent="0.25">
      <c r="A6" s="137" t="s">
        <v>1236</v>
      </c>
      <c r="B6" s="144">
        <v>4</v>
      </c>
      <c r="C6" s="893"/>
      <c r="D6" s="896">
        <v>7</v>
      </c>
      <c r="E6" s="1658">
        <v>6</v>
      </c>
      <c r="F6" s="893"/>
      <c r="G6" s="896">
        <v>7</v>
      </c>
      <c r="H6" s="1658">
        <v>6</v>
      </c>
      <c r="I6" s="898"/>
      <c r="J6" s="896">
        <v>7</v>
      </c>
      <c r="K6" s="897">
        <v>6</v>
      </c>
      <c r="L6" s="322"/>
    </row>
    <row r="7" spans="1:12" ht="11.25" customHeight="1" x14ac:dyDescent="0.25">
      <c r="A7" s="475" t="s">
        <v>1237</v>
      </c>
      <c r="B7" s="144">
        <v>5</v>
      </c>
      <c r="C7" s="896"/>
      <c r="D7" s="896"/>
      <c r="E7" s="897"/>
      <c r="F7" s="893"/>
      <c r="G7" s="896"/>
      <c r="H7" s="1658"/>
      <c r="I7" s="898"/>
      <c r="J7" s="896"/>
      <c r="K7" s="897"/>
      <c r="L7" s="322"/>
    </row>
    <row r="8" spans="1:12" ht="11.25" customHeight="1" x14ac:dyDescent="0.25">
      <c r="A8" s="137" t="s">
        <v>1238</v>
      </c>
      <c r="B8" s="144">
        <v>3</v>
      </c>
      <c r="C8" s="893">
        <v>5</v>
      </c>
      <c r="D8" s="896">
        <v>0</v>
      </c>
      <c r="E8" s="1658">
        <v>5</v>
      </c>
      <c r="F8" s="893">
        <v>5</v>
      </c>
      <c r="G8" s="896">
        <v>0</v>
      </c>
      <c r="H8" s="1658">
        <v>5</v>
      </c>
      <c r="I8" s="898">
        <v>5</v>
      </c>
      <c r="J8" s="896">
        <v>0</v>
      </c>
      <c r="K8" s="897">
        <v>5</v>
      </c>
      <c r="L8" s="322"/>
    </row>
    <row r="9" spans="1:12" ht="11.25" customHeight="1" x14ac:dyDescent="0.25">
      <c r="A9" s="137" t="s">
        <v>487</v>
      </c>
      <c r="B9" s="144">
        <v>7</v>
      </c>
      <c r="C9" s="893">
        <v>6</v>
      </c>
      <c r="D9" s="896">
        <v>6</v>
      </c>
      <c r="E9" s="1658">
        <v>0</v>
      </c>
      <c r="F9" s="893">
        <v>7</v>
      </c>
      <c r="G9" s="896">
        <v>7</v>
      </c>
      <c r="H9" s="1658">
        <v>0</v>
      </c>
      <c r="I9" s="898"/>
      <c r="J9" s="896">
        <v>9</v>
      </c>
      <c r="K9" s="897">
        <v>9</v>
      </c>
      <c r="L9" s="322"/>
    </row>
    <row r="10" spans="1:12" ht="11.25" customHeight="1" x14ac:dyDescent="0.25">
      <c r="A10" s="137" t="s">
        <v>1239</v>
      </c>
      <c r="B10" s="144"/>
      <c r="C10" s="138">
        <f>SUM(C11:C19)</f>
        <v>11</v>
      </c>
      <c r="D10" s="138">
        <f t="shared" ref="D10:K10" si="0">SUM(D11:D19)</f>
        <v>11</v>
      </c>
      <c r="E10" s="139">
        <f t="shared" si="0"/>
        <v>0</v>
      </c>
      <c r="F10" s="140">
        <f t="shared" si="0"/>
        <v>13</v>
      </c>
      <c r="G10" s="138">
        <f t="shared" si="0"/>
        <v>13</v>
      </c>
      <c r="H10" s="141">
        <f t="shared" si="0"/>
        <v>0</v>
      </c>
      <c r="I10" s="142">
        <f t="shared" si="0"/>
        <v>15</v>
      </c>
      <c r="J10" s="138">
        <f t="shared" si="0"/>
        <v>15</v>
      </c>
      <c r="K10" s="139">
        <f t="shared" si="0"/>
        <v>0</v>
      </c>
      <c r="L10" s="322"/>
    </row>
    <row r="11" spans="1:12" ht="11.25" customHeight="1" x14ac:dyDescent="0.25">
      <c r="A11" s="1988" t="s">
        <v>1574</v>
      </c>
      <c r="B11" s="144"/>
      <c r="C11" s="893">
        <v>9</v>
      </c>
      <c r="D11" s="896">
        <v>9</v>
      </c>
      <c r="E11" s="1658"/>
      <c r="F11" s="893">
        <v>11</v>
      </c>
      <c r="G11" s="896">
        <v>11</v>
      </c>
      <c r="H11" s="1658">
        <v>0</v>
      </c>
      <c r="I11" s="898">
        <v>12</v>
      </c>
      <c r="J11" s="896">
        <v>12</v>
      </c>
      <c r="K11" s="897">
        <v>0</v>
      </c>
      <c r="L11" s="322"/>
    </row>
    <row r="12" spans="1:12" ht="11.25" customHeight="1" x14ac:dyDescent="0.25">
      <c r="A12" s="1988" t="s">
        <v>1240</v>
      </c>
      <c r="B12" s="144"/>
      <c r="C12" s="893">
        <v>1</v>
      </c>
      <c r="D12" s="896">
        <v>1</v>
      </c>
      <c r="E12" s="1658">
        <v>0</v>
      </c>
      <c r="F12" s="893">
        <v>1</v>
      </c>
      <c r="G12" s="896">
        <v>1</v>
      </c>
      <c r="H12" s="1658">
        <v>0</v>
      </c>
      <c r="I12" s="898">
        <v>1</v>
      </c>
      <c r="J12" s="896">
        <v>1</v>
      </c>
      <c r="K12" s="897">
        <v>0</v>
      </c>
      <c r="L12" s="322"/>
    </row>
    <row r="13" spans="1:12" ht="11.25" customHeight="1" x14ac:dyDescent="0.25">
      <c r="A13" s="1988" t="s">
        <v>286</v>
      </c>
      <c r="B13" s="144"/>
      <c r="C13" s="893">
        <v>1</v>
      </c>
      <c r="D13" s="896">
        <v>1</v>
      </c>
      <c r="E13" s="1658">
        <v>0</v>
      </c>
      <c r="F13" s="893">
        <v>1</v>
      </c>
      <c r="G13" s="896">
        <v>1</v>
      </c>
      <c r="H13" s="1658">
        <v>0</v>
      </c>
      <c r="I13" s="898">
        <v>2</v>
      </c>
      <c r="J13" s="896">
        <v>2</v>
      </c>
      <c r="K13" s="897">
        <v>0</v>
      </c>
      <c r="L13" s="322"/>
    </row>
    <row r="14" spans="1:12" ht="11.25" customHeight="1" x14ac:dyDescent="0.25">
      <c r="A14" s="1988" t="s">
        <v>629</v>
      </c>
      <c r="B14" s="144"/>
      <c r="C14" s="896"/>
      <c r="D14" s="896"/>
      <c r="E14" s="897"/>
      <c r="F14" s="893"/>
      <c r="G14" s="896"/>
      <c r="H14" s="1658"/>
      <c r="I14" s="898"/>
      <c r="J14" s="896"/>
      <c r="K14" s="897"/>
      <c r="L14" s="322"/>
    </row>
    <row r="15" spans="1:12" ht="11.25" customHeight="1" x14ac:dyDescent="0.25">
      <c r="A15" s="1988" t="s">
        <v>555</v>
      </c>
      <c r="B15" s="144"/>
      <c r="C15" s="896"/>
      <c r="D15" s="896"/>
      <c r="E15" s="897"/>
      <c r="F15" s="893"/>
      <c r="G15" s="896"/>
      <c r="H15" s="1658"/>
      <c r="I15" s="898"/>
      <c r="J15" s="896"/>
      <c r="K15" s="897"/>
      <c r="L15" s="322"/>
    </row>
    <row r="16" spans="1:12" ht="11.25" customHeight="1" x14ac:dyDescent="0.25">
      <c r="A16" s="1988" t="s">
        <v>820</v>
      </c>
      <c r="B16" s="144"/>
      <c r="C16" s="896"/>
      <c r="D16" s="896"/>
      <c r="E16" s="897"/>
      <c r="F16" s="893"/>
      <c r="G16" s="896"/>
      <c r="H16" s="1658"/>
      <c r="I16" s="898"/>
      <c r="J16" s="896"/>
      <c r="K16" s="897"/>
      <c r="L16" s="322"/>
    </row>
    <row r="17" spans="1:12" ht="11.25" customHeight="1" x14ac:dyDescent="0.25">
      <c r="A17" s="1988" t="s">
        <v>821</v>
      </c>
      <c r="B17" s="144"/>
      <c r="C17" s="896"/>
      <c r="D17" s="896"/>
      <c r="E17" s="897"/>
      <c r="F17" s="893"/>
      <c r="G17" s="896"/>
      <c r="H17" s="1658"/>
      <c r="I17" s="898"/>
      <c r="J17" s="896"/>
      <c r="K17" s="897"/>
      <c r="L17" s="322"/>
    </row>
    <row r="18" spans="1:12" ht="11.25" customHeight="1" x14ac:dyDescent="0.25">
      <c r="A18" s="1988" t="s">
        <v>1122</v>
      </c>
      <c r="B18" s="144"/>
      <c r="C18" s="896"/>
      <c r="D18" s="896"/>
      <c r="E18" s="897"/>
      <c r="F18" s="893"/>
      <c r="G18" s="896"/>
      <c r="H18" s="1658"/>
      <c r="I18" s="898"/>
      <c r="J18" s="896"/>
      <c r="K18" s="897"/>
      <c r="L18" s="322"/>
    </row>
    <row r="19" spans="1:12" ht="11.25" customHeight="1" x14ac:dyDescent="0.25">
      <c r="A19" s="1988" t="s">
        <v>245</v>
      </c>
      <c r="B19" s="144"/>
      <c r="C19" s="896"/>
      <c r="D19" s="896"/>
      <c r="E19" s="897"/>
      <c r="F19" s="893"/>
      <c r="G19" s="896"/>
      <c r="H19" s="1658"/>
      <c r="I19" s="898"/>
      <c r="J19" s="896"/>
      <c r="K19" s="897"/>
      <c r="L19" s="322"/>
    </row>
    <row r="20" spans="1:12" ht="11.25" customHeight="1" x14ac:dyDescent="0.25">
      <c r="A20" s="137" t="s">
        <v>1241</v>
      </c>
      <c r="B20" s="144"/>
      <c r="C20" s="138">
        <f>SUM(C21:C29)</f>
        <v>0</v>
      </c>
      <c r="D20" s="138">
        <f t="shared" ref="D20:K20" si="1">SUM(D21:D29)</f>
        <v>0</v>
      </c>
      <c r="E20" s="139">
        <f t="shared" si="1"/>
        <v>0</v>
      </c>
      <c r="F20" s="140">
        <f t="shared" si="1"/>
        <v>0</v>
      </c>
      <c r="G20" s="138">
        <f t="shared" si="1"/>
        <v>0</v>
      </c>
      <c r="H20" s="141">
        <f t="shared" si="1"/>
        <v>0</v>
      </c>
      <c r="I20" s="142">
        <f t="shared" si="1"/>
        <v>0</v>
      </c>
      <c r="J20" s="138">
        <f t="shared" si="1"/>
        <v>0</v>
      </c>
      <c r="K20" s="139">
        <f t="shared" si="1"/>
        <v>0</v>
      </c>
      <c r="L20" s="322"/>
    </row>
    <row r="21" spans="1:12" ht="11.25" customHeight="1" x14ac:dyDescent="0.25">
      <c r="A21" s="1988" t="s">
        <v>1574</v>
      </c>
      <c r="B21" s="144"/>
      <c r="C21" s="896"/>
      <c r="D21" s="896"/>
      <c r="E21" s="897"/>
      <c r="F21" s="893"/>
      <c r="G21" s="896"/>
      <c r="H21" s="1658"/>
      <c r="I21" s="898"/>
      <c r="J21" s="896"/>
      <c r="K21" s="897"/>
      <c r="L21" s="322"/>
    </row>
    <row r="22" spans="1:12" ht="11.25" customHeight="1" x14ac:dyDescent="0.25">
      <c r="A22" s="1988" t="s">
        <v>1240</v>
      </c>
      <c r="B22" s="144"/>
      <c r="C22" s="896"/>
      <c r="D22" s="896"/>
      <c r="E22" s="897"/>
      <c r="F22" s="893"/>
      <c r="G22" s="896"/>
      <c r="H22" s="1658"/>
      <c r="I22" s="898"/>
      <c r="J22" s="896"/>
      <c r="K22" s="897"/>
      <c r="L22" s="322"/>
    </row>
    <row r="23" spans="1:12" ht="11.25" customHeight="1" x14ac:dyDescent="0.25">
      <c r="A23" s="1988" t="s">
        <v>286</v>
      </c>
      <c r="B23" s="144"/>
      <c r="C23" s="896"/>
      <c r="D23" s="896"/>
      <c r="E23" s="897"/>
      <c r="F23" s="893"/>
      <c r="G23" s="896"/>
      <c r="H23" s="1658"/>
      <c r="I23" s="898"/>
      <c r="J23" s="896"/>
      <c r="K23" s="897"/>
      <c r="L23" s="322"/>
    </row>
    <row r="24" spans="1:12" ht="11.25" customHeight="1" x14ac:dyDescent="0.25">
      <c r="A24" s="1988" t="s">
        <v>629</v>
      </c>
      <c r="B24" s="144"/>
      <c r="C24" s="896"/>
      <c r="D24" s="896"/>
      <c r="E24" s="897"/>
      <c r="F24" s="893"/>
      <c r="G24" s="896"/>
      <c r="H24" s="1658"/>
      <c r="I24" s="898"/>
      <c r="J24" s="896"/>
      <c r="K24" s="897"/>
      <c r="L24" s="322"/>
    </row>
    <row r="25" spans="1:12" ht="11.25" customHeight="1" x14ac:dyDescent="0.25">
      <c r="A25" s="1988" t="s">
        <v>555</v>
      </c>
      <c r="B25" s="144"/>
      <c r="C25" s="896"/>
      <c r="D25" s="896"/>
      <c r="E25" s="897"/>
      <c r="F25" s="893"/>
      <c r="G25" s="896"/>
      <c r="H25" s="1658"/>
      <c r="I25" s="898"/>
      <c r="J25" s="896"/>
      <c r="K25" s="897"/>
      <c r="L25" s="322"/>
    </row>
    <row r="26" spans="1:12" ht="11.25" customHeight="1" x14ac:dyDescent="0.25">
      <c r="A26" s="1988" t="s">
        <v>820</v>
      </c>
      <c r="B26" s="144"/>
      <c r="C26" s="896"/>
      <c r="D26" s="896"/>
      <c r="E26" s="897"/>
      <c r="F26" s="893"/>
      <c r="G26" s="896"/>
      <c r="H26" s="1658"/>
      <c r="I26" s="898"/>
      <c r="J26" s="896"/>
      <c r="K26" s="897"/>
      <c r="L26" s="322"/>
    </row>
    <row r="27" spans="1:12" ht="11.25" customHeight="1" x14ac:dyDescent="0.25">
      <c r="A27" s="1988" t="s">
        <v>821</v>
      </c>
      <c r="B27" s="144"/>
      <c r="C27" s="896"/>
      <c r="D27" s="896"/>
      <c r="E27" s="897"/>
      <c r="F27" s="893"/>
      <c r="G27" s="896"/>
      <c r="H27" s="1658"/>
      <c r="I27" s="898"/>
      <c r="J27" s="896"/>
      <c r="K27" s="897"/>
      <c r="L27" s="322"/>
    </row>
    <row r="28" spans="1:12" ht="11.25" customHeight="1" x14ac:dyDescent="0.25">
      <c r="A28" s="1988" t="s">
        <v>1122</v>
      </c>
      <c r="B28" s="144"/>
      <c r="C28" s="896"/>
      <c r="D28" s="896"/>
      <c r="E28" s="897"/>
      <c r="F28" s="893"/>
      <c r="G28" s="896"/>
      <c r="H28" s="1658"/>
      <c r="I28" s="898"/>
      <c r="J28" s="896"/>
      <c r="K28" s="897"/>
      <c r="L28" s="322"/>
    </row>
    <row r="29" spans="1:12" ht="11.25" customHeight="1" x14ac:dyDescent="0.25">
      <c r="A29" s="1988" t="s">
        <v>245</v>
      </c>
      <c r="B29" s="144"/>
      <c r="C29" s="896"/>
      <c r="D29" s="896"/>
      <c r="E29" s="897"/>
      <c r="F29" s="893"/>
      <c r="G29" s="896"/>
      <c r="H29" s="1658"/>
      <c r="I29" s="898"/>
      <c r="J29" s="896"/>
      <c r="K29" s="897"/>
      <c r="L29" s="322"/>
    </row>
    <row r="30" spans="1:12" ht="11.25" customHeight="1" x14ac:dyDescent="0.25">
      <c r="A30" s="137" t="s">
        <v>1242</v>
      </c>
      <c r="B30" s="144"/>
      <c r="C30" s="896">
        <v>21</v>
      </c>
      <c r="D30" s="896">
        <v>21</v>
      </c>
      <c r="E30" s="897"/>
      <c r="F30" s="893">
        <v>25</v>
      </c>
      <c r="G30" s="896">
        <v>25</v>
      </c>
      <c r="H30" s="1658">
        <v>0</v>
      </c>
      <c r="I30" s="898">
        <v>27</v>
      </c>
      <c r="J30" s="896">
        <v>27</v>
      </c>
      <c r="K30" s="897">
        <v>0</v>
      </c>
      <c r="L30" s="322"/>
    </row>
    <row r="31" spans="1:12" ht="11.25" customHeight="1" x14ac:dyDescent="0.25">
      <c r="A31" s="137" t="s">
        <v>1243</v>
      </c>
      <c r="B31" s="144"/>
      <c r="C31" s="896"/>
      <c r="D31" s="896"/>
      <c r="E31" s="897"/>
      <c r="F31" s="893"/>
      <c r="G31" s="896"/>
      <c r="H31" s="1658"/>
      <c r="I31" s="898"/>
      <c r="J31" s="896"/>
      <c r="K31" s="897"/>
      <c r="L31" s="322"/>
    </row>
    <row r="32" spans="1:12" ht="11.25" customHeight="1" x14ac:dyDescent="0.25">
      <c r="A32" s="137" t="s">
        <v>698</v>
      </c>
      <c r="B32" s="144"/>
      <c r="C32" s="896"/>
      <c r="D32" s="896"/>
      <c r="E32" s="897"/>
      <c r="F32" s="893"/>
      <c r="G32" s="896"/>
      <c r="H32" s="1658"/>
      <c r="I32" s="898"/>
      <c r="J32" s="896"/>
      <c r="K32" s="897"/>
      <c r="L32" s="322"/>
    </row>
    <row r="33" spans="1:15" ht="11.25" customHeight="1" x14ac:dyDescent="0.25">
      <c r="A33" s="137" t="s">
        <v>1244</v>
      </c>
      <c r="B33" s="144"/>
      <c r="C33" s="896"/>
      <c r="D33" s="896"/>
      <c r="E33" s="897"/>
      <c r="F33" s="893"/>
      <c r="G33" s="896"/>
      <c r="H33" s="1658"/>
      <c r="I33" s="898"/>
      <c r="J33" s="896"/>
      <c r="K33" s="897"/>
      <c r="L33" s="322"/>
    </row>
    <row r="34" spans="1:15" ht="11.25" customHeight="1" x14ac:dyDescent="0.25">
      <c r="A34" s="137" t="s">
        <v>1245</v>
      </c>
      <c r="B34" s="144"/>
      <c r="C34" s="896"/>
      <c r="D34" s="896"/>
      <c r="E34" s="897"/>
      <c r="F34" s="893"/>
      <c r="G34" s="896"/>
      <c r="H34" s="1658"/>
      <c r="I34" s="898"/>
      <c r="J34" s="896"/>
      <c r="K34" s="897"/>
      <c r="L34" s="322"/>
    </row>
    <row r="35" spans="1:15" ht="11.25" customHeight="1" x14ac:dyDescent="0.25">
      <c r="A35" s="137" t="s">
        <v>1246</v>
      </c>
      <c r="B35" s="144"/>
      <c r="C35" s="896"/>
      <c r="D35" s="896"/>
      <c r="E35" s="897"/>
      <c r="F35" s="893"/>
      <c r="G35" s="896"/>
      <c r="H35" s="1658"/>
      <c r="I35" s="898"/>
      <c r="J35" s="896"/>
      <c r="K35" s="897"/>
      <c r="L35" s="322"/>
    </row>
    <row r="36" spans="1:15" ht="11.25" customHeight="1" x14ac:dyDescent="0.25">
      <c r="A36" s="1930" t="s">
        <v>581</v>
      </c>
      <c r="B36" s="144">
        <v>9</v>
      </c>
      <c r="C36" s="1989">
        <f>SUM(C5:C9)+SUM(C11:C19)+SUM(C21:C35)</f>
        <v>57</v>
      </c>
      <c r="D36" s="1989">
        <f t="shared" ref="D36:K36" si="2">SUM(D5:D9)+SUM(D11:D19)+SUM(D21:D35)</f>
        <v>48</v>
      </c>
      <c r="E36" s="1990">
        <f t="shared" si="2"/>
        <v>22</v>
      </c>
      <c r="F36" s="1991">
        <f t="shared" si="2"/>
        <v>64</v>
      </c>
      <c r="G36" s="1989">
        <f t="shared" si="2"/>
        <v>55</v>
      </c>
      <c r="H36" s="1992">
        <f>SUM(H5:H9)+SUM(H11:H19)+SUM(H21:H35)</f>
        <v>22</v>
      </c>
      <c r="I36" s="1993">
        <f t="shared" si="2"/>
        <v>61</v>
      </c>
      <c r="J36" s="1989">
        <f t="shared" si="2"/>
        <v>61</v>
      </c>
      <c r="K36" s="1992">
        <f t="shared" si="2"/>
        <v>31</v>
      </c>
      <c r="L36" s="322"/>
    </row>
    <row r="37" spans="1:15" ht="11.25" customHeight="1" x14ac:dyDescent="0.25">
      <c r="A37" s="1994" t="s">
        <v>797</v>
      </c>
      <c r="B37" s="144"/>
      <c r="C37" s="1995"/>
      <c r="D37" s="1996"/>
      <c r="E37" s="1997"/>
      <c r="F37" s="1998">
        <f t="shared" ref="F37:K37" si="3">IF(ISERROR((F36/C36)-1),0,((F36/C36)-1))</f>
        <v>0.12280701754385959</v>
      </c>
      <c r="G37" s="1999">
        <f t="shared" si="3"/>
        <v>0.14583333333333326</v>
      </c>
      <c r="H37" s="2000">
        <f t="shared" si="3"/>
        <v>0</v>
      </c>
      <c r="I37" s="2001">
        <f t="shared" si="3"/>
        <v>-4.6875E-2</v>
      </c>
      <c r="J37" s="1999">
        <f t="shared" si="3"/>
        <v>0.10909090909090913</v>
      </c>
      <c r="K37" s="2002">
        <f t="shared" si="3"/>
        <v>0.40909090909090917</v>
      </c>
      <c r="L37" s="322"/>
      <c r="O37" s="322"/>
    </row>
    <row r="38" spans="1:15" ht="3.75" customHeight="1" x14ac:dyDescent="0.25">
      <c r="A38" s="1994"/>
      <c r="B38" s="144"/>
      <c r="C38" s="1995"/>
      <c r="D38" s="1999"/>
      <c r="E38" s="2002"/>
      <c r="F38" s="1998"/>
      <c r="G38" s="1999"/>
      <c r="H38" s="2000"/>
      <c r="I38" s="2001"/>
      <c r="J38" s="1999"/>
      <c r="K38" s="2002"/>
      <c r="L38" s="322"/>
    </row>
    <row r="39" spans="1:15" ht="11.25" customHeight="1" x14ac:dyDescent="0.25">
      <c r="A39" s="475" t="s">
        <v>1247</v>
      </c>
      <c r="B39" s="144" t="s">
        <v>2000</v>
      </c>
      <c r="C39" s="2003"/>
      <c r="D39" s="2004"/>
      <c r="E39" s="2005"/>
      <c r="F39" s="2006"/>
      <c r="G39" s="2007"/>
      <c r="H39" s="2008"/>
      <c r="I39" s="2009"/>
      <c r="J39" s="2007"/>
      <c r="K39" s="2010"/>
      <c r="L39" s="322"/>
    </row>
    <row r="40" spans="1:15" ht="11.25" customHeight="1" x14ac:dyDescent="0.25">
      <c r="A40" s="104" t="s">
        <v>1248</v>
      </c>
      <c r="B40" s="144" t="s">
        <v>2001</v>
      </c>
      <c r="C40" s="2003"/>
      <c r="D40" s="2004"/>
      <c r="E40" s="2005"/>
      <c r="F40" s="2006"/>
      <c r="G40" s="2007"/>
      <c r="H40" s="2008"/>
      <c r="I40" s="2009"/>
      <c r="J40" s="2007"/>
      <c r="K40" s="2010"/>
      <c r="L40" s="322"/>
    </row>
    <row r="41" spans="1:15" ht="11.25" customHeight="1" x14ac:dyDescent="0.25">
      <c r="A41" s="2011" t="s">
        <v>1249</v>
      </c>
      <c r="B41" s="198" t="s">
        <v>2001</v>
      </c>
      <c r="C41" s="2012"/>
      <c r="D41" s="2013"/>
      <c r="E41" s="2014"/>
      <c r="F41" s="2015"/>
      <c r="G41" s="2016"/>
      <c r="H41" s="2017"/>
      <c r="I41" s="2018"/>
      <c r="J41" s="2016"/>
      <c r="K41" s="2019"/>
      <c r="L41" s="322"/>
    </row>
    <row r="42" spans="1:15" ht="11.25" customHeight="1" x14ac:dyDescent="0.25">
      <c r="A42" s="560"/>
      <c r="B42" s="189"/>
      <c r="C42" s="221"/>
      <c r="D42" s="221"/>
      <c r="E42" s="221"/>
      <c r="F42" s="221"/>
      <c r="G42" s="221"/>
      <c r="H42" s="221"/>
      <c r="I42" s="221"/>
      <c r="J42" s="221"/>
      <c r="K42" s="221"/>
      <c r="L42" s="322"/>
    </row>
    <row r="43" spans="1:15" ht="11.25" customHeight="1" x14ac:dyDescent="0.25">
      <c r="A43" s="217" t="str">
        <f>head27a</f>
        <v>References</v>
      </c>
      <c r="B43" s="189"/>
      <c r="C43" s="221"/>
      <c r="D43" s="221"/>
      <c r="E43" s="221"/>
      <c r="F43" s="221"/>
      <c r="G43" s="221"/>
      <c r="H43" s="221"/>
      <c r="I43" s="221"/>
      <c r="J43" s="221"/>
      <c r="K43" s="221"/>
      <c r="L43" s="322"/>
    </row>
    <row r="44" spans="1:15" ht="11.25" customHeight="1" x14ac:dyDescent="0.25">
      <c r="A44" s="381" t="s">
        <v>1697</v>
      </c>
      <c r="B44" s="189"/>
      <c r="C44" s="221"/>
      <c r="D44" s="221"/>
      <c r="E44" s="221"/>
      <c r="F44" s="221"/>
      <c r="G44" s="221"/>
      <c r="H44" s="221"/>
      <c r="I44" s="221"/>
      <c r="J44" s="221"/>
      <c r="K44" s="221"/>
      <c r="L44" s="322"/>
    </row>
    <row r="45" spans="1:15" ht="11.25" customHeight="1" x14ac:dyDescent="0.25">
      <c r="A45" s="299" t="s">
        <v>1698</v>
      </c>
    </row>
    <row r="46" spans="1:15" ht="11.25" customHeight="1" x14ac:dyDescent="0.25">
      <c r="A46" s="299" t="s">
        <v>1699</v>
      </c>
    </row>
    <row r="47" spans="1:15" ht="11.25" customHeight="1" x14ac:dyDescent="0.25">
      <c r="A47" s="299" t="s">
        <v>1700</v>
      </c>
    </row>
    <row r="48" spans="1:15" ht="11.25" customHeight="1" x14ac:dyDescent="0.25">
      <c r="A48" s="299" t="s">
        <v>1701</v>
      </c>
    </row>
    <row r="49" spans="1:1" ht="11.25" customHeight="1" x14ac:dyDescent="0.25">
      <c r="A49" s="299" t="s">
        <v>1702</v>
      </c>
    </row>
    <row r="50" spans="1:1" ht="11.25" customHeight="1" x14ac:dyDescent="0.25">
      <c r="A50" s="299" t="s">
        <v>1703</v>
      </c>
    </row>
    <row r="51" spans="1:1" ht="11.25" customHeight="1" x14ac:dyDescent="0.25">
      <c r="A51" s="299" t="s">
        <v>1704</v>
      </c>
    </row>
    <row r="52" spans="1:1" x14ac:dyDescent="0.25">
      <c r="A52" s="299" t="s">
        <v>1988</v>
      </c>
    </row>
    <row r="53" spans="1:1" x14ac:dyDescent="0.25">
      <c r="A53" s="299" t="s">
        <v>1999</v>
      </c>
    </row>
  </sheetData>
  <mergeCells count="3">
    <mergeCell ref="F2:H2"/>
    <mergeCell ref="I2:K2"/>
    <mergeCell ref="C2:E2"/>
  </mergeCells>
  <phoneticPr fontId="7" type="noConversion"/>
  <dataValidations count="1">
    <dataValidation type="decimal" allowBlank="1" showInputMessage="1" showErrorMessage="1" sqref="C39:K41 C5:K9 C21:K35 C11:K19" xr:uid="{00000000-0002-0000-2D00-000000000000}">
      <formula1>-99999999999999900000</formula1>
      <formula2>9999999999999990000</formula2>
    </dataValidation>
  </dataValidations>
  <printOptions horizontalCentered="1"/>
  <pageMargins left="0.36" right="0.14000000000000001" top="0.78740157480314965" bottom="0.59055118110236227" header="0.51181102362204722" footer="0.39"/>
  <pageSetup paperSize="9" scale="84" orientation="portrait"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Sheet45">
    <pageSetUpPr fitToPage="1"/>
  </sheetPr>
  <dimension ref="A1:Q48"/>
  <sheetViews>
    <sheetView showGridLines="0" zoomScale="110" zoomScaleNormal="110" workbookViewId="0">
      <pane xSplit="2" ySplit="3" topLeftCell="J25" activePane="bottomRight" state="frozen"/>
      <selection pane="topRight"/>
      <selection pane="bottomLeft"/>
      <selection pane="bottomRight" activeCell="P16" sqref="P16"/>
    </sheetView>
  </sheetViews>
  <sheetFormatPr defaultColWidth="9.140625" defaultRowHeight="12.75" x14ac:dyDescent="0.25"/>
  <cols>
    <col min="1" max="1" width="30.7109375" style="58" customWidth="1"/>
    <col min="2" max="2" width="3" style="58" customWidth="1"/>
    <col min="3" max="14" width="8.28515625" style="58" customWidth="1"/>
    <col min="15" max="17" width="9.28515625" style="58" customWidth="1"/>
    <col min="18" max="28" width="0" style="58" hidden="1" customWidth="1"/>
    <col min="29" max="16384" width="9.140625" style="58"/>
  </cols>
  <sheetData>
    <row r="1" spans="1:17" ht="13.5" customHeight="1" x14ac:dyDescent="0.25">
      <c r="A1" s="92" t="str">
        <f>muni&amp;" - "&amp; TableA25</f>
        <v>KZN226 Mkhambathini - Supporting Table SA25 Budgeted monthly revenue and expenditure</v>
      </c>
      <c r="B1" s="92"/>
      <c r="C1" s="92"/>
      <c r="D1" s="92"/>
      <c r="E1" s="92"/>
      <c r="F1" s="92"/>
      <c r="G1" s="92"/>
      <c r="H1" s="92"/>
      <c r="I1" s="92"/>
      <c r="J1" s="92"/>
      <c r="K1" s="92"/>
      <c r="L1" s="92"/>
      <c r="M1" s="92"/>
      <c r="N1" s="92"/>
      <c r="O1" s="92"/>
      <c r="P1" s="92"/>
      <c r="Q1" s="92"/>
    </row>
    <row r="2" spans="1:17" ht="28.5" customHeight="1" x14ac:dyDescent="0.25">
      <c r="A2" s="1829" t="str">
        <f>desc</f>
        <v>Description</v>
      </c>
      <c r="B2" s="1825" t="str">
        <f>head27</f>
        <v>Ref</v>
      </c>
      <c r="C2" s="2447" t="str">
        <f>Head9</f>
        <v>Budget Year 2021/22</v>
      </c>
      <c r="D2" s="2448"/>
      <c r="E2" s="2448"/>
      <c r="F2" s="2448"/>
      <c r="G2" s="2448"/>
      <c r="H2" s="2448"/>
      <c r="I2" s="2448"/>
      <c r="J2" s="2448"/>
      <c r="K2" s="2448"/>
      <c r="L2" s="2448"/>
      <c r="M2" s="2448"/>
      <c r="N2" s="2448"/>
      <c r="O2" s="2450" t="s">
        <v>1554</v>
      </c>
      <c r="P2" s="2451"/>
      <c r="Q2" s="2452"/>
    </row>
    <row r="3" spans="1:17" ht="25.5" x14ac:dyDescent="0.25">
      <c r="A3" s="2020" t="s">
        <v>568</v>
      </c>
      <c r="B3" s="2021"/>
      <c r="C3" s="825" t="s">
        <v>620</v>
      </c>
      <c r="D3" s="527" t="s">
        <v>1233</v>
      </c>
      <c r="E3" s="527" t="s">
        <v>1234</v>
      </c>
      <c r="F3" s="527" t="s">
        <v>1235</v>
      </c>
      <c r="G3" s="527" t="s">
        <v>603</v>
      </c>
      <c r="H3" s="527" t="s">
        <v>604</v>
      </c>
      <c r="I3" s="527" t="s">
        <v>605</v>
      </c>
      <c r="J3" s="527" t="s">
        <v>606</v>
      </c>
      <c r="K3" s="527" t="s">
        <v>607</v>
      </c>
      <c r="L3" s="527" t="s">
        <v>608</v>
      </c>
      <c r="M3" s="527" t="s">
        <v>609</v>
      </c>
      <c r="N3" s="94" t="s">
        <v>610</v>
      </c>
      <c r="O3" s="95" t="str">
        <f>Head9</f>
        <v>Budget Year 2021/22</v>
      </c>
      <c r="P3" s="698" t="str">
        <f>Head10</f>
        <v>Budget Year +1 2022/23</v>
      </c>
      <c r="Q3" s="94" t="str">
        <f>Head11</f>
        <v>Budget Year +2 2023/24</v>
      </c>
    </row>
    <row r="4" spans="1:17" x14ac:dyDescent="0.25">
      <c r="A4" s="2022" t="str">
        <f>'A4-FinPerf RE'!A4</f>
        <v>Revenue By Source</v>
      </c>
      <c r="B4" s="2023"/>
      <c r="C4" s="759"/>
      <c r="D4" s="81"/>
      <c r="E4" s="81"/>
      <c r="F4" s="81"/>
      <c r="G4" s="81"/>
      <c r="H4" s="81"/>
      <c r="I4" s="81"/>
      <c r="J4" s="81"/>
      <c r="K4" s="81"/>
      <c r="L4" s="81"/>
      <c r="M4" s="81"/>
      <c r="N4" s="760"/>
      <c r="O4" s="757"/>
      <c r="P4" s="81"/>
      <c r="Q4" s="758"/>
    </row>
    <row r="5" spans="1:17" ht="11.25" customHeight="1" x14ac:dyDescent="0.25">
      <c r="A5" s="104" t="str">
        <f>'A4-FinPerf RE'!A5</f>
        <v>Property rates</v>
      </c>
      <c r="B5" s="2024"/>
      <c r="C5" s="725">
        <f>ROUND($O5/12,0)</f>
        <v>1712759</v>
      </c>
      <c r="D5" s="712">
        <f>ROUND($O5/12,0)</f>
        <v>1712759</v>
      </c>
      <c r="E5" s="712">
        <f t="shared" ref="E5:M20" si="0">ROUND($O5/12,0)</f>
        <v>1712759</v>
      </c>
      <c r="F5" s="712">
        <f t="shared" si="0"/>
        <v>1712759</v>
      </c>
      <c r="G5" s="712">
        <f t="shared" si="0"/>
        <v>1712759</v>
      </c>
      <c r="H5" s="712">
        <f t="shared" si="0"/>
        <v>1712759</v>
      </c>
      <c r="I5" s="712">
        <f t="shared" si="0"/>
        <v>1712759</v>
      </c>
      <c r="J5" s="712">
        <f t="shared" si="0"/>
        <v>1712759</v>
      </c>
      <c r="K5" s="712">
        <f t="shared" si="0"/>
        <v>1712759</v>
      </c>
      <c r="L5" s="712">
        <f t="shared" si="0"/>
        <v>1712759</v>
      </c>
      <c r="M5" s="712">
        <f>ROUND($O5/12,0)</f>
        <v>1712759</v>
      </c>
      <c r="N5" s="388">
        <f t="shared" ref="N5:N20" si="1">O5-SUM(C5:M5)</f>
        <v>1712754</v>
      </c>
      <c r="O5" s="179">
        <f>'A4-FinPerf RE'!J5</f>
        <v>20553103</v>
      </c>
      <c r="P5" s="177">
        <f>'A4-FinPerf RE'!K5</f>
        <v>21375231</v>
      </c>
      <c r="Q5" s="178">
        <f>'A4-FinPerf RE'!L5</f>
        <v>22230239</v>
      </c>
    </row>
    <row r="6" spans="1:17" ht="11.25" customHeight="1" x14ac:dyDescent="0.25">
      <c r="A6" s="104" t="str">
        <f>'A4-FinPerf RE'!A6</f>
        <v>Service charges - electricity revenue</v>
      </c>
      <c r="B6" s="2024"/>
      <c r="C6" s="725">
        <f t="shared" ref="C6:D20" si="2">ROUND($O6/12,0)</f>
        <v>0</v>
      </c>
      <c r="D6" s="712">
        <f t="shared" si="2"/>
        <v>0</v>
      </c>
      <c r="E6" s="712">
        <f t="shared" si="0"/>
        <v>0</v>
      </c>
      <c r="F6" s="712">
        <f t="shared" si="0"/>
        <v>0</v>
      </c>
      <c r="G6" s="712">
        <f t="shared" si="0"/>
        <v>0</v>
      </c>
      <c r="H6" s="712">
        <f t="shared" si="0"/>
        <v>0</v>
      </c>
      <c r="I6" s="712">
        <f t="shared" si="0"/>
        <v>0</v>
      </c>
      <c r="J6" s="712">
        <f t="shared" si="0"/>
        <v>0</v>
      </c>
      <c r="K6" s="712">
        <f t="shared" si="0"/>
        <v>0</v>
      </c>
      <c r="L6" s="712">
        <f t="shared" si="0"/>
        <v>0</v>
      </c>
      <c r="M6" s="712">
        <f t="shared" si="0"/>
        <v>0</v>
      </c>
      <c r="N6" s="388">
        <f t="shared" si="1"/>
        <v>0</v>
      </c>
      <c r="O6" s="179">
        <f>'A4-FinPerf RE'!J6</f>
        <v>0</v>
      </c>
      <c r="P6" s="71">
        <f>'A4-FinPerf RE'!K6</f>
        <v>0</v>
      </c>
      <c r="Q6" s="72">
        <f>'A4-FinPerf RE'!L6</f>
        <v>0</v>
      </c>
    </row>
    <row r="7" spans="1:17" ht="11.25" customHeight="1" x14ac:dyDescent="0.25">
      <c r="A7" s="104" t="str">
        <f>'A4-FinPerf RE'!A7</f>
        <v>Service charges - water revenue</v>
      </c>
      <c r="B7" s="2024"/>
      <c r="C7" s="725">
        <f t="shared" si="2"/>
        <v>0</v>
      </c>
      <c r="D7" s="712">
        <f t="shared" si="2"/>
        <v>0</v>
      </c>
      <c r="E7" s="712">
        <f t="shared" si="0"/>
        <v>0</v>
      </c>
      <c r="F7" s="712">
        <f t="shared" si="0"/>
        <v>0</v>
      </c>
      <c r="G7" s="712">
        <f t="shared" si="0"/>
        <v>0</v>
      </c>
      <c r="H7" s="712">
        <f t="shared" si="0"/>
        <v>0</v>
      </c>
      <c r="I7" s="712">
        <f t="shared" si="0"/>
        <v>0</v>
      </c>
      <c r="J7" s="712">
        <f t="shared" si="0"/>
        <v>0</v>
      </c>
      <c r="K7" s="712">
        <f t="shared" si="0"/>
        <v>0</v>
      </c>
      <c r="L7" s="712">
        <f t="shared" si="0"/>
        <v>0</v>
      </c>
      <c r="M7" s="712">
        <f t="shared" si="0"/>
        <v>0</v>
      </c>
      <c r="N7" s="388">
        <f t="shared" si="1"/>
        <v>0</v>
      </c>
      <c r="O7" s="179">
        <f>'A4-FinPerf RE'!J7</f>
        <v>0</v>
      </c>
      <c r="P7" s="71">
        <f>'A4-FinPerf RE'!K7</f>
        <v>0</v>
      </c>
      <c r="Q7" s="72">
        <f>'A4-FinPerf RE'!L7</f>
        <v>0</v>
      </c>
    </row>
    <row r="8" spans="1:17" ht="11.25" customHeight="1" x14ac:dyDescent="0.25">
      <c r="A8" s="104" t="str">
        <f>'A4-FinPerf RE'!A8</f>
        <v>Service charges - sanitation revenue</v>
      </c>
      <c r="B8" s="2024"/>
      <c r="C8" s="725">
        <f t="shared" si="2"/>
        <v>0</v>
      </c>
      <c r="D8" s="712">
        <f t="shared" si="2"/>
        <v>0</v>
      </c>
      <c r="E8" s="712">
        <f t="shared" si="0"/>
        <v>0</v>
      </c>
      <c r="F8" s="712">
        <f t="shared" si="0"/>
        <v>0</v>
      </c>
      <c r="G8" s="712">
        <f t="shared" si="0"/>
        <v>0</v>
      </c>
      <c r="H8" s="712">
        <f t="shared" si="0"/>
        <v>0</v>
      </c>
      <c r="I8" s="712">
        <f t="shared" si="0"/>
        <v>0</v>
      </c>
      <c r="J8" s="712">
        <f t="shared" si="0"/>
        <v>0</v>
      </c>
      <c r="K8" s="712">
        <f t="shared" si="0"/>
        <v>0</v>
      </c>
      <c r="L8" s="712">
        <f t="shared" si="0"/>
        <v>0</v>
      </c>
      <c r="M8" s="712">
        <f t="shared" si="0"/>
        <v>0</v>
      </c>
      <c r="N8" s="388">
        <f t="shared" si="1"/>
        <v>0</v>
      </c>
      <c r="O8" s="179">
        <f>'A4-FinPerf RE'!J8</f>
        <v>0</v>
      </c>
      <c r="P8" s="71">
        <f>'A4-FinPerf RE'!K8</f>
        <v>0</v>
      </c>
      <c r="Q8" s="72">
        <f>'A4-FinPerf RE'!L8</f>
        <v>0</v>
      </c>
    </row>
    <row r="9" spans="1:17" ht="11.25" customHeight="1" x14ac:dyDescent="0.25">
      <c r="A9" s="104" t="str">
        <f>'A4-FinPerf RE'!A9</f>
        <v>Service charges - refuse revenue</v>
      </c>
      <c r="B9" s="2024"/>
      <c r="C9" s="725">
        <f t="shared" si="2"/>
        <v>49724</v>
      </c>
      <c r="D9" s="712">
        <f t="shared" si="2"/>
        <v>49724</v>
      </c>
      <c r="E9" s="712">
        <f t="shared" si="0"/>
        <v>49724</v>
      </c>
      <c r="F9" s="712">
        <f t="shared" si="0"/>
        <v>49724</v>
      </c>
      <c r="G9" s="712">
        <f t="shared" si="0"/>
        <v>49724</v>
      </c>
      <c r="H9" s="712">
        <f t="shared" si="0"/>
        <v>49724</v>
      </c>
      <c r="I9" s="712">
        <f t="shared" si="0"/>
        <v>49724</v>
      </c>
      <c r="J9" s="712">
        <f t="shared" si="0"/>
        <v>49724</v>
      </c>
      <c r="K9" s="712">
        <f t="shared" si="0"/>
        <v>49724</v>
      </c>
      <c r="L9" s="712">
        <f t="shared" si="0"/>
        <v>49724</v>
      </c>
      <c r="M9" s="712">
        <f t="shared" si="0"/>
        <v>49724</v>
      </c>
      <c r="N9" s="388">
        <f t="shared" si="1"/>
        <v>49720</v>
      </c>
      <c r="O9" s="179">
        <f>'A4-FinPerf RE'!J9</f>
        <v>596684</v>
      </c>
      <c r="P9" s="71">
        <f>'A4-FinPerf RE'!K9</f>
        <v>620552</v>
      </c>
      <c r="Q9" s="72">
        <f>'A4-FinPerf RE'!L9</f>
        <v>645374</v>
      </c>
    </row>
    <row r="10" spans="1:17" ht="1.9" customHeight="1" x14ac:dyDescent="0.25">
      <c r="A10" s="104"/>
      <c r="B10" s="2024"/>
      <c r="C10" s="725">
        <f t="shared" si="2"/>
        <v>0</v>
      </c>
      <c r="D10" s="712">
        <f t="shared" si="2"/>
        <v>0</v>
      </c>
      <c r="E10" s="712">
        <f t="shared" si="0"/>
        <v>0</v>
      </c>
      <c r="F10" s="712">
        <f t="shared" si="0"/>
        <v>0</v>
      </c>
      <c r="G10" s="712">
        <f t="shared" si="0"/>
        <v>0</v>
      </c>
      <c r="H10" s="712">
        <f t="shared" si="0"/>
        <v>0</v>
      </c>
      <c r="I10" s="712">
        <f t="shared" si="0"/>
        <v>0</v>
      </c>
      <c r="J10" s="712">
        <f t="shared" si="0"/>
        <v>0</v>
      </c>
      <c r="K10" s="712">
        <f t="shared" si="0"/>
        <v>0</v>
      </c>
      <c r="L10" s="712">
        <f t="shared" si="0"/>
        <v>0</v>
      </c>
      <c r="M10" s="712">
        <f t="shared" si="0"/>
        <v>0</v>
      </c>
      <c r="N10" s="388"/>
      <c r="O10" s="179"/>
      <c r="P10" s="177"/>
      <c r="Q10" s="178"/>
    </row>
    <row r="11" spans="1:17" ht="11.25" customHeight="1" x14ac:dyDescent="0.25">
      <c r="A11" s="104" t="str">
        <f>'A4-FinPerf RE'!A11</f>
        <v>Rental of facilities and equipment</v>
      </c>
      <c r="B11" s="2024"/>
      <c r="C11" s="725">
        <f t="shared" si="2"/>
        <v>29887</v>
      </c>
      <c r="D11" s="712">
        <f t="shared" si="2"/>
        <v>29887</v>
      </c>
      <c r="E11" s="712">
        <f t="shared" si="0"/>
        <v>29887</v>
      </c>
      <c r="F11" s="712">
        <f t="shared" si="0"/>
        <v>29887</v>
      </c>
      <c r="G11" s="712">
        <f t="shared" si="0"/>
        <v>29887</v>
      </c>
      <c r="H11" s="712">
        <f t="shared" si="0"/>
        <v>29887</v>
      </c>
      <c r="I11" s="712">
        <f t="shared" si="0"/>
        <v>29887</v>
      </c>
      <c r="J11" s="712">
        <f t="shared" si="0"/>
        <v>29887</v>
      </c>
      <c r="K11" s="712">
        <f t="shared" si="0"/>
        <v>29887</v>
      </c>
      <c r="L11" s="712">
        <f t="shared" si="0"/>
        <v>29887</v>
      </c>
      <c r="M11" s="712">
        <f t="shared" si="0"/>
        <v>29887</v>
      </c>
      <c r="N11" s="388">
        <f t="shared" si="1"/>
        <v>29886</v>
      </c>
      <c r="O11" s="179">
        <f>'A4-FinPerf RE'!J11</f>
        <v>358643</v>
      </c>
      <c r="P11" s="177">
        <f>'A4-FinPerf RE'!K11</f>
        <v>372989</v>
      </c>
      <c r="Q11" s="178">
        <f>'A4-FinPerf RE'!L11</f>
        <v>387908</v>
      </c>
    </row>
    <row r="12" spans="1:17" ht="11.25" customHeight="1" x14ac:dyDescent="0.25">
      <c r="A12" s="104" t="str">
        <f>'A4-FinPerf RE'!A12</f>
        <v>Interest earned - external investments</v>
      </c>
      <c r="B12" s="2024"/>
      <c r="C12" s="725">
        <f t="shared" si="2"/>
        <v>333346</v>
      </c>
      <c r="D12" s="712">
        <f t="shared" si="2"/>
        <v>333346</v>
      </c>
      <c r="E12" s="712">
        <f t="shared" si="0"/>
        <v>333346</v>
      </c>
      <c r="F12" s="712">
        <f t="shared" si="0"/>
        <v>333346</v>
      </c>
      <c r="G12" s="712">
        <f t="shared" si="0"/>
        <v>333346</v>
      </c>
      <c r="H12" s="712">
        <f t="shared" si="0"/>
        <v>333346</v>
      </c>
      <c r="I12" s="712">
        <f t="shared" si="0"/>
        <v>333346</v>
      </c>
      <c r="J12" s="712">
        <f t="shared" si="0"/>
        <v>333346</v>
      </c>
      <c r="K12" s="712">
        <f t="shared" si="0"/>
        <v>333346</v>
      </c>
      <c r="L12" s="712">
        <f t="shared" si="0"/>
        <v>333346</v>
      </c>
      <c r="M12" s="712">
        <f t="shared" si="0"/>
        <v>333346</v>
      </c>
      <c r="N12" s="388">
        <f t="shared" si="1"/>
        <v>333344</v>
      </c>
      <c r="O12" s="179">
        <f>'A4-FinPerf RE'!J12</f>
        <v>4000150</v>
      </c>
      <c r="P12" s="177">
        <f>'A4-FinPerf RE'!K12</f>
        <v>4160156</v>
      </c>
      <c r="Q12" s="178">
        <f>'A4-FinPerf RE'!L12</f>
        <v>4326562</v>
      </c>
    </row>
    <row r="13" spans="1:17" ht="11.25" customHeight="1" x14ac:dyDescent="0.25">
      <c r="A13" s="104" t="str">
        <f>'A4-FinPerf RE'!A13</f>
        <v>Interest earned - outstanding debtors</v>
      </c>
      <c r="B13" s="2024"/>
      <c r="C13" s="725">
        <f t="shared" si="2"/>
        <v>0</v>
      </c>
      <c r="D13" s="712">
        <f t="shared" si="2"/>
        <v>0</v>
      </c>
      <c r="E13" s="712">
        <f t="shared" si="0"/>
        <v>0</v>
      </c>
      <c r="F13" s="712">
        <f t="shared" si="0"/>
        <v>0</v>
      </c>
      <c r="G13" s="712">
        <f t="shared" si="0"/>
        <v>0</v>
      </c>
      <c r="H13" s="712">
        <f t="shared" si="0"/>
        <v>0</v>
      </c>
      <c r="I13" s="712">
        <f t="shared" si="0"/>
        <v>0</v>
      </c>
      <c r="J13" s="712">
        <f t="shared" si="0"/>
        <v>0</v>
      </c>
      <c r="K13" s="712">
        <f t="shared" si="0"/>
        <v>0</v>
      </c>
      <c r="L13" s="712">
        <f t="shared" si="0"/>
        <v>0</v>
      </c>
      <c r="M13" s="712">
        <f t="shared" si="0"/>
        <v>0</v>
      </c>
      <c r="N13" s="388">
        <f t="shared" si="1"/>
        <v>0</v>
      </c>
      <c r="O13" s="179">
        <f>'A4-FinPerf RE'!J13</f>
        <v>0</v>
      </c>
      <c r="P13" s="177">
        <f>'A4-FinPerf RE'!K13</f>
        <v>0</v>
      </c>
      <c r="Q13" s="178">
        <f>'A4-FinPerf RE'!L13</f>
        <v>0</v>
      </c>
    </row>
    <row r="14" spans="1:17" ht="11.25" customHeight="1" x14ac:dyDescent="0.25">
      <c r="A14" s="104" t="str">
        <f>'A4-FinPerf RE'!A14</f>
        <v>Dividends received</v>
      </c>
      <c r="B14" s="2024"/>
      <c r="C14" s="725">
        <f t="shared" si="2"/>
        <v>0</v>
      </c>
      <c r="D14" s="712">
        <f t="shared" si="2"/>
        <v>0</v>
      </c>
      <c r="E14" s="712">
        <f t="shared" si="0"/>
        <v>0</v>
      </c>
      <c r="F14" s="712">
        <f t="shared" si="0"/>
        <v>0</v>
      </c>
      <c r="G14" s="712">
        <f t="shared" si="0"/>
        <v>0</v>
      </c>
      <c r="H14" s="712">
        <f t="shared" si="0"/>
        <v>0</v>
      </c>
      <c r="I14" s="712">
        <f t="shared" si="0"/>
        <v>0</v>
      </c>
      <c r="J14" s="712">
        <f t="shared" si="0"/>
        <v>0</v>
      </c>
      <c r="K14" s="712">
        <f t="shared" si="0"/>
        <v>0</v>
      </c>
      <c r="L14" s="712">
        <f t="shared" si="0"/>
        <v>0</v>
      </c>
      <c r="M14" s="712">
        <f t="shared" si="0"/>
        <v>0</v>
      </c>
      <c r="N14" s="388">
        <f t="shared" si="1"/>
        <v>0</v>
      </c>
      <c r="O14" s="179">
        <f>'A4-FinPerf RE'!J14</f>
        <v>0</v>
      </c>
      <c r="P14" s="177">
        <f>'A4-FinPerf RE'!K14</f>
        <v>0</v>
      </c>
      <c r="Q14" s="178">
        <f>'A4-FinPerf RE'!L14</f>
        <v>0</v>
      </c>
    </row>
    <row r="15" spans="1:17" ht="11.25" customHeight="1" x14ac:dyDescent="0.25">
      <c r="A15" s="104" t="str">
        <f>'A4-FinPerf RE'!A15</f>
        <v>Fines, penalties and forfeits</v>
      </c>
      <c r="B15" s="2024"/>
      <c r="C15" s="725">
        <f t="shared" si="2"/>
        <v>2961</v>
      </c>
      <c r="D15" s="712">
        <f t="shared" si="2"/>
        <v>2961</v>
      </c>
      <c r="E15" s="712">
        <f t="shared" si="0"/>
        <v>2961</v>
      </c>
      <c r="F15" s="712">
        <f t="shared" si="0"/>
        <v>2961</v>
      </c>
      <c r="G15" s="712">
        <f t="shared" si="0"/>
        <v>2961</v>
      </c>
      <c r="H15" s="712">
        <f t="shared" si="0"/>
        <v>2961</v>
      </c>
      <c r="I15" s="712">
        <f t="shared" si="0"/>
        <v>2961</v>
      </c>
      <c r="J15" s="712">
        <f t="shared" si="0"/>
        <v>2961</v>
      </c>
      <c r="K15" s="712">
        <f t="shared" si="0"/>
        <v>2961</v>
      </c>
      <c r="L15" s="712">
        <f t="shared" si="0"/>
        <v>2961</v>
      </c>
      <c r="M15" s="712">
        <f t="shared" si="0"/>
        <v>2961</v>
      </c>
      <c r="N15" s="388">
        <f t="shared" si="1"/>
        <v>2962</v>
      </c>
      <c r="O15" s="179">
        <f>'A4-FinPerf RE'!J15</f>
        <v>35533</v>
      </c>
      <c r="P15" s="177">
        <f>'A4-FinPerf RE'!K15</f>
        <v>36955</v>
      </c>
      <c r="Q15" s="178">
        <f>'A4-FinPerf RE'!L15</f>
        <v>38433</v>
      </c>
    </row>
    <row r="16" spans="1:17" ht="11.25" customHeight="1" x14ac:dyDescent="0.25">
      <c r="A16" s="104" t="str">
        <f>'A4-FinPerf RE'!A16</f>
        <v>Licences and permits</v>
      </c>
      <c r="B16" s="2024"/>
      <c r="C16" s="725">
        <f t="shared" si="2"/>
        <v>616673</v>
      </c>
      <c r="D16" s="712">
        <f t="shared" si="2"/>
        <v>616673</v>
      </c>
      <c r="E16" s="712">
        <f t="shared" si="0"/>
        <v>616673</v>
      </c>
      <c r="F16" s="712">
        <f t="shared" si="0"/>
        <v>616673</v>
      </c>
      <c r="G16" s="712">
        <f t="shared" si="0"/>
        <v>616673</v>
      </c>
      <c r="H16" s="712">
        <f t="shared" si="0"/>
        <v>616673</v>
      </c>
      <c r="I16" s="712">
        <f t="shared" si="0"/>
        <v>616673</v>
      </c>
      <c r="J16" s="712">
        <f t="shared" si="0"/>
        <v>616673</v>
      </c>
      <c r="K16" s="712">
        <f t="shared" si="0"/>
        <v>616673</v>
      </c>
      <c r="L16" s="712">
        <f t="shared" si="0"/>
        <v>616673</v>
      </c>
      <c r="M16" s="712">
        <f t="shared" si="0"/>
        <v>616673</v>
      </c>
      <c r="N16" s="388">
        <f t="shared" si="1"/>
        <v>616678</v>
      </c>
      <c r="O16" s="179">
        <f>'A4-FinPerf RE'!J16</f>
        <v>7400081</v>
      </c>
      <c r="P16" s="177">
        <f>'A4-FinPerf RE'!K16</f>
        <v>7696084</v>
      </c>
      <c r="Q16" s="178">
        <f>'A4-FinPerf RE'!L16</f>
        <v>8003928</v>
      </c>
    </row>
    <row r="17" spans="1:17" ht="11.25" customHeight="1" x14ac:dyDescent="0.25">
      <c r="A17" s="104" t="str">
        <f>'A4-FinPerf RE'!A17</f>
        <v>Agency services</v>
      </c>
      <c r="B17" s="2024"/>
      <c r="C17" s="725">
        <f t="shared" si="2"/>
        <v>0</v>
      </c>
      <c r="D17" s="712">
        <f t="shared" si="2"/>
        <v>0</v>
      </c>
      <c r="E17" s="712">
        <f t="shared" si="0"/>
        <v>0</v>
      </c>
      <c r="F17" s="712">
        <f t="shared" si="0"/>
        <v>0</v>
      </c>
      <c r="G17" s="712">
        <f t="shared" si="0"/>
        <v>0</v>
      </c>
      <c r="H17" s="712">
        <f t="shared" si="0"/>
        <v>0</v>
      </c>
      <c r="I17" s="712">
        <f t="shared" si="0"/>
        <v>0</v>
      </c>
      <c r="J17" s="712">
        <f t="shared" si="0"/>
        <v>0</v>
      </c>
      <c r="K17" s="712">
        <f t="shared" si="0"/>
        <v>0</v>
      </c>
      <c r="L17" s="712">
        <f t="shared" si="0"/>
        <v>0</v>
      </c>
      <c r="M17" s="712">
        <f t="shared" si="0"/>
        <v>0</v>
      </c>
      <c r="N17" s="388">
        <f t="shared" si="1"/>
        <v>0</v>
      </c>
      <c r="O17" s="179">
        <f>'A4-FinPerf RE'!J17</f>
        <v>0</v>
      </c>
      <c r="P17" s="177">
        <f>'A4-FinPerf RE'!K17</f>
        <v>0</v>
      </c>
      <c r="Q17" s="178">
        <f>'A4-FinPerf RE'!L17</f>
        <v>0</v>
      </c>
    </row>
    <row r="18" spans="1:17" ht="11.25" customHeight="1" x14ac:dyDescent="0.25">
      <c r="A18" s="104" t="str">
        <f>'A4-FinPerf RE'!A18</f>
        <v>Transfers and subsidies</v>
      </c>
      <c r="B18" s="2024"/>
      <c r="C18" s="725">
        <f t="shared" si="2"/>
        <v>6379917</v>
      </c>
      <c r="D18" s="712">
        <f t="shared" si="2"/>
        <v>6379917</v>
      </c>
      <c r="E18" s="712">
        <f t="shared" si="0"/>
        <v>6379917</v>
      </c>
      <c r="F18" s="712">
        <f t="shared" si="0"/>
        <v>6379917</v>
      </c>
      <c r="G18" s="712">
        <f t="shared" si="0"/>
        <v>6379917</v>
      </c>
      <c r="H18" s="712">
        <f t="shared" si="0"/>
        <v>6379917</v>
      </c>
      <c r="I18" s="712">
        <f t="shared" si="0"/>
        <v>6379917</v>
      </c>
      <c r="J18" s="712">
        <f t="shared" si="0"/>
        <v>6379917</v>
      </c>
      <c r="K18" s="712">
        <f t="shared" si="0"/>
        <v>6379917</v>
      </c>
      <c r="L18" s="712">
        <f t="shared" si="0"/>
        <v>6379917</v>
      </c>
      <c r="M18" s="712">
        <f t="shared" si="0"/>
        <v>6379917</v>
      </c>
      <c r="N18" s="388">
        <f t="shared" si="1"/>
        <v>6379913</v>
      </c>
      <c r="O18" s="179">
        <f>'A4-FinPerf RE'!J18</f>
        <v>76559000</v>
      </c>
      <c r="P18" s="177">
        <f>'A4-FinPerf RE'!K18</f>
        <v>87642680</v>
      </c>
      <c r="Q18" s="178">
        <f>'A4-FinPerf RE'!L18</f>
        <v>88692267</v>
      </c>
    </row>
    <row r="19" spans="1:17" ht="11.25" customHeight="1" x14ac:dyDescent="0.25">
      <c r="A19" s="104" t="str">
        <f>'A4-FinPerf RE'!A19</f>
        <v>Other revenue</v>
      </c>
      <c r="B19" s="2024"/>
      <c r="C19" s="725">
        <f t="shared" si="2"/>
        <v>98744</v>
      </c>
      <c r="D19" s="712">
        <f t="shared" si="2"/>
        <v>98744</v>
      </c>
      <c r="E19" s="712">
        <f t="shared" si="0"/>
        <v>98744</v>
      </c>
      <c r="F19" s="712">
        <f t="shared" si="0"/>
        <v>98744</v>
      </c>
      <c r="G19" s="712">
        <f t="shared" si="0"/>
        <v>98744</v>
      </c>
      <c r="H19" s="712">
        <f t="shared" si="0"/>
        <v>98744</v>
      </c>
      <c r="I19" s="712">
        <f t="shared" si="0"/>
        <v>98744</v>
      </c>
      <c r="J19" s="712">
        <f t="shared" si="0"/>
        <v>98744</v>
      </c>
      <c r="K19" s="712">
        <f t="shared" si="0"/>
        <v>98744</v>
      </c>
      <c r="L19" s="712">
        <f t="shared" si="0"/>
        <v>98744</v>
      </c>
      <c r="M19" s="712">
        <f t="shared" si="0"/>
        <v>98744</v>
      </c>
      <c r="N19" s="388">
        <f t="shared" si="1"/>
        <v>98744</v>
      </c>
      <c r="O19" s="179">
        <f>'A4-FinPerf RE'!J19</f>
        <v>1184928</v>
      </c>
      <c r="P19" s="177">
        <f>'A4-FinPerf RE'!K19</f>
        <v>2917993</v>
      </c>
      <c r="Q19" s="178">
        <f>'A4-FinPerf RE'!L19</f>
        <v>3034713</v>
      </c>
    </row>
    <row r="20" spans="1:17" ht="11.25" customHeight="1" x14ac:dyDescent="0.25">
      <c r="A20" s="104" t="str">
        <f>'A4-FinPerf RE'!A20</f>
        <v>Gains</v>
      </c>
      <c r="B20" s="2024"/>
      <c r="C20" s="725">
        <f t="shared" si="2"/>
        <v>0</v>
      </c>
      <c r="D20" s="712">
        <f t="shared" si="2"/>
        <v>0</v>
      </c>
      <c r="E20" s="712">
        <f t="shared" si="0"/>
        <v>0</v>
      </c>
      <c r="F20" s="712">
        <f t="shared" si="0"/>
        <v>0</v>
      </c>
      <c r="G20" s="712">
        <f t="shared" si="0"/>
        <v>0</v>
      </c>
      <c r="H20" s="712">
        <f t="shared" si="0"/>
        <v>0</v>
      </c>
      <c r="I20" s="712">
        <f t="shared" si="0"/>
        <v>0</v>
      </c>
      <c r="J20" s="712">
        <f t="shared" si="0"/>
        <v>0</v>
      </c>
      <c r="K20" s="712">
        <f t="shared" si="0"/>
        <v>0</v>
      </c>
      <c r="L20" s="712">
        <f t="shared" si="0"/>
        <v>0</v>
      </c>
      <c r="M20" s="712">
        <f t="shared" si="0"/>
        <v>0</v>
      </c>
      <c r="N20" s="388">
        <f t="shared" si="1"/>
        <v>0</v>
      </c>
      <c r="O20" s="179">
        <f>'A4-FinPerf RE'!J20</f>
        <v>0</v>
      </c>
      <c r="P20" s="177">
        <f>'A4-FinPerf RE'!K20</f>
        <v>0</v>
      </c>
      <c r="Q20" s="178">
        <f>'A4-FinPerf RE'!L20</f>
        <v>0</v>
      </c>
    </row>
    <row r="21" spans="1:17" x14ac:dyDescent="0.25">
      <c r="A21" s="145" t="str">
        <f>'A4-FinPerf RE'!A21</f>
        <v>Total Revenue (excluding capital transfers and contributions)</v>
      </c>
      <c r="B21" s="2025"/>
      <c r="C21" s="668">
        <f>SUM(C5:C9)+SUM(C11:C20)</f>
        <v>9224011</v>
      </c>
      <c r="D21" s="535">
        <f t="shared" ref="D21:Q21" si="3">SUM(D5:D9)+SUM(D11:D20)</f>
        <v>9224011</v>
      </c>
      <c r="E21" s="535">
        <f t="shared" si="3"/>
        <v>9224011</v>
      </c>
      <c r="F21" s="535">
        <f t="shared" si="3"/>
        <v>9224011</v>
      </c>
      <c r="G21" s="535">
        <f t="shared" si="3"/>
        <v>9224011</v>
      </c>
      <c r="H21" s="535">
        <f t="shared" si="3"/>
        <v>9224011</v>
      </c>
      <c r="I21" s="535">
        <f t="shared" si="3"/>
        <v>9224011</v>
      </c>
      <c r="J21" s="535">
        <f t="shared" si="3"/>
        <v>9224011</v>
      </c>
      <c r="K21" s="535">
        <f t="shared" si="3"/>
        <v>9224011</v>
      </c>
      <c r="L21" s="535">
        <f t="shared" si="3"/>
        <v>9224011</v>
      </c>
      <c r="M21" s="535">
        <f t="shared" si="3"/>
        <v>9224011</v>
      </c>
      <c r="N21" s="533">
        <f t="shared" si="3"/>
        <v>9224001</v>
      </c>
      <c r="O21" s="666">
        <f t="shared" si="3"/>
        <v>110688122</v>
      </c>
      <c r="P21" s="535">
        <f t="shared" si="3"/>
        <v>124822640</v>
      </c>
      <c r="Q21" s="665">
        <f t="shared" si="3"/>
        <v>127359424</v>
      </c>
    </row>
    <row r="22" spans="1:17" ht="4.9000000000000004" customHeight="1" x14ac:dyDescent="0.25">
      <c r="A22" s="116"/>
      <c r="B22" s="2024"/>
      <c r="C22" s="181"/>
      <c r="D22" s="177"/>
      <c r="E22" s="177"/>
      <c r="F22" s="177"/>
      <c r="G22" s="177"/>
      <c r="H22" s="177"/>
      <c r="I22" s="177"/>
      <c r="J22" s="177"/>
      <c r="K22" s="177"/>
      <c r="L22" s="177"/>
      <c r="M22" s="177"/>
      <c r="N22" s="388"/>
      <c r="O22" s="179"/>
      <c r="P22" s="177"/>
      <c r="Q22" s="178"/>
    </row>
    <row r="23" spans="1:17" x14ac:dyDescent="0.25">
      <c r="A23" s="96" t="str">
        <f>'A4-FinPerf RE'!A23</f>
        <v>Expenditure By Type</v>
      </c>
      <c r="B23" s="2026"/>
      <c r="C23" s="181"/>
      <c r="D23" s="177"/>
      <c r="E23" s="177"/>
      <c r="F23" s="177"/>
      <c r="G23" s="177"/>
      <c r="H23" s="177"/>
      <c r="I23" s="177"/>
      <c r="J23" s="177"/>
      <c r="K23" s="177"/>
      <c r="L23" s="177"/>
      <c r="M23" s="177"/>
      <c r="N23" s="388"/>
      <c r="O23" s="179"/>
      <c r="P23" s="177"/>
      <c r="Q23" s="178"/>
    </row>
    <row r="24" spans="1:17" ht="11.25" customHeight="1" x14ac:dyDescent="0.25">
      <c r="A24" s="104" t="str">
        <f>'A4-FinPerf RE'!A24</f>
        <v>Employee related costs</v>
      </c>
      <c r="B24" s="2024"/>
      <c r="C24" s="725">
        <f t="shared" ref="C24:M34" si="4">ROUND($O24/12,0)</f>
        <v>4046525</v>
      </c>
      <c r="D24" s="712">
        <f t="shared" si="4"/>
        <v>4046525</v>
      </c>
      <c r="E24" s="712">
        <f t="shared" si="4"/>
        <v>4046525</v>
      </c>
      <c r="F24" s="712">
        <f t="shared" si="4"/>
        <v>4046525</v>
      </c>
      <c r="G24" s="712">
        <f t="shared" si="4"/>
        <v>4046525</v>
      </c>
      <c r="H24" s="712">
        <f t="shared" si="4"/>
        <v>4046525</v>
      </c>
      <c r="I24" s="712">
        <f t="shared" si="4"/>
        <v>4046525</v>
      </c>
      <c r="J24" s="712">
        <f t="shared" si="4"/>
        <v>4046525</v>
      </c>
      <c r="K24" s="712">
        <f t="shared" si="4"/>
        <v>4046525</v>
      </c>
      <c r="L24" s="712">
        <f t="shared" si="4"/>
        <v>4046525</v>
      </c>
      <c r="M24" s="712">
        <f t="shared" si="4"/>
        <v>4046525</v>
      </c>
      <c r="N24" s="388">
        <f t="shared" ref="N24:N34" si="5">O24-SUM(C24:M24)</f>
        <v>4046519</v>
      </c>
      <c r="O24" s="179">
        <f>'A4-FinPerf RE'!J24</f>
        <v>48558294</v>
      </c>
      <c r="P24" s="177">
        <f>'A4-FinPerf RE'!K24</f>
        <v>50155201</v>
      </c>
      <c r="Q24" s="178">
        <f>'A4-FinPerf RE'!L24</f>
        <v>53644386</v>
      </c>
    </row>
    <row r="25" spans="1:17" ht="11.25" customHeight="1" x14ac:dyDescent="0.25">
      <c r="A25" s="104" t="str">
        <f>'A4-FinPerf RE'!A25</f>
        <v>Remuneration of councillors</v>
      </c>
      <c r="B25" s="2024"/>
      <c r="C25" s="725">
        <f t="shared" si="4"/>
        <v>557718</v>
      </c>
      <c r="D25" s="712">
        <f t="shared" si="4"/>
        <v>557718</v>
      </c>
      <c r="E25" s="712">
        <f t="shared" si="4"/>
        <v>557718</v>
      </c>
      <c r="F25" s="712">
        <f t="shared" si="4"/>
        <v>557718</v>
      </c>
      <c r="G25" s="712">
        <f t="shared" si="4"/>
        <v>557718</v>
      </c>
      <c r="H25" s="712">
        <f t="shared" si="4"/>
        <v>557718</v>
      </c>
      <c r="I25" s="712">
        <f t="shared" si="4"/>
        <v>557718</v>
      </c>
      <c r="J25" s="712">
        <f t="shared" si="4"/>
        <v>557718</v>
      </c>
      <c r="K25" s="712">
        <f t="shared" si="4"/>
        <v>557718</v>
      </c>
      <c r="L25" s="712">
        <f t="shared" si="4"/>
        <v>557718</v>
      </c>
      <c r="M25" s="712">
        <f t="shared" si="4"/>
        <v>557718</v>
      </c>
      <c r="N25" s="388">
        <f t="shared" si="5"/>
        <v>557717</v>
      </c>
      <c r="O25" s="179">
        <f>'A4-FinPerf RE'!J25</f>
        <v>6692615</v>
      </c>
      <c r="P25" s="177">
        <f>'A4-FinPerf RE'!K25</f>
        <v>4039442</v>
      </c>
      <c r="Q25" s="178">
        <f>'A4-FinPerf RE'!L25</f>
        <v>7247209</v>
      </c>
    </row>
    <row r="26" spans="1:17" ht="11.25" customHeight="1" x14ac:dyDescent="0.25">
      <c r="A26" s="104" t="str">
        <f>'A4-FinPerf RE'!A26</f>
        <v>Debt impairment</v>
      </c>
      <c r="B26" s="2024"/>
      <c r="C26" s="725">
        <f t="shared" si="4"/>
        <v>261678</v>
      </c>
      <c r="D26" s="712">
        <f t="shared" si="4"/>
        <v>261678</v>
      </c>
      <c r="E26" s="712">
        <f t="shared" si="4"/>
        <v>261678</v>
      </c>
      <c r="F26" s="712">
        <f t="shared" si="4"/>
        <v>261678</v>
      </c>
      <c r="G26" s="712">
        <f t="shared" si="4"/>
        <v>261678</v>
      </c>
      <c r="H26" s="712">
        <f t="shared" si="4"/>
        <v>261678</v>
      </c>
      <c r="I26" s="712">
        <f t="shared" si="4"/>
        <v>261678</v>
      </c>
      <c r="J26" s="712">
        <f t="shared" si="4"/>
        <v>261678</v>
      </c>
      <c r="K26" s="712">
        <f t="shared" si="4"/>
        <v>261678</v>
      </c>
      <c r="L26" s="712">
        <f t="shared" si="4"/>
        <v>261678</v>
      </c>
      <c r="M26" s="712">
        <f t="shared" si="4"/>
        <v>261678</v>
      </c>
      <c r="N26" s="388">
        <f t="shared" si="5"/>
        <v>261677</v>
      </c>
      <c r="O26" s="179">
        <f>'A4-FinPerf RE'!J26</f>
        <v>3140135</v>
      </c>
      <c r="P26" s="177">
        <f>'A4-FinPerf RE'!K26</f>
        <v>3579753</v>
      </c>
      <c r="Q26" s="178">
        <f>'A4-FinPerf RE'!L26</f>
        <v>4080919</v>
      </c>
    </row>
    <row r="27" spans="1:17" ht="11.25" customHeight="1" x14ac:dyDescent="0.25">
      <c r="A27" s="104" t="str">
        <f>'A4-FinPerf RE'!A27</f>
        <v>Depreciation &amp; asset impairment</v>
      </c>
      <c r="B27" s="2024"/>
      <c r="C27" s="725">
        <f t="shared" si="4"/>
        <v>967425</v>
      </c>
      <c r="D27" s="712">
        <f t="shared" si="4"/>
        <v>967425</v>
      </c>
      <c r="E27" s="712">
        <f t="shared" si="4"/>
        <v>967425</v>
      </c>
      <c r="F27" s="712">
        <f t="shared" si="4"/>
        <v>967425</v>
      </c>
      <c r="G27" s="712">
        <f t="shared" si="4"/>
        <v>967425</v>
      </c>
      <c r="H27" s="712">
        <f t="shared" si="4"/>
        <v>967425</v>
      </c>
      <c r="I27" s="712">
        <f t="shared" si="4"/>
        <v>967425</v>
      </c>
      <c r="J27" s="712">
        <f t="shared" si="4"/>
        <v>967425</v>
      </c>
      <c r="K27" s="712">
        <f t="shared" si="4"/>
        <v>967425</v>
      </c>
      <c r="L27" s="712">
        <f t="shared" si="4"/>
        <v>967425</v>
      </c>
      <c r="M27" s="712">
        <f t="shared" si="4"/>
        <v>967425</v>
      </c>
      <c r="N27" s="388">
        <f t="shared" si="5"/>
        <v>967422</v>
      </c>
      <c r="O27" s="179">
        <f>'A4-FinPerf RE'!J27</f>
        <v>11609097</v>
      </c>
      <c r="P27" s="177">
        <f>'A4-FinPerf RE'!K27</f>
        <v>12073463</v>
      </c>
      <c r="Q27" s="178">
        <f>'A4-FinPerf RE'!L27</f>
        <v>12556402</v>
      </c>
    </row>
    <row r="28" spans="1:17" ht="11.25" customHeight="1" x14ac:dyDescent="0.25">
      <c r="A28" s="104" t="str">
        <f>'A4-FinPerf RE'!A28</f>
        <v>Finance charges</v>
      </c>
      <c r="B28" s="2024"/>
      <c r="C28" s="725">
        <f t="shared" si="4"/>
        <v>0</v>
      </c>
      <c r="D28" s="712">
        <f t="shared" si="4"/>
        <v>0</v>
      </c>
      <c r="E28" s="712">
        <f t="shared" si="4"/>
        <v>0</v>
      </c>
      <c r="F28" s="712">
        <f t="shared" si="4"/>
        <v>0</v>
      </c>
      <c r="G28" s="712">
        <f t="shared" si="4"/>
        <v>0</v>
      </c>
      <c r="H28" s="712">
        <f t="shared" si="4"/>
        <v>0</v>
      </c>
      <c r="I28" s="712">
        <f t="shared" si="4"/>
        <v>0</v>
      </c>
      <c r="J28" s="712">
        <f t="shared" si="4"/>
        <v>0</v>
      </c>
      <c r="K28" s="712">
        <f t="shared" si="4"/>
        <v>0</v>
      </c>
      <c r="L28" s="712">
        <f t="shared" si="4"/>
        <v>0</v>
      </c>
      <c r="M28" s="712">
        <f t="shared" si="4"/>
        <v>0</v>
      </c>
      <c r="N28" s="388">
        <f t="shared" si="5"/>
        <v>0</v>
      </c>
      <c r="O28" s="179">
        <f>'A4-FinPerf RE'!J28</f>
        <v>0</v>
      </c>
      <c r="P28" s="177">
        <f>'A4-FinPerf RE'!K28</f>
        <v>0</v>
      </c>
      <c r="Q28" s="178">
        <f>'A4-FinPerf RE'!L28</f>
        <v>0</v>
      </c>
    </row>
    <row r="29" spans="1:17" ht="11.25" customHeight="1" x14ac:dyDescent="0.25">
      <c r="A29" s="104" t="str">
        <f>'A4-FinPerf RE'!A29</f>
        <v>Bulk purchases - electricity</v>
      </c>
      <c r="B29" s="2024"/>
      <c r="C29" s="725">
        <f t="shared" si="4"/>
        <v>0</v>
      </c>
      <c r="D29" s="712">
        <f t="shared" si="4"/>
        <v>0</v>
      </c>
      <c r="E29" s="712">
        <f t="shared" si="4"/>
        <v>0</v>
      </c>
      <c r="F29" s="712">
        <f t="shared" si="4"/>
        <v>0</v>
      </c>
      <c r="G29" s="712">
        <f t="shared" si="4"/>
        <v>0</v>
      </c>
      <c r="H29" s="712">
        <f t="shared" si="4"/>
        <v>0</v>
      </c>
      <c r="I29" s="712">
        <f t="shared" si="4"/>
        <v>0</v>
      </c>
      <c r="J29" s="712">
        <f t="shared" si="4"/>
        <v>0</v>
      </c>
      <c r="K29" s="712">
        <f t="shared" si="4"/>
        <v>0</v>
      </c>
      <c r="L29" s="712">
        <f t="shared" si="4"/>
        <v>0</v>
      </c>
      <c r="M29" s="712">
        <f t="shared" si="4"/>
        <v>0</v>
      </c>
      <c r="N29" s="388">
        <f t="shared" si="5"/>
        <v>0</v>
      </c>
      <c r="O29" s="179">
        <f>'A4-FinPerf RE'!J29</f>
        <v>0</v>
      </c>
      <c r="P29" s="177">
        <f>'A4-FinPerf RE'!K29</f>
        <v>0</v>
      </c>
      <c r="Q29" s="178">
        <f>'A4-FinPerf RE'!L29</f>
        <v>0</v>
      </c>
    </row>
    <row r="30" spans="1:17" ht="11.25" customHeight="1" x14ac:dyDescent="0.25">
      <c r="A30" s="104" t="str">
        <f>'A4-FinPerf RE'!A30</f>
        <v>Inventory consumed</v>
      </c>
      <c r="B30" s="2024"/>
      <c r="C30" s="725">
        <f t="shared" si="4"/>
        <v>504253</v>
      </c>
      <c r="D30" s="712">
        <f t="shared" si="4"/>
        <v>504253</v>
      </c>
      <c r="E30" s="712">
        <f t="shared" si="4"/>
        <v>504253</v>
      </c>
      <c r="F30" s="712">
        <f t="shared" si="4"/>
        <v>504253</v>
      </c>
      <c r="G30" s="712">
        <f t="shared" si="4"/>
        <v>504253</v>
      </c>
      <c r="H30" s="712">
        <f t="shared" si="4"/>
        <v>504253</v>
      </c>
      <c r="I30" s="712">
        <f t="shared" si="4"/>
        <v>504253</v>
      </c>
      <c r="J30" s="712">
        <f t="shared" si="4"/>
        <v>504253</v>
      </c>
      <c r="K30" s="712">
        <f t="shared" si="4"/>
        <v>504253</v>
      </c>
      <c r="L30" s="712">
        <f t="shared" si="4"/>
        <v>504253</v>
      </c>
      <c r="M30" s="712">
        <f t="shared" si="4"/>
        <v>504253</v>
      </c>
      <c r="N30" s="388">
        <f t="shared" si="5"/>
        <v>504257</v>
      </c>
      <c r="O30" s="179">
        <f>'A4-FinPerf RE'!J30</f>
        <v>6051040</v>
      </c>
      <c r="P30" s="177">
        <f>'A4-FinPerf RE'!K30</f>
        <v>6308082</v>
      </c>
      <c r="Q30" s="178">
        <f>'A4-FinPerf RE'!L30</f>
        <v>6582377</v>
      </c>
    </row>
    <row r="31" spans="1:17" ht="11.25" customHeight="1" x14ac:dyDescent="0.25">
      <c r="A31" s="104" t="str">
        <f>'A4-FinPerf RE'!A31</f>
        <v>Contracted services</v>
      </c>
      <c r="B31" s="2024"/>
      <c r="C31" s="725">
        <f t="shared" si="4"/>
        <v>3616371</v>
      </c>
      <c r="D31" s="712">
        <f t="shared" si="4"/>
        <v>3616371</v>
      </c>
      <c r="E31" s="712">
        <f t="shared" si="4"/>
        <v>3616371</v>
      </c>
      <c r="F31" s="712">
        <f t="shared" si="4"/>
        <v>3616371</v>
      </c>
      <c r="G31" s="712">
        <f t="shared" si="4"/>
        <v>3616371</v>
      </c>
      <c r="H31" s="712">
        <f t="shared" si="4"/>
        <v>3616371</v>
      </c>
      <c r="I31" s="712">
        <f t="shared" si="4"/>
        <v>3616371</v>
      </c>
      <c r="J31" s="712">
        <f t="shared" si="4"/>
        <v>3616371</v>
      </c>
      <c r="K31" s="712">
        <f t="shared" si="4"/>
        <v>3616371</v>
      </c>
      <c r="L31" s="712">
        <f t="shared" si="4"/>
        <v>3616371</v>
      </c>
      <c r="M31" s="712">
        <f t="shared" si="4"/>
        <v>3616371</v>
      </c>
      <c r="N31" s="388">
        <f t="shared" si="5"/>
        <v>3616365</v>
      </c>
      <c r="O31" s="179">
        <f>'A4-FinPerf RE'!J31</f>
        <v>43396446</v>
      </c>
      <c r="P31" s="177">
        <f>'A4-FinPerf RE'!K31</f>
        <v>37165323</v>
      </c>
      <c r="Q31" s="178">
        <f>'A4-FinPerf RE'!L31</f>
        <v>39271430</v>
      </c>
    </row>
    <row r="32" spans="1:17" ht="11.25" customHeight="1" x14ac:dyDescent="0.25">
      <c r="A32" s="104" t="str">
        <f>'A4-FinPerf RE'!A32</f>
        <v>Transfers and subsidies</v>
      </c>
      <c r="B32" s="2024"/>
      <c r="C32" s="725">
        <f t="shared" si="4"/>
        <v>0</v>
      </c>
      <c r="D32" s="712">
        <f t="shared" si="4"/>
        <v>0</v>
      </c>
      <c r="E32" s="712">
        <f t="shared" si="4"/>
        <v>0</v>
      </c>
      <c r="F32" s="712">
        <f t="shared" si="4"/>
        <v>0</v>
      </c>
      <c r="G32" s="712">
        <f t="shared" si="4"/>
        <v>0</v>
      </c>
      <c r="H32" s="712">
        <f t="shared" si="4"/>
        <v>0</v>
      </c>
      <c r="I32" s="712">
        <f t="shared" si="4"/>
        <v>0</v>
      </c>
      <c r="J32" s="712">
        <f t="shared" si="4"/>
        <v>0</v>
      </c>
      <c r="K32" s="712">
        <f t="shared" si="4"/>
        <v>0</v>
      </c>
      <c r="L32" s="712">
        <f t="shared" si="4"/>
        <v>0</v>
      </c>
      <c r="M32" s="712">
        <f t="shared" si="4"/>
        <v>0</v>
      </c>
      <c r="N32" s="388">
        <f t="shared" si="5"/>
        <v>0</v>
      </c>
      <c r="O32" s="179">
        <f>'A4-FinPerf RE'!J32</f>
        <v>0</v>
      </c>
      <c r="P32" s="177">
        <f>'A4-FinPerf RE'!K32</f>
        <v>0</v>
      </c>
      <c r="Q32" s="178">
        <f>'A4-FinPerf RE'!L32</f>
        <v>0</v>
      </c>
    </row>
    <row r="33" spans="1:17" ht="11.25" customHeight="1" x14ac:dyDescent="0.25">
      <c r="A33" s="104" t="str">
        <f>'A4-FinPerf RE'!A33</f>
        <v>Other expenditure</v>
      </c>
      <c r="B33" s="2024"/>
      <c r="C33" s="725">
        <f t="shared" si="4"/>
        <v>1954570</v>
      </c>
      <c r="D33" s="712">
        <f t="shared" si="4"/>
        <v>1954570</v>
      </c>
      <c r="E33" s="712">
        <f t="shared" si="4"/>
        <v>1954570</v>
      </c>
      <c r="F33" s="712">
        <f t="shared" si="4"/>
        <v>1954570</v>
      </c>
      <c r="G33" s="712">
        <f t="shared" si="4"/>
        <v>1954570</v>
      </c>
      <c r="H33" s="712">
        <f t="shared" si="4"/>
        <v>1954570</v>
      </c>
      <c r="I33" s="712">
        <f t="shared" si="4"/>
        <v>1954570</v>
      </c>
      <c r="J33" s="712">
        <f t="shared" si="4"/>
        <v>1954570</v>
      </c>
      <c r="K33" s="712">
        <f t="shared" si="4"/>
        <v>1954570</v>
      </c>
      <c r="L33" s="712">
        <f t="shared" si="4"/>
        <v>1954570</v>
      </c>
      <c r="M33" s="712">
        <f t="shared" si="4"/>
        <v>1954570</v>
      </c>
      <c r="N33" s="388">
        <f t="shared" si="5"/>
        <v>1954567</v>
      </c>
      <c r="O33" s="179">
        <f>'A4-FinPerf RE'!J33</f>
        <v>23454837</v>
      </c>
      <c r="P33" s="177">
        <f>'A4-FinPerf RE'!K33</f>
        <v>22366786</v>
      </c>
      <c r="Q33" s="178">
        <f>'A4-FinPerf RE'!L33</f>
        <v>23239886</v>
      </c>
    </row>
    <row r="34" spans="1:17" ht="11.25" customHeight="1" x14ac:dyDescent="0.25">
      <c r="A34" s="104" t="str">
        <f>'A4-FinPerf RE'!A34</f>
        <v>Losses</v>
      </c>
      <c r="B34" s="2024"/>
      <c r="C34" s="725">
        <f t="shared" si="4"/>
        <v>0</v>
      </c>
      <c r="D34" s="712">
        <f t="shared" si="4"/>
        <v>0</v>
      </c>
      <c r="E34" s="712">
        <f t="shared" si="4"/>
        <v>0</v>
      </c>
      <c r="F34" s="712">
        <f t="shared" si="4"/>
        <v>0</v>
      </c>
      <c r="G34" s="712">
        <f t="shared" si="4"/>
        <v>0</v>
      </c>
      <c r="H34" s="712">
        <f t="shared" si="4"/>
        <v>0</v>
      </c>
      <c r="I34" s="712">
        <f t="shared" si="4"/>
        <v>0</v>
      </c>
      <c r="J34" s="712">
        <f t="shared" si="4"/>
        <v>0</v>
      </c>
      <c r="K34" s="712">
        <f t="shared" si="4"/>
        <v>0</v>
      </c>
      <c r="L34" s="712">
        <f t="shared" si="4"/>
        <v>0</v>
      </c>
      <c r="M34" s="712">
        <f t="shared" si="4"/>
        <v>0</v>
      </c>
      <c r="N34" s="388">
        <f t="shared" si="5"/>
        <v>0</v>
      </c>
      <c r="O34" s="179">
        <f>'A4-FinPerf RE'!J34</f>
        <v>0</v>
      </c>
      <c r="P34" s="177">
        <f>'A4-FinPerf RE'!K34</f>
        <v>0</v>
      </c>
      <c r="Q34" s="178">
        <f>'A4-FinPerf RE'!L34</f>
        <v>0</v>
      </c>
    </row>
    <row r="35" spans="1:17" x14ac:dyDescent="0.25">
      <c r="A35" s="145" t="str">
        <f>'A4-FinPerf RE'!A35</f>
        <v>Total Expenditure</v>
      </c>
      <c r="B35" s="2025"/>
      <c r="C35" s="668">
        <f>SUM(C24:C34)</f>
        <v>11908540</v>
      </c>
      <c r="D35" s="535">
        <f t="shared" ref="D35:Q35" si="6">SUM(D24:D34)</f>
        <v>11908540</v>
      </c>
      <c r="E35" s="535">
        <f t="shared" si="6"/>
        <v>11908540</v>
      </c>
      <c r="F35" s="535">
        <f t="shared" si="6"/>
        <v>11908540</v>
      </c>
      <c r="G35" s="535">
        <f t="shared" si="6"/>
        <v>11908540</v>
      </c>
      <c r="H35" s="535">
        <f t="shared" si="6"/>
        <v>11908540</v>
      </c>
      <c r="I35" s="535">
        <f t="shared" si="6"/>
        <v>11908540</v>
      </c>
      <c r="J35" s="535">
        <f t="shared" si="6"/>
        <v>11908540</v>
      </c>
      <c r="K35" s="535">
        <f t="shared" si="6"/>
        <v>11908540</v>
      </c>
      <c r="L35" s="535">
        <f t="shared" si="6"/>
        <v>11908540</v>
      </c>
      <c r="M35" s="535">
        <f t="shared" si="6"/>
        <v>11908540</v>
      </c>
      <c r="N35" s="533">
        <f t="shared" si="6"/>
        <v>11908524</v>
      </c>
      <c r="O35" s="666">
        <f t="shared" si="6"/>
        <v>142902464</v>
      </c>
      <c r="P35" s="535">
        <f t="shared" si="6"/>
        <v>135688050</v>
      </c>
      <c r="Q35" s="665">
        <f t="shared" si="6"/>
        <v>146622609</v>
      </c>
    </row>
    <row r="36" spans="1:17" ht="4.9000000000000004" customHeight="1" x14ac:dyDescent="0.25">
      <c r="A36" s="116"/>
      <c r="B36" s="2024"/>
      <c r="C36" s="181"/>
      <c r="D36" s="177"/>
      <c r="E36" s="177"/>
      <c r="F36" s="177"/>
      <c r="G36" s="177"/>
      <c r="H36" s="177"/>
      <c r="I36" s="177"/>
      <c r="J36" s="177"/>
      <c r="K36" s="177"/>
      <c r="L36" s="177"/>
      <c r="M36" s="177"/>
      <c r="N36" s="388"/>
      <c r="O36" s="179"/>
      <c r="P36" s="177"/>
      <c r="Q36" s="178"/>
    </row>
    <row r="37" spans="1:17" x14ac:dyDescent="0.25">
      <c r="A37" s="2027" t="str">
        <f>'A4-FinPerf RE'!A37</f>
        <v>Surplus/(Deficit)</v>
      </c>
      <c r="B37" s="2028"/>
      <c r="C37" s="668">
        <f t="shared" ref="C37:Q37" si="7">C21-C35</f>
        <v>-2684529</v>
      </c>
      <c r="D37" s="535">
        <f t="shared" si="7"/>
        <v>-2684529</v>
      </c>
      <c r="E37" s="535">
        <f t="shared" si="7"/>
        <v>-2684529</v>
      </c>
      <c r="F37" s="535">
        <f t="shared" si="7"/>
        <v>-2684529</v>
      </c>
      <c r="G37" s="535">
        <f t="shared" si="7"/>
        <v>-2684529</v>
      </c>
      <c r="H37" s="535">
        <f t="shared" si="7"/>
        <v>-2684529</v>
      </c>
      <c r="I37" s="535">
        <f t="shared" si="7"/>
        <v>-2684529</v>
      </c>
      <c r="J37" s="535">
        <f t="shared" si="7"/>
        <v>-2684529</v>
      </c>
      <c r="K37" s="535">
        <f t="shared" si="7"/>
        <v>-2684529</v>
      </c>
      <c r="L37" s="535">
        <f t="shared" si="7"/>
        <v>-2684529</v>
      </c>
      <c r="M37" s="535">
        <f t="shared" si="7"/>
        <v>-2684529</v>
      </c>
      <c r="N37" s="533">
        <f t="shared" si="7"/>
        <v>-2684523</v>
      </c>
      <c r="O37" s="666">
        <f t="shared" si="7"/>
        <v>-32214342</v>
      </c>
      <c r="P37" s="535">
        <f t="shared" si="7"/>
        <v>-10865410</v>
      </c>
      <c r="Q37" s="665">
        <f t="shared" si="7"/>
        <v>-19263185</v>
      </c>
    </row>
    <row r="38" spans="1:17" ht="25.5" customHeight="1" x14ac:dyDescent="0.25">
      <c r="A38" s="2029" t="str">
        <f>'A4-FinPerf RE'!A38</f>
        <v>Transfers and subsidies - capital (monetary allocations) (National / Provincial and District)</v>
      </c>
      <c r="B38" s="2024"/>
      <c r="C38" s="725">
        <f t="shared" ref="C38:M40" si="8">ROUND($O38/12,0)</f>
        <v>2062917</v>
      </c>
      <c r="D38" s="712">
        <f t="shared" si="8"/>
        <v>2062917</v>
      </c>
      <c r="E38" s="712">
        <f t="shared" si="8"/>
        <v>2062917</v>
      </c>
      <c r="F38" s="712">
        <f t="shared" si="8"/>
        <v>2062917</v>
      </c>
      <c r="G38" s="712">
        <f t="shared" si="8"/>
        <v>2062917</v>
      </c>
      <c r="H38" s="712">
        <f t="shared" si="8"/>
        <v>2062917</v>
      </c>
      <c r="I38" s="712">
        <f t="shared" si="8"/>
        <v>2062917</v>
      </c>
      <c r="J38" s="712">
        <f t="shared" si="8"/>
        <v>2062917</v>
      </c>
      <c r="K38" s="712">
        <f t="shared" si="8"/>
        <v>2062917</v>
      </c>
      <c r="L38" s="712">
        <f t="shared" si="8"/>
        <v>2062917</v>
      </c>
      <c r="M38" s="712">
        <f t="shared" si="8"/>
        <v>2062917</v>
      </c>
      <c r="N38" s="388">
        <f>O38-SUM(C38:M38)</f>
        <v>2062913</v>
      </c>
      <c r="O38" s="179">
        <f>'A4-FinPerf RE'!J38</f>
        <v>24755000</v>
      </c>
      <c r="P38" s="177">
        <f>'A4-FinPerf RE'!K38</f>
        <v>17781000</v>
      </c>
      <c r="Q38" s="178">
        <f>'A4-FinPerf RE'!L38</f>
        <v>18394000</v>
      </c>
    </row>
    <row r="39" spans="1:17" ht="62.25" customHeight="1" x14ac:dyDescent="0.25">
      <c r="A39" s="2029" t="str">
        <f>'A4-FinPerf RE'!A39</f>
        <v>Transfers and subsidies - capital (monetary allocations) (National / Provincial Departmental Agencies, Households, Non-profit Institutions, Private Enterprises, Public Corporatons, Higher Educational Institutions)</v>
      </c>
      <c r="B39" s="2024"/>
      <c r="C39" s="725">
        <f t="shared" si="8"/>
        <v>0</v>
      </c>
      <c r="D39" s="712">
        <f t="shared" si="8"/>
        <v>0</v>
      </c>
      <c r="E39" s="712">
        <f t="shared" si="8"/>
        <v>0</v>
      </c>
      <c r="F39" s="712">
        <f t="shared" si="8"/>
        <v>0</v>
      </c>
      <c r="G39" s="712">
        <f t="shared" si="8"/>
        <v>0</v>
      </c>
      <c r="H39" s="712">
        <f t="shared" si="8"/>
        <v>0</v>
      </c>
      <c r="I39" s="712">
        <f t="shared" si="8"/>
        <v>0</v>
      </c>
      <c r="J39" s="712">
        <f t="shared" si="8"/>
        <v>0</v>
      </c>
      <c r="K39" s="712">
        <f t="shared" si="8"/>
        <v>0</v>
      </c>
      <c r="L39" s="712">
        <f t="shared" si="8"/>
        <v>0</v>
      </c>
      <c r="M39" s="712">
        <f t="shared" si="8"/>
        <v>0</v>
      </c>
      <c r="N39" s="388">
        <f>O39-SUM(C39:M39)</f>
        <v>0</v>
      </c>
      <c r="O39" s="179">
        <f>'A4-FinPerf RE'!J39</f>
        <v>0</v>
      </c>
      <c r="P39" s="177">
        <f>'A4-FinPerf RE'!K39</f>
        <v>0</v>
      </c>
      <c r="Q39" s="178">
        <f>'A4-FinPerf RE'!L39</f>
        <v>0</v>
      </c>
    </row>
    <row r="40" spans="1:17" ht="11.25" customHeight="1" x14ac:dyDescent="0.25">
      <c r="A40" s="137" t="str">
        <f>'A4-FinPerf RE'!A40</f>
        <v xml:space="preserve">Transfers and subsidies - capital (in-kind - all) </v>
      </c>
      <c r="B40" s="2024"/>
      <c r="C40" s="725">
        <f t="shared" si="8"/>
        <v>0</v>
      </c>
      <c r="D40" s="712">
        <f t="shared" si="8"/>
        <v>0</v>
      </c>
      <c r="E40" s="712">
        <f t="shared" si="8"/>
        <v>0</v>
      </c>
      <c r="F40" s="712">
        <f t="shared" si="8"/>
        <v>0</v>
      </c>
      <c r="G40" s="712">
        <f t="shared" si="8"/>
        <v>0</v>
      </c>
      <c r="H40" s="712">
        <f t="shared" si="8"/>
        <v>0</v>
      </c>
      <c r="I40" s="712">
        <f t="shared" si="8"/>
        <v>0</v>
      </c>
      <c r="J40" s="712">
        <f t="shared" si="8"/>
        <v>0</v>
      </c>
      <c r="K40" s="712">
        <f t="shared" si="8"/>
        <v>0</v>
      </c>
      <c r="L40" s="712">
        <f t="shared" si="8"/>
        <v>0</v>
      </c>
      <c r="M40" s="712">
        <f t="shared" si="8"/>
        <v>0</v>
      </c>
      <c r="N40" s="388">
        <f>O40-SUM(C40:M40)</f>
        <v>0</v>
      </c>
      <c r="O40" s="179">
        <f>'A4-FinPerf RE'!J40</f>
        <v>0</v>
      </c>
      <c r="P40" s="177">
        <f>'A4-FinPerf RE'!K40</f>
        <v>0</v>
      </c>
      <c r="Q40" s="178">
        <f>'A4-FinPerf RE'!L40</f>
        <v>0</v>
      </c>
    </row>
    <row r="41" spans="1:17" s="1856" customFormat="1" ht="22.5" customHeight="1" x14ac:dyDescent="0.2">
      <c r="A41" s="2030" t="str">
        <f>'A4-FinPerf RE'!A41</f>
        <v>Surplus/(Deficit) after capital transfers &amp; contributions</v>
      </c>
      <c r="B41" s="2031"/>
      <c r="C41" s="2032">
        <f t="shared" ref="C41:N41" si="9">C37+SUM(C38:C40)</f>
        <v>-621612</v>
      </c>
      <c r="D41" s="2033">
        <f t="shared" si="9"/>
        <v>-621612</v>
      </c>
      <c r="E41" s="2033">
        <f t="shared" si="9"/>
        <v>-621612</v>
      </c>
      <c r="F41" s="2033">
        <f t="shared" si="9"/>
        <v>-621612</v>
      </c>
      <c r="G41" s="2033">
        <f t="shared" si="9"/>
        <v>-621612</v>
      </c>
      <c r="H41" s="2033">
        <f t="shared" si="9"/>
        <v>-621612</v>
      </c>
      <c r="I41" s="2033">
        <f t="shared" si="9"/>
        <v>-621612</v>
      </c>
      <c r="J41" s="2033">
        <f t="shared" si="9"/>
        <v>-621612</v>
      </c>
      <c r="K41" s="2033">
        <f t="shared" si="9"/>
        <v>-621612</v>
      </c>
      <c r="L41" s="2033">
        <f t="shared" si="9"/>
        <v>-621612</v>
      </c>
      <c r="M41" s="2033">
        <f t="shared" si="9"/>
        <v>-621612</v>
      </c>
      <c r="N41" s="2034">
        <f t="shared" si="9"/>
        <v>-621610</v>
      </c>
      <c r="O41" s="2035">
        <f>O37+SUM(O38:O40)</f>
        <v>-7459342</v>
      </c>
      <c r="P41" s="2033">
        <f>P37+SUM(P38:P40)</f>
        <v>6915590</v>
      </c>
      <c r="Q41" s="2036">
        <f>Q37+SUM(Q38:Q40)</f>
        <v>-869185</v>
      </c>
    </row>
    <row r="42" spans="1:17" ht="11.25" customHeight="1" x14ac:dyDescent="0.25">
      <c r="A42" s="104" t="str">
        <f>'A4-FinPerf RE'!A42</f>
        <v>Taxation</v>
      </c>
      <c r="B42" s="2024"/>
      <c r="C42" s="725">
        <f t="shared" ref="C42:M44" si="10">ROUND($O42/12,0)</f>
        <v>0</v>
      </c>
      <c r="D42" s="712">
        <f t="shared" si="10"/>
        <v>0</v>
      </c>
      <c r="E42" s="712">
        <f t="shared" si="10"/>
        <v>0</v>
      </c>
      <c r="F42" s="712">
        <f t="shared" si="10"/>
        <v>0</v>
      </c>
      <c r="G42" s="712">
        <f t="shared" si="10"/>
        <v>0</v>
      </c>
      <c r="H42" s="712">
        <f t="shared" si="10"/>
        <v>0</v>
      </c>
      <c r="I42" s="712">
        <f t="shared" si="10"/>
        <v>0</v>
      </c>
      <c r="J42" s="712">
        <f t="shared" si="10"/>
        <v>0</v>
      </c>
      <c r="K42" s="712">
        <f t="shared" si="10"/>
        <v>0</v>
      </c>
      <c r="L42" s="712">
        <f t="shared" si="10"/>
        <v>0</v>
      </c>
      <c r="M42" s="712">
        <f t="shared" si="10"/>
        <v>0</v>
      </c>
      <c r="N42" s="388">
        <f>O42-SUM(C42:M42)</f>
        <v>0</v>
      </c>
      <c r="O42" s="179">
        <f>'A4-FinPerf RE'!J42</f>
        <v>0</v>
      </c>
      <c r="P42" s="177">
        <f>'A4-FinPerf RE'!K42</f>
        <v>0</v>
      </c>
      <c r="Q42" s="178">
        <f>'A4-FinPerf RE'!L42</f>
        <v>0</v>
      </c>
    </row>
    <row r="43" spans="1:17" ht="11.25" customHeight="1" x14ac:dyDescent="0.25">
      <c r="A43" s="104" t="str">
        <f>'A4-FinPerf RE'!A44</f>
        <v>Attributable to minorities</v>
      </c>
      <c r="B43" s="2024"/>
      <c r="C43" s="725">
        <f t="shared" si="10"/>
        <v>0</v>
      </c>
      <c r="D43" s="712">
        <f t="shared" si="10"/>
        <v>0</v>
      </c>
      <c r="E43" s="712">
        <f t="shared" si="10"/>
        <v>0</v>
      </c>
      <c r="F43" s="712">
        <f t="shared" si="10"/>
        <v>0</v>
      </c>
      <c r="G43" s="712">
        <f t="shared" si="10"/>
        <v>0</v>
      </c>
      <c r="H43" s="712">
        <f t="shared" si="10"/>
        <v>0</v>
      </c>
      <c r="I43" s="712">
        <f t="shared" si="10"/>
        <v>0</v>
      </c>
      <c r="J43" s="712">
        <f t="shared" si="10"/>
        <v>0</v>
      </c>
      <c r="K43" s="712">
        <f t="shared" si="10"/>
        <v>0</v>
      </c>
      <c r="L43" s="712">
        <f t="shared" si="10"/>
        <v>0</v>
      </c>
      <c r="M43" s="712">
        <f t="shared" si="10"/>
        <v>0</v>
      </c>
      <c r="N43" s="388">
        <f>O43-SUM(C43:M43)</f>
        <v>0</v>
      </c>
      <c r="O43" s="179">
        <f>'A4-FinPerf RE'!J44</f>
        <v>0</v>
      </c>
      <c r="P43" s="177">
        <f>'A4-FinPerf RE'!K44</f>
        <v>0</v>
      </c>
      <c r="Q43" s="178">
        <f>'A4-FinPerf RE'!L44</f>
        <v>0</v>
      </c>
    </row>
    <row r="44" spans="1:17" x14ac:dyDescent="0.25">
      <c r="A44" s="1217" t="str">
        <f>'A4-FinPerf RE'!A46</f>
        <v>Share of surplus/ (deficit) of associate</v>
      </c>
      <c r="B44" s="2037"/>
      <c r="C44" s="725">
        <f t="shared" si="10"/>
        <v>0</v>
      </c>
      <c r="D44" s="712">
        <f t="shared" si="10"/>
        <v>0</v>
      </c>
      <c r="E44" s="712">
        <f t="shared" si="10"/>
        <v>0</v>
      </c>
      <c r="F44" s="712">
        <f t="shared" si="10"/>
        <v>0</v>
      </c>
      <c r="G44" s="712">
        <f t="shared" si="10"/>
        <v>0</v>
      </c>
      <c r="H44" s="712">
        <f t="shared" si="10"/>
        <v>0</v>
      </c>
      <c r="I44" s="712">
        <f t="shared" si="10"/>
        <v>0</v>
      </c>
      <c r="J44" s="712">
        <f t="shared" si="10"/>
        <v>0</v>
      </c>
      <c r="K44" s="712">
        <f t="shared" si="10"/>
        <v>0</v>
      </c>
      <c r="L44" s="712">
        <f t="shared" si="10"/>
        <v>0</v>
      </c>
      <c r="M44" s="712">
        <f t="shared" si="10"/>
        <v>0</v>
      </c>
      <c r="N44" s="388">
        <f>O44-SUM(C44:M44)</f>
        <v>0</v>
      </c>
      <c r="O44" s="179">
        <f>'A4-FinPerf RE'!J46</f>
        <v>0</v>
      </c>
      <c r="P44" s="177">
        <f>'A4-FinPerf RE'!K46</f>
        <v>0</v>
      </c>
      <c r="Q44" s="178">
        <f>'A4-FinPerf RE'!L46</f>
        <v>0</v>
      </c>
    </row>
    <row r="45" spans="1:17" x14ac:dyDescent="0.25">
      <c r="A45" s="1980" t="str">
        <f>'A4-FinPerf RE'!A37</f>
        <v>Surplus/(Deficit)</v>
      </c>
      <c r="B45" s="2038">
        <v>1</v>
      </c>
      <c r="C45" s="121">
        <f>C41-C42+SUM(C43:C44)</f>
        <v>-621612</v>
      </c>
      <c r="D45" s="119">
        <f t="shared" ref="D45:M45" si="11">D41-D42+SUM(D43:D44)</f>
        <v>-621612</v>
      </c>
      <c r="E45" s="119">
        <f t="shared" si="11"/>
        <v>-621612</v>
      </c>
      <c r="F45" s="119">
        <f t="shared" si="11"/>
        <v>-621612</v>
      </c>
      <c r="G45" s="119">
        <f t="shared" si="11"/>
        <v>-621612</v>
      </c>
      <c r="H45" s="119">
        <f t="shared" si="11"/>
        <v>-621612</v>
      </c>
      <c r="I45" s="119">
        <f t="shared" si="11"/>
        <v>-621612</v>
      </c>
      <c r="J45" s="119">
        <f t="shared" si="11"/>
        <v>-621612</v>
      </c>
      <c r="K45" s="119">
        <f t="shared" si="11"/>
        <v>-621612</v>
      </c>
      <c r="L45" s="119">
        <f t="shared" si="11"/>
        <v>-621612</v>
      </c>
      <c r="M45" s="119">
        <f t="shared" si="11"/>
        <v>-621612</v>
      </c>
      <c r="N45" s="2039">
        <f>N41-N42+SUM(N43:N44)</f>
        <v>-621610</v>
      </c>
      <c r="O45" s="121">
        <f>O41-O42+SUM(O43:O44)</f>
        <v>-7459342</v>
      </c>
      <c r="P45" s="119">
        <f>P41-P42+SUM(P43:P44)</f>
        <v>6915590</v>
      </c>
      <c r="Q45" s="120">
        <f>Q41-Q42+SUM(Q43:Q44)</f>
        <v>-869185</v>
      </c>
    </row>
    <row r="46" spans="1:17" x14ac:dyDescent="0.25">
      <c r="A46" s="301" t="str">
        <f>head27a</f>
        <v>References</v>
      </c>
      <c r="B46" s="2040"/>
      <c r="C46" s="191"/>
      <c r="D46" s="191"/>
      <c r="E46" s="191"/>
      <c r="F46" s="191"/>
      <c r="G46" s="191"/>
      <c r="H46" s="191"/>
      <c r="I46" s="191"/>
      <c r="J46" s="191"/>
      <c r="K46" s="191"/>
      <c r="L46" s="191"/>
      <c r="M46" s="191"/>
      <c r="N46" s="191"/>
      <c r="O46" s="191"/>
      <c r="P46" s="191"/>
      <c r="Q46" s="191"/>
    </row>
    <row r="47" spans="1:17" x14ac:dyDescent="0.25">
      <c r="A47" s="299" t="s">
        <v>1400</v>
      </c>
    </row>
    <row r="48" spans="1:17" x14ac:dyDescent="0.25">
      <c r="A48" s="1815" t="s">
        <v>1330</v>
      </c>
      <c r="B48" s="1815"/>
      <c r="O48" s="2041">
        <f>O45-'A4-FinPerf RE'!J47</f>
        <v>0</v>
      </c>
      <c r="P48" s="2041">
        <f>P45-'A4-FinPerf RE'!K47</f>
        <v>0</v>
      </c>
      <c r="Q48" s="2041">
        <f>Q45-'A4-FinPerf RE'!L47</f>
        <v>0</v>
      </c>
    </row>
  </sheetData>
  <sheetProtection algorithmName="SHA-512" hashValue="dxxukeO9SldUVoj8FyCaIFWRpTINYH5Z0LpWMJyfPMeK6qWX1bzqe2TRZEdpnfInAz3dqYNU5rTPUCFE5T2/vQ==" saltValue="czwdK1UG+KJ9ON/5pHqp1w==" spinCount="100000" sheet="1" objects="1" scenarios="1"/>
  <mergeCells count="2">
    <mergeCell ref="C2:N2"/>
    <mergeCell ref="O2:Q2"/>
  </mergeCells>
  <phoneticPr fontId="7" type="noConversion"/>
  <printOptions horizontalCentered="1"/>
  <pageMargins left="0.36" right="0" top="0.78740157480314965" bottom="0.59055118110236227" header="0.51181102362204722" footer="0.39370078740157483"/>
  <pageSetup paperSize="9" scale="82" orientation="landscape"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Sheet46">
    <pageSetUpPr fitToPage="1"/>
  </sheetPr>
  <dimension ref="A1:R48"/>
  <sheetViews>
    <sheetView showGridLines="0" zoomScale="110" zoomScaleNormal="110" workbookViewId="0">
      <pane xSplit="2" ySplit="3" topLeftCell="H27" activePane="bottomRight" state="frozen"/>
      <selection pane="topRight"/>
      <selection pane="bottomLeft"/>
      <selection pane="bottomRight" activeCell="O48" sqref="O48"/>
    </sheetView>
  </sheetViews>
  <sheetFormatPr defaultColWidth="9.140625" defaultRowHeight="12.75" x14ac:dyDescent="0.25"/>
  <cols>
    <col min="1" max="1" width="30.7109375" style="58" customWidth="1"/>
    <col min="2" max="2" width="3" style="58" customWidth="1"/>
    <col min="3" max="14" width="8.28515625" style="58" customWidth="1"/>
    <col min="15" max="17" width="9.28515625" style="58" customWidth="1"/>
    <col min="18" max="16384" width="9.140625" style="58"/>
  </cols>
  <sheetData>
    <row r="1" spans="1:18" ht="13.5" customHeight="1" x14ac:dyDescent="0.25">
      <c r="A1" s="92" t="str">
        <f>muni&amp;" - "&amp;TableA26</f>
        <v>KZN226 Mkhambathini - Supporting Table SA26 Budgeted monthly revenue and expenditure (municipal vote)</v>
      </c>
      <c r="B1" s="92"/>
      <c r="C1" s="92"/>
      <c r="D1" s="92"/>
      <c r="E1" s="92"/>
      <c r="F1" s="92"/>
      <c r="G1" s="92"/>
      <c r="H1" s="92"/>
      <c r="I1" s="92"/>
      <c r="J1" s="92"/>
      <c r="K1" s="92"/>
      <c r="L1" s="92"/>
      <c r="M1" s="92"/>
      <c r="N1" s="92"/>
      <c r="O1" s="92"/>
      <c r="P1" s="92"/>
      <c r="Q1" s="92"/>
    </row>
    <row r="2" spans="1:18" ht="28.5" customHeight="1" x14ac:dyDescent="0.25">
      <c r="A2" s="1829" t="str">
        <f>desc</f>
        <v>Description</v>
      </c>
      <c r="B2" s="1825" t="str">
        <f>head27</f>
        <v>Ref</v>
      </c>
      <c r="C2" s="2447" t="str">
        <f>Head9</f>
        <v>Budget Year 2021/22</v>
      </c>
      <c r="D2" s="2448"/>
      <c r="E2" s="2448"/>
      <c r="F2" s="2448"/>
      <c r="G2" s="2448"/>
      <c r="H2" s="2448"/>
      <c r="I2" s="2448"/>
      <c r="J2" s="2448"/>
      <c r="K2" s="2448"/>
      <c r="L2" s="2448"/>
      <c r="M2" s="2448"/>
      <c r="N2" s="2448"/>
      <c r="O2" s="2450" t="s">
        <v>1554</v>
      </c>
      <c r="P2" s="2451"/>
      <c r="Q2" s="2452"/>
    </row>
    <row r="3" spans="1:18" ht="25.5" x14ac:dyDescent="0.25">
      <c r="A3" s="2020" t="s">
        <v>568</v>
      </c>
      <c r="B3" s="2021"/>
      <c r="C3" s="95" t="s">
        <v>620</v>
      </c>
      <c r="D3" s="527" t="s">
        <v>1233</v>
      </c>
      <c r="E3" s="527" t="s">
        <v>1234</v>
      </c>
      <c r="F3" s="527" t="s">
        <v>1235</v>
      </c>
      <c r="G3" s="527" t="s">
        <v>603</v>
      </c>
      <c r="H3" s="527" t="s">
        <v>604</v>
      </c>
      <c r="I3" s="527" t="s">
        <v>605</v>
      </c>
      <c r="J3" s="527" t="s">
        <v>606</v>
      </c>
      <c r="K3" s="527" t="s">
        <v>607</v>
      </c>
      <c r="L3" s="527" t="s">
        <v>608</v>
      </c>
      <c r="M3" s="527" t="s">
        <v>609</v>
      </c>
      <c r="N3" s="94" t="s">
        <v>610</v>
      </c>
      <c r="O3" s="95" t="str">
        <f>Head9</f>
        <v>Budget Year 2021/22</v>
      </c>
      <c r="P3" s="698" t="str">
        <f>Head10</f>
        <v>Budget Year +1 2022/23</v>
      </c>
      <c r="Q3" s="94" t="str">
        <f>Head11</f>
        <v>Budget Year +2 2023/24</v>
      </c>
    </row>
    <row r="4" spans="1:18" x14ac:dyDescent="0.25">
      <c r="A4" s="96" t="str">
        <f>'A3-FinPerf V'!A4</f>
        <v>Revenue by Vote</v>
      </c>
      <c r="B4" s="2026"/>
      <c r="C4" s="764"/>
      <c r="D4" s="762"/>
      <c r="E4" s="762"/>
      <c r="F4" s="762"/>
      <c r="G4" s="762"/>
      <c r="H4" s="762"/>
      <c r="I4" s="762"/>
      <c r="J4" s="762"/>
      <c r="K4" s="762"/>
      <c r="L4" s="762"/>
      <c r="M4" s="762"/>
      <c r="N4" s="767"/>
      <c r="O4" s="766"/>
      <c r="P4" s="762"/>
      <c r="Q4" s="765"/>
    </row>
    <row r="5" spans="1:18" ht="11.25" customHeight="1" x14ac:dyDescent="0.25">
      <c r="A5" s="137" t="str">
        <f>'A3-FinPerf V'!A5</f>
        <v>Vote 1 - Finance and Administration</v>
      </c>
      <c r="B5" s="2024"/>
      <c r="C5" s="725">
        <f t="shared" ref="C5:M19" si="0">ROUND($O5/12,0)</f>
        <v>10378437</v>
      </c>
      <c r="D5" s="712">
        <f t="shared" si="0"/>
        <v>10378437</v>
      </c>
      <c r="E5" s="712">
        <f t="shared" si="0"/>
        <v>10378437</v>
      </c>
      <c r="F5" s="712">
        <f t="shared" si="0"/>
        <v>10378437</v>
      </c>
      <c r="G5" s="712">
        <f t="shared" si="0"/>
        <v>10378437</v>
      </c>
      <c r="H5" s="712">
        <f t="shared" si="0"/>
        <v>10378437</v>
      </c>
      <c r="I5" s="712">
        <f t="shared" si="0"/>
        <v>10378437</v>
      </c>
      <c r="J5" s="712">
        <f t="shared" si="0"/>
        <v>10378437</v>
      </c>
      <c r="K5" s="712">
        <f t="shared" si="0"/>
        <v>10378437</v>
      </c>
      <c r="L5" s="712">
        <f t="shared" si="0"/>
        <v>10378437</v>
      </c>
      <c r="M5" s="712">
        <f t="shared" si="0"/>
        <v>10378437</v>
      </c>
      <c r="N5" s="388">
        <f t="shared" ref="N5:N10" si="1">O5-SUM(C5:M5)</f>
        <v>10378432</v>
      </c>
      <c r="O5" s="181">
        <f>'A3-FinPerf V'!I5</f>
        <v>124541239</v>
      </c>
      <c r="P5" s="177">
        <f>'A3-FinPerf V'!J5</f>
        <v>129656413</v>
      </c>
      <c r="Q5" s="178">
        <f>'A3-FinPerf V'!K5</f>
        <v>132364708</v>
      </c>
    </row>
    <row r="6" spans="1:18" ht="11.25" customHeight="1" x14ac:dyDescent="0.25">
      <c r="A6" s="137" t="str">
        <f>'A3-FinPerf V'!A6</f>
        <v>Vote 2 - Finance and Administration2</v>
      </c>
      <c r="B6" s="2024"/>
      <c r="C6" s="725">
        <f t="shared" si="0"/>
        <v>0</v>
      </c>
      <c r="D6" s="712">
        <f t="shared" si="0"/>
        <v>0</v>
      </c>
      <c r="E6" s="712">
        <f t="shared" si="0"/>
        <v>0</v>
      </c>
      <c r="F6" s="712">
        <f t="shared" si="0"/>
        <v>0</v>
      </c>
      <c r="G6" s="712">
        <f t="shared" si="0"/>
        <v>0</v>
      </c>
      <c r="H6" s="712">
        <f t="shared" si="0"/>
        <v>0</v>
      </c>
      <c r="I6" s="712">
        <f t="shared" si="0"/>
        <v>0</v>
      </c>
      <c r="J6" s="712">
        <f t="shared" si="0"/>
        <v>0</v>
      </c>
      <c r="K6" s="712">
        <f t="shared" si="0"/>
        <v>0</v>
      </c>
      <c r="L6" s="712">
        <f t="shared" si="0"/>
        <v>0</v>
      </c>
      <c r="M6" s="712">
        <f t="shared" si="0"/>
        <v>0</v>
      </c>
      <c r="N6" s="388">
        <f t="shared" si="1"/>
        <v>0</v>
      </c>
      <c r="O6" s="181">
        <f>'A3-FinPerf V'!I6</f>
        <v>0</v>
      </c>
      <c r="P6" s="71">
        <f>'A3-FinPerf V'!J6</f>
        <v>0</v>
      </c>
      <c r="Q6" s="72">
        <f>'A3-FinPerf V'!K6</f>
        <v>0</v>
      </c>
    </row>
    <row r="7" spans="1:18" ht="11.25" customHeight="1" x14ac:dyDescent="0.25">
      <c r="A7" s="137" t="str">
        <f>'A3-FinPerf V'!A7</f>
        <v>Vote 3 - Executive and Council</v>
      </c>
      <c r="B7" s="2024"/>
      <c r="C7" s="725">
        <f t="shared" si="0"/>
        <v>0</v>
      </c>
      <c r="D7" s="712">
        <f t="shared" si="0"/>
        <v>0</v>
      </c>
      <c r="E7" s="712">
        <f t="shared" si="0"/>
        <v>0</v>
      </c>
      <c r="F7" s="712">
        <f t="shared" si="0"/>
        <v>0</v>
      </c>
      <c r="G7" s="712">
        <f t="shared" si="0"/>
        <v>0</v>
      </c>
      <c r="H7" s="712">
        <f t="shared" si="0"/>
        <v>0</v>
      </c>
      <c r="I7" s="712">
        <f t="shared" si="0"/>
        <v>0</v>
      </c>
      <c r="J7" s="712">
        <f t="shared" si="0"/>
        <v>0</v>
      </c>
      <c r="K7" s="712">
        <f t="shared" si="0"/>
        <v>0</v>
      </c>
      <c r="L7" s="712">
        <f t="shared" si="0"/>
        <v>0</v>
      </c>
      <c r="M7" s="712">
        <f t="shared" si="0"/>
        <v>0</v>
      </c>
      <c r="N7" s="388">
        <f t="shared" si="1"/>
        <v>0</v>
      </c>
      <c r="O7" s="181">
        <f>'A3-FinPerf V'!I7</f>
        <v>0</v>
      </c>
      <c r="P7" s="71">
        <f>'A3-FinPerf V'!J7</f>
        <v>0</v>
      </c>
      <c r="Q7" s="72">
        <f>'A3-FinPerf V'!K7</f>
        <v>0</v>
      </c>
    </row>
    <row r="8" spans="1:18" ht="11.25" customHeight="1" x14ac:dyDescent="0.25">
      <c r="A8" s="137" t="str">
        <f>'A3-FinPerf V'!A8</f>
        <v>Vote 4 - Community and Social Services</v>
      </c>
      <c r="B8" s="2024"/>
      <c r="C8" s="725">
        <f t="shared" si="0"/>
        <v>161123</v>
      </c>
      <c r="D8" s="712">
        <f t="shared" si="0"/>
        <v>161123</v>
      </c>
      <c r="E8" s="712">
        <f t="shared" si="0"/>
        <v>161123</v>
      </c>
      <c r="F8" s="712">
        <f t="shared" si="0"/>
        <v>161123</v>
      </c>
      <c r="G8" s="712">
        <f t="shared" si="0"/>
        <v>161123</v>
      </c>
      <c r="H8" s="712">
        <f t="shared" si="0"/>
        <v>161123</v>
      </c>
      <c r="I8" s="712">
        <f t="shared" si="0"/>
        <v>161123</v>
      </c>
      <c r="J8" s="712">
        <f t="shared" si="0"/>
        <v>161123</v>
      </c>
      <c r="K8" s="712">
        <f t="shared" si="0"/>
        <v>161123</v>
      </c>
      <c r="L8" s="712">
        <f t="shared" si="0"/>
        <v>161123</v>
      </c>
      <c r="M8" s="712">
        <f t="shared" si="0"/>
        <v>161123</v>
      </c>
      <c r="N8" s="388">
        <f t="shared" si="1"/>
        <v>161121</v>
      </c>
      <c r="O8" s="181">
        <f>'A3-FinPerf V'!I8</f>
        <v>1933474</v>
      </c>
      <c r="P8" s="71">
        <f>'A3-FinPerf V'!J8</f>
        <v>1934414</v>
      </c>
      <c r="Q8" s="72">
        <f>'A3-FinPerf V'!K8</f>
        <v>1935391</v>
      </c>
    </row>
    <row r="9" spans="1:18" ht="11.25" customHeight="1" x14ac:dyDescent="0.25">
      <c r="A9" s="137" t="str">
        <f>'A3-FinPerf V'!A9</f>
        <v>Vote 5 - Community and Social Services2</v>
      </c>
      <c r="B9" s="2024"/>
      <c r="C9" s="725">
        <f t="shared" si="0"/>
        <v>0</v>
      </c>
      <c r="D9" s="712">
        <f t="shared" si="0"/>
        <v>0</v>
      </c>
      <c r="E9" s="712">
        <f t="shared" si="0"/>
        <v>0</v>
      </c>
      <c r="F9" s="712">
        <f t="shared" si="0"/>
        <v>0</v>
      </c>
      <c r="G9" s="712">
        <f t="shared" si="0"/>
        <v>0</v>
      </c>
      <c r="H9" s="712">
        <f t="shared" si="0"/>
        <v>0</v>
      </c>
      <c r="I9" s="712">
        <f t="shared" si="0"/>
        <v>0</v>
      </c>
      <c r="J9" s="712">
        <f t="shared" si="0"/>
        <v>0</v>
      </c>
      <c r="K9" s="712">
        <f t="shared" si="0"/>
        <v>0</v>
      </c>
      <c r="L9" s="712">
        <f t="shared" si="0"/>
        <v>0</v>
      </c>
      <c r="M9" s="712">
        <f t="shared" si="0"/>
        <v>0</v>
      </c>
      <c r="N9" s="388">
        <f t="shared" si="1"/>
        <v>0</v>
      </c>
      <c r="O9" s="181">
        <f>'A3-FinPerf V'!I9</f>
        <v>0</v>
      </c>
      <c r="P9" s="71">
        <f>'A3-FinPerf V'!J9</f>
        <v>0</v>
      </c>
      <c r="Q9" s="72">
        <f>'A3-FinPerf V'!K9</f>
        <v>0</v>
      </c>
    </row>
    <row r="10" spans="1:18" ht="11.25" customHeight="1" x14ac:dyDescent="0.25">
      <c r="A10" s="137" t="str">
        <f>'A3-FinPerf V'!A10</f>
        <v>Vote 6 - Energy Sources</v>
      </c>
      <c r="B10" s="2024"/>
      <c r="C10" s="725">
        <f t="shared" si="0"/>
        <v>0</v>
      </c>
      <c r="D10" s="712">
        <f t="shared" si="0"/>
        <v>0</v>
      </c>
      <c r="E10" s="712">
        <f t="shared" si="0"/>
        <v>0</v>
      </c>
      <c r="F10" s="712">
        <f t="shared" si="0"/>
        <v>0</v>
      </c>
      <c r="G10" s="712">
        <f t="shared" si="0"/>
        <v>0</v>
      </c>
      <c r="H10" s="712">
        <f t="shared" si="0"/>
        <v>0</v>
      </c>
      <c r="I10" s="712">
        <f t="shared" si="0"/>
        <v>0</v>
      </c>
      <c r="J10" s="712">
        <f t="shared" si="0"/>
        <v>0</v>
      </c>
      <c r="K10" s="712">
        <f t="shared" si="0"/>
        <v>0</v>
      </c>
      <c r="L10" s="712">
        <f t="shared" si="0"/>
        <v>0</v>
      </c>
      <c r="M10" s="712">
        <f t="shared" si="0"/>
        <v>0</v>
      </c>
      <c r="N10" s="388">
        <f t="shared" si="1"/>
        <v>0</v>
      </c>
      <c r="O10" s="181">
        <f>'A3-FinPerf V'!I10</f>
        <v>0</v>
      </c>
      <c r="P10" s="71">
        <f>'A3-FinPerf V'!J10</f>
        <v>0</v>
      </c>
      <c r="Q10" s="72">
        <f>'A3-FinPerf V'!K10</f>
        <v>0</v>
      </c>
    </row>
    <row r="11" spans="1:18" ht="11.25" customHeight="1" x14ac:dyDescent="0.25">
      <c r="A11" s="137" t="str">
        <f>'A3-FinPerf V'!A11</f>
        <v>Vote 7 - Road Transport</v>
      </c>
      <c r="B11" s="2024"/>
      <c r="C11" s="725">
        <f t="shared" si="0"/>
        <v>2598</v>
      </c>
      <c r="D11" s="712">
        <f t="shared" si="0"/>
        <v>2598</v>
      </c>
      <c r="E11" s="712">
        <f t="shared" si="0"/>
        <v>2598</v>
      </c>
      <c r="F11" s="712">
        <f t="shared" si="0"/>
        <v>2598</v>
      </c>
      <c r="G11" s="712">
        <f t="shared" si="0"/>
        <v>2598</v>
      </c>
      <c r="H11" s="712">
        <f t="shared" si="0"/>
        <v>2598</v>
      </c>
      <c r="I11" s="712">
        <f t="shared" si="0"/>
        <v>2598</v>
      </c>
      <c r="J11" s="712">
        <f t="shared" si="0"/>
        <v>2598</v>
      </c>
      <c r="K11" s="712">
        <f t="shared" si="0"/>
        <v>2598</v>
      </c>
      <c r="L11" s="712">
        <f t="shared" si="0"/>
        <v>2598</v>
      </c>
      <c r="M11" s="712">
        <f t="shared" si="0"/>
        <v>2598</v>
      </c>
      <c r="N11" s="388">
        <f>O11-SUM(C11:M11)</f>
        <v>2592</v>
      </c>
      <c r="O11" s="181">
        <f>'A3-FinPerf V'!I11</f>
        <v>31170</v>
      </c>
      <c r="P11" s="71">
        <f>'A3-FinPerf V'!J11</f>
        <v>32417</v>
      </c>
      <c r="Q11" s="72">
        <f>'A3-FinPerf V'!K11</f>
        <v>33713</v>
      </c>
    </row>
    <row r="12" spans="1:18" ht="11.25" customHeight="1" x14ac:dyDescent="0.25">
      <c r="A12" s="137" t="str">
        <f>'A3-FinPerf V'!A12</f>
        <v>Vote 8 - Planning and Development</v>
      </c>
      <c r="B12" s="2024"/>
      <c r="C12" s="725">
        <f t="shared" si="0"/>
        <v>78373</v>
      </c>
      <c r="D12" s="712">
        <f t="shared" si="0"/>
        <v>78373</v>
      </c>
      <c r="E12" s="712">
        <f t="shared" si="0"/>
        <v>78373</v>
      </c>
      <c r="F12" s="712">
        <f t="shared" si="0"/>
        <v>78373</v>
      </c>
      <c r="G12" s="712">
        <f t="shared" si="0"/>
        <v>78373</v>
      </c>
      <c r="H12" s="712">
        <f t="shared" si="0"/>
        <v>78373</v>
      </c>
      <c r="I12" s="712">
        <f t="shared" si="0"/>
        <v>78373</v>
      </c>
      <c r="J12" s="712">
        <f t="shared" si="0"/>
        <v>78373</v>
      </c>
      <c r="K12" s="712">
        <f t="shared" si="0"/>
        <v>78373</v>
      </c>
      <c r="L12" s="712">
        <f t="shared" si="0"/>
        <v>78373</v>
      </c>
      <c r="M12" s="712">
        <f t="shared" si="0"/>
        <v>78373</v>
      </c>
      <c r="N12" s="388">
        <f>O12-SUM(C12:M12)</f>
        <v>78371</v>
      </c>
      <c r="O12" s="181">
        <f>'A3-FinPerf V'!I12</f>
        <v>940474</v>
      </c>
      <c r="P12" s="71">
        <f>'A3-FinPerf V'!J12</f>
        <v>2663760</v>
      </c>
      <c r="Q12" s="72">
        <f>'A3-FinPerf V'!K12</f>
        <v>2770310</v>
      </c>
    </row>
    <row r="13" spans="1:18" ht="11.25" customHeight="1" x14ac:dyDescent="0.25">
      <c r="A13" s="137" t="str">
        <f>'A3-FinPerf V'!A13</f>
        <v>Vote 9 - Sport and Recreation</v>
      </c>
      <c r="B13" s="2024"/>
      <c r="C13" s="725">
        <f t="shared" si="0"/>
        <v>0</v>
      </c>
      <c r="D13" s="712">
        <f t="shared" si="0"/>
        <v>0</v>
      </c>
      <c r="E13" s="712">
        <f t="shared" si="0"/>
        <v>0</v>
      </c>
      <c r="F13" s="712">
        <f t="shared" si="0"/>
        <v>0</v>
      </c>
      <c r="G13" s="712">
        <f t="shared" si="0"/>
        <v>0</v>
      </c>
      <c r="H13" s="712">
        <f t="shared" si="0"/>
        <v>0</v>
      </c>
      <c r="I13" s="712">
        <f t="shared" si="0"/>
        <v>0</v>
      </c>
      <c r="J13" s="712">
        <f t="shared" si="0"/>
        <v>0</v>
      </c>
      <c r="K13" s="712">
        <f t="shared" si="0"/>
        <v>0</v>
      </c>
      <c r="L13" s="712">
        <f t="shared" si="0"/>
        <v>0</v>
      </c>
      <c r="M13" s="712">
        <f t="shared" si="0"/>
        <v>0</v>
      </c>
      <c r="N13" s="388">
        <f>O13-SUM(C13:M13)</f>
        <v>0</v>
      </c>
      <c r="O13" s="181">
        <f>'A3-FinPerf V'!I13</f>
        <v>0</v>
      </c>
      <c r="P13" s="71">
        <f>'A3-FinPerf V'!J13</f>
        <v>0</v>
      </c>
      <c r="Q13" s="72">
        <f>'A3-FinPerf V'!K13</f>
        <v>0</v>
      </c>
      <c r="R13" s="322"/>
    </row>
    <row r="14" spans="1:18" ht="11.25" customHeight="1" x14ac:dyDescent="0.25">
      <c r="A14" s="137" t="str">
        <f>'A3-FinPerf V'!A14</f>
        <v>Vote 10 - Public Safety</v>
      </c>
      <c r="B14" s="2024"/>
      <c r="C14" s="725">
        <f t="shared" si="0"/>
        <v>0</v>
      </c>
      <c r="D14" s="712">
        <f t="shared" si="0"/>
        <v>0</v>
      </c>
      <c r="E14" s="712">
        <f t="shared" si="0"/>
        <v>0</v>
      </c>
      <c r="F14" s="712">
        <f t="shared" si="0"/>
        <v>0</v>
      </c>
      <c r="G14" s="712">
        <f t="shared" si="0"/>
        <v>0</v>
      </c>
      <c r="H14" s="712">
        <f t="shared" si="0"/>
        <v>0</v>
      </c>
      <c r="I14" s="712">
        <f t="shared" si="0"/>
        <v>0</v>
      </c>
      <c r="J14" s="712">
        <f t="shared" si="0"/>
        <v>0</v>
      </c>
      <c r="K14" s="712">
        <f t="shared" si="0"/>
        <v>0</v>
      </c>
      <c r="L14" s="712">
        <f t="shared" si="0"/>
        <v>0</v>
      </c>
      <c r="M14" s="712">
        <f t="shared" si="0"/>
        <v>0</v>
      </c>
      <c r="N14" s="388">
        <f t="shared" ref="N14:N19" si="2">O14-SUM(C14:M14)</f>
        <v>0</v>
      </c>
      <c r="O14" s="181">
        <f>'A3-FinPerf V'!I14</f>
        <v>0</v>
      </c>
      <c r="P14" s="71">
        <f>'A3-FinPerf V'!J14</f>
        <v>0</v>
      </c>
      <c r="Q14" s="72">
        <f>'A3-FinPerf V'!K14</f>
        <v>0</v>
      </c>
      <c r="R14" s="322"/>
    </row>
    <row r="15" spans="1:18" ht="11.25" customHeight="1" x14ac:dyDescent="0.25">
      <c r="A15" s="137" t="str">
        <f>'A3-FinPerf V'!A15</f>
        <v>Vote 11 - Other</v>
      </c>
      <c r="B15" s="2024"/>
      <c r="C15" s="725">
        <f t="shared" si="0"/>
        <v>616673</v>
      </c>
      <c r="D15" s="712">
        <f t="shared" si="0"/>
        <v>616673</v>
      </c>
      <c r="E15" s="712">
        <f t="shared" si="0"/>
        <v>616673</v>
      </c>
      <c r="F15" s="712">
        <f t="shared" si="0"/>
        <v>616673</v>
      </c>
      <c r="G15" s="712">
        <f t="shared" si="0"/>
        <v>616673</v>
      </c>
      <c r="H15" s="712">
        <f t="shared" si="0"/>
        <v>616673</v>
      </c>
      <c r="I15" s="712">
        <f t="shared" si="0"/>
        <v>616673</v>
      </c>
      <c r="J15" s="712">
        <f t="shared" si="0"/>
        <v>616673</v>
      </c>
      <c r="K15" s="712">
        <f t="shared" si="0"/>
        <v>616673</v>
      </c>
      <c r="L15" s="712">
        <f t="shared" si="0"/>
        <v>616673</v>
      </c>
      <c r="M15" s="712">
        <f t="shared" si="0"/>
        <v>616673</v>
      </c>
      <c r="N15" s="388">
        <f t="shared" si="2"/>
        <v>616678</v>
      </c>
      <c r="O15" s="181">
        <f>'A3-FinPerf V'!I15</f>
        <v>7400081</v>
      </c>
      <c r="P15" s="71">
        <f>'A3-FinPerf V'!J15</f>
        <v>7696084</v>
      </c>
      <c r="Q15" s="72">
        <f>'A3-FinPerf V'!K15</f>
        <v>8003928</v>
      </c>
      <c r="R15" s="322"/>
    </row>
    <row r="16" spans="1:18" ht="11.25" customHeight="1" x14ac:dyDescent="0.25">
      <c r="A16" s="137" t="str">
        <f>'A3-FinPerf V'!A16</f>
        <v>Vote 12 - Waste Management</v>
      </c>
      <c r="B16" s="2024"/>
      <c r="C16" s="725">
        <f t="shared" si="0"/>
        <v>49724</v>
      </c>
      <c r="D16" s="712">
        <f t="shared" si="0"/>
        <v>49724</v>
      </c>
      <c r="E16" s="712">
        <f t="shared" si="0"/>
        <v>49724</v>
      </c>
      <c r="F16" s="712">
        <f t="shared" si="0"/>
        <v>49724</v>
      </c>
      <c r="G16" s="712">
        <f t="shared" si="0"/>
        <v>49724</v>
      </c>
      <c r="H16" s="712">
        <f t="shared" si="0"/>
        <v>49724</v>
      </c>
      <c r="I16" s="712">
        <f t="shared" si="0"/>
        <v>49724</v>
      </c>
      <c r="J16" s="712">
        <f t="shared" si="0"/>
        <v>49724</v>
      </c>
      <c r="K16" s="712">
        <f t="shared" si="0"/>
        <v>49724</v>
      </c>
      <c r="L16" s="712">
        <f t="shared" si="0"/>
        <v>49724</v>
      </c>
      <c r="M16" s="712">
        <f t="shared" si="0"/>
        <v>49724</v>
      </c>
      <c r="N16" s="388">
        <f t="shared" si="2"/>
        <v>49720</v>
      </c>
      <c r="O16" s="181">
        <f>'A3-FinPerf V'!I16</f>
        <v>596684</v>
      </c>
      <c r="P16" s="71">
        <f>'A3-FinPerf V'!J16</f>
        <v>620552</v>
      </c>
      <c r="Q16" s="72">
        <f>'A3-FinPerf V'!K16</f>
        <v>645374</v>
      </c>
      <c r="R16" s="322"/>
    </row>
    <row r="17" spans="1:18" ht="11.25" customHeight="1" x14ac:dyDescent="0.25">
      <c r="A17" s="137" t="str">
        <f>'A3-FinPerf V'!A17</f>
        <v>Vote 13 - Housing</v>
      </c>
      <c r="B17" s="2024"/>
      <c r="C17" s="725">
        <f t="shared" si="0"/>
        <v>0</v>
      </c>
      <c r="D17" s="712">
        <f t="shared" si="0"/>
        <v>0</v>
      </c>
      <c r="E17" s="712">
        <f t="shared" si="0"/>
        <v>0</v>
      </c>
      <c r="F17" s="712">
        <f t="shared" si="0"/>
        <v>0</v>
      </c>
      <c r="G17" s="712">
        <f t="shared" si="0"/>
        <v>0</v>
      </c>
      <c r="H17" s="712">
        <f t="shared" si="0"/>
        <v>0</v>
      </c>
      <c r="I17" s="712">
        <f t="shared" si="0"/>
        <v>0</v>
      </c>
      <c r="J17" s="712">
        <f t="shared" si="0"/>
        <v>0</v>
      </c>
      <c r="K17" s="712">
        <f t="shared" si="0"/>
        <v>0</v>
      </c>
      <c r="L17" s="712">
        <f t="shared" si="0"/>
        <v>0</v>
      </c>
      <c r="M17" s="712">
        <f t="shared" si="0"/>
        <v>0</v>
      </c>
      <c r="N17" s="388">
        <f t="shared" si="2"/>
        <v>0</v>
      </c>
      <c r="O17" s="181">
        <f>'A3-FinPerf V'!I17</f>
        <v>0</v>
      </c>
      <c r="P17" s="71">
        <f>'A3-FinPerf V'!J17</f>
        <v>0</v>
      </c>
      <c r="Q17" s="72">
        <f>'A3-FinPerf V'!K17</f>
        <v>0</v>
      </c>
      <c r="R17" s="322"/>
    </row>
    <row r="18" spans="1:18" ht="11.25" customHeight="1" x14ac:dyDescent="0.25">
      <c r="A18" s="137" t="str">
        <f>'A3-FinPerf V'!A18</f>
        <v>Vote 14 - Waste Water Management</v>
      </c>
      <c r="B18" s="2024"/>
      <c r="C18" s="725">
        <f t="shared" si="0"/>
        <v>0</v>
      </c>
      <c r="D18" s="712">
        <f t="shared" si="0"/>
        <v>0</v>
      </c>
      <c r="E18" s="712">
        <f t="shared" si="0"/>
        <v>0</v>
      </c>
      <c r="F18" s="712">
        <f t="shared" si="0"/>
        <v>0</v>
      </c>
      <c r="G18" s="712">
        <f t="shared" si="0"/>
        <v>0</v>
      </c>
      <c r="H18" s="712">
        <f t="shared" si="0"/>
        <v>0</v>
      </c>
      <c r="I18" s="712">
        <f t="shared" si="0"/>
        <v>0</v>
      </c>
      <c r="J18" s="712">
        <f t="shared" si="0"/>
        <v>0</v>
      </c>
      <c r="K18" s="712">
        <f t="shared" si="0"/>
        <v>0</v>
      </c>
      <c r="L18" s="712">
        <f t="shared" si="0"/>
        <v>0</v>
      </c>
      <c r="M18" s="712">
        <f t="shared" si="0"/>
        <v>0</v>
      </c>
      <c r="N18" s="388">
        <f t="shared" si="2"/>
        <v>0</v>
      </c>
      <c r="O18" s="181">
        <f>'A3-FinPerf V'!I18</f>
        <v>0</v>
      </c>
      <c r="P18" s="71">
        <f>'A3-FinPerf V'!J18</f>
        <v>0</v>
      </c>
      <c r="Q18" s="72">
        <f>'A3-FinPerf V'!K18</f>
        <v>0</v>
      </c>
      <c r="R18" s="322"/>
    </row>
    <row r="19" spans="1:18" ht="11.25" customHeight="1" x14ac:dyDescent="0.25">
      <c r="A19" s="137" t="str">
        <f>'A3-FinPerf V'!A19</f>
        <v>Vote 15 - Health</v>
      </c>
      <c r="B19" s="2024"/>
      <c r="C19" s="725">
        <f t="shared" si="0"/>
        <v>0</v>
      </c>
      <c r="D19" s="712">
        <f t="shared" si="0"/>
        <v>0</v>
      </c>
      <c r="E19" s="712">
        <f t="shared" si="0"/>
        <v>0</v>
      </c>
      <c r="F19" s="712">
        <f t="shared" si="0"/>
        <v>0</v>
      </c>
      <c r="G19" s="712">
        <f t="shared" si="0"/>
        <v>0</v>
      </c>
      <c r="H19" s="712">
        <f t="shared" si="0"/>
        <v>0</v>
      </c>
      <c r="I19" s="712">
        <f t="shared" si="0"/>
        <v>0</v>
      </c>
      <c r="J19" s="712">
        <f t="shared" si="0"/>
        <v>0</v>
      </c>
      <c r="K19" s="712">
        <f t="shared" si="0"/>
        <v>0</v>
      </c>
      <c r="L19" s="712">
        <f t="shared" si="0"/>
        <v>0</v>
      </c>
      <c r="M19" s="712">
        <f t="shared" si="0"/>
        <v>0</v>
      </c>
      <c r="N19" s="388">
        <f t="shared" si="2"/>
        <v>0</v>
      </c>
      <c r="O19" s="181">
        <f>'A3-FinPerf V'!I19</f>
        <v>0</v>
      </c>
      <c r="P19" s="71">
        <f>'A3-FinPerf V'!J19</f>
        <v>0</v>
      </c>
      <c r="Q19" s="72">
        <f>'A3-FinPerf V'!K19</f>
        <v>0</v>
      </c>
      <c r="R19" s="322"/>
    </row>
    <row r="20" spans="1:18" x14ac:dyDescent="0.25">
      <c r="A20" s="145" t="str">
        <f>'A3-FinPerf V'!A20</f>
        <v>Total Revenue by Vote</v>
      </c>
      <c r="B20" s="2025"/>
      <c r="C20" s="666">
        <f t="shared" ref="C20:Q20" si="3">SUM(C5:C19)</f>
        <v>11286928</v>
      </c>
      <c r="D20" s="535">
        <f t="shared" si="3"/>
        <v>11286928</v>
      </c>
      <c r="E20" s="535">
        <f t="shared" si="3"/>
        <v>11286928</v>
      </c>
      <c r="F20" s="535">
        <f>SUM(F5:F19)</f>
        <v>11286928</v>
      </c>
      <c r="G20" s="535">
        <f t="shared" si="3"/>
        <v>11286928</v>
      </c>
      <c r="H20" s="535">
        <f t="shared" si="3"/>
        <v>11286928</v>
      </c>
      <c r="I20" s="535">
        <f t="shared" si="3"/>
        <v>11286928</v>
      </c>
      <c r="J20" s="535">
        <f t="shared" si="3"/>
        <v>11286928</v>
      </c>
      <c r="K20" s="535">
        <f t="shared" si="3"/>
        <v>11286928</v>
      </c>
      <c r="L20" s="535">
        <f t="shared" si="3"/>
        <v>11286928</v>
      </c>
      <c r="M20" s="535">
        <f t="shared" si="3"/>
        <v>11286928</v>
      </c>
      <c r="N20" s="533">
        <f t="shared" si="3"/>
        <v>11286914</v>
      </c>
      <c r="O20" s="668">
        <f t="shared" si="3"/>
        <v>135443122</v>
      </c>
      <c r="P20" s="535">
        <f t="shared" si="3"/>
        <v>142603640</v>
      </c>
      <c r="Q20" s="665">
        <f t="shared" si="3"/>
        <v>145753424</v>
      </c>
      <c r="R20" s="322"/>
    </row>
    <row r="21" spans="1:18" ht="4.9000000000000004" customHeight="1" x14ac:dyDescent="0.25">
      <c r="A21" s="116"/>
      <c r="B21" s="2024"/>
      <c r="C21" s="179"/>
      <c r="D21" s="177"/>
      <c r="E21" s="177"/>
      <c r="F21" s="177"/>
      <c r="G21" s="177"/>
      <c r="H21" s="177"/>
      <c r="I21" s="177"/>
      <c r="J21" s="177"/>
      <c r="K21" s="177"/>
      <c r="L21" s="177"/>
      <c r="M21" s="177"/>
      <c r="N21" s="388"/>
      <c r="O21" s="181"/>
      <c r="P21" s="177"/>
      <c r="Q21" s="178"/>
      <c r="R21" s="322"/>
    </row>
    <row r="22" spans="1:18" x14ac:dyDescent="0.25">
      <c r="A22" s="96" t="str">
        <f>'A3-FinPerf V'!A22</f>
        <v>Expenditure by Vote to be appropriated</v>
      </c>
      <c r="B22" s="2026"/>
      <c r="C22" s="179"/>
      <c r="D22" s="177"/>
      <c r="E22" s="177"/>
      <c r="F22" s="177"/>
      <c r="G22" s="177"/>
      <c r="H22" s="177"/>
      <c r="I22" s="177"/>
      <c r="J22" s="177"/>
      <c r="K22" s="177"/>
      <c r="L22" s="177"/>
      <c r="M22" s="177"/>
      <c r="N22" s="388"/>
      <c r="O22" s="181"/>
      <c r="P22" s="177"/>
      <c r="Q22" s="178"/>
      <c r="R22" s="322"/>
    </row>
    <row r="23" spans="1:18" ht="11.25" customHeight="1" x14ac:dyDescent="0.25">
      <c r="A23" s="104" t="str">
        <f t="shared" ref="A23:A31" si="4">A5</f>
        <v>Vote 1 - Finance and Administration</v>
      </c>
      <c r="B23" s="2024"/>
      <c r="C23" s="725">
        <f t="shared" ref="C23:M37" si="5">ROUND($O23/12,0)</f>
        <v>5190266</v>
      </c>
      <c r="D23" s="712">
        <f t="shared" si="5"/>
        <v>5190266</v>
      </c>
      <c r="E23" s="712">
        <f t="shared" si="5"/>
        <v>5190266</v>
      </c>
      <c r="F23" s="712">
        <f t="shared" si="5"/>
        <v>5190266</v>
      </c>
      <c r="G23" s="712">
        <f t="shared" si="5"/>
        <v>5190266</v>
      </c>
      <c r="H23" s="712">
        <f t="shared" si="5"/>
        <v>5190266</v>
      </c>
      <c r="I23" s="712">
        <f t="shared" si="5"/>
        <v>5190266</v>
      </c>
      <c r="J23" s="712">
        <f t="shared" si="5"/>
        <v>5190266</v>
      </c>
      <c r="K23" s="712">
        <f t="shared" si="5"/>
        <v>5190266</v>
      </c>
      <c r="L23" s="712">
        <f t="shared" si="5"/>
        <v>5190266</v>
      </c>
      <c r="M23" s="712">
        <f t="shared" si="5"/>
        <v>5190266</v>
      </c>
      <c r="N23" s="388">
        <f t="shared" ref="N23:N29" si="6">O23-SUM(C23:M23)</f>
        <v>5190260</v>
      </c>
      <c r="O23" s="181">
        <f>'A3-FinPerf V'!I23</f>
        <v>62283186</v>
      </c>
      <c r="P23" s="177">
        <f>'A3-FinPerf V'!J23</f>
        <v>55466225</v>
      </c>
      <c r="Q23" s="178">
        <f>'A3-FinPerf V'!K23</f>
        <v>59161638</v>
      </c>
      <c r="R23" s="322"/>
    </row>
    <row r="24" spans="1:18" ht="11.25" customHeight="1" x14ac:dyDescent="0.25">
      <c r="A24" s="104" t="str">
        <f t="shared" si="4"/>
        <v>Vote 2 - Finance and Administration2</v>
      </c>
      <c r="B24" s="2024"/>
      <c r="C24" s="725">
        <f t="shared" si="5"/>
        <v>20833</v>
      </c>
      <c r="D24" s="712">
        <f t="shared" si="5"/>
        <v>20833</v>
      </c>
      <c r="E24" s="712">
        <f t="shared" si="5"/>
        <v>20833</v>
      </c>
      <c r="F24" s="712">
        <f t="shared" si="5"/>
        <v>20833</v>
      </c>
      <c r="G24" s="712">
        <f t="shared" si="5"/>
        <v>20833</v>
      </c>
      <c r="H24" s="712">
        <f t="shared" si="5"/>
        <v>20833</v>
      </c>
      <c r="I24" s="712">
        <f t="shared" si="5"/>
        <v>20833</v>
      </c>
      <c r="J24" s="712">
        <f t="shared" si="5"/>
        <v>20833</v>
      </c>
      <c r="K24" s="712">
        <f t="shared" si="5"/>
        <v>20833</v>
      </c>
      <c r="L24" s="712">
        <f t="shared" si="5"/>
        <v>20833</v>
      </c>
      <c r="M24" s="712">
        <f t="shared" si="5"/>
        <v>20833</v>
      </c>
      <c r="N24" s="388">
        <f t="shared" si="6"/>
        <v>20837</v>
      </c>
      <c r="O24" s="181">
        <f>'A3-FinPerf V'!I24</f>
        <v>250000</v>
      </c>
      <c r="P24" s="177">
        <f>'A3-FinPerf V'!J24</f>
        <v>275000</v>
      </c>
      <c r="Q24" s="178">
        <f>'A3-FinPerf V'!K24</f>
        <v>302500</v>
      </c>
      <c r="R24" s="322"/>
    </row>
    <row r="25" spans="1:18" ht="11.25" customHeight="1" x14ac:dyDescent="0.25">
      <c r="A25" s="104" t="str">
        <f t="shared" si="4"/>
        <v>Vote 3 - Executive and Council</v>
      </c>
      <c r="B25" s="2024"/>
      <c r="C25" s="725">
        <f t="shared" si="5"/>
        <v>1873382</v>
      </c>
      <c r="D25" s="712">
        <f t="shared" si="5"/>
        <v>1873382</v>
      </c>
      <c r="E25" s="712">
        <f t="shared" si="5"/>
        <v>1873382</v>
      </c>
      <c r="F25" s="712">
        <f t="shared" si="5"/>
        <v>1873382</v>
      </c>
      <c r="G25" s="712">
        <f t="shared" si="5"/>
        <v>1873382</v>
      </c>
      <c r="H25" s="712">
        <f t="shared" si="5"/>
        <v>1873382</v>
      </c>
      <c r="I25" s="712">
        <f t="shared" si="5"/>
        <v>1873382</v>
      </c>
      <c r="J25" s="712">
        <f t="shared" si="5"/>
        <v>1873382</v>
      </c>
      <c r="K25" s="712">
        <f t="shared" si="5"/>
        <v>1873382</v>
      </c>
      <c r="L25" s="712">
        <f t="shared" si="5"/>
        <v>1873382</v>
      </c>
      <c r="M25" s="712">
        <f t="shared" si="5"/>
        <v>1873382</v>
      </c>
      <c r="N25" s="388">
        <f t="shared" si="6"/>
        <v>1873387</v>
      </c>
      <c r="O25" s="181">
        <f>'A3-FinPerf V'!I25</f>
        <v>22480589</v>
      </c>
      <c r="P25" s="177">
        <f>'A3-FinPerf V'!J25</f>
        <v>19014269</v>
      </c>
      <c r="Q25" s="178">
        <f>'A3-FinPerf V'!K25</f>
        <v>23013871</v>
      </c>
      <c r="R25" s="322"/>
    </row>
    <row r="26" spans="1:18" ht="11.25" customHeight="1" x14ac:dyDescent="0.25">
      <c r="A26" s="104" t="str">
        <f t="shared" si="4"/>
        <v>Vote 4 - Community and Social Services</v>
      </c>
      <c r="B26" s="2024"/>
      <c r="C26" s="725">
        <f t="shared" si="5"/>
        <v>916265</v>
      </c>
      <c r="D26" s="712">
        <f t="shared" si="5"/>
        <v>916265</v>
      </c>
      <c r="E26" s="712">
        <f t="shared" si="5"/>
        <v>916265</v>
      </c>
      <c r="F26" s="712">
        <f t="shared" si="5"/>
        <v>916265</v>
      </c>
      <c r="G26" s="712">
        <f t="shared" si="5"/>
        <v>916265</v>
      </c>
      <c r="H26" s="712">
        <f t="shared" si="5"/>
        <v>916265</v>
      </c>
      <c r="I26" s="712">
        <f t="shared" si="5"/>
        <v>916265</v>
      </c>
      <c r="J26" s="712">
        <f t="shared" si="5"/>
        <v>916265</v>
      </c>
      <c r="K26" s="712">
        <f t="shared" si="5"/>
        <v>916265</v>
      </c>
      <c r="L26" s="712">
        <f t="shared" si="5"/>
        <v>916265</v>
      </c>
      <c r="M26" s="712">
        <f t="shared" si="5"/>
        <v>916265</v>
      </c>
      <c r="N26" s="388">
        <f t="shared" si="6"/>
        <v>916268</v>
      </c>
      <c r="O26" s="181">
        <f>'A3-FinPerf V'!I26</f>
        <v>10995183</v>
      </c>
      <c r="P26" s="177">
        <f>'A3-FinPerf V'!J26</f>
        <v>11515875</v>
      </c>
      <c r="Q26" s="178">
        <f>'A3-FinPerf V'!K26</f>
        <v>12068525</v>
      </c>
      <c r="R26" s="322"/>
    </row>
    <row r="27" spans="1:18" ht="11.25" customHeight="1" x14ac:dyDescent="0.25">
      <c r="A27" s="104" t="str">
        <f t="shared" si="4"/>
        <v>Vote 5 - Community and Social Services2</v>
      </c>
      <c r="B27" s="2024"/>
      <c r="C27" s="725">
        <f t="shared" si="5"/>
        <v>1345142</v>
      </c>
      <c r="D27" s="712">
        <f t="shared" si="5"/>
        <v>1345142</v>
      </c>
      <c r="E27" s="712">
        <f t="shared" si="5"/>
        <v>1345142</v>
      </c>
      <c r="F27" s="712">
        <f t="shared" si="5"/>
        <v>1345142</v>
      </c>
      <c r="G27" s="712">
        <f t="shared" si="5"/>
        <v>1345142</v>
      </c>
      <c r="H27" s="712">
        <f t="shared" si="5"/>
        <v>1345142</v>
      </c>
      <c r="I27" s="712">
        <f t="shared" si="5"/>
        <v>1345142</v>
      </c>
      <c r="J27" s="712">
        <f t="shared" si="5"/>
        <v>1345142</v>
      </c>
      <c r="K27" s="712">
        <f t="shared" si="5"/>
        <v>1345142</v>
      </c>
      <c r="L27" s="712">
        <f t="shared" si="5"/>
        <v>1345142</v>
      </c>
      <c r="M27" s="712">
        <f t="shared" si="5"/>
        <v>1345142</v>
      </c>
      <c r="N27" s="388">
        <f t="shared" si="6"/>
        <v>1345142</v>
      </c>
      <c r="O27" s="181">
        <f>'A3-FinPerf V'!I27</f>
        <v>16141704</v>
      </c>
      <c r="P27" s="177">
        <f>'A3-FinPerf V'!J27</f>
        <v>14034623</v>
      </c>
      <c r="Q27" s="178">
        <f>'A3-FinPerf V'!K27</f>
        <v>14992568</v>
      </c>
      <c r="R27" s="322"/>
    </row>
    <row r="28" spans="1:18" ht="11.25" customHeight="1" x14ac:dyDescent="0.25">
      <c r="A28" s="104" t="str">
        <f t="shared" si="4"/>
        <v>Vote 6 - Energy Sources</v>
      </c>
      <c r="B28" s="2024"/>
      <c r="C28" s="725">
        <f t="shared" si="5"/>
        <v>0</v>
      </c>
      <c r="D28" s="712">
        <f t="shared" si="5"/>
        <v>0</v>
      </c>
      <c r="E28" s="712">
        <f t="shared" si="5"/>
        <v>0</v>
      </c>
      <c r="F28" s="712">
        <f t="shared" si="5"/>
        <v>0</v>
      </c>
      <c r="G28" s="712">
        <f t="shared" si="5"/>
        <v>0</v>
      </c>
      <c r="H28" s="712">
        <f t="shared" si="5"/>
        <v>0</v>
      </c>
      <c r="I28" s="712">
        <f t="shared" si="5"/>
        <v>0</v>
      </c>
      <c r="J28" s="712">
        <f t="shared" si="5"/>
        <v>0</v>
      </c>
      <c r="K28" s="712">
        <f t="shared" si="5"/>
        <v>0</v>
      </c>
      <c r="L28" s="712">
        <f t="shared" si="5"/>
        <v>0</v>
      </c>
      <c r="M28" s="712">
        <f t="shared" si="5"/>
        <v>0</v>
      </c>
      <c r="N28" s="388">
        <f t="shared" si="6"/>
        <v>0</v>
      </c>
      <c r="O28" s="181">
        <f>'A3-FinPerf V'!I28</f>
        <v>0</v>
      </c>
      <c r="P28" s="177">
        <f>'A3-FinPerf V'!J28</f>
        <v>0</v>
      </c>
      <c r="Q28" s="178">
        <f>'A3-FinPerf V'!K28</f>
        <v>0</v>
      </c>
      <c r="R28" s="322"/>
    </row>
    <row r="29" spans="1:18" ht="11.25" customHeight="1" x14ac:dyDescent="0.25">
      <c r="A29" s="104" t="str">
        <f t="shared" si="4"/>
        <v>Vote 7 - Road Transport</v>
      </c>
      <c r="B29" s="2024"/>
      <c r="C29" s="725">
        <f t="shared" si="5"/>
        <v>1396667</v>
      </c>
      <c r="D29" s="712">
        <f t="shared" si="5"/>
        <v>1396667</v>
      </c>
      <c r="E29" s="712">
        <f t="shared" si="5"/>
        <v>1396667</v>
      </c>
      <c r="F29" s="712">
        <f t="shared" si="5"/>
        <v>1396667</v>
      </c>
      <c r="G29" s="712">
        <f t="shared" si="5"/>
        <v>1396667</v>
      </c>
      <c r="H29" s="712">
        <f t="shared" si="5"/>
        <v>1396667</v>
      </c>
      <c r="I29" s="712">
        <f t="shared" si="5"/>
        <v>1396667</v>
      </c>
      <c r="J29" s="712">
        <f t="shared" si="5"/>
        <v>1396667</v>
      </c>
      <c r="K29" s="712">
        <f t="shared" si="5"/>
        <v>1396667</v>
      </c>
      <c r="L29" s="712">
        <f t="shared" si="5"/>
        <v>1396667</v>
      </c>
      <c r="M29" s="712">
        <f t="shared" si="5"/>
        <v>1396667</v>
      </c>
      <c r="N29" s="388">
        <f t="shared" si="6"/>
        <v>1396664</v>
      </c>
      <c r="O29" s="181">
        <f>'A3-FinPerf V'!I29</f>
        <v>16760001</v>
      </c>
      <c r="P29" s="177">
        <f>'A3-FinPerf V'!J29</f>
        <v>21869005</v>
      </c>
      <c r="Q29" s="178">
        <f>'A3-FinPerf V'!K29</f>
        <v>22779076</v>
      </c>
      <c r="R29" s="322"/>
    </row>
    <row r="30" spans="1:18" ht="11.25" customHeight="1" x14ac:dyDescent="0.25">
      <c r="A30" s="104" t="str">
        <f t="shared" si="4"/>
        <v>Vote 8 - Planning and Development</v>
      </c>
      <c r="B30" s="2024"/>
      <c r="C30" s="725">
        <f t="shared" si="5"/>
        <v>47642</v>
      </c>
      <c r="D30" s="712">
        <f t="shared" si="5"/>
        <v>47642</v>
      </c>
      <c r="E30" s="712">
        <f t="shared" si="5"/>
        <v>47642</v>
      </c>
      <c r="F30" s="712">
        <f t="shared" si="5"/>
        <v>47642</v>
      </c>
      <c r="G30" s="712">
        <f t="shared" si="5"/>
        <v>47642</v>
      </c>
      <c r="H30" s="712">
        <f t="shared" si="5"/>
        <v>47642</v>
      </c>
      <c r="I30" s="712">
        <f t="shared" si="5"/>
        <v>47642</v>
      </c>
      <c r="J30" s="712">
        <f t="shared" si="5"/>
        <v>47642</v>
      </c>
      <c r="K30" s="712">
        <f t="shared" si="5"/>
        <v>47642</v>
      </c>
      <c r="L30" s="712">
        <f t="shared" si="5"/>
        <v>47642</v>
      </c>
      <c r="M30" s="712">
        <f t="shared" si="5"/>
        <v>47642</v>
      </c>
      <c r="N30" s="388">
        <f>O30-SUM(C30:M30)</f>
        <v>47638</v>
      </c>
      <c r="O30" s="181">
        <f>'A3-FinPerf V'!I30</f>
        <v>571700</v>
      </c>
      <c r="P30" s="177">
        <f>'A3-FinPerf V'!J30</f>
        <v>594568</v>
      </c>
      <c r="Q30" s="178">
        <f>'A3-FinPerf V'!K30</f>
        <v>611216</v>
      </c>
      <c r="R30" s="322"/>
    </row>
    <row r="31" spans="1:18" ht="11.25" customHeight="1" x14ac:dyDescent="0.25">
      <c r="A31" s="104" t="str">
        <f t="shared" si="4"/>
        <v>Vote 9 - Sport and Recreation</v>
      </c>
      <c r="B31" s="2024"/>
      <c r="C31" s="725">
        <f t="shared" si="5"/>
        <v>289167</v>
      </c>
      <c r="D31" s="712">
        <f t="shared" si="5"/>
        <v>289167</v>
      </c>
      <c r="E31" s="712">
        <f t="shared" si="5"/>
        <v>289167</v>
      </c>
      <c r="F31" s="712">
        <f t="shared" si="5"/>
        <v>289167</v>
      </c>
      <c r="G31" s="712">
        <f t="shared" si="5"/>
        <v>289167</v>
      </c>
      <c r="H31" s="712">
        <f t="shared" si="5"/>
        <v>289167</v>
      </c>
      <c r="I31" s="712">
        <f t="shared" si="5"/>
        <v>289167</v>
      </c>
      <c r="J31" s="712">
        <f t="shared" si="5"/>
        <v>289167</v>
      </c>
      <c r="K31" s="712">
        <f t="shared" si="5"/>
        <v>289167</v>
      </c>
      <c r="L31" s="712">
        <f t="shared" si="5"/>
        <v>289167</v>
      </c>
      <c r="M31" s="712">
        <f t="shared" si="5"/>
        <v>289167</v>
      </c>
      <c r="N31" s="388">
        <f>O31-SUM(C31:M31)</f>
        <v>289163</v>
      </c>
      <c r="O31" s="181">
        <f>'A3-FinPerf V'!I31</f>
        <v>3470000</v>
      </c>
      <c r="P31" s="177">
        <f>'A3-FinPerf V'!J31</f>
        <v>3282800</v>
      </c>
      <c r="Q31" s="178">
        <f>'A3-FinPerf V'!K31</f>
        <v>3463112</v>
      </c>
      <c r="R31" s="322"/>
    </row>
    <row r="32" spans="1:18" ht="11.25" customHeight="1" x14ac:dyDescent="0.25">
      <c r="A32" s="104" t="str">
        <f t="shared" ref="A32:A37" si="7">A14</f>
        <v>Vote 10 - Public Safety</v>
      </c>
      <c r="B32" s="2024"/>
      <c r="C32" s="725">
        <f t="shared" si="5"/>
        <v>0</v>
      </c>
      <c r="D32" s="712">
        <f t="shared" si="5"/>
        <v>0</v>
      </c>
      <c r="E32" s="712">
        <f t="shared" si="5"/>
        <v>0</v>
      </c>
      <c r="F32" s="712">
        <f t="shared" si="5"/>
        <v>0</v>
      </c>
      <c r="G32" s="712">
        <f t="shared" si="5"/>
        <v>0</v>
      </c>
      <c r="H32" s="712">
        <f t="shared" si="5"/>
        <v>0</v>
      </c>
      <c r="I32" s="712">
        <f t="shared" si="5"/>
        <v>0</v>
      </c>
      <c r="J32" s="712">
        <f t="shared" si="5"/>
        <v>0</v>
      </c>
      <c r="K32" s="712">
        <f t="shared" si="5"/>
        <v>0</v>
      </c>
      <c r="L32" s="712">
        <f t="shared" si="5"/>
        <v>0</v>
      </c>
      <c r="M32" s="712">
        <f t="shared" si="5"/>
        <v>0</v>
      </c>
      <c r="N32" s="388">
        <f t="shared" ref="N32:N37" si="8">O32-SUM(C32:M32)</f>
        <v>0</v>
      </c>
      <c r="O32" s="181">
        <f>'A3-FinPerf V'!I32</f>
        <v>0</v>
      </c>
      <c r="P32" s="177">
        <f>'A3-FinPerf V'!J32</f>
        <v>0</v>
      </c>
      <c r="Q32" s="178">
        <f>'A3-FinPerf V'!K32</f>
        <v>0</v>
      </c>
      <c r="R32" s="322"/>
    </row>
    <row r="33" spans="1:18" ht="11.25" customHeight="1" x14ac:dyDescent="0.25">
      <c r="A33" s="104" t="str">
        <f t="shared" si="7"/>
        <v>Vote 11 - Other</v>
      </c>
      <c r="B33" s="2024"/>
      <c r="C33" s="725">
        <f t="shared" si="5"/>
        <v>577092</v>
      </c>
      <c r="D33" s="712">
        <f t="shared" si="5"/>
        <v>577092</v>
      </c>
      <c r="E33" s="712">
        <f t="shared" si="5"/>
        <v>577092</v>
      </c>
      <c r="F33" s="712">
        <f t="shared" si="5"/>
        <v>577092</v>
      </c>
      <c r="G33" s="712">
        <f t="shared" si="5"/>
        <v>577092</v>
      </c>
      <c r="H33" s="712">
        <f t="shared" si="5"/>
        <v>577092</v>
      </c>
      <c r="I33" s="712">
        <f t="shared" si="5"/>
        <v>577092</v>
      </c>
      <c r="J33" s="712">
        <f t="shared" si="5"/>
        <v>577092</v>
      </c>
      <c r="K33" s="712">
        <f t="shared" si="5"/>
        <v>577092</v>
      </c>
      <c r="L33" s="712">
        <f t="shared" si="5"/>
        <v>577092</v>
      </c>
      <c r="M33" s="712">
        <f t="shared" si="5"/>
        <v>577092</v>
      </c>
      <c r="N33" s="388">
        <f t="shared" si="8"/>
        <v>577089</v>
      </c>
      <c r="O33" s="181">
        <f>'A3-FinPerf V'!I33</f>
        <v>6925101</v>
      </c>
      <c r="P33" s="177">
        <f>'A3-FinPerf V'!J33</f>
        <v>7365318</v>
      </c>
      <c r="Q33" s="178">
        <f>'A3-FinPerf V'!K33</f>
        <v>7834575</v>
      </c>
      <c r="R33" s="322"/>
    </row>
    <row r="34" spans="1:18" ht="11.25" customHeight="1" x14ac:dyDescent="0.25">
      <c r="A34" s="104" t="str">
        <f t="shared" si="7"/>
        <v>Vote 12 - Waste Management</v>
      </c>
      <c r="B34" s="2024"/>
      <c r="C34" s="725">
        <f t="shared" si="5"/>
        <v>223750</v>
      </c>
      <c r="D34" s="712">
        <f t="shared" si="5"/>
        <v>223750</v>
      </c>
      <c r="E34" s="712">
        <f t="shared" si="5"/>
        <v>223750</v>
      </c>
      <c r="F34" s="712">
        <f t="shared" si="5"/>
        <v>223750</v>
      </c>
      <c r="G34" s="712">
        <f t="shared" si="5"/>
        <v>223750</v>
      </c>
      <c r="H34" s="712">
        <f t="shared" si="5"/>
        <v>223750</v>
      </c>
      <c r="I34" s="712">
        <f t="shared" si="5"/>
        <v>223750</v>
      </c>
      <c r="J34" s="712">
        <f t="shared" si="5"/>
        <v>223750</v>
      </c>
      <c r="K34" s="712">
        <f t="shared" si="5"/>
        <v>223750</v>
      </c>
      <c r="L34" s="712">
        <f t="shared" si="5"/>
        <v>223750</v>
      </c>
      <c r="M34" s="712">
        <f t="shared" si="5"/>
        <v>223750</v>
      </c>
      <c r="N34" s="388">
        <f t="shared" si="8"/>
        <v>223750</v>
      </c>
      <c r="O34" s="181">
        <f>'A3-FinPerf V'!I34</f>
        <v>2685000</v>
      </c>
      <c r="P34" s="177">
        <f>'A3-FinPerf V'!J34</f>
        <v>1961300</v>
      </c>
      <c r="Q34" s="178">
        <f>'A3-FinPerf V'!K34</f>
        <v>2074099</v>
      </c>
      <c r="R34" s="322"/>
    </row>
    <row r="35" spans="1:18" ht="11.25" customHeight="1" x14ac:dyDescent="0.25">
      <c r="A35" s="104" t="str">
        <f t="shared" si="7"/>
        <v>Vote 13 - Housing</v>
      </c>
      <c r="B35" s="2024"/>
      <c r="C35" s="725">
        <f t="shared" si="5"/>
        <v>0</v>
      </c>
      <c r="D35" s="712">
        <f t="shared" si="5"/>
        <v>0</v>
      </c>
      <c r="E35" s="712">
        <f t="shared" si="5"/>
        <v>0</v>
      </c>
      <c r="F35" s="712">
        <f t="shared" si="5"/>
        <v>0</v>
      </c>
      <c r="G35" s="712">
        <f t="shared" si="5"/>
        <v>0</v>
      </c>
      <c r="H35" s="712">
        <f t="shared" si="5"/>
        <v>0</v>
      </c>
      <c r="I35" s="712">
        <f t="shared" si="5"/>
        <v>0</v>
      </c>
      <c r="J35" s="712">
        <f t="shared" si="5"/>
        <v>0</v>
      </c>
      <c r="K35" s="712">
        <f t="shared" si="5"/>
        <v>0</v>
      </c>
      <c r="L35" s="712">
        <f t="shared" si="5"/>
        <v>0</v>
      </c>
      <c r="M35" s="712">
        <f t="shared" si="5"/>
        <v>0</v>
      </c>
      <c r="N35" s="388">
        <f t="shared" si="8"/>
        <v>0</v>
      </c>
      <c r="O35" s="181">
        <f>'A3-FinPerf V'!I35</f>
        <v>0</v>
      </c>
      <c r="P35" s="177">
        <f>'A3-FinPerf V'!J35</f>
        <v>0</v>
      </c>
      <c r="Q35" s="178">
        <f>'A3-FinPerf V'!K35</f>
        <v>0</v>
      </c>
      <c r="R35" s="322"/>
    </row>
    <row r="36" spans="1:18" ht="11.25" customHeight="1" x14ac:dyDescent="0.25">
      <c r="A36" s="104" t="str">
        <f t="shared" si="7"/>
        <v>Vote 14 - Waste Water Management</v>
      </c>
      <c r="B36" s="2024"/>
      <c r="C36" s="725">
        <f t="shared" si="5"/>
        <v>0</v>
      </c>
      <c r="D36" s="712">
        <f t="shared" si="5"/>
        <v>0</v>
      </c>
      <c r="E36" s="712">
        <f t="shared" si="5"/>
        <v>0</v>
      </c>
      <c r="F36" s="712">
        <f t="shared" si="5"/>
        <v>0</v>
      </c>
      <c r="G36" s="712">
        <f t="shared" si="5"/>
        <v>0</v>
      </c>
      <c r="H36" s="712">
        <f t="shared" si="5"/>
        <v>0</v>
      </c>
      <c r="I36" s="712">
        <f t="shared" si="5"/>
        <v>0</v>
      </c>
      <c r="J36" s="712">
        <f t="shared" si="5"/>
        <v>0</v>
      </c>
      <c r="K36" s="712">
        <f t="shared" si="5"/>
        <v>0</v>
      </c>
      <c r="L36" s="712">
        <f t="shared" si="5"/>
        <v>0</v>
      </c>
      <c r="M36" s="712">
        <f t="shared" si="5"/>
        <v>0</v>
      </c>
      <c r="N36" s="388">
        <f t="shared" si="8"/>
        <v>0</v>
      </c>
      <c r="O36" s="181">
        <f>'A3-FinPerf V'!I36</f>
        <v>0</v>
      </c>
      <c r="P36" s="177">
        <f>'A3-FinPerf V'!J36</f>
        <v>0</v>
      </c>
      <c r="Q36" s="178">
        <f>'A3-FinPerf V'!K36</f>
        <v>0</v>
      </c>
      <c r="R36" s="322"/>
    </row>
    <row r="37" spans="1:18" ht="11.25" customHeight="1" x14ac:dyDescent="0.25">
      <c r="A37" s="104" t="str">
        <f t="shared" si="7"/>
        <v>Vote 15 - Health</v>
      </c>
      <c r="B37" s="2024"/>
      <c r="C37" s="725">
        <f t="shared" si="5"/>
        <v>28333</v>
      </c>
      <c r="D37" s="712">
        <f t="shared" si="5"/>
        <v>28333</v>
      </c>
      <c r="E37" s="712">
        <f t="shared" si="5"/>
        <v>28333</v>
      </c>
      <c r="F37" s="712">
        <f t="shared" si="5"/>
        <v>28333</v>
      </c>
      <c r="G37" s="712">
        <f t="shared" si="5"/>
        <v>28333</v>
      </c>
      <c r="H37" s="712">
        <f t="shared" si="5"/>
        <v>28333</v>
      </c>
      <c r="I37" s="712">
        <f t="shared" si="5"/>
        <v>28333</v>
      </c>
      <c r="J37" s="712">
        <f t="shared" si="5"/>
        <v>28333</v>
      </c>
      <c r="K37" s="712">
        <f t="shared" si="5"/>
        <v>28333</v>
      </c>
      <c r="L37" s="712">
        <f t="shared" si="5"/>
        <v>28333</v>
      </c>
      <c r="M37" s="712">
        <f t="shared" si="5"/>
        <v>28333</v>
      </c>
      <c r="N37" s="388">
        <f t="shared" si="8"/>
        <v>28337</v>
      </c>
      <c r="O37" s="181">
        <f>'A3-FinPerf V'!I37</f>
        <v>340000</v>
      </c>
      <c r="P37" s="177">
        <f>'A3-FinPerf V'!J37</f>
        <v>309067</v>
      </c>
      <c r="Q37" s="178">
        <f>'A3-FinPerf V'!K37</f>
        <v>321428</v>
      </c>
      <c r="R37" s="322"/>
    </row>
    <row r="38" spans="1:18" x14ac:dyDescent="0.25">
      <c r="A38" s="145" t="str">
        <f>'A3-FinPerf V'!A38</f>
        <v>Total Expenditure by Vote</v>
      </c>
      <c r="B38" s="2025"/>
      <c r="C38" s="666">
        <f>SUM(C23:C37)</f>
        <v>11908539</v>
      </c>
      <c r="D38" s="535">
        <f t="shared" ref="D38:N38" si="9">SUM(D23:D37)</f>
        <v>11908539</v>
      </c>
      <c r="E38" s="535">
        <f t="shared" si="9"/>
        <v>11908539</v>
      </c>
      <c r="F38" s="535">
        <f t="shared" si="9"/>
        <v>11908539</v>
      </c>
      <c r="G38" s="535">
        <f t="shared" si="9"/>
        <v>11908539</v>
      </c>
      <c r="H38" s="535">
        <f t="shared" si="9"/>
        <v>11908539</v>
      </c>
      <c r="I38" s="535">
        <f t="shared" si="9"/>
        <v>11908539</v>
      </c>
      <c r="J38" s="535">
        <f t="shared" si="9"/>
        <v>11908539</v>
      </c>
      <c r="K38" s="535">
        <f t="shared" si="9"/>
        <v>11908539</v>
      </c>
      <c r="L38" s="535">
        <f t="shared" si="9"/>
        <v>11908539</v>
      </c>
      <c r="M38" s="535">
        <f t="shared" si="9"/>
        <v>11908539</v>
      </c>
      <c r="N38" s="533">
        <f t="shared" si="9"/>
        <v>11908535</v>
      </c>
      <c r="O38" s="668">
        <f>SUM(O23:O37)</f>
        <v>142902464</v>
      </c>
      <c r="P38" s="535">
        <f>SUM(P23:P37)</f>
        <v>135688050</v>
      </c>
      <c r="Q38" s="665">
        <f>SUM(Q23:Q37)</f>
        <v>146622608</v>
      </c>
      <c r="R38" s="322"/>
    </row>
    <row r="39" spans="1:18" ht="4.9000000000000004" customHeight="1" x14ac:dyDescent="0.25">
      <c r="A39" s="116"/>
      <c r="B39" s="2024"/>
      <c r="C39" s="179"/>
      <c r="D39" s="177"/>
      <c r="E39" s="177"/>
      <c r="F39" s="177"/>
      <c r="G39" s="177"/>
      <c r="H39" s="177"/>
      <c r="I39" s="177"/>
      <c r="J39" s="177"/>
      <c r="K39" s="177"/>
      <c r="L39" s="177"/>
      <c r="M39" s="177"/>
      <c r="N39" s="388"/>
      <c r="O39" s="181"/>
      <c r="P39" s="177"/>
      <c r="Q39" s="178"/>
      <c r="R39" s="322"/>
    </row>
    <row r="40" spans="1:18" x14ac:dyDescent="0.25">
      <c r="A40" s="2027" t="str">
        <f>'A4-FinPerf RE'!A37&amp;" before assoc."</f>
        <v>Surplus/(Deficit) before assoc.</v>
      </c>
      <c r="B40" s="2028"/>
      <c r="C40" s="666">
        <f t="shared" ref="C40:Q40" si="10">C20-C38</f>
        <v>-621611</v>
      </c>
      <c r="D40" s="535">
        <f t="shared" si="10"/>
        <v>-621611</v>
      </c>
      <c r="E40" s="535">
        <f t="shared" si="10"/>
        <v>-621611</v>
      </c>
      <c r="F40" s="535">
        <f t="shared" si="10"/>
        <v>-621611</v>
      </c>
      <c r="G40" s="535">
        <f t="shared" si="10"/>
        <v>-621611</v>
      </c>
      <c r="H40" s="535">
        <f t="shared" si="10"/>
        <v>-621611</v>
      </c>
      <c r="I40" s="535">
        <f t="shared" si="10"/>
        <v>-621611</v>
      </c>
      <c r="J40" s="535">
        <f t="shared" si="10"/>
        <v>-621611</v>
      </c>
      <c r="K40" s="535">
        <f t="shared" si="10"/>
        <v>-621611</v>
      </c>
      <c r="L40" s="535">
        <f t="shared" si="10"/>
        <v>-621611</v>
      </c>
      <c r="M40" s="535">
        <f t="shared" si="10"/>
        <v>-621611</v>
      </c>
      <c r="N40" s="533">
        <f t="shared" si="10"/>
        <v>-621621</v>
      </c>
      <c r="O40" s="668">
        <f t="shared" si="10"/>
        <v>-7459342</v>
      </c>
      <c r="P40" s="535">
        <f t="shared" si="10"/>
        <v>6915590</v>
      </c>
      <c r="Q40" s="665">
        <f t="shared" si="10"/>
        <v>-869184</v>
      </c>
    </row>
    <row r="41" spans="1:18" ht="4.9000000000000004" customHeight="1" x14ac:dyDescent="0.25">
      <c r="A41" s="116"/>
      <c r="B41" s="2024"/>
      <c r="C41" s="179"/>
      <c r="D41" s="177"/>
      <c r="E41" s="177"/>
      <c r="F41" s="177"/>
      <c r="G41" s="177"/>
      <c r="H41" s="177"/>
      <c r="I41" s="177"/>
      <c r="J41" s="177"/>
      <c r="K41" s="177"/>
      <c r="L41" s="177"/>
      <c r="M41" s="177"/>
      <c r="N41" s="388"/>
      <c r="O41" s="181"/>
      <c r="P41" s="177"/>
      <c r="Q41" s="178"/>
    </row>
    <row r="42" spans="1:18" ht="11.25" customHeight="1" x14ac:dyDescent="0.25">
      <c r="A42" s="104" t="str">
        <f>'SA25'!A42</f>
        <v>Taxation</v>
      </c>
      <c r="B42" s="2024"/>
      <c r="C42" s="725">
        <f t="shared" ref="C42:M44" si="11">ROUND($O42/12,0)</f>
        <v>0</v>
      </c>
      <c r="D42" s="712">
        <f t="shared" si="11"/>
        <v>0</v>
      </c>
      <c r="E42" s="712">
        <f t="shared" si="11"/>
        <v>0</v>
      </c>
      <c r="F42" s="712">
        <f t="shared" si="11"/>
        <v>0</v>
      </c>
      <c r="G42" s="712">
        <f t="shared" si="11"/>
        <v>0</v>
      </c>
      <c r="H42" s="712">
        <f t="shared" si="11"/>
        <v>0</v>
      </c>
      <c r="I42" s="712">
        <f t="shared" si="11"/>
        <v>0</v>
      </c>
      <c r="J42" s="712">
        <f t="shared" si="11"/>
        <v>0</v>
      </c>
      <c r="K42" s="712">
        <f t="shared" si="11"/>
        <v>0</v>
      </c>
      <c r="L42" s="712">
        <f t="shared" si="11"/>
        <v>0</v>
      </c>
      <c r="M42" s="712">
        <f t="shared" si="11"/>
        <v>0</v>
      </c>
      <c r="N42" s="388">
        <f>O42-SUM(C42:M42)</f>
        <v>0</v>
      </c>
      <c r="O42" s="181">
        <f>'SA25'!O42</f>
        <v>0</v>
      </c>
      <c r="P42" s="177">
        <f>'SA25'!P42</f>
        <v>0</v>
      </c>
      <c r="Q42" s="178">
        <f>'SA25'!Q42</f>
        <v>0</v>
      </c>
    </row>
    <row r="43" spans="1:18" ht="11.25" customHeight="1" x14ac:dyDescent="0.25">
      <c r="A43" s="104" t="str">
        <f>'SA25'!A43</f>
        <v>Attributable to minorities</v>
      </c>
      <c r="B43" s="2024"/>
      <c r="C43" s="725">
        <f t="shared" si="11"/>
        <v>0</v>
      </c>
      <c r="D43" s="712">
        <f t="shared" si="11"/>
        <v>0</v>
      </c>
      <c r="E43" s="712">
        <f t="shared" si="11"/>
        <v>0</v>
      </c>
      <c r="F43" s="712">
        <f t="shared" si="11"/>
        <v>0</v>
      </c>
      <c r="G43" s="712">
        <f t="shared" si="11"/>
        <v>0</v>
      </c>
      <c r="H43" s="712">
        <f t="shared" si="11"/>
        <v>0</v>
      </c>
      <c r="I43" s="712">
        <f t="shared" si="11"/>
        <v>0</v>
      </c>
      <c r="J43" s="712">
        <f t="shared" si="11"/>
        <v>0</v>
      </c>
      <c r="K43" s="712">
        <f t="shared" si="11"/>
        <v>0</v>
      </c>
      <c r="L43" s="712">
        <f t="shared" si="11"/>
        <v>0</v>
      </c>
      <c r="M43" s="712">
        <f t="shared" si="11"/>
        <v>0</v>
      </c>
      <c r="N43" s="388">
        <f>O43-SUM(C43:M43)</f>
        <v>0</v>
      </c>
      <c r="O43" s="181">
        <f>'SA25'!O43</f>
        <v>0</v>
      </c>
      <c r="P43" s="177">
        <f>'SA25'!P43</f>
        <v>0</v>
      </c>
      <c r="Q43" s="178">
        <f>'SA25'!Q43</f>
        <v>0</v>
      </c>
    </row>
    <row r="44" spans="1:18" x14ac:dyDescent="0.25">
      <c r="A44" s="1217" t="str">
        <f>'A4-FinPerf RE'!A46</f>
        <v>Share of surplus/ (deficit) of associate</v>
      </c>
      <c r="B44" s="2037"/>
      <c r="C44" s="725">
        <f t="shared" si="11"/>
        <v>0</v>
      </c>
      <c r="D44" s="712">
        <f t="shared" si="11"/>
        <v>0</v>
      </c>
      <c r="E44" s="712">
        <f t="shared" si="11"/>
        <v>0</v>
      </c>
      <c r="F44" s="712">
        <f t="shared" si="11"/>
        <v>0</v>
      </c>
      <c r="G44" s="712">
        <f t="shared" si="11"/>
        <v>0</v>
      </c>
      <c r="H44" s="712">
        <f t="shared" si="11"/>
        <v>0</v>
      </c>
      <c r="I44" s="712">
        <f t="shared" si="11"/>
        <v>0</v>
      </c>
      <c r="J44" s="712">
        <f t="shared" si="11"/>
        <v>0</v>
      </c>
      <c r="K44" s="712">
        <f t="shared" si="11"/>
        <v>0</v>
      </c>
      <c r="L44" s="712">
        <f t="shared" si="11"/>
        <v>0</v>
      </c>
      <c r="M44" s="712">
        <f t="shared" si="11"/>
        <v>0</v>
      </c>
      <c r="N44" s="388">
        <f>O44-SUM(C44:M44)</f>
        <v>0</v>
      </c>
      <c r="O44" s="181">
        <f>'A4-FinPerf RE'!J46</f>
        <v>0</v>
      </c>
      <c r="P44" s="177">
        <f>'A4-FinPerf RE'!K46</f>
        <v>0</v>
      </c>
      <c r="Q44" s="178">
        <f>'A4-FinPerf RE'!L46</f>
        <v>0</v>
      </c>
    </row>
    <row r="45" spans="1:18" x14ac:dyDescent="0.25">
      <c r="A45" s="1980" t="str">
        <f>'A4-FinPerf RE'!A37</f>
        <v>Surplus/(Deficit)</v>
      </c>
      <c r="B45" s="2038">
        <v>1</v>
      </c>
      <c r="C45" s="121">
        <f>C40+C44</f>
        <v>-621611</v>
      </c>
      <c r="D45" s="119">
        <f t="shared" ref="D45:Q45" si="12">D40+D44</f>
        <v>-621611</v>
      </c>
      <c r="E45" s="119">
        <f t="shared" si="12"/>
        <v>-621611</v>
      </c>
      <c r="F45" s="119">
        <f t="shared" si="12"/>
        <v>-621611</v>
      </c>
      <c r="G45" s="119">
        <f t="shared" si="12"/>
        <v>-621611</v>
      </c>
      <c r="H45" s="119">
        <f t="shared" si="12"/>
        <v>-621611</v>
      </c>
      <c r="I45" s="119">
        <f t="shared" si="12"/>
        <v>-621611</v>
      </c>
      <c r="J45" s="119">
        <f t="shared" si="12"/>
        <v>-621611</v>
      </c>
      <c r="K45" s="119">
        <f t="shared" si="12"/>
        <v>-621611</v>
      </c>
      <c r="L45" s="119">
        <f t="shared" si="12"/>
        <v>-621611</v>
      </c>
      <c r="M45" s="119">
        <f t="shared" si="12"/>
        <v>-621611</v>
      </c>
      <c r="N45" s="2039">
        <f t="shared" si="12"/>
        <v>-621621</v>
      </c>
      <c r="O45" s="123">
        <f t="shared" si="12"/>
        <v>-7459342</v>
      </c>
      <c r="P45" s="119">
        <f t="shared" si="12"/>
        <v>6915590</v>
      </c>
      <c r="Q45" s="120">
        <f t="shared" si="12"/>
        <v>-869184</v>
      </c>
    </row>
    <row r="46" spans="1:18" x14ac:dyDescent="0.25">
      <c r="A46" s="301" t="str">
        <f>head27a</f>
        <v>References</v>
      </c>
      <c r="B46" s="2040"/>
      <c r="C46" s="191"/>
      <c r="D46" s="191"/>
      <c r="E46" s="191"/>
      <c r="F46" s="191"/>
      <c r="G46" s="191"/>
      <c r="H46" s="191"/>
      <c r="I46" s="191"/>
      <c r="J46" s="191"/>
      <c r="K46" s="191"/>
      <c r="L46" s="191"/>
      <c r="M46" s="191"/>
      <c r="N46" s="191"/>
      <c r="O46" s="191"/>
      <c r="P46" s="191"/>
      <c r="Q46" s="191"/>
    </row>
    <row r="47" spans="1:18" x14ac:dyDescent="0.25">
      <c r="A47" s="299" t="s">
        <v>1400</v>
      </c>
    </row>
    <row r="48" spans="1:18" x14ac:dyDescent="0.25">
      <c r="A48" s="1815" t="s">
        <v>1330</v>
      </c>
      <c r="B48" s="1815"/>
      <c r="O48" s="2041">
        <f>O45-'A4-FinPerf RE'!J47</f>
        <v>0</v>
      </c>
      <c r="P48" s="2041">
        <f>P45-'A4-FinPerf RE'!K47</f>
        <v>0</v>
      </c>
      <c r="Q48" s="2041">
        <f>Q45-'A4-FinPerf RE'!L47</f>
        <v>1</v>
      </c>
    </row>
  </sheetData>
  <sheetProtection sheet="1" objects="1" scenarios="1"/>
  <mergeCells count="2">
    <mergeCell ref="C2:N2"/>
    <mergeCell ref="O2:Q2"/>
  </mergeCells>
  <phoneticPr fontId="7" type="noConversion"/>
  <printOptions horizontalCentered="1"/>
  <pageMargins left="0" right="0" top="0.78740157480314965" bottom="0.59055118110236227" header="0.51181102362204722" footer="0.39370078740157483"/>
  <pageSetup paperSize="9" scale="94" orientation="landscape" r:id="rId1"/>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801">
    <tabColor rgb="FF92D050"/>
    <pageSetUpPr fitToPage="1"/>
  </sheetPr>
  <dimension ref="A1:J183"/>
  <sheetViews>
    <sheetView zoomScaleNormal="100" workbookViewId="0">
      <pane ySplit="1" topLeftCell="A2" activePane="bottomLeft" state="frozen"/>
      <selection pane="bottomLeft" activeCell="B4" sqref="B4"/>
    </sheetView>
  </sheetViews>
  <sheetFormatPr defaultColWidth="9.140625" defaultRowHeight="11.25" x14ac:dyDescent="0.2"/>
  <cols>
    <col min="1" max="1" width="18" style="271" bestFit="1" customWidth="1"/>
    <col min="2" max="2" width="78.140625" style="270" bestFit="1" customWidth="1"/>
    <col min="3" max="3" width="28.85546875" style="270" bestFit="1" customWidth="1"/>
    <col min="4" max="4" width="9.7109375" style="270" bestFit="1" customWidth="1"/>
    <col min="5" max="5" width="83.140625" style="270" bestFit="1" customWidth="1"/>
    <col min="6" max="6" width="75.28515625" style="270" bestFit="1" customWidth="1"/>
    <col min="7" max="10" width="9.140625" style="271"/>
    <col min="11" max="16384" width="9.140625" style="270"/>
  </cols>
  <sheetData>
    <row r="1" spans="1:10" ht="13.5" thickBot="1" x14ac:dyDescent="0.25">
      <c r="A1" s="2411" t="s">
        <v>836</v>
      </c>
      <c r="B1" s="2411"/>
      <c r="C1" s="2411"/>
      <c r="D1" s="2411"/>
      <c r="E1" s="2400"/>
      <c r="F1" s="2400"/>
      <c r="G1" s="2400"/>
      <c r="H1" s="2400"/>
      <c r="I1" s="2400"/>
      <c r="J1" s="2400"/>
    </row>
    <row r="2" spans="1:10" x14ac:dyDescent="0.2">
      <c r="A2" s="551" t="s">
        <v>639</v>
      </c>
      <c r="B2" s="647" t="str">
        <f>HLOOKUP(MTREF,Headings,2)</f>
        <v>2019/20</v>
      </c>
      <c r="C2" s="552" t="s">
        <v>105</v>
      </c>
      <c r="D2" s="553"/>
    </row>
    <row r="3" spans="1:10" x14ac:dyDescent="0.2">
      <c r="A3" s="554" t="s">
        <v>344</v>
      </c>
      <c r="B3" s="648" t="str">
        <f>HLOOKUP(MTREF,Headings,3)</f>
        <v>2018/19</v>
      </c>
      <c r="C3" s="555" t="s">
        <v>106</v>
      </c>
      <c r="D3" s="556"/>
    </row>
    <row r="4" spans="1:10" x14ac:dyDescent="0.2">
      <c r="A4" s="554" t="s">
        <v>691</v>
      </c>
      <c r="B4" s="648" t="str">
        <f>HLOOKUP(MTREF,Headings,4)</f>
        <v>2017/18</v>
      </c>
      <c r="C4" s="555" t="s">
        <v>107</v>
      </c>
      <c r="D4" s="556"/>
    </row>
    <row r="5" spans="1:10" x14ac:dyDescent="0.2">
      <c r="A5" s="554" t="s">
        <v>1408</v>
      </c>
      <c r="B5" s="555" t="str">
        <f>HLOOKUP(MTREF,Headings,5)</f>
        <v>Current Year 2020/21</v>
      </c>
      <c r="C5" s="555" t="s">
        <v>763</v>
      </c>
      <c r="D5" s="556"/>
    </row>
    <row r="6" spans="1:10" x14ac:dyDescent="0.2">
      <c r="A6" s="554" t="s">
        <v>666</v>
      </c>
      <c r="B6" s="648" t="str">
        <f>HLOOKUP(MTREF,Headings,6)</f>
        <v>2020/21</v>
      </c>
      <c r="C6" s="555" t="s">
        <v>763</v>
      </c>
      <c r="D6" s="556"/>
    </row>
    <row r="7" spans="1:10" x14ac:dyDescent="0.2">
      <c r="A7" s="554" t="s">
        <v>1409</v>
      </c>
      <c r="B7" s="555" t="str">
        <f>HLOOKUP(MTREF,Headings,7)</f>
        <v>2021/22 Medium Term Revenue &amp; Expenditure Framework</v>
      </c>
      <c r="C7" s="555" t="s">
        <v>764</v>
      </c>
      <c r="D7" s="556"/>
    </row>
    <row r="8" spans="1:10" x14ac:dyDescent="0.2">
      <c r="A8" s="330" t="s">
        <v>1410</v>
      </c>
      <c r="B8" s="331" t="s">
        <v>473</v>
      </c>
      <c r="C8" s="331" t="s">
        <v>765</v>
      </c>
      <c r="D8" s="274"/>
    </row>
    <row r="9" spans="1:10" x14ac:dyDescent="0.2">
      <c r="A9" s="330" t="s">
        <v>1411</v>
      </c>
      <c r="B9" s="331" t="s">
        <v>920</v>
      </c>
      <c r="C9" s="273"/>
      <c r="D9" s="274"/>
    </row>
    <row r="10" spans="1:10" x14ac:dyDescent="0.2">
      <c r="A10" s="330" t="s">
        <v>269</v>
      </c>
      <c r="B10" s="331" t="s">
        <v>270</v>
      </c>
      <c r="C10" s="273"/>
      <c r="D10" s="274"/>
    </row>
    <row r="11" spans="1:10" x14ac:dyDescent="0.2">
      <c r="A11" s="330" t="s">
        <v>572</v>
      </c>
      <c r="B11" s="331" t="s">
        <v>573</v>
      </c>
      <c r="C11" s="273"/>
      <c r="D11" s="274"/>
    </row>
    <row r="12" spans="1:10" x14ac:dyDescent="0.2">
      <c r="A12" s="330" t="s">
        <v>1412</v>
      </c>
      <c r="B12" s="331" t="s">
        <v>397</v>
      </c>
      <c r="C12" s="273"/>
      <c r="D12" s="274"/>
    </row>
    <row r="13" spans="1:10" x14ac:dyDescent="0.2">
      <c r="A13" s="330" t="s">
        <v>1413</v>
      </c>
      <c r="B13" s="331" t="s">
        <v>1555</v>
      </c>
      <c r="C13" s="273"/>
      <c r="D13" s="274"/>
    </row>
    <row r="14" spans="1:10" x14ac:dyDescent="0.2">
      <c r="A14" s="330" t="s">
        <v>1414</v>
      </c>
      <c r="B14" s="331" t="s">
        <v>1556</v>
      </c>
      <c r="C14" s="273"/>
      <c r="D14" s="274"/>
    </row>
    <row r="15" spans="1:10" x14ac:dyDescent="0.2">
      <c r="A15" s="554" t="s">
        <v>1415</v>
      </c>
      <c r="B15" s="555" t="str">
        <f>HLOOKUP(MTREF,Headings,8)</f>
        <v>Budget Year 2021/22</v>
      </c>
      <c r="C15" s="555" t="s">
        <v>766</v>
      </c>
      <c r="D15" s="332" t="s">
        <v>1474</v>
      </c>
    </row>
    <row r="16" spans="1:10" x14ac:dyDescent="0.2">
      <c r="A16" s="554" t="s">
        <v>1416</v>
      </c>
      <c r="B16" s="555" t="str">
        <f>HLOOKUP(MTREF,Headings,9)</f>
        <v>Budget Year +1 2022/23</v>
      </c>
      <c r="C16" s="555" t="s">
        <v>767</v>
      </c>
      <c r="D16" s="332" t="s">
        <v>1475</v>
      </c>
    </row>
    <row r="17" spans="1:4" x14ac:dyDescent="0.2">
      <c r="A17" s="554" t="s">
        <v>1421</v>
      </c>
      <c r="B17" s="555" t="str">
        <f>HLOOKUP(MTREF,Headings,10)</f>
        <v>Budget Year +2 2023/24</v>
      </c>
      <c r="C17" s="555" t="s">
        <v>768</v>
      </c>
      <c r="D17" s="332" t="s">
        <v>1476</v>
      </c>
    </row>
    <row r="18" spans="1:4" x14ac:dyDescent="0.2">
      <c r="A18" s="554" t="s">
        <v>1423</v>
      </c>
      <c r="B18" s="555" t="str">
        <f>HLOOKUP(MTREF,Headings,11)</f>
        <v>Forecast 2024/25</v>
      </c>
      <c r="C18" s="555" t="s">
        <v>958</v>
      </c>
      <c r="D18" s="332" t="s">
        <v>1477</v>
      </c>
    </row>
    <row r="19" spans="1:4" x14ac:dyDescent="0.2">
      <c r="A19" s="554" t="s">
        <v>1424</v>
      </c>
      <c r="B19" s="555" t="str">
        <f>HLOOKUP(MTREF,Headings,12)</f>
        <v>Forecast 2025/26</v>
      </c>
      <c r="C19" s="555" t="s">
        <v>959</v>
      </c>
      <c r="D19" s="332" t="s">
        <v>1478</v>
      </c>
    </row>
    <row r="20" spans="1:4" x14ac:dyDescent="0.2">
      <c r="A20" s="554" t="s">
        <v>1425</v>
      </c>
      <c r="B20" s="555" t="str">
        <f>HLOOKUP(MTREF,Headings,13)</f>
        <v>Forecast 2026/27</v>
      </c>
      <c r="C20" s="555" t="s">
        <v>959</v>
      </c>
      <c r="D20" s="332" t="s">
        <v>1479</v>
      </c>
    </row>
    <row r="21" spans="1:4" x14ac:dyDescent="0.2">
      <c r="A21" s="554" t="s">
        <v>1426</v>
      </c>
      <c r="B21" s="555" t="str">
        <f>HLOOKUP(MTREF,Headings,14)</f>
        <v>Forecast 2027/28</v>
      </c>
      <c r="C21" s="555" t="s">
        <v>959</v>
      </c>
      <c r="D21" s="332" t="s">
        <v>1480</v>
      </c>
    </row>
    <row r="22" spans="1:4" x14ac:dyDescent="0.2">
      <c r="A22" s="554" t="s">
        <v>1427</v>
      </c>
      <c r="B22" s="555" t="str">
        <f>HLOOKUP(MTREF,Headings,15)</f>
        <v>Forecast 2028/29</v>
      </c>
      <c r="C22" s="555" t="s">
        <v>959</v>
      </c>
      <c r="D22" s="332" t="s">
        <v>1481</v>
      </c>
    </row>
    <row r="23" spans="1:4" x14ac:dyDescent="0.2">
      <c r="A23" s="554" t="s">
        <v>1428</v>
      </c>
      <c r="B23" s="555" t="str">
        <f>HLOOKUP(MTREF,Headings,16)</f>
        <v>Forecast 2029/30</v>
      </c>
      <c r="C23" s="555" t="s">
        <v>959</v>
      </c>
      <c r="D23" s="332" t="s">
        <v>1482</v>
      </c>
    </row>
    <row r="24" spans="1:4" x14ac:dyDescent="0.2">
      <c r="A24" s="554" t="s">
        <v>1429</v>
      </c>
      <c r="B24" s="555" t="str">
        <f>HLOOKUP(MTREF,Headings,17)</f>
        <v>Forecast 2030/31</v>
      </c>
      <c r="C24" s="555" t="s">
        <v>959</v>
      </c>
      <c r="D24" s="332" t="s">
        <v>556</v>
      </c>
    </row>
    <row r="25" spans="1:4" x14ac:dyDescent="0.2">
      <c r="A25" s="554" t="s">
        <v>1430</v>
      </c>
      <c r="B25" s="555" t="str">
        <f>HLOOKUP(MTREF,Headings,18)</f>
        <v>Forecast 2031/32</v>
      </c>
      <c r="C25" s="555" t="s">
        <v>959</v>
      </c>
      <c r="D25" s="332" t="s">
        <v>557</v>
      </c>
    </row>
    <row r="26" spans="1:4" x14ac:dyDescent="0.2">
      <c r="A26" s="554" t="s">
        <v>1431</v>
      </c>
      <c r="B26" s="555" t="str">
        <f>HLOOKUP(MTREF,Headings,19)</f>
        <v>Forecast 2032/33</v>
      </c>
      <c r="C26" s="555" t="s">
        <v>959</v>
      </c>
      <c r="D26" s="332" t="s">
        <v>558</v>
      </c>
    </row>
    <row r="27" spans="1:4" x14ac:dyDescent="0.2">
      <c r="A27" s="554" t="s">
        <v>1432</v>
      </c>
      <c r="B27" s="555" t="str">
        <f>HLOOKUP(MTREF,Headings,20)</f>
        <v>Forecast 2033/34</v>
      </c>
      <c r="C27" s="555" t="s">
        <v>959</v>
      </c>
      <c r="D27" s="332" t="s">
        <v>559</v>
      </c>
    </row>
    <row r="28" spans="1:4" x14ac:dyDescent="0.2">
      <c r="A28" s="554" t="s">
        <v>1433</v>
      </c>
      <c r="B28" s="555" t="str">
        <f>HLOOKUP(MTREF,Headings,21)</f>
        <v>Forecast 2034/35</v>
      </c>
      <c r="C28" s="555" t="s">
        <v>959</v>
      </c>
      <c r="D28" s="332" t="s">
        <v>560</v>
      </c>
    </row>
    <row r="29" spans="1:4" x14ac:dyDescent="0.2">
      <c r="A29" s="554" t="s">
        <v>1434</v>
      </c>
      <c r="B29" s="555" t="str">
        <f>HLOOKUP(MTREF,Headings,22)</f>
        <v>Forecast 2035/36</v>
      </c>
      <c r="C29" s="555" t="s">
        <v>959</v>
      </c>
      <c r="D29" s="332" t="s">
        <v>561</v>
      </c>
    </row>
    <row r="30" spans="1:4" x14ac:dyDescent="0.2">
      <c r="A30" s="330" t="s">
        <v>939</v>
      </c>
      <c r="B30" s="331" t="s">
        <v>659</v>
      </c>
      <c r="C30" s="273"/>
      <c r="D30" s="275"/>
    </row>
    <row r="31" spans="1:4" x14ac:dyDescent="0.2">
      <c r="A31" s="330" t="s">
        <v>885</v>
      </c>
      <c r="B31" s="273"/>
      <c r="C31" s="273"/>
      <c r="D31" s="275"/>
    </row>
    <row r="32" spans="1:4" x14ac:dyDescent="0.2">
      <c r="A32" s="330" t="s">
        <v>692</v>
      </c>
      <c r="B32" s="331" t="s">
        <v>693</v>
      </c>
      <c r="C32" s="273"/>
      <c r="D32" s="275"/>
    </row>
    <row r="33" spans="1:4" x14ac:dyDescent="0.2">
      <c r="A33" s="330" t="s">
        <v>694</v>
      </c>
      <c r="B33" s="331" t="s">
        <v>365</v>
      </c>
      <c r="C33" s="273"/>
      <c r="D33" s="275"/>
    </row>
    <row r="34" spans="1:4" x14ac:dyDescent="0.2">
      <c r="A34" s="330" t="s">
        <v>844</v>
      </c>
      <c r="B34" s="331" t="s">
        <v>845</v>
      </c>
      <c r="C34" s="273"/>
      <c r="D34" s="275"/>
    </row>
    <row r="35" spans="1:4" x14ac:dyDescent="0.2">
      <c r="A35" s="330" t="s">
        <v>793</v>
      </c>
      <c r="B35" s="331" t="s">
        <v>769</v>
      </c>
      <c r="C35" s="273"/>
      <c r="D35" s="332" t="s">
        <v>794</v>
      </c>
    </row>
    <row r="36" spans="1:4" x14ac:dyDescent="0.2">
      <c r="A36" s="554" t="s">
        <v>1494</v>
      </c>
      <c r="B36" s="555" t="str">
        <f>HLOOKUP(MTREF,Headings,23)</f>
        <v>Annual target 2021/22</v>
      </c>
      <c r="C36" s="555"/>
      <c r="D36" s="275"/>
    </row>
    <row r="37" spans="1:4" x14ac:dyDescent="0.2">
      <c r="A37" s="554" t="s">
        <v>1495</v>
      </c>
      <c r="B37" s="555" t="str">
        <f>HLOOKUP(MTREF,Headings,24)</f>
        <v>Revised target 2021/22</v>
      </c>
      <c r="C37" s="555"/>
      <c r="D37" s="275"/>
    </row>
    <row r="38" spans="1:4" x14ac:dyDescent="0.2">
      <c r="A38" s="330" t="s">
        <v>1496</v>
      </c>
      <c r="B38" s="331" t="s">
        <v>546</v>
      </c>
      <c r="C38" s="273"/>
      <c r="D38" s="275"/>
    </row>
    <row r="39" spans="1:4" x14ac:dyDescent="0.2">
      <c r="A39" s="330" t="s">
        <v>1497</v>
      </c>
      <c r="B39" s="331" t="s">
        <v>547</v>
      </c>
      <c r="C39" s="273"/>
      <c r="D39" s="275"/>
    </row>
    <row r="40" spans="1:4" x14ac:dyDescent="0.2">
      <c r="A40" s="330" t="s">
        <v>1498</v>
      </c>
      <c r="B40" s="331" t="s">
        <v>548</v>
      </c>
      <c r="C40" s="273"/>
      <c r="D40" s="275"/>
    </row>
    <row r="41" spans="1:4" x14ac:dyDescent="0.2">
      <c r="A41" s="330" t="s">
        <v>1499</v>
      </c>
      <c r="B41" s="331" t="s">
        <v>544</v>
      </c>
      <c r="C41" s="273"/>
      <c r="D41" s="275"/>
    </row>
    <row r="42" spans="1:4" x14ac:dyDescent="0.2">
      <c r="A42" s="330" t="s">
        <v>545</v>
      </c>
      <c r="B42" s="331" t="s">
        <v>1319</v>
      </c>
      <c r="C42" s="273"/>
      <c r="D42" s="275"/>
    </row>
    <row r="43" spans="1:4" x14ac:dyDescent="0.2">
      <c r="A43" s="330" t="s">
        <v>298</v>
      </c>
      <c r="B43" s="331" t="s">
        <v>661</v>
      </c>
      <c r="C43" s="273"/>
      <c r="D43" s="275"/>
    </row>
    <row r="44" spans="1:4" x14ac:dyDescent="0.2">
      <c r="A44" s="330" t="s">
        <v>299</v>
      </c>
      <c r="B44" s="331" t="s">
        <v>662</v>
      </c>
      <c r="C44" s="273"/>
      <c r="D44" s="275"/>
    </row>
    <row r="45" spans="1:4" x14ac:dyDescent="0.2">
      <c r="A45" s="330" t="s">
        <v>300</v>
      </c>
      <c r="B45" s="331" t="s">
        <v>1129</v>
      </c>
      <c r="C45" s="273"/>
      <c r="D45" s="275"/>
    </row>
    <row r="46" spans="1:4" x14ac:dyDescent="0.2">
      <c r="A46" s="330" t="s">
        <v>1128</v>
      </c>
      <c r="B46" s="331" t="s">
        <v>1175</v>
      </c>
      <c r="C46" s="273"/>
      <c r="D46" s="275"/>
    </row>
    <row r="47" spans="1:4" x14ac:dyDescent="0.2">
      <c r="A47" s="330" t="s">
        <v>1130</v>
      </c>
      <c r="B47" s="333" t="s">
        <v>78</v>
      </c>
      <c r="C47" s="273"/>
      <c r="D47" s="275"/>
    </row>
    <row r="48" spans="1:4" x14ac:dyDescent="0.2">
      <c r="A48" s="330" t="s">
        <v>1131</v>
      </c>
      <c r="B48" s="333" t="s">
        <v>80</v>
      </c>
      <c r="C48" s="273"/>
      <c r="D48" s="275"/>
    </row>
    <row r="49" spans="1:4" x14ac:dyDescent="0.2">
      <c r="A49" s="330" t="s">
        <v>1132</v>
      </c>
      <c r="B49" s="333" t="s">
        <v>1049</v>
      </c>
      <c r="C49" s="273"/>
      <c r="D49" s="275"/>
    </row>
    <row r="50" spans="1:4" x14ac:dyDescent="0.2">
      <c r="A50" s="330" t="s">
        <v>79</v>
      </c>
      <c r="B50" s="333" t="str">
        <f>Head3&amp;" Summary"</f>
        <v>2021/22 Medium Term Revenue &amp; Expenditure Framework Summary</v>
      </c>
      <c r="C50" s="273"/>
      <c r="D50" s="275"/>
    </row>
    <row r="51" spans="1:4" x14ac:dyDescent="0.2">
      <c r="A51" s="330" t="s">
        <v>550</v>
      </c>
      <c r="B51" s="333" t="s">
        <v>552</v>
      </c>
      <c r="C51" s="273"/>
      <c r="D51" s="275"/>
    </row>
    <row r="52" spans="1:4" x14ac:dyDescent="0.2">
      <c r="A52" s="330" t="s">
        <v>551</v>
      </c>
      <c r="B52" s="333" t="s">
        <v>2003</v>
      </c>
      <c r="C52" s="273"/>
      <c r="D52" s="275"/>
    </row>
    <row r="53" spans="1:4" x14ac:dyDescent="0.2">
      <c r="A53" s="330" t="s">
        <v>1338</v>
      </c>
      <c r="B53" s="334" t="s">
        <v>1339</v>
      </c>
      <c r="C53" s="277"/>
      <c r="D53" s="275"/>
    </row>
    <row r="54" spans="1:4" x14ac:dyDescent="0.2">
      <c r="A54" s="330" t="s">
        <v>839</v>
      </c>
      <c r="B54" s="333" t="s">
        <v>1443</v>
      </c>
      <c r="C54" s="273"/>
      <c r="D54" s="275"/>
    </row>
    <row r="55" spans="1:4" x14ac:dyDescent="0.2">
      <c r="A55" s="330" t="s">
        <v>336</v>
      </c>
      <c r="B55" s="333" t="s">
        <v>750</v>
      </c>
      <c r="C55" s="273"/>
      <c r="D55" s="275"/>
    </row>
    <row r="56" spans="1:4" x14ac:dyDescent="0.2">
      <c r="A56" s="330" t="s">
        <v>1182</v>
      </c>
      <c r="B56" s="276"/>
      <c r="C56" s="273"/>
      <c r="D56" s="275"/>
    </row>
    <row r="57" spans="1:4" x14ac:dyDescent="0.2">
      <c r="A57" s="330" t="s">
        <v>1183</v>
      </c>
      <c r="B57" s="333" t="s">
        <v>518</v>
      </c>
      <c r="C57" s="273"/>
      <c r="D57" s="275"/>
    </row>
    <row r="58" spans="1:4" x14ac:dyDescent="0.2">
      <c r="A58" s="330" t="s">
        <v>513</v>
      </c>
      <c r="B58" s="333" t="s">
        <v>517</v>
      </c>
      <c r="C58" s="273"/>
      <c r="D58" s="275"/>
    </row>
    <row r="59" spans="1:4" x14ac:dyDescent="0.2">
      <c r="A59" s="330" t="s">
        <v>514</v>
      </c>
      <c r="B59" s="333" t="s">
        <v>396</v>
      </c>
      <c r="C59" s="273"/>
      <c r="D59" s="275"/>
    </row>
    <row r="60" spans="1:4" x14ac:dyDescent="0.2">
      <c r="A60" s="330" t="s">
        <v>515</v>
      </c>
      <c r="B60" s="333" t="s">
        <v>519</v>
      </c>
      <c r="C60" s="273"/>
      <c r="D60" s="275"/>
    </row>
    <row r="61" spans="1:4" x14ac:dyDescent="0.2">
      <c r="A61" s="330" t="s">
        <v>516</v>
      </c>
      <c r="B61" s="333" t="s">
        <v>402</v>
      </c>
      <c r="C61" s="273"/>
      <c r="D61" s="275"/>
    </row>
    <row r="62" spans="1:4" x14ac:dyDescent="0.2">
      <c r="A62" s="330" t="s">
        <v>1306</v>
      </c>
      <c r="B62" s="333" t="s">
        <v>395</v>
      </c>
      <c r="C62" s="273"/>
      <c r="D62" s="275"/>
    </row>
    <row r="63" spans="1:4" x14ac:dyDescent="0.2">
      <c r="A63" s="330" t="s">
        <v>1457</v>
      </c>
      <c r="B63" s="333" t="s">
        <v>1458</v>
      </c>
      <c r="C63" s="273"/>
      <c r="D63" s="275"/>
    </row>
    <row r="64" spans="1:4" x14ac:dyDescent="0.2">
      <c r="A64" s="330" t="s">
        <v>415</v>
      </c>
      <c r="B64" s="333" t="s">
        <v>413</v>
      </c>
      <c r="C64" s="273"/>
      <c r="D64" s="275"/>
    </row>
    <row r="65" spans="1:4" x14ac:dyDescent="0.2">
      <c r="A65" s="330" t="s">
        <v>416</v>
      </c>
      <c r="B65" s="333" t="s">
        <v>414</v>
      </c>
      <c r="C65" s="273"/>
      <c r="D65" s="275"/>
    </row>
    <row r="66" spans="1:4" x14ac:dyDescent="0.2">
      <c r="A66" s="330" t="s">
        <v>417</v>
      </c>
      <c r="B66" s="333" t="s">
        <v>419</v>
      </c>
      <c r="C66" s="273"/>
      <c r="D66" s="275"/>
    </row>
    <row r="67" spans="1:4" x14ac:dyDescent="0.2">
      <c r="A67" s="330" t="s">
        <v>418</v>
      </c>
      <c r="B67" s="333" t="s">
        <v>687</v>
      </c>
      <c r="C67" s="273"/>
      <c r="D67" s="275"/>
    </row>
    <row r="68" spans="1:4" x14ac:dyDescent="0.2">
      <c r="A68" s="330" t="s">
        <v>688</v>
      </c>
      <c r="B68" s="333" t="s">
        <v>802</v>
      </c>
      <c r="C68" s="273"/>
      <c r="D68" s="275"/>
    </row>
    <row r="69" spans="1:4" x14ac:dyDescent="0.2">
      <c r="A69" s="330" t="s">
        <v>689</v>
      </c>
      <c r="B69" s="333" t="s">
        <v>1093</v>
      </c>
      <c r="C69" s="273"/>
      <c r="D69" s="275"/>
    </row>
    <row r="70" spans="1:4" x14ac:dyDescent="0.2">
      <c r="A70" s="330" t="s">
        <v>1288</v>
      </c>
      <c r="B70" s="333" t="s">
        <v>1287</v>
      </c>
      <c r="C70" s="273"/>
      <c r="D70" s="275"/>
    </row>
    <row r="71" spans="1:4" x14ac:dyDescent="0.2">
      <c r="A71" s="330" t="s">
        <v>1289</v>
      </c>
      <c r="B71" s="333" t="s">
        <v>1081</v>
      </c>
      <c r="C71" s="273"/>
      <c r="D71" s="332" t="s">
        <v>1503</v>
      </c>
    </row>
    <row r="72" spans="1:4" x14ac:dyDescent="0.2">
      <c r="A72" s="330" t="s">
        <v>1290</v>
      </c>
      <c r="B72" s="333" t="s">
        <v>1082</v>
      </c>
      <c r="C72" s="273"/>
      <c r="D72" s="332" t="s">
        <v>1504</v>
      </c>
    </row>
    <row r="73" spans="1:4" x14ac:dyDescent="0.2">
      <c r="A73" s="330" t="s">
        <v>1291</v>
      </c>
      <c r="B73" s="333" t="s">
        <v>1083</v>
      </c>
      <c r="C73" s="273"/>
      <c r="D73" s="332" t="s">
        <v>1505</v>
      </c>
    </row>
    <row r="74" spans="1:4" x14ac:dyDescent="0.2">
      <c r="A74" s="330" t="s">
        <v>1292</v>
      </c>
      <c r="B74" s="333" t="s">
        <v>1084</v>
      </c>
      <c r="C74" s="273"/>
      <c r="D74" s="332" t="s">
        <v>1506</v>
      </c>
    </row>
    <row r="75" spans="1:4" x14ac:dyDescent="0.2">
      <c r="A75" s="330" t="s">
        <v>1293</v>
      </c>
      <c r="B75" s="333" t="s">
        <v>1085</v>
      </c>
      <c r="C75" s="273"/>
      <c r="D75" s="332" t="s">
        <v>1507</v>
      </c>
    </row>
    <row r="76" spans="1:4" x14ac:dyDescent="0.2">
      <c r="A76" s="330" t="s">
        <v>1137</v>
      </c>
      <c r="B76" s="333" t="s">
        <v>1086</v>
      </c>
      <c r="C76" s="273"/>
      <c r="D76" s="332" t="s">
        <v>1508</v>
      </c>
    </row>
    <row r="77" spans="1:4" x14ac:dyDescent="0.2">
      <c r="A77" s="330" t="s">
        <v>1138</v>
      </c>
      <c r="B77" s="333" t="s">
        <v>1087</v>
      </c>
      <c r="C77" s="273"/>
      <c r="D77" s="332" t="s">
        <v>1509</v>
      </c>
    </row>
    <row r="78" spans="1:4" x14ac:dyDescent="0.2">
      <c r="A78" s="330" t="s">
        <v>1139</v>
      </c>
      <c r="B78" s="333" t="s">
        <v>1088</v>
      </c>
      <c r="C78" s="273"/>
      <c r="D78" s="332" t="s">
        <v>1510</v>
      </c>
    </row>
    <row r="79" spans="1:4" x14ac:dyDescent="0.2">
      <c r="A79" s="330" t="s">
        <v>1140</v>
      </c>
      <c r="B79" s="333" t="s">
        <v>1089</v>
      </c>
      <c r="C79" s="273"/>
      <c r="D79" s="332" t="s">
        <v>1511</v>
      </c>
    </row>
    <row r="80" spans="1:4" x14ac:dyDescent="0.2">
      <c r="A80" s="330" t="s">
        <v>1141</v>
      </c>
      <c r="B80" s="333" t="s">
        <v>911</v>
      </c>
      <c r="C80" s="273"/>
      <c r="D80" s="332" t="s">
        <v>1147</v>
      </c>
    </row>
    <row r="81" spans="1:4" x14ac:dyDescent="0.2">
      <c r="A81" s="330" t="s">
        <v>1142</v>
      </c>
      <c r="B81" s="333" t="s">
        <v>912</v>
      </c>
      <c r="C81" s="273"/>
      <c r="D81" s="332" t="s">
        <v>1148</v>
      </c>
    </row>
    <row r="82" spans="1:4" x14ac:dyDescent="0.2">
      <c r="A82" s="330" t="s">
        <v>1143</v>
      </c>
      <c r="B82" s="333" t="s">
        <v>913</v>
      </c>
      <c r="C82" s="273"/>
      <c r="D82" s="332" t="s">
        <v>1149</v>
      </c>
    </row>
    <row r="83" spans="1:4" x14ac:dyDescent="0.2">
      <c r="A83" s="330" t="s">
        <v>1144</v>
      </c>
      <c r="B83" s="333" t="s">
        <v>914</v>
      </c>
      <c r="C83" s="273"/>
      <c r="D83" s="332" t="s">
        <v>1150</v>
      </c>
    </row>
    <row r="84" spans="1:4" x14ac:dyDescent="0.2">
      <c r="A84" s="330" t="s">
        <v>1502</v>
      </c>
      <c r="B84" s="333" t="s">
        <v>1565</v>
      </c>
      <c r="C84" s="273"/>
      <c r="D84" s="332" t="s">
        <v>1151</v>
      </c>
    </row>
    <row r="85" spans="1:4" x14ac:dyDescent="0.2">
      <c r="A85" s="278"/>
      <c r="B85" s="279"/>
      <c r="C85" s="280"/>
      <c r="D85" s="281"/>
    </row>
    <row r="86" spans="1:4" x14ac:dyDescent="0.2">
      <c r="A86" s="282"/>
      <c r="B86" s="280"/>
      <c r="C86" s="273"/>
      <c r="D86" s="283"/>
    </row>
    <row r="87" spans="1:4" x14ac:dyDescent="0.2">
      <c r="A87" s="2412" t="s">
        <v>951</v>
      </c>
      <c r="B87" s="2413"/>
      <c r="C87" s="284"/>
    </row>
    <row r="88" spans="1:4" x14ac:dyDescent="0.2">
      <c r="A88" s="335" t="s">
        <v>425</v>
      </c>
      <c r="B88" s="336" t="s">
        <v>426</v>
      </c>
      <c r="C88" s="273"/>
    </row>
    <row r="89" spans="1:4" x14ac:dyDescent="0.2">
      <c r="A89" s="286"/>
      <c r="B89" s="337" t="s">
        <v>615</v>
      </c>
      <c r="C89" s="273"/>
    </row>
    <row r="90" spans="1:4" x14ac:dyDescent="0.2">
      <c r="A90" s="282"/>
      <c r="B90" s="338" t="s">
        <v>616</v>
      </c>
      <c r="C90" s="273"/>
    </row>
    <row r="92" spans="1:4" x14ac:dyDescent="0.2">
      <c r="A92" s="2412" t="s">
        <v>370</v>
      </c>
      <c r="B92" s="2418"/>
      <c r="C92" s="2418"/>
      <c r="D92" s="2413"/>
    </row>
    <row r="93" spans="1:4" x14ac:dyDescent="0.2">
      <c r="A93" s="557" t="s">
        <v>690</v>
      </c>
      <c r="B93" s="649" t="str">
        <f>'Lookup and lists'!B28</f>
        <v>KZN226 Mkhambathini</v>
      </c>
      <c r="C93" s="558"/>
      <c r="D93" s="271"/>
    </row>
    <row r="94" spans="1:4" x14ac:dyDescent="0.2">
      <c r="A94" s="557" t="s">
        <v>757</v>
      </c>
      <c r="B94" s="559">
        <v>2</v>
      </c>
      <c r="C94" s="558" t="s">
        <v>758</v>
      </c>
      <c r="D94" s="339">
        <v>2</v>
      </c>
    </row>
    <row r="95" spans="1:4" x14ac:dyDescent="0.2">
      <c r="A95" s="340" t="str">
        <f>IF((MuniEntities=1)*(MuniType=2),"YES","NO")</f>
        <v>NO</v>
      </c>
      <c r="B95" s="143" t="s">
        <v>888</v>
      </c>
      <c r="D95" s="271"/>
    </row>
    <row r="96" spans="1:4" x14ac:dyDescent="0.2">
      <c r="A96" s="339" t="s">
        <v>1456</v>
      </c>
      <c r="B96" s="143" t="s">
        <v>1284</v>
      </c>
      <c r="D96" s="339" t="s">
        <v>1333</v>
      </c>
    </row>
    <row r="97" spans="1:6" x14ac:dyDescent="0.2">
      <c r="A97" s="339" t="s">
        <v>1094</v>
      </c>
      <c r="B97" s="143" t="s">
        <v>1285</v>
      </c>
      <c r="D97" s="339" t="s">
        <v>1096</v>
      </c>
    </row>
    <row r="98" spans="1:6" x14ac:dyDescent="0.2">
      <c r="A98" s="339" t="s">
        <v>1095</v>
      </c>
      <c r="B98" s="143" t="s">
        <v>1286</v>
      </c>
      <c r="D98" s="339" t="s">
        <v>1097</v>
      </c>
    </row>
    <row r="99" spans="1:6" x14ac:dyDescent="0.2">
      <c r="A99" s="2416" t="s">
        <v>952</v>
      </c>
      <c r="B99" s="2417"/>
      <c r="C99" s="341" t="s">
        <v>1180</v>
      </c>
      <c r="D99" s="342" t="s">
        <v>1179</v>
      </c>
      <c r="E99" s="341" t="s">
        <v>1157</v>
      </c>
      <c r="F99" s="342" t="s">
        <v>1157</v>
      </c>
    </row>
    <row r="100" spans="1:6" x14ac:dyDescent="0.2">
      <c r="A100" s="286"/>
      <c r="B100" s="343" t="str">
        <f t="shared" ref="B100:B109" si="0">IF(Consolques="YES",E100,F100)</f>
        <v>Table A1 Budget Summary</v>
      </c>
      <c r="C100" s="285"/>
      <c r="D100" s="330" t="s">
        <v>1575</v>
      </c>
      <c r="E100" s="143" t="str">
        <f>D100&amp;"Consolidated Budget Summary"</f>
        <v>Table A1 Consolidated Budget Summary</v>
      </c>
      <c r="F100" s="143" t="str">
        <f>D100&amp;"Budget Summary"</f>
        <v>Table A1 Budget Summary</v>
      </c>
    </row>
    <row r="101" spans="1:6" x14ac:dyDescent="0.2">
      <c r="A101" s="286"/>
      <c r="B101" s="343" t="str">
        <f t="shared" si="0"/>
        <v>Table A2 Budgeted Financial Performance (revenue and expenditure by functional classification)</v>
      </c>
      <c r="C101" s="337" t="s">
        <v>541</v>
      </c>
      <c r="D101" s="330" t="s">
        <v>1576</v>
      </c>
      <c r="E101" s="143" t="str">
        <f>D101&amp;"Consolidated Budgeted Financial Performance (revenue and expenditure by functional classification)"</f>
        <v>Table A2 Consolidated Budgeted Financial Performance (revenue and expenditure by functional classification)</v>
      </c>
      <c r="F101" s="143" t="str">
        <f>D101&amp;"Budgeted Financial Performance (revenue and expenditure by functional classification)"</f>
        <v>Table A2 Budgeted Financial Performance (revenue and expenditure by functional classification)</v>
      </c>
    </row>
    <row r="102" spans="1:6" x14ac:dyDescent="0.2">
      <c r="A102" s="286"/>
      <c r="B102" s="343" t="str">
        <f t="shared" si="0"/>
        <v>Table A3 Budgeted Financial Performance (revenue and expenditure by municipal vote)</v>
      </c>
      <c r="C102" s="274"/>
      <c r="D102" s="330" t="s">
        <v>1577</v>
      </c>
      <c r="E102" s="143" t="str">
        <f>D102&amp;"Consolidated Budgeted Financial Performance (revenue and expenditure by municipal vote)"</f>
        <v>Table A3 Consolidated Budgeted Financial Performance (revenue and expenditure by municipal vote)</v>
      </c>
      <c r="F102" s="143" t="str">
        <f>D102&amp;"Budgeted Financial Performance (revenue and expenditure by municipal vote)"</f>
        <v>Table A3 Budgeted Financial Performance (revenue and expenditure by municipal vote)</v>
      </c>
    </row>
    <row r="103" spans="1:6" x14ac:dyDescent="0.2">
      <c r="A103" s="286"/>
      <c r="B103" s="343" t="str">
        <f t="shared" si="0"/>
        <v>Table A4 Budgeted Financial Performance (revenue and expenditure)</v>
      </c>
      <c r="C103" s="337" t="s">
        <v>540</v>
      </c>
      <c r="D103" s="330" t="s">
        <v>1578</v>
      </c>
      <c r="E103" s="143" t="str">
        <f>D103&amp;"Consolidated Budgeted Financial Performance (revenue and expenditure)"</f>
        <v>Table A4 Consolidated Budgeted Financial Performance (revenue and expenditure)</v>
      </c>
      <c r="F103" s="143" t="str">
        <f>D103&amp;"Budgeted Financial Performance (revenue and expenditure)"</f>
        <v>Table A4 Budgeted Financial Performance (revenue and expenditure)</v>
      </c>
    </row>
    <row r="104" spans="1:6" x14ac:dyDescent="0.2">
      <c r="A104" s="286"/>
      <c r="B104" s="331" t="str">
        <f t="shared" si="0"/>
        <v>Table A5 Budgeted Capital Expenditure by vote, functional classification and funding</v>
      </c>
      <c r="C104" s="337" t="s">
        <v>543</v>
      </c>
      <c r="D104" s="330" t="s">
        <v>1579</v>
      </c>
      <c r="E104" s="143" t="str">
        <f>D104&amp;"Consolidated Budgeted Capital Expenditure by vote, functional classification and funding"</f>
        <v>Table A5 Consolidated Budgeted Capital Expenditure by vote, functional classification and funding</v>
      </c>
      <c r="F104" s="143" t="str">
        <f>D104&amp;"Budgeted Capital Expenditure by vote, functional classification and funding"</f>
        <v>Table A5 Budgeted Capital Expenditure by vote, functional classification and funding</v>
      </c>
    </row>
    <row r="105" spans="1:6" x14ac:dyDescent="0.2">
      <c r="A105" s="286"/>
      <c r="B105" s="331" t="str">
        <f t="shared" si="0"/>
        <v>Table A6 Budgeted Financial Position</v>
      </c>
      <c r="C105" s="274"/>
      <c r="D105" s="330" t="s">
        <v>1580</v>
      </c>
      <c r="E105" s="143" t="str">
        <f>D105&amp;"Consolidated Budgeted Financial Position"</f>
        <v>Table A6 Consolidated Budgeted Financial Position</v>
      </c>
      <c r="F105" s="143" t="str">
        <f>D105&amp;"Budgeted Financial Position"</f>
        <v>Table A6 Budgeted Financial Position</v>
      </c>
    </row>
    <row r="106" spans="1:6" x14ac:dyDescent="0.2">
      <c r="A106" s="286"/>
      <c r="B106" s="331" t="str">
        <f t="shared" si="0"/>
        <v>Table A7 Budgeted Cash Flows</v>
      </c>
      <c r="C106" s="274"/>
      <c r="D106" s="330" t="s">
        <v>1581</v>
      </c>
      <c r="E106" s="143" t="str">
        <f>D106&amp;"Consolidated Budgeted Cash Flows"</f>
        <v>Table A7 Consolidated Budgeted Cash Flows</v>
      </c>
      <c r="F106" s="143" t="str">
        <f>D106&amp;"Budgeted Cash Flows"</f>
        <v>Table A7 Budgeted Cash Flows</v>
      </c>
    </row>
    <row r="107" spans="1:6" x14ac:dyDescent="0.2">
      <c r="A107" s="286"/>
      <c r="B107" s="331" t="str">
        <f t="shared" si="0"/>
        <v>Table A8 Cash backed reserves/accumulated surplus reconciliation</v>
      </c>
      <c r="C107" s="274"/>
      <c r="D107" s="330" t="s">
        <v>1582</v>
      </c>
      <c r="E107" s="344" t="str">
        <f>D107&amp;"Consolidated Cash backed reserves/accumulated surplus reconciliation"</f>
        <v>Table A8 Consolidated Cash backed reserves/accumulated surplus reconciliation</v>
      </c>
      <c r="F107" s="344" t="str">
        <f>D107&amp;"Cash backed reserves/accumulated surplus reconciliation"</f>
        <v>Table A8 Cash backed reserves/accumulated surplus reconciliation</v>
      </c>
    </row>
    <row r="108" spans="1:6" x14ac:dyDescent="0.2">
      <c r="A108" s="286"/>
      <c r="B108" s="331" t="str">
        <f t="shared" si="0"/>
        <v>Table A9 Asset Management</v>
      </c>
      <c r="C108" s="274"/>
      <c r="D108" s="330" t="s">
        <v>1583</v>
      </c>
      <c r="E108" s="143" t="str">
        <f>D108&amp;"Consolidated Asset Management"</f>
        <v>Table A9 Consolidated Asset Management</v>
      </c>
      <c r="F108" s="143" t="str">
        <f>D108&amp;"Asset Management"</f>
        <v>Table A9 Asset Management</v>
      </c>
    </row>
    <row r="109" spans="1:6" x14ac:dyDescent="0.2">
      <c r="A109" s="286"/>
      <c r="B109" s="345" t="str">
        <f t="shared" si="0"/>
        <v>Table A10 Basic service delivery measurement</v>
      </c>
      <c r="C109" s="287"/>
      <c r="D109" s="346" t="s">
        <v>1584</v>
      </c>
      <c r="E109" s="143" t="str">
        <f>D109&amp;"Consolidated basic service delivery measurement"</f>
        <v>Table A10 Consolidated basic service delivery measurement</v>
      </c>
      <c r="F109" s="143" t="str">
        <f>D109&amp;"Basic service delivery measurement"</f>
        <v>Table A10 Basic service delivery measurement</v>
      </c>
    </row>
    <row r="110" spans="1:6" x14ac:dyDescent="0.2">
      <c r="A110" s="2414" t="s">
        <v>1198</v>
      </c>
      <c r="B110" s="2415"/>
      <c r="C110" s="347" t="str">
        <f>$C$99</f>
        <v>Chart x-ref</v>
      </c>
      <c r="D110" s="347" t="str">
        <f>$D$99</f>
        <v>Sch/Tab/Ch</v>
      </c>
    </row>
    <row r="111" spans="1:6" x14ac:dyDescent="0.2">
      <c r="A111" s="348" t="s">
        <v>1199</v>
      </c>
      <c r="B111" s="349" t="str">
        <f>A111&amp;" Supportinging detail to 'Budgeted Financial Performance'"</f>
        <v>Supporting Table SA1 Supportinging detail to 'Budgeted Financial Performance'</v>
      </c>
      <c r="C111" s="288"/>
      <c r="D111" s="288"/>
      <c r="E111" s="273"/>
      <c r="F111" s="273"/>
    </row>
    <row r="112" spans="1:6" x14ac:dyDescent="0.2">
      <c r="A112" s="330" t="s">
        <v>1200</v>
      </c>
      <c r="B112" s="331" t="str">
        <f>IF(Consolques="YES",E112,F112)</f>
        <v>Supporting Table SA2 Matrix Financial Performance Budget (revenue source/expenditure type and dept.)</v>
      </c>
      <c r="C112" s="275"/>
      <c r="D112" s="275"/>
      <c r="E112" s="331" t="str">
        <f>A112&amp;"Consolidated Matrix Financial Performance Budget (revenue source/expenditure type &amp; dept.)"</f>
        <v>Supporting Table SA2 Consolidated Matrix Financial Performance Budget (revenue source/expenditure type &amp; dept.)</v>
      </c>
      <c r="F112" s="331" t="str">
        <f>A112&amp;"Matrix Financial Performance Budget (revenue source/expenditure type and dept.)"</f>
        <v>Supporting Table SA2 Matrix Financial Performance Budget (revenue source/expenditure type and dept.)</v>
      </c>
    </row>
    <row r="113" spans="1:6" x14ac:dyDescent="0.2">
      <c r="A113" s="330" t="s">
        <v>1201</v>
      </c>
      <c r="B113" s="331" t="str">
        <f>A113&amp;"Supportinging detail to 'Budgeted Financial Position'"</f>
        <v>Supporting Table SA3 Supportinging detail to 'Budgeted Financial Position'</v>
      </c>
      <c r="C113" s="275"/>
      <c r="D113" s="275"/>
      <c r="E113" s="273"/>
      <c r="F113" s="273"/>
    </row>
    <row r="114" spans="1:6" x14ac:dyDescent="0.2">
      <c r="A114" s="330" t="s">
        <v>1202</v>
      </c>
      <c r="B114" s="331" t="str">
        <f>A114&amp;"Reconciliation of IDP strategic objectives and budget (revenue)"</f>
        <v>Supporting Table SA4 Reconciliation of IDP strategic objectives and budget (revenue)</v>
      </c>
      <c r="C114" s="332" t="s">
        <v>1167</v>
      </c>
      <c r="D114" s="275"/>
      <c r="E114" s="273"/>
      <c r="F114" s="273"/>
    </row>
    <row r="115" spans="1:6" x14ac:dyDescent="0.2">
      <c r="A115" s="330" t="s">
        <v>34</v>
      </c>
      <c r="B115" s="331" t="str">
        <f>A115&amp;"Reconciliation of IDP strategic objectives and budget (operating expenditure)"</f>
        <v>Supporting Table SA5 Reconciliation of IDP strategic objectives and budget (operating expenditure)</v>
      </c>
      <c r="C115" s="332" t="s">
        <v>1168</v>
      </c>
      <c r="D115" s="275"/>
      <c r="E115" s="273"/>
      <c r="F115" s="273"/>
    </row>
    <row r="116" spans="1:6" x14ac:dyDescent="0.2">
      <c r="A116" s="330" t="s">
        <v>35</v>
      </c>
      <c r="B116" s="331" t="str">
        <f>A116&amp;"Reconciliation of IDP strategic objectives and budget (capital expenditure)"</f>
        <v>Supporting Table SA6 Reconciliation of IDP strategic objectives and budget (capital expenditure)</v>
      </c>
      <c r="C116" s="332" t="s">
        <v>1169</v>
      </c>
      <c r="D116" s="275"/>
      <c r="E116" s="273"/>
      <c r="F116" s="273"/>
    </row>
    <row r="117" spans="1:6" x14ac:dyDescent="0.2">
      <c r="A117" s="330" t="s">
        <v>36</v>
      </c>
      <c r="B117" s="331" t="str">
        <f>A117&amp;" Measureable performance objectives"</f>
        <v>Supporting Table SA7 Measureable performance objectives</v>
      </c>
      <c r="C117" s="275"/>
      <c r="D117" s="275"/>
      <c r="E117" s="273"/>
      <c r="F117" s="273"/>
    </row>
    <row r="118" spans="1:6" x14ac:dyDescent="0.2">
      <c r="A118" s="330" t="s">
        <v>37</v>
      </c>
      <c r="B118" s="331" t="str">
        <f>A118&amp;" Performance indicators and benchmarks"</f>
        <v>Supporting Table SA8 Performance indicators and benchmarks</v>
      </c>
      <c r="C118" s="332" t="s">
        <v>542</v>
      </c>
      <c r="D118" s="275"/>
      <c r="E118" s="273"/>
      <c r="F118" s="273"/>
    </row>
    <row r="119" spans="1:6" x14ac:dyDescent="0.2">
      <c r="A119" s="330" t="s">
        <v>38</v>
      </c>
      <c r="B119" s="331" t="str">
        <f>A119&amp;" Social, economic and demographic statistics and assumptions"</f>
        <v>Supporting Table SA9 Social, economic and demographic statistics and assumptions</v>
      </c>
      <c r="C119" s="275"/>
      <c r="D119" s="275"/>
      <c r="E119" s="273"/>
      <c r="F119" s="273"/>
    </row>
    <row r="120" spans="1:6" x14ac:dyDescent="0.2">
      <c r="A120" s="330" t="s">
        <v>854</v>
      </c>
      <c r="B120" s="331" t="str">
        <f>A120&amp;" Funding measurement"</f>
        <v>Supporting Table SA10 Funding measurement</v>
      </c>
      <c r="C120" s="332" t="s">
        <v>1170</v>
      </c>
      <c r="D120" s="275"/>
      <c r="E120" s="273"/>
      <c r="F120" s="273"/>
    </row>
    <row r="121" spans="1:6" x14ac:dyDescent="0.2">
      <c r="A121" s="330" t="s">
        <v>855</v>
      </c>
      <c r="B121" s="343" t="str">
        <f>A121&amp;" Property rates summary"</f>
        <v>Supporting Table SA11 Property rates summary</v>
      </c>
      <c r="C121" s="275"/>
      <c r="D121" s="275"/>
      <c r="E121" s="273"/>
      <c r="F121" s="273"/>
    </row>
    <row r="122" spans="1:6" x14ac:dyDescent="0.2">
      <c r="A122" s="330" t="s">
        <v>1790</v>
      </c>
      <c r="B122" s="343" t="str">
        <f>A122&amp;" Property rates by category (current year)"</f>
        <v>Supporting Table SA12a Property rates by category (current year)</v>
      </c>
      <c r="C122" s="275"/>
      <c r="D122" s="275"/>
      <c r="E122" s="273"/>
      <c r="F122" s="273"/>
    </row>
    <row r="123" spans="1:6" x14ac:dyDescent="0.2">
      <c r="A123" s="330" t="s">
        <v>1791</v>
      </c>
      <c r="B123" s="343" t="str">
        <f>A123&amp;" Property rates by category (budget year)"</f>
        <v>Supporting Table SA12b Property rates by category (budget year)</v>
      </c>
      <c r="C123" s="275"/>
      <c r="D123" s="275"/>
      <c r="E123" s="273"/>
      <c r="F123" s="273"/>
    </row>
    <row r="124" spans="1:6" x14ac:dyDescent="0.2">
      <c r="A124" s="330" t="s">
        <v>1996</v>
      </c>
      <c r="B124" s="343" t="str">
        <f>A124&amp;" Service Tariffs by category"</f>
        <v>Supporting Table SA13a Service Tariffs by category</v>
      </c>
      <c r="C124" s="275"/>
      <c r="D124" s="275"/>
      <c r="E124" s="273"/>
      <c r="F124" s="273"/>
    </row>
    <row r="125" spans="1:6" x14ac:dyDescent="0.2">
      <c r="A125" s="330" t="s">
        <v>1997</v>
      </c>
      <c r="B125" s="343" t="str">
        <f>A125&amp;" Service Tariffs by category - explanatory"</f>
        <v>Supporting Table SA13b Service Tariffs by category - explanatory</v>
      </c>
      <c r="C125" s="275"/>
      <c r="D125" s="275"/>
      <c r="E125" s="273"/>
      <c r="F125" s="273"/>
    </row>
    <row r="126" spans="1:6" x14ac:dyDescent="0.2">
      <c r="A126" s="330" t="s">
        <v>856</v>
      </c>
      <c r="B126" s="343" t="str">
        <f>A126&amp;" Household bills"</f>
        <v>Supporting Table SA14 Household bills</v>
      </c>
      <c r="C126" s="275"/>
      <c r="D126" s="275"/>
      <c r="E126" s="273"/>
      <c r="F126" s="273"/>
    </row>
    <row r="127" spans="1:6" x14ac:dyDescent="0.2">
      <c r="A127" s="330" t="s">
        <v>857</v>
      </c>
      <c r="B127" s="331" t="str">
        <f>A127&amp;" Investment particulars by type"</f>
        <v>Supporting Table SA15 Investment particulars by type</v>
      </c>
      <c r="C127" s="275"/>
      <c r="D127" s="275"/>
      <c r="E127" s="273"/>
      <c r="F127" s="273"/>
    </row>
    <row r="128" spans="1:6" x14ac:dyDescent="0.2">
      <c r="A128" s="330" t="s">
        <v>858</v>
      </c>
      <c r="B128" s="331" t="str">
        <f>A128&amp;" Investment particulars by maturity"</f>
        <v>Supporting Table SA16 Investment particulars by maturity</v>
      </c>
      <c r="C128" s="275"/>
      <c r="D128" s="275"/>
      <c r="E128" s="273"/>
      <c r="F128" s="273"/>
    </row>
    <row r="129" spans="1:6" x14ac:dyDescent="0.2">
      <c r="A129" s="330" t="s">
        <v>859</v>
      </c>
      <c r="B129" s="331" t="str">
        <f>A129&amp;" Borrowing"</f>
        <v>Supporting Table SA17 Borrowing</v>
      </c>
      <c r="C129" s="275"/>
      <c r="D129" s="289"/>
      <c r="E129" s="273"/>
      <c r="F129" s="273"/>
    </row>
    <row r="130" spans="1:6" x14ac:dyDescent="0.2">
      <c r="A130" s="330" t="s">
        <v>860</v>
      </c>
      <c r="B130" s="331" t="str">
        <f>A130&amp;" Transfers and grant receipts"</f>
        <v>Supporting Table SA18 Transfers and grant receipts</v>
      </c>
      <c r="C130" s="275"/>
      <c r="D130" s="275"/>
      <c r="E130" s="273"/>
      <c r="F130" s="273"/>
    </row>
    <row r="131" spans="1:6" x14ac:dyDescent="0.2">
      <c r="A131" s="330" t="s">
        <v>861</v>
      </c>
      <c r="B131" s="331" t="str">
        <f>A131&amp;" Expenditure on transfers and grant programme"</f>
        <v>Supporting Table SA19 Expenditure on transfers and grant programme</v>
      </c>
      <c r="C131" s="275"/>
      <c r="D131" s="275"/>
      <c r="E131" s="273"/>
      <c r="F131" s="273"/>
    </row>
    <row r="132" spans="1:6" x14ac:dyDescent="0.2">
      <c r="A132" s="330" t="s">
        <v>862</v>
      </c>
      <c r="B132" s="331" t="str">
        <f>A132&amp;" Reconciliation of transfers, grant receipts and unspent funds"</f>
        <v>Supporting Table SA20 Reconciliation of transfers, grant receipts and unspent funds</v>
      </c>
      <c r="C132" s="275"/>
      <c r="D132" s="275"/>
      <c r="E132" s="273"/>
      <c r="F132" s="273"/>
    </row>
    <row r="133" spans="1:6" x14ac:dyDescent="0.2">
      <c r="A133" s="330" t="s">
        <v>863</v>
      </c>
      <c r="B133" s="331" t="str">
        <f>A133&amp;" Transfers and grants made by the municipality"</f>
        <v>Supporting Table SA21 Transfers and grants made by the municipality</v>
      </c>
      <c r="C133" s="275"/>
      <c r="D133" s="275"/>
      <c r="E133" s="273"/>
      <c r="F133" s="273"/>
    </row>
    <row r="134" spans="1:6" x14ac:dyDescent="0.2">
      <c r="A134" s="330" t="s">
        <v>864</v>
      </c>
      <c r="B134" s="331" t="str">
        <f>A134&amp;" Summary councillor and staff benefits"</f>
        <v>Supporting Table SA22 Summary councillor and staff benefits</v>
      </c>
      <c r="C134" s="275"/>
      <c r="D134" s="289"/>
      <c r="E134" s="273"/>
      <c r="F134" s="273"/>
    </row>
    <row r="135" spans="1:6" x14ac:dyDescent="0.2">
      <c r="A135" s="330" t="s">
        <v>865</v>
      </c>
      <c r="B135" s="331" t="str">
        <f>A135&amp;" Salaries, allowances &amp; benefits (political office bearers/councillors/senior managers)"</f>
        <v>Supporting Table SA23 Salaries, allowances &amp; benefits (political office bearers/councillors/senior managers)</v>
      </c>
      <c r="C135" s="275"/>
      <c r="D135" s="289"/>
      <c r="E135" s="273"/>
      <c r="F135" s="273"/>
    </row>
    <row r="136" spans="1:6" x14ac:dyDescent="0.2">
      <c r="A136" s="330" t="s">
        <v>866</v>
      </c>
      <c r="B136" s="331" t="str">
        <f>A136&amp;" Summary of personnel numbers"</f>
        <v>Supporting Table SA24 Summary of personnel numbers</v>
      </c>
      <c r="C136" s="275"/>
      <c r="D136" s="275"/>
      <c r="E136" s="273"/>
      <c r="F136" s="273"/>
    </row>
    <row r="137" spans="1:6" x14ac:dyDescent="0.2">
      <c r="A137" s="330" t="s">
        <v>867</v>
      </c>
      <c r="B137" s="343" t="str">
        <f t="shared" ref="B137:B143" si="1">IF(Consolques="YES",E137,F137)</f>
        <v>Supporting Table SA25 Budgeted monthly revenue and expenditure</v>
      </c>
      <c r="C137" s="275"/>
      <c r="D137" s="275"/>
      <c r="E137" s="331" t="str">
        <f>A137&amp;" Consolidated budgeted monthly revenue and expenditure"</f>
        <v>Supporting Table SA25 Consolidated budgeted monthly revenue and expenditure</v>
      </c>
      <c r="F137" s="331" t="str">
        <f>A137&amp;" Budgeted monthly revenue and expenditure"</f>
        <v>Supporting Table SA25 Budgeted monthly revenue and expenditure</v>
      </c>
    </row>
    <row r="138" spans="1:6" x14ac:dyDescent="0.2">
      <c r="A138" s="330" t="s">
        <v>868</v>
      </c>
      <c r="B138" s="343" t="str">
        <f t="shared" si="1"/>
        <v>Supporting Table SA26 Budgeted monthly revenue and expenditure (municipal vote)</v>
      </c>
      <c r="C138" s="275"/>
      <c r="D138" s="275"/>
      <c r="E138" s="331" t="str">
        <f>A138&amp;" Consolidated budgeted monthly revenue and expenditure (municipal vote)"</f>
        <v>Supporting Table SA26 Consolidated budgeted monthly revenue and expenditure (municipal vote)</v>
      </c>
      <c r="F138" s="331" t="str">
        <f>A138&amp;" Budgeted monthly revenue and expenditure (municipal vote)"</f>
        <v>Supporting Table SA26 Budgeted monthly revenue and expenditure (municipal vote)</v>
      </c>
    </row>
    <row r="139" spans="1:6" x14ac:dyDescent="0.2">
      <c r="A139" s="330" t="s">
        <v>869</v>
      </c>
      <c r="B139" s="343" t="str">
        <f t="shared" si="1"/>
        <v>Supporting Table SA27 Budgeted monthly revenue and expenditure (functional classification)</v>
      </c>
      <c r="C139" s="275"/>
      <c r="D139" s="275"/>
      <c r="E139" s="331" t="str">
        <f>A139&amp;" Consolidated budgeted monthly revenue and expenditure (functional classification)"</f>
        <v>Supporting Table SA27 Consolidated budgeted monthly revenue and expenditure (functional classification)</v>
      </c>
      <c r="F139" s="331" t="str">
        <f>A139&amp;" Budgeted monthly revenue and expenditure (functional classification)"</f>
        <v>Supporting Table SA27 Budgeted monthly revenue and expenditure (functional classification)</v>
      </c>
    </row>
    <row r="140" spans="1:6" x14ac:dyDescent="0.2">
      <c r="A140" s="330" t="s">
        <v>870</v>
      </c>
      <c r="B140" s="343" t="str">
        <f t="shared" si="1"/>
        <v>Supporting Table SA28 Budgeted monthly capital expenditure (municipal vote)</v>
      </c>
      <c r="C140" s="275"/>
      <c r="D140" s="275"/>
      <c r="E140" s="331" t="str">
        <f>A140&amp;" Consolidated budgeted monthly capital expenditure (municipal vote)"</f>
        <v>Supporting Table SA28 Consolidated budgeted monthly capital expenditure (municipal vote)</v>
      </c>
      <c r="F140" s="331" t="str">
        <f>A140&amp;" Budgeted monthly capital expenditure (municipal vote)"</f>
        <v>Supporting Table SA28 Budgeted monthly capital expenditure (municipal vote)</v>
      </c>
    </row>
    <row r="141" spans="1:6" x14ac:dyDescent="0.2">
      <c r="A141" s="330" t="s">
        <v>871</v>
      </c>
      <c r="B141" s="343" t="str">
        <f t="shared" si="1"/>
        <v>Supporting Table SA29 Budgeted monthly capital expenditure (functional classification)</v>
      </c>
      <c r="C141" s="275"/>
      <c r="D141" s="275"/>
      <c r="E141" s="331" t="str">
        <f>A141&amp;" Consolidated budgeted monthly capital expenditure (functional classification)"</f>
        <v>Supporting Table SA29 Consolidated budgeted monthly capital expenditure (functional classification)</v>
      </c>
      <c r="F141" s="331" t="str">
        <f>A141&amp;" Budgeted monthly capital expenditure (functional classification)"</f>
        <v>Supporting Table SA29 Budgeted monthly capital expenditure (functional classification)</v>
      </c>
    </row>
    <row r="142" spans="1:6" x14ac:dyDescent="0.2">
      <c r="A142" s="330" t="s">
        <v>872</v>
      </c>
      <c r="B142" s="343" t="str">
        <f t="shared" si="1"/>
        <v>Supporting Table SA30 Budgeted monthly cash flow</v>
      </c>
      <c r="C142" s="275"/>
      <c r="D142" s="275"/>
      <c r="E142" s="331" t="str">
        <f>A142&amp;" Consolidated budgeted monthly cash flow"</f>
        <v>Supporting Table SA30 Consolidated budgeted monthly cash flow</v>
      </c>
      <c r="F142" s="331" t="str">
        <f>A142&amp;" Budgeted monthly cash flow"</f>
        <v>Supporting Table SA30 Budgeted monthly cash flow</v>
      </c>
    </row>
    <row r="143" spans="1:6" x14ac:dyDescent="0.2">
      <c r="A143" s="330" t="s">
        <v>873</v>
      </c>
      <c r="B143" s="331" t="str">
        <f t="shared" si="1"/>
        <v>NOT REQUIRED - municipality does not have entities</v>
      </c>
      <c r="C143" s="275"/>
      <c r="D143" s="275"/>
      <c r="E143" s="331" t="str">
        <f>A143&amp;" Aggregated entity budget"</f>
        <v>Supporting Table SA31 Aggregated entity budget</v>
      </c>
      <c r="F143" s="331" t="s">
        <v>889</v>
      </c>
    </row>
    <row r="144" spans="1:6" x14ac:dyDescent="0.2">
      <c r="A144" s="330" t="s">
        <v>874</v>
      </c>
      <c r="B144" s="331" t="str">
        <f>A144&amp;" List of external mechanisms"</f>
        <v>Supporting Table SA32 List of external mechanisms</v>
      </c>
      <c r="C144" s="275"/>
      <c r="D144" s="275"/>
      <c r="E144" s="273"/>
      <c r="F144" s="273"/>
    </row>
    <row r="145" spans="1:6" x14ac:dyDescent="0.2">
      <c r="A145" s="330" t="s">
        <v>875</v>
      </c>
      <c r="B145" s="331" t="str">
        <f>A145&amp;" Contracts having future budgetary implications"</f>
        <v>Supporting Table SA33 Contracts having future budgetary implications</v>
      </c>
      <c r="C145" s="275"/>
      <c r="D145" s="275"/>
      <c r="E145" s="273"/>
      <c r="F145" s="273"/>
    </row>
    <row r="146" spans="1:6" x14ac:dyDescent="0.2">
      <c r="A146" s="330" t="s">
        <v>1450</v>
      </c>
      <c r="B146" s="331" t="str">
        <f t="shared" ref="B146:B153" si="2">IF(Consolques="YES",E146,F146)</f>
        <v>Supporting Table SA34a Capital expenditure on new assets by asset class</v>
      </c>
      <c r="C146" s="275"/>
      <c r="D146" s="275"/>
      <c r="E146" s="331" t="str">
        <f>A146&amp;" Consolidated capital expenditure on new assets by asset class"</f>
        <v>Supporting Table SA34a Consolidated capital expenditure on new assets by asset class</v>
      </c>
      <c r="F146" s="331" t="str">
        <f>A146&amp;" Capital expenditure on new assets by asset class"</f>
        <v>Supporting Table SA34a Capital expenditure on new assets by asset class</v>
      </c>
    </row>
    <row r="147" spans="1:6" x14ac:dyDescent="0.2">
      <c r="A147" s="330" t="s">
        <v>1451</v>
      </c>
      <c r="B147" s="331" t="str">
        <f t="shared" si="2"/>
        <v>Supporting Table SA34b Capital expenditure on the renewal of existing assets by asset class</v>
      </c>
      <c r="C147" s="275"/>
      <c r="D147" s="275"/>
      <c r="E147" s="331" t="str">
        <f>A147&amp;" Consolidated capital expenditure on the renewal of existing assets by asset class"</f>
        <v>Supporting Table SA34b Consolidated capital expenditure on the renewal of existing assets by asset class</v>
      </c>
      <c r="F147" s="331" t="str">
        <f>A147&amp;" Capital expenditure on the renewal of existing assets by asset class"</f>
        <v>Supporting Table SA34b Capital expenditure on the renewal of existing assets by asset class</v>
      </c>
    </row>
    <row r="148" spans="1:6" x14ac:dyDescent="0.2">
      <c r="A148" s="330" t="s">
        <v>1452</v>
      </c>
      <c r="B148" s="331" t="str">
        <f t="shared" si="2"/>
        <v>Supporting Table SA34c Repairs and maintenance expenditure by asset class</v>
      </c>
      <c r="C148" s="275"/>
      <c r="D148" s="275"/>
      <c r="E148" s="331" t="str">
        <f>A148&amp;" Consolidated repairs and maintenance by asset class"</f>
        <v>Supporting Table SA34c Consolidated repairs and maintenance by asset class</v>
      </c>
      <c r="F148" s="331" t="str">
        <f>A148&amp;" Repairs and maintenance expenditure by asset class"</f>
        <v>Supporting Table SA34c Repairs and maintenance expenditure by asset class</v>
      </c>
    </row>
    <row r="149" spans="1:6" x14ac:dyDescent="0.2">
      <c r="A149" s="330" t="s">
        <v>1787</v>
      </c>
      <c r="B149" s="331" t="str">
        <f>IF(Consolques="YES",E149,F149)</f>
        <v>Supporting Table SA34d Depreciation by asset class</v>
      </c>
      <c r="C149" s="275"/>
      <c r="D149" s="275"/>
      <c r="E149" s="331" t="str">
        <f>A149&amp;" Consolidated Depreciation by asset class"</f>
        <v>Supporting Table SA34d Consolidated Depreciation by asset class</v>
      </c>
      <c r="F149" s="331" t="str">
        <f>A149&amp;" Depreciation by asset class"</f>
        <v>Supporting Table SA34d Depreciation by asset class</v>
      </c>
    </row>
    <row r="150" spans="1:6" x14ac:dyDescent="0.2">
      <c r="A150" s="330" t="s">
        <v>2355</v>
      </c>
      <c r="B150" s="331" t="str">
        <f>IF(Consolques="YES",E150,F150)</f>
        <v>Supporting Table SA34e Capital expenditure on the upgrading of existing assets by asset class</v>
      </c>
      <c r="C150" s="275"/>
      <c r="D150" s="275"/>
      <c r="E150" s="331" t="str">
        <f>A150&amp;" Consolidated capital expenditure on the upgrading of existing assets by asset class"</f>
        <v>Supporting Table SA34e Consolidated capital expenditure on the upgrading of existing assets by asset class</v>
      </c>
      <c r="F150" s="331" t="str">
        <f>A150&amp;" Capital expenditure on the upgrading of existing assets by asset class"</f>
        <v>Supporting Table SA34e Capital expenditure on the upgrading of existing assets by asset class</v>
      </c>
    </row>
    <row r="151" spans="1:6" x14ac:dyDescent="0.2">
      <c r="A151" s="330" t="s">
        <v>876</v>
      </c>
      <c r="B151" s="331" t="str">
        <f t="shared" si="2"/>
        <v>Supporting Table SA35 Future financial implications of the capital budget</v>
      </c>
      <c r="C151" s="275"/>
      <c r="D151" s="275"/>
      <c r="E151" s="331" t="str">
        <f>A151&amp;" Consolidated future financial implications of the capital budget"</f>
        <v>Supporting Table SA35 Consolidated future financial implications of the capital budget</v>
      </c>
      <c r="F151" s="331" t="str">
        <f>A151&amp; " Future financial implications of the capital budget"</f>
        <v>Supporting Table SA35 Future financial implications of the capital budget</v>
      </c>
    </row>
    <row r="152" spans="1:6" x14ac:dyDescent="0.2">
      <c r="A152" s="330" t="s">
        <v>877</v>
      </c>
      <c r="B152" s="331" t="str">
        <f t="shared" si="2"/>
        <v>Supporting Table SA36 Detailed capital budget</v>
      </c>
      <c r="C152" s="275"/>
      <c r="D152" s="275"/>
      <c r="E152" s="331" t="str">
        <f>A152&amp;" Consolidated detailed capital budget"</f>
        <v>Supporting Table SA36 Consolidated detailed capital budget</v>
      </c>
      <c r="F152" s="331" t="str">
        <f>A152&amp; " Detailed capital budget"</f>
        <v>Supporting Table SA36 Detailed capital budget</v>
      </c>
    </row>
    <row r="153" spans="1:6" x14ac:dyDescent="0.2">
      <c r="A153" s="330" t="s">
        <v>878</v>
      </c>
      <c r="B153" s="345" t="str">
        <f t="shared" si="2"/>
        <v>Supporting Table SA37 Projects delayed from previous financial year/s</v>
      </c>
      <c r="C153" s="281"/>
      <c r="D153" s="272"/>
      <c r="E153" s="331" t="str">
        <f>A153&amp;" Consolidated projects delayed from previous financial year/s"</f>
        <v>Supporting Table SA37 Consolidated projects delayed from previous financial year/s</v>
      </c>
      <c r="F153" s="331" t="str">
        <f>A153&amp; " Projects delayed from previous financial year/s"</f>
        <v>Supporting Table SA37 Projects delayed from previous financial year/s</v>
      </c>
    </row>
    <row r="154" spans="1:6" x14ac:dyDescent="0.2">
      <c r="A154" s="330" t="s">
        <v>2457</v>
      </c>
      <c r="B154" s="331" t="str">
        <f>IF(Consolques="YES",E154,F154)</f>
        <v>Supporting Table SA38 Detailed operational projects</v>
      </c>
      <c r="C154" s="275"/>
      <c r="D154" s="275"/>
      <c r="E154" s="331" t="str">
        <f>A154&amp;" Consolidated detailed operational projects"</f>
        <v>Supporting Table SA38 Consolidated detailed operational projects</v>
      </c>
      <c r="F154" s="331" t="str">
        <f>A154&amp; " Detailed operational projects"</f>
        <v>Supporting Table SA38 Detailed operational projects</v>
      </c>
    </row>
    <row r="155" spans="1:6" x14ac:dyDescent="0.2">
      <c r="A155" s="353"/>
      <c r="B155" s="345"/>
      <c r="C155" s="281"/>
      <c r="D155" s="272"/>
      <c r="E155" s="331"/>
      <c r="F155" s="331"/>
    </row>
    <row r="156" spans="1:6" x14ac:dyDescent="0.2">
      <c r="A156" s="350" t="s">
        <v>928</v>
      </c>
      <c r="B156" s="351" t="s">
        <v>1181</v>
      </c>
      <c r="C156" s="352" t="s">
        <v>954</v>
      </c>
      <c r="D156" s="278"/>
    </row>
    <row r="157" spans="1:6" x14ac:dyDescent="0.2">
      <c r="A157" s="353" t="s">
        <v>1585</v>
      </c>
      <c r="B157" s="354" t="str">
        <f>A157&amp;"Revenue by Municipal Vote"</f>
        <v>Chart A1 Revenue by Municipal Vote</v>
      </c>
      <c r="C157" s="288"/>
      <c r="D157" s="290"/>
    </row>
    <row r="158" spans="1:6" x14ac:dyDescent="0.2">
      <c r="A158" s="353" t="s">
        <v>1586</v>
      </c>
      <c r="B158" s="355" t="str">
        <f>A158&amp;"Expenditure by Municipal Vote"</f>
        <v>Chart A2 Expenditure by Municipal Vote</v>
      </c>
      <c r="C158" s="275"/>
      <c r="D158" s="283"/>
    </row>
    <row r="159" spans="1:6" x14ac:dyDescent="0.2">
      <c r="A159" s="353" t="s">
        <v>1587</v>
      </c>
      <c r="B159" s="355" t="str">
        <f>A159&amp;"Revenue by Standard Classification"</f>
        <v>Chart A3 Revenue by Standard Classification</v>
      </c>
      <c r="C159" s="332" t="s">
        <v>953</v>
      </c>
      <c r="D159" s="273"/>
    </row>
    <row r="160" spans="1:6" x14ac:dyDescent="0.2">
      <c r="A160" s="353" t="s">
        <v>1588</v>
      </c>
      <c r="B160" s="355" t="str">
        <f>A160&amp;"Expenditure by Standard Classification"</f>
        <v>Chart A4 Expenditure by Standard Classification</v>
      </c>
      <c r="C160" s="332" t="s">
        <v>953</v>
      </c>
      <c r="D160" s="273"/>
    </row>
    <row r="161" spans="1:4" x14ac:dyDescent="0.2">
      <c r="A161" s="353" t="s">
        <v>1589</v>
      </c>
      <c r="B161" s="355" t="str">
        <f>A161&amp;"Revenue by Major Source (refer 'Minor' source for 'Other Revenue' allocation"</f>
        <v>Chart A5 Revenue by Major Source (refer 'Minor' source for 'Other Revenue' allocation</v>
      </c>
      <c r="C161" s="332" t="s">
        <v>955</v>
      </c>
      <c r="D161" s="273"/>
    </row>
    <row r="162" spans="1:4" x14ac:dyDescent="0.2">
      <c r="A162" s="353" t="s">
        <v>1590</v>
      </c>
      <c r="B162" s="355" t="str">
        <f>A162&amp;"Revenue by Minor Source (Other)"</f>
        <v>Chart A6 Revenue by Minor Source (Other)</v>
      </c>
      <c r="C162" s="332" t="s">
        <v>955</v>
      </c>
      <c r="D162" s="273"/>
    </row>
    <row r="163" spans="1:4" x14ac:dyDescent="0.2">
      <c r="A163" s="353" t="s">
        <v>1591</v>
      </c>
      <c r="B163" s="355" t="str">
        <f>A163&amp;"Expenditure by Major Type"</f>
        <v>Chart A7 Expenditure by Major Type</v>
      </c>
      <c r="C163" s="332" t="s">
        <v>955</v>
      </c>
      <c r="D163" s="273"/>
    </row>
    <row r="164" spans="1:4" x14ac:dyDescent="0.2">
      <c r="A164" s="353" t="s">
        <v>1592</v>
      </c>
      <c r="B164" s="355" t="str">
        <f>A164&amp;"Expenditure by Minor Type (Other)"</f>
        <v>Chart A8 Expenditure by Minor Type (Other)</v>
      </c>
      <c r="C164" s="332" t="s">
        <v>955</v>
      </c>
      <c r="D164" s="273"/>
    </row>
    <row r="165" spans="1:4" x14ac:dyDescent="0.2">
      <c r="A165" s="353" t="s">
        <v>1593</v>
      </c>
      <c r="B165" s="355" t="str">
        <f>A165&amp;"Capital Expenditure by Municipal Vote/Appropriation (Major)"</f>
        <v>Chart A9 Capital Expenditure by Municipal Vote/Appropriation (Major)</v>
      </c>
      <c r="C165" s="332" t="s">
        <v>956</v>
      </c>
      <c r="D165" s="273"/>
    </row>
    <row r="166" spans="1:4" x14ac:dyDescent="0.2">
      <c r="A166" s="353" t="s">
        <v>1594</v>
      </c>
      <c r="B166" s="355" t="str">
        <f>A166&amp;"Capital Expenditure by Municipal Vote/Appropriation (Minor)"</f>
        <v>Chart A10 Capital Expenditure by Municipal Vote/Appropriation (Minor)</v>
      </c>
      <c r="C166" s="332" t="s">
        <v>956</v>
      </c>
      <c r="D166" s="273"/>
    </row>
    <row r="167" spans="1:4" x14ac:dyDescent="0.2">
      <c r="A167" s="353" t="s">
        <v>1595</v>
      </c>
      <c r="B167" s="355" t="str">
        <f>A166&amp;"Capital Expenditure by Standard Classification"</f>
        <v>Chart A10 Capital Expenditure by Standard Classification</v>
      </c>
      <c r="C167" s="332" t="s">
        <v>956</v>
      </c>
      <c r="D167" s="273"/>
    </row>
    <row r="168" spans="1:4" x14ac:dyDescent="0.2">
      <c r="A168" s="353" t="s">
        <v>1596</v>
      </c>
      <c r="B168" s="355" t="str">
        <f>A168&amp;"Capital expenditure performance trend"</f>
        <v>Chart A12 Capital expenditure performance trend</v>
      </c>
      <c r="C168" s="332" t="s">
        <v>956</v>
      </c>
      <c r="D168" s="273"/>
    </row>
    <row r="169" spans="1:4" x14ac:dyDescent="0.2">
      <c r="A169" s="353" t="s">
        <v>1597</v>
      </c>
      <c r="B169" s="355" t="str">
        <f>A169&amp;"Capital funding by Source"</f>
        <v>Chart A13 Capital funding by Source</v>
      </c>
      <c r="C169" s="332" t="s">
        <v>956</v>
      </c>
      <c r="D169" s="273"/>
    </row>
    <row r="170" spans="1:4" x14ac:dyDescent="0.2">
      <c r="A170" s="353" t="s">
        <v>1598</v>
      </c>
      <c r="B170" s="355" t="str">
        <f>A170&amp;"Cash flow trend"</f>
        <v>Chart A14 Cash flow trend</v>
      </c>
      <c r="C170" s="332" t="s">
        <v>957</v>
      </c>
      <c r="D170" s="273"/>
    </row>
    <row r="171" spans="1:4" x14ac:dyDescent="0.2">
      <c r="A171" s="353" t="s">
        <v>1599</v>
      </c>
      <c r="B171" s="355" t="str">
        <f>A171&amp;"IDP Strategic Objective - Revenue"</f>
        <v>Chart A15 IDP Strategic Objective - Revenue</v>
      </c>
      <c r="C171" s="332" t="s">
        <v>265</v>
      </c>
      <c r="D171" s="273"/>
    </row>
    <row r="172" spans="1:4" x14ac:dyDescent="0.2">
      <c r="A172" s="353" t="s">
        <v>1600</v>
      </c>
      <c r="B172" s="355" t="str">
        <f>A172&amp;"IDP Strategic Objective - Expenditure"</f>
        <v>Chart A16 IDP Strategic Objective - Expenditure</v>
      </c>
      <c r="C172" s="332" t="s">
        <v>266</v>
      </c>
      <c r="D172" s="273"/>
    </row>
    <row r="173" spans="1:4" x14ac:dyDescent="0.2">
      <c r="A173" s="353" t="s">
        <v>1601</v>
      </c>
      <c r="B173" s="355" t="str">
        <f>A173&amp;"IDP Strategic Objective - Capital Expenditure"</f>
        <v>Chart A17 IDP Strategic Objective - Capital Expenditure</v>
      </c>
      <c r="C173" s="332" t="s">
        <v>267</v>
      </c>
    </row>
    <row r="174" spans="1:4" x14ac:dyDescent="0.2">
      <c r="A174" s="353" t="s">
        <v>1602</v>
      </c>
      <c r="B174" s="355" t="str">
        <f>A174&amp;"Debt (borrowing to Total Revenue)"</f>
        <v>Chart A18 Debt (borrowing to Total Revenue)</v>
      </c>
      <c r="C174" s="332" t="s">
        <v>268</v>
      </c>
    </row>
    <row r="175" spans="1:4" x14ac:dyDescent="0.2">
      <c r="A175" s="353" t="s">
        <v>1603</v>
      </c>
      <c r="B175" s="355" t="str">
        <f>A175&amp;"Debtors' trend analysis"</f>
        <v>Chart A19 Debtors' trend analysis</v>
      </c>
      <c r="C175" s="332" t="s">
        <v>268</v>
      </c>
    </row>
    <row r="176" spans="1:4" x14ac:dyDescent="0.2">
      <c r="A176" s="353" t="s">
        <v>1604</v>
      </c>
      <c r="B176" s="355" t="str">
        <f>A176&amp;"Distribution losses"</f>
        <v>Chart A20 Distribution losses</v>
      </c>
      <c r="C176" s="332" t="s">
        <v>268</v>
      </c>
    </row>
    <row r="177" spans="1:5" x14ac:dyDescent="0.2">
      <c r="A177" s="353" t="s">
        <v>1605</v>
      </c>
      <c r="B177" s="355" t="str">
        <f>A177&amp;"Borrowed funding of capital expenditure"</f>
        <v>Chart A21 Borrowed funding of capital expenditure</v>
      </c>
      <c r="C177" s="332" t="s">
        <v>268</v>
      </c>
    </row>
    <row r="178" spans="1:5" x14ac:dyDescent="0.2">
      <c r="A178" s="353" t="s">
        <v>1606</v>
      </c>
      <c r="B178" s="355" t="str">
        <f>A178&amp;"Expenditure analysis (% of Revenue)"</f>
        <v>Chart A22 Expenditure analysis (% of Revenue)</v>
      </c>
      <c r="C178" s="332" t="s">
        <v>268</v>
      </c>
    </row>
    <row r="179" spans="1:5" x14ac:dyDescent="0.2">
      <c r="A179" s="346" t="s">
        <v>1607</v>
      </c>
      <c r="B179" s="356" t="str">
        <f>A179&amp;"Increases in service charges"</f>
        <v>Chart A23 Increases in service charges</v>
      </c>
      <c r="C179" s="357" t="s">
        <v>539</v>
      </c>
    </row>
    <row r="180" spans="1:5" x14ac:dyDescent="0.2">
      <c r="A180" s="270"/>
    </row>
    <row r="181" spans="1:5" x14ac:dyDescent="0.2">
      <c r="A181" s="270"/>
    </row>
    <row r="182" spans="1:5" x14ac:dyDescent="0.2">
      <c r="A182" s="270"/>
    </row>
    <row r="183" spans="1:5" x14ac:dyDescent="0.2">
      <c r="D183" s="283"/>
      <c r="E183" s="273"/>
    </row>
  </sheetData>
  <mergeCells count="5">
    <mergeCell ref="A1:D1"/>
    <mergeCell ref="A87:B87"/>
    <mergeCell ref="A110:B110"/>
    <mergeCell ref="A99:B99"/>
    <mergeCell ref="A92:D92"/>
  </mergeCells>
  <phoneticPr fontId="7" type="noConversion"/>
  <printOptions horizontalCentered="1" verticalCentered="1"/>
  <pageMargins left="0.39370078740157483" right="0.15748031496062992" top="0.51181102362204722" bottom="0.55118110236220474" header="0.51181102362204722" footer="0.39370078740157483"/>
  <pageSetup paperSize="9" scale="32"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75786" r:id="rId4" name="Button 10">
              <controlPr defaultSize="0" print="0" autoFill="0" autoPict="0" macro="[0]!SaveForUsers">
                <anchor moveWithCells="1" sizeWithCells="1">
                  <from>
                    <xdr:col>4</xdr:col>
                    <xdr:colOff>323850</xdr:colOff>
                    <xdr:row>2</xdr:row>
                    <xdr:rowOff>19050</xdr:rowOff>
                  </from>
                  <to>
                    <xdr:col>4</xdr:col>
                    <xdr:colOff>2038350</xdr:colOff>
                    <xdr:row>4</xdr:row>
                    <xdr:rowOff>19050</xdr:rowOff>
                  </to>
                </anchor>
              </controlPr>
            </control>
          </mc:Choice>
        </mc:AlternateContent>
      </controls>
    </mc:Choice>
  </mc:AlternateContent>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Sheet47">
    <pageSetUpPr fitToPage="1"/>
  </sheetPr>
  <dimension ref="A1:R56"/>
  <sheetViews>
    <sheetView showGridLines="0" zoomScale="110" zoomScaleNormal="110" workbookViewId="0">
      <pane xSplit="2" ySplit="3" topLeftCell="C4" activePane="bottomRight" state="frozen"/>
      <selection pane="topRight"/>
      <selection pane="bottomLeft"/>
      <selection pane="bottomRight" activeCell="T57" sqref="T57"/>
    </sheetView>
  </sheetViews>
  <sheetFormatPr defaultColWidth="9.140625" defaultRowHeight="12.75" x14ac:dyDescent="0.25"/>
  <cols>
    <col min="1" max="1" width="30.7109375" style="58" customWidth="1"/>
    <col min="2" max="2" width="3" style="55" customWidth="1"/>
    <col min="3" max="14" width="8.28515625" style="58" customWidth="1"/>
    <col min="15" max="17" width="9.28515625" style="58" customWidth="1"/>
    <col min="18" max="16384" width="9.140625" style="58"/>
  </cols>
  <sheetData>
    <row r="1" spans="1:18" ht="13.5" customHeight="1" x14ac:dyDescent="0.25">
      <c r="A1" s="92" t="str">
        <f>muni&amp;" - "&amp;TableA27</f>
        <v>KZN226 Mkhambathini - Supporting Table SA27 Budgeted monthly revenue and expenditure (functional classification)</v>
      </c>
      <c r="B1" s="92"/>
      <c r="C1" s="92"/>
      <c r="D1" s="92"/>
      <c r="E1" s="92"/>
      <c r="F1" s="92"/>
      <c r="G1" s="92"/>
      <c r="H1" s="92"/>
      <c r="I1" s="92"/>
      <c r="J1" s="92"/>
      <c r="K1" s="92"/>
      <c r="L1" s="92"/>
      <c r="M1" s="92"/>
      <c r="N1" s="92"/>
      <c r="O1" s="92"/>
      <c r="P1" s="92"/>
      <c r="Q1" s="92"/>
    </row>
    <row r="2" spans="1:18" ht="28.5" customHeight="1" x14ac:dyDescent="0.25">
      <c r="A2" s="1829" t="str">
        <f>desc</f>
        <v>Description</v>
      </c>
      <c r="B2" s="1825" t="str">
        <f>head27</f>
        <v>Ref</v>
      </c>
      <c r="C2" s="2447" t="str">
        <f>Head9</f>
        <v>Budget Year 2021/22</v>
      </c>
      <c r="D2" s="2448"/>
      <c r="E2" s="2448"/>
      <c r="F2" s="2448"/>
      <c r="G2" s="2448"/>
      <c r="H2" s="2448"/>
      <c r="I2" s="2448"/>
      <c r="J2" s="2448"/>
      <c r="K2" s="2448"/>
      <c r="L2" s="2448"/>
      <c r="M2" s="2448"/>
      <c r="N2" s="2448"/>
      <c r="O2" s="2450" t="s">
        <v>1554</v>
      </c>
      <c r="P2" s="2451"/>
      <c r="Q2" s="2452"/>
    </row>
    <row r="3" spans="1:18" ht="25.5" x14ac:dyDescent="0.25">
      <c r="A3" s="2020" t="s">
        <v>568</v>
      </c>
      <c r="B3" s="2021"/>
      <c r="C3" s="95" t="s">
        <v>620</v>
      </c>
      <c r="D3" s="527" t="s">
        <v>1233</v>
      </c>
      <c r="E3" s="527" t="s">
        <v>1234</v>
      </c>
      <c r="F3" s="527" t="s">
        <v>1235</v>
      </c>
      <c r="G3" s="527" t="s">
        <v>603</v>
      </c>
      <c r="H3" s="527" t="s">
        <v>604</v>
      </c>
      <c r="I3" s="527" t="s">
        <v>605</v>
      </c>
      <c r="J3" s="527" t="s">
        <v>606</v>
      </c>
      <c r="K3" s="527" t="s">
        <v>607</v>
      </c>
      <c r="L3" s="527" t="s">
        <v>608</v>
      </c>
      <c r="M3" s="527" t="s">
        <v>609</v>
      </c>
      <c r="N3" s="94" t="s">
        <v>610</v>
      </c>
      <c r="O3" s="95" t="str">
        <f>Head9</f>
        <v>Budget Year 2021/22</v>
      </c>
      <c r="P3" s="698" t="str">
        <f>Head10</f>
        <v>Budget Year +1 2022/23</v>
      </c>
      <c r="Q3" s="94" t="str">
        <f>Head11</f>
        <v>Budget Year +2 2023/24</v>
      </c>
    </row>
    <row r="4" spans="1:18" x14ac:dyDescent="0.25">
      <c r="A4" s="96" t="str">
        <f>'A2-FinPerf SC'!A4</f>
        <v>Revenue - Functional</v>
      </c>
      <c r="B4" s="2026"/>
      <c r="C4" s="764"/>
      <c r="D4" s="762"/>
      <c r="E4" s="762"/>
      <c r="F4" s="762"/>
      <c r="G4" s="762"/>
      <c r="H4" s="762"/>
      <c r="I4" s="762"/>
      <c r="J4" s="762"/>
      <c r="K4" s="762"/>
      <c r="L4" s="762"/>
      <c r="M4" s="762"/>
      <c r="N4" s="765"/>
      <c r="O4" s="764"/>
      <c r="P4" s="762"/>
      <c r="Q4" s="765"/>
      <c r="R4" s="322"/>
    </row>
    <row r="5" spans="1:18" ht="11.25" customHeight="1" x14ac:dyDescent="0.25">
      <c r="A5" s="225" t="str">
        <f>'A2-FinPerf SC'!A5</f>
        <v>Governance and administration</v>
      </c>
      <c r="B5" s="2024"/>
      <c r="C5" s="100">
        <f>SUM(C6:C8)</f>
        <v>10378437</v>
      </c>
      <c r="D5" s="98">
        <f>SUM(D6:D8)</f>
        <v>10378437</v>
      </c>
      <c r="E5" s="98">
        <f t="shared" ref="E5:M5" si="0">SUM(E6:E8)</f>
        <v>10378437</v>
      </c>
      <c r="F5" s="98">
        <f t="shared" si="0"/>
        <v>10378437</v>
      </c>
      <c r="G5" s="98">
        <f t="shared" si="0"/>
        <v>10378437</v>
      </c>
      <c r="H5" s="98">
        <f t="shared" si="0"/>
        <v>10378437</v>
      </c>
      <c r="I5" s="98">
        <f t="shared" si="0"/>
        <v>10378437</v>
      </c>
      <c r="J5" s="98">
        <f t="shared" si="0"/>
        <v>10378437</v>
      </c>
      <c r="K5" s="98">
        <f t="shared" si="0"/>
        <v>10378437</v>
      </c>
      <c r="L5" s="98">
        <f t="shared" si="0"/>
        <v>10378437</v>
      </c>
      <c r="M5" s="98">
        <f t="shared" si="0"/>
        <v>10378437</v>
      </c>
      <c r="N5" s="742">
        <f t="shared" ref="N5:N24" si="1">O5-SUM(C5:M5)</f>
        <v>10378432</v>
      </c>
      <c r="O5" s="743">
        <f>'A2-FinPerf SC'!I5</f>
        <v>124541239</v>
      </c>
      <c r="P5" s="545">
        <f>'A2-FinPerf SC'!J5</f>
        <v>129656413</v>
      </c>
      <c r="Q5" s="742">
        <f>'A2-FinPerf SC'!K5</f>
        <v>132364708</v>
      </c>
      <c r="R5" s="322"/>
    </row>
    <row r="6" spans="1:18" ht="11.25" customHeight="1" x14ac:dyDescent="0.25">
      <c r="A6" s="226" t="str">
        <f>'A2-FinPerf SC'!A6</f>
        <v>Executive and council</v>
      </c>
      <c r="B6" s="2024"/>
      <c r="C6" s="725">
        <f t="shared" ref="C6:M8" si="2">ROUND($O6/12,0)</f>
        <v>0</v>
      </c>
      <c r="D6" s="712">
        <f t="shared" si="2"/>
        <v>0</v>
      </c>
      <c r="E6" s="712">
        <f t="shared" si="2"/>
        <v>0</v>
      </c>
      <c r="F6" s="712">
        <f t="shared" si="2"/>
        <v>0</v>
      </c>
      <c r="G6" s="712">
        <f t="shared" si="2"/>
        <v>0</v>
      </c>
      <c r="H6" s="712">
        <f t="shared" si="2"/>
        <v>0</v>
      </c>
      <c r="I6" s="712">
        <f t="shared" si="2"/>
        <v>0</v>
      </c>
      <c r="J6" s="712">
        <f t="shared" si="2"/>
        <v>0</v>
      </c>
      <c r="K6" s="712">
        <f t="shared" si="2"/>
        <v>0</v>
      </c>
      <c r="L6" s="712">
        <f t="shared" si="2"/>
        <v>0</v>
      </c>
      <c r="M6" s="712">
        <f t="shared" si="2"/>
        <v>0</v>
      </c>
      <c r="N6" s="178">
        <f t="shared" si="1"/>
        <v>0</v>
      </c>
      <c r="O6" s="179">
        <f>'A2-FinPerf SC'!I6</f>
        <v>0</v>
      </c>
      <c r="P6" s="71">
        <f>'A2-FinPerf SC'!J6</f>
        <v>0</v>
      </c>
      <c r="Q6" s="72">
        <f>'A2-FinPerf SC'!K6</f>
        <v>0</v>
      </c>
      <c r="R6" s="322"/>
    </row>
    <row r="7" spans="1:18" ht="11.25" customHeight="1" x14ac:dyDescent="0.25">
      <c r="A7" s="226" t="str">
        <f>'A2-FinPerf SC'!A7</f>
        <v>Finance and administration</v>
      </c>
      <c r="B7" s="2024"/>
      <c r="C7" s="725">
        <f t="shared" si="2"/>
        <v>10378437</v>
      </c>
      <c r="D7" s="712">
        <f t="shared" si="2"/>
        <v>10378437</v>
      </c>
      <c r="E7" s="712">
        <f t="shared" si="2"/>
        <v>10378437</v>
      </c>
      <c r="F7" s="712">
        <f t="shared" si="2"/>
        <v>10378437</v>
      </c>
      <c r="G7" s="712">
        <f t="shared" si="2"/>
        <v>10378437</v>
      </c>
      <c r="H7" s="712">
        <f t="shared" si="2"/>
        <v>10378437</v>
      </c>
      <c r="I7" s="712">
        <f t="shared" si="2"/>
        <v>10378437</v>
      </c>
      <c r="J7" s="712">
        <f t="shared" si="2"/>
        <v>10378437</v>
      </c>
      <c r="K7" s="712">
        <f t="shared" si="2"/>
        <v>10378437</v>
      </c>
      <c r="L7" s="712">
        <f t="shared" si="2"/>
        <v>10378437</v>
      </c>
      <c r="M7" s="712">
        <f t="shared" si="2"/>
        <v>10378437</v>
      </c>
      <c r="N7" s="178">
        <f t="shared" si="1"/>
        <v>10378432</v>
      </c>
      <c r="O7" s="179">
        <f>'A2-FinPerf SC'!I7</f>
        <v>124541239</v>
      </c>
      <c r="P7" s="71">
        <f>'A2-FinPerf SC'!J7</f>
        <v>129656413</v>
      </c>
      <c r="Q7" s="72">
        <f>'A2-FinPerf SC'!K7</f>
        <v>132364708</v>
      </c>
      <c r="R7" s="322"/>
    </row>
    <row r="8" spans="1:18" ht="11.25" customHeight="1" x14ac:dyDescent="0.25">
      <c r="A8" s="226" t="str">
        <f>'A2-FinPerf SC'!A8</f>
        <v>Internal audit</v>
      </c>
      <c r="B8" s="2024"/>
      <c r="C8" s="725">
        <f t="shared" si="2"/>
        <v>0</v>
      </c>
      <c r="D8" s="712">
        <f t="shared" si="2"/>
        <v>0</v>
      </c>
      <c r="E8" s="712">
        <f t="shared" si="2"/>
        <v>0</v>
      </c>
      <c r="F8" s="712">
        <f t="shared" si="2"/>
        <v>0</v>
      </c>
      <c r="G8" s="712">
        <f t="shared" si="2"/>
        <v>0</v>
      </c>
      <c r="H8" s="712">
        <f t="shared" si="2"/>
        <v>0</v>
      </c>
      <c r="I8" s="712">
        <f t="shared" si="2"/>
        <v>0</v>
      </c>
      <c r="J8" s="712">
        <f t="shared" si="2"/>
        <v>0</v>
      </c>
      <c r="K8" s="712">
        <f t="shared" si="2"/>
        <v>0</v>
      </c>
      <c r="L8" s="712">
        <f t="shared" si="2"/>
        <v>0</v>
      </c>
      <c r="M8" s="712">
        <f t="shared" si="2"/>
        <v>0</v>
      </c>
      <c r="N8" s="178">
        <f t="shared" si="1"/>
        <v>0</v>
      </c>
      <c r="O8" s="179">
        <f>'A2-FinPerf SC'!I8</f>
        <v>0</v>
      </c>
      <c r="P8" s="71">
        <f>'A2-FinPerf SC'!J8</f>
        <v>0</v>
      </c>
      <c r="Q8" s="72">
        <f>'A2-FinPerf SC'!K8</f>
        <v>0</v>
      </c>
      <c r="R8" s="322"/>
    </row>
    <row r="9" spans="1:18" ht="11.25" customHeight="1" x14ac:dyDescent="0.25">
      <c r="A9" s="225" t="str">
        <f>'A2-FinPerf SC'!A9</f>
        <v>Community and public safety</v>
      </c>
      <c r="B9" s="2024"/>
      <c r="C9" s="100">
        <f>SUM(C10:C14)</f>
        <v>161123</v>
      </c>
      <c r="D9" s="98">
        <f t="shared" ref="D9:M9" si="3">SUM(D10:D14)</f>
        <v>161123</v>
      </c>
      <c r="E9" s="98">
        <f t="shared" si="3"/>
        <v>161123</v>
      </c>
      <c r="F9" s="98">
        <f t="shared" si="3"/>
        <v>161123</v>
      </c>
      <c r="G9" s="98">
        <f t="shared" si="3"/>
        <v>161123</v>
      </c>
      <c r="H9" s="98">
        <f t="shared" si="3"/>
        <v>161123</v>
      </c>
      <c r="I9" s="98">
        <f t="shared" si="3"/>
        <v>161123</v>
      </c>
      <c r="J9" s="98">
        <f t="shared" si="3"/>
        <v>161123</v>
      </c>
      <c r="K9" s="98">
        <f t="shared" si="3"/>
        <v>161123</v>
      </c>
      <c r="L9" s="98">
        <f t="shared" si="3"/>
        <v>161123</v>
      </c>
      <c r="M9" s="98">
        <f t="shared" si="3"/>
        <v>161123</v>
      </c>
      <c r="N9" s="742">
        <f t="shared" si="1"/>
        <v>161121</v>
      </c>
      <c r="O9" s="743">
        <f>'A2-FinPerf SC'!I9</f>
        <v>1933474</v>
      </c>
      <c r="P9" s="98">
        <f>'A2-FinPerf SC'!J9</f>
        <v>1934414</v>
      </c>
      <c r="Q9" s="99">
        <f>'A2-FinPerf SC'!K9</f>
        <v>1935391</v>
      </c>
      <c r="R9" s="322"/>
    </row>
    <row r="10" spans="1:18" ht="11.25" customHeight="1" x14ac:dyDescent="0.25">
      <c r="A10" s="226" t="str">
        <f>'A2-FinPerf SC'!A10</f>
        <v>Community and social services</v>
      </c>
      <c r="B10" s="2024"/>
      <c r="C10" s="725">
        <f t="shared" ref="C10:M14" si="4">ROUND($O10/12,0)</f>
        <v>161123</v>
      </c>
      <c r="D10" s="712">
        <f t="shared" si="4"/>
        <v>161123</v>
      </c>
      <c r="E10" s="712">
        <f t="shared" si="4"/>
        <v>161123</v>
      </c>
      <c r="F10" s="712">
        <f t="shared" si="4"/>
        <v>161123</v>
      </c>
      <c r="G10" s="712">
        <f t="shared" si="4"/>
        <v>161123</v>
      </c>
      <c r="H10" s="712">
        <f t="shared" si="4"/>
        <v>161123</v>
      </c>
      <c r="I10" s="712">
        <f t="shared" si="4"/>
        <v>161123</v>
      </c>
      <c r="J10" s="712">
        <f t="shared" si="4"/>
        <v>161123</v>
      </c>
      <c r="K10" s="712">
        <f t="shared" si="4"/>
        <v>161123</v>
      </c>
      <c r="L10" s="712">
        <f t="shared" si="4"/>
        <v>161123</v>
      </c>
      <c r="M10" s="712">
        <f t="shared" si="4"/>
        <v>161123</v>
      </c>
      <c r="N10" s="178">
        <f t="shared" si="1"/>
        <v>161121</v>
      </c>
      <c r="O10" s="179">
        <f>'A2-FinPerf SC'!I10</f>
        <v>1933474</v>
      </c>
      <c r="P10" s="71">
        <f>'A2-FinPerf SC'!J10</f>
        <v>1934414</v>
      </c>
      <c r="Q10" s="72">
        <f>'A2-FinPerf SC'!K10</f>
        <v>1935391</v>
      </c>
      <c r="R10" s="322"/>
    </row>
    <row r="11" spans="1:18" ht="11.25" customHeight="1" x14ac:dyDescent="0.25">
      <c r="A11" s="226" t="str">
        <f>'A2-FinPerf SC'!A11</f>
        <v>Sport and recreation</v>
      </c>
      <c r="B11" s="2024"/>
      <c r="C11" s="725">
        <f t="shared" si="4"/>
        <v>0</v>
      </c>
      <c r="D11" s="712">
        <f t="shared" si="4"/>
        <v>0</v>
      </c>
      <c r="E11" s="712">
        <f t="shared" si="4"/>
        <v>0</v>
      </c>
      <c r="F11" s="712">
        <f t="shared" si="4"/>
        <v>0</v>
      </c>
      <c r="G11" s="712">
        <f t="shared" si="4"/>
        <v>0</v>
      </c>
      <c r="H11" s="712">
        <f t="shared" si="4"/>
        <v>0</v>
      </c>
      <c r="I11" s="712">
        <f t="shared" si="4"/>
        <v>0</v>
      </c>
      <c r="J11" s="712">
        <f t="shared" si="4"/>
        <v>0</v>
      </c>
      <c r="K11" s="712">
        <f t="shared" si="4"/>
        <v>0</v>
      </c>
      <c r="L11" s="712">
        <f t="shared" si="4"/>
        <v>0</v>
      </c>
      <c r="M11" s="712">
        <f t="shared" si="4"/>
        <v>0</v>
      </c>
      <c r="N11" s="178">
        <f t="shared" si="1"/>
        <v>0</v>
      </c>
      <c r="O11" s="179">
        <f>'A2-FinPerf SC'!I11</f>
        <v>0</v>
      </c>
      <c r="P11" s="71">
        <f>'A2-FinPerf SC'!J11</f>
        <v>0</v>
      </c>
      <c r="Q11" s="72">
        <f>'A2-FinPerf SC'!K11</f>
        <v>0</v>
      </c>
      <c r="R11" s="322"/>
    </row>
    <row r="12" spans="1:18" ht="11.25" customHeight="1" x14ac:dyDescent="0.25">
      <c r="A12" s="226" t="str">
        <f>'A2-FinPerf SC'!A12</f>
        <v>Public safety</v>
      </c>
      <c r="B12" s="2024"/>
      <c r="C12" s="725">
        <f t="shared" si="4"/>
        <v>0</v>
      </c>
      <c r="D12" s="712">
        <f t="shared" si="4"/>
        <v>0</v>
      </c>
      <c r="E12" s="712">
        <f t="shared" si="4"/>
        <v>0</v>
      </c>
      <c r="F12" s="712">
        <f t="shared" si="4"/>
        <v>0</v>
      </c>
      <c r="G12" s="712">
        <f t="shared" si="4"/>
        <v>0</v>
      </c>
      <c r="H12" s="712">
        <f t="shared" si="4"/>
        <v>0</v>
      </c>
      <c r="I12" s="712">
        <f t="shared" si="4"/>
        <v>0</v>
      </c>
      <c r="J12" s="712">
        <f t="shared" si="4"/>
        <v>0</v>
      </c>
      <c r="K12" s="712">
        <f t="shared" si="4"/>
        <v>0</v>
      </c>
      <c r="L12" s="712">
        <f t="shared" si="4"/>
        <v>0</v>
      </c>
      <c r="M12" s="712">
        <f t="shared" si="4"/>
        <v>0</v>
      </c>
      <c r="N12" s="178">
        <f t="shared" si="1"/>
        <v>0</v>
      </c>
      <c r="O12" s="179">
        <f>'A2-FinPerf SC'!I12</f>
        <v>0</v>
      </c>
      <c r="P12" s="71">
        <f>'A2-FinPerf SC'!J12</f>
        <v>0</v>
      </c>
      <c r="Q12" s="72">
        <f>'A2-FinPerf SC'!K12</f>
        <v>0</v>
      </c>
      <c r="R12" s="322"/>
    </row>
    <row r="13" spans="1:18" ht="11.25" customHeight="1" x14ac:dyDescent="0.25">
      <c r="A13" s="226" t="str">
        <f>'A2-FinPerf SC'!A13</f>
        <v>Housing</v>
      </c>
      <c r="B13" s="2024"/>
      <c r="C13" s="725">
        <f t="shared" si="4"/>
        <v>0</v>
      </c>
      <c r="D13" s="712">
        <f t="shared" si="4"/>
        <v>0</v>
      </c>
      <c r="E13" s="712">
        <f t="shared" si="4"/>
        <v>0</v>
      </c>
      <c r="F13" s="712">
        <f t="shared" si="4"/>
        <v>0</v>
      </c>
      <c r="G13" s="712">
        <f t="shared" si="4"/>
        <v>0</v>
      </c>
      <c r="H13" s="712">
        <f t="shared" si="4"/>
        <v>0</v>
      </c>
      <c r="I13" s="712">
        <f t="shared" si="4"/>
        <v>0</v>
      </c>
      <c r="J13" s="712">
        <f t="shared" si="4"/>
        <v>0</v>
      </c>
      <c r="K13" s="712">
        <f t="shared" si="4"/>
        <v>0</v>
      </c>
      <c r="L13" s="712">
        <f t="shared" si="4"/>
        <v>0</v>
      </c>
      <c r="M13" s="712">
        <f t="shared" si="4"/>
        <v>0</v>
      </c>
      <c r="N13" s="178">
        <f t="shared" si="1"/>
        <v>0</v>
      </c>
      <c r="O13" s="179">
        <f>'A2-FinPerf SC'!I13</f>
        <v>0</v>
      </c>
      <c r="P13" s="71">
        <f>'A2-FinPerf SC'!J13</f>
        <v>0</v>
      </c>
      <c r="Q13" s="72">
        <f>'A2-FinPerf SC'!K13</f>
        <v>0</v>
      </c>
      <c r="R13" s="322"/>
    </row>
    <row r="14" spans="1:18" ht="11.25" customHeight="1" x14ac:dyDescent="0.25">
      <c r="A14" s="226" t="str">
        <f>'A2-FinPerf SC'!A14</f>
        <v>Health</v>
      </c>
      <c r="B14" s="2024"/>
      <c r="C14" s="725">
        <f t="shared" si="4"/>
        <v>0</v>
      </c>
      <c r="D14" s="712">
        <f t="shared" si="4"/>
        <v>0</v>
      </c>
      <c r="E14" s="712">
        <f t="shared" si="4"/>
        <v>0</v>
      </c>
      <c r="F14" s="712">
        <f t="shared" si="4"/>
        <v>0</v>
      </c>
      <c r="G14" s="712">
        <f t="shared" si="4"/>
        <v>0</v>
      </c>
      <c r="H14" s="712">
        <f t="shared" si="4"/>
        <v>0</v>
      </c>
      <c r="I14" s="712">
        <f t="shared" si="4"/>
        <v>0</v>
      </c>
      <c r="J14" s="712">
        <f t="shared" si="4"/>
        <v>0</v>
      </c>
      <c r="K14" s="712">
        <f t="shared" si="4"/>
        <v>0</v>
      </c>
      <c r="L14" s="712">
        <f t="shared" si="4"/>
        <v>0</v>
      </c>
      <c r="M14" s="712">
        <f t="shared" si="4"/>
        <v>0</v>
      </c>
      <c r="N14" s="178">
        <f t="shared" si="1"/>
        <v>0</v>
      </c>
      <c r="O14" s="179">
        <f>'A2-FinPerf SC'!I14</f>
        <v>0</v>
      </c>
      <c r="P14" s="71">
        <f>'A2-FinPerf SC'!J14</f>
        <v>0</v>
      </c>
      <c r="Q14" s="72">
        <f>'A2-FinPerf SC'!K14</f>
        <v>0</v>
      </c>
      <c r="R14" s="322"/>
    </row>
    <row r="15" spans="1:18" ht="11.25" customHeight="1" x14ac:dyDescent="0.25">
      <c r="A15" s="225" t="str">
        <f>'A2-FinPerf SC'!A15</f>
        <v>Economic and environmental services</v>
      </c>
      <c r="B15" s="2024"/>
      <c r="C15" s="100">
        <f>SUM(C16:C18)</f>
        <v>80971</v>
      </c>
      <c r="D15" s="98">
        <f t="shared" ref="D15:M15" si="5">SUM(D16:D18)</f>
        <v>80971</v>
      </c>
      <c r="E15" s="98">
        <f t="shared" si="5"/>
        <v>80971</v>
      </c>
      <c r="F15" s="98">
        <f t="shared" si="5"/>
        <v>80971</v>
      </c>
      <c r="G15" s="98">
        <f t="shared" si="5"/>
        <v>80971</v>
      </c>
      <c r="H15" s="98">
        <f t="shared" si="5"/>
        <v>80971</v>
      </c>
      <c r="I15" s="98">
        <f t="shared" si="5"/>
        <v>80971</v>
      </c>
      <c r="J15" s="98">
        <f t="shared" si="5"/>
        <v>80971</v>
      </c>
      <c r="K15" s="98">
        <f t="shared" si="5"/>
        <v>80971</v>
      </c>
      <c r="L15" s="98">
        <f t="shared" si="5"/>
        <v>80971</v>
      </c>
      <c r="M15" s="98">
        <f t="shared" si="5"/>
        <v>80971</v>
      </c>
      <c r="N15" s="742">
        <f t="shared" si="1"/>
        <v>80963</v>
      </c>
      <c r="O15" s="743">
        <f>'A2-FinPerf SC'!I15</f>
        <v>971644</v>
      </c>
      <c r="P15" s="98">
        <f>'A2-FinPerf SC'!J15</f>
        <v>2696177</v>
      </c>
      <c r="Q15" s="99">
        <f>'A2-FinPerf SC'!K15</f>
        <v>2804023</v>
      </c>
      <c r="R15" s="322"/>
    </row>
    <row r="16" spans="1:18" ht="11.25" customHeight="1" x14ac:dyDescent="0.25">
      <c r="A16" s="226" t="str">
        <f>'A2-FinPerf SC'!A16</f>
        <v>Planning and development</v>
      </c>
      <c r="B16" s="2024"/>
      <c r="C16" s="725">
        <f t="shared" ref="C16:M18" si="6">ROUND($O16/12,0)</f>
        <v>78373</v>
      </c>
      <c r="D16" s="712">
        <f t="shared" si="6"/>
        <v>78373</v>
      </c>
      <c r="E16" s="712">
        <f t="shared" si="6"/>
        <v>78373</v>
      </c>
      <c r="F16" s="712">
        <f t="shared" si="6"/>
        <v>78373</v>
      </c>
      <c r="G16" s="712">
        <f t="shared" si="6"/>
        <v>78373</v>
      </c>
      <c r="H16" s="712">
        <f t="shared" si="6"/>
        <v>78373</v>
      </c>
      <c r="I16" s="712">
        <f t="shared" si="6"/>
        <v>78373</v>
      </c>
      <c r="J16" s="712">
        <f t="shared" si="6"/>
        <v>78373</v>
      </c>
      <c r="K16" s="712">
        <f t="shared" si="6"/>
        <v>78373</v>
      </c>
      <c r="L16" s="712">
        <f t="shared" si="6"/>
        <v>78373</v>
      </c>
      <c r="M16" s="712">
        <f t="shared" si="6"/>
        <v>78373</v>
      </c>
      <c r="N16" s="178">
        <f t="shared" si="1"/>
        <v>78371</v>
      </c>
      <c r="O16" s="179">
        <f>'A2-FinPerf SC'!I16</f>
        <v>940474</v>
      </c>
      <c r="P16" s="71">
        <f>'A2-FinPerf SC'!J16</f>
        <v>2663760</v>
      </c>
      <c r="Q16" s="72">
        <f>'A2-FinPerf SC'!K16</f>
        <v>2770310</v>
      </c>
      <c r="R16" s="322"/>
    </row>
    <row r="17" spans="1:18" ht="11.25" customHeight="1" x14ac:dyDescent="0.25">
      <c r="A17" s="226" t="str">
        <f>'A2-FinPerf SC'!A17</f>
        <v>Road transport</v>
      </c>
      <c r="B17" s="2024"/>
      <c r="C17" s="725">
        <f t="shared" si="6"/>
        <v>2598</v>
      </c>
      <c r="D17" s="712">
        <f t="shared" si="6"/>
        <v>2598</v>
      </c>
      <c r="E17" s="712">
        <f t="shared" si="6"/>
        <v>2598</v>
      </c>
      <c r="F17" s="712">
        <f t="shared" si="6"/>
        <v>2598</v>
      </c>
      <c r="G17" s="712">
        <f t="shared" si="6"/>
        <v>2598</v>
      </c>
      <c r="H17" s="712">
        <f t="shared" si="6"/>
        <v>2598</v>
      </c>
      <c r="I17" s="712">
        <f t="shared" si="6"/>
        <v>2598</v>
      </c>
      <c r="J17" s="712">
        <f t="shared" si="6"/>
        <v>2598</v>
      </c>
      <c r="K17" s="712">
        <f t="shared" si="6"/>
        <v>2598</v>
      </c>
      <c r="L17" s="712">
        <f t="shared" si="6"/>
        <v>2598</v>
      </c>
      <c r="M17" s="712">
        <f t="shared" si="6"/>
        <v>2598</v>
      </c>
      <c r="N17" s="178">
        <f t="shared" si="1"/>
        <v>2592</v>
      </c>
      <c r="O17" s="179">
        <f>'A2-FinPerf SC'!I17</f>
        <v>31170</v>
      </c>
      <c r="P17" s="71">
        <f>'A2-FinPerf SC'!J17</f>
        <v>32417</v>
      </c>
      <c r="Q17" s="72">
        <f>'A2-FinPerf SC'!K17</f>
        <v>33713</v>
      </c>
      <c r="R17" s="322"/>
    </row>
    <row r="18" spans="1:18" ht="11.25" customHeight="1" x14ac:dyDescent="0.25">
      <c r="A18" s="226" t="str">
        <f>'A2-FinPerf SC'!A18</f>
        <v>Environmental protection</v>
      </c>
      <c r="B18" s="2024"/>
      <c r="C18" s="725">
        <f t="shared" si="6"/>
        <v>0</v>
      </c>
      <c r="D18" s="712">
        <f t="shared" si="6"/>
        <v>0</v>
      </c>
      <c r="E18" s="712">
        <f t="shared" si="6"/>
        <v>0</v>
      </c>
      <c r="F18" s="712">
        <f t="shared" si="6"/>
        <v>0</v>
      </c>
      <c r="G18" s="712">
        <f t="shared" si="6"/>
        <v>0</v>
      </c>
      <c r="H18" s="712">
        <f t="shared" si="6"/>
        <v>0</v>
      </c>
      <c r="I18" s="712">
        <f t="shared" si="6"/>
        <v>0</v>
      </c>
      <c r="J18" s="712">
        <f t="shared" si="6"/>
        <v>0</v>
      </c>
      <c r="K18" s="712">
        <f t="shared" si="6"/>
        <v>0</v>
      </c>
      <c r="L18" s="712">
        <f t="shared" si="6"/>
        <v>0</v>
      </c>
      <c r="M18" s="712">
        <f t="shared" si="6"/>
        <v>0</v>
      </c>
      <c r="N18" s="178">
        <f t="shared" si="1"/>
        <v>0</v>
      </c>
      <c r="O18" s="179">
        <f>'A2-FinPerf SC'!I18</f>
        <v>0</v>
      </c>
      <c r="P18" s="71">
        <f>'A2-FinPerf SC'!J18</f>
        <v>0</v>
      </c>
      <c r="Q18" s="72">
        <f>'A2-FinPerf SC'!K18</f>
        <v>0</v>
      </c>
      <c r="R18" s="322"/>
    </row>
    <row r="19" spans="1:18" ht="11.25" customHeight="1" x14ac:dyDescent="0.25">
      <c r="A19" s="225" t="str">
        <f>'A2-FinPerf SC'!A19</f>
        <v>Trading services</v>
      </c>
      <c r="B19" s="2024"/>
      <c r="C19" s="100">
        <f>SUM(C20:C23)</f>
        <v>49724</v>
      </c>
      <c r="D19" s="98">
        <f t="shared" ref="D19:M19" si="7">SUM(D20:D23)</f>
        <v>49724</v>
      </c>
      <c r="E19" s="98">
        <f t="shared" si="7"/>
        <v>49724</v>
      </c>
      <c r="F19" s="98">
        <f t="shared" si="7"/>
        <v>49724</v>
      </c>
      <c r="G19" s="98">
        <f t="shared" si="7"/>
        <v>49724</v>
      </c>
      <c r="H19" s="98">
        <f t="shared" si="7"/>
        <v>49724</v>
      </c>
      <c r="I19" s="98">
        <f t="shared" si="7"/>
        <v>49724</v>
      </c>
      <c r="J19" s="98">
        <f t="shared" si="7"/>
        <v>49724</v>
      </c>
      <c r="K19" s="98">
        <f t="shared" si="7"/>
        <v>49724</v>
      </c>
      <c r="L19" s="98">
        <f t="shared" si="7"/>
        <v>49724</v>
      </c>
      <c r="M19" s="98">
        <f t="shared" si="7"/>
        <v>49724</v>
      </c>
      <c r="N19" s="742">
        <f>O19-SUM(C19:M19)</f>
        <v>49720</v>
      </c>
      <c r="O19" s="743">
        <f>'A2-FinPerf SC'!I19</f>
        <v>596684</v>
      </c>
      <c r="P19" s="98">
        <f>'A2-FinPerf SC'!J19</f>
        <v>620552</v>
      </c>
      <c r="Q19" s="99">
        <f>'A2-FinPerf SC'!K19</f>
        <v>645374</v>
      </c>
      <c r="R19" s="322"/>
    </row>
    <row r="20" spans="1:18" ht="11.25" customHeight="1" x14ac:dyDescent="0.25">
      <c r="A20" s="226" t="str">
        <f>'A2-FinPerf SC'!A20</f>
        <v>Energy sources</v>
      </c>
      <c r="B20" s="2024"/>
      <c r="C20" s="725">
        <f t="shared" ref="C20:M24" si="8">ROUND($O20/12,0)</f>
        <v>0</v>
      </c>
      <c r="D20" s="712">
        <f t="shared" si="8"/>
        <v>0</v>
      </c>
      <c r="E20" s="712">
        <f t="shared" si="8"/>
        <v>0</v>
      </c>
      <c r="F20" s="712">
        <f t="shared" si="8"/>
        <v>0</v>
      </c>
      <c r="G20" s="712">
        <f t="shared" si="8"/>
        <v>0</v>
      </c>
      <c r="H20" s="712">
        <f t="shared" si="8"/>
        <v>0</v>
      </c>
      <c r="I20" s="712">
        <f t="shared" si="8"/>
        <v>0</v>
      </c>
      <c r="J20" s="712">
        <f t="shared" si="8"/>
        <v>0</v>
      </c>
      <c r="K20" s="712">
        <f t="shared" si="8"/>
        <v>0</v>
      </c>
      <c r="L20" s="712">
        <f t="shared" si="8"/>
        <v>0</v>
      </c>
      <c r="M20" s="712">
        <f t="shared" si="8"/>
        <v>0</v>
      </c>
      <c r="N20" s="178">
        <f t="shared" si="1"/>
        <v>0</v>
      </c>
      <c r="O20" s="179">
        <f>'A2-FinPerf SC'!I20</f>
        <v>0</v>
      </c>
      <c r="P20" s="71">
        <f>'A2-FinPerf SC'!J20</f>
        <v>0</v>
      </c>
      <c r="Q20" s="72">
        <f>'A2-FinPerf SC'!K20</f>
        <v>0</v>
      </c>
      <c r="R20" s="322"/>
    </row>
    <row r="21" spans="1:18" ht="11.25" customHeight="1" x14ac:dyDescent="0.25">
      <c r="A21" s="226" t="str">
        <f>'A2-FinPerf SC'!A21</f>
        <v>Water management</v>
      </c>
      <c r="B21" s="2024"/>
      <c r="C21" s="725">
        <f t="shared" si="8"/>
        <v>0</v>
      </c>
      <c r="D21" s="712">
        <f t="shared" si="8"/>
        <v>0</v>
      </c>
      <c r="E21" s="712">
        <f t="shared" si="8"/>
        <v>0</v>
      </c>
      <c r="F21" s="712">
        <f t="shared" si="8"/>
        <v>0</v>
      </c>
      <c r="G21" s="712">
        <f t="shared" si="8"/>
        <v>0</v>
      </c>
      <c r="H21" s="712">
        <f t="shared" si="8"/>
        <v>0</v>
      </c>
      <c r="I21" s="712">
        <f t="shared" si="8"/>
        <v>0</v>
      </c>
      <c r="J21" s="712">
        <f t="shared" si="8"/>
        <v>0</v>
      </c>
      <c r="K21" s="712">
        <f t="shared" si="8"/>
        <v>0</v>
      </c>
      <c r="L21" s="712">
        <f t="shared" si="8"/>
        <v>0</v>
      </c>
      <c r="M21" s="712">
        <f t="shared" si="8"/>
        <v>0</v>
      </c>
      <c r="N21" s="178">
        <f t="shared" si="1"/>
        <v>0</v>
      </c>
      <c r="O21" s="179">
        <f>'A2-FinPerf SC'!I21</f>
        <v>0</v>
      </c>
      <c r="P21" s="71">
        <f>'A2-FinPerf SC'!J21</f>
        <v>0</v>
      </c>
      <c r="Q21" s="72">
        <f>'A2-FinPerf SC'!K21</f>
        <v>0</v>
      </c>
      <c r="R21" s="322"/>
    </row>
    <row r="22" spans="1:18" ht="11.25" customHeight="1" x14ac:dyDescent="0.25">
      <c r="A22" s="226" t="str">
        <f>'A2-FinPerf SC'!A22</f>
        <v>Waste water management</v>
      </c>
      <c r="B22" s="2024"/>
      <c r="C22" s="725">
        <f t="shared" si="8"/>
        <v>0</v>
      </c>
      <c r="D22" s="712">
        <f t="shared" si="8"/>
        <v>0</v>
      </c>
      <c r="E22" s="712">
        <f t="shared" si="8"/>
        <v>0</v>
      </c>
      <c r="F22" s="712">
        <f t="shared" si="8"/>
        <v>0</v>
      </c>
      <c r="G22" s="712">
        <f t="shared" si="8"/>
        <v>0</v>
      </c>
      <c r="H22" s="712">
        <f t="shared" si="8"/>
        <v>0</v>
      </c>
      <c r="I22" s="712">
        <f t="shared" si="8"/>
        <v>0</v>
      </c>
      <c r="J22" s="712">
        <f t="shared" si="8"/>
        <v>0</v>
      </c>
      <c r="K22" s="712">
        <f t="shared" si="8"/>
        <v>0</v>
      </c>
      <c r="L22" s="712">
        <f t="shared" si="8"/>
        <v>0</v>
      </c>
      <c r="M22" s="712">
        <f t="shared" si="8"/>
        <v>0</v>
      </c>
      <c r="N22" s="178">
        <f t="shared" si="1"/>
        <v>0</v>
      </c>
      <c r="O22" s="179">
        <f>'A2-FinPerf SC'!I22</f>
        <v>0</v>
      </c>
      <c r="P22" s="71">
        <f>'A2-FinPerf SC'!J22</f>
        <v>0</v>
      </c>
      <c r="Q22" s="72">
        <f>'A2-FinPerf SC'!K22</f>
        <v>0</v>
      </c>
      <c r="R22" s="322"/>
    </row>
    <row r="23" spans="1:18" ht="11.25" customHeight="1" x14ac:dyDescent="0.25">
      <c r="A23" s="226" t="str">
        <f>'A2-FinPerf SC'!A23</f>
        <v>Waste management</v>
      </c>
      <c r="B23" s="2024"/>
      <c r="C23" s="725">
        <f t="shared" si="8"/>
        <v>49724</v>
      </c>
      <c r="D23" s="712">
        <f t="shared" si="8"/>
        <v>49724</v>
      </c>
      <c r="E23" s="712">
        <f t="shared" si="8"/>
        <v>49724</v>
      </c>
      <c r="F23" s="712">
        <f t="shared" si="8"/>
        <v>49724</v>
      </c>
      <c r="G23" s="712">
        <f t="shared" si="8"/>
        <v>49724</v>
      </c>
      <c r="H23" s="712">
        <f t="shared" si="8"/>
        <v>49724</v>
      </c>
      <c r="I23" s="712">
        <f t="shared" si="8"/>
        <v>49724</v>
      </c>
      <c r="J23" s="712">
        <f t="shared" si="8"/>
        <v>49724</v>
      </c>
      <c r="K23" s="712">
        <f t="shared" si="8"/>
        <v>49724</v>
      </c>
      <c r="L23" s="712">
        <f t="shared" si="8"/>
        <v>49724</v>
      </c>
      <c r="M23" s="712">
        <f t="shared" si="8"/>
        <v>49724</v>
      </c>
      <c r="N23" s="178">
        <f t="shared" si="1"/>
        <v>49720</v>
      </c>
      <c r="O23" s="179">
        <f>'A2-FinPerf SC'!I23</f>
        <v>596684</v>
      </c>
      <c r="P23" s="71">
        <f>'A2-FinPerf SC'!J23</f>
        <v>620552</v>
      </c>
      <c r="Q23" s="72">
        <f>'A2-FinPerf SC'!K23</f>
        <v>645374</v>
      </c>
      <c r="R23" s="322"/>
    </row>
    <row r="24" spans="1:18" ht="11.25" customHeight="1" x14ac:dyDescent="0.25">
      <c r="A24" s="225" t="str">
        <f>'A2-FinPerf SC'!A24</f>
        <v>Other</v>
      </c>
      <c r="B24" s="2024"/>
      <c r="C24" s="725">
        <f t="shared" si="8"/>
        <v>616673</v>
      </c>
      <c r="D24" s="712">
        <f t="shared" si="8"/>
        <v>616673</v>
      </c>
      <c r="E24" s="712">
        <f t="shared" si="8"/>
        <v>616673</v>
      </c>
      <c r="F24" s="712">
        <f t="shared" si="8"/>
        <v>616673</v>
      </c>
      <c r="G24" s="712">
        <f t="shared" si="8"/>
        <v>616673</v>
      </c>
      <c r="H24" s="712">
        <f t="shared" si="8"/>
        <v>616673</v>
      </c>
      <c r="I24" s="712">
        <f t="shared" si="8"/>
        <v>616673</v>
      </c>
      <c r="J24" s="712">
        <f t="shared" si="8"/>
        <v>616673</v>
      </c>
      <c r="K24" s="712">
        <f t="shared" si="8"/>
        <v>616673</v>
      </c>
      <c r="L24" s="712">
        <f t="shared" si="8"/>
        <v>616673</v>
      </c>
      <c r="M24" s="712">
        <f t="shared" si="8"/>
        <v>616673</v>
      </c>
      <c r="N24" s="742">
        <f t="shared" si="1"/>
        <v>616678</v>
      </c>
      <c r="O24" s="743">
        <f>'A2-FinPerf SC'!I24</f>
        <v>7400081</v>
      </c>
      <c r="P24" s="98">
        <f>'A2-FinPerf SC'!J24</f>
        <v>7696084</v>
      </c>
      <c r="Q24" s="99">
        <f>'A2-FinPerf SC'!K24</f>
        <v>8003928</v>
      </c>
      <c r="R24" s="322"/>
    </row>
    <row r="25" spans="1:18" x14ac:dyDescent="0.25">
      <c r="A25" s="145" t="str">
        <f>'A2-FinPerf SC'!A25</f>
        <v>Total Revenue - Functional</v>
      </c>
      <c r="B25" s="2025"/>
      <c r="C25" s="924">
        <f t="shared" ref="C25:Q25" si="9">C5+C9+C15+C19+C24</f>
        <v>11286928</v>
      </c>
      <c r="D25" s="106">
        <f t="shared" si="9"/>
        <v>11286928</v>
      </c>
      <c r="E25" s="106">
        <f t="shared" si="9"/>
        <v>11286928</v>
      </c>
      <c r="F25" s="106">
        <f t="shared" si="9"/>
        <v>11286928</v>
      </c>
      <c r="G25" s="106">
        <f t="shared" si="9"/>
        <v>11286928</v>
      </c>
      <c r="H25" s="106">
        <f t="shared" si="9"/>
        <v>11286928</v>
      </c>
      <c r="I25" s="106">
        <f t="shared" si="9"/>
        <v>11286928</v>
      </c>
      <c r="J25" s="106">
        <f t="shared" si="9"/>
        <v>11286928</v>
      </c>
      <c r="K25" s="106">
        <f t="shared" si="9"/>
        <v>11286928</v>
      </c>
      <c r="L25" s="106">
        <f t="shared" si="9"/>
        <v>11286928</v>
      </c>
      <c r="M25" s="106">
        <f t="shared" si="9"/>
        <v>11286928</v>
      </c>
      <c r="N25" s="106">
        <f t="shared" si="9"/>
        <v>11286914</v>
      </c>
      <c r="O25" s="666">
        <f t="shared" si="9"/>
        <v>135443122</v>
      </c>
      <c r="P25" s="535">
        <f t="shared" si="9"/>
        <v>142603640</v>
      </c>
      <c r="Q25" s="665">
        <f t="shared" si="9"/>
        <v>145753424</v>
      </c>
      <c r="R25" s="322"/>
    </row>
    <row r="26" spans="1:18" ht="4.9000000000000004" hidden="1" customHeight="1" x14ac:dyDescent="0.25">
      <c r="A26" s="116"/>
      <c r="B26" s="2024"/>
      <c r="C26" s="179"/>
      <c r="D26" s="177">
        <f t="shared" ref="D26:L26" si="10">D6+D10+D16+D20+D25</f>
        <v>11526424</v>
      </c>
      <c r="E26" s="177">
        <f t="shared" si="10"/>
        <v>11526424</v>
      </c>
      <c r="F26" s="177">
        <f t="shared" si="10"/>
        <v>11526424</v>
      </c>
      <c r="G26" s="177">
        <f t="shared" si="10"/>
        <v>11526424</v>
      </c>
      <c r="H26" s="177">
        <f t="shared" si="10"/>
        <v>11526424</v>
      </c>
      <c r="I26" s="177">
        <f t="shared" si="10"/>
        <v>11526424</v>
      </c>
      <c r="J26" s="177">
        <f t="shared" si="10"/>
        <v>11526424</v>
      </c>
      <c r="K26" s="177">
        <f t="shared" si="10"/>
        <v>11526424</v>
      </c>
      <c r="L26" s="177">
        <f t="shared" si="10"/>
        <v>11526424</v>
      </c>
      <c r="M26" s="177">
        <f>M6+M10+M16+M20+M25</f>
        <v>11526424</v>
      </c>
      <c r="N26" s="178"/>
      <c r="O26" s="179"/>
      <c r="P26" s="177"/>
      <c r="Q26" s="178"/>
      <c r="R26" s="322"/>
    </row>
    <row r="27" spans="1:18" x14ac:dyDescent="0.25">
      <c r="A27" s="96" t="str">
        <f>'A2-FinPerf SC'!A27</f>
        <v>Expenditure - Functional</v>
      </c>
      <c r="B27" s="2026"/>
      <c r="C27" s="179"/>
      <c r="D27" s="177"/>
      <c r="E27" s="177"/>
      <c r="F27" s="177"/>
      <c r="G27" s="177"/>
      <c r="H27" s="177"/>
      <c r="I27" s="177"/>
      <c r="J27" s="177"/>
      <c r="K27" s="177"/>
      <c r="L27" s="177"/>
      <c r="M27" s="177"/>
      <c r="N27" s="178"/>
      <c r="O27" s="179"/>
      <c r="P27" s="177"/>
      <c r="Q27" s="178"/>
      <c r="R27" s="322"/>
    </row>
    <row r="28" spans="1:18" ht="11.25" customHeight="1" x14ac:dyDescent="0.25">
      <c r="A28" s="225" t="str">
        <f>'A2-FinPerf SC'!A28</f>
        <v>Governance and administration</v>
      </c>
      <c r="B28" s="2024"/>
      <c r="C28" s="100">
        <f>SUM(C29:C31)</f>
        <v>7084481</v>
      </c>
      <c r="D28" s="98">
        <f>SUM(D29:D31)</f>
        <v>7084481</v>
      </c>
      <c r="E28" s="98">
        <f t="shared" ref="E28:M28" si="11">SUM(E29:E31)</f>
        <v>7084481</v>
      </c>
      <c r="F28" s="98">
        <f t="shared" si="11"/>
        <v>7084481</v>
      </c>
      <c r="G28" s="98">
        <f t="shared" si="11"/>
        <v>7084481</v>
      </c>
      <c r="H28" s="98">
        <f t="shared" si="11"/>
        <v>7084481</v>
      </c>
      <c r="I28" s="98">
        <f t="shared" si="11"/>
        <v>7084481</v>
      </c>
      <c r="J28" s="98">
        <f t="shared" si="11"/>
        <v>7084481</v>
      </c>
      <c r="K28" s="98">
        <f t="shared" si="11"/>
        <v>7084481</v>
      </c>
      <c r="L28" s="98">
        <f t="shared" si="11"/>
        <v>7084481</v>
      </c>
      <c r="M28" s="98">
        <f t="shared" si="11"/>
        <v>7084481</v>
      </c>
      <c r="N28" s="742">
        <f t="shared" ref="N28:N37" si="12">O28-SUM(C28:M28)</f>
        <v>7084484</v>
      </c>
      <c r="O28" s="743">
        <f>'A2-FinPerf SC'!I28</f>
        <v>85013775</v>
      </c>
      <c r="P28" s="545">
        <f>'A2-FinPerf SC'!J28</f>
        <v>74755494</v>
      </c>
      <c r="Q28" s="742">
        <f>'A2-FinPerf SC'!K28</f>
        <v>82478009</v>
      </c>
      <c r="R28" s="322"/>
    </row>
    <row r="29" spans="1:18" ht="11.25" customHeight="1" x14ac:dyDescent="0.25">
      <c r="A29" s="226" t="str">
        <f>'A2-FinPerf SC'!A29</f>
        <v>Executive and council</v>
      </c>
      <c r="B29" s="2024"/>
      <c r="C29" s="725">
        <f t="shared" ref="C29:M31" si="13">ROUND($O29/12,0)</f>
        <v>1873382</v>
      </c>
      <c r="D29" s="712">
        <f t="shared" si="13"/>
        <v>1873382</v>
      </c>
      <c r="E29" s="712">
        <f t="shared" si="13"/>
        <v>1873382</v>
      </c>
      <c r="F29" s="712">
        <f t="shared" si="13"/>
        <v>1873382</v>
      </c>
      <c r="G29" s="712">
        <f t="shared" si="13"/>
        <v>1873382</v>
      </c>
      <c r="H29" s="712">
        <f t="shared" si="13"/>
        <v>1873382</v>
      </c>
      <c r="I29" s="712">
        <f t="shared" si="13"/>
        <v>1873382</v>
      </c>
      <c r="J29" s="712">
        <f t="shared" si="13"/>
        <v>1873382</v>
      </c>
      <c r="K29" s="712">
        <f t="shared" si="13"/>
        <v>1873382</v>
      </c>
      <c r="L29" s="712">
        <f t="shared" si="13"/>
        <v>1873382</v>
      </c>
      <c r="M29" s="712">
        <f t="shared" si="13"/>
        <v>1873382</v>
      </c>
      <c r="N29" s="178">
        <f t="shared" si="12"/>
        <v>1873387</v>
      </c>
      <c r="O29" s="179">
        <f>'A2-FinPerf SC'!I29</f>
        <v>22480589</v>
      </c>
      <c r="P29" s="177">
        <f>'A2-FinPerf SC'!J29</f>
        <v>19014269</v>
      </c>
      <c r="Q29" s="178">
        <f>'A2-FinPerf SC'!K29</f>
        <v>23013871</v>
      </c>
      <c r="R29" s="322"/>
    </row>
    <row r="30" spans="1:18" ht="11.25" customHeight="1" x14ac:dyDescent="0.25">
      <c r="A30" s="226" t="str">
        <f>'A2-FinPerf SC'!A30</f>
        <v>Finance and administration</v>
      </c>
      <c r="B30" s="2024"/>
      <c r="C30" s="725">
        <f t="shared" si="13"/>
        <v>5211099</v>
      </c>
      <c r="D30" s="712">
        <f t="shared" si="13"/>
        <v>5211099</v>
      </c>
      <c r="E30" s="712">
        <f t="shared" si="13"/>
        <v>5211099</v>
      </c>
      <c r="F30" s="712">
        <f t="shared" si="13"/>
        <v>5211099</v>
      </c>
      <c r="G30" s="712">
        <f t="shared" si="13"/>
        <v>5211099</v>
      </c>
      <c r="H30" s="712">
        <f t="shared" si="13"/>
        <v>5211099</v>
      </c>
      <c r="I30" s="712">
        <f t="shared" si="13"/>
        <v>5211099</v>
      </c>
      <c r="J30" s="712">
        <f t="shared" si="13"/>
        <v>5211099</v>
      </c>
      <c r="K30" s="712">
        <f t="shared" si="13"/>
        <v>5211099</v>
      </c>
      <c r="L30" s="712">
        <f t="shared" si="13"/>
        <v>5211099</v>
      </c>
      <c r="M30" s="712">
        <f t="shared" si="13"/>
        <v>5211099</v>
      </c>
      <c r="N30" s="178">
        <f t="shared" si="12"/>
        <v>5211097</v>
      </c>
      <c r="O30" s="179">
        <f>'A2-FinPerf SC'!I30</f>
        <v>62533186</v>
      </c>
      <c r="P30" s="177">
        <f>'A2-FinPerf SC'!J30</f>
        <v>55741225</v>
      </c>
      <c r="Q30" s="178">
        <f>'A2-FinPerf SC'!K30</f>
        <v>59464138</v>
      </c>
      <c r="R30" s="322"/>
    </row>
    <row r="31" spans="1:18" ht="11.25" customHeight="1" x14ac:dyDescent="0.25">
      <c r="A31" s="226" t="str">
        <f>'A2-FinPerf SC'!A31</f>
        <v>Internal audit</v>
      </c>
      <c r="B31" s="2024"/>
      <c r="C31" s="725">
        <f t="shared" si="13"/>
        <v>0</v>
      </c>
      <c r="D31" s="712">
        <f t="shared" si="13"/>
        <v>0</v>
      </c>
      <c r="E31" s="712">
        <f t="shared" si="13"/>
        <v>0</v>
      </c>
      <c r="F31" s="712">
        <f t="shared" si="13"/>
        <v>0</v>
      </c>
      <c r="G31" s="712">
        <f t="shared" si="13"/>
        <v>0</v>
      </c>
      <c r="H31" s="712">
        <f t="shared" si="13"/>
        <v>0</v>
      </c>
      <c r="I31" s="712">
        <f t="shared" si="13"/>
        <v>0</v>
      </c>
      <c r="J31" s="712">
        <f t="shared" si="13"/>
        <v>0</v>
      </c>
      <c r="K31" s="712">
        <f t="shared" si="13"/>
        <v>0</v>
      </c>
      <c r="L31" s="712">
        <f t="shared" si="13"/>
        <v>0</v>
      </c>
      <c r="M31" s="712">
        <f t="shared" si="13"/>
        <v>0</v>
      </c>
      <c r="N31" s="178">
        <f t="shared" si="12"/>
        <v>0</v>
      </c>
      <c r="O31" s="179">
        <f>'A2-FinPerf SC'!I31</f>
        <v>0</v>
      </c>
      <c r="P31" s="177">
        <f>'A2-FinPerf SC'!J31</f>
        <v>0</v>
      </c>
      <c r="Q31" s="178">
        <f>'A2-FinPerf SC'!K31</f>
        <v>0</v>
      </c>
      <c r="R31" s="322"/>
    </row>
    <row r="32" spans="1:18" ht="11.25" customHeight="1" x14ac:dyDescent="0.25">
      <c r="A32" s="225" t="str">
        <f>'A2-FinPerf SC'!A32</f>
        <v>Community and public safety</v>
      </c>
      <c r="B32" s="2024"/>
      <c r="C32" s="100">
        <f>SUM(C33:C37)</f>
        <v>2578907</v>
      </c>
      <c r="D32" s="98">
        <f t="shared" ref="D32:M32" si="14">SUM(D33:D37)</f>
        <v>2578907</v>
      </c>
      <c r="E32" s="98">
        <f t="shared" si="14"/>
        <v>2578907</v>
      </c>
      <c r="F32" s="98">
        <f t="shared" si="14"/>
        <v>2578907</v>
      </c>
      <c r="G32" s="98">
        <f t="shared" si="14"/>
        <v>2578907</v>
      </c>
      <c r="H32" s="98">
        <f t="shared" si="14"/>
        <v>2578907</v>
      </c>
      <c r="I32" s="98">
        <f t="shared" si="14"/>
        <v>2578907</v>
      </c>
      <c r="J32" s="98">
        <f t="shared" si="14"/>
        <v>2578907</v>
      </c>
      <c r="K32" s="98">
        <f t="shared" si="14"/>
        <v>2578907</v>
      </c>
      <c r="L32" s="98">
        <f t="shared" si="14"/>
        <v>2578907</v>
      </c>
      <c r="M32" s="98">
        <f t="shared" si="14"/>
        <v>2578907</v>
      </c>
      <c r="N32" s="742">
        <f t="shared" si="12"/>
        <v>2578910</v>
      </c>
      <c r="O32" s="743">
        <f>'A2-FinPerf SC'!I32</f>
        <v>30946887</v>
      </c>
      <c r="P32" s="545">
        <f>'A2-FinPerf SC'!J32</f>
        <v>29142365</v>
      </c>
      <c r="Q32" s="742">
        <f>'A2-FinPerf SC'!K32</f>
        <v>30845633</v>
      </c>
      <c r="R32" s="322"/>
    </row>
    <row r="33" spans="1:18" ht="11.25" customHeight="1" x14ac:dyDescent="0.25">
      <c r="A33" s="226" t="str">
        <f>'A2-FinPerf SC'!A33</f>
        <v>Community and social services</v>
      </c>
      <c r="B33" s="2024"/>
      <c r="C33" s="725">
        <f t="shared" ref="C33:M37" si="15">ROUND($O33/12,0)</f>
        <v>2261407</v>
      </c>
      <c r="D33" s="712">
        <f t="shared" si="15"/>
        <v>2261407</v>
      </c>
      <c r="E33" s="712">
        <f t="shared" si="15"/>
        <v>2261407</v>
      </c>
      <c r="F33" s="712">
        <f t="shared" si="15"/>
        <v>2261407</v>
      </c>
      <c r="G33" s="712">
        <f t="shared" si="15"/>
        <v>2261407</v>
      </c>
      <c r="H33" s="712">
        <f t="shared" si="15"/>
        <v>2261407</v>
      </c>
      <c r="I33" s="712">
        <f t="shared" si="15"/>
        <v>2261407</v>
      </c>
      <c r="J33" s="712">
        <f t="shared" si="15"/>
        <v>2261407</v>
      </c>
      <c r="K33" s="712">
        <f t="shared" si="15"/>
        <v>2261407</v>
      </c>
      <c r="L33" s="712">
        <f t="shared" si="15"/>
        <v>2261407</v>
      </c>
      <c r="M33" s="712">
        <f t="shared" si="15"/>
        <v>2261407</v>
      </c>
      <c r="N33" s="178">
        <f t="shared" si="12"/>
        <v>2261410</v>
      </c>
      <c r="O33" s="179">
        <f>'A2-FinPerf SC'!I33</f>
        <v>27136887</v>
      </c>
      <c r="P33" s="177">
        <f>'A2-FinPerf SC'!J33</f>
        <v>25550498</v>
      </c>
      <c r="Q33" s="178">
        <f>'A2-FinPerf SC'!K33</f>
        <v>27061093</v>
      </c>
      <c r="R33" s="322"/>
    </row>
    <row r="34" spans="1:18" ht="11.25" customHeight="1" x14ac:dyDescent="0.25">
      <c r="A34" s="226" t="str">
        <f>'A2-FinPerf SC'!A34</f>
        <v>Sport and recreation</v>
      </c>
      <c r="B34" s="2024"/>
      <c r="C34" s="725">
        <f t="shared" si="15"/>
        <v>289167</v>
      </c>
      <c r="D34" s="712">
        <f t="shared" si="15"/>
        <v>289167</v>
      </c>
      <c r="E34" s="712">
        <f t="shared" si="15"/>
        <v>289167</v>
      </c>
      <c r="F34" s="712">
        <f t="shared" si="15"/>
        <v>289167</v>
      </c>
      <c r="G34" s="712">
        <f t="shared" si="15"/>
        <v>289167</v>
      </c>
      <c r="H34" s="712">
        <f t="shared" si="15"/>
        <v>289167</v>
      </c>
      <c r="I34" s="712">
        <f t="shared" si="15"/>
        <v>289167</v>
      </c>
      <c r="J34" s="712">
        <f t="shared" si="15"/>
        <v>289167</v>
      </c>
      <c r="K34" s="712">
        <f t="shared" si="15"/>
        <v>289167</v>
      </c>
      <c r="L34" s="712">
        <f t="shared" si="15"/>
        <v>289167</v>
      </c>
      <c r="M34" s="712">
        <f t="shared" si="15"/>
        <v>289167</v>
      </c>
      <c r="N34" s="178">
        <f t="shared" si="12"/>
        <v>289163</v>
      </c>
      <c r="O34" s="179">
        <f>'A2-FinPerf SC'!I34</f>
        <v>3470000</v>
      </c>
      <c r="P34" s="177">
        <f>'A2-FinPerf SC'!J34</f>
        <v>3282800</v>
      </c>
      <c r="Q34" s="178">
        <f>'A2-FinPerf SC'!K34</f>
        <v>3463112</v>
      </c>
      <c r="R34" s="322"/>
    </row>
    <row r="35" spans="1:18" ht="11.25" customHeight="1" x14ac:dyDescent="0.25">
      <c r="A35" s="226" t="str">
        <f>'A2-FinPerf SC'!A35</f>
        <v>Public safety</v>
      </c>
      <c r="B35" s="2024"/>
      <c r="C35" s="725">
        <f t="shared" si="15"/>
        <v>0</v>
      </c>
      <c r="D35" s="712">
        <f t="shared" si="15"/>
        <v>0</v>
      </c>
      <c r="E35" s="712">
        <f t="shared" si="15"/>
        <v>0</v>
      </c>
      <c r="F35" s="712">
        <f t="shared" si="15"/>
        <v>0</v>
      </c>
      <c r="G35" s="712">
        <f t="shared" si="15"/>
        <v>0</v>
      </c>
      <c r="H35" s="712">
        <f t="shared" si="15"/>
        <v>0</v>
      </c>
      <c r="I35" s="712">
        <f t="shared" si="15"/>
        <v>0</v>
      </c>
      <c r="J35" s="712">
        <f t="shared" si="15"/>
        <v>0</v>
      </c>
      <c r="K35" s="712">
        <f t="shared" si="15"/>
        <v>0</v>
      </c>
      <c r="L35" s="712">
        <f t="shared" si="15"/>
        <v>0</v>
      </c>
      <c r="M35" s="712">
        <f t="shared" si="15"/>
        <v>0</v>
      </c>
      <c r="N35" s="178">
        <f t="shared" si="12"/>
        <v>0</v>
      </c>
      <c r="O35" s="179">
        <f>'A2-FinPerf SC'!I35</f>
        <v>0</v>
      </c>
      <c r="P35" s="177">
        <f>'A2-FinPerf SC'!J35</f>
        <v>0</v>
      </c>
      <c r="Q35" s="178">
        <f>'A2-FinPerf SC'!K35</f>
        <v>0</v>
      </c>
      <c r="R35" s="322"/>
    </row>
    <row r="36" spans="1:18" ht="11.25" customHeight="1" x14ac:dyDescent="0.25">
      <c r="A36" s="226" t="str">
        <f>'A2-FinPerf SC'!A36</f>
        <v>Housing</v>
      </c>
      <c r="B36" s="2024"/>
      <c r="C36" s="725">
        <f t="shared" si="15"/>
        <v>0</v>
      </c>
      <c r="D36" s="712">
        <f t="shared" si="15"/>
        <v>0</v>
      </c>
      <c r="E36" s="712">
        <f t="shared" si="15"/>
        <v>0</v>
      </c>
      <c r="F36" s="712">
        <f t="shared" si="15"/>
        <v>0</v>
      </c>
      <c r="G36" s="712">
        <f t="shared" si="15"/>
        <v>0</v>
      </c>
      <c r="H36" s="712">
        <f t="shared" si="15"/>
        <v>0</v>
      </c>
      <c r="I36" s="712">
        <f t="shared" si="15"/>
        <v>0</v>
      </c>
      <c r="J36" s="712">
        <f t="shared" si="15"/>
        <v>0</v>
      </c>
      <c r="K36" s="712">
        <f t="shared" si="15"/>
        <v>0</v>
      </c>
      <c r="L36" s="712">
        <f t="shared" si="15"/>
        <v>0</v>
      </c>
      <c r="M36" s="712">
        <f t="shared" si="15"/>
        <v>0</v>
      </c>
      <c r="N36" s="178">
        <f t="shared" si="12"/>
        <v>0</v>
      </c>
      <c r="O36" s="179">
        <f>'A2-FinPerf SC'!I36</f>
        <v>0</v>
      </c>
      <c r="P36" s="177">
        <f>'A2-FinPerf SC'!J36</f>
        <v>0</v>
      </c>
      <c r="Q36" s="178">
        <f>'A2-FinPerf SC'!K36</f>
        <v>0</v>
      </c>
      <c r="R36" s="322"/>
    </row>
    <row r="37" spans="1:18" ht="11.25" customHeight="1" x14ac:dyDescent="0.25">
      <c r="A37" s="226" t="str">
        <f>'A2-FinPerf SC'!A37</f>
        <v>Health</v>
      </c>
      <c r="B37" s="2024"/>
      <c r="C37" s="725">
        <f t="shared" si="15"/>
        <v>28333</v>
      </c>
      <c r="D37" s="712">
        <f t="shared" si="15"/>
        <v>28333</v>
      </c>
      <c r="E37" s="712">
        <f t="shared" si="15"/>
        <v>28333</v>
      </c>
      <c r="F37" s="712">
        <f t="shared" si="15"/>
        <v>28333</v>
      </c>
      <c r="G37" s="712">
        <f t="shared" si="15"/>
        <v>28333</v>
      </c>
      <c r="H37" s="712">
        <f t="shared" si="15"/>
        <v>28333</v>
      </c>
      <c r="I37" s="712">
        <f t="shared" si="15"/>
        <v>28333</v>
      </c>
      <c r="J37" s="712">
        <f t="shared" si="15"/>
        <v>28333</v>
      </c>
      <c r="K37" s="712">
        <f t="shared" si="15"/>
        <v>28333</v>
      </c>
      <c r="L37" s="712">
        <f t="shared" si="15"/>
        <v>28333</v>
      </c>
      <c r="M37" s="712">
        <f t="shared" si="15"/>
        <v>28333</v>
      </c>
      <c r="N37" s="178">
        <f t="shared" si="12"/>
        <v>28337</v>
      </c>
      <c r="O37" s="179">
        <f>'A2-FinPerf SC'!I37</f>
        <v>340000</v>
      </c>
      <c r="P37" s="177">
        <f>'A2-FinPerf SC'!J37</f>
        <v>309067</v>
      </c>
      <c r="Q37" s="178">
        <f>'A2-FinPerf SC'!K37</f>
        <v>321428</v>
      </c>
      <c r="R37" s="322"/>
    </row>
    <row r="38" spans="1:18" ht="11.25" customHeight="1" x14ac:dyDescent="0.25">
      <c r="A38" s="225" t="str">
        <f>'A2-FinPerf SC'!A38</f>
        <v>Economic and environmental services</v>
      </c>
      <c r="B38" s="2024"/>
      <c r="C38" s="100">
        <f>SUM(C39:C41)</f>
        <v>1444309</v>
      </c>
      <c r="D38" s="98">
        <f t="shared" ref="D38:M38" si="16">SUM(D39:D41)</f>
        <v>1444309</v>
      </c>
      <c r="E38" s="98">
        <f t="shared" si="16"/>
        <v>1444309</v>
      </c>
      <c r="F38" s="98">
        <f t="shared" si="16"/>
        <v>1444309</v>
      </c>
      <c r="G38" s="98">
        <f t="shared" si="16"/>
        <v>1444309</v>
      </c>
      <c r="H38" s="98">
        <f t="shared" si="16"/>
        <v>1444309</v>
      </c>
      <c r="I38" s="98">
        <f t="shared" si="16"/>
        <v>1444309</v>
      </c>
      <c r="J38" s="98">
        <f t="shared" si="16"/>
        <v>1444309</v>
      </c>
      <c r="K38" s="98">
        <f t="shared" si="16"/>
        <v>1444309</v>
      </c>
      <c r="L38" s="98">
        <f t="shared" si="16"/>
        <v>1444309</v>
      </c>
      <c r="M38" s="98">
        <f t="shared" si="16"/>
        <v>1444309</v>
      </c>
      <c r="N38" s="742">
        <f t="shared" ref="N38:N47" si="17">O38-SUM(C38:M38)</f>
        <v>1444302</v>
      </c>
      <c r="O38" s="743">
        <f>'A2-FinPerf SC'!I38</f>
        <v>17331701</v>
      </c>
      <c r="P38" s="545">
        <f>'A2-FinPerf SC'!J38</f>
        <v>22463573</v>
      </c>
      <c r="Q38" s="742">
        <f>'A2-FinPerf SC'!K38</f>
        <v>23390292</v>
      </c>
      <c r="R38" s="322"/>
    </row>
    <row r="39" spans="1:18" ht="11.25" customHeight="1" x14ac:dyDescent="0.25">
      <c r="A39" s="226" t="str">
        <f>'A2-FinPerf SC'!A39</f>
        <v>Planning and development</v>
      </c>
      <c r="B39" s="2024"/>
      <c r="C39" s="725">
        <f t="shared" ref="C39:M41" si="18">ROUND($O39/12,0)</f>
        <v>47642</v>
      </c>
      <c r="D39" s="712">
        <f t="shared" si="18"/>
        <v>47642</v>
      </c>
      <c r="E39" s="712">
        <f t="shared" si="18"/>
        <v>47642</v>
      </c>
      <c r="F39" s="712">
        <f t="shared" si="18"/>
        <v>47642</v>
      </c>
      <c r="G39" s="712">
        <f t="shared" si="18"/>
        <v>47642</v>
      </c>
      <c r="H39" s="712">
        <f t="shared" si="18"/>
        <v>47642</v>
      </c>
      <c r="I39" s="712">
        <f t="shared" si="18"/>
        <v>47642</v>
      </c>
      <c r="J39" s="712">
        <f t="shared" si="18"/>
        <v>47642</v>
      </c>
      <c r="K39" s="712">
        <f t="shared" si="18"/>
        <v>47642</v>
      </c>
      <c r="L39" s="712">
        <f t="shared" si="18"/>
        <v>47642</v>
      </c>
      <c r="M39" s="712">
        <f t="shared" si="18"/>
        <v>47642</v>
      </c>
      <c r="N39" s="178">
        <f t="shared" si="17"/>
        <v>47638</v>
      </c>
      <c r="O39" s="179">
        <f>'A2-FinPerf SC'!I39</f>
        <v>571700</v>
      </c>
      <c r="P39" s="177">
        <f>'A2-FinPerf SC'!J39</f>
        <v>594568</v>
      </c>
      <c r="Q39" s="178">
        <f>'A2-FinPerf SC'!K39</f>
        <v>611216</v>
      </c>
      <c r="R39" s="322"/>
    </row>
    <row r="40" spans="1:18" ht="11.25" customHeight="1" x14ac:dyDescent="0.25">
      <c r="A40" s="226" t="str">
        <f>'A2-FinPerf SC'!A40</f>
        <v>Road transport</v>
      </c>
      <c r="B40" s="2024"/>
      <c r="C40" s="725">
        <f t="shared" si="18"/>
        <v>1396667</v>
      </c>
      <c r="D40" s="712">
        <f t="shared" si="18"/>
        <v>1396667</v>
      </c>
      <c r="E40" s="712">
        <f t="shared" si="18"/>
        <v>1396667</v>
      </c>
      <c r="F40" s="712">
        <f t="shared" si="18"/>
        <v>1396667</v>
      </c>
      <c r="G40" s="712">
        <f t="shared" si="18"/>
        <v>1396667</v>
      </c>
      <c r="H40" s="712">
        <f t="shared" si="18"/>
        <v>1396667</v>
      </c>
      <c r="I40" s="712">
        <f t="shared" si="18"/>
        <v>1396667</v>
      </c>
      <c r="J40" s="712">
        <f t="shared" si="18"/>
        <v>1396667</v>
      </c>
      <c r="K40" s="712">
        <f t="shared" si="18"/>
        <v>1396667</v>
      </c>
      <c r="L40" s="712">
        <f t="shared" si="18"/>
        <v>1396667</v>
      </c>
      <c r="M40" s="712">
        <f t="shared" si="18"/>
        <v>1396667</v>
      </c>
      <c r="N40" s="178">
        <f t="shared" si="17"/>
        <v>1396664</v>
      </c>
      <c r="O40" s="179">
        <f>'A2-FinPerf SC'!I40</f>
        <v>16760001</v>
      </c>
      <c r="P40" s="177">
        <f>'A2-FinPerf SC'!J40</f>
        <v>21869005</v>
      </c>
      <c r="Q40" s="178">
        <f>'A2-FinPerf SC'!K40</f>
        <v>22779076</v>
      </c>
      <c r="R40" s="322"/>
    </row>
    <row r="41" spans="1:18" ht="11.25" customHeight="1" x14ac:dyDescent="0.25">
      <c r="A41" s="226" t="str">
        <f>'A2-FinPerf SC'!A41</f>
        <v>Environmental protection</v>
      </c>
      <c r="B41" s="2024"/>
      <c r="C41" s="725">
        <f t="shared" si="18"/>
        <v>0</v>
      </c>
      <c r="D41" s="712">
        <f t="shared" si="18"/>
        <v>0</v>
      </c>
      <c r="E41" s="712">
        <f t="shared" si="18"/>
        <v>0</v>
      </c>
      <c r="F41" s="712">
        <f t="shared" si="18"/>
        <v>0</v>
      </c>
      <c r="G41" s="712">
        <f t="shared" si="18"/>
        <v>0</v>
      </c>
      <c r="H41" s="712">
        <f t="shared" si="18"/>
        <v>0</v>
      </c>
      <c r="I41" s="712">
        <f t="shared" si="18"/>
        <v>0</v>
      </c>
      <c r="J41" s="712">
        <f t="shared" si="18"/>
        <v>0</v>
      </c>
      <c r="K41" s="712">
        <f t="shared" si="18"/>
        <v>0</v>
      </c>
      <c r="L41" s="712">
        <f t="shared" si="18"/>
        <v>0</v>
      </c>
      <c r="M41" s="712">
        <f t="shared" si="18"/>
        <v>0</v>
      </c>
      <c r="N41" s="178">
        <f t="shared" si="17"/>
        <v>0</v>
      </c>
      <c r="O41" s="179">
        <f>'A2-FinPerf SC'!I41</f>
        <v>0</v>
      </c>
      <c r="P41" s="177">
        <f>'A2-FinPerf SC'!J41</f>
        <v>0</v>
      </c>
      <c r="Q41" s="178">
        <f>'A2-FinPerf SC'!K41</f>
        <v>0</v>
      </c>
      <c r="R41" s="322"/>
    </row>
    <row r="42" spans="1:18" ht="11.25" customHeight="1" x14ac:dyDescent="0.25">
      <c r="A42" s="225" t="str">
        <f>'A2-FinPerf SC'!A42</f>
        <v>Trading services</v>
      </c>
      <c r="B42" s="2024"/>
      <c r="C42" s="100">
        <f>SUM(C43:C46)</f>
        <v>223750</v>
      </c>
      <c r="D42" s="98">
        <f t="shared" ref="D42:M42" si="19">SUM(D43:D46)</f>
        <v>223750</v>
      </c>
      <c r="E42" s="98">
        <f t="shared" si="19"/>
        <v>223750</v>
      </c>
      <c r="F42" s="98">
        <f t="shared" si="19"/>
        <v>223750</v>
      </c>
      <c r="G42" s="98">
        <f t="shared" si="19"/>
        <v>223750</v>
      </c>
      <c r="H42" s="98">
        <f t="shared" si="19"/>
        <v>223750</v>
      </c>
      <c r="I42" s="98">
        <f t="shared" si="19"/>
        <v>223750</v>
      </c>
      <c r="J42" s="98">
        <f t="shared" si="19"/>
        <v>223750</v>
      </c>
      <c r="K42" s="98">
        <f t="shared" si="19"/>
        <v>223750</v>
      </c>
      <c r="L42" s="98">
        <f t="shared" si="19"/>
        <v>223750</v>
      </c>
      <c r="M42" s="98">
        <f t="shared" si="19"/>
        <v>223750</v>
      </c>
      <c r="N42" s="742">
        <f>O42-SUM(C42:M42)</f>
        <v>223750</v>
      </c>
      <c r="O42" s="743">
        <f>'A2-FinPerf SC'!I42</f>
        <v>2685000</v>
      </c>
      <c r="P42" s="545">
        <f>'A2-FinPerf SC'!J42</f>
        <v>1961300</v>
      </c>
      <c r="Q42" s="742">
        <f>'A2-FinPerf SC'!K42</f>
        <v>2074099</v>
      </c>
      <c r="R42" s="322"/>
    </row>
    <row r="43" spans="1:18" ht="11.25" customHeight="1" x14ac:dyDescent="0.25">
      <c r="A43" s="226" t="str">
        <f>'A2-FinPerf SC'!A43</f>
        <v>Energy sources</v>
      </c>
      <c r="B43" s="2024"/>
      <c r="C43" s="725">
        <f t="shared" ref="C43:M47" si="20">ROUND($O43/12,0)</f>
        <v>0</v>
      </c>
      <c r="D43" s="712">
        <f t="shared" si="20"/>
        <v>0</v>
      </c>
      <c r="E43" s="712">
        <f t="shared" si="20"/>
        <v>0</v>
      </c>
      <c r="F43" s="712">
        <f t="shared" si="20"/>
        <v>0</v>
      </c>
      <c r="G43" s="712">
        <f t="shared" si="20"/>
        <v>0</v>
      </c>
      <c r="H43" s="712">
        <f t="shared" si="20"/>
        <v>0</v>
      </c>
      <c r="I43" s="712">
        <f t="shared" si="20"/>
        <v>0</v>
      </c>
      <c r="J43" s="712">
        <f t="shared" si="20"/>
        <v>0</v>
      </c>
      <c r="K43" s="712">
        <f t="shared" si="20"/>
        <v>0</v>
      </c>
      <c r="L43" s="712">
        <f t="shared" si="20"/>
        <v>0</v>
      </c>
      <c r="M43" s="712">
        <f t="shared" si="20"/>
        <v>0</v>
      </c>
      <c r="N43" s="178">
        <f t="shared" si="17"/>
        <v>0</v>
      </c>
      <c r="O43" s="179">
        <f>'A2-FinPerf SC'!I43</f>
        <v>0</v>
      </c>
      <c r="P43" s="177">
        <f>'A2-FinPerf SC'!J43</f>
        <v>0</v>
      </c>
      <c r="Q43" s="178">
        <f>'A2-FinPerf SC'!K43</f>
        <v>0</v>
      </c>
      <c r="R43" s="322"/>
    </row>
    <row r="44" spans="1:18" ht="11.25" customHeight="1" x14ac:dyDescent="0.25">
      <c r="A44" s="226" t="str">
        <f>'A2-FinPerf SC'!A44</f>
        <v>Water management</v>
      </c>
      <c r="B44" s="2024"/>
      <c r="C44" s="725">
        <f t="shared" si="20"/>
        <v>0</v>
      </c>
      <c r="D44" s="712">
        <f t="shared" si="20"/>
        <v>0</v>
      </c>
      <c r="E44" s="712">
        <f t="shared" si="20"/>
        <v>0</v>
      </c>
      <c r="F44" s="712">
        <f t="shared" si="20"/>
        <v>0</v>
      </c>
      <c r="G44" s="712">
        <f t="shared" si="20"/>
        <v>0</v>
      </c>
      <c r="H44" s="712">
        <f t="shared" si="20"/>
        <v>0</v>
      </c>
      <c r="I44" s="712">
        <f t="shared" si="20"/>
        <v>0</v>
      </c>
      <c r="J44" s="712">
        <f t="shared" si="20"/>
        <v>0</v>
      </c>
      <c r="K44" s="712">
        <f t="shared" si="20"/>
        <v>0</v>
      </c>
      <c r="L44" s="712">
        <f t="shared" si="20"/>
        <v>0</v>
      </c>
      <c r="M44" s="712">
        <f t="shared" si="20"/>
        <v>0</v>
      </c>
      <c r="N44" s="178">
        <f t="shared" si="17"/>
        <v>0</v>
      </c>
      <c r="O44" s="179">
        <f>'A2-FinPerf SC'!I44</f>
        <v>0</v>
      </c>
      <c r="P44" s="177">
        <f>'A2-FinPerf SC'!J44</f>
        <v>0</v>
      </c>
      <c r="Q44" s="178">
        <f>'A2-FinPerf SC'!K44</f>
        <v>0</v>
      </c>
      <c r="R44" s="322"/>
    </row>
    <row r="45" spans="1:18" ht="11.25" customHeight="1" x14ac:dyDescent="0.25">
      <c r="A45" s="226" t="str">
        <f>'A2-FinPerf SC'!A45</f>
        <v>Waste water management</v>
      </c>
      <c r="B45" s="2024"/>
      <c r="C45" s="725">
        <f t="shared" si="20"/>
        <v>0</v>
      </c>
      <c r="D45" s="712">
        <f t="shared" si="20"/>
        <v>0</v>
      </c>
      <c r="E45" s="712">
        <f t="shared" si="20"/>
        <v>0</v>
      </c>
      <c r="F45" s="712">
        <f t="shared" si="20"/>
        <v>0</v>
      </c>
      <c r="G45" s="712">
        <f t="shared" si="20"/>
        <v>0</v>
      </c>
      <c r="H45" s="712">
        <f t="shared" si="20"/>
        <v>0</v>
      </c>
      <c r="I45" s="712">
        <f t="shared" si="20"/>
        <v>0</v>
      </c>
      <c r="J45" s="712">
        <f t="shared" si="20"/>
        <v>0</v>
      </c>
      <c r="K45" s="712">
        <f t="shared" si="20"/>
        <v>0</v>
      </c>
      <c r="L45" s="712">
        <f t="shared" si="20"/>
        <v>0</v>
      </c>
      <c r="M45" s="712">
        <f t="shared" si="20"/>
        <v>0</v>
      </c>
      <c r="N45" s="178">
        <f t="shared" si="17"/>
        <v>0</v>
      </c>
      <c r="O45" s="179">
        <f>'A2-FinPerf SC'!I45</f>
        <v>0</v>
      </c>
      <c r="P45" s="177">
        <f>'A2-FinPerf SC'!J45</f>
        <v>0</v>
      </c>
      <c r="Q45" s="178">
        <f>'A2-FinPerf SC'!K45</f>
        <v>0</v>
      </c>
      <c r="R45" s="322"/>
    </row>
    <row r="46" spans="1:18" ht="11.25" customHeight="1" x14ac:dyDescent="0.25">
      <c r="A46" s="226" t="str">
        <f>'A2-FinPerf SC'!A46</f>
        <v>Waste management</v>
      </c>
      <c r="B46" s="2024"/>
      <c r="C46" s="725">
        <f t="shared" si="20"/>
        <v>223750</v>
      </c>
      <c r="D46" s="712">
        <f t="shared" si="20"/>
        <v>223750</v>
      </c>
      <c r="E46" s="712">
        <f t="shared" si="20"/>
        <v>223750</v>
      </c>
      <c r="F46" s="712">
        <f t="shared" si="20"/>
        <v>223750</v>
      </c>
      <c r="G46" s="712">
        <f t="shared" si="20"/>
        <v>223750</v>
      </c>
      <c r="H46" s="712">
        <f t="shared" si="20"/>
        <v>223750</v>
      </c>
      <c r="I46" s="712">
        <f t="shared" si="20"/>
        <v>223750</v>
      </c>
      <c r="J46" s="712">
        <f t="shared" si="20"/>
        <v>223750</v>
      </c>
      <c r="K46" s="712">
        <f t="shared" si="20"/>
        <v>223750</v>
      </c>
      <c r="L46" s="712">
        <f t="shared" si="20"/>
        <v>223750</v>
      </c>
      <c r="M46" s="712">
        <f t="shared" si="20"/>
        <v>223750</v>
      </c>
      <c r="N46" s="178">
        <f t="shared" si="17"/>
        <v>223750</v>
      </c>
      <c r="O46" s="179">
        <f>'A2-FinPerf SC'!I46</f>
        <v>2685000</v>
      </c>
      <c r="P46" s="177">
        <f>'A2-FinPerf SC'!J46</f>
        <v>1961300</v>
      </c>
      <c r="Q46" s="178">
        <f>'A2-FinPerf SC'!K46</f>
        <v>2074099</v>
      </c>
      <c r="R46" s="322"/>
    </row>
    <row r="47" spans="1:18" ht="11.25" customHeight="1" x14ac:dyDescent="0.25">
      <c r="A47" s="225" t="str">
        <f>'A2-FinPerf SC'!A47</f>
        <v>Other</v>
      </c>
      <c r="B47" s="2024"/>
      <c r="C47" s="725">
        <f t="shared" si="20"/>
        <v>577092</v>
      </c>
      <c r="D47" s="712">
        <f t="shared" si="20"/>
        <v>577092</v>
      </c>
      <c r="E47" s="712">
        <f t="shared" si="20"/>
        <v>577092</v>
      </c>
      <c r="F47" s="712">
        <f t="shared" si="20"/>
        <v>577092</v>
      </c>
      <c r="G47" s="712">
        <f t="shared" si="20"/>
        <v>577092</v>
      </c>
      <c r="H47" s="712">
        <f t="shared" si="20"/>
        <v>577092</v>
      </c>
      <c r="I47" s="712">
        <f t="shared" si="20"/>
        <v>577092</v>
      </c>
      <c r="J47" s="712">
        <f t="shared" si="20"/>
        <v>577092</v>
      </c>
      <c r="K47" s="712">
        <f t="shared" si="20"/>
        <v>577092</v>
      </c>
      <c r="L47" s="712">
        <f t="shared" si="20"/>
        <v>577092</v>
      </c>
      <c r="M47" s="712">
        <f t="shared" si="20"/>
        <v>577092</v>
      </c>
      <c r="N47" s="742">
        <f t="shared" si="17"/>
        <v>577089</v>
      </c>
      <c r="O47" s="743">
        <f>'A2-FinPerf SC'!I47</f>
        <v>6925101</v>
      </c>
      <c r="P47" s="545">
        <f>'A2-FinPerf SC'!J47</f>
        <v>7365318</v>
      </c>
      <c r="Q47" s="742">
        <f>'A2-FinPerf SC'!K47</f>
        <v>7834575</v>
      </c>
      <c r="R47" s="322"/>
    </row>
    <row r="48" spans="1:18" x14ac:dyDescent="0.25">
      <c r="A48" s="145" t="str">
        <f>'A2-FinPerf SC'!A48</f>
        <v>Total Expenditure - Functional</v>
      </c>
      <c r="B48" s="2025"/>
      <c r="C48" s="924">
        <f>C28+C32+C38+C42+C47</f>
        <v>11908539</v>
      </c>
      <c r="D48" s="106">
        <f t="shared" ref="D48:P48" si="21">D28+D32+D38+D42+D47</f>
        <v>11908539</v>
      </c>
      <c r="E48" s="106">
        <f t="shared" si="21"/>
        <v>11908539</v>
      </c>
      <c r="F48" s="106">
        <f t="shared" si="21"/>
        <v>11908539</v>
      </c>
      <c r="G48" s="106">
        <f t="shared" si="21"/>
        <v>11908539</v>
      </c>
      <c r="H48" s="106">
        <f t="shared" si="21"/>
        <v>11908539</v>
      </c>
      <c r="I48" s="106">
        <f t="shared" si="21"/>
        <v>11908539</v>
      </c>
      <c r="J48" s="106">
        <f t="shared" si="21"/>
        <v>11908539</v>
      </c>
      <c r="K48" s="106">
        <f t="shared" si="21"/>
        <v>11908539</v>
      </c>
      <c r="L48" s="106">
        <f t="shared" si="21"/>
        <v>11908539</v>
      </c>
      <c r="M48" s="106">
        <f t="shared" si="21"/>
        <v>11908539</v>
      </c>
      <c r="N48" s="665">
        <f t="shared" si="21"/>
        <v>11908535</v>
      </c>
      <c r="O48" s="666">
        <f t="shared" si="21"/>
        <v>142902464</v>
      </c>
      <c r="P48" s="535">
        <f t="shared" si="21"/>
        <v>135688050</v>
      </c>
      <c r="Q48" s="665">
        <f>Q28+Q32+Q38+Q42+Q47</f>
        <v>146622608</v>
      </c>
      <c r="R48" s="322"/>
    </row>
    <row r="49" spans="1:18" ht="6" customHeight="1" x14ac:dyDescent="0.25">
      <c r="A49" s="116"/>
      <c r="B49" s="2024"/>
      <c r="C49" s="179"/>
      <c r="D49" s="177"/>
      <c r="E49" s="177"/>
      <c r="F49" s="177"/>
      <c r="G49" s="177"/>
      <c r="H49" s="177"/>
      <c r="I49" s="177"/>
      <c r="J49" s="177"/>
      <c r="K49" s="177"/>
      <c r="L49" s="177"/>
      <c r="M49" s="177"/>
      <c r="N49" s="178"/>
      <c r="O49" s="179"/>
      <c r="P49" s="177"/>
      <c r="Q49" s="178"/>
      <c r="R49" s="322"/>
    </row>
    <row r="50" spans="1:18" x14ac:dyDescent="0.25">
      <c r="A50" s="2027" t="str">
        <f>'A4-FinPerf RE'!A37&amp;" before assoc."</f>
        <v>Surplus/(Deficit) before assoc.</v>
      </c>
      <c r="B50" s="2028"/>
      <c r="C50" s="666">
        <f t="shared" ref="C50:Q50" si="22">C25-C48</f>
        <v>-621611</v>
      </c>
      <c r="D50" s="535">
        <f t="shared" si="22"/>
        <v>-621611</v>
      </c>
      <c r="E50" s="535">
        <f t="shared" si="22"/>
        <v>-621611</v>
      </c>
      <c r="F50" s="535">
        <f t="shared" si="22"/>
        <v>-621611</v>
      </c>
      <c r="G50" s="535">
        <f t="shared" si="22"/>
        <v>-621611</v>
      </c>
      <c r="H50" s="535">
        <f t="shared" si="22"/>
        <v>-621611</v>
      </c>
      <c r="I50" s="535">
        <f t="shared" si="22"/>
        <v>-621611</v>
      </c>
      <c r="J50" s="535">
        <f t="shared" si="22"/>
        <v>-621611</v>
      </c>
      <c r="K50" s="535">
        <f t="shared" si="22"/>
        <v>-621611</v>
      </c>
      <c r="L50" s="535">
        <f t="shared" si="22"/>
        <v>-621611</v>
      </c>
      <c r="M50" s="535">
        <f t="shared" si="22"/>
        <v>-621611</v>
      </c>
      <c r="N50" s="665">
        <f t="shared" si="22"/>
        <v>-621621</v>
      </c>
      <c r="O50" s="666">
        <f t="shared" si="22"/>
        <v>-7459342</v>
      </c>
      <c r="P50" s="535">
        <f t="shared" si="22"/>
        <v>6915590</v>
      </c>
      <c r="Q50" s="665">
        <f t="shared" si="22"/>
        <v>-869184</v>
      </c>
      <c r="R50" s="322"/>
    </row>
    <row r="51" spans="1:18" ht="6" customHeight="1" x14ac:dyDescent="0.25">
      <c r="A51" s="116"/>
      <c r="B51" s="2024"/>
      <c r="C51" s="179"/>
      <c r="D51" s="177"/>
      <c r="E51" s="177"/>
      <c r="F51" s="177"/>
      <c r="G51" s="177"/>
      <c r="H51" s="177"/>
      <c r="I51" s="177"/>
      <c r="J51" s="177"/>
      <c r="K51" s="177"/>
      <c r="L51" s="177"/>
      <c r="M51" s="177"/>
      <c r="N51" s="178"/>
      <c r="O51" s="179"/>
      <c r="P51" s="177"/>
      <c r="Q51" s="178"/>
      <c r="R51" s="322"/>
    </row>
    <row r="52" spans="1:18" x14ac:dyDescent="0.25">
      <c r="A52" s="1217" t="str">
        <f>'A4-FinPerf RE'!A46</f>
        <v>Share of surplus/ (deficit) of associate</v>
      </c>
      <c r="B52" s="2037"/>
      <c r="C52" s="725">
        <f t="shared" ref="C52:M52" si="23">ROUND($O52/12,0)</f>
        <v>0</v>
      </c>
      <c r="D52" s="712">
        <f t="shared" si="23"/>
        <v>0</v>
      </c>
      <c r="E52" s="712">
        <f t="shared" si="23"/>
        <v>0</v>
      </c>
      <c r="F52" s="712">
        <f t="shared" si="23"/>
        <v>0</v>
      </c>
      <c r="G52" s="712">
        <f t="shared" si="23"/>
        <v>0</v>
      </c>
      <c r="H52" s="712">
        <f t="shared" si="23"/>
        <v>0</v>
      </c>
      <c r="I52" s="712">
        <f t="shared" si="23"/>
        <v>0</v>
      </c>
      <c r="J52" s="712">
        <f t="shared" si="23"/>
        <v>0</v>
      </c>
      <c r="K52" s="712">
        <f t="shared" si="23"/>
        <v>0</v>
      </c>
      <c r="L52" s="712">
        <f t="shared" si="23"/>
        <v>0</v>
      </c>
      <c r="M52" s="712">
        <f t="shared" si="23"/>
        <v>0</v>
      </c>
      <c r="N52" s="178">
        <f>O52-SUM(C52:M52)</f>
        <v>0</v>
      </c>
      <c r="O52" s="179">
        <f>'A4-FinPerf RE'!J46</f>
        <v>0</v>
      </c>
      <c r="P52" s="177">
        <f>'A4-FinPerf RE'!K46</f>
        <v>0</v>
      </c>
      <c r="Q52" s="178">
        <f>'A4-FinPerf RE'!L46</f>
        <v>0</v>
      </c>
      <c r="R52" s="322"/>
    </row>
    <row r="53" spans="1:18" x14ac:dyDescent="0.25">
      <c r="A53" s="1980" t="str">
        <f>'A4-FinPerf RE'!A37</f>
        <v>Surplus/(Deficit)</v>
      </c>
      <c r="B53" s="2038">
        <v>1</v>
      </c>
      <c r="C53" s="121">
        <f>C50+C52</f>
        <v>-621611</v>
      </c>
      <c r="D53" s="119">
        <f t="shared" ref="D53:Q53" si="24">D50+D52</f>
        <v>-621611</v>
      </c>
      <c r="E53" s="119">
        <f t="shared" si="24"/>
        <v>-621611</v>
      </c>
      <c r="F53" s="119">
        <f t="shared" si="24"/>
        <v>-621611</v>
      </c>
      <c r="G53" s="119">
        <f t="shared" si="24"/>
        <v>-621611</v>
      </c>
      <c r="H53" s="119">
        <f t="shared" si="24"/>
        <v>-621611</v>
      </c>
      <c r="I53" s="119">
        <f t="shared" si="24"/>
        <v>-621611</v>
      </c>
      <c r="J53" s="119">
        <f t="shared" si="24"/>
        <v>-621611</v>
      </c>
      <c r="K53" s="119">
        <f t="shared" si="24"/>
        <v>-621611</v>
      </c>
      <c r="L53" s="119">
        <f t="shared" si="24"/>
        <v>-621611</v>
      </c>
      <c r="M53" s="119">
        <f t="shared" si="24"/>
        <v>-621611</v>
      </c>
      <c r="N53" s="120">
        <f t="shared" si="24"/>
        <v>-621621</v>
      </c>
      <c r="O53" s="121">
        <f t="shared" si="24"/>
        <v>-7459342</v>
      </c>
      <c r="P53" s="119">
        <f t="shared" si="24"/>
        <v>6915590</v>
      </c>
      <c r="Q53" s="120">
        <f t="shared" si="24"/>
        <v>-869184</v>
      </c>
      <c r="R53" s="322"/>
    </row>
    <row r="54" spans="1:18" x14ac:dyDescent="0.25">
      <c r="A54" s="301" t="str">
        <f>head27a</f>
        <v>References</v>
      </c>
      <c r="B54" s="2042"/>
      <c r="C54" s="191"/>
      <c r="D54" s="191"/>
      <c r="E54" s="191"/>
      <c r="F54" s="191"/>
      <c r="G54" s="191"/>
      <c r="H54" s="191"/>
      <c r="I54" s="191"/>
      <c r="J54" s="191"/>
      <c r="K54" s="191"/>
      <c r="L54" s="191"/>
      <c r="M54" s="191"/>
      <c r="N54" s="191"/>
      <c r="O54" s="191"/>
      <c r="P54" s="191"/>
      <c r="Q54" s="191"/>
      <c r="R54" s="322"/>
    </row>
    <row r="55" spans="1:18" x14ac:dyDescent="0.25">
      <c r="A55" s="299" t="s">
        <v>1401</v>
      </c>
    </row>
    <row r="56" spans="1:18" x14ac:dyDescent="0.25">
      <c r="A56" s="1815" t="s">
        <v>1330</v>
      </c>
      <c r="B56" s="441"/>
      <c r="O56" s="2041">
        <f>O53-'A4-FinPerf RE'!J47</f>
        <v>0</v>
      </c>
      <c r="P56" s="2041">
        <f>P53-'A4-FinPerf RE'!K47</f>
        <v>0</v>
      </c>
      <c r="Q56" s="2041">
        <f>Q53-'A4-FinPerf RE'!L47</f>
        <v>1</v>
      </c>
    </row>
  </sheetData>
  <sheetProtection sheet="1" objects="1" scenarios="1"/>
  <mergeCells count="2">
    <mergeCell ref="C2:N2"/>
    <mergeCell ref="O2:Q2"/>
  </mergeCells>
  <phoneticPr fontId="7" type="noConversion"/>
  <printOptions horizontalCentered="1"/>
  <pageMargins left="0" right="0" top="0.78740157480314965" bottom="0.59055118110236227" header="0.51181102362204722" footer="0.39370078740157483"/>
  <pageSetup paperSize="9" scale="81" orientation="landscape" r:id="rId1"/>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Sheet49">
    <pageSetUpPr fitToPage="1"/>
  </sheetPr>
  <dimension ref="A1:T47"/>
  <sheetViews>
    <sheetView showGridLines="0" zoomScale="110" zoomScaleNormal="110" workbookViewId="0">
      <pane xSplit="2" ySplit="3" topLeftCell="G39" activePane="bottomRight" state="frozen"/>
      <selection pane="topRight"/>
      <selection pane="bottomLeft"/>
      <selection pane="bottomRight" activeCell="P50" sqref="P50"/>
    </sheetView>
  </sheetViews>
  <sheetFormatPr defaultColWidth="9.140625" defaultRowHeight="12.75" x14ac:dyDescent="0.25"/>
  <cols>
    <col min="1" max="1" width="30.7109375" style="58" customWidth="1"/>
    <col min="2" max="2" width="3" style="55" customWidth="1"/>
    <col min="3" max="14" width="8.28515625" style="58" customWidth="1"/>
    <col min="15" max="17" width="9.28515625" style="58" customWidth="1"/>
    <col min="18" max="16384" width="9.140625" style="58"/>
  </cols>
  <sheetData>
    <row r="1" spans="1:17" ht="13.5" customHeight="1" x14ac:dyDescent="0.25">
      <c r="A1" s="92" t="str">
        <f>muni&amp;" - "&amp; TableA28</f>
        <v>KZN226 Mkhambathini - Supporting Table SA28 Budgeted monthly capital expenditure (municipal vote)</v>
      </c>
      <c r="B1" s="92"/>
      <c r="C1" s="92"/>
      <c r="D1" s="92"/>
      <c r="E1" s="92"/>
      <c r="F1" s="92"/>
      <c r="G1" s="92"/>
      <c r="H1" s="92"/>
      <c r="I1" s="92"/>
      <c r="J1" s="92"/>
      <c r="K1" s="92"/>
      <c r="L1" s="92"/>
      <c r="M1" s="92"/>
      <c r="N1" s="92"/>
      <c r="O1" s="92"/>
      <c r="P1" s="92"/>
      <c r="Q1" s="92"/>
    </row>
    <row r="2" spans="1:17" ht="27" customHeight="1" x14ac:dyDescent="0.25">
      <c r="A2" s="1829" t="str">
        <f>desc</f>
        <v>Description</v>
      </c>
      <c r="B2" s="1825" t="str">
        <f>head27</f>
        <v>Ref</v>
      </c>
      <c r="C2" s="2447" t="str">
        <f>Head9</f>
        <v>Budget Year 2021/22</v>
      </c>
      <c r="D2" s="2448"/>
      <c r="E2" s="2448"/>
      <c r="F2" s="2448"/>
      <c r="G2" s="2448"/>
      <c r="H2" s="2448"/>
      <c r="I2" s="2448"/>
      <c r="J2" s="2448"/>
      <c r="K2" s="2448"/>
      <c r="L2" s="2448"/>
      <c r="M2" s="2448"/>
      <c r="N2" s="2448"/>
      <c r="O2" s="2450" t="s">
        <v>1554</v>
      </c>
      <c r="P2" s="2451"/>
      <c r="Q2" s="2452"/>
    </row>
    <row r="3" spans="1:17" ht="25.5" x14ac:dyDescent="0.25">
      <c r="A3" s="2020" t="s">
        <v>568</v>
      </c>
      <c r="B3" s="2021"/>
      <c r="C3" s="95" t="s">
        <v>620</v>
      </c>
      <c r="D3" s="527" t="s">
        <v>1233</v>
      </c>
      <c r="E3" s="527" t="s">
        <v>1234</v>
      </c>
      <c r="F3" s="527" t="s">
        <v>1235</v>
      </c>
      <c r="G3" s="527" t="s">
        <v>359</v>
      </c>
      <c r="H3" s="527" t="s">
        <v>360</v>
      </c>
      <c r="I3" s="527" t="s">
        <v>605</v>
      </c>
      <c r="J3" s="527" t="s">
        <v>361</v>
      </c>
      <c r="K3" s="527" t="s">
        <v>607</v>
      </c>
      <c r="L3" s="527" t="s">
        <v>608</v>
      </c>
      <c r="M3" s="527" t="s">
        <v>609</v>
      </c>
      <c r="N3" s="702" t="s">
        <v>610</v>
      </c>
      <c r="O3" s="95" t="str">
        <f>Head9</f>
        <v>Budget Year 2021/22</v>
      </c>
      <c r="P3" s="698" t="str">
        <f>Head10</f>
        <v>Budget Year +1 2022/23</v>
      </c>
      <c r="Q3" s="94" t="str">
        <f>Head11</f>
        <v>Budget Year +2 2023/24</v>
      </c>
    </row>
    <row r="4" spans="1:17" x14ac:dyDescent="0.25">
      <c r="A4" s="158" t="s">
        <v>301</v>
      </c>
      <c r="B4" s="2043">
        <v>1</v>
      </c>
      <c r="C4" s="179"/>
      <c r="D4" s="177"/>
      <c r="E4" s="177"/>
      <c r="F4" s="177"/>
      <c r="G4" s="177"/>
      <c r="H4" s="177"/>
      <c r="I4" s="177"/>
      <c r="J4" s="177"/>
      <c r="K4" s="177"/>
      <c r="L4" s="177"/>
      <c r="M4" s="177"/>
      <c r="N4" s="180"/>
      <c r="O4" s="179"/>
      <c r="P4" s="177"/>
      <c r="Q4" s="178"/>
    </row>
    <row r="5" spans="1:17" x14ac:dyDescent="0.25">
      <c r="A5" s="104" t="str">
        <f>'A5-Capex'!A6</f>
        <v>Vote 1 - Finance and Administration</v>
      </c>
      <c r="B5" s="2024"/>
      <c r="C5" s="725">
        <f t="shared" ref="C5:M19" si="0">ROUND($O5/12,0)</f>
        <v>0</v>
      </c>
      <c r="D5" s="712">
        <f t="shared" si="0"/>
        <v>0</v>
      </c>
      <c r="E5" s="712">
        <f t="shared" si="0"/>
        <v>0</v>
      </c>
      <c r="F5" s="712">
        <f t="shared" si="0"/>
        <v>0</v>
      </c>
      <c r="G5" s="712">
        <f t="shared" si="0"/>
        <v>0</v>
      </c>
      <c r="H5" s="712">
        <f t="shared" si="0"/>
        <v>0</v>
      </c>
      <c r="I5" s="712">
        <f t="shared" si="0"/>
        <v>0</v>
      </c>
      <c r="J5" s="712">
        <f t="shared" si="0"/>
        <v>0</v>
      </c>
      <c r="K5" s="712">
        <f t="shared" si="0"/>
        <v>0</v>
      </c>
      <c r="L5" s="712">
        <f t="shared" si="0"/>
        <v>0</v>
      </c>
      <c r="M5" s="712">
        <f t="shared" si="0"/>
        <v>0</v>
      </c>
      <c r="N5" s="180">
        <f>O5-SUM(C5:M5)</f>
        <v>0</v>
      </c>
      <c r="O5" s="179">
        <f>'A5-Capex'!J6</f>
        <v>0</v>
      </c>
      <c r="P5" s="177">
        <f>'A5-Capex'!K6</f>
        <v>0</v>
      </c>
      <c r="Q5" s="178">
        <f>'A5-Capex'!L6</f>
        <v>0</v>
      </c>
    </row>
    <row r="6" spans="1:17" x14ac:dyDescent="0.25">
      <c r="A6" s="104" t="str">
        <f>'A5-Capex'!A7</f>
        <v>Vote 2 - Finance and Administration2</v>
      </c>
      <c r="B6" s="2024"/>
      <c r="C6" s="725">
        <f t="shared" si="0"/>
        <v>0</v>
      </c>
      <c r="D6" s="712">
        <f t="shared" si="0"/>
        <v>0</v>
      </c>
      <c r="E6" s="712">
        <f t="shared" si="0"/>
        <v>0</v>
      </c>
      <c r="F6" s="712">
        <f t="shared" si="0"/>
        <v>0</v>
      </c>
      <c r="G6" s="712">
        <f t="shared" si="0"/>
        <v>0</v>
      </c>
      <c r="H6" s="712">
        <f t="shared" si="0"/>
        <v>0</v>
      </c>
      <c r="I6" s="712">
        <f t="shared" si="0"/>
        <v>0</v>
      </c>
      <c r="J6" s="712">
        <f t="shared" si="0"/>
        <v>0</v>
      </c>
      <c r="K6" s="712">
        <f t="shared" si="0"/>
        <v>0</v>
      </c>
      <c r="L6" s="712">
        <f t="shared" si="0"/>
        <v>0</v>
      </c>
      <c r="M6" s="712">
        <f t="shared" si="0"/>
        <v>0</v>
      </c>
      <c r="N6" s="180">
        <f t="shared" ref="N6:N11" si="1">O6-SUM(C6:M6)</f>
        <v>0</v>
      </c>
      <c r="O6" s="179">
        <f>'A5-Capex'!J7</f>
        <v>0</v>
      </c>
      <c r="P6" s="177">
        <f>'A5-Capex'!K7</f>
        <v>0</v>
      </c>
      <c r="Q6" s="178">
        <f>'A5-Capex'!L7</f>
        <v>0</v>
      </c>
    </row>
    <row r="7" spans="1:17" x14ac:dyDescent="0.25">
      <c r="A7" s="104" t="str">
        <f>'A5-Capex'!A8</f>
        <v>Vote 3 - Executive and Council</v>
      </c>
      <c r="B7" s="2024"/>
      <c r="C7" s="725">
        <f t="shared" si="0"/>
        <v>0</v>
      </c>
      <c r="D7" s="712">
        <f t="shared" si="0"/>
        <v>0</v>
      </c>
      <c r="E7" s="712">
        <f t="shared" si="0"/>
        <v>0</v>
      </c>
      <c r="F7" s="712">
        <f t="shared" si="0"/>
        <v>0</v>
      </c>
      <c r="G7" s="712">
        <f t="shared" si="0"/>
        <v>0</v>
      </c>
      <c r="H7" s="712">
        <f t="shared" si="0"/>
        <v>0</v>
      </c>
      <c r="I7" s="712">
        <f t="shared" si="0"/>
        <v>0</v>
      </c>
      <c r="J7" s="712">
        <f t="shared" si="0"/>
        <v>0</v>
      </c>
      <c r="K7" s="712">
        <f t="shared" si="0"/>
        <v>0</v>
      </c>
      <c r="L7" s="712">
        <f t="shared" si="0"/>
        <v>0</v>
      </c>
      <c r="M7" s="712">
        <f t="shared" si="0"/>
        <v>0</v>
      </c>
      <c r="N7" s="180">
        <f t="shared" si="1"/>
        <v>0</v>
      </c>
      <c r="O7" s="179">
        <f>'A5-Capex'!J8</f>
        <v>0</v>
      </c>
      <c r="P7" s="177">
        <f>'A5-Capex'!K8</f>
        <v>0</v>
      </c>
      <c r="Q7" s="178">
        <f>'A5-Capex'!L8</f>
        <v>0</v>
      </c>
    </row>
    <row r="8" spans="1:17" x14ac:dyDescent="0.25">
      <c r="A8" s="104" t="str">
        <f>'A5-Capex'!A9</f>
        <v>Vote 4 - Community and Social Services</v>
      </c>
      <c r="B8" s="2024"/>
      <c r="C8" s="725">
        <f t="shared" si="0"/>
        <v>0</v>
      </c>
      <c r="D8" s="712">
        <f t="shared" si="0"/>
        <v>0</v>
      </c>
      <c r="E8" s="712">
        <f t="shared" si="0"/>
        <v>0</v>
      </c>
      <c r="F8" s="712">
        <f t="shared" si="0"/>
        <v>0</v>
      </c>
      <c r="G8" s="712">
        <f t="shared" si="0"/>
        <v>0</v>
      </c>
      <c r="H8" s="712">
        <f t="shared" si="0"/>
        <v>0</v>
      </c>
      <c r="I8" s="712">
        <f t="shared" si="0"/>
        <v>0</v>
      </c>
      <c r="J8" s="712">
        <f t="shared" si="0"/>
        <v>0</v>
      </c>
      <c r="K8" s="712">
        <f t="shared" si="0"/>
        <v>0</v>
      </c>
      <c r="L8" s="712">
        <f t="shared" si="0"/>
        <v>0</v>
      </c>
      <c r="M8" s="712">
        <f t="shared" si="0"/>
        <v>0</v>
      </c>
      <c r="N8" s="180">
        <f t="shared" si="1"/>
        <v>0</v>
      </c>
      <c r="O8" s="179">
        <f>'A5-Capex'!J9</f>
        <v>0</v>
      </c>
      <c r="P8" s="177">
        <f>'A5-Capex'!K9</f>
        <v>0</v>
      </c>
      <c r="Q8" s="178">
        <f>'A5-Capex'!L9</f>
        <v>0</v>
      </c>
    </row>
    <row r="9" spans="1:17" x14ac:dyDescent="0.25">
      <c r="A9" s="104" t="str">
        <f>'A5-Capex'!A10</f>
        <v>Vote 5 - Community and Social Services2</v>
      </c>
      <c r="B9" s="2024"/>
      <c r="C9" s="725">
        <f t="shared" si="0"/>
        <v>0</v>
      </c>
      <c r="D9" s="712">
        <f t="shared" si="0"/>
        <v>0</v>
      </c>
      <c r="E9" s="712">
        <f t="shared" si="0"/>
        <v>0</v>
      </c>
      <c r="F9" s="712">
        <f t="shared" si="0"/>
        <v>0</v>
      </c>
      <c r="G9" s="712">
        <f t="shared" si="0"/>
        <v>0</v>
      </c>
      <c r="H9" s="712">
        <f t="shared" si="0"/>
        <v>0</v>
      </c>
      <c r="I9" s="712">
        <f t="shared" si="0"/>
        <v>0</v>
      </c>
      <c r="J9" s="712">
        <f t="shared" si="0"/>
        <v>0</v>
      </c>
      <c r="K9" s="712">
        <f t="shared" si="0"/>
        <v>0</v>
      </c>
      <c r="L9" s="712">
        <f t="shared" si="0"/>
        <v>0</v>
      </c>
      <c r="M9" s="712">
        <f t="shared" si="0"/>
        <v>0</v>
      </c>
      <c r="N9" s="180">
        <f t="shared" si="1"/>
        <v>0</v>
      </c>
      <c r="O9" s="179">
        <f>'A5-Capex'!J10</f>
        <v>0</v>
      </c>
      <c r="P9" s="177">
        <f>'A5-Capex'!K10</f>
        <v>0</v>
      </c>
      <c r="Q9" s="178">
        <f>'A5-Capex'!L10</f>
        <v>0</v>
      </c>
    </row>
    <row r="10" spans="1:17" x14ac:dyDescent="0.25">
      <c r="A10" s="104" t="str">
        <f>'A5-Capex'!A11</f>
        <v>Vote 6 - Energy Sources</v>
      </c>
      <c r="B10" s="2024"/>
      <c r="C10" s="725">
        <f t="shared" si="0"/>
        <v>0</v>
      </c>
      <c r="D10" s="712">
        <f t="shared" si="0"/>
        <v>0</v>
      </c>
      <c r="E10" s="712">
        <f t="shared" si="0"/>
        <v>0</v>
      </c>
      <c r="F10" s="712">
        <f t="shared" si="0"/>
        <v>0</v>
      </c>
      <c r="G10" s="712">
        <f t="shared" si="0"/>
        <v>0</v>
      </c>
      <c r="H10" s="712">
        <f t="shared" si="0"/>
        <v>0</v>
      </c>
      <c r="I10" s="712">
        <f t="shared" si="0"/>
        <v>0</v>
      </c>
      <c r="J10" s="712">
        <f t="shared" si="0"/>
        <v>0</v>
      </c>
      <c r="K10" s="712">
        <f t="shared" si="0"/>
        <v>0</v>
      </c>
      <c r="L10" s="712">
        <f t="shared" si="0"/>
        <v>0</v>
      </c>
      <c r="M10" s="712">
        <f t="shared" si="0"/>
        <v>0</v>
      </c>
      <c r="N10" s="180">
        <f t="shared" si="1"/>
        <v>0</v>
      </c>
      <c r="O10" s="179">
        <f>'A5-Capex'!J11</f>
        <v>0</v>
      </c>
      <c r="P10" s="177">
        <f>'A5-Capex'!K11</f>
        <v>0</v>
      </c>
      <c r="Q10" s="178">
        <f>'A5-Capex'!L11</f>
        <v>0</v>
      </c>
    </row>
    <row r="11" spans="1:17" x14ac:dyDescent="0.25">
      <c r="A11" s="104" t="str">
        <f>'A5-Capex'!A12</f>
        <v>Vote 7 - Road Transport</v>
      </c>
      <c r="B11" s="2024"/>
      <c r="C11" s="725">
        <f t="shared" si="0"/>
        <v>0</v>
      </c>
      <c r="D11" s="712">
        <f t="shared" si="0"/>
        <v>0</v>
      </c>
      <c r="E11" s="712">
        <f t="shared" si="0"/>
        <v>0</v>
      </c>
      <c r="F11" s="712">
        <f t="shared" si="0"/>
        <v>0</v>
      </c>
      <c r="G11" s="712">
        <f t="shared" si="0"/>
        <v>0</v>
      </c>
      <c r="H11" s="712">
        <f t="shared" si="0"/>
        <v>0</v>
      </c>
      <c r="I11" s="712">
        <f t="shared" si="0"/>
        <v>0</v>
      </c>
      <c r="J11" s="712">
        <f t="shared" si="0"/>
        <v>0</v>
      </c>
      <c r="K11" s="712">
        <f t="shared" si="0"/>
        <v>0</v>
      </c>
      <c r="L11" s="712">
        <f t="shared" si="0"/>
        <v>0</v>
      </c>
      <c r="M11" s="712">
        <f t="shared" si="0"/>
        <v>0</v>
      </c>
      <c r="N11" s="180">
        <f t="shared" si="1"/>
        <v>0</v>
      </c>
      <c r="O11" s="179">
        <f>'A5-Capex'!J12</f>
        <v>0</v>
      </c>
      <c r="P11" s="177">
        <f>'A5-Capex'!K12</f>
        <v>0</v>
      </c>
      <c r="Q11" s="178">
        <f>'A5-Capex'!L12</f>
        <v>0</v>
      </c>
    </row>
    <row r="12" spans="1:17" x14ac:dyDescent="0.25">
      <c r="A12" s="104" t="str">
        <f>'A5-Capex'!A13</f>
        <v>Vote 8 - Planning and Development</v>
      </c>
      <c r="B12" s="2024"/>
      <c r="C12" s="725">
        <f t="shared" si="0"/>
        <v>0</v>
      </c>
      <c r="D12" s="712">
        <f t="shared" si="0"/>
        <v>0</v>
      </c>
      <c r="E12" s="712">
        <f t="shared" si="0"/>
        <v>0</v>
      </c>
      <c r="F12" s="712">
        <f t="shared" si="0"/>
        <v>0</v>
      </c>
      <c r="G12" s="712">
        <f t="shared" si="0"/>
        <v>0</v>
      </c>
      <c r="H12" s="712">
        <f t="shared" si="0"/>
        <v>0</v>
      </c>
      <c r="I12" s="712">
        <f t="shared" si="0"/>
        <v>0</v>
      </c>
      <c r="J12" s="712">
        <f t="shared" si="0"/>
        <v>0</v>
      </c>
      <c r="K12" s="712">
        <f t="shared" si="0"/>
        <v>0</v>
      </c>
      <c r="L12" s="712">
        <f t="shared" si="0"/>
        <v>0</v>
      </c>
      <c r="M12" s="712">
        <f t="shared" si="0"/>
        <v>0</v>
      </c>
      <c r="N12" s="180">
        <f>O12-SUM(C12:M12)</f>
        <v>0</v>
      </c>
      <c r="O12" s="179">
        <f>'A5-Capex'!J13</f>
        <v>0</v>
      </c>
      <c r="P12" s="177">
        <f>'A5-Capex'!K13</f>
        <v>0</v>
      </c>
      <c r="Q12" s="178">
        <f>'A5-Capex'!L13</f>
        <v>0</v>
      </c>
    </row>
    <row r="13" spans="1:17" x14ac:dyDescent="0.25">
      <c r="A13" s="104" t="str">
        <f>'A5-Capex'!A14</f>
        <v>Vote 9 - Sport and Recreation</v>
      </c>
      <c r="B13" s="2024"/>
      <c r="C13" s="725">
        <f t="shared" si="0"/>
        <v>0</v>
      </c>
      <c r="D13" s="712">
        <f t="shared" si="0"/>
        <v>0</v>
      </c>
      <c r="E13" s="712">
        <f t="shared" si="0"/>
        <v>0</v>
      </c>
      <c r="F13" s="712">
        <f t="shared" si="0"/>
        <v>0</v>
      </c>
      <c r="G13" s="712">
        <f t="shared" si="0"/>
        <v>0</v>
      </c>
      <c r="H13" s="712">
        <f t="shared" si="0"/>
        <v>0</v>
      </c>
      <c r="I13" s="712">
        <f t="shared" si="0"/>
        <v>0</v>
      </c>
      <c r="J13" s="712">
        <f t="shared" si="0"/>
        <v>0</v>
      </c>
      <c r="K13" s="712">
        <f t="shared" si="0"/>
        <v>0</v>
      </c>
      <c r="L13" s="712">
        <f t="shared" si="0"/>
        <v>0</v>
      </c>
      <c r="M13" s="712">
        <f t="shared" si="0"/>
        <v>0</v>
      </c>
      <c r="N13" s="180">
        <f>O13-SUM(C13:M13)</f>
        <v>0</v>
      </c>
      <c r="O13" s="179">
        <f>'A5-Capex'!J14</f>
        <v>0</v>
      </c>
      <c r="P13" s="177">
        <f>'A5-Capex'!K14</f>
        <v>0</v>
      </c>
      <c r="Q13" s="178">
        <f>'A5-Capex'!L14</f>
        <v>0</v>
      </c>
    </row>
    <row r="14" spans="1:17" x14ac:dyDescent="0.25">
      <c r="A14" s="104" t="str">
        <f>'A5-Capex'!A15</f>
        <v>Vote 10 - Public Safety</v>
      </c>
      <c r="B14" s="2024"/>
      <c r="C14" s="725">
        <f t="shared" si="0"/>
        <v>0</v>
      </c>
      <c r="D14" s="712">
        <f t="shared" si="0"/>
        <v>0</v>
      </c>
      <c r="E14" s="712">
        <f t="shared" si="0"/>
        <v>0</v>
      </c>
      <c r="F14" s="712">
        <f t="shared" si="0"/>
        <v>0</v>
      </c>
      <c r="G14" s="712">
        <f t="shared" si="0"/>
        <v>0</v>
      </c>
      <c r="H14" s="712">
        <f t="shared" si="0"/>
        <v>0</v>
      </c>
      <c r="I14" s="712">
        <f t="shared" si="0"/>
        <v>0</v>
      </c>
      <c r="J14" s="712">
        <f t="shared" si="0"/>
        <v>0</v>
      </c>
      <c r="K14" s="712">
        <f t="shared" si="0"/>
        <v>0</v>
      </c>
      <c r="L14" s="712">
        <f t="shared" si="0"/>
        <v>0</v>
      </c>
      <c r="M14" s="712">
        <f t="shared" si="0"/>
        <v>0</v>
      </c>
      <c r="N14" s="180">
        <f t="shared" ref="N14:N19" si="2">O14-SUM(C14:M14)</f>
        <v>0</v>
      </c>
      <c r="O14" s="179">
        <f>'A5-Capex'!J15</f>
        <v>0</v>
      </c>
      <c r="P14" s="177">
        <f>'A5-Capex'!K15</f>
        <v>0</v>
      </c>
      <c r="Q14" s="178">
        <f>'A5-Capex'!L15</f>
        <v>0</v>
      </c>
    </row>
    <row r="15" spans="1:17" x14ac:dyDescent="0.25">
      <c r="A15" s="104" t="str">
        <f>'A5-Capex'!A16</f>
        <v>Vote 11 - Other</v>
      </c>
      <c r="B15" s="2024"/>
      <c r="C15" s="725">
        <f t="shared" si="0"/>
        <v>0</v>
      </c>
      <c r="D15" s="712">
        <f t="shared" si="0"/>
        <v>0</v>
      </c>
      <c r="E15" s="712">
        <f t="shared" si="0"/>
        <v>0</v>
      </c>
      <c r="F15" s="712">
        <f t="shared" si="0"/>
        <v>0</v>
      </c>
      <c r="G15" s="712">
        <f t="shared" si="0"/>
        <v>0</v>
      </c>
      <c r="H15" s="712">
        <f t="shared" si="0"/>
        <v>0</v>
      </c>
      <c r="I15" s="712">
        <f t="shared" si="0"/>
        <v>0</v>
      </c>
      <c r="J15" s="712">
        <f t="shared" si="0"/>
        <v>0</v>
      </c>
      <c r="K15" s="712">
        <f t="shared" si="0"/>
        <v>0</v>
      </c>
      <c r="L15" s="712">
        <f t="shared" si="0"/>
        <v>0</v>
      </c>
      <c r="M15" s="712">
        <f t="shared" si="0"/>
        <v>0</v>
      </c>
      <c r="N15" s="180">
        <f t="shared" si="2"/>
        <v>0</v>
      </c>
      <c r="O15" s="179">
        <f>'A5-Capex'!J16</f>
        <v>0</v>
      </c>
      <c r="P15" s="177">
        <f>'A5-Capex'!K16</f>
        <v>0</v>
      </c>
      <c r="Q15" s="178">
        <f>'A5-Capex'!L16</f>
        <v>0</v>
      </c>
    </row>
    <row r="16" spans="1:17" x14ac:dyDescent="0.25">
      <c r="A16" s="104" t="str">
        <f>'A5-Capex'!A17</f>
        <v>Vote 12 - Waste Management</v>
      </c>
      <c r="B16" s="2024"/>
      <c r="C16" s="725">
        <f t="shared" si="0"/>
        <v>0</v>
      </c>
      <c r="D16" s="712">
        <f t="shared" si="0"/>
        <v>0</v>
      </c>
      <c r="E16" s="712">
        <f t="shared" si="0"/>
        <v>0</v>
      </c>
      <c r="F16" s="712">
        <f t="shared" si="0"/>
        <v>0</v>
      </c>
      <c r="G16" s="712">
        <f t="shared" si="0"/>
        <v>0</v>
      </c>
      <c r="H16" s="712">
        <f t="shared" si="0"/>
        <v>0</v>
      </c>
      <c r="I16" s="712">
        <f t="shared" si="0"/>
        <v>0</v>
      </c>
      <c r="J16" s="712">
        <f t="shared" si="0"/>
        <v>0</v>
      </c>
      <c r="K16" s="712">
        <f t="shared" si="0"/>
        <v>0</v>
      </c>
      <c r="L16" s="712">
        <f t="shared" si="0"/>
        <v>0</v>
      </c>
      <c r="M16" s="712">
        <f t="shared" si="0"/>
        <v>0</v>
      </c>
      <c r="N16" s="180">
        <f t="shared" si="2"/>
        <v>0</v>
      </c>
      <c r="O16" s="179">
        <f>'A5-Capex'!J17</f>
        <v>0</v>
      </c>
      <c r="P16" s="177">
        <f>'A5-Capex'!K17</f>
        <v>0</v>
      </c>
      <c r="Q16" s="178">
        <f>'A5-Capex'!L17</f>
        <v>0</v>
      </c>
    </row>
    <row r="17" spans="1:17" x14ac:dyDescent="0.25">
      <c r="A17" s="104" t="str">
        <f>'A5-Capex'!A18</f>
        <v>Vote 13 - Housing</v>
      </c>
      <c r="B17" s="2024"/>
      <c r="C17" s="725">
        <f t="shared" si="0"/>
        <v>0</v>
      </c>
      <c r="D17" s="712">
        <f t="shared" si="0"/>
        <v>0</v>
      </c>
      <c r="E17" s="712">
        <f t="shared" si="0"/>
        <v>0</v>
      </c>
      <c r="F17" s="712">
        <f t="shared" si="0"/>
        <v>0</v>
      </c>
      <c r="G17" s="712">
        <f t="shared" si="0"/>
        <v>0</v>
      </c>
      <c r="H17" s="712">
        <f t="shared" si="0"/>
        <v>0</v>
      </c>
      <c r="I17" s="712">
        <f t="shared" si="0"/>
        <v>0</v>
      </c>
      <c r="J17" s="712">
        <f t="shared" si="0"/>
        <v>0</v>
      </c>
      <c r="K17" s="712">
        <f t="shared" si="0"/>
        <v>0</v>
      </c>
      <c r="L17" s="712">
        <f t="shared" si="0"/>
        <v>0</v>
      </c>
      <c r="M17" s="712">
        <f t="shared" si="0"/>
        <v>0</v>
      </c>
      <c r="N17" s="180">
        <f t="shared" si="2"/>
        <v>0</v>
      </c>
      <c r="O17" s="179">
        <f>'A5-Capex'!J18</f>
        <v>0</v>
      </c>
      <c r="P17" s="177">
        <f>'A5-Capex'!K18</f>
        <v>0</v>
      </c>
      <c r="Q17" s="178">
        <f>'A5-Capex'!L18</f>
        <v>0</v>
      </c>
    </row>
    <row r="18" spans="1:17" x14ac:dyDescent="0.25">
      <c r="A18" s="104" t="str">
        <f>'A5-Capex'!A19</f>
        <v>Vote 14 - Waste Water Management</v>
      </c>
      <c r="B18" s="2024"/>
      <c r="C18" s="725">
        <f t="shared" si="0"/>
        <v>0</v>
      </c>
      <c r="D18" s="712">
        <f t="shared" si="0"/>
        <v>0</v>
      </c>
      <c r="E18" s="712">
        <f t="shared" si="0"/>
        <v>0</v>
      </c>
      <c r="F18" s="712">
        <f t="shared" si="0"/>
        <v>0</v>
      </c>
      <c r="G18" s="712">
        <f t="shared" si="0"/>
        <v>0</v>
      </c>
      <c r="H18" s="712">
        <f t="shared" si="0"/>
        <v>0</v>
      </c>
      <c r="I18" s="712">
        <f t="shared" si="0"/>
        <v>0</v>
      </c>
      <c r="J18" s="712">
        <f t="shared" si="0"/>
        <v>0</v>
      </c>
      <c r="K18" s="712">
        <f t="shared" si="0"/>
        <v>0</v>
      </c>
      <c r="L18" s="712">
        <f t="shared" si="0"/>
        <v>0</v>
      </c>
      <c r="M18" s="712">
        <f t="shared" si="0"/>
        <v>0</v>
      </c>
      <c r="N18" s="180">
        <f t="shared" si="2"/>
        <v>0</v>
      </c>
      <c r="O18" s="179">
        <f>'A5-Capex'!J19</f>
        <v>0</v>
      </c>
      <c r="P18" s="177">
        <f>'A5-Capex'!K19</f>
        <v>0</v>
      </c>
      <c r="Q18" s="178">
        <f>'A5-Capex'!L19</f>
        <v>0</v>
      </c>
    </row>
    <row r="19" spans="1:17" x14ac:dyDescent="0.25">
      <c r="A19" s="104" t="str">
        <f>'A5-Capex'!A20</f>
        <v>Vote 15 - Health</v>
      </c>
      <c r="B19" s="2024"/>
      <c r="C19" s="725">
        <f t="shared" si="0"/>
        <v>0</v>
      </c>
      <c r="D19" s="712">
        <f t="shared" si="0"/>
        <v>0</v>
      </c>
      <c r="E19" s="712">
        <f t="shared" si="0"/>
        <v>0</v>
      </c>
      <c r="F19" s="712">
        <f t="shared" si="0"/>
        <v>0</v>
      </c>
      <c r="G19" s="712">
        <f t="shared" si="0"/>
        <v>0</v>
      </c>
      <c r="H19" s="712">
        <f t="shared" si="0"/>
        <v>0</v>
      </c>
      <c r="I19" s="712">
        <f t="shared" si="0"/>
        <v>0</v>
      </c>
      <c r="J19" s="712">
        <f t="shared" si="0"/>
        <v>0</v>
      </c>
      <c r="K19" s="712">
        <f t="shared" si="0"/>
        <v>0</v>
      </c>
      <c r="L19" s="712">
        <f t="shared" si="0"/>
        <v>0</v>
      </c>
      <c r="M19" s="712">
        <f t="shared" si="0"/>
        <v>0</v>
      </c>
      <c r="N19" s="180">
        <f t="shared" si="2"/>
        <v>0</v>
      </c>
      <c r="O19" s="179">
        <f>'A5-Capex'!J20</f>
        <v>0</v>
      </c>
      <c r="P19" s="177">
        <f>'A5-Capex'!K20</f>
        <v>0</v>
      </c>
      <c r="Q19" s="178">
        <f>'A5-Capex'!L20</f>
        <v>0</v>
      </c>
    </row>
    <row r="20" spans="1:17" x14ac:dyDescent="0.25">
      <c r="A20" s="170" t="s">
        <v>168</v>
      </c>
      <c r="B20" s="2044">
        <v>2</v>
      </c>
      <c r="C20" s="924">
        <f>SUM(C5:C19)</f>
        <v>0</v>
      </c>
      <c r="D20" s="106">
        <f t="shared" ref="D20:Q20" si="3">SUM(D5:D19)</f>
        <v>0</v>
      </c>
      <c r="E20" s="106">
        <f t="shared" si="3"/>
        <v>0</v>
      </c>
      <c r="F20" s="106">
        <f t="shared" si="3"/>
        <v>0</v>
      </c>
      <c r="G20" s="106">
        <f t="shared" si="3"/>
        <v>0</v>
      </c>
      <c r="H20" s="106">
        <f t="shared" si="3"/>
        <v>0</v>
      </c>
      <c r="I20" s="106">
        <f t="shared" si="3"/>
        <v>0</v>
      </c>
      <c r="J20" s="106">
        <f t="shared" si="3"/>
        <v>0</v>
      </c>
      <c r="K20" s="106">
        <f t="shared" si="3"/>
        <v>0</v>
      </c>
      <c r="L20" s="106">
        <f t="shared" si="3"/>
        <v>0</v>
      </c>
      <c r="M20" s="106">
        <f>SUM(M5:M19)</f>
        <v>0</v>
      </c>
      <c r="N20" s="925">
        <f t="shared" si="3"/>
        <v>0</v>
      </c>
      <c r="O20" s="924">
        <f t="shared" si="3"/>
        <v>0</v>
      </c>
      <c r="P20" s="106">
        <f t="shared" si="3"/>
        <v>0</v>
      </c>
      <c r="Q20" s="923">
        <f t="shared" si="3"/>
        <v>0</v>
      </c>
    </row>
    <row r="21" spans="1:17" ht="3.75" customHeight="1" x14ac:dyDescent="0.25">
      <c r="A21" s="2045"/>
      <c r="B21" s="2046"/>
      <c r="C21" s="100"/>
      <c r="D21" s="98"/>
      <c r="E21" s="98"/>
      <c r="F21" s="98"/>
      <c r="G21" s="98"/>
      <c r="H21" s="98"/>
      <c r="I21" s="98"/>
      <c r="J21" s="98"/>
      <c r="K21" s="98"/>
      <c r="L21" s="98"/>
      <c r="M21" s="98"/>
      <c r="N21" s="101"/>
      <c r="O21" s="100"/>
      <c r="P21" s="98"/>
      <c r="Q21" s="99"/>
    </row>
    <row r="22" spans="1:17" x14ac:dyDescent="0.25">
      <c r="A22" s="158" t="s">
        <v>799</v>
      </c>
      <c r="B22" s="2043"/>
      <c r="C22" s="179"/>
      <c r="D22" s="177"/>
      <c r="E22" s="177"/>
      <c r="F22" s="177"/>
      <c r="G22" s="177"/>
      <c r="H22" s="177"/>
      <c r="I22" s="177"/>
      <c r="J22" s="177"/>
      <c r="K22" s="177"/>
      <c r="L22" s="177"/>
      <c r="M22" s="177"/>
      <c r="N22" s="180"/>
      <c r="O22" s="179"/>
      <c r="P22" s="177"/>
      <c r="Q22" s="178"/>
    </row>
    <row r="23" spans="1:17" x14ac:dyDescent="0.25">
      <c r="A23" s="104" t="str">
        <f>'A5-Capex'!A24</f>
        <v>Vote 1 - Finance and Administration</v>
      </c>
      <c r="B23" s="2024"/>
      <c r="C23" s="725">
        <f t="shared" ref="C23:M37" si="4">ROUND($O23/12,0)</f>
        <v>75417</v>
      </c>
      <c r="D23" s="712">
        <f t="shared" si="4"/>
        <v>75417</v>
      </c>
      <c r="E23" s="712">
        <f t="shared" si="4"/>
        <v>75417</v>
      </c>
      <c r="F23" s="712">
        <f t="shared" si="4"/>
        <v>75417</v>
      </c>
      <c r="G23" s="712">
        <f t="shared" si="4"/>
        <v>75417</v>
      </c>
      <c r="H23" s="712">
        <f t="shared" si="4"/>
        <v>75417</v>
      </c>
      <c r="I23" s="712">
        <f t="shared" si="4"/>
        <v>75417</v>
      </c>
      <c r="J23" s="712">
        <f t="shared" si="4"/>
        <v>75417</v>
      </c>
      <c r="K23" s="712">
        <f t="shared" si="4"/>
        <v>75417</v>
      </c>
      <c r="L23" s="712">
        <f t="shared" si="4"/>
        <v>75417</v>
      </c>
      <c r="M23" s="712">
        <f t="shared" si="4"/>
        <v>75417</v>
      </c>
      <c r="N23" s="180">
        <f>O23-SUM(C23:M23)</f>
        <v>75413</v>
      </c>
      <c r="O23" s="179">
        <f>'A5-Capex'!J24</f>
        <v>905000</v>
      </c>
      <c r="P23" s="177">
        <f>'A5-Capex'!K24</f>
        <v>756392</v>
      </c>
      <c r="Q23" s="178">
        <f>'A5-Capex'!L24</f>
        <v>786648</v>
      </c>
    </row>
    <row r="24" spans="1:17" x14ac:dyDescent="0.25">
      <c r="A24" s="104" t="str">
        <f>'A5-Capex'!A25</f>
        <v>Vote 2 - Finance and Administration2</v>
      </c>
      <c r="B24" s="2024"/>
      <c r="C24" s="725">
        <f t="shared" si="4"/>
        <v>0</v>
      </c>
      <c r="D24" s="712">
        <f t="shared" si="4"/>
        <v>0</v>
      </c>
      <c r="E24" s="712">
        <f t="shared" si="4"/>
        <v>0</v>
      </c>
      <c r="F24" s="712">
        <f t="shared" si="4"/>
        <v>0</v>
      </c>
      <c r="G24" s="712">
        <f t="shared" si="4"/>
        <v>0</v>
      </c>
      <c r="H24" s="712">
        <f t="shared" si="4"/>
        <v>0</v>
      </c>
      <c r="I24" s="712">
        <f t="shared" si="4"/>
        <v>0</v>
      </c>
      <c r="J24" s="712">
        <f t="shared" si="4"/>
        <v>0</v>
      </c>
      <c r="K24" s="712">
        <f t="shared" si="4"/>
        <v>0</v>
      </c>
      <c r="L24" s="712">
        <f t="shared" si="4"/>
        <v>0</v>
      </c>
      <c r="M24" s="712">
        <f t="shared" si="4"/>
        <v>0</v>
      </c>
      <c r="N24" s="180">
        <f t="shared" ref="N24:N29" si="5">O24-SUM(C24:M24)</f>
        <v>0</v>
      </c>
      <c r="O24" s="179">
        <f>'A5-Capex'!J25</f>
        <v>0</v>
      </c>
      <c r="P24" s="177">
        <f>'A5-Capex'!K25</f>
        <v>0</v>
      </c>
      <c r="Q24" s="178">
        <f>'A5-Capex'!L25</f>
        <v>0</v>
      </c>
    </row>
    <row r="25" spans="1:17" x14ac:dyDescent="0.25">
      <c r="A25" s="104" t="str">
        <f>'A5-Capex'!A26</f>
        <v>Vote 3 - Executive and Council</v>
      </c>
      <c r="B25" s="2024"/>
      <c r="C25" s="725">
        <f t="shared" si="4"/>
        <v>0</v>
      </c>
      <c r="D25" s="712">
        <f t="shared" si="4"/>
        <v>0</v>
      </c>
      <c r="E25" s="712">
        <f t="shared" si="4"/>
        <v>0</v>
      </c>
      <c r="F25" s="712">
        <f t="shared" si="4"/>
        <v>0</v>
      </c>
      <c r="G25" s="712">
        <f t="shared" si="4"/>
        <v>0</v>
      </c>
      <c r="H25" s="712">
        <f t="shared" si="4"/>
        <v>0</v>
      </c>
      <c r="I25" s="712">
        <f t="shared" si="4"/>
        <v>0</v>
      </c>
      <c r="J25" s="712">
        <f t="shared" si="4"/>
        <v>0</v>
      </c>
      <c r="K25" s="712">
        <f t="shared" si="4"/>
        <v>0</v>
      </c>
      <c r="L25" s="712">
        <f t="shared" si="4"/>
        <v>0</v>
      </c>
      <c r="M25" s="712">
        <f t="shared" si="4"/>
        <v>0</v>
      </c>
      <c r="N25" s="180">
        <f t="shared" si="5"/>
        <v>0</v>
      </c>
      <c r="O25" s="179">
        <f>'A5-Capex'!J26</f>
        <v>0</v>
      </c>
      <c r="P25" s="177">
        <f>'A5-Capex'!K26</f>
        <v>0</v>
      </c>
      <c r="Q25" s="178">
        <f>'A5-Capex'!L26</f>
        <v>0</v>
      </c>
    </row>
    <row r="26" spans="1:17" x14ac:dyDescent="0.25">
      <c r="A26" s="104" t="str">
        <f>'A5-Capex'!A27</f>
        <v>Vote 4 - Community and Social Services</v>
      </c>
      <c r="B26" s="2024"/>
      <c r="C26" s="725">
        <f t="shared" si="4"/>
        <v>0</v>
      </c>
      <c r="D26" s="712">
        <f t="shared" si="4"/>
        <v>0</v>
      </c>
      <c r="E26" s="712">
        <f t="shared" si="4"/>
        <v>0</v>
      </c>
      <c r="F26" s="712">
        <f t="shared" si="4"/>
        <v>0</v>
      </c>
      <c r="G26" s="712">
        <f t="shared" si="4"/>
        <v>0</v>
      </c>
      <c r="H26" s="712">
        <f t="shared" si="4"/>
        <v>0</v>
      </c>
      <c r="I26" s="712">
        <f t="shared" si="4"/>
        <v>0</v>
      </c>
      <c r="J26" s="712">
        <f t="shared" si="4"/>
        <v>0</v>
      </c>
      <c r="K26" s="712">
        <f t="shared" si="4"/>
        <v>0</v>
      </c>
      <c r="L26" s="712">
        <f t="shared" si="4"/>
        <v>0</v>
      </c>
      <c r="M26" s="712">
        <f t="shared" si="4"/>
        <v>0</v>
      </c>
      <c r="N26" s="180">
        <f t="shared" si="5"/>
        <v>0</v>
      </c>
      <c r="O26" s="179">
        <f>'A5-Capex'!J27</f>
        <v>0</v>
      </c>
      <c r="P26" s="177">
        <f>'A5-Capex'!K27</f>
        <v>0</v>
      </c>
      <c r="Q26" s="178">
        <f>'A5-Capex'!L27</f>
        <v>0</v>
      </c>
    </row>
    <row r="27" spans="1:17" x14ac:dyDescent="0.25">
      <c r="A27" s="104" t="str">
        <f>'A5-Capex'!A28</f>
        <v>Vote 5 - Community and Social Services2</v>
      </c>
      <c r="B27" s="2024"/>
      <c r="C27" s="725">
        <f t="shared" si="4"/>
        <v>247048</v>
      </c>
      <c r="D27" s="712">
        <f t="shared" si="4"/>
        <v>247048</v>
      </c>
      <c r="E27" s="712">
        <f t="shared" si="4"/>
        <v>247048</v>
      </c>
      <c r="F27" s="712">
        <f t="shared" si="4"/>
        <v>247048</v>
      </c>
      <c r="G27" s="712">
        <f t="shared" si="4"/>
        <v>247048</v>
      </c>
      <c r="H27" s="712">
        <f t="shared" si="4"/>
        <v>247048</v>
      </c>
      <c r="I27" s="712">
        <f t="shared" si="4"/>
        <v>247048</v>
      </c>
      <c r="J27" s="712">
        <f t="shared" si="4"/>
        <v>247048</v>
      </c>
      <c r="K27" s="712">
        <f t="shared" si="4"/>
        <v>247048</v>
      </c>
      <c r="L27" s="712">
        <f t="shared" si="4"/>
        <v>247048</v>
      </c>
      <c r="M27" s="712">
        <f t="shared" si="4"/>
        <v>247048</v>
      </c>
      <c r="N27" s="180">
        <f t="shared" si="5"/>
        <v>247047</v>
      </c>
      <c r="O27" s="179">
        <f>'A5-Capex'!J28</f>
        <v>2964575</v>
      </c>
      <c r="P27" s="177">
        <f>'A5-Capex'!K28</f>
        <v>3000000</v>
      </c>
      <c r="Q27" s="178">
        <f>'A5-Capex'!L28</f>
        <v>3200000</v>
      </c>
    </row>
    <row r="28" spans="1:17" x14ac:dyDescent="0.25">
      <c r="A28" s="104" t="str">
        <f>'A5-Capex'!A29</f>
        <v>Vote 6 - Energy Sources</v>
      </c>
      <c r="B28" s="2024"/>
      <c r="C28" s="725">
        <f t="shared" si="4"/>
        <v>0</v>
      </c>
      <c r="D28" s="712">
        <f t="shared" si="4"/>
        <v>0</v>
      </c>
      <c r="E28" s="712">
        <f t="shared" si="4"/>
        <v>0</v>
      </c>
      <c r="F28" s="712">
        <f t="shared" si="4"/>
        <v>0</v>
      </c>
      <c r="G28" s="712">
        <f t="shared" si="4"/>
        <v>0</v>
      </c>
      <c r="H28" s="712">
        <f t="shared" si="4"/>
        <v>0</v>
      </c>
      <c r="I28" s="712">
        <f t="shared" si="4"/>
        <v>0</v>
      </c>
      <c r="J28" s="712">
        <f t="shared" si="4"/>
        <v>0</v>
      </c>
      <c r="K28" s="712">
        <f t="shared" si="4"/>
        <v>0</v>
      </c>
      <c r="L28" s="712">
        <f t="shared" si="4"/>
        <v>0</v>
      </c>
      <c r="M28" s="712">
        <f t="shared" si="4"/>
        <v>0</v>
      </c>
      <c r="N28" s="180">
        <f t="shared" si="5"/>
        <v>0</v>
      </c>
      <c r="O28" s="179">
        <f>'A5-Capex'!J29</f>
        <v>0</v>
      </c>
      <c r="P28" s="177">
        <f>'A5-Capex'!K29</f>
        <v>0</v>
      </c>
      <c r="Q28" s="178">
        <f>'A5-Capex'!L29</f>
        <v>0</v>
      </c>
    </row>
    <row r="29" spans="1:17" x14ac:dyDescent="0.25">
      <c r="A29" s="104" t="str">
        <f>'A5-Capex'!A30</f>
        <v>Vote 7 - Road Transport</v>
      </c>
      <c r="B29" s="2024"/>
      <c r="C29" s="725">
        <f t="shared" si="4"/>
        <v>1215869</v>
      </c>
      <c r="D29" s="712">
        <f t="shared" si="4"/>
        <v>1215869</v>
      </c>
      <c r="E29" s="712">
        <f t="shared" si="4"/>
        <v>1215869</v>
      </c>
      <c r="F29" s="712">
        <f t="shared" si="4"/>
        <v>1215869</v>
      </c>
      <c r="G29" s="712">
        <f t="shared" si="4"/>
        <v>1215869</v>
      </c>
      <c r="H29" s="712">
        <f t="shared" si="4"/>
        <v>1215869</v>
      </c>
      <c r="I29" s="712">
        <f t="shared" si="4"/>
        <v>1215869</v>
      </c>
      <c r="J29" s="712">
        <f t="shared" si="4"/>
        <v>1215869</v>
      </c>
      <c r="K29" s="712">
        <f t="shared" si="4"/>
        <v>1215869</v>
      </c>
      <c r="L29" s="712">
        <f t="shared" si="4"/>
        <v>1215869</v>
      </c>
      <c r="M29" s="712">
        <f t="shared" si="4"/>
        <v>1215869</v>
      </c>
      <c r="N29" s="180">
        <f t="shared" si="5"/>
        <v>1215866</v>
      </c>
      <c r="O29" s="179">
        <f>'A5-Capex'!J30</f>
        <v>14590425</v>
      </c>
      <c r="P29" s="177">
        <f>'A5-Capex'!K30</f>
        <v>0</v>
      </c>
      <c r="Q29" s="178">
        <f>'A5-Capex'!L30</f>
        <v>0</v>
      </c>
    </row>
    <row r="30" spans="1:17" x14ac:dyDescent="0.25">
      <c r="A30" s="104" t="str">
        <f>'A5-Capex'!A31</f>
        <v>Vote 8 - Planning and Development</v>
      </c>
      <c r="B30" s="2024"/>
      <c r="C30" s="725">
        <f t="shared" si="4"/>
        <v>0</v>
      </c>
      <c r="D30" s="712">
        <f t="shared" si="4"/>
        <v>0</v>
      </c>
      <c r="E30" s="712">
        <f t="shared" si="4"/>
        <v>0</v>
      </c>
      <c r="F30" s="712">
        <f t="shared" si="4"/>
        <v>0</v>
      </c>
      <c r="G30" s="712">
        <f t="shared" si="4"/>
        <v>0</v>
      </c>
      <c r="H30" s="712">
        <f t="shared" si="4"/>
        <v>0</v>
      </c>
      <c r="I30" s="712">
        <f t="shared" si="4"/>
        <v>0</v>
      </c>
      <c r="J30" s="712">
        <f t="shared" si="4"/>
        <v>0</v>
      </c>
      <c r="K30" s="712">
        <f t="shared" si="4"/>
        <v>0</v>
      </c>
      <c r="L30" s="712">
        <f t="shared" si="4"/>
        <v>0</v>
      </c>
      <c r="M30" s="712">
        <f t="shared" si="4"/>
        <v>0</v>
      </c>
      <c r="N30" s="180">
        <f>O30-SUM(C30:M30)</f>
        <v>0</v>
      </c>
      <c r="O30" s="179">
        <f>'A5-Capex'!J31</f>
        <v>0</v>
      </c>
      <c r="P30" s="177">
        <f>'A5-Capex'!K31</f>
        <v>0</v>
      </c>
      <c r="Q30" s="178">
        <f>'A5-Capex'!L31</f>
        <v>0</v>
      </c>
    </row>
    <row r="31" spans="1:17" x14ac:dyDescent="0.25">
      <c r="A31" s="104" t="str">
        <f>'A5-Capex'!A32</f>
        <v>Vote 9 - Sport and Recreation</v>
      </c>
      <c r="B31" s="2024"/>
      <c r="C31" s="725">
        <f t="shared" si="4"/>
        <v>1096750</v>
      </c>
      <c r="D31" s="712">
        <f t="shared" si="4"/>
        <v>1096750</v>
      </c>
      <c r="E31" s="712">
        <f t="shared" si="4"/>
        <v>1096750</v>
      </c>
      <c r="F31" s="712">
        <f t="shared" si="4"/>
        <v>1096750</v>
      </c>
      <c r="G31" s="712">
        <f t="shared" si="4"/>
        <v>1096750</v>
      </c>
      <c r="H31" s="712">
        <f t="shared" si="4"/>
        <v>1096750</v>
      </c>
      <c r="I31" s="712">
        <f t="shared" si="4"/>
        <v>1096750</v>
      </c>
      <c r="J31" s="712">
        <f t="shared" si="4"/>
        <v>1096750</v>
      </c>
      <c r="K31" s="712">
        <f t="shared" si="4"/>
        <v>1096750</v>
      </c>
      <c r="L31" s="712">
        <f t="shared" si="4"/>
        <v>1096750</v>
      </c>
      <c r="M31" s="712">
        <f t="shared" si="4"/>
        <v>1096750</v>
      </c>
      <c r="N31" s="180">
        <f>O31-SUM(C31:M31)</f>
        <v>1096750</v>
      </c>
      <c r="O31" s="179">
        <f>'A5-Capex'!J32</f>
        <v>13161000</v>
      </c>
      <c r="P31" s="177">
        <f>'A5-Capex'!K32</f>
        <v>0</v>
      </c>
      <c r="Q31" s="178">
        <f>'A5-Capex'!L32</f>
        <v>0</v>
      </c>
    </row>
    <row r="32" spans="1:17" x14ac:dyDescent="0.25">
      <c r="A32" s="104" t="str">
        <f>'A5-Capex'!A33</f>
        <v>Vote 10 - Public Safety</v>
      </c>
      <c r="B32" s="2024"/>
      <c r="C32" s="725">
        <f t="shared" si="4"/>
        <v>0</v>
      </c>
      <c r="D32" s="712">
        <f t="shared" si="4"/>
        <v>0</v>
      </c>
      <c r="E32" s="712">
        <f t="shared" si="4"/>
        <v>0</v>
      </c>
      <c r="F32" s="712">
        <f t="shared" si="4"/>
        <v>0</v>
      </c>
      <c r="G32" s="712">
        <f t="shared" si="4"/>
        <v>0</v>
      </c>
      <c r="H32" s="712">
        <f t="shared" si="4"/>
        <v>0</v>
      </c>
      <c r="I32" s="712">
        <f t="shared" si="4"/>
        <v>0</v>
      </c>
      <c r="J32" s="712">
        <f t="shared" si="4"/>
        <v>0</v>
      </c>
      <c r="K32" s="712">
        <f t="shared" si="4"/>
        <v>0</v>
      </c>
      <c r="L32" s="712">
        <f t="shared" si="4"/>
        <v>0</v>
      </c>
      <c r="M32" s="712">
        <f t="shared" si="4"/>
        <v>0</v>
      </c>
      <c r="N32" s="180">
        <f t="shared" ref="N32:N37" si="6">O32-SUM(C32:M32)</f>
        <v>0</v>
      </c>
      <c r="O32" s="179">
        <f>'A5-Capex'!J33</f>
        <v>0</v>
      </c>
      <c r="P32" s="177">
        <f>'A5-Capex'!K33</f>
        <v>0</v>
      </c>
      <c r="Q32" s="178">
        <f>'A5-Capex'!L33</f>
        <v>0</v>
      </c>
    </row>
    <row r="33" spans="1:20" x14ac:dyDescent="0.25">
      <c r="A33" s="104" t="str">
        <f>'A5-Capex'!A34</f>
        <v>Vote 11 - Other</v>
      </c>
      <c r="B33" s="2024"/>
      <c r="C33" s="725">
        <f t="shared" si="4"/>
        <v>0</v>
      </c>
      <c r="D33" s="712">
        <f t="shared" si="4"/>
        <v>0</v>
      </c>
      <c r="E33" s="712">
        <f t="shared" si="4"/>
        <v>0</v>
      </c>
      <c r="F33" s="712">
        <f t="shared" si="4"/>
        <v>0</v>
      </c>
      <c r="G33" s="712">
        <f t="shared" si="4"/>
        <v>0</v>
      </c>
      <c r="H33" s="712">
        <f t="shared" si="4"/>
        <v>0</v>
      </c>
      <c r="I33" s="712">
        <f t="shared" si="4"/>
        <v>0</v>
      </c>
      <c r="J33" s="712">
        <f t="shared" si="4"/>
        <v>0</v>
      </c>
      <c r="K33" s="712">
        <f t="shared" si="4"/>
        <v>0</v>
      </c>
      <c r="L33" s="712">
        <f t="shared" si="4"/>
        <v>0</v>
      </c>
      <c r="M33" s="712">
        <f t="shared" si="4"/>
        <v>0</v>
      </c>
      <c r="N33" s="180">
        <f t="shared" si="6"/>
        <v>0</v>
      </c>
      <c r="O33" s="179">
        <f>'A5-Capex'!J34</f>
        <v>0</v>
      </c>
      <c r="P33" s="177">
        <f>'A5-Capex'!K34</f>
        <v>0</v>
      </c>
      <c r="Q33" s="178">
        <f>'A5-Capex'!L34</f>
        <v>0</v>
      </c>
    </row>
    <row r="34" spans="1:20" x14ac:dyDescent="0.25">
      <c r="A34" s="104" t="str">
        <f>'A5-Capex'!A35</f>
        <v>Vote 12 - Waste Management</v>
      </c>
      <c r="B34" s="2024"/>
      <c r="C34" s="725">
        <f t="shared" si="4"/>
        <v>0</v>
      </c>
      <c r="D34" s="712">
        <f t="shared" si="4"/>
        <v>0</v>
      </c>
      <c r="E34" s="712">
        <f t="shared" si="4"/>
        <v>0</v>
      </c>
      <c r="F34" s="712">
        <f t="shared" si="4"/>
        <v>0</v>
      </c>
      <c r="G34" s="712">
        <f t="shared" si="4"/>
        <v>0</v>
      </c>
      <c r="H34" s="712">
        <f t="shared" si="4"/>
        <v>0</v>
      </c>
      <c r="I34" s="712">
        <f t="shared" si="4"/>
        <v>0</v>
      </c>
      <c r="J34" s="712">
        <f t="shared" si="4"/>
        <v>0</v>
      </c>
      <c r="K34" s="712">
        <f t="shared" si="4"/>
        <v>0</v>
      </c>
      <c r="L34" s="712">
        <f t="shared" si="4"/>
        <v>0</v>
      </c>
      <c r="M34" s="712">
        <f t="shared" si="4"/>
        <v>0</v>
      </c>
      <c r="N34" s="180">
        <f t="shared" si="6"/>
        <v>0</v>
      </c>
      <c r="O34" s="179">
        <f>'A5-Capex'!J35</f>
        <v>0</v>
      </c>
      <c r="P34" s="177">
        <f>'A5-Capex'!K35</f>
        <v>0</v>
      </c>
      <c r="Q34" s="178">
        <f>'A5-Capex'!L35</f>
        <v>0</v>
      </c>
    </row>
    <row r="35" spans="1:20" x14ac:dyDescent="0.25">
      <c r="A35" s="104" t="str">
        <f>'A5-Capex'!A36</f>
        <v>Vote 13 - Housing</v>
      </c>
      <c r="B35" s="2024"/>
      <c r="C35" s="725">
        <f t="shared" si="4"/>
        <v>0</v>
      </c>
      <c r="D35" s="712">
        <f t="shared" si="4"/>
        <v>0</v>
      </c>
      <c r="E35" s="712">
        <f t="shared" si="4"/>
        <v>0</v>
      </c>
      <c r="F35" s="712">
        <f t="shared" si="4"/>
        <v>0</v>
      </c>
      <c r="G35" s="712">
        <f t="shared" si="4"/>
        <v>0</v>
      </c>
      <c r="H35" s="712">
        <f t="shared" si="4"/>
        <v>0</v>
      </c>
      <c r="I35" s="712">
        <f t="shared" si="4"/>
        <v>0</v>
      </c>
      <c r="J35" s="712">
        <f t="shared" si="4"/>
        <v>0</v>
      </c>
      <c r="K35" s="712">
        <f t="shared" si="4"/>
        <v>0</v>
      </c>
      <c r="L35" s="712">
        <f t="shared" si="4"/>
        <v>0</v>
      </c>
      <c r="M35" s="712">
        <f t="shared" si="4"/>
        <v>0</v>
      </c>
      <c r="N35" s="180">
        <f t="shared" si="6"/>
        <v>0</v>
      </c>
      <c r="O35" s="179">
        <f>'A5-Capex'!J36</f>
        <v>0</v>
      </c>
      <c r="P35" s="177">
        <f>'A5-Capex'!K36</f>
        <v>0</v>
      </c>
      <c r="Q35" s="178">
        <f>'A5-Capex'!L36</f>
        <v>0</v>
      </c>
    </row>
    <row r="36" spans="1:20" x14ac:dyDescent="0.25">
      <c r="A36" s="104" t="str">
        <f>'A5-Capex'!A37</f>
        <v>Vote 14 - Waste Water Management</v>
      </c>
      <c r="B36" s="2024"/>
      <c r="C36" s="725">
        <f t="shared" si="4"/>
        <v>0</v>
      </c>
      <c r="D36" s="712">
        <f t="shared" si="4"/>
        <v>0</v>
      </c>
      <c r="E36" s="712">
        <f t="shared" si="4"/>
        <v>0</v>
      </c>
      <c r="F36" s="712">
        <f t="shared" si="4"/>
        <v>0</v>
      </c>
      <c r="G36" s="712">
        <f t="shared" si="4"/>
        <v>0</v>
      </c>
      <c r="H36" s="712">
        <f t="shared" si="4"/>
        <v>0</v>
      </c>
      <c r="I36" s="712">
        <f t="shared" si="4"/>
        <v>0</v>
      </c>
      <c r="J36" s="712">
        <f t="shared" si="4"/>
        <v>0</v>
      </c>
      <c r="K36" s="712">
        <f t="shared" si="4"/>
        <v>0</v>
      </c>
      <c r="L36" s="712">
        <f t="shared" si="4"/>
        <v>0</v>
      </c>
      <c r="M36" s="712">
        <f t="shared" si="4"/>
        <v>0</v>
      </c>
      <c r="N36" s="180">
        <f t="shared" si="6"/>
        <v>0</v>
      </c>
      <c r="O36" s="179">
        <f>'A5-Capex'!J37</f>
        <v>0</v>
      </c>
      <c r="P36" s="177">
        <f>'A5-Capex'!K37</f>
        <v>0</v>
      </c>
      <c r="Q36" s="178">
        <f>'A5-Capex'!L37</f>
        <v>0</v>
      </c>
    </row>
    <row r="37" spans="1:20" x14ac:dyDescent="0.25">
      <c r="A37" s="104" t="str">
        <f>'A5-Capex'!A38</f>
        <v>Vote 15 - Health</v>
      </c>
      <c r="B37" s="2024"/>
      <c r="C37" s="725">
        <f t="shared" si="4"/>
        <v>0</v>
      </c>
      <c r="D37" s="712">
        <f t="shared" si="4"/>
        <v>0</v>
      </c>
      <c r="E37" s="712">
        <f t="shared" si="4"/>
        <v>0</v>
      </c>
      <c r="F37" s="712">
        <f t="shared" si="4"/>
        <v>0</v>
      </c>
      <c r="G37" s="712">
        <f t="shared" si="4"/>
        <v>0</v>
      </c>
      <c r="H37" s="712">
        <f t="shared" si="4"/>
        <v>0</v>
      </c>
      <c r="I37" s="712">
        <f t="shared" si="4"/>
        <v>0</v>
      </c>
      <c r="J37" s="712">
        <f t="shared" si="4"/>
        <v>0</v>
      </c>
      <c r="K37" s="712">
        <f t="shared" si="4"/>
        <v>0</v>
      </c>
      <c r="L37" s="712">
        <f t="shared" si="4"/>
        <v>0</v>
      </c>
      <c r="M37" s="712">
        <f t="shared" si="4"/>
        <v>0</v>
      </c>
      <c r="N37" s="180">
        <f t="shared" si="6"/>
        <v>0</v>
      </c>
      <c r="O37" s="179">
        <f>'A5-Capex'!J38</f>
        <v>0</v>
      </c>
      <c r="P37" s="177">
        <f>'A5-Capex'!K38</f>
        <v>0</v>
      </c>
      <c r="Q37" s="178">
        <f>'A5-Capex'!L38</f>
        <v>0</v>
      </c>
    </row>
    <row r="38" spans="1:20" x14ac:dyDescent="0.25">
      <c r="A38" s="170" t="s">
        <v>1158</v>
      </c>
      <c r="B38" s="2044">
        <v>2</v>
      </c>
      <c r="C38" s="924">
        <f t="shared" ref="C38:Q38" si="7">SUM(C23:C37)</f>
        <v>2635084</v>
      </c>
      <c r="D38" s="106">
        <f t="shared" si="7"/>
        <v>2635084</v>
      </c>
      <c r="E38" s="106">
        <f t="shared" si="7"/>
        <v>2635084</v>
      </c>
      <c r="F38" s="106">
        <f t="shared" si="7"/>
        <v>2635084</v>
      </c>
      <c r="G38" s="106">
        <f t="shared" si="7"/>
        <v>2635084</v>
      </c>
      <c r="H38" s="106">
        <f t="shared" si="7"/>
        <v>2635084</v>
      </c>
      <c r="I38" s="106">
        <f t="shared" si="7"/>
        <v>2635084</v>
      </c>
      <c r="J38" s="106">
        <f t="shared" si="7"/>
        <v>2635084</v>
      </c>
      <c r="K38" s="106">
        <f t="shared" si="7"/>
        <v>2635084</v>
      </c>
      <c r="L38" s="106">
        <f t="shared" si="7"/>
        <v>2635084</v>
      </c>
      <c r="M38" s="106">
        <f t="shared" si="7"/>
        <v>2635084</v>
      </c>
      <c r="N38" s="925">
        <f t="shared" si="7"/>
        <v>2635076</v>
      </c>
      <c r="O38" s="924">
        <f t="shared" si="7"/>
        <v>31621000</v>
      </c>
      <c r="P38" s="106">
        <f t="shared" si="7"/>
        <v>3756392</v>
      </c>
      <c r="Q38" s="923">
        <f t="shared" si="7"/>
        <v>3986648</v>
      </c>
    </row>
    <row r="39" spans="1:20" x14ac:dyDescent="0.25">
      <c r="A39" s="1980" t="s">
        <v>523</v>
      </c>
      <c r="B39" s="2047">
        <v>2</v>
      </c>
      <c r="C39" s="121">
        <f>C20+C38</f>
        <v>2635084</v>
      </c>
      <c r="D39" s="119">
        <f t="shared" ref="D39:N39" si="8">D20+D38</f>
        <v>2635084</v>
      </c>
      <c r="E39" s="119">
        <f t="shared" si="8"/>
        <v>2635084</v>
      </c>
      <c r="F39" s="119">
        <f t="shared" si="8"/>
        <v>2635084</v>
      </c>
      <c r="G39" s="119">
        <f t="shared" si="8"/>
        <v>2635084</v>
      </c>
      <c r="H39" s="119">
        <f t="shared" si="8"/>
        <v>2635084</v>
      </c>
      <c r="I39" s="119">
        <f t="shared" si="8"/>
        <v>2635084</v>
      </c>
      <c r="J39" s="119">
        <f t="shared" si="8"/>
        <v>2635084</v>
      </c>
      <c r="K39" s="119">
        <f t="shared" si="8"/>
        <v>2635084</v>
      </c>
      <c r="L39" s="119">
        <f t="shared" si="8"/>
        <v>2635084</v>
      </c>
      <c r="M39" s="119">
        <f t="shared" si="8"/>
        <v>2635084</v>
      </c>
      <c r="N39" s="122">
        <f t="shared" si="8"/>
        <v>2635076</v>
      </c>
      <c r="O39" s="121">
        <f>O20+O38</f>
        <v>31621000</v>
      </c>
      <c r="P39" s="119">
        <f>P20+P38</f>
        <v>3756392</v>
      </c>
      <c r="Q39" s="120">
        <f>Q20+Q38</f>
        <v>3986648</v>
      </c>
    </row>
    <row r="40" spans="1:20" x14ac:dyDescent="0.25">
      <c r="A40" s="2048"/>
      <c r="B40" s="2049"/>
      <c r="C40" s="101"/>
      <c r="D40" s="101"/>
      <c r="E40" s="101"/>
      <c r="F40" s="101"/>
      <c r="G40" s="101"/>
      <c r="H40" s="101"/>
      <c r="I40" s="101"/>
      <c r="J40" s="101"/>
      <c r="K40" s="101"/>
      <c r="L40" s="101"/>
      <c r="M40" s="101"/>
      <c r="N40" s="101"/>
      <c r="O40" s="101"/>
      <c r="P40" s="101"/>
      <c r="Q40" s="101"/>
    </row>
    <row r="41" spans="1:20" x14ac:dyDescent="0.25">
      <c r="A41" s="2048"/>
      <c r="B41" s="2049"/>
      <c r="C41" s="101"/>
      <c r="D41" s="101"/>
      <c r="E41" s="101"/>
      <c r="F41" s="101"/>
      <c r="G41" s="101"/>
      <c r="H41" s="101"/>
      <c r="I41" s="101"/>
      <c r="J41" s="101"/>
      <c r="K41" s="101"/>
      <c r="L41" s="101"/>
      <c r="M41" s="101"/>
      <c r="N41" s="101"/>
      <c r="O41" s="101"/>
      <c r="P41" s="101"/>
      <c r="Q41" s="101"/>
    </row>
    <row r="42" spans="1:20" x14ac:dyDescent="0.25">
      <c r="A42" s="302" t="str">
        <f>head27a</f>
        <v>References</v>
      </c>
      <c r="B42" s="2050"/>
      <c r="C42" s="191"/>
      <c r="D42" s="191"/>
      <c r="E42" s="191"/>
      <c r="F42" s="191"/>
      <c r="G42" s="191"/>
      <c r="H42" s="191"/>
      <c r="I42" s="191"/>
      <c r="J42" s="191"/>
      <c r="K42" s="191"/>
      <c r="L42" s="191"/>
      <c r="M42" s="191"/>
      <c r="N42" s="191"/>
      <c r="O42" s="191"/>
      <c r="P42" s="191"/>
      <c r="Q42" s="191"/>
      <c r="S42" s="322"/>
      <c r="T42" s="322"/>
    </row>
    <row r="43" spans="1:20" x14ac:dyDescent="0.25">
      <c r="A43" s="296" t="s">
        <v>679</v>
      </c>
      <c r="C43" s="191"/>
      <c r="D43" s="191"/>
      <c r="E43" s="191"/>
      <c r="F43" s="191"/>
      <c r="G43" s="191"/>
      <c r="H43" s="191"/>
      <c r="I43" s="191"/>
      <c r="J43" s="191"/>
      <c r="K43" s="191"/>
      <c r="L43" s="191"/>
      <c r="M43" s="191"/>
      <c r="N43" s="191"/>
      <c r="O43" s="191"/>
      <c r="P43" s="191"/>
      <c r="Q43" s="191"/>
      <c r="R43" s="322"/>
      <c r="S43" s="322"/>
      <c r="T43" s="322"/>
    </row>
    <row r="44" spans="1:20" x14ac:dyDescent="0.25">
      <c r="A44" s="296" t="s">
        <v>147</v>
      </c>
    </row>
    <row r="45" spans="1:20" x14ac:dyDescent="0.25">
      <c r="A45" s="1815" t="s">
        <v>1330</v>
      </c>
      <c r="B45" s="441"/>
      <c r="O45" s="2051">
        <f>O20-'A5-Capex'!J21</f>
        <v>0</v>
      </c>
      <c r="P45" s="2051">
        <f>P20-'A5-Capex'!K21</f>
        <v>0</v>
      </c>
      <c r="Q45" s="2051">
        <f>Q20-'A5-Capex'!L21</f>
        <v>0</v>
      </c>
    </row>
    <row r="47" spans="1:20" x14ac:dyDescent="0.25">
      <c r="E47" s="58" t="s">
        <v>169</v>
      </c>
    </row>
  </sheetData>
  <sheetProtection sheet="1" objects="1" scenarios="1"/>
  <mergeCells count="2">
    <mergeCell ref="C2:N2"/>
    <mergeCell ref="O2:Q2"/>
  </mergeCells>
  <phoneticPr fontId="7" type="noConversion"/>
  <printOptions horizontalCentered="1"/>
  <pageMargins left="0" right="0" top="0.78740157480314965" bottom="0.59055118110236227" header="0.51181102362204722" footer="0.39370078740157483"/>
  <pageSetup paperSize="9" scale="94" orientation="landscape" r:id="rId1"/>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Sheet50">
    <pageSetUpPr fitToPage="1"/>
  </sheetPr>
  <dimension ref="A1:T40"/>
  <sheetViews>
    <sheetView showGridLines="0" zoomScale="110" zoomScaleNormal="110" workbookViewId="0">
      <pane xSplit="2" ySplit="3" topLeftCell="G16" activePane="bottomRight" state="frozen"/>
      <selection pane="topRight"/>
      <selection pane="bottomLeft"/>
      <selection pane="bottomRight" activeCell="C6" sqref="C6"/>
    </sheetView>
  </sheetViews>
  <sheetFormatPr defaultColWidth="9.140625" defaultRowHeight="12.75" x14ac:dyDescent="0.25"/>
  <cols>
    <col min="1" max="1" width="30.7109375" style="58" customWidth="1"/>
    <col min="2" max="2" width="3" style="58" customWidth="1"/>
    <col min="3" max="14" width="8.28515625" style="58" customWidth="1"/>
    <col min="15" max="17" width="9.28515625" style="58" customWidth="1"/>
    <col min="18" max="16384" width="9.140625" style="58"/>
  </cols>
  <sheetData>
    <row r="1" spans="1:18" ht="13.5" customHeight="1" x14ac:dyDescent="0.25">
      <c r="A1" s="92" t="str">
        <f>muni&amp;" - "&amp; TableA29</f>
        <v>KZN226 Mkhambathini - Supporting Table SA29 Budgeted monthly capital expenditure (functional classification)</v>
      </c>
      <c r="B1" s="92"/>
      <c r="C1" s="92"/>
      <c r="D1" s="92"/>
      <c r="E1" s="92"/>
      <c r="F1" s="92"/>
      <c r="G1" s="92"/>
      <c r="H1" s="92"/>
      <c r="I1" s="92"/>
      <c r="J1" s="92"/>
      <c r="K1" s="92"/>
      <c r="L1" s="92"/>
      <c r="M1" s="92"/>
      <c r="N1" s="92"/>
      <c r="O1" s="92"/>
      <c r="P1" s="92"/>
      <c r="Q1" s="92"/>
    </row>
    <row r="2" spans="1:18" ht="27" customHeight="1" x14ac:dyDescent="0.25">
      <c r="A2" s="1829" t="str">
        <f>desc</f>
        <v>Description</v>
      </c>
      <c r="B2" s="1825" t="str">
        <f>head27</f>
        <v>Ref</v>
      </c>
      <c r="C2" s="2447" t="str">
        <f>Head9</f>
        <v>Budget Year 2021/22</v>
      </c>
      <c r="D2" s="2448"/>
      <c r="E2" s="2448"/>
      <c r="F2" s="2448"/>
      <c r="G2" s="2448"/>
      <c r="H2" s="2448"/>
      <c r="I2" s="2448"/>
      <c r="J2" s="2448"/>
      <c r="K2" s="2448"/>
      <c r="L2" s="2448"/>
      <c r="M2" s="2448"/>
      <c r="N2" s="2448"/>
      <c r="O2" s="2450" t="s">
        <v>1554</v>
      </c>
      <c r="P2" s="2451"/>
      <c r="Q2" s="2452"/>
    </row>
    <row r="3" spans="1:18" ht="25.5" x14ac:dyDescent="0.25">
      <c r="A3" s="156" t="s">
        <v>568</v>
      </c>
      <c r="B3" s="2021"/>
      <c r="C3" s="95" t="s">
        <v>620</v>
      </c>
      <c r="D3" s="527" t="s">
        <v>1233</v>
      </c>
      <c r="E3" s="527" t="s">
        <v>1234</v>
      </c>
      <c r="F3" s="527" t="s">
        <v>1235</v>
      </c>
      <c r="G3" s="527" t="s">
        <v>359</v>
      </c>
      <c r="H3" s="527" t="s">
        <v>360</v>
      </c>
      <c r="I3" s="527" t="s">
        <v>605</v>
      </c>
      <c r="J3" s="527" t="s">
        <v>361</v>
      </c>
      <c r="K3" s="527" t="s">
        <v>607</v>
      </c>
      <c r="L3" s="527" t="s">
        <v>608</v>
      </c>
      <c r="M3" s="527" t="s">
        <v>609</v>
      </c>
      <c r="N3" s="702" t="s">
        <v>610</v>
      </c>
      <c r="O3" s="95" t="str">
        <f>Head9</f>
        <v>Budget Year 2021/22</v>
      </c>
      <c r="P3" s="698" t="str">
        <f>Head10</f>
        <v>Budget Year +1 2022/23</v>
      </c>
      <c r="Q3" s="94" t="str">
        <f>Head11</f>
        <v>Budget Year +2 2023/24</v>
      </c>
    </row>
    <row r="4" spans="1:18" x14ac:dyDescent="0.25">
      <c r="A4" s="96" t="str">
        <f>'A5-Capex'!A42</f>
        <v>Capital Expenditure - Functional</v>
      </c>
      <c r="B4" s="2043">
        <v>1</v>
      </c>
      <c r="C4" s="179"/>
      <c r="D4" s="177"/>
      <c r="E4" s="177"/>
      <c r="F4" s="177"/>
      <c r="G4" s="177"/>
      <c r="H4" s="177"/>
      <c r="I4" s="177"/>
      <c r="J4" s="177"/>
      <c r="K4" s="177"/>
      <c r="L4" s="177"/>
      <c r="M4" s="177"/>
      <c r="N4" s="180"/>
      <c r="O4" s="179"/>
      <c r="P4" s="177"/>
      <c r="Q4" s="178"/>
    </row>
    <row r="5" spans="1:18" x14ac:dyDescent="0.25">
      <c r="A5" s="225" t="str">
        <f>'A5-Capex'!A43</f>
        <v>Governance and administration</v>
      </c>
      <c r="B5" s="2024"/>
      <c r="C5" s="100">
        <f>SUM(C6:C8)</f>
        <v>75417</v>
      </c>
      <c r="D5" s="98">
        <f>SUM(D6:D8)</f>
        <v>75417</v>
      </c>
      <c r="E5" s="98">
        <f t="shared" ref="E5:M5" si="0">SUM(E6:E8)</f>
        <v>75417</v>
      </c>
      <c r="F5" s="98">
        <f t="shared" si="0"/>
        <v>75417</v>
      </c>
      <c r="G5" s="98">
        <f t="shared" si="0"/>
        <v>75417</v>
      </c>
      <c r="H5" s="98">
        <f t="shared" si="0"/>
        <v>75417</v>
      </c>
      <c r="I5" s="98">
        <f t="shared" si="0"/>
        <v>75417</v>
      </c>
      <c r="J5" s="98">
        <f t="shared" si="0"/>
        <v>75417</v>
      </c>
      <c r="K5" s="98">
        <f t="shared" si="0"/>
        <v>75417</v>
      </c>
      <c r="L5" s="98">
        <f t="shared" si="0"/>
        <v>75417</v>
      </c>
      <c r="M5" s="98">
        <f t="shared" si="0"/>
        <v>75417</v>
      </c>
      <c r="N5" s="831">
        <f>O5-SUM(C5:M5)</f>
        <v>75413</v>
      </c>
      <c r="O5" s="743">
        <f>'A5-Capex'!J43</f>
        <v>905000</v>
      </c>
      <c r="P5" s="545">
        <f>'A5-Capex'!K43</f>
        <v>756392</v>
      </c>
      <c r="Q5" s="99">
        <f>'A5-Capex'!L43</f>
        <v>786648</v>
      </c>
      <c r="R5" s="322"/>
    </row>
    <row r="6" spans="1:18" x14ac:dyDescent="0.25">
      <c r="A6" s="226" t="str">
        <f>'A5-Capex'!A44</f>
        <v>Executive and council</v>
      </c>
      <c r="B6" s="2024"/>
      <c r="C6" s="725">
        <f t="shared" ref="C6:M8" si="1">ROUND($O6/12,0)</f>
        <v>0</v>
      </c>
      <c r="D6" s="712">
        <f t="shared" si="1"/>
        <v>0</v>
      </c>
      <c r="E6" s="712">
        <f t="shared" si="1"/>
        <v>0</v>
      </c>
      <c r="F6" s="712">
        <f t="shared" si="1"/>
        <v>0</v>
      </c>
      <c r="G6" s="712">
        <f t="shared" si="1"/>
        <v>0</v>
      </c>
      <c r="H6" s="712">
        <f t="shared" si="1"/>
        <v>0</v>
      </c>
      <c r="I6" s="712">
        <f t="shared" si="1"/>
        <v>0</v>
      </c>
      <c r="J6" s="712">
        <f t="shared" si="1"/>
        <v>0</v>
      </c>
      <c r="K6" s="712">
        <f t="shared" si="1"/>
        <v>0</v>
      </c>
      <c r="L6" s="712">
        <f t="shared" si="1"/>
        <v>0</v>
      </c>
      <c r="M6" s="712">
        <f t="shared" si="1"/>
        <v>0</v>
      </c>
      <c r="N6" s="180">
        <f t="shared" ref="N6:N23" si="2">O6-SUM(C6:M6)</f>
        <v>0</v>
      </c>
      <c r="O6" s="179">
        <f>'A5-Capex'!J44</f>
        <v>0</v>
      </c>
      <c r="P6" s="177">
        <f>'A5-Capex'!K44</f>
        <v>0</v>
      </c>
      <c r="Q6" s="72">
        <f>'A5-Capex'!L44</f>
        <v>0</v>
      </c>
      <c r="R6" s="322"/>
    </row>
    <row r="7" spans="1:18" x14ac:dyDescent="0.25">
      <c r="A7" s="226" t="str">
        <f>'A5-Capex'!A45</f>
        <v>Finance and administration</v>
      </c>
      <c r="B7" s="2024"/>
      <c r="C7" s="725">
        <f t="shared" si="1"/>
        <v>75417</v>
      </c>
      <c r="D7" s="712">
        <f t="shared" si="1"/>
        <v>75417</v>
      </c>
      <c r="E7" s="712">
        <f t="shared" si="1"/>
        <v>75417</v>
      </c>
      <c r="F7" s="712">
        <f t="shared" si="1"/>
        <v>75417</v>
      </c>
      <c r="G7" s="712">
        <f t="shared" si="1"/>
        <v>75417</v>
      </c>
      <c r="H7" s="712">
        <f t="shared" si="1"/>
        <v>75417</v>
      </c>
      <c r="I7" s="712">
        <f t="shared" si="1"/>
        <v>75417</v>
      </c>
      <c r="J7" s="712">
        <f t="shared" si="1"/>
        <v>75417</v>
      </c>
      <c r="K7" s="712">
        <f t="shared" si="1"/>
        <v>75417</v>
      </c>
      <c r="L7" s="712">
        <f t="shared" si="1"/>
        <v>75417</v>
      </c>
      <c r="M7" s="712">
        <f t="shared" si="1"/>
        <v>75417</v>
      </c>
      <c r="N7" s="180">
        <f t="shared" si="2"/>
        <v>75413</v>
      </c>
      <c r="O7" s="179">
        <f>'A5-Capex'!J45</f>
        <v>905000</v>
      </c>
      <c r="P7" s="177">
        <f>'A5-Capex'!K45</f>
        <v>756392</v>
      </c>
      <c r="Q7" s="72">
        <f>'A5-Capex'!L45</f>
        <v>786648</v>
      </c>
      <c r="R7" s="322"/>
    </row>
    <row r="8" spans="1:18" x14ac:dyDescent="0.25">
      <c r="A8" s="226" t="str">
        <f>'A5-Capex'!A46</f>
        <v>Internal audit</v>
      </c>
      <c r="B8" s="2024"/>
      <c r="C8" s="725">
        <f t="shared" si="1"/>
        <v>0</v>
      </c>
      <c r="D8" s="712">
        <f t="shared" si="1"/>
        <v>0</v>
      </c>
      <c r="E8" s="712">
        <f t="shared" si="1"/>
        <v>0</v>
      </c>
      <c r="F8" s="712">
        <f t="shared" si="1"/>
        <v>0</v>
      </c>
      <c r="G8" s="712">
        <f t="shared" si="1"/>
        <v>0</v>
      </c>
      <c r="H8" s="712">
        <f t="shared" si="1"/>
        <v>0</v>
      </c>
      <c r="I8" s="712">
        <f t="shared" si="1"/>
        <v>0</v>
      </c>
      <c r="J8" s="712">
        <f t="shared" si="1"/>
        <v>0</v>
      </c>
      <c r="K8" s="712">
        <f t="shared" si="1"/>
        <v>0</v>
      </c>
      <c r="L8" s="712">
        <f t="shared" si="1"/>
        <v>0</v>
      </c>
      <c r="M8" s="712">
        <f t="shared" si="1"/>
        <v>0</v>
      </c>
      <c r="N8" s="180">
        <f t="shared" si="2"/>
        <v>0</v>
      </c>
      <c r="O8" s="179">
        <f>'A5-Capex'!J46</f>
        <v>0</v>
      </c>
      <c r="P8" s="177">
        <f>'A5-Capex'!K46</f>
        <v>0</v>
      </c>
      <c r="Q8" s="72">
        <f>'A5-Capex'!L46</f>
        <v>0</v>
      </c>
      <c r="R8" s="322"/>
    </row>
    <row r="9" spans="1:18" x14ac:dyDescent="0.25">
      <c r="A9" s="225" t="str">
        <f>'A5-Capex'!A47</f>
        <v>Community and public safety</v>
      </c>
      <c r="B9" s="2024"/>
      <c r="C9" s="100">
        <f>SUM(C10:C14)</f>
        <v>1343798</v>
      </c>
      <c r="D9" s="98">
        <f t="shared" ref="D9:M9" si="3">SUM(D10:D14)</f>
        <v>1343798</v>
      </c>
      <c r="E9" s="98">
        <f t="shared" si="3"/>
        <v>1343798</v>
      </c>
      <c r="F9" s="98">
        <f t="shared" si="3"/>
        <v>1343798</v>
      </c>
      <c r="G9" s="98">
        <f t="shared" si="3"/>
        <v>1343798</v>
      </c>
      <c r="H9" s="98">
        <f t="shared" si="3"/>
        <v>1343798</v>
      </c>
      <c r="I9" s="98">
        <f t="shared" si="3"/>
        <v>1343798</v>
      </c>
      <c r="J9" s="98">
        <f t="shared" si="3"/>
        <v>1343798</v>
      </c>
      <c r="K9" s="98">
        <f t="shared" si="3"/>
        <v>1343798</v>
      </c>
      <c r="L9" s="98">
        <f t="shared" si="3"/>
        <v>1343798</v>
      </c>
      <c r="M9" s="98">
        <f t="shared" si="3"/>
        <v>1343798</v>
      </c>
      <c r="N9" s="831">
        <f t="shared" si="2"/>
        <v>1343797</v>
      </c>
      <c r="O9" s="743">
        <f>'A5-Capex'!J47</f>
        <v>16125575</v>
      </c>
      <c r="P9" s="545">
        <f>'A5-Capex'!K47</f>
        <v>3000000</v>
      </c>
      <c r="Q9" s="99">
        <f>'A5-Capex'!L47</f>
        <v>3200000</v>
      </c>
      <c r="R9" s="322"/>
    </row>
    <row r="10" spans="1:18" x14ac:dyDescent="0.25">
      <c r="A10" s="226" t="str">
        <f>'A5-Capex'!A48</f>
        <v>Community and social services</v>
      </c>
      <c r="B10" s="2024"/>
      <c r="C10" s="725">
        <f t="shared" ref="C10:M14" si="4">ROUND($O10/12,0)</f>
        <v>247048</v>
      </c>
      <c r="D10" s="712">
        <f t="shared" si="4"/>
        <v>247048</v>
      </c>
      <c r="E10" s="712">
        <f t="shared" si="4"/>
        <v>247048</v>
      </c>
      <c r="F10" s="712">
        <f t="shared" si="4"/>
        <v>247048</v>
      </c>
      <c r="G10" s="712">
        <f t="shared" si="4"/>
        <v>247048</v>
      </c>
      <c r="H10" s="712">
        <f t="shared" si="4"/>
        <v>247048</v>
      </c>
      <c r="I10" s="712">
        <f t="shared" si="4"/>
        <v>247048</v>
      </c>
      <c r="J10" s="712">
        <f t="shared" si="4"/>
        <v>247048</v>
      </c>
      <c r="K10" s="712">
        <f t="shared" si="4"/>
        <v>247048</v>
      </c>
      <c r="L10" s="712">
        <f t="shared" si="4"/>
        <v>247048</v>
      </c>
      <c r="M10" s="712">
        <f t="shared" si="4"/>
        <v>247048</v>
      </c>
      <c r="N10" s="180">
        <f t="shared" si="2"/>
        <v>247047</v>
      </c>
      <c r="O10" s="179">
        <f>'A5-Capex'!J48</f>
        <v>2964575</v>
      </c>
      <c r="P10" s="177">
        <f>'A5-Capex'!K48</f>
        <v>3000000</v>
      </c>
      <c r="Q10" s="72">
        <f>'A5-Capex'!L48</f>
        <v>3200000</v>
      </c>
      <c r="R10" s="322"/>
    </row>
    <row r="11" spans="1:18" x14ac:dyDescent="0.25">
      <c r="A11" s="226" t="str">
        <f>'A5-Capex'!A49</f>
        <v>Sport and recreation</v>
      </c>
      <c r="B11" s="2024"/>
      <c r="C11" s="725">
        <f t="shared" si="4"/>
        <v>1096750</v>
      </c>
      <c r="D11" s="712">
        <f t="shared" si="4"/>
        <v>1096750</v>
      </c>
      <c r="E11" s="712">
        <f t="shared" si="4"/>
        <v>1096750</v>
      </c>
      <c r="F11" s="712">
        <f t="shared" si="4"/>
        <v>1096750</v>
      </c>
      <c r="G11" s="712">
        <f t="shared" si="4"/>
        <v>1096750</v>
      </c>
      <c r="H11" s="712">
        <f t="shared" si="4"/>
        <v>1096750</v>
      </c>
      <c r="I11" s="712">
        <f t="shared" si="4"/>
        <v>1096750</v>
      </c>
      <c r="J11" s="712">
        <f t="shared" si="4"/>
        <v>1096750</v>
      </c>
      <c r="K11" s="712">
        <f t="shared" si="4"/>
        <v>1096750</v>
      </c>
      <c r="L11" s="712">
        <f t="shared" si="4"/>
        <v>1096750</v>
      </c>
      <c r="M11" s="712">
        <f t="shared" si="4"/>
        <v>1096750</v>
      </c>
      <c r="N11" s="180">
        <f t="shared" si="2"/>
        <v>1096750</v>
      </c>
      <c r="O11" s="179">
        <f>'A5-Capex'!J49</f>
        <v>13161000</v>
      </c>
      <c r="P11" s="177">
        <f>'A5-Capex'!K49</f>
        <v>0</v>
      </c>
      <c r="Q11" s="72">
        <f>'A5-Capex'!L49</f>
        <v>0</v>
      </c>
      <c r="R11" s="322"/>
    </row>
    <row r="12" spans="1:18" x14ac:dyDescent="0.25">
      <c r="A12" s="226" t="str">
        <f>'A5-Capex'!A50</f>
        <v>Public safety</v>
      </c>
      <c r="B12" s="2024"/>
      <c r="C12" s="725">
        <f t="shared" si="4"/>
        <v>0</v>
      </c>
      <c r="D12" s="712">
        <f t="shared" si="4"/>
        <v>0</v>
      </c>
      <c r="E12" s="712">
        <f t="shared" si="4"/>
        <v>0</v>
      </c>
      <c r="F12" s="712">
        <f t="shared" si="4"/>
        <v>0</v>
      </c>
      <c r="G12" s="712">
        <f t="shared" si="4"/>
        <v>0</v>
      </c>
      <c r="H12" s="712">
        <f t="shared" si="4"/>
        <v>0</v>
      </c>
      <c r="I12" s="712">
        <f t="shared" si="4"/>
        <v>0</v>
      </c>
      <c r="J12" s="712">
        <f t="shared" si="4"/>
        <v>0</v>
      </c>
      <c r="K12" s="712">
        <f t="shared" si="4"/>
        <v>0</v>
      </c>
      <c r="L12" s="712">
        <f t="shared" si="4"/>
        <v>0</v>
      </c>
      <c r="M12" s="712">
        <f t="shared" si="4"/>
        <v>0</v>
      </c>
      <c r="N12" s="180">
        <f t="shared" si="2"/>
        <v>0</v>
      </c>
      <c r="O12" s="179">
        <f>'A5-Capex'!J50</f>
        <v>0</v>
      </c>
      <c r="P12" s="177">
        <f>'A5-Capex'!K50</f>
        <v>0</v>
      </c>
      <c r="Q12" s="72">
        <f>'A5-Capex'!L50</f>
        <v>0</v>
      </c>
      <c r="R12" s="322"/>
    </row>
    <row r="13" spans="1:18" x14ac:dyDescent="0.25">
      <c r="A13" s="226" t="str">
        <f>'A5-Capex'!A51</f>
        <v>Housing</v>
      </c>
      <c r="B13" s="2024"/>
      <c r="C13" s="725">
        <f t="shared" si="4"/>
        <v>0</v>
      </c>
      <c r="D13" s="712">
        <f t="shared" si="4"/>
        <v>0</v>
      </c>
      <c r="E13" s="712">
        <f t="shared" si="4"/>
        <v>0</v>
      </c>
      <c r="F13" s="712">
        <f t="shared" si="4"/>
        <v>0</v>
      </c>
      <c r="G13" s="712">
        <f t="shared" si="4"/>
        <v>0</v>
      </c>
      <c r="H13" s="712">
        <f t="shared" si="4"/>
        <v>0</v>
      </c>
      <c r="I13" s="712">
        <f t="shared" si="4"/>
        <v>0</v>
      </c>
      <c r="J13" s="712">
        <f t="shared" si="4"/>
        <v>0</v>
      </c>
      <c r="K13" s="712">
        <f t="shared" si="4"/>
        <v>0</v>
      </c>
      <c r="L13" s="712">
        <f t="shared" si="4"/>
        <v>0</v>
      </c>
      <c r="M13" s="712">
        <f t="shared" si="4"/>
        <v>0</v>
      </c>
      <c r="N13" s="180">
        <f t="shared" si="2"/>
        <v>0</v>
      </c>
      <c r="O13" s="179">
        <f>'A5-Capex'!J51</f>
        <v>0</v>
      </c>
      <c r="P13" s="177">
        <f>'A5-Capex'!K51</f>
        <v>0</v>
      </c>
      <c r="Q13" s="72">
        <f>'A5-Capex'!L51</f>
        <v>0</v>
      </c>
      <c r="R13" s="322"/>
    </row>
    <row r="14" spans="1:18" x14ac:dyDescent="0.25">
      <c r="A14" s="226" t="str">
        <f>'A5-Capex'!A52</f>
        <v>Health</v>
      </c>
      <c r="B14" s="2024"/>
      <c r="C14" s="725">
        <f t="shared" si="4"/>
        <v>0</v>
      </c>
      <c r="D14" s="712">
        <f t="shared" si="4"/>
        <v>0</v>
      </c>
      <c r="E14" s="712">
        <f t="shared" si="4"/>
        <v>0</v>
      </c>
      <c r="F14" s="712">
        <f t="shared" si="4"/>
        <v>0</v>
      </c>
      <c r="G14" s="712">
        <f t="shared" si="4"/>
        <v>0</v>
      </c>
      <c r="H14" s="712">
        <f t="shared" si="4"/>
        <v>0</v>
      </c>
      <c r="I14" s="712">
        <f t="shared" si="4"/>
        <v>0</v>
      </c>
      <c r="J14" s="712">
        <f t="shared" si="4"/>
        <v>0</v>
      </c>
      <c r="K14" s="712">
        <f t="shared" si="4"/>
        <v>0</v>
      </c>
      <c r="L14" s="712">
        <f t="shared" si="4"/>
        <v>0</v>
      </c>
      <c r="M14" s="712">
        <f t="shared" si="4"/>
        <v>0</v>
      </c>
      <c r="N14" s="180">
        <f t="shared" si="2"/>
        <v>0</v>
      </c>
      <c r="O14" s="179">
        <f>'A5-Capex'!J52</f>
        <v>0</v>
      </c>
      <c r="P14" s="177">
        <f>'A5-Capex'!K52</f>
        <v>0</v>
      </c>
      <c r="Q14" s="72">
        <f>'A5-Capex'!L52</f>
        <v>0</v>
      </c>
      <c r="R14" s="322"/>
    </row>
    <row r="15" spans="1:18" x14ac:dyDescent="0.25">
      <c r="A15" s="225" t="str">
        <f>'A5-Capex'!A53</f>
        <v>Economic and environmental services</v>
      </c>
      <c r="B15" s="2024"/>
      <c r="C15" s="100">
        <f>SUM(C16:C18)</f>
        <v>1215869</v>
      </c>
      <c r="D15" s="98">
        <f t="shared" ref="D15:M15" si="5">SUM(D16:D18)</f>
        <v>1215869</v>
      </c>
      <c r="E15" s="98">
        <f t="shared" si="5"/>
        <v>1215869</v>
      </c>
      <c r="F15" s="98">
        <f t="shared" si="5"/>
        <v>1215869</v>
      </c>
      <c r="G15" s="98">
        <f t="shared" si="5"/>
        <v>1215869</v>
      </c>
      <c r="H15" s="98">
        <f t="shared" si="5"/>
        <v>1215869</v>
      </c>
      <c r="I15" s="98">
        <f t="shared" si="5"/>
        <v>1215869</v>
      </c>
      <c r="J15" s="98">
        <f t="shared" si="5"/>
        <v>1215869</v>
      </c>
      <c r="K15" s="98">
        <f t="shared" si="5"/>
        <v>1215869</v>
      </c>
      <c r="L15" s="98">
        <f t="shared" si="5"/>
        <v>1215869</v>
      </c>
      <c r="M15" s="98">
        <f t="shared" si="5"/>
        <v>1215869</v>
      </c>
      <c r="N15" s="831">
        <f t="shared" si="2"/>
        <v>1215866</v>
      </c>
      <c r="O15" s="743">
        <f>'A5-Capex'!J53</f>
        <v>14590425</v>
      </c>
      <c r="P15" s="545">
        <f>'A5-Capex'!K53</f>
        <v>0</v>
      </c>
      <c r="Q15" s="99">
        <f>'A5-Capex'!L53</f>
        <v>0</v>
      </c>
      <c r="R15" s="322"/>
    </row>
    <row r="16" spans="1:18" x14ac:dyDescent="0.25">
      <c r="A16" s="226" t="str">
        <f>'A5-Capex'!A54</f>
        <v>Planning and development</v>
      </c>
      <c r="B16" s="2024"/>
      <c r="C16" s="725">
        <f t="shared" ref="C16:M18" si="6">ROUND($O16/12,0)</f>
        <v>0</v>
      </c>
      <c r="D16" s="712">
        <f t="shared" si="6"/>
        <v>0</v>
      </c>
      <c r="E16" s="712">
        <f t="shared" si="6"/>
        <v>0</v>
      </c>
      <c r="F16" s="712">
        <f t="shared" si="6"/>
        <v>0</v>
      </c>
      <c r="G16" s="712">
        <f t="shared" si="6"/>
        <v>0</v>
      </c>
      <c r="H16" s="712">
        <f t="shared" si="6"/>
        <v>0</v>
      </c>
      <c r="I16" s="712">
        <f t="shared" si="6"/>
        <v>0</v>
      </c>
      <c r="J16" s="712">
        <f t="shared" si="6"/>
        <v>0</v>
      </c>
      <c r="K16" s="712">
        <f t="shared" si="6"/>
        <v>0</v>
      </c>
      <c r="L16" s="712">
        <f t="shared" si="6"/>
        <v>0</v>
      </c>
      <c r="M16" s="712">
        <f t="shared" si="6"/>
        <v>0</v>
      </c>
      <c r="N16" s="180">
        <f t="shared" si="2"/>
        <v>0</v>
      </c>
      <c r="O16" s="179">
        <f>'A5-Capex'!J54</f>
        <v>0</v>
      </c>
      <c r="P16" s="177">
        <f>'A5-Capex'!K54</f>
        <v>0</v>
      </c>
      <c r="Q16" s="72">
        <f>'A5-Capex'!L54</f>
        <v>0</v>
      </c>
      <c r="R16" s="322"/>
    </row>
    <row r="17" spans="1:20" x14ac:dyDescent="0.25">
      <c r="A17" s="226" t="str">
        <f>'A5-Capex'!A55</f>
        <v>Road transport</v>
      </c>
      <c r="B17" s="2024"/>
      <c r="C17" s="725">
        <f t="shared" si="6"/>
        <v>1215869</v>
      </c>
      <c r="D17" s="712">
        <f t="shared" si="6"/>
        <v>1215869</v>
      </c>
      <c r="E17" s="712">
        <f t="shared" si="6"/>
        <v>1215869</v>
      </c>
      <c r="F17" s="712">
        <f t="shared" si="6"/>
        <v>1215869</v>
      </c>
      <c r="G17" s="712">
        <f t="shared" si="6"/>
        <v>1215869</v>
      </c>
      <c r="H17" s="712">
        <f t="shared" si="6"/>
        <v>1215869</v>
      </c>
      <c r="I17" s="712">
        <f t="shared" si="6"/>
        <v>1215869</v>
      </c>
      <c r="J17" s="712">
        <f t="shared" si="6"/>
        <v>1215869</v>
      </c>
      <c r="K17" s="712">
        <f t="shared" si="6"/>
        <v>1215869</v>
      </c>
      <c r="L17" s="712">
        <f t="shared" si="6"/>
        <v>1215869</v>
      </c>
      <c r="M17" s="712">
        <f t="shared" si="6"/>
        <v>1215869</v>
      </c>
      <c r="N17" s="180">
        <f t="shared" si="2"/>
        <v>1215866</v>
      </c>
      <c r="O17" s="179">
        <f>'A5-Capex'!J55</f>
        <v>14590425</v>
      </c>
      <c r="P17" s="177">
        <f>'A5-Capex'!K55</f>
        <v>0</v>
      </c>
      <c r="Q17" s="72">
        <f>'A5-Capex'!L55</f>
        <v>0</v>
      </c>
      <c r="R17" s="322"/>
    </row>
    <row r="18" spans="1:20" x14ac:dyDescent="0.25">
      <c r="A18" s="226" t="str">
        <f>'A5-Capex'!A56</f>
        <v>Environmental protection</v>
      </c>
      <c r="B18" s="2024"/>
      <c r="C18" s="725">
        <f t="shared" si="6"/>
        <v>0</v>
      </c>
      <c r="D18" s="712">
        <f t="shared" si="6"/>
        <v>0</v>
      </c>
      <c r="E18" s="712">
        <f t="shared" si="6"/>
        <v>0</v>
      </c>
      <c r="F18" s="712">
        <f t="shared" si="6"/>
        <v>0</v>
      </c>
      <c r="G18" s="712">
        <f t="shared" si="6"/>
        <v>0</v>
      </c>
      <c r="H18" s="712">
        <f t="shared" si="6"/>
        <v>0</v>
      </c>
      <c r="I18" s="712">
        <f t="shared" si="6"/>
        <v>0</v>
      </c>
      <c r="J18" s="712">
        <f t="shared" si="6"/>
        <v>0</v>
      </c>
      <c r="K18" s="712">
        <f t="shared" si="6"/>
        <v>0</v>
      </c>
      <c r="L18" s="712">
        <f t="shared" si="6"/>
        <v>0</v>
      </c>
      <c r="M18" s="712">
        <f t="shared" si="6"/>
        <v>0</v>
      </c>
      <c r="N18" s="180">
        <f t="shared" si="2"/>
        <v>0</v>
      </c>
      <c r="O18" s="179">
        <f>'A5-Capex'!J56</f>
        <v>0</v>
      </c>
      <c r="P18" s="177">
        <f>'A5-Capex'!K56</f>
        <v>0</v>
      </c>
      <c r="Q18" s="72">
        <f>'A5-Capex'!L56</f>
        <v>0</v>
      </c>
      <c r="R18" s="322"/>
    </row>
    <row r="19" spans="1:20" x14ac:dyDescent="0.25">
      <c r="A19" s="225" t="str">
        <f>'A5-Capex'!A57</f>
        <v>Trading services</v>
      </c>
      <c r="B19" s="2024"/>
      <c r="C19" s="100">
        <f>SUM(C20:C23)</f>
        <v>0</v>
      </c>
      <c r="D19" s="98">
        <f t="shared" ref="D19:M19" si="7">SUM(D20:D23)</f>
        <v>0</v>
      </c>
      <c r="E19" s="98">
        <f t="shared" si="7"/>
        <v>0</v>
      </c>
      <c r="F19" s="98">
        <f t="shared" si="7"/>
        <v>0</v>
      </c>
      <c r="G19" s="98">
        <f t="shared" si="7"/>
        <v>0</v>
      </c>
      <c r="H19" s="98">
        <f t="shared" si="7"/>
        <v>0</v>
      </c>
      <c r="I19" s="98">
        <f t="shared" si="7"/>
        <v>0</v>
      </c>
      <c r="J19" s="98">
        <f t="shared" si="7"/>
        <v>0</v>
      </c>
      <c r="K19" s="98">
        <f t="shared" si="7"/>
        <v>0</v>
      </c>
      <c r="L19" s="98">
        <f t="shared" si="7"/>
        <v>0</v>
      </c>
      <c r="M19" s="98">
        <f t="shared" si="7"/>
        <v>0</v>
      </c>
      <c r="N19" s="831">
        <f>O19-SUM(C19:M19)</f>
        <v>0</v>
      </c>
      <c r="O19" s="743">
        <f>'A5-Capex'!J57</f>
        <v>0</v>
      </c>
      <c r="P19" s="545">
        <f>'A5-Capex'!K57</f>
        <v>0</v>
      </c>
      <c r="Q19" s="99">
        <f>'A5-Capex'!L57</f>
        <v>0</v>
      </c>
      <c r="R19" s="322"/>
    </row>
    <row r="20" spans="1:20" x14ac:dyDescent="0.25">
      <c r="A20" s="226" t="str">
        <f>'A5-Capex'!A58</f>
        <v>Energy sources</v>
      </c>
      <c r="B20" s="2024"/>
      <c r="C20" s="725">
        <f t="shared" ref="C20:M24" si="8">ROUND($O20/12,0)</f>
        <v>0</v>
      </c>
      <c r="D20" s="712">
        <f t="shared" si="8"/>
        <v>0</v>
      </c>
      <c r="E20" s="712">
        <f t="shared" si="8"/>
        <v>0</v>
      </c>
      <c r="F20" s="712">
        <f t="shared" si="8"/>
        <v>0</v>
      </c>
      <c r="G20" s="712">
        <f t="shared" si="8"/>
        <v>0</v>
      </c>
      <c r="H20" s="712">
        <f t="shared" si="8"/>
        <v>0</v>
      </c>
      <c r="I20" s="712">
        <f t="shared" si="8"/>
        <v>0</v>
      </c>
      <c r="J20" s="712">
        <f t="shared" si="8"/>
        <v>0</v>
      </c>
      <c r="K20" s="712">
        <f t="shared" si="8"/>
        <v>0</v>
      </c>
      <c r="L20" s="712">
        <f t="shared" si="8"/>
        <v>0</v>
      </c>
      <c r="M20" s="712">
        <f t="shared" si="8"/>
        <v>0</v>
      </c>
      <c r="N20" s="180">
        <f t="shared" si="2"/>
        <v>0</v>
      </c>
      <c r="O20" s="179">
        <f>'A5-Capex'!J58</f>
        <v>0</v>
      </c>
      <c r="P20" s="177">
        <f>'A5-Capex'!K58</f>
        <v>0</v>
      </c>
      <c r="Q20" s="72">
        <f>'A5-Capex'!L58</f>
        <v>0</v>
      </c>
      <c r="R20" s="322"/>
    </row>
    <row r="21" spans="1:20" x14ac:dyDescent="0.25">
      <c r="A21" s="226" t="str">
        <f>'A5-Capex'!A59</f>
        <v>Water management</v>
      </c>
      <c r="B21" s="2024"/>
      <c r="C21" s="725">
        <f t="shared" si="8"/>
        <v>0</v>
      </c>
      <c r="D21" s="712">
        <f t="shared" si="8"/>
        <v>0</v>
      </c>
      <c r="E21" s="712">
        <f t="shared" si="8"/>
        <v>0</v>
      </c>
      <c r="F21" s="712">
        <f t="shared" si="8"/>
        <v>0</v>
      </c>
      <c r="G21" s="712">
        <f t="shared" si="8"/>
        <v>0</v>
      </c>
      <c r="H21" s="712">
        <f t="shared" si="8"/>
        <v>0</v>
      </c>
      <c r="I21" s="712">
        <f t="shared" si="8"/>
        <v>0</v>
      </c>
      <c r="J21" s="712">
        <f t="shared" si="8"/>
        <v>0</v>
      </c>
      <c r="K21" s="712">
        <f t="shared" si="8"/>
        <v>0</v>
      </c>
      <c r="L21" s="712">
        <f t="shared" si="8"/>
        <v>0</v>
      </c>
      <c r="M21" s="712">
        <f t="shared" si="8"/>
        <v>0</v>
      </c>
      <c r="N21" s="180">
        <f t="shared" si="2"/>
        <v>0</v>
      </c>
      <c r="O21" s="179">
        <f>'A5-Capex'!J59</f>
        <v>0</v>
      </c>
      <c r="P21" s="177">
        <f>'A5-Capex'!K59</f>
        <v>0</v>
      </c>
      <c r="Q21" s="72">
        <f>'A5-Capex'!L59</f>
        <v>0</v>
      </c>
      <c r="R21" s="322"/>
    </row>
    <row r="22" spans="1:20" x14ac:dyDescent="0.25">
      <c r="A22" s="226" t="str">
        <f>'A5-Capex'!A60</f>
        <v>Waste water management</v>
      </c>
      <c r="B22" s="2024"/>
      <c r="C22" s="725">
        <f t="shared" si="8"/>
        <v>0</v>
      </c>
      <c r="D22" s="712">
        <f t="shared" si="8"/>
        <v>0</v>
      </c>
      <c r="E22" s="712">
        <f t="shared" si="8"/>
        <v>0</v>
      </c>
      <c r="F22" s="712">
        <f t="shared" si="8"/>
        <v>0</v>
      </c>
      <c r="G22" s="712">
        <f t="shared" si="8"/>
        <v>0</v>
      </c>
      <c r="H22" s="712">
        <f t="shared" si="8"/>
        <v>0</v>
      </c>
      <c r="I22" s="712">
        <f t="shared" si="8"/>
        <v>0</v>
      </c>
      <c r="J22" s="712">
        <f t="shared" si="8"/>
        <v>0</v>
      </c>
      <c r="K22" s="712">
        <f t="shared" si="8"/>
        <v>0</v>
      </c>
      <c r="L22" s="712">
        <f t="shared" si="8"/>
        <v>0</v>
      </c>
      <c r="M22" s="712">
        <f t="shared" si="8"/>
        <v>0</v>
      </c>
      <c r="N22" s="180">
        <f t="shared" si="2"/>
        <v>0</v>
      </c>
      <c r="O22" s="179">
        <f>'A5-Capex'!J60</f>
        <v>0</v>
      </c>
      <c r="P22" s="177">
        <f>'A5-Capex'!K60</f>
        <v>0</v>
      </c>
      <c r="Q22" s="72">
        <f>'A5-Capex'!L60</f>
        <v>0</v>
      </c>
      <c r="R22" s="322"/>
    </row>
    <row r="23" spans="1:20" x14ac:dyDescent="0.25">
      <c r="A23" s="226" t="str">
        <f>'A5-Capex'!A61</f>
        <v>Waste management</v>
      </c>
      <c r="B23" s="2024"/>
      <c r="C23" s="725">
        <f t="shared" si="8"/>
        <v>0</v>
      </c>
      <c r="D23" s="712">
        <f t="shared" si="8"/>
        <v>0</v>
      </c>
      <c r="E23" s="712">
        <f t="shared" si="8"/>
        <v>0</v>
      </c>
      <c r="F23" s="712">
        <f t="shared" si="8"/>
        <v>0</v>
      </c>
      <c r="G23" s="712">
        <f t="shared" si="8"/>
        <v>0</v>
      </c>
      <c r="H23" s="712">
        <f t="shared" si="8"/>
        <v>0</v>
      </c>
      <c r="I23" s="712">
        <f t="shared" si="8"/>
        <v>0</v>
      </c>
      <c r="J23" s="712">
        <f t="shared" si="8"/>
        <v>0</v>
      </c>
      <c r="K23" s="712">
        <f t="shared" si="8"/>
        <v>0</v>
      </c>
      <c r="L23" s="712">
        <f t="shared" si="8"/>
        <v>0</v>
      </c>
      <c r="M23" s="712">
        <f t="shared" si="8"/>
        <v>0</v>
      </c>
      <c r="N23" s="180">
        <f t="shared" si="2"/>
        <v>0</v>
      </c>
      <c r="O23" s="179">
        <f>'A5-Capex'!J61</f>
        <v>0</v>
      </c>
      <c r="P23" s="177">
        <f>'A5-Capex'!K61</f>
        <v>0</v>
      </c>
      <c r="Q23" s="72">
        <f>'A5-Capex'!L61</f>
        <v>0</v>
      </c>
      <c r="R23" s="322"/>
    </row>
    <row r="24" spans="1:20" x14ac:dyDescent="0.25">
      <c r="A24" s="225" t="str">
        <f>'A5-Capex'!A62</f>
        <v>Other</v>
      </c>
      <c r="B24" s="2024"/>
      <c r="C24" s="725">
        <f t="shared" si="8"/>
        <v>0</v>
      </c>
      <c r="D24" s="712">
        <f t="shared" si="8"/>
        <v>0</v>
      </c>
      <c r="E24" s="712">
        <f t="shared" si="8"/>
        <v>0</v>
      </c>
      <c r="F24" s="712">
        <f t="shared" si="8"/>
        <v>0</v>
      </c>
      <c r="G24" s="712">
        <f t="shared" si="8"/>
        <v>0</v>
      </c>
      <c r="H24" s="712">
        <f t="shared" si="8"/>
        <v>0</v>
      </c>
      <c r="I24" s="712">
        <f t="shared" si="8"/>
        <v>0</v>
      </c>
      <c r="J24" s="712">
        <f t="shared" si="8"/>
        <v>0</v>
      </c>
      <c r="K24" s="712">
        <f t="shared" si="8"/>
        <v>0</v>
      </c>
      <c r="L24" s="712">
        <f t="shared" si="8"/>
        <v>0</v>
      </c>
      <c r="M24" s="712">
        <f t="shared" si="8"/>
        <v>0</v>
      </c>
      <c r="N24" s="831">
        <f>O24-SUM(C24:M24)</f>
        <v>0</v>
      </c>
      <c r="O24" s="743">
        <f>'A5-Capex'!J62</f>
        <v>0</v>
      </c>
      <c r="P24" s="545">
        <f>'A5-Capex'!K62</f>
        <v>0</v>
      </c>
      <c r="Q24" s="99">
        <f>'A5-Capex'!L62</f>
        <v>0</v>
      </c>
      <c r="R24" s="322"/>
    </row>
    <row r="25" spans="1:20" x14ac:dyDescent="0.25">
      <c r="A25" s="1980" t="str">
        <f>'A5-Capex'!A63</f>
        <v>Total Capital Expenditure - Functional</v>
      </c>
      <c r="B25" s="2047">
        <v>2</v>
      </c>
      <c r="C25" s="123">
        <f>C5+C9+C15+C19+C24</f>
        <v>2635084</v>
      </c>
      <c r="D25" s="119">
        <f t="shared" ref="D25:Q25" si="9">D5+D9+D15+D19+D24</f>
        <v>2635084</v>
      </c>
      <c r="E25" s="119">
        <f t="shared" si="9"/>
        <v>2635084</v>
      </c>
      <c r="F25" s="119">
        <f t="shared" si="9"/>
        <v>2635084</v>
      </c>
      <c r="G25" s="119">
        <f t="shared" si="9"/>
        <v>2635084</v>
      </c>
      <c r="H25" s="119">
        <f t="shared" si="9"/>
        <v>2635084</v>
      </c>
      <c r="I25" s="119">
        <f t="shared" si="9"/>
        <v>2635084</v>
      </c>
      <c r="J25" s="119">
        <f t="shared" si="9"/>
        <v>2635084</v>
      </c>
      <c r="K25" s="119">
        <f t="shared" si="9"/>
        <v>2635084</v>
      </c>
      <c r="L25" s="119">
        <f t="shared" si="9"/>
        <v>2635084</v>
      </c>
      <c r="M25" s="119">
        <f t="shared" si="9"/>
        <v>2635084</v>
      </c>
      <c r="N25" s="1932">
        <f>N5+N9+N15+N19+N24</f>
        <v>2635076</v>
      </c>
      <c r="O25" s="123">
        <f t="shared" si="9"/>
        <v>31621000</v>
      </c>
      <c r="P25" s="119">
        <f t="shared" si="9"/>
        <v>3756392</v>
      </c>
      <c r="Q25" s="2039">
        <f t="shared" si="9"/>
        <v>3986648</v>
      </c>
      <c r="R25" s="322"/>
    </row>
    <row r="26" spans="1:20" ht="7.5" customHeight="1" x14ac:dyDescent="0.25">
      <c r="A26" s="2045"/>
      <c r="B26" s="2052"/>
      <c r="C26" s="293"/>
      <c r="D26" s="98"/>
      <c r="E26" s="98"/>
      <c r="F26" s="98"/>
      <c r="G26" s="98"/>
      <c r="H26" s="98"/>
      <c r="I26" s="98"/>
      <c r="J26" s="98"/>
      <c r="K26" s="98"/>
      <c r="L26" s="98"/>
      <c r="M26" s="98"/>
      <c r="N26" s="291"/>
      <c r="O26" s="102"/>
      <c r="P26" s="98"/>
      <c r="Q26" s="292"/>
      <c r="R26" s="322"/>
    </row>
    <row r="27" spans="1:20" x14ac:dyDescent="0.25">
      <c r="A27" s="158" t="s">
        <v>422</v>
      </c>
      <c r="B27" s="711"/>
      <c r="C27" s="177"/>
      <c r="D27" s="177"/>
      <c r="E27" s="177"/>
      <c r="F27" s="177"/>
      <c r="G27" s="177"/>
      <c r="H27" s="177"/>
      <c r="I27" s="177"/>
      <c r="J27" s="177"/>
      <c r="K27" s="177"/>
      <c r="L27" s="177"/>
      <c r="M27" s="1656"/>
      <c r="N27" s="2053"/>
      <c r="O27" s="2054"/>
      <c r="P27" s="1656"/>
      <c r="Q27" s="1657"/>
      <c r="R27" s="322"/>
      <c r="S27" s="322"/>
      <c r="T27" s="322"/>
    </row>
    <row r="28" spans="1:20" x14ac:dyDescent="0.25">
      <c r="A28" s="499" t="s">
        <v>1355</v>
      </c>
      <c r="B28" s="711"/>
      <c r="C28" s="725">
        <f t="shared" ref="C28:M31" si="10">ROUND($O28/12,0)</f>
        <v>2062917</v>
      </c>
      <c r="D28" s="712">
        <f t="shared" si="10"/>
        <v>2062917</v>
      </c>
      <c r="E28" s="712">
        <f t="shared" si="10"/>
        <v>2062917</v>
      </c>
      <c r="F28" s="712">
        <f t="shared" si="10"/>
        <v>2062917</v>
      </c>
      <c r="G28" s="712">
        <f t="shared" si="10"/>
        <v>2062917</v>
      </c>
      <c r="H28" s="712">
        <f t="shared" si="10"/>
        <v>2062917</v>
      </c>
      <c r="I28" s="712">
        <f t="shared" si="10"/>
        <v>2062917</v>
      </c>
      <c r="J28" s="712">
        <f t="shared" si="10"/>
        <v>2062917</v>
      </c>
      <c r="K28" s="712">
        <f t="shared" si="10"/>
        <v>2062917</v>
      </c>
      <c r="L28" s="712">
        <f t="shared" si="10"/>
        <v>2062917</v>
      </c>
      <c r="M28" s="712">
        <f t="shared" si="10"/>
        <v>2062917</v>
      </c>
      <c r="N28" s="291">
        <f>O28-SUM(C28:M28)</f>
        <v>2062913</v>
      </c>
      <c r="O28" s="102">
        <f>'A5-Capex'!J66</f>
        <v>24755000</v>
      </c>
      <c r="P28" s="98">
        <f>'A5-Capex'!K66</f>
        <v>17781000</v>
      </c>
      <c r="Q28" s="292">
        <f>'A5-Capex'!L66</f>
        <v>18394000</v>
      </c>
      <c r="R28" s="322"/>
      <c r="S28" s="322"/>
      <c r="T28" s="322"/>
    </row>
    <row r="29" spans="1:20" x14ac:dyDescent="0.25">
      <c r="A29" s="499" t="s">
        <v>469</v>
      </c>
      <c r="B29" s="711"/>
      <c r="C29" s="725">
        <f t="shared" si="10"/>
        <v>0</v>
      </c>
      <c r="D29" s="712">
        <f t="shared" si="10"/>
        <v>0</v>
      </c>
      <c r="E29" s="712">
        <f t="shared" si="10"/>
        <v>0</v>
      </c>
      <c r="F29" s="712">
        <f t="shared" si="10"/>
        <v>0</v>
      </c>
      <c r="G29" s="712">
        <f t="shared" si="10"/>
        <v>0</v>
      </c>
      <c r="H29" s="712">
        <f t="shared" si="10"/>
        <v>0</v>
      </c>
      <c r="I29" s="712">
        <f t="shared" si="10"/>
        <v>0</v>
      </c>
      <c r="J29" s="712">
        <f t="shared" si="10"/>
        <v>0</v>
      </c>
      <c r="K29" s="712">
        <f t="shared" si="10"/>
        <v>0</v>
      </c>
      <c r="L29" s="712">
        <f t="shared" si="10"/>
        <v>0</v>
      </c>
      <c r="M29" s="712">
        <f t="shared" si="10"/>
        <v>0</v>
      </c>
      <c r="N29" s="529">
        <f t="shared" ref="N29:N35" si="11">O29-SUM(C29:M29)</f>
        <v>0</v>
      </c>
      <c r="O29" s="181">
        <f>'A5-Capex'!J67</f>
        <v>0</v>
      </c>
      <c r="P29" s="177">
        <f>'A5-Capex'!K67</f>
        <v>0</v>
      </c>
      <c r="Q29" s="388">
        <f>'A5-Capex'!L67</f>
        <v>0</v>
      </c>
    </row>
    <row r="30" spans="1:20" x14ac:dyDescent="0.25">
      <c r="A30" s="499" t="s">
        <v>470</v>
      </c>
      <c r="B30" s="711"/>
      <c r="C30" s="725">
        <f t="shared" si="10"/>
        <v>0</v>
      </c>
      <c r="D30" s="712">
        <f t="shared" si="10"/>
        <v>0</v>
      </c>
      <c r="E30" s="712">
        <f t="shared" si="10"/>
        <v>0</v>
      </c>
      <c r="F30" s="712">
        <f t="shared" si="10"/>
        <v>0</v>
      </c>
      <c r="G30" s="712">
        <f t="shared" si="10"/>
        <v>0</v>
      </c>
      <c r="H30" s="712">
        <f t="shared" si="10"/>
        <v>0</v>
      </c>
      <c r="I30" s="712">
        <f t="shared" si="10"/>
        <v>0</v>
      </c>
      <c r="J30" s="712">
        <f t="shared" si="10"/>
        <v>0</v>
      </c>
      <c r="K30" s="712">
        <f t="shared" si="10"/>
        <v>0</v>
      </c>
      <c r="L30" s="712">
        <f t="shared" si="10"/>
        <v>0</v>
      </c>
      <c r="M30" s="712">
        <f t="shared" si="10"/>
        <v>0</v>
      </c>
      <c r="N30" s="529">
        <f t="shared" si="11"/>
        <v>0</v>
      </c>
      <c r="O30" s="530">
        <f>'A5-Capex'!J68</f>
        <v>0</v>
      </c>
      <c r="P30" s="531">
        <f>'A5-Capex'!K68</f>
        <v>0</v>
      </c>
      <c r="Q30" s="532">
        <f>'A5-Capex'!L68</f>
        <v>0</v>
      </c>
    </row>
    <row r="31" spans="1:20" ht="49.15" customHeight="1" x14ac:dyDescent="0.25">
      <c r="A31" s="2055" t="str">
        <f>'A5-Capex'!A69</f>
        <v>Transfers and subsidies - capital (monetary allocations) (National / Provincial Departmental Agencies, Households, Non-profit Institutions, Private Enterprises, Public Corporatons, Higher Educational Institutions)</v>
      </c>
      <c r="B31" s="711"/>
      <c r="C31" s="725">
        <f t="shared" si="10"/>
        <v>0</v>
      </c>
      <c r="D31" s="712">
        <f t="shared" si="10"/>
        <v>0</v>
      </c>
      <c r="E31" s="712">
        <f t="shared" si="10"/>
        <v>0</v>
      </c>
      <c r="F31" s="712">
        <f t="shared" si="10"/>
        <v>0</v>
      </c>
      <c r="G31" s="712">
        <f t="shared" si="10"/>
        <v>0</v>
      </c>
      <c r="H31" s="712">
        <f t="shared" si="10"/>
        <v>0</v>
      </c>
      <c r="I31" s="712">
        <f t="shared" si="10"/>
        <v>0</v>
      </c>
      <c r="J31" s="712">
        <f t="shared" si="10"/>
        <v>0</v>
      </c>
      <c r="K31" s="712">
        <f t="shared" si="10"/>
        <v>0</v>
      </c>
      <c r="L31" s="712">
        <f t="shared" si="10"/>
        <v>0</v>
      </c>
      <c r="M31" s="712">
        <f t="shared" si="10"/>
        <v>0</v>
      </c>
      <c r="N31" s="529">
        <f>O31-SUM(C31:M31)</f>
        <v>0</v>
      </c>
      <c r="O31" s="181">
        <f>'A5-Capex'!J69</f>
        <v>0</v>
      </c>
      <c r="P31" s="177">
        <f>'A5-Capex'!K69</f>
        <v>0</v>
      </c>
      <c r="Q31" s="388">
        <f>'A5-Capex'!L69</f>
        <v>0</v>
      </c>
    </row>
    <row r="32" spans="1:20" x14ac:dyDescent="0.25">
      <c r="A32" s="135" t="s">
        <v>1173</v>
      </c>
      <c r="B32" s="711"/>
      <c r="C32" s="535">
        <f t="shared" ref="C32:Q32" si="12">SUM(C28:C31)</f>
        <v>2062917</v>
      </c>
      <c r="D32" s="535">
        <f t="shared" si="12"/>
        <v>2062917</v>
      </c>
      <c r="E32" s="535">
        <f t="shared" si="12"/>
        <v>2062917</v>
      </c>
      <c r="F32" s="535">
        <f t="shared" si="12"/>
        <v>2062917</v>
      </c>
      <c r="G32" s="535">
        <f t="shared" si="12"/>
        <v>2062917</v>
      </c>
      <c r="H32" s="535">
        <f t="shared" si="12"/>
        <v>2062917</v>
      </c>
      <c r="I32" s="535">
        <f t="shared" si="12"/>
        <v>2062917</v>
      </c>
      <c r="J32" s="535">
        <f t="shared" si="12"/>
        <v>2062917</v>
      </c>
      <c r="K32" s="535">
        <f t="shared" si="12"/>
        <v>2062917</v>
      </c>
      <c r="L32" s="535">
        <f t="shared" si="12"/>
        <v>2062917</v>
      </c>
      <c r="M32" s="535">
        <f t="shared" si="12"/>
        <v>2062917</v>
      </c>
      <c r="N32" s="533">
        <f>SUM(N28:N31)</f>
        <v>2062913</v>
      </c>
      <c r="O32" s="534">
        <f t="shared" si="12"/>
        <v>24755000</v>
      </c>
      <c r="P32" s="535">
        <f t="shared" si="12"/>
        <v>17781000</v>
      </c>
      <c r="Q32" s="533">
        <f t="shared" si="12"/>
        <v>18394000</v>
      </c>
    </row>
    <row r="33" spans="1:17" ht="1.9" customHeight="1" x14ac:dyDescent="0.25">
      <c r="A33" s="922"/>
      <c r="B33" s="711"/>
      <c r="C33" s="323"/>
      <c r="D33" s="71"/>
      <c r="E33" s="71"/>
      <c r="F33" s="71"/>
      <c r="G33" s="71"/>
      <c r="H33" s="71"/>
      <c r="I33" s="71"/>
      <c r="J33" s="71"/>
      <c r="K33" s="71"/>
      <c r="L33" s="71"/>
      <c r="M33" s="71"/>
      <c r="N33" s="529"/>
      <c r="O33" s="181"/>
      <c r="P33" s="177"/>
      <c r="Q33" s="388"/>
    </row>
    <row r="34" spans="1:17" x14ac:dyDescent="0.25">
      <c r="A34" s="922" t="s">
        <v>1115</v>
      </c>
      <c r="B34" s="711"/>
      <c r="C34" s="725">
        <f t="shared" ref="C34:M35" si="13">ROUND($O34/12,0)</f>
        <v>0</v>
      </c>
      <c r="D34" s="712">
        <f t="shared" si="13"/>
        <v>0</v>
      </c>
      <c r="E34" s="712">
        <f t="shared" si="13"/>
        <v>0</v>
      </c>
      <c r="F34" s="712">
        <f t="shared" si="13"/>
        <v>0</v>
      </c>
      <c r="G34" s="712">
        <f t="shared" si="13"/>
        <v>0</v>
      </c>
      <c r="H34" s="712">
        <f t="shared" si="13"/>
        <v>0</v>
      </c>
      <c r="I34" s="712">
        <f t="shared" si="13"/>
        <v>0</v>
      </c>
      <c r="J34" s="712">
        <f t="shared" si="13"/>
        <v>0</v>
      </c>
      <c r="K34" s="712">
        <f t="shared" si="13"/>
        <v>0</v>
      </c>
      <c r="L34" s="712">
        <f t="shared" si="13"/>
        <v>0</v>
      </c>
      <c r="M34" s="712">
        <f t="shared" si="13"/>
        <v>0</v>
      </c>
      <c r="N34" s="529">
        <f t="shared" si="11"/>
        <v>0</v>
      </c>
      <c r="O34" s="181">
        <f>'A5-Capex'!J72</f>
        <v>0</v>
      </c>
      <c r="P34" s="177">
        <f>'A5-Capex'!K72</f>
        <v>0</v>
      </c>
      <c r="Q34" s="388">
        <f>'A5-Capex'!L72</f>
        <v>0</v>
      </c>
    </row>
    <row r="35" spans="1:17" x14ac:dyDescent="0.25">
      <c r="A35" s="922" t="s">
        <v>423</v>
      </c>
      <c r="B35" s="711"/>
      <c r="C35" s="725">
        <f t="shared" si="13"/>
        <v>572167</v>
      </c>
      <c r="D35" s="712">
        <f t="shared" si="13"/>
        <v>572167</v>
      </c>
      <c r="E35" s="712">
        <f t="shared" si="13"/>
        <v>572167</v>
      </c>
      <c r="F35" s="712">
        <f t="shared" si="13"/>
        <v>572167</v>
      </c>
      <c r="G35" s="712">
        <f t="shared" si="13"/>
        <v>572167</v>
      </c>
      <c r="H35" s="712">
        <f t="shared" si="13"/>
        <v>572167</v>
      </c>
      <c r="I35" s="712">
        <f t="shared" si="13"/>
        <v>572167</v>
      </c>
      <c r="J35" s="712">
        <f t="shared" si="13"/>
        <v>572167</v>
      </c>
      <c r="K35" s="712">
        <f t="shared" si="13"/>
        <v>572167</v>
      </c>
      <c r="L35" s="712">
        <f t="shared" si="13"/>
        <v>572167</v>
      </c>
      <c r="M35" s="712">
        <f t="shared" si="13"/>
        <v>572167</v>
      </c>
      <c r="N35" s="529">
        <f t="shared" si="11"/>
        <v>572163</v>
      </c>
      <c r="O35" s="181">
        <f>'A5-Capex'!J73</f>
        <v>6866000</v>
      </c>
      <c r="P35" s="177">
        <f>'A5-Capex'!K73</f>
        <v>756392</v>
      </c>
      <c r="Q35" s="388">
        <f>'A5-Capex'!L73</f>
        <v>786648</v>
      </c>
    </row>
    <row r="36" spans="1:17" x14ac:dyDescent="0.25">
      <c r="A36" s="182" t="s">
        <v>667</v>
      </c>
      <c r="B36" s="751"/>
      <c r="C36" s="185">
        <f>+C32+C34+C35</f>
        <v>2635084</v>
      </c>
      <c r="D36" s="185">
        <f t="shared" ref="D36:Q36" si="14">+D32+D34+D35</f>
        <v>2635084</v>
      </c>
      <c r="E36" s="185">
        <f t="shared" si="14"/>
        <v>2635084</v>
      </c>
      <c r="F36" s="185">
        <f t="shared" si="14"/>
        <v>2635084</v>
      </c>
      <c r="G36" s="185">
        <f t="shared" si="14"/>
        <v>2635084</v>
      </c>
      <c r="H36" s="185">
        <f t="shared" si="14"/>
        <v>2635084</v>
      </c>
      <c r="I36" s="185">
        <f t="shared" si="14"/>
        <v>2635084</v>
      </c>
      <c r="J36" s="185">
        <f t="shared" si="14"/>
        <v>2635084</v>
      </c>
      <c r="K36" s="185">
        <f t="shared" si="14"/>
        <v>2635084</v>
      </c>
      <c r="L36" s="185">
        <f t="shared" si="14"/>
        <v>2635084</v>
      </c>
      <c r="M36" s="538">
        <f t="shared" si="14"/>
        <v>2635084</v>
      </c>
      <c r="N36" s="536">
        <f t="shared" si="14"/>
        <v>2635076</v>
      </c>
      <c r="O36" s="537">
        <f t="shared" si="14"/>
        <v>31621000</v>
      </c>
      <c r="P36" s="538">
        <f t="shared" si="14"/>
        <v>18537392</v>
      </c>
      <c r="Q36" s="539">
        <f t="shared" si="14"/>
        <v>19180648</v>
      </c>
    </row>
    <row r="37" spans="1:17" x14ac:dyDescent="0.25">
      <c r="A37" s="303" t="str">
        <f>head27a</f>
        <v>References</v>
      </c>
      <c r="B37" s="2056"/>
      <c r="C37" s="191"/>
      <c r="D37" s="191"/>
      <c r="E37" s="191"/>
      <c r="F37" s="191"/>
      <c r="G37" s="191"/>
      <c r="H37" s="191"/>
      <c r="I37" s="191"/>
      <c r="J37" s="191"/>
      <c r="K37" s="191"/>
      <c r="L37" s="191"/>
    </row>
    <row r="38" spans="1:17" x14ac:dyDescent="0.25">
      <c r="A38" s="299" t="s">
        <v>679</v>
      </c>
      <c r="C38" s="191"/>
      <c r="D38" s="191"/>
      <c r="E38" s="191"/>
      <c r="F38" s="191"/>
      <c r="G38" s="191"/>
      <c r="H38" s="191"/>
      <c r="I38" s="191"/>
      <c r="J38" s="191"/>
      <c r="K38" s="191"/>
      <c r="L38" s="191"/>
    </row>
    <row r="39" spans="1:17" x14ac:dyDescent="0.25">
      <c r="A39" s="299" t="str">
        <f>'SA28'!A44</f>
        <v>2. Total Capital Expenditure must reconcile to Budgeted Capital Expenditure</v>
      </c>
    </row>
    <row r="40" spans="1:17" x14ac:dyDescent="0.25">
      <c r="A40" s="1815" t="s">
        <v>1330</v>
      </c>
      <c r="B40" s="1815"/>
    </row>
  </sheetData>
  <sheetProtection sheet="1" objects="1" scenarios="1"/>
  <mergeCells count="2">
    <mergeCell ref="C2:N2"/>
    <mergeCell ref="O2:Q2"/>
  </mergeCells>
  <phoneticPr fontId="7" type="noConversion"/>
  <printOptions horizontalCentered="1"/>
  <pageMargins left="0" right="0" top="0.78740157480314965" bottom="0.59055118110236227" header="0.51181102362204722" footer="0.39370078740157483"/>
  <pageSetup paperSize="9" scale="94" orientation="landscape" r:id="rId1"/>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Sheet51"/>
  <dimension ref="A1:AM190"/>
  <sheetViews>
    <sheetView showGridLines="0" zoomScale="110" zoomScaleNormal="110" workbookViewId="0">
      <pane xSplit="1" ySplit="3" topLeftCell="K49" activePane="bottomRight" state="frozen"/>
      <selection pane="topRight"/>
      <selection pane="bottomLeft"/>
      <selection pane="bottomRight" activeCell="G37" sqref="G37"/>
    </sheetView>
  </sheetViews>
  <sheetFormatPr defaultColWidth="9.140625" defaultRowHeight="12.75" x14ac:dyDescent="0.25"/>
  <cols>
    <col min="1" max="1" width="41" style="58" customWidth="1"/>
    <col min="2" max="2" width="8.7109375" style="58" customWidth="1"/>
    <col min="3" max="13" width="8.28515625" style="58" customWidth="1"/>
    <col min="14" max="16" width="9.28515625" style="58" customWidth="1"/>
    <col min="17" max="25" width="6.140625" style="58" customWidth="1"/>
    <col min="26" max="26" width="6.140625" style="1514" customWidth="1"/>
    <col min="27" max="27" width="6.7109375" style="1514" customWidth="1"/>
    <col min="28" max="29" width="6.140625" style="2312" hidden="1" customWidth="1"/>
    <col min="30" max="31" width="9.140625" style="2312" hidden="1" customWidth="1"/>
    <col min="32" max="16384" width="9.140625" style="58"/>
  </cols>
  <sheetData>
    <row r="1" spans="1:30" ht="13.5" customHeight="1" x14ac:dyDescent="0.25">
      <c r="A1" s="92" t="str">
        <f>muni&amp;" - "&amp; TableA30</f>
        <v>KZN226 Mkhambathini - Supporting Table SA30 Budgeted monthly cash flow</v>
      </c>
      <c r="B1" s="92"/>
      <c r="C1" s="92"/>
      <c r="D1" s="92"/>
      <c r="E1" s="92"/>
      <c r="F1" s="92"/>
      <c r="G1" s="92"/>
      <c r="H1" s="92"/>
      <c r="I1" s="92"/>
      <c r="J1" s="92"/>
      <c r="K1" s="92"/>
      <c r="L1" s="92"/>
      <c r="M1" s="92"/>
      <c r="N1" s="92"/>
      <c r="O1" s="92"/>
      <c r="P1" s="92"/>
      <c r="Q1" s="92"/>
    </row>
    <row r="2" spans="1:30" ht="28.5" customHeight="1" x14ac:dyDescent="0.25">
      <c r="A2" s="2057" t="s">
        <v>357</v>
      </c>
      <c r="B2" s="2447" t="str">
        <f>Head9</f>
        <v>Budget Year 2021/22</v>
      </c>
      <c r="C2" s="2448"/>
      <c r="D2" s="2448"/>
      <c r="E2" s="2448"/>
      <c r="F2" s="2448"/>
      <c r="G2" s="2448"/>
      <c r="H2" s="2448"/>
      <c r="I2" s="2448"/>
      <c r="J2" s="2448"/>
      <c r="K2" s="2448"/>
      <c r="L2" s="2448"/>
      <c r="M2" s="2448"/>
      <c r="N2" s="2450" t="s">
        <v>1554</v>
      </c>
      <c r="O2" s="2451"/>
      <c r="P2" s="2452"/>
    </row>
    <row r="3" spans="1:30" ht="25.5" x14ac:dyDescent="0.25">
      <c r="A3" s="156" t="s">
        <v>568</v>
      </c>
      <c r="B3" s="825" t="s">
        <v>620</v>
      </c>
      <c r="C3" s="527" t="s">
        <v>1233</v>
      </c>
      <c r="D3" s="527" t="s">
        <v>1234</v>
      </c>
      <c r="E3" s="527" t="s">
        <v>1235</v>
      </c>
      <c r="F3" s="527" t="s">
        <v>603</v>
      </c>
      <c r="G3" s="527" t="s">
        <v>604</v>
      </c>
      <c r="H3" s="527" t="s">
        <v>605</v>
      </c>
      <c r="I3" s="527" t="s">
        <v>606</v>
      </c>
      <c r="J3" s="527" t="s">
        <v>607</v>
      </c>
      <c r="K3" s="527" t="s">
        <v>608</v>
      </c>
      <c r="L3" s="527" t="s">
        <v>609</v>
      </c>
      <c r="M3" s="94" t="s">
        <v>610</v>
      </c>
      <c r="N3" s="825" t="str">
        <f>Head9</f>
        <v>Budget Year 2021/22</v>
      </c>
      <c r="O3" s="527" t="str">
        <f>Head10</f>
        <v>Budget Year +1 2022/23</v>
      </c>
      <c r="P3" s="826" t="str">
        <f>Head11</f>
        <v>Budget Year +2 2023/24</v>
      </c>
    </row>
    <row r="4" spans="1:30" x14ac:dyDescent="0.25">
      <c r="A4" s="96" t="s">
        <v>784</v>
      </c>
      <c r="B4" s="759"/>
      <c r="C4" s="81"/>
      <c r="D4" s="81"/>
      <c r="E4" s="81"/>
      <c r="F4" s="81"/>
      <c r="G4" s="81"/>
      <c r="H4" s="81"/>
      <c r="I4" s="81"/>
      <c r="J4" s="81"/>
      <c r="K4" s="81"/>
      <c r="L4" s="81"/>
      <c r="M4" s="758"/>
      <c r="N4" s="1938"/>
      <c r="O4" s="81"/>
      <c r="P4" s="760"/>
    </row>
    <row r="5" spans="1:30" x14ac:dyDescent="0.25">
      <c r="A5" s="104" t="str">
        <f>'A4-FinPerf RE'!A5</f>
        <v>Property rates</v>
      </c>
      <c r="B5" s="725">
        <f>ROUND($N5/12,0)</f>
        <v>1455845</v>
      </c>
      <c r="C5" s="712">
        <f>ROUND($N5/12,0)</f>
        <v>1455845</v>
      </c>
      <c r="D5" s="712">
        <f t="shared" ref="D5:L19" si="0">ROUND($N5/12,0)</f>
        <v>1455845</v>
      </c>
      <c r="E5" s="712">
        <f t="shared" si="0"/>
        <v>1455845</v>
      </c>
      <c r="F5" s="712">
        <f t="shared" si="0"/>
        <v>1455845</v>
      </c>
      <c r="G5" s="712">
        <f t="shared" si="0"/>
        <v>1455845</v>
      </c>
      <c r="H5" s="712">
        <f t="shared" si="0"/>
        <v>1455845</v>
      </c>
      <c r="I5" s="712">
        <f t="shared" si="0"/>
        <v>1455845</v>
      </c>
      <c r="J5" s="712">
        <f t="shared" si="0"/>
        <v>1455845</v>
      </c>
      <c r="K5" s="712">
        <f t="shared" si="0"/>
        <v>1455845</v>
      </c>
      <c r="L5" s="712">
        <f>ROUND($N5/12,0)</f>
        <v>1455845</v>
      </c>
      <c r="M5" s="178">
        <f>N5-SUM(B5:L5)</f>
        <v>1455845</v>
      </c>
      <c r="N5" s="725">
        <f>SUMIFS(Sheet1!S71_ASBudgetAmount,Sheet1!S71_A7SubCode,$AC:$AC,Sheet1!S71_CFCode,$AD:$AD)</f>
        <v>17470140</v>
      </c>
      <c r="O5" s="712">
        <f>SUMIFS(Sheet1!S71_OY1BudgetAmount,Sheet1!S71_A7SubCode,$AC:$AC,Sheet1!S71_CFCode,$AD:$AD)</f>
        <v>17886172</v>
      </c>
      <c r="P5" s="713">
        <f>SUMIFS(Sheet1!S71_OY2BudgetAmount,Sheet1!S71_A7SubCode,$AC:$AC,Sheet1!S71_CFCode,$AD:$AD)</f>
        <v>19022273</v>
      </c>
      <c r="AC5" s="2343" t="s">
        <v>2765</v>
      </c>
      <c r="AD5" s="2343" t="s">
        <v>472</v>
      </c>
    </row>
    <row r="6" spans="1:30" x14ac:dyDescent="0.25">
      <c r="A6" s="104" t="str">
        <f>'A4-FinPerf RE'!A6</f>
        <v>Service charges - electricity revenue</v>
      </c>
      <c r="B6" s="725">
        <f t="shared" ref="B6:C19" si="1">ROUND($N6/12,0)</f>
        <v>0</v>
      </c>
      <c r="C6" s="712">
        <f t="shared" si="1"/>
        <v>0</v>
      </c>
      <c r="D6" s="712">
        <f t="shared" si="0"/>
        <v>0</v>
      </c>
      <c r="E6" s="712">
        <f t="shared" si="0"/>
        <v>0</v>
      </c>
      <c r="F6" s="712">
        <f t="shared" si="0"/>
        <v>0</v>
      </c>
      <c r="G6" s="712">
        <f t="shared" si="0"/>
        <v>0</v>
      </c>
      <c r="H6" s="712">
        <f t="shared" si="0"/>
        <v>0</v>
      </c>
      <c r="I6" s="712">
        <f t="shared" si="0"/>
        <v>0</v>
      </c>
      <c r="J6" s="712">
        <f t="shared" si="0"/>
        <v>0</v>
      </c>
      <c r="K6" s="712">
        <f t="shared" si="0"/>
        <v>0</v>
      </c>
      <c r="L6" s="712">
        <f t="shared" si="0"/>
        <v>0</v>
      </c>
      <c r="M6" s="178">
        <f t="shared" ref="M6:M19" si="2">N6-SUM(B6:L6)</f>
        <v>0</v>
      </c>
      <c r="N6" s="725">
        <f>SUMIFS(Sheet1!S71_ASBudgetAmount,Sheet1!S71_A7SubCode,$AC:$AC,Sheet1!S71_CFCode,$AD:$AD)</f>
        <v>0</v>
      </c>
      <c r="O6" s="712">
        <f>SUMIFS(Sheet1!S71_OY1BudgetAmount,Sheet1!S71_A7SubCode,$AC:$AC,Sheet1!S71_CFCode,$AD:$AD)</f>
        <v>0</v>
      </c>
      <c r="P6" s="713">
        <f>SUMIFS(Sheet1!S71_OY2BudgetAmount,Sheet1!S71_A7SubCode,$AC:$AC,Sheet1!S71_CFCode,$AD:$AD)</f>
        <v>0</v>
      </c>
      <c r="AC6" s="2344" t="s">
        <v>2773</v>
      </c>
      <c r="AD6" s="2343" t="s">
        <v>472</v>
      </c>
    </row>
    <row r="7" spans="1:30" x14ac:dyDescent="0.25">
      <c r="A7" s="104" t="str">
        <f>'A4-FinPerf RE'!A7</f>
        <v>Service charges - water revenue</v>
      </c>
      <c r="B7" s="725">
        <f t="shared" si="1"/>
        <v>0</v>
      </c>
      <c r="C7" s="712">
        <f t="shared" si="1"/>
        <v>0</v>
      </c>
      <c r="D7" s="712">
        <f t="shared" si="0"/>
        <v>0</v>
      </c>
      <c r="E7" s="712">
        <f t="shared" si="0"/>
        <v>0</v>
      </c>
      <c r="F7" s="712">
        <f t="shared" si="0"/>
        <v>0</v>
      </c>
      <c r="G7" s="712">
        <f t="shared" si="0"/>
        <v>0</v>
      </c>
      <c r="H7" s="712">
        <f t="shared" si="0"/>
        <v>0</v>
      </c>
      <c r="I7" s="712">
        <f t="shared" si="0"/>
        <v>0</v>
      </c>
      <c r="J7" s="712">
        <f t="shared" si="0"/>
        <v>0</v>
      </c>
      <c r="K7" s="712">
        <f t="shared" si="0"/>
        <v>0</v>
      </c>
      <c r="L7" s="712">
        <f t="shared" si="0"/>
        <v>0</v>
      </c>
      <c r="M7" s="178">
        <f t="shared" si="2"/>
        <v>0</v>
      </c>
      <c r="N7" s="725">
        <f>SUMIFS(Sheet1!S71_ASBudgetAmount,Sheet1!S71_A7SubCode,$AC:$AC,Sheet1!S71_CFCode,$AD:$AD)</f>
        <v>0</v>
      </c>
      <c r="O7" s="712">
        <f>SUMIFS(Sheet1!S71_OY1BudgetAmount,Sheet1!S71_A7SubCode,$AC:$AC,Sheet1!S71_CFCode,$AD:$AD)</f>
        <v>0</v>
      </c>
      <c r="P7" s="713">
        <f>SUMIFS(Sheet1!S71_OY2BudgetAmount,Sheet1!S71_A7SubCode,$AC:$AC,Sheet1!S71_CFCode,$AD:$AD)</f>
        <v>0</v>
      </c>
      <c r="AC7" s="2343" t="s">
        <v>2774</v>
      </c>
      <c r="AD7" s="2343" t="s">
        <v>472</v>
      </c>
    </row>
    <row r="8" spans="1:30" x14ac:dyDescent="0.25">
      <c r="A8" s="104" t="str">
        <f>'A4-FinPerf RE'!A8</f>
        <v>Service charges - sanitation revenue</v>
      </c>
      <c r="B8" s="725">
        <f t="shared" si="1"/>
        <v>0</v>
      </c>
      <c r="C8" s="712">
        <f t="shared" si="1"/>
        <v>0</v>
      </c>
      <c r="D8" s="712">
        <f t="shared" si="0"/>
        <v>0</v>
      </c>
      <c r="E8" s="712">
        <f t="shared" si="0"/>
        <v>0</v>
      </c>
      <c r="F8" s="712">
        <f t="shared" si="0"/>
        <v>0</v>
      </c>
      <c r="G8" s="712">
        <f t="shared" si="0"/>
        <v>0</v>
      </c>
      <c r="H8" s="712">
        <f t="shared" si="0"/>
        <v>0</v>
      </c>
      <c r="I8" s="712">
        <f t="shared" si="0"/>
        <v>0</v>
      </c>
      <c r="J8" s="712">
        <f t="shared" si="0"/>
        <v>0</v>
      </c>
      <c r="K8" s="712">
        <f t="shared" si="0"/>
        <v>0</v>
      </c>
      <c r="L8" s="712">
        <f t="shared" si="0"/>
        <v>0</v>
      </c>
      <c r="M8" s="178">
        <f t="shared" si="2"/>
        <v>0</v>
      </c>
      <c r="N8" s="725">
        <f>SUMIFS(Sheet1!S71_ASBudgetAmount,Sheet1!S71_A7SubCode,$AC:$AC,Sheet1!S71_CFCode,$AD:$AD)</f>
        <v>0</v>
      </c>
      <c r="O8" s="712">
        <f>SUMIFS(Sheet1!S71_OY1BudgetAmount,Sheet1!S71_A7SubCode,$AC:$AC,Sheet1!S71_CFCode,$AD:$AD)</f>
        <v>0</v>
      </c>
      <c r="P8" s="713">
        <f>SUMIFS(Sheet1!S71_OY2BudgetAmount,Sheet1!S71_A7SubCode,$AC:$AC,Sheet1!S71_CFCode,$AD:$AD)</f>
        <v>0</v>
      </c>
      <c r="AC8" s="2343" t="s">
        <v>2775</v>
      </c>
      <c r="AD8" s="2343" t="s">
        <v>472</v>
      </c>
    </row>
    <row r="9" spans="1:30" x14ac:dyDescent="0.25">
      <c r="A9" s="104" t="str">
        <f>'A4-FinPerf RE'!A9</f>
        <v>Service charges - refuse revenue</v>
      </c>
      <c r="B9" s="725">
        <f t="shared" si="1"/>
        <v>42265</v>
      </c>
      <c r="C9" s="712">
        <f t="shared" si="1"/>
        <v>42265</v>
      </c>
      <c r="D9" s="712">
        <f t="shared" si="0"/>
        <v>42265</v>
      </c>
      <c r="E9" s="712">
        <f t="shared" si="0"/>
        <v>42265</v>
      </c>
      <c r="F9" s="712">
        <f t="shared" si="0"/>
        <v>42265</v>
      </c>
      <c r="G9" s="712">
        <f t="shared" si="0"/>
        <v>42265</v>
      </c>
      <c r="H9" s="712">
        <f t="shared" si="0"/>
        <v>42265</v>
      </c>
      <c r="I9" s="712">
        <f t="shared" si="0"/>
        <v>42265</v>
      </c>
      <c r="J9" s="712">
        <f t="shared" si="0"/>
        <v>42265</v>
      </c>
      <c r="K9" s="712">
        <f t="shared" si="0"/>
        <v>42265</v>
      </c>
      <c r="L9" s="712">
        <f t="shared" si="0"/>
        <v>42265</v>
      </c>
      <c r="M9" s="178">
        <f t="shared" si="2"/>
        <v>42267</v>
      </c>
      <c r="N9" s="725">
        <f>SUMIFS(Sheet1!S71_ASBudgetAmount,Sheet1!S71_A7SubCode,$AC:$AC,Sheet1!S71_CFCode,$AD:$AD)</f>
        <v>507182</v>
      </c>
      <c r="O9" s="712">
        <f>SUMIFS(Sheet1!S71_OY1BudgetAmount,Sheet1!S71_A7SubCode,$AC:$AC,Sheet1!S71_CFCode,$AD:$AD)</f>
        <v>527469</v>
      </c>
      <c r="P9" s="713">
        <f>SUMIFS(Sheet1!S71_OY2BudgetAmount,Sheet1!S71_A7SubCode,$AC:$AC,Sheet1!S71_CFCode,$AD:$AD)</f>
        <v>548568</v>
      </c>
      <c r="AC9" s="2343" t="s">
        <v>2776</v>
      </c>
      <c r="AD9" s="2343" t="s">
        <v>472</v>
      </c>
    </row>
    <row r="10" spans="1:30" ht="1.9" customHeight="1" x14ac:dyDescent="0.25">
      <c r="A10" s="104"/>
      <c r="B10" s="725">
        <f t="shared" si="1"/>
        <v>0</v>
      </c>
      <c r="C10" s="712">
        <f t="shared" si="1"/>
        <v>0</v>
      </c>
      <c r="D10" s="712">
        <f t="shared" si="0"/>
        <v>0</v>
      </c>
      <c r="E10" s="712">
        <f t="shared" si="0"/>
        <v>0</v>
      </c>
      <c r="F10" s="712">
        <f t="shared" si="0"/>
        <v>0</v>
      </c>
      <c r="G10" s="712">
        <f t="shared" si="0"/>
        <v>0</v>
      </c>
      <c r="H10" s="712">
        <f t="shared" si="0"/>
        <v>0</v>
      </c>
      <c r="I10" s="712">
        <f t="shared" si="0"/>
        <v>0</v>
      </c>
      <c r="J10" s="712">
        <f t="shared" si="0"/>
        <v>0</v>
      </c>
      <c r="K10" s="712">
        <f t="shared" si="0"/>
        <v>0</v>
      </c>
      <c r="L10" s="712">
        <f t="shared" si="0"/>
        <v>0</v>
      </c>
      <c r="M10" s="72"/>
      <c r="N10" s="725">
        <f>SUMIFS(Sheet1!S71_ASBudgetAmount,Sheet1!S71_A7SubCode,$AC:$AC,Sheet1!S71_CFCode,$AD:$AD)</f>
        <v>0</v>
      </c>
      <c r="O10" s="712">
        <f>SUMIFS(Sheet1!S71_OY1BudgetAmount,Sheet1!S71_A7SubCode,$AC:$AC,Sheet1!S71_CFCode,$AD:$AD)</f>
        <v>0</v>
      </c>
      <c r="P10" s="713">
        <f>SUMIFS(Sheet1!S71_OY2BudgetAmount,Sheet1!S71_A7SubCode,$AC:$AC,Sheet1!S71_CFCode,$AD:$AD)</f>
        <v>0</v>
      </c>
      <c r="AC10" s="2343"/>
      <c r="AD10" s="2343" t="s">
        <v>472</v>
      </c>
    </row>
    <row r="11" spans="1:30" x14ac:dyDescent="0.25">
      <c r="A11" s="104" t="str">
        <f>'A4-FinPerf RE'!A11</f>
        <v>Rental of facilities and equipment</v>
      </c>
      <c r="B11" s="725">
        <f t="shared" si="1"/>
        <v>748265</v>
      </c>
      <c r="C11" s="712">
        <f t="shared" si="1"/>
        <v>748265</v>
      </c>
      <c r="D11" s="712">
        <f t="shared" si="0"/>
        <v>748265</v>
      </c>
      <c r="E11" s="712">
        <f t="shared" si="0"/>
        <v>748265</v>
      </c>
      <c r="F11" s="712">
        <f t="shared" si="0"/>
        <v>748265</v>
      </c>
      <c r="G11" s="712">
        <f t="shared" si="0"/>
        <v>748265</v>
      </c>
      <c r="H11" s="712">
        <f t="shared" si="0"/>
        <v>748265</v>
      </c>
      <c r="I11" s="712">
        <f t="shared" si="0"/>
        <v>748265</v>
      </c>
      <c r="J11" s="712">
        <f t="shared" si="0"/>
        <v>748265</v>
      </c>
      <c r="K11" s="712">
        <f t="shared" si="0"/>
        <v>748265</v>
      </c>
      <c r="L11" s="712">
        <f t="shared" si="0"/>
        <v>748265</v>
      </c>
      <c r="M11" s="178">
        <f t="shared" si="2"/>
        <v>748270</v>
      </c>
      <c r="N11" s="725">
        <f>SUMIFS(Sheet1!S71_ASBudgetAmount,Sheet1!S71_A7SubCode,$AC:$AC,Sheet1!S71_CFCode,$AD:$AD)</f>
        <v>8979185</v>
      </c>
      <c r="O11" s="712">
        <f>SUMIFS(Sheet1!S71_OY1BudgetAmount,Sheet1!S71_A7SubCode,$AC:$AC,Sheet1!S71_CFCode,$AD:$AD)</f>
        <v>9338352</v>
      </c>
      <c r="P11" s="713">
        <f>SUMIFS(Sheet1!S71_OY2BudgetAmount,Sheet1!S71_A7SubCode,$AC:$AC,Sheet1!S71_CFCode,$AD:$AD)</f>
        <v>9711886</v>
      </c>
      <c r="AC11" s="2343" t="s">
        <v>2778</v>
      </c>
      <c r="AD11" s="2343" t="s">
        <v>472</v>
      </c>
    </row>
    <row r="12" spans="1:30" x14ac:dyDescent="0.25">
      <c r="A12" s="104" t="str">
        <f>'A4-FinPerf RE'!A12</f>
        <v>Interest earned - external investments</v>
      </c>
      <c r="B12" s="725">
        <f t="shared" si="1"/>
        <v>333333</v>
      </c>
      <c r="C12" s="712">
        <f t="shared" si="1"/>
        <v>333333</v>
      </c>
      <c r="D12" s="712">
        <f t="shared" si="0"/>
        <v>333333</v>
      </c>
      <c r="E12" s="712">
        <f t="shared" si="0"/>
        <v>333333</v>
      </c>
      <c r="F12" s="712">
        <f t="shared" si="0"/>
        <v>333333</v>
      </c>
      <c r="G12" s="712">
        <f t="shared" si="0"/>
        <v>333333</v>
      </c>
      <c r="H12" s="712">
        <f t="shared" si="0"/>
        <v>333333</v>
      </c>
      <c r="I12" s="712">
        <f t="shared" si="0"/>
        <v>333333</v>
      </c>
      <c r="J12" s="712">
        <f t="shared" si="0"/>
        <v>333333</v>
      </c>
      <c r="K12" s="712">
        <f t="shared" si="0"/>
        <v>333333</v>
      </c>
      <c r="L12" s="712">
        <f t="shared" si="0"/>
        <v>333333</v>
      </c>
      <c r="M12" s="178">
        <f t="shared" si="2"/>
        <v>333337</v>
      </c>
      <c r="N12" s="725">
        <f>SUMIFS(Sheet1!S71_ASBudgetAmount,Sheet1!S71_A7SubCode,$AC:$AC,Sheet1!S71_CFCode,$AD:$AD)</f>
        <v>4000000</v>
      </c>
      <c r="O12" s="712">
        <f>SUMIFS(Sheet1!S71_OY1BudgetAmount,Sheet1!S71_A7SubCode,$AC:$AC,Sheet1!S71_CFCode,$AD:$AD)</f>
        <v>4160000</v>
      </c>
      <c r="P12" s="713">
        <f>SUMIFS(Sheet1!S71_OY2BudgetAmount,Sheet1!S71_A7SubCode,$AC:$AC,Sheet1!S71_CFCode,$AD:$AD)</f>
        <v>4326400</v>
      </c>
      <c r="AC12" s="2343" t="s">
        <v>2772</v>
      </c>
      <c r="AD12" s="2343" t="s">
        <v>486</v>
      </c>
    </row>
    <row r="13" spans="1:30" x14ac:dyDescent="0.25">
      <c r="A13" s="104" t="str">
        <f>'A4-FinPerf RE'!A13</f>
        <v>Interest earned - outstanding debtors</v>
      </c>
      <c r="B13" s="725">
        <f t="shared" si="1"/>
        <v>0</v>
      </c>
      <c r="C13" s="712">
        <f t="shared" si="1"/>
        <v>0</v>
      </c>
      <c r="D13" s="712">
        <f t="shared" si="0"/>
        <v>0</v>
      </c>
      <c r="E13" s="712">
        <f t="shared" si="0"/>
        <v>0</v>
      </c>
      <c r="F13" s="712">
        <f t="shared" si="0"/>
        <v>0</v>
      </c>
      <c r="G13" s="712">
        <f t="shared" si="0"/>
        <v>0</v>
      </c>
      <c r="H13" s="712">
        <f t="shared" si="0"/>
        <v>0</v>
      </c>
      <c r="I13" s="712">
        <f t="shared" si="0"/>
        <v>0</v>
      </c>
      <c r="J13" s="712">
        <f t="shared" si="0"/>
        <v>0</v>
      </c>
      <c r="K13" s="712">
        <f t="shared" si="0"/>
        <v>0</v>
      </c>
      <c r="L13" s="712">
        <f t="shared" si="0"/>
        <v>0</v>
      </c>
      <c r="M13" s="178">
        <f t="shared" si="2"/>
        <v>0</v>
      </c>
      <c r="N13" s="725">
        <f>SUMIFS(Sheet1!S71_ASBudgetAmount,Sheet1!S71_A7SubCode,$AC:$AC,Sheet1!S71_CFCode,$AD:$AD)</f>
        <v>0</v>
      </c>
      <c r="O13" s="712">
        <f>SUMIFS(Sheet1!S71_OY1BudgetAmount,Sheet1!S71_A7SubCode,$AC:$AC,Sheet1!S71_CFCode,$AD:$AD)</f>
        <v>0</v>
      </c>
      <c r="P13" s="713">
        <f>SUMIFS(Sheet1!S71_OY2BudgetAmount,Sheet1!S71_A7SubCode,$AC:$AC,Sheet1!S71_CFCode,$AD:$AD)</f>
        <v>0</v>
      </c>
      <c r="AC13" s="2343" t="s">
        <v>2831</v>
      </c>
      <c r="AD13" s="2343" t="s">
        <v>472</v>
      </c>
    </row>
    <row r="14" spans="1:30" x14ac:dyDescent="0.25">
      <c r="A14" s="104" t="str">
        <f>'A4-FinPerf RE'!A14</f>
        <v>Dividends received</v>
      </c>
      <c r="B14" s="725">
        <f t="shared" si="1"/>
        <v>0</v>
      </c>
      <c r="C14" s="712">
        <f t="shared" si="1"/>
        <v>0</v>
      </c>
      <c r="D14" s="712">
        <f t="shared" si="0"/>
        <v>0</v>
      </c>
      <c r="E14" s="712">
        <f t="shared" si="0"/>
        <v>0</v>
      </c>
      <c r="F14" s="712">
        <f t="shared" si="0"/>
        <v>0</v>
      </c>
      <c r="G14" s="712">
        <f t="shared" si="0"/>
        <v>0</v>
      </c>
      <c r="H14" s="712">
        <f t="shared" si="0"/>
        <v>0</v>
      </c>
      <c r="I14" s="712">
        <f t="shared" si="0"/>
        <v>0</v>
      </c>
      <c r="J14" s="712">
        <f t="shared" si="0"/>
        <v>0</v>
      </c>
      <c r="K14" s="712">
        <f t="shared" si="0"/>
        <v>0</v>
      </c>
      <c r="L14" s="712">
        <f t="shared" si="0"/>
        <v>0</v>
      </c>
      <c r="M14" s="178">
        <f t="shared" si="2"/>
        <v>0</v>
      </c>
      <c r="N14" s="725">
        <f>SUMIFS(Sheet1!S71_ASBudgetAmount,Sheet1!S71_A7SubCode,$AC:$AC,Sheet1!S71_CFCode,$AD:$AD)</f>
        <v>0</v>
      </c>
      <c r="O14" s="712">
        <f>SUMIFS(Sheet1!S71_OY1BudgetAmount,Sheet1!S71_A7SubCode,$AC:$AC,Sheet1!S71_CFCode,$AD:$AD)</f>
        <v>0</v>
      </c>
      <c r="P14" s="713">
        <f>SUMIFS(Sheet1!S71_OY2BudgetAmount,Sheet1!S71_A7SubCode,$AC:$AC,Sheet1!S71_CFCode,$AD:$AD)</f>
        <v>0</v>
      </c>
      <c r="AC14" s="2343" t="s">
        <v>2766</v>
      </c>
      <c r="AD14" s="2343" t="s">
        <v>472</v>
      </c>
    </row>
    <row r="15" spans="1:30" x14ac:dyDescent="0.25">
      <c r="A15" s="104" t="str">
        <f>'A4-FinPerf RE'!A15</f>
        <v>Fines, penalties and forfeits</v>
      </c>
      <c r="B15" s="725">
        <f t="shared" si="1"/>
        <v>0</v>
      </c>
      <c r="C15" s="712">
        <f t="shared" si="1"/>
        <v>0</v>
      </c>
      <c r="D15" s="712">
        <f t="shared" si="0"/>
        <v>0</v>
      </c>
      <c r="E15" s="712">
        <f t="shared" si="0"/>
        <v>0</v>
      </c>
      <c r="F15" s="712">
        <f t="shared" si="0"/>
        <v>0</v>
      </c>
      <c r="G15" s="712">
        <f t="shared" si="0"/>
        <v>0</v>
      </c>
      <c r="H15" s="712">
        <f t="shared" si="0"/>
        <v>0</v>
      </c>
      <c r="I15" s="712">
        <f t="shared" si="0"/>
        <v>0</v>
      </c>
      <c r="J15" s="712">
        <f t="shared" si="0"/>
        <v>0</v>
      </c>
      <c r="K15" s="712">
        <f t="shared" si="0"/>
        <v>0</v>
      </c>
      <c r="L15" s="712">
        <f t="shared" si="0"/>
        <v>0</v>
      </c>
      <c r="M15" s="178">
        <f t="shared" si="2"/>
        <v>0</v>
      </c>
      <c r="N15" s="725">
        <f>SUMIFS(Sheet1!S71_ASBudgetAmount,Sheet1!S71_A7SubCode,$AC:$AC,Sheet1!S71_CFCode,$AD:$AD)</f>
        <v>0</v>
      </c>
      <c r="O15" s="712">
        <f>SUMIFS(Sheet1!S71_OY1BudgetAmount,Sheet1!S71_A7SubCode,$AC:$AC,Sheet1!S71_CFCode,$AD:$AD)</f>
        <v>0</v>
      </c>
      <c r="P15" s="713">
        <f>SUMIFS(Sheet1!S71_OY2BudgetAmount,Sheet1!S71_A7SubCode,$AC:$AC,Sheet1!S71_CFCode,$AD:$AD)</f>
        <v>0</v>
      </c>
      <c r="AC15" s="2343" t="s">
        <v>2767</v>
      </c>
      <c r="AD15" s="2343" t="s">
        <v>472</v>
      </c>
    </row>
    <row r="16" spans="1:30" x14ac:dyDescent="0.25">
      <c r="A16" s="104" t="str">
        <f>'A4-FinPerf RE'!A16</f>
        <v>Licences and permits</v>
      </c>
      <c r="B16" s="725">
        <f t="shared" si="1"/>
        <v>0</v>
      </c>
      <c r="C16" s="712">
        <f t="shared" si="1"/>
        <v>0</v>
      </c>
      <c r="D16" s="712">
        <f t="shared" si="0"/>
        <v>0</v>
      </c>
      <c r="E16" s="712">
        <f t="shared" si="0"/>
        <v>0</v>
      </c>
      <c r="F16" s="712">
        <f t="shared" si="0"/>
        <v>0</v>
      </c>
      <c r="G16" s="712">
        <f t="shared" si="0"/>
        <v>0</v>
      </c>
      <c r="H16" s="712">
        <f t="shared" si="0"/>
        <v>0</v>
      </c>
      <c r="I16" s="712">
        <f t="shared" si="0"/>
        <v>0</v>
      </c>
      <c r="J16" s="712">
        <f t="shared" si="0"/>
        <v>0</v>
      </c>
      <c r="K16" s="712">
        <f t="shared" si="0"/>
        <v>0</v>
      </c>
      <c r="L16" s="712">
        <f t="shared" si="0"/>
        <v>0</v>
      </c>
      <c r="M16" s="178">
        <f t="shared" si="2"/>
        <v>0</v>
      </c>
      <c r="N16" s="725">
        <f>SUMIFS(Sheet1!S71_ASBudgetAmount,Sheet1!S71_A7SubCode,$AC:$AC,Sheet1!S71_CFCode,$AD:$AD)</f>
        <v>0</v>
      </c>
      <c r="O16" s="712">
        <f>SUMIFS(Sheet1!S71_OY1BudgetAmount,Sheet1!S71_A7SubCode,$AC:$AC,Sheet1!S71_CFCode,$AD:$AD)</f>
        <v>0</v>
      </c>
      <c r="P16" s="713">
        <f>SUMIFS(Sheet1!S71_OY2BudgetAmount,Sheet1!S71_A7SubCode,$AC:$AC,Sheet1!S71_CFCode,$AD:$AD)</f>
        <v>0</v>
      </c>
      <c r="AC16" s="2343" t="s">
        <v>2768</v>
      </c>
      <c r="AD16" s="2343" t="s">
        <v>472</v>
      </c>
    </row>
    <row r="17" spans="1:31" x14ac:dyDescent="0.25">
      <c r="A17" s="104" t="str">
        <f>'A4-FinPerf RE'!A17</f>
        <v>Agency services</v>
      </c>
      <c r="B17" s="725">
        <f t="shared" si="1"/>
        <v>0</v>
      </c>
      <c r="C17" s="712">
        <f t="shared" si="1"/>
        <v>0</v>
      </c>
      <c r="D17" s="712">
        <f t="shared" si="0"/>
        <v>0</v>
      </c>
      <c r="E17" s="712">
        <f t="shared" si="0"/>
        <v>0</v>
      </c>
      <c r="F17" s="712">
        <f t="shared" si="0"/>
        <v>0</v>
      </c>
      <c r="G17" s="712">
        <f t="shared" si="0"/>
        <v>0</v>
      </c>
      <c r="H17" s="712">
        <f t="shared" si="0"/>
        <v>0</v>
      </c>
      <c r="I17" s="712">
        <f t="shared" si="0"/>
        <v>0</v>
      </c>
      <c r="J17" s="712">
        <f t="shared" si="0"/>
        <v>0</v>
      </c>
      <c r="K17" s="712">
        <f t="shared" si="0"/>
        <v>0</v>
      </c>
      <c r="L17" s="712">
        <f t="shared" si="0"/>
        <v>0</v>
      </c>
      <c r="M17" s="178">
        <f t="shared" si="2"/>
        <v>0</v>
      </c>
      <c r="N17" s="725">
        <f>SUMIFS(Sheet1!S71_ASBudgetAmount,Sheet1!S71_A7SubCode,$AC:$AC,Sheet1!S71_CFCode,$AD:$AD)</f>
        <v>0</v>
      </c>
      <c r="O17" s="712">
        <f>SUMIFS(Sheet1!S71_OY1BudgetAmount,Sheet1!S71_A7SubCode,$AC:$AC,Sheet1!S71_CFCode,$AD:$AD)</f>
        <v>0</v>
      </c>
      <c r="P17" s="713">
        <f>SUMIFS(Sheet1!S71_OY2BudgetAmount,Sheet1!S71_A7SubCode,$AC:$AC,Sheet1!S71_CFCode,$AD:$AD)</f>
        <v>0</v>
      </c>
      <c r="AC17" s="2343" t="s">
        <v>2779</v>
      </c>
      <c r="AD17" s="2343" t="s">
        <v>472</v>
      </c>
    </row>
    <row r="18" spans="1:31" x14ac:dyDescent="0.25">
      <c r="A18" s="136" t="s">
        <v>2529</v>
      </c>
      <c r="B18" s="725">
        <f t="shared" si="1"/>
        <v>7889083</v>
      </c>
      <c r="C18" s="712">
        <f t="shared" si="1"/>
        <v>7889083</v>
      </c>
      <c r="D18" s="712">
        <f t="shared" si="0"/>
        <v>7889083</v>
      </c>
      <c r="E18" s="712">
        <f t="shared" si="0"/>
        <v>7889083</v>
      </c>
      <c r="F18" s="712">
        <f t="shared" si="0"/>
        <v>7889083</v>
      </c>
      <c r="G18" s="712">
        <f t="shared" si="0"/>
        <v>7889083</v>
      </c>
      <c r="H18" s="712">
        <f t="shared" si="0"/>
        <v>7889083</v>
      </c>
      <c r="I18" s="712">
        <f t="shared" si="0"/>
        <v>7889083</v>
      </c>
      <c r="J18" s="712">
        <f t="shared" si="0"/>
        <v>7889083</v>
      </c>
      <c r="K18" s="712">
        <f t="shared" si="0"/>
        <v>7889083</v>
      </c>
      <c r="L18" s="712">
        <f t="shared" si="0"/>
        <v>7889083</v>
      </c>
      <c r="M18" s="178">
        <f t="shared" si="2"/>
        <v>7889087</v>
      </c>
      <c r="N18" s="725">
        <f>SUMIFS(Sheet1!S71_ASBudgetAmount,Sheet1!S71_A7SubCode,$AC:$AC,Sheet1!S71_CFCode,$AD:$AD)</f>
        <v>94669000</v>
      </c>
      <c r="O18" s="712">
        <f>SUMIFS(Sheet1!S71_OY1BudgetAmount,Sheet1!S71_A7SubCode,$AC:$AC,Sheet1!S71_CFCode,$AD:$AD)</f>
        <v>97397000</v>
      </c>
      <c r="P18" s="713">
        <f>SUMIFS(Sheet1!S71_OY2BudgetAmount,Sheet1!S71_A7SubCode,$AC:$AC,Sheet1!S71_CFCode,$AD:$AD)</f>
        <v>96521000</v>
      </c>
      <c r="AC18" s="2343" t="s">
        <v>2755</v>
      </c>
      <c r="AD18" s="2343" t="s">
        <v>472</v>
      </c>
    </row>
    <row r="19" spans="1:31" x14ac:dyDescent="0.25">
      <c r="A19" s="104" t="str">
        <f>'A4-FinPerf RE'!A19</f>
        <v>Other revenue</v>
      </c>
      <c r="B19" s="725">
        <f t="shared" si="1"/>
        <v>0</v>
      </c>
      <c r="C19" s="712">
        <f t="shared" si="1"/>
        <v>0</v>
      </c>
      <c r="D19" s="712">
        <f t="shared" si="0"/>
        <v>0</v>
      </c>
      <c r="E19" s="712">
        <f t="shared" si="0"/>
        <v>0</v>
      </c>
      <c r="F19" s="712">
        <f t="shared" si="0"/>
        <v>0</v>
      </c>
      <c r="G19" s="712">
        <f t="shared" si="0"/>
        <v>0</v>
      </c>
      <c r="H19" s="712">
        <f t="shared" si="0"/>
        <v>0</v>
      </c>
      <c r="I19" s="712">
        <f t="shared" si="0"/>
        <v>0</v>
      </c>
      <c r="J19" s="712">
        <f t="shared" si="0"/>
        <v>0</v>
      </c>
      <c r="K19" s="712">
        <f t="shared" si="0"/>
        <v>0</v>
      </c>
      <c r="L19" s="712">
        <f t="shared" si="0"/>
        <v>0</v>
      </c>
      <c r="M19" s="178">
        <f t="shared" si="2"/>
        <v>0</v>
      </c>
      <c r="N19" s="725">
        <f>SUMIFS(Sheet1!S71_ASBudgetAmount,Sheet1!S71_A7SubCode,$AC:$AC,Sheet1!S71_CFCode,$AD:$AD)</f>
        <v>0</v>
      </c>
      <c r="O19" s="712">
        <f>SUMIFS(Sheet1!S71_OY1BudgetAmount,Sheet1!S71_A7SubCode,$AC:$AC,Sheet1!S71_CFCode,$AD:$AD)</f>
        <v>0</v>
      </c>
      <c r="P19" s="713">
        <f>SUMIFS(Sheet1!S71_OY2BudgetAmount,Sheet1!S71_A7SubCode,$AC:$AC,Sheet1!S71_CFCode,$AD:$AD)</f>
        <v>0</v>
      </c>
      <c r="AC19" s="2344" t="s">
        <v>3095</v>
      </c>
      <c r="AD19" s="2343" t="s">
        <v>472</v>
      </c>
    </row>
    <row r="20" spans="1:31" x14ac:dyDescent="0.25">
      <c r="A20" s="475" t="s">
        <v>1405</v>
      </c>
      <c r="B20" s="107">
        <f>SUM(B5:B9)+SUM(B11:B19)</f>
        <v>10468791</v>
      </c>
      <c r="C20" s="106">
        <f t="shared" ref="C20:P20" si="3">SUM(C5:C9)+SUM(C11:C19)</f>
        <v>10468791</v>
      </c>
      <c r="D20" s="106">
        <f t="shared" si="3"/>
        <v>10468791</v>
      </c>
      <c r="E20" s="106">
        <f t="shared" si="3"/>
        <v>10468791</v>
      </c>
      <c r="F20" s="106">
        <f t="shared" si="3"/>
        <v>10468791</v>
      </c>
      <c r="G20" s="106">
        <f t="shared" si="3"/>
        <v>10468791</v>
      </c>
      <c r="H20" s="106">
        <f t="shared" si="3"/>
        <v>10468791</v>
      </c>
      <c r="I20" s="106">
        <f t="shared" si="3"/>
        <v>10468791</v>
      </c>
      <c r="J20" s="106">
        <f t="shared" si="3"/>
        <v>10468791</v>
      </c>
      <c r="K20" s="106">
        <f t="shared" si="3"/>
        <v>10468791</v>
      </c>
      <c r="L20" s="106">
        <f t="shared" si="3"/>
        <v>10468791</v>
      </c>
      <c r="M20" s="923">
        <f t="shared" si="3"/>
        <v>10468806</v>
      </c>
      <c r="N20" s="107">
        <f t="shared" si="3"/>
        <v>125625507</v>
      </c>
      <c r="O20" s="106">
        <f t="shared" si="3"/>
        <v>129308993</v>
      </c>
      <c r="P20" s="359">
        <f t="shared" si="3"/>
        <v>130130127</v>
      </c>
      <c r="Q20" s="322"/>
      <c r="R20" s="322"/>
      <c r="S20" s="322"/>
      <c r="AC20" s="2343"/>
      <c r="AD20" s="2343"/>
    </row>
    <row r="21" spans="1:31" ht="4.9000000000000004" customHeight="1" x14ac:dyDescent="0.25">
      <c r="A21" s="448"/>
      <c r="B21" s="75"/>
      <c r="C21" s="71"/>
      <c r="D21" s="71"/>
      <c r="E21" s="71"/>
      <c r="F21" s="71"/>
      <c r="G21" s="71"/>
      <c r="H21" s="71"/>
      <c r="I21" s="71"/>
      <c r="J21" s="71"/>
      <c r="K21" s="71"/>
      <c r="L21" s="71"/>
      <c r="M21" s="72"/>
      <c r="N21" s="75"/>
      <c r="O21" s="71"/>
      <c r="P21" s="117"/>
      <c r="Q21" s="322"/>
      <c r="R21" s="322"/>
      <c r="S21" s="322"/>
      <c r="AC21" s="2343"/>
      <c r="AD21" s="2343"/>
    </row>
    <row r="22" spans="1:31" ht="11.25" customHeight="1" x14ac:dyDescent="0.25">
      <c r="A22" s="870" t="s">
        <v>800</v>
      </c>
      <c r="B22" s="75"/>
      <c r="C22" s="71"/>
      <c r="D22" s="71"/>
      <c r="E22" s="71"/>
      <c r="F22" s="71"/>
      <c r="G22" s="71"/>
      <c r="H22" s="71"/>
      <c r="I22" s="71"/>
      <c r="J22" s="71"/>
      <c r="K22" s="71"/>
      <c r="L22" s="71"/>
      <c r="M22" s="72"/>
      <c r="N22" s="75"/>
      <c r="O22" s="71"/>
      <c r="P22" s="117"/>
      <c r="Q22" s="322"/>
      <c r="R22" s="322"/>
      <c r="S22" s="322"/>
      <c r="AC22" s="2343"/>
      <c r="AD22" s="2343"/>
    </row>
    <row r="23" spans="1:31" ht="35.25" customHeight="1" x14ac:dyDescent="0.25">
      <c r="A23" s="2029" t="str">
        <f>'A4-FinPerf RE'!A38</f>
        <v>Transfers and subsidies - capital (monetary allocations) (National / Provincial and District)</v>
      </c>
      <c r="B23" s="725">
        <f t="shared" ref="B23:L28" si="4">ROUND($N23/12,0)</f>
        <v>2062917</v>
      </c>
      <c r="C23" s="712">
        <f t="shared" si="4"/>
        <v>2062917</v>
      </c>
      <c r="D23" s="712">
        <f t="shared" si="4"/>
        <v>2062917</v>
      </c>
      <c r="E23" s="712">
        <f t="shared" si="4"/>
        <v>2062917</v>
      </c>
      <c r="F23" s="712">
        <f t="shared" si="4"/>
        <v>2062917</v>
      </c>
      <c r="G23" s="712">
        <f t="shared" si="4"/>
        <v>2062917</v>
      </c>
      <c r="H23" s="712">
        <f t="shared" si="4"/>
        <v>2062917</v>
      </c>
      <c r="I23" s="712">
        <f t="shared" si="4"/>
        <v>2062917</v>
      </c>
      <c r="J23" s="712">
        <f t="shared" si="4"/>
        <v>2062917</v>
      </c>
      <c r="K23" s="712">
        <f t="shared" si="4"/>
        <v>2062917</v>
      </c>
      <c r="L23" s="712">
        <f t="shared" si="4"/>
        <v>2062917</v>
      </c>
      <c r="M23" s="72">
        <f t="shared" ref="M23:M31" si="5">N23-SUM(B23:L23)</f>
        <v>2062913</v>
      </c>
      <c r="N23" s="725">
        <f>SUMIFS(Sheet1!S71_ASBudgetAmount,Sheet1!S71_A7SubCode,$AC:$AC,Sheet1!S71_CFCode,$AD:$AD)</f>
        <v>24755000</v>
      </c>
      <c r="O23" s="712">
        <f>SUMIFS(Sheet1!S71_OY1BudgetAmount,Sheet1!S71_A7SubCode,$AC:$AC,Sheet1!S71_CFCode,$AD:$AD)</f>
        <v>17027000</v>
      </c>
      <c r="P23" s="713">
        <f>SUMIFS(Sheet1!S71_OY2BudgetAmount,Sheet1!S71_A7SubCode,$AC:$AC,Sheet1!S71_CFCode,$AD:$AD)</f>
        <v>17781000</v>
      </c>
      <c r="Q23" s="322"/>
      <c r="R23" s="322"/>
      <c r="S23" s="322"/>
      <c r="AC23" s="2388" t="s">
        <v>2782</v>
      </c>
      <c r="AD23" s="2343" t="s">
        <v>472</v>
      </c>
    </row>
    <row r="24" spans="1:31" ht="43.9" customHeight="1" x14ac:dyDescent="0.25">
      <c r="A24" s="2029" t="str">
        <f>'A4-FinPerf RE'!A39</f>
        <v>Transfers and subsidies - capital (monetary allocations) (National / Provincial Departmental Agencies, Households, Non-profit Institutions, Private Enterprises, Public Corporatons, Higher Educational Institutions)</v>
      </c>
      <c r="B24" s="725">
        <f t="shared" si="4"/>
        <v>0</v>
      </c>
      <c r="C24" s="712">
        <f t="shared" si="4"/>
        <v>0</v>
      </c>
      <c r="D24" s="712">
        <f t="shared" si="4"/>
        <v>0</v>
      </c>
      <c r="E24" s="712">
        <f t="shared" si="4"/>
        <v>0</v>
      </c>
      <c r="F24" s="712">
        <f t="shared" si="4"/>
        <v>0</v>
      </c>
      <c r="G24" s="712">
        <f t="shared" si="4"/>
        <v>0</v>
      </c>
      <c r="H24" s="712">
        <f t="shared" si="4"/>
        <v>0</v>
      </c>
      <c r="I24" s="712">
        <f t="shared" si="4"/>
        <v>0</v>
      </c>
      <c r="J24" s="712">
        <f t="shared" si="4"/>
        <v>0</v>
      </c>
      <c r="K24" s="712">
        <f t="shared" si="4"/>
        <v>0</v>
      </c>
      <c r="L24" s="712">
        <f t="shared" si="4"/>
        <v>0</v>
      </c>
      <c r="M24" s="72">
        <f t="shared" si="5"/>
        <v>0</v>
      </c>
      <c r="N24" s="725">
        <f>SUMIFS(Sheet1!S71_ASBudgetAmount,Sheet1!S71_A7SubCode,$AC:$AC,Sheet1!S71_CFCode,$AD:$AD)</f>
        <v>0</v>
      </c>
      <c r="O24" s="712">
        <f>SUMIFS(Sheet1!S71_OY1BudgetAmount,Sheet1!S71_A7SubCode,$AC:$AC,Sheet1!S71_CFCode,$AD:$AD)</f>
        <v>0</v>
      </c>
      <c r="P24" s="713">
        <f>SUMIFS(Sheet1!S71_OY2BudgetAmount,Sheet1!S71_A7SubCode,$AC:$AC,Sheet1!S71_CFCode,$AD:$AD)</f>
        <v>0</v>
      </c>
      <c r="Q24" s="322"/>
      <c r="R24" s="322"/>
      <c r="S24" s="322"/>
      <c r="AC24" s="2388" t="s">
        <v>2833</v>
      </c>
      <c r="AD24" s="2343" t="s">
        <v>472</v>
      </c>
    </row>
    <row r="25" spans="1:31" ht="11.25" customHeight="1" x14ac:dyDescent="0.25">
      <c r="A25" s="2058" t="s">
        <v>2535</v>
      </c>
      <c r="B25" s="725">
        <f t="shared" si="4"/>
        <v>0</v>
      </c>
      <c r="C25" s="712">
        <f t="shared" si="4"/>
        <v>0</v>
      </c>
      <c r="D25" s="712">
        <f t="shared" si="4"/>
        <v>0</v>
      </c>
      <c r="E25" s="712">
        <f t="shared" si="4"/>
        <v>0</v>
      </c>
      <c r="F25" s="712">
        <f t="shared" si="4"/>
        <v>0</v>
      </c>
      <c r="G25" s="712">
        <f t="shared" si="4"/>
        <v>0</v>
      </c>
      <c r="H25" s="712">
        <f t="shared" si="4"/>
        <v>0</v>
      </c>
      <c r="I25" s="712">
        <f t="shared" si="4"/>
        <v>0</v>
      </c>
      <c r="J25" s="712">
        <f t="shared" si="4"/>
        <v>0</v>
      </c>
      <c r="K25" s="712">
        <f t="shared" si="4"/>
        <v>0</v>
      </c>
      <c r="L25" s="712">
        <f t="shared" si="4"/>
        <v>0</v>
      </c>
      <c r="M25" s="72">
        <f t="shared" si="5"/>
        <v>0</v>
      </c>
      <c r="N25" s="725">
        <f>SUMIFS(Sheet1!S71_ASBudgetAmount,Sheet1!S71_A7SubCode,$AC:$AC,Sheet1!S71_CFCode,$AD:$AD)</f>
        <v>0</v>
      </c>
      <c r="O25" s="712">
        <f>SUMIFS(Sheet1!S71_OY1BudgetAmount,Sheet1!S71_A7SubCode,$AC:$AC,Sheet1!S71_CFCode,$AD:$AD)</f>
        <v>0</v>
      </c>
      <c r="P25" s="713">
        <f>SUMIFS(Sheet1!S71_OY2BudgetAmount,Sheet1!S71_A7SubCode,$AC:$AC,Sheet1!S71_CFCode,$AD:$AD)</f>
        <v>0</v>
      </c>
      <c r="Q25" s="322"/>
      <c r="R25" s="322"/>
      <c r="S25" s="322"/>
      <c r="AC25" s="2389" t="s">
        <v>2819</v>
      </c>
      <c r="AD25" s="2343" t="s">
        <v>472</v>
      </c>
    </row>
    <row r="26" spans="1:31" ht="11.25" customHeight="1" x14ac:dyDescent="0.25">
      <c r="A26" s="137" t="str">
        <f>'A7-CFlow'!A31</f>
        <v>Short term loans</v>
      </c>
      <c r="B26" s="725">
        <f t="shared" si="4"/>
        <v>0</v>
      </c>
      <c r="C26" s="712">
        <f t="shared" si="4"/>
        <v>0</v>
      </c>
      <c r="D26" s="712">
        <f t="shared" si="4"/>
        <v>0</v>
      </c>
      <c r="E26" s="712">
        <f t="shared" si="4"/>
        <v>0</v>
      </c>
      <c r="F26" s="712">
        <f t="shared" si="4"/>
        <v>0</v>
      </c>
      <c r="G26" s="712">
        <f t="shared" si="4"/>
        <v>0</v>
      </c>
      <c r="H26" s="712">
        <f t="shared" si="4"/>
        <v>0</v>
      </c>
      <c r="I26" s="712">
        <f t="shared" si="4"/>
        <v>0</v>
      </c>
      <c r="J26" s="712">
        <f t="shared" si="4"/>
        <v>0</v>
      </c>
      <c r="K26" s="712">
        <f t="shared" si="4"/>
        <v>0</v>
      </c>
      <c r="L26" s="712">
        <f t="shared" si="4"/>
        <v>0</v>
      </c>
      <c r="M26" s="72">
        <f t="shared" si="5"/>
        <v>0</v>
      </c>
      <c r="N26" s="725">
        <f>SUMIFS(Sheet1!S71_ASBudgetAmount,Sheet1!S71_A7SubCode,$AC:$AC,Sheet1!S71_CFCode,$AD:$AD)</f>
        <v>0</v>
      </c>
      <c r="O26" s="712">
        <f>SUMIFS(Sheet1!S71_OY1BudgetAmount,Sheet1!S71_A7SubCode,$AC:$AC,Sheet1!S71_CFCode,$AD:$AD)</f>
        <v>0</v>
      </c>
      <c r="P26" s="713">
        <f>SUMIFS(Sheet1!S71_OY2BudgetAmount,Sheet1!S71_A7SubCode,$AC:$AC,Sheet1!S71_CFCode,$AD:$AD)</f>
        <v>0</v>
      </c>
      <c r="Q26" s="322"/>
      <c r="R26" s="322"/>
      <c r="S26" s="322"/>
      <c r="AC26" s="2389" t="s">
        <v>2834</v>
      </c>
      <c r="AD26" s="2343" t="s">
        <v>472</v>
      </c>
    </row>
    <row r="27" spans="1:31" ht="11.25" customHeight="1" x14ac:dyDescent="0.25">
      <c r="A27" s="137" t="str">
        <f>'A7-CFlow'!A32</f>
        <v>Borrowing long term/refinancing</v>
      </c>
      <c r="B27" s="725">
        <f t="shared" si="4"/>
        <v>0</v>
      </c>
      <c r="C27" s="712">
        <f t="shared" si="4"/>
        <v>0</v>
      </c>
      <c r="D27" s="712">
        <f t="shared" si="4"/>
        <v>0</v>
      </c>
      <c r="E27" s="712">
        <f t="shared" si="4"/>
        <v>0</v>
      </c>
      <c r="F27" s="712">
        <f t="shared" si="4"/>
        <v>0</v>
      </c>
      <c r="G27" s="712">
        <f t="shared" si="4"/>
        <v>0</v>
      </c>
      <c r="H27" s="712">
        <f t="shared" si="4"/>
        <v>0</v>
      </c>
      <c r="I27" s="712">
        <f t="shared" si="4"/>
        <v>0</v>
      </c>
      <c r="J27" s="712">
        <f t="shared" si="4"/>
        <v>0</v>
      </c>
      <c r="K27" s="712">
        <f t="shared" si="4"/>
        <v>0</v>
      </c>
      <c r="L27" s="712">
        <f t="shared" si="4"/>
        <v>0</v>
      </c>
      <c r="M27" s="72">
        <f t="shared" si="5"/>
        <v>0</v>
      </c>
      <c r="N27" s="725">
        <f>SUMIFS(Sheet1!S71_ASBudgetAmount,Sheet1!S71_A7SubCode,$AC:$AC,Sheet1!S71_CFCode,$AD:$AD)</f>
        <v>0</v>
      </c>
      <c r="O27" s="712">
        <f>SUMIFS(Sheet1!S71_OY1BudgetAmount,Sheet1!S71_A7SubCode,$AC:$AC,Sheet1!S71_CFCode,$AD:$AD)</f>
        <v>0</v>
      </c>
      <c r="P27" s="713">
        <f>SUMIFS(Sheet1!S71_OY2BudgetAmount,Sheet1!S71_A7SubCode,$AC:$AC,Sheet1!S71_CFCode,$AD:$AD)</f>
        <v>0</v>
      </c>
      <c r="Q27" s="322"/>
      <c r="R27" s="322"/>
      <c r="S27" s="322"/>
      <c r="AC27" s="2389" t="s">
        <v>3096</v>
      </c>
      <c r="AD27" s="2343" t="s">
        <v>472</v>
      </c>
    </row>
    <row r="28" spans="1:31" x14ac:dyDescent="0.25">
      <c r="A28" s="137" t="str">
        <f>'A7-CFlow'!A33</f>
        <v>Increase (decrease) in consumer deposits</v>
      </c>
      <c r="B28" s="725">
        <f t="shared" si="4"/>
        <v>0</v>
      </c>
      <c r="C28" s="712">
        <f t="shared" si="4"/>
        <v>0</v>
      </c>
      <c r="D28" s="712">
        <f t="shared" si="4"/>
        <v>0</v>
      </c>
      <c r="E28" s="712">
        <f t="shared" si="4"/>
        <v>0</v>
      </c>
      <c r="F28" s="712">
        <f t="shared" si="4"/>
        <v>0</v>
      </c>
      <c r="G28" s="712">
        <f t="shared" si="4"/>
        <v>0</v>
      </c>
      <c r="H28" s="712">
        <f t="shared" si="4"/>
        <v>0</v>
      </c>
      <c r="I28" s="712">
        <f t="shared" si="4"/>
        <v>0</v>
      </c>
      <c r="J28" s="712">
        <f t="shared" si="4"/>
        <v>0</v>
      </c>
      <c r="K28" s="712">
        <f t="shared" si="4"/>
        <v>0</v>
      </c>
      <c r="L28" s="712">
        <f t="shared" si="4"/>
        <v>0</v>
      </c>
      <c r="M28" s="72">
        <f t="shared" si="5"/>
        <v>0</v>
      </c>
      <c r="N28" s="725" cm="1">
        <f t="array" ref="N28">SUMIFS(Sheet1!S71_ASBudgetAmount,Sheet1!S71_ConsDepositsCode,_xlfn.SINGLE($AE:$AE))-(SUMIFS(Sheet1!S71_AdjustmentBudAmnt,Sheet1!S71_ConsDepositsCode,_xlfn.SINGLE($AE:$AE)))</f>
        <v>0</v>
      </c>
      <c r="O28" s="712" cm="1">
        <f t="array" ref="O28">SUMIFS(Sheet1!S71_OY1BudgetAmount,Sheet1!S71_ConsDepositsCode,_xlfn.SINGLE($AE:$AE))-(SUMIFS(Sheet1!S71_ASBudgetAmount,Sheet1!S71_ConsDepositsCode,_xlfn.SINGLE($AE:$AE)))</f>
        <v>0</v>
      </c>
      <c r="P28" s="713" cm="1">
        <f t="array" ref="P28">SUMIFS(Sheet1!S71_OY2BudgetAmount,Sheet1!S71_ConsDepositsCode,_xlfn.SINGLE($AE:$AE))-(SUMIFS(Sheet1!S71_OY1BudgetAmount,Sheet1!S71_ConsDepositsCode,_xlfn.SINGLE($AE:$AE)))</f>
        <v>0</v>
      </c>
      <c r="Q28" s="322"/>
      <c r="R28" s="322"/>
      <c r="S28" s="322"/>
      <c r="AC28" s="2389" t="s">
        <v>2783</v>
      </c>
      <c r="AD28" s="2343" t="s">
        <v>472</v>
      </c>
      <c r="AE28" s="2312" t="s">
        <v>3100</v>
      </c>
    </row>
    <row r="29" spans="1:31" hidden="1" x14ac:dyDescent="0.25">
      <c r="A29" s="137"/>
      <c r="B29" s="75"/>
      <c r="C29" s="71"/>
      <c r="D29" s="71"/>
      <c r="E29" s="71"/>
      <c r="F29" s="71"/>
      <c r="G29" s="71"/>
      <c r="H29" s="71"/>
      <c r="I29" s="71"/>
      <c r="J29" s="71"/>
      <c r="K29" s="71"/>
      <c r="L29" s="71"/>
      <c r="M29" s="72"/>
      <c r="N29" s="75"/>
      <c r="O29" s="71"/>
      <c r="P29" s="117"/>
      <c r="Q29" s="322"/>
      <c r="R29" s="322"/>
      <c r="S29" s="322"/>
      <c r="AC29" s="2389"/>
      <c r="AD29" s="2343" t="s">
        <v>472</v>
      </c>
    </row>
    <row r="30" spans="1:31" ht="11.25" customHeight="1" x14ac:dyDescent="0.25">
      <c r="A30" s="137" t="str">
        <f>'A7-CFlow'!A23</f>
        <v>Decrease (increase) in non-current receivables</v>
      </c>
      <c r="B30" s="725">
        <f t="shared" ref="B30:L31" si="6">ROUND($N30/12,0)</f>
        <v>0</v>
      </c>
      <c r="C30" s="712">
        <f t="shared" si="6"/>
        <v>0</v>
      </c>
      <c r="D30" s="712">
        <f t="shared" si="6"/>
        <v>0</v>
      </c>
      <c r="E30" s="712">
        <f t="shared" si="6"/>
        <v>0</v>
      </c>
      <c r="F30" s="712">
        <f t="shared" si="6"/>
        <v>0</v>
      </c>
      <c r="G30" s="712">
        <f t="shared" si="6"/>
        <v>0</v>
      </c>
      <c r="H30" s="712">
        <f t="shared" si="6"/>
        <v>0</v>
      </c>
      <c r="I30" s="712">
        <f t="shared" si="6"/>
        <v>0</v>
      </c>
      <c r="J30" s="712">
        <f t="shared" si="6"/>
        <v>0</v>
      </c>
      <c r="K30" s="712">
        <f t="shared" si="6"/>
        <v>0</v>
      </c>
      <c r="L30" s="712">
        <f t="shared" si="6"/>
        <v>0</v>
      </c>
      <c r="M30" s="72">
        <f t="shared" si="5"/>
        <v>0</v>
      </c>
      <c r="N30" s="725" cm="1">
        <f t="array" ref="N30">SUMIFS(Sheet1!S71_ASBudgetAmount,Sheet1!S71_NonCurrentRecCode,_xlfn.SINGLE($AE:$AE))-(SUMIFS(Sheet1!S71_AdjustmentBudAmnt,Sheet1!S71_NonCurrentRecCode,_xlfn.SINGLE($AE:$AE)))</f>
        <v>0</v>
      </c>
      <c r="O30" s="712" cm="1">
        <f t="array" ref="O30">SUMIFS(Sheet1!S71_OY1BudgetAmount,Sheet1!S71_NonCurrentRecCode,_xlfn.SINGLE($AE:$AE))-(SUMIFS(Sheet1!S71_ASBudgetAmount,Sheet1!S71_NonCurrentRecCode,_xlfn.SINGLE($AE:$AE)))</f>
        <v>0</v>
      </c>
      <c r="P30" s="713" cm="1">
        <f t="array" ref="P30">SUMIFS(Sheet1!S71_OY2BudgetAmount,Sheet1!S71_NonCurrentRecCode,_xlfn.SINGLE($AE:$AE))-(SUMIFS(Sheet1!S71_OY1BudgetAmount,Sheet1!S71_NonCurrentRecCode,_xlfn.SINGLE($AE:$AE)))</f>
        <v>0</v>
      </c>
      <c r="Q30" s="322"/>
      <c r="R30" s="322"/>
      <c r="S30" s="322"/>
      <c r="AC30" s="2389" t="s">
        <v>2770</v>
      </c>
      <c r="AD30" s="2343" t="s">
        <v>472</v>
      </c>
      <c r="AE30" s="2312" t="s">
        <v>3101</v>
      </c>
    </row>
    <row r="31" spans="1:31" ht="11.25" customHeight="1" x14ac:dyDescent="0.25">
      <c r="A31" s="137" t="str">
        <f>'A7-CFlow'!A24</f>
        <v>Decrease (increase) in non-current investments</v>
      </c>
      <c r="B31" s="725">
        <f t="shared" si="6"/>
        <v>0</v>
      </c>
      <c r="C31" s="712">
        <f t="shared" si="6"/>
        <v>0</v>
      </c>
      <c r="D31" s="712">
        <f t="shared" si="6"/>
        <v>0</v>
      </c>
      <c r="E31" s="712">
        <f t="shared" si="6"/>
        <v>0</v>
      </c>
      <c r="F31" s="712">
        <f t="shared" si="6"/>
        <v>0</v>
      </c>
      <c r="G31" s="712">
        <f t="shared" si="6"/>
        <v>0</v>
      </c>
      <c r="H31" s="712">
        <f t="shared" si="6"/>
        <v>0</v>
      </c>
      <c r="I31" s="712">
        <f t="shared" si="6"/>
        <v>0</v>
      </c>
      <c r="J31" s="712">
        <f t="shared" si="6"/>
        <v>0</v>
      </c>
      <c r="K31" s="712">
        <f t="shared" si="6"/>
        <v>0</v>
      </c>
      <c r="L31" s="712">
        <f t="shared" si="6"/>
        <v>0</v>
      </c>
      <c r="M31" s="72">
        <f t="shared" si="5"/>
        <v>0</v>
      </c>
      <c r="N31" s="725" cm="1">
        <f t="array" ref="N31">SUMIFS(Sheet1!S71_ASBudgetAmount,Sheet1!S71_NonCurrentInvCode,_xlfn.SINGLE($AE:$AE))-(SUMIFS(Sheet1!S71_AdjustmentBudAmnt,Sheet1!S71_NonCurrentInvCode,_xlfn.SINGLE($AE:$AE)))</f>
        <v>0</v>
      </c>
      <c r="O31" s="712" cm="1">
        <f t="array" ref="O31">SUMIFS(Sheet1!S71_OY1BudgetAmount,Sheet1!S71_NonCurrentInvCode,_xlfn.SINGLE($AE:$AE))-(SUMIFS(Sheet1!S71_ASBudgetAmount,Sheet1!S71_NonCurrentInvCode,_xlfn.SINGLE($AE:$AE)))</f>
        <v>0</v>
      </c>
      <c r="P31" s="713" cm="1">
        <f t="array" ref="P31">SUMIFS(Sheet1!S71_OY2BudgetAmount,Sheet1!S71_NonCurrentInvCode,_xlfn.SINGLE($AE:$AE))-(SUMIFS(Sheet1!S71_OY1BudgetAmount,Sheet1!S71_NonCurrentInvCode,_xlfn.SINGLE($AE:$AE)))</f>
        <v>0</v>
      </c>
      <c r="Q31" s="322"/>
      <c r="R31" s="322"/>
      <c r="S31" s="322"/>
      <c r="AC31" s="2389" t="s">
        <v>2771</v>
      </c>
      <c r="AD31" s="2343" t="s">
        <v>472</v>
      </c>
      <c r="AE31" s="2312" t="s">
        <v>3102</v>
      </c>
    </row>
    <row r="32" spans="1:31" ht="11.25" customHeight="1" x14ac:dyDescent="0.25">
      <c r="A32" s="1924" t="s">
        <v>611</v>
      </c>
      <c r="B32" s="244">
        <f>SUM(B20:B28)+SUM(B30:B31)</f>
        <v>12531708</v>
      </c>
      <c r="C32" s="243">
        <f t="shared" ref="C32:L32" si="7">SUM(C20:C28)+SUM(C30:C31)</f>
        <v>12531708</v>
      </c>
      <c r="D32" s="243">
        <f t="shared" si="7"/>
        <v>12531708</v>
      </c>
      <c r="E32" s="243">
        <f t="shared" si="7"/>
        <v>12531708</v>
      </c>
      <c r="F32" s="243">
        <f t="shared" si="7"/>
        <v>12531708</v>
      </c>
      <c r="G32" s="243">
        <f t="shared" si="7"/>
        <v>12531708</v>
      </c>
      <c r="H32" s="243">
        <f t="shared" si="7"/>
        <v>12531708</v>
      </c>
      <c r="I32" s="243">
        <f t="shared" si="7"/>
        <v>12531708</v>
      </c>
      <c r="J32" s="243">
        <f t="shared" si="7"/>
        <v>12531708</v>
      </c>
      <c r="K32" s="243">
        <f t="shared" si="7"/>
        <v>12531708</v>
      </c>
      <c r="L32" s="243">
        <f t="shared" si="7"/>
        <v>12531708</v>
      </c>
      <c r="M32" s="244">
        <f>SUM(M20:M28)+SUM(M30:M31)</f>
        <v>12531719</v>
      </c>
      <c r="N32" s="244">
        <f t="shared" ref="N32:P32" si="8">SUM(N20:N28)+SUM(N30:N31)</f>
        <v>150380507</v>
      </c>
      <c r="O32" s="243">
        <f t="shared" si="8"/>
        <v>146335993</v>
      </c>
      <c r="P32" s="358">
        <f t="shared" si="8"/>
        <v>147911127</v>
      </c>
      <c r="Q32" s="322"/>
      <c r="R32" s="322"/>
      <c r="S32" s="322"/>
      <c r="AC32" s="2389"/>
    </row>
    <row r="33" spans="1:29" ht="4.9000000000000004" customHeight="1" x14ac:dyDescent="0.25">
      <c r="A33" s="2059"/>
      <c r="B33" s="75"/>
      <c r="C33" s="71"/>
      <c r="D33" s="71"/>
      <c r="E33" s="71"/>
      <c r="F33" s="71"/>
      <c r="G33" s="71"/>
      <c r="H33" s="71"/>
      <c r="I33" s="71"/>
      <c r="J33" s="71"/>
      <c r="K33" s="71"/>
      <c r="L33" s="71"/>
      <c r="M33" s="72"/>
      <c r="N33" s="75"/>
      <c r="O33" s="71"/>
      <c r="P33" s="117"/>
      <c r="Q33" s="322"/>
      <c r="R33" s="322"/>
      <c r="S33" s="322"/>
    </row>
    <row r="34" spans="1:29" x14ac:dyDescent="0.25">
      <c r="A34" s="574" t="s">
        <v>1406</v>
      </c>
      <c r="B34" s="75"/>
      <c r="C34" s="71"/>
      <c r="D34" s="71"/>
      <c r="E34" s="71"/>
      <c r="F34" s="71"/>
      <c r="G34" s="71"/>
      <c r="H34" s="71"/>
      <c r="I34" s="71"/>
      <c r="J34" s="71"/>
      <c r="K34" s="71"/>
      <c r="L34" s="71"/>
      <c r="M34" s="72"/>
      <c r="N34" s="327"/>
      <c r="O34" s="71"/>
      <c r="P34" s="117"/>
      <c r="Q34" s="322"/>
      <c r="R34" s="322"/>
      <c r="S34" s="322"/>
    </row>
    <row r="35" spans="1:29" x14ac:dyDescent="0.25">
      <c r="A35" s="137" t="s">
        <v>408</v>
      </c>
      <c r="B35" s="725">
        <f t="shared" ref="B35:L44" si="9">ROUND($N35/12,0)</f>
        <v>4604242</v>
      </c>
      <c r="C35" s="712">
        <f t="shared" si="9"/>
        <v>4604242</v>
      </c>
      <c r="D35" s="712">
        <f t="shared" si="9"/>
        <v>4604242</v>
      </c>
      <c r="E35" s="712">
        <f t="shared" si="9"/>
        <v>4604242</v>
      </c>
      <c r="F35" s="712">
        <f t="shared" si="9"/>
        <v>4604242</v>
      </c>
      <c r="G35" s="712">
        <f t="shared" si="9"/>
        <v>4604242</v>
      </c>
      <c r="H35" s="712">
        <f t="shared" si="9"/>
        <v>4604242</v>
      </c>
      <c r="I35" s="712">
        <f t="shared" si="9"/>
        <v>4604242</v>
      </c>
      <c r="J35" s="712">
        <f t="shared" si="9"/>
        <v>4604242</v>
      </c>
      <c r="K35" s="712">
        <f t="shared" si="9"/>
        <v>4604242</v>
      </c>
      <c r="L35" s="712">
        <f t="shared" si="9"/>
        <v>4604242</v>
      </c>
      <c r="M35" s="72">
        <f t="shared" ref="M35:M44" si="10">N35-SUM(B35:L35)</f>
        <v>4604247</v>
      </c>
      <c r="N35" s="725">
        <f>ABS(SUMIFS(Sheet1!S71_ASBudgetAmount,Sheet1!S71_A7SubCodePayments,$AC:$AC))</f>
        <v>55250909</v>
      </c>
      <c r="O35" s="712">
        <f>ABS(SUMIFS(Sheet1!S71_OY1BudgetAmount,Sheet1!S71_A7SubCodePayments,$AC:$AC))</f>
        <v>57460945</v>
      </c>
      <c r="P35" s="713">
        <f>ABS(SUMIFS(Sheet1!S71_OY2BudgetAmount,Sheet1!S71_A7SubCodePayments,$AC:$AC))</f>
        <v>59759383</v>
      </c>
      <c r="Q35" s="322"/>
      <c r="R35" s="322"/>
      <c r="S35" s="322"/>
      <c r="AC35" s="2388" t="s">
        <v>2806</v>
      </c>
    </row>
    <row r="36" spans="1:29" x14ac:dyDescent="0.25">
      <c r="A36" s="137" t="s">
        <v>458</v>
      </c>
      <c r="B36" s="725">
        <f t="shared" si="9"/>
        <v>0</v>
      </c>
      <c r="C36" s="712">
        <f t="shared" si="9"/>
        <v>0</v>
      </c>
      <c r="D36" s="712">
        <f t="shared" si="9"/>
        <v>0</v>
      </c>
      <c r="E36" s="712">
        <f t="shared" si="9"/>
        <v>0</v>
      </c>
      <c r="F36" s="712">
        <f t="shared" si="9"/>
        <v>0</v>
      </c>
      <c r="G36" s="712">
        <f t="shared" si="9"/>
        <v>0</v>
      </c>
      <c r="H36" s="712">
        <f t="shared" si="9"/>
        <v>0</v>
      </c>
      <c r="I36" s="712">
        <f t="shared" si="9"/>
        <v>0</v>
      </c>
      <c r="J36" s="712">
        <f t="shared" si="9"/>
        <v>0</v>
      </c>
      <c r="K36" s="712">
        <f t="shared" si="9"/>
        <v>0</v>
      </c>
      <c r="L36" s="712">
        <f t="shared" si="9"/>
        <v>0</v>
      </c>
      <c r="M36" s="72">
        <f t="shared" si="10"/>
        <v>0</v>
      </c>
      <c r="N36" s="725">
        <f>ABS(SUMIFS(Sheet1!S71_ASBudgetAmount,Sheet1!S71_A7SubCodePayments,$AC:$AC))</f>
        <v>0</v>
      </c>
      <c r="O36" s="725">
        <f>ABS(SUMIFS(Sheet1!S71_ASBudgetAmount,Sheet1!S71_A7SubCodePayments,$AC:$AC))</f>
        <v>0</v>
      </c>
      <c r="P36" s="713">
        <f>ABS(SUMIFS(Sheet1!S71_OY2BudgetAmount,Sheet1!S71_A7SubCodePayments,$AC:$AC))</f>
        <v>0</v>
      </c>
      <c r="Q36" s="322"/>
      <c r="R36" s="322"/>
      <c r="S36" s="322"/>
      <c r="AC36" s="2389" t="s">
        <v>2698</v>
      </c>
    </row>
    <row r="37" spans="1:29" x14ac:dyDescent="0.25">
      <c r="A37" s="137" t="s">
        <v>1359</v>
      </c>
      <c r="B37" s="725">
        <f t="shared" si="9"/>
        <v>0</v>
      </c>
      <c r="C37" s="712">
        <f t="shared" si="9"/>
        <v>0</v>
      </c>
      <c r="D37" s="712">
        <f t="shared" si="9"/>
        <v>0</v>
      </c>
      <c r="E37" s="712">
        <f t="shared" si="9"/>
        <v>0</v>
      </c>
      <c r="F37" s="712">
        <f t="shared" si="9"/>
        <v>0</v>
      </c>
      <c r="G37" s="712">
        <f t="shared" si="9"/>
        <v>0</v>
      </c>
      <c r="H37" s="712">
        <f t="shared" si="9"/>
        <v>0</v>
      </c>
      <c r="I37" s="712">
        <f t="shared" si="9"/>
        <v>0</v>
      </c>
      <c r="J37" s="712">
        <f t="shared" si="9"/>
        <v>0</v>
      </c>
      <c r="K37" s="712">
        <f t="shared" si="9"/>
        <v>0</v>
      </c>
      <c r="L37" s="712">
        <f t="shared" si="9"/>
        <v>0</v>
      </c>
      <c r="M37" s="72">
        <f t="shared" si="10"/>
        <v>0</v>
      </c>
      <c r="N37" s="725">
        <f>ABS(SUMIFS(Sheet1!S71_ASBudgetAmount,Sheet1!S71_A7SubCodePayments,$AC:$AC))</f>
        <v>0</v>
      </c>
      <c r="O37" s="712">
        <f>ABS(SUMIFS(Sheet1!S71_OY1BudgetAmount,Sheet1!S71_A7SubCodePayments,$AC:$AC))</f>
        <v>0</v>
      </c>
      <c r="P37" s="713">
        <f>ABS(SUMIFS(Sheet1!S71_OY2BudgetAmount,Sheet1!S71_A7SubCodePayments,$AC:$AC))</f>
        <v>0</v>
      </c>
      <c r="Q37" s="322"/>
      <c r="R37" s="322"/>
      <c r="S37" s="322"/>
      <c r="AC37" s="2389" t="s">
        <v>2786</v>
      </c>
    </row>
    <row r="38" spans="1:29" x14ac:dyDescent="0.25">
      <c r="A38" s="137" t="s">
        <v>2606</v>
      </c>
      <c r="B38" s="725">
        <f t="shared" si="9"/>
        <v>0</v>
      </c>
      <c r="C38" s="712">
        <f t="shared" si="9"/>
        <v>0</v>
      </c>
      <c r="D38" s="712">
        <f t="shared" si="9"/>
        <v>0</v>
      </c>
      <c r="E38" s="712">
        <f t="shared" si="9"/>
        <v>0</v>
      </c>
      <c r="F38" s="712">
        <f t="shared" si="9"/>
        <v>0</v>
      </c>
      <c r="G38" s="712">
        <f t="shared" si="9"/>
        <v>0</v>
      </c>
      <c r="H38" s="712">
        <f t="shared" si="9"/>
        <v>0</v>
      </c>
      <c r="I38" s="712">
        <f t="shared" si="9"/>
        <v>0</v>
      </c>
      <c r="J38" s="712">
        <f t="shared" si="9"/>
        <v>0</v>
      </c>
      <c r="K38" s="712">
        <f t="shared" si="9"/>
        <v>0</v>
      </c>
      <c r="L38" s="712">
        <f t="shared" si="9"/>
        <v>0</v>
      </c>
      <c r="M38" s="72">
        <f t="shared" si="10"/>
        <v>0</v>
      </c>
      <c r="N38" s="75">
        <f>'SA1'!J105</f>
        <v>0</v>
      </c>
      <c r="O38" s="71">
        <f>'SA1'!K105</f>
        <v>0</v>
      </c>
      <c r="P38" s="117">
        <f>'SA1'!L105</f>
        <v>0</v>
      </c>
      <c r="Q38" s="322"/>
      <c r="R38" s="322"/>
      <c r="S38" s="322"/>
      <c r="AC38" s="2389"/>
    </row>
    <row r="39" spans="1:29" x14ac:dyDescent="0.25">
      <c r="A39" s="137" t="s">
        <v>2608</v>
      </c>
      <c r="B39" s="725">
        <f t="shared" si="9"/>
        <v>504253</v>
      </c>
      <c r="C39" s="712">
        <f t="shared" si="9"/>
        <v>504253</v>
      </c>
      <c r="D39" s="712">
        <f t="shared" si="9"/>
        <v>504253</v>
      </c>
      <c r="E39" s="712">
        <f t="shared" si="9"/>
        <v>504253</v>
      </c>
      <c r="F39" s="712">
        <f t="shared" si="9"/>
        <v>504253</v>
      </c>
      <c r="G39" s="712">
        <f t="shared" si="9"/>
        <v>504253</v>
      </c>
      <c r="H39" s="712">
        <f t="shared" si="9"/>
        <v>504253</v>
      </c>
      <c r="I39" s="712">
        <f t="shared" si="9"/>
        <v>504253</v>
      </c>
      <c r="J39" s="712">
        <f t="shared" si="9"/>
        <v>504253</v>
      </c>
      <c r="K39" s="712">
        <f t="shared" si="9"/>
        <v>504253</v>
      </c>
      <c r="L39" s="712">
        <f t="shared" si="9"/>
        <v>504253</v>
      </c>
      <c r="M39" s="72">
        <f t="shared" si="10"/>
        <v>504257</v>
      </c>
      <c r="N39" s="75">
        <f>'SA3'!J25+'SA3'!J57+'SA3'!J66+'SA3'!J73+'SA3'!J81+'SA3'!J89+'SA3'!J97+'SA3'!J103+'SA3'!J110</f>
        <v>6051040</v>
      </c>
      <c r="O39" s="71">
        <f>'SA3'!K25+'SA3'!K57+'SA3'!K66+'SA3'!K73+'SA3'!K81+'SA3'!K89+'SA3'!K97+'SA3'!K103+'SA3'!K110</f>
        <v>6308082</v>
      </c>
      <c r="P39" s="117">
        <f>'SA3'!L25+'SA3'!L57+'SA3'!L66+'SA3'!L73+'SA3'!L81+'SA3'!L89+'SA3'!L97+'SA3'!L103+'SA3'!L110</f>
        <v>6582377</v>
      </c>
      <c r="Q39" s="1957"/>
      <c r="R39" s="322"/>
      <c r="S39" s="322"/>
    </row>
    <row r="40" spans="1:29" ht="1.9" customHeight="1" x14ac:dyDescent="0.25">
      <c r="A40" s="137"/>
      <c r="B40" s="725">
        <f t="shared" si="9"/>
        <v>0</v>
      </c>
      <c r="C40" s="712">
        <f t="shared" si="9"/>
        <v>0</v>
      </c>
      <c r="D40" s="712">
        <f t="shared" si="9"/>
        <v>0</v>
      </c>
      <c r="E40" s="712">
        <f t="shared" si="9"/>
        <v>0</v>
      </c>
      <c r="F40" s="712">
        <f t="shared" si="9"/>
        <v>0</v>
      </c>
      <c r="G40" s="712">
        <f t="shared" si="9"/>
        <v>0</v>
      </c>
      <c r="H40" s="712">
        <f t="shared" si="9"/>
        <v>0</v>
      </c>
      <c r="I40" s="712">
        <f t="shared" si="9"/>
        <v>0</v>
      </c>
      <c r="J40" s="712">
        <f t="shared" si="9"/>
        <v>0</v>
      </c>
      <c r="K40" s="712">
        <f t="shared" si="9"/>
        <v>0</v>
      </c>
      <c r="L40" s="712">
        <f t="shared" si="9"/>
        <v>0</v>
      </c>
      <c r="M40" s="72"/>
      <c r="N40" s="75"/>
      <c r="O40" s="71"/>
      <c r="P40" s="117"/>
      <c r="Q40" s="1957"/>
      <c r="R40" s="322"/>
      <c r="S40" s="322"/>
    </row>
    <row r="41" spans="1:29" x14ac:dyDescent="0.25">
      <c r="A41" s="137" t="s">
        <v>411</v>
      </c>
      <c r="B41" s="725">
        <f t="shared" si="9"/>
        <v>3449704</v>
      </c>
      <c r="C41" s="712">
        <f t="shared" si="9"/>
        <v>3449704</v>
      </c>
      <c r="D41" s="712">
        <f t="shared" si="9"/>
        <v>3449704</v>
      </c>
      <c r="E41" s="712">
        <f t="shared" si="9"/>
        <v>3449704</v>
      </c>
      <c r="F41" s="712">
        <f t="shared" si="9"/>
        <v>3449704</v>
      </c>
      <c r="G41" s="712">
        <f t="shared" si="9"/>
        <v>3449704</v>
      </c>
      <c r="H41" s="712">
        <f t="shared" si="9"/>
        <v>3449704</v>
      </c>
      <c r="I41" s="712">
        <f t="shared" si="9"/>
        <v>3449704</v>
      </c>
      <c r="J41" s="712">
        <f t="shared" si="9"/>
        <v>3449704</v>
      </c>
      <c r="K41" s="712">
        <f t="shared" si="9"/>
        <v>3449704</v>
      </c>
      <c r="L41" s="712">
        <f t="shared" si="9"/>
        <v>3449704</v>
      </c>
      <c r="M41" s="72">
        <f t="shared" si="10"/>
        <v>3449702</v>
      </c>
      <c r="N41" s="725">
        <f>ABS(SUMIFS(Sheet1!S71_ASBudgetAmount,Sheet1!S71_A7SubCodePayments,$AC:$AC))</f>
        <v>41396446</v>
      </c>
      <c r="O41" s="712">
        <f>ABS(SUMIFS(Sheet1!S71_OY1BudgetAmount,Sheet1!S71_A7SubCodePayments,$AC:$AC))</f>
        <v>43052304</v>
      </c>
      <c r="P41" s="713">
        <f>ABS(SUMIFS(Sheet1!S71_OY2BudgetAmount,Sheet1!S71_A7SubCodePayments,$AC:$AC))</f>
        <v>44774396</v>
      </c>
      <c r="Q41" s="322"/>
      <c r="R41" s="322"/>
      <c r="S41" s="322"/>
      <c r="AC41" s="2388" t="s">
        <v>2839</v>
      </c>
    </row>
    <row r="42" spans="1:29" x14ac:dyDescent="0.25">
      <c r="A42" s="137" t="s">
        <v>1798</v>
      </c>
      <c r="B42" s="725">
        <f t="shared" si="9"/>
        <v>0</v>
      </c>
      <c r="C42" s="712">
        <f t="shared" si="9"/>
        <v>0</v>
      </c>
      <c r="D42" s="712">
        <f t="shared" si="9"/>
        <v>0</v>
      </c>
      <c r="E42" s="712">
        <f t="shared" si="9"/>
        <v>0</v>
      </c>
      <c r="F42" s="712">
        <f t="shared" si="9"/>
        <v>0</v>
      </c>
      <c r="G42" s="712">
        <f t="shared" si="9"/>
        <v>0</v>
      </c>
      <c r="H42" s="712">
        <f t="shared" si="9"/>
        <v>0</v>
      </c>
      <c r="I42" s="712">
        <f t="shared" si="9"/>
        <v>0</v>
      </c>
      <c r="J42" s="712">
        <f t="shared" si="9"/>
        <v>0</v>
      </c>
      <c r="K42" s="712">
        <f t="shared" si="9"/>
        <v>0</v>
      </c>
      <c r="L42" s="712">
        <f t="shared" si="9"/>
        <v>0</v>
      </c>
      <c r="M42" s="72">
        <f t="shared" si="10"/>
        <v>0</v>
      </c>
      <c r="N42" s="725">
        <f>ABS(SUMIFS(Sheet1!S71_ASBudgetAmount,Sheet1!S71_A7SubCodePayments,$AC:$AC))</f>
        <v>0</v>
      </c>
      <c r="O42" s="712">
        <f>ABS(SUMIFS(Sheet1!S71_OY1BudgetAmount,Sheet1!S71_A7SubCodePayments,$AC:$AC))</f>
        <v>0</v>
      </c>
      <c r="P42" s="713">
        <f>ABS(SUMIFS(Sheet1!S71_OY2BudgetAmount,Sheet1!S71_A7SubCodePayments,$AC:$AC))</f>
        <v>0</v>
      </c>
      <c r="Q42" s="322"/>
      <c r="R42" s="322"/>
      <c r="S42" s="322"/>
      <c r="AC42" s="2388" t="s">
        <v>2787</v>
      </c>
    </row>
    <row r="43" spans="1:29" x14ac:dyDescent="0.25">
      <c r="A43" s="137" t="s">
        <v>1799</v>
      </c>
      <c r="B43" s="725">
        <f t="shared" si="9"/>
        <v>0</v>
      </c>
      <c r="C43" s="712">
        <f t="shared" si="9"/>
        <v>0</v>
      </c>
      <c r="D43" s="712">
        <f t="shared" si="9"/>
        <v>0</v>
      </c>
      <c r="E43" s="712">
        <f t="shared" si="9"/>
        <v>0</v>
      </c>
      <c r="F43" s="712">
        <f t="shared" si="9"/>
        <v>0</v>
      </c>
      <c r="G43" s="712">
        <f t="shared" si="9"/>
        <v>0</v>
      </c>
      <c r="H43" s="712">
        <f t="shared" si="9"/>
        <v>0</v>
      </c>
      <c r="I43" s="712">
        <f t="shared" si="9"/>
        <v>0</v>
      </c>
      <c r="J43" s="712">
        <f t="shared" si="9"/>
        <v>0</v>
      </c>
      <c r="K43" s="712">
        <f t="shared" si="9"/>
        <v>0</v>
      </c>
      <c r="L43" s="712">
        <f t="shared" si="9"/>
        <v>0</v>
      </c>
      <c r="M43" s="72">
        <f t="shared" si="10"/>
        <v>0</v>
      </c>
      <c r="N43" s="725">
        <f>ABS(SUMIFS(Sheet1!S71_ASBudgetAmount,Sheet1!S71_A7SubCodePayments,$AC:$AC))</f>
        <v>0</v>
      </c>
      <c r="O43" s="712">
        <f>ABS(SUMIFS(Sheet1!S71_OY1BudgetAmount,Sheet1!S71_A7SubCodePayments,$AC:$AC))</f>
        <v>0</v>
      </c>
      <c r="P43" s="713">
        <f>ABS(SUMIFS(Sheet1!S71_OY2BudgetAmount,Sheet1!S71_A7SubCodePayments,$AC:$AC))</f>
        <v>0</v>
      </c>
      <c r="Q43" s="322"/>
      <c r="R43" s="322"/>
      <c r="S43" s="322"/>
      <c r="AC43" s="2388" t="s">
        <v>2788</v>
      </c>
    </row>
    <row r="44" spans="1:29" x14ac:dyDescent="0.25">
      <c r="A44" s="137" t="s">
        <v>822</v>
      </c>
      <c r="B44" s="725">
        <f t="shared" si="9"/>
        <v>3463736</v>
      </c>
      <c r="C44" s="712">
        <f t="shared" si="9"/>
        <v>3463736</v>
      </c>
      <c r="D44" s="712">
        <f t="shared" si="9"/>
        <v>3463736</v>
      </c>
      <c r="E44" s="712">
        <f t="shared" si="9"/>
        <v>3463736</v>
      </c>
      <c r="F44" s="712">
        <f t="shared" si="9"/>
        <v>3463736</v>
      </c>
      <c r="G44" s="712">
        <f t="shared" si="9"/>
        <v>3463736</v>
      </c>
      <c r="H44" s="712">
        <f t="shared" si="9"/>
        <v>3463736</v>
      </c>
      <c r="I44" s="712">
        <f t="shared" si="9"/>
        <v>3463736</v>
      </c>
      <c r="J44" s="712">
        <f t="shared" si="9"/>
        <v>3463736</v>
      </c>
      <c r="K44" s="712">
        <f t="shared" si="9"/>
        <v>3463736</v>
      </c>
      <c r="L44" s="712">
        <f t="shared" si="9"/>
        <v>3463736</v>
      </c>
      <c r="M44" s="72">
        <f t="shared" si="10"/>
        <v>3463741</v>
      </c>
      <c r="N44" s="725">
        <f>ABS(SUMIFS(Sheet1!S71_ASBudgetAmount,Sheet1!S71_A7SubCodePayments,$AC:$AC))</f>
        <v>41564837</v>
      </c>
      <c r="O44" s="712">
        <f>ABS(SUMIFS(Sheet1!S71_OY1BudgetAmount,Sheet1!S71_A7SubCodePayments,$AC:$AC))</f>
        <v>42893079</v>
      </c>
      <c r="P44" s="713">
        <f>ABS(SUMIFS(Sheet1!S71_OY2BudgetAmount,Sheet1!S71_A7SubCodePayments,$AC:$AC))</f>
        <v>44608802</v>
      </c>
      <c r="Q44" s="322"/>
      <c r="R44" s="322"/>
      <c r="S44" s="322"/>
      <c r="AC44" s="2388" t="s">
        <v>2790</v>
      </c>
    </row>
    <row r="45" spans="1:29" x14ac:dyDescent="0.25">
      <c r="A45" s="475" t="s">
        <v>1406</v>
      </c>
      <c r="B45" s="107">
        <f t="shared" ref="B45:O45" si="11">SUM(B35:B44)</f>
        <v>12021935</v>
      </c>
      <c r="C45" s="106">
        <f t="shared" si="11"/>
        <v>12021935</v>
      </c>
      <c r="D45" s="106">
        <f t="shared" si="11"/>
        <v>12021935</v>
      </c>
      <c r="E45" s="106">
        <f t="shared" si="11"/>
        <v>12021935</v>
      </c>
      <c r="F45" s="106">
        <f t="shared" si="11"/>
        <v>12021935</v>
      </c>
      <c r="G45" s="106">
        <f t="shared" si="11"/>
        <v>12021935</v>
      </c>
      <c r="H45" s="106">
        <f t="shared" si="11"/>
        <v>12021935</v>
      </c>
      <c r="I45" s="106">
        <f t="shared" si="11"/>
        <v>12021935</v>
      </c>
      <c r="J45" s="106">
        <f t="shared" si="11"/>
        <v>12021935</v>
      </c>
      <c r="K45" s="106">
        <f t="shared" si="11"/>
        <v>12021935</v>
      </c>
      <c r="L45" s="106">
        <f t="shared" si="11"/>
        <v>12021935</v>
      </c>
      <c r="M45" s="923">
        <f t="shared" si="11"/>
        <v>12021947</v>
      </c>
      <c r="N45" s="107">
        <f>SUM(N35:N44)</f>
        <v>144263232</v>
      </c>
      <c r="O45" s="106">
        <f t="shared" si="11"/>
        <v>149714410</v>
      </c>
      <c r="P45" s="359">
        <f>SUM(P35:P44)</f>
        <v>155724958</v>
      </c>
      <c r="Q45" s="322"/>
      <c r="R45" s="322"/>
      <c r="S45" s="322"/>
    </row>
    <row r="46" spans="1:29" ht="4.9000000000000004" customHeight="1" x14ac:dyDescent="0.25">
      <c r="A46" s="448"/>
      <c r="B46" s="75"/>
      <c r="C46" s="71"/>
      <c r="D46" s="71"/>
      <c r="E46" s="71"/>
      <c r="F46" s="71"/>
      <c r="G46" s="71"/>
      <c r="H46" s="71"/>
      <c r="I46" s="71"/>
      <c r="J46" s="71"/>
      <c r="K46" s="71"/>
      <c r="L46" s="71"/>
      <c r="M46" s="72"/>
      <c r="N46" s="75"/>
      <c r="O46" s="71"/>
      <c r="P46" s="117"/>
      <c r="Q46" s="322"/>
      <c r="R46" s="322"/>
      <c r="S46" s="322"/>
    </row>
    <row r="47" spans="1:29" x14ac:dyDescent="0.25">
      <c r="A47" s="475" t="s">
        <v>256</v>
      </c>
      <c r="B47" s="75"/>
      <c r="C47" s="71"/>
      <c r="D47" s="71"/>
      <c r="E47" s="71"/>
      <c r="F47" s="71"/>
      <c r="G47" s="71"/>
      <c r="H47" s="71"/>
      <c r="I47" s="71"/>
      <c r="J47" s="71"/>
      <c r="K47" s="71"/>
      <c r="L47" s="71"/>
      <c r="M47" s="72"/>
      <c r="N47" s="75"/>
      <c r="O47" s="71"/>
      <c r="P47" s="117"/>
      <c r="Q47" s="322"/>
      <c r="R47" s="322"/>
      <c r="S47" s="322"/>
    </row>
    <row r="48" spans="1:29" x14ac:dyDescent="0.25">
      <c r="A48" s="137" t="str">
        <f>'A7-CFlow'!A26</f>
        <v>Capital assets</v>
      </c>
      <c r="B48" s="725">
        <f t="shared" ref="B48:L50" si="12">ROUND($N48/12,0)</f>
        <v>2635083</v>
      </c>
      <c r="C48" s="712">
        <f t="shared" si="12"/>
        <v>2635083</v>
      </c>
      <c r="D48" s="712">
        <f t="shared" si="12"/>
        <v>2635083</v>
      </c>
      <c r="E48" s="712">
        <f t="shared" si="12"/>
        <v>2635083</v>
      </c>
      <c r="F48" s="712">
        <f t="shared" si="12"/>
        <v>2635083</v>
      </c>
      <c r="G48" s="712">
        <f t="shared" si="12"/>
        <v>2635083</v>
      </c>
      <c r="H48" s="712">
        <f t="shared" si="12"/>
        <v>2635083</v>
      </c>
      <c r="I48" s="712">
        <f t="shared" si="12"/>
        <v>2635083</v>
      </c>
      <c r="J48" s="712">
        <f t="shared" si="12"/>
        <v>2635083</v>
      </c>
      <c r="K48" s="712">
        <f t="shared" si="12"/>
        <v>2635083</v>
      </c>
      <c r="L48" s="712">
        <f t="shared" si="12"/>
        <v>2635083</v>
      </c>
      <c r="M48" s="72">
        <f>N48-SUM(B48:L48)</f>
        <v>2635087</v>
      </c>
      <c r="N48" s="725">
        <f>ABS(SUMIFS(Sheet1!S71_ASBudgetAmount,Sheet1!S71_A7SubCodePayments,$AC:$AC))</f>
        <v>31621000</v>
      </c>
      <c r="O48" s="712">
        <f>ABS(SUMIFS(Sheet1!S71_OY1BudgetAmount,Sheet1!S71_A7SubCodePayments,$AC:$AC))</f>
        <v>17871000</v>
      </c>
      <c r="P48" s="713">
        <f>ABS(SUMIFS(Sheet1!S71_OY2BudgetAmount,Sheet1!S71_A7SubCodePayments,$AC:$AC))</f>
        <v>18394000</v>
      </c>
      <c r="Q48" s="322"/>
      <c r="R48" s="322"/>
      <c r="S48" s="322"/>
      <c r="AC48" s="2388" t="s">
        <v>2841</v>
      </c>
    </row>
    <row r="49" spans="1:31" x14ac:dyDescent="0.25">
      <c r="A49" s="137" t="str">
        <f>'A7-CFlow'!A35</f>
        <v>Repayment of borrowing</v>
      </c>
      <c r="B49" s="725">
        <f t="shared" si="12"/>
        <v>0</v>
      </c>
      <c r="C49" s="712">
        <f t="shared" si="12"/>
        <v>0</v>
      </c>
      <c r="D49" s="712">
        <f t="shared" si="12"/>
        <v>0</v>
      </c>
      <c r="E49" s="712">
        <f t="shared" si="12"/>
        <v>0</v>
      </c>
      <c r="F49" s="712">
        <f t="shared" si="12"/>
        <v>0</v>
      </c>
      <c r="G49" s="712">
        <f t="shared" si="12"/>
        <v>0</v>
      </c>
      <c r="H49" s="712">
        <f t="shared" si="12"/>
        <v>0</v>
      </c>
      <c r="I49" s="712">
        <f t="shared" si="12"/>
        <v>0</v>
      </c>
      <c r="J49" s="712">
        <f t="shared" si="12"/>
        <v>0</v>
      </c>
      <c r="K49" s="712">
        <f t="shared" si="12"/>
        <v>0</v>
      </c>
      <c r="L49" s="712">
        <f t="shared" si="12"/>
        <v>0</v>
      </c>
      <c r="M49" s="72">
        <f>N49-SUM(B49:L49)</f>
        <v>0</v>
      </c>
      <c r="N49" s="725">
        <f>ABS(SUMIFS(Sheet1!S71_ASBudgetAmount,Sheet1!S71_A7SubCodePayments,$AC:$AC))</f>
        <v>0</v>
      </c>
      <c r="O49" s="712">
        <f>ABS(SUMIFS(Sheet1!S71_OY1BudgetAmount,Sheet1!S71_A7SubCodePayments,$AC:$AC))</f>
        <v>0</v>
      </c>
      <c r="P49" s="713">
        <f>ABS(SUMIFS(Sheet1!S71_OY2BudgetAmount,Sheet1!S71_A7SubCodePayments,$AC:$AC))</f>
        <v>0</v>
      </c>
      <c r="Q49" s="322"/>
      <c r="R49" s="322"/>
      <c r="S49" s="322"/>
      <c r="AC49" s="2388" t="s">
        <v>2842</v>
      </c>
    </row>
    <row r="50" spans="1:31" x14ac:dyDescent="0.25">
      <c r="A50" s="137" t="str">
        <f>LEFT(A47,25)</f>
        <v>Other Cash Flows/Payments</v>
      </c>
      <c r="B50" s="725">
        <f t="shared" si="12"/>
        <v>0</v>
      </c>
      <c r="C50" s="712">
        <f t="shared" si="12"/>
        <v>0</v>
      </c>
      <c r="D50" s="712">
        <f t="shared" si="12"/>
        <v>0</v>
      </c>
      <c r="E50" s="712">
        <f t="shared" si="12"/>
        <v>0</v>
      </c>
      <c r="F50" s="712">
        <f t="shared" si="12"/>
        <v>0</v>
      </c>
      <c r="G50" s="712">
        <f t="shared" si="12"/>
        <v>0</v>
      </c>
      <c r="H50" s="712">
        <f t="shared" si="12"/>
        <v>0</v>
      </c>
      <c r="I50" s="712">
        <f t="shared" si="12"/>
        <v>0</v>
      </c>
      <c r="J50" s="712">
        <f t="shared" si="12"/>
        <v>0</v>
      </c>
      <c r="K50" s="712">
        <f t="shared" si="12"/>
        <v>0</v>
      </c>
      <c r="L50" s="712">
        <f t="shared" si="12"/>
        <v>0</v>
      </c>
      <c r="M50" s="72">
        <f>N50-SUM(B50:L50)</f>
        <v>0</v>
      </c>
      <c r="N50" s="725">
        <f>ABS(SUMIFS(Sheet1!S71_ASBudgetAmount,Sheet1!S71_A7SubCodePayments,$AC:$AC))</f>
        <v>0</v>
      </c>
      <c r="O50" s="712">
        <f>ABS(SUMIFS(Sheet1!S71_OY1BudgetAmount,Sheet1!S71_A7SubCodePayments,$AC:$AC))</f>
        <v>0</v>
      </c>
      <c r="P50" s="713">
        <f>ABS(SUMIFS(Sheet1!S71_OY2BudgetAmount,Sheet1!S71_A7SubCodePayments,$AC:$AC))</f>
        <v>0</v>
      </c>
      <c r="Q50" s="322"/>
      <c r="R50" s="322"/>
      <c r="S50" s="322"/>
      <c r="AC50" s="2389" t="s">
        <v>2843</v>
      </c>
    </row>
    <row r="51" spans="1:31" x14ac:dyDescent="0.25">
      <c r="A51" s="1924" t="s">
        <v>612</v>
      </c>
      <c r="B51" s="244">
        <f>SUM(B45:B50)</f>
        <v>14657018</v>
      </c>
      <c r="C51" s="243">
        <f t="shared" ref="C51:P51" si="13">SUM(C45:C50)</f>
        <v>14657018</v>
      </c>
      <c r="D51" s="243">
        <f t="shared" si="13"/>
        <v>14657018</v>
      </c>
      <c r="E51" s="243">
        <f t="shared" si="13"/>
        <v>14657018</v>
      </c>
      <c r="F51" s="243">
        <f t="shared" si="13"/>
        <v>14657018</v>
      </c>
      <c r="G51" s="243">
        <f t="shared" si="13"/>
        <v>14657018</v>
      </c>
      <c r="H51" s="243">
        <f t="shared" si="13"/>
        <v>14657018</v>
      </c>
      <c r="I51" s="243">
        <f t="shared" si="13"/>
        <v>14657018</v>
      </c>
      <c r="J51" s="243">
        <f t="shared" si="13"/>
        <v>14657018</v>
      </c>
      <c r="K51" s="243">
        <f t="shared" si="13"/>
        <v>14657018</v>
      </c>
      <c r="L51" s="243">
        <f t="shared" si="13"/>
        <v>14657018</v>
      </c>
      <c r="M51" s="581">
        <f t="shared" si="13"/>
        <v>14657034</v>
      </c>
      <c r="N51" s="244">
        <f t="shared" si="13"/>
        <v>175884232</v>
      </c>
      <c r="O51" s="243">
        <f t="shared" si="13"/>
        <v>167585410</v>
      </c>
      <c r="P51" s="1926">
        <f t="shared" si="13"/>
        <v>174118958</v>
      </c>
      <c r="Q51" s="126"/>
      <c r="R51" s="2380" t="s">
        <v>474</v>
      </c>
      <c r="S51" s="126"/>
      <c r="AC51" s="2390"/>
    </row>
    <row r="52" spans="1:31" ht="4.9000000000000004" customHeight="1" x14ac:dyDescent="0.25">
      <c r="A52" s="448"/>
      <c r="B52" s="75"/>
      <c r="C52" s="71"/>
      <c r="D52" s="71"/>
      <c r="E52" s="71"/>
      <c r="F52" s="71"/>
      <c r="G52" s="71"/>
      <c r="H52" s="71"/>
      <c r="I52" s="71"/>
      <c r="J52" s="71"/>
      <c r="K52" s="71"/>
      <c r="L52" s="71"/>
      <c r="M52" s="72"/>
      <c r="N52" s="75"/>
      <c r="O52" s="71"/>
      <c r="P52" s="305"/>
      <c r="Q52" s="126"/>
      <c r="R52" s="126"/>
      <c r="S52" s="126"/>
      <c r="AC52" s="2390"/>
    </row>
    <row r="53" spans="1:31" s="1856" customFormat="1" x14ac:dyDescent="0.2">
      <c r="A53" s="2060" t="s">
        <v>337</v>
      </c>
      <c r="B53" s="2061">
        <f t="shared" ref="B53:P53" si="14">B32-B51</f>
        <v>-2125310</v>
      </c>
      <c r="C53" s="2062">
        <f t="shared" si="14"/>
        <v>-2125310</v>
      </c>
      <c r="D53" s="2062">
        <f t="shared" si="14"/>
        <v>-2125310</v>
      </c>
      <c r="E53" s="2062">
        <f t="shared" si="14"/>
        <v>-2125310</v>
      </c>
      <c r="F53" s="2062">
        <f t="shared" si="14"/>
        <v>-2125310</v>
      </c>
      <c r="G53" s="2062">
        <f t="shared" si="14"/>
        <v>-2125310</v>
      </c>
      <c r="H53" s="2062">
        <f t="shared" si="14"/>
        <v>-2125310</v>
      </c>
      <c r="I53" s="2062">
        <f t="shared" si="14"/>
        <v>-2125310</v>
      </c>
      <c r="J53" s="2062">
        <f t="shared" si="14"/>
        <v>-2125310</v>
      </c>
      <c r="K53" s="2062">
        <f t="shared" si="14"/>
        <v>-2125310</v>
      </c>
      <c r="L53" s="2062">
        <f t="shared" si="14"/>
        <v>-2125310</v>
      </c>
      <c r="M53" s="2063">
        <f t="shared" si="14"/>
        <v>-2125315</v>
      </c>
      <c r="N53" s="2061">
        <f t="shared" si="14"/>
        <v>-25503725</v>
      </c>
      <c r="O53" s="2062">
        <f t="shared" si="14"/>
        <v>-21249417</v>
      </c>
      <c r="P53" s="2378">
        <f t="shared" si="14"/>
        <v>-26207831</v>
      </c>
      <c r="Q53" s="2379"/>
      <c r="R53" s="2379"/>
      <c r="S53" s="2379"/>
      <c r="Z53" s="2377"/>
      <c r="AA53" s="2377"/>
      <c r="AB53" s="2391"/>
      <c r="AC53" s="2392"/>
      <c r="AD53" s="2391"/>
      <c r="AE53" s="2391"/>
    </row>
    <row r="54" spans="1:31" ht="10.5" customHeight="1" x14ac:dyDescent="0.25">
      <c r="A54" s="448" t="s">
        <v>827</v>
      </c>
      <c r="B54" s="2064">
        <f>SUMIFS(Sheet1!S71_ASBudgetAmount,Sheet1!S71_A7SubCodePayments,$AC:$AC)</f>
        <v>56315652</v>
      </c>
      <c r="C54" s="82">
        <f>B55</f>
        <v>54190342</v>
      </c>
      <c r="D54" s="82">
        <f t="shared" ref="D54:M54" si="15">C55</f>
        <v>52065032</v>
      </c>
      <c r="E54" s="82">
        <f t="shared" si="15"/>
        <v>49939722</v>
      </c>
      <c r="F54" s="82">
        <f t="shared" si="15"/>
        <v>47814412</v>
      </c>
      <c r="G54" s="82">
        <f t="shared" si="15"/>
        <v>45689102</v>
      </c>
      <c r="H54" s="82">
        <f t="shared" si="15"/>
        <v>43563792</v>
      </c>
      <c r="I54" s="82">
        <f t="shared" si="15"/>
        <v>41438482</v>
      </c>
      <c r="J54" s="82">
        <f t="shared" si="15"/>
        <v>39313172</v>
      </c>
      <c r="K54" s="82">
        <f t="shared" si="15"/>
        <v>37187862</v>
      </c>
      <c r="L54" s="82">
        <f t="shared" si="15"/>
        <v>35062552</v>
      </c>
      <c r="M54" s="2065">
        <f t="shared" si="15"/>
        <v>32937242</v>
      </c>
      <c r="N54" s="83">
        <f>B54</f>
        <v>56315652</v>
      </c>
      <c r="O54" s="82">
        <f>N55</f>
        <v>30811927</v>
      </c>
      <c r="P54" s="304">
        <f>O55</f>
        <v>9562510</v>
      </c>
      <c r="Q54" s="126"/>
      <c r="R54" s="126"/>
      <c r="S54" s="126"/>
      <c r="AC54" s="2389" t="s">
        <v>2791</v>
      </c>
    </row>
    <row r="55" spans="1:31" ht="10.5" customHeight="1" x14ac:dyDescent="0.25">
      <c r="A55" s="2066" t="s">
        <v>826</v>
      </c>
      <c r="B55" s="439">
        <f>B54+B53</f>
        <v>54190342</v>
      </c>
      <c r="C55" s="437">
        <f>C54+C53</f>
        <v>52065032</v>
      </c>
      <c r="D55" s="437">
        <f t="shared" ref="D55:P55" si="16">D54+D53</f>
        <v>49939722</v>
      </c>
      <c r="E55" s="437">
        <f t="shared" si="16"/>
        <v>47814412</v>
      </c>
      <c r="F55" s="437">
        <f t="shared" si="16"/>
        <v>45689102</v>
      </c>
      <c r="G55" s="437">
        <f t="shared" si="16"/>
        <v>43563792</v>
      </c>
      <c r="H55" s="437">
        <f t="shared" si="16"/>
        <v>41438482</v>
      </c>
      <c r="I55" s="437">
        <f t="shared" si="16"/>
        <v>39313172</v>
      </c>
      <c r="J55" s="437">
        <f t="shared" si="16"/>
        <v>37187862</v>
      </c>
      <c r="K55" s="437">
        <f t="shared" si="16"/>
        <v>35062552</v>
      </c>
      <c r="L55" s="437">
        <f t="shared" si="16"/>
        <v>32937242</v>
      </c>
      <c r="M55" s="438">
        <f t="shared" si="16"/>
        <v>30811927</v>
      </c>
      <c r="N55" s="436">
        <f t="shared" si="16"/>
        <v>30811927</v>
      </c>
      <c r="O55" s="437">
        <f t="shared" si="16"/>
        <v>9562510</v>
      </c>
      <c r="P55" s="2067">
        <f t="shared" si="16"/>
        <v>-16645321</v>
      </c>
      <c r="Q55" s="322"/>
      <c r="R55" s="322"/>
      <c r="S55" s="322"/>
    </row>
    <row r="56" spans="1:31" ht="10.5" customHeight="1" x14ac:dyDescent="0.25">
      <c r="A56" s="149" t="str">
        <f>head27a</f>
        <v>References</v>
      </c>
      <c r="B56" s="322"/>
      <c r="C56" s="322"/>
      <c r="D56" s="322"/>
      <c r="E56" s="322"/>
      <c r="F56" s="322"/>
      <c r="G56" s="322"/>
      <c r="H56" s="322"/>
      <c r="I56" s="322"/>
      <c r="J56" s="322"/>
      <c r="K56" s="322"/>
      <c r="L56" s="322"/>
      <c r="M56" s="322"/>
      <c r="N56" s="322"/>
      <c r="O56" s="322"/>
      <c r="P56" s="322"/>
      <c r="Q56" s="322"/>
      <c r="R56" s="322"/>
      <c r="S56" s="322"/>
    </row>
    <row r="57" spans="1:31" ht="27.75" customHeight="1" x14ac:dyDescent="0.25">
      <c r="A57" s="2463" t="s">
        <v>2010</v>
      </c>
      <c r="B57" s="2463"/>
      <c r="C57" s="2463"/>
      <c r="D57" s="2463"/>
      <c r="E57" s="2463"/>
      <c r="F57" s="2463"/>
      <c r="G57" s="2463"/>
      <c r="H57" s="2463"/>
      <c r="I57" s="2463"/>
      <c r="J57" s="2463"/>
      <c r="K57" s="2463"/>
      <c r="L57" s="2463"/>
      <c r="M57" s="2463"/>
      <c r="N57" s="2463"/>
      <c r="O57" s="2463"/>
      <c r="P57" s="2463"/>
      <c r="Q57" s="322"/>
      <c r="R57" s="322"/>
      <c r="S57" s="322"/>
    </row>
    <row r="58" spans="1:31" ht="10.5" customHeight="1" x14ac:dyDescent="0.25">
      <c r="A58" s="2068" t="s">
        <v>2592</v>
      </c>
      <c r="B58" s="322"/>
      <c r="C58" s="322"/>
      <c r="D58" s="322"/>
      <c r="E58" s="322"/>
      <c r="F58" s="322"/>
      <c r="G58" s="322"/>
      <c r="H58" s="322"/>
      <c r="I58" s="322"/>
      <c r="J58" s="322"/>
      <c r="K58" s="322"/>
      <c r="L58" s="322"/>
      <c r="M58" s="322"/>
      <c r="N58" s="322"/>
      <c r="O58" s="322"/>
      <c r="P58" s="322"/>
      <c r="Q58" s="322"/>
      <c r="R58" s="322"/>
      <c r="S58" s="322"/>
    </row>
    <row r="59" spans="1:31" ht="10.5" customHeight="1" x14ac:dyDescent="0.25">
      <c r="A59" s="2068" t="s">
        <v>2593</v>
      </c>
      <c r="B59" s="322"/>
      <c r="C59" s="322"/>
      <c r="D59" s="322"/>
      <c r="E59" s="322"/>
      <c r="F59" s="322"/>
      <c r="G59" s="322"/>
      <c r="H59" s="322"/>
      <c r="I59" s="322"/>
      <c r="J59" s="322"/>
      <c r="K59" s="322"/>
      <c r="L59" s="322"/>
      <c r="M59" s="322"/>
      <c r="N59" s="322"/>
      <c r="O59" s="322"/>
      <c r="P59" s="322"/>
      <c r="Q59" s="322"/>
      <c r="R59" s="322"/>
      <c r="S59" s="322"/>
    </row>
    <row r="60" spans="1:31" x14ac:dyDescent="0.25">
      <c r="A60" s="322"/>
      <c r="B60" s="322"/>
      <c r="C60" s="322"/>
      <c r="D60" s="322"/>
      <c r="E60" s="322"/>
      <c r="F60" s="322"/>
      <c r="G60" s="322"/>
      <c r="H60" s="322"/>
      <c r="I60" s="322"/>
      <c r="J60" s="322"/>
      <c r="K60" s="322"/>
      <c r="L60" s="322"/>
      <c r="M60" s="322"/>
      <c r="N60" s="322"/>
      <c r="O60" s="322"/>
      <c r="P60" s="322"/>
      <c r="Q60" s="322"/>
      <c r="R60" s="322"/>
      <c r="S60" s="322"/>
    </row>
    <row r="61" spans="1:31" x14ac:dyDescent="0.25">
      <c r="A61" s="322"/>
      <c r="B61" s="322"/>
      <c r="C61" s="322"/>
      <c r="D61" s="322"/>
      <c r="E61" s="851"/>
      <c r="F61" s="851"/>
      <c r="G61" s="851"/>
      <c r="H61" s="851"/>
      <c r="I61" s="851"/>
      <c r="J61" s="851"/>
      <c r="K61" s="851"/>
      <c r="L61" s="851"/>
      <c r="M61" s="851"/>
      <c r="N61" s="322"/>
      <c r="O61" s="322"/>
      <c r="P61" s="322"/>
      <c r="Q61" s="322"/>
      <c r="R61" s="322"/>
      <c r="S61" s="322"/>
    </row>
    <row r="62" spans="1:31" x14ac:dyDescent="0.25">
      <c r="A62" s="322"/>
      <c r="B62" s="322"/>
      <c r="C62" s="322"/>
      <c r="D62" s="322"/>
      <c r="E62" s="1957">
        <f t="shared" ref="E62:L62" si="17">E45+E61</f>
        <v>12021935</v>
      </c>
      <c r="F62" s="1957">
        <f t="shared" si="17"/>
        <v>12021935</v>
      </c>
      <c r="G62" s="1957">
        <f t="shared" si="17"/>
        <v>12021935</v>
      </c>
      <c r="H62" s="1957">
        <f t="shared" si="17"/>
        <v>12021935</v>
      </c>
      <c r="I62" s="1957">
        <f t="shared" si="17"/>
        <v>12021935</v>
      </c>
      <c r="J62" s="1957">
        <f t="shared" si="17"/>
        <v>12021935</v>
      </c>
      <c r="K62" s="1957">
        <f t="shared" si="17"/>
        <v>12021935</v>
      </c>
      <c r="L62" s="1957">
        <f t="shared" si="17"/>
        <v>12021935</v>
      </c>
      <c r="M62" s="1957"/>
      <c r="N62" s="1957"/>
      <c r="O62" s="1957"/>
      <c r="P62" s="1957"/>
      <c r="Q62" s="322"/>
      <c r="R62" s="322"/>
      <c r="S62" s="322"/>
    </row>
    <row r="63" spans="1:31" x14ac:dyDescent="0.25">
      <c r="A63" s="322"/>
      <c r="B63" s="322"/>
      <c r="C63" s="322"/>
      <c r="D63" s="322"/>
      <c r="E63" s="1957">
        <f t="shared" ref="E63:L63" si="18">E53-E61</f>
        <v>-2125310</v>
      </c>
      <c r="F63" s="1957">
        <f t="shared" si="18"/>
        <v>-2125310</v>
      </c>
      <c r="G63" s="1957">
        <f t="shared" si="18"/>
        <v>-2125310</v>
      </c>
      <c r="H63" s="1957">
        <f t="shared" si="18"/>
        <v>-2125310</v>
      </c>
      <c r="I63" s="1957">
        <f t="shared" si="18"/>
        <v>-2125310</v>
      </c>
      <c r="J63" s="1957">
        <f t="shared" si="18"/>
        <v>-2125310</v>
      </c>
      <c r="K63" s="1957">
        <f t="shared" si="18"/>
        <v>-2125310</v>
      </c>
      <c r="L63" s="1957">
        <f t="shared" si="18"/>
        <v>-2125310</v>
      </c>
      <c r="M63" s="1957"/>
      <c r="N63" s="1957"/>
      <c r="O63" s="1957"/>
      <c r="P63" s="1957"/>
      <c r="Q63" s="322"/>
      <c r="R63" s="322"/>
      <c r="S63" s="322"/>
    </row>
    <row r="64" spans="1:31" x14ac:dyDescent="0.25">
      <c r="A64" s="322"/>
      <c r="B64" s="322"/>
      <c r="C64" s="322"/>
      <c r="D64" s="322"/>
      <c r="E64" s="322"/>
      <c r="F64" s="322"/>
      <c r="G64" s="322"/>
      <c r="H64" s="322"/>
      <c r="I64" s="322"/>
      <c r="J64" s="322"/>
      <c r="K64" s="322"/>
      <c r="L64" s="322"/>
      <c r="M64" s="322"/>
      <c r="N64" s="322"/>
      <c r="O64" s="322"/>
      <c r="P64" s="322"/>
      <c r="Q64" s="322"/>
      <c r="R64" s="322"/>
      <c r="S64" s="322"/>
    </row>
    <row r="65" spans="1:19" x14ac:dyDescent="0.25">
      <c r="A65" s="322"/>
      <c r="B65" s="322"/>
      <c r="C65" s="322"/>
      <c r="D65" s="322"/>
      <c r="E65" s="322"/>
      <c r="F65" s="322"/>
      <c r="G65" s="322"/>
      <c r="H65" s="322"/>
      <c r="I65" s="322"/>
      <c r="J65" s="322"/>
      <c r="K65" s="322"/>
      <c r="L65" s="322"/>
      <c r="M65" s="322"/>
      <c r="N65" s="322"/>
      <c r="O65" s="322"/>
      <c r="P65" s="322"/>
      <c r="Q65" s="322"/>
      <c r="R65" s="322"/>
      <c r="S65" s="322"/>
    </row>
    <row r="66" spans="1:19" x14ac:dyDescent="0.25">
      <c r="A66" s="322"/>
      <c r="B66" s="322"/>
      <c r="C66" s="322"/>
      <c r="D66" s="322"/>
      <c r="E66" s="322"/>
      <c r="F66" s="322"/>
      <c r="G66" s="322"/>
      <c r="H66" s="322"/>
      <c r="I66" s="322"/>
      <c r="J66" s="322"/>
      <c r="K66" s="322"/>
      <c r="L66" s="322"/>
      <c r="M66" s="322"/>
      <c r="N66" s="322"/>
      <c r="O66" s="322"/>
      <c r="P66" s="322"/>
      <c r="Q66" s="322"/>
      <c r="R66" s="322"/>
      <c r="S66" s="322"/>
    </row>
    <row r="67" spans="1:19" x14ac:dyDescent="0.25">
      <c r="A67" s="322"/>
      <c r="B67" s="322"/>
      <c r="C67" s="322"/>
      <c r="D67" s="322"/>
      <c r="E67" s="322"/>
      <c r="F67" s="322"/>
      <c r="G67" s="322"/>
      <c r="H67" s="322"/>
      <c r="I67" s="322"/>
      <c r="J67" s="322"/>
      <c r="K67" s="322"/>
      <c r="L67" s="322"/>
      <c r="M67" s="322"/>
      <c r="N67" s="322"/>
      <c r="O67" s="322"/>
      <c r="P67" s="322"/>
      <c r="Q67" s="322"/>
      <c r="R67" s="322"/>
      <c r="S67" s="322"/>
    </row>
    <row r="68" spans="1:19" x14ac:dyDescent="0.25">
      <c r="A68" s="322"/>
      <c r="B68" s="322"/>
      <c r="C68" s="322"/>
      <c r="D68" s="322"/>
      <c r="E68" s="322"/>
      <c r="F68" s="322"/>
      <c r="G68" s="322"/>
      <c r="H68" s="322"/>
      <c r="I68" s="322"/>
      <c r="J68" s="322"/>
      <c r="K68" s="322"/>
      <c r="L68" s="322"/>
      <c r="M68" s="322"/>
      <c r="N68" s="322"/>
      <c r="O68" s="322"/>
      <c r="P68" s="322"/>
      <c r="Q68" s="322"/>
      <c r="R68" s="322"/>
      <c r="S68" s="322"/>
    </row>
    <row r="188" spans="2:39" x14ac:dyDescent="0.25">
      <c r="B188" s="196"/>
      <c r="C188" s="196"/>
      <c r="D188" s="196"/>
      <c r="E188" s="196"/>
      <c r="F188" s="196"/>
      <c r="G188" s="196"/>
      <c r="H188" s="196"/>
      <c r="I188" s="196"/>
      <c r="J188" s="196"/>
      <c r="K188" s="196"/>
      <c r="L188" s="196"/>
      <c r="N188" s="754"/>
      <c r="O188" s="754"/>
      <c r="P188" s="754"/>
      <c r="Q188" s="754"/>
      <c r="R188" s="754"/>
      <c r="S188" s="754"/>
      <c r="AC188" s="2393"/>
      <c r="AD188" s="2393"/>
      <c r="AE188" s="2393"/>
      <c r="AF188" s="754"/>
      <c r="AG188" s="754"/>
      <c r="AH188" s="754"/>
      <c r="AI188" s="754"/>
      <c r="AJ188" s="754"/>
      <c r="AK188" s="754"/>
      <c r="AL188" s="754"/>
      <c r="AM188" s="754"/>
    </row>
    <row r="189" spans="2:39" x14ac:dyDescent="0.25">
      <c r="N189" s="754"/>
      <c r="O189" s="754"/>
      <c r="P189" s="754"/>
      <c r="Q189" s="754"/>
      <c r="R189" s="754"/>
      <c r="S189" s="754"/>
      <c r="AC189" s="2393"/>
      <c r="AD189" s="2393"/>
      <c r="AE189" s="2393"/>
      <c r="AF189" s="754"/>
      <c r="AG189" s="754"/>
      <c r="AH189" s="754"/>
      <c r="AI189" s="754"/>
      <c r="AJ189" s="754"/>
      <c r="AK189" s="754"/>
      <c r="AL189" s="754"/>
      <c r="AM189" s="754"/>
    </row>
    <row r="190" spans="2:39" x14ac:dyDescent="0.25">
      <c r="N190" s="754"/>
      <c r="O190" s="754"/>
      <c r="P190" s="754"/>
      <c r="Q190" s="754"/>
      <c r="R190" s="754"/>
      <c r="S190" s="754"/>
      <c r="AC190" s="2393"/>
      <c r="AD190" s="2393"/>
      <c r="AE190" s="2393"/>
      <c r="AF190" s="754"/>
      <c r="AG190" s="754"/>
      <c r="AH190" s="754"/>
      <c r="AI190" s="754"/>
      <c r="AJ190" s="754"/>
      <c r="AK190" s="754"/>
      <c r="AL190" s="754"/>
      <c r="AM190" s="754"/>
    </row>
  </sheetData>
  <sheetProtection sheet="1" objects="1" scenarios="1"/>
  <mergeCells count="3">
    <mergeCell ref="N2:P2"/>
    <mergeCell ref="B2:M2"/>
    <mergeCell ref="A57:P57"/>
  </mergeCells>
  <phoneticPr fontId="7" type="noConversion"/>
  <printOptions horizontalCentered="1"/>
  <pageMargins left="0" right="0" top="0.19685039370078741" bottom="0.19685039370078741" header="0.51181102362204722" footer="0.51181102362204722"/>
  <pageSetup paperSize="9" scale="70" orientation="landscape" r:id="rId1"/>
  <headerFooter alignWithMargins="0"/>
  <ignoredErrors>
    <ignoredError sqref="N38:P39" unlockedFormula="1"/>
  </ignoredError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Sheet52">
    <pageSetUpPr fitToPage="1"/>
  </sheetPr>
  <dimension ref="A1:O42"/>
  <sheetViews>
    <sheetView showGridLines="0" zoomScaleNormal="100" workbookViewId="0">
      <pane xSplit="1" ySplit="3" topLeftCell="B4" activePane="bottomRight" state="frozen"/>
      <selection pane="topRight"/>
      <selection pane="bottomLeft"/>
      <selection pane="bottomRight" activeCell="D6" sqref="D6"/>
    </sheetView>
  </sheetViews>
  <sheetFormatPr defaultColWidth="9.140625" defaultRowHeight="12.75" x14ac:dyDescent="0.25"/>
  <cols>
    <col min="1" max="1" width="37.42578125" style="58" customWidth="1"/>
    <col min="2" max="2" width="4.42578125" style="58" customWidth="1"/>
    <col min="3" max="11" width="9.28515625" style="58" customWidth="1"/>
    <col min="12" max="12" width="8.7109375" style="58" customWidth="1"/>
    <col min="13" max="15" width="7.7109375" style="58" customWidth="1"/>
    <col min="16" max="16384" width="9.140625" style="58"/>
  </cols>
  <sheetData>
    <row r="1" spans="1:11" ht="13.5" customHeight="1" x14ac:dyDescent="0.25">
      <c r="A1" s="92" t="str">
        <f>muni&amp;" - "&amp; TableA31</f>
        <v>KZN226 Mkhambathini - NOT REQUIRED - municipality does not have entities</v>
      </c>
      <c r="B1" s="92"/>
      <c r="C1" s="92"/>
      <c r="D1" s="92"/>
      <c r="E1" s="92"/>
      <c r="F1" s="92"/>
      <c r="G1" s="92"/>
      <c r="H1" s="92"/>
      <c r="I1" s="92"/>
      <c r="J1" s="92"/>
      <c r="K1" s="92"/>
    </row>
    <row r="2" spans="1:11" ht="28.5" customHeight="1" x14ac:dyDescent="0.25">
      <c r="A2" s="2069" t="str">
        <f>desc</f>
        <v>Description</v>
      </c>
      <c r="B2" s="2511" t="str">
        <f>head27</f>
        <v>Ref</v>
      </c>
      <c r="C2" s="836" t="str">
        <f>head1b</f>
        <v>2017/18</v>
      </c>
      <c r="D2" s="561" t="str">
        <f>head1A</f>
        <v>2018/19</v>
      </c>
      <c r="E2" s="684" t="str">
        <f>Head1</f>
        <v>2019/20</v>
      </c>
      <c r="F2" s="2447" t="str">
        <f>Head2</f>
        <v>Current Year 2020/21</v>
      </c>
      <c r="G2" s="2448"/>
      <c r="H2" s="2449"/>
      <c r="I2" s="2450" t="str">
        <f>Head3</f>
        <v>2021/22 Medium Term Revenue &amp; Expenditure Framework</v>
      </c>
      <c r="J2" s="2451"/>
      <c r="K2" s="2452"/>
    </row>
    <row r="3" spans="1:11" ht="25.5" x14ac:dyDescent="0.25">
      <c r="A3" s="156" t="s">
        <v>567</v>
      </c>
      <c r="B3" s="2512"/>
      <c r="C3" s="839" t="str">
        <f>Head5</f>
        <v>Audited Outcome</v>
      </c>
      <c r="D3" s="562" t="str">
        <f>Head5</f>
        <v>Audited Outcome</v>
      </c>
      <c r="E3" s="94" t="str">
        <f>Head5</f>
        <v>Audited Outcome</v>
      </c>
      <c r="F3" s="95" t="str">
        <f>Head6</f>
        <v>Original Budget</v>
      </c>
      <c r="G3" s="698" t="str">
        <f>Head7</f>
        <v>Adjusted Budget</v>
      </c>
      <c r="H3" s="94" t="str">
        <f>Head8</f>
        <v>Full Year Forecast</v>
      </c>
      <c r="I3" s="95" t="str">
        <f>Head9</f>
        <v>Budget Year 2021/22</v>
      </c>
      <c r="J3" s="698" t="str">
        <f>Head10</f>
        <v>Budget Year +1 2022/23</v>
      </c>
      <c r="K3" s="94" t="str">
        <f>Head11</f>
        <v>Budget Year +2 2023/24</v>
      </c>
    </row>
    <row r="4" spans="1:11" ht="12.75" customHeight="1" x14ac:dyDescent="0.25">
      <c r="A4" s="2070" t="s">
        <v>1190</v>
      </c>
      <c r="B4" s="96"/>
      <c r="C4" s="658"/>
      <c r="D4" s="659"/>
      <c r="E4" s="660"/>
      <c r="F4" s="661"/>
      <c r="G4" s="659"/>
      <c r="H4" s="662"/>
      <c r="I4" s="658"/>
      <c r="J4" s="659"/>
      <c r="K4" s="660"/>
    </row>
    <row r="5" spans="1:11" x14ac:dyDescent="0.25">
      <c r="A5" s="2071" t="str">
        <f>'A1-Sum'!A5</f>
        <v>Property rates</v>
      </c>
      <c r="B5" s="104"/>
      <c r="C5" s="2072"/>
      <c r="D5" s="1578"/>
      <c r="E5" s="1579"/>
      <c r="F5" s="1593"/>
      <c r="G5" s="1578"/>
      <c r="H5" s="1595"/>
      <c r="I5" s="2072"/>
      <c r="J5" s="1578"/>
      <c r="K5" s="1579"/>
    </row>
    <row r="6" spans="1:11" x14ac:dyDescent="0.25">
      <c r="A6" s="2071" t="str">
        <f>'A1-Sum'!A6</f>
        <v>Service charges</v>
      </c>
      <c r="B6" s="104"/>
      <c r="C6" s="2072"/>
      <c r="D6" s="1578"/>
      <c r="E6" s="1579"/>
      <c r="F6" s="1593"/>
      <c r="G6" s="1578"/>
      <c r="H6" s="1595"/>
      <c r="I6" s="2072"/>
      <c r="J6" s="1578"/>
      <c r="K6" s="1579"/>
    </row>
    <row r="7" spans="1:11" x14ac:dyDescent="0.25">
      <c r="A7" s="2071" t="str">
        <f>'A1-Sum'!A7</f>
        <v>Investment revenue</v>
      </c>
      <c r="B7" s="104"/>
      <c r="C7" s="2072"/>
      <c r="D7" s="1578"/>
      <c r="E7" s="1579"/>
      <c r="F7" s="1593"/>
      <c r="G7" s="1578"/>
      <c r="H7" s="1595"/>
      <c r="I7" s="2072"/>
      <c r="J7" s="1578"/>
      <c r="K7" s="1579"/>
    </row>
    <row r="8" spans="1:11" x14ac:dyDescent="0.25">
      <c r="A8" s="2071" t="str">
        <f>'A1-Sum'!A8</f>
        <v>Transfers recognised - operational</v>
      </c>
      <c r="B8" s="104"/>
      <c r="C8" s="2072"/>
      <c r="D8" s="1578"/>
      <c r="E8" s="1579"/>
      <c r="F8" s="1593"/>
      <c r="G8" s="1578"/>
      <c r="H8" s="1595"/>
      <c r="I8" s="2072"/>
      <c r="J8" s="1578"/>
      <c r="K8" s="1579"/>
    </row>
    <row r="9" spans="1:11" x14ac:dyDescent="0.25">
      <c r="A9" s="2071" t="str">
        <f>'A1-Sum'!A9</f>
        <v>Other own revenue</v>
      </c>
      <c r="B9" s="104"/>
      <c r="C9" s="2072"/>
      <c r="D9" s="1578"/>
      <c r="E9" s="1579"/>
      <c r="F9" s="1593"/>
      <c r="G9" s="1578"/>
      <c r="H9" s="1595"/>
      <c r="I9" s="2072"/>
      <c r="J9" s="1578"/>
      <c r="K9" s="1579"/>
    </row>
    <row r="10" spans="1:11" ht="63.75" x14ac:dyDescent="0.25">
      <c r="A10" s="2073" t="str">
        <f>'A1-Sum'!A21</f>
        <v xml:space="preserve">Transfers and subsidies - capital (monetary allocations) (National / Provincial Departmental Agencies, Households, Non-profit Institutions, Private Enterprises, Public Corporatons, Higher Educational Institutions) &amp; Transfers and subsidies - capital (in-kind - all) </v>
      </c>
      <c r="B10" s="104"/>
      <c r="C10" s="2072"/>
      <c r="D10" s="1578"/>
      <c r="E10" s="1579"/>
      <c r="F10" s="1593"/>
      <c r="G10" s="1578"/>
      <c r="H10" s="1595"/>
      <c r="I10" s="2072"/>
      <c r="J10" s="1578"/>
      <c r="K10" s="1579"/>
    </row>
    <row r="11" spans="1:11" x14ac:dyDescent="0.25">
      <c r="A11" s="2074" t="str">
        <f>'A4-FinPerf RE'!A21</f>
        <v>Total Revenue (excluding capital transfers and contributions)</v>
      </c>
      <c r="B11" s="145"/>
      <c r="C11" s="2075">
        <f>SUM(C5:C10)</f>
        <v>0</v>
      </c>
      <c r="D11" s="1591">
        <f>SUM(D5:D10)</f>
        <v>0</v>
      </c>
      <c r="E11" s="1592">
        <f t="shared" ref="E11:K11" si="0">SUM(E5:E10)</f>
        <v>0</v>
      </c>
      <c r="F11" s="2076">
        <f t="shared" si="0"/>
        <v>0</v>
      </c>
      <c r="G11" s="1591">
        <f t="shared" si="0"/>
        <v>0</v>
      </c>
      <c r="H11" s="2077">
        <f t="shared" si="0"/>
        <v>0</v>
      </c>
      <c r="I11" s="2075">
        <f t="shared" si="0"/>
        <v>0</v>
      </c>
      <c r="J11" s="1591">
        <f t="shared" si="0"/>
        <v>0</v>
      </c>
      <c r="K11" s="1592">
        <f t="shared" si="0"/>
        <v>0</v>
      </c>
    </row>
    <row r="12" spans="1:11" x14ac:dyDescent="0.25">
      <c r="A12" s="2071" t="str">
        <f>'A1-Sum'!A11</f>
        <v>Employee costs</v>
      </c>
      <c r="B12" s="104"/>
      <c r="C12" s="2072"/>
      <c r="D12" s="1578"/>
      <c r="E12" s="1579"/>
      <c r="F12" s="1593"/>
      <c r="G12" s="1578"/>
      <c r="H12" s="1595"/>
      <c r="I12" s="2072"/>
      <c r="J12" s="1578"/>
      <c r="K12" s="1579"/>
    </row>
    <row r="13" spans="1:11" x14ac:dyDescent="0.25">
      <c r="A13" s="2071" t="s">
        <v>819</v>
      </c>
      <c r="B13" s="104"/>
      <c r="C13" s="2072"/>
      <c r="D13" s="1578"/>
      <c r="E13" s="1579"/>
      <c r="F13" s="1593"/>
      <c r="G13" s="1578"/>
      <c r="H13" s="1595"/>
      <c r="I13" s="2072"/>
      <c r="J13" s="1578"/>
      <c r="K13" s="1579"/>
    </row>
    <row r="14" spans="1:11" x14ac:dyDescent="0.25">
      <c r="A14" s="2071" t="str">
        <f>'A1-Sum'!A13</f>
        <v>Depreciation &amp; asset impairment</v>
      </c>
      <c r="B14" s="104"/>
      <c r="C14" s="2072"/>
      <c r="D14" s="1578"/>
      <c r="E14" s="1579"/>
      <c r="F14" s="1593"/>
      <c r="G14" s="1578"/>
      <c r="H14" s="1595"/>
      <c r="I14" s="2072"/>
      <c r="J14" s="1578"/>
      <c r="K14" s="1579"/>
    </row>
    <row r="15" spans="1:11" x14ac:dyDescent="0.25">
      <c r="A15" s="2071" t="str">
        <f>'A1-Sum'!A14</f>
        <v>Finance charges</v>
      </c>
      <c r="B15" s="104"/>
      <c r="C15" s="2072"/>
      <c r="D15" s="1578"/>
      <c r="E15" s="1579"/>
      <c r="F15" s="1593"/>
      <c r="G15" s="1578"/>
      <c r="H15" s="1595"/>
      <c r="I15" s="2072"/>
      <c r="J15" s="1578"/>
      <c r="K15" s="1579"/>
    </row>
    <row r="16" spans="1:11" x14ac:dyDescent="0.25">
      <c r="A16" s="2071" t="str">
        <f>'A1-Sum'!A15</f>
        <v>Inventory consumed and bulk purchases</v>
      </c>
      <c r="B16" s="104"/>
      <c r="C16" s="2072"/>
      <c r="D16" s="1578"/>
      <c r="E16" s="1579"/>
      <c r="F16" s="1593"/>
      <c r="G16" s="1578"/>
      <c r="H16" s="1595"/>
      <c r="I16" s="2072"/>
      <c r="J16" s="1578"/>
      <c r="K16" s="1579"/>
    </row>
    <row r="17" spans="1:12" x14ac:dyDescent="0.25">
      <c r="A17" s="2071" t="str">
        <f>'A1-Sum'!A16</f>
        <v>Transfers and grants</v>
      </c>
      <c r="B17" s="104"/>
      <c r="C17" s="2072"/>
      <c r="D17" s="1578"/>
      <c r="E17" s="1579"/>
      <c r="F17" s="1593"/>
      <c r="G17" s="1578"/>
      <c r="H17" s="1595"/>
      <c r="I17" s="2072"/>
      <c r="J17" s="1578"/>
      <c r="K17" s="1579"/>
    </row>
    <row r="18" spans="1:12" x14ac:dyDescent="0.25">
      <c r="A18" s="2071" t="str">
        <f>'A1-Sum'!A17</f>
        <v>Other expenditure</v>
      </c>
      <c r="B18" s="104"/>
      <c r="C18" s="2072"/>
      <c r="D18" s="1578"/>
      <c r="E18" s="1579"/>
      <c r="F18" s="1593"/>
      <c r="G18" s="1578"/>
      <c r="H18" s="1595"/>
      <c r="I18" s="2072"/>
      <c r="J18" s="1578"/>
      <c r="K18" s="1579"/>
    </row>
    <row r="19" spans="1:12" x14ac:dyDescent="0.25">
      <c r="A19" s="2074" t="str">
        <f>'A4-FinPerf RE'!A35</f>
        <v>Total Expenditure</v>
      </c>
      <c r="B19" s="145"/>
      <c r="C19" s="2078">
        <f>SUM(C12:C18)</f>
        <v>0</v>
      </c>
      <c r="D19" s="2079">
        <f t="shared" ref="D19:K19" si="1">SUM(D12:D18)</f>
        <v>0</v>
      </c>
      <c r="E19" s="2080">
        <f t="shared" si="1"/>
        <v>0</v>
      </c>
      <c r="F19" s="2081">
        <f t="shared" si="1"/>
        <v>0</v>
      </c>
      <c r="G19" s="2079">
        <f t="shared" si="1"/>
        <v>0</v>
      </c>
      <c r="H19" s="2082">
        <f t="shared" si="1"/>
        <v>0</v>
      </c>
      <c r="I19" s="2078">
        <f t="shared" si="1"/>
        <v>0</v>
      </c>
      <c r="J19" s="2079">
        <f t="shared" si="1"/>
        <v>0</v>
      </c>
      <c r="K19" s="2080">
        <f t="shared" si="1"/>
        <v>0</v>
      </c>
    </row>
    <row r="20" spans="1:12" x14ac:dyDescent="0.25">
      <c r="A20" s="2074" t="str">
        <f>'A4-FinPerf RE'!A37</f>
        <v>Surplus/(Deficit)</v>
      </c>
      <c r="B20" s="145"/>
      <c r="C20" s="2083">
        <f>C11-C19</f>
        <v>0</v>
      </c>
      <c r="D20" s="2084">
        <f t="shared" ref="D20:K20" si="2">D11-D19</f>
        <v>0</v>
      </c>
      <c r="E20" s="2085">
        <f t="shared" si="2"/>
        <v>0</v>
      </c>
      <c r="F20" s="2086">
        <f t="shared" si="2"/>
        <v>0</v>
      </c>
      <c r="G20" s="2084">
        <f t="shared" si="2"/>
        <v>0</v>
      </c>
      <c r="H20" s="1689">
        <f t="shared" si="2"/>
        <v>0</v>
      </c>
      <c r="I20" s="2083">
        <f t="shared" si="2"/>
        <v>0</v>
      </c>
      <c r="J20" s="2084">
        <f t="shared" si="2"/>
        <v>0</v>
      </c>
      <c r="K20" s="2085">
        <f t="shared" si="2"/>
        <v>0</v>
      </c>
    </row>
    <row r="21" spans="1:12" ht="6" customHeight="1" x14ac:dyDescent="0.25">
      <c r="A21" s="2087"/>
      <c r="B21" s="885"/>
      <c r="C21" s="2088"/>
      <c r="D21" s="2089"/>
      <c r="E21" s="2090"/>
      <c r="F21" s="2091"/>
      <c r="G21" s="2089"/>
      <c r="H21" s="2092"/>
      <c r="I21" s="2088"/>
      <c r="J21" s="2089"/>
      <c r="K21" s="2090"/>
    </row>
    <row r="22" spans="1:12" ht="12.75" customHeight="1" x14ac:dyDescent="0.25">
      <c r="A22" s="2070" t="s">
        <v>923</v>
      </c>
      <c r="B22" s="96"/>
      <c r="C22" s="658"/>
      <c r="D22" s="659"/>
      <c r="E22" s="660"/>
      <c r="F22" s="661"/>
      <c r="G22" s="659"/>
      <c r="H22" s="662"/>
      <c r="I22" s="658"/>
      <c r="J22" s="659"/>
      <c r="K22" s="660"/>
    </row>
    <row r="23" spans="1:12" x14ac:dyDescent="0.25">
      <c r="A23" s="2093" t="s">
        <v>1318</v>
      </c>
      <c r="B23" s="878"/>
      <c r="C23" s="2094"/>
      <c r="D23" s="2095"/>
      <c r="E23" s="2096"/>
      <c r="F23" s="2097"/>
      <c r="G23" s="2095"/>
      <c r="H23" s="2098"/>
      <c r="I23" s="2094"/>
      <c r="J23" s="2095"/>
      <c r="K23" s="2096"/>
      <c r="L23" s="220"/>
    </row>
    <row r="24" spans="1:12" x14ac:dyDescent="0.25">
      <c r="A24" s="2071" t="str">
        <f>A8</f>
        <v>Transfers recognised - operational</v>
      </c>
      <c r="B24" s="104"/>
      <c r="C24" s="2072"/>
      <c r="D24" s="1578"/>
      <c r="E24" s="1579"/>
      <c r="F24" s="1593"/>
      <c r="G24" s="1578"/>
      <c r="H24" s="1595"/>
      <c r="I24" s="2072"/>
      <c r="J24" s="1578"/>
      <c r="K24" s="1579"/>
      <c r="L24" s="2099"/>
    </row>
    <row r="25" spans="1:12" ht="1.9" customHeight="1" x14ac:dyDescent="0.25">
      <c r="A25" s="2071"/>
      <c r="B25" s="104"/>
      <c r="C25" s="658"/>
      <c r="D25" s="659"/>
      <c r="E25" s="660"/>
      <c r="F25" s="661"/>
      <c r="G25" s="659"/>
      <c r="H25" s="662"/>
      <c r="I25" s="658"/>
      <c r="J25" s="659"/>
      <c r="K25" s="660"/>
      <c r="L25" s="2099"/>
    </row>
    <row r="26" spans="1:12" x14ac:dyDescent="0.25">
      <c r="A26" s="2071" t="str">
        <f>'A5-Capex'!A72</f>
        <v>Borrowing</v>
      </c>
      <c r="B26" s="104"/>
      <c r="C26" s="2072"/>
      <c r="D26" s="1578"/>
      <c r="E26" s="1579"/>
      <c r="F26" s="1593"/>
      <c r="G26" s="1578"/>
      <c r="H26" s="1595"/>
      <c r="I26" s="2072"/>
      <c r="J26" s="1578"/>
      <c r="K26" s="1579"/>
      <c r="L26" s="2099"/>
    </row>
    <row r="27" spans="1:12" x14ac:dyDescent="0.25">
      <c r="A27" s="2071" t="str">
        <f>'A5-Capex'!A73</f>
        <v>Internally generated funds</v>
      </c>
      <c r="B27" s="104"/>
      <c r="C27" s="2072"/>
      <c r="D27" s="1578"/>
      <c r="E27" s="1579"/>
      <c r="F27" s="1593"/>
      <c r="G27" s="1578"/>
      <c r="H27" s="1595"/>
      <c r="I27" s="2072"/>
      <c r="J27" s="1578"/>
      <c r="K27" s="1579"/>
      <c r="L27" s="2099"/>
    </row>
    <row r="28" spans="1:12" x14ac:dyDescent="0.25">
      <c r="A28" s="2100" t="s">
        <v>801</v>
      </c>
      <c r="B28" s="2027"/>
      <c r="C28" s="2075">
        <f>+C24+C26+C27</f>
        <v>0</v>
      </c>
      <c r="D28" s="1591">
        <f t="shared" ref="D28:K28" si="3">+D24+D26+D27</f>
        <v>0</v>
      </c>
      <c r="E28" s="1592">
        <f t="shared" si="3"/>
        <v>0</v>
      </c>
      <c r="F28" s="2076">
        <f t="shared" si="3"/>
        <v>0</v>
      </c>
      <c r="G28" s="1591">
        <f t="shared" si="3"/>
        <v>0</v>
      </c>
      <c r="H28" s="2077">
        <f t="shared" si="3"/>
        <v>0</v>
      </c>
      <c r="I28" s="2075">
        <f t="shared" si="3"/>
        <v>0</v>
      </c>
      <c r="J28" s="1591">
        <f t="shared" si="3"/>
        <v>0</v>
      </c>
      <c r="K28" s="1592">
        <f t="shared" si="3"/>
        <v>0</v>
      </c>
    </row>
    <row r="29" spans="1:12" ht="6" customHeight="1" x14ac:dyDescent="0.25">
      <c r="A29" s="2074"/>
      <c r="B29" s="145"/>
      <c r="C29" s="2083"/>
      <c r="D29" s="2084"/>
      <c r="E29" s="2085"/>
      <c r="F29" s="2086"/>
      <c r="G29" s="2084"/>
      <c r="H29" s="1689"/>
      <c r="I29" s="2083"/>
      <c r="J29" s="2084"/>
      <c r="K29" s="2085"/>
    </row>
    <row r="30" spans="1:12" ht="12.75" customHeight="1" x14ac:dyDescent="0.25">
      <c r="A30" s="1937" t="s">
        <v>174</v>
      </c>
      <c r="B30" s="2022"/>
      <c r="C30" s="2101"/>
      <c r="D30" s="2102"/>
      <c r="E30" s="2103"/>
      <c r="F30" s="2104"/>
      <c r="G30" s="2102"/>
      <c r="H30" s="2105"/>
      <c r="I30" s="2101"/>
      <c r="J30" s="2102"/>
      <c r="K30" s="2103"/>
    </row>
    <row r="31" spans="1:12" x14ac:dyDescent="0.25">
      <c r="A31" s="2071" t="str">
        <f>'A6-FinPos'!A12</f>
        <v>Total current assets</v>
      </c>
      <c r="B31" s="104"/>
      <c r="C31" s="2072"/>
      <c r="D31" s="1578"/>
      <c r="E31" s="1579"/>
      <c r="F31" s="1593"/>
      <c r="G31" s="1578"/>
      <c r="H31" s="1595"/>
      <c r="I31" s="2072"/>
      <c r="J31" s="1578"/>
      <c r="K31" s="1579"/>
    </row>
    <row r="32" spans="1:12" x14ac:dyDescent="0.25">
      <c r="A32" s="2071" t="str">
        <f>'A6-FinPos'!A24</f>
        <v>Total non current assets</v>
      </c>
      <c r="B32" s="104"/>
      <c r="C32" s="2072"/>
      <c r="D32" s="1578"/>
      <c r="E32" s="1579"/>
      <c r="F32" s="1593"/>
      <c r="G32" s="1578"/>
      <c r="H32" s="1595"/>
      <c r="I32" s="2072"/>
      <c r="J32" s="1578"/>
      <c r="K32" s="1579"/>
    </row>
    <row r="33" spans="1:15" x14ac:dyDescent="0.25">
      <c r="A33" s="2071" t="str">
        <f>'A6-FinPos'!A34</f>
        <v>Total current liabilities</v>
      </c>
      <c r="B33" s="104"/>
      <c r="C33" s="2072"/>
      <c r="D33" s="1578"/>
      <c r="E33" s="1579"/>
      <c r="F33" s="1593"/>
      <c r="G33" s="1578"/>
      <c r="H33" s="1595"/>
      <c r="I33" s="2072"/>
      <c r="J33" s="1578"/>
      <c r="K33" s="1579"/>
    </row>
    <row r="34" spans="1:15" x14ac:dyDescent="0.25">
      <c r="A34" s="2071" t="str">
        <f>'A6-FinPos'!A39</f>
        <v>Total non current liabilities</v>
      </c>
      <c r="B34" s="104"/>
      <c r="C34" s="2072"/>
      <c r="D34" s="1578"/>
      <c r="E34" s="1579"/>
      <c r="F34" s="1593"/>
      <c r="G34" s="1578"/>
      <c r="H34" s="1595"/>
      <c r="I34" s="2072"/>
      <c r="J34" s="1578"/>
      <c r="K34" s="1579"/>
    </row>
    <row r="35" spans="1:15" x14ac:dyDescent="0.25">
      <c r="A35" s="2071" t="s">
        <v>525</v>
      </c>
      <c r="B35" s="104"/>
      <c r="C35" s="2072"/>
      <c r="D35" s="1578"/>
      <c r="E35" s="1579"/>
      <c r="F35" s="1593"/>
      <c r="G35" s="1578"/>
      <c r="H35" s="1595"/>
      <c r="I35" s="2072"/>
      <c r="J35" s="1578"/>
      <c r="K35" s="1579"/>
    </row>
    <row r="36" spans="1:15" ht="6" customHeight="1" x14ac:dyDescent="0.25">
      <c r="A36" s="2087"/>
      <c r="B36" s="885"/>
      <c r="C36" s="2088"/>
      <c r="D36" s="2089"/>
      <c r="E36" s="2090"/>
      <c r="F36" s="2091"/>
      <c r="G36" s="2089"/>
      <c r="H36" s="2092"/>
      <c r="I36" s="2088"/>
      <c r="J36" s="2089"/>
      <c r="K36" s="2090"/>
    </row>
    <row r="37" spans="1:15" ht="12.75" customHeight="1" x14ac:dyDescent="0.25">
      <c r="A37" s="2070" t="s">
        <v>175</v>
      </c>
      <c r="B37" s="96"/>
      <c r="C37" s="658"/>
      <c r="D37" s="659"/>
      <c r="E37" s="660"/>
      <c r="F37" s="661"/>
      <c r="G37" s="659"/>
      <c r="H37" s="662"/>
      <c r="I37" s="658"/>
      <c r="J37" s="659"/>
      <c r="K37" s="660"/>
      <c r="O37" s="322"/>
    </row>
    <row r="38" spans="1:15" x14ac:dyDescent="0.25">
      <c r="A38" s="2071" t="str">
        <f>'A1-Sum'!A42</f>
        <v>Net cash from (used) operating</v>
      </c>
      <c r="B38" s="104"/>
      <c r="C38" s="2072"/>
      <c r="D38" s="1578"/>
      <c r="E38" s="1579"/>
      <c r="F38" s="1593"/>
      <c r="G38" s="1578"/>
      <c r="H38" s="1595"/>
      <c r="I38" s="2072"/>
      <c r="J38" s="1578"/>
      <c r="K38" s="1579"/>
    </row>
    <row r="39" spans="1:15" x14ac:dyDescent="0.25">
      <c r="A39" s="2071" t="str">
        <f>'A1-Sum'!A43</f>
        <v>Net cash from (used) investing</v>
      </c>
      <c r="B39" s="104"/>
      <c r="C39" s="2072"/>
      <c r="D39" s="1578"/>
      <c r="E39" s="1579"/>
      <c r="F39" s="1593"/>
      <c r="G39" s="1578"/>
      <c r="H39" s="1595"/>
      <c r="I39" s="2072"/>
      <c r="J39" s="1578"/>
      <c r="K39" s="1579"/>
    </row>
    <row r="40" spans="1:15" x14ac:dyDescent="0.25">
      <c r="A40" s="2071" t="str">
        <f>'A1-Sum'!A44</f>
        <v>Net cash from (used) financing</v>
      </c>
      <c r="B40" s="104"/>
      <c r="C40" s="2072"/>
      <c r="D40" s="1578"/>
      <c r="E40" s="1579"/>
      <c r="F40" s="1593"/>
      <c r="G40" s="1578"/>
      <c r="H40" s="1595"/>
      <c r="I40" s="2072"/>
      <c r="J40" s="1578"/>
      <c r="K40" s="1579"/>
    </row>
    <row r="41" spans="1:15" x14ac:dyDescent="0.25">
      <c r="A41" s="2074" t="str">
        <f>'A1-Sum'!A45</f>
        <v>Cash/cash equivalents at the year end</v>
      </c>
      <c r="B41" s="145"/>
      <c r="C41" s="2072"/>
      <c r="D41" s="1578"/>
      <c r="E41" s="1579"/>
      <c r="F41" s="1593"/>
      <c r="G41" s="1578"/>
      <c r="H41" s="1595"/>
      <c r="I41" s="2072"/>
      <c r="J41" s="1578"/>
      <c r="K41" s="1579"/>
    </row>
    <row r="42" spans="1:15" ht="6" customHeight="1" x14ac:dyDescent="0.25">
      <c r="A42" s="1463"/>
      <c r="B42" s="197"/>
      <c r="C42" s="2088"/>
      <c r="D42" s="2089"/>
      <c r="E42" s="2090"/>
      <c r="F42" s="2091"/>
      <c r="G42" s="2089"/>
      <c r="H42" s="2092"/>
      <c r="I42" s="2088"/>
      <c r="J42" s="2089"/>
      <c r="K42" s="2090"/>
    </row>
  </sheetData>
  <sheetProtection sheet="1" objects="1" scenarios="1"/>
  <mergeCells count="3">
    <mergeCell ref="F2:H2"/>
    <mergeCell ref="I2:K2"/>
    <mergeCell ref="B2:B3"/>
  </mergeCells>
  <phoneticPr fontId="7" type="noConversion"/>
  <printOptions horizontalCentered="1"/>
  <pageMargins left="0" right="0" top="0.78740157480314965" bottom="0.59055118110236227" header="0.51181102362204722" footer="0.39370078740157483"/>
  <pageSetup paperSize="9" scale="85" orientation="portrait"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Sheet53"/>
  <dimension ref="A1:L61"/>
  <sheetViews>
    <sheetView showGridLines="0" zoomScaleNormal="100" workbookViewId="0">
      <pane xSplit="1" ySplit="3" topLeftCell="B4" activePane="bottomRight" state="frozen"/>
      <selection pane="topRight"/>
      <selection pane="bottomLeft"/>
      <selection pane="bottomRight" activeCell="A12" sqref="A12"/>
    </sheetView>
  </sheetViews>
  <sheetFormatPr defaultColWidth="9.140625" defaultRowHeight="12.75" x14ac:dyDescent="0.25"/>
  <cols>
    <col min="1" max="1" width="30.7109375" style="58" customWidth="1"/>
    <col min="2" max="2" width="4.140625" style="55" bestFit="1" customWidth="1"/>
    <col min="3" max="3" width="9.28515625" style="58" customWidth="1"/>
    <col min="4" max="4" width="30.7109375" style="58" customWidth="1"/>
    <col min="5" max="5" width="13" style="58" customWidth="1"/>
    <col min="6" max="6" width="9.28515625" style="58" customWidth="1"/>
    <col min="7" max="7" width="9.7109375" style="58" customWidth="1"/>
    <col min="8" max="8" width="9.7109375" style="58" bestFit="1" customWidth="1"/>
    <col min="9" max="10" width="9.7109375" style="58" customWidth="1"/>
    <col min="11" max="11" width="9.42578125" style="58" customWidth="1"/>
    <col min="12" max="12" width="9.7109375" style="58" customWidth="1"/>
    <col min="13" max="15" width="9.42578125" style="58" customWidth="1"/>
    <col min="16" max="16" width="9.7109375" style="58" customWidth="1"/>
    <col min="17" max="19" width="9.42578125" style="58" customWidth="1"/>
    <col min="20" max="21" width="9.7109375" style="58" customWidth="1"/>
    <col min="22" max="16384" width="9.140625" style="58"/>
  </cols>
  <sheetData>
    <row r="1" spans="1:6" ht="13.5" customHeight="1" x14ac:dyDescent="0.25">
      <c r="A1" s="92" t="str">
        <f>muni&amp;" - "&amp;TableA32</f>
        <v>KZN226 Mkhambathini - Supporting Table SA32 List of external mechanisms</v>
      </c>
      <c r="B1" s="92"/>
      <c r="C1" s="92"/>
      <c r="D1" s="92"/>
      <c r="E1" s="92"/>
      <c r="F1" s="92"/>
    </row>
    <row r="2" spans="1:6" ht="33.75" customHeight="1" x14ac:dyDescent="0.25">
      <c r="A2" s="687" t="s">
        <v>276</v>
      </c>
      <c r="B2" s="2497" t="s">
        <v>1464</v>
      </c>
      <c r="C2" s="697" t="s">
        <v>279</v>
      </c>
      <c r="D2" s="2497" t="s">
        <v>280</v>
      </c>
      <c r="E2" s="2497" t="s">
        <v>278</v>
      </c>
      <c r="F2" s="2106" t="s">
        <v>281</v>
      </c>
    </row>
    <row r="3" spans="1:6" ht="24.75" customHeight="1" x14ac:dyDescent="0.25">
      <c r="A3" s="688" t="s">
        <v>277</v>
      </c>
      <c r="B3" s="2498"/>
      <c r="C3" s="527" t="s">
        <v>1465</v>
      </c>
      <c r="D3" s="2498"/>
      <c r="E3" s="2498"/>
      <c r="F3" s="826" t="s">
        <v>568</v>
      </c>
    </row>
    <row r="4" spans="1:6" ht="11.25" customHeight="1" x14ac:dyDescent="0.25">
      <c r="A4" s="2107"/>
      <c r="B4" s="1546"/>
      <c r="C4" s="1546"/>
      <c r="D4" s="2108"/>
      <c r="E4" s="2109"/>
      <c r="F4" s="717"/>
    </row>
    <row r="5" spans="1:6" ht="11.25" customHeight="1" x14ac:dyDescent="0.25">
      <c r="A5" s="2107"/>
      <c r="B5" s="1546"/>
      <c r="C5" s="1546"/>
      <c r="D5" s="2108"/>
      <c r="E5" s="2110"/>
      <c r="F5" s="717"/>
    </row>
    <row r="6" spans="1:6" ht="11.25" customHeight="1" x14ac:dyDescent="0.25">
      <c r="A6" s="2107"/>
      <c r="B6" s="1546"/>
      <c r="C6" s="1546"/>
      <c r="D6" s="2108"/>
      <c r="E6" s="2109"/>
      <c r="F6" s="717"/>
    </row>
    <row r="7" spans="1:6" ht="11.25" customHeight="1" x14ac:dyDescent="0.25">
      <c r="A7" s="2107"/>
      <c r="B7" s="1546"/>
      <c r="C7" s="1546"/>
      <c r="D7" s="2108"/>
      <c r="E7" s="2109"/>
      <c r="F7" s="717"/>
    </row>
    <row r="8" spans="1:6" ht="11.25" customHeight="1" x14ac:dyDescent="0.25">
      <c r="A8" s="2107"/>
      <c r="B8" s="1546"/>
      <c r="C8" s="1546"/>
      <c r="D8" s="2108"/>
      <c r="E8" s="2109"/>
      <c r="F8" s="717"/>
    </row>
    <row r="9" spans="1:6" ht="11.25" customHeight="1" x14ac:dyDescent="0.25">
      <c r="A9" s="2107"/>
      <c r="B9" s="1546"/>
      <c r="C9" s="1546"/>
      <c r="D9" s="2108"/>
      <c r="E9" s="2109"/>
      <c r="F9" s="717"/>
    </row>
    <row r="10" spans="1:6" ht="11.25" customHeight="1" x14ac:dyDescent="0.25">
      <c r="A10" s="2107"/>
      <c r="B10" s="1546"/>
      <c r="C10" s="1546"/>
      <c r="D10" s="2108"/>
      <c r="E10" s="2109"/>
      <c r="F10" s="717"/>
    </row>
    <row r="11" spans="1:6" ht="11.25" customHeight="1" x14ac:dyDescent="0.25">
      <c r="A11" s="2107"/>
      <c r="B11" s="1546"/>
      <c r="C11" s="1546"/>
      <c r="D11" s="2108"/>
      <c r="E11" s="2109"/>
      <c r="F11" s="717"/>
    </row>
    <row r="12" spans="1:6" ht="11.25" customHeight="1" x14ac:dyDescent="0.25">
      <c r="A12" s="2107"/>
      <c r="B12" s="1546"/>
      <c r="C12" s="1546"/>
      <c r="D12" s="2108"/>
      <c r="E12" s="2109"/>
      <c r="F12" s="717"/>
    </row>
    <row r="13" spans="1:6" ht="11.25" customHeight="1" x14ac:dyDescent="0.25">
      <c r="A13" s="2107"/>
      <c r="B13" s="1546"/>
      <c r="C13" s="1546"/>
      <c r="D13" s="2108"/>
      <c r="E13" s="2109"/>
      <c r="F13" s="717"/>
    </row>
    <row r="14" spans="1:6" ht="11.25" customHeight="1" x14ac:dyDescent="0.25">
      <c r="A14" s="2107"/>
      <c r="B14" s="1546"/>
      <c r="C14" s="1546"/>
      <c r="D14" s="2108"/>
      <c r="E14" s="2109"/>
      <c r="F14" s="717"/>
    </row>
    <row r="15" spans="1:6" ht="11.25" customHeight="1" x14ac:dyDescent="0.25">
      <c r="A15" s="2107"/>
      <c r="B15" s="1546"/>
      <c r="C15" s="1546"/>
      <c r="D15" s="2108"/>
      <c r="E15" s="2109"/>
      <c r="F15" s="717"/>
    </row>
    <row r="16" spans="1:6" ht="11.25" customHeight="1" x14ac:dyDescent="0.25">
      <c r="A16" s="2107"/>
      <c r="B16" s="1546"/>
      <c r="C16" s="1546"/>
      <c r="D16" s="2108"/>
      <c r="E16" s="2109"/>
      <c r="F16" s="717"/>
    </row>
    <row r="17" spans="1:12" ht="11.25" customHeight="1" x14ac:dyDescent="0.25">
      <c r="A17" s="2107"/>
      <c r="B17" s="1546"/>
      <c r="C17" s="1546"/>
      <c r="D17" s="2108"/>
      <c r="E17" s="2109"/>
      <c r="F17" s="717"/>
    </row>
    <row r="18" spans="1:12" ht="11.25" customHeight="1" x14ac:dyDescent="0.25">
      <c r="A18" s="2107"/>
      <c r="B18" s="1546"/>
      <c r="C18" s="1546"/>
      <c r="D18" s="2108"/>
      <c r="E18" s="2109"/>
      <c r="F18" s="717"/>
    </row>
    <row r="19" spans="1:12" ht="11.25" customHeight="1" x14ac:dyDescent="0.25">
      <c r="A19" s="2107"/>
      <c r="B19" s="1546"/>
      <c r="C19" s="1546"/>
      <c r="D19" s="2108"/>
      <c r="E19" s="2109"/>
      <c r="F19" s="717"/>
    </row>
    <row r="20" spans="1:12" ht="11.25" customHeight="1" x14ac:dyDescent="0.25">
      <c r="A20" s="2107"/>
      <c r="B20" s="1546"/>
      <c r="C20" s="1546"/>
      <c r="D20" s="2108"/>
      <c r="E20" s="2109"/>
      <c r="F20" s="717"/>
    </row>
    <row r="21" spans="1:12" ht="11.25" customHeight="1" x14ac:dyDescent="0.25">
      <c r="A21" s="2107"/>
      <c r="B21" s="1546"/>
      <c r="C21" s="1546"/>
      <c r="D21" s="2108"/>
      <c r="E21" s="2109"/>
      <c r="F21" s="717"/>
    </row>
    <row r="22" spans="1:12" ht="11.25" customHeight="1" x14ac:dyDescent="0.25">
      <c r="A22" s="2107"/>
      <c r="B22" s="1546"/>
      <c r="C22" s="1546"/>
      <c r="D22" s="2108"/>
      <c r="E22" s="2109"/>
      <c r="F22" s="717"/>
    </row>
    <row r="23" spans="1:12" x14ac:dyDescent="0.25">
      <c r="A23" s="2111"/>
      <c r="B23" s="2112"/>
      <c r="C23" s="2112"/>
      <c r="D23" s="2113"/>
      <c r="E23" s="2114"/>
      <c r="F23" s="2115"/>
    </row>
    <row r="24" spans="1:12" ht="6" customHeight="1" x14ac:dyDescent="0.25">
      <c r="A24" s="220"/>
      <c r="B24" s="189"/>
      <c r="C24" s="221"/>
      <c r="D24" s="221"/>
      <c r="E24" s="221"/>
      <c r="F24" s="221"/>
      <c r="J24" s="220"/>
      <c r="K24" s="220"/>
      <c r="L24" s="220"/>
    </row>
    <row r="25" spans="1:12" x14ac:dyDescent="0.25">
      <c r="A25" s="188" t="str">
        <f>head27a</f>
        <v>References</v>
      </c>
      <c r="B25" s="189"/>
      <c r="C25" s="221"/>
      <c r="D25" s="221"/>
      <c r="E25" s="221"/>
      <c r="F25" s="221"/>
      <c r="J25" s="220"/>
      <c r="K25" s="220"/>
      <c r="L25" s="220"/>
    </row>
    <row r="26" spans="1:12" ht="11.25" customHeight="1" x14ac:dyDescent="0.25">
      <c r="A26" s="151" t="s">
        <v>332</v>
      </c>
      <c r="B26" s="189"/>
      <c r="C26" s="193"/>
      <c r="D26" s="192"/>
      <c r="E26" s="193"/>
      <c r="F26" s="193"/>
    </row>
    <row r="27" spans="1:12" ht="11.25" customHeight="1" x14ac:dyDescent="0.25">
      <c r="A27" s="151" t="s">
        <v>282</v>
      </c>
      <c r="B27" s="189"/>
      <c r="C27" s="221"/>
      <c r="D27" s="221"/>
      <c r="E27" s="221"/>
      <c r="F27" s="221"/>
    </row>
    <row r="28" spans="1:12" ht="11.25" customHeight="1" x14ac:dyDescent="0.25"/>
    <row r="29" spans="1:12" ht="11.25" customHeight="1" x14ac:dyDescent="0.25"/>
    <row r="30" spans="1:12" ht="11.25" customHeight="1" x14ac:dyDescent="0.25"/>
    <row r="31" spans="1:12" ht="11.25" customHeight="1" x14ac:dyDescent="0.25"/>
    <row r="32" spans="1:12" ht="11.25" customHeight="1" x14ac:dyDescent="0.25"/>
    <row r="33" ht="11.25" customHeight="1" x14ac:dyDescent="0.25"/>
    <row r="34" ht="11.25" customHeight="1" x14ac:dyDescent="0.25"/>
    <row r="35" ht="11.25" customHeight="1" x14ac:dyDescent="0.25"/>
    <row r="36" ht="11.25" customHeight="1" x14ac:dyDescent="0.25"/>
    <row r="37" ht="11.25" customHeight="1" x14ac:dyDescent="0.25"/>
    <row r="38" ht="11.25" customHeight="1" x14ac:dyDescent="0.25"/>
    <row r="39" ht="11.25" customHeight="1" x14ac:dyDescent="0.25"/>
    <row r="40" ht="11.25" customHeight="1" x14ac:dyDescent="0.25"/>
    <row r="41" ht="11.25" customHeight="1" x14ac:dyDescent="0.25"/>
    <row r="42" ht="11.25" customHeight="1" x14ac:dyDescent="0.25"/>
    <row r="43" ht="11.25" customHeight="1" x14ac:dyDescent="0.25"/>
    <row r="44" ht="11.25" customHeight="1" x14ac:dyDescent="0.25"/>
    <row r="45" ht="11.25" customHeight="1" x14ac:dyDescent="0.25"/>
    <row r="46" ht="11.25" customHeight="1" x14ac:dyDescent="0.25"/>
    <row r="47" ht="11.25" customHeight="1" x14ac:dyDescent="0.25"/>
    <row r="48" ht="11.25" customHeight="1" x14ac:dyDescent="0.25"/>
    <row r="49" ht="11.25" customHeight="1" x14ac:dyDescent="0.25"/>
    <row r="50" ht="11.25" customHeight="1" x14ac:dyDescent="0.25"/>
    <row r="51" ht="11.25" customHeight="1" x14ac:dyDescent="0.25"/>
    <row r="52" ht="11.25" customHeight="1" x14ac:dyDescent="0.25"/>
    <row r="53" ht="11.25" customHeight="1" x14ac:dyDescent="0.25"/>
    <row r="54" ht="11.25" customHeight="1" x14ac:dyDescent="0.25"/>
    <row r="55" ht="11.25" customHeight="1" x14ac:dyDescent="0.25"/>
    <row r="56" ht="11.25" customHeight="1" x14ac:dyDescent="0.25"/>
    <row r="57" ht="11.25" customHeight="1" x14ac:dyDescent="0.25"/>
    <row r="58" ht="11.25" customHeight="1" x14ac:dyDescent="0.25"/>
    <row r="59" ht="11.25" customHeight="1" x14ac:dyDescent="0.25"/>
    <row r="60" ht="11.25" customHeight="1" x14ac:dyDescent="0.25"/>
    <row r="61" ht="11.25" customHeight="1" x14ac:dyDescent="0.25"/>
  </sheetData>
  <sheetProtection sheet="1" objects="1" scenarios="1"/>
  <mergeCells count="3">
    <mergeCell ref="D2:D3"/>
    <mergeCell ref="E2:E3"/>
    <mergeCell ref="B2:B3"/>
  </mergeCells>
  <phoneticPr fontId="7" type="noConversion"/>
  <dataValidations count="1">
    <dataValidation type="list" allowBlank="1" showInputMessage="1" showErrorMessage="1" promptTitle="Selection" prompt="Select period description" sqref="B4:B23" xr:uid="{00000000-0002-0000-3500-000000000000}">
      <formula1>List8</formula1>
    </dataValidation>
  </dataValidations>
  <printOptions horizontalCentered="1"/>
  <pageMargins left="0" right="0" top="0.78740157480314965" bottom="0.59055118110236227" header="0.51181102362204722" footer="0.39370078740157483"/>
  <pageSetup paperSize="9" scale="80" orientation="portrait" r:id="rId1"/>
  <headerFooter alignWithMargins="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Sheet54"/>
  <dimension ref="A1:O83"/>
  <sheetViews>
    <sheetView showGridLines="0" zoomScaleNormal="100" workbookViewId="0">
      <pane xSplit="2" ySplit="3" topLeftCell="C4" activePane="bottomRight" state="frozen"/>
      <selection pane="topRight"/>
      <selection pane="bottomLeft"/>
      <selection pane="bottomRight" activeCell="P41" sqref="P41"/>
    </sheetView>
  </sheetViews>
  <sheetFormatPr defaultColWidth="9.140625" defaultRowHeight="12.75" x14ac:dyDescent="0.25"/>
  <cols>
    <col min="1" max="1" width="30.7109375" style="58" customWidth="1"/>
    <col min="2" max="2" width="3" style="55" customWidth="1"/>
    <col min="3" max="7" width="9.28515625" style="58" customWidth="1"/>
    <col min="8" max="15" width="8.28515625" style="58" customWidth="1"/>
    <col min="16" max="17" width="9.42578125" style="58" customWidth="1"/>
    <col min="18" max="19" width="9.7109375" style="58" customWidth="1"/>
    <col min="20" max="16384" width="9.140625" style="58"/>
  </cols>
  <sheetData>
    <row r="1" spans="1:15" ht="13.5" customHeight="1" x14ac:dyDescent="0.25">
      <c r="A1" s="92" t="str">
        <f>muni&amp;" - "&amp; TableA33</f>
        <v>KZN226 Mkhambathini - Supporting Table SA33 Contracts having future budgetary implications</v>
      </c>
      <c r="B1" s="92"/>
      <c r="C1" s="92"/>
      <c r="D1" s="92"/>
      <c r="E1" s="92"/>
      <c r="F1" s="92"/>
      <c r="G1" s="92"/>
      <c r="H1" s="92"/>
      <c r="I1" s="92"/>
      <c r="J1" s="92"/>
      <c r="K1" s="92"/>
      <c r="L1" s="92"/>
      <c r="M1" s="92"/>
      <c r="N1" s="92"/>
      <c r="O1" s="92"/>
    </row>
    <row r="2" spans="1:15" ht="36" customHeight="1" x14ac:dyDescent="0.25">
      <c r="A2" s="1829" t="str">
        <f>desc</f>
        <v>Description</v>
      </c>
      <c r="B2" s="155" t="str">
        <f>head27</f>
        <v>Ref</v>
      </c>
      <c r="C2" s="837" t="s">
        <v>366</v>
      </c>
      <c r="D2" s="684" t="str">
        <f>Head2</f>
        <v>Current Year 2020/21</v>
      </c>
      <c r="E2" s="2450" t="str">
        <f>Head3</f>
        <v>2021/22 Medium Term Revenue &amp; Expenditure Framework</v>
      </c>
      <c r="F2" s="2451"/>
      <c r="G2" s="2452"/>
      <c r="H2" s="682" t="str">
        <f>Head12</f>
        <v>Forecast 2024/25</v>
      </c>
      <c r="I2" s="837" t="str">
        <f>Head13</f>
        <v>Forecast 2025/26</v>
      </c>
      <c r="J2" s="837" t="str">
        <f>Head14</f>
        <v>Forecast 2026/27</v>
      </c>
      <c r="K2" s="837" t="str">
        <f>Head15</f>
        <v>Forecast 2027/28</v>
      </c>
      <c r="L2" s="837" t="str">
        <f>Head16</f>
        <v>Forecast 2028/29</v>
      </c>
      <c r="M2" s="837" t="str">
        <f>Head17</f>
        <v>Forecast 2029/30</v>
      </c>
      <c r="N2" s="684" t="str">
        <f>Head18</f>
        <v>Forecast 2030/31</v>
      </c>
      <c r="O2" s="2116" t="s">
        <v>584</v>
      </c>
    </row>
    <row r="3" spans="1:15" ht="25.5" x14ac:dyDescent="0.25">
      <c r="A3" s="156" t="s">
        <v>568</v>
      </c>
      <c r="B3" s="2117" t="s">
        <v>446</v>
      </c>
      <c r="C3" s="698" t="s">
        <v>660</v>
      </c>
      <c r="D3" s="94" t="str">
        <f>Head6</f>
        <v>Original Budget</v>
      </c>
      <c r="E3" s="95" t="str">
        <f>Head9</f>
        <v>Budget Year 2021/22</v>
      </c>
      <c r="F3" s="698" t="str">
        <f>Head10</f>
        <v>Budget Year +1 2022/23</v>
      </c>
      <c r="G3" s="94" t="str">
        <f>Head11</f>
        <v>Budget Year +2 2023/24</v>
      </c>
      <c r="H3" s="95" t="s">
        <v>338</v>
      </c>
      <c r="I3" s="698" t="s">
        <v>338</v>
      </c>
      <c r="J3" s="698" t="s">
        <v>338</v>
      </c>
      <c r="K3" s="698" t="s">
        <v>338</v>
      </c>
      <c r="L3" s="698" t="s">
        <v>338</v>
      </c>
      <c r="M3" s="698" t="s">
        <v>338</v>
      </c>
      <c r="N3" s="94" t="s">
        <v>338</v>
      </c>
      <c r="O3" s="695" t="s">
        <v>338</v>
      </c>
    </row>
    <row r="4" spans="1:15" x14ac:dyDescent="0.25">
      <c r="A4" s="145" t="s">
        <v>850</v>
      </c>
      <c r="B4" s="144"/>
      <c r="C4" s="81"/>
      <c r="D4" s="756"/>
      <c r="E4" s="757"/>
      <c r="F4" s="81"/>
      <c r="G4" s="758"/>
      <c r="H4" s="756"/>
      <c r="I4" s="81"/>
      <c r="J4" s="81"/>
      <c r="K4" s="81"/>
      <c r="L4" s="81"/>
      <c r="M4" s="81"/>
      <c r="N4" s="758"/>
      <c r="O4" s="761"/>
    </row>
    <row r="5" spans="1:15" x14ac:dyDescent="0.25">
      <c r="A5" s="96" t="s">
        <v>1407</v>
      </c>
      <c r="B5" s="144">
        <v>2</v>
      </c>
      <c r="C5" s="762"/>
      <c r="D5" s="763"/>
      <c r="E5" s="764"/>
      <c r="F5" s="762"/>
      <c r="G5" s="765"/>
      <c r="H5" s="763"/>
      <c r="I5" s="762"/>
      <c r="J5" s="762"/>
      <c r="K5" s="762"/>
      <c r="L5" s="762"/>
      <c r="M5" s="762"/>
      <c r="N5" s="765"/>
      <c r="O5" s="768"/>
    </row>
    <row r="6" spans="1:15" x14ac:dyDescent="0.25">
      <c r="A6" s="1917" t="s">
        <v>339</v>
      </c>
      <c r="B6" s="144"/>
      <c r="C6" s="2118"/>
      <c r="D6" s="2119"/>
      <c r="E6" s="2120"/>
      <c r="F6" s="2118"/>
      <c r="G6" s="2121"/>
      <c r="H6" s="2119"/>
      <c r="I6" s="2118"/>
      <c r="J6" s="2118"/>
      <c r="K6" s="2118"/>
      <c r="L6" s="2118"/>
      <c r="M6" s="2118"/>
      <c r="N6" s="2121"/>
      <c r="O6" s="1472">
        <f>SUM(C6:N6)</f>
        <v>0</v>
      </c>
    </row>
    <row r="7" spans="1:15" x14ac:dyDescent="0.25">
      <c r="A7" s="1917" t="s">
        <v>340</v>
      </c>
      <c r="B7" s="144"/>
      <c r="C7" s="833"/>
      <c r="D7" s="869"/>
      <c r="E7" s="868"/>
      <c r="F7" s="833"/>
      <c r="G7" s="867"/>
      <c r="H7" s="869"/>
      <c r="I7" s="833"/>
      <c r="J7" s="833"/>
      <c r="K7" s="833"/>
      <c r="L7" s="833"/>
      <c r="M7" s="833"/>
      <c r="N7" s="867"/>
      <c r="O7" s="1472">
        <f>SUM(C7:N7)</f>
        <v>0</v>
      </c>
    </row>
    <row r="8" spans="1:15" x14ac:dyDescent="0.25">
      <c r="A8" s="1917" t="s">
        <v>341</v>
      </c>
      <c r="B8" s="144"/>
      <c r="C8" s="712"/>
      <c r="D8" s="719"/>
      <c r="E8" s="718"/>
      <c r="F8" s="712"/>
      <c r="G8" s="717"/>
      <c r="H8" s="719"/>
      <c r="I8" s="712"/>
      <c r="J8" s="712"/>
      <c r="K8" s="712"/>
      <c r="L8" s="712"/>
      <c r="M8" s="712"/>
      <c r="N8" s="717"/>
      <c r="O8" s="1472">
        <f>SUM(C8:N8)</f>
        <v>0</v>
      </c>
    </row>
    <row r="9" spans="1:15" x14ac:dyDescent="0.25">
      <c r="A9" s="145" t="s">
        <v>1171</v>
      </c>
      <c r="B9" s="144"/>
      <c r="C9" s="535">
        <f>SUM(C6:C8)</f>
        <v>0</v>
      </c>
      <c r="D9" s="667">
        <f t="shared" ref="D9:N9" si="0">SUM(D6:D8)</f>
        <v>0</v>
      </c>
      <c r="E9" s="666">
        <f t="shared" si="0"/>
        <v>0</v>
      </c>
      <c r="F9" s="535">
        <f t="shared" si="0"/>
        <v>0</v>
      </c>
      <c r="G9" s="665">
        <f t="shared" si="0"/>
        <v>0</v>
      </c>
      <c r="H9" s="667">
        <f t="shared" si="0"/>
        <v>0</v>
      </c>
      <c r="I9" s="535">
        <f t="shared" si="0"/>
        <v>0</v>
      </c>
      <c r="J9" s="535">
        <f t="shared" si="0"/>
        <v>0</v>
      </c>
      <c r="K9" s="535">
        <f t="shared" si="0"/>
        <v>0</v>
      </c>
      <c r="L9" s="535">
        <f t="shared" si="0"/>
        <v>0</v>
      </c>
      <c r="M9" s="535">
        <f t="shared" si="0"/>
        <v>0</v>
      </c>
      <c r="N9" s="665">
        <f t="shared" si="0"/>
        <v>0</v>
      </c>
      <c r="O9" s="2122">
        <f>SUM(C9:N9)</f>
        <v>0</v>
      </c>
    </row>
    <row r="10" spans="1:15" ht="4.9000000000000004" customHeight="1" x14ac:dyDescent="0.25">
      <c r="A10" s="116"/>
      <c r="B10" s="144"/>
      <c r="C10" s="177"/>
      <c r="D10" s="180"/>
      <c r="E10" s="179"/>
      <c r="F10" s="177"/>
      <c r="G10" s="178"/>
      <c r="H10" s="180"/>
      <c r="I10" s="177"/>
      <c r="J10" s="177"/>
      <c r="K10" s="177"/>
      <c r="L10" s="177"/>
      <c r="M10" s="177"/>
      <c r="N10" s="178"/>
      <c r="O10" s="1472"/>
    </row>
    <row r="11" spans="1:15" x14ac:dyDescent="0.25">
      <c r="A11" s="96" t="s">
        <v>851</v>
      </c>
      <c r="B11" s="144">
        <v>2</v>
      </c>
      <c r="C11" s="177"/>
      <c r="D11" s="180"/>
      <c r="E11" s="179"/>
      <c r="F11" s="177"/>
      <c r="G11" s="178"/>
      <c r="H11" s="180"/>
      <c r="I11" s="177"/>
      <c r="J11" s="177"/>
      <c r="K11" s="177"/>
      <c r="L11" s="177"/>
      <c r="M11" s="177"/>
      <c r="N11" s="178"/>
      <c r="O11" s="1472"/>
    </row>
    <row r="12" spans="1:15" x14ac:dyDescent="0.25">
      <c r="A12" s="1917" t="s">
        <v>339</v>
      </c>
      <c r="B12" s="144"/>
      <c r="C12" s="712"/>
      <c r="D12" s="719"/>
      <c r="E12" s="718"/>
      <c r="F12" s="712"/>
      <c r="G12" s="717"/>
      <c r="H12" s="719"/>
      <c r="I12" s="712"/>
      <c r="J12" s="712"/>
      <c r="K12" s="712"/>
      <c r="L12" s="712"/>
      <c r="M12" s="712"/>
      <c r="N12" s="717"/>
      <c r="O12" s="1472">
        <f>SUM(C12:N12)</f>
        <v>0</v>
      </c>
    </row>
    <row r="13" spans="1:15" x14ac:dyDescent="0.25">
      <c r="A13" s="1917" t="s">
        <v>340</v>
      </c>
      <c r="B13" s="144"/>
      <c r="C13" s="712"/>
      <c r="D13" s="719"/>
      <c r="E13" s="718"/>
      <c r="F13" s="712"/>
      <c r="G13" s="717"/>
      <c r="H13" s="719"/>
      <c r="I13" s="712"/>
      <c r="J13" s="712"/>
      <c r="K13" s="712"/>
      <c r="L13" s="712"/>
      <c r="M13" s="712"/>
      <c r="N13" s="717"/>
      <c r="O13" s="1472">
        <f>SUM(C13:N13)</f>
        <v>0</v>
      </c>
    </row>
    <row r="14" spans="1:15" x14ac:dyDescent="0.25">
      <c r="A14" s="1917" t="s">
        <v>341</v>
      </c>
      <c r="B14" s="144"/>
      <c r="C14" s="712"/>
      <c r="D14" s="719"/>
      <c r="E14" s="718"/>
      <c r="F14" s="712"/>
      <c r="G14" s="717"/>
      <c r="H14" s="719"/>
      <c r="I14" s="712"/>
      <c r="J14" s="712"/>
      <c r="K14" s="712"/>
      <c r="L14" s="712"/>
      <c r="M14" s="712"/>
      <c r="N14" s="717"/>
      <c r="O14" s="1472">
        <f>SUM(C14:N14)</f>
        <v>0</v>
      </c>
    </row>
    <row r="15" spans="1:15" x14ac:dyDescent="0.25">
      <c r="A15" s="145" t="s">
        <v>853</v>
      </c>
      <c r="B15" s="144"/>
      <c r="C15" s="934">
        <f t="shared" ref="C15:N15" si="1">SUM(C12:C14)</f>
        <v>0</v>
      </c>
      <c r="D15" s="937">
        <f t="shared" si="1"/>
        <v>0</v>
      </c>
      <c r="E15" s="936">
        <f t="shared" si="1"/>
        <v>0</v>
      </c>
      <c r="F15" s="934">
        <f t="shared" si="1"/>
        <v>0</v>
      </c>
      <c r="G15" s="935">
        <f t="shared" si="1"/>
        <v>0</v>
      </c>
      <c r="H15" s="937">
        <f t="shared" si="1"/>
        <v>0</v>
      </c>
      <c r="I15" s="934">
        <f t="shared" si="1"/>
        <v>0</v>
      </c>
      <c r="J15" s="934">
        <f t="shared" si="1"/>
        <v>0</v>
      </c>
      <c r="K15" s="934">
        <f t="shared" si="1"/>
        <v>0</v>
      </c>
      <c r="L15" s="934">
        <f t="shared" si="1"/>
        <v>0</v>
      </c>
      <c r="M15" s="934">
        <f t="shared" si="1"/>
        <v>0</v>
      </c>
      <c r="N15" s="935">
        <f t="shared" si="1"/>
        <v>0</v>
      </c>
      <c r="O15" s="2122">
        <f>SUM(C15:N15)</f>
        <v>0</v>
      </c>
    </row>
    <row r="16" spans="1:15" ht="4.9000000000000004" customHeight="1" x14ac:dyDescent="0.25">
      <c r="A16" s="116"/>
      <c r="B16" s="144"/>
      <c r="C16" s="177"/>
      <c r="D16" s="180"/>
      <c r="E16" s="179"/>
      <c r="F16" s="177"/>
      <c r="G16" s="178"/>
      <c r="H16" s="180"/>
      <c r="I16" s="177"/>
      <c r="J16" s="177"/>
      <c r="K16" s="177"/>
      <c r="L16" s="177"/>
      <c r="M16" s="177"/>
      <c r="N16" s="178"/>
      <c r="O16" s="1472"/>
    </row>
    <row r="17" spans="1:15" x14ac:dyDescent="0.25">
      <c r="A17" s="96" t="s">
        <v>852</v>
      </c>
      <c r="B17" s="144">
        <v>2</v>
      </c>
      <c r="C17" s="545"/>
      <c r="D17" s="831"/>
      <c r="E17" s="743"/>
      <c r="F17" s="545"/>
      <c r="G17" s="742"/>
      <c r="H17" s="831"/>
      <c r="I17" s="545"/>
      <c r="J17" s="545"/>
      <c r="K17" s="545"/>
      <c r="L17" s="545"/>
      <c r="M17" s="545"/>
      <c r="N17" s="742"/>
      <c r="O17" s="1472"/>
    </row>
    <row r="18" spans="1:15" x14ac:dyDescent="0.25">
      <c r="A18" s="1917" t="s">
        <v>339</v>
      </c>
      <c r="B18" s="144"/>
      <c r="C18" s="712"/>
      <c r="D18" s="719"/>
      <c r="E18" s="718"/>
      <c r="F18" s="712"/>
      <c r="G18" s="717"/>
      <c r="H18" s="719"/>
      <c r="I18" s="712"/>
      <c r="J18" s="712"/>
      <c r="K18" s="712"/>
      <c r="L18" s="712"/>
      <c r="M18" s="712"/>
      <c r="N18" s="717"/>
      <c r="O18" s="1472">
        <f>SUM(C18:N18)</f>
        <v>0</v>
      </c>
    </row>
    <row r="19" spans="1:15" x14ac:dyDescent="0.25">
      <c r="A19" s="1917" t="s">
        <v>340</v>
      </c>
      <c r="B19" s="144"/>
      <c r="C19" s="712"/>
      <c r="D19" s="719"/>
      <c r="E19" s="718"/>
      <c r="F19" s="712"/>
      <c r="G19" s="717"/>
      <c r="H19" s="719"/>
      <c r="I19" s="712"/>
      <c r="J19" s="712"/>
      <c r="K19" s="712"/>
      <c r="L19" s="712"/>
      <c r="M19" s="712"/>
      <c r="N19" s="717"/>
      <c r="O19" s="1472">
        <f>SUM(C19:N19)</f>
        <v>0</v>
      </c>
    </row>
    <row r="20" spans="1:15" x14ac:dyDescent="0.25">
      <c r="A20" s="1917" t="s">
        <v>341</v>
      </c>
      <c r="B20" s="144"/>
      <c r="C20" s="712"/>
      <c r="D20" s="719"/>
      <c r="E20" s="718"/>
      <c r="F20" s="712"/>
      <c r="G20" s="717"/>
      <c r="H20" s="719"/>
      <c r="I20" s="712"/>
      <c r="J20" s="712"/>
      <c r="K20" s="712"/>
      <c r="L20" s="712"/>
      <c r="M20" s="712"/>
      <c r="N20" s="717"/>
      <c r="O20" s="1472">
        <f>SUM(C20:N20)</f>
        <v>0</v>
      </c>
    </row>
    <row r="21" spans="1:15" x14ac:dyDescent="0.25">
      <c r="A21" s="145" t="s">
        <v>1250</v>
      </c>
      <c r="B21" s="144"/>
      <c r="C21" s="934">
        <f t="shared" ref="C21:N21" si="2">SUM(C18:C20)</f>
        <v>0</v>
      </c>
      <c r="D21" s="937">
        <f t="shared" si="2"/>
        <v>0</v>
      </c>
      <c r="E21" s="936">
        <f t="shared" si="2"/>
        <v>0</v>
      </c>
      <c r="F21" s="934">
        <f t="shared" si="2"/>
        <v>0</v>
      </c>
      <c r="G21" s="935">
        <f t="shared" si="2"/>
        <v>0</v>
      </c>
      <c r="H21" s="937">
        <f t="shared" si="2"/>
        <v>0</v>
      </c>
      <c r="I21" s="934">
        <f t="shared" si="2"/>
        <v>0</v>
      </c>
      <c r="J21" s="934">
        <f t="shared" si="2"/>
        <v>0</v>
      </c>
      <c r="K21" s="934">
        <f t="shared" si="2"/>
        <v>0</v>
      </c>
      <c r="L21" s="934">
        <f t="shared" si="2"/>
        <v>0</v>
      </c>
      <c r="M21" s="934">
        <f t="shared" si="2"/>
        <v>0</v>
      </c>
      <c r="N21" s="935">
        <f t="shared" si="2"/>
        <v>0</v>
      </c>
      <c r="O21" s="2122">
        <f>SUM(C21:N21)</f>
        <v>0</v>
      </c>
    </row>
    <row r="22" spans="1:15" ht="4.9000000000000004" customHeight="1" x14ac:dyDescent="0.25">
      <c r="A22" s="116"/>
      <c r="B22" s="144"/>
      <c r="C22" s="177"/>
      <c r="D22" s="180"/>
      <c r="E22" s="179"/>
      <c r="F22" s="177"/>
      <c r="G22" s="178"/>
      <c r="H22" s="180"/>
      <c r="I22" s="177"/>
      <c r="J22" s="177"/>
      <c r="K22" s="177"/>
      <c r="L22" s="177"/>
      <c r="M22" s="177"/>
      <c r="N22" s="178"/>
      <c r="O22" s="1472"/>
    </row>
    <row r="23" spans="1:15" x14ac:dyDescent="0.25">
      <c r="A23" s="147" t="s">
        <v>15</v>
      </c>
      <c r="B23" s="148"/>
      <c r="C23" s="185">
        <f>C15+C21</f>
        <v>0</v>
      </c>
      <c r="D23" s="186">
        <f t="shared" ref="D23:O23" si="3">D15+D21</f>
        <v>0</v>
      </c>
      <c r="E23" s="184">
        <f t="shared" si="3"/>
        <v>0</v>
      </c>
      <c r="F23" s="185">
        <f t="shared" si="3"/>
        <v>0</v>
      </c>
      <c r="G23" s="183">
        <f t="shared" si="3"/>
        <v>0</v>
      </c>
      <c r="H23" s="186">
        <f t="shared" si="3"/>
        <v>0</v>
      </c>
      <c r="I23" s="185">
        <f t="shared" si="3"/>
        <v>0</v>
      </c>
      <c r="J23" s="185">
        <f t="shared" si="3"/>
        <v>0</v>
      </c>
      <c r="K23" s="185">
        <f t="shared" si="3"/>
        <v>0</v>
      </c>
      <c r="L23" s="185">
        <f t="shared" si="3"/>
        <v>0</v>
      </c>
      <c r="M23" s="185">
        <f t="shared" si="3"/>
        <v>0</v>
      </c>
      <c r="N23" s="183">
        <f t="shared" si="3"/>
        <v>0</v>
      </c>
      <c r="O23" s="2123">
        <f t="shared" si="3"/>
        <v>0</v>
      </c>
    </row>
    <row r="24" spans="1:15" ht="4.5" customHeight="1" x14ac:dyDescent="0.25">
      <c r="A24" s="96"/>
      <c r="B24" s="144"/>
      <c r="C24" s="762"/>
      <c r="D24" s="763"/>
      <c r="E24" s="764"/>
      <c r="F24" s="762"/>
      <c r="G24" s="765"/>
      <c r="H24" s="763"/>
      <c r="I24" s="762"/>
      <c r="J24" s="762"/>
      <c r="K24" s="762"/>
      <c r="L24" s="762"/>
      <c r="M24" s="762"/>
      <c r="N24" s="765"/>
      <c r="O24" s="768"/>
    </row>
    <row r="25" spans="1:15" x14ac:dyDescent="0.25">
      <c r="A25" s="145" t="s">
        <v>16</v>
      </c>
      <c r="B25" s="144"/>
      <c r="C25" s="762"/>
      <c r="D25" s="763"/>
      <c r="E25" s="764"/>
      <c r="F25" s="762"/>
      <c r="G25" s="765"/>
      <c r="H25" s="763"/>
      <c r="I25" s="762"/>
      <c r="J25" s="762"/>
      <c r="K25" s="762"/>
      <c r="L25" s="762"/>
      <c r="M25" s="762"/>
      <c r="N25" s="765"/>
      <c r="O25" s="768"/>
    </row>
    <row r="26" spans="1:15" ht="11.25" customHeight="1" x14ac:dyDescent="0.25">
      <c r="A26" s="96" t="s">
        <v>1407</v>
      </c>
      <c r="B26" s="144">
        <v>2</v>
      </c>
      <c r="C26" s="762"/>
      <c r="D26" s="763"/>
      <c r="E26" s="764"/>
      <c r="F26" s="762"/>
      <c r="G26" s="765"/>
      <c r="H26" s="763"/>
      <c r="I26" s="762"/>
      <c r="J26" s="762"/>
      <c r="K26" s="762"/>
      <c r="L26" s="762"/>
      <c r="M26" s="762"/>
      <c r="N26" s="765"/>
      <c r="O26" s="768"/>
    </row>
    <row r="27" spans="1:15" ht="11.25" customHeight="1" x14ac:dyDescent="0.25">
      <c r="A27" s="1917" t="s">
        <v>339</v>
      </c>
      <c r="B27" s="144"/>
      <c r="C27" s="2118"/>
      <c r="D27" s="2119"/>
      <c r="E27" s="2120"/>
      <c r="F27" s="2118"/>
      <c r="G27" s="2121"/>
      <c r="H27" s="2119"/>
      <c r="I27" s="2118"/>
      <c r="J27" s="2118"/>
      <c r="K27" s="2118"/>
      <c r="L27" s="2118"/>
      <c r="M27" s="2118"/>
      <c r="N27" s="2121"/>
      <c r="O27" s="1472">
        <f>SUM(C27:N27)</f>
        <v>0</v>
      </c>
    </row>
    <row r="28" spans="1:15" ht="11.25" customHeight="1" x14ac:dyDescent="0.25">
      <c r="A28" s="1917" t="s">
        <v>340</v>
      </c>
      <c r="B28" s="144"/>
      <c r="C28" s="833"/>
      <c r="D28" s="869"/>
      <c r="E28" s="868"/>
      <c r="F28" s="833"/>
      <c r="G28" s="867"/>
      <c r="H28" s="869"/>
      <c r="I28" s="833"/>
      <c r="J28" s="833"/>
      <c r="K28" s="833"/>
      <c r="L28" s="833"/>
      <c r="M28" s="833"/>
      <c r="N28" s="867"/>
      <c r="O28" s="1472">
        <f>SUM(C28:N28)</f>
        <v>0</v>
      </c>
    </row>
    <row r="29" spans="1:15" ht="11.25" customHeight="1" x14ac:dyDescent="0.25">
      <c r="A29" s="1917" t="s">
        <v>341</v>
      </c>
      <c r="B29" s="144"/>
      <c r="C29" s="712"/>
      <c r="D29" s="719"/>
      <c r="E29" s="718"/>
      <c r="F29" s="712"/>
      <c r="G29" s="717"/>
      <c r="H29" s="719"/>
      <c r="I29" s="712"/>
      <c r="J29" s="712"/>
      <c r="K29" s="712"/>
      <c r="L29" s="712"/>
      <c r="M29" s="712"/>
      <c r="N29" s="717"/>
      <c r="O29" s="1472">
        <f>SUM(C29:N29)</f>
        <v>0</v>
      </c>
    </row>
    <row r="30" spans="1:15" ht="11.25" customHeight="1" x14ac:dyDescent="0.25">
      <c r="A30" s="145" t="s">
        <v>1171</v>
      </c>
      <c r="B30" s="144"/>
      <c r="C30" s="535">
        <f t="shared" ref="C30:N30" si="4">SUM(C27:C29)</f>
        <v>0</v>
      </c>
      <c r="D30" s="667">
        <f t="shared" si="4"/>
        <v>0</v>
      </c>
      <c r="E30" s="666">
        <f t="shared" si="4"/>
        <v>0</v>
      </c>
      <c r="F30" s="535">
        <f t="shared" si="4"/>
        <v>0</v>
      </c>
      <c r="G30" s="665">
        <f t="shared" si="4"/>
        <v>0</v>
      </c>
      <c r="H30" s="667">
        <f t="shared" si="4"/>
        <v>0</v>
      </c>
      <c r="I30" s="535">
        <f t="shared" si="4"/>
        <v>0</v>
      </c>
      <c r="J30" s="535">
        <f t="shared" si="4"/>
        <v>0</v>
      </c>
      <c r="K30" s="535">
        <f t="shared" si="4"/>
        <v>0</v>
      </c>
      <c r="L30" s="535">
        <f t="shared" si="4"/>
        <v>0</v>
      </c>
      <c r="M30" s="535">
        <f t="shared" si="4"/>
        <v>0</v>
      </c>
      <c r="N30" s="665">
        <f t="shared" si="4"/>
        <v>0</v>
      </c>
      <c r="O30" s="2122">
        <f>SUM(C30:N30)</f>
        <v>0</v>
      </c>
    </row>
    <row r="31" spans="1:15" ht="4.9000000000000004" customHeight="1" x14ac:dyDescent="0.25">
      <c r="A31" s="116"/>
      <c r="B31" s="144"/>
      <c r="C31" s="177"/>
      <c r="D31" s="180"/>
      <c r="E31" s="179"/>
      <c r="F31" s="177"/>
      <c r="G31" s="178"/>
      <c r="H31" s="180"/>
      <c r="I31" s="177"/>
      <c r="J31" s="177"/>
      <c r="K31" s="177"/>
      <c r="L31" s="177"/>
      <c r="M31" s="177"/>
      <c r="N31" s="178"/>
      <c r="O31" s="1472"/>
    </row>
    <row r="32" spans="1:15" ht="11.25" customHeight="1" x14ac:dyDescent="0.25">
      <c r="A32" s="96" t="s">
        <v>851</v>
      </c>
      <c r="B32" s="144">
        <v>2</v>
      </c>
      <c r="C32" s="177"/>
      <c r="D32" s="180"/>
      <c r="E32" s="179"/>
      <c r="F32" s="177"/>
      <c r="G32" s="178"/>
      <c r="H32" s="180"/>
      <c r="I32" s="177"/>
      <c r="J32" s="177"/>
      <c r="K32" s="177"/>
      <c r="L32" s="177"/>
      <c r="M32" s="177"/>
      <c r="N32" s="178"/>
      <c r="O32" s="1472"/>
    </row>
    <row r="33" spans="1:15" ht="11.25" customHeight="1" x14ac:dyDescent="0.25">
      <c r="A33" s="1917" t="s">
        <v>339</v>
      </c>
      <c r="B33" s="144"/>
      <c r="C33" s="712"/>
      <c r="D33" s="719"/>
      <c r="E33" s="718"/>
      <c r="F33" s="712"/>
      <c r="G33" s="717"/>
      <c r="H33" s="719"/>
      <c r="I33" s="712"/>
      <c r="J33" s="712"/>
      <c r="K33" s="712"/>
      <c r="L33" s="712"/>
      <c r="M33" s="712"/>
      <c r="N33" s="717"/>
      <c r="O33" s="1472">
        <f>SUM(C33:N33)</f>
        <v>0</v>
      </c>
    </row>
    <row r="34" spans="1:15" ht="11.25" customHeight="1" x14ac:dyDescent="0.25">
      <c r="A34" s="1917" t="s">
        <v>340</v>
      </c>
      <c r="B34" s="144"/>
      <c r="C34" s="712"/>
      <c r="D34" s="719"/>
      <c r="E34" s="718"/>
      <c r="F34" s="712"/>
      <c r="G34" s="717"/>
      <c r="H34" s="719"/>
      <c r="I34" s="712"/>
      <c r="J34" s="712"/>
      <c r="K34" s="712"/>
      <c r="L34" s="712"/>
      <c r="M34" s="712"/>
      <c r="N34" s="717"/>
      <c r="O34" s="1472">
        <f>SUM(C34:N34)</f>
        <v>0</v>
      </c>
    </row>
    <row r="35" spans="1:15" ht="11.25" customHeight="1" x14ac:dyDescent="0.25">
      <c r="A35" s="1917" t="s">
        <v>341</v>
      </c>
      <c r="B35" s="144"/>
      <c r="C35" s="712"/>
      <c r="D35" s="719"/>
      <c r="E35" s="718"/>
      <c r="F35" s="712"/>
      <c r="G35" s="717"/>
      <c r="H35" s="719"/>
      <c r="I35" s="712"/>
      <c r="J35" s="712"/>
      <c r="K35" s="712"/>
      <c r="L35" s="712"/>
      <c r="M35" s="712"/>
      <c r="N35" s="717"/>
      <c r="O35" s="1472">
        <f>SUM(C35:N35)</f>
        <v>0</v>
      </c>
    </row>
    <row r="36" spans="1:15" ht="11.25" customHeight="1" x14ac:dyDescent="0.25">
      <c r="A36" s="145" t="s">
        <v>853</v>
      </c>
      <c r="B36" s="144"/>
      <c r="C36" s="934">
        <f t="shared" ref="C36:N36" si="5">SUM(C33:C35)</f>
        <v>0</v>
      </c>
      <c r="D36" s="937">
        <f t="shared" si="5"/>
        <v>0</v>
      </c>
      <c r="E36" s="936">
        <f t="shared" si="5"/>
        <v>0</v>
      </c>
      <c r="F36" s="934">
        <f t="shared" si="5"/>
        <v>0</v>
      </c>
      <c r="G36" s="935">
        <f t="shared" si="5"/>
        <v>0</v>
      </c>
      <c r="H36" s="937">
        <f t="shared" si="5"/>
        <v>0</v>
      </c>
      <c r="I36" s="934">
        <f t="shared" si="5"/>
        <v>0</v>
      </c>
      <c r="J36" s="934">
        <f t="shared" si="5"/>
        <v>0</v>
      </c>
      <c r="K36" s="934">
        <f t="shared" si="5"/>
        <v>0</v>
      </c>
      <c r="L36" s="934">
        <f t="shared" si="5"/>
        <v>0</v>
      </c>
      <c r="M36" s="934">
        <f t="shared" si="5"/>
        <v>0</v>
      </c>
      <c r="N36" s="935">
        <f t="shared" si="5"/>
        <v>0</v>
      </c>
      <c r="O36" s="2122">
        <f>SUM(C36:N36)</f>
        <v>0</v>
      </c>
    </row>
    <row r="37" spans="1:15" ht="4.9000000000000004" customHeight="1" x14ac:dyDescent="0.25">
      <c r="A37" s="116"/>
      <c r="B37" s="144"/>
      <c r="C37" s="177"/>
      <c r="D37" s="180"/>
      <c r="E37" s="179"/>
      <c r="F37" s="177"/>
      <c r="G37" s="178"/>
      <c r="H37" s="180"/>
      <c r="I37" s="177"/>
      <c r="J37" s="177"/>
      <c r="K37" s="177"/>
      <c r="L37" s="177"/>
      <c r="M37" s="177"/>
      <c r="N37" s="178"/>
      <c r="O37" s="1923"/>
    </row>
    <row r="38" spans="1:15" ht="11.25" customHeight="1" x14ac:dyDescent="0.25">
      <c r="A38" s="96" t="s">
        <v>852</v>
      </c>
      <c r="B38" s="144">
        <v>2</v>
      </c>
      <c r="C38" s="545"/>
      <c r="D38" s="831"/>
      <c r="E38" s="743"/>
      <c r="F38" s="545"/>
      <c r="G38" s="742"/>
      <c r="H38" s="831"/>
      <c r="I38" s="545"/>
      <c r="J38" s="545"/>
      <c r="K38" s="545"/>
      <c r="L38" s="545"/>
      <c r="M38" s="545"/>
      <c r="N38" s="742"/>
      <c r="O38" s="1472"/>
    </row>
    <row r="39" spans="1:15" ht="11.25" customHeight="1" x14ac:dyDescent="0.25">
      <c r="A39" s="1917" t="s">
        <v>339</v>
      </c>
      <c r="B39" s="144"/>
      <c r="C39" s="712"/>
      <c r="D39" s="719"/>
      <c r="E39" s="718"/>
      <c r="F39" s="712"/>
      <c r="G39" s="717"/>
      <c r="H39" s="719"/>
      <c r="I39" s="712"/>
      <c r="J39" s="712"/>
      <c r="K39" s="712"/>
      <c r="L39" s="712"/>
      <c r="M39" s="712"/>
      <c r="N39" s="717"/>
      <c r="O39" s="1472">
        <f>SUM(C39:N39)</f>
        <v>0</v>
      </c>
    </row>
    <row r="40" spans="1:15" ht="11.25" customHeight="1" x14ac:dyDescent="0.25">
      <c r="A40" s="1917" t="s">
        <v>340</v>
      </c>
      <c r="B40" s="144"/>
      <c r="C40" s="712"/>
      <c r="D40" s="719"/>
      <c r="E40" s="718"/>
      <c r="F40" s="712"/>
      <c r="G40" s="717"/>
      <c r="H40" s="719"/>
      <c r="I40" s="712"/>
      <c r="J40" s="712"/>
      <c r="K40" s="712"/>
      <c r="L40" s="712"/>
      <c r="M40" s="712"/>
      <c r="N40" s="717"/>
      <c r="O40" s="1472">
        <f>SUM(C40:N40)</f>
        <v>0</v>
      </c>
    </row>
    <row r="41" spans="1:15" ht="11.25" customHeight="1" x14ac:dyDescent="0.25">
      <c r="A41" s="1917" t="s">
        <v>341</v>
      </c>
      <c r="B41" s="144"/>
      <c r="C41" s="712"/>
      <c r="D41" s="719"/>
      <c r="E41" s="718"/>
      <c r="F41" s="712"/>
      <c r="G41" s="717"/>
      <c r="H41" s="719"/>
      <c r="I41" s="712"/>
      <c r="J41" s="712"/>
      <c r="K41" s="712"/>
      <c r="L41" s="712"/>
      <c r="M41" s="712"/>
      <c r="N41" s="717"/>
      <c r="O41" s="1472">
        <f>SUM(C41:N41)</f>
        <v>0</v>
      </c>
    </row>
    <row r="42" spans="1:15" ht="11.25" customHeight="1" x14ac:dyDescent="0.25">
      <c r="A42" s="145" t="s">
        <v>1250</v>
      </c>
      <c r="B42" s="144"/>
      <c r="C42" s="934">
        <f t="shared" ref="C42:N42" si="6">SUM(C39:C41)</f>
        <v>0</v>
      </c>
      <c r="D42" s="937">
        <f t="shared" si="6"/>
        <v>0</v>
      </c>
      <c r="E42" s="936">
        <f t="shared" si="6"/>
        <v>0</v>
      </c>
      <c r="F42" s="934">
        <f t="shared" si="6"/>
        <v>0</v>
      </c>
      <c r="G42" s="935">
        <f t="shared" si="6"/>
        <v>0</v>
      </c>
      <c r="H42" s="937">
        <f t="shared" si="6"/>
        <v>0</v>
      </c>
      <c r="I42" s="934">
        <f t="shared" si="6"/>
        <v>0</v>
      </c>
      <c r="J42" s="934">
        <f t="shared" si="6"/>
        <v>0</v>
      </c>
      <c r="K42" s="934">
        <f t="shared" si="6"/>
        <v>0</v>
      </c>
      <c r="L42" s="934">
        <f t="shared" si="6"/>
        <v>0</v>
      </c>
      <c r="M42" s="934">
        <f t="shared" si="6"/>
        <v>0</v>
      </c>
      <c r="N42" s="935">
        <f t="shared" si="6"/>
        <v>0</v>
      </c>
      <c r="O42" s="2122">
        <f>SUM(C42:N42)</f>
        <v>0</v>
      </c>
    </row>
    <row r="43" spans="1:15" ht="4.9000000000000004" customHeight="1" x14ac:dyDescent="0.25">
      <c r="A43" s="116"/>
      <c r="B43" s="144"/>
      <c r="C43" s="177"/>
      <c r="D43" s="180"/>
      <c r="E43" s="179"/>
      <c r="F43" s="177"/>
      <c r="G43" s="178"/>
      <c r="H43" s="180"/>
      <c r="I43" s="177"/>
      <c r="J43" s="177"/>
      <c r="K43" s="177"/>
      <c r="L43" s="177"/>
      <c r="M43" s="177"/>
      <c r="N43" s="178"/>
      <c r="O43" s="1472"/>
    </row>
    <row r="44" spans="1:15" ht="11.25" customHeight="1" x14ac:dyDescent="0.25">
      <c r="A44" s="147" t="s">
        <v>17</v>
      </c>
      <c r="B44" s="148"/>
      <c r="C44" s="185">
        <f>C36+C42</f>
        <v>0</v>
      </c>
      <c r="D44" s="186">
        <f t="shared" ref="D44:O44" si="7">D36+D42</f>
        <v>0</v>
      </c>
      <c r="E44" s="184">
        <f t="shared" si="7"/>
        <v>0</v>
      </c>
      <c r="F44" s="185">
        <f t="shared" si="7"/>
        <v>0</v>
      </c>
      <c r="G44" s="183">
        <f t="shared" si="7"/>
        <v>0</v>
      </c>
      <c r="H44" s="186">
        <f t="shared" si="7"/>
        <v>0</v>
      </c>
      <c r="I44" s="185">
        <f t="shared" si="7"/>
        <v>0</v>
      </c>
      <c r="J44" s="185">
        <f t="shared" si="7"/>
        <v>0</v>
      </c>
      <c r="K44" s="185">
        <f t="shared" si="7"/>
        <v>0</v>
      </c>
      <c r="L44" s="185">
        <f t="shared" si="7"/>
        <v>0</v>
      </c>
      <c r="M44" s="185">
        <f t="shared" si="7"/>
        <v>0</v>
      </c>
      <c r="N44" s="183">
        <f t="shared" si="7"/>
        <v>0</v>
      </c>
      <c r="O44" s="2123">
        <f t="shared" si="7"/>
        <v>0</v>
      </c>
    </row>
    <row r="45" spans="1:15" x14ac:dyDescent="0.25">
      <c r="A45" s="217" t="str">
        <f>head27a</f>
        <v>References</v>
      </c>
      <c r="B45" s="189"/>
      <c r="C45" s="193"/>
      <c r="D45" s="193"/>
      <c r="E45" s="193"/>
      <c r="F45" s="193"/>
      <c r="G45" s="193"/>
      <c r="H45" s="193"/>
      <c r="I45" s="193"/>
      <c r="J45" s="193"/>
      <c r="K45" s="193"/>
      <c r="L45" s="193"/>
      <c r="M45" s="193"/>
      <c r="N45" s="193"/>
      <c r="O45" s="221"/>
    </row>
    <row r="46" spans="1:15" ht="11.25" customHeight="1" x14ac:dyDescent="0.25">
      <c r="A46" s="297" t="s">
        <v>18</v>
      </c>
      <c r="B46" s="189"/>
      <c r="C46" s="192"/>
      <c r="D46" s="193"/>
      <c r="E46" s="193"/>
      <c r="F46" s="193"/>
      <c r="G46" s="193"/>
    </row>
    <row r="47" spans="1:15" ht="11.25" customHeight="1" x14ac:dyDescent="0.25">
      <c r="A47" s="218" t="s">
        <v>1260</v>
      </c>
      <c r="B47" s="189"/>
      <c r="C47" s="192"/>
      <c r="D47" s="193"/>
      <c r="E47" s="193"/>
      <c r="F47" s="193"/>
      <c r="G47" s="193"/>
    </row>
    <row r="48" spans="1:15" ht="24.75" customHeight="1" x14ac:dyDescent="0.25">
      <c r="A48" s="2513" t="s">
        <v>587</v>
      </c>
      <c r="B48" s="2514"/>
      <c r="C48" s="2514"/>
      <c r="D48" s="2514"/>
      <c r="E48" s="2514"/>
      <c r="F48" s="2514"/>
      <c r="G48" s="2514"/>
      <c r="H48" s="2514"/>
      <c r="I48" s="2514"/>
      <c r="J48" s="2514"/>
      <c r="K48" s="2514"/>
      <c r="L48" s="2514"/>
      <c r="M48" s="2514"/>
      <c r="N48" s="2514"/>
    </row>
    <row r="49" ht="11.25" customHeight="1" x14ac:dyDescent="0.25"/>
    <row r="50" ht="11.25" customHeight="1" x14ac:dyDescent="0.25"/>
    <row r="51" ht="11.25" customHeight="1" x14ac:dyDescent="0.25"/>
    <row r="52" ht="11.25" customHeight="1" x14ac:dyDescent="0.25"/>
    <row r="53" ht="11.25" customHeight="1" x14ac:dyDescent="0.25"/>
    <row r="54" ht="11.25" customHeight="1" x14ac:dyDescent="0.25"/>
    <row r="55" ht="11.25" customHeight="1" x14ac:dyDescent="0.25"/>
    <row r="56" ht="11.25" customHeight="1" x14ac:dyDescent="0.25"/>
    <row r="57" ht="11.25" customHeight="1" x14ac:dyDescent="0.25"/>
    <row r="58" ht="11.25" customHeight="1" x14ac:dyDescent="0.25"/>
    <row r="59" ht="11.25" customHeight="1" x14ac:dyDescent="0.25"/>
    <row r="60" ht="11.25" customHeight="1" x14ac:dyDescent="0.25"/>
    <row r="61" ht="11.25" customHeight="1" x14ac:dyDescent="0.25"/>
    <row r="62" ht="11.25" customHeight="1" x14ac:dyDescent="0.25"/>
    <row r="63" ht="11.25" customHeight="1" x14ac:dyDescent="0.25"/>
    <row r="64" ht="11.25" customHeight="1" x14ac:dyDescent="0.25"/>
    <row r="65" ht="11.25" customHeight="1" x14ac:dyDescent="0.25"/>
    <row r="66" ht="11.25" customHeight="1" x14ac:dyDescent="0.25"/>
    <row r="67" ht="11.25" customHeight="1" x14ac:dyDescent="0.25"/>
    <row r="68" ht="11.25" customHeight="1" x14ac:dyDescent="0.25"/>
    <row r="69" ht="11.25" customHeight="1" x14ac:dyDescent="0.25"/>
    <row r="70" ht="11.25" customHeight="1" x14ac:dyDescent="0.25"/>
    <row r="71" ht="11.25" customHeight="1" x14ac:dyDescent="0.25"/>
    <row r="72" ht="11.25" customHeight="1" x14ac:dyDescent="0.25"/>
    <row r="73" ht="11.25" customHeight="1" x14ac:dyDescent="0.25"/>
    <row r="74" ht="11.25" customHeight="1" x14ac:dyDescent="0.25"/>
    <row r="75" ht="11.25" customHeight="1" x14ac:dyDescent="0.25"/>
    <row r="76" ht="11.25" customHeight="1" x14ac:dyDescent="0.25"/>
    <row r="77" ht="11.25" customHeight="1" x14ac:dyDescent="0.25"/>
    <row r="78" ht="11.25" customHeight="1" x14ac:dyDescent="0.25"/>
    <row r="79" ht="11.25" customHeight="1" x14ac:dyDescent="0.25"/>
    <row r="80" ht="11.25" customHeight="1" x14ac:dyDescent="0.25"/>
    <row r="81" ht="11.25" customHeight="1" x14ac:dyDescent="0.25"/>
    <row r="82" ht="11.25" customHeight="1" x14ac:dyDescent="0.25"/>
    <row r="83" ht="11.25" customHeight="1" x14ac:dyDescent="0.25"/>
  </sheetData>
  <sheetProtection sheet="1" objects="1" scenarios="1"/>
  <mergeCells count="2">
    <mergeCell ref="E2:G2"/>
    <mergeCell ref="A48:N48"/>
  </mergeCells>
  <phoneticPr fontId="7" type="noConversion"/>
  <printOptions horizontalCentered="1"/>
  <pageMargins left="0" right="0" top="0.78740157480314965" bottom="0.59055118110236227" header="0.51181102362204722" footer="0.39370078740157483"/>
  <pageSetup paperSize="9" scale="80" orientation="landscape" r:id="rId1"/>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Sheet55"/>
  <dimension ref="A1:AD173"/>
  <sheetViews>
    <sheetView showGridLines="0" zoomScaleNormal="100" workbookViewId="0">
      <pane xSplit="2" ySplit="3" topLeftCell="C127" activePane="bottomRight" state="frozen"/>
      <selection pane="topRight"/>
      <selection pane="bottomLeft"/>
      <selection pane="bottomRight" activeCell="M15" sqref="M15"/>
    </sheetView>
  </sheetViews>
  <sheetFormatPr defaultColWidth="9.140625" defaultRowHeight="12.75" x14ac:dyDescent="0.25"/>
  <cols>
    <col min="1" max="1" width="30.7109375" style="58" customWidth="1"/>
    <col min="2" max="2" width="3" style="55" customWidth="1"/>
    <col min="3" max="11" width="9.28515625" style="58" customWidth="1"/>
    <col min="12" max="12" width="9.7109375" style="58" customWidth="1"/>
    <col min="13" max="13" width="9.42578125" style="58" customWidth="1"/>
    <col min="14" max="14" width="9.7109375" style="58" customWidth="1"/>
    <col min="15" max="17" width="9.42578125" style="58" customWidth="1"/>
    <col min="18" max="18" width="9.7109375" style="58" customWidth="1"/>
    <col min="19" max="21" width="9.42578125" style="58" customWidth="1"/>
    <col min="22" max="23" width="9.7109375" style="58" customWidth="1"/>
    <col min="24" max="27" width="9.140625" style="58" customWidth="1"/>
    <col min="28" max="28" width="9.140625" style="2312"/>
    <col min="29" max="30" width="9.140625" style="2365"/>
    <col min="31" max="16384" width="9.140625" style="58"/>
  </cols>
  <sheetData>
    <row r="1" spans="1:30" ht="13.5" customHeight="1" x14ac:dyDescent="0.25">
      <c r="A1" s="92" t="str">
        <f>muni&amp;" - "&amp;TableA34a</f>
        <v>KZN226 Mkhambathini - Supporting Table SA34a Capital expenditure on new assets by asset class</v>
      </c>
      <c r="B1" s="92"/>
      <c r="C1" s="92"/>
      <c r="D1" s="92"/>
      <c r="E1" s="92"/>
      <c r="F1" s="92"/>
      <c r="G1" s="92"/>
      <c r="H1" s="92"/>
      <c r="I1" s="92"/>
      <c r="J1" s="92"/>
      <c r="K1" s="92"/>
    </row>
    <row r="2" spans="1:30" ht="28.5" customHeight="1" x14ac:dyDescent="0.25">
      <c r="A2" s="1829" t="str">
        <f>desc</f>
        <v>Description</v>
      </c>
      <c r="B2" s="155" t="str">
        <f>head27</f>
        <v>Ref</v>
      </c>
      <c r="C2" s="837" t="str">
        <f>head1b</f>
        <v>2017/18</v>
      </c>
      <c r="D2" s="561" t="str">
        <f>head1A</f>
        <v>2018/19</v>
      </c>
      <c r="E2" s="683" t="str">
        <f>Head1</f>
        <v>2019/20</v>
      </c>
      <c r="F2" s="2447" t="str">
        <f>Head2</f>
        <v>Current Year 2020/21</v>
      </c>
      <c r="G2" s="2448"/>
      <c r="H2" s="2449"/>
      <c r="I2" s="2450" t="str">
        <f>Head3</f>
        <v>2021/22 Medium Term Revenue &amp; Expenditure Framework</v>
      </c>
      <c r="J2" s="2451"/>
      <c r="K2" s="2452"/>
    </row>
    <row r="3" spans="1:30" ht="25.5" x14ac:dyDescent="0.25">
      <c r="A3" s="156" t="s">
        <v>568</v>
      </c>
      <c r="B3" s="690">
        <v>1</v>
      </c>
      <c r="C3" s="698" t="str">
        <f>Head5</f>
        <v>Audited Outcome</v>
      </c>
      <c r="D3" s="562" t="str">
        <f>Head5</f>
        <v>Audited Outcome</v>
      </c>
      <c r="E3" s="702" t="str">
        <f>Head5</f>
        <v>Audited Outcome</v>
      </c>
      <c r="F3" s="95" t="str">
        <f>Head6</f>
        <v>Original Budget</v>
      </c>
      <c r="G3" s="698" t="str">
        <f>Head7</f>
        <v>Adjusted Budget</v>
      </c>
      <c r="H3" s="94" t="str">
        <f>Head8</f>
        <v>Full Year Forecast</v>
      </c>
      <c r="I3" s="95" t="str">
        <f>Head9</f>
        <v>Budget Year 2021/22</v>
      </c>
      <c r="J3" s="698" t="str">
        <f>Head10</f>
        <v>Budget Year +1 2022/23</v>
      </c>
      <c r="K3" s="94" t="str">
        <f>Head11</f>
        <v>Budget Year +2 2023/24</v>
      </c>
    </row>
    <row r="4" spans="1:30" ht="11.25" customHeight="1" x14ac:dyDescent="0.25">
      <c r="A4" s="2022" t="s">
        <v>1070</v>
      </c>
      <c r="B4" s="205"/>
      <c r="C4" s="81"/>
      <c r="D4" s="81"/>
      <c r="E4" s="756"/>
      <c r="F4" s="757"/>
      <c r="G4" s="81"/>
      <c r="H4" s="758"/>
      <c r="I4" s="757"/>
      <c r="J4" s="81"/>
      <c r="K4" s="758"/>
      <c r="L4" s="322"/>
    </row>
    <row r="5" spans="1:30" ht="4.9000000000000004" customHeight="1" x14ac:dyDescent="0.25">
      <c r="A5" s="96"/>
      <c r="B5" s="144"/>
      <c r="C5" s="762"/>
      <c r="D5" s="762"/>
      <c r="E5" s="763"/>
      <c r="F5" s="764"/>
      <c r="G5" s="762"/>
      <c r="H5" s="765"/>
      <c r="I5" s="764"/>
      <c r="J5" s="762"/>
      <c r="K5" s="765"/>
      <c r="L5" s="322"/>
    </row>
    <row r="6" spans="1:30" ht="13.15" customHeight="1" x14ac:dyDescent="0.25">
      <c r="A6" s="96" t="s">
        <v>838</v>
      </c>
      <c r="B6" s="144"/>
      <c r="C6" s="98">
        <f>C7+C12+C16+C26+C37+C44+C52+C62+C68</f>
        <v>54238266</v>
      </c>
      <c r="D6" s="98">
        <f t="shared" ref="D6:K6" si="0">D7+D12+D16+D26+D37+D44+D52+D62+D68</f>
        <v>62146800</v>
      </c>
      <c r="E6" s="101">
        <f t="shared" si="0"/>
        <v>71583669</v>
      </c>
      <c r="F6" s="100">
        <f t="shared" si="0"/>
        <v>9467783</v>
      </c>
      <c r="G6" s="98">
        <f t="shared" si="0"/>
        <v>21910731</v>
      </c>
      <c r="H6" s="99">
        <f t="shared" si="0"/>
        <v>21910731</v>
      </c>
      <c r="I6" s="100">
        <f t="shared" si="0"/>
        <v>13790425</v>
      </c>
      <c r="J6" s="98">
        <f t="shared" si="0"/>
        <v>0</v>
      </c>
      <c r="K6" s="99">
        <f t="shared" si="0"/>
        <v>0</v>
      </c>
      <c r="L6" s="2124"/>
    </row>
    <row r="7" spans="1:30" s="377" customFormat="1" ht="13.15" customHeight="1" x14ac:dyDescent="0.25">
      <c r="A7" s="104" t="s">
        <v>2230</v>
      </c>
      <c r="B7" s="144"/>
      <c r="C7" s="82">
        <f t="shared" ref="C7:K7" si="1">SUM(C8:C11)</f>
        <v>54238266</v>
      </c>
      <c r="D7" s="82">
        <f t="shared" si="1"/>
        <v>62146800</v>
      </c>
      <c r="E7" s="304">
        <f t="shared" si="1"/>
        <v>71583669</v>
      </c>
      <c r="F7" s="83">
        <f t="shared" si="1"/>
        <v>9467783</v>
      </c>
      <c r="G7" s="82">
        <f t="shared" si="1"/>
        <v>21910731</v>
      </c>
      <c r="H7" s="115">
        <f t="shared" si="1"/>
        <v>21910731</v>
      </c>
      <c r="I7" s="83">
        <f t="shared" si="1"/>
        <v>13790425</v>
      </c>
      <c r="J7" s="82">
        <f t="shared" si="1"/>
        <v>0</v>
      </c>
      <c r="K7" s="115">
        <f t="shared" si="1"/>
        <v>0</v>
      </c>
      <c r="L7" s="322"/>
      <c r="AB7" s="2369"/>
      <c r="AC7" s="2365"/>
      <c r="AD7" s="2365"/>
    </row>
    <row r="8" spans="1:30" s="377" customFormat="1" ht="13.15" customHeight="1" x14ac:dyDescent="0.25">
      <c r="A8" s="2125" t="s">
        <v>629</v>
      </c>
      <c r="B8" s="144"/>
      <c r="C8" s="712">
        <f>SUMIFS(Sheet1!S71_PPPYearAmount,Sheet1!S71_SA34aCode,$AC:$AC,Sheet1!S71_A5CapexCode,$AD:$AD)</f>
        <v>54238266</v>
      </c>
      <c r="D8" s="712">
        <f>SUMIFS(Sheet1!S71_PPYearAmount,Sheet1!S71_SA34aCode,$AC:$AC,Sheet1!S71_A5CapexCode,$AD:$AD)</f>
        <v>62146800</v>
      </c>
      <c r="E8" s="715">
        <f>SUMIFS(Sheet1!S71_PYearAmount,Sheet1!S71_SA34aCode,$AC:$AC,Sheet1!S71_A5CapexCode,$AD:$AD)</f>
        <v>71583669</v>
      </c>
      <c r="F8" s="725">
        <f>SUMIFS(Sheet1!S71_OriginalBudAmnt,Sheet1!S71_SA34aCode,$AC:$AC,Sheet1!S71_A5CapexCode,$AD:$AD)</f>
        <v>9467783</v>
      </c>
      <c r="G8" s="712">
        <f>SUMIFS(Sheet1!S71_AdjustmentBudAmnt,Sheet1!S71_SA34aCode,$AC:$AC,Sheet1!S71_A5CapexCode,$AD:$AD)</f>
        <v>21910731</v>
      </c>
      <c r="H8" s="713">
        <f>SUMIFS(Sheet1!S71_AdjustmentBudAmnt,Sheet1!S71_SA34aCode,$AC:$AC,Sheet1!S71_A5CapexCode,$AD:$AD)</f>
        <v>21910731</v>
      </c>
      <c r="I8" s="725">
        <f>SUMIFS(Sheet1!S71_ASBudgetAmount,Sheet1!S71_SA34aCode,$AC:$AC,Sheet1!S71_A5CapexCode,$AD:$AD)</f>
        <v>8000000</v>
      </c>
      <c r="J8" s="712">
        <f>SUMIFS(Sheet1!S71_OY1BudgetAmount,Sheet1!S71_SA34aCode,$AC:$AC,Sheet1!S71_A5CapexCode,$AD:$AD)</f>
        <v>0</v>
      </c>
      <c r="K8" s="713">
        <f>SUMIFS(Sheet1!S71_OY2BudgetAmount,Sheet1!S71_SA34aCode,$AC:$AC,Sheet1!S71_A5CapexCode,$AD:$AD)</f>
        <v>0</v>
      </c>
      <c r="L8" s="2124"/>
      <c r="AB8" s="2369"/>
      <c r="AC8" s="2365" t="s">
        <v>2773</v>
      </c>
      <c r="AD8" s="2365" t="s">
        <v>2805</v>
      </c>
    </row>
    <row r="9" spans="1:30" s="377" customFormat="1" ht="13.15" customHeight="1" x14ac:dyDescent="0.25">
      <c r="A9" s="2125" t="s">
        <v>2231</v>
      </c>
      <c r="B9" s="144"/>
      <c r="C9" s="712">
        <f>SUMIFS(Sheet1!S71_PPPYearAmount,Sheet1!S71_SA34aCode,$AC:$AC,Sheet1!S71_A5CapexCode,$AD:$AD)</f>
        <v>0</v>
      </c>
      <c r="D9" s="712">
        <f>SUMIFS(Sheet1!S71_PPYearAmount,Sheet1!S71_SA34aCode,$AC:$AC,Sheet1!S71_A5CapexCode,$AD:$AD)</f>
        <v>0</v>
      </c>
      <c r="E9" s="715">
        <f>SUMIFS(Sheet1!S71_PYearAmount,Sheet1!S71_SA34aCode,$AC:$AC,Sheet1!S71_A5CapexCode,$AD:$AD)</f>
        <v>0</v>
      </c>
      <c r="F9" s="725">
        <f>SUMIFS(Sheet1!S71_OriginalBudAmnt,Sheet1!S71_SA34aCode,$AC:$AC,Sheet1!S71_A5CapexCode,$AD:$AD)</f>
        <v>0</v>
      </c>
      <c r="G9" s="712">
        <f>SUMIFS(Sheet1!S71_AdjustmentBudAmnt,Sheet1!S71_SA34aCode,$AC:$AC,Sheet1!S71_A5CapexCode,$AD:$AD)</f>
        <v>0</v>
      </c>
      <c r="H9" s="713">
        <f>SUMIFS(Sheet1!S71_AdjustmentBudAmnt,Sheet1!S71_SA34aCode,$AC:$AC,Sheet1!S71_A5CapexCode,$AD:$AD)</f>
        <v>0</v>
      </c>
      <c r="I9" s="725">
        <f>SUMIFS(Sheet1!S71_ASBudgetAmount,Sheet1!S71_SA34aCode,$AC:$AC,Sheet1!S71_A5CapexCode,$AD:$AD)</f>
        <v>0</v>
      </c>
      <c r="J9" s="712">
        <f>SUMIFS(Sheet1!S71_OY1BudgetAmount,Sheet1!S71_SA34aCode,$AC:$AC,Sheet1!S71_A5CapexCode,$AD:$AD)</f>
        <v>0</v>
      </c>
      <c r="K9" s="713">
        <f>SUMIFS(Sheet1!S71_OY2BudgetAmount,Sheet1!S71_SA34aCode,$AC:$AC,Sheet1!S71_A5CapexCode,$AD:$AD)</f>
        <v>0</v>
      </c>
      <c r="L9" s="2126"/>
      <c r="AB9" s="2369"/>
      <c r="AC9" s="2365" t="s">
        <v>2774</v>
      </c>
      <c r="AD9" s="2365" t="s">
        <v>2805</v>
      </c>
    </row>
    <row r="10" spans="1:30" s="377" customFormat="1" ht="13.15" customHeight="1" x14ac:dyDescent="0.25">
      <c r="A10" s="2125" t="s">
        <v>2232</v>
      </c>
      <c r="B10" s="144"/>
      <c r="C10" s="712">
        <f>SUMIFS(Sheet1!S71_PPPYearAmount,Sheet1!S71_SA34aCode,$AC:$AC,Sheet1!S71_A5CapexCode,$AD:$AD)</f>
        <v>0</v>
      </c>
      <c r="D10" s="712">
        <f>SUMIFS(Sheet1!S71_PPYearAmount,Sheet1!S71_SA34aCode,$AC:$AC,Sheet1!S71_A5CapexCode,$AD:$AD)</f>
        <v>0</v>
      </c>
      <c r="E10" s="715">
        <f>SUMIFS(Sheet1!S71_PYearAmount,Sheet1!S71_SA34aCode,$AC:$AC,Sheet1!S71_A5CapexCode,$AD:$AD)</f>
        <v>0</v>
      </c>
      <c r="F10" s="725">
        <f>SUMIFS(Sheet1!S71_OriginalBudAmnt,Sheet1!S71_SA34aCode,$AC:$AC,Sheet1!S71_A5CapexCode,$AD:$AD)</f>
        <v>0</v>
      </c>
      <c r="G10" s="712">
        <f>SUMIFS(Sheet1!S71_AdjustmentBudAmnt,Sheet1!S71_SA34aCode,$AC:$AC,Sheet1!S71_A5CapexCode,$AD:$AD)</f>
        <v>0</v>
      </c>
      <c r="H10" s="713">
        <f>SUMIFS(Sheet1!S71_AdjustmentBudAmnt,Sheet1!S71_SA34aCode,$AC:$AC,Sheet1!S71_A5CapexCode,$AD:$AD)</f>
        <v>0</v>
      </c>
      <c r="I10" s="725">
        <f>SUMIFS(Sheet1!S71_ASBudgetAmount,Sheet1!S71_SA34aCode,$AC:$AC,Sheet1!S71_A5CapexCode,$AD:$AD)</f>
        <v>5790425</v>
      </c>
      <c r="J10" s="712">
        <f>SUMIFS(Sheet1!S71_OY1BudgetAmount,Sheet1!S71_SA34aCode,$AC:$AC,Sheet1!S71_A5CapexCode,$AD:$AD)</f>
        <v>0</v>
      </c>
      <c r="K10" s="713">
        <f>SUMIFS(Sheet1!S71_OY2BudgetAmount,Sheet1!S71_SA34aCode,$AC:$AC,Sheet1!S71_A5CapexCode,$AD:$AD)</f>
        <v>0</v>
      </c>
      <c r="L10" s="2126"/>
      <c r="AB10" s="2369"/>
      <c r="AC10" s="2365" t="s">
        <v>2775</v>
      </c>
      <c r="AD10" s="2365" t="s">
        <v>2805</v>
      </c>
    </row>
    <row r="11" spans="1:30" s="377" customFormat="1" ht="13.15" customHeight="1" x14ac:dyDescent="0.25">
      <c r="A11" s="2125" t="s">
        <v>2233</v>
      </c>
      <c r="B11" s="144"/>
      <c r="C11" s="712">
        <f>SUMIFS(Sheet1!S71_PPPYearAmount,Sheet1!S71_SA34aCode,$AC:$AC,Sheet1!S71_A5CapexCode,$AD:$AD)</f>
        <v>0</v>
      </c>
      <c r="D11" s="712">
        <f>SUMIFS(Sheet1!S71_PPYearAmount,Sheet1!S71_SA34aCode,$AC:$AC,Sheet1!S71_A5CapexCode,$AD:$AD)</f>
        <v>0</v>
      </c>
      <c r="E11" s="715">
        <f>SUMIFS(Sheet1!S71_PYearAmount,Sheet1!S71_SA34aCode,$AC:$AC,Sheet1!S71_A5CapexCode,$AD:$AD)</f>
        <v>0</v>
      </c>
      <c r="F11" s="725">
        <f>SUMIFS(Sheet1!S71_OriginalBudAmnt,Sheet1!S71_SA34aCode,$AC:$AC,Sheet1!S71_A5CapexCode,$AD:$AD)</f>
        <v>0</v>
      </c>
      <c r="G11" s="712">
        <f>SUMIFS(Sheet1!S71_AdjustmentBudAmnt,Sheet1!S71_SA34aCode,$AC:$AC,Sheet1!S71_A5CapexCode,$AD:$AD)</f>
        <v>0</v>
      </c>
      <c r="H11" s="713">
        <f>SUMIFS(Sheet1!S71_AdjustmentBudAmnt,Sheet1!S71_SA34aCode,$AC:$AC,Sheet1!S71_A5CapexCode,$AD:$AD)</f>
        <v>0</v>
      </c>
      <c r="I11" s="725">
        <f>SUMIFS(Sheet1!S71_ASBudgetAmount,Sheet1!S71_SA34aCode,$AC:$AC,Sheet1!S71_A5CapexCode,$AD:$AD)</f>
        <v>0</v>
      </c>
      <c r="J11" s="712">
        <f>SUMIFS(Sheet1!S71_OY1BudgetAmount,Sheet1!S71_SA34aCode,$AC:$AC,Sheet1!S71_A5CapexCode,$AD:$AD)</f>
        <v>0</v>
      </c>
      <c r="K11" s="713">
        <f>SUMIFS(Sheet1!S71_OY2BudgetAmount,Sheet1!S71_SA34aCode,$AC:$AC,Sheet1!S71_A5CapexCode,$AD:$AD)</f>
        <v>0</v>
      </c>
      <c r="L11" s="2126"/>
      <c r="AB11" s="2369"/>
      <c r="AC11" s="2365" t="s">
        <v>2776</v>
      </c>
      <c r="AD11" s="2365" t="s">
        <v>2805</v>
      </c>
    </row>
    <row r="12" spans="1:30" s="377" customFormat="1" ht="13.15" customHeight="1" x14ac:dyDescent="0.25">
      <c r="A12" s="104" t="s">
        <v>2234</v>
      </c>
      <c r="B12" s="144"/>
      <c r="C12" s="71">
        <f>SUM(C13:C15)</f>
        <v>0</v>
      </c>
      <c r="D12" s="71">
        <f t="shared" ref="D12:K12" si="2">SUM(D13:D15)</f>
        <v>0</v>
      </c>
      <c r="E12" s="305">
        <f t="shared" si="2"/>
        <v>0</v>
      </c>
      <c r="F12" s="75">
        <f t="shared" si="2"/>
        <v>0</v>
      </c>
      <c r="G12" s="71">
        <f t="shared" si="2"/>
        <v>0</v>
      </c>
      <c r="H12" s="117">
        <f t="shared" si="2"/>
        <v>0</v>
      </c>
      <c r="I12" s="75">
        <f t="shared" si="2"/>
        <v>0</v>
      </c>
      <c r="J12" s="71">
        <f t="shared" si="2"/>
        <v>0</v>
      </c>
      <c r="K12" s="117">
        <f t="shared" si="2"/>
        <v>0</v>
      </c>
      <c r="L12" s="2126"/>
      <c r="AB12" s="2369"/>
      <c r="AC12" s="2365"/>
      <c r="AD12" s="2365" t="s">
        <v>2805</v>
      </c>
    </row>
    <row r="13" spans="1:30" s="377" customFormat="1" ht="13.15" customHeight="1" x14ac:dyDescent="0.25">
      <c r="A13" s="2125" t="s">
        <v>2235</v>
      </c>
      <c r="B13" s="144"/>
      <c r="C13" s="712">
        <f>SUMIFS(Sheet1!S71_PPPYearAmount,Sheet1!S71_SA34aCode,$AC:$AC,Sheet1!S71_A5CapexCode,$AD:$AD)</f>
        <v>0</v>
      </c>
      <c r="D13" s="712">
        <f>SUMIFS(Sheet1!S71_PPYearAmount,Sheet1!S71_SA34aCode,$AC:$AC,Sheet1!S71_A5CapexCode,$AD:$AD)</f>
        <v>0</v>
      </c>
      <c r="E13" s="715">
        <f>SUMIFS(Sheet1!S71_PYearAmount,Sheet1!S71_SA34aCode,$AC:$AC,Sheet1!S71_A5CapexCode,$AD:$AD)</f>
        <v>0</v>
      </c>
      <c r="F13" s="725">
        <f>SUMIFS(Sheet1!S71_OriginalBudAmnt,Sheet1!S71_SA34aCode,$AC:$AC,Sheet1!S71_A5CapexCode,$AD:$AD)</f>
        <v>0</v>
      </c>
      <c r="G13" s="712">
        <f>SUMIFS(Sheet1!S71_AdjustmentBudAmnt,Sheet1!S71_SA34aCode,$AC:$AC,Sheet1!S71_A5CapexCode,$AD:$AD)</f>
        <v>0</v>
      </c>
      <c r="H13" s="713">
        <f>SUMIFS(Sheet1!S71_AdjustmentBudAmnt,Sheet1!S71_SA34aCode,$AC:$AC,Sheet1!S71_A5CapexCode,$AD:$AD)</f>
        <v>0</v>
      </c>
      <c r="I13" s="725">
        <f>SUMIFS(Sheet1!S71_ASBudgetAmount,Sheet1!S71_SA34aCode,$AC:$AC,Sheet1!S71_A5CapexCode,$AD:$AD)</f>
        <v>0</v>
      </c>
      <c r="J13" s="712">
        <f>SUMIFS(Sheet1!S71_OY1BudgetAmount,Sheet1!S71_SA34aCode,$AC:$AC,Sheet1!S71_A5CapexCode,$AD:$AD)</f>
        <v>0</v>
      </c>
      <c r="K13" s="713">
        <f>SUMIFS(Sheet1!S71_OY2BudgetAmount,Sheet1!S71_SA34aCode,$AC:$AC,Sheet1!S71_A5CapexCode,$AD:$AD)</f>
        <v>0</v>
      </c>
      <c r="L13" s="2126"/>
      <c r="AB13" s="2369"/>
      <c r="AC13" s="2365" t="s">
        <v>2778</v>
      </c>
      <c r="AD13" s="2365" t="s">
        <v>2805</v>
      </c>
    </row>
    <row r="14" spans="1:30" s="377" customFormat="1" ht="13.15" customHeight="1" x14ac:dyDescent="0.25">
      <c r="A14" s="2125" t="s">
        <v>2236</v>
      </c>
      <c r="B14" s="144"/>
      <c r="C14" s="712">
        <f>SUMIFS(Sheet1!S71_PPPYearAmount,Sheet1!S71_SA34aCode,$AC:$AC,Sheet1!S71_A5CapexCode,$AD:$AD)</f>
        <v>0</v>
      </c>
      <c r="D14" s="712">
        <f>SUMIFS(Sheet1!S71_PPYearAmount,Sheet1!S71_SA34aCode,$AC:$AC,Sheet1!S71_A5CapexCode,$AD:$AD)</f>
        <v>0</v>
      </c>
      <c r="E14" s="715">
        <f>SUMIFS(Sheet1!S71_PYearAmount,Sheet1!S71_SA34aCode,$AC:$AC,Sheet1!S71_A5CapexCode,$AD:$AD)</f>
        <v>0</v>
      </c>
      <c r="F14" s="725">
        <f>SUMIFS(Sheet1!S71_OriginalBudAmnt,Sheet1!S71_SA34aCode,$AC:$AC,Sheet1!S71_A5CapexCode,$AD:$AD)</f>
        <v>0</v>
      </c>
      <c r="G14" s="712">
        <f>SUMIFS(Sheet1!S71_AdjustmentBudAmnt,Sheet1!S71_SA34aCode,$AC:$AC,Sheet1!S71_A5CapexCode,$AD:$AD)</f>
        <v>0</v>
      </c>
      <c r="H14" s="713">
        <f>SUMIFS(Sheet1!S71_AdjustmentBudAmnt,Sheet1!S71_SA34aCode,$AC:$AC,Sheet1!S71_A5CapexCode,$AD:$AD)</f>
        <v>0</v>
      </c>
      <c r="I14" s="725">
        <f>SUMIFS(Sheet1!S71_ASBudgetAmount,Sheet1!S71_SA34aCode,$AC:$AC,Sheet1!S71_A5CapexCode,$AD:$AD)</f>
        <v>0</v>
      </c>
      <c r="J14" s="712">
        <f>SUMIFS(Sheet1!S71_OY1BudgetAmount,Sheet1!S71_SA34aCode,$AC:$AC,Sheet1!S71_A5CapexCode,$AD:$AD)</f>
        <v>0</v>
      </c>
      <c r="K14" s="713">
        <f>SUMIFS(Sheet1!S71_OY2BudgetAmount,Sheet1!S71_SA34aCode,$AC:$AC,Sheet1!S71_A5CapexCode,$AD:$AD)</f>
        <v>0</v>
      </c>
      <c r="L14" s="2126"/>
      <c r="AB14" s="2369"/>
      <c r="AC14" s="2365" t="s">
        <v>2830</v>
      </c>
      <c r="AD14" s="2365" t="s">
        <v>2805</v>
      </c>
    </row>
    <row r="15" spans="1:30" s="377" customFormat="1" ht="13.15" customHeight="1" x14ac:dyDescent="0.25">
      <c r="A15" s="2125" t="s">
        <v>2237</v>
      </c>
      <c r="B15" s="144"/>
      <c r="C15" s="712">
        <f>SUMIFS(Sheet1!S71_PPPYearAmount,Sheet1!S71_SA34aCode,$AC:$AC,Sheet1!S71_A5CapexCode,$AD:$AD)</f>
        <v>0</v>
      </c>
      <c r="D15" s="712">
        <f>SUMIFS(Sheet1!S71_PPYearAmount,Sheet1!S71_SA34aCode,$AC:$AC,Sheet1!S71_A5CapexCode,$AD:$AD)</f>
        <v>0</v>
      </c>
      <c r="E15" s="715">
        <f>SUMIFS(Sheet1!S71_PYearAmount,Sheet1!S71_SA34aCode,$AC:$AC,Sheet1!S71_A5CapexCode,$AD:$AD)</f>
        <v>0</v>
      </c>
      <c r="F15" s="725">
        <f>SUMIFS(Sheet1!S71_OriginalBudAmnt,Sheet1!S71_SA34aCode,$AC:$AC,Sheet1!S71_A5CapexCode,$AD:$AD)</f>
        <v>0</v>
      </c>
      <c r="G15" s="712">
        <f>SUMIFS(Sheet1!S71_AdjustmentBudAmnt,Sheet1!S71_SA34aCode,$AC:$AC,Sheet1!S71_A5CapexCode,$AD:$AD)</f>
        <v>0</v>
      </c>
      <c r="H15" s="713">
        <f>SUMIFS(Sheet1!S71_AdjustmentBudAmnt,Sheet1!S71_SA34aCode,$AC:$AC,Sheet1!S71_A5CapexCode,$AD:$AD)</f>
        <v>0</v>
      </c>
      <c r="I15" s="725">
        <f>SUMIFS(Sheet1!S71_ASBudgetAmount,Sheet1!S71_SA34aCode,$AC:$AC,Sheet1!S71_A5CapexCode,$AD:$AD)</f>
        <v>0</v>
      </c>
      <c r="J15" s="712">
        <f>SUMIFS(Sheet1!S71_OY1BudgetAmount,Sheet1!S71_SA34aCode,$AC:$AC,Sheet1!S71_A5CapexCode,$AD:$AD)</f>
        <v>0</v>
      </c>
      <c r="K15" s="713">
        <f>SUMIFS(Sheet1!S71_OY2BudgetAmount,Sheet1!S71_SA34aCode,$AC:$AC,Sheet1!S71_A5CapexCode,$AD:$AD)</f>
        <v>0</v>
      </c>
      <c r="L15" s="2126"/>
      <c r="AB15" s="2369"/>
      <c r="AC15" s="2365" t="s">
        <v>2831</v>
      </c>
      <c r="AD15" s="2365" t="s">
        <v>2805</v>
      </c>
    </row>
    <row r="16" spans="1:30" s="377" customFormat="1" ht="13.15" customHeight="1" x14ac:dyDescent="0.25">
      <c r="A16" s="104" t="s">
        <v>2279</v>
      </c>
      <c r="B16" s="144"/>
      <c r="C16" s="71">
        <f t="shared" ref="C16:K16" si="3">SUM(C17:C25)</f>
        <v>0</v>
      </c>
      <c r="D16" s="71">
        <f t="shared" si="3"/>
        <v>0</v>
      </c>
      <c r="E16" s="305">
        <f t="shared" si="3"/>
        <v>0</v>
      </c>
      <c r="F16" s="75">
        <f t="shared" si="3"/>
        <v>0</v>
      </c>
      <c r="G16" s="71">
        <f t="shared" si="3"/>
        <v>0</v>
      </c>
      <c r="H16" s="117">
        <f t="shared" si="3"/>
        <v>0</v>
      </c>
      <c r="I16" s="75">
        <f t="shared" si="3"/>
        <v>0</v>
      </c>
      <c r="J16" s="71">
        <f t="shared" si="3"/>
        <v>0</v>
      </c>
      <c r="K16" s="117">
        <f t="shared" si="3"/>
        <v>0</v>
      </c>
      <c r="L16" s="2126"/>
      <c r="AB16" s="2369"/>
      <c r="AC16" s="2365"/>
      <c r="AD16" s="2365" t="s">
        <v>2805</v>
      </c>
    </row>
    <row r="17" spans="1:30" s="377" customFormat="1" ht="13.15" customHeight="1" x14ac:dyDescent="0.25">
      <c r="A17" s="2125" t="s">
        <v>2238</v>
      </c>
      <c r="B17" s="144"/>
      <c r="C17" s="712">
        <f>SUMIFS(Sheet1!S71_PPPYearAmount,Sheet1!S71_SA34aCode,$AC:$AC,Sheet1!S71_A5CapexCode,$AD:$AD)</f>
        <v>0</v>
      </c>
      <c r="D17" s="712">
        <f>SUMIFS(Sheet1!S71_PPYearAmount,Sheet1!S71_SA34aCode,$AC:$AC,Sheet1!S71_A5CapexCode,$AD:$AD)</f>
        <v>0</v>
      </c>
      <c r="E17" s="715">
        <f>SUMIFS(Sheet1!S71_PYearAmount,Sheet1!S71_SA34aCode,$AC:$AC,Sheet1!S71_A5CapexCode,$AD:$AD)</f>
        <v>0</v>
      </c>
      <c r="F17" s="725">
        <f>SUMIFS(Sheet1!S71_OriginalBudAmnt,Sheet1!S71_SA34aCode,$AC:$AC,Sheet1!S71_A5CapexCode,$AD:$AD)</f>
        <v>0</v>
      </c>
      <c r="G17" s="712">
        <f>SUMIFS(Sheet1!S71_AdjustmentBudAmnt,Sheet1!S71_SA34aCode,$AC:$AC,Sheet1!S71_A5CapexCode,$AD:$AD)</f>
        <v>0</v>
      </c>
      <c r="H17" s="713">
        <f>SUMIFS(Sheet1!S71_AdjustmentBudAmnt,Sheet1!S71_SA34aCode,$AC:$AC,Sheet1!S71_A5CapexCode,$AD:$AD)</f>
        <v>0</v>
      </c>
      <c r="I17" s="725">
        <f>SUMIFS(Sheet1!S71_ASBudgetAmount,Sheet1!S71_SA34aCode,$AC:$AC,Sheet1!S71_A5CapexCode,$AD:$AD)</f>
        <v>0</v>
      </c>
      <c r="J17" s="712">
        <f>SUMIFS(Sheet1!S71_OY1BudgetAmount,Sheet1!S71_SA34aCode,$AC:$AC,Sheet1!S71_A5CapexCode,$AD:$AD)</f>
        <v>0</v>
      </c>
      <c r="K17" s="713">
        <f>SUMIFS(Sheet1!S71_OY2BudgetAmount,Sheet1!S71_SA34aCode,$AC:$AC,Sheet1!S71_A5CapexCode,$AD:$AD)</f>
        <v>0</v>
      </c>
      <c r="L17" s="2126"/>
      <c r="AB17" s="2369"/>
      <c r="AC17" s="2365" t="s">
        <v>2767</v>
      </c>
      <c r="AD17" s="2365" t="s">
        <v>2805</v>
      </c>
    </row>
    <row r="18" spans="1:30" s="377" customFormat="1" ht="13.15" customHeight="1" x14ac:dyDescent="0.25">
      <c r="A18" s="2125" t="s">
        <v>2239</v>
      </c>
      <c r="B18" s="144"/>
      <c r="C18" s="712">
        <f>SUMIFS(Sheet1!S71_PPPYearAmount,Sheet1!S71_SA34aCode,$AC:$AC,Sheet1!S71_A5CapexCode,$AD:$AD)</f>
        <v>0</v>
      </c>
      <c r="D18" s="712">
        <f>SUMIFS(Sheet1!S71_PPYearAmount,Sheet1!S71_SA34aCode,$AC:$AC,Sheet1!S71_A5CapexCode,$AD:$AD)</f>
        <v>0</v>
      </c>
      <c r="E18" s="715">
        <f>SUMIFS(Sheet1!S71_PYearAmount,Sheet1!S71_SA34aCode,$AC:$AC,Sheet1!S71_A5CapexCode,$AD:$AD)</f>
        <v>0</v>
      </c>
      <c r="F18" s="725">
        <f>SUMIFS(Sheet1!S71_OriginalBudAmnt,Sheet1!S71_SA34aCode,$AC:$AC,Sheet1!S71_A5CapexCode,$AD:$AD)</f>
        <v>0</v>
      </c>
      <c r="G18" s="712">
        <f>SUMIFS(Sheet1!S71_AdjustmentBudAmnt,Sheet1!S71_SA34aCode,$AC:$AC,Sheet1!S71_A5CapexCode,$AD:$AD)</f>
        <v>0</v>
      </c>
      <c r="H18" s="713">
        <f>SUMIFS(Sheet1!S71_AdjustmentBudAmnt,Sheet1!S71_SA34aCode,$AC:$AC,Sheet1!S71_A5CapexCode,$AD:$AD)</f>
        <v>0</v>
      </c>
      <c r="I18" s="725">
        <f>SUMIFS(Sheet1!S71_ASBudgetAmount,Sheet1!S71_SA34aCode,$AC:$AC,Sheet1!S71_A5CapexCode,$AD:$AD)</f>
        <v>0</v>
      </c>
      <c r="J18" s="712">
        <f>SUMIFS(Sheet1!S71_OY1BudgetAmount,Sheet1!S71_SA34aCode,$AC:$AC,Sheet1!S71_A5CapexCode,$AD:$AD)</f>
        <v>0</v>
      </c>
      <c r="K18" s="713">
        <f>SUMIFS(Sheet1!S71_OY2BudgetAmount,Sheet1!S71_SA34aCode,$AC:$AC,Sheet1!S71_A5CapexCode,$AD:$AD)</f>
        <v>0</v>
      </c>
      <c r="L18" s="2126"/>
      <c r="AB18" s="2369"/>
      <c r="AC18" s="2365" t="s">
        <v>2768</v>
      </c>
      <c r="AD18" s="2365" t="s">
        <v>2805</v>
      </c>
    </row>
    <row r="19" spans="1:30" s="377" customFormat="1" ht="13.15" customHeight="1" x14ac:dyDescent="0.25">
      <c r="A19" s="2125" t="s">
        <v>2240</v>
      </c>
      <c r="B19" s="144"/>
      <c r="C19" s="712">
        <f>SUMIFS(Sheet1!S71_PPPYearAmount,Sheet1!S71_SA34aCode,$AC:$AC,Sheet1!S71_A5CapexCode,$AD:$AD)</f>
        <v>0</v>
      </c>
      <c r="D19" s="712">
        <f>SUMIFS(Sheet1!S71_PPYearAmount,Sheet1!S71_SA34aCode,$AC:$AC,Sheet1!S71_A5CapexCode,$AD:$AD)</f>
        <v>0</v>
      </c>
      <c r="E19" s="715">
        <f>SUMIFS(Sheet1!S71_PYearAmount,Sheet1!S71_SA34aCode,$AC:$AC,Sheet1!S71_A5CapexCode,$AD:$AD)</f>
        <v>0</v>
      </c>
      <c r="F19" s="725">
        <f>SUMIFS(Sheet1!S71_OriginalBudAmnt,Sheet1!S71_SA34aCode,$AC:$AC,Sheet1!S71_A5CapexCode,$AD:$AD)</f>
        <v>0</v>
      </c>
      <c r="G19" s="712">
        <f>SUMIFS(Sheet1!S71_AdjustmentBudAmnt,Sheet1!S71_SA34aCode,$AC:$AC,Sheet1!S71_A5CapexCode,$AD:$AD)</f>
        <v>0</v>
      </c>
      <c r="H19" s="713">
        <f>SUMIFS(Sheet1!S71_AdjustmentBudAmnt,Sheet1!S71_SA34aCode,$AC:$AC,Sheet1!S71_A5CapexCode,$AD:$AD)</f>
        <v>0</v>
      </c>
      <c r="I19" s="725">
        <f>SUMIFS(Sheet1!S71_ASBudgetAmount,Sheet1!S71_SA34aCode,$AC:$AC,Sheet1!S71_A5CapexCode,$AD:$AD)</f>
        <v>0</v>
      </c>
      <c r="J19" s="712">
        <f>SUMIFS(Sheet1!S71_OY1BudgetAmount,Sheet1!S71_SA34aCode,$AC:$AC,Sheet1!S71_A5CapexCode,$AD:$AD)</f>
        <v>0</v>
      </c>
      <c r="K19" s="713">
        <f>SUMIFS(Sheet1!S71_OY2BudgetAmount,Sheet1!S71_SA34aCode,$AC:$AC,Sheet1!S71_A5CapexCode,$AD:$AD)</f>
        <v>0</v>
      </c>
      <c r="L19" s="2126"/>
      <c r="AB19" s="2369"/>
      <c r="AC19" s="2365" t="s">
        <v>2779</v>
      </c>
      <c r="AD19" s="2365" t="s">
        <v>2805</v>
      </c>
    </row>
    <row r="20" spans="1:30" s="377" customFormat="1" ht="13.15" customHeight="1" x14ac:dyDescent="0.25">
      <c r="A20" s="2125" t="s">
        <v>2241</v>
      </c>
      <c r="B20" s="144"/>
      <c r="C20" s="712">
        <f>SUMIFS(Sheet1!S71_PPPYearAmount,Sheet1!S71_SA34aCode,$AC:$AC,Sheet1!S71_A5CapexCode,$AD:$AD)</f>
        <v>0</v>
      </c>
      <c r="D20" s="712">
        <f>SUMIFS(Sheet1!S71_PPYearAmount,Sheet1!S71_SA34aCode,$AC:$AC,Sheet1!S71_A5CapexCode,$AD:$AD)</f>
        <v>0</v>
      </c>
      <c r="E20" s="715">
        <f>SUMIFS(Sheet1!S71_PYearAmount,Sheet1!S71_SA34aCode,$AC:$AC,Sheet1!S71_A5CapexCode,$AD:$AD)</f>
        <v>0</v>
      </c>
      <c r="F20" s="725">
        <f>SUMIFS(Sheet1!S71_OriginalBudAmnt,Sheet1!S71_SA34aCode,$AC:$AC,Sheet1!S71_A5CapexCode,$AD:$AD)</f>
        <v>0</v>
      </c>
      <c r="G20" s="712">
        <f>SUMIFS(Sheet1!S71_AdjustmentBudAmnt,Sheet1!S71_SA34aCode,$AC:$AC,Sheet1!S71_A5CapexCode,$AD:$AD)</f>
        <v>0</v>
      </c>
      <c r="H20" s="713">
        <f>SUMIFS(Sheet1!S71_AdjustmentBudAmnt,Sheet1!S71_SA34aCode,$AC:$AC,Sheet1!S71_A5CapexCode,$AD:$AD)</f>
        <v>0</v>
      </c>
      <c r="I20" s="725">
        <f>SUMIFS(Sheet1!S71_ASBudgetAmount,Sheet1!S71_SA34aCode,$AC:$AC,Sheet1!S71_A5CapexCode,$AD:$AD)</f>
        <v>0</v>
      </c>
      <c r="J20" s="712">
        <f>SUMIFS(Sheet1!S71_OY1BudgetAmount,Sheet1!S71_SA34aCode,$AC:$AC,Sheet1!S71_A5CapexCode,$AD:$AD)</f>
        <v>0</v>
      </c>
      <c r="K20" s="713">
        <f>SUMIFS(Sheet1!S71_OY2BudgetAmount,Sheet1!S71_SA34aCode,$AC:$AC,Sheet1!S71_A5CapexCode,$AD:$AD)</f>
        <v>0</v>
      </c>
      <c r="L20" s="2126"/>
      <c r="AB20" s="2369"/>
      <c r="AC20" s="2365" t="s">
        <v>2780</v>
      </c>
      <c r="AD20" s="2365" t="s">
        <v>2805</v>
      </c>
    </row>
    <row r="21" spans="1:30" s="377" customFormat="1" ht="13.15" customHeight="1" x14ac:dyDescent="0.25">
      <c r="A21" s="2125" t="s">
        <v>2242</v>
      </c>
      <c r="B21" s="144"/>
      <c r="C21" s="712">
        <f>SUMIFS(Sheet1!S71_PPPYearAmount,Sheet1!S71_SA34aCode,$AC:$AC,Sheet1!S71_A5CapexCode,$AD:$AD)</f>
        <v>0</v>
      </c>
      <c r="D21" s="712">
        <f>SUMIFS(Sheet1!S71_PPYearAmount,Sheet1!S71_SA34aCode,$AC:$AC,Sheet1!S71_A5CapexCode,$AD:$AD)</f>
        <v>0</v>
      </c>
      <c r="E21" s="715">
        <f>SUMIFS(Sheet1!S71_PYearAmount,Sheet1!S71_SA34aCode,$AC:$AC,Sheet1!S71_A5CapexCode,$AD:$AD)</f>
        <v>0</v>
      </c>
      <c r="F21" s="725">
        <f>SUMIFS(Sheet1!S71_OriginalBudAmnt,Sheet1!S71_SA34aCode,$AC:$AC,Sheet1!S71_A5CapexCode,$AD:$AD)</f>
        <v>0</v>
      </c>
      <c r="G21" s="712">
        <f>SUMIFS(Sheet1!S71_AdjustmentBudAmnt,Sheet1!S71_SA34aCode,$AC:$AC,Sheet1!S71_A5CapexCode,$AD:$AD)</f>
        <v>0</v>
      </c>
      <c r="H21" s="713">
        <f>SUMIFS(Sheet1!S71_AdjustmentBudAmnt,Sheet1!S71_SA34aCode,$AC:$AC,Sheet1!S71_A5CapexCode,$AD:$AD)</f>
        <v>0</v>
      </c>
      <c r="I21" s="725">
        <f>SUMIFS(Sheet1!S71_ASBudgetAmount,Sheet1!S71_SA34aCode,$AC:$AC,Sheet1!S71_A5CapexCode,$AD:$AD)</f>
        <v>0</v>
      </c>
      <c r="J21" s="712">
        <f>SUMIFS(Sheet1!S71_OY1BudgetAmount,Sheet1!S71_SA34aCode,$AC:$AC,Sheet1!S71_A5CapexCode,$AD:$AD)</f>
        <v>0</v>
      </c>
      <c r="K21" s="713">
        <f>SUMIFS(Sheet1!S71_OY2BudgetAmount,Sheet1!S71_SA34aCode,$AC:$AC,Sheet1!S71_A5CapexCode,$AD:$AD)</f>
        <v>0</v>
      </c>
      <c r="L21" s="2126"/>
      <c r="AB21" s="2369"/>
      <c r="AC21" s="2365" t="s">
        <v>2832</v>
      </c>
      <c r="AD21" s="2365" t="s">
        <v>2805</v>
      </c>
    </row>
    <row r="22" spans="1:30" s="377" customFormat="1" ht="13.15" customHeight="1" x14ac:dyDescent="0.25">
      <c r="A22" s="2125" t="s">
        <v>2243</v>
      </c>
      <c r="B22" s="144"/>
      <c r="C22" s="712">
        <f>SUMIFS(Sheet1!S71_PPPYearAmount,Sheet1!S71_SA34aCode,$AC:$AC,Sheet1!S71_A5CapexCode,$AD:$AD)</f>
        <v>0</v>
      </c>
      <c r="D22" s="712">
        <f>SUMIFS(Sheet1!S71_PPYearAmount,Sheet1!S71_SA34aCode,$AC:$AC,Sheet1!S71_A5CapexCode,$AD:$AD)</f>
        <v>0</v>
      </c>
      <c r="E22" s="715">
        <f>SUMIFS(Sheet1!S71_PYearAmount,Sheet1!S71_SA34aCode,$AC:$AC,Sheet1!S71_A5CapexCode,$AD:$AD)</f>
        <v>0</v>
      </c>
      <c r="F22" s="725">
        <f>SUMIFS(Sheet1!S71_OriginalBudAmnt,Sheet1!S71_SA34aCode,$AC:$AC,Sheet1!S71_A5CapexCode,$AD:$AD)</f>
        <v>0</v>
      </c>
      <c r="G22" s="712">
        <f>SUMIFS(Sheet1!S71_AdjustmentBudAmnt,Sheet1!S71_SA34aCode,$AC:$AC,Sheet1!S71_A5CapexCode,$AD:$AD)</f>
        <v>0</v>
      </c>
      <c r="H22" s="713">
        <f>SUMIFS(Sheet1!S71_AdjustmentBudAmnt,Sheet1!S71_SA34aCode,$AC:$AC,Sheet1!S71_A5CapexCode,$AD:$AD)</f>
        <v>0</v>
      </c>
      <c r="I22" s="725">
        <f>SUMIFS(Sheet1!S71_ASBudgetAmount,Sheet1!S71_SA34aCode,$AC:$AC,Sheet1!S71_A5CapexCode,$AD:$AD)</f>
        <v>0</v>
      </c>
      <c r="J22" s="712">
        <f>SUMIFS(Sheet1!S71_OY1BudgetAmount,Sheet1!S71_SA34aCode,$AC:$AC,Sheet1!S71_A5CapexCode,$AD:$AD)</f>
        <v>0</v>
      </c>
      <c r="K22" s="713">
        <f>SUMIFS(Sheet1!S71_OY2BudgetAmount,Sheet1!S71_SA34aCode,$AC:$AC,Sheet1!S71_A5CapexCode,$AD:$AD)</f>
        <v>0</v>
      </c>
      <c r="L22" s="2124"/>
      <c r="AB22" s="2369"/>
      <c r="AC22" s="2365" t="s">
        <v>2769</v>
      </c>
      <c r="AD22" s="2365" t="s">
        <v>2805</v>
      </c>
    </row>
    <row r="23" spans="1:30" s="377" customFormat="1" ht="13.15" customHeight="1" x14ac:dyDescent="0.25">
      <c r="A23" s="2125" t="s">
        <v>2244</v>
      </c>
      <c r="B23" s="144"/>
      <c r="C23" s="712">
        <f>SUMIFS(Sheet1!S71_PPPYearAmount,Sheet1!S71_SA34aCode,$AC:$AC,Sheet1!S71_A5CapexCode,$AD:$AD)</f>
        <v>0</v>
      </c>
      <c r="D23" s="712">
        <f>SUMIFS(Sheet1!S71_PPYearAmount,Sheet1!S71_SA34aCode,$AC:$AC,Sheet1!S71_A5CapexCode,$AD:$AD)</f>
        <v>0</v>
      </c>
      <c r="E23" s="715">
        <f>SUMIFS(Sheet1!S71_PYearAmount,Sheet1!S71_SA34aCode,$AC:$AC,Sheet1!S71_A5CapexCode,$AD:$AD)</f>
        <v>0</v>
      </c>
      <c r="F23" s="725">
        <f>SUMIFS(Sheet1!S71_OriginalBudAmnt,Sheet1!S71_SA34aCode,$AC:$AC,Sheet1!S71_A5CapexCode,$AD:$AD)</f>
        <v>0</v>
      </c>
      <c r="G23" s="712">
        <f>SUMIFS(Sheet1!S71_AdjustmentBudAmnt,Sheet1!S71_SA34aCode,$AC:$AC,Sheet1!S71_A5CapexCode,$AD:$AD)</f>
        <v>0</v>
      </c>
      <c r="H23" s="713">
        <f>SUMIFS(Sheet1!S71_AdjustmentBudAmnt,Sheet1!S71_SA34aCode,$AC:$AC,Sheet1!S71_A5CapexCode,$AD:$AD)</f>
        <v>0</v>
      </c>
      <c r="I23" s="725">
        <f>SUMIFS(Sheet1!S71_ASBudgetAmount,Sheet1!S71_SA34aCode,$AC:$AC,Sheet1!S71_A5CapexCode,$AD:$AD)</f>
        <v>0</v>
      </c>
      <c r="J23" s="712">
        <f>SUMIFS(Sheet1!S71_OY1BudgetAmount,Sheet1!S71_SA34aCode,$AC:$AC,Sheet1!S71_A5CapexCode,$AD:$AD)</f>
        <v>0</v>
      </c>
      <c r="K23" s="713">
        <f>SUMIFS(Sheet1!S71_OY2BudgetAmount,Sheet1!S71_SA34aCode,$AC:$AC,Sheet1!S71_A5CapexCode,$AD:$AD)</f>
        <v>0</v>
      </c>
      <c r="L23" s="2126"/>
      <c r="AB23" s="2369"/>
      <c r="AC23" s="2365" t="s">
        <v>2781</v>
      </c>
      <c r="AD23" s="2365" t="s">
        <v>2805</v>
      </c>
    </row>
    <row r="24" spans="1:30" s="377" customFormat="1" ht="13.15" customHeight="1" x14ac:dyDescent="0.25">
      <c r="A24" s="2125" t="s">
        <v>2245</v>
      </c>
      <c r="B24" s="144"/>
      <c r="C24" s="712">
        <f>SUMIFS(Sheet1!S71_PPPYearAmount,Sheet1!S71_SA34aCode,$AC:$AC,Sheet1!S71_A5CapexCode,$AD:$AD)</f>
        <v>0</v>
      </c>
      <c r="D24" s="712">
        <f>SUMIFS(Sheet1!S71_PPYearAmount,Sheet1!S71_SA34aCode,$AC:$AC,Sheet1!S71_A5CapexCode,$AD:$AD)</f>
        <v>0</v>
      </c>
      <c r="E24" s="715">
        <f>SUMIFS(Sheet1!S71_PYearAmount,Sheet1!S71_SA34aCode,$AC:$AC,Sheet1!S71_A5CapexCode,$AD:$AD)</f>
        <v>0</v>
      </c>
      <c r="F24" s="725">
        <f>SUMIFS(Sheet1!S71_OriginalBudAmnt,Sheet1!S71_SA34aCode,$AC:$AC,Sheet1!S71_A5CapexCode,$AD:$AD)</f>
        <v>0</v>
      </c>
      <c r="G24" s="712">
        <f>SUMIFS(Sheet1!S71_AdjustmentBudAmnt,Sheet1!S71_SA34aCode,$AC:$AC,Sheet1!S71_A5CapexCode,$AD:$AD)</f>
        <v>0</v>
      </c>
      <c r="H24" s="713">
        <f>SUMIFS(Sheet1!S71_AdjustmentBudAmnt,Sheet1!S71_SA34aCode,$AC:$AC,Sheet1!S71_A5CapexCode,$AD:$AD)</f>
        <v>0</v>
      </c>
      <c r="I24" s="725">
        <f>SUMIFS(Sheet1!S71_ASBudgetAmount,Sheet1!S71_SA34aCode,$AC:$AC,Sheet1!S71_A5CapexCode,$AD:$AD)</f>
        <v>0</v>
      </c>
      <c r="J24" s="712">
        <f>SUMIFS(Sheet1!S71_OY1BudgetAmount,Sheet1!S71_SA34aCode,$AC:$AC,Sheet1!S71_A5CapexCode,$AD:$AD)</f>
        <v>0</v>
      </c>
      <c r="K24" s="713">
        <f>SUMIFS(Sheet1!S71_OY2BudgetAmount,Sheet1!S71_SA34aCode,$AC:$AC,Sheet1!S71_A5CapexCode,$AD:$AD)</f>
        <v>0</v>
      </c>
      <c r="L24" s="2126"/>
      <c r="AB24" s="2369"/>
      <c r="AC24" s="2365" t="s">
        <v>2782</v>
      </c>
      <c r="AD24" s="2365" t="s">
        <v>2805</v>
      </c>
    </row>
    <row r="25" spans="1:30" s="377" customFormat="1" ht="13.15" customHeight="1" x14ac:dyDescent="0.25">
      <c r="A25" s="2125" t="s">
        <v>2233</v>
      </c>
      <c r="B25" s="144"/>
      <c r="C25" s="712">
        <f>SUMIFS(Sheet1!S71_PPPYearAmount,Sheet1!S71_SA34aCode,$AC:$AC,Sheet1!S71_A5CapexCode,$AD:$AD)</f>
        <v>0</v>
      </c>
      <c r="D25" s="712">
        <f>SUMIFS(Sheet1!S71_PPYearAmount,Sheet1!S71_SA34aCode,$AC:$AC,Sheet1!S71_A5CapexCode,$AD:$AD)</f>
        <v>0</v>
      </c>
      <c r="E25" s="715">
        <f>SUMIFS(Sheet1!S71_PYearAmount,Sheet1!S71_SA34aCode,$AC:$AC,Sheet1!S71_A5CapexCode,$AD:$AD)</f>
        <v>0</v>
      </c>
      <c r="F25" s="725">
        <f>SUMIFS(Sheet1!S71_OriginalBudAmnt,Sheet1!S71_SA34aCode,$AC:$AC,Sheet1!S71_A5CapexCode,$AD:$AD)</f>
        <v>0</v>
      </c>
      <c r="G25" s="712">
        <f>SUMIFS(Sheet1!S71_AdjustmentBudAmnt,Sheet1!S71_SA34aCode,$AC:$AC,Sheet1!S71_A5CapexCode,$AD:$AD)</f>
        <v>0</v>
      </c>
      <c r="H25" s="713">
        <f>SUMIFS(Sheet1!S71_AdjustmentBudAmnt,Sheet1!S71_SA34aCode,$AC:$AC,Sheet1!S71_A5CapexCode,$AD:$AD)</f>
        <v>0</v>
      </c>
      <c r="I25" s="725">
        <f>SUMIFS(Sheet1!S71_ASBudgetAmount,Sheet1!S71_SA34aCode,$AC:$AC,Sheet1!S71_A5CapexCode,$AD:$AD)</f>
        <v>0</v>
      </c>
      <c r="J25" s="712">
        <f>SUMIFS(Sheet1!S71_OY1BudgetAmount,Sheet1!S71_SA34aCode,$AC:$AC,Sheet1!S71_A5CapexCode,$AD:$AD)</f>
        <v>0</v>
      </c>
      <c r="K25" s="713">
        <f>SUMIFS(Sheet1!S71_OY2BudgetAmount,Sheet1!S71_SA34aCode,$AC:$AC,Sheet1!S71_A5CapexCode,$AD:$AD)</f>
        <v>0</v>
      </c>
      <c r="L25" s="2126"/>
      <c r="AB25" s="2369"/>
      <c r="AC25" s="2365" t="s">
        <v>2833</v>
      </c>
      <c r="AD25" s="2365" t="s">
        <v>2805</v>
      </c>
    </row>
    <row r="26" spans="1:30" ht="13.15" customHeight="1" x14ac:dyDescent="0.25">
      <c r="A26" s="137" t="s">
        <v>2280</v>
      </c>
      <c r="B26" s="97"/>
      <c r="C26" s="71">
        <f>SUM(C27:C36)</f>
        <v>0</v>
      </c>
      <c r="D26" s="71">
        <f t="shared" ref="D26:K26" si="4">SUM(D27:D36)</f>
        <v>0</v>
      </c>
      <c r="E26" s="305">
        <f t="shared" si="4"/>
        <v>0</v>
      </c>
      <c r="F26" s="75">
        <f t="shared" si="4"/>
        <v>0</v>
      </c>
      <c r="G26" s="71">
        <f t="shared" si="4"/>
        <v>0</v>
      </c>
      <c r="H26" s="117">
        <f t="shared" si="4"/>
        <v>0</v>
      </c>
      <c r="I26" s="75">
        <f t="shared" si="4"/>
        <v>0</v>
      </c>
      <c r="J26" s="71">
        <f t="shared" si="4"/>
        <v>0</v>
      </c>
      <c r="K26" s="117">
        <f t="shared" si="4"/>
        <v>0</v>
      </c>
      <c r="L26" s="322"/>
      <c r="AD26" s="2365" t="s">
        <v>2805</v>
      </c>
    </row>
    <row r="27" spans="1:30" ht="13.15" customHeight="1" x14ac:dyDescent="0.25">
      <c r="A27" s="2125" t="s">
        <v>2246</v>
      </c>
      <c r="B27" s="144"/>
      <c r="C27" s="712">
        <f>SUMIFS(Sheet1!S71_PPPYearAmount,Sheet1!S71_SA34aCode,$AC:$AC,Sheet1!S71_A5CapexCode,$AD:$AD)</f>
        <v>0</v>
      </c>
      <c r="D27" s="712">
        <f>SUMIFS(Sheet1!S71_PPYearAmount,Sheet1!S71_SA34aCode,$AC:$AC,Sheet1!S71_A5CapexCode,$AD:$AD)</f>
        <v>0</v>
      </c>
      <c r="E27" s="715">
        <f>SUMIFS(Sheet1!S71_PYearAmount,Sheet1!S71_SA34aCode,$AC:$AC,Sheet1!S71_A5CapexCode,$AD:$AD)</f>
        <v>0</v>
      </c>
      <c r="F27" s="725">
        <f>SUMIFS(Sheet1!S71_OriginalBudAmnt,Sheet1!S71_SA34aCode,$AC:$AC,Sheet1!S71_A5CapexCode,$AD:$AD)</f>
        <v>0</v>
      </c>
      <c r="G27" s="712">
        <f>SUMIFS(Sheet1!S71_AdjustmentBudAmnt,Sheet1!S71_SA34aCode,$AC:$AC,Sheet1!S71_A5CapexCode,$AD:$AD)</f>
        <v>0</v>
      </c>
      <c r="H27" s="713">
        <f>SUMIFS(Sheet1!S71_AdjustmentBudAmnt,Sheet1!S71_SA34aCode,$AC:$AC,Sheet1!S71_A5CapexCode,$AD:$AD)</f>
        <v>0</v>
      </c>
      <c r="I27" s="725">
        <f>SUMIFS(Sheet1!S71_ASBudgetAmount,Sheet1!S71_SA34aCode,$AC:$AC,Sheet1!S71_A5CapexCode,$AD:$AD)</f>
        <v>0</v>
      </c>
      <c r="J27" s="712">
        <f>SUMIFS(Sheet1!S71_OY1BudgetAmount,Sheet1!S71_SA34aCode,$AC:$AC,Sheet1!S71_A5CapexCode,$AD:$AD)</f>
        <v>0</v>
      </c>
      <c r="K27" s="713">
        <f>SUMIFS(Sheet1!S71_OY2BudgetAmount,Sheet1!S71_SA34aCode,$AC:$AC,Sheet1!S71_A5CapexCode,$AD:$AD)</f>
        <v>0</v>
      </c>
      <c r="L27" s="322"/>
      <c r="AC27" s="2365" t="s">
        <v>2834</v>
      </c>
      <c r="AD27" s="2365" t="s">
        <v>2805</v>
      </c>
    </row>
    <row r="28" spans="1:30" ht="13.15" customHeight="1" x14ac:dyDescent="0.25">
      <c r="A28" s="2125" t="s">
        <v>2247</v>
      </c>
      <c r="B28" s="144"/>
      <c r="C28" s="712">
        <f>SUMIFS(Sheet1!S71_PPPYearAmount,Sheet1!S71_SA34aCode,$AC:$AC,Sheet1!S71_A5CapexCode,$AD:$AD)</f>
        <v>0</v>
      </c>
      <c r="D28" s="712">
        <f>SUMIFS(Sheet1!S71_PPYearAmount,Sheet1!S71_SA34aCode,$AC:$AC,Sheet1!S71_A5CapexCode,$AD:$AD)</f>
        <v>0</v>
      </c>
      <c r="E28" s="715">
        <f>SUMIFS(Sheet1!S71_PYearAmount,Sheet1!S71_SA34aCode,$AC:$AC,Sheet1!S71_A5CapexCode,$AD:$AD)</f>
        <v>0</v>
      </c>
      <c r="F28" s="725">
        <f>SUMIFS(Sheet1!S71_OriginalBudAmnt,Sheet1!S71_SA34aCode,$AC:$AC,Sheet1!S71_A5CapexCode,$AD:$AD)</f>
        <v>0</v>
      </c>
      <c r="G28" s="712">
        <f>SUMIFS(Sheet1!S71_AdjustmentBudAmnt,Sheet1!S71_SA34aCode,$AC:$AC,Sheet1!S71_A5CapexCode,$AD:$AD)</f>
        <v>0</v>
      </c>
      <c r="H28" s="713">
        <f>SUMIFS(Sheet1!S71_AdjustmentBudAmnt,Sheet1!S71_SA34aCode,$AC:$AC,Sheet1!S71_A5CapexCode,$AD:$AD)</f>
        <v>0</v>
      </c>
      <c r="I28" s="725">
        <f>SUMIFS(Sheet1!S71_ASBudgetAmount,Sheet1!S71_SA34aCode,$AC:$AC,Sheet1!S71_A5CapexCode,$AD:$AD)</f>
        <v>0</v>
      </c>
      <c r="J28" s="712">
        <f>SUMIFS(Sheet1!S71_OY1BudgetAmount,Sheet1!S71_SA34aCode,$AC:$AC,Sheet1!S71_A5CapexCode,$AD:$AD)</f>
        <v>0</v>
      </c>
      <c r="K28" s="713">
        <f>SUMIFS(Sheet1!S71_OY2BudgetAmount,Sheet1!S71_SA34aCode,$AC:$AC,Sheet1!S71_A5CapexCode,$AD:$AD)</f>
        <v>0</v>
      </c>
      <c r="L28" s="2126"/>
      <c r="AC28" s="2365" t="s">
        <v>2835</v>
      </c>
      <c r="AD28" s="2365" t="s">
        <v>2805</v>
      </c>
    </row>
    <row r="29" spans="1:30" ht="13.15" customHeight="1" x14ac:dyDescent="0.25">
      <c r="A29" s="2125" t="s">
        <v>2248</v>
      </c>
      <c r="B29" s="144"/>
      <c r="C29" s="712">
        <f>SUMIFS(Sheet1!S71_PPPYearAmount,Sheet1!S71_SA34aCode,$AC:$AC,Sheet1!S71_A5CapexCode,$AD:$AD)</f>
        <v>0</v>
      </c>
      <c r="D29" s="712">
        <f>SUMIFS(Sheet1!S71_PPYearAmount,Sheet1!S71_SA34aCode,$AC:$AC,Sheet1!S71_A5CapexCode,$AD:$AD)</f>
        <v>0</v>
      </c>
      <c r="E29" s="715">
        <f>SUMIFS(Sheet1!S71_PYearAmount,Sheet1!S71_SA34aCode,$AC:$AC,Sheet1!S71_A5CapexCode,$AD:$AD)</f>
        <v>0</v>
      </c>
      <c r="F29" s="725">
        <f>SUMIFS(Sheet1!S71_OriginalBudAmnt,Sheet1!S71_SA34aCode,$AC:$AC,Sheet1!S71_A5CapexCode,$AD:$AD)</f>
        <v>0</v>
      </c>
      <c r="G29" s="712">
        <f>SUMIFS(Sheet1!S71_AdjustmentBudAmnt,Sheet1!S71_SA34aCode,$AC:$AC,Sheet1!S71_A5CapexCode,$AD:$AD)</f>
        <v>0</v>
      </c>
      <c r="H29" s="713">
        <f>SUMIFS(Sheet1!S71_AdjustmentBudAmnt,Sheet1!S71_SA34aCode,$AC:$AC,Sheet1!S71_A5CapexCode,$AD:$AD)</f>
        <v>0</v>
      </c>
      <c r="I29" s="725">
        <f>SUMIFS(Sheet1!S71_ASBudgetAmount,Sheet1!S71_SA34aCode,$AC:$AC,Sheet1!S71_A5CapexCode,$AD:$AD)</f>
        <v>0</v>
      </c>
      <c r="J29" s="712">
        <f>SUMIFS(Sheet1!S71_OY1BudgetAmount,Sheet1!S71_SA34aCode,$AC:$AC,Sheet1!S71_A5CapexCode,$AD:$AD)</f>
        <v>0</v>
      </c>
      <c r="K29" s="713">
        <f>SUMIFS(Sheet1!S71_OY2BudgetAmount,Sheet1!S71_SA34aCode,$AC:$AC,Sheet1!S71_A5CapexCode,$AD:$AD)</f>
        <v>0</v>
      </c>
      <c r="L29" s="2126"/>
      <c r="AC29" s="2365" t="s">
        <v>2783</v>
      </c>
      <c r="AD29" s="2365" t="s">
        <v>2805</v>
      </c>
    </row>
    <row r="30" spans="1:30" ht="13.15" customHeight="1" x14ac:dyDescent="0.25">
      <c r="A30" s="2125" t="s">
        <v>2249</v>
      </c>
      <c r="B30" s="144"/>
      <c r="C30" s="712">
        <f>SUMIFS(Sheet1!S71_PPPYearAmount,Sheet1!S71_SA34aCode,$AC:$AC,Sheet1!S71_A5CapexCode,$AD:$AD)</f>
        <v>0</v>
      </c>
      <c r="D30" s="712">
        <f>SUMIFS(Sheet1!S71_PPYearAmount,Sheet1!S71_SA34aCode,$AC:$AC,Sheet1!S71_A5CapexCode,$AD:$AD)</f>
        <v>0</v>
      </c>
      <c r="E30" s="715">
        <f>SUMIFS(Sheet1!S71_PYearAmount,Sheet1!S71_SA34aCode,$AC:$AC,Sheet1!S71_A5CapexCode,$AD:$AD)</f>
        <v>0</v>
      </c>
      <c r="F30" s="725">
        <f>SUMIFS(Sheet1!S71_OriginalBudAmnt,Sheet1!S71_SA34aCode,$AC:$AC,Sheet1!S71_A5CapexCode,$AD:$AD)</f>
        <v>0</v>
      </c>
      <c r="G30" s="712">
        <f>SUMIFS(Sheet1!S71_AdjustmentBudAmnt,Sheet1!S71_SA34aCode,$AC:$AC,Sheet1!S71_A5CapexCode,$AD:$AD)</f>
        <v>0</v>
      </c>
      <c r="H30" s="713">
        <f>SUMIFS(Sheet1!S71_AdjustmentBudAmnt,Sheet1!S71_SA34aCode,$AC:$AC,Sheet1!S71_A5CapexCode,$AD:$AD)</f>
        <v>0</v>
      </c>
      <c r="I30" s="725">
        <f>SUMIFS(Sheet1!S71_ASBudgetAmount,Sheet1!S71_SA34aCode,$AC:$AC,Sheet1!S71_A5CapexCode,$AD:$AD)</f>
        <v>0</v>
      </c>
      <c r="J30" s="712">
        <f>SUMIFS(Sheet1!S71_OY1BudgetAmount,Sheet1!S71_SA34aCode,$AC:$AC,Sheet1!S71_A5CapexCode,$AD:$AD)</f>
        <v>0</v>
      </c>
      <c r="K30" s="713">
        <f>SUMIFS(Sheet1!S71_OY2BudgetAmount,Sheet1!S71_SA34aCode,$AC:$AC,Sheet1!S71_A5CapexCode,$AD:$AD)</f>
        <v>0</v>
      </c>
      <c r="L30" s="2126"/>
      <c r="AC30" s="2365" t="s">
        <v>2784</v>
      </c>
      <c r="AD30" s="2365" t="s">
        <v>2805</v>
      </c>
    </row>
    <row r="31" spans="1:30" ht="13.15" customHeight="1" x14ac:dyDescent="0.25">
      <c r="A31" s="2125" t="s">
        <v>2250</v>
      </c>
      <c r="B31" s="144"/>
      <c r="C31" s="712">
        <f>SUMIFS(Sheet1!S71_PPPYearAmount,Sheet1!S71_SA34aCode,$AC:$AC,Sheet1!S71_A5CapexCode,$AD:$AD)</f>
        <v>0</v>
      </c>
      <c r="D31" s="712">
        <f>SUMIFS(Sheet1!S71_PPYearAmount,Sheet1!S71_SA34aCode,$AC:$AC,Sheet1!S71_A5CapexCode,$AD:$AD)</f>
        <v>0</v>
      </c>
      <c r="E31" s="715">
        <f>SUMIFS(Sheet1!S71_PYearAmount,Sheet1!S71_SA34aCode,$AC:$AC,Sheet1!S71_A5CapexCode,$AD:$AD)</f>
        <v>0</v>
      </c>
      <c r="F31" s="725">
        <f>SUMIFS(Sheet1!S71_OriginalBudAmnt,Sheet1!S71_SA34aCode,$AC:$AC,Sheet1!S71_A5CapexCode,$AD:$AD)</f>
        <v>0</v>
      </c>
      <c r="G31" s="712">
        <f>SUMIFS(Sheet1!S71_AdjustmentBudAmnt,Sheet1!S71_SA34aCode,$AC:$AC,Sheet1!S71_A5CapexCode,$AD:$AD)</f>
        <v>0</v>
      </c>
      <c r="H31" s="713">
        <f>SUMIFS(Sheet1!S71_AdjustmentBudAmnt,Sheet1!S71_SA34aCode,$AC:$AC,Sheet1!S71_A5CapexCode,$AD:$AD)</f>
        <v>0</v>
      </c>
      <c r="I31" s="725">
        <f>SUMIFS(Sheet1!S71_ASBudgetAmount,Sheet1!S71_SA34aCode,$AC:$AC,Sheet1!S71_A5CapexCode,$AD:$AD)</f>
        <v>0</v>
      </c>
      <c r="J31" s="712">
        <f>SUMIFS(Sheet1!S71_OY1BudgetAmount,Sheet1!S71_SA34aCode,$AC:$AC,Sheet1!S71_A5CapexCode,$AD:$AD)</f>
        <v>0</v>
      </c>
      <c r="K31" s="713">
        <f>SUMIFS(Sheet1!S71_OY2BudgetAmount,Sheet1!S71_SA34aCode,$AC:$AC,Sheet1!S71_A5CapexCode,$AD:$AD)</f>
        <v>0</v>
      </c>
      <c r="L31" s="2126"/>
      <c r="AC31" s="2365" t="s">
        <v>2770</v>
      </c>
      <c r="AD31" s="2365" t="s">
        <v>2805</v>
      </c>
    </row>
    <row r="32" spans="1:30" ht="13.15" customHeight="1" x14ac:dyDescent="0.25">
      <c r="A32" s="2125" t="s">
        <v>2251</v>
      </c>
      <c r="B32" s="144"/>
      <c r="C32" s="712">
        <f>SUMIFS(Sheet1!S71_PPPYearAmount,Sheet1!S71_SA34aCode,$AC:$AC,Sheet1!S71_A5CapexCode,$AD:$AD)</f>
        <v>0</v>
      </c>
      <c r="D32" s="712">
        <f>SUMIFS(Sheet1!S71_PPYearAmount,Sheet1!S71_SA34aCode,$AC:$AC,Sheet1!S71_A5CapexCode,$AD:$AD)</f>
        <v>0</v>
      </c>
      <c r="E32" s="715">
        <f>SUMIFS(Sheet1!S71_PYearAmount,Sheet1!S71_SA34aCode,$AC:$AC,Sheet1!S71_A5CapexCode,$AD:$AD)</f>
        <v>0</v>
      </c>
      <c r="F32" s="725">
        <f>SUMIFS(Sheet1!S71_OriginalBudAmnt,Sheet1!S71_SA34aCode,$AC:$AC,Sheet1!S71_A5CapexCode,$AD:$AD)</f>
        <v>0</v>
      </c>
      <c r="G32" s="712">
        <f>SUMIFS(Sheet1!S71_AdjustmentBudAmnt,Sheet1!S71_SA34aCode,$AC:$AC,Sheet1!S71_A5CapexCode,$AD:$AD)</f>
        <v>0</v>
      </c>
      <c r="H32" s="713">
        <f>SUMIFS(Sheet1!S71_AdjustmentBudAmnt,Sheet1!S71_SA34aCode,$AC:$AC,Sheet1!S71_A5CapexCode,$AD:$AD)</f>
        <v>0</v>
      </c>
      <c r="I32" s="725">
        <f>SUMIFS(Sheet1!S71_ASBudgetAmount,Sheet1!S71_SA34aCode,$AC:$AC,Sheet1!S71_A5CapexCode,$AD:$AD)</f>
        <v>0</v>
      </c>
      <c r="J32" s="712">
        <f>SUMIFS(Sheet1!S71_OY1BudgetAmount,Sheet1!S71_SA34aCode,$AC:$AC,Sheet1!S71_A5CapexCode,$AD:$AD)</f>
        <v>0</v>
      </c>
      <c r="K32" s="713">
        <f>SUMIFS(Sheet1!S71_OY2BudgetAmount,Sheet1!S71_SA34aCode,$AC:$AC,Sheet1!S71_A5CapexCode,$AD:$AD)</f>
        <v>0</v>
      </c>
      <c r="L32" s="2126"/>
      <c r="AC32" s="2365" t="s">
        <v>2771</v>
      </c>
      <c r="AD32" s="2365" t="s">
        <v>2805</v>
      </c>
    </row>
    <row r="33" spans="1:30" ht="13.15" customHeight="1" x14ac:dyDescent="0.25">
      <c r="A33" s="2125" t="s">
        <v>2252</v>
      </c>
      <c r="B33" s="144"/>
      <c r="C33" s="712">
        <f>SUMIFS(Sheet1!S71_PPPYearAmount,Sheet1!S71_SA34aCode,$AC:$AC,Sheet1!S71_A5CapexCode,$AD:$AD)</f>
        <v>0</v>
      </c>
      <c r="D33" s="712">
        <f>SUMIFS(Sheet1!S71_PPYearAmount,Sheet1!S71_SA34aCode,$AC:$AC,Sheet1!S71_A5CapexCode,$AD:$AD)</f>
        <v>0</v>
      </c>
      <c r="E33" s="715">
        <f>SUMIFS(Sheet1!S71_PYearAmount,Sheet1!S71_SA34aCode,$AC:$AC,Sheet1!S71_A5CapexCode,$AD:$AD)</f>
        <v>0</v>
      </c>
      <c r="F33" s="725">
        <f>SUMIFS(Sheet1!S71_OriginalBudAmnt,Sheet1!S71_SA34aCode,$AC:$AC,Sheet1!S71_A5CapexCode,$AD:$AD)</f>
        <v>0</v>
      </c>
      <c r="G33" s="712">
        <f>SUMIFS(Sheet1!S71_AdjustmentBudAmnt,Sheet1!S71_SA34aCode,$AC:$AC,Sheet1!S71_A5CapexCode,$AD:$AD)</f>
        <v>0</v>
      </c>
      <c r="H33" s="713">
        <f>SUMIFS(Sheet1!S71_AdjustmentBudAmnt,Sheet1!S71_SA34aCode,$AC:$AC,Sheet1!S71_A5CapexCode,$AD:$AD)</f>
        <v>0</v>
      </c>
      <c r="I33" s="725">
        <f>SUMIFS(Sheet1!S71_ASBudgetAmount,Sheet1!S71_SA34aCode,$AC:$AC,Sheet1!S71_A5CapexCode,$AD:$AD)</f>
        <v>0</v>
      </c>
      <c r="J33" s="712">
        <f>SUMIFS(Sheet1!S71_OY1BudgetAmount,Sheet1!S71_SA34aCode,$AC:$AC,Sheet1!S71_A5CapexCode,$AD:$AD)</f>
        <v>0</v>
      </c>
      <c r="K33" s="713">
        <f>SUMIFS(Sheet1!S71_OY2BudgetAmount,Sheet1!S71_SA34aCode,$AC:$AC,Sheet1!S71_A5CapexCode,$AD:$AD)</f>
        <v>0</v>
      </c>
      <c r="L33" s="2126"/>
      <c r="AC33" s="2365" t="s">
        <v>2785</v>
      </c>
      <c r="AD33" s="2365" t="s">
        <v>2805</v>
      </c>
    </row>
    <row r="34" spans="1:30" ht="13.15" customHeight="1" x14ac:dyDescent="0.25">
      <c r="A34" s="2125" t="s">
        <v>2253</v>
      </c>
      <c r="B34" s="144"/>
      <c r="C34" s="712">
        <f>SUMIFS(Sheet1!S71_PPPYearAmount,Sheet1!S71_SA34aCode,$AC:$AC,Sheet1!S71_A5CapexCode,$AD:$AD)</f>
        <v>0</v>
      </c>
      <c r="D34" s="712">
        <f>SUMIFS(Sheet1!S71_PPYearAmount,Sheet1!S71_SA34aCode,$AC:$AC,Sheet1!S71_A5CapexCode,$AD:$AD)</f>
        <v>0</v>
      </c>
      <c r="E34" s="715">
        <f>SUMIFS(Sheet1!S71_PYearAmount,Sheet1!S71_SA34aCode,$AC:$AC,Sheet1!S71_A5CapexCode,$AD:$AD)</f>
        <v>0</v>
      </c>
      <c r="F34" s="725">
        <f>SUMIFS(Sheet1!S71_OriginalBudAmnt,Sheet1!S71_SA34aCode,$AC:$AC,Sheet1!S71_A5CapexCode,$AD:$AD)</f>
        <v>0</v>
      </c>
      <c r="G34" s="712">
        <f>SUMIFS(Sheet1!S71_AdjustmentBudAmnt,Sheet1!S71_SA34aCode,$AC:$AC,Sheet1!S71_A5CapexCode,$AD:$AD)</f>
        <v>0</v>
      </c>
      <c r="H34" s="713">
        <f>SUMIFS(Sheet1!S71_AdjustmentBudAmnt,Sheet1!S71_SA34aCode,$AC:$AC,Sheet1!S71_A5CapexCode,$AD:$AD)</f>
        <v>0</v>
      </c>
      <c r="I34" s="725">
        <f>SUMIFS(Sheet1!S71_ASBudgetAmount,Sheet1!S71_SA34aCode,$AC:$AC,Sheet1!S71_A5CapexCode,$AD:$AD)</f>
        <v>0</v>
      </c>
      <c r="J34" s="712">
        <f>SUMIFS(Sheet1!S71_OY1BudgetAmount,Sheet1!S71_SA34aCode,$AC:$AC,Sheet1!S71_A5CapexCode,$AD:$AD)</f>
        <v>0</v>
      </c>
      <c r="K34" s="713">
        <f>SUMIFS(Sheet1!S71_OY2BudgetAmount,Sheet1!S71_SA34aCode,$AC:$AC,Sheet1!S71_A5CapexCode,$AD:$AD)</f>
        <v>0</v>
      </c>
      <c r="L34" s="2126"/>
      <c r="AC34" s="2365" t="s">
        <v>2836</v>
      </c>
      <c r="AD34" s="2365" t="s">
        <v>2805</v>
      </c>
    </row>
    <row r="35" spans="1:30" ht="13.15" customHeight="1" x14ac:dyDescent="0.25">
      <c r="A35" s="2125" t="s">
        <v>2254</v>
      </c>
      <c r="B35" s="144"/>
      <c r="C35" s="712">
        <f>SUMIFS(Sheet1!S71_PPPYearAmount,Sheet1!S71_SA34aCode,$AC:$AC,Sheet1!S71_A5CapexCode,$AD:$AD)</f>
        <v>0</v>
      </c>
      <c r="D35" s="712">
        <f>SUMIFS(Sheet1!S71_PPYearAmount,Sheet1!S71_SA34aCode,$AC:$AC,Sheet1!S71_A5CapexCode,$AD:$AD)</f>
        <v>0</v>
      </c>
      <c r="E35" s="715">
        <f>SUMIFS(Sheet1!S71_PYearAmount,Sheet1!S71_SA34aCode,$AC:$AC,Sheet1!S71_A5CapexCode,$AD:$AD)</f>
        <v>0</v>
      </c>
      <c r="F35" s="725">
        <f>SUMIFS(Sheet1!S71_OriginalBudAmnt,Sheet1!S71_SA34aCode,$AC:$AC,Sheet1!S71_A5CapexCode,$AD:$AD)</f>
        <v>0</v>
      </c>
      <c r="G35" s="712">
        <f>SUMIFS(Sheet1!S71_AdjustmentBudAmnt,Sheet1!S71_SA34aCode,$AC:$AC,Sheet1!S71_A5CapexCode,$AD:$AD)</f>
        <v>0</v>
      </c>
      <c r="H35" s="713">
        <f>SUMIFS(Sheet1!S71_AdjustmentBudAmnt,Sheet1!S71_SA34aCode,$AC:$AC,Sheet1!S71_A5CapexCode,$AD:$AD)</f>
        <v>0</v>
      </c>
      <c r="I35" s="725">
        <f>SUMIFS(Sheet1!S71_ASBudgetAmount,Sheet1!S71_SA34aCode,$AC:$AC,Sheet1!S71_A5CapexCode,$AD:$AD)</f>
        <v>0</v>
      </c>
      <c r="J35" s="712">
        <f>SUMIFS(Sheet1!S71_OY1BudgetAmount,Sheet1!S71_SA34aCode,$AC:$AC,Sheet1!S71_A5CapexCode,$AD:$AD)</f>
        <v>0</v>
      </c>
      <c r="K35" s="713">
        <f>SUMIFS(Sheet1!S71_OY2BudgetAmount,Sheet1!S71_SA34aCode,$AC:$AC,Sheet1!S71_A5CapexCode,$AD:$AD)</f>
        <v>0</v>
      </c>
      <c r="L35" s="2126"/>
      <c r="AC35" s="2365" t="s">
        <v>2806</v>
      </c>
      <c r="AD35" s="2365" t="s">
        <v>2805</v>
      </c>
    </row>
    <row r="36" spans="1:30" ht="13.15" customHeight="1" x14ac:dyDescent="0.25">
      <c r="A36" s="2125" t="s">
        <v>2233</v>
      </c>
      <c r="B36" s="144"/>
      <c r="C36" s="712">
        <f>SUMIFS(Sheet1!S71_PPPYearAmount,Sheet1!S71_SA34aCode,$AC:$AC,Sheet1!S71_A5CapexCode,$AD:$AD)</f>
        <v>0</v>
      </c>
      <c r="D36" s="712">
        <f>SUMIFS(Sheet1!S71_PPYearAmount,Sheet1!S71_SA34aCode,$AC:$AC,Sheet1!S71_A5CapexCode,$AD:$AD)</f>
        <v>0</v>
      </c>
      <c r="E36" s="715">
        <f>SUMIFS(Sheet1!S71_PYearAmount,Sheet1!S71_SA34aCode,$AC:$AC,Sheet1!S71_A5CapexCode,$AD:$AD)</f>
        <v>0</v>
      </c>
      <c r="F36" s="725">
        <f>SUMIFS(Sheet1!S71_OriginalBudAmnt,Sheet1!S71_SA34aCode,$AC:$AC,Sheet1!S71_A5CapexCode,$AD:$AD)</f>
        <v>0</v>
      </c>
      <c r="G36" s="712">
        <f>SUMIFS(Sheet1!S71_AdjustmentBudAmnt,Sheet1!S71_SA34aCode,$AC:$AC,Sheet1!S71_A5CapexCode,$AD:$AD)</f>
        <v>0</v>
      </c>
      <c r="H36" s="713">
        <f>SUMIFS(Sheet1!S71_AdjustmentBudAmnt,Sheet1!S71_SA34aCode,$AC:$AC,Sheet1!S71_A5CapexCode,$AD:$AD)</f>
        <v>0</v>
      </c>
      <c r="I36" s="725">
        <f>SUMIFS(Sheet1!S71_ASBudgetAmount,Sheet1!S71_SA34aCode,$AC:$AC,Sheet1!S71_A5CapexCode,$AD:$AD)</f>
        <v>0</v>
      </c>
      <c r="J36" s="712">
        <f>SUMIFS(Sheet1!S71_OY1BudgetAmount,Sheet1!S71_SA34aCode,$AC:$AC,Sheet1!S71_A5CapexCode,$AD:$AD)</f>
        <v>0</v>
      </c>
      <c r="K36" s="713">
        <f>SUMIFS(Sheet1!S71_OY2BudgetAmount,Sheet1!S71_SA34aCode,$AC:$AC,Sheet1!S71_A5CapexCode,$AD:$AD)</f>
        <v>0</v>
      </c>
      <c r="L36" s="2126"/>
      <c r="AC36" s="2365" t="s">
        <v>2698</v>
      </c>
      <c r="AD36" s="2365" t="s">
        <v>2805</v>
      </c>
    </row>
    <row r="37" spans="1:30" ht="13.15" customHeight="1" x14ac:dyDescent="0.25">
      <c r="A37" s="137" t="s">
        <v>2281</v>
      </c>
      <c r="B37" s="144"/>
      <c r="C37" s="71">
        <f>SUM(C38:C43)</f>
        <v>0</v>
      </c>
      <c r="D37" s="71">
        <f t="shared" ref="D37:K37" si="5">SUM(D38:D43)</f>
        <v>0</v>
      </c>
      <c r="E37" s="305">
        <f t="shared" si="5"/>
        <v>0</v>
      </c>
      <c r="F37" s="75">
        <f t="shared" si="5"/>
        <v>0</v>
      </c>
      <c r="G37" s="71">
        <f t="shared" si="5"/>
        <v>0</v>
      </c>
      <c r="H37" s="117">
        <f t="shared" si="5"/>
        <v>0</v>
      </c>
      <c r="I37" s="75">
        <f t="shared" si="5"/>
        <v>0</v>
      </c>
      <c r="J37" s="71">
        <f t="shared" si="5"/>
        <v>0</v>
      </c>
      <c r="K37" s="117">
        <f t="shared" si="5"/>
        <v>0</v>
      </c>
      <c r="L37" s="2126"/>
      <c r="O37" s="322"/>
      <c r="AD37" s="2365" t="s">
        <v>2805</v>
      </c>
    </row>
    <row r="38" spans="1:30" ht="13.15" customHeight="1" x14ac:dyDescent="0.25">
      <c r="A38" s="2125" t="s">
        <v>2255</v>
      </c>
      <c r="B38" s="144"/>
      <c r="C38" s="712">
        <f>SUMIFS(Sheet1!S71_PPPYearAmount,Sheet1!S71_SA34aCode,$AC:$AC,Sheet1!S71_A5CapexCode,$AD:$AD)</f>
        <v>0</v>
      </c>
      <c r="D38" s="712">
        <f>SUMIFS(Sheet1!S71_PPYearAmount,Sheet1!S71_SA34aCode,$AC:$AC,Sheet1!S71_A5CapexCode,$AD:$AD)</f>
        <v>0</v>
      </c>
      <c r="E38" s="715">
        <f>SUMIFS(Sheet1!S71_PYearAmount,Sheet1!S71_SA34aCode,$AC:$AC,Sheet1!S71_A5CapexCode,$AD:$AD)</f>
        <v>0</v>
      </c>
      <c r="F38" s="725">
        <f>SUMIFS(Sheet1!S71_OriginalBudAmnt,Sheet1!S71_SA34aCode,$AC:$AC,Sheet1!S71_A5CapexCode,$AD:$AD)</f>
        <v>0</v>
      </c>
      <c r="G38" s="712">
        <f>SUMIFS(Sheet1!S71_AdjustmentBudAmnt,Sheet1!S71_SA34aCode,$AC:$AC,Sheet1!S71_A5CapexCode,$AD:$AD)</f>
        <v>0</v>
      </c>
      <c r="H38" s="713">
        <f>SUMIFS(Sheet1!S71_AdjustmentBudAmnt,Sheet1!S71_SA34aCode,$AC:$AC,Sheet1!S71_A5CapexCode,$AD:$AD)</f>
        <v>0</v>
      </c>
      <c r="I38" s="725">
        <f>SUMIFS(Sheet1!S71_ASBudgetAmount,Sheet1!S71_SA34aCode,$AC:$AC,Sheet1!S71_A5CapexCode,$AD:$AD)</f>
        <v>0</v>
      </c>
      <c r="J38" s="712">
        <f>SUMIFS(Sheet1!S71_OY1BudgetAmount,Sheet1!S71_SA34aCode,$AC:$AC,Sheet1!S71_A5CapexCode,$AD:$AD)</f>
        <v>0</v>
      </c>
      <c r="K38" s="713">
        <f>SUMIFS(Sheet1!S71_OY2BudgetAmount,Sheet1!S71_SA34aCode,$AC:$AC,Sheet1!S71_A5CapexCode,$AD:$AD)</f>
        <v>0</v>
      </c>
      <c r="L38" s="2126"/>
      <c r="AC38" s="2365" t="s">
        <v>2807</v>
      </c>
      <c r="AD38" s="2365" t="s">
        <v>2805</v>
      </c>
    </row>
    <row r="39" spans="1:30" ht="13.15" customHeight="1" x14ac:dyDescent="0.25">
      <c r="A39" s="2125" t="s">
        <v>25</v>
      </c>
      <c r="B39" s="144"/>
      <c r="C39" s="712">
        <f>SUMIFS(Sheet1!S71_PPPYearAmount,Sheet1!S71_SA34aCode,$AC:$AC,Sheet1!S71_A5CapexCode,$AD:$AD)</f>
        <v>0</v>
      </c>
      <c r="D39" s="712">
        <f>SUMIFS(Sheet1!S71_PPYearAmount,Sheet1!S71_SA34aCode,$AC:$AC,Sheet1!S71_A5CapexCode,$AD:$AD)</f>
        <v>0</v>
      </c>
      <c r="E39" s="715">
        <f>SUMIFS(Sheet1!S71_PYearAmount,Sheet1!S71_SA34aCode,$AC:$AC,Sheet1!S71_A5CapexCode,$AD:$AD)</f>
        <v>0</v>
      </c>
      <c r="F39" s="725">
        <f>SUMIFS(Sheet1!S71_OriginalBudAmnt,Sheet1!S71_SA34aCode,$AC:$AC,Sheet1!S71_A5CapexCode,$AD:$AD)</f>
        <v>0</v>
      </c>
      <c r="G39" s="712">
        <f>SUMIFS(Sheet1!S71_AdjustmentBudAmnt,Sheet1!S71_SA34aCode,$AC:$AC,Sheet1!S71_A5CapexCode,$AD:$AD)</f>
        <v>0</v>
      </c>
      <c r="H39" s="713">
        <f>SUMIFS(Sheet1!S71_AdjustmentBudAmnt,Sheet1!S71_SA34aCode,$AC:$AC,Sheet1!S71_A5CapexCode,$AD:$AD)</f>
        <v>0</v>
      </c>
      <c r="I39" s="725">
        <f>SUMIFS(Sheet1!S71_ASBudgetAmount,Sheet1!S71_SA34aCode,$AC:$AC,Sheet1!S71_A5CapexCode,$AD:$AD)</f>
        <v>0</v>
      </c>
      <c r="J39" s="712">
        <f>SUMIFS(Sheet1!S71_OY1BudgetAmount,Sheet1!S71_SA34aCode,$AC:$AC,Sheet1!S71_A5CapexCode,$AD:$AD)</f>
        <v>0</v>
      </c>
      <c r="K39" s="713">
        <f>SUMIFS(Sheet1!S71_OY2BudgetAmount,Sheet1!S71_SA34aCode,$AC:$AC,Sheet1!S71_A5CapexCode,$AD:$AD)</f>
        <v>0</v>
      </c>
      <c r="L39" s="2126"/>
      <c r="AC39" s="2365" t="s">
        <v>2837</v>
      </c>
      <c r="AD39" s="2365" t="s">
        <v>2805</v>
      </c>
    </row>
    <row r="40" spans="1:30" ht="13.15" customHeight="1" x14ac:dyDescent="0.25">
      <c r="A40" s="2125" t="s">
        <v>2256</v>
      </c>
      <c r="B40" s="144"/>
      <c r="C40" s="712">
        <f>SUMIFS(Sheet1!S71_PPPYearAmount,Sheet1!S71_SA34aCode,$AC:$AC,Sheet1!S71_A5CapexCode,$AD:$AD)</f>
        <v>0</v>
      </c>
      <c r="D40" s="712">
        <f>SUMIFS(Sheet1!S71_PPYearAmount,Sheet1!S71_SA34aCode,$AC:$AC,Sheet1!S71_A5CapexCode,$AD:$AD)</f>
        <v>0</v>
      </c>
      <c r="E40" s="715">
        <f>SUMIFS(Sheet1!S71_PYearAmount,Sheet1!S71_SA34aCode,$AC:$AC,Sheet1!S71_A5CapexCode,$AD:$AD)</f>
        <v>0</v>
      </c>
      <c r="F40" s="725">
        <f>SUMIFS(Sheet1!S71_OriginalBudAmnt,Sheet1!S71_SA34aCode,$AC:$AC,Sheet1!S71_A5CapexCode,$AD:$AD)</f>
        <v>0</v>
      </c>
      <c r="G40" s="712">
        <f>SUMIFS(Sheet1!S71_AdjustmentBudAmnt,Sheet1!S71_SA34aCode,$AC:$AC,Sheet1!S71_A5CapexCode,$AD:$AD)</f>
        <v>0</v>
      </c>
      <c r="H40" s="713">
        <f>SUMIFS(Sheet1!S71_AdjustmentBudAmnt,Sheet1!S71_SA34aCode,$AC:$AC,Sheet1!S71_A5CapexCode,$AD:$AD)</f>
        <v>0</v>
      </c>
      <c r="I40" s="725">
        <f>SUMIFS(Sheet1!S71_ASBudgetAmount,Sheet1!S71_SA34aCode,$AC:$AC,Sheet1!S71_A5CapexCode,$AD:$AD)</f>
        <v>0</v>
      </c>
      <c r="J40" s="712">
        <f>SUMIFS(Sheet1!S71_OY1BudgetAmount,Sheet1!S71_SA34aCode,$AC:$AC,Sheet1!S71_A5CapexCode,$AD:$AD)</f>
        <v>0</v>
      </c>
      <c r="K40" s="713">
        <f>SUMIFS(Sheet1!S71_OY2BudgetAmount,Sheet1!S71_SA34aCode,$AC:$AC,Sheet1!S71_A5CapexCode,$AD:$AD)</f>
        <v>0</v>
      </c>
      <c r="L40" s="322"/>
      <c r="AC40" s="2365" t="s">
        <v>2838</v>
      </c>
      <c r="AD40" s="2365" t="s">
        <v>2805</v>
      </c>
    </row>
    <row r="41" spans="1:30" ht="13.15" customHeight="1" x14ac:dyDescent="0.25">
      <c r="A41" s="2125" t="s">
        <v>2257</v>
      </c>
      <c r="B41" s="144"/>
      <c r="C41" s="712">
        <f>SUMIFS(Sheet1!S71_PPPYearAmount,Sheet1!S71_SA34aCode,$AC:$AC,Sheet1!S71_A5CapexCode,$AD:$AD)</f>
        <v>0</v>
      </c>
      <c r="D41" s="712">
        <f>SUMIFS(Sheet1!S71_PPYearAmount,Sheet1!S71_SA34aCode,$AC:$AC,Sheet1!S71_A5CapexCode,$AD:$AD)</f>
        <v>0</v>
      </c>
      <c r="E41" s="715">
        <f>SUMIFS(Sheet1!S71_PYearAmount,Sheet1!S71_SA34aCode,$AC:$AC,Sheet1!S71_A5CapexCode,$AD:$AD)</f>
        <v>0</v>
      </c>
      <c r="F41" s="725">
        <f>SUMIFS(Sheet1!S71_OriginalBudAmnt,Sheet1!S71_SA34aCode,$AC:$AC,Sheet1!S71_A5CapexCode,$AD:$AD)</f>
        <v>0</v>
      </c>
      <c r="G41" s="712">
        <f>SUMIFS(Sheet1!S71_AdjustmentBudAmnt,Sheet1!S71_SA34aCode,$AC:$AC,Sheet1!S71_A5CapexCode,$AD:$AD)</f>
        <v>0</v>
      </c>
      <c r="H41" s="713">
        <f>SUMIFS(Sheet1!S71_AdjustmentBudAmnt,Sheet1!S71_SA34aCode,$AC:$AC,Sheet1!S71_A5CapexCode,$AD:$AD)</f>
        <v>0</v>
      </c>
      <c r="I41" s="725">
        <f>SUMIFS(Sheet1!S71_ASBudgetAmount,Sheet1!S71_SA34aCode,$AC:$AC,Sheet1!S71_A5CapexCode,$AD:$AD)</f>
        <v>0</v>
      </c>
      <c r="J41" s="712">
        <f>SUMIFS(Sheet1!S71_OY1BudgetAmount,Sheet1!S71_SA34aCode,$AC:$AC,Sheet1!S71_A5CapexCode,$AD:$AD)</f>
        <v>0</v>
      </c>
      <c r="K41" s="713">
        <f>SUMIFS(Sheet1!S71_OY2BudgetAmount,Sheet1!S71_SA34aCode,$AC:$AC,Sheet1!S71_A5CapexCode,$AD:$AD)</f>
        <v>0</v>
      </c>
      <c r="L41" s="2126"/>
      <c r="AC41" s="2365" t="s">
        <v>2839</v>
      </c>
      <c r="AD41" s="2365" t="s">
        <v>2805</v>
      </c>
    </row>
    <row r="42" spans="1:30" ht="13.15" customHeight="1" x14ac:dyDescent="0.25">
      <c r="A42" s="2125" t="s">
        <v>2258</v>
      </c>
      <c r="B42" s="144"/>
      <c r="C42" s="712">
        <f>SUMIFS(Sheet1!S71_PPPYearAmount,Sheet1!S71_SA34aCode,$AC:$AC,Sheet1!S71_A5CapexCode,$AD:$AD)</f>
        <v>0</v>
      </c>
      <c r="D42" s="712">
        <f>SUMIFS(Sheet1!S71_PPYearAmount,Sheet1!S71_SA34aCode,$AC:$AC,Sheet1!S71_A5CapexCode,$AD:$AD)</f>
        <v>0</v>
      </c>
      <c r="E42" s="715">
        <f>SUMIFS(Sheet1!S71_PYearAmount,Sheet1!S71_SA34aCode,$AC:$AC,Sheet1!S71_A5CapexCode,$AD:$AD)</f>
        <v>0</v>
      </c>
      <c r="F42" s="725">
        <f>SUMIFS(Sheet1!S71_OriginalBudAmnt,Sheet1!S71_SA34aCode,$AC:$AC,Sheet1!S71_A5CapexCode,$AD:$AD)</f>
        <v>0</v>
      </c>
      <c r="G42" s="712">
        <f>SUMIFS(Sheet1!S71_AdjustmentBudAmnt,Sheet1!S71_SA34aCode,$AC:$AC,Sheet1!S71_A5CapexCode,$AD:$AD)</f>
        <v>0</v>
      </c>
      <c r="H42" s="713">
        <f>SUMIFS(Sheet1!S71_AdjustmentBudAmnt,Sheet1!S71_SA34aCode,$AC:$AC,Sheet1!S71_A5CapexCode,$AD:$AD)</f>
        <v>0</v>
      </c>
      <c r="I42" s="725">
        <f>SUMIFS(Sheet1!S71_ASBudgetAmount,Sheet1!S71_SA34aCode,$AC:$AC,Sheet1!S71_A5CapexCode,$AD:$AD)</f>
        <v>0</v>
      </c>
      <c r="J42" s="712">
        <f>SUMIFS(Sheet1!S71_OY1BudgetAmount,Sheet1!S71_SA34aCode,$AC:$AC,Sheet1!S71_A5CapexCode,$AD:$AD)</f>
        <v>0</v>
      </c>
      <c r="K42" s="713">
        <f>SUMIFS(Sheet1!S71_OY2BudgetAmount,Sheet1!S71_SA34aCode,$AC:$AC,Sheet1!S71_A5CapexCode,$AD:$AD)</f>
        <v>0</v>
      </c>
      <c r="L42" s="322"/>
      <c r="AC42" s="2365" t="s">
        <v>2787</v>
      </c>
      <c r="AD42" s="2365" t="s">
        <v>2805</v>
      </c>
    </row>
    <row r="43" spans="1:30" ht="13.15" customHeight="1" x14ac:dyDescent="0.25">
      <c r="A43" s="2125" t="s">
        <v>2233</v>
      </c>
      <c r="B43" s="144"/>
      <c r="C43" s="712">
        <f>SUMIFS(Sheet1!S71_PPPYearAmount,Sheet1!S71_SA34aCode,$AC:$AC,Sheet1!S71_A5CapexCode,$AD:$AD)</f>
        <v>0</v>
      </c>
      <c r="D43" s="712">
        <f>SUMIFS(Sheet1!S71_PPYearAmount,Sheet1!S71_SA34aCode,$AC:$AC,Sheet1!S71_A5CapexCode,$AD:$AD)</f>
        <v>0</v>
      </c>
      <c r="E43" s="715">
        <f>SUMIFS(Sheet1!S71_PYearAmount,Sheet1!S71_SA34aCode,$AC:$AC,Sheet1!S71_A5CapexCode,$AD:$AD)</f>
        <v>0</v>
      </c>
      <c r="F43" s="725">
        <f>SUMIFS(Sheet1!S71_OriginalBudAmnt,Sheet1!S71_SA34aCode,$AC:$AC,Sheet1!S71_A5CapexCode,$AD:$AD)</f>
        <v>0</v>
      </c>
      <c r="G43" s="712">
        <f>SUMIFS(Sheet1!S71_AdjustmentBudAmnt,Sheet1!S71_SA34aCode,$AC:$AC,Sheet1!S71_A5CapexCode,$AD:$AD)</f>
        <v>0</v>
      </c>
      <c r="H43" s="713">
        <f>SUMIFS(Sheet1!S71_AdjustmentBudAmnt,Sheet1!S71_SA34aCode,$AC:$AC,Sheet1!S71_A5CapexCode,$AD:$AD)</f>
        <v>0</v>
      </c>
      <c r="I43" s="725">
        <f>SUMIFS(Sheet1!S71_ASBudgetAmount,Sheet1!S71_SA34aCode,$AC:$AC,Sheet1!S71_A5CapexCode,$AD:$AD)</f>
        <v>0</v>
      </c>
      <c r="J43" s="712">
        <f>SUMIFS(Sheet1!S71_OY1BudgetAmount,Sheet1!S71_SA34aCode,$AC:$AC,Sheet1!S71_A5CapexCode,$AD:$AD)</f>
        <v>0</v>
      </c>
      <c r="K43" s="713">
        <f>SUMIFS(Sheet1!S71_OY2BudgetAmount,Sheet1!S71_SA34aCode,$AC:$AC,Sheet1!S71_A5CapexCode,$AD:$AD)</f>
        <v>0</v>
      </c>
      <c r="L43" s="322"/>
      <c r="AC43" s="2365" t="s">
        <v>2788</v>
      </c>
      <c r="AD43" s="2365" t="s">
        <v>2805</v>
      </c>
    </row>
    <row r="44" spans="1:30" ht="13.15" customHeight="1" x14ac:dyDescent="0.25">
      <c r="A44" s="137" t="s">
        <v>2259</v>
      </c>
      <c r="B44" s="144"/>
      <c r="C44" s="71">
        <f>SUM(C45:C51)</f>
        <v>0</v>
      </c>
      <c r="D44" s="71">
        <f t="shared" ref="D44:K44" si="6">SUM(D45:D51)</f>
        <v>0</v>
      </c>
      <c r="E44" s="305">
        <f t="shared" si="6"/>
        <v>0</v>
      </c>
      <c r="F44" s="75">
        <f t="shared" si="6"/>
        <v>0</v>
      </c>
      <c r="G44" s="71">
        <f t="shared" si="6"/>
        <v>0</v>
      </c>
      <c r="H44" s="117">
        <f t="shared" si="6"/>
        <v>0</v>
      </c>
      <c r="I44" s="75">
        <f t="shared" si="6"/>
        <v>0</v>
      </c>
      <c r="J44" s="71">
        <f t="shared" si="6"/>
        <v>0</v>
      </c>
      <c r="K44" s="117">
        <f t="shared" si="6"/>
        <v>0</v>
      </c>
      <c r="L44" s="322"/>
      <c r="AD44" s="2365" t="s">
        <v>2805</v>
      </c>
    </row>
    <row r="45" spans="1:30" ht="13.15" customHeight="1" x14ac:dyDescent="0.25">
      <c r="A45" s="2125" t="s">
        <v>2260</v>
      </c>
      <c r="B45" s="144"/>
      <c r="C45" s="712">
        <f>SUMIFS(Sheet1!S71_PPPYearAmount,Sheet1!S71_SA34aCode,$AC:$AC,Sheet1!S71_A5CapexCode,$AD:$AD)</f>
        <v>0</v>
      </c>
      <c r="D45" s="712">
        <f>SUMIFS(Sheet1!S71_PPYearAmount,Sheet1!S71_SA34aCode,$AC:$AC,Sheet1!S71_A5CapexCode,$AD:$AD)</f>
        <v>0</v>
      </c>
      <c r="E45" s="715">
        <f>SUMIFS(Sheet1!S71_PYearAmount,Sheet1!S71_SA34aCode,$AC:$AC,Sheet1!S71_A5CapexCode,$AD:$AD)</f>
        <v>0</v>
      </c>
      <c r="F45" s="725">
        <f>SUMIFS(Sheet1!S71_OriginalBudAmnt,Sheet1!S71_SA34aCode,$AC:$AC,Sheet1!S71_A5CapexCode,$AD:$AD)</f>
        <v>0</v>
      </c>
      <c r="G45" s="712">
        <f>SUMIFS(Sheet1!S71_AdjustmentBudAmnt,Sheet1!S71_SA34aCode,$AC:$AC,Sheet1!S71_A5CapexCode,$AD:$AD)</f>
        <v>0</v>
      </c>
      <c r="H45" s="713">
        <f>SUMIFS(Sheet1!S71_AdjustmentBudAmnt,Sheet1!S71_SA34aCode,$AC:$AC,Sheet1!S71_A5CapexCode,$AD:$AD)</f>
        <v>0</v>
      </c>
      <c r="I45" s="725">
        <f>SUMIFS(Sheet1!S71_ASBudgetAmount,Sheet1!S71_SA34aCode,$AC:$AC,Sheet1!S71_A5CapexCode,$AD:$AD)</f>
        <v>0</v>
      </c>
      <c r="J45" s="712">
        <f>SUMIFS(Sheet1!S71_OY1BudgetAmount,Sheet1!S71_SA34aCode,$AC:$AC,Sheet1!S71_A5CapexCode,$AD:$AD)</f>
        <v>0</v>
      </c>
      <c r="K45" s="713">
        <f>SUMIFS(Sheet1!S71_OY2BudgetAmount,Sheet1!S71_SA34aCode,$AC:$AC,Sheet1!S71_A5CapexCode,$AD:$AD)</f>
        <v>0</v>
      </c>
      <c r="L45" s="322"/>
      <c r="AC45" s="2365" t="s">
        <v>2840</v>
      </c>
      <c r="AD45" s="2365" t="s">
        <v>2805</v>
      </c>
    </row>
    <row r="46" spans="1:30" ht="13.15" customHeight="1" x14ac:dyDescent="0.25">
      <c r="A46" s="2125" t="s">
        <v>2261</v>
      </c>
      <c r="B46" s="144"/>
      <c r="C46" s="712">
        <f>SUMIFS(Sheet1!S71_PPPYearAmount,Sheet1!S71_SA34aCode,$AC:$AC,Sheet1!S71_A5CapexCode,$AD:$AD)</f>
        <v>0</v>
      </c>
      <c r="D46" s="712">
        <f>SUMIFS(Sheet1!S71_PPYearAmount,Sheet1!S71_SA34aCode,$AC:$AC,Sheet1!S71_A5CapexCode,$AD:$AD)</f>
        <v>0</v>
      </c>
      <c r="E46" s="715">
        <f>SUMIFS(Sheet1!S71_PYearAmount,Sheet1!S71_SA34aCode,$AC:$AC,Sheet1!S71_A5CapexCode,$AD:$AD)</f>
        <v>0</v>
      </c>
      <c r="F46" s="725">
        <f>SUMIFS(Sheet1!S71_OriginalBudAmnt,Sheet1!S71_SA34aCode,$AC:$AC,Sheet1!S71_A5CapexCode,$AD:$AD)</f>
        <v>0</v>
      </c>
      <c r="G46" s="712">
        <f>SUMIFS(Sheet1!S71_AdjustmentBudAmnt,Sheet1!S71_SA34aCode,$AC:$AC,Sheet1!S71_A5CapexCode,$AD:$AD)</f>
        <v>0</v>
      </c>
      <c r="H46" s="713">
        <f>SUMIFS(Sheet1!S71_AdjustmentBudAmnt,Sheet1!S71_SA34aCode,$AC:$AC,Sheet1!S71_A5CapexCode,$AD:$AD)</f>
        <v>0</v>
      </c>
      <c r="I46" s="725">
        <f>SUMIFS(Sheet1!S71_ASBudgetAmount,Sheet1!S71_SA34aCode,$AC:$AC,Sheet1!S71_A5CapexCode,$AD:$AD)</f>
        <v>0</v>
      </c>
      <c r="J46" s="712">
        <f>SUMIFS(Sheet1!S71_OY1BudgetAmount,Sheet1!S71_SA34aCode,$AC:$AC,Sheet1!S71_A5CapexCode,$AD:$AD)</f>
        <v>0</v>
      </c>
      <c r="K46" s="713">
        <f>SUMIFS(Sheet1!S71_OY2BudgetAmount,Sheet1!S71_SA34aCode,$AC:$AC,Sheet1!S71_A5CapexCode,$AD:$AD)</f>
        <v>0</v>
      </c>
      <c r="L46" s="322"/>
      <c r="AC46" s="2365" t="s">
        <v>2699</v>
      </c>
      <c r="AD46" s="2365" t="s">
        <v>2805</v>
      </c>
    </row>
    <row r="47" spans="1:30" ht="13.15" customHeight="1" x14ac:dyDescent="0.25">
      <c r="A47" s="2125" t="s">
        <v>2262</v>
      </c>
      <c r="B47" s="144"/>
      <c r="C47" s="712">
        <f>SUMIFS(Sheet1!S71_PPPYearAmount,Sheet1!S71_SA34aCode,$AC:$AC,Sheet1!S71_A5CapexCode,$AD:$AD)</f>
        <v>0</v>
      </c>
      <c r="D47" s="712">
        <f>SUMIFS(Sheet1!S71_PPYearAmount,Sheet1!S71_SA34aCode,$AC:$AC,Sheet1!S71_A5CapexCode,$AD:$AD)</f>
        <v>0</v>
      </c>
      <c r="E47" s="715">
        <f>SUMIFS(Sheet1!S71_PYearAmount,Sheet1!S71_SA34aCode,$AC:$AC,Sheet1!S71_A5CapexCode,$AD:$AD)</f>
        <v>0</v>
      </c>
      <c r="F47" s="725">
        <f>SUMIFS(Sheet1!S71_OriginalBudAmnt,Sheet1!S71_SA34aCode,$AC:$AC,Sheet1!S71_A5CapexCode,$AD:$AD)</f>
        <v>0</v>
      </c>
      <c r="G47" s="712">
        <f>SUMIFS(Sheet1!S71_AdjustmentBudAmnt,Sheet1!S71_SA34aCode,$AC:$AC,Sheet1!S71_A5CapexCode,$AD:$AD)</f>
        <v>0</v>
      </c>
      <c r="H47" s="713">
        <f>SUMIFS(Sheet1!S71_AdjustmentBudAmnt,Sheet1!S71_SA34aCode,$AC:$AC,Sheet1!S71_A5CapexCode,$AD:$AD)</f>
        <v>0</v>
      </c>
      <c r="I47" s="725">
        <f>SUMIFS(Sheet1!S71_ASBudgetAmount,Sheet1!S71_SA34aCode,$AC:$AC,Sheet1!S71_A5CapexCode,$AD:$AD)</f>
        <v>0</v>
      </c>
      <c r="J47" s="712">
        <f>SUMIFS(Sheet1!S71_OY1BudgetAmount,Sheet1!S71_SA34aCode,$AC:$AC,Sheet1!S71_A5CapexCode,$AD:$AD)</f>
        <v>0</v>
      </c>
      <c r="K47" s="713">
        <f>SUMIFS(Sheet1!S71_OY2BudgetAmount,Sheet1!S71_SA34aCode,$AC:$AC,Sheet1!S71_A5CapexCode,$AD:$AD)</f>
        <v>0</v>
      </c>
      <c r="L47" s="322"/>
      <c r="AC47" s="2365" t="s">
        <v>2841</v>
      </c>
      <c r="AD47" s="2365" t="s">
        <v>2805</v>
      </c>
    </row>
    <row r="48" spans="1:30" ht="13.15" customHeight="1" x14ac:dyDescent="0.25">
      <c r="A48" s="2125" t="s">
        <v>2263</v>
      </c>
      <c r="B48" s="144"/>
      <c r="C48" s="712">
        <f>SUMIFS(Sheet1!S71_PPPYearAmount,Sheet1!S71_SA34aCode,$AC:$AC,Sheet1!S71_A5CapexCode,$AD:$AD)</f>
        <v>0</v>
      </c>
      <c r="D48" s="712">
        <f>SUMIFS(Sheet1!S71_PPYearAmount,Sheet1!S71_SA34aCode,$AC:$AC,Sheet1!S71_A5CapexCode,$AD:$AD)</f>
        <v>0</v>
      </c>
      <c r="E48" s="715">
        <f>SUMIFS(Sheet1!S71_PYearAmount,Sheet1!S71_SA34aCode,$AC:$AC,Sheet1!S71_A5CapexCode,$AD:$AD)</f>
        <v>0</v>
      </c>
      <c r="F48" s="725">
        <f>SUMIFS(Sheet1!S71_OriginalBudAmnt,Sheet1!S71_SA34aCode,$AC:$AC,Sheet1!S71_A5CapexCode,$AD:$AD)</f>
        <v>0</v>
      </c>
      <c r="G48" s="712">
        <f>SUMIFS(Sheet1!S71_AdjustmentBudAmnt,Sheet1!S71_SA34aCode,$AC:$AC,Sheet1!S71_A5CapexCode,$AD:$AD)</f>
        <v>0</v>
      </c>
      <c r="H48" s="713">
        <f>SUMIFS(Sheet1!S71_AdjustmentBudAmnt,Sheet1!S71_SA34aCode,$AC:$AC,Sheet1!S71_A5CapexCode,$AD:$AD)</f>
        <v>0</v>
      </c>
      <c r="I48" s="725">
        <f>SUMIFS(Sheet1!S71_ASBudgetAmount,Sheet1!S71_SA34aCode,$AC:$AC,Sheet1!S71_A5CapexCode,$AD:$AD)</f>
        <v>0</v>
      </c>
      <c r="J48" s="712">
        <f>SUMIFS(Sheet1!S71_OY1BudgetAmount,Sheet1!S71_SA34aCode,$AC:$AC,Sheet1!S71_A5CapexCode,$AD:$AD)</f>
        <v>0</v>
      </c>
      <c r="K48" s="713">
        <f>SUMIFS(Sheet1!S71_OY2BudgetAmount,Sheet1!S71_SA34aCode,$AC:$AC,Sheet1!S71_A5CapexCode,$AD:$AD)</f>
        <v>0</v>
      </c>
      <c r="L48" s="2126"/>
      <c r="AC48" s="2365" t="s">
        <v>2842</v>
      </c>
      <c r="AD48" s="2365" t="s">
        <v>2805</v>
      </c>
    </row>
    <row r="49" spans="1:30" ht="13.15" customHeight="1" x14ac:dyDescent="0.25">
      <c r="A49" s="2125" t="s">
        <v>2264</v>
      </c>
      <c r="B49" s="144"/>
      <c r="C49" s="712">
        <f>SUMIFS(Sheet1!S71_PPPYearAmount,Sheet1!S71_SA34aCode,$AC:$AC,Sheet1!S71_A5CapexCode,$AD:$AD)</f>
        <v>0</v>
      </c>
      <c r="D49" s="712">
        <f>SUMIFS(Sheet1!S71_PPYearAmount,Sheet1!S71_SA34aCode,$AC:$AC,Sheet1!S71_A5CapexCode,$AD:$AD)</f>
        <v>0</v>
      </c>
      <c r="E49" s="715">
        <f>SUMIFS(Sheet1!S71_PYearAmount,Sheet1!S71_SA34aCode,$AC:$AC,Sheet1!S71_A5CapexCode,$AD:$AD)</f>
        <v>0</v>
      </c>
      <c r="F49" s="725">
        <f>SUMIFS(Sheet1!S71_OriginalBudAmnt,Sheet1!S71_SA34aCode,$AC:$AC,Sheet1!S71_A5CapexCode,$AD:$AD)</f>
        <v>0</v>
      </c>
      <c r="G49" s="712">
        <f>SUMIFS(Sheet1!S71_AdjustmentBudAmnt,Sheet1!S71_SA34aCode,$AC:$AC,Sheet1!S71_A5CapexCode,$AD:$AD)</f>
        <v>0</v>
      </c>
      <c r="H49" s="713">
        <f>SUMIFS(Sheet1!S71_AdjustmentBudAmnt,Sheet1!S71_SA34aCode,$AC:$AC,Sheet1!S71_A5CapexCode,$AD:$AD)</f>
        <v>0</v>
      </c>
      <c r="I49" s="725">
        <f>SUMIFS(Sheet1!S71_ASBudgetAmount,Sheet1!S71_SA34aCode,$AC:$AC,Sheet1!S71_A5CapexCode,$AD:$AD)</f>
        <v>0</v>
      </c>
      <c r="J49" s="712">
        <f>SUMIFS(Sheet1!S71_OY1BudgetAmount,Sheet1!S71_SA34aCode,$AC:$AC,Sheet1!S71_A5CapexCode,$AD:$AD)</f>
        <v>0</v>
      </c>
      <c r="K49" s="713">
        <f>SUMIFS(Sheet1!S71_OY2BudgetAmount,Sheet1!S71_SA34aCode,$AC:$AC,Sheet1!S71_A5CapexCode,$AD:$AD)</f>
        <v>0</v>
      </c>
      <c r="L49" s="322"/>
      <c r="AC49" s="2365" t="s">
        <v>2843</v>
      </c>
      <c r="AD49" s="2365" t="s">
        <v>2805</v>
      </c>
    </row>
    <row r="50" spans="1:30" ht="13.15" customHeight="1" x14ac:dyDescent="0.25">
      <c r="A50" s="2125" t="s">
        <v>2265</v>
      </c>
      <c r="B50" s="144"/>
      <c r="C50" s="712">
        <f>SUMIFS(Sheet1!S71_PPPYearAmount,Sheet1!S71_SA34aCode,$AC:$AC,Sheet1!S71_A5CapexCode,$AD:$AD)</f>
        <v>0</v>
      </c>
      <c r="D50" s="712">
        <f>SUMIFS(Sheet1!S71_PPYearAmount,Sheet1!S71_SA34aCode,$AC:$AC,Sheet1!S71_A5CapexCode,$AD:$AD)</f>
        <v>0</v>
      </c>
      <c r="E50" s="715">
        <f>SUMIFS(Sheet1!S71_PYearAmount,Sheet1!S71_SA34aCode,$AC:$AC,Sheet1!S71_A5CapexCode,$AD:$AD)</f>
        <v>0</v>
      </c>
      <c r="F50" s="725">
        <f>SUMIFS(Sheet1!S71_OriginalBudAmnt,Sheet1!S71_SA34aCode,$AC:$AC,Sheet1!S71_A5CapexCode,$AD:$AD)</f>
        <v>0</v>
      </c>
      <c r="G50" s="712">
        <f>SUMIFS(Sheet1!S71_AdjustmentBudAmnt,Sheet1!S71_SA34aCode,$AC:$AC,Sheet1!S71_A5CapexCode,$AD:$AD)</f>
        <v>0</v>
      </c>
      <c r="H50" s="713">
        <f>SUMIFS(Sheet1!S71_AdjustmentBudAmnt,Sheet1!S71_SA34aCode,$AC:$AC,Sheet1!S71_A5CapexCode,$AD:$AD)</f>
        <v>0</v>
      </c>
      <c r="I50" s="725">
        <f>SUMIFS(Sheet1!S71_ASBudgetAmount,Sheet1!S71_SA34aCode,$AC:$AC,Sheet1!S71_A5CapexCode,$AD:$AD)</f>
        <v>0</v>
      </c>
      <c r="J50" s="712">
        <f>SUMIFS(Sheet1!S71_OY1BudgetAmount,Sheet1!S71_SA34aCode,$AC:$AC,Sheet1!S71_A5CapexCode,$AD:$AD)</f>
        <v>0</v>
      </c>
      <c r="K50" s="713">
        <f>SUMIFS(Sheet1!S71_OY2BudgetAmount,Sheet1!S71_SA34aCode,$AC:$AC,Sheet1!S71_A5CapexCode,$AD:$AD)</f>
        <v>0</v>
      </c>
      <c r="L50" s="322"/>
      <c r="AC50" s="2365" t="s">
        <v>2844</v>
      </c>
      <c r="AD50" s="2365" t="s">
        <v>2805</v>
      </c>
    </row>
    <row r="51" spans="1:30" ht="13.15" customHeight="1" x14ac:dyDescent="0.25">
      <c r="A51" s="2125" t="s">
        <v>2233</v>
      </c>
      <c r="B51" s="144"/>
      <c r="C51" s="712">
        <f>SUMIFS(Sheet1!S71_PPPYearAmount,Sheet1!S71_SA34aCode,$AC:$AC,Sheet1!S71_A5CapexCode,$AD:$AD)</f>
        <v>0</v>
      </c>
      <c r="D51" s="712">
        <f>SUMIFS(Sheet1!S71_PPYearAmount,Sheet1!S71_SA34aCode,$AC:$AC,Sheet1!S71_A5CapexCode,$AD:$AD)</f>
        <v>0</v>
      </c>
      <c r="E51" s="715">
        <f>SUMIFS(Sheet1!S71_PYearAmount,Sheet1!S71_SA34aCode,$AC:$AC,Sheet1!S71_A5CapexCode,$AD:$AD)</f>
        <v>0</v>
      </c>
      <c r="F51" s="725">
        <f>SUMIFS(Sheet1!S71_OriginalBudAmnt,Sheet1!S71_SA34aCode,$AC:$AC,Sheet1!S71_A5CapexCode,$AD:$AD)</f>
        <v>0</v>
      </c>
      <c r="G51" s="712">
        <f>SUMIFS(Sheet1!S71_AdjustmentBudAmnt,Sheet1!S71_SA34aCode,$AC:$AC,Sheet1!S71_A5CapexCode,$AD:$AD)</f>
        <v>0</v>
      </c>
      <c r="H51" s="713">
        <f>SUMIFS(Sheet1!S71_AdjustmentBudAmnt,Sheet1!S71_SA34aCode,$AC:$AC,Sheet1!S71_A5CapexCode,$AD:$AD)</f>
        <v>0</v>
      </c>
      <c r="I51" s="725">
        <f>SUMIFS(Sheet1!S71_ASBudgetAmount,Sheet1!S71_SA34aCode,$AC:$AC,Sheet1!S71_A5CapexCode,$AD:$AD)</f>
        <v>0</v>
      </c>
      <c r="J51" s="712">
        <f>SUMIFS(Sheet1!S71_OY1BudgetAmount,Sheet1!S71_SA34aCode,$AC:$AC,Sheet1!S71_A5CapexCode,$AD:$AD)</f>
        <v>0</v>
      </c>
      <c r="K51" s="713">
        <f>SUMIFS(Sheet1!S71_OY2BudgetAmount,Sheet1!S71_SA34aCode,$AC:$AC,Sheet1!S71_A5CapexCode,$AD:$AD)</f>
        <v>0</v>
      </c>
      <c r="L51" s="322"/>
      <c r="AC51" s="2365" t="s">
        <v>2845</v>
      </c>
      <c r="AD51" s="2365" t="s">
        <v>2805</v>
      </c>
    </row>
    <row r="52" spans="1:30" ht="13.15" customHeight="1" x14ac:dyDescent="0.25">
      <c r="A52" s="104" t="s">
        <v>2275</v>
      </c>
      <c r="B52" s="144"/>
      <c r="C52" s="71">
        <f t="shared" ref="C52:K52" si="7">SUM(C53:C61)</f>
        <v>0</v>
      </c>
      <c r="D52" s="71">
        <f t="shared" si="7"/>
        <v>0</v>
      </c>
      <c r="E52" s="305">
        <f t="shared" si="7"/>
        <v>0</v>
      </c>
      <c r="F52" s="75">
        <f t="shared" si="7"/>
        <v>0</v>
      </c>
      <c r="G52" s="71">
        <f t="shared" si="7"/>
        <v>0</v>
      </c>
      <c r="H52" s="117">
        <f t="shared" si="7"/>
        <v>0</v>
      </c>
      <c r="I52" s="75">
        <f t="shared" si="7"/>
        <v>0</v>
      </c>
      <c r="J52" s="71">
        <f t="shared" si="7"/>
        <v>0</v>
      </c>
      <c r="K52" s="117">
        <f t="shared" si="7"/>
        <v>0</v>
      </c>
      <c r="L52" s="2126"/>
      <c r="AD52" s="2365" t="s">
        <v>2805</v>
      </c>
    </row>
    <row r="53" spans="1:30" ht="13.15" customHeight="1" x14ac:dyDescent="0.25">
      <c r="A53" s="2125" t="s">
        <v>2276</v>
      </c>
      <c r="B53" s="144"/>
      <c r="C53" s="712">
        <f>SUMIFS(Sheet1!S71_PPPYearAmount,Sheet1!S71_SA34aCode,$AC:$AC,Sheet1!S71_A5CapexCode,$AD:$AD)</f>
        <v>0</v>
      </c>
      <c r="D53" s="712">
        <f>SUMIFS(Sheet1!S71_PPYearAmount,Sheet1!S71_SA34aCode,$AC:$AC,Sheet1!S71_A5CapexCode,$AD:$AD)</f>
        <v>0</v>
      </c>
      <c r="E53" s="715">
        <f>SUMIFS(Sheet1!S71_PYearAmount,Sheet1!S71_SA34aCode,$AC:$AC,Sheet1!S71_A5CapexCode,$AD:$AD)</f>
        <v>0</v>
      </c>
      <c r="F53" s="725">
        <f>SUMIFS(Sheet1!S71_OriginalBudAmnt,Sheet1!S71_SA34aCode,$AC:$AC,Sheet1!S71_A5CapexCode,$AD:$AD)</f>
        <v>0</v>
      </c>
      <c r="G53" s="712">
        <f>SUMIFS(Sheet1!S71_AdjustmentBudAmnt,Sheet1!S71_SA34aCode,$AC:$AC,Sheet1!S71_A5CapexCode,$AD:$AD)</f>
        <v>0</v>
      </c>
      <c r="H53" s="713">
        <f>SUMIFS(Sheet1!S71_AdjustmentBudAmnt,Sheet1!S71_SA34aCode,$AC:$AC,Sheet1!S71_A5CapexCode,$AD:$AD)</f>
        <v>0</v>
      </c>
      <c r="I53" s="725">
        <f>SUMIFS(Sheet1!S71_ASBudgetAmount,Sheet1!S71_SA34aCode,$AC:$AC,Sheet1!S71_A5CapexCode,$AD:$AD)</f>
        <v>0</v>
      </c>
      <c r="J53" s="712">
        <f>SUMIFS(Sheet1!S71_OY1BudgetAmount,Sheet1!S71_SA34aCode,$AC:$AC,Sheet1!S71_A5CapexCode,$AD:$AD)</f>
        <v>0</v>
      </c>
      <c r="K53" s="713">
        <f>SUMIFS(Sheet1!S71_OY2BudgetAmount,Sheet1!S71_SA34aCode,$AC:$AC,Sheet1!S71_A5CapexCode,$AD:$AD)</f>
        <v>0</v>
      </c>
      <c r="L53" s="322"/>
      <c r="AC53" s="2365" t="s">
        <v>2846</v>
      </c>
      <c r="AD53" s="2365" t="s">
        <v>2805</v>
      </c>
    </row>
    <row r="54" spans="1:30" ht="13.15" customHeight="1" x14ac:dyDescent="0.25">
      <c r="A54" s="2125" t="s">
        <v>2277</v>
      </c>
      <c r="B54" s="144"/>
      <c r="C54" s="712">
        <f>SUMIFS(Sheet1!S71_PPPYearAmount,Sheet1!S71_SA34aCode,$AC:$AC,Sheet1!S71_A5CapexCode,$AD:$AD)</f>
        <v>0</v>
      </c>
      <c r="D54" s="712">
        <f>SUMIFS(Sheet1!S71_PPYearAmount,Sheet1!S71_SA34aCode,$AC:$AC,Sheet1!S71_A5CapexCode,$AD:$AD)</f>
        <v>0</v>
      </c>
      <c r="E54" s="715">
        <f>SUMIFS(Sheet1!S71_PYearAmount,Sheet1!S71_SA34aCode,$AC:$AC,Sheet1!S71_A5CapexCode,$AD:$AD)</f>
        <v>0</v>
      </c>
      <c r="F54" s="725">
        <f>SUMIFS(Sheet1!S71_OriginalBudAmnt,Sheet1!S71_SA34aCode,$AC:$AC,Sheet1!S71_A5CapexCode,$AD:$AD)</f>
        <v>0</v>
      </c>
      <c r="G54" s="712">
        <f>SUMIFS(Sheet1!S71_AdjustmentBudAmnt,Sheet1!S71_SA34aCode,$AC:$AC,Sheet1!S71_A5CapexCode,$AD:$AD)</f>
        <v>0</v>
      </c>
      <c r="H54" s="713">
        <f>SUMIFS(Sheet1!S71_AdjustmentBudAmnt,Sheet1!S71_SA34aCode,$AC:$AC,Sheet1!S71_A5CapexCode,$AD:$AD)</f>
        <v>0</v>
      </c>
      <c r="I54" s="725">
        <f>SUMIFS(Sheet1!S71_ASBudgetAmount,Sheet1!S71_SA34aCode,$AC:$AC,Sheet1!S71_A5CapexCode,$AD:$AD)</f>
        <v>0</v>
      </c>
      <c r="J54" s="712">
        <f>SUMIFS(Sheet1!S71_OY1BudgetAmount,Sheet1!S71_SA34aCode,$AC:$AC,Sheet1!S71_A5CapexCode,$AD:$AD)</f>
        <v>0</v>
      </c>
      <c r="K54" s="713">
        <f>SUMIFS(Sheet1!S71_OY2BudgetAmount,Sheet1!S71_SA34aCode,$AC:$AC,Sheet1!S71_A5CapexCode,$AD:$AD)</f>
        <v>0</v>
      </c>
      <c r="L54" s="2126"/>
      <c r="AC54" s="2365" t="s">
        <v>2847</v>
      </c>
      <c r="AD54" s="2365" t="s">
        <v>2805</v>
      </c>
    </row>
    <row r="55" spans="1:30" ht="13.15" customHeight="1" x14ac:dyDescent="0.25">
      <c r="A55" s="2125" t="s">
        <v>2278</v>
      </c>
      <c r="B55" s="144"/>
      <c r="C55" s="712">
        <f>SUMIFS(Sheet1!S71_PPPYearAmount,Sheet1!S71_SA34aCode,$AC:$AC,Sheet1!S71_A5CapexCode,$AD:$AD)</f>
        <v>0</v>
      </c>
      <c r="D55" s="712">
        <f>SUMIFS(Sheet1!S71_PPYearAmount,Sheet1!S71_SA34aCode,$AC:$AC,Sheet1!S71_A5CapexCode,$AD:$AD)</f>
        <v>0</v>
      </c>
      <c r="E55" s="715">
        <f>SUMIFS(Sheet1!S71_PYearAmount,Sheet1!S71_SA34aCode,$AC:$AC,Sheet1!S71_A5CapexCode,$AD:$AD)</f>
        <v>0</v>
      </c>
      <c r="F55" s="725">
        <f>SUMIFS(Sheet1!S71_OriginalBudAmnt,Sheet1!S71_SA34aCode,$AC:$AC,Sheet1!S71_A5CapexCode,$AD:$AD)</f>
        <v>0</v>
      </c>
      <c r="G55" s="712">
        <f>SUMIFS(Sheet1!S71_AdjustmentBudAmnt,Sheet1!S71_SA34aCode,$AC:$AC,Sheet1!S71_A5CapexCode,$AD:$AD)</f>
        <v>0</v>
      </c>
      <c r="H55" s="713">
        <f>SUMIFS(Sheet1!S71_AdjustmentBudAmnt,Sheet1!S71_SA34aCode,$AC:$AC,Sheet1!S71_A5CapexCode,$AD:$AD)</f>
        <v>0</v>
      </c>
      <c r="I55" s="725">
        <f>SUMIFS(Sheet1!S71_ASBudgetAmount,Sheet1!S71_SA34aCode,$AC:$AC,Sheet1!S71_A5CapexCode,$AD:$AD)</f>
        <v>0</v>
      </c>
      <c r="J55" s="712">
        <f>SUMIFS(Sheet1!S71_OY1BudgetAmount,Sheet1!S71_SA34aCode,$AC:$AC,Sheet1!S71_A5CapexCode,$AD:$AD)</f>
        <v>0</v>
      </c>
      <c r="K55" s="713">
        <f>SUMIFS(Sheet1!S71_OY2BudgetAmount,Sheet1!S71_SA34aCode,$AC:$AC,Sheet1!S71_A5CapexCode,$AD:$AD)</f>
        <v>0</v>
      </c>
      <c r="L55" s="2126"/>
      <c r="AC55" s="2365" t="s">
        <v>2848</v>
      </c>
      <c r="AD55" s="2365" t="s">
        <v>2805</v>
      </c>
    </row>
    <row r="56" spans="1:30" ht="13.15" customHeight="1" x14ac:dyDescent="0.25">
      <c r="A56" s="2125" t="s">
        <v>2235</v>
      </c>
      <c r="B56" s="144"/>
      <c r="C56" s="712">
        <f>SUMIFS(Sheet1!S71_PPPYearAmount,Sheet1!S71_SA34aCode,$AC:$AC,Sheet1!S71_A5CapexCode,$AD:$AD)</f>
        <v>0</v>
      </c>
      <c r="D56" s="712">
        <f>SUMIFS(Sheet1!S71_PPYearAmount,Sheet1!S71_SA34aCode,$AC:$AC,Sheet1!S71_A5CapexCode,$AD:$AD)</f>
        <v>0</v>
      </c>
      <c r="E56" s="715">
        <f>SUMIFS(Sheet1!S71_PYearAmount,Sheet1!S71_SA34aCode,$AC:$AC,Sheet1!S71_A5CapexCode,$AD:$AD)</f>
        <v>0</v>
      </c>
      <c r="F56" s="725">
        <f>SUMIFS(Sheet1!S71_OriginalBudAmnt,Sheet1!S71_SA34aCode,$AC:$AC,Sheet1!S71_A5CapexCode,$AD:$AD)</f>
        <v>0</v>
      </c>
      <c r="G56" s="712">
        <f>SUMIFS(Sheet1!S71_AdjustmentBudAmnt,Sheet1!S71_SA34aCode,$AC:$AC,Sheet1!S71_A5CapexCode,$AD:$AD)</f>
        <v>0</v>
      </c>
      <c r="H56" s="713">
        <f>SUMIFS(Sheet1!S71_AdjustmentBudAmnt,Sheet1!S71_SA34aCode,$AC:$AC,Sheet1!S71_A5CapexCode,$AD:$AD)</f>
        <v>0</v>
      </c>
      <c r="I56" s="725">
        <f>SUMIFS(Sheet1!S71_ASBudgetAmount,Sheet1!S71_SA34aCode,$AC:$AC,Sheet1!S71_A5CapexCode,$AD:$AD)</f>
        <v>0</v>
      </c>
      <c r="J56" s="712">
        <f>SUMIFS(Sheet1!S71_OY1BudgetAmount,Sheet1!S71_SA34aCode,$AC:$AC,Sheet1!S71_A5CapexCode,$AD:$AD)</f>
        <v>0</v>
      </c>
      <c r="K56" s="713">
        <f>SUMIFS(Sheet1!S71_OY2BudgetAmount,Sheet1!S71_SA34aCode,$AC:$AC,Sheet1!S71_A5CapexCode,$AD:$AD)</f>
        <v>0</v>
      </c>
      <c r="L56" s="2126"/>
      <c r="AC56" s="2365" t="s">
        <v>2700</v>
      </c>
      <c r="AD56" s="2365" t="s">
        <v>2805</v>
      </c>
    </row>
    <row r="57" spans="1:30" ht="13.15" customHeight="1" x14ac:dyDescent="0.25">
      <c r="A57" s="2125" t="s">
        <v>2236</v>
      </c>
      <c r="B57" s="144"/>
      <c r="C57" s="712">
        <f>SUMIFS(Sheet1!S71_PPPYearAmount,Sheet1!S71_SA34aCode,$AC:$AC,Sheet1!S71_A5CapexCode,$AD:$AD)</f>
        <v>0</v>
      </c>
      <c r="D57" s="712">
        <f>SUMIFS(Sheet1!S71_PPYearAmount,Sheet1!S71_SA34aCode,$AC:$AC,Sheet1!S71_A5CapexCode,$AD:$AD)</f>
        <v>0</v>
      </c>
      <c r="E57" s="715">
        <f>SUMIFS(Sheet1!S71_PYearAmount,Sheet1!S71_SA34aCode,$AC:$AC,Sheet1!S71_A5CapexCode,$AD:$AD)</f>
        <v>0</v>
      </c>
      <c r="F57" s="725">
        <f>SUMIFS(Sheet1!S71_OriginalBudAmnt,Sheet1!S71_SA34aCode,$AC:$AC,Sheet1!S71_A5CapexCode,$AD:$AD)</f>
        <v>0</v>
      </c>
      <c r="G57" s="712">
        <f>SUMIFS(Sheet1!S71_AdjustmentBudAmnt,Sheet1!S71_SA34aCode,$AC:$AC,Sheet1!S71_A5CapexCode,$AD:$AD)</f>
        <v>0</v>
      </c>
      <c r="H57" s="713">
        <f>SUMIFS(Sheet1!S71_AdjustmentBudAmnt,Sheet1!S71_SA34aCode,$AC:$AC,Sheet1!S71_A5CapexCode,$AD:$AD)</f>
        <v>0</v>
      </c>
      <c r="I57" s="725">
        <f>SUMIFS(Sheet1!S71_ASBudgetAmount,Sheet1!S71_SA34aCode,$AC:$AC,Sheet1!S71_A5CapexCode,$AD:$AD)</f>
        <v>0</v>
      </c>
      <c r="J57" s="712">
        <f>SUMIFS(Sheet1!S71_OY1BudgetAmount,Sheet1!S71_SA34aCode,$AC:$AC,Sheet1!S71_A5CapexCode,$AD:$AD)</f>
        <v>0</v>
      </c>
      <c r="K57" s="713">
        <f>SUMIFS(Sheet1!S71_OY2BudgetAmount,Sheet1!S71_SA34aCode,$AC:$AC,Sheet1!S71_A5CapexCode,$AD:$AD)</f>
        <v>0</v>
      </c>
      <c r="L57" s="2126"/>
      <c r="AC57" s="2365" t="s">
        <v>2849</v>
      </c>
      <c r="AD57" s="2365" t="s">
        <v>2805</v>
      </c>
    </row>
    <row r="58" spans="1:30" ht="13.15" customHeight="1" x14ac:dyDescent="0.25">
      <c r="A58" s="2125" t="s">
        <v>2237</v>
      </c>
      <c r="B58" s="144"/>
      <c r="C58" s="712">
        <f>SUMIFS(Sheet1!S71_PPPYearAmount,Sheet1!S71_SA34aCode,$AC:$AC,Sheet1!S71_A5CapexCode,$AD:$AD)</f>
        <v>0</v>
      </c>
      <c r="D58" s="712">
        <f>SUMIFS(Sheet1!S71_PPYearAmount,Sheet1!S71_SA34aCode,$AC:$AC,Sheet1!S71_A5CapexCode,$AD:$AD)</f>
        <v>0</v>
      </c>
      <c r="E58" s="715">
        <f>SUMIFS(Sheet1!S71_PYearAmount,Sheet1!S71_SA34aCode,$AC:$AC,Sheet1!S71_A5CapexCode,$AD:$AD)</f>
        <v>0</v>
      </c>
      <c r="F58" s="725">
        <f>SUMIFS(Sheet1!S71_OriginalBudAmnt,Sheet1!S71_SA34aCode,$AC:$AC,Sheet1!S71_A5CapexCode,$AD:$AD)</f>
        <v>0</v>
      </c>
      <c r="G58" s="712">
        <f>SUMIFS(Sheet1!S71_AdjustmentBudAmnt,Sheet1!S71_SA34aCode,$AC:$AC,Sheet1!S71_A5CapexCode,$AD:$AD)</f>
        <v>0</v>
      </c>
      <c r="H58" s="713">
        <f>SUMIFS(Sheet1!S71_AdjustmentBudAmnt,Sheet1!S71_SA34aCode,$AC:$AC,Sheet1!S71_A5CapexCode,$AD:$AD)</f>
        <v>0</v>
      </c>
      <c r="I58" s="725">
        <f>SUMIFS(Sheet1!S71_ASBudgetAmount,Sheet1!S71_SA34aCode,$AC:$AC,Sheet1!S71_A5CapexCode,$AD:$AD)</f>
        <v>0</v>
      </c>
      <c r="J58" s="712">
        <f>SUMIFS(Sheet1!S71_OY1BudgetAmount,Sheet1!S71_SA34aCode,$AC:$AC,Sheet1!S71_A5CapexCode,$AD:$AD)</f>
        <v>0</v>
      </c>
      <c r="K58" s="713">
        <f>SUMIFS(Sheet1!S71_OY2BudgetAmount,Sheet1!S71_SA34aCode,$AC:$AC,Sheet1!S71_A5CapexCode,$AD:$AD)</f>
        <v>0</v>
      </c>
      <c r="L58" s="2124"/>
      <c r="AC58" s="2365" t="s">
        <v>2850</v>
      </c>
      <c r="AD58" s="2365" t="s">
        <v>2805</v>
      </c>
    </row>
    <row r="59" spans="1:30" ht="13.15" customHeight="1" x14ac:dyDescent="0.25">
      <c r="A59" s="2125" t="s">
        <v>2242</v>
      </c>
      <c r="B59" s="144"/>
      <c r="C59" s="712">
        <f>SUMIFS(Sheet1!S71_PPPYearAmount,Sheet1!S71_SA34aCode,$AC:$AC,Sheet1!S71_A5CapexCode,$AD:$AD)</f>
        <v>0</v>
      </c>
      <c r="D59" s="712">
        <f>SUMIFS(Sheet1!S71_PPYearAmount,Sheet1!S71_SA34aCode,$AC:$AC,Sheet1!S71_A5CapexCode,$AD:$AD)</f>
        <v>0</v>
      </c>
      <c r="E59" s="715">
        <f>SUMIFS(Sheet1!S71_PYearAmount,Sheet1!S71_SA34aCode,$AC:$AC,Sheet1!S71_A5CapexCode,$AD:$AD)</f>
        <v>0</v>
      </c>
      <c r="F59" s="725">
        <f>SUMIFS(Sheet1!S71_OriginalBudAmnt,Sheet1!S71_SA34aCode,$AC:$AC,Sheet1!S71_A5CapexCode,$AD:$AD)</f>
        <v>0</v>
      </c>
      <c r="G59" s="712">
        <f>SUMIFS(Sheet1!S71_AdjustmentBudAmnt,Sheet1!S71_SA34aCode,$AC:$AC,Sheet1!S71_A5CapexCode,$AD:$AD)</f>
        <v>0</v>
      </c>
      <c r="H59" s="713">
        <f>SUMIFS(Sheet1!S71_AdjustmentBudAmnt,Sheet1!S71_SA34aCode,$AC:$AC,Sheet1!S71_A5CapexCode,$AD:$AD)</f>
        <v>0</v>
      </c>
      <c r="I59" s="725">
        <f>SUMIFS(Sheet1!S71_ASBudgetAmount,Sheet1!S71_SA34aCode,$AC:$AC,Sheet1!S71_A5CapexCode,$AD:$AD)</f>
        <v>0</v>
      </c>
      <c r="J59" s="712">
        <f>SUMIFS(Sheet1!S71_OY1BudgetAmount,Sheet1!S71_SA34aCode,$AC:$AC,Sheet1!S71_A5CapexCode,$AD:$AD)</f>
        <v>0</v>
      </c>
      <c r="K59" s="713">
        <f>SUMIFS(Sheet1!S71_OY2BudgetAmount,Sheet1!S71_SA34aCode,$AC:$AC,Sheet1!S71_A5CapexCode,$AD:$AD)</f>
        <v>0</v>
      </c>
      <c r="L59" s="2126"/>
      <c r="AC59" s="2365" t="s">
        <v>2851</v>
      </c>
      <c r="AD59" s="2365" t="s">
        <v>2805</v>
      </c>
    </row>
    <row r="60" spans="1:30" ht="13.15" customHeight="1" x14ac:dyDescent="0.25">
      <c r="A60" s="2125" t="s">
        <v>2245</v>
      </c>
      <c r="B60" s="144"/>
      <c r="C60" s="712">
        <f>SUMIFS(Sheet1!S71_PPPYearAmount,Sheet1!S71_SA34aCode,$AC:$AC,Sheet1!S71_A5CapexCode,$AD:$AD)</f>
        <v>0</v>
      </c>
      <c r="D60" s="712">
        <f>SUMIFS(Sheet1!S71_PPYearAmount,Sheet1!S71_SA34aCode,$AC:$AC,Sheet1!S71_A5CapexCode,$AD:$AD)</f>
        <v>0</v>
      </c>
      <c r="E60" s="715">
        <f>SUMIFS(Sheet1!S71_PYearAmount,Sheet1!S71_SA34aCode,$AC:$AC,Sheet1!S71_A5CapexCode,$AD:$AD)</f>
        <v>0</v>
      </c>
      <c r="F60" s="725">
        <f>SUMIFS(Sheet1!S71_OriginalBudAmnt,Sheet1!S71_SA34aCode,$AC:$AC,Sheet1!S71_A5CapexCode,$AD:$AD)</f>
        <v>0</v>
      </c>
      <c r="G60" s="712">
        <f>SUMIFS(Sheet1!S71_AdjustmentBudAmnt,Sheet1!S71_SA34aCode,$AC:$AC,Sheet1!S71_A5CapexCode,$AD:$AD)</f>
        <v>0</v>
      </c>
      <c r="H60" s="713">
        <f>SUMIFS(Sheet1!S71_AdjustmentBudAmnt,Sheet1!S71_SA34aCode,$AC:$AC,Sheet1!S71_A5CapexCode,$AD:$AD)</f>
        <v>0</v>
      </c>
      <c r="I60" s="725">
        <f>SUMIFS(Sheet1!S71_ASBudgetAmount,Sheet1!S71_SA34aCode,$AC:$AC,Sheet1!S71_A5CapexCode,$AD:$AD)</f>
        <v>0</v>
      </c>
      <c r="J60" s="712">
        <f>SUMIFS(Sheet1!S71_OY1BudgetAmount,Sheet1!S71_SA34aCode,$AC:$AC,Sheet1!S71_A5CapexCode,$AD:$AD)</f>
        <v>0</v>
      </c>
      <c r="K60" s="713">
        <f>SUMIFS(Sheet1!S71_OY2BudgetAmount,Sheet1!S71_SA34aCode,$AC:$AC,Sheet1!S71_A5CapexCode,$AD:$AD)</f>
        <v>0</v>
      </c>
      <c r="L60" s="2126"/>
      <c r="AC60" s="2365" t="s">
        <v>2852</v>
      </c>
      <c r="AD60" s="2365" t="s">
        <v>2805</v>
      </c>
    </row>
    <row r="61" spans="1:30" ht="13.15" customHeight="1" x14ac:dyDescent="0.25">
      <c r="A61" s="2125" t="s">
        <v>2233</v>
      </c>
      <c r="B61" s="144"/>
      <c r="C61" s="712">
        <f>SUMIFS(Sheet1!S71_PPPYearAmount,Sheet1!S71_SA34aCode,$AC:$AC,Sheet1!S71_A5CapexCode,$AD:$AD)</f>
        <v>0</v>
      </c>
      <c r="D61" s="712">
        <f>SUMIFS(Sheet1!S71_PPYearAmount,Sheet1!S71_SA34aCode,$AC:$AC,Sheet1!S71_A5CapexCode,$AD:$AD)</f>
        <v>0</v>
      </c>
      <c r="E61" s="715">
        <f>SUMIFS(Sheet1!S71_PYearAmount,Sheet1!S71_SA34aCode,$AC:$AC,Sheet1!S71_A5CapexCode,$AD:$AD)</f>
        <v>0</v>
      </c>
      <c r="F61" s="725">
        <f>SUMIFS(Sheet1!S71_OriginalBudAmnt,Sheet1!S71_SA34aCode,$AC:$AC,Sheet1!S71_A5CapexCode,$AD:$AD)</f>
        <v>0</v>
      </c>
      <c r="G61" s="712">
        <f>SUMIFS(Sheet1!S71_AdjustmentBudAmnt,Sheet1!S71_SA34aCode,$AC:$AC,Sheet1!S71_A5CapexCode,$AD:$AD)</f>
        <v>0</v>
      </c>
      <c r="H61" s="713">
        <f>SUMIFS(Sheet1!S71_AdjustmentBudAmnt,Sheet1!S71_SA34aCode,$AC:$AC,Sheet1!S71_A5CapexCode,$AD:$AD)</f>
        <v>0</v>
      </c>
      <c r="I61" s="725">
        <f>SUMIFS(Sheet1!S71_ASBudgetAmount,Sheet1!S71_SA34aCode,$AC:$AC,Sheet1!S71_A5CapexCode,$AD:$AD)</f>
        <v>0</v>
      </c>
      <c r="J61" s="712">
        <f>SUMIFS(Sheet1!S71_OY1BudgetAmount,Sheet1!S71_SA34aCode,$AC:$AC,Sheet1!S71_A5CapexCode,$AD:$AD)</f>
        <v>0</v>
      </c>
      <c r="K61" s="713">
        <f>SUMIFS(Sheet1!S71_OY2BudgetAmount,Sheet1!S71_SA34aCode,$AC:$AC,Sheet1!S71_A5CapexCode,$AD:$AD)</f>
        <v>0</v>
      </c>
      <c r="L61" s="2126"/>
      <c r="AC61" s="2365" t="s">
        <v>2853</v>
      </c>
      <c r="AD61" s="2365" t="s">
        <v>2805</v>
      </c>
    </row>
    <row r="62" spans="1:30" ht="13.15" customHeight="1" x14ac:dyDescent="0.25">
      <c r="A62" s="137" t="s">
        <v>2270</v>
      </c>
      <c r="B62" s="144"/>
      <c r="C62" s="71">
        <f>SUM(C63:C67)</f>
        <v>0</v>
      </c>
      <c r="D62" s="71">
        <f t="shared" ref="D62:K62" si="8">SUM(D63:D67)</f>
        <v>0</v>
      </c>
      <c r="E62" s="305">
        <f t="shared" si="8"/>
        <v>0</v>
      </c>
      <c r="F62" s="75">
        <f t="shared" si="8"/>
        <v>0</v>
      </c>
      <c r="G62" s="71">
        <f t="shared" si="8"/>
        <v>0</v>
      </c>
      <c r="H62" s="117">
        <f t="shared" si="8"/>
        <v>0</v>
      </c>
      <c r="I62" s="75">
        <f t="shared" si="8"/>
        <v>0</v>
      </c>
      <c r="J62" s="71">
        <f t="shared" si="8"/>
        <v>0</v>
      </c>
      <c r="K62" s="117">
        <f t="shared" si="8"/>
        <v>0</v>
      </c>
      <c r="L62" s="2126"/>
      <c r="AD62" s="2365" t="s">
        <v>2805</v>
      </c>
    </row>
    <row r="63" spans="1:30" ht="13.15" customHeight="1" x14ac:dyDescent="0.25">
      <c r="A63" s="2125" t="s">
        <v>2271</v>
      </c>
      <c r="B63" s="144"/>
      <c r="C63" s="712">
        <f>SUMIFS(Sheet1!S71_PPPYearAmount,Sheet1!S71_SA34aCode,$AC:$AC,Sheet1!S71_A5CapexCode,$AD:$AD)</f>
        <v>0</v>
      </c>
      <c r="D63" s="712">
        <f>SUMIFS(Sheet1!S71_PPYearAmount,Sheet1!S71_SA34aCode,$AC:$AC,Sheet1!S71_A5CapexCode,$AD:$AD)</f>
        <v>0</v>
      </c>
      <c r="E63" s="715">
        <f>SUMIFS(Sheet1!S71_PYearAmount,Sheet1!S71_SA34aCode,$AC:$AC,Sheet1!S71_A5CapexCode,$AD:$AD)</f>
        <v>0</v>
      </c>
      <c r="F63" s="725">
        <f>SUMIFS(Sheet1!S71_OriginalBudAmnt,Sheet1!S71_SA34aCode,$AC:$AC,Sheet1!S71_A5CapexCode,$AD:$AD)</f>
        <v>0</v>
      </c>
      <c r="G63" s="712">
        <f>SUMIFS(Sheet1!S71_AdjustmentBudAmnt,Sheet1!S71_SA34aCode,$AC:$AC,Sheet1!S71_A5CapexCode,$AD:$AD)</f>
        <v>0</v>
      </c>
      <c r="H63" s="713">
        <f>SUMIFS(Sheet1!S71_AdjustmentBudAmnt,Sheet1!S71_SA34aCode,$AC:$AC,Sheet1!S71_A5CapexCode,$AD:$AD)</f>
        <v>0</v>
      </c>
      <c r="I63" s="725">
        <f>SUMIFS(Sheet1!S71_ASBudgetAmount,Sheet1!S71_SA34aCode,$AC:$AC,Sheet1!S71_A5CapexCode,$AD:$AD)</f>
        <v>0</v>
      </c>
      <c r="J63" s="712">
        <f>SUMIFS(Sheet1!S71_OY1BudgetAmount,Sheet1!S71_SA34aCode,$AC:$AC,Sheet1!S71_A5CapexCode,$AD:$AD)</f>
        <v>0</v>
      </c>
      <c r="K63" s="713">
        <f>SUMIFS(Sheet1!S71_OY2BudgetAmount,Sheet1!S71_SA34aCode,$AC:$AC,Sheet1!S71_A5CapexCode,$AD:$AD)</f>
        <v>0</v>
      </c>
      <c r="L63" s="2126"/>
      <c r="AC63" s="2365" t="s">
        <v>2854</v>
      </c>
      <c r="AD63" s="2365" t="s">
        <v>2805</v>
      </c>
    </row>
    <row r="64" spans="1:30" ht="13.15" customHeight="1" x14ac:dyDescent="0.25">
      <c r="A64" s="2125" t="s">
        <v>2272</v>
      </c>
      <c r="B64" s="144"/>
      <c r="C64" s="712">
        <f>SUMIFS(Sheet1!S71_PPPYearAmount,Sheet1!S71_SA34aCode,$AC:$AC,Sheet1!S71_A5CapexCode,$AD:$AD)</f>
        <v>0</v>
      </c>
      <c r="D64" s="712">
        <f>SUMIFS(Sheet1!S71_PPYearAmount,Sheet1!S71_SA34aCode,$AC:$AC,Sheet1!S71_A5CapexCode,$AD:$AD)</f>
        <v>0</v>
      </c>
      <c r="E64" s="715">
        <f>SUMIFS(Sheet1!S71_PYearAmount,Sheet1!S71_SA34aCode,$AC:$AC,Sheet1!S71_A5CapexCode,$AD:$AD)</f>
        <v>0</v>
      </c>
      <c r="F64" s="725">
        <f>SUMIFS(Sheet1!S71_OriginalBudAmnt,Sheet1!S71_SA34aCode,$AC:$AC,Sheet1!S71_A5CapexCode,$AD:$AD)</f>
        <v>0</v>
      </c>
      <c r="G64" s="712">
        <f>SUMIFS(Sheet1!S71_AdjustmentBudAmnt,Sheet1!S71_SA34aCode,$AC:$AC,Sheet1!S71_A5CapexCode,$AD:$AD)</f>
        <v>0</v>
      </c>
      <c r="H64" s="713">
        <f>SUMIFS(Sheet1!S71_AdjustmentBudAmnt,Sheet1!S71_SA34aCode,$AC:$AC,Sheet1!S71_A5CapexCode,$AD:$AD)</f>
        <v>0</v>
      </c>
      <c r="I64" s="725">
        <f>SUMIFS(Sheet1!S71_ASBudgetAmount,Sheet1!S71_SA34aCode,$AC:$AC,Sheet1!S71_A5CapexCode,$AD:$AD)</f>
        <v>0</v>
      </c>
      <c r="J64" s="712">
        <f>SUMIFS(Sheet1!S71_OY1BudgetAmount,Sheet1!S71_SA34aCode,$AC:$AC,Sheet1!S71_A5CapexCode,$AD:$AD)</f>
        <v>0</v>
      </c>
      <c r="K64" s="713">
        <f>SUMIFS(Sheet1!S71_OY2BudgetAmount,Sheet1!S71_SA34aCode,$AC:$AC,Sheet1!S71_A5CapexCode,$AD:$AD)</f>
        <v>0</v>
      </c>
      <c r="L64" s="322"/>
      <c r="AC64" s="2365" t="s">
        <v>2855</v>
      </c>
      <c r="AD64" s="2365" t="s">
        <v>2805</v>
      </c>
    </row>
    <row r="65" spans="1:30" ht="13.15" customHeight="1" x14ac:dyDescent="0.25">
      <c r="A65" s="2125" t="s">
        <v>2273</v>
      </c>
      <c r="B65" s="144"/>
      <c r="C65" s="712">
        <f>SUMIFS(Sheet1!S71_PPPYearAmount,Sheet1!S71_SA34aCode,$AC:$AC,Sheet1!S71_A5CapexCode,$AD:$AD)</f>
        <v>0</v>
      </c>
      <c r="D65" s="712">
        <f>SUMIFS(Sheet1!S71_PPYearAmount,Sheet1!S71_SA34aCode,$AC:$AC,Sheet1!S71_A5CapexCode,$AD:$AD)</f>
        <v>0</v>
      </c>
      <c r="E65" s="715">
        <f>SUMIFS(Sheet1!S71_PYearAmount,Sheet1!S71_SA34aCode,$AC:$AC,Sheet1!S71_A5CapexCode,$AD:$AD)</f>
        <v>0</v>
      </c>
      <c r="F65" s="725">
        <f>SUMIFS(Sheet1!S71_OriginalBudAmnt,Sheet1!S71_SA34aCode,$AC:$AC,Sheet1!S71_A5CapexCode,$AD:$AD)</f>
        <v>0</v>
      </c>
      <c r="G65" s="712">
        <f>SUMIFS(Sheet1!S71_AdjustmentBudAmnt,Sheet1!S71_SA34aCode,$AC:$AC,Sheet1!S71_A5CapexCode,$AD:$AD)</f>
        <v>0</v>
      </c>
      <c r="H65" s="713">
        <f>SUMIFS(Sheet1!S71_AdjustmentBudAmnt,Sheet1!S71_SA34aCode,$AC:$AC,Sheet1!S71_A5CapexCode,$AD:$AD)</f>
        <v>0</v>
      </c>
      <c r="I65" s="725">
        <f>SUMIFS(Sheet1!S71_ASBudgetAmount,Sheet1!S71_SA34aCode,$AC:$AC,Sheet1!S71_A5CapexCode,$AD:$AD)</f>
        <v>0</v>
      </c>
      <c r="J65" s="712">
        <f>SUMIFS(Sheet1!S71_OY1BudgetAmount,Sheet1!S71_SA34aCode,$AC:$AC,Sheet1!S71_A5CapexCode,$AD:$AD)</f>
        <v>0</v>
      </c>
      <c r="K65" s="713">
        <f>SUMIFS(Sheet1!S71_OY2BudgetAmount,Sheet1!S71_SA34aCode,$AC:$AC,Sheet1!S71_A5CapexCode,$AD:$AD)</f>
        <v>0</v>
      </c>
      <c r="L65" s="322"/>
      <c r="AC65" s="2365" t="s">
        <v>2856</v>
      </c>
      <c r="AD65" s="2365" t="s">
        <v>2805</v>
      </c>
    </row>
    <row r="66" spans="1:30" ht="13.15" customHeight="1" x14ac:dyDescent="0.25">
      <c r="A66" s="2125" t="s">
        <v>2274</v>
      </c>
      <c r="B66" s="144"/>
      <c r="C66" s="712">
        <f>SUMIFS(Sheet1!S71_PPPYearAmount,Sheet1!S71_SA34aCode,$AC:$AC,Sheet1!S71_A5CapexCode,$AD:$AD)</f>
        <v>0</v>
      </c>
      <c r="D66" s="712">
        <f>SUMIFS(Sheet1!S71_PPYearAmount,Sheet1!S71_SA34aCode,$AC:$AC,Sheet1!S71_A5CapexCode,$AD:$AD)</f>
        <v>0</v>
      </c>
      <c r="E66" s="715">
        <f>SUMIFS(Sheet1!S71_PYearAmount,Sheet1!S71_SA34aCode,$AC:$AC,Sheet1!S71_A5CapexCode,$AD:$AD)</f>
        <v>0</v>
      </c>
      <c r="F66" s="725">
        <f>SUMIFS(Sheet1!S71_OriginalBudAmnt,Sheet1!S71_SA34aCode,$AC:$AC,Sheet1!S71_A5CapexCode,$AD:$AD)</f>
        <v>0</v>
      </c>
      <c r="G66" s="712">
        <f>SUMIFS(Sheet1!S71_AdjustmentBudAmnt,Sheet1!S71_SA34aCode,$AC:$AC,Sheet1!S71_A5CapexCode,$AD:$AD)</f>
        <v>0</v>
      </c>
      <c r="H66" s="713">
        <f>SUMIFS(Sheet1!S71_AdjustmentBudAmnt,Sheet1!S71_SA34aCode,$AC:$AC,Sheet1!S71_A5CapexCode,$AD:$AD)</f>
        <v>0</v>
      </c>
      <c r="I66" s="725">
        <f>SUMIFS(Sheet1!S71_ASBudgetAmount,Sheet1!S71_SA34aCode,$AC:$AC,Sheet1!S71_A5CapexCode,$AD:$AD)</f>
        <v>0</v>
      </c>
      <c r="J66" s="712">
        <f>SUMIFS(Sheet1!S71_OY1BudgetAmount,Sheet1!S71_SA34aCode,$AC:$AC,Sheet1!S71_A5CapexCode,$AD:$AD)</f>
        <v>0</v>
      </c>
      <c r="K66" s="713">
        <f>SUMIFS(Sheet1!S71_OY2BudgetAmount,Sheet1!S71_SA34aCode,$AC:$AC,Sheet1!S71_A5CapexCode,$AD:$AD)</f>
        <v>0</v>
      </c>
      <c r="L66" s="322"/>
      <c r="AC66" s="2365" t="s">
        <v>2857</v>
      </c>
      <c r="AD66" s="2365" t="s">
        <v>2805</v>
      </c>
    </row>
    <row r="67" spans="1:30" ht="13.15" customHeight="1" x14ac:dyDescent="0.25">
      <c r="A67" s="2125" t="s">
        <v>2233</v>
      </c>
      <c r="B67" s="144"/>
      <c r="C67" s="712">
        <f>SUMIFS(Sheet1!S71_PPPYearAmount,Sheet1!S71_SA34aCode,$AC:$AC,Sheet1!S71_A5CapexCode,$AD:$AD)</f>
        <v>0</v>
      </c>
      <c r="D67" s="712">
        <f>SUMIFS(Sheet1!S71_PPYearAmount,Sheet1!S71_SA34aCode,$AC:$AC,Sheet1!S71_A5CapexCode,$AD:$AD)</f>
        <v>0</v>
      </c>
      <c r="E67" s="715">
        <f>SUMIFS(Sheet1!S71_PYearAmount,Sheet1!S71_SA34aCode,$AC:$AC,Sheet1!S71_A5CapexCode,$AD:$AD)</f>
        <v>0</v>
      </c>
      <c r="F67" s="725">
        <f>SUMIFS(Sheet1!S71_OriginalBudAmnt,Sheet1!S71_SA34aCode,$AC:$AC,Sheet1!S71_A5CapexCode,$AD:$AD)</f>
        <v>0</v>
      </c>
      <c r="G67" s="712">
        <f>SUMIFS(Sheet1!S71_AdjustmentBudAmnt,Sheet1!S71_SA34aCode,$AC:$AC,Sheet1!S71_A5CapexCode,$AD:$AD)</f>
        <v>0</v>
      </c>
      <c r="H67" s="713">
        <f>SUMIFS(Sheet1!S71_AdjustmentBudAmnt,Sheet1!S71_SA34aCode,$AC:$AC,Sheet1!S71_A5CapexCode,$AD:$AD)</f>
        <v>0</v>
      </c>
      <c r="I67" s="725">
        <f>SUMIFS(Sheet1!S71_ASBudgetAmount,Sheet1!S71_SA34aCode,$AC:$AC,Sheet1!S71_A5CapexCode,$AD:$AD)</f>
        <v>0</v>
      </c>
      <c r="J67" s="712">
        <f>SUMIFS(Sheet1!S71_OY1BudgetAmount,Sheet1!S71_SA34aCode,$AC:$AC,Sheet1!S71_A5CapexCode,$AD:$AD)</f>
        <v>0</v>
      </c>
      <c r="K67" s="713">
        <f>SUMIFS(Sheet1!S71_OY2BudgetAmount,Sheet1!S71_SA34aCode,$AC:$AC,Sheet1!S71_A5CapexCode,$AD:$AD)</f>
        <v>0</v>
      </c>
      <c r="L67" s="322"/>
      <c r="AC67" s="2365" t="s">
        <v>2858</v>
      </c>
      <c r="AD67" s="2365" t="s">
        <v>2805</v>
      </c>
    </row>
    <row r="68" spans="1:30" ht="13.15" customHeight="1" x14ac:dyDescent="0.25">
      <c r="A68" s="104" t="s">
        <v>2266</v>
      </c>
      <c r="B68" s="144"/>
      <c r="C68" s="71">
        <f>SUM(C69:C72)</f>
        <v>0</v>
      </c>
      <c r="D68" s="71">
        <f t="shared" ref="D68:K68" si="9">SUM(D69:D72)</f>
        <v>0</v>
      </c>
      <c r="E68" s="305">
        <f t="shared" si="9"/>
        <v>0</v>
      </c>
      <c r="F68" s="75">
        <f t="shared" si="9"/>
        <v>0</v>
      </c>
      <c r="G68" s="71">
        <f t="shared" si="9"/>
        <v>0</v>
      </c>
      <c r="H68" s="117">
        <f t="shared" si="9"/>
        <v>0</v>
      </c>
      <c r="I68" s="75">
        <f t="shared" si="9"/>
        <v>0</v>
      </c>
      <c r="J68" s="71">
        <f t="shared" si="9"/>
        <v>0</v>
      </c>
      <c r="K68" s="117">
        <f t="shared" si="9"/>
        <v>0</v>
      </c>
      <c r="L68" s="322"/>
      <c r="AD68" s="2365" t="s">
        <v>2805</v>
      </c>
    </row>
    <row r="69" spans="1:30" ht="13.15" customHeight="1" x14ac:dyDescent="0.25">
      <c r="A69" s="2125" t="s">
        <v>2267</v>
      </c>
      <c r="B69" s="144"/>
      <c r="C69" s="712">
        <f>SUMIFS(Sheet1!S71_PPPYearAmount,Sheet1!S71_SA34aCode,$AC:$AC,Sheet1!S71_A5CapexCode,$AD:$AD)</f>
        <v>0</v>
      </c>
      <c r="D69" s="712">
        <f>SUMIFS(Sheet1!S71_PPYearAmount,Sheet1!S71_SA34aCode,$AC:$AC,Sheet1!S71_A5CapexCode,$AD:$AD)</f>
        <v>0</v>
      </c>
      <c r="E69" s="715">
        <f>SUMIFS(Sheet1!S71_PYearAmount,Sheet1!S71_SA34aCode,$AC:$AC,Sheet1!S71_A5CapexCode,$AD:$AD)</f>
        <v>0</v>
      </c>
      <c r="F69" s="725">
        <f>SUMIFS(Sheet1!S71_OriginalBudAmnt,Sheet1!S71_SA34aCode,$AC:$AC,Sheet1!S71_A5CapexCode,$AD:$AD)</f>
        <v>0</v>
      </c>
      <c r="G69" s="712">
        <f>SUMIFS(Sheet1!S71_AdjustmentBudAmnt,Sheet1!S71_SA34aCode,$AC:$AC,Sheet1!S71_A5CapexCode,$AD:$AD)</f>
        <v>0</v>
      </c>
      <c r="H69" s="713">
        <f>SUMIFS(Sheet1!S71_AdjustmentBudAmnt,Sheet1!S71_SA34aCode,$AC:$AC,Sheet1!S71_A5CapexCode,$AD:$AD)</f>
        <v>0</v>
      </c>
      <c r="I69" s="725">
        <f>SUMIFS(Sheet1!S71_ASBudgetAmount,Sheet1!S71_SA34aCode,$AC:$AC,Sheet1!S71_A5CapexCode,$AD:$AD)</f>
        <v>0</v>
      </c>
      <c r="J69" s="712">
        <f>SUMIFS(Sheet1!S71_OY1BudgetAmount,Sheet1!S71_SA34aCode,$AC:$AC,Sheet1!S71_A5CapexCode,$AD:$AD)</f>
        <v>0</v>
      </c>
      <c r="K69" s="713">
        <f>SUMIFS(Sheet1!S71_OY2BudgetAmount,Sheet1!S71_SA34aCode,$AC:$AC,Sheet1!S71_A5CapexCode,$AD:$AD)</f>
        <v>0</v>
      </c>
      <c r="L69" s="322"/>
      <c r="AC69" s="2365" t="s">
        <v>2859</v>
      </c>
      <c r="AD69" s="2365" t="s">
        <v>2805</v>
      </c>
    </row>
    <row r="70" spans="1:30" ht="13.15" customHeight="1" x14ac:dyDescent="0.25">
      <c r="A70" s="2125" t="s">
        <v>2268</v>
      </c>
      <c r="B70" s="144"/>
      <c r="C70" s="712">
        <f>SUMIFS(Sheet1!S71_PPPYearAmount,Sheet1!S71_SA34aCode,$AC:$AC,Sheet1!S71_A5CapexCode,$AD:$AD)</f>
        <v>0</v>
      </c>
      <c r="D70" s="712">
        <f>SUMIFS(Sheet1!S71_PPYearAmount,Sheet1!S71_SA34aCode,$AC:$AC,Sheet1!S71_A5CapexCode,$AD:$AD)</f>
        <v>0</v>
      </c>
      <c r="E70" s="715">
        <f>SUMIFS(Sheet1!S71_PYearAmount,Sheet1!S71_SA34aCode,$AC:$AC,Sheet1!S71_A5CapexCode,$AD:$AD)</f>
        <v>0</v>
      </c>
      <c r="F70" s="725">
        <f>SUMIFS(Sheet1!S71_OriginalBudAmnt,Sheet1!S71_SA34aCode,$AC:$AC,Sheet1!S71_A5CapexCode,$AD:$AD)</f>
        <v>0</v>
      </c>
      <c r="G70" s="712">
        <f>SUMIFS(Sheet1!S71_AdjustmentBudAmnt,Sheet1!S71_SA34aCode,$AC:$AC,Sheet1!S71_A5CapexCode,$AD:$AD)</f>
        <v>0</v>
      </c>
      <c r="H70" s="713">
        <f>SUMIFS(Sheet1!S71_AdjustmentBudAmnt,Sheet1!S71_SA34aCode,$AC:$AC,Sheet1!S71_A5CapexCode,$AD:$AD)</f>
        <v>0</v>
      </c>
      <c r="I70" s="725">
        <f>SUMIFS(Sheet1!S71_ASBudgetAmount,Sheet1!S71_SA34aCode,$AC:$AC,Sheet1!S71_A5CapexCode,$AD:$AD)</f>
        <v>0</v>
      </c>
      <c r="J70" s="712">
        <f>SUMIFS(Sheet1!S71_OY1BudgetAmount,Sheet1!S71_SA34aCode,$AC:$AC,Sheet1!S71_A5CapexCode,$AD:$AD)</f>
        <v>0</v>
      </c>
      <c r="K70" s="713">
        <f>SUMIFS(Sheet1!S71_OY2BudgetAmount,Sheet1!S71_SA34aCode,$AC:$AC,Sheet1!S71_A5CapexCode,$AD:$AD)</f>
        <v>0</v>
      </c>
      <c r="L70" s="322"/>
      <c r="AC70" s="2365" t="s">
        <v>2860</v>
      </c>
      <c r="AD70" s="2365" t="s">
        <v>2805</v>
      </c>
    </row>
    <row r="71" spans="1:30" ht="13.15" customHeight="1" x14ac:dyDescent="0.25">
      <c r="A71" s="2125" t="s">
        <v>2269</v>
      </c>
      <c r="B71" s="144"/>
      <c r="C71" s="712">
        <f>SUMIFS(Sheet1!S71_PPPYearAmount,Sheet1!S71_SA34aCode,$AC:$AC,Sheet1!S71_A5CapexCode,$AD:$AD)</f>
        <v>0</v>
      </c>
      <c r="D71" s="712">
        <f>SUMIFS(Sheet1!S71_PPYearAmount,Sheet1!S71_SA34aCode,$AC:$AC,Sheet1!S71_A5CapexCode,$AD:$AD)</f>
        <v>0</v>
      </c>
      <c r="E71" s="715">
        <f>SUMIFS(Sheet1!S71_PYearAmount,Sheet1!S71_SA34aCode,$AC:$AC,Sheet1!S71_A5CapexCode,$AD:$AD)</f>
        <v>0</v>
      </c>
      <c r="F71" s="725">
        <f>SUMIFS(Sheet1!S71_OriginalBudAmnt,Sheet1!S71_SA34aCode,$AC:$AC,Sheet1!S71_A5CapexCode,$AD:$AD)</f>
        <v>0</v>
      </c>
      <c r="G71" s="712">
        <f>SUMIFS(Sheet1!S71_AdjustmentBudAmnt,Sheet1!S71_SA34aCode,$AC:$AC,Sheet1!S71_A5CapexCode,$AD:$AD)</f>
        <v>0</v>
      </c>
      <c r="H71" s="713">
        <f>SUMIFS(Sheet1!S71_AdjustmentBudAmnt,Sheet1!S71_SA34aCode,$AC:$AC,Sheet1!S71_A5CapexCode,$AD:$AD)</f>
        <v>0</v>
      </c>
      <c r="I71" s="725">
        <f>SUMIFS(Sheet1!S71_ASBudgetAmount,Sheet1!S71_SA34aCode,$AC:$AC,Sheet1!S71_A5CapexCode,$AD:$AD)</f>
        <v>0</v>
      </c>
      <c r="J71" s="712">
        <f>SUMIFS(Sheet1!S71_OY1BudgetAmount,Sheet1!S71_SA34aCode,$AC:$AC,Sheet1!S71_A5CapexCode,$AD:$AD)</f>
        <v>0</v>
      </c>
      <c r="K71" s="713">
        <f>SUMIFS(Sheet1!S71_OY2BudgetAmount,Sheet1!S71_SA34aCode,$AC:$AC,Sheet1!S71_A5CapexCode,$AD:$AD)</f>
        <v>0</v>
      </c>
      <c r="L71" s="322"/>
      <c r="AC71" s="2365" t="s">
        <v>2861</v>
      </c>
      <c r="AD71" s="2365" t="s">
        <v>2805</v>
      </c>
    </row>
    <row r="72" spans="1:30" ht="13.15" customHeight="1" x14ac:dyDescent="0.25">
      <c r="A72" s="2125" t="s">
        <v>2233</v>
      </c>
      <c r="B72" s="144"/>
      <c r="C72" s="712">
        <f>SUMIFS(Sheet1!S71_PPPYearAmount,Sheet1!S71_SA34aCode,$AC:$AC,Sheet1!S71_A5CapexCode,$AD:$AD)</f>
        <v>0</v>
      </c>
      <c r="D72" s="712">
        <f>SUMIFS(Sheet1!S71_PPYearAmount,Sheet1!S71_SA34aCode,$AC:$AC,Sheet1!S71_A5CapexCode,$AD:$AD)</f>
        <v>0</v>
      </c>
      <c r="E72" s="715">
        <f>SUMIFS(Sheet1!S71_PYearAmount,Sheet1!S71_SA34aCode,$AC:$AC,Sheet1!S71_A5CapexCode,$AD:$AD)</f>
        <v>0</v>
      </c>
      <c r="F72" s="725">
        <f>SUMIFS(Sheet1!S71_OriginalBudAmnt,Sheet1!S71_SA34aCode,$AC:$AC,Sheet1!S71_A5CapexCode,$AD:$AD)</f>
        <v>0</v>
      </c>
      <c r="G72" s="712">
        <f>SUMIFS(Sheet1!S71_AdjustmentBudAmnt,Sheet1!S71_SA34aCode,$AC:$AC,Sheet1!S71_A5CapexCode,$AD:$AD)</f>
        <v>0</v>
      </c>
      <c r="H72" s="713">
        <f>SUMIFS(Sheet1!S71_AdjustmentBudAmnt,Sheet1!S71_SA34aCode,$AC:$AC,Sheet1!S71_A5CapexCode,$AD:$AD)</f>
        <v>0</v>
      </c>
      <c r="I72" s="725">
        <f>SUMIFS(Sheet1!S71_ASBudgetAmount,Sheet1!S71_SA34aCode,$AC:$AC,Sheet1!S71_A5CapexCode,$AD:$AD)</f>
        <v>0</v>
      </c>
      <c r="J72" s="712">
        <f>SUMIFS(Sheet1!S71_OY1BudgetAmount,Sheet1!S71_SA34aCode,$AC:$AC,Sheet1!S71_A5CapexCode,$AD:$AD)</f>
        <v>0</v>
      </c>
      <c r="K72" s="713">
        <f>SUMIFS(Sheet1!S71_OY2BudgetAmount,Sheet1!S71_SA34aCode,$AC:$AC,Sheet1!S71_A5CapexCode,$AD:$AD)</f>
        <v>0</v>
      </c>
      <c r="L72" s="322"/>
      <c r="AC72" s="2365" t="s">
        <v>2862</v>
      </c>
      <c r="AD72" s="2365" t="s">
        <v>2805</v>
      </c>
    </row>
    <row r="73" spans="1:30" ht="4.9000000000000004" customHeight="1" x14ac:dyDescent="0.25">
      <c r="A73" s="116"/>
      <c r="B73" s="144"/>
      <c r="C73" s="177"/>
      <c r="D73" s="177"/>
      <c r="E73" s="180"/>
      <c r="F73" s="179"/>
      <c r="G73" s="177"/>
      <c r="H73" s="178"/>
      <c r="I73" s="179"/>
      <c r="J73" s="177"/>
      <c r="K73" s="178"/>
      <c r="L73" s="322"/>
      <c r="AD73" s="2365" t="s">
        <v>2805</v>
      </c>
    </row>
    <row r="74" spans="1:30" ht="13.15" customHeight="1" x14ac:dyDescent="0.25">
      <c r="A74" s="96" t="s">
        <v>2282</v>
      </c>
      <c r="B74" s="144"/>
      <c r="C74" s="98">
        <f>C75+C98</f>
        <v>82457646</v>
      </c>
      <c r="D74" s="98">
        <f t="shared" ref="D74:K74" si="10">D75+D98</f>
        <v>96973071</v>
      </c>
      <c r="E74" s="101">
        <f t="shared" si="10"/>
        <v>105941807</v>
      </c>
      <c r="F74" s="100">
        <f t="shared" si="10"/>
        <v>9528984</v>
      </c>
      <c r="G74" s="98">
        <f t="shared" si="10"/>
        <v>18079806</v>
      </c>
      <c r="H74" s="99">
        <f t="shared" si="10"/>
        <v>18079806</v>
      </c>
      <c r="I74" s="100">
        <f t="shared" si="10"/>
        <v>10964575</v>
      </c>
      <c r="J74" s="98">
        <f t="shared" si="10"/>
        <v>3000000</v>
      </c>
      <c r="K74" s="99">
        <f t="shared" si="10"/>
        <v>3200000</v>
      </c>
      <c r="L74" s="322"/>
      <c r="AD74" s="2365" t="s">
        <v>2805</v>
      </c>
    </row>
    <row r="75" spans="1:30" ht="13.15" customHeight="1" x14ac:dyDescent="0.25">
      <c r="A75" s="104" t="s">
        <v>2283</v>
      </c>
      <c r="B75" s="144"/>
      <c r="C75" s="82">
        <f>SUM(C76:C97)</f>
        <v>82457646</v>
      </c>
      <c r="D75" s="82">
        <f t="shared" ref="D75:K75" si="11">SUM(D76:D97)</f>
        <v>96973071</v>
      </c>
      <c r="E75" s="304">
        <f t="shared" si="11"/>
        <v>105941807</v>
      </c>
      <c r="F75" s="83">
        <f t="shared" si="11"/>
        <v>9528984</v>
      </c>
      <c r="G75" s="82">
        <f t="shared" si="11"/>
        <v>18079806</v>
      </c>
      <c r="H75" s="115">
        <f t="shared" si="11"/>
        <v>18079806</v>
      </c>
      <c r="I75" s="83">
        <f t="shared" si="11"/>
        <v>2964575</v>
      </c>
      <c r="J75" s="82">
        <f t="shared" si="11"/>
        <v>3000000</v>
      </c>
      <c r="K75" s="115">
        <f t="shared" si="11"/>
        <v>3200000</v>
      </c>
      <c r="L75" s="322"/>
      <c r="AD75" s="2365" t="s">
        <v>2805</v>
      </c>
    </row>
    <row r="76" spans="1:30" ht="13.15" customHeight="1" x14ac:dyDescent="0.25">
      <c r="A76" s="2125" t="s">
        <v>2284</v>
      </c>
      <c r="B76" s="144"/>
      <c r="C76" s="712">
        <f>SUMIFS(Sheet1!S71_PPPYearAmount,Sheet1!S71_SA34aCode,$AC:$AC,Sheet1!S71_A5CapexCode,$AD:$AD)</f>
        <v>7117947</v>
      </c>
      <c r="D76" s="712">
        <f>SUMIFS(Sheet1!S71_PPYearAmount,Sheet1!S71_SA34aCode,$AC:$AC,Sheet1!S71_A5CapexCode,$AD:$AD)</f>
        <v>6253775</v>
      </c>
      <c r="E76" s="715">
        <f>SUMIFS(Sheet1!S71_PYearAmount,Sheet1!S71_SA34aCode,$AC:$AC,Sheet1!S71_A5CapexCode,$AD:$AD)</f>
        <v>9335505</v>
      </c>
      <c r="F76" s="725">
        <f>SUMIFS(Sheet1!S71_OriginalBudAmnt,Sheet1!S71_SA34aCode,$AC:$AC,Sheet1!S71_A5CapexCode,$AD:$AD)</f>
        <v>7990468</v>
      </c>
      <c r="G76" s="712">
        <f>SUMIFS(Sheet1!S71_AdjustmentBudAmnt,Sheet1!S71_SA34aCode,$AC:$AC,Sheet1!S71_A5CapexCode,$AD:$AD)</f>
        <v>16541290</v>
      </c>
      <c r="H76" s="713">
        <f>SUMIFS(Sheet1!S71_AdjustmentBudAmnt,Sheet1!S71_SA34aCode,$AC:$AC,Sheet1!S71_A5CapexCode,$AD:$AD)</f>
        <v>16541290</v>
      </c>
      <c r="I76" s="725">
        <f>SUMIFS(Sheet1!S71_ASBudgetAmount,Sheet1!S71_SA34aCode,$AC:$AC,Sheet1!S71_A5CapexCode,$AD:$AD)</f>
        <v>2964575</v>
      </c>
      <c r="J76" s="712">
        <f>SUMIFS(Sheet1!S71_OY1BudgetAmount,Sheet1!S71_SA34aCode,$AC:$AC,Sheet1!S71_A5CapexCode,$AD:$AD)</f>
        <v>3000000</v>
      </c>
      <c r="K76" s="713">
        <f>SUMIFS(Sheet1!S71_OY2BudgetAmount,Sheet1!S71_SA34aCode,$AC:$AC,Sheet1!S71_A5CapexCode,$AD:$AD)</f>
        <v>3200000</v>
      </c>
      <c r="L76" s="322"/>
      <c r="AC76" s="2365" t="s">
        <v>2863</v>
      </c>
      <c r="AD76" s="2365" t="s">
        <v>2805</v>
      </c>
    </row>
    <row r="77" spans="1:30" ht="13.15" customHeight="1" x14ac:dyDescent="0.25">
      <c r="A77" s="2125" t="s">
        <v>2285</v>
      </c>
      <c r="B77" s="144"/>
      <c r="C77" s="712">
        <f>SUMIFS(Sheet1!S71_PPPYearAmount,Sheet1!S71_SA34aCode,$AC:$AC,Sheet1!S71_A5CapexCode,$AD:$AD)</f>
        <v>0</v>
      </c>
      <c r="D77" s="712">
        <f>SUMIFS(Sheet1!S71_PPYearAmount,Sheet1!S71_SA34aCode,$AC:$AC,Sheet1!S71_A5CapexCode,$AD:$AD)</f>
        <v>0</v>
      </c>
      <c r="E77" s="715">
        <f>SUMIFS(Sheet1!S71_PYearAmount,Sheet1!S71_SA34aCode,$AC:$AC,Sheet1!S71_A5CapexCode,$AD:$AD)</f>
        <v>0</v>
      </c>
      <c r="F77" s="725">
        <f>SUMIFS(Sheet1!S71_OriginalBudAmnt,Sheet1!S71_SA34aCode,$AC:$AC,Sheet1!S71_A5CapexCode,$AD:$AD)</f>
        <v>0</v>
      </c>
      <c r="G77" s="712">
        <f>SUMIFS(Sheet1!S71_AdjustmentBudAmnt,Sheet1!S71_SA34aCode,$AC:$AC,Sheet1!S71_A5CapexCode,$AD:$AD)</f>
        <v>0</v>
      </c>
      <c r="H77" s="713">
        <f>SUMIFS(Sheet1!S71_AdjustmentBudAmnt,Sheet1!S71_SA34aCode,$AC:$AC,Sheet1!S71_A5CapexCode,$AD:$AD)</f>
        <v>0</v>
      </c>
      <c r="I77" s="725">
        <f>SUMIFS(Sheet1!S71_ASBudgetAmount,Sheet1!S71_SA34aCode,$AC:$AC,Sheet1!S71_A5CapexCode,$AD:$AD)</f>
        <v>0</v>
      </c>
      <c r="J77" s="712">
        <f>SUMIFS(Sheet1!S71_OY1BudgetAmount,Sheet1!S71_SA34aCode,$AC:$AC,Sheet1!S71_A5CapexCode,$AD:$AD)</f>
        <v>0</v>
      </c>
      <c r="K77" s="713">
        <f>SUMIFS(Sheet1!S71_OY2BudgetAmount,Sheet1!S71_SA34aCode,$AC:$AC,Sheet1!S71_A5CapexCode,$AD:$AD)</f>
        <v>0</v>
      </c>
      <c r="L77" s="322"/>
      <c r="AC77" s="2365" t="s">
        <v>2701</v>
      </c>
      <c r="AD77" s="2365" t="s">
        <v>2805</v>
      </c>
    </row>
    <row r="78" spans="1:30" ht="13.15" customHeight="1" x14ac:dyDescent="0.25">
      <c r="A78" s="2125" t="s">
        <v>2286</v>
      </c>
      <c r="B78" s="144"/>
      <c r="C78" s="712">
        <f>SUMIFS(Sheet1!S71_PPPYearAmount,Sheet1!S71_SA34aCode,$AC:$AC,Sheet1!S71_A5CapexCode,$AD:$AD)</f>
        <v>75339699</v>
      </c>
      <c r="D78" s="712">
        <f>SUMIFS(Sheet1!S71_PPYearAmount,Sheet1!S71_SA34aCode,$AC:$AC,Sheet1!S71_A5CapexCode,$AD:$AD)</f>
        <v>90719296</v>
      </c>
      <c r="E78" s="715">
        <f>SUMIFS(Sheet1!S71_PYearAmount,Sheet1!S71_SA34aCode,$AC:$AC,Sheet1!S71_A5CapexCode,$AD:$AD)</f>
        <v>96606302</v>
      </c>
      <c r="F78" s="725">
        <f>SUMIFS(Sheet1!S71_OriginalBudAmnt,Sheet1!S71_SA34aCode,$AC:$AC,Sheet1!S71_A5CapexCode,$AD:$AD)</f>
        <v>1538516</v>
      </c>
      <c r="G78" s="712">
        <f>SUMIFS(Sheet1!S71_AdjustmentBudAmnt,Sheet1!S71_SA34aCode,$AC:$AC,Sheet1!S71_A5CapexCode,$AD:$AD)</f>
        <v>1538516</v>
      </c>
      <c r="H78" s="713">
        <f>SUMIFS(Sheet1!S71_AdjustmentBudAmnt,Sheet1!S71_SA34aCode,$AC:$AC,Sheet1!S71_A5CapexCode,$AD:$AD)</f>
        <v>1538516</v>
      </c>
      <c r="I78" s="725">
        <f>SUMIFS(Sheet1!S71_ASBudgetAmount,Sheet1!S71_SA34aCode,$AC:$AC,Sheet1!S71_A5CapexCode,$AD:$AD)</f>
        <v>0</v>
      </c>
      <c r="J78" s="712">
        <f>SUMIFS(Sheet1!S71_OY1BudgetAmount,Sheet1!S71_SA34aCode,$AC:$AC,Sheet1!S71_A5CapexCode,$AD:$AD)</f>
        <v>0</v>
      </c>
      <c r="K78" s="713">
        <f>SUMIFS(Sheet1!S71_OY2BudgetAmount,Sheet1!S71_SA34aCode,$AC:$AC,Sheet1!S71_A5CapexCode,$AD:$AD)</f>
        <v>0</v>
      </c>
      <c r="L78" s="322"/>
      <c r="AC78" s="2365" t="s">
        <v>2864</v>
      </c>
      <c r="AD78" s="2365" t="s">
        <v>2805</v>
      </c>
    </row>
    <row r="79" spans="1:30" ht="13.15" customHeight="1" x14ac:dyDescent="0.25">
      <c r="A79" s="2125" t="s">
        <v>2287</v>
      </c>
      <c r="B79" s="144"/>
      <c r="C79" s="712">
        <f>SUMIFS(Sheet1!S71_PPPYearAmount,Sheet1!S71_SA34aCode,$AC:$AC,Sheet1!S71_A5CapexCode,$AD:$AD)</f>
        <v>0</v>
      </c>
      <c r="D79" s="712">
        <f>SUMIFS(Sheet1!S71_PPYearAmount,Sheet1!S71_SA34aCode,$AC:$AC,Sheet1!S71_A5CapexCode,$AD:$AD)</f>
        <v>0</v>
      </c>
      <c r="E79" s="715">
        <f>SUMIFS(Sheet1!S71_PYearAmount,Sheet1!S71_SA34aCode,$AC:$AC,Sheet1!S71_A5CapexCode,$AD:$AD)</f>
        <v>0</v>
      </c>
      <c r="F79" s="725">
        <f>SUMIFS(Sheet1!S71_OriginalBudAmnt,Sheet1!S71_SA34aCode,$AC:$AC,Sheet1!S71_A5CapexCode,$AD:$AD)</f>
        <v>0</v>
      </c>
      <c r="G79" s="712">
        <f>SUMIFS(Sheet1!S71_AdjustmentBudAmnt,Sheet1!S71_SA34aCode,$AC:$AC,Sheet1!S71_A5CapexCode,$AD:$AD)</f>
        <v>0</v>
      </c>
      <c r="H79" s="713">
        <f>SUMIFS(Sheet1!S71_AdjustmentBudAmnt,Sheet1!S71_SA34aCode,$AC:$AC,Sheet1!S71_A5CapexCode,$AD:$AD)</f>
        <v>0</v>
      </c>
      <c r="I79" s="725">
        <f>SUMIFS(Sheet1!S71_ASBudgetAmount,Sheet1!S71_SA34aCode,$AC:$AC,Sheet1!S71_A5CapexCode,$AD:$AD)</f>
        <v>0</v>
      </c>
      <c r="J79" s="712">
        <f>SUMIFS(Sheet1!S71_OY1BudgetAmount,Sheet1!S71_SA34aCode,$AC:$AC,Sheet1!S71_A5CapexCode,$AD:$AD)</f>
        <v>0</v>
      </c>
      <c r="K79" s="713">
        <f>SUMIFS(Sheet1!S71_OY2BudgetAmount,Sheet1!S71_SA34aCode,$AC:$AC,Sheet1!S71_A5CapexCode,$AD:$AD)</f>
        <v>0</v>
      </c>
      <c r="L79" s="322"/>
      <c r="AC79" s="2365" t="s">
        <v>2865</v>
      </c>
      <c r="AD79" s="2365" t="s">
        <v>2805</v>
      </c>
    </row>
    <row r="80" spans="1:30" ht="13.15" customHeight="1" x14ac:dyDescent="0.25">
      <c r="A80" s="2125" t="s">
        <v>2288</v>
      </c>
      <c r="B80" s="144"/>
      <c r="C80" s="712">
        <f>SUMIFS(Sheet1!S71_PPPYearAmount,Sheet1!S71_SA34aCode,$AC:$AC,Sheet1!S71_A5CapexCode,$AD:$AD)</f>
        <v>0</v>
      </c>
      <c r="D80" s="712">
        <f>SUMIFS(Sheet1!S71_PPYearAmount,Sheet1!S71_SA34aCode,$AC:$AC,Sheet1!S71_A5CapexCode,$AD:$AD)</f>
        <v>0</v>
      </c>
      <c r="E80" s="715">
        <f>SUMIFS(Sheet1!S71_PYearAmount,Sheet1!S71_SA34aCode,$AC:$AC,Sheet1!S71_A5CapexCode,$AD:$AD)</f>
        <v>0</v>
      </c>
      <c r="F80" s="725">
        <f>SUMIFS(Sheet1!S71_OriginalBudAmnt,Sheet1!S71_SA34aCode,$AC:$AC,Sheet1!S71_A5CapexCode,$AD:$AD)</f>
        <v>0</v>
      </c>
      <c r="G80" s="712">
        <f>SUMIFS(Sheet1!S71_AdjustmentBudAmnt,Sheet1!S71_SA34aCode,$AC:$AC,Sheet1!S71_A5CapexCode,$AD:$AD)</f>
        <v>0</v>
      </c>
      <c r="H80" s="713">
        <f>SUMIFS(Sheet1!S71_AdjustmentBudAmnt,Sheet1!S71_SA34aCode,$AC:$AC,Sheet1!S71_A5CapexCode,$AD:$AD)</f>
        <v>0</v>
      </c>
      <c r="I80" s="725">
        <f>SUMIFS(Sheet1!S71_ASBudgetAmount,Sheet1!S71_SA34aCode,$AC:$AC,Sheet1!S71_A5CapexCode,$AD:$AD)</f>
        <v>0</v>
      </c>
      <c r="J80" s="712">
        <f>SUMIFS(Sheet1!S71_OY1BudgetAmount,Sheet1!S71_SA34aCode,$AC:$AC,Sheet1!S71_A5CapexCode,$AD:$AD)</f>
        <v>0</v>
      </c>
      <c r="K80" s="713">
        <f>SUMIFS(Sheet1!S71_OY2BudgetAmount,Sheet1!S71_SA34aCode,$AC:$AC,Sheet1!S71_A5CapexCode,$AD:$AD)</f>
        <v>0</v>
      </c>
      <c r="L80" s="322"/>
      <c r="AC80" s="2365" t="s">
        <v>2866</v>
      </c>
      <c r="AD80" s="2365" t="s">
        <v>2805</v>
      </c>
    </row>
    <row r="81" spans="1:30" ht="13.15" customHeight="1" x14ac:dyDescent="0.25">
      <c r="A81" s="2125" t="s">
        <v>2289</v>
      </c>
      <c r="B81" s="144"/>
      <c r="C81" s="712">
        <f>SUMIFS(Sheet1!S71_PPPYearAmount,Sheet1!S71_SA34aCode,$AC:$AC,Sheet1!S71_A5CapexCode,$AD:$AD)</f>
        <v>0</v>
      </c>
      <c r="D81" s="712">
        <f>SUMIFS(Sheet1!S71_PPYearAmount,Sheet1!S71_SA34aCode,$AC:$AC,Sheet1!S71_A5CapexCode,$AD:$AD)</f>
        <v>0</v>
      </c>
      <c r="E81" s="715">
        <f>SUMIFS(Sheet1!S71_PYearAmount,Sheet1!S71_SA34aCode,$AC:$AC,Sheet1!S71_A5CapexCode,$AD:$AD)</f>
        <v>0</v>
      </c>
      <c r="F81" s="725">
        <f>SUMIFS(Sheet1!S71_OriginalBudAmnt,Sheet1!S71_SA34aCode,$AC:$AC,Sheet1!S71_A5CapexCode,$AD:$AD)</f>
        <v>0</v>
      </c>
      <c r="G81" s="712">
        <f>SUMIFS(Sheet1!S71_AdjustmentBudAmnt,Sheet1!S71_SA34aCode,$AC:$AC,Sheet1!S71_A5CapexCode,$AD:$AD)</f>
        <v>0</v>
      </c>
      <c r="H81" s="713">
        <f>SUMIFS(Sheet1!S71_AdjustmentBudAmnt,Sheet1!S71_SA34aCode,$AC:$AC,Sheet1!S71_A5CapexCode,$AD:$AD)</f>
        <v>0</v>
      </c>
      <c r="I81" s="725">
        <f>SUMIFS(Sheet1!S71_ASBudgetAmount,Sheet1!S71_SA34aCode,$AC:$AC,Sheet1!S71_A5CapexCode,$AD:$AD)</f>
        <v>0</v>
      </c>
      <c r="J81" s="712">
        <f>SUMIFS(Sheet1!S71_OY1BudgetAmount,Sheet1!S71_SA34aCode,$AC:$AC,Sheet1!S71_A5CapexCode,$AD:$AD)</f>
        <v>0</v>
      </c>
      <c r="K81" s="713">
        <f>SUMIFS(Sheet1!S71_OY2BudgetAmount,Sheet1!S71_SA34aCode,$AC:$AC,Sheet1!S71_A5CapexCode,$AD:$AD)</f>
        <v>0</v>
      </c>
      <c r="L81" s="322"/>
      <c r="AC81" s="2365" t="s">
        <v>2867</v>
      </c>
      <c r="AD81" s="2365" t="s">
        <v>2805</v>
      </c>
    </row>
    <row r="82" spans="1:30" ht="13.15" customHeight="1" x14ac:dyDescent="0.25">
      <c r="A82" s="2125" t="s">
        <v>2290</v>
      </c>
      <c r="B82" s="144"/>
      <c r="C82" s="712">
        <f>SUMIFS(Sheet1!S71_PPPYearAmount,Sheet1!S71_SA34aCode,$AC:$AC,Sheet1!S71_A5CapexCode,$AD:$AD)</f>
        <v>0</v>
      </c>
      <c r="D82" s="712">
        <f>SUMIFS(Sheet1!S71_PPYearAmount,Sheet1!S71_SA34aCode,$AC:$AC,Sheet1!S71_A5CapexCode,$AD:$AD)</f>
        <v>0</v>
      </c>
      <c r="E82" s="715">
        <f>SUMIFS(Sheet1!S71_PYearAmount,Sheet1!S71_SA34aCode,$AC:$AC,Sheet1!S71_A5CapexCode,$AD:$AD)</f>
        <v>0</v>
      </c>
      <c r="F82" s="725">
        <f>SUMIFS(Sheet1!S71_OriginalBudAmnt,Sheet1!S71_SA34aCode,$AC:$AC,Sheet1!S71_A5CapexCode,$AD:$AD)</f>
        <v>0</v>
      </c>
      <c r="G82" s="712">
        <f>SUMIFS(Sheet1!S71_AdjustmentBudAmnt,Sheet1!S71_SA34aCode,$AC:$AC,Sheet1!S71_A5CapexCode,$AD:$AD)</f>
        <v>0</v>
      </c>
      <c r="H82" s="713">
        <f>SUMIFS(Sheet1!S71_AdjustmentBudAmnt,Sheet1!S71_SA34aCode,$AC:$AC,Sheet1!S71_A5CapexCode,$AD:$AD)</f>
        <v>0</v>
      </c>
      <c r="I82" s="725">
        <f>SUMIFS(Sheet1!S71_ASBudgetAmount,Sheet1!S71_SA34aCode,$AC:$AC,Sheet1!S71_A5CapexCode,$AD:$AD)</f>
        <v>0</v>
      </c>
      <c r="J82" s="712">
        <f>SUMIFS(Sheet1!S71_OY1BudgetAmount,Sheet1!S71_SA34aCode,$AC:$AC,Sheet1!S71_A5CapexCode,$AD:$AD)</f>
        <v>0</v>
      </c>
      <c r="K82" s="713">
        <f>SUMIFS(Sheet1!S71_OY2BudgetAmount,Sheet1!S71_SA34aCode,$AC:$AC,Sheet1!S71_A5CapexCode,$AD:$AD)</f>
        <v>0</v>
      </c>
      <c r="L82" s="322"/>
      <c r="AC82" s="2365" t="s">
        <v>2868</v>
      </c>
      <c r="AD82" s="2365" t="s">
        <v>2805</v>
      </c>
    </row>
    <row r="83" spans="1:30" ht="13.15" customHeight="1" x14ac:dyDescent="0.25">
      <c r="A83" s="2125" t="s">
        <v>2291</v>
      </c>
      <c r="B83" s="144"/>
      <c r="C83" s="712">
        <f>SUMIFS(Sheet1!S71_PPPYearAmount,Sheet1!S71_SA34aCode,$AC:$AC,Sheet1!S71_A5CapexCode,$AD:$AD)</f>
        <v>0</v>
      </c>
      <c r="D83" s="712">
        <f>SUMIFS(Sheet1!S71_PPYearAmount,Sheet1!S71_SA34aCode,$AC:$AC,Sheet1!S71_A5CapexCode,$AD:$AD)</f>
        <v>0</v>
      </c>
      <c r="E83" s="715">
        <f>SUMIFS(Sheet1!S71_PYearAmount,Sheet1!S71_SA34aCode,$AC:$AC,Sheet1!S71_A5CapexCode,$AD:$AD)</f>
        <v>0</v>
      </c>
      <c r="F83" s="725">
        <f>SUMIFS(Sheet1!S71_OriginalBudAmnt,Sheet1!S71_SA34aCode,$AC:$AC,Sheet1!S71_A5CapexCode,$AD:$AD)</f>
        <v>0</v>
      </c>
      <c r="G83" s="712">
        <f>SUMIFS(Sheet1!S71_AdjustmentBudAmnt,Sheet1!S71_SA34aCode,$AC:$AC,Sheet1!S71_A5CapexCode,$AD:$AD)</f>
        <v>0</v>
      </c>
      <c r="H83" s="713">
        <f>SUMIFS(Sheet1!S71_AdjustmentBudAmnt,Sheet1!S71_SA34aCode,$AC:$AC,Sheet1!S71_A5CapexCode,$AD:$AD)</f>
        <v>0</v>
      </c>
      <c r="I83" s="725">
        <f>SUMIFS(Sheet1!S71_ASBudgetAmount,Sheet1!S71_SA34aCode,$AC:$AC,Sheet1!S71_A5CapexCode,$AD:$AD)</f>
        <v>0</v>
      </c>
      <c r="J83" s="712">
        <f>SUMIFS(Sheet1!S71_OY1BudgetAmount,Sheet1!S71_SA34aCode,$AC:$AC,Sheet1!S71_A5CapexCode,$AD:$AD)</f>
        <v>0</v>
      </c>
      <c r="K83" s="713">
        <f>SUMIFS(Sheet1!S71_OY2BudgetAmount,Sheet1!S71_SA34aCode,$AC:$AC,Sheet1!S71_A5CapexCode,$AD:$AD)</f>
        <v>0</v>
      </c>
      <c r="L83" s="322"/>
      <c r="AC83" s="2365" t="s">
        <v>2869</v>
      </c>
      <c r="AD83" s="2365" t="s">
        <v>2805</v>
      </c>
    </row>
    <row r="84" spans="1:30" ht="13.15" customHeight="1" x14ac:dyDescent="0.25">
      <c r="A84" s="2125" t="s">
        <v>2292</v>
      </c>
      <c r="B84" s="144"/>
      <c r="C84" s="712">
        <f>SUMIFS(Sheet1!S71_PPPYearAmount,Sheet1!S71_SA34aCode,$AC:$AC,Sheet1!S71_A5CapexCode,$AD:$AD)</f>
        <v>0</v>
      </c>
      <c r="D84" s="712">
        <f>SUMIFS(Sheet1!S71_PPYearAmount,Sheet1!S71_SA34aCode,$AC:$AC,Sheet1!S71_A5CapexCode,$AD:$AD)</f>
        <v>0</v>
      </c>
      <c r="E84" s="715">
        <f>SUMIFS(Sheet1!S71_PYearAmount,Sheet1!S71_SA34aCode,$AC:$AC,Sheet1!S71_A5CapexCode,$AD:$AD)</f>
        <v>0</v>
      </c>
      <c r="F84" s="725">
        <f>SUMIFS(Sheet1!S71_OriginalBudAmnt,Sheet1!S71_SA34aCode,$AC:$AC,Sheet1!S71_A5CapexCode,$AD:$AD)</f>
        <v>0</v>
      </c>
      <c r="G84" s="712">
        <f>SUMIFS(Sheet1!S71_AdjustmentBudAmnt,Sheet1!S71_SA34aCode,$AC:$AC,Sheet1!S71_A5CapexCode,$AD:$AD)</f>
        <v>0</v>
      </c>
      <c r="H84" s="713">
        <f>SUMIFS(Sheet1!S71_AdjustmentBudAmnt,Sheet1!S71_SA34aCode,$AC:$AC,Sheet1!S71_A5CapexCode,$AD:$AD)</f>
        <v>0</v>
      </c>
      <c r="I84" s="725">
        <f>SUMIFS(Sheet1!S71_ASBudgetAmount,Sheet1!S71_SA34aCode,$AC:$AC,Sheet1!S71_A5CapexCode,$AD:$AD)</f>
        <v>0</v>
      </c>
      <c r="J84" s="712">
        <f>SUMIFS(Sheet1!S71_OY1BudgetAmount,Sheet1!S71_SA34aCode,$AC:$AC,Sheet1!S71_A5CapexCode,$AD:$AD)</f>
        <v>0</v>
      </c>
      <c r="K84" s="713">
        <f>SUMIFS(Sheet1!S71_OY2BudgetAmount,Sheet1!S71_SA34aCode,$AC:$AC,Sheet1!S71_A5CapexCode,$AD:$AD)</f>
        <v>0</v>
      </c>
      <c r="L84" s="674"/>
      <c r="AC84" s="2365" t="s">
        <v>2870</v>
      </c>
      <c r="AD84" s="2365" t="s">
        <v>2805</v>
      </c>
    </row>
    <row r="85" spans="1:30" ht="13.15" customHeight="1" x14ac:dyDescent="0.25">
      <c r="A85" s="2125" t="s">
        <v>288</v>
      </c>
      <c r="B85" s="144"/>
      <c r="C85" s="712">
        <f>SUMIFS(Sheet1!S71_PPPYearAmount,Sheet1!S71_SA34aCode,$AC:$AC,Sheet1!S71_A5CapexCode,$AD:$AD)</f>
        <v>0</v>
      </c>
      <c r="D85" s="712">
        <f>SUMIFS(Sheet1!S71_PPYearAmount,Sheet1!S71_SA34aCode,$AC:$AC,Sheet1!S71_A5CapexCode,$AD:$AD)</f>
        <v>0</v>
      </c>
      <c r="E85" s="715">
        <f>SUMIFS(Sheet1!S71_PYearAmount,Sheet1!S71_SA34aCode,$AC:$AC,Sheet1!S71_A5CapexCode,$AD:$AD)</f>
        <v>0</v>
      </c>
      <c r="F85" s="725">
        <f>SUMIFS(Sheet1!S71_OriginalBudAmnt,Sheet1!S71_SA34aCode,$AC:$AC,Sheet1!S71_A5CapexCode,$AD:$AD)</f>
        <v>0</v>
      </c>
      <c r="G85" s="712">
        <f>SUMIFS(Sheet1!S71_AdjustmentBudAmnt,Sheet1!S71_SA34aCode,$AC:$AC,Sheet1!S71_A5CapexCode,$AD:$AD)</f>
        <v>0</v>
      </c>
      <c r="H85" s="713">
        <f>SUMIFS(Sheet1!S71_AdjustmentBudAmnt,Sheet1!S71_SA34aCode,$AC:$AC,Sheet1!S71_A5CapexCode,$AD:$AD)</f>
        <v>0</v>
      </c>
      <c r="I85" s="725">
        <f>SUMIFS(Sheet1!S71_ASBudgetAmount,Sheet1!S71_SA34aCode,$AC:$AC,Sheet1!S71_A5CapexCode,$AD:$AD)</f>
        <v>0</v>
      </c>
      <c r="J85" s="712">
        <f>SUMIFS(Sheet1!S71_OY1BudgetAmount,Sheet1!S71_SA34aCode,$AC:$AC,Sheet1!S71_A5CapexCode,$AD:$AD)</f>
        <v>0</v>
      </c>
      <c r="K85" s="713">
        <f>SUMIFS(Sheet1!S71_OY2BudgetAmount,Sheet1!S71_SA34aCode,$AC:$AC,Sheet1!S71_A5CapexCode,$AD:$AD)</f>
        <v>0</v>
      </c>
      <c r="AC85" s="2365" t="s">
        <v>2871</v>
      </c>
      <c r="AD85" s="2365" t="s">
        <v>2805</v>
      </c>
    </row>
    <row r="86" spans="1:30" ht="13.15" customHeight="1" x14ac:dyDescent="0.25">
      <c r="A86" s="2125" t="s">
        <v>2293</v>
      </c>
      <c r="B86" s="144"/>
      <c r="C86" s="712">
        <f>SUMIFS(Sheet1!S71_PPPYearAmount,Sheet1!S71_SA34aCode,$AC:$AC,Sheet1!S71_A5CapexCode,$AD:$AD)</f>
        <v>0</v>
      </c>
      <c r="D86" s="712">
        <f>SUMIFS(Sheet1!S71_PPYearAmount,Sheet1!S71_SA34aCode,$AC:$AC,Sheet1!S71_A5CapexCode,$AD:$AD)</f>
        <v>0</v>
      </c>
      <c r="E86" s="715">
        <f>SUMIFS(Sheet1!S71_PYearAmount,Sheet1!S71_SA34aCode,$AC:$AC,Sheet1!S71_A5CapexCode,$AD:$AD)</f>
        <v>0</v>
      </c>
      <c r="F86" s="725">
        <f>SUMIFS(Sheet1!S71_OriginalBudAmnt,Sheet1!S71_SA34aCode,$AC:$AC,Sheet1!S71_A5CapexCode,$AD:$AD)</f>
        <v>0</v>
      </c>
      <c r="G86" s="712">
        <f>SUMIFS(Sheet1!S71_AdjustmentBudAmnt,Sheet1!S71_SA34aCode,$AC:$AC,Sheet1!S71_A5CapexCode,$AD:$AD)</f>
        <v>0</v>
      </c>
      <c r="H86" s="713">
        <f>SUMIFS(Sheet1!S71_AdjustmentBudAmnt,Sheet1!S71_SA34aCode,$AC:$AC,Sheet1!S71_A5CapexCode,$AD:$AD)</f>
        <v>0</v>
      </c>
      <c r="I86" s="725">
        <f>SUMIFS(Sheet1!S71_ASBudgetAmount,Sheet1!S71_SA34aCode,$AC:$AC,Sheet1!S71_A5CapexCode,$AD:$AD)</f>
        <v>0</v>
      </c>
      <c r="J86" s="712">
        <f>SUMIFS(Sheet1!S71_OY1BudgetAmount,Sheet1!S71_SA34aCode,$AC:$AC,Sheet1!S71_A5CapexCode,$AD:$AD)</f>
        <v>0</v>
      </c>
      <c r="K86" s="713">
        <f>SUMIFS(Sheet1!S71_OY2BudgetAmount,Sheet1!S71_SA34aCode,$AC:$AC,Sheet1!S71_A5CapexCode,$AD:$AD)</f>
        <v>0</v>
      </c>
      <c r="AC86" s="2365" t="s">
        <v>2872</v>
      </c>
      <c r="AD86" s="2365" t="s">
        <v>2805</v>
      </c>
    </row>
    <row r="87" spans="1:30" ht="13.15" customHeight="1" x14ac:dyDescent="0.25">
      <c r="A87" s="2125" t="s">
        <v>1446</v>
      </c>
      <c r="B87" s="144"/>
      <c r="C87" s="712">
        <f>SUMIFS(Sheet1!S71_PPPYearAmount,Sheet1!S71_SA34aCode,$AC:$AC,Sheet1!S71_A5CapexCode,$AD:$AD)</f>
        <v>0</v>
      </c>
      <c r="D87" s="712">
        <f>SUMIFS(Sheet1!S71_PPYearAmount,Sheet1!S71_SA34aCode,$AC:$AC,Sheet1!S71_A5CapexCode,$AD:$AD)</f>
        <v>0</v>
      </c>
      <c r="E87" s="715">
        <f>SUMIFS(Sheet1!S71_PYearAmount,Sheet1!S71_SA34aCode,$AC:$AC,Sheet1!S71_A5CapexCode,$AD:$AD)</f>
        <v>0</v>
      </c>
      <c r="F87" s="725">
        <f>SUMIFS(Sheet1!S71_OriginalBudAmnt,Sheet1!S71_SA34aCode,$AC:$AC,Sheet1!S71_A5CapexCode,$AD:$AD)</f>
        <v>0</v>
      </c>
      <c r="G87" s="712">
        <f>SUMIFS(Sheet1!S71_AdjustmentBudAmnt,Sheet1!S71_SA34aCode,$AC:$AC,Sheet1!S71_A5CapexCode,$AD:$AD)</f>
        <v>0</v>
      </c>
      <c r="H87" s="713">
        <f>SUMIFS(Sheet1!S71_AdjustmentBudAmnt,Sheet1!S71_SA34aCode,$AC:$AC,Sheet1!S71_A5CapexCode,$AD:$AD)</f>
        <v>0</v>
      </c>
      <c r="I87" s="725">
        <f>SUMIFS(Sheet1!S71_ASBudgetAmount,Sheet1!S71_SA34aCode,$AC:$AC,Sheet1!S71_A5CapexCode,$AD:$AD)</f>
        <v>0</v>
      </c>
      <c r="J87" s="712">
        <f>SUMIFS(Sheet1!S71_OY1BudgetAmount,Sheet1!S71_SA34aCode,$AC:$AC,Sheet1!S71_A5CapexCode,$AD:$AD)</f>
        <v>0</v>
      </c>
      <c r="K87" s="713">
        <f>SUMIFS(Sheet1!S71_OY2BudgetAmount,Sheet1!S71_SA34aCode,$AC:$AC,Sheet1!S71_A5CapexCode,$AD:$AD)</f>
        <v>0</v>
      </c>
      <c r="AC87" s="2365" t="s">
        <v>2702</v>
      </c>
      <c r="AD87" s="2365" t="s">
        <v>2805</v>
      </c>
    </row>
    <row r="88" spans="1:30" ht="13.15" customHeight="1" x14ac:dyDescent="0.25">
      <c r="A88" s="2125" t="s">
        <v>2468</v>
      </c>
      <c r="B88" s="144"/>
      <c r="C88" s="712">
        <f>SUMIFS(Sheet1!S71_PPPYearAmount,Sheet1!S71_SA34aCode,$AC:$AC,Sheet1!S71_A5CapexCode,$AD:$AD)</f>
        <v>0</v>
      </c>
      <c r="D88" s="712">
        <f>SUMIFS(Sheet1!S71_PPYearAmount,Sheet1!S71_SA34aCode,$AC:$AC,Sheet1!S71_A5CapexCode,$AD:$AD)</f>
        <v>0</v>
      </c>
      <c r="E88" s="715">
        <f>SUMIFS(Sheet1!S71_PYearAmount,Sheet1!S71_SA34aCode,$AC:$AC,Sheet1!S71_A5CapexCode,$AD:$AD)</f>
        <v>0</v>
      </c>
      <c r="F88" s="725">
        <f>SUMIFS(Sheet1!S71_OriginalBudAmnt,Sheet1!S71_SA34aCode,$AC:$AC,Sheet1!S71_A5CapexCode,$AD:$AD)</f>
        <v>0</v>
      </c>
      <c r="G88" s="712">
        <f>SUMIFS(Sheet1!S71_AdjustmentBudAmnt,Sheet1!S71_SA34aCode,$AC:$AC,Sheet1!S71_A5CapexCode,$AD:$AD)</f>
        <v>0</v>
      </c>
      <c r="H88" s="713">
        <f>SUMIFS(Sheet1!S71_AdjustmentBudAmnt,Sheet1!S71_SA34aCode,$AC:$AC,Sheet1!S71_A5CapexCode,$AD:$AD)</f>
        <v>0</v>
      </c>
      <c r="I88" s="725">
        <f>SUMIFS(Sheet1!S71_ASBudgetAmount,Sheet1!S71_SA34aCode,$AC:$AC,Sheet1!S71_A5CapexCode,$AD:$AD)</f>
        <v>0</v>
      </c>
      <c r="J88" s="712">
        <f>SUMIFS(Sheet1!S71_OY1BudgetAmount,Sheet1!S71_SA34aCode,$AC:$AC,Sheet1!S71_A5CapexCode,$AD:$AD)</f>
        <v>0</v>
      </c>
      <c r="K88" s="713">
        <f>SUMIFS(Sheet1!S71_OY2BudgetAmount,Sheet1!S71_SA34aCode,$AC:$AC,Sheet1!S71_A5CapexCode,$AD:$AD)</f>
        <v>0</v>
      </c>
      <c r="AC88" s="2365" t="s">
        <v>2873</v>
      </c>
      <c r="AD88" s="2365" t="s">
        <v>2805</v>
      </c>
    </row>
    <row r="89" spans="1:30" ht="13.15" customHeight="1" x14ac:dyDescent="0.25">
      <c r="A89" s="2125" t="s">
        <v>2295</v>
      </c>
      <c r="B89" s="144"/>
      <c r="C89" s="712">
        <f>SUMIFS(Sheet1!S71_PPPYearAmount,Sheet1!S71_SA34aCode,$AC:$AC,Sheet1!S71_A5CapexCode,$AD:$AD)</f>
        <v>0</v>
      </c>
      <c r="D89" s="712">
        <f>SUMIFS(Sheet1!S71_PPYearAmount,Sheet1!S71_SA34aCode,$AC:$AC,Sheet1!S71_A5CapexCode,$AD:$AD)</f>
        <v>0</v>
      </c>
      <c r="E89" s="715">
        <f>SUMIFS(Sheet1!S71_PYearAmount,Sheet1!S71_SA34aCode,$AC:$AC,Sheet1!S71_A5CapexCode,$AD:$AD)</f>
        <v>0</v>
      </c>
      <c r="F89" s="725">
        <f>SUMIFS(Sheet1!S71_OriginalBudAmnt,Sheet1!S71_SA34aCode,$AC:$AC,Sheet1!S71_A5CapexCode,$AD:$AD)</f>
        <v>0</v>
      </c>
      <c r="G89" s="712">
        <f>SUMIFS(Sheet1!S71_AdjustmentBudAmnt,Sheet1!S71_SA34aCode,$AC:$AC,Sheet1!S71_A5CapexCode,$AD:$AD)</f>
        <v>0</v>
      </c>
      <c r="H89" s="713">
        <f>SUMIFS(Sheet1!S71_AdjustmentBudAmnt,Sheet1!S71_SA34aCode,$AC:$AC,Sheet1!S71_A5CapexCode,$AD:$AD)</f>
        <v>0</v>
      </c>
      <c r="I89" s="725">
        <f>SUMIFS(Sheet1!S71_ASBudgetAmount,Sheet1!S71_SA34aCode,$AC:$AC,Sheet1!S71_A5CapexCode,$AD:$AD)</f>
        <v>0</v>
      </c>
      <c r="J89" s="712">
        <f>SUMIFS(Sheet1!S71_OY1BudgetAmount,Sheet1!S71_SA34aCode,$AC:$AC,Sheet1!S71_A5CapexCode,$AD:$AD)</f>
        <v>0</v>
      </c>
      <c r="K89" s="713">
        <f>SUMIFS(Sheet1!S71_OY2BudgetAmount,Sheet1!S71_SA34aCode,$AC:$AC,Sheet1!S71_A5CapexCode,$AD:$AD)</f>
        <v>0</v>
      </c>
      <c r="AC89" s="2365" t="s">
        <v>2874</v>
      </c>
      <c r="AD89" s="2365" t="s">
        <v>2805</v>
      </c>
    </row>
    <row r="90" spans="1:30" ht="13.15" customHeight="1" x14ac:dyDescent="0.25">
      <c r="A90" s="2125" t="s">
        <v>2296</v>
      </c>
      <c r="B90" s="144"/>
      <c r="C90" s="712">
        <f>SUMIFS(Sheet1!S71_PPPYearAmount,Sheet1!S71_SA34aCode,$AC:$AC,Sheet1!S71_A5CapexCode,$AD:$AD)</f>
        <v>0</v>
      </c>
      <c r="D90" s="712">
        <f>SUMIFS(Sheet1!S71_PPYearAmount,Sheet1!S71_SA34aCode,$AC:$AC,Sheet1!S71_A5CapexCode,$AD:$AD)</f>
        <v>0</v>
      </c>
      <c r="E90" s="715">
        <f>SUMIFS(Sheet1!S71_PYearAmount,Sheet1!S71_SA34aCode,$AC:$AC,Sheet1!S71_A5CapexCode,$AD:$AD)</f>
        <v>0</v>
      </c>
      <c r="F90" s="725">
        <f>SUMIFS(Sheet1!S71_OriginalBudAmnt,Sheet1!S71_SA34aCode,$AC:$AC,Sheet1!S71_A5CapexCode,$AD:$AD)</f>
        <v>0</v>
      </c>
      <c r="G90" s="712">
        <f>SUMIFS(Sheet1!S71_AdjustmentBudAmnt,Sheet1!S71_SA34aCode,$AC:$AC,Sheet1!S71_A5CapexCode,$AD:$AD)</f>
        <v>0</v>
      </c>
      <c r="H90" s="713">
        <f>SUMIFS(Sheet1!S71_AdjustmentBudAmnt,Sheet1!S71_SA34aCode,$AC:$AC,Sheet1!S71_A5CapexCode,$AD:$AD)</f>
        <v>0</v>
      </c>
      <c r="I90" s="725">
        <f>SUMIFS(Sheet1!S71_ASBudgetAmount,Sheet1!S71_SA34aCode,$AC:$AC,Sheet1!S71_A5CapexCode,$AD:$AD)</f>
        <v>0</v>
      </c>
      <c r="J90" s="712">
        <f>SUMIFS(Sheet1!S71_OY1BudgetAmount,Sheet1!S71_SA34aCode,$AC:$AC,Sheet1!S71_A5CapexCode,$AD:$AD)</f>
        <v>0</v>
      </c>
      <c r="K90" s="713">
        <f>SUMIFS(Sheet1!S71_OY2BudgetAmount,Sheet1!S71_SA34aCode,$AC:$AC,Sheet1!S71_A5CapexCode,$AD:$AD)</f>
        <v>0</v>
      </c>
      <c r="AC90" s="2365" t="s">
        <v>2875</v>
      </c>
      <c r="AD90" s="2365" t="s">
        <v>2805</v>
      </c>
    </row>
    <row r="91" spans="1:30" ht="13.15" customHeight="1" x14ac:dyDescent="0.25">
      <c r="A91" s="2125" t="s">
        <v>2297</v>
      </c>
      <c r="B91" s="144"/>
      <c r="C91" s="712">
        <f>SUMIFS(Sheet1!S71_PPPYearAmount,Sheet1!S71_SA34aCode,$AC:$AC,Sheet1!S71_A5CapexCode,$AD:$AD)</f>
        <v>0</v>
      </c>
      <c r="D91" s="712">
        <f>SUMIFS(Sheet1!S71_PPYearAmount,Sheet1!S71_SA34aCode,$AC:$AC,Sheet1!S71_A5CapexCode,$AD:$AD)</f>
        <v>0</v>
      </c>
      <c r="E91" s="715">
        <f>SUMIFS(Sheet1!S71_PYearAmount,Sheet1!S71_SA34aCode,$AC:$AC,Sheet1!S71_A5CapexCode,$AD:$AD)</f>
        <v>0</v>
      </c>
      <c r="F91" s="725">
        <f>SUMIFS(Sheet1!S71_OriginalBudAmnt,Sheet1!S71_SA34aCode,$AC:$AC,Sheet1!S71_A5CapexCode,$AD:$AD)</f>
        <v>0</v>
      </c>
      <c r="G91" s="712">
        <f>SUMIFS(Sheet1!S71_AdjustmentBudAmnt,Sheet1!S71_SA34aCode,$AC:$AC,Sheet1!S71_A5CapexCode,$AD:$AD)</f>
        <v>0</v>
      </c>
      <c r="H91" s="713">
        <f>SUMIFS(Sheet1!S71_AdjustmentBudAmnt,Sheet1!S71_SA34aCode,$AC:$AC,Sheet1!S71_A5CapexCode,$AD:$AD)</f>
        <v>0</v>
      </c>
      <c r="I91" s="725">
        <f>SUMIFS(Sheet1!S71_ASBudgetAmount,Sheet1!S71_SA34aCode,$AC:$AC,Sheet1!S71_A5CapexCode,$AD:$AD)</f>
        <v>0</v>
      </c>
      <c r="J91" s="712">
        <f>SUMIFS(Sheet1!S71_OY1BudgetAmount,Sheet1!S71_SA34aCode,$AC:$AC,Sheet1!S71_A5CapexCode,$AD:$AD)</f>
        <v>0</v>
      </c>
      <c r="K91" s="713">
        <f>SUMIFS(Sheet1!S71_OY2BudgetAmount,Sheet1!S71_SA34aCode,$AC:$AC,Sheet1!S71_A5CapexCode,$AD:$AD)</f>
        <v>0</v>
      </c>
      <c r="AC91" s="2365" t="s">
        <v>2876</v>
      </c>
      <c r="AD91" s="2365" t="s">
        <v>2805</v>
      </c>
    </row>
    <row r="92" spans="1:30" ht="13.15" customHeight="1" x14ac:dyDescent="0.25">
      <c r="A92" s="2125" t="s">
        <v>1080</v>
      </c>
      <c r="B92" s="144"/>
      <c r="C92" s="712">
        <f>SUMIFS(Sheet1!S71_PPPYearAmount,Sheet1!S71_SA34aCode,$AC:$AC,Sheet1!S71_A5CapexCode,$AD:$AD)</f>
        <v>0</v>
      </c>
      <c r="D92" s="712">
        <f>SUMIFS(Sheet1!S71_PPYearAmount,Sheet1!S71_SA34aCode,$AC:$AC,Sheet1!S71_A5CapexCode,$AD:$AD)</f>
        <v>0</v>
      </c>
      <c r="E92" s="715">
        <f>SUMIFS(Sheet1!S71_PYearAmount,Sheet1!S71_SA34aCode,$AC:$AC,Sheet1!S71_A5CapexCode,$AD:$AD)</f>
        <v>0</v>
      </c>
      <c r="F92" s="725">
        <f>SUMIFS(Sheet1!S71_OriginalBudAmnt,Sheet1!S71_SA34aCode,$AC:$AC,Sheet1!S71_A5CapexCode,$AD:$AD)</f>
        <v>0</v>
      </c>
      <c r="G92" s="712">
        <f>SUMIFS(Sheet1!S71_AdjustmentBudAmnt,Sheet1!S71_SA34aCode,$AC:$AC,Sheet1!S71_A5CapexCode,$AD:$AD)</f>
        <v>0</v>
      </c>
      <c r="H92" s="713">
        <f>SUMIFS(Sheet1!S71_AdjustmentBudAmnt,Sheet1!S71_SA34aCode,$AC:$AC,Sheet1!S71_A5CapexCode,$AD:$AD)</f>
        <v>0</v>
      </c>
      <c r="I92" s="725">
        <f>SUMIFS(Sheet1!S71_ASBudgetAmount,Sheet1!S71_SA34aCode,$AC:$AC,Sheet1!S71_A5CapexCode,$AD:$AD)</f>
        <v>0</v>
      </c>
      <c r="J92" s="712">
        <f>SUMIFS(Sheet1!S71_OY1BudgetAmount,Sheet1!S71_SA34aCode,$AC:$AC,Sheet1!S71_A5CapexCode,$AD:$AD)</f>
        <v>0</v>
      </c>
      <c r="K92" s="713">
        <f>SUMIFS(Sheet1!S71_OY2BudgetAmount,Sheet1!S71_SA34aCode,$AC:$AC,Sheet1!S71_A5CapexCode,$AD:$AD)</f>
        <v>0</v>
      </c>
      <c r="AC92" s="2365" t="s">
        <v>2877</v>
      </c>
      <c r="AD92" s="2365" t="s">
        <v>2805</v>
      </c>
    </row>
    <row r="93" spans="1:30" ht="13.15" customHeight="1" x14ac:dyDescent="0.25">
      <c r="A93" s="2125" t="s">
        <v>2298</v>
      </c>
      <c r="B93" s="144"/>
      <c r="C93" s="712">
        <f>SUMIFS(Sheet1!S71_PPPYearAmount,Sheet1!S71_SA34aCode,$AC:$AC,Sheet1!S71_A5CapexCode,$AD:$AD)</f>
        <v>0</v>
      </c>
      <c r="D93" s="712">
        <f>SUMIFS(Sheet1!S71_PPYearAmount,Sheet1!S71_SA34aCode,$AC:$AC,Sheet1!S71_A5CapexCode,$AD:$AD)</f>
        <v>0</v>
      </c>
      <c r="E93" s="715">
        <f>SUMIFS(Sheet1!S71_PYearAmount,Sheet1!S71_SA34aCode,$AC:$AC,Sheet1!S71_A5CapexCode,$AD:$AD)</f>
        <v>0</v>
      </c>
      <c r="F93" s="725">
        <f>SUMIFS(Sheet1!S71_OriginalBudAmnt,Sheet1!S71_SA34aCode,$AC:$AC,Sheet1!S71_A5CapexCode,$AD:$AD)</f>
        <v>0</v>
      </c>
      <c r="G93" s="712">
        <f>SUMIFS(Sheet1!S71_AdjustmentBudAmnt,Sheet1!S71_SA34aCode,$AC:$AC,Sheet1!S71_A5CapexCode,$AD:$AD)</f>
        <v>0</v>
      </c>
      <c r="H93" s="713">
        <f>SUMIFS(Sheet1!S71_AdjustmentBudAmnt,Sheet1!S71_SA34aCode,$AC:$AC,Sheet1!S71_A5CapexCode,$AD:$AD)</f>
        <v>0</v>
      </c>
      <c r="I93" s="725">
        <f>SUMIFS(Sheet1!S71_ASBudgetAmount,Sheet1!S71_SA34aCode,$AC:$AC,Sheet1!S71_A5CapexCode,$AD:$AD)</f>
        <v>0</v>
      </c>
      <c r="J93" s="712">
        <f>SUMIFS(Sheet1!S71_OY1BudgetAmount,Sheet1!S71_SA34aCode,$AC:$AC,Sheet1!S71_A5CapexCode,$AD:$AD)</f>
        <v>0</v>
      </c>
      <c r="K93" s="713">
        <f>SUMIFS(Sheet1!S71_OY2BudgetAmount,Sheet1!S71_SA34aCode,$AC:$AC,Sheet1!S71_A5CapexCode,$AD:$AD)</f>
        <v>0</v>
      </c>
      <c r="AC93" s="2365" t="s">
        <v>2878</v>
      </c>
      <c r="AD93" s="2365" t="s">
        <v>2805</v>
      </c>
    </row>
    <row r="94" spans="1:30" ht="13.15" customHeight="1" x14ac:dyDescent="0.25">
      <c r="A94" s="2125" t="s">
        <v>1079</v>
      </c>
      <c r="B94" s="144"/>
      <c r="C94" s="712">
        <f>SUMIFS(Sheet1!S71_PPPYearAmount,Sheet1!S71_SA34aCode,$AC:$AC,Sheet1!S71_A5CapexCode,$AD:$AD)</f>
        <v>0</v>
      </c>
      <c r="D94" s="712">
        <f>SUMIFS(Sheet1!S71_PPYearAmount,Sheet1!S71_SA34aCode,$AC:$AC,Sheet1!S71_A5CapexCode,$AD:$AD)</f>
        <v>0</v>
      </c>
      <c r="E94" s="715">
        <f>SUMIFS(Sheet1!S71_PYearAmount,Sheet1!S71_SA34aCode,$AC:$AC,Sheet1!S71_A5CapexCode,$AD:$AD)</f>
        <v>0</v>
      </c>
      <c r="F94" s="725">
        <f>SUMIFS(Sheet1!S71_OriginalBudAmnt,Sheet1!S71_SA34aCode,$AC:$AC,Sheet1!S71_A5CapexCode,$AD:$AD)</f>
        <v>0</v>
      </c>
      <c r="G94" s="712">
        <f>SUMIFS(Sheet1!S71_AdjustmentBudAmnt,Sheet1!S71_SA34aCode,$AC:$AC,Sheet1!S71_A5CapexCode,$AD:$AD)</f>
        <v>0</v>
      </c>
      <c r="H94" s="713">
        <f>SUMIFS(Sheet1!S71_AdjustmentBudAmnt,Sheet1!S71_SA34aCode,$AC:$AC,Sheet1!S71_A5CapexCode,$AD:$AD)</f>
        <v>0</v>
      </c>
      <c r="I94" s="725">
        <f>SUMIFS(Sheet1!S71_ASBudgetAmount,Sheet1!S71_SA34aCode,$AC:$AC,Sheet1!S71_A5CapexCode,$AD:$AD)</f>
        <v>0</v>
      </c>
      <c r="J94" s="712">
        <f>SUMIFS(Sheet1!S71_OY1BudgetAmount,Sheet1!S71_SA34aCode,$AC:$AC,Sheet1!S71_A5CapexCode,$AD:$AD)</f>
        <v>0</v>
      </c>
      <c r="K94" s="713">
        <f>SUMIFS(Sheet1!S71_OY2BudgetAmount,Sheet1!S71_SA34aCode,$AC:$AC,Sheet1!S71_A5CapexCode,$AD:$AD)</f>
        <v>0</v>
      </c>
      <c r="AC94" s="2365" t="s">
        <v>2879</v>
      </c>
      <c r="AD94" s="2365" t="s">
        <v>2805</v>
      </c>
    </row>
    <row r="95" spans="1:30" ht="13.15" customHeight="1" x14ac:dyDescent="0.25">
      <c r="A95" s="2125" t="s">
        <v>2299</v>
      </c>
      <c r="B95" s="144"/>
      <c r="C95" s="712">
        <f>SUMIFS(Sheet1!S71_PPPYearAmount,Sheet1!S71_SA34aCode,$AC:$AC,Sheet1!S71_A5CapexCode,$AD:$AD)</f>
        <v>0</v>
      </c>
      <c r="D95" s="712">
        <f>SUMIFS(Sheet1!S71_PPYearAmount,Sheet1!S71_SA34aCode,$AC:$AC,Sheet1!S71_A5CapexCode,$AD:$AD)</f>
        <v>0</v>
      </c>
      <c r="E95" s="715">
        <f>SUMIFS(Sheet1!S71_PYearAmount,Sheet1!S71_SA34aCode,$AC:$AC,Sheet1!S71_A5CapexCode,$AD:$AD)</f>
        <v>0</v>
      </c>
      <c r="F95" s="725">
        <f>SUMIFS(Sheet1!S71_OriginalBudAmnt,Sheet1!S71_SA34aCode,$AC:$AC,Sheet1!S71_A5CapexCode,$AD:$AD)</f>
        <v>0</v>
      </c>
      <c r="G95" s="712">
        <f>SUMIFS(Sheet1!S71_AdjustmentBudAmnt,Sheet1!S71_SA34aCode,$AC:$AC,Sheet1!S71_A5CapexCode,$AD:$AD)</f>
        <v>0</v>
      </c>
      <c r="H95" s="713">
        <f>SUMIFS(Sheet1!S71_AdjustmentBudAmnt,Sheet1!S71_SA34aCode,$AC:$AC,Sheet1!S71_A5CapexCode,$AD:$AD)</f>
        <v>0</v>
      </c>
      <c r="I95" s="725">
        <f>SUMIFS(Sheet1!S71_ASBudgetAmount,Sheet1!S71_SA34aCode,$AC:$AC,Sheet1!S71_A5CapexCode,$AD:$AD)</f>
        <v>0</v>
      </c>
      <c r="J95" s="712">
        <f>SUMIFS(Sheet1!S71_OY1BudgetAmount,Sheet1!S71_SA34aCode,$AC:$AC,Sheet1!S71_A5CapexCode,$AD:$AD)</f>
        <v>0</v>
      </c>
      <c r="K95" s="713">
        <f>SUMIFS(Sheet1!S71_OY2BudgetAmount,Sheet1!S71_SA34aCode,$AC:$AC,Sheet1!S71_A5CapexCode,$AD:$AD)</f>
        <v>0</v>
      </c>
      <c r="AC95" s="2365" t="s">
        <v>2880</v>
      </c>
      <c r="AD95" s="2365" t="s">
        <v>2805</v>
      </c>
    </row>
    <row r="96" spans="1:30" ht="13.15" customHeight="1" x14ac:dyDescent="0.25">
      <c r="A96" s="2125" t="s">
        <v>2300</v>
      </c>
      <c r="B96" s="144"/>
      <c r="C96" s="712">
        <f>SUMIFS(Sheet1!S71_PPPYearAmount,Sheet1!S71_SA34aCode,$AC:$AC,Sheet1!S71_A5CapexCode,$AD:$AD)</f>
        <v>0</v>
      </c>
      <c r="D96" s="712">
        <f>SUMIFS(Sheet1!S71_PPYearAmount,Sheet1!S71_SA34aCode,$AC:$AC,Sheet1!S71_A5CapexCode,$AD:$AD)</f>
        <v>0</v>
      </c>
      <c r="E96" s="715">
        <f>SUMIFS(Sheet1!S71_PYearAmount,Sheet1!S71_SA34aCode,$AC:$AC,Sheet1!S71_A5CapexCode,$AD:$AD)</f>
        <v>0</v>
      </c>
      <c r="F96" s="725">
        <f>SUMIFS(Sheet1!S71_OriginalBudAmnt,Sheet1!S71_SA34aCode,$AC:$AC,Sheet1!S71_A5CapexCode,$AD:$AD)</f>
        <v>0</v>
      </c>
      <c r="G96" s="712">
        <f>SUMIFS(Sheet1!S71_AdjustmentBudAmnt,Sheet1!S71_SA34aCode,$AC:$AC,Sheet1!S71_A5CapexCode,$AD:$AD)</f>
        <v>0</v>
      </c>
      <c r="H96" s="713">
        <f>SUMIFS(Sheet1!S71_AdjustmentBudAmnt,Sheet1!S71_SA34aCode,$AC:$AC,Sheet1!S71_A5CapexCode,$AD:$AD)</f>
        <v>0</v>
      </c>
      <c r="I96" s="725">
        <f>SUMIFS(Sheet1!S71_ASBudgetAmount,Sheet1!S71_SA34aCode,$AC:$AC,Sheet1!S71_A5CapexCode,$AD:$AD)</f>
        <v>0</v>
      </c>
      <c r="J96" s="712">
        <f>SUMIFS(Sheet1!S71_OY1BudgetAmount,Sheet1!S71_SA34aCode,$AC:$AC,Sheet1!S71_A5CapexCode,$AD:$AD)</f>
        <v>0</v>
      </c>
      <c r="K96" s="713">
        <f>SUMIFS(Sheet1!S71_OY2BudgetAmount,Sheet1!S71_SA34aCode,$AC:$AC,Sheet1!S71_A5CapexCode,$AD:$AD)</f>
        <v>0</v>
      </c>
      <c r="AC96" s="2365" t="s">
        <v>2881</v>
      </c>
      <c r="AD96" s="2365" t="s">
        <v>2805</v>
      </c>
    </row>
    <row r="97" spans="1:30" ht="13.15" customHeight="1" x14ac:dyDescent="0.25">
      <c r="A97" s="2125" t="s">
        <v>2233</v>
      </c>
      <c r="B97" s="144"/>
      <c r="C97" s="712">
        <f>SUMIFS(Sheet1!S71_PPPYearAmount,Sheet1!S71_SA34aCode,$AC:$AC,Sheet1!S71_A5CapexCode,$AD:$AD)</f>
        <v>0</v>
      </c>
      <c r="D97" s="712">
        <f>SUMIFS(Sheet1!S71_PPYearAmount,Sheet1!S71_SA34aCode,$AC:$AC,Sheet1!S71_A5CapexCode,$AD:$AD)</f>
        <v>0</v>
      </c>
      <c r="E97" s="715">
        <f>SUMIFS(Sheet1!S71_PYearAmount,Sheet1!S71_SA34aCode,$AC:$AC,Sheet1!S71_A5CapexCode,$AD:$AD)</f>
        <v>0</v>
      </c>
      <c r="F97" s="725">
        <f>SUMIFS(Sheet1!S71_OriginalBudAmnt,Sheet1!S71_SA34aCode,$AC:$AC,Sheet1!S71_A5CapexCode,$AD:$AD)</f>
        <v>0</v>
      </c>
      <c r="G97" s="712">
        <f>SUMIFS(Sheet1!S71_AdjustmentBudAmnt,Sheet1!S71_SA34aCode,$AC:$AC,Sheet1!S71_A5CapexCode,$AD:$AD)</f>
        <v>0</v>
      </c>
      <c r="H97" s="713">
        <f>SUMIFS(Sheet1!S71_AdjustmentBudAmnt,Sheet1!S71_SA34aCode,$AC:$AC,Sheet1!S71_A5CapexCode,$AD:$AD)</f>
        <v>0</v>
      </c>
      <c r="I97" s="725">
        <f>SUMIFS(Sheet1!S71_ASBudgetAmount,Sheet1!S71_SA34aCode,$AC:$AC,Sheet1!S71_A5CapexCode,$AD:$AD)</f>
        <v>0</v>
      </c>
      <c r="J97" s="712">
        <f>SUMIFS(Sheet1!S71_OY1BudgetAmount,Sheet1!S71_SA34aCode,$AC:$AC,Sheet1!S71_A5CapexCode,$AD:$AD)</f>
        <v>0</v>
      </c>
      <c r="K97" s="713">
        <f>SUMIFS(Sheet1!S71_OY2BudgetAmount,Sheet1!S71_SA34aCode,$AC:$AC,Sheet1!S71_A5CapexCode,$AD:$AD)</f>
        <v>0</v>
      </c>
      <c r="AC97" s="2365" t="s">
        <v>2046</v>
      </c>
      <c r="AD97" s="2365" t="s">
        <v>2805</v>
      </c>
    </row>
    <row r="98" spans="1:30" ht="13.15" customHeight="1" x14ac:dyDescent="0.25">
      <c r="A98" s="104" t="s">
        <v>2301</v>
      </c>
      <c r="B98" s="144"/>
      <c r="C98" s="71">
        <f>SUM(C99:C101)</f>
        <v>0</v>
      </c>
      <c r="D98" s="71">
        <f t="shared" ref="D98:K98" si="12">SUM(D99:D101)</f>
        <v>0</v>
      </c>
      <c r="E98" s="305">
        <f t="shared" si="12"/>
        <v>0</v>
      </c>
      <c r="F98" s="75">
        <f t="shared" si="12"/>
        <v>0</v>
      </c>
      <c r="G98" s="71">
        <f t="shared" si="12"/>
        <v>0</v>
      </c>
      <c r="H98" s="117">
        <f t="shared" si="12"/>
        <v>0</v>
      </c>
      <c r="I98" s="75">
        <f t="shared" si="12"/>
        <v>8000000</v>
      </c>
      <c r="J98" s="71">
        <f t="shared" si="12"/>
        <v>0</v>
      </c>
      <c r="K98" s="117">
        <f t="shared" si="12"/>
        <v>0</v>
      </c>
      <c r="AD98" s="2365" t="s">
        <v>2805</v>
      </c>
    </row>
    <row r="99" spans="1:30" ht="13.15" customHeight="1" x14ac:dyDescent="0.25">
      <c r="A99" s="2125" t="s">
        <v>2302</v>
      </c>
      <c r="B99" s="144"/>
      <c r="C99" s="712">
        <f>SUMIFS(Sheet1!S71_PPPYearAmount,Sheet1!S71_SA34aCode,$AC:$AC,Sheet1!S71_A5CapexCode,$AD:$AD)</f>
        <v>0</v>
      </c>
      <c r="D99" s="712">
        <f>SUMIFS(Sheet1!S71_PPYearAmount,Sheet1!S71_SA34aCode,$AC:$AC,Sheet1!S71_A5CapexCode,$AD:$AD)</f>
        <v>0</v>
      </c>
      <c r="E99" s="715">
        <f>SUMIFS(Sheet1!S71_PYearAmount,Sheet1!S71_SA34aCode,$AC:$AC,Sheet1!S71_A5CapexCode,$AD:$AD)</f>
        <v>0</v>
      </c>
      <c r="F99" s="725">
        <f>SUMIFS(Sheet1!S71_OriginalBudAmnt,Sheet1!S71_SA34aCode,$AC:$AC,Sheet1!S71_A5CapexCode,$AD:$AD)</f>
        <v>0</v>
      </c>
      <c r="G99" s="712">
        <f>SUMIFS(Sheet1!S71_AdjustmentBudAmnt,Sheet1!S71_SA34aCode,$AC:$AC,Sheet1!S71_A5CapexCode,$AD:$AD)</f>
        <v>0</v>
      </c>
      <c r="H99" s="713">
        <f>SUMIFS(Sheet1!S71_AdjustmentBudAmnt,Sheet1!S71_SA34aCode,$AC:$AC,Sheet1!S71_A5CapexCode,$AD:$AD)</f>
        <v>0</v>
      </c>
      <c r="I99" s="725">
        <f>SUMIFS(Sheet1!S71_ASBudgetAmount,Sheet1!S71_SA34aCode,$AC:$AC,Sheet1!S71_A5CapexCode,$AD:$AD)</f>
        <v>0</v>
      </c>
      <c r="J99" s="712">
        <f>SUMIFS(Sheet1!S71_OY1BudgetAmount,Sheet1!S71_SA34aCode,$AC:$AC,Sheet1!S71_A5CapexCode,$AD:$AD)</f>
        <v>0</v>
      </c>
      <c r="K99" s="713">
        <f>SUMIFS(Sheet1!S71_OY2BudgetAmount,Sheet1!S71_SA34aCode,$AC:$AC,Sheet1!S71_A5CapexCode,$AD:$AD)</f>
        <v>0</v>
      </c>
      <c r="AC99" s="2365" t="s">
        <v>2882</v>
      </c>
      <c r="AD99" s="2365" t="s">
        <v>2805</v>
      </c>
    </row>
    <row r="100" spans="1:30" ht="13.15" customHeight="1" x14ac:dyDescent="0.25">
      <c r="A100" s="2125" t="s">
        <v>2303</v>
      </c>
      <c r="B100" s="144"/>
      <c r="C100" s="712">
        <f>SUMIFS(Sheet1!S71_PPPYearAmount,Sheet1!S71_SA34aCode,$AC:$AC,Sheet1!S71_A5CapexCode,$AD:$AD)</f>
        <v>0</v>
      </c>
      <c r="D100" s="712">
        <f>SUMIFS(Sheet1!S71_PPYearAmount,Sheet1!S71_SA34aCode,$AC:$AC,Sheet1!S71_A5CapexCode,$AD:$AD)</f>
        <v>0</v>
      </c>
      <c r="E100" s="715">
        <f>SUMIFS(Sheet1!S71_PYearAmount,Sheet1!S71_SA34aCode,$AC:$AC,Sheet1!S71_A5CapexCode,$AD:$AD)</f>
        <v>0</v>
      </c>
      <c r="F100" s="725">
        <f>SUMIFS(Sheet1!S71_OriginalBudAmnt,Sheet1!S71_SA34aCode,$AC:$AC,Sheet1!S71_A5CapexCode,$AD:$AD)</f>
        <v>0</v>
      </c>
      <c r="G100" s="712">
        <f>SUMIFS(Sheet1!S71_AdjustmentBudAmnt,Sheet1!S71_SA34aCode,$AC:$AC,Sheet1!S71_A5CapexCode,$AD:$AD)</f>
        <v>0</v>
      </c>
      <c r="H100" s="713">
        <f>SUMIFS(Sheet1!S71_AdjustmentBudAmnt,Sheet1!S71_SA34aCode,$AC:$AC,Sheet1!S71_A5CapexCode,$AD:$AD)</f>
        <v>0</v>
      </c>
      <c r="I100" s="725">
        <f>SUMIFS(Sheet1!S71_ASBudgetAmount,Sheet1!S71_SA34aCode,$AC:$AC,Sheet1!S71_A5CapexCode,$AD:$AD)</f>
        <v>8000000</v>
      </c>
      <c r="J100" s="712">
        <f>SUMIFS(Sheet1!S71_OY1BudgetAmount,Sheet1!S71_SA34aCode,$AC:$AC,Sheet1!S71_A5CapexCode,$AD:$AD)</f>
        <v>0</v>
      </c>
      <c r="K100" s="713">
        <f>SUMIFS(Sheet1!S71_OY2BudgetAmount,Sheet1!S71_SA34aCode,$AC:$AC,Sheet1!S71_A5CapexCode,$AD:$AD)</f>
        <v>0</v>
      </c>
      <c r="AC100" s="2365" t="s">
        <v>2883</v>
      </c>
      <c r="AD100" s="2365" t="s">
        <v>2805</v>
      </c>
    </row>
    <row r="101" spans="1:30" ht="13.15" customHeight="1" x14ac:dyDescent="0.25">
      <c r="A101" s="2125" t="s">
        <v>2233</v>
      </c>
      <c r="B101" s="144"/>
      <c r="C101" s="712">
        <f>SUMIFS(Sheet1!S71_PPPYearAmount,Sheet1!S71_SA34aCode,$AC:$AC,Sheet1!S71_A5CapexCode,$AD:$AD)</f>
        <v>0</v>
      </c>
      <c r="D101" s="712">
        <f>SUMIFS(Sheet1!S71_PPYearAmount,Sheet1!S71_SA34aCode,$AC:$AC,Sheet1!S71_A5CapexCode,$AD:$AD)</f>
        <v>0</v>
      </c>
      <c r="E101" s="715">
        <f>SUMIFS(Sheet1!S71_PYearAmount,Sheet1!S71_SA34aCode,$AC:$AC,Sheet1!S71_A5CapexCode,$AD:$AD)</f>
        <v>0</v>
      </c>
      <c r="F101" s="725">
        <f>SUMIFS(Sheet1!S71_OriginalBudAmnt,Sheet1!S71_SA34aCode,$AC:$AC,Sheet1!S71_A5CapexCode,$AD:$AD)</f>
        <v>0</v>
      </c>
      <c r="G101" s="712">
        <f>SUMIFS(Sheet1!S71_AdjustmentBudAmnt,Sheet1!S71_SA34aCode,$AC:$AC,Sheet1!S71_A5CapexCode,$AD:$AD)</f>
        <v>0</v>
      </c>
      <c r="H101" s="713">
        <f>SUMIFS(Sheet1!S71_AdjustmentBudAmnt,Sheet1!S71_SA34aCode,$AC:$AC,Sheet1!S71_A5CapexCode,$AD:$AD)</f>
        <v>0</v>
      </c>
      <c r="I101" s="725">
        <f>SUMIFS(Sheet1!S71_ASBudgetAmount,Sheet1!S71_SA34aCode,$AC:$AC,Sheet1!S71_A5CapexCode,$AD:$AD)</f>
        <v>0</v>
      </c>
      <c r="J101" s="712">
        <f>SUMIFS(Sheet1!S71_OY1BudgetAmount,Sheet1!S71_SA34aCode,$AC:$AC,Sheet1!S71_A5CapexCode,$AD:$AD)</f>
        <v>0</v>
      </c>
      <c r="K101" s="713">
        <f>SUMIFS(Sheet1!S71_OY2BudgetAmount,Sheet1!S71_SA34aCode,$AC:$AC,Sheet1!S71_A5CapexCode,$AD:$AD)</f>
        <v>0</v>
      </c>
      <c r="AC101" s="2365" t="s">
        <v>2884</v>
      </c>
      <c r="AD101" s="2365" t="s">
        <v>2805</v>
      </c>
    </row>
    <row r="102" spans="1:30" ht="4.9000000000000004" customHeight="1" x14ac:dyDescent="0.25">
      <c r="A102" s="116"/>
      <c r="B102" s="144"/>
      <c r="C102" s="177"/>
      <c r="D102" s="177"/>
      <c r="E102" s="180"/>
      <c r="F102" s="179"/>
      <c r="G102" s="177"/>
      <c r="H102" s="178"/>
      <c r="I102" s="179"/>
      <c r="J102" s="177"/>
      <c r="K102" s="178"/>
      <c r="AD102" s="2365" t="s">
        <v>2805</v>
      </c>
    </row>
    <row r="103" spans="1:30" ht="13.15" customHeight="1" x14ac:dyDescent="0.25">
      <c r="A103" s="96" t="s">
        <v>828</v>
      </c>
      <c r="B103" s="144"/>
      <c r="C103" s="177">
        <f>SUM(C104:C108)</f>
        <v>0</v>
      </c>
      <c r="D103" s="177">
        <f t="shared" ref="D103:K103" si="13">SUM(D104:D108)</f>
        <v>0</v>
      </c>
      <c r="E103" s="180">
        <f t="shared" si="13"/>
        <v>0</v>
      </c>
      <c r="F103" s="179">
        <f t="shared" si="13"/>
        <v>0</v>
      </c>
      <c r="G103" s="177">
        <f t="shared" si="13"/>
        <v>0</v>
      </c>
      <c r="H103" s="178">
        <f t="shared" si="13"/>
        <v>0</v>
      </c>
      <c r="I103" s="179">
        <f t="shared" si="13"/>
        <v>0</v>
      </c>
      <c r="J103" s="177">
        <f t="shared" si="13"/>
        <v>0</v>
      </c>
      <c r="K103" s="178">
        <f t="shared" si="13"/>
        <v>0</v>
      </c>
      <c r="AD103" s="2365" t="s">
        <v>2805</v>
      </c>
    </row>
    <row r="104" spans="1:30" ht="13.15" customHeight="1" x14ac:dyDescent="0.25">
      <c r="A104" s="104" t="s">
        <v>2304</v>
      </c>
      <c r="B104" s="144"/>
      <c r="C104" s="712">
        <f>SUMIFS(Sheet1!S71_PPPYearAmount,Sheet1!S71_SA34aCode,$AC:$AC,Sheet1!S71_A5CapexCode,$AD:$AD)</f>
        <v>0</v>
      </c>
      <c r="D104" s="712">
        <f>SUMIFS(Sheet1!S71_PPYearAmount,Sheet1!S71_SA34aCode,$AC:$AC,Sheet1!S71_A5CapexCode,$AD:$AD)</f>
        <v>0</v>
      </c>
      <c r="E104" s="715">
        <f>SUMIFS(Sheet1!S71_PYearAmount,Sheet1!S71_SA34aCode,$AC:$AC,Sheet1!S71_A5CapexCode,$AD:$AD)</f>
        <v>0</v>
      </c>
      <c r="F104" s="725">
        <f>SUMIFS(Sheet1!S71_OriginalBudAmnt,Sheet1!S71_SA34aCode,$AC:$AC,Sheet1!S71_A5CapexCode,$AD:$AD)</f>
        <v>0</v>
      </c>
      <c r="G104" s="712">
        <f>SUMIFS(Sheet1!S71_AdjustmentBudAmnt,Sheet1!S71_SA34aCode,$AC:$AC,Sheet1!S71_A5CapexCode,$AD:$AD)</f>
        <v>0</v>
      </c>
      <c r="H104" s="713">
        <f>SUMIFS(Sheet1!S71_AdjustmentBudAmnt,Sheet1!S71_SA34aCode,$AC:$AC,Sheet1!S71_A5CapexCode,$AD:$AD)</f>
        <v>0</v>
      </c>
      <c r="I104" s="725">
        <f>SUMIFS(Sheet1!S71_ASBudgetAmount,Sheet1!S71_SA34aCode,$AC:$AC,Sheet1!S71_A5CapexCode,$AD:$AD)</f>
        <v>0</v>
      </c>
      <c r="J104" s="712">
        <f>SUMIFS(Sheet1!S71_OY1BudgetAmount,Sheet1!S71_SA34aCode,$AC:$AC,Sheet1!S71_A5CapexCode,$AD:$AD)</f>
        <v>0</v>
      </c>
      <c r="K104" s="713">
        <f>SUMIFS(Sheet1!S71_OY2BudgetAmount,Sheet1!S71_SA34aCode,$AC:$AC,Sheet1!S71_A5CapexCode,$AD:$AD)</f>
        <v>0</v>
      </c>
      <c r="AC104" s="2365" t="s">
        <v>2885</v>
      </c>
      <c r="AD104" s="2365" t="s">
        <v>2805</v>
      </c>
    </row>
    <row r="105" spans="1:30" ht="13.15" customHeight="1" x14ac:dyDescent="0.25">
      <c r="A105" s="137" t="s">
        <v>2305</v>
      </c>
      <c r="B105" s="144"/>
      <c r="C105" s="712">
        <f>SUMIFS(Sheet1!S71_PPPYearAmount,Sheet1!S71_SA34aCode,$AC:$AC,Sheet1!S71_A5CapexCode,$AD:$AD)</f>
        <v>0</v>
      </c>
      <c r="D105" s="712">
        <f>SUMIFS(Sheet1!S71_PPYearAmount,Sheet1!S71_SA34aCode,$AC:$AC,Sheet1!S71_A5CapexCode,$AD:$AD)</f>
        <v>0</v>
      </c>
      <c r="E105" s="715">
        <f>SUMIFS(Sheet1!S71_PYearAmount,Sheet1!S71_SA34aCode,$AC:$AC,Sheet1!S71_A5CapexCode,$AD:$AD)</f>
        <v>0</v>
      </c>
      <c r="F105" s="725">
        <f>SUMIFS(Sheet1!S71_OriginalBudAmnt,Sheet1!S71_SA34aCode,$AC:$AC,Sheet1!S71_A5CapexCode,$AD:$AD)</f>
        <v>0</v>
      </c>
      <c r="G105" s="712">
        <f>SUMIFS(Sheet1!S71_AdjustmentBudAmnt,Sheet1!S71_SA34aCode,$AC:$AC,Sheet1!S71_A5CapexCode,$AD:$AD)</f>
        <v>0</v>
      </c>
      <c r="H105" s="713">
        <f>SUMIFS(Sheet1!S71_AdjustmentBudAmnt,Sheet1!S71_SA34aCode,$AC:$AC,Sheet1!S71_A5CapexCode,$AD:$AD)</f>
        <v>0</v>
      </c>
      <c r="I105" s="725">
        <f>SUMIFS(Sheet1!S71_ASBudgetAmount,Sheet1!S71_SA34aCode,$AC:$AC,Sheet1!S71_A5CapexCode,$AD:$AD)</f>
        <v>0</v>
      </c>
      <c r="J105" s="712">
        <f>SUMIFS(Sheet1!S71_OY1BudgetAmount,Sheet1!S71_SA34aCode,$AC:$AC,Sheet1!S71_A5CapexCode,$AD:$AD)</f>
        <v>0</v>
      </c>
      <c r="K105" s="713">
        <f>SUMIFS(Sheet1!S71_OY2BudgetAmount,Sheet1!S71_SA34aCode,$AC:$AC,Sheet1!S71_A5CapexCode,$AD:$AD)</f>
        <v>0</v>
      </c>
      <c r="AC105" s="2365" t="s">
        <v>2886</v>
      </c>
      <c r="AD105" s="2365" t="s">
        <v>2805</v>
      </c>
    </row>
    <row r="106" spans="1:30" ht="13.15" customHeight="1" x14ac:dyDescent="0.25">
      <c r="A106" s="104" t="s">
        <v>2306</v>
      </c>
      <c r="B106" s="144"/>
      <c r="C106" s="712">
        <f>SUMIFS(Sheet1!S71_PPPYearAmount,Sheet1!S71_SA34aCode,$AC:$AC,Sheet1!S71_A5CapexCode,$AD:$AD)</f>
        <v>0</v>
      </c>
      <c r="D106" s="712">
        <f>SUMIFS(Sheet1!S71_PPYearAmount,Sheet1!S71_SA34aCode,$AC:$AC,Sheet1!S71_A5CapexCode,$AD:$AD)</f>
        <v>0</v>
      </c>
      <c r="E106" s="715">
        <f>SUMIFS(Sheet1!S71_PYearAmount,Sheet1!S71_SA34aCode,$AC:$AC,Sheet1!S71_A5CapexCode,$AD:$AD)</f>
        <v>0</v>
      </c>
      <c r="F106" s="725">
        <f>SUMIFS(Sheet1!S71_OriginalBudAmnt,Sheet1!S71_SA34aCode,$AC:$AC,Sheet1!S71_A5CapexCode,$AD:$AD)</f>
        <v>0</v>
      </c>
      <c r="G106" s="712">
        <f>SUMIFS(Sheet1!S71_AdjustmentBudAmnt,Sheet1!S71_SA34aCode,$AC:$AC,Sheet1!S71_A5CapexCode,$AD:$AD)</f>
        <v>0</v>
      </c>
      <c r="H106" s="713">
        <f>SUMIFS(Sheet1!S71_AdjustmentBudAmnt,Sheet1!S71_SA34aCode,$AC:$AC,Sheet1!S71_A5CapexCode,$AD:$AD)</f>
        <v>0</v>
      </c>
      <c r="I106" s="725">
        <f>SUMIFS(Sheet1!S71_ASBudgetAmount,Sheet1!S71_SA34aCode,$AC:$AC,Sheet1!S71_A5CapexCode,$AD:$AD)</f>
        <v>0</v>
      </c>
      <c r="J106" s="712">
        <f>SUMIFS(Sheet1!S71_OY1BudgetAmount,Sheet1!S71_SA34aCode,$AC:$AC,Sheet1!S71_A5CapexCode,$AD:$AD)</f>
        <v>0</v>
      </c>
      <c r="K106" s="713">
        <f>SUMIFS(Sheet1!S71_OY2BudgetAmount,Sheet1!S71_SA34aCode,$AC:$AC,Sheet1!S71_A5CapexCode,$AD:$AD)</f>
        <v>0</v>
      </c>
      <c r="AC106" s="2365" t="s">
        <v>2887</v>
      </c>
      <c r="AD106" s="2365" t="s">
        <v>2805</v>
      </c>
    </row>
    <row r="107" spans="1:30" ht="13.15" customHeight="1" x14ac:dyDescent="0.25">
      <c r="A107" s="104" t="s">
        <v>2307</v>
      </c>
      <c r="B107" s="144"/>
      <c r="C107" s="712">
        <f>SUMIFS(Sheet1!S71_PPPYearAmount,Sheet1!S71_SA34aCode,$AC:$AC,Sheet1!S71_A5CapexCode,$AD:$AD)</f>
        <v>0</v>
      </c>
      <c r="D107" s="712">
        <f>SUMIFS(Sheet1!S71_PPYearAmount,Sheet1!S71_SA34aCode,$AC:$AC,Sheet1!S71_A5CapexCode,$AD:$AD)</f>
        <v>0</v>
      </c>
      <c r="E107" s="715">
        <f>SUMIFS(Sheet1!S71_PYearAmount,Sheet1!S71_SA34aCode,$AC:$AC,Sheet1!S71_A5CapexCode,$AD:$AD)</f>
        <v>0</v>
      </c>
      <c r="F107" s="725">
        <f>SUMIFS(Sheet1!S71_OriginalBudAmnt,Sheet1!S71_SA34aCode,$AC:$AC,Sheet1!S71_A5CapexCode,$AD:$AD)</f>
        <v>0</v>
      </c>
      <c r="G107" s="712">
        <f>SUMIFS(Sheet1!S71_AdjustmentBudAmnt,Sheet1!S71_SA34aCode,$AC:$AC,Sheet1!S71_A5CapexCode,$AD:$AD)</f>
        <v>0</v>
      </c>
      <c r="H107" s="713">
        <f>SUMIFS(Sheet1!S71_AdjustmentBudAmnt,Sheet1!S71_SA34aCode,$AC:$AC,Sheet1!S71_A5CapexCode,$AD:$AD)</f>
        <v>0</v>
      </c>
      <c r="I107" s="725">
        <f>SUMIFS(Sheet1!S71_ASBudgetAmount,Sheet1!S71_SA34aCode,$AC:$AC,Sheet1!S71_A5CapexCode,$AD:$AD)</f>
        <v>0</v>
      </c>
      <c r="J107" s="712">
        <f>SUMIFS(Sheet1!S71_OY1BudgetAmount,Sheet1!S71_SA34aCode,$AC:$AC,Sheet1!S71_A5CapexCode,$AD:$AD)</f>
        <v>0</v>
      </c>
      <c r="K107" s="713">
        <f>SUMIFS(Sheet1!S71_OY2BudgetAmount,Sheet1!S71_SA34aCode,$AC:$AC,Sheet1!S71_A5CapexCode,$AD:$AD)</f>
        <v>0</v>
      </c>
      <c r="AC107" s="2365" t="s">
        <v>2888</v>
      </c>
      <c r="AD107" s="2365" t="s">
        <v>2805</v>
      </c>
    </row>
    <row r="108" spans="1:30" ht="13.15" customHeight="1" x14ac:dyDescent="0.25">
      <c r="A108" s="137" t="s">
        <v>2308</v>
      </c>
      <c r="B108" s="144"/>
      <c r="C108" s="712">
        <f>SUMIFS(Sheet1!S71_PPPYearAmount,Sheet1!S71_SA34aCode,$AC:$AC,Sheet1!S71_A5CapexCode,$AD:$AD)</f>
        <v>0</v>
      </c>
      <c r="D108" s="712">
        <f>SUMIFS(Sheet1!S71_PPYearAmount,Sheet1!S71_SA34aCode,$AC:$AC,Sheet1!S71_A5CapexCode,$AD:$AD)</f>
        <v>0</v>
      </c>
      <c r="E108" s="715">
        <f>SUMIFS(Sheet1!S71_PYearAmount,Sheet1!S71_SA34aCode,$AC:$AC,Sheet1!S71_A5CapexCode,$AD:$AD)</f>
        <v>0</v>
      </c>
      <c r="F108" s="725">
        <f>SUMIFS(Sheet1!S71_OriginalBudAmnt,Sheet1!S71_SA34aCode,$AC:$AC,Sheet1!S71_A5CapexCode,$AD:$AD)</f>
        <v>0</v>
      </c>
      <c r="G108" s="712">
        <f>SUMIFS(Sheet1!S71_AdjustmentBudAmnt,Sheet1!S71_SA34aCode,$AC:$AC,Sheet1!S71_A5CapexCode,$AD:$AD)</f>
        <v>0</v>
      </c>
      <c r="H108" s="713">
        <f>SUMIFS(Sheet1!S71_AdjustmentBudAmnt,Sheet1!S71_SA34aCode,$AC:$AC,Sheet1!S71_A5CapexCode,$AD:$AD)</f>
        <v>0</v>
      </c>
      <c r="I108" s="725">
        <f>SUMIFS(Sheet1!S71_ASBudgetAmount,Sheet1!S71_SA34aCode,$AC:$AC,Sheet1!S71_A5CapexCode,$AD:$AD)</f>
        <v>0</v>
      </c>
      <c r="J108" s="712">
        <f>SUMIFS(Sheet1!S71_OY1BudgetAmount,Sheet1!S71_SA34aCode,$AC:$AC,Sheet1!S71_A5CapexCode,$AD:$AD)</f>
        <v>0</v>
      </c>
      <c r="K108" s="713">
        <f>SUMIFS(Sheet1!S71_OY2BudgetAmount,Sheet1!S71_SA34aCode,$AC:$AC,Sheet1!S71_A5CapexCode,$AD:$AD)</f>
        <v>0</v>
      </c>
      <c r="AC108" s="2365" t="s">
        <v>2048</v>
      </c>
      <c r="AD108" s="2365" t="s">
        <v>2805</v>
      </c>
    </row>
    <row r="109" spans="1:30" ht="4.9000000000000004" customHeight="1" x14ac:dyDescent="0.25">
      <c r="A109" s="448"/>
      <c r="B109" s="144"/>
      <c r="C109" s="177"/>
      <c r="D109" s="177"/>
      <c r="E109" s="180"/>
      <c r="F109" s="179"/>
      <c r="G109" s="177"/>
      <c r="H109" s="178"/>
      <c r="I109" s="179"/>
      <c r="J109" s="177"/>
      <c r="K109" s="178"/>
      <c r="AD109" s="2365" t="s">
        <v>2805</v>
      </c>
    </row>
    <row r="110" spans="1:30" ht="13.15" customHeight="1" x14ac:dyDescent="0.25">
      <c r="A110" s="574" t="s">
        <v>829</v>
      </c>
      <c r="B110" s="144"/>
      <c r="C110" s="545">
        <f>+C111+C114</f>
        <v>0</v>
      </c>
      <c r="D110" s="545">
        <f t="shared" ref="D110:K110" si="14">+D111+D114</f>
        <v>0</v>
      </c>
      <c r="E110" s="831">
        <f t="shared" si="14"/>
        <v>0</v>
      </c>
      <c r="F110" s="743">
        <f t="shared" si="14"/>
        <v>0</v>
      </c>
      <c r="G110" s="545">
        <f t="shared" si="14"/>
        <v>0</v>
      </c>
      <c r="H110" s="742">
        <f t="shared" si="14"/>
        <v>0</v>
      </c>
      <c r="I110" s="743">
        <f t="shared" si="14"/>
        <v>0</v>
      </c>
      <c r="J110" s="545">
        <f t="shared" si="14"/>
        <v>0</v>
      </c>
      <c r="K110" s="742">
        <f t="shared" si="14"/>
        <v>0</v>
      </c>
      <c r="AD110" s="2365" t="s">
        <v>2805</v>
      </c>
    </row>
    <row r="111" spans="1:30" ht="13.15" customHeight="1" x14ac:dyDescent="0.25">
      <c r="A111" s="104" t="s">
        <v>2338</v>
      </c>
      <c r="B111" s="144"/>
      <c r="C111" s="82">
        <f t="shared" ref="C111:K111" si="15">SUM(C112:C113)</f>
        <v>0</v>
      </c>
      <c r="D111" s="82">
        <f t="shared" si="15"/>
        <v>0</v>
      </c>
      <c r="E111" s="304">
        <f t="shared" si="15"/>
        <v>0</v>
      </c>
      <c r="F111" s="83">
        <f t="shared" si="15"/>
        <v>0</v>
      </c>
      <c r="G111" s="82">
        <f t="shared" si="15"/>
        <v>0</v>
      </c>
      <c r="H111" s="115">
        <f t="shared" si="15"/>
        <v>0</v>
      </c>
      <c r="I111" s="83">
        <f t="shared" si="15"/>
        <v>0</v>
      </c>
      <c r="J111" s="82">
        <f t="shared" si="15"/>
        <v>0</v>
      </c>
      <c r="K111" s="115">
        <f t="shared" si="15"/>
        <v>0</v>
      </c>
      <c r="AD111" s="2365" t="s">
        <v>2805</v>
      </c>
    </row>
    <row r="112" spans="1:30" ht="13.15" customHeight="1" x14ac:dyDescent="0.25">
      <c r="A112" s="2125" t="s">
        <v>2339</v>
      </c>
      <c r="B112" s="144"/>
      <c r="C112" s="712">
        <f>SUMIFS(Sheet1!S71_PPPYearAmount,Sheet1!S71_SA34aCode,$AC:$AC,Sheet1!S71_A5CapexCode,$AD:$AD)</f>
        <v>0</v>
      </c>
      <c r="D112" s="712">
        <f>SUMIFS(Sheet1!S71_PPYearAmount,Sheet1!S71_SA34aCode,$AC:$AC,Sheet1!S71_A5CapexCode,$AD:$AD)</f>
        <v>0</v>
      </c>
      <c r="E112" s="715">
        <f>SUMIFS(Sheet1!S71_PYearAmount,Sheet1!S71_SA34aCode,$AC:$AC,Sheet1!S71_A5CapexCode,$AD:$AD)</f>
        <v>0</v>
      </c>
      <c r="F112" s="725">
        <f>SUMIFS(Sheet1!S71_OriginalBudAmnt,Sheet1!S71_SA34aCode,$AC:$AC,Sheet1!S71_A5CapexCode,$AD:$AD)</f>
        <v>0</v>
      </c>
      <c r="G112" s="712">
        <f>SUMIFS(Sheet1!S71_AdjustmentBudAmnt,Sheet1!S71_SA34aCode,$AC:$AC,Sheet1!S71_A5CapexCode,$AD:$AD)</f>
        <v>0</v>
      </c>
      <c r="H112" s="713">
        <f>SUMIFS(Sheet1!S71_AdjustmentBudAmnt,Sheet1!S71_SA34aCode,$AC:$AC,Sheet1!S71_A5CapexCode,$AD:$AD)</f>
        <v>0</v>
      </c>
      <c r="I112" s="725">
        <f>SUMIFS(Sheet1!S71_ASBudgetAmount,Sheet1!S71_SA34aCode,$AC:$AC,Sheet1!S71_A5CapexCode,$AD:$AD)</f>
        <v>0</v>
      </c>
      <c r="J112" s="712">
        <f>SUMIFS(Sheet1!S71_OY1BudgetAmount,Sheet1!S71_SA34aCode,$AC:$AC,Sheet1!S71_A5CapexCode,$AD:$AD)</f>
        <v>0</v>
      </c>
      <c r="K112" s="713">
        <f>SUMIFS(Sheet1!S71_OY2BudgetAmount,Sheet1!S71_SA34aCode,$AC:$AC,Sheet1!S71_A5CapexCode,$AD:$AD)</f>
        <v>0</v>
      </c>
      <c r="AC112" s="2365" t="s">
        <v>2889</v>
      </c>
      <c r="AD112" s="2365" t="s">
        <v>2805</v>
      </c>
    </row>
    <row r="113" spans="1:30" ht="13.15" customHeight="1" x14ac:dyDescent="0.25">
      <c r="A113" s="2125" t="s">
        <v>2340</v>
      </c>
      <c r="B113" s="144"/>
      <c r="C113" s="712">
        <f>SUMIFS(Sheet1!S71_PPPYearAmount,Sheet1!S71_SA34aCode,$AC:$AC,Sheet1!S71_A5CapexCode,$AD:$AD)</f>
        <v>0</v>
      </c>
      <c r="D113" s="712">
        <f>SUMIFS(Sheet1!S71_PPYearAmount,Sheet1!S71_SA34aCode,$AC:$AC,Sheet1!S71_A5CapexCode,$AD:$AD)</f>
        <v>0</v>
      </c>
      <c r="E113" s="715">
        <f>SUMIFS(Sheet1!S71_PYearAmount,Sheet1!S71_SA34aCode,$AC:$AC,Sheet1!S71_A5CapexCode,$AD:$AD)</f>
        <v>0</v>
      </c>
      <c r="F113" s="725">
        <f>SUMIFS(Sheet1!S71_OriginalBudAmnt,Sheet1!S71_SA34aCode,$AC:$AC,Sheet1!S71_A5CapexCode,$AD:$AD)</f>
        <v>0</v>
      </c>
      <c r="G113" s="712">
        <f>SUMIFS(Sheet1!S71_AdjustmentBudAmnt,Sheet1!S71_SA34aCode,$AC:$AC,Sheet1!S71_A5CapexCode,$AD:$AD)</f>
        <v>0</v>
      </c>
      <c r="H113" s="713">
        <f>SUMIFS(Sheet1!S71_AdjustmentBudAmnt,Sheet1!S71_SA34aCode,$AC:$AC,Sheet1!S71_A5CapexCode,$AD:$AD)</f>
        <v>0</v>
      </c>
      <c r="I113" s="725">
        <f>SUMIFS(Sheet1!S71_ASBudgetAmount,Sheet1!S71_SA34aCode,$AC:$AC,Sheet1!S71_A5CapexCode,$AD:$AD)</f>
        <v>0</v>
      </c>
      <c r="J113" s="712">
        <f>SUMIFS(Sheet1!S71_OY1BudgetAmount,Sheet1!S71_SA34aCode,$AC:$AC,Sheet1!S71_A5CapexCode,$AD:$AD)</f>
        <v>0</v>
      </c>
      <c r="K113" s="713">
        <f>SUMIFS(Sheet1!S71_OY2BudgetAmount,Sheet1!S71_SA34aCode,$AC:$AC,Sheet1!S71_A5CapexCode,$AD:$AD)</f>
        <v>0</v>
      </c>
      <c r="AC113" s="2365" t="s">
        <v>2890</v>
      </c>
      <c r="AD113" s="2365" t="s">
        <v>2805</v>
      </c>
    </row>
    <row r="114" spans="1:30" ht="13.15" customHeight="1" x14ac:dyDescent="0.25">
      <c r="A114" s="104" t="s">
        <v>2341</v>
      </c>
      <c r="B114" s="144"/>
      <c r="C114" s="71">
        <f>SUM(C115:C116)</f>
        <v>0</v>
      </c>
      <c r="D114" s="71">
        <f t="shared" ref="D114:K114" si="16">SUM(D115:D116)</f>
        <v>0</v>
      </c>
      <c r="E114" s="305">
        <f t="shared" si="16"/>
        <v>0</v>
      </c>
      <c r="F114" s="75">
        <f t="shared" si="16"/>
        <v>0</v>
      </c>
      <c r="G114" s="71">
        <f t="shared" si="16"/>
        <v>0</v>
      </c>
      <c r="H114" s="117">
        <f t="shared" si="16"/>
        <v>0</v>
      </c>
      <c r="I114" s="75">
        <f t="shared" si="16"/>
        <v>0</v>
      </c>
      <c r="J114" s="71">
        <f t="shared" si="16"/>
        <v>0</v>
      </c>
      <c r="K114" s="117">
        <f t="shared" si="16"/>
        <v>0</v>
      </c>
      <c r="AC114" s="2365" t="s">
        <v>2891</v>
      </c>
      <c r="AD114" s="2365" t="s">
        <v>2805</v>
      </c>
    </row>
    <row r="115" spans="1:30" ht="13.15" customHeight="1" x14ac:dyDescent="0.25">
      <c r="A115" s="2125" t="s">
        <v>2339</v>
      </c>
      <c r="B115" s="144"/>
      <c r="C115" s="712">
        <f>SUMIFS(Sheet1!S71_PPPYearAmount,Sheet1!S71_SA34aCode,$AC:$AC,Sheet1!S71_A5CapexCode,$AD:$AD)</f>
        <v>0</v>
      </c>
      <c r="D115" s="712">
        <f>SUMIFS(Sheet1!S71_PPYearAmount,Sheet1!S71_SA34aCode,$AC:$AC,Sheet1!S71_A5CapexCode,$AD:$AD)</f>
        <v>0</v>
      </c>
      <c r="E115" s="715">
        <f>SUMIFS(Sheet1!S71_PYearAmount,Sheet1!S71_SA34aCode,$AC:$AC,Sheet1!S71_A5CapexCode,$AD:$AD)</f>
        <v>0</v>
      </c>
      <c r="F115" s="725">
        <f>SUMIFS(Sheet1!S71_OriginalBudAmnt,Sheet1!S71_SA34aCode,$AC:$AC,Sheet1!S71_A5CapexCode,$AD:$AD)</f>
        <v>0</v>
      </c>
      <c r="G115" s="712">
        <f>SUMIFS(Sheet1!S71_AdjustmentBudAmnt,Sheet1!S71_SA34aCode,$AC:$AC,Sheet1!S71_A5CapexCode,$AD:$AD)</f>
        <v>0</v>
      </c>
      <c r="H115" s="713">
        <f>SUMIFS(Sheet1!S71_AdjustmentBudAmnt,Sheet1!S71_SA34aCode,$AC:$AC,Sheet1!S71_A5CapexCode,$AD:$AD)</f>
        <v>0</v>
      </c>
      <c r="I115" s="725">
        <f>SUMIFS(Sheet1!S71_ASBudgetAmount,Sheet1!S71_SA34aCode,$AC:$AC,Sheet1!S71_A5CapexCode,$AD:$AD)</f>
        <v>0</v>
      </c>
      <c r="J115" s="712">
        <f>SUMIFS(Sheet1!S71_OY1BudgetAmount,Sheet1!S71_SA34aCode,$AC:$AC,Sheet1!S71_A5CapexCode,$AD:$AD)</f>
        <v>0</v>
      </c>
      <c r="K115" s="713">
        <f>SUMIFS(Sheet1!S71_OY2BudgetAmount,Sheet1!S71_SA34aCode,$AC:$AC,Sheet1!S71_A5CapexCode,$AD:$AD)</f>
        <v>0</v>
      </c>
      <c r="AC115" s="2365" t="s">
        <v>2892</v>
      </c>
      <c r="AD115" s="2365" t="s">
        <v>2805</v>
      </c>
    </row>
    <row r="116" spans="1:30" ht="13.15" customHeight="1" x14ac:dyDescent="0.25">
      <c r="A116" s="2125" t="s">
        <v>2340</v>
      </c>
      <c r="B116" s="144"/>
      <c r="C116" s="712">
        <f>SUMIFS(Sheet1!S71_PPPYearAmount,Sheet1!S71_SA34aCode,$AC:$AC,Sheet1!S71_A5CapexCode,$AD:$AD)</f>
        <v>0</v>
      </c>
      <c r="D116" s="712">
        <f>SUMIFS(Sheet1!S71_PPYearAmount,Sheet1!S71_SA34aCode,$AC:$AC,Sheet1!S71_A5CapexCode,$AD:$AD)</f>
        <v>0</v>
      </c>
      <c r="E116" s="715">
        <f>SUMIFS(Sheet1!S71_PYearAmount,Sheet1!S71_SA34aCode,$AC:$AC,Sheet1!S71_A5CapexCode,$AD:$AD)</f>
        <v>0</v>
      </c>
      <c r="F116" s="725">
        <f>SUMIFS(Sheet1!S71_OriginalBudAmnt,Sheet1!S71_SA34aCode,$AC:$AC,Sheet1!S71_A5CapexCode,$AD:$AD)</f>
        <v>0</v>
      </c>
      <c r="G116" s="712">
        <f>SUMIFS(Sheet1!S71_AdjustmentBudAmnt,Sheet1!S71_SA34aCode,$AC:$AC,Sheet1!S71_A5CapexCode,$AD:$AD)</f>
        <v>0</v>
      </c>
      <c r="H116" s="713">
        <f>SUMIFS(Sheet1!S71_AdjustmentBudAmnt,Sheet1!S71_SA34aCode,$AC:$AC,Sheet1!S71_A5CapexCode,$AD:$AD)</f>
        <v>0</v>
      </c>
      <c r="I116" s="725">
        <f>SUMIFS(Sheet1!S71_ASBudgetAmount,Sheet1!S71_SA34aCode,$AC:$AC,Sheet1!S71_A5CapexCode,$AD:$AD)</f>
        <v>0</v>
      </c>
      <c r="J116" s="712">
        <f>SUMIFS(Sheet1!S71_OY1BudgetAmount,Sheet1!S71_SA34aCode,$AC:$AC,Sheet1!S71_A5CapexCode,$AD:$AD)</f>
        <v>0</v>
      </c>
      <c r="K116" s="713">
        <f>SUMIFS(Sheet1!S71_OY2BudgetAmount,Sheet1!S71_SA34aCode,$AC:$AC,Sheet1!S71_A5CapexCode,$AD:$AD)</f>
        <v>0</v>
      </c>
      <c r="AC116" s="2365" t="s">
        <v>2893</v>
      </c>
      <c r="AD116" s="2365" t="s">
        <v>2805</v>
      </c>
    </row>
    <row r="117" spans="1:30" ht="4.9000000000000004" customHeight="1" x14ac:dyDescent="0.25">
      <c r="A117" s="448"/>
      <c r="B117" s="144"/>
      <c r="C117" s="177"/>
      <c r="D117" s="177"/>
      <c r="E117" s="180"/>
      <c r="F117" s="179"/>
      <c r="G117" s="177"/>
      <c r="H117" s="178"/>
      <c r="I117" s="179"/>
      <c r="J117" s="177"/>
      <c r="K117" s="178"/>
      <c r="AD117" s="2365" t="s">
        <v>2805</v>
      </c>
    </row>
    <row r="118" spans="1:30" ht="13.15" customHeight="1" x14ac:dyDescent="0.25">
      <c r="A118" s="574" t="s">
        <v>830</v>
      </c>
      <c r="B118" s="144"/>
      <c r="C118" s="545">
        <f>+C119+C131</f>
        <v>13527172</v>
      </c>
      <c r="D118" s="545">
        <f t="shared" ref="D118:K118" si="17">+D119+D131</f>
        <v>12980672</v>
      </c>
      <c r="E118" s="831">
        <f t="shared" si="17"/>
        <v>13182084</v>
      </c>
      <c r="F118" s="743">
        <f t="shared" si="17"/>
        <v>5000000</v>
      </c>
      <c r="G118" s="545">
        <f t="shared" si="17"/>
        <v>1521951</v>
      </c>
      <c r="H118" s="742">
        <f t="shared" si="17"/>
        <v>1521951</v>
      </c>
      <c r="I118" s="743">
        <f t="shared" si="17"/>
        <v>0</v>
      </c>
      <c r="J118" s="545">
        <f t="shared" si="17"/>
        <v>0</v>
      </c>
      <c r="K118" s="742">
        <f t="shared" si="17"/>
        <v>0</v>
      </c>
      <c r="AD118" s="2365" t="s">
        <v>2805</v>
      </c>
    </row>
    <row r="119" spans="1:30" ht="13.15" customHeight="1" x14ac:dyDescent="0.25">
      <c r="A119" s="104" t="s">
        <v>2309</v>
      </c>
      <c r="B119" s="144"/>
      <c r="C119" s="82">
        <f>SUM(C120:C130)</f>
        <v>13527172</v>
      </c>
      <c r="D119" s="82">
        <f t="shared" ref="D119:K119" si="18">SUM(D120:D130)</f>
        <v>12980672</v>
      </c>
      <c r="E119" s="304">
        <f t="shared" si="18"/>
        <v>13182084</v>
      </c>
      <c r="F119" s="83">
        <f t="shared" si="18"/>
        <v>5000000</v>
      </c>
      <c r="G119" s="82">
        <f t="shared" si="18"/>
        <v>1521951</v>
      </c>
      <c r="H119" s="115">
        <f t="shared" si="18"/>
        <v>1521951</v>
      </c>
      <c r="I119" s="83">
        <f t="shared" si="18"/>
        <v>0</v>
      </c>
      <c r="J119" s="82">
        <f t="shared" si="18"/>
        <v>0</v>
      </c>
      <c r="K119" s="115">
        <f t="shared" si="18"/>
        <v>0</v>
      </c>
      <c r="AD119" s="2365" t="s">
        <v>2805</v>
      </c>
    </row>
    <row r="120" spans="1:30" ht="13.15" customHeight="1" x14ac:dyDescent="0.25">
      <c r="A120" s="2125" t="s">
        <v>2310</v>
      </c>
      <c r="B120" s="144"/>
      <c r="C120" s="712">
        <f>SUMIFS(Sheet1!S71_PPPYearAmount,Sheet1!S71_SA34aCode,$AC:$AC,Sheet1!S71_A5CapexCode,$AD:$AD)</f>
        <v>13527172</v>
      </c>
      <c r="D120" s="712">
        <f>SUMIFS(Sheet1!S71_PPYearAmount,Sheet1!S71_SA34aCode,$AC:$AC,Sheet1!S71_A5CapexCode,$AD:$AD)</f>
        <v>12980672</v>
      </c>
      <c r="E120" s="715">
        <f>SUMIFS(Sheet1!S71_PYearAmount,Sheet1!S71_SA34aCode,$AC:$AC,Sheet1!S71_A5CapexCode,$AD:$AD)</f>
        <v>13182084</v>
      </c>
      <c r="F120" s="725">
        <f>SUMIFS(Sheet1!S71_OriginalBudAmnt,Sheet1!S71_SA34aCode,$AC:$AC,Sheet1!S71_A5CapexCode,$AD:$AD)</f>
        <v>5000000</v>
      </c>
      <c r="G120" s="712">
        <f>SUMIFS(Sheet1!S71_AdjustmentBudAmnt,Sheet1!S71_SA34aCode,$AC:$AC,Sheet1!S71_A5CapexCode,$AD:$AD)</f>
        <v>1521951</v>
      </c>
      <c r="H120" s="713">
        <f>SUMIFS(Sheet1!S71_AdjustmentBudAmnt,Sheet1!S71_SA34aCode,$AC:$AC,Sheet1!S71_A5CapexCode,$AD:$AD)</f>
        <v>1521951</v>
      </c>
      <c r="I120" s="725">
        <f>SUMIFS(Sheet1!S71_ASBudgetAmount,Sheet1!S71_SA34aCode,$AC:$AC,Sheet1!S71_A5CapexCode,$AD:$AD)</f>
        <v>0</v>
      </c>
      <c r="J120" s="712">
        <f>SUMIFS(Sheet1!S71_OY1BudgetAmount,Sheet1!S71_SA34aCode,$AC:$AC,Sheet1!S71_A5CapexCode,$AD:$AD)</f>
        <v>0</v>
      </c>
      <c r="K120" s="713">
        <f>SUMIFS(Sheet1!S71_OY2BudgetAmount,Sheet1!S71_SA34aCode,$AC:$AC,Sheet1!S71_A5CapexCode,$AD:$AD)</f>
        <v>0</v>
      </c>
      <c r="AC120" s="2365" t="s">
        <v>2059</v>
      </c>
      <c r="AD120" s="2365" t="s">
        <v>2805</v>
      </c>
    </row>
    <row r="121" spans="1:30" ht="13.15" customHeight="1" x14ac:dyDescent="0.25">
      <c r="A121" s="2125" t="s">
        <v>2311</v>
      </c>
      <c r="B121" s="144"/>
      <c r="C121" s="712">
        <f>SUMIFS(Sheet1!S71_PPPYearAmount,Sheet1!S71_SA34aCode,$AC:$AC,Sheet1!S71_A5CapexCode,$AD:$AD)</f>
        <v>0</v>
      </c>
      <c r="D121" s="712">
        <f>SUMIFS(Sheet1!S71_PPYearAmount,Sheet1!S71_SA34aCode,$AC:$AC,Sheet1!S71_A5CapexCode,$AD:$AD)</f>
        <v>0</v>
      </c>
      <c r="E121" s="715">
        <f>SUMIFS(Sheet1!S71_PYearAmount,Sheet1!S71_SA34aCode,$AC:$AC,Sheet1!S71_A5CapexCode,$AD:$AD)</f>
        <v>0</v>
      </c>
      <c r="F121" s="725">
        <f>SUMIFS(Sheet1!S71_OriginalBudAmnt,Sheet1!S71_SA34aCode,$AC:$AC,Sheet1!S71_A5CapexCode,$AD:$AD)</f>
        <v>0</v>
      </c>
      <c r="G121" s="712">
        <f>SUMIFS(Sheet1!S71_AdjustmentBudAmnt,Sheet1!S71_SA34aCode,$AC:$AC,Sheet1!S71_A5CapexCode,$AD:$AD)</f>
        <v>0</v>
      </c>
      <c r="H121" s="713">
        <f>SUMIFS(Sheet1!S71_AdjustmentBudAmnt,Sheet1!S71_SA34aCode,$AC:$AC,Sheet1!S71_A5CapexCode,$AD:$AD)</f>
        <v>0</v>
      </c>
      <c r="I121" s="725">
        <f>SUMIFS(Sheet1!S71_ASBudgetAmount,Sheet1!S71_SA34aCode,$AC:$AC,Sheet1!S71_A5CapexCode,$AD:$AD)</f>
        <v>0</v>
      </c>
      <c r="J121" s="712">
        <f>SUMIFS(Sheet1!S71_OY1BudgetAmount,Sheet1!S71_SA34aCode,$AC:$AC,Sheet1!S71_A5CapexCode,$AD:$AD)</f>
        <v>0</v>
      </c>
      <c r="K121" s="713">
        <f>SUMIFS(Sheet1!S71_OY2BudgetAmount,Sheet1!S71_SA34aCode,$AC:$AC,Sheet1!S71_A5CapexCode,$AD:$AD)</f>
        <v>0</v>
      </c>
      <c r="AC121" s="2365" t="s">
        <v>2069</v>
      </c>
      <c r="AD121" s="2365" t="s">
        <v>2805</v>
      </c>
    </row>
    <row r="122" spans="1:30" ht="13.15" customHeight="1" x14ac:dyDescent="0.25">
      <c r="A122" s="2125" t="s">
        <v>2312</v>
      </c>
      <c r="B122" s="144"/>
      <c r="C122" s="712">
        <f>SUMIFS(Sheet1!S71_PPPYearAmount,Sheet1!S71_SA34aCode,$AC:$AC,Sheet1!S71_A5CapexCode,$AD:$AD)</f>
        <v>0</v>
      </c>
      <c r="D122" s="712">
        <f>SUMIFS(Sheet1!S71_PPYearAmount,Sheet1!S71_SA34aCode,$AC:$AC,Sheet1!S71_A5CapexCode,$AD:$AD)</f>
        <v>0</v>
      </c>
      <c r="E122" s="715">
        <f>SUMIFS(Sheet1!S71_PYearAmount,Sheet1!S71_SA34aCode,$AC:$AC,Sheet1!S71_A5CapexCode,$AD:$AD)</f>
        <v>0</v>
      </c>
      <c r="F122" s="725">
        <f>SUMIFS(Sheet1!S71_OriginalBudAmnt,Sheet1!S71_SA34aCode,$AC:$AC,Sheet1!S71_A5CapexCode,$AD:$AD)</f>
        <v>0</v>
      </c>
      <c r="G122" s="712">
        <f>SUMIFS(Sheet1!S71_AdjustmentBudAmnt,Sheet1!S71_SA34aCode,$AC:$AC,Sheet1!S71_A5CapexCode,$AD:$AD)</f>
        <v>0</v>
      </c>
      <c r="H122" s="713">
        <f>SUMIFS(Sheet1!S71_AdjustmentBudAmnt,Sheet1!S71_SA34aCode,$AC:$AC,Sheet1!S71_A5CapexCode,$AD:$AD)</f>
        <v>0</v>
      </c>
      <c r="I122" s="725">
        <f>SUMIFS(Sheet1!S71_ASBudgetAmount,Sheet1!S71_SA34aCode,$AC:$AC,Sheet1!S71_A5CapexCode,$AD:$AD)</f>
        <v>0</v>
      </c>
      <c r="J122" s="712">
        <f>SUMIFS(Sheet1!S71_OY1BudgetAmount,Sheet1!S71_SA34aCode,$AC:$AC,Sheet1!S71_A5CapexCode,$AD:$AD)</f>
        <v>0</v>
      </c>
      <c r="K122" s="713">
        <f>SUMIFS(Sheet1!S71_OY2BudgetAmount,Sheet1!S71_SA34aCode,$AC:$AC,Sheet1!S71_A5CapexCode,$AD:$AD)</f>
        <v>0</v>
      </c>
      <c r="AC122" s="2365" t="s">
        <v>2894</v>
      </c>
      <c r="AD122" s="2365" t="s">
        <v>2805</v>
      </c>
    </row>
    <row r="123" spans="1:30" ht="13.15" customHeight="1" x14ac:dyDescent="0.25">
      <c r="A123" s="2125" t="s">
        <v>2313</v>
      </c>
      <c r="B123" s="144"/>
      <c r="C123" s="712">
        <f>SUMIFS(Sheet1!S71_PPPYearAmount,Sheet1!S71_SA34aCode,$AC:$AC,Sheet1!S71_A5CapexCode,$AD:$AD)</f>
        <v>0</v>
      </c>
      <c r="D123" s="712">
        <f>SUMIFS(Sheet1!S71_PPYearAmount,Sheet1!S71_SA34aCode,$AC:$AC,Sheet1!S71_A5CapexCode,$AD:$AD)</f>
        <v>0</v>
      </c>
      <c r="E123" s="715">
        <f>SUMIFS(Sheet1!S71_PYearAmount,Sheet1!S71_SA34aCode,$AC:$AC,Sheet1!S71_A5CapexCode,$AD:$AD)</f>
        <v>0</v>
      </c>
      <c r="F123" s="725">
        <f>SUMIFS(Sheet1!S71_OriginalBudAmnt,Sheet1!S71_SA34aCode,$AC:$AC,Sheet1!S71_A5CapexCode,$AD:$AD)</f>
        <v>0</v>
      </c>
      <c r="G123" s="712">
        <f>SUMIFS(Sheet1!S71_AdjustmentBudAmnt,Sheet1!S71_SA34aCode,$AC:$AC,Sheet1!S71_A5CapexCode,$AD:$AD)</f>
        <v>0</v>
      </c>
      <c r="H123" s="713">
        <f>SUMIFS(Sheet1!S71_AdjustmentBudAmnt,Sheet1!S71_SA34aCode,$AC:$AC,Sheet1!S71_A5CapexCode,$AD:$AD)</f>
        <v>0</v>
      </c>
      <c r="I123" s="725">
        <f>SUMIFS(Sheet1!S71_ASBudgetAmount,Sheet1!S71_SA34aCode,$AC:$AC,Sheet1!S71_A5CapexCode,$AD:$AD)</f>
        <v>0</v>
      </c>
      <c r="J123" s="712">
        <f>SUMIFS(Sheet1!S71_OY1BudgetAmount,Sheet1!S71_SA34aCode,$AC:$AC,Sheet1!S71_A5CapexCode,$AD:$AD)</f>
        <v>0</v>
      </c>
      <c r="K123" s="713">
        <f>SUMIFS(Sheet1!S71_OY2BudgetAmount,Sheet1!S71_SA34aCode,$AC:$AC,Sheet1!S71_A5CapexCode,$AD:$AD)</f>
        <v>0</v>
      </c>
      <c r="AC123" s="2365" t="s">
        <v>2895</v>
      </c>
      <c r="AD123" s="2365" t="s">
        <v>2805</v>
      </c>
    </row>
    <row r="124" spans="1:30" ht="13.15" customHeight="1" x14ac:dyDescent="0.25">
      <c r="A124" s="2125" t="s">
        <v>2314</v>
      </c>
      <c r="B124" s="144"/>
      <c r="C124" s="712">
        <f>SUMIFS(Sheet1!S71_PPPYearAmount,Sheet1!S71_SA34aCode,$AC:$AC,Sheet1!S71_A5CapexCode,$AD:$AD)</f>
        <v>0</v>
      </c>
      <c r="D124" s="712">
        <f>SUMIFS(Sheet1!S71_PPYearAmount,Sheet1!S71_SA34aCode,$AC:$AC,Sheet1!S71_A5CapexCode,$AD:$AD)</f>
        <v>0</v>
      </c>
      <c r="E124" s="715">
        <f>SUMIFS(Sheet1!S71_PYearAmount,Sheet1!S71_SA34aCode,$AC:$AC,Sheet1!S71_A5CapexCode,$AD:$AD)</f>
        <v>0</v>
      </c>
      <c r="F124" s="725">
        <f>SUMIFS(Sheet1!S71_OriginalBudAmnt,Sheet1!S71_SA34aCode,$AC:$AC,Sheet1!S71_A5CapexCode,$AD:$AD)</f>
        <v>0</v>
      </c>
      <c r="G124" s="712">
        <f>SUMIFS(Sheet1!S71_AdjustmentBudAmnt,Sheet1!S71_SA34aCode,$AC:$AC,Sheet1!S71_A5CapexCode,$AD:$AD)</f>
        <v>0</v>
      </c>
      <c r="H124" s="713">
        <f>SUMIFS(Sheet1!S71_AdjustmentBudAmnt,Sheet1!S71_SA34aCode,$AC:$AC,Sheet1!S71_A5CapexCode,$AD:$AD)</f>
        <v>0</v>
      </c>
      <c r="I124" s="725">
        <f>SUMIFS(Sheet1!S71_ASBudgetAmount,Sheet1!S71_SA34aCode,$AC:$AC,Sheet1!S71_A5CapexCode,$AD:$AD)</f>
        <v>0</v>
      </c>
      <c r="J124" s="712">
        <f>SUMIFS(Sheet1!S71_OY1BudgetAmount,Sheet1!S71_SA34aCode,$AC:$AC,Sheet1!S71_A5CapexCode,$AD:$AD)</f>
        <v>0</v>
      </c>
      <c r="K124" s="713">
        <f>SUMIFS(Sheet1!S71_OY2BudgetAmount,Sheet1!S71_SA34aCode,$AC:$AC,Sheet1!S71_A5CapexCode,$AD:$AD)</f>
        <v>0</v>
      </c>
      <c r="AC124" s="2365" t="s">
        <v>2896</v>
      </c>
      <c r="AD124" s="2365" t="s">
        <v>2805</v>
      </c>
    </row>
    <row r="125" spans="1:30" ht="13.15" customHeight="1" x14ac:dyDescent="0.25">
      <c r="A125" s="2125" t="s">
        <v>2315</v>
      </c>
      <c r="B125" s="144"/>
      <c r="C125" s="712">
        <f>SUMIFS(Sheet1!S71_PPPYearAmount,Sheet1!S71_SA34aCode,$AC:$AC,Sheet1!S71_A5CapexCode,$AD:$AD)</f>
        <v>0</v>
      </c>
      <c r="D125" s="712">
        <f>SUMIFS(Sheet1!S71_PPYearAmount,Sheet1!S71_SA34aCode,$AC:$AC,Sheet1!S71_A5CapexCode,$AD:$AD)</f>
        <v>0</v>
      </c>
      <c r="E125" s="715">
        <f>SUMIFS(Sheet1!S71_PYearAmount,Sheet1!S71_SA34aCode,$AC:$AC,Sheet1!S71_A5CapexCode,$AD:$AD)</f>
        <v>0</v>
      </c>
      <c r="F125" s="725">
        <f>SUMIFS(Sheet1!S71_OriginalBudAmnt,Sheet1!S71_SA34aCode,$AC:$AC,Sheet1!S71_A5CapexCode,$AD:$AD)</f>
        <v>0</v>
      </c>
      <c r="G125" s="712">
        <f>SUMIFS(Sheet1!S71_AdjustmentBudAmnt,Sheet1!S71_SA34aCode,$AC:$AC,Sheet1!S71_A5CapexCode,$AD:$AD)</f>
        <v>0</v>
      </c>
      <c r="H125" s="713">
        <f>SUMIFS(Sheet1!S71_AdjustmentBudAmnt,Sheet1!S71_SA34aCode,$AC:$AC,Sheet1!S71_A5CapexCode,$AD:$AD)</f>
        <v>0</v>
      </c>
      <c r="I125" s="725">
        <f>SUMIFS(Sheet1!S71_ASBudgetAmount,Sheet1!S71_SA34aCode,$AC:$AC,Sheet1!S71_A5CapexCode,$AD:$AD)</f>
        <v>0</v>
      </c>
      <c r="J125" s="712">
        <f>SUMIFS(Sheet1!S71_OY1BudgetAmount,Sheet1!S71_SA34aCode,$AC:$AC,Sheet1!S71_A5CapexCode,$AD:$AD)</f>
        <v>0</v>
      </c>
      <c r="K125" s="713">
        <f>SUMIFS(Sheet1!S71_OY2BudgetAmount,Sheet1!S71_SA34aCode,$AC:$AC,Sheet1!S71_A5CapexCode,$AD:$AD)</f>
        <v>0</v>
      </c>
      <c r="AC125" s="2365" t="s">
        <v>2897</v>
      </c>
      <c r="AD125" s="2365" t="s">
        <v>2805</v>
      </c>
    </row>
    <row r="126" spans="1:30" ht="13.15" customHeight="1" x14ac:dyDescent="0.25">
      <c r="A126" s="2125" t="s">
        <v>2316</v>
      </c>
      <c r="B126" s="144"/>
      <c r="C126" s="712">
        <f>SUMIFS(Sheet1!S71_PPPYearAmount,Sheet1!S71_SA34aCode,$AC:$AC,Sheet1!S71_A5CapexCode,$AD:$AD)</f>
        <v>0</v>
      </c>
      <c r="D126" s="712">
        <f>SUMIFS(Sheet1!S71_PPYearAmount,Sheet1!S71_SA34aCode,$AC:$AC,Sheet1!S71_A5CapexCode,$AD:$AD)</f>
        <v>0</v>
      </c>
      <c r="E126" s="715">
        <f>SUMIFS(Sheet1!S71_PYearAmount,Sheet1!S71_SA34aCode,$AC:$AC,Sheet1!S71_A5CapexCode,$AD:$AD)</f>
        <v>0</v>
      </c>
      <c r="F126" s="725">
        <f>SUMIFS(Sheet1!S71_OriginalBudAmnt,Sheet1!S71_SA34aCode,$AC:$AC,Sheet1!S71_A5CapexCode,$AD:$AD)</f>
        <v>0</v>
      </c>
      <c r="G126" s="712">
        <f>SUMIFS(Sheet1!S71_AdjustmentBudAmnt,Sheet1!S71_SA34aCode,$AC:$AC,Sheet1!S71_A5CapexCode,$AD:$AD)</f>
        <v>0</v>
      </c>
      <c r="H126" s="713">
        <f>SUMIFS(Sheet1!S71_AdjustmentBudAmnt,Sheet1!S71_SA34aCode,$AC:$AC,Sheet1!S71_A5CapexCode,$AD:$AD)</f>
        <v>0</v>
      </c>
      <c r="I126" s="725">
        <f>SUMIFS(Sheet1!S71_ASBudgetAmount,Sheet1!S71_SA34aCode,$AC:$AC,Sheet1!S71_A5CapexCode,$AD:$AD)</f>
        <v>0</v>
      </c>
      <c r="J126" s="712">
        <f>SUMIFS(Sheet1!S71_OY1BudgetAmount,Sheet1!S71_SA34aCode,$AC:$AC,Sheet1!S71_A5CapexCode,$AD:$AD)</f>
        <v>0</v>
      </c>
      <c r="K126" s="713">
        <f>SUMIFS(Sheet1!S71_OY2BudgetAmount,Sheet1!S71_SA34aCode,$AC:$AC,Sheet1!S71_A5CapexCode,$AD:$AD)</f>
        <v>0</v>
      </c>
      <c r="AC126" s="2365" t="s">
        <v>2898</v>
      </c>
      <c r="AD126" s="2365" t="s">
        <v>2805</v>
      </c>
    </row>
    <row r="127" spans="1:30" ht="13.15" customHeight="1" x14ac:dyDescent="0.25">
      <c r="A127" s="2125" t="s">
        <v>2317</v>
      </c>
      <c r="B127" s="144"/>
      <c r="C127" s="712">
        <f>SUMIFS(Sheet1!S71_PPPYearAmount,Sheet1!S71_SA34aCode,$AC:$AC,Sheet1!S71_A5CapexCode,$AD:$AD)</f>
        <v>0</v>
      </c>
      <c r="D127" s="712">
        <f>SUMIFS(Sheet1!S71_PPYearAmount,Sheet1!S71_SA34aCode,$AC:$AC,Sheet1!S71_A5CapexCode,$AD:$AD)</f>
        <v>0</v>
      </c>
      <c r="E127" s="715">
        <f>SUMIFS(Sheet1!S71_PYearAmount,Sheet1!S71_SA34aCode,$AC:$AC,Sheet1!S71_A5CapexCode,$AD:$AD)</f>
        <v>0</v>
      </c>
      <c r="F127" s="725">
        <f>SUMIFS(Sheet1!S71_OriginalBudAmnt,Sheet1!S71_SA34aCode,$AC:$AC,Sheet1!S71_A5CapexCode,$AD:$AD)</f>
        <v>0</v>
      </c>
      <c r="G127" s="712">
        <f>SUMIFS(Sheet1!S71_AdjustmentBudAmnt,Sheet1!S71_SA34aCode,$AC:$AC,Sheet1!S71_A5CapexCode,$AD:$AD)</f>
        <v>0</v>
      </c>
      <c r="H127" s="713">
        <f>SUMIFS(Sheet1!S71_AdjustmentBudAmnt,Sheet1!S71_SA34aCode,$AC:$AC,Sheet1!S71_A5CapexCode,$AD:$AD)</f>
        <v>0</v>
      </c>
      <c r="I127" s="725">
        <f>SUMIFS(Sheet1!S71_ASBudgetAmount,Sheet1!S71_SA34aCode,$AC:$AC,Sheet1!S71_A5CapexCode,$AD:$AD)</f>
        <v>0</v>
      </c>
      <c r="J127" s="712">
        <f>SUMIFS(Sheet1!S71_OY1BudgetAmount,Sheet1!S71_SA34aCode,$AC:$AC,Sheet1!S71_A5CapexCode,$AD:$AD)</f>
        <v>0</v>
      </c>
      <c r="K127" s="713">
        <f>SUMIFS(Sheet1!S71_OY2BudgetAmount,Sheet1!S71_SA34aCode,$AC:$AC,Sheet1!S71_A5CapexCode,$AD:$AD)</f>
        <v>0</v>
      </c>
      <c r="AC127" s="2365" t="s">
        <v>2899</v>
      </c>
      <c r="AD127" s="2365" t="s">
        <v>2805</v>
      </c>
    </row>
    <row r="128" spans="1:30" ht="13.15" customHeight="1" x14ac:dyDescent="0.25">
      <c r="A128" s="2125" t="s">
        <v>2318</v>
      </c>
      <c r="B128" s="144"/>
      <c r="C128" s="712">
        <f>SUMIFS(Sheet1!S71_PPPYearAmount,Sheet1!S71_SA34aCode,$AC:$AC,Sheet1!S71_A5CapexCode,$AD:$AD)</f>
        <v>0</v>
      </c>
      <c r="D128" s="712">
        <f>SUMIFS(Sheet1!S71_PPYearAmount,Sheet1!S71_SA34aCode,$AC:$AC,Sheet1!S71_A5CapexCode,$AD:$AD)</f>
        <v>0</v>
      </c>
      <c r="E128" s="715">
        <f>SUMIFS(Sheet1!S71_PYearAmount,Sheet1!S71_SA34aCode,$AC:$AC,Sheet1!S71_A5CapexCode,$AD:$AD)</f>
        <v>0</v>
      </c>
      <c r="F128" s="725">
        <f>SUMIFS(Sheet1!S71_OriginalBudAmnt,Sheet1!S71_SA34aCode,$AC:$AC,Sheet1!S71_A5CapexCode,$AD:$AD)</f>
        <v>0</v>
      </c>
      <c r="G128" s="712">
        <f>SUMIFS(Sheet1!S71_AdjustmentBudAmnt,Sheet1!S71_SA34aCode,$AC:$AC,Sheet1!S71_A5CapexCode,$AD:$AD)</f>
        <v>0</v>
      </c>
      <c r="H128" s="713">
        <f>SUMIFS(Sheet1!S71_AdjustmentBudAmnt,Sheet1!S71_SA34aCode,$AC:$AC,Sheet1!S71_A5CapexCode,$AD:$AD)</f>
        <v>0</v>
      </c>
      <c r="I128" s="725">
        <f>SUMIFS(Sheet1!S71_ASBudgetAmount,Sheet1!S71_SA34aCode,$AC:$AC,Sheet1!S71_A5CapexCode,$AD:$AD)</f>
        <v>0</v>
      </c>
      <c r="J128" s="712">
        <f>SUMIFS(Sheet1!S71_OY1BudgetAmount,Sheet1!S71_SA34aCode,$AC:$AC,Sheet1!S71_A5CapexCode,$AD:$AD)</f>
        <v>0</v>
      </c>
      <c r="K128" s="713">
        <f>SUMIFS(Sheet1!S71_OY2BudgetAmount,Sheet1!S71_SA34aCode,$AC:$AC,Sheet1!S71_A5CapexCode,$AD:$AD)</f>
        <v>0</v>
      </c>
      <c r="AC128" s="2365" t="s">
        <v>2900</v>
      </c>
      <c r="AD128" s="2365" t="s">
        <v>2805</v>
      </c>
    </row>
    <row r="129" spans="1:30" ht="13.15" customHeight="1" x14ac:dyDescent="0.25">
      <c r="A129" s="2125" t="s">
        <v>2319</v>
      </c>
      <c r="B129" s="144"/>
      <c r="C129" s="712">
        <f>SUMIFS(Sheet1!S71_PPPYearAmount,Sheet1!S71_SA34aCode,$AC:$AC,Sheet1!S71_A5CapexCode,$AD:$AD)</f>
        <v>0</v>
      </c>
      <c r="D129" s="712">
        <f>SUMIFS(Sheet1!S71_PPYearAmount,Sheet1!S71_SA34aCode,$AC:$AC,Sheet1!S71_A5CapexCode,$AD:$AD)</f>
        <v>0</v>
      </c>
      <c r="E129" s="715">
        <f>SUMIFS(Sheet1!S71_PYearAmount,Sheet1!S71_SA34aCode,$AC:$AC,Sheet1!S71_A5CapexCode,$AD:$AD)</f>
        <v>0</v>
      </c>
      <c r="F129" s="725">
        <f>SUMIFS(Sheet1!S71_OriginalBudAmnt,Sheet1!S71_SA34aCode,$AC:$AC,Sheet1!S71_A5CapexCode,$AD:$AD)</f>
        <v>0</v>
      </c>
      <c r="G129" s="712">
        <f>SUMIFS(Sheet1!S71_AdjustmentBudAmnt,Sheet1!S71_SA34aCode,$AC:$AC,Sheet1!S71_A5CapexCode,$AD:$AD)</f>
        <v>0</v>
      </c>
      <c r="H129" s="713">
        <f>SUMIFS(Sheet1!S71_AdjustmentBudAmnt,Sheet1!S71_SA34aCode,$AC:$AC,Sheet1!S71_A5CapexCode,$AD:$AD)</f>
        <v>0</v>
      </c>
      <c r="I129" s="725">
        <f>SUMIFS(Sheet1!S71_ASBudgetAmount,Sheet1!S71_SA34aCode,$AC:$AC,Sheet1!S71_A5CapexCode,$AD:$AD)</f>
        <v>0</v>
      </c>
      <c r="J129" s="712">
        <f>SUMIFS(Sheet1!S71_OY1BudgetAmount,Sheet1!S71_SA34aCode,$AC:$AC,Sheet1!S71_A5CapexCode,$AD:$AD)</f>
        <v>0</v>
      </c>
      <c r="K129" s="713">
        <f>SUMIFS(Sheet1!S71_OY2BudgetAmount,Sheet1!S71_SA34aCode,$AC:$AC,Sheet1!S71_A5CapexCode,$AD:$AD)</f>
        <v>0</v>
      </c>
      <c r="AC129" s="2365" t="s">
        <v>2901</v>
      </c>
      <c r="AD129" s="2365" t="s">
        <v>2805</v>
      </c>
    </row>
    <row r="130" spans="1:30" ht="13.15" customHeight="1" x14ac:dyDescent="0.25">
      <c r="A130" s="2125" t="s">
        <v>2233</v>
      </c>
      <c r="B130" s="144"/>
      <c r="C130" s="712">
        <f>SUMIFS(Sheet1!S71_PPPYearAmount,Sheet1!S71_SA34aCode,$AC:$AC,Sheet1!S71_A5CapexCode,$AD:$AD)</f>
        <v>0</v>
      </c>
      <c r="D130" s="712">
        <f>SUMIFS(Sheet1!S71_PPYearAmount,Sheet1!S71_SA34aCode,$AC:$AC,Sheet1!S71_A5CapexCode,$AD:$AD)</f>
        <v>0</v>
      </c>
      <c r="E130" s="715">
        <f>SUMIFS(Sheet1!S71_PYearAmount,Sheet1!S71_SA34aCode,$AC:$AC,Sheet1!S71_A5CapexCode,$AD:$AD)</f>
        <v>0</v>
      </c>
      <c r="F130" s="725">
        <f>SUMIFS(Sheet1!S71_OriginalBudAmnt,Sheet1!S71_SA34aCode,$AC:$AC,Sheet1!S71_A5CapexCode,$AD:$AD)</f>
        <v>0</v>
      </c>
      <c r="G130" s="712">
        <f>SUMIFS(Sheet1!S71_AdjustmentBudAmnt,Sheet1!S71_SA34aCode,$AC:$AC,Sheet1!S71_A5CapexCode,$AD:$AD)</f>
        <v>0</v>
      </c>
      <c r="H130" s="713">
        <f>SUMIFS(Sheet1!S71_AdjustmentBudAmnt,Sheet1!S71_SA34aCode,$AC:$AC,Sheet1!S71_A5CapexCode,$AD:$AD)</f>
        <v>0</v>
      </c>
      <c r="I130" s="725">
        <f>SUMIFS(Sheet1!S71_ASBudgetAmount,Sheet1!S71_SA34aCode,$AC:$AC,Sheet1!S71_A5CapexCode,$AD:$AD)</f>
        <v>0</v>
      </c>
      <c r="J130" s="712">
        <f>SUMIFS(Sheet1!S71_OY1BudgetAmount,Sheet1!S71_SA34aCode,$AC:$AC,Sheet1!S71_A5CapexCode,$AD:$AD)</f>
        <v>0</v>
      </c>
      <c r="K130" s="713">
        <f>SUMIFS(Sheet1!S71_OY2BudgetAmount,Sheet1!S71_SA34aCode,$AC:$AC,Sheet1!S71_A5CapexCode,$AD:$AD)</f>
        <v>0</v>
      </c>
      <c r="AC130" s="2365" t="s">
        <v>2071</v>
      </c>
      <c r="AD130" s="2365" t="s">
        <v>2805</v>
      </c>
    </row>
    <row r="131" spans="1:30" ht="13.15" customHeight="1" x14ac:dyDescent="0.25">
      <c r="A131" s="104" t="s">
        <v>1487</v>
      </c>
      <c r="B131" s="144"/>
      <c r="C131" s="71">
        <f>SUM(C132:C134)</f>
        <v>0</v>
      </c>
      <c r="D131" s="71">
        <f t="shared" ref="D131:K131" si="19">SUM(D132:D134)</f>
        <v>0</v>
      </c>
      <c r="E131" s="305">
        <f t="shared" si="19"/>
        <v>0</v>
      </c>
      <c r="F131" s="75">
        <f t="shared" si="19"/>
        <v>0</v>
      </c>
      <c r="G131" s="71">
        <f t="shared" si="19"/>
        <v>0</v>
      </c>
      <c r="H131" s="117">
        <f t="shared" si="19"/>
        <v>0</v>
      </c>
      <c r="I131" s="75">
        <f t="shared" si="19"/>
        <v>0</v>
      </c>
      <c r="J131" s="71">
        <f t="shared" si="19"/>
        <v>0</v>
      </c>
      <c r="K131" s="117">
        <f t="shared" si="19"/>
        <v>0</v>
      </c>
      <c r="AD131" s="2365" t="s">
        <v>2805</v>
      </c>
    </row>
    <row r="132" spans="1:30" ht="13.15" customHeight="1" x14ac:dyDescent="0.25">
      <c r="A132" s="2125" t="s">
        <v>2320</v>
      </c>
      <c r="B132" s="144"/>
      <c r="C132" s="712">
        <f>SUMIFS(Sheet1!S71_PPPYearAmount,Sheet1!S71_SA34aCode,$AC:$AC,Sheet1!S71_A5CapexCode,$AD:$AD)</f>
        <v>0</v>
      </c>
      <c r="D132" s="712">
        <f>SUMIFS(Sheet1!S71_PPYearAmount,Sheet1!S71_SA34aCode,$AC:$AC,Sheet1!S71_A5CapexCode,$AD:$AD)</f>
        <v>0</v>
      </c>
      <c r="E132" s="715">
        <f>SUMIFS(Sheet1!S71_PYearAmount,Sheet1!S71_SA34aCode,$AC:$AC,Sheet1!S71_A5CapexCode,$AD:$AD)</f>
        <v>0</v>
      </c>
      <c r="F132" s="725">
        <f>SUMIFS(Sheet1!S71_OriginalBudAmnt,Sheet1!S71_SA34aCode,$AC:$AC,Sheet1!S71_A5CapexCode,$AD:$AD)</f>
        <v>0</v>
      </c>
      <c r="G132" s="712">
        <f>SUMIFS(Sheet1!S71_AdjustmentBudAmnt,Sheet1!S71_SA34aCode,$AC:$AC,Sheet1!S71_A5CapexCode,$AD:$AD)</f>
        <v>0</v>
      </c>
      <c r="H132" s="713">
        <f>SUMIFS(Sheet1!S71_AdjustmentBudAmnt,Sheet1!S71_SA34aCode,$AC:$AC,Sheet1!S71_A5CapexCode,$AD:$AD)</f>
        <v>0</v>
      </c>
      <c r="I132" s="725">
        <f>SUMIFS(Sheet1!S71_ASBudgetAmount,Sheet1!S71_SA34aCode,$AC:$AC,Sheet1!S71_A5CapexCode,$AD:$AD)</f>
        <v>0</v>
      </c>
      <c r="J132" s="712">
        <f>SUMIFS(Sheet1!S71_OY1BudgetAmount,Sheet1!S71_SA34aCode,$AC:$AC,Sheet1!S71_A5CapexCode,$AD:$AD)</f>
        <v>0</v>
      </c>
      <c r="K132" s="713">
        <f>SUMIFS(Sheet1!S71_OY2BudgetAmount,Sheet1!S71_SA34aCode,$AC:$AC,Sheet1!S71_A5CapexCode,$AD:$AD)</f>
        <v>0</v>
      </c>
      <c r="AC132" s="2365" t="s">
        <v>2902</v>
      </c>
      <c r="AD132" s="2365" t="s">
        <v>2805</v>
      </c>
    </row>
    <row r="133" spans="1:30" ht="13.15" customHeight="1" x14ac:dyDescent="0.25">
      <c r="A133" s="2125" t="s">
        <v>2321</v>
      </c>
      <c r="B133" s="144"/>
      <c r="C133" s="712">
        <f>SUMIFS(Sheet1!S71_PPPYearAmount,Sheet1!S71_SA34aCode,$AC:$AC,Sheet1!S71_A5CapexCode,$AD:$AD)</f>
        <v>0</v>
      </c>
      <c r="D133" s="712">
        <f>SUMIFS(Sheet1!S71_PPYearAmount,Sheet1!S71_SA34aCode,$AC:$AC,Sheet1!S71_A5CapexCode,$AD:$AD)</f>
        <v>0</v>
      </c>
      <c r="E133" s="715">
        <f>SUMIFS(Sheet1!S71_PYearAmount,Sheet1!S71_SA34aCode,$AC:$AC,Sheet1!S71_A5CapexCode,$AD:$AD)</f>
        <v>0</v>
      </c>
      <c r="F133" s="725">
        <f>SUMIFS(Sheet1!S71_OriginalBudAmnt,Sheet1!S71_SA34aCode,$AC:$AC,Sheet1!S71_A5CapexCode,$AD:$AD)</f>
        <v>0</v>
      </c>
      <c r="G133" s="712">
        <f>SUMIFS(Sheet1!S71_AdjustmentBudAmnt,Sheet1!S71_SA34aCode,$AC:$AC,Sheet1!S71_A5CapexCode,$AD:$AD)</f>
        <v>0</v>
      </c>
      <c r="H133" s="713">
        <f>SUMIFS(Sheet1!S71_AdjustmentBudAmnt,Sheet1!S71_SA34aCode,$AC:$AC,Sheet1!S71_A5CapexCode,$AD:$AD)</f>
        <v>0</v>
      </c>
      <c r="I133" s="725">
        <f>SUMIFS(Sheet1!S71_ASBudgetAmount,Sheet1!S71_SA34aCode,$AC:$AC,Sheet1!S71_A5CapexCode,$AD:$AD)</f>
        <v>0</v>
      </c>
      <c r="J133" s="712">
        <f>SUMIFS(Sheet1!S71_OY1BudgetAmount,Sheet1!S71_SA34aCode,$AC:$AC,Sheet1!S71_A5CapexCode,$AD:$AD)</f>
        <v>0</v>
      </c>
      <c r="K133" s="713">
        <f>SUMIFS(Sheet1!S71_OY2BudgetAmount,Sheet1!S71_SA34aCode,$AC:$AC,Sheet1!S71_A5CapexCode,$AD:$AD)</f>
        <v>0</v>
      </c>
      <c r="AC133" s="2365" t="s">
        <v>2903</v>
      </c>
      <c r="AD133" s="2365" t="s">
        <v>2805</v>
      </c>
    </row>
    <row r="134" spans="1:30" ht="13.15" customHeight="1" x14ac:dyDescent="0.25">
      <c r="A134" s="2125" t="s">
        <v>2233</v>
      </c>
      <c r="B134" s="144"/>
      <c r="C134" s="712">
        <f>SUMIFS(Sheet1!S71_PPPYearAmount,Sheet1!S71_SA34aCode,$AC:$AC,Sheet1!S71_A5CapexCode,$AD:$AD)</f>
        <v>0</v>
      </c>
      <c r="D134" s="712">
        <f>SUMIFS(Sheet1!S71_PPYearAmount,Sheet1!S71_SA34aCode,$AC:$AC,Sheet1!S71_A5CapexCode,$AD:$AD)</f>
        <v>0</v>
      </c>
      <c r="E134" s="715">
        <f>SUMIFS(Sheet1!S71_PYearAmount,Sheet1!S71_SA34aCode,$AC:$AC,Sheet1!S71_A5CapexCode,$AD:$AD)</f>
        <v>0</v>
      </c>
      <c r="F134" s="725">
        <f>SUMIFS(Sheet1!S71_OriginalBudAmnt,Sheet1!S71_SA34aCode,$AC:$AC,Sheet1!S71_A5CapexCode,$AD:$AD)</f>
        <v>0</v>
      </c>
      <c r="G134" s="712">
        <f>SUMIFS(Sheet1!S71_AdjustmentBudAmnt,Sheet1!S71_SA34aCode,$AC:$AC,Sheet1!S71_A5CapexCode,$AD:$AD)</f>
        <v>0</v>
      </c>
      <c r="H134" s="713">
        <f>SUMIFS(Sheet1!S71_AdjustmentBudAmnt,Sheet1!S71_SA34aCode,$AC:$AC,Sheet1!S71_A5CapexCode,$AD:$AD)</f>
        <v>0</v>
      </c>
      <c r="I134" s="725">
        <f>SUMIFS(Sheet1!S71_ASBudgetAmount,Sheet1!S71_SA34aCode,$AC:$AC,Sheet1!S71_A5CapexCode,$AD:$AD)</f>
        <v>0</v>
      </c>
      <c r="J134" s="712">
        <f>SUMIFS(Sheet1!S71_OY1BudgetAmount,Sheet1!S71_SA34aCode,$AC:$AC,Sheet1!S71_A5CapexCode,$AD:$AD)</f>
        <v>0</v>
      </c>
      <c r="K134" s="713">
        <f>SUMIFS(Sheet1!S71_OY2BudgetAmount,Sheet1!S71_SA34aCode,$AC:$AC,Sheet1!S71_A5CapexCode,$AD:$AD)</f>
        <v>0</v>
      </c>
      <c r="AC134" s="2365" t="s">
        <v>2904</v>
      </c>
      <c r="AD134" s="2365" t="s">
        <v>2805</v>
      </c>
    </row>
    <row r="135" spans="1:30" ht="4.9000000000000004" customHeight="1" x14ac:dyDescent="0.25">
      <c r="A135" s="2127"/>
      <c r="B135" s="144"/>
      <c r="C135" s="177"/>
      <c r="D135" s="177"/>
      <c r="E135" s="180"/>
      <c r="F135" s="179"/>
      <c r="G135" s="177"/>
      <c r="H135" s="178"/>
      <c r="I135" s="179"/>
      <c r="J135" s="177"/>
      <c r="K135" s="178"/>
      <c r="AD135" s="2365" t="s">
        <v>2805</v>
      </c>
    </row>
    <row r="136" spans="1:30" ht="13.15" customHeight="1" x14ac:dyDescent="0.25">
      <c r="A136" s="96" t="s">
        <v>2322</v>
      </c>
      <c r="B136" s="144"/>
      <c r="C136" s="177">
        <f t="shared" ref="C136:K136" si="20">SUM(C137:C137)</f>
        <v>0</v>
      </c>
      <c r="D136" s="177">
        <f t="shared" si="20"/>
        <v>0</v>
      </c>
      <c r="E136" s="180">
        <f t="shared" si="20"/>
        <v>0</v>
      </c>
      <c r="F136" s="179">
        <f t="shared" si="20"/>
        <v>0</v>
      </c>
      <c r="G136" s="177">
        <f t="shared" si="20"/>
        <v>0</v>
      </c>
      <c r="H136" s="178">
        <f t="shared" si="20"/>
        <v>0</v>
      </c>
      <c r="I136" s="179">
        <f t="shared" si="20"/>
        <v>0</v>
      </c>
      <c r="J136" s="177">
        <f t="shared" si="20"/>
        <v>0</v>
      </c>
      <c r="K136" s="178">
        <f t="shared" si="20"/>
        <v>0</v>
      </c>
      <c r="AD136" s="2365" t="s">
        <v>2805</v>
      </c>
    </row>
    <row r="137" spans="1:30" ht="13.15" customHeight="1" x14ac:dyDescent="0.25">
      <c r="A137" s="104" t="s">
        <v>2322</v>
      </c>
      <c r="B137" s="144"/>
      <c r="C137" s="712">
        <f>SUMIFS(Sheet1!S71_PPPYearAmount,Sheet1!S71_SA34aCode,$AC:$AC,Sheet1!S71_A5CapexCode,$AD:$AD)</f>
        <v>0</v>
      </c>
      <c r="D137" s="712">
        <f>SUMIFS(Sheet1!S71_PPYearAmount,Sheet1!S71_SA34aCode,$AC:$AC,Sheet1!S71_A5CapexCode,$AD:$AD)</f>
        <v>0</v>
      </c>
      <c r="E137" s="715">
        <f>SUMIFS(Sheet1!S71_PYearAmount,Sheet1!S71_SA34aCode,$AC:$AC,Sheet1!S71_A5CapexCode,$AD:$AD)</f>
        <v>0</v>
      </c>
      <c r="F137" s="725">
        <f>SUMIFS(Sheet1!S71_OriginalBudAmnt,Sheet1!S71_SA34aCode,$AC:$AC,Sheet1!S71_A5CapexCode,$AD:$AD)</f>
        <v>0</v>
      </c>
      <c r="G137" s="712">
        <f>SUMIFS(Sheet1!S71_AdjustmentBudAmnt,Sheet1!S71_SA34aCode,$AC:$AC,Sheet1!S71_A5CapexCode,$AD:$AD)</f>
        <v>0</v>
      </c>
      <c r="H137" s="713">
        <f>SUMIFS(Sheet1!S71_AdjustmentBudAmnt,Sheet1!S71_SA34aCode,$AC:$AC,Sheet1!S71_A5CapexCode,$AD:$AD)</f>
        <v>0</v>
      </c>
      <c r="I137" s="725">
        <f>SUMIFS(Sheet1!S71_ASBudgetAmount,Sheet1!S71_SA34aCode,$AC:$AC,Sheet1!S71_A5CapexCode,$AD:$AD)</f>
        <v>0</v>
      </c>
      <c r="J137" s="712">
        <f>SUMIFS(Sheet1!S71_OY1BudgetAmount,Sheet1!S71_SA34aCode,$AC:$AC,Sheet1!S71_A5CapexCode,$AD:$AD)</f>
        <v>0</v>
      </c>
      <c r="K137" s="713">
        <f>SUMIFS(Sheet1!S71_OY2BudgetAmount,Sheet1!S71_SA34aCode,$AC:$AC,Sheet1!S71_A5CapexCode,$AD:$AD)</f>
        <v>0</v>
      </c>
      <c r="AC137" s="2365" t="s">
        <v>2797</v>
      </c>
      <c r="AD137" s="2365" t="s">
        <v>2805</v>
      </c>
    </row>
    <row r="138" spans="1:30" ht="4.9000000000000004" customHeight="1" x14ac:dyDescent="0.25">
      <c r="A138" s="116"/>
      <c r="B138" s="144"/>
      <c r="C138" s="177"/>
      <c r="D138" s="177"/>
      <c r="E138" s="180"/>
      <c r="F138" s="179"/>
      <c r="G138" s="177"/>
      <c r="H138" s="178"/>
      <c r="I138" s="179"/>
      <c r="J138" s="177"/>
      <c r="K138" s="178"/>
      <c r="AD138" s="2365" t="s">
        <v>2805</v>
      </c>
    </row>
    <row r="139" spans="1:30" ht="13.15" customHeight="1" x14ac:dyDescent="0.25">
      <c r="A139" s="96" t="s">
        <v>2325</v>
      </c>
      <c r="B139" s="144"/>
      <c r="C139" s="177">
        <f>+C140+C141</f>
        <v>1082624</v>
      </c>
      <c r="D139" s="177">
        <f t="shared" ref="D139:K139" si="21">+D140+D141</f>
        <v>1082624</v>
      </c>
      <c r="E139" s="180">
        <f t="shared" si="21"/>
        <v>1383449</v>
      </c>
      <c r="F139" s="179">
        <f t="shared" si="21"/>
        <v>0</v>
      </c>
      <c r="G139" s="177">
        <f t="shared" si="21"/>
        <v>0</v>
      </c>
      <c r="H139" s="178">
        <f t="shared" si="21"/>
        <v>0</v>
      </c>
      <c r="I139" s="179">
        <f t="shared" si="21"/>
        <v>0</v>
      </c>
      <c r="J139" s="177">
        <f t="shared" si="21"/>
        <v>0</v>
      </c>
      <c r="K139" s="178">
        <f t="shared" si="21"/>
        <v>0</v>
      </c>
      <c r="AD139" s="2365" t="s">
        <v>2805</v>
      </c>
    </row>
    <row r="140" spans="1:30" ht="13.15" customHeight="1" x14ac:dyDescent="0.25">
      <c r="A140" s="137" t="s">
        <v>2323</v>
      </c>
      <c r="B140" s="144"/>
      <c r="C140" s="712">
        <f>SUMIFS(Sheet1!S71_PPPYearAmount,Sheet1!S71_SA34aCode,$AC:$AC,Sheet1!S71_A5CapexCode,$AD:$AD)</f>
        <v>0</v>
      </c>
      <c r="D140" s="712">
        <f>SUMIFS(Sheet1!S71_PPYearAmount,Sheet1!S71_SA34aCode,$AC:$AC,Sheet1!S71_A5CapexCode,$AD:$AD)</f>
        <v>0</v>
      </c>
      <c r="E140" s="715">
        <f>SUMIFS(Sheet1!S71_PYearAmount,Sheet1!S71_SA34aCode,$AC:$AC,Sheet1!S71_A5CapexCode,$AD:$AD)</f>
        <v>0</v>
      </c>
      <c r="F140" s="725">
        <f>SUMIFS(Sheet1!S71_OriginalBudAmnt,Sheet1!S71_SA34aCode,$AC:$AC,Sheet1!S71_A5CapexCode,$AD:$AD)</f>
        <v>0</v>
      </c>
      <c r="G140" s="712">
        <f>SUMIFS(Sheet1!S71_AdjustmentBudAmnt,Sheet1!S71_SA34aCode,$AC:$AC,Sheet1!S71_A5CapexCode,$AD:$AD)</f>
        <v>0</v>
      </c>
      <c r="H140" s="713">
        <f>SUMIFS(Sheet1!S71_AdjustmentBudAmnt,Sheet1!S71_SA34aCode,$AC:$AC,Sheet1!S71_A5CapexCode,$AD:$AD)</f>
        <v>0</v>
      </c>
      <c r="I140" s="725">
        <f>SUMIFS(Sheet1!S71_ASBudgetAmount,Sheet1!S71_SA34aCode,$AC:$AC,Sheet1!S71_A5CapexCode,$AD:$AD)</f>
        <v>0</v>
      </c>
      <c r="J140" s="712">
        <f>SUMIFS(Sheet1!S71_OY1BudgetAmount,Sheet1!S71_SA34aCode,$AC:$AC,Sheet1!S71_A5CapexCode,$AD:$AD)</f>
        <v>0</v>
      </c>
      <c r="K140" s="713">
        <f>SUMIFS(Sheet1!S71_OY2BudgetAmount,Sheet1!S71_SA34aCode,$AC:$AC,Sheet1!S71_A5CapexCode,$AD:$AD)</f>
        <v>0</v>
      </c>
      <c r="AC140" s="2365" t="s">
        <v>2905</v>
      </c>
      <c r="AD140" s="2365" t="s">
        <v>2805</v>
      </c>
    </row>
    <row r="141" spans="1:30" ht="13.15" customHeight="1" x14ac:dyDescent="0.25">
      <c r="A141" s="137" t="s">
        <v>2324</v>
      </c>
      <c r="B141" s="144"/>
      <c r="C141" s="71">
        <f>SUM(C142:C147)</f>
        <v>1082624</v>
      </c>
      <c r="D141" s="71">
        <f t="shared" ref="D141:K141" si="22">SUM(D142:D147)</f>
        <v>1082624</v>
      </c>
      <c r="E141" s="305">
        <f t="shared" si="22"/>
        <v>1383449</v>
      </c>
      <c r="F141" s="75">
        <f t="shared" si="22"/>
        <v>0</v>
      </c>
      <c r="G141" s="71">
        <f t="shared" si="22"/>
        <v>0</v>
      </c>
      <c r="H141" s="117">
        <f t="shared" si="22"/>
        <v>0</v>
      </c>
      <c r="I141" s="75">
        <f t="shared" si="22"/>
        <v>0</v>
      </c>
      <c r="J141" s="71">
        <f t="shared" si="22"/>
        <v>0</v>
      </c>
      <c r="K141" s="117">
        <f t="shared" si="22"/>
        <v>0</v>
      </c>
      <c r="AD141" s="2365" t="s">
        <v>2805</v>
      </c>
    </row>
    <row r="142" spans="1:30" ht="13.15" customHeight="1" x14ac:dyDescent="0.25">
      <c r="A142" s="2125" t="s">
        <v>2326</v>
      </c>
      <c r="B142" s="144"/>
      <c r="C142" s="712">
        <f>SUMIFS(Sheet1!S71_PPPYearAmount,Sheet1!S71_SA34aCode,$AC:$AC,Sheet1!S71_A5CapexCode,$AD:$AD)</f>
        <v>0</v>
      </c>
      <c r="D142" s="712">
        <f>SUMIFS(Sheet1!S71_PPYearAmount,Sheet1!S71_SA34aCode,$AC:$AC,Sheet1!S71_A5CapexCode,$AD:$AD)</f>
        <v>0</v>
      </c>
      <c r="E142" s="715">
        <f>SUMIFS(Sheet1!S71_PYearAmount,Sheet1!S71_SA34aCode,$AC:$AC,Sheet1!S71_A5CapexCode,$AD:$AD)</f>
        <v>0</v>
      </c>
      <c r="F142" s="725">
        <f>SUMIFS(Sheet1!S71_OriginalBudAmnt,Sheet1!S71_SA34aCode,$AC:$AC,Sheet1!S71_A5CapexCode,$AD:$AD)</f>
        <v>0</v>
      </c>
      <c r="G142" s="712">
        <f>SUMIFS(Sheet1!S71_AdjustmentBudAmnt,Sheet1!S71_SA34aCode,$AC:$AC,Sheet1!S71_A5CapexCode,$AD:$AD)</f>
        <v>0</v>
      </c>
      <c r="H142" s="713">
        <f>SUMIFS(Sheet1!S71_AdjustmentBudAmnt,Sheet1!S71_SA34aCode,$AC:$AC,Sheet1!S71_A5CapexCode,$AD:$AD)</f>
        <v>0</v>
      </c>
      <c r="I142" s="725">
        <f>SUMIFS(Sheet1!S71_ASBudgetAmount,Sheet1!S71_SA34aCode,$AC:$AC,Sheet1!S71_A5CapexCode,$AD:$AD)</f>
        <v>0</v>
      </c>
      <c r="J142" s="712">
        <f>SUMIFS(Sheet1!S71_OY1BudgetAmount,Sheet1!S71_SA34aCode,$AC:$AC,Sheet1!S71_A5CapexCode,$AD:$AD)</f>
        <v>0</v>
      </c>
      <c r="K142" s="713">
        <f>SUMIFS(Sheet1!S71_OY2BudgetAmount,Sheet1!S71_SA34aCode,$AC:$AC,Sheet1!S71_A5CapexCode,$AD:$AD)</f>
        <v>0</v>
      </c>
      <c r="AC142" s="2365" t="s">
        <v>2080</v>
      </c>
      <c r="AD142" s="2365" t="s">
        <v>2805</v>
      </c>
    </row>
    <row r="143" spans="1:30" ht="13.15" customHeight="1" x14ac:dyDescent="0.25">
      <c r="A143" s="2125" t="s">
        <v>2327</v>
      </c>
      <c r="B143" s="144"/>
      <c r="C143" s="712">
        <f>SUMIFS(Sheet1!S71_PPPYearAmount,Sheet1!S71_SA34aCode,$AC:$AC,Sheet1!S71_A5CapexCode,$AD:$AD)</f>
        <v>0</v>
      </c>
      <c r="D143" s="712">
        <f>SUMIFS(Sheet1!S71_PPYearAmount,Sheet1!S71_SA34aCode,$AC:$AC,Sheet1!S71_A5CapexCode,$AD:$AD)</f>
        <v>0</v>
      </c>
      <c r="E143" s="715">
        <f>SUMIFS(Sheet1!S71_PYearAmount,Sheet1!S71_SA34aCode,$AC:$AC,Sheet1!S71_A5CapexCode,$AD:$AD)</f>
        <v>0</v>
      </c>
      <c r="F143" s="725">
        <f>SUMIFS(Sheet1!S71_OriginalBudAmnt,Sheet1!S71_SA34aCode,$AC:$AC,Sheet1!S71_A5CapexCode,$AD:$AD)</f>
        <v>0</v>
      </c>
      <c r="G143" s="712">
        <f>SUMIFS(Sheet1!S71_AdjustmentBudAmnt,Sheet1!S71_SA34aCode,$AC:$AC,Sheet1!S71_A5CapexCode,$AD:$AD)</f>
        <v>0</v>
      </c>
      <c r="H143" s="713">
        <f>SUMIFS(Sheet1!S71_AdjustmentBudAmnt,Sheet1!S71_SA34aCode,$AC:$AC,Sheet1!S71_A5CapexCode,$AD:$AD)</f>
        <v>0</v>
      </c>
      <c r="I143" s="725">
        <f>SUMIFS(Sheet1!S71_ASBudgetAmount,Sheet1!S71_SA34aCode,$AC:$AC,Sheet1!S71_A5CapexCode,$AD:$AD)</f>
        <v>0</v>
      </c>
      <c r="J143" s="712">
        <f>SUMIFS(Sheet1!S71_OY1BudgetAmount,Sheet1!S71_SA34aCode,$AC:$AC,Sheet1!S71_A5CapexCode,$AD:$AD)</f>
        <v>0</v>
      </c>
      <c r="K143" s="713">
        <f>SUMIFS(Sheet1!S71_OY2BudgetAmount,Sheet1!S71_SA34aCode,$AC:$AC,Sheet1!S71_A5CapexCode,$AD:$AD)</f>
        <v>0</v>
      </c>
      <c r="AC143" s="2365" t="s">
        <v>2906</v>
      </c>
      <c r="AD143" s="2365" t="s">
        <v>2805</v>
      </c>
    </row>
    <row r="144" spans="1:30" ht="13.15" customHeight="1" x14ac:dyDescent="0.25">
      <c r="A144" s="2125" t="s">
        <v>2328</v>
      </c>
      <c r="B144" s="144"/>
      <c r="C144" s="712">
        <f>SUMIFS(Sheet1!S71_PPPYearAmount,Sheet1!S71_SA34aCode,$AC:$AC,Sheet1!S71_A5CapexCode,$AD:$AD)</f>
        <v>0</v>
      </c>
      <c r="D144" s="712">
        <f>SUMIFS(Sheet1!S71_PPYearAmount,Sheet1!S71_SA34aCode,$AC:$AC,Sheet1!S71_A5CapexCode,$AD:$AD)</f>
        <v>0</v>
      </c>
      <c r="E144" s="715">
        <f>SUMIFS(Sheet1!S71_PYearAmount,Sheet1!S71_SA34aCode,$AC:$AC,Sheet1!S71_A5CapexCode,$AD:$AD)</f>
        <v>0</v>
      </c>
      <c r="F144" s="725">
        <f>SUMIFS(Sheet1!S71_OriginalBudAmnt,Sheet1!S71_SA34aCode,$AC:$AC,Sheet1!S71_A5CapexCode,$AD:$AD)</f>
        <v>0</v>
      </c>
      <c r="G144" s="712">
        <f>SUMIFS(Sheet1!S71_AdjustmentBudAmnt,Sheet1!S71_SA34aCode,$AC:$AC,Sheet1!S71_A5CapexCode,$AD:$AD)</f>
        <v>0</v>
      </c>
      <c r="H144" s="713">
        <f>SUMIFS(Sheet1!S71_AdjustmentBudAmnt,Sheet1!S71_SA34aCode,$AC:$AC,Sheet1!S71_A5CapexCode,$AD:$AD)</f>
        <v>0</v>
      </c>
      <c r="I144" s="725">
        <f>SUMIFS(Sheet1!S71_ASBudgetAmount,Sheet1!S71_SA34aCode,$AC:$AC,Sheet1!S71_A5CapexCode,$AD:$AD)</f>
        <v>0</v>
      </c>
      <c r="J144" s="712">
        <f>SUMIFS(Sheet1!S71_OY1BudgetAmount,Sheet1!S71_SA34aCode,$AC:$AC,Sheet1!S71_A5CapexCode,$AD:$AD)</f>
        <v>0</v>
      </c>
      <c r="K144" s="713">
        <f>SUMIFS(Sheet1!S71_OY2BudgetAmount,Sheet1!S71_SA34aCode,$AC:$AC,Sheet1!S71_A5CapexCode,$AD:$AD)</f>
        <v>0</v>
      </c>
      <c r="AC144" s="2365" t="s">
        <v>2907</v>
      </c>
      <c r="AD144" s="2365" t="s">
        <v>2805</v>
      </c>
    </row>
    <row r="145" spans="1:30" ht="13.15" customHeight="1" x14ac:dyDescent="0.25">
      <c r="A145" s="2125" t="s">
        <v>2329</v>
      </c>
      <c r="B145" s="144"/>
      <c r="C145" s="712">
        <f>SUMIFS(Sheet1!S71_PPPYearAmount,Sheet1!S71_SA34aCode,$AC:$AC,Sheet1!S71_A5CapexCode,$AD:$AD)</f>
        <v>1082624</v>
      </c>
      <c r="D145" s="712">
        <f>SUMIFS(Sheet1!S71_PPYearAmount,Sheet1!S71_SA34aCode,$AC:$AC,Sheet1!S71_A5CapexCode,$AD:$AD)</f>
        <v>1082624</v>
      </c>
      <c r="E145" s="715">
        <f>SUMIFS(Sheet1!S71_PYearAmount,Sheet1!S71_SA34aCode,$AC:$AC,Sheet1!S71_A5CapexCode,$AD:$AD)</f>
        <v>1383449</v>
      </c>
      <c r="F145" s="725">
        <f>SUMIFS(Sheet1!S71_OriginalBudAmnt,Sheet1!S71_SA34aCode,$AC:$AC,Sheet1!S71_A5CapexCode,$AD:$AD)</f>
        <v>0</v>
      </c>
      <c r="G145" s="712">
        <f>SUMIFS(Sheet1!S71_AdjustmentBudAmnt,Sheet1!S71_SA34aCode,$AC:$AC,Sheet1!S71_A5CapexCode,$AD:$AD)</f>
        <v>0</v>
      </c>
      <c r="H145" s="713">
        <f>SUMIFS(Sheet1!S71_AdjustmentBudAmnt,Sheet1!S71_SA34aCode,$AC:$AC,Sheet1!S71_A5CapexCode,$AD:$AD)</f>
        <v>0</v>
      </c>
      <c r="I145" s="725">
        <f>SUMIFS(Sheet1!S71_ASBudgetAmount,Sheet1!S71_SA34aCode,$AC:$AC,Sheet1!S71_A5CapexCode,$AD:$AD)</f>
        <v>0</v>
      </c>
      <c r="J145" s="712">
        <f>SUMIFS(Sheet1!S71_OY1BudgetAmount,Sheet1!S71_SA34aCode,$AC:$AC,Sheet1!S71_A5CapexCode,$AD:$AD)</f>
        <v>0</v>
      </c>
      <c r="K145" s="713">
        <f>SUMIFS(Sheet1!S71_OY2BudgetAmount,Sheet1!S71_SA34aCode,$AC:$AC,Sheet1!S71_A5CapexCode,$AD:$AD)</f>
        <v>0</v>
      </c>
      <c r="AC145" s="2365" t="s">
        <v>2908</v>
      </c>
      <c r="AD145" s="2365" t="s">
        <v>2805</v>
      </c>
    </row>
    <row r="146" spans="1:30" ht="13.15" customHeight="1" x14ac:dyDescent="0.25">
      <c r="A146" s="2125" t="s">
        <v>2330</v>
      </c>
      <c r="B146" s="144"/>
      <c r="C146" s="712">
        <f>SUMIFS(Sheet1!S71_PPPYearAmount,Sheet1!S71_SA34aCode,$AC:$AC,Sheet1!S71_A5CapexCode,$AD:$AD)</f>
        <v>0</v>
      </c>
      <c r="D146" s="712">
        <f>SUMIFS(Sheet1!S71_PPYearAmount,Sheet1!S71_SA34aCode,$AC:$AC,Sheet1!S71_A5CapexCode,$AD:$AD)</f>
        <v>0</v>
      </c>
      <c r="E146" s="715">
        <f>SUMIFS(Sheet1!S71_PYearAmount,Sheet1!S71_SA34aCode,$AC:$AC,Sheet1!S71_A5CapexCode,$AD:$AD)</f>
        <v>0</v>
      </c>
      <c r="F146" s="725">
        <f>SUMIFS(Sheet1!S71_OriginalBudAmnt,Sheet1!S71_SA34aCode,$AC:$AC,Sheet1!S71_A5CapexCode,$AD:$AD)</f>
        <v>0</v>
      </c>
      <c r="G146" s="712">
        <f>SUMIFS(Sheet1!S71_AdjustmentBudAmnt,Sheet1!S71_SA34aCode,$AC:$AC,Sheet1!S71_A5CapexCode,$AD:$AD)</f>
        <v>0</v>
      </c>
      <c r="H146" s="713">
        <f>SUMIFS(Sheet1!S71_AdjustmentBudAmnt,Sheet1!S71_SA34aCode,$AC:$AC,Sheet1!S71_A5CapexCode,$AD:$AD)</f>
        <v>0</v>
      </c>
      <c r="I146" s="725">
        <f>SUMIFS(Sheet1!S71_ASBudgetAmount,Sheet1!S71_SA34aCode,$AC:$AC,Sheet1!S71_A5CapexCode,$AD:$AD)</f>
        <v>0</v>
      </c>
      <c r="J146" s="712">
        <f>SUMIFS(Sheet1!S71_OY1BudgetAmount,Sheet1!S71_SA34aCode,$AC:$AC,Sheet1!S71_A5CapexCode,$AD:$AD)</f>
        <v>0</v>
      </c>
      <c r="K146" s="713">
        <f>SUMIFS(Sheet1!S71_OY2BudgetAmount,Sheet1!S71_SA34aCode,$AC:$AC,Sheet1!S71_A5CapexCode,$AD:$AD)</f>
        <v>0</v>
      </c>
      <c r="AC146" s="2365" t="s">
        <v>2909</v>
      </c>
      <c r="AD146" s="2365" t="s">
        <v>2805</v>
      </c>
    </row>
    <row r="147" spans="1:30" ht="13.15" customHeight="1" x14ac:dyDescent="0.25">
      <c r="A147" s="2125" t="s">
        <v>2331</v>
      </c>
      <c r="B147" s="144"/>
      <c r="C147" s="712">
        <f>SUMIFS(Sheet1!S71_PPPYearAmount,Sheet1!S71_SA34aCode,$AC:$AC,Sheet1!S71_A5CapexCode,$AD:$AD)</f>
        <v>0</v>
      </c>
      <c r="D147" s="712">
        <f>SUMIFS(Sheet1!S71_PPYearAmount,Sheet1!S71_SA34aCode,$AC:$AC,Sheet1!S71_A5CapexCode,$AD:$AD)</f>
        <v>0</v>
      </c>
      <c r="E147" s="715">
        <f>SUMIFS(Sheet1!S71_PYearAmount,Sheet1!S71_SA34aCode,$AC:$AC,Sheet1!S71_A5CapexCode,$AD:$AD)</f>
        <v>0</v>
      </c>
      <c r="F147" s="725">
        <f>SUMIFS(Sheet1!S71_OriginalBudAmnt,Sheet1!S71_SA34aCode,$AC:$AC,Sheet1!S71_A5CapexCode,$AD:$AD)</f>
        <v>0</v>
      </c>
      <c r="G147" s="712">
        <f>SUMIFS(Sheet1!S71_AdjustmentBudAmnt,Sheet1!S71_SA34aCode,$AC:$AC,Sheet1!S71_A5CapexCode,$AD:$AD)</f>
        <v>0</v>
      </c>
      <c r="H147" s="713">
        <f>SUMIFS(Sheet1!S71_AdjustmentBudAmnt,Sheet1!S71_SA34aCode,$AC:$AC,Sheet1!S71_A5CapexCode,$AD:$AD)</f>
        <v>0</v>
      </c>
      <c r="I147" s="725">
        <f>SUMIFS(Sheet1!S71_ASBudgetAmount,Sheet1!S71_SA34aCode,$AC:$AC,Sheet1!S71_A5CapexCode,$AD:$AD)</f>
        <v>0</v>
      </c>
      <c r="J147" s="712">
        <f>SUMIFS(Sheet1!S71_OY1BudgetAmount,Sheet1!S71_SA34aCode,$AC:$AC,Sheet1!S71_A5CapexCode,$AD:$AD)</f>
        <v>0</v>
      </c>
      <c r="K147" s="713">
        <f>SUMIFS(Sheet1!S71_OY2BudgetAmount,Sheet1!S71_SA34aCode,$AC:$AC,Sheet1!S71_A5CapexCode,$AD:$AD)</f>
        <v>0</v>
      </c>
      <c r="AC147" s="2365" t="s">
        <v>2910</v>
      </c>
      <c r="AD147" s="2365" t="s">
        <v>2805</v>
      </c>
    </row>
    <row r="148" spans="1:30" ht="4.9000000000000004" customHeight="1" x14ac:dyDescent="0.25">
      <c r="A148" s="116"/>
      <c r="B148" s="144"/>
      <c r="C148" s="545"/>
      <c r="D148" s="545"/>
      <c r="E148" s="831"/>
      <c r="F148" s="743"/>
      <c r="G148" s="545"/>
      <c r="H148" s="742"/>
      <c r="I148" s="743"/>
      <c r="J148" s="545"/>
      <c r="K148" s="742"/>
      <c r="AD148" s="2365" t="s">
        <v>2805</v>
      </c>
    </row>
    <row r="149" spans="1:30" ht="13.15" customHeight="1" x14ac:dyDescent="0.25">
      <c r="A149" s="96" t="s">
        <v>2332</v>
      </c>
      <c r="B149" s="144"/>
      <c r="C149" s="177">
        <f t="shared" ref="C149:K149" si="23">SUM(C150:C150)</f>
        <v>241468</v>
      </c>
      <c r="D149" s="177">
        <f t="shared" si="23"/>
        <v>321813</v>
      </c>
      <c r="E149" s="180">
        <f t="shared" si="23"/>
        <v>977996</v>
      </c>
      <c r="F149" s="179">
        <f t="shared" si="23"/>
        <v>300000</v>
      </c>
      <c r="G149" s="177">
        <f t="shared" si="23"/>
        <v>300000</v>
      </c>
      <c r="H149" s="178">
        <f t="shared" si="23"/>
        <v>300000</v>
      </c>
      <c r="I149" s="179">
        <f t="shared" si="23"/>
        <v>555000</v>
      </c>
      <c r="J149" s="177">
        <f t="shared" si="23"/>
        <v>324168</v>
      </c>
      <c r="K149" s="178">
        <f t="shared" si="23"/>
        <v>337135</v>
      </c>
      <c r="AD149" s="2365" t="s">
        <v>2805</v>
      </c>
    </row>
    <row r="150" spans="1:30" ht="13.15" customHeight="1" x14ac:dyDescent="0.25">
      <c r="A150" s="104" t="s">
        <v>2332</v>
      </c>
      <c r="B150" s="144"/>
      <c r="C150" s="712">
        <f>SUMIFS(Sheet1!S71_PPPYearAmount,Sheet1!S71_SA34aCode,$AC:$AC,Sheet1!S71_A5CapexCode,$AD:$AD)</f>
        <v>241468</v>
      </c>
      <c r="D150" s="712">
        <f>SUMIFS(Sheet1!S71_PPYearAmount,Sheet1!S71_SA34aCode,$AC:$AC,Sheet1!S71_A5CapexCode,$AD:$AD)</f>
        <v>321813</v>
      </c>
      <c r="E150" s="715">
        <f>SUMIFS(Sheet1!S71_PYearAmount,Sheet1!S71_SA34aCode,$AC:$AC,Sheet1!S71_A5CapexCode,$AD:$AD)</f>
        <v>977996</v>
      </c>
      <c r="F150" s="725">
        <f>SUMIFS(Sheet1!S71_OriginalBudAmnt,Sheet1!S71_SA34aCode,$AC:$AC,Sheet1!S71_A5CapexCode,$AD:$AD)</f>
        <v>300000</v>
      </c>
      <c r="G150" s="712">
        <f>SUMIFS(Sheet1!S71_AdjustmentBudAmnt,Sheet1!S71_SA34aCode,$AC:$AC,Sheet1!S71_A5CapexCode,$AD:$AD)</f>
        <v>300000</v>
      </c>
      <c r="H150" s="713">
        <f>SUMIFS(Sheet1!S71_AdjustmentBudAmnt,Sheet1!S71_SA34aCode,$AC:$AC,Sheet1!S71_A5CapexCode,$AD:$AD)</f>
        <v>300000</v>
      </c>
      <c r="I150" s="725">
        <f>SUMIFS(Sheet1!S71_ASBudgetAmount,Sheet1!S71_SA34aCode,$AC:$AC,Sheet1!S71_A5CapexCode,$AD:$AD)</f>
        <v>555000</v>
      </c>
      <c r="J150" s="712">
        <f>SUMIFS(Sheet1!S71_OY1BudgetAmount,Sheet1!S71_SA34aCode,$AC:$AC,Sheet1!S71_A5CapexCode,$AD:$AD)</f>
        <v>324168</v>
      </c>
      <c r="K150" s="713">
        <f>SUMIFS(Sheet1!S71_OY2BudgetAmount,Sheet1!S71_SA34aCode,$AC:$AC,Sheet1!S71_A5CapexCode,$AD:$AD)</f>
        <v>337135</v>
      </c>
      <c r="AC150" s="2365" t="s">
        <v>2799</v>
      </c>
      <c r="AD150" s="2365" t="s">
        <v>2805</v>
      </c>
    </row>
    <row r="151" spans="1:30" ht="4.9000000000000004" customHeight="1" x14ac:dyDescent="0.25">
      <c r="A151" s="116"/>
      <c r="B151" s="144"/>
      <c r="C151" s="177"/>
      <c r="D151" s="177"/>
      <c r="E151" s="180"/>
      <c r="F151" s="179"/>
      <c r="G151" s="177"/>
      <c r="H151" s="178"/>
      <c r="I151" s="179"/>
      <c r="J151" s="177"/>
      <c r="K151" s="178"/>
      <c r="AD151" s="2365" t="s">
        <v>2805</v>
      </c>
    </row>
    <row r="152" spans="1:30" ht="13.15" customHeight="1" x14ac:dyDescent="0.25">
      <c r="A152" s="96" t="s">
        <v>2333</v>
      </c>
      <c r="B152" s="144"/>
      <c r="C152" s="177">
        <f t="shared" ref="C152:K152" si="24">SUM(C153:C153)</f>
        <v>6674492</v>
      </c>
      <c r="D152" s="177">
        <f t="shared" si="24"/>
        <v>4717395</v>
      </c>
      <c r="E152" s="180">
        <f t="shared" si="24"/>
        <v>5388998</v>
      </c>
      <c r="F152" s="179">
        <f t="shared" si="24"/>
        <v>400000</v>
      </c>
      <c r="G152" s="177">
        <f t="shared" si="24"/>
        <v>400000</v>
      </c>
      <c r="H152" s="178">
        <f t="shared" si="24"/>
        <v>400000</v>
      </c>
      <c r="I152" s="179">
        <f t="shared" si="24"/>
        <v>350000</v>
      </c>
      <c r="J152" s="177">
        <f t="shared" si="24"/>
        <v>432224</v>
      </c>
      <c r="K152" s="178">
        <f t="shared" si="24"/>
        <v>449513</v>
      </c>
      <c r="AD152" s="2365" t="s">
        <v>2805</v>
      </c>
    </row>
    <row r="153" spans="1:30" ht="13.15" customHeight="1" x14ac:dyDescent="0.25">
      <c r="A153" s="104" t="s">
        <v>2333</v>
      </c>
      <c r="B153" s="144"/>
      <c r="C153" s="712">
        <f>SUMIFS(Sheet1!S71_PPPYearAmount,Sheet1!S71_SA34aCode,$AC:$AC,Sheet1!S71_A5CapexCode,$AD:$AD)</f>
        <v>6674492</v>
      </c>
      <c r="D153" s="712">
        <f>SUMIFS(Sheet1!S71_PPYearAmount,Sheet1!S71_SA34aCode,$AC:$AC,Sheet1!S71_A5CapexCode,$AD:$AD)</f>
        <v>4717395</v>
      </c>
      <c r="E153" s="715">
        <f>SUMIFS(Sheet1!S71_PYearAmount,Sheet1!S71_SA34aCode,$AC:$AC,Sheet1!S71_A5CapexCode,$AD:$AD)</f>
        <v>5388998</v>
      </c>
      <c r="F153" s="725">
        <f>SUMIFS(Sheet1!S71_OriginalBudAmnt,Sheet1!S71_SA34aCode,$AC:$AC,Sheet1!S71_A5CapexCode,$AD:$AD)</f>
        <v>400000</v>
      </c>
      <c r="G153" s="712">
        <f>SUMIFS(Sheet1!S71_AdjustmentBudAmnt,Sheet1!S71_SA34aCode,$AC:$AC,Sheet1!S71_A5CapexCode,$AD:$AD)</f>
        <v>400000</v>
      </c>
      <c r="H153" s="713">
        <f>SUMIFS(Sheet1!S71_AdjustmentBudAmnt,Sheet1!S71_SA34aCode,$AC:$AC,Sheet1!S71_A5CapexCode,$AD:$AD)</f>
        <v>400000</v>
      </c>
      <c r="I153" s="725">
        <f>SUMIFS(Sheet1!S71_ASBudgetAmount,Sheet1!S71_SA34aCode,$AC:$AC,Sheet1!S71_A5CapexCode,$AD:$AD)</f>
        <v>350000</v>
      </c>
      <c r="J153" s="712">
        <f>SUMIFS(Sheet1!S71_OY1BudgetAmount,Sheet1!S71_SA34aCode,$AC:$AC,Sheet1!S71_A5CapexCode,$AD:$AD)</f>
        <v>432224</v>
      </c>
      <c r="K153" s="713">
        <f>SUMIFS(Sheet1!S71_OY2BudgetAmount,Sheet1!S71_SA34aCode,$AC:$AC,Sheet1!S71_A5CapexCode,$AD:$AD)</f>
        <v>449513</v>
      </c>
      <c r="AC153" s="2365" t="s">
        <v>2800</v>
      </c>
      <c r="AD153" s="2365" t="s">
        <v>2805</v>
      </c>
    </row>
    <row r="154" spans="1:30" ht="4.9000000000000004" customHeight="1" x14ac:dyDescent="0.25">
      <c r="A154" s="116"/>
      <c r="B154" s="144"/>
      <c r="C154" s="177"/>
      <c r="D154" s="177"/>
      <c r="E154" s="180"/>
      <c r="F154" s="179"/>
      <c r="G154" s="177"/>
      <c r="H154" s="178"/>
      <c r="I154" s="179"/>
      <c r="J154" s="177"/>
      <c r="K154" s="178"/>
      <c r="AD154" s="2365" t="s">
        <v>2805</v>
      </c>
    </row>
    <row r="155" spans="1:30" ht="13.15" customHeight="1" x14ac:dyDescent="0.25">
      <c r="A155" s="96" t="s">
        <v>2334</v>
      </c>
      <c r="B155" s="144"/>
      <c r="C155" s="177">
        <f t="shared" ref="C155:K155" si="25">SUM(C156:C156)</f>
        <v>0</v>
      </c>
      <c r="D155" s="177">
        <f t="shared" si="25"/>
        <v>0</v>
      </c>
      <c r="E155" s="180">
        <f t="shared" si="25"/>
        <v>0</v>
      </c>
      <c r="F155" s="179">
        <f t="shared" si="25"/>
        <v>0</v>
      </c>
      <c r="G155" s="177">
        <f t="shared" si="25"/>
        <v>0</v>
      </c>
      <c r="H155" s="178">
        <f t="shared" si="25"/>
        <v>0</v>
      </c>
      <c r="I155" s="179">
        <f t="shared" si="25"/>
        <v>0</v>
      </c>
      <c r="J155" s="177">
        <f t="shared" si="25"/>
        <v>0</v>
      </c>
      <c r="K155" s="178">
        <f t="shared" si="25"/>
        <v>0</v>
      </c>
      <c r="AD155" s="2365" t="s">
        <v>2805</v>
      </c>
    </row>
    <row r="156" spans="1:30" ht="13.15" customHeight="1" x14ac:dyDescent="0.25">
      <c r="A156" s="104" t="s">
        <v>2334</v>
      </c>
      <c r="B156" s="144"/>
      <c r="C156" s="712">
        <f>SUMIFS(Sheet1!S71_PPPYearAmount,Sheet1!S71_SA34aCode,$AC:$AC,Sheet1!S71_A5CapexCode,$AD:$AD)</f>
        <v>0</v>
      </c>
      <c r="D156" s="712">
        <f>SUMIFS(Sheet1!S71_PPYearAmount,Sheet1!S71_SA34aCode,$AC:$AC,Sheet1!S71_A5CapexCode,$AD:$AD)</f>
        <v>0</v>
      </c>
      <c r="E156" s="715">
        <f>SUMIFS(Sheet1!S71_PYearAmount,Sheet1!S71_SA34aCode,$AC:$AC,Sheet1!S71_A5CapexCode,$AD:$AD)</f>
        <v>0</v>
      </c>
      <c r="F156" s="725">
        <f>SUMIFS(Sheet1!S71_OriginalBudAmnt,Sheet1!S71_SA34aCode,$AC:$AC,Sheet1!S71_A5CapexCode,$AD:$AD)</f>
        <v>0</v>
      </c>
      <c r="G156" s="712">
        <f>SUMIFS(Sheet1!S71_AdjustmentBudAmnt,Sheet1!S71_SA34aCode,$AC:$AC,Sheet1!S71_A5CapexCode,$AD:$AD)</f>
        <v>0</v>
      </c>
      <c r="H156" s="713">
        <f>SUMIFS(Sheet1!S71_AdjustmentBudAmnt,Sheet1!S71_SA34aCode,$AC:$AC,Sheet1!S71_A5CapexCode,$AD:$AD)</f>
        <v>0</v>
      </c>
      <c r="I156" s="725">
        <f>SUMIFS(Sheet1!S71_ASBudgetAmount,Sheet1!S71_SA34aCode,$AC:$AC,Sheet1!S71_A5CapexCode,$AD:$AD)</f>
        <v>0</v>
      </c>
      <c r="J156" s="712">
        <f>SUMIFS(Sheet1!S71_OY1BudgetAmount,Sheet1!S71_SA34aCode,$AC:$AC,Sheet1!S71_A5CapexCode,$AD:$AD)</f>
        <v>0</v>
      </c>
      <c r="K156" s="713">
        <f>SUMIFS(Sheet1!S71_OY2BudgetAmount,Sheet1!S71_SA34aCode,$AC:$AC,Sheet1!S71_A5CapexCode,$AD:$AD)</f>
        <v>0</v>
      </c>
      <c r="AC156" s="2365" t="s">
        <v>2801</v>
      </c>
      <c r="AD156" s="2365" t="s">
        <v>2805</v>
      </c>
    </row>
    <row r="157" spans="1:30" ht="4.9000000000000004" customHeight="1" x14ac:dyDescent="0.25">
      <c r="A157" s="116"/>
      <c r="B157" s="144"/>
      <c r="C157" s="177"/>
      <c r="D157" s="177"/>
      <c r="E157" s="180"/>
      <c r="F157" s="179"/>
      <c r="G157" s="177"/>
      <c r="H157" s="178"/>
      <c r="I157" s="179"/>
      <c r="J157" s="177"/>
      <c r="K157" s="178"/>
      <c r="AD157" s="2365" t="s">
        <v>2805</v>
      </c>
    </row>
    <row r="158" spans="1:30" ht="13.15" customHeight="1" x14ac:dyDescent="0.25">
      <c r="A158" s="96" t="s">
        <v>2335</v>
      </c>
      <c r="B158" s="144"/>
      <c r="C158" s="177">
        <f t="shared" ref="C158:K158" si="26">SUM(C159:C159)</f>
        <v>2845481</v>
      </c>
      <c r="D158" s="177">
        <f t="shared" si="26"/>
        <v>4125481</v>
      </c>
      <c r="E158" s="180">
        <f t="shared" si="26"/>
        <v>4779160</v>
      </c>
      <c r="F158" s="179">
        <f t="shared" si="26"/>
        <v>0</v>
      </c>
      <c r="G158" s="177">
        <f t="shared" si="26"/>
        <v>0</v>
      </c>
      <c r="H158" s="178">
        <f t="shared" si="26"/>
        <v>0</v>
      </c>
      <c r="I158" s="179">
        <f t="shared" si="26"/>
        <v>800000</v>
      </c>
      <c r="J158" s="177">
        <f t="shared" si="26"/>
        <v>0</v>
      </c>
      <c r="K158" s="178">
        <f t="shared" si="26"/>
        <v>0</v>
      </c>
      <c r="AD158" s="2365" t="s">
        <v>2805</v>
      </c>
    </row>
    <row r="159" spans="1:30" ht="13.15" customHeight="1" x14ac:dyDescent="0.25">
      <c r="A159" s="104" t="s">
        <v>2335</v>
      </c>
      <c r="B159" s="144"/>
      <c r="C159" s="712">
        <f>SUMIFS(Sheet1!S71_PPPYearAmount,Sheet1!S71_SA34aCode,$AC:$AC,Sheet1!S71_A5CapexCode,$AD:$AD)</f>
        <v>2845481</v>
      </c>
      <c r="D159" s="712">
        <f>SUMIFS(Sheet1!S71_PPYearAmount,Sheet1!S71_SA34aCode,$AC:$AC,Sheet1!S71_A5CapexCode,$AD:$AD)</f>
        <v>4125481</v>
      </c>
      <c r="E159" s="715">
        <f>SUMIFS(Sheet1!S71_PYearAmount,Sheet1!S71_SA34aCode,$AC:$AC,Sheet1!S71_A5CapexCode,$AD:$AD)</f>
        <v>4779160</v>
      </c>
      <c r="F159" s="725">
        <f>SUMIFS(Sheet1!S71_OriginalBudAmnt,Sheet1!S71_SA34aCode,$AC:$AC,Sheet1!S71_A5CapexCode,$AD:$AD)</f>
        <v>0</v>
      </c>
      <c r="G159" s="712">
        <f>SUMIFS(Sheet1!S71_AdjustmentBudAmnt,Sheet1!S71_SA34aCode,$AC:$AC,Sheet1!S71_A5CapexCode,$AD:$AD)</f>
        <v>0</v>
      </c>
      <c r="H159" s="713">
        <f>SUMIFS(Sheet1!S71_AdjustmentBudAmnt,Sheet1!S71_SA34aCode,$AC:$AC,Sheet1!S71_A5CapexCode,$AD:$AD)</f>
        <v>0</v>
      </c>
      <c r="I159" s="725">
        <f>SUMIFS(Sheet1!S71_ASBudgetAmount,Sheet1!S71_SA34aCode,$AC:$AC,Sheet1!S71_A5CapexCode,$AD:$AD)</f>
        <v>800000</v>
      </c>
      <c r="J159" s="712">
        <f>SUMIFS(Sheet1!S71_OY1BudgetAmount,Sheet1!S71_SA34aCode,$AC:$AC,Sheet1!S71_A5CapexCode,$AD:$AD)</f>
        <v>0</v>
      </c>
      <c r="K159" s="713">
        <f>SUMIFS(Sheet1!S71_OY2BudgetAmount,Sheet1!S71_SA34aCode,$AC:$AC,Sheet1!S71_A5CapexCode,$AD:$AD)</f>
        <v>0</v>
      </c>
      <c r="AC159" s="2365" t="s">
        <v>2802</v>
      </c>
      <c r="AD159" s="2365" t="s">
        <v>2805</v>
      </c>
    </row>
    <row r="160" spans="1:30" ht="4.9000000000000004" customHeight="1" x14ac:dyDescent="0.25">
      <c r="A160" s="116"/>
      <c r="B160" s="144"/>
      <c r="C160" s="177"/>
      <c r="D160" s="177"/>
      <c r="E160" s="180"/>
      <c r="F160" s="179"/>
      <c r="G160" s="177"/>
      <c r="H160" s="178"/>
      <c r="I160" s="179"/>
      <c r="J160" s="177"/>
      <c r="K160" s="178"/>
      <c r="AD160" s="2365" t="s">
        <v>2805</v>
      </c>
    </row>
    <row r="161" spans="1:30" ht="13.15" customHeight="1" x14ac:dyDescent="0.25">
      <c r="A161" s="96" t="s">
        <v>2470</v>
      </c>
      <c r="B161" s="144"/>
      <c r="C161" s="177">
        <f t="shared" ref="C161:K161" si="27">SUM(C162:C162)</f>
        <v>4523600</v>
      </c>
      <c r="D161" s="177">
        <f t="shared" si="27"/>
        <v>9711600</v>
      </c>
      <c r="E161" s="180">
        <f t="shared" si="27"/>
        <v>10405000</v>
      </c>
      <c r="F161" s="179">
        <f t="shared" si="27"/>
        <v>0</v>
      </c>
      <c r="G161" s="177">
        <f t="shared" si="27"/>
        <v>0</v>
      </c>
      <c r="H161" s="178">
        <f t="shared" si="27"/>
        <v>0</v>
      </c>
      <c r="I161" s="179">
        <f t="shared" si="27"/>
        <v>0</v>
      </c>
      <c r="J161" s="177">
        <f t="shared" si="27"/>
        <v>0</v>
      </c>
      <c r="K161" s="178">
        <f t="shared" si="27"/>
        <v>0</v>
      </c>
      <c r="AD161" s="2365" t="s">
        <v>2805</v>
      </c>
    </row>
    <row r="162" spans="1:30" ht="13.15" customHeight="1" x14ac:dyDescent="0.25">
      <c r="A162" s="104" t="s">
        <v>2470</v>
      </c>
      <c r="B162" s="144"/>
      <c r="C162" s="712">
        <f>SUMIFS(Sheet1!S71_PPPYearAmount,Sheet1!S71_SA34aCode,$AC:$AC,Sheet1!S71_A5CapexCode,$AD:$AD)</f>
        <v>4523600</v>
      </c>
      <c r="D162" s="712">
        <f>SUMIFS(Sheet1!S71_PPYearAmount,Sheet1!S71_SA34aCode,$AC:$AC,Sheet1!S71_A5CapexCode,$AD:$AD)</f>
        <v>9711600</v>
      </c>
      <c r="E162" s="715">
        <f>SUMIFS(Sheet1!S71_PYearAmount,Sheet1!S71_SA34aCode,$AC:$AC,Sheet1!S71_A5CapexCode,$AD:$AD)</f>
        <v>10405000</v>
      </c>
      <c r="F162" s="725">
        <f>SUMIFS(Sheet1!S71_OriginalBudAmnt,Sheet1!S71_SA34aCode,$AC:$AC,Sheet1!S71_A5CapexCode,$AD:$AD)</f>
        <v>0</v>
      </c>
      <c r="G162" s="712">
        <f>SUMIFS(Sheet1!S71_AdjustmentBudAmnt,Sheet1!S71_SA34aCode,$AC:$AC,Sheet1!S71_A5CapexCode,$AD:$AD)</f>
        <v>0</v>
      </c>
      <c r="H162" s="713">
        <f>SUMIFS(Sheet1!S71_AdjustmentBudAmnt,Sheet1!S71_SA34aCode,$AC:$AC,Sheet1!S71_A5CapexCode,$AD:$AD)</f>
        <v>0</v>
      </c>
      <c r="I162" s="725">
        <f>SUMIFS(Sheet1!S71_ASBudgetAmount,Sheet1!S71_SA34aCode,$AC:$AC,Sheet1!S71_A5CapexCode,$AD:$AD)</f>
        <v>0</v>
      </c>
      <c r="J162" s="712">
        <f>SUMIFS(Sheet1!S71_OY1BudgetAmount,Sheet1!S71_SA34aCode,$AC:$AC,Sheet1!S71_A5CapexCode,$AD:$AD)</f>
        <v>0</v>
      </c>
      <c r="K162" s="713">
        <f>SUMIFS(Sheet1!S71_OY2BudgetAmount,Sheet1!S71_SA34aCode,$AC:$AC,Sheet1!S71_A5CapexCode,$AD:$AD)</f>
        <v>0</v>
      </c>
      <c r="AC162" s="2365" t="s">
        <v>2803</v>
      </c>
      <c r="AD162" s="2365" t="s">
        <v>2805</v>
      </c>
    </row>
    <row r="163" spans="1:30" ht="4.9000000000000004" customHeight="1" x14ac:dyDescent="0.25">
      <c r="A163" s="116"/>
      <c r="B163" s="144"/>
      <c r="C163" s="177"/>
      <c r="D163" s="177"/>
      <c r="E163" s="180"/>
      <c r="F163" s="179"/>
      <c r="G163" s="177"/>
      <c r="H163" s="178"/>
      <c r="I163" s="179"/>
      <c r="J163" s="177"/>
      <c r="K163" s="178"/>
      <c r="AD163" s="2365" t="s">
        <v>2805</v>
      </c>
    </row>
    <row r="164" spans="1:30" ht="13.15" customHeight="1" x14ac:dyDescent="0.25">
      <c r="A164" s="96" t="s">
        <v>2336</v>
      </c>
      <c r="B164" s="144"/>
      <c r="C164" s="177">
        <f t="shared" ref="C164:K164" si="28">SUM(C165:C165)</f>
        <v>0</v>
      </c>
      <c r="D164" s="177">
        <f t="shared" si="28"/>
        <v>0</v>
      </c>
      <c r="E164" s="180">
        <f t="shared" si="28"/>
        <v>0</v>
      </c>
      <c r="F164" s="179">
        <f t="shared" si="28"/>
        <v>0</v>
      </c>
      <c r="G164" s="177">
        <f t="shared" si="28"/>
        <v>0</v>
      </c>
      <c r="H164" s="178">
        <f t="shared" si="28"/>
        <v>0</v>
      </c>
      <c r="I164" s="179">
        <f t="shared" si="28"/>
        <v>0</v>
      </c>
      <c r="J164" s="177">
        <f t="shared" si="28"/>
        <v>0</v>
      </c>
      <c r="K164" s="178">
        <f t="shared" si="28"/>
        <v>0</v>
      </c>
      <c r="AD164" s="2365" t="s">
        <v>2805</v>
      </c>
    </row>
    <row r="165" spans="1:30" ht="13.15" customHeight="1" x14ac:dyDescent="0.25">
      <c r="A165" s="104" t="s">
        <v>2336</v>
      </c>
      <c r="B165" s="144"/>
      <c r="C165" s="712">
        <f>SUMIFS(Sheet1!S71_PPPYearAmount,Sheet1!S71_SA34aCode,$AC:$AC,Sheet1!S71_A5CapexCode,$AD:$AD)</f>
        <v>0</v>
      </c>
      <c r="D165" s="712">
        <f>SUMIFS(Sheet1!S71_PPYearAmount,Sheet1!S71_SA34aCode,$AC:$AC,Sheet1!S71_A5CapexCode,$AD:$AD)</f>
        <v>0</v>
      </c>
      <c r="E165" s="715">
        <f>SUMIFS(Sheet1!S71_PYearAmount,Sheet1!S71_SA34aCode,$AC:$AC,Sheet1!S71_A5CapexCode,$AD:$AD)</f>
        <v>0</v>
      </c>
      <c r="F165" s="725">
        <f>SUMIFS(Sheet1!S71_OriginalBudAmnt,Sheet1!S71_SA34aCode,$AC:$AC,Sheet1!S71_A5CapexCode,$AD:$AD)</f>
        <v>0</v>
      </c>
      <c r="G165" s="712">
        <f>SUMIFS(Sheet1!S71_AdjustmentBudAmnt,Sheet1!S71_SA34aCode,$AC:$AC,Sheet1!S71_A5CapexCode,$AD:$AD)</f>
        <v>0</v>
      </c>
      <c r="H165" s="713">
        <f>SUMIFS(Sheet1!S71_AdjustmentBudAmnt,Sheet1!S71_SA34aCode,$AC:$AC,Sheet1!S71_A5CapexCode,$AD:$AD)</f>
        <v>0</v>
      </c>
      <c r="I165" s="725">
        <f>SUMIFS(Sheet1!S71_ASBudgetAmount,Sheet1!S71_SA34aCode,$AC:$AC,Sheet1!S71_A5CapexCode,$AD:$AD)</f>
        <v>0</v>
      </c>
      <c r="J165" s="712">
        <f>SUMIFS(Sheet1!S71_OY1BudgetAmount,Sheet1!S71_SA34aCode,$AC:$AC,Sheet1!S71_A5CapexCode,$AD:$AD)</f>
        <v>0</v>
      </c>
      <c r="K165" s="713">
        <f>SUMIFS(Sheet1!S71_OY2BudgetAmount,Sheet1!S71_SA34aCode,$AC:$AC,Sheet1!S71_A5CapexCode,$AD:$AD)</f>
        <v>0</v>
      </c>
      <c r="AC165" s="2365" t="s">
        <v>2804</v>
      </c>
      <c r="AD165" s="2365" t="s">
        <v>2805</v>
      </c>
    </row>
    <row r="166" spans="1:30" ht="4.9000000000000004" customHeight="1" x14ac:dyDescent="0.25">
      <c r="A166" s="116"/>
      <c r="B166" s="144"/>
      <c r="C166" s="177"/>
      <c r="D166" s="177"/>
      <c r="E166" s="180"/>
      <c r="F166" s="179"/>
      <c r="G166" s="177"/>
      <c r="H166" s="178"/>
      <c r="I166" s="179"/>
      <c r="J166" s="177"/>
      <c r="K166" s="178"/>
      <c r="AD166" s="2365" t="s">
        <v>2805</v>
      </c>
    </row>
    <row r="167" spans="1:30" ht="13.15" customHeight="1" x14ac:dyDescent="0.25">
      <c r="A167" s="147" t="s">
        <v>2337</v>
      </c>
      <c r="B167" s="148">
        <v>1</v>
      </c>
      <c r="C167" s="185">
        <f>C6+C74+C103+C110+C118+C136+C139+C149+C152+C155+C158+C161+C164</f>
        <v>165590749</v>
      </c>
      <c r="D167" s="185">
        <f t="shared" ref="D167:K167" si="29">D6+D74+D103+D110+D118+D136+D139+D149+D152+D155+D158+D161+D164</f>
        <v>192059456</v>
      </c>
      <c r="E167" s="186">
        <f t="shared" si="29"/>
        <v>213642163</v>
      </c>
      <c r="F167" s="184">
        <f t="shared" si="29"/>
        <v>24696767</v>
      </c>
      <c r="G167" s="185">
        <f t="shared" si="29"/>
        <v>42212488</v>
      </c>
      <c r="H167" s="183">
        <f t="shared" si="29"/>
        <v>42212488</v>
      </c>
      <c r="I167" s="184">
        <f t="shared" si="29"/>
        <v>26460000</v>
      </c>
      <c r="J167" s="185">
        <f t="shared" si="29"/>
        <v>3756392</v>
      </c>
      <c r="K167" s="183">
        <f t="shared" si="29"/>
        <v>3986648</v>
      </c>
    </row>
    <row r="168" spans="1:30" x14ac:dyDescent="0.25">
      <c r="A168" s="136"/>
      <c r="B168" s="670"/>
      <c r="C168" s="74"/>
      <c r="D168" s="74"/>
      <c r="E168" s="74"/>
      <c r="F168" s="74"/>
      <c r="G168" s="74"/>
      <c r="H168" s="74"/>
      <c r="I168" s="74"/>
      <c r="J168" s="74"/>
      <c r="K168" s="74"/>
    </row>
    <row r="169" spans="1:30" x14ac:dyDescent="0.25">
      <c r="A169" s="217" t="str">
        <f>head27a</f>
        <v>References</v>
      </c>
      <c r="B169" s="189"/>
      <c r="C169" s="193"/>
      <c r="D169" s="193"/>
      <c r="E169" s="193"/>
      <c r="F169" s="193"/>
      <c r="G169" s="193"/>
      <c r="H169" s="193"/>
      <c r="I169" s="193"/>
      <c r="J169" s="193"/>
      <c r="K169" s="193"/>
    </row>
    <row r="170" spans="1:30" x14ac:dyDescent="0.25">
      <c r="A170" s="218" t="s">
        <v>2353</v>
      </c>
      <c r="B170" s="189"/>
      <c r="C170" s="192"/>
      <c r="D170" s="192"/>
      <c r="E170" s="193"/>
      <c r="F170" s="193"/>
      <c r="G170" s="193"/>
      <c r="H170" s="193"/>
      <c r="I170" s="193"/>
      <c r="J170" s="193"/>
      <c r="K170" s="193"/>
    </row>
    <row r="173" spans="1:30" ht="11.25" customHeight="1" x14ac:dyDescent="0.25">
      <c r="A173" s="219" t="s">
        <v>248</v>
      </c>
      <c r="B173" s="150"/>
      <c r="C173" s="1028">
        <f>SUM(C167+SA34b!C167++SA34e!C167)-'A5-Capex'!C40</f>
        <v>0</v>
      </c>
      <c r="D173" s="1028">
        <f>SUM(D167+SA34b!D167++SA34e!D167)-'A5-Capex'!D40</f>
        <v>0</v>
      </c>
      <c r="E173" s="1028">
        <f>SUM(E167+SA34b!E167++SA34e!E167)-'A5-Capex'!E40</f>
        <v>0</v>
      </c>
      <c r="F173" s="1028">
        <f>SUM(F167+SA34b!F167++SA34e!F167)-'A5-Capex'!F40</f>
        <v>0</v>
      </c>
      <c r="G173" s="1028">
        <f>SUM(G167+SA34b!G167++SA34e!G167)-'A5-Capex'!G40</f>
        <v>0</v>
      </c>
      <c r="H173" s="1028">
        <f>SUM(H167+SA34b!H167++SA34e!H167)-'A5-Capex'!H40</f>
        <v>0</v>
      </c>
      <c r="I173" s="1028">
        <f>SUM(I167+SA34b!I167++SA34e!I167)-'A5-Capex'!J40</f>
        <v>0</v>
      </c>
      <c r="J173" s="1028">
        <f>SUM(J167+SA34b!J167++SA34e!J167)-'A5-Capex'!K40</f>
        <v>0</v>
      </c>
      <c r="K173" s="1028">
        <f>SUM(K167+SA34b!K167++SA34e!K167)-'A5-Capex'!L40</f>
        <v>0</v>
      </c>
    </row>
  </sheetData>
  <sheetProtection sheet="1" objects="1" scenarios="1"/>
  <mergeCells count="2">
    <mergeCell ref="F2:H2"/>
    <mergeCell ref="I2:K2"/>
  </mergeCells>
  <phoneticPr fontId="7" type="noConversion"/>
  <printOptions horizontalCentered="1"/>
  <pageMargins left="0" right="0" top="0.78740157480314965" bottom="0.59055118110236227" header="0.51181102362204722" footer="0.39370078740157483"/>
  <pageSetup paperSize="9" scale="60" fitToHeight="2" orientation="portrait" r:id="rId1"/>
  <headerFooter alignWithMargins="0"/>
  <rowBreaks count="1" manualBreakCount="1">
    <brk id="73" max="10" man="1"/>
  </rowBreak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Sheet48">
    <pageSetUpPr fitToPage="1"/>
  </sheetPr>
  <dimension ref="A1:AD208"/>
  <sheetViews>
    <sheetView showGridLines="0" zoomScaleNormal="100" workbookViewId="0">
      <pane xSplit="2" ySplit="3" topLeftCell="C58" activePane="bottomRight" state="frozen"/>
      <selection pane="topRight"/>
      <selection pane="bottomLeft"/>
      <selection pane="bottomRight" activeCell="O165" sqref="O165"/>
    </sheetView>
  </sheetViews>
  <sheetFormatPr defaultColWidth="9.140625" defaultRowHeight="12.75" x14ac:dyDescent="0.25"/>
  <cols>
    <col min="1" max="1" width="31.42578125" style="58" customWidth="1"/>
    <col min="2" max="2" width="3" style="55" customWidth="1"/>
    <col min="3" max="11" width="9.28515625" style="58" customWidth="1"/>
    <col min="12" max="12" width="9.7109375" style="58" customWidth="1"/>
    <col min="13" max="13" width="9.42578125" style="58" customWidth="1"/>
    <col min="14" max="14" width="9.7109375" style="58" customWidth="1"/>
    <col min="15" max="17" width="9.42578125" style="58" customWidth="1"/>
    <col min="18" max="18" width="9.7109375" style="58" customWidth="1"/>
    <col min="19" max="21" width="9.42578125" style="58" customWidth="1"/>
    <col min="22" max="23" width="9.7109375" style="58" customWidth="1"/>
    <col min="24" max="28" width="9.140625" style="58"/>
    <col min="29" max="30" width="9.140625" style="2320"/>
    <col min="31" max="16384" width="9.140625" style="58"/>
  </cols>
  <sheetData>
    <row r="1" spans="1:30" ht="13.5" customHeight="1" x14ac:dyDescent="0.25">
      <c r="A1" s="92" t="str">
        <f>muni&amp;" - "&amp;TableA34b</f>
        <v>KZN226 Mkhambathini - Supporting Table SA34b Capital expenditure on the renewal of existing assets by asset class</v>
      </c>
      <c r="B1" s="92"/>
      <c r="C1" s="92"/>
      <c r="D1" s="92"/>
      <c r="E1" s="92"/>
      <c r="F1" s="92"/>
      <c r="G1" s="92"/>
      <c r="H1" s="92"/>
      <c r="I1" s="92"/>
      <c r="J1" s="92"/>
      <c r="K1" s="92"/>
    </row>
    <row r="2" spans="1:30" ht="28.5" customHeight="1" x14ac:dyDescent="0.25">
      <c r="A2" s="1829" t="str">
        <f>desc</f>
        <v>Description</v>
      </c>
      <c r="B2" s="155" t="str">
        <f>head27</f>
        <v>Ref</v>
      </c>
      <c r="C2" s="837" t="str">
        <f>head1b</f>
        <v>2017/18</v>
      </c>
      <c r="D2" s="561" t="str">
        <f>head1A</f>
        <v>2018/19</v>
      </c>
      <c r="E2" s="683" t="str">
        <f>Head1</f>
        <v>2019/20</v>
      </c>
      <c r="F2" s="2447" t="str">
        <f>Head2</f>
        <v>Current Year 2020/21</v>
      </c>
      <c r="G2" s="2448"/>
      <c r="H2" s="2449"/>
      <c r="I2" s="2450" t="str">
        <f>Head3</f>
        <v>2021/22 Medium Term Revenue &amp; Expenditure Framework</v>
      </c>
      <c r="J2" s="2451"/>
      <c r="K2" s="2452"/>
    </row>
    <row r="3" spans="1:30" ht="25.5" x14ac:dyDescent="0.25">
      <c r="A3" s="156" t="s">
        <v>568</v>
      </c>
      <c r="B3" s="690">
        <v>1</v>
      </c>
      <c r="C3" s="698" t="str">
        <f>Head5</f>
        <v>Audited Outcome</v>
      </c>
      <c r="D3" s="562" t="str">
        <f>Head5</f>
        <v>Audited Outcome</v>
      </c>
      <c r="E3" s="702" t="str">
        <f>Head5</f>
        <v>Audited Outcome</v>
      </c>
      <c r="F3" s="95" t="str">
        <f>Head6</f>
        <v>Original Budget</v>
      </c>
      <c r="G3" s="698" t="str">
        <f>Head7</f>
        <v>Adjusted Budget</v>
      </c>
      <c r="H3" s="94" t="str">
        <f>Head8</f>
        <v>Full Year Forecast</v>
      </c>
      <c r="I3" s="95" t="str">
        <f>Head9</f>
        <v>Budget Year 2021/22</v>
      </c>
      <c r="J3" s="698" t="str">
        <f>Head10</f>
        <v>Budget Year +1 2022/23</v>
      </c>
      <c r="K3" s="94" t="str">
        <f>Head11</f>
        <v>Budget Year +2 2023/24</v>
      </c>
    </row>
    <row r="4" spans="1:30" ht="11.25" customHeight="1" x14ac:dyDescent="0.25">
      <c r="A4" s="2022" t="s">
        <v>1068</v>
      </c>
      <c r="B4" s="205"/>
      <c r="C4" s="81"/>
      <c r="D4" s="81"/>
      <c r="E4" s="756"/>
      <c r="F4" s="757"/>
      <c r="G4" s="81"/>
      <c r="H4" s="758"/>
      <c r="I4" s="757"/>
      <c r="J4" s="81"/>
      <c r="K4" s="758"/>
    </row>
    <row r="5" spans="1:30" ht="4.9000000000000004" customHeight="1" x14ac:dyDescent="0.25">
      <c r="A5" s="96"/>
      <c r="B5" s="144"/>
      <c r="C5" s="762"/>
      <c r="D5" s="762"/>
      <c r="E5" s="763"/>
      <c r="F5" s="764"/>
      <c r="G5" s="762"/>
      <c r="H5" s="765"/>
      <c r="I5" s="764"/>
      <c r="J5" s="762"/>
      <c r="K5" s="765"/>
    </row>
    <row r="6" spans="1:30" ht="11.25" customHeight="1" x14ac:dyDescent="0.25">
      <c r="A6" s="96" t="s">
        <v>838</v>
      </c>
      <c r="B6" s="144"/>
      <c r="C6" s="98">
        <f>C7+C12+C16+C26+C37+C44+C52+C62+C68</f>
        <v>124</v>
      </c>
      <c r="D6" s="98">
        <f t="shared" ref="D6:K6" si="0">D7+D12+D16+D26+D37+D44+D52+D62+D68</f>
        <v>1</v>
      </c>
      <c r="E6" s="101">
        <f t="shared" si="0"/>
        <v>1</v>
      </c>
      <c r="F6" s="100">
        <f t="shared" si="0"/>
        <v>0</v>
      </c>
      <c r="G6" s="98">
        <f t="shared" si="0"/>
        <v>0</v>
      </c>
      <c r="H6" s="99">
        <f t="shared" si="0"/>
        <v>0</v>
      </c>
      <c r="I6" s="100">
        <f t="shared" si="0"/>
        <v>0</v>
      </c>
      <c r="J6" s="98">
        <f t="shared" si="0"/>
        <v>0</v>
      </c>
      <c r="K6" s="99">
        <f t="shared" si="0"/>
        <v>0</v>
      </c>
      <c r="L6" s="2124"/>
    </row>
    <row r="7" spans="1:30" s="377" customFormat="1" ht="13.5" x14ac:dyDescent="0.25">
      <c r="A7" s="104" t="s">
        <v>2230</v>
      </c>
      <c r="B7" s="144"/>
      <c r="C7" s="82">
        <f t="shared" ref="C7:K7" si="1">SUM(C8:C11)</f>
        <v>124</v>
      </c>
      <c r="D7" s="82">
        <f t="shared" si="1"/>
        <v>1</v>
      </c>
      <c r="E7" s="304">
        <f t="shared" si="1"/>
        <v>1</v>
      </c>
      <c r="F7" s="83">
        <f t="shared" si="1"/>
        <v>0</v>
      </c>
      <c r="G7" s="82">
        <f t="shared" si="1"/>
        <v>0</v>
      </c>
      <c r="H7" s="115">
        <f t="shared" si="1"/>
        <v>0</v>
      </c>
      <c r="I7" s="83">
        <f t="shared" si="1"/>
        <v>0</v>
      </c>
      <c r="J7" s="82">
        <f t="shared" si="1"/>
        <v>0</v>
      </c>
      <c r="K7" s="115">
        <f t="shared" si="1"/>
        <v>0</v>
      </c>
      <c r="L7" s="322"/>
      <c r="AC7" s="2320"/>
      <c r="AD7" s="2320"/>
    </row>
    <row r="8" spans="1:30" s="377" customFormat="1" ht="13.5" x14ac:dyDescent="0.25">
      <c r="A8" s="2125" t="s">
        <v>629</v>
      </c>
      <c r="B8" s="144"/>
      <c r="C8" s="712">
        <f>SUMIFS(Sheet1!S71_PPPYearAmount,Sheet1!S71_SA34Code,$AC:$AC,Sheet1!S71_A5CapexCode,$AD:$AD)</f>
        <v>124</v>
      </c>
      <c r="D8" s="712">
        <f>SUMIFS(Sheet1!S71_PPYearAmount,Sheet1!S71_SA34Code,$AC:$AC,Sheet1!S71_A5CapexCode,$AD:$AD)</f>
        <v>1</v>
      </c>
      <c r="E8" s="715">
        <f>SUMIFS(Sheet1!S71_PYearAmount,Sheet1!S71_SA34Code,$AC:$AC,Sheet1!S71_A5CapexCode,$AD:$AD)</f>
        <v>1</v>
      </c>
      <c r="F8" s="725">
        <f>SUMIFS(Sheet1!S71_OriginalBudAmnt,Sheet1!S71_SA34Code,$AC:$AC,Sheet1!S71_A5CapexCode,$AD:$AD)</f>
        <v>0</v>
      </c>
      <c r="G8" s="712">
        <f>SUMIFS(Sheet1!S71_AdjustmentBudAmnt,Sheet1!S71_SA34Code,$AC:$AC,Sheet1!S71_A5CapexCode,$AD:$AD)</f>
        <v>0</v>
      </c>
      <c r="H8" s="713">
        <f>SUMIFS(Sheet1!S71_AdjustmentBudAmnt,Sheet1!S71_SA34Code,$AC:$AC,Sheet1!S71_A5CapexCode,$AD:$AD)</f>
        <v>0</v>
      </c>
      <c r="I8" s="725">
        <f>SUMIFS(Sheet1!S71_ASBudgetAmount,Sheet1!S71_SA34Code,$AC:$AC,Sheet1!S71_A5CapexCode,$AD:$AD)</f>
        <v>0</v>
      </c>
      <c r="J8" s="712">
        <f>SUMIFS(Sheet1!S71_OY1BudgetAmount,Sheet1!S71_SA34Code,$AC:$AC,Sheet1!S71_A5CapexCode,$AD:$AD)</f>
        <v>0</v>
      </c>
      <c r="K8" s="713">
        <f>SUMIFS(Sheet1!S71_OY2BudgetAmount,Sheet1!S71_SA34Code,$AC:$AC,Sheet1!S71_A5CapexCode,$AD:$AD)</f>
        <v>0</v>
      </c>
      <c r="L8" s="2124"/>
      <c r="AC8" s="2320" t="s">
        <v>2773</v>
      </c>
      <c r="AD8" s="2320" t="s">
        <v>2805</v>
      </c>
    </row>
    <row r="9" spans="1:30" s="377" customFormat="1" ht="13.5" x14ac:dyDescent="0.25">
      <c r="A9" s="2125" t="s">
        <v>2231</v>
      </c>
      <c r="B9" s="144"/>
      <c r="C9" s="712">
        <f>SUMIFS(Sheet1!S71_PPPYearAmount,Sheet1!S71_SA34Code,$AC:$AC,Sheet1!S71_A5CapexCode,$AD:$AD)</f>
        <v>0</v>
      </c>
      <c r="D9" s="712">
        <f>SUMIFS(Sheet1!S71_PPYearAmount,Sheet1!S71_SA34Code,$AC:$AC,Sheet1!S71_A5CapexCode,$AD:$AD)</f>
        <v>0</v>
      </c>
      <c r="E9" s="715">
        <f>SUMIFS(Sheet1!S71_PYearAmount,Sheet1!S71_SA34Code,$AC:$AC,Sheet1!S71_A5CapexCode,$AD:$AD)</f>
        <v>0</v>
      </c>
      <c r="F9" s="725">
        <f>SUMIFS(Sheet1!S71_OriginalBudAmnt,Sheet1!S71_SA34Code,$AC:$AC,Sheet1!S71_A5CapexCode,$AD:$AD)</f>
        <v>0</v>
      </c>
      <c r="G9" s="712">
        <f>SUMIFS(Sheet1!S71_AdjustmentBudAmnt,Sheet1!S71_SA34Code,$AC:$AC,Sheet1!S71_A5CapexCode,$AD:$AD)</f>
        <v>0</v>
      </c>
      <c r="H9" s="713">
        <f>SUMIFS(Sheet1!S71_AdjustmentBudAmnt,Sheet1!S71_SA34Code,$AC:$AC,Sheet1!S71_A5CapexCode,$AD:$AD)</f>
        <v>0</v>
      </c>
      <c r="I9" s="725">
        <f>SUMIFS(Sheet1!S71_ASBudgetAmount,Sheet1!S71_SA34Code,$AC:$AC,Sheet1!S71_A5CapexCode,$AD:$AD)</f>
        <v>0</v>
      </c>
      <c r="J9" s="712">
        <f>SUMIFS(Sheet1!S71_OY1BudgetAmount,Sheet1!S71_SA34Code,$AC:$AC,Sheet1!S71_A5CapexCode,$AD:$AD)</f>
        <v>0</v>
      </c>
      <c r="K9" s="713">
        <f>SUMIFS(Sheet1!S71_OY2BudgetAmount,Sheet1!S71_SA34Code,$AC:$AC,Sheet1!S71_A5CapexCode,$AD:$AD)</f>
        <v>0</v>
      </c>
      <c r="L9" s="2126"/>
      <c r="AC9" s="2320" t="s">
        <v>2774</v>
      </c>
      <c r="AD9" s="2320" t="s">
        <v>2805</v>
      </c>
    </row>
    <row r="10" spans="1:30" s="377" customFormat="1" ht="13.5" x14ac:dyDescent="0.25">
      <c r="A10" s="2125" t="s">
        <v>2232</v>
      </c>
      <c r="B10" s="144"/>
      <c r="C10" s="712">
        <f>SUMIFS(Sheet1!S71_PPPYearAmount,Sheet1!S71_SA34Code,$AC:$AC,Sheet1!S71_A5CapexCode,$AD:$AD)</f>
        <v>0</v>
      </c>
      <c r="D10" s="712">
        <f>SUMIFS(Sheet1!S71_PPYearAmount,Sheet1!S71_SA34Code,$AC:$AC,Sheet1!S71_A5CapexCode,$AD:$AD)</f>
        <v>0</v>
      </c>
      <c r="E10" s="715">
        <f>SUMIFS(Sheet1!S71_PYearAmount,Sheet1!S71_SA34Code,$AC:$AC,Sheet1!S71_A5CapexCode,$AD:$AD)</f>
        <v>0</v>
      </c>
      <c r="F10" s="725">
        <f>SUMIFS(Sheet1!S71_OriginalBudAmnt,Sheet1!S71_SA34Code,$AC:$AC,Sheet1!S71_A5CapexCode,$AD:$AD)</f>
        <v>0</v>
      </c>
      <c r="G10" s="712">
        <f>SUMIFS(Sheet1!S71_AdjustmentBudAmnt,Sheet1!S71_SA34Code,$AC:$AC,Sheet1!S71_A5CapexCode,$AD:$AD)</f>
        <v>0</v>
      </c>
      <c r="H10" s="713">
        <f>SUMIFS(Sheet1!S71_AdjustmentBudAmnt,Sheet1!S71_SA34Code,$AC:$AC,Sheet1!S71_A5CapexCode,$AD:$AD)</f>
        <v>0</v>
      </c>
      <c r="I10" s="725">
        <f>SUMIFS(Sheet1!S71_ASBudgetAmount,Sheet1!S71_SA34Code,$AC:$AC,Sheet1!S71_A5CapexCode,$AD:$AD)</f>
        <v>0</v>
      </c>
      <c r="J10" s="712">
        <f>SUMIFS(Sheet1!S71_OY1BudgetAmount,Sheet1!S71_SA34Code,$AC:$AC,Sheet1!S71_A5CapexCode,$AD:$AD)</f>
        <v>0</v>
      </c>
      <c r="K10" s="713">
        <f>SUMIFS(Sheet1!S71_OY2BudgetAmount,Sheet1!S71_SA34Code,$AC:$AC,Sheet1!S71_A5CapexCode,$AD:$AD)</f>
        <v>0</v>
      </c>
      <c r="L10" s="2124"/>
      <c r="AC10" s="2320" t="s">
        <v>2775</v>
      </c>
      <c r="AD10" s="2320" t="s">
        <v>2805</v>
      </c>
    </row>
    <row r="11" spans="1:30" s="377" customFormat="1" ht="13.5" x14ac:dyDescent="0.25">
      <c r="A11" s="2125" t="s">
        <v>2233</v>
      </c>
      <c r="B11" s="144"/>
      <c r="C11" s="712">
        <f>SUMIFS(Sheet1!S71_PPPYearAmount,Sheet1!S71_SA34Code,$AC:$AC,Sheet1!S71_A5CapexCode,$AD:$AD)</f>
        <v>0</v>
      </c>
      <c r="D11" s="712">
        <f>SUMIFS(Sheet1!S71_PPYearAmount,Sheet1!S71_SA34Code,$AC:$AC,Sheet1!S71_A5CapexCode,$AD:$AD)</f>
        <v>0</v>
      </c>
      <c r="E11" s="715">
        <f>SUMIFS(Sheet1!S71_PYearAmount,Sheet1!S71_SA34Code,$AC:$AC,Sheet1!S71_A5CapexCode,$AD:$AD)</f>
        <v>0</v>
      </c>
      <c r="F11" s="725">
        <f>SUMIFS(Sheet1!S71_OriginalBudAmnt,Sheet1!S71_SA34Code,$AC:$AC,Sheet1!S71_A5CapexCode,$AD:$AD)</f>
        <v>0</v>
      </c>
      <c r="G11" s="712">
        <f>SUMIFS(Sheet1!S71_AdjustmentBudAmnt,Sheet1!S71_SA34Code,$AC:$AC,Sheet1!S71_A5CapexCode,$AD:$AD)</f>
        <v>0</v>
      </c>
      <c r="H11" s="713">
        <f>SUMIFS(Sheet1!S71_AdjustmentBudAmnt,Sheet1!S71_SA34Code,$AC:$AC,Sheet1!S71_A5CapexCode,$AD:$AD)</f>
        <v>0</v>
      </c>
      <c r="I11" s="725">
        <f>SUMIFS(Sheet1!S71_ASBudgetAmount,Sheet1!S71_SA34Code,$AC:$AC,Sheet1!S71_A5CapexCode,$AD:$AD)</f>
        <v>0</v>
      </c>
      <c r="J11" s="712">
        <f>SUMIFS(Sheet1!S71_OY1BudgetAmount,Sheet1!S71_SA34Code,$AC:$AC,Sheet1!S71_A5CapexCode,$AD:$AD)</f>
        <v>0</v>
      </c>
      <c r="K11" s="713">
        <f>SUMIFS(Sheet1!S71_OY2BudgetAmount,Sheet1!S71_SA34Code,$AC:$AC,Sheet1!S71_A5CapexCode,$AD:$AD)</f>
        <v>0</v>
      </c>
      <c r="L11" s="2126"/>
      <c r="AC11" s="2320" t="s">
        <v>2776</v>
      </c>
      <c r="AD11" s="2320" t="s">
        <v>2805</v>
      </c>
    </row>
    <row r="12" spans="1:30" s="377" customFormat="1" ht="13.5" x14ac:dyDescent="0.25">
      <c r="A12" s="104" t="s">
        <v>2234</v>
      </c>
      <c r="B12" s="144"/>
      <c r="C12" s="71">
        <f>SUM(C13:C15)</f>
        <v>0</v>
      </c>
      <c r="D12" s="71">
        <f t="shared" ref="D12:K12" si="2">SUM(D13:D15)</f>
        <v>0</v>
      </c>
      <c r="E12" s="305">
        <f t="shared" si="2"/>
        <v>0</v>
      </c>
      <c r="F12" s="75">
        <f t="shared" si="2"/>
        <v>0</v>
      </c>
      <c r="G12" s="71">
        <f t="shared" si="2"/>
        <v>0</v>
      </c>
      <c r="H12" s="117">
        <f t="shared" si="2"/>
        <v>0</v>
      </c>
      <c r="I12" s="75">
        <f t="shared" si="2"/>
        <v>0</v>
      </c>
      <c r="J12" s="71">
        <f t="shared" si="2"/>
        <v>0</v>
      </c>
      <c r="K12" s="117">
        <f t="shared" si="2"/>
        <v>0</v>
      </c>
      <c r="L12" s="2126"/>
      <c r="AC12" s="2320"/>
      <c r="AD12" s="2320" t="s">
        <v>2805</v>
      </c>
    </row>
    <row r="13" spans="1:30" s="377" customFormat="1" ht="13.5" x14ac:dyDescent="0.25">
      <c r="A13" s="2125" t="s">
        <v>2235</v>
      </c>
      <c r="B13" s="144"/>
      <c r="C13" s="712">
        <f>SUMIFS(Sheet1!S71_PPPYearAmount,Sheet1!S71_SA34Code,$AC:$AC,Sheet1!S71_A5CapexCode,$AD:$AD)</f>
        <v>0</v>
      </c>
      <c r="D13" s="712">
        <f>SUMIFS(Sheet1!S71_PPYearAmount,Sheet1!S71_SA34Code,$AC:$AC,Sheet1!S71_A5CapexCode,$AD:$AD)</f>
        <v>0</v>
      </c>
      <c r="E13" s="715">
        <f>SUMIFS(Sheet1!S71_PYearAmount,Sheet1!S71_SA34Code,$AC:$AC,Sheet1!S71_A5CapexCode,$AD:$AD)</f>
        <v>0</v>
      </c>
      <c r="F13" s="725">
        <f>SUMIFS(Sheet1!S71_OriginalBudAmnt,Sheet1!S71_SA34Code,$AC:$AC,Sheet1!S71_A5CapexCode,$AD:$AD)</f>
        <v>0</v>
      </c>
      <c r="G13" s="712">
        <f>SUMIFS(Sheet1!S71_AdjustmentBudAmnt,Sheet1!S71_SA34Code,$AC:$AC,Sheet1!S71_A5CapexCode,$AD:$AD)</f>
        <v>0</v>
      </c>
      <c r="H13" s="713">
        <f>SUMIFS(Sheet1!S71_AdjustmentBudAmnt,Sheet1!S71_SA34Code,$AC:$AC,Sheet1!S71_A5CapexCode,$AD:$AD)</f>
        <v>0</v>
      </c>
      <c r="I13" s="725">
        <f>SUMIFS(Sheet1!S71_ASBudgetAmount,Sheet1!S71_SA34Code,$AC:$AC,Sheet1!S71_A5CapexCode,$AD:$AD)</f>
        <v>0</v>
      </c>
      <c r="J13" s="712">
        <f>SUMIFS(Sheet1!S71_OY1BudgetAmount,Sheet1!S71_SA34Code,$AC:$AC,Sheet1!S71_A5CapexCode,$AD:$AD)</f>
        <v>0</v>
      </c>
      <c r="K13" s="713">
        <f>SUMIFS(Sheet1!S71_OY2BudgetAmount,Sheet1!S71_SA34Code,$AC:$AC,Sheet1!S71_A5CapexCode,$AD:$AD)</f>
        <v>0</v>
      </c>
      <c r="L13" s="2126"/>
      <c r="AC13" s="2320" t="s">
        <v>2778</v>
      </c>
      <c r="AD13" s="2320" t="s">
        <v>2805</v>
      </c>
    </row>
    <row r="14" spans="1:30" s="377" customFormat="1" ht="13.5" x14ac:dyDescent="0.25">
      <c r="A14" s="2125" t="s">
        <v>2236</v>
      </c>
      <c r="B14" s="144"/>
      <c r="C14" s="712">
        <f>SUMIFS(Sheet1!S71_PPPYearAmount,Sheet1!S71_SA34Code,$AC:$AC,Sheet1!S71_A5CapexCode,$AD:$AD)</f>
        <v>0</v>
      </c>
      <c r="D14" s="712">
        <f>SUMIFS(Sheet1!S71_PPYearAmount,Sheet1!S71_SA34Code,$AC:$AC,Sheet1!S71_A5CapexCode,$AD:$AD)</f>
        <v>0</v>
      </c>
      <c r="E14" s="715">
        <f>SUMIFS(Sheet1!S71_PYearAmount,Sheet1!S71_SA34Code,$AC:$AC,Sheet1!S71_A5CapexCode,$AD:$AD)</f>
        <v>0</v>
      </c>
      <c r="F14" s="725">
        <f>SUMIFS(Sheet1!S71_OriginalBudAmnt,Sheet1!S71_SA34Code,$AC:$AC,Sheet1!S71_A5CapexCode,$AD:$AD)</f>
        <v>0</v>
      </c>
      <c r="G14" s="712">
        <f>SUMIFS(Sheet1!S71_AdjustmentBudAmnt,Sheet1!S71_SA34Code,$AC:$AC,Sheet1!S71_A5CapexCode,$AD:$AD)</f>
        <v>0</v>
      </c>
      <c r="H14" s="713">
        <f>SUMIFS(Sheet1!S71_AdjustmentBudAmnt,Sheet1!S71_SA34Code,$AC:$AC,Sheet1!S71_A5CapexCode,$AD:$AD)</f>
        <v>0</v>
      </c>
      <c r="I14" s="725">
        <f>SUMIFS(Sheet1!S71_ASBudgetAmount,Sheet1!S71_SA34Code,$AC:$AC,Sheet1!S71_A5CapexCode,$AD:$AD)</f>
        <v>0</v>
      </c>
      <c r="J14" s="712">
        <f>SUMIFS(Sheet1!S71_OY1BudgetAmount,Sheet1!S71_SA34Code,$AC:$AC,Sheet1!S71_A5CapexCode,$AD:$AD)</f>
        <v>0</v>
      </c>
      <c r="K14" s="713">
        <f>SUMIFS(Sheet1!S71_OY2BudgetAmount,Sheet1!S71_SA34Code,$AC:$AC,Sheet1!S71_A5CapexCode,$AD:$AD)</f>
        <v>0</v>
      </c>
      <c r="L14" s="2126"/>
      <c r="AC14" s="2320" t="s">
        <v>2830</v>
      </c>
      <c r="AD14" s="2320" t="s">
        <v>2805</v>
      </c>
    </row>
    <row r="15" spans="1:30" s="377" customFormat="1" ht="13.5" x14ac:dyDescent="0.25">
      <c r="A15" s="2125" t="s">
        <v>2237</v>
      </c>
      <c r="B15" s="144"/>
      <c r="C15" s="712">
        <f>SUMIFS(Sheet1!S71_PPPYearAmount,Sheet1!S71_SA34Code,$AC:$AC,Sheet1!S71_A5CapexCode,$AD:$AD)</f>
        <v>0</v>
      </c>
      <c r="D15" s="712">
        <f>SUMIFS(Sheet1!S71_PPYearAmount,Sheet1!S71_SA34Code,$AC:$AC,Sheet1!S71_A5CapexCode,$AD:$AD)</f>
        <v>0</v>
      </c>
      <c r="E15" s="715">
        <f>SUMIFS(Sheet1!S71_PYearAmount,Sheet1!S71_SA34Code,$AC:$AC,Sheet1!S71_A5CapexCode,$AD:$AD)</f>
        <v>0</v>
      </c>
      <c r="F15" s="725">
        <f>SUMIFS(Sheet1!S71_OriginalBudAmnt,Sheet1!S71_SA34Code,$AC:$AC,Sheet1!S71_A5CapexCode,$AD:$AD)</f>
        <v>0</v>
      </c>
      <c r="G15" s="712">
        <f>SUMIFS(Sheet1!S71_AdjustmentBudAmnt,Sheet1!S71_SA34Code,$AC:$AC,Sheet1!S71_A5CapexCode,$AD:$AD)</f>
        <v>0</v>
      </c>
      <c r="H15" s="713">
        <f>SUMIFS(Sheet1!S71_AdjustmentBudAmnt,Sheet1!S71_SA34Code,$AC:$AC,Sheet1!S71_A5CapexCode,$AD:$AD)</f>
        <v>0</v>
      </c>
      <c r="I15" s="725">
        <f>SUMIFS(Sheet1!S71_ASBudgetAmount,Sheet1!S71_SA34Code,$AC:$AC,Sheet1!S71_A5CapexCode,$AD:$AD)</f>
        <v>0</v>
      </c>
      <c r="J15" s="712">
        <f>SUMIFS(Sheet1!S71_OY1BudgetAmount,Sheet1!S71_SA34Code,$AC:$AC,Sheet1!S71_A5CapexCode,$AD:$AD)</f>
        <v>0</v>
      </c>
      <c r="K15" s="713">
        <f>SUMIFS(Sheet1!S71_OY2BudgetAmount,Sheet1!S71_SA34Code,$AC:$AC,Sheet1!S71_A5CapexCode,$AD:$AD)</f>
        <v>0</v>
      </c>
      <c r="L15" s="2126"/>
      <c r="AC15" s="2320" t="s">
        <v>2831</v>
      </c>
      <c r="AD15" s="2320" t="s">
        <v>2805</v>
      </c>
    </row>
    <row r="16" spans="1:30" s="377" customFormat="1" ht="13.5" x14ac:dyDescent="0.25">
      <c r="A16" s="104" t="s">
        <v>2279</v>
      </c>
      <c r="B16" s="144"/>
      <c r="C16" s="71">
        <f t="shared" ref="C16:K16" si="3">SUM(C17:C25)</f>
        <v>0</v>
      </c>
      <c r="D16" s="71">
        <f t="shared" si="3"/>
        <v>0</v>
      </c>
      <c r="E16" s="305">
        <f t="shared" si="3"/>
        <v>0</v>
      </c>
      <c r="F16" s="75">
        <f t="shared" si="3"/>
        <v>0</v>
      </c>
      <c r="G16" s="71">
        <f t="shared" si="3"/>
        <v>0</v>
      </c>
      <c r="H16" s="117">
        <f t="shared" si="3"/>
        <v>0</v>
      </c>
      <c r="I16" s="75">
        <f t="shared" si="3"/>
        <v>0</v>
      </c>
      <c r="J16" s="71">
        <f t="shared" si="3"/>
        <v>0</v>
      </c>
      <c r="K16" s="117">
        <f t="shared" si="3"/>
        <v>0</v>
      </c>
      <c r="L16" s="2126"/>
      <c r="AC16" s="2320"/>
      <c r="AD16" s="2320" t="s">
        <v>2805</v>
      </c>
    </row>
    <row r="17" spans="1:30" s="377" customFormat="1" ht="13.5" x14ac:dyDescent="0.25">
      <c r="A17" s="2125" t="s">
        <v>2238</v>
      </c>
      <c r="B17" s="144"/>
      <c r="C17" s="712">
        <f>SUMIFS(Sheet1!S71_PPPYearAmount,Sheet1!S71_SA34Code,$AC:$AC,Sheet1!S71_A5CapexCode,$AD:$AD)</f>
        <v>0</v>
      </c>
      <c r="D17" s="712">
        <f>SUMIFS(Sheet1!S71_PPYearAmount,Sheet1!S71_SA34Code,$AC:$AC,Sheet1!S71_A5CapexCode,$AD:$AD)</f>
        <v>0</v>
      </c>
      <c r="E17" s="715">
        <f>SUMIFS(Sheet1!S71_PYearAmount,Sheet1!S71_SA34Code,$AC:$AC,Sheet1!S71_A5CapexCode,$AD:$AD)</f>
        <v>0</v>
      </c>
      <c r="F17" s="725">
        <f>SUMIFS(Sheet1!S71_OriginalBudAmnt,Sheet1!S71_SA34Code,$AC:$AC,Sheet1!S71_A5CapexCode,$AD:$AD)</f>
        <v>0</v>
      </c>
      <c r="G17" s="712">
        <f>SUMIFS(Sheet1!S71_AdjustmentBudAmnt,Sheet1!S71_SA34Code,$AC:$AC,Sheet1!S71_A5CapexCode,$AD:$AD)</f>
        <v>0</v>
      </c>
      <c r="H17" s="713">
        <f>SUMIFS(Sheet1!S71_AdjustmentBudAmnt,Sheet1!S71_SA34Code,$AC:$AC,Sheet1!S71_A5CapexCode,$AD:$AD)</f>
        <v>0</v>
      </c>
      <c r="I17" s="725">
        <f>SUMIFS(Sheet1!S71_ASBudgetAmount,Sheet1!S71_SA34Code,$AC:$AC,Sheet1!S71_A5CapexCode,$AD:$AD)</f>
        <v>0</v>
      </c>
      <c r="J17" s="712">
        <f>SUMIFS(Sheet1!S71_OY1BudgetAmount,Sheet1!S71_SA34Code,$AC:$AC,Sheet1!S71_A5CapexCode,$AD:$AD)</f>
        <v>0</v>
      </c>
      <c r="K17" s="713">
        <f>SUMIFS(Sheet1!S71_OY2BudgetAmount,Sheet1!S71_SA34Code,$AC:$AC,Sheet1!S71_A5CapexCode,$AD:$AD)</f>
        <v>0</v>
      </c>
      <c r="L17" s="2126"/>
      <c r="AC17" s="2320" t="s">
        <v>2767</v>
      </c>
      <c r="AD17" s="2320" t="s">
        <v>2805</v>
      </c>
    </row>
    <row r="18" spans="1:30" s="377" customFormat="1" ht="13.5" x14ac:dyDescent="0.25">
      <c r="A18" s="2125" t="s">
        <v>2239</v>
      </c>
      <c r="B18" s="144"/>
      <c r="C18" s="712">
        <f>SUMIFS(Sheet1!S71_PPPYearAmount,Sheet1!S71_SA34Code,$AC:$AC,Sheet1!S71_A5CapexCode,$AD:$AD)</f>
        <v>0</v>
      </c>
      <c r="D18" s="712">
        <f>SUMIFS(Sheet1!S71_PPYearAmount,Sheet1!S71_SA34Code,$AC:$AC,Sheet1!S71_A5CapexCode,$AD:$AD)</f>
        <v>0</v>
      </c>
      <c r="E18" s="715">
        <f>SUMIFS(Sheet1!S71_PYearAmount,Sheet1!S71_SA34Code,$AC:$AC,Sheet1!S71_A5CapexCode,$AD:$AD)</f>
        <v>0</v>
      </c>
      <c r="F18" s="725">
        <f>SUMIFS(Sheet1!S71_OriginalBudAmnt,Sheet1!S71_SA34Code,$AC:$AC,Sheet1!S71_A5CapexCode,$AD:$AD)</f>
        <v>0</v>
      </c>
      <c r="G18" s="712">
        <f>SUMIFS(Sheet1!S71_AdjustmentBudAmnt,Sheet1!S71_SA34Code,$AC:$AC,Sheet1!S71_A5CapexCode,$AD:$AD)</f>
        <v>0</v>
      </c>
      <c r="H18" s="713">
        <f>SUMIFS(Sheet1!S71_AdjustmentBudAmnt,Sheet1!S71_SA34Code,$AC:$AC,Sheet1!S71_A5CapexCode,$AD:$AD)</f>
        <v>0</v>
      </c>
      <c r="I18" s="725">
        <f>SUMIFS(Sheet1!S71_ASBudgetAmount,Sheet1!S71_SA34Code,$AC:$AC,Sheet1!S71_A5CapexCode,$AD:$AD)</f>
        <v>0</v>
      </c>
      <c r="J18" s="712">
        <f>SUMIFS(Sheet1!S71_OY1BudgetAmount,Sheet1!S71_SA34Code,$AC:$AC,Sheet1!S71_A5CapexCode,$AD:$AD)</f>
        <v>0</v>
      </c>
      <c r="K18" s="713">
        <f>SUMIFS(Sheet1!S71_OY2BudgetAmount,Sheet1!S71_SA34Code,$AC:$AC,Sheet1!S71_A5CapexCode,$AD:$AD)</f>
        <v>0</v>
      </c>
      <c r="L18" s="2126"/>
      <c r="AC18" s="2320" t="s">
        <v>2768</v>
      </c>
      <c r="AD18" s="2320" t="s">
        <v>2805</v>
      </c>
    </row>
    <row r="19" spans="1:30" s="377" customFormat="1" ht="13.5" x14ac:dyDescent="0.25">
      <c r="A19" s="2125" t="s">
        <v>2240</v>
      </c>
      <c r="B19" s="144"/>
      <c r="C19" s="712">
        <f>SUMIFS(Sheet1!S71_PPPYearAmount,Sheet1!S71_SA34Code,$AC:$AC,Sheet1!S71_A5CapexCode,$AD:$AD)</f>
        <v>0</v>
      </c>
      <c r="D19" s="712">
        <f>SUMIFS(Sheet1!S71_PPYearAmount,Sheet1!S71_SA34Code,$AC:$AC,Sheet1!S71_A5CapexCode,$AD:$AD)</f>
        <v>0</v>
      </c>
      <c r="E19" s="715">
        <f>SUMIFS(Sheet1!S71_PYearAmount,Sheet1!S71_SA34Code,$AC:$AC,Sheet1!S71_A5CapexCode,$AD:$AD)</f>
        <v>0</v>
      </c>
      <c r="F19" s="725">
        <f>SUMIFS(Sheet1!S71_OriginalBudAmnt,Sheet1!S71_SA34Code,$AC:$AC,Sheet1!S71_A5CapexCode,$AD:$AD)</f>
        <v>0</v>
      </c>
      <c r="G19" s="712">
        <f>SUMIFS(Sheet1!S71_AdjustmentBudAmnt,Sheet1!S71_SA34Code,$AC:$AC,Sheet1!S71_A5CapexCode,$AD:$AD)</f>
        <v>0</v>
      </c>
      <c r="H19" s="713">
        <f>SUMIFS(Sheet1!S71_AdjustmentBudAmnt,Sheet1!S71_SA34Code,$AC:$AC,Sheet1!S71_A5CapexCode,$AD:$AD)</f>
        <v>0</v>
      </c>
      <c r="I19" s="725">
        <f>SUMIFS(Sheet1!S71_ASBudgetAmount,Sheet1!S71_SA34Code,$AC:$AC,Sheet1!S71_A5CapexCode,$AD:$AD)</f>
        <v>0</v>
      </c>
      <c r="J19" s="712">
        <f>SUMIFS(Sheet1!S71_OY1BudgetAmount,Sheet1!S71_SA34Code,$AC:$AC,Sheet1!S71_A5CapexCode,$AD:$AD)</f>
        <v>0</v>
      </c>
      <c r="K19" s="713">
        <f>SUMIFS(Sheet1!S71_OY2BudgetAmount,Sheet1!S71_SA34Code,$AC:$AC,Sheet1!S71_A5CapexCode,$AD:$AD)</f>
        <v>0</v>
      </c>
      <c r="L19" s="2126"/>
      <c r="AC19" s="2320" t="s">
        <v>2779</v>
      </c>
      <c r="AD19" s="2320" t="s">
        <v>2805</v>
      </c>
    </row>
    <row r="20" spans="1:30" s="377" customFormat="1" ht="13.5" x14ac:dyDescent="0.25">
      <c r="A20" s="2125" t="s">
        <v>2241</v>
      </c>
      <c r="B20" s="144"/>
      <c r="C20" s="712">
        <f>SUMIFS(Sheet1!S71_PPPYearAmount,Sheet1!S71_SA34Code,$AC:$AC,Sheet1!S71_A5CapexCode,$AD:$AD)</f>
        <v>0</v>
      </c>
      <c r="D20" s="712">
        <f>SUMIFS(Sheet1!S71_PPYearAmount,Sheet1!S71_SA34Code,$AC:$AC,Sheet1!S71_A5CapexCode,$AD:$AD)</f>
        <v>0</v>
      </c>
      <c r="E20" s="715">
        <f>SUMIFS(Sheet1!S71_PYearAmount,Sheet1!S71_SA34Code,$AC:$AC,Sheet1!S71_A5CapexCode,$AD:$AD)</f>
        <v>0</v>
      </c>
      <c r="F20" s="725">
        <f>SUMIFS(Sheet1!S71_OriginalBudAmnt,Sheet1!S71_SA34Code,$AC:$AC,Sheet1!S71_A5CapexCode,$AD:$AD)</f>
        <v>0</v>
      </c>
      <c r="G20" s="712">
        <f>SUMIFS(Sheet1!S71_AdjustmentBudAmnt,Sheet1!S71_SA34Code,$AC:$AC,Sheet1!S71_A5CapexCode,$AD:$AD)</f>
        <v>0</v>
      </c>
      <c r="H20" s="713">
        <f>SUMIFS(Sheet1!S71_AdjustmentBudAmnt,Sheet1!S71_SA34Code,$AC:$AC,Sheet1!S71_A5CapexCode,$AD:$AD)</f>
        <v>0</v>
      </c>
      <c r="I20" s="725">
        <f>SUMIFS(Sheet1!S71_ASBudgetAmount,Sheet1!S71_SA34Code,$AC:$AC,Sheet1!S71_A5CapexCode,$AD:$AD)</f>
        <v>0</v>
      </c>
      <c r="J20" s="712">
        <f>SUMIFS(Sheet1!S71_OY1BudgetAmount,Sheet1!S71_SA34Code,$AC:$AC,Sheet1!S71_A5CapexCode,$AD:$AD)</f>
        <v>0</v>
      </c>
      <c r="K20" s="713">
        <f>SUMIFS(Sheet1!S71_OY2BudgetAmount,Sheet1!S71_SA34Code,$AC:$AC,Sheet1!S71_A5CapexCode,$AD:$AD)</f>
        <v>0</v>
      </c>
      <c r="L20" s="2126"/>
      <c r="AC20" s="2320" t="s">
        <v>2780</v>
      </c>
      <c r="AD20" s="2320" t="s">
        <v>2805</v>
      </c>
    </row>
    <row r="21" spans="1:30" s="377" customFormat="1" ht="13.5" x14ac:dyDescent="0.25">
      <c r="A21" s="2125" t="s">
        <v>2242</v>
      </c>
      <c r="B21" s="144"/>
      <c r="C21" s="712">
        <f>SUMIFS(Sheet1!S71_PPPYearAmount,Sheet1!S71_SA34Code,$AC:$AC,Sheet1!S71_A5CapexCode,$AD:$AD)</f>
        <v>0</v>
      </c>
      <c r="D21" s="712">
        <f>SUMIFS(Sheet1!S71_PPYearAmount,Sheet1!S71_SA34Code,$AC:$AC,Sheet1!S71_A5CapexCode,$AD:$AD)</f>
        <v>0</v>
      </c>
      <c r="E21" s="715">
        <f>SUMIFS(Sheet1!S71_PYearAmount,Sheet1!S71_SA34Code,$AC:$AC,Sheet1!S71_A5CapexCode,$AD:$AD)</f>
        <v>0</v>
      </c>
      <c r="F21" s="725">
        <f>SUMIFS(Sheet1!S71_OriginalBudAmnt,Sheet1!S71_SA34Code,$AC:$AC,Sheet1!S71_A5CapexCode,$AD:$AD)</f>
        <v>0</v>
      </c>
      <c r="G21" s="712">
        <f>SUMIFS(Sheet1!S71_AdjustmentBudAmnt,Sheet1!S71_SA34Code,$AC:$AC,Sheet1!S71_A5CapexCode,$AD:$AD)</f>
        <v>0</v>
      </c>
      <c r="H21" s="713">
        <f>SUMIFS(Sheet1!S71_AdjustmentBudAmnt,Sheet1!S71_SA34Code,$AC:$AC,Sheet1!S71_A5CapexCode,$AD:$AD)</f>
        <v>0</v>
      </c>
      <c r="I21" s="725">
        <f>SUMIFS(Sheet1!S71_ASBudgetAmount,Sheet1!S71_SA34Code,$AC:$AC,Sheet1!S71_A5CapexCode,$AD:$AD)</f>
        <v>0</v>
      </c>
      <c r="J21" s="712">
        <f>SUMIFS(Sheet1!S71_OY1BudgetAmount,Sheet1!S71_SA34Code,$AC:$AC,Sheet1!S71_A5CapexCode,$AD:$AD)</f>
        <v>0</v>
      </c>
      <c r="K21" s="713">
        <f>SUMIFS(Sheet1!S71_OY2BudgetAmount,Sheet1!S71_SA34Code,$AC:$AC,Sheet1!S71_A5CapexCode,$AD:$AD)</f>
        <v>0</v>
      </c>
      <c r="L21" s="2126"/>
      <c r="AC21" s="2320" t="s">
        <v>2832</v>
      </c>
      <c r="AD21" s="2320" t="s">
        <v>2805</v>
      </c>
    </row>
    <row r="22" spans="1:30" s="377" customFormat="1" ht="13.5" x14ac:dyDescent="0.25">
      <c r="A22" s="2125" t="s">
        <v>2243</v>
      </c>
      <c r="B22" s="144"/>
      <c r="C22" s="712">
        <f>SUMIFS(Sheet1!S71_PPPYearAmount,Sheet1!S71_SA34Code,$AC:$AC,Sheet1!S71_A5CapexCode,$AD:$AD)</f>
        <v>0</v>
      </c>
      <c r="D22" s="712">
        <f>SUMIFS(Sheet1!S71_PPYearAmount,Sheet1!S71_SA34Code,$AC:$AC,Sheet1!S71_A5CapexCode,$AD:$AD)</f>
        <v>0</v>
      </c>
      <c r="E22" s="715">
        <f>SUMIFS(Sheet1!S71_PYearAmount,Sheet1!S71_SA34Code,$AC:$AC,Sheet1!S71_A5CapexCode,$AD:$AD)</f>
        <v>0</v>
      </c>
      <c r="F22" s="725">
        <f>SUMIFS(Sheet1!S71_OriginalBudAmnt,Sheet1!S71_SA34Code,$AC:$AC,Sheet1!S71_A5CapexCode,$AD:$AD)</f>
        <v>0</v>
      </c>
      <c r="G22" s="712">
        <f>SUMIFS(Sheet1!S71_AdjustmentBudAmnt,Sheet1!S71_SA34Code,$AC:$AC,Sheet1!S71_A5CapexCode,$AD:$AD)</f>
        <v>0</v>
      </c>
      <c r="H22" s="713">
        <f>SUMIFS(Sheet1!S71_AdjustmentBudAmnt,Sheet1!S71_SA34Code,$AC:$AC,Sheet1!S71_A5CapexCode,$AD:$AD)</f>
        <v>0</v>
      </c>
      <c r="I22" s="725">
        <f>SUMIFS(Sheet1!S71_ASBudgetAmount,Sheet1!S71_SA34Code,$AC:$AC,Sheet1!S71_A5CapexCode,$AD:$AD)</f>
        <v>0</v>
      </c>
      <c r="J22" s="712">
        <f>SUMIFS(Sheet1!S71_OY1BudgetAmount,Sheet1!S71_SA34Code,$AC:$AC,Sheet1!S71_A5CapexCode,$AD:$AD)</f>
        <v>0</v>
      </c>
      <c r="K22" s="713">
        <f>SUMIFS(Sheet1!S71_OY2BudgetAmount,Sheet1!S71_SA34Code,$AC:$AC,Sheet1!S71_A5CapexCode,$AD:$AD)</f>
        <v>0</v>
      </c>
      <c r="L22" s="2126"/>
      <c r="AC22" s="2320" t="s">
        <v>2769</v>
      </c>
      <c r="AD22" s="2320" t="s">
        <v>2805</v>
      </c>
    </row>
    <row r="23" spans="1:30" s="377" customFormat="1" ht="13.5" x14ac:dyDescent="0.25">
      <c r="A23" s="2125" t="s">
        <v>2244</v>
      </c>
      <c r="B23" s="144"/>
      <c r="C23" s="712">
        <f>SUMIFS(Sheet1!S71_PPPYearAmount,Sheet1!S71_SA34Code,$AC:$AC,Sheet1!S71_A5CapexCode,$AD:$AD)</f>
        <v>0</v>
      </c>
      <c r="D23" s="712">
        <f>SUMIFS(Sheet1!S71_PPYearAmount,Sheet1!S71_SA34Code,$AC:$AC,Sheet1!S71_A5CapexCode,$AD:$AD)</f>
        <v>0</v>
      </c>
      <c r="E23" s="715">
        <f>SUMIFS(Sheet1!S71_PYearAmount,Sheet1!S71_SA34Code,$AC:$AC,Sheet1!S71_A5CapexCode,$AD:$AD)</f>
        <v>0</v>
      </c>
      <c r="F23" s="725">
        <f>SUMIFS(Sheet1!S71_OriginalBudAmnt,Sheet1!S71_SA34Code,$AC:$AC,Sheet1!S71_A5CapexCode,$AD:$AD)</f>
        <v>0</v>
      </c>
      <c r="G23" s="712">
        <f>SUMIFS(Sheet1!S71_AdjustmentBudAmnt,Sheet1!S71_SA34Code,$AC:$AC,Sheet1!S71_A5CapexCode,$AD:$AD)</f>
        <v>0</v>
      </c>
      <c r="H23" s="713">
        <f>SUMIFS(Sheet1!S71_AdjustmentBudAmnt,Sheet1!S71_SA34Code,$AC:$AC,Sheet1!S71_A5CapexCode,$AD:$AD)</f>
        <v>0</v>
      </c>
      <c r="I23" s="725">
        <f>SUMIFS(Sheet1!S71_ASBudgetAmount,Sheet1!S71_SA34Code,$AC:$AC,Sheet1!S71_A5CapexCode,$AD:$AD)</f>
        <v>0</v>
      </c>
      <c r="J23" s="712">
        <f>SUMIFS(Sheet1!S71_OY1BudgetAmount,Sheet1!S71_SA34Code,$AC:$AC,Sheet1!S71_A5CapexCode,$AD:$AD)</f>
        <v>0</v>
      </c>
      <c r="K23" s="713">
        <f>SUMIFS(Sheet1!S71_OY2BudgetAmount,Sheet1!S71_SA34Code,$AC:$AC,Sheet1!S71_A5CapexCode,$AD:$AD)</f>
        <v>0</v>
      </c>
      <c r="L23" s="2126"/>
      <c r="AC23" s="2320" t="s">
        <v>2781</v>
      </c>
      <c r="AD23" s="2320" t="s">
        <v>2805</v>
      </c>
    </row>
    <row r="24" spans="1:30" s="377" customFormat="1" ht="13.5" x14ac:dyDescent="0.25">
      <c r="A24" s="2125" t="s">
        <v>2245</v>
      </c>
      <c r="B24" s="144"/>
      <c r="C24" s="712">
        <f>SUMIFS(Sheet1!S71_PPPYearAmount,Sheet1!S71_SA34Code,$AC:$AC,Sheet1!S71_A5CapexCode,$AD:$AD)</f>
        <v>0</v>
      </c>
      <c r="D24" s="712">
        <f>SUMIFS(Sheet1!S71_PPYearAmount,Sheet1!S71_SA34Code,$AC:$AC,Sheet1!S71_A5CapexCode,$AD:$AD)</f>
        <v>0</v>
      </c>
      <c r="E24" s="715">
        <f>SUMIFS(Sheet1!S71_PYearAmount,Sheet1!S71_SA34Code,$AC:$AC,Sheet1!S71_A5CapexCode,$AD:$AD)</f>
        <v>0</v>
      </c>
      <c r="F24" s="725">
        <f>SUMIFS(Sheet1!S71_OriginalBudAmnt,Sheet1!S71_SA34Code,$AC:$AC,Sheet1!S71_A5CapexCode,$AD:$AD)</f>
        <v>0</v>
      </c>
      <c r="G24" s="712">
        <f>SUMIFS(Sheet1!S71_AdjustmentBudAmnt,Sheet1!S71_SA34Code,$AC:$AC,Sheet1!S71_A5CapexCode,$AD:$AD)</f>
        <v>0</v>
      </c>
      <c r="H24" s="713">
        <f>SUMIFS(Sheet1!S71_AdjustmentBudAmnt,Sheet1!S71_SA34Code,$AC:$AC,Sheet1!S71_A5CapexCode,$AD:$AD)</f>
        <v>0</v>
      </c>
      <c r="I24" s="725">
        <f>SUMIFS(Sheet1!S71_ASBudgetAmount,Sheet1!S71_SA34Code,$AC:$AC,Sheet1!S71_A5CapexCode,$AD:$AD)</f>
        <v>0</v>
      </c>
      <c r="J24" s="712">
        <f>SUMIFS(Sheet1!S71_OY1BudgetAmount,Sheet1!S71_SA34Code,$AC:$AC,Sheet1!S71_A5CapexCode,$AD:$AD)</f>
        <v>0</v>
      </c>
      <c r="K24" s="713">
        <f>SUMIFS(Sheet1!S71_OY2BudgetAmount,Sheet1!S71_SA34Code,$AC:$AC,Sheet1!S71_A5CapexCode,$AD:$AD)</f>
        <v>0</v>
      </c>
      <c r="L24" s="2126"/>
      <c r="AC24" s="2320" t="s">
        <v>2782</v>
      </c>
      <c r="AD24" s="2320" t="s">
        <v>2805</v>
      </c>
    </row>
    <row r="25" spans="1:30" s="377" customFormat="1" ht="13.5" x14ac:dyDescent="0.25">
      <c r="A25" s="2125" t="s">
        <v>2233</v>
      </c>
      <c r="B25" s="144"/>
      <c r="C25" s="712">
        <f>SUMIFS(Sheet1!S71_PPPYearAmount,Sheet1!S71_SA34Code,$AC:$AC,Sheet1!S71_A5CapexCode,$AD:$AD)</f>
        <v>0</v>
      </c>
      <c r="D25" s="712">
        <f>SUMIFS(Sheet1!S71_PPYearAmount,Sheet1!S71_SA34Code,$AC:$AC,Sheet1!S71_A5CapexCode,$AD:$AD)</f>
        <v>0</v>
      </c>
      <c r="E25" s="715">
        <f>SUMIFS(Sheet1!S71_PYearAmount,Sheet1!S71_SA34Code,$AC:$AC,Sheet1!S71_A5CapexCode,$AD:$AD)</f>
        <v>0</v>
      </c>
      <c r="F25" s="725">
        <f>SUMIFS(Sheet1!S71_OriginalBudAmnt,Sheet1!S71_SA34Code,$AC:$AC,Sheet1!S71_A5CapexCode,$AD:$AD)</f>
        <v>0</v>
      </c>
      <c r="G25" s="712">
        <f>SUMIFS(Sheet1!S71_AdjustmentBudAmnt,Sheet1!S71_SA34Code,$AC:$AC,Sheet1!S71_A5CapexCode,$AD:$AD)</f>
        <v>0</v>
      </c>
      <c r="H25" s="713">
        <f>SUMIFS(Sheet1!S71_AdjustmentBudAmnt,Sheet1!S71_SA34Code,$AC:$AC,Sheet1!S71_A5CapexCode,$AD:$AD)</f>
        <v>0</v>
      </c>
      <c r="I25" s="725">
        <f>SUMIFS(Sheet1!S71_ASBudgetAmount,Sheet1!S71_SA34Code,$AC:$AC,Sheet1!S71_A5CapexCode,$AD:$AD)</f>
        <v>0</v>
      </c>
      <c r="J25" s="712">
        <f>SUMIFS(Sheet1!S71_OY1BudgetAmount,Sheet1!S71_SA34Code,$AC:$AC,Sheet1!S71_A5CapexCode,$AD:$AD)</f>
        <v>0</v>
      </c>
      <c r="K25" s="713">
        <f>SUMIFS(Sheet1!S71_OY2BudgetAmount,Sheet1!S71_SA34Code,$AC:$AC,Sheet1!S71_A5CapexCode,$AD:$AD)</f>
        <v>0</v>
      </c>
      <c r="L25" s="2126"/>
      <c r="AC25" s="2320" t="s">
        <v>2833</v>
      </c>
      <c r="AD25" s="2320" t="s">
        <v>2805</v>
      </c>
    </row>
    <row r="26" spans="1:30" s="377" customFormat="1" ht="13.5" x14ac:dyDescent="0.25">
      <c r="A26" s="137" t="s">
        <v>2280</v>
      </c>
      <c r="B26" s="97"/>
      <c r="C26" s="71">
        <f>SUM(C27:C36)</f>
        <v>0</v>
      </c>
      <c r="D26" s="71">
        <f t="shared" ref="D26:K26" si="4">SUM(D27:D36)</f>
        <v>0</v>
      </c>
      <c r="E26" s="305">
        <f t="shared" si="4"/>
        <v>0</v>
      </c>
      <c r="F26" s="75">
        <f t="shared" si="4"/>
        <v>0</v>
      </c>
      <c r="G26" s="71">
        <f t="shared" si="4"/>
        <v>0</v>
      </c>
      <c r="H26" s="117">
        <f t="shared" si="4"/>
        <v>0</v>
      </c>
      <c r="I26" s="75">
        <f t="shared" si="4"/>
        <v>0</v>
      </c>
      <c r="J26" s="71">
        <f t="shared" si="4"/>
        <v>0</v>
      </c>
      <c r="K26" s="117">
        <f t="shared" si="4"/>
        <v>0</v>
      </c>
      <c r="L26" s="2126"/>
      <c r="AC26" s="2320"/>
      <c r="AD26" s="2320" t="s">
        <v>2805</v>
      </c>
    </row>
    <row r="27" spans="1:30" s="377" customFormat="1" ht="13.5" x14ac:dyDescent="0.25">
      <c r="A27" s="2125" t="s">
        <v>2246</v>
      </c>
      <c r="B27" s="144"/>
      <c r="C27" s="712">
        <f>SUMIFS(Sheet1!S71_PPPYearAmount,Sheet1!S71_SA34Code,$AC:$AC,Sheet1!S71_A5CapexCode,$AD:$AD)</f>
        <v>0</v>
      </c>
      <c r="D27" s="712">
        <f>SUMIFS(Sheet1!S71_PPYearAmount,Sheet1!S71_SA34Code,$AC:$AC,Sheet1!S71_A5CapexCode,$AD:$AD)</f>
        <v>0</v>
      </c>
      <c r="E27" s="715">
        <f>SUMIFS(Sheet1!S71_PYearAmount,Sheet1!S71_SA34Code,$AC:$AC,Sheet1!S71_A5CapexCode,$AD:$AD)</f>
        <v>0</v>
      </c>
      <c r="F27" s="725">
        <f>SUMIFS(Sheet1!S71_OriginalBudAmnt,Sheet1!S71_SA34Code,$AC:$AC,Sheet1!S71_A5CapexCode,$AD:$AD)</f>
        <v>0</v>
      </c>
      <c r="G27" s="712">
        <f>SUMIFS(Sheet1!S71_AdjustmentBudAmnt,Sheet1!S71_SA34Code,$AC:$AC,Sheet1!S71_A5CapexCode,$AD:$AD)</f>
        <v>0</v>
      </c>
      <c r="H27" s="713">
        <f>SUMIFS(Sheet1!S71_AdjustmentBudAmnt,Sheet1!S71_SA34Code,$AC:$AC,Sheet1!S71_A5CapexCode,$AD:$AD)</f>
        <v>0</v>
      </c>
      <c r="I27" s="725">
        <f>SUMIFS(Sheet1!S71_ASBudgetAmount,Sheet1!S71_SA34Code,$AC:$AC,Sheet1!S71_A5CapexCode,$AD:$AD)</f>
        <v>0</v>
      </c>
      <c r="J27" s="712">
        <f>SUMIFS(Sheet1!S71_OY1BudgetAmount,Sheet1!S71_SA34Code,$AC:$AC,Sheet1!S71_A5CapexCode,$AD:$AD)</f>
        <v>0</v>
      </c>
      <c r="K27" s="713">
        <f>SUMIFS(Sheet1!S71_OY2BudgetAmount,Sheet1!S71_SA34Code,$AC:$AC,Sheet1!S71_A5CapexCode,$AD:$AD)</f>
        <v>0</v>
      </c>
      <c r="L27" s="2126"/>
      <c r="AC27" s="2320" t="s">
        <v>2834</v>
      </c>
      <c r="AD27" s="2320" t="s">
        <v>2805</v>
      </c>
    </row>
    <row r="28" spans="1:30" s="377" customFormat="1" ht="13.5" x14ac:dyDescent="0.25">
      <c r="A28" s="2125" t="s">
        <v>2247</v>
      </c>
      <c r="B28" s="144"/>
      <c r="C28" s="712">
        <f>SUMIFS(Sheet1!S71_PPPYearAmount,Sheet1!S71_SA34Code,$AC:$AC,Sheet1!S71_A5CapexCode,$AD:$AD)</f>
        <v>0</v>
      </c>
      <c r="D28" s="712">
        <f>SUMIFS(Sheet1!S71_PPYearAmount,Sheet1!S71_SA34Code,$AC:$AC,Sheet1!S71_A5CapexCode,$AD:$AD)</f>
        <v>0</v>
      </c>
      <c r="E28" s="715">
        <f>SUMIFS(Sheet1!S71_PYearAmount,Sheet1!S71_SA34Code,$AC:$AC,Sheet1!S71_A5CapexCode,$AD:$AD)</f>
        <v>0</v>
      </c>
      <c r="F28" s="725">
        <f>SUMIFS(Sheet1!S71_OriginalBudAmnt,Sheet1!S71_SA34Code,$AC:$AC,Sheet1!S71_A5CapexCode,$AD:$AD)</f>
        <v>0</v>
      </c>
      <c r="G28" s="712">
        <f>SUMIFS(Sheet1!S71_AdjustmentBudAmnt,Sheet1!S71_SA34Code,$AC:$AC,Sheet1!S71_A5CapexCode,$AD:$AD)</f>
        <v>0</v>
      </c>
      <c r="H28" s="713">
        <f>SUMIFS(Sheet1!S71_AdjustmentBudAmnt,Sheet1!S71_SA34Code,$AC:$AC,Sheet1!S71_A5CapexCode,$AD:$AD)</f>
        <v>0</v>
      </c>
      <c r="I28" s="725">
        <f>SUMIFS(Sheet1!S71_ASBudgetAmount,Sheet1!S71_SA34Code,$AC:$AC,Sheet1!S71_A5CapexCode,$AD:$AD)</f>
        <v>0</v>
      </c>
      <c r="J28" s="712">
        <f>SUMIFS(Sheet1!S71_OY1BudgetAmount,Sheet1!S71_SA34Code,$AC:$AC,Sheet1!S71_A5CapexCode,$AD:$AD)</f>
        <v>0</v>
      </c>
      <c r="K28" s="713">
        <f>SUMIFS(Sheet1!S71_OY2BudgetAmount,Sheet1!S71_SA34Code,$AC:$AC,Sheet1!S71_A5CapexCode,$AD:$AD)</f>
        <v>0</v>
      </c>
      <c r="L28" s="2126"/>
      <c r="AC28" s="2320" t="s">
        <v>2835</v>
      </c>
      <c r="AD28" s="2320" t="s">
        <v>2805</v>
      </c>
    </row>
    <row r="29" spans="1:30" s="377" customFormat="1" ht="13.5" x14ac:dyDescent="0.25">
      <c r="A29" s="2125" t="s">
        <v>2248</v>
      </c>
      <c r="B29" s="144"/>
      <c r="C29" s="712">
        <f>SUMIFS(Sheet1!S71_PPPYearAmount,Sheet1!S71_SA34Code,$AC:$AC,Sheet1!S71_A5CapexCode,$AD:$AD)</f>
        <v>0</v>
      </c>
      <c r="D29" s="712">
        <f>SUMIFS(Sheet1!S71_PPYearAmount,Sheet1!S71_SA34Code,$AC:$AC,Sheet1!S71_A5CapexCode,$AD:$AD)</f>
        <v>0</v>
      </c>
      <c r="E29" s="715">
        <f>SUMIFS(Sheet1!S71_PYearAmount,Sheet1!S71_SA34Code,$AC:$AC,Sheet1!S71_A5CapexCode,$AD:$AD)</f>
        <v>0</v>
      </c>
      <c r="F29" s="725">
        <f>SUMIFS(Sheet1!S71_OriginalBudAmnt,Sheet1!S71_SA34Code,$AC:$AC,Sheet1!S71_A5CapexCode,$AD:$AD)</f>
        <v>0</v>
      </c>
      <c r="G29" s="712">
        <f>SUMIFS(Sheet1!S71_AdjustmentBudAmnt,Sheet1!S71_SA34Code,$AC:$AC,Sheet1!S71_A5CapexCode,$AD:$AD)</f>
        <v>0</v>
      </c>
      <c r="H29" s="713">
        <f>SUMIFS(Sheet1!S71_AdjustmentBudAmnt,Sheet1!S71_SA34Code,$AC:$AC,Sheet1!S71_A5CapexCode,$AD:$AD)</f>
        <v>0</v>
      </c>
      <c r="I29" s="725">
        <f>SUMIFS(Sheet1!S71_ASBudgetAmount,Sheet1!S71_SA34Code,$AC:$AC,Sheet1!S71_A5CapexCode,$AD:$AD)</f>
        <v>0</v>
      </c>
      <c r="J29" s="712">
        <f>SUMIFS(Sheet1!S71_OY1BudgetAmount,Sheet1!S71_SA34Code,$AC:$AC,Sheet1!S71_A5CapexCode,$AD:$AD)</f>
        <v>0</v>
      </c>
      <c r="K29" s="713">
        <f>SUMIFS(Sheet1!S71_OY2BudgetAmount,Sheet1!S71_SA34Code,$AC:$AC,Sheet1!S71_A5CapexCode,$AD:$AD)</f>
        <v>0</v>
      </c>
      <c r="L29" s="2126"/>
      <c r="AC29" s="2320" t="s">
        <v>2783</v>
      </c>
      <c r="AD29" s="2320" t="s">
        <v>2805</v>
      </c>
    </row>
    <row r="30" spans="1:30" s="377" customFormat="1" ht="13.5" x14ac:dyDescent="0.25">
      <c r="A30" s="2125" t="s">
        <v>2249</v>
      </c>
      <c r="B30" s="144"/>
      <c r="C30" s="712">
        <f>SUMIFS(Sheet1!S71_PPPYearAmount,Sheet1!S71_SA34Code,$AC:$AC,Sheet1!S71_A5CapexCode,$AD:$AD)</f>
        <v>0</v>
      </c>
      <c r="D30" s="712">
        <f>SUMIFS(Sheet1!S71_PPYearAmount,Sheet1!S71_SA34Code,$AC:$AC,Sheet1!S71_A5CapexCode,$AD:$AD)</f>
        <v>0</v>
      </c>
      <c r="E30" s="715">
        <f>SUMIFS(Sheet1!S71_PYearAmount,Sheet1!S71_SA34Code,$AC:$AC,Sheet1!S71_A5CapexCode,$AD:$AD)</f>
        <v>0</v>
      </c>
      <c r="F30" s="725">
        <f>SUMIFS(Sheet1!S71_OriginalBudAmnt,Sheet1!S71_SA34Code,$AC:$AC,Sheet1!S71_A5CapexCode,$AD:$AD)</f>
        <v>0</v>
      </c>
      <c r="G30" s="712">
        <f>SUMIFS(Sheet1!S71_AdjustmentBudAmnt,Sheet1!S71_SA34Code,$AC:$AC,Sheet1!S71_A5CapexCode,$AD:$AD)</f>
        <v>0</v>
      </c>
      <c r="H30" s="713">
        <f>SUMIFS(Sheet1!S71_AdjustmentBudAmnt,Sheet1!S71_SA34Code,$AC:$AC,Sheet1!S71_A5CapexCode,$AD:$AD)</f>
        <v>0</v>
      </c>
      <c r="I30" s="725">
        <f>SUMIFS(Sheet1!S71_ASBudgetAmount,Sheet1!S71_SA34Code,$AC:$AC,Sheet1!S71_A5CapexCode,$AD:$AD)</f>
        <v>0</v>
      </c>
      <c r="J30" s="712">
        <f>SUMIFS(Sheet1!S71_OY1BudgetAmount,Sheet1!S71_SA34Code,$AC:$AC,Sheet1!S71_A5CapexCode,$AD:$AD)</f>
        <v>0</v>
      </c>
      <c r="K30" s="713">
        <f>SUMIFS(Sheet1!S71_OY2BudgetAmount,Sheet1!S71_SA34Code,$AC:$AC,Sheet1!S71_A5CapexCode,$AD:$AD)</f>
        <v>0</v>
      </c>
      <c r="L30" s="2126"/>
      <c r="AC30" s="2320" t="s">
        <v>2784</v>
      </c>
      <c r="AD30" s="2320" t="s">
        <v>2805</v>
      </c>
    </row>
    <row r="31" spans="1:30" s="377" customFormat="1" ht="13.5" x14ac:dyDescent="0.25">
      <c r="A31" s="2125" t="s">
        <v>2250</v>
      </c>
      <c r="B31" s="144"/>
      <c r="C31" s="712">
        <f>SUMIFS(Sheet1!S71_PPPYearAmount,Sheet1!S71_SA34Code,$AC:$AC,Sheet1!S71_A5CapexCode,$AD:$AD)</f>
        <v>0</v>
      </c>
      <c r="D31" s="712">
        <f>SUMIFS(Sheet1!S71_PPYearAmount,Sheet1!S71_SA34Code,$AC:$AC,Sheet1!S71_A5CapexCode,$AD:$AD)</f>
        <v>0</v>
      </c>
      <c r="E31" s="715">
        <f>SUMIFS(Sheet1!S71_PYearAmount,Sheet1!S71_SA34Code,$AC:$AC,Sheet1!S71_A5CapexCode,$AD:$AD)</f>
        <v>0</v>
      </c>
      <c r="F31" s="725">
        <f>SUMIFS(Sheet1!S71_OriginalBudAmnt,Sheet1!S71_SA34Code,$AC:$AC,Sheet1!S71_A5CapexCode,$AD:$AD)</f>
        <v>0</v>
      </c>
      <c r="G31" s="712">
        <f>SUMIFS(Sheet1!S71_AdjustmentBudAmnt,Sheet1!S71_SA34Code,$AC:$AC,Sheet1!S71_A5CapexCode,$AD:$AD)</f>
        <v>0</v>
      </c>
      <c r="H31" s="713">
        <f>SUMIFS(Sheet1!S71_AdjustmentBudAmnt,Sheet1!S71_SA34Code,$AC:$AC,Sheet1!S71_A5CapexCode,$AD:$AD)</f>
        <v>0</v>
      </c>
      <c r="I31" s="725">
        <f>SUMIFS(Sheet1!S71_ASBudgetAmount,Sheet1!S71_SA34Code,$AC:$AC,Sheet1!S71_A5CapexCode,$AD:$AD)</f>
        <v>0</v>
      </c>
      <c r="J31" s="712">
        <f>SUMIFS(Sheet1!S71_OY1BudgetAmount,Sheet1!S71_SA34Code,$AC:$AC,Sheet1!S71_A5CapexCode,$AD:$AD)</f>
        <v>0</v>
      </c>
      <c r="K31" s="713">
        <f>SUMIFS(Sheet1!S71_OY2BudgetAmount,Sheet1!S71_SA34Code,$AC:$AC,Sheet1!S71_A5CapexCode,$AD:$AD)</f>
        <v>0</v>
      </c>
      <c r="L31" s="2126"/>
      <c r="AC31" s="2320" t="s">
        <v>2770</v>
      </c>
      <c r="AD31" s="2320" t="s">
        <v>2805</v>
      </c>
    </row>
    <row r="32" spans="1:30" s="377" customFormat="1" ht="13.5" x14ac:dyDescent="0.25">
      <c r="A32" s="2125" t="s">
        <v>2251</v>
      </c>
      <c r="B32" s="144"/>
      <c r="C32" s="712">
        <f>SUMIFS(Sheet1!S71_PPPYearAmount,Sheet1!S71_SA34Code,$AC:$AC,Sheet1!S71_A5CapexCode,$AD:$AD)</f>
        <v>0</v>
      </c>
      <c r="D32" s="712">
        <f>SUMIFS(Sheet1!S71_PPYearAmount,Sheet1!S71_SA34Code,$AC:$AC,Sheet1!S71_A5CapexCode,$AD:$AD)</f>
        <v>0</v>
      </c>
      <c r="E32" s="715">
        <f>SUMIFS(Sheet1!S71_PYearAmount,Sheet1!S71_SA34Code,$AC:$AC,Sheet1!S71_A5CapexCode,$AD:$AD)</f>
        <v>0</v>
      </c>
      <c r="F32" s="725">
        <f>SUMIFS(Sheet1!S71_OriginalBudAmnt,Sheet1!S71_SA34Code,$AC:$AC,Sheet1!S71_A5CapexCode,$AD:$AD)</f>
        <v>0</v>
      </c>
      <c r="G32" s="712">
        <f>SUMIFS(Sheet1!S71_AdjustmentBudAmnt,Sheet1!S71_SA34Code,$AC:$AC,Sheet1!S71_A5CapexCode,$AD:$AD)</f>
        <v>0</v>
      </c>
      <c r="H32" s="713">
        <f>SUMIFS(Sheet1!S71_AdjustmentBudAmnt,Sheet1!S71_SA34Code,$AC:$AC,Sheet1!S71_A5CapexCode,$AD:$AD)</f>
        <v>0</v>
      </c>
      <c r="I32" s="725">
        <f>SUMIFS(Sheet1!S71_ASBudgetAmount,Sheet1!S71_SA34Code,$AC:$AC,Sheet1!S71_A5CapexCode,$AD:$AD)</f>
        <v>0</v>
      </c>
      <c r="J32" s="712">
        <f>SUMIFS(Sheet1!S71_OY1BudgetAmount,Sheet1!S71_SA34Code,$AC:$AC,Sheet1!S71_A5CapexCode,$AD:$AD)</f>
        <v>0</v>
      </c>
      <c r="K32" s="713">
        <f>SUMIFS(Sheet1!S71_OY2BudgetAmount,Sheet1!S71_SA34Code,$AC:$AC,Sheet1!S71_A5CapexCode,$AD:$AD)</f>
        <v>0</v>
      </c>
      <c r="L32" s="2126"/>
      <c r="AC32" s="2320" t="s">
        <v>2771</v>
      </c>
      <c r="AD32" s="2320" t="s">
        <v>2805</v>
      </c>
    </row>
    <row r="33" spans="1:30" s="377" customFormat="1" ht="13.5" x14ac:dyDescent="0.25">
      <c r="A33" s="2125" t="s">
        <v>2252</v>
      </c>
      <c r="B33" s="144"/>
      <c r="C33" s="712">
        <f>SUMIFS(Sheet1!S71_PPPYearAmount,Sheet1!S71_SA34Code,$AC:$AC,Sheet1!S71_A5CapexCode,$AD:$AD)</f>
        <v>0</v>
      </c>
      <c r="D33" s="712">
        <f>SUMIFS(Sheet1!S71_PPYearAmount,Sheet1!S71_SA34Code,$AC:$AC,Sheet1!S71_A5CapexCode,$AD:$AD)</f>
        <v>0</v>
      </c>
      <c r="E33" s="715">
        <f>SUMIFS(Sheet1!S71_PYearAmount,Sheet1!S71_SA34Code,$AC:$AC,Sheet1!S71_A5CapexCode,$AD:$AD)</f>
        <v>0</v>
      </c>
      <c r="F33" s="725">
        <f>SUMIFS(Sheet1!S71_OriginalBudAmnt,Sheet1!S71_SA34Code,$AC:$AC,Sheet1!S71_A5CapexCode,$AD:$AD)</f>
        <v>0</v>
      </c>
      <c r="G33" s="712">
        <f>SUMIFS(Sheet1!S71_AdjustmentBudAmnt,Sheet1!S71_SA34Code,$AC:$AC,Sheet1!S71_A5CapexCode,$AD:$AD)</f>
        <v>0</v>
      </c>
      <c r="H33" s="713">
        <f>SUMIFS(Sheet1!S71_AdjustmentBudAmnt,Sheet1!S71_SA34Code,$AC:$AC,Sheet1!S71_A5CapexCode,$AD:$AD)</f>
        <v>0</v>
      </c>
      <c r="I33" s="725">
        <f>SUMIFS(Sheet1!S71_ASBudgetAmount,Sheet1!S71_SA34Code,$AC:$AC,Sheet1!S71_A5CapexCode,$AD:$AD)</f>
        <v>0</v>
      </c>
      <c r="J33" s="712">
        <f>SUMIFS(Sheet1!S71_OY1BudgetAmount,Sheet1!S71_SA34Code,$AC:$AC,Sheet1!S71_A5CapexCode,$AD:$AD)</f>
        <v>0</v>
      </c>
      <c r="K33" s="713">
        <f>SUMIFS(Sheet1!S71_OY2BudgetAmount,Sheet1!S71_SA34Code,$AC:$AC,Sheet1!S71_A5CapexCode,$AD:$AD)</f>
        <v>0</v>
      </c>
      <c r="L33" s="2126"/>
      <c r="AC33" s="2320" t="s">
        <v>2785</v>
      </c>
      <c r="AD33" s="2320" t="s">
        <v>2805</v>
      </c>
    </row>
    <row r="34" spans="1:30" s="377" customFormat="1" ht="13.5" x14ac:dyDescent="0.25">
      <c r="A34" s="2125" t="s">
        <v>2253</v>
      </c>
      <c r="B34" s="144"/>
      <c r="C34" s="712">
        <f>SUMIFS(Sheet1!S71_PPPYearAmount,Sheet1!S71_SA34Code,$AC:$AC,Sheet1!S71_A5CapexCode,$AD:$AD)</f>
        <v>0</v>
      </c>
      <c r="D34" s="712">
        <f>SUMIFS(Sheet1!S71_PPYearAmount,Sheet1!S71_SA34Code,$AC:$AC,Sheet1!S71_A5CapexCode,$AD:$AD)</f>
        <v>0</v>
      </c>
      <c r="E34" s="715">
        <f>SUMIFS(Sheet1!S71_PYearAmount,Sheet1!S71_SA34Code,$AC:$AC,Sheet1!S71_A5CapexCode,$AD:$AD)</f>
        <v>0</v>
      </c>
      <c r="F34" s="725">
        <f>SUMIFS(Sheet1!S71_OriginalBudAmnt,Sheet1!S71_SA34Code,$AC:$AC,Sheet1!S71_A5CapexCode,$AD:$AD)</f>
        <v>0</v>
      </c>
      <c r="G34" s="712">
        <f>SUMIFS(Sheet1!S71_AdjustmentBudAmnt,Sheet1!S71_SA34Code,$AC:$AC,Sheet1!S71_A5CapexCode,$AD:$AD)</f>
        <v>0</v>
      </c>
      <c r="H34" s="713">
        <f>SUMIFS(Sheet1!S71_AdjustmentBudAmnt,Sheet1!S71_SA34Code,$AC:$AC,Sheet1!S71_A5CapexCode,$AD:$AD)</f>
        <v>0</v>
      </c>
      <c r="I34" s="725">
        <f>SUMIFS(Sheet1!S71_ASBudgetAmount,Sheet1!S71_SA34Code,$AC:$AC,Sheet1!S71_A5CapexCode,$AD:$AD)</f>
        <v>0</v>
      </c>
      <c r="J34" s="712">
        <f>SUMIFS(Sheet1!S71_OY1BudgetAmount,Sheet1!S71_SA34Code,$AC:$AC,Sheet1!S71_A5CapexCode,$AD:$AD)</f>
        <v>0</v>
      </c>
      <c r="K34" s="713">
        <f>SUMIFS(Sheet1!S71_OY2BudgetAmount,Sheet1!S71_SA34Code,$AC:$AC,Sheet1!S71_A5CapexCode,$AD:$AD)</f>
        <v>0</v>
      </c>
      <c r="L34" s="2126"/>
      <c r="AC34" s="2320" t="s">
        <v>2836</v>
      </c>
      <c r="AD34" s="2320" t="s">
        <v>2805</v>
      </c>
    </row>
    <row r="35" spans="1:30" s="377" customFormat="1" ht="13.5" x14ac:dyDescent="0.25">
      <c r="A35" s="2125" t="s">
        <v>2254</v>
      </c>
      <c r="B35" s="144"/>
      <c r="C35" s="712">
        <f>SUMIFS(Sheet1!S71_PPPYearAmount,Sheet1!S71_SA34Code,$AC:$AC,Sheet1!S71_A5CapexCode,$AD:$AD)</f>
        <v>0</v>
      </c>
      <c r="D35" s="712">
        <f>SUMIFS(Sheet1!S71_PPYearAmount,Sheet1!S71_SA34Code,$AC:$AC,Sheet1!S71_A5CapexCode,$AD:$AD)</f>
        <v>0</v>
      </c>
      <c r="E35" s="715">
        <f>SUMIFS(Sheet1!S71_PYearAmount,Sheet1!S71_SA34Code,$AC:$AC,Sheet1!S71_A5CapexCode,$AD:$AD)</f>
        <v>0</v>
      </c>
      <c r="F35" s="725">
        <f>SUMIFS(Sheet1!S71_OriginalBudAmnt,Sheet1!S71_SA34Code,$AC:$AC,Sheet1!S71_A5CapexCode,$AD:$AD)</f>
        <v>0</v>
      </c>
      <c r="G35" s="712">
        <f>SUMIFS(Sheet1!S71_AdjustmentBudAmnt,Sheet1!S71_SA34Code,$AC:$AC,Sheet1!S71_A5CapexCode,$AD:$AD)</f>
        <v>0</v>
      </c>
      <c r="H35" s="713">
        <f>SUMIFS(Sheet1!S71_AdjustmentBudAmnt,Sheet1!S71_SA34Code,$AC:$AC,Sheet1!S71_A5CapexCode,$AD:$AD)</f>
        <v>0</v>
      </c>
      <c r="I35" s="725">
        <f>SUMIFS(Sheet1!S71_ASBudgetAmount,Sheet1!S71_SA34Code,$AC:$AC,Sheet1!S71_A5CapexCode,$AD:$AD)</f>
        <v>0</v>
      </c>
      <c r="J35" s="712">
        <f>SUMIFS(Sheet1!S71_OY1BudgetAmount,Sheet1!S71_SA34Code,$AC:$AC,Sheet1!S71_A5CapexCode,$AD:$AD)</f>
        <v>0</v>
      </c>
      <c r="K35" s="713">
        <f>SUMIFS(Sheet1!S71_OY2BudgetAmount,Sheet1!S71_SA34Code,$AC:$AC,Sheet1!S71_A5CapexCode,$AD:$AD)</f>
        <v>0</v>
      </c>
      <c r="L35" s="2126"/>
      <c r="AC35" s="2320" t="s">
        <v>2806</v>
      </c>
      <c r="AD35" s="2320" t="s">
        <v>2805</v>
      </c>
    </row>
    <row r="36" spans="1:30" s="377" customFormat="1" ht="13.5" x14ac:dyDescent="0.25">
      <c r="A36" s="2125" t="s">
        <v>2233</v>
      </c>
      <c r="B36" s="144"/>
      <c r="C36" s="712">
        <f>SUMIFS(Sheet1!S71_PPPYearAmount,Sheet1!S71_SA34Code,$AC:$AC,Sheet1!S71_A5CapexCode,$AD:$AD)</f>
        <v>0</v>
      </c>
      <c r="D36" s="712">
        <f>SUMIFS(Sheet1!S71_PPYearAmount,Sheet1!S71_SA34Code,$AC:$AC,Sheet1!S71_A5CapexCode,$AD:$AD)</f>
        <v>0</v>
      </c>
      <c r="E36" s="715">
        <f>SUMIFS(Sheet1!S71_PYearAmount,Sheet1!S71_SA34Code,$AC:$AC,Sheet1!S71_A5CapexCode,$AD:$AD)</f>
        <v>0</v>
      </c>
      <c r="F36" s="725">
        <f>SUMIFS(Sheet1!S71_OriginalBudAmnt,Sheet1!S71_SA34Code,$AC:$AC,Sheet1!S71_A5CapexCode,$AD:$AD)</f>
        <v>0</v>
      </c>
      <c r="G36" s="712">
        <f>SUMIFS(Sheet1!S71_AdjustmentBudAmnt,Sheet1!S71_SA34Code,$AC:$AC,Sheet1!S71_A5CapexCode,$AD:$AD)</f>
        <v>0</v>
      </c>
      <c r="H36" s="713">
        <f>SUMIFS(Sheet1!S71_AdjustmentBudAmnt,Sheet1!S71_SA34Code,$AC:$AC,Sheet1!S71_A5CapexCode,$AD:$AD)</f>
        <v>0</v>
      </c>
      <c r="I36" s="725">
        <f>SUMIFS(Sheet1!S71_ASBudgetAmount,Sheet1!S71_SA34Code,$AC:$AC,Sheet1!S71_A5CapexCode,$AD:$AD)</f>
        <v>0</v>
      </c>
      <c r="J36" s="712">
        <f>SUMIFS(Sheet1!S71_OY1BudgetAmount,Sheet1!S71_SA34Code,$AC:$AC,Sheet1!S71_A5CapexCode,$AD:$AD)</f>
        <v>0</v>
      </c>
      <c r="K36" s="713">
        <f>SUMIFS(Sheet1!S71_OY2BudgetAmount,Sheet1!S71_SA34Code,$AC:$AC,Sheet1!S71_A5CapexCode,$AD:$AD)</f>
        <v>0</v>
      </c>
      <c r="L36" s="2126"/>
      <c r="AC36" s="2320" t="s">
        <v>2698</v>
      </c>
      <c r="AD36" s="2320" t="s">
        <v>2805</v>
      </c>
    </row>
    <row r="37" spans="1:30" s="377" customFormat="1" ht="13.5" x14ac:dyDescent="0.25">
      <c r="A37" s="137" t="s">
        <v>2281</v>
      </c>
      <c r="B37" s="144"/>
      <c r="C37" s="71">
        <f>SUM(C38:C43)</f>
        <v>0</v>
      </c>
      <c r="D37" s="71">
        <f t="shared" ref="D37:K37" si="5">SUM(D38:D43)</f>
        <v>0</v>
      </c>
      <c r="E37" s="305">
        <f t="shared" si="5"/>
        <v>0</v>
      </c>
      <c r="F37" s="75">
        <f t="shared" si="5"/>
        <v>0</v>
      </c>
      <c r="G37" s="71">
        <f t="shared" si="5"/>
        <v>0</v>
      </c>
      <c r="H37" s="117">
        <f t="shared" si="5"/>
        <v>0</v>
      </c>
      <c r="I37" s="75">
        <f t="shared" si="5"/>
        <v>0</v>
      </c>
      <c r="J37" s="71">
        <f t="shared" si="5"/>
        <v>0</v>
      </c>
      <c r="K37" s="117">
        <f t="shared" si="5"/>
        <v>0</v>
      </c>
      <c r="L37" s="2126"/>
      <c r="AC37" s="2320"/>
      <c r="AD37" s="2320" t="s">
        <v>2805</v>
      </c>
    </row>
    <row r="38" spans="1:30" s="377" customFormat="1" ht="13.5" x14ac:dyDescent="0.25">
      <c r="A38" s="2125" t="s">
        <v>2255</v>
      </c>
      <c r="B38" s="144"/>
      <c r="C38" s="712">
        <f>SUMIFS(Sheet1!S71_PPPYearAmount,Sheet1!S71_SA34Code,$AC:$AC,Sheet1!S71_A5CapexCode,$AD:$AD)</f>
        <v>0</v>
      </c>
      <c r="D38" s="712">
        <f>SUMIFS(Sheet1!S71_PPYearAmount,Sheet1!S71_SA34Code,$AC:$AC,Sheet1!S71_A5CapexCode,$AD:$AD)</f>
        <v>0</v>
      </c>
      <c r="E38" s="715">
        <f>SUMIFS(Sheet1!S71_PYearAmount,Sheet1!S71_SA34Code,$AC:$AC,Sheet1!S71_A5CapexCode,$AD:$AD)</f>
        <v>0</v>
      </c>
      <c r="F38" s="725">
        <f>SUMIFS(Sheet1!S71_OriginalBudAmnt,Sheet1!S71_SA34Code,$AC:$AC,Sheet1!S71_A5CapexCode,$AD:$AD)</f>
        <v>0</v>
      </c>
      <c r="G38" s="712">
        <f>SUMIFS(Sheet1!S71_AdjustmentBudAmnt,Sheet1!S71_SA34Code,$AC:$AC,Sheet1!S71_A5CapexCode,$AD:$AD)</f>
        <v>0</v>
      </c>
      <c r="H38" s="713">
        <f>SUMIFS(Sheet1!S71_AdjustmentBudAmnt,Sheet1!S71_SA34Code,$AC:$AC,Sheet1!S71_A5CapexCode,$AD:$AD)</f>
        <v>0</v>
      </c>
      <c r="I38" s="725">
        <f>SUMIFS(Sheet1!S71_ASBudgetAmount,Sheet1!S71_SA34Code,$AC:$AC,Sheet1!S71_A5CapexCode,$AD:$AD)</f>
        <v>0</v>
      </c>
      <c r="J38" s="712">
        <f>SUMIFS(Sheet1!S71_OY1BudgetAmount,Sheet1!S71_SA34Code,$AC:$AC,Sheet1!S71_A5CapexCode,$AD:$AD)</f>
        <v>0</v>
      </c>
      <c r="K38" s="713">
        <f>SUMIFS(Sheet1!S71_OY2BudgetAmount,Sheet1!S71_SA34Code,$AC:$AC,Sheet1!S71_A5CapexCode,$AD:$AD)</f>
        <v>0</v>
      </c>
      <c r="L38" s="2126"/>
      <c r="AC38" s="2320" t="s">
        <v>2807</v>
      </c>
      <c r="AD38" s="2320" t="s">
        <v>2805</v>
      </c>
    </row>
    <row r="39" spans="1:30" s="377" customFormat="1" ht="13.5" x14ac:dyDescent="0.25">
      <c r="A39" s="2125" t="s">
        <v>25</v>
      </c>
      <c r="B39" s="144"/>
      <c r="C39" s="712">
        <f>SUMIFS(Sheet1!S71_PPPYearAmount,Sheet1!S71_SA34Code,$AC:$AC,Sheet1!S71_A5CapexCode,$AD:$AD)</f>
        <v>0</v>
      </c>
      <c r="D39" s="712">
        <f>SUMIFS(Sheet1!S71_PPYearAmount,Sheet1!S71_SA34Code,$AC:$AC,Sheet1!S71_A5CapexCode,$AD:$AD)</f>
        <v>0</v>
      </c>
      <c r="E39" s="715">
        <f>SUMIFS(Sheet1!S71_PYearAmount,Sheet1!S71_SA34Code,$AC:$AC,Sheet1!S71_A5CapexCode,$AD:$AD)</f>
        <v>0</v>
      </c>
      <c r="F39" s="725">
        <f>SUMIFS(Sheet1!S71_OriginalBudAmnt,Sheet1!S71_SA34Code,$AC:$AC,Sheet1!S71_A5CapexCode,$AD:$AD)</f>
        <v>0</v>
      </c>
      <c r="G39" s="712">
        <f>SUMIFS(Sheet1!S71_AdjustmentBudAmnt,Sheet1!S71_SA34Code,$AC:$AC,Sheet1!S71_A5CapexCode,$AD:$AD)</f>
        <v>0</v>
      </c>
      <c r="H39" s="713">
        <f>SUMIFS(Sheet1!S71_AdjustmentBudAmnt,Sheet1!S71_SA34Code,$AC:$AC,Sheet1!S71_A5CapexCode,$AD:$AD)</f>
        <v>0</v>
      </c>
      <c r="I39" s="725">
        <f>SUMIFS(Sheet1!S71_ASBudgetAmount,Sheet1!S71_SA34Code,$AC:$AC,Sheet1!S71_A5CapexCode,$AD:$AD)</f>
        <v>0</v>
      </c>
      <c r="J39" s="712">
        <f>SUMIFS(Sheet1!S71_OY1BudgetAmount,Sheet1!S71_SA34Code,$AC:$AC,Sheet1!S71_A5CapexCode,$AD:$AD)</f>
        <v>0</v>
      </c>
      <c r="K39" s="713">
        <f>SUMIFS(Sheet1!S71_OY2BudgetAmount,Sheet1!S71_SA34Code,$AC:$AC,Sheet1!S71_A5CapexCode,$AD:$AD)</f>
        <v>0</v>
      </c>
      <c r="L39" s="2126"/>
      <c r="AC39" s="2320" t="s">
        <v>2837</v>
      </c>
      <c r="AD39" s="2320" t="s">
        <v>2805</v>
      </c>
    </row>
    <row r="40" spans="1:30" s="377" customFormat="1" ht="13.5" x14ac:dyDescent="0.25">
      <c r="A40" s="2125" t="s">
        <v>2256</v>
      </c>
      <c r="B40" s="144"/>
      <c r="C40" s="712">
        <f>SUMIFS(Sheet1!S71_PPPYearAmount,Sheet1!S71_SA34Code,$AC:$AC,Sheet1!S71_A5CapexCode,$AD:$AD)</f>
        <v>0</v>
      </c>
      <c r="D40" s="712">
        <f>SUMIFS(Sheet1!S71_PPYearAmount,Sheet1!S71_SA34Code,$AC:$AC,Sheet1!S71_A5CapexCode,$AD:$AD)</f>
        <v>0</v>
      </c>
      <c r="E40" s="715">
        <f>SUMIFS(Sheet1!S71_PYearAmount,Sheet1!S71_SA34Code,$AC:$AC,Sheet1!S71_A5CapexCode,$AD:$AD)</f>
        <v>0</v>
      </c>
      <c r="F40" s="725">
        <f>SUMIFS(Sheet1!S71_OriginalBudAmnt,Sheet1!S71_SA34Code,$AC:$AC,Sheet1!S71_A5CapexCode,$AD:$AD)</f>
        <v>0</v>
      </c>
      <c r="G40" s="712">
        <f>SUMIFS(Sheet1!S71_AdjustmentBudAmnt,Sheet1!S71_SA34Code,$AC:$AC,Sheet1!S71_A5CapexCode,$AD:$AD)</f>
        <v>0</v>
      </c>
      <c r="H40" s="713">
        <f>SUMIFS(Sheet1!S71_AdjustmentBudAmnt,Sheet1!S71_SA34Code,$AC:$AC,Sheet1!S71_A5CapexCode,$AD:$AD)</f>
        <v>0</v>
      </c>
      <c r="I40" s="725">
        <f>SUMIFS(Sheet1!S71_ASBudgetAmount,Sheet1!S71_SA34Code,$AC:$AC,Sheet1!S71_A5CapexCode,$AD:$AD)</f>
        <v>0</v>
      </c>
      <c r="J40" s="712">
        <f>SUMIFS(Sheet1!S71_OY1BudgetAmount,Sheet1!S71_SA34Code,$AC:$AC,Sheet1!S71_A5CapexCode,$AD:$AD)</f>
        <v>0</v>
      </c>
      <c r="K40" s="713">
        <f>SUMIFS(Sheet1!S71_OY2BudgetAmount,Sheet1!S71_SA34Code,$AC:$AC,Sheet1!S71_A5CapexCode,$AD:$AD)</f>
        <v>0</v>
      </c>
      <c r="L40" s="2126"/>
      <c r="AC40" s="2320" t="s">
        <v>2838</v>
      </c>
      <c r="AD40" s="2320" t="s">
        <v>2805</v>
      </c>
    </row>
    <row r="41" spans="1:30" s="377" customFormat="1" ht="13.5" x14ac:dyDescent="0.25">
      <c r="A41" s="2125" t="s">
        <v>2257</v>
      </c>
      <c r="B41" s="144"/>
      <c r="C41" s="712">
        <f>SUMIFS(Sheet1!S71_PPPYearAmount,Sheet1!S71_SA34Code,$AC:$AC,Sheet1!S71_A5CapexCode,$AD:$AD)</f>
        <v>0</v>
      </c>
      <c r="D41" s="712">
        <f>SUMIFS(Sheet1!S71_PPYearAmount,Sheet1!S71_SA34Code,$AC:$AC,Sheet1!S71_A5CapexCode,$AD:$AD)</f>
        <v>0</v>
      </c>
      <c r="E41" s="715">
        <f>SUMIFS(Sheet1!S71_PYearAmount,Sheet1!S71_SA34Code,$AC:$AC,Sheet1!S71_A5CapexCode,$AD:$AD)</f>
        <v>0</v>
      </c>
      <c r="F41" s="725">
        <f>SUMIFS(Sheet1!S71_OriginalBudAmnt,Sheet1!S71_SA34Code,$AC:$AC,Sheet1!S71_A5CapexCode,$AD:$AD)</f>
        <v>0</v>
      </c>
      <c r="G41" s="712">
        <f>SUMIFS(Sheet1!S71_AdjustmentBudAmnt,Sheet1!S71_SA34Code,$AC:$AC,Sheet1!S71_A5CapexCode,$AD:$AD)</f>
        <v>0</v>
      </c>
      <c r="H41" s="713">
        <f>SUMIFS(Sheet1!S71_AdjustmentBudAmnt,Sheet1!S71_SA34Code,$AC:$AC,Sheet1!S71_A5CapexCode,$AD:$AD)</f>
        <v>0</v>
      </c>
      <c r="I41" s="725">
        <f>SUMIFS(Sheet1!S71_ASBudgetAmount,Sheet1!S71_SA34Code,$AC:$AC,Sheet1!S71_A5CapexCode,$AD:$AD)</f>
        <v>0</v>
      </c>
      <c r="J41" s="712">
        <f>SUMIFS(Sheet1!S71_OY1BudgetAmount,Sheet1!S71_SA34Code,$AC:$AC,Sheet1!S71_A5CapexCode,$AD:$AD)</f>
        <v>0</v>
      </c>
      <c r="K41" s="713">
        <f>SUMIFS(Sheet1!S71_OY2BudgetAmount,Sheet1!S71_SA34Code,$AC:$AC,Sheet1!S71_A5CapexCode,$AD:$AD)</f>
        <v>0</v>
      </c>
      <c r="L41" s="2126"/>
      <c r="AC41" s="2320" t="s">
        <v>2839</v>
      </c>
      <c r="AD41" s="2320" t="s">
        <v>2805</v>
      </c>
    </row>
    <row r="42" spans="1:30" s="377" customFormat="1" ht="13.5" x14ac:dyDescent="0.25">
      <c r="A42" s="2125" t="s">
        <v>2258</v>
      </c>
      <c r="B42" s="144"/>
      <c r="C42" s="712">
        <f>SUMIFS(Sheet1!S71_PPPYearAmount,Sheet1!S71_SA34Code,$AC:$AC,Sheet1!S71_A5CapexCode,$AD:$AD)</f>
        <v>0</v>
      </c>
      <c r="D42" s="712">
        <f>SUMIFS(Sheet1!S71_PPYearAmount,Sheet1!S71_SA34Code,$AC:$AC,Sheet1!S71_A5CapexCode,$AD:$AD)</f>
        <v>0</v>
      </c>
      <c r="E42" s="715">
        <f>SUMIFS(Sheet1!S71_PYearAmount,Sheet1!S71_SA34Code,$AC:$AC,Sheet1!S71_A5CapexCode,$AD:$AD)</f>
        <v>0</v>
      </c>
      <c r="F42" s="725">
        <f>SUMIFS(Sheet1!S71_OriginalBudAmnt,Sheet1!S71_SA34Code,$AC:$AC,Sheet1!S71_A5CapexCode,$AD:$AD)</f>
        <v>0</v>
      </c>
      <c r="G42" s="712">
        <f>SUMIFS(Sheet1!S71_AdjustmentBudAmnt,Sheet1!S71_SA34Code,$AC:$AC,Sheet1!S71_A5CapexCode,$AD:$AD)</f>
        <v>0</v>
      </c>
      <c r="H42" s="713">
        <f>SUMIFS(Sheet1!S71_AdjustmentBudAmnt,Sheet1!S71_SA34Code,$AC:$AC,Sheet1!S71_A5CapexCode,$AD:$AD)</f>
        <v>0</v>
      </c>
      <c r="I42" s="725">
        <f>SUMIFS(Sheet1!S71_ASBudgetAmount,Sheet1!S71_SA34Code,$AC:$AC,Sheet1!S71_A5CapexCode,$AD:$AD)</f>
        <v>0</v>
      </c>
      <c r="J42" s="712">
        <f>SUMIFS(Sheet1!S71_OY1BudgetAmount,Sheet1!S71_SA34Code,$AC:$AC,Sheet1!S71_A5CapexCode,$AD:$AD)</f>
        <v>0</v>
      </c>
      <c r="K42" s="713">
        <f>SUMIFS(Sheet1!S71_OY2BudgetAmount,Sheet1!S71_SA34Code,$AC:$AC,Sheet1!S71_A5CapexCode,$AD:$AD)</f>
        <v>0</v>
      </c>
      <c r="L42" s="2126"/>
      <c r="AC42" s="2320" t="s">
        <v>2787</v>
      </c>
      <c r="AD42" s="2320" t="s">
        <v>2805</v>
      </c>
    </row>
    <row r="43" spans="1:30" s="377" customFormat="1" ht="13.5" x14ac:dyDescent="0.25">
      <c r="A43" s="2125" t="s">
        <v>2233</v>
      </c>
      <c r="B43" s="144"/>
      <c r="C43" s="712">
        <f>SUMIFS(Sheet1!S71_PPPYearAmount,Sheet1!S71_SA34Code,$AC:$AC,Sheet1!S71_A5CapexCode,$AD:$AD)</f>
        <v>0</v>
      </c>
      <c r="D43" s="712">
        <f>SUMIFS(Sheet1!S71_PPYearAmount,Sheet1!S71_SA34Code,$AC:$AC,Sheet1!S71_A5CapexCode,$AD:$AD)</f>
        <v>0</v>
      </c>
      <c r="E43" s="715">
        <f>SUMIFS(Sheet1!S71_PYearAmount,Sheet1!S71_SA34Code,$AC:$AC,Sheet1!S71_A5CapexCode,$AD:$AD)</f>
        <v>0</v>
      </c>
      <c r="F43" s="725">
        <f>SUMIFS(Sheet1!S71_OriginalBudAmnt,Sheet1!S71_SA34Code,$AC:$AC,Sheet1!S71_A5CapexCode,$AD:$AD)</f>
        <v>0</v>
      </c>
      <c r="G43" s="712">
        <f>SUMIFS(Sheet1!S71_AdjustmentBudAmnt,Sheet1!S71_SA34Code,$AC:$AC,Sheet1!S71_A5CapexCode,$AD:$AD)</f>
        <v>0</v>
      </c>
      <c r="H43" s="713">
        <f>SUMIFS(Sheet1!S71_AdjustmentBudAmnt,Sheet1!S71_SA34Code,$AC:$AC,Sheet1!S71_A5CapexCode,$AD:$AD)</f>
        <v>0</v>
      </c>
      <c r="I43" s="725">
        <f>SUMIFS(Sheet1!S71_ASBudgetAmount,Sheet1!S71_SA34Code,$AC:$AC,Sheet1!S71_A5CapexCode,$AD:$AD)</f>
        <v>0</v>
      </c>
      <c r="J43" s="712">
        <f>SUMIFS(Sheet1!S71_OY1BudgetAmount,Sheet1!S71_SA34Code,$AC:$AC,Sheet1!S71_A5CapexCode,$AD:$AD)</f>
        <v>0</v>
      </c>
      <c r="K43" s="713">
        <f>SUMIFS(Sheet1!S71_OY2BudgetAmount,Sheet1!S71_SA34Code,$AC:$AC,Sheet1!S71_A5CapexCode,$AD:$AD)</f>
        <v>0</v>
      </c>
      <c r="L43" s="2126"/>
      <c r="AC43" s="2320" t="s">
        <v>2788</v>
      </c>
      <c r="AD43" s="2320" t="s">
        <v>2805</v>
      </c>
    </row>
    <row r="44" spans="1:30" s="377" customFormat="1" ht="13.5" x14ac:dyDescent="0.25">
      <c r="A44" s="137" t="s">
        <v>2259</v>
      </c>
      <c r="B44" s="144"/>
      <c r="C44" s="71">
        <f>SUM(C45:C51)</f>
        <v>0</v>
      </c>
      <c r="D44" s="71">
        <f t="shared" ref="D44:K44" si="6">SUM(D45:D51)</f>
        <v>0</v>
      </c>
      <c r="E44" s="305">
        <f t="shared" si="6"/>
        <v>0</v>
      </c>
      <c r="F44" s="75">
        <f t="shared" si="6"/>
        <v>0</v>
      </c>
      <c r="G44" s="71">
        <f t="shared" si="6"/>
        <v>0</v>
      </c>
      <c r="H44" s="117">
        <f t="shared" si="6"/>
        <v>0</v>
      </c>
      <c r="I44" s="75">
        <f t="shared" si="6"/>
        <v>0</v>
      </c>
      <c r="J44" s="71">
        <f t="shared" si="6"/>
        <v>0</v>
      </c>
      <c r="K44" s="117">
        <f t="shared" si="6"/>
        <v>0</v>
      </c>
      <c r="L44" s="2126"/>
      <c r="AC44" s="2320"/>
      <c r="AD44" s="2320" t="s">
        <v>2805</v>
      </c>
    </row>
    <row r="45" spans="1:30" s="377" customFormat="1" ht="13.5" x14ac:dyDescent="0.25">
      <c r="A45" s="2125" t="s">
        <v>2260</v>
      </c>
      <c r="B45" s="144"/>
      <c r="C45" s="712">
        <f>SUMIFS(Sheet1!S71_PPPYearAmount,Sheet1!S71_SA34Code,$AC:$AC,Sheet1!S71_A5CapexCode,$AD:$AD)</f>
        <v>0</v>
      </c>
      <c r="D45" s="712">
        <f>SUMIFS(Sheet1!S71_PPYearAmount,Sheet1!S71_SA34Code,$AC:$AC,Sheet1!S71_A5CapexCode,$AD:$AD)</f>
        <v>0</v>
      </c>
      <c r="E45" s="715">
        <f>SUMIFS(Sheet1!S71_PYearAmount,Sheet1!S71_SA34Code,$AC:$AC,Sheet1!S71_A5CapexCode,$AD:$AD)</f>
        <v>0</v>
      </c>
      <c r="F45" s="725">
        <f>SUMIFS(Sheet1!S71_OriginalBudAmnt,Sheet1!S71_SA34Code,$AC:$AC,Sheet1!S71_A5CapexCode,$AD:$AD)</f>
        <v>0</v>
      </c>
      <c r="G45" s="712">
        <f>SUMIFS(Sheet1!S71_AdjustmentBudAmnt,Sheet1!S71_SA34Code,$AC:$AC,Sheet1!S71_A5CapexCode,$AD:$AD)</f>
        <v>0</v>
      </c>
      <c r="H45" s="713">
        <f>SUMIFS(Sheet1!S71_AdjustmentBudAmnt,Sheet1!S71_SA34Code,$AC:$AC,Sheet1!S71_A5CapexCode,$AD:$AD)</f>
        <v>0</v>
      </c>
      <c r="I45" s="725">
        <f>SUMIFS(Sheet1!S71_ASBudgetAmount,Sheet1!S71_SA34Code,$AC:$AC,Sheet1!S71_A5CapexCode,$AD:$AD)</f>
        <v>0</v>
      </c>
      <c r="J45" s="712">
        <f>SUMIFS(Sheet1!S71_OY1BudgetAmount,Sheet1!S71_SA34Code,$AC:$AC,Sheet1!S71_A5CapexCode,$AD:$AD)</f>
        <v>0</v>
      </c>
      <c r="K45" s="713">
        <f>SUMIFS(Sheet1!S71_OY2BudgetAmount,Sheet1!S71_SA34Code,$AC:$AC,Sheet1!S71_A5CapexCode,$AD:$AD)</f>
        <v>0</v>
      </c>
      <c r="L45" s="2126"/>
      <c r="AC45" s="2320" t="s">
        <v>2840</v>
      </c>
      <c r="AD45" s="2320" t="s">
        <v>2805</v>
      </c>
    </row>
    <row r="46" spans="1:30" s="377" customFormat="1" ht="13.5" x14ac:dyDescent="0.25">
      <c r="A46" s="2125" t="s">
        <v>2261</v>
      </c>
      <c r="B46" s="144"/>
      <c r="C46" s="712">
        <f>SUMIFS(Sheet1!S71_PPPYearAmount,Sheet1!S71_SA34Code,$AC:$AC,Sheet1!S71_A5CapexCode,$AD:$AD)</f>
        <v>0</v>
      </c>
      <c r="D46" s="712">
        <f>SUMIFS(Sheet1!S71_PPYearAmount,Sheet1!S71_SA34Code,$AC:$AC,Sheet1!S71_A5CapexCode,$AD:$AD)</f>
        <v>0</v>
      </c>
      <c r="E46" s="715">
        <f>SUMIFS(Sheet1!S71_PYearAmount,Sheet1!S71_SA34Code,$AC:$AC,Sheet1!S71_A5CapexCode,$AD:$AD)</f>
        <v>0</v>
      </c>
      <c r="F46" s="725">
        <f>SUMIFS(Sheet1!S71_OriginalBudAmnt,Sheet1!S71_SA34Code,$AC:$AC,Sheet1!S71_A5CapexCode,$AD:$AD)</f>
        <v>0</v>
      </c>
      <c r="G46" s="712">
        <f>SUMIFS(Sheet1!S71_AdjustmentBudAmnt,Sheet1!S71_SA34Code,$AC:$AC,Sheet1!S71_A5CapexCode,$AD:$AD)</f>
        <v>0</v>
      </c>
      <c r="H46" s="713">
        <f>SUMIFS(Sheet1!S71_AdjustmentBudAmnt,Sheet1!S71_SA34Code,$AC:$AC,Sheet1!S71_A5CapexCode,$AD:$AD)</f>
        <v>0</v>
      </c>
      <c r="I46" s="725">
        <f>SUMIFS(Sheet1!S71_ASBudgetAmount,Sheet1!S71_SA34Code,$AC:$AC,Sheet1!S71_A5CapexCode,$AD:$AD)</f>
        <v>0</v>
      </c>
      <c r="J46" s="712">
        <f>SUMIFS(Sheet1!S71_OY1BudgetAmount,Sheet1!S71_SA34Code,$AC:$AC,Sheet1!S71_A5CapexCode,$AD:$AD)</f>
        <v>0</v>
      </c>
      <c r="K46" s="713">
        <f>SUMIFS(Sheet1!S71_OY2BudgetAmount,Sheet1!S71_SA34Code,$AC:$AC,Sheet1!S71_A5CapexCode,$AD:$AD)</f>
        <v>0</v>
      </c>
      <c r="L46" s="2126"/>
      <c r="AC46" s="2320" t="s">
        <v>2699</v>
      </c>
      <c r="AD46" s="2320" t="s">
        <v>2805</v>
      </c>
    </row>
    <row r="47" spans="1:30" s="377" customFormat="1" ht="13.5" x14ac:dyDescent="0.25">
      <c r="A47" s="2125" t="s">
        <v>2262</v>
      </c>
      <c r="B47" s="144"/>
      <c r="C47" s="712">
        <f>SUMIFS(Sheet1!S71_PPPYearAmount,Sheet1!S71_SA34Code,$AC:$AC,Sheet1!S71_A5CapexCode,$AD:$AD)</f>
        <v>0</v>
      </c>
      <c r="D47" s="712">
        <f>SUMIFS(Sheet1!S71_PPYearAmount,Sheet1!S71_SA34Code,$AC:$AC,Sheet1!S71_A5CapexCode,$AD:$AD)</f>
        <v>0</v>
      </c>
      <c r="E47" s="715">
        <f>SUMIFS(Sheet1!S71_PYearAmount,Sheet1!S71_SA34Code,$AC:$AC,Sheet1!S71_A5CapexCode,$AD:$AD)</f>
        <v>0</v>
      </c>
      <c r="F47" s="725">
        <f>SUMIFS(Sheet1!S71_OriginalBudAmnt,Sheet1!S71_SA34Code,$AC:$AC,Sheet1!S71_A5CapexCode,$AD:$AD)</f>
        <v>0</v>
      </c>
      <c r="G47" s="712">
        <f>SUMIFS(Sheet1!S71_AdjustmentBudAmnt,Sheet1!S71_SA34Code,$AC:$AC,Sheet1!S71_A5CapexCode,$AD:$AD)</f>
        <v>0</v>
      </c>
      <c r="H47" s="713">
        <f>SUMIFS(Sheet1!S71_AdjustmentBudAmnt,Sheet1!S71_SA34Code,$AC:$AC,Sheet1!S71_A5CapexCode,$AD:$AD)</f>
        <v>0</v>
      </c>
      <c r="I47" s="725">
        <f>SUMIFS(Sheet1!S71_ASBudgetAmount,Sheet1!S71_SA34Code,$AC:$AC,Sheet1!S71_A5CapexCode,$AD:$AD)</f>
        <v>0</v>
      </c>
      <c r="J47" s="712">
        <f>SUMIFS(Sheet1!S71_OY1BudgetAmount,Sheet1!S71_SA34Code,$AC:$AC,Sheet1!S71_A5CapexCode,$AD:$AD)</f>
        <v>0</v>
      </c>
      <c r="K47" s="713">
        <f>SUMIFS(Sheet1!S71_OY2BudgetAmount,Sheet1!S71_SA34Code,$AC:$AC,Sheet1!S71_A5CapexCode,$AD:$AD)</f>
        <v>0</v>
      </c>
      <c r="L47" s="2126"/>
      <c r="AC47" s="2320" t="s">
        <v>2841</v>
      </c>
      <c r="AD47" s="2320" t="s">
        <v>2805</v>
      </c>
    </row>
    <row r="48" spans="1:30" s="377" customFormat="1" ht="13.5" x14ac:dyDescent="0.25">
      <c r="A48" s="2125" t="s">
        <v>2263</v>
      </c>
      <c r="B48" s="144"/>
      <c r="C48" s="712">
        <f>SUMIFS(Sheet1!S71_PPPYearAmount,Sheet1!S71_SA34Code,$AC:$AC,Sheet1!S71_A5CapexCode,$AD:$AD)</f>
        <v>0</v>
      </c>
      <c r="D48" s="712">
        <f>SUMIFS(Sheet1!S71_PPYearAmount,Sheet1!S71_SA34Code,$AC:$AC,Sheet1!S71_A5CapexCode,$AD:$AD)</f>
        <v>0</v>
      </c>
      <c r="E48" s="715">
        <f>SUMIFS(Sheet1!S71_PYearAmount,Sheet1!S71_SA34Code,$AC:$AC,Sheet1!S71_A5CapexCode,$AD:$AD)</f>
        <v>0</v>
      </c>
      <c r="F48" s="725">
        <f>SUMIFS(Sheet1!S71_OriginalBudAmnt,Sheet1!S71_SA34Code,$AC:$AC,Sheet1!S71_A5CapexCode,$AD:$AD)</f>
        <v>0</v>
      </c>
      <c r="G48" s="712">
        <f>SUMIFS(Sheet1!S71_AdjustmentBudAmnt,Sheet1!S71_SA34Code,$AC:$AC,Sheet1!S71_A5CapexCode,$AD:$AD)</f>
        <v>0</v>
      </c>
      <c r="H48" s="713">
        <f>SUMIFS(Sheet1!S71_AdjustmentBudAmnt,Sheet1!S71_SA34Code,$AC:$AC,Sheet1!S71_A5CapexCode,$AD:$AD)</f>
        <v>0</v>
      </c>
      <c r="I48" s="725">
        <f>SUMIFS(Sheet1!S71_ASBudgetAmount,Sheet1!S71_SA34Code,$AC:$AC,Sheet1!S71_A5CapexCode,$AD:$AD)</f>
        <v>0</v>
      </c>
      <c r="J48" s="712">
        <f>SUMIFS(Sheet1!S71_OY1BudgetAmount,Sheet1!S71_SA34Code,$AC:$AC,Sheet1!S71_A5CapexCode,$AD:$AD)</f>
        <v>0</v>
      </c>
      <c r="K48" s="713">
        <f>SUMIFS(Sheet1!S71_OY2BudgetAmount,Sheet1!S71_SA34Code,$AC:$AC,Sheet1!S71_A5CapexCode,$AD:$AD)</f>
        <v>0</v>
      </c>
      <c r="L48" s="2126"/>
      <c r="AC48" s="2320" t="s">
        <v>2842</v>
      </c>
      <c r="AD48" s="2320" t="s">
        <v>2805</v>
      </c>
    </row>
    <row r="49" spans="1:30" s="377" customFormat="1" ht="13.5" x14ac:dyDescent="0.25">
      <c r="A49" s="2125" t="s">
        <v>2264</v>
      </c>
      <c r="B49" s="144"/>
      <c r="C49" s="712">
        <f>SUMIFS(Sheet1!S71_PPPYearAmount,Sheet1!S71_SA34Code,$AC:$AC,Sheet1!S71_A5CapexCode,$AD:$AD)</f>
        <v>0</v>
      </c>
      <c r="D49" s="712">
        <f>SUMIFS(Sheet1!S71_PPYearAmount,Sheet1!S71_SA34Code,$AC:$AC,Sheet1!S71_A5CapexCode,$AD:$AD)</f>
        <v>0</v>
      </c>
      <c r="E49" s="715">
        <f>SUMIFS(Sheet1!S71_PYearAmount,Sheet1!S71_SA34Code,$AC:$AC,Sheet1!S71_A5CapexCode,$AD:$AD)</f>
        <v>0</v>
      </c>
      <c r="F49" s="725">
        <f>SUMIFS(Sheet1!S71_OriginalBudAmnt,Sheet1!S71_SA34Code,$AC:$AC,Sheet1!S71_A5CapexCode,$AD:$AD)</f>
        <v>0</v>
      </c>
      <c r="G49" s="712">
        <f>SUMIFS(Sheet1!S71_AdjustmentBudAmnt,Sheet1!S71_SA34Code,$AC:$AC,Sheet1!S71_A5CapexCode,$AD:$AD)</f>
        <v>0</v>
      </c>
      <c r="H49" s="713">
        <f>SUMIFS(Sheet1!S71_AdjustmentBudAmnt,Sheet1!S71_SA34Code,$AC:$AC,Sheet1!S71_A5CapexCode,$AD:$AD)</f>
        <v>0</v>
      </c>
      <c r="I49" s="725">
        <f>SUMIFS(Sheet1!S71_ASBudgetAmount,Sheet1!S71_SA34Code,$AC:$AC,Sheet1!S71_A5CapexCode,$AD:$AD)</f>
        <v>0</v>
      </c>
      <c r="J49" s="712">
        <f>SUMIFS(Sheet1!S71_OY1BudgetAmount,Sheet1!S71_SA34Code,$AC:$AC,Sheet1!S71_A5CapexCode,$AD:$AD)</f>
        <v>0</v>
      </c>
      <c r="K49" s="713">
        <f>SUMIFS(Sheet1!S71_OY2BudgetAmount,Sheet1!S71_SA34Code,$AC:$AC,Sheet1!S71_A5CapexCode,$AD:$AD)</f>
        <v>0</v>
      </c>
      <c r="L49" s="2126"/>
      <c r="AC49" s="2320" t="s">
        <v>2843</v>
      </c>
      <c r="AD49" s="2320" t="s">
        <v>2805</v>
      </c>
    </row>
    <row r="50" spans="1:30" s="377" customFormat="1" ht="13.5" x14ac:dyDescent="0.25">
      <c r="A50" s="2125" t="s">
        <v>2265</v>
      </c>
      <c r="B50" s="144"/>
      <c r="C50" s="712">
        <f>SUMIFS(Sheet1!S71_PPPYearAmount,Sheet1!S71_SA34Code,$AC:$AC,Sheet1!S71_A5CapexCode,$AD:$AD)</f>
        <v>0</v>
      </c>
      <c r="D50" s="712">
        <f>SUMIFS(Sheet1!S71_PPYearAmount,Sheet1!S71_SA34Code,$AC:$AC,Sheet1!S71_A5CapexCode,$AD:$AD)</f>
        <v>0</v>
      </c>
      <c r="E50" s="715">
        <f>SUMIFS(Sheet1!S71_PYearAmount,Sheet1!S71_SA34Code,$AC:$AC,Sheet1!S71_A5CapexCode,$AD:$AD)</f>
        <v>0</v>
      </c>
      <c r="F50" s="725">
        <f>SUMIFS(Sheet1!S71_OriginalBudAmnt,Sheet1!S71_SA34Code,$AC:$AC,Sheet1!S71_A5CapexCode,$AD:$AD)</f>
        <v>0</v>
      </c>
      <c r="G50" s="712">
        <f>SUMIFS(Sheet1!S71_AdjustmentBudAmnt,Sheet1!S71_SA34Code,$AC:$AC,Sheet1!S71_A5CapexCode,$AD:$AD)</f>
        <v>0</v>
      </c>
      <c r="H50" s="713">
        <f>SUMIFS(Sheet1!S71_AdjustmentBudAmnt,Sheet1!S71_SA34Code,$AC:$AC,Sheet1!S71_A5CapexCode,$AD:$AD)</f>
        <v>0</v>
      </c>
      <c r="I50" s="725">
        <f>SUMIFS(Sheet1!S71_ASBudgetAmount,Sheet1!S71_SA34Code,$AC:$AC,Sheet1!S71_A5CapexCode,$AD:$AD)</f>
        <v>0</v>
      </c>
      <c r="J50" s="712">
        <f>SUMIFS(Sheet1!S71_OY1BudgetAmount,Sheet1!S71_SA34Code,$AC:$AC,Sheet1!S71_A5CapexCode,$AD:$AD)</f>
        <v>0</v>
      </c>
      <c r="K50" s="713">
        <f>SUMIFS(Sheet1!S71_OY2BudgetAmount,Sheet1!S71_SA34Code,$AC:$AC,Sheet1!S71_A5CapexCode,$AD:$AD)</f>
        <v>0</v>
      </c>
      <c r="L50" s="2126"/>
      <c r="AC50" s="2320" t="s">
        <v>2844</v>
      </c>
      <c r="AD50" s="2320" t="s">
        <v>2805</v>
      </c>
    </row>
    <row r="51" spans="1:30" s="377" customFormat="1" ht="13.5" x14ac:dyDescent="0.25">
      <c r="A51" s="2125" t="s">
        <v>2233</v>
      </c>
      <c r="B51" s="144"/>
      <c r="C51" s="712">
        <f>SUMIFS(Sheet1!S71_PPPYearAmount,Sheet1!S71_SA34Code,$AC:$AC,Sheet1!S71_A5CapexCode,$AD:$AD)</f>
        <v>0</v>
      </c>
      <c r="D51" s="712">
        <f>SUMIFS(Sheet1!S71_PPYearAmount,Sheet1!S71_SA34Code,$AC:$AC,Sheet1!S71_A5CapexCode,$AD:$AD)</f>
        <v>0</v>
      </c>
      <c r="E51" s="715">
        <f>SUMIFS(Sheet1!S71_PYearAmount,Sheet1!S71_SA34Code,$AC:$AC,Sheet1!S71_A5CapexCode,$AD:$AD)</f>
        <v>0</v>
      </c>
      <c r="F51" s="725">
        <f>SUMIFS(Sheet1!S71_OriginalBudAmnt,Sheet1!S71_SA34Code,$AC:$AC,Sheet1!S71_A5CapexCode,$AD:$AD)</f>
        <v>0</v>
      </c>
      <c r="G51" s="712">
        <f>SUMIFS(Sheet1!S71_AdjustmentBudAmnt,Sheet1!S71_SA34Code,$AC:$AC,Sheet1!S71_A5CapexCode,$AD:$AD)</f>
        <v>0</v>
      </c>
      <c r="H51" s="713">
        <f>SUMIFS(Sheet1!S71_AdjustmentBudAmnt,Sheet1!S71_SA34Code,$AC:$AC,Sheet1!S71_A5CapexCode,$AD:$AD)</f>
        <v>0</v>
      </c>
      <c r="I51" s="725">
        <f>SUMIFS(Sheet1!S71_ASBudgetAmount,Sheet1!S71_SA34Code,$AC:$AC,Sheet1!S71_A5CapexCode,$AD:$AD)</f>
        <v>0</v>
      </c>
      <c r="J51" s="712">
        <f>SUMIFS(Sheet1!S71_OY1BudgetAmount,Sheet1!S71_SA34Code,$AC:$AC,Sheet1!S71_A5CapexCode,$AD:$AD)</f>
        <v>0</v>
      </c>
      <c r="K51" s="713">
        <f>SUMIFS(Sheet1!S71_OY2BudgetAmount,Sheet1!S71_SA34Code,$AC:$AC,Sheet1!S71_A5CapexCode,$AD:$AD)</f>
        <v>0</v>
      </c>
      <c r="L51" s="2126"/>
      <c r="AC51" s="2320" t="s">
        <v>2845</v>
      </c>
      <c r="AD51" s="2320" t="s">
        <v>2805</v>
      </c>
    </row>
    <row r="52" spans="1:30" s="377" customFormat="1" ht="13.5" x14ac:dyDescent="0.25">
      <c r="A52" s="104" t="s">
        <v>2275</v>
      </c>
      <c r="B52" s="144"/>
      <c r="C52" s="71">
        <f t="shared" ref="C52:K52" si="7">SUM(C53:C61)</f>
        <v>0</v>
      </c>
      <c r="D52" s="71">
        <f t="shared" si="7"/>
        <v>0</v>
      </c>
      <c r="E52" s="305">
        <f t="shared" si="7"/>
        <v>0</v>
      </c>
      <c r="F52" s="75">
        <f t="shared" si="7"/>
        <v>0</v>
      </c>
      <c r="G52" s="71">
        <f t="shared" si="7"/>
        <v>0</v>
      </c>
      <c r="H52" s="117">
        <f t="shared" si="7"/>
        <v>0</v>
      </c>
      <c r="I52" s="75">
        <f t="shared" si="7"/>
        <v>0</v>
      </c>
      <c r="J52" s="71">
        <f t="shared" si="7"/>
        <v>0</v>
      </c>
      <c r="K52" s="117">
        <f t="shared" si="7"/>
        <v>0</v>
      </c>
      <c r="L52" s="2126"/>
      <c r="AC52" s="2320"/>
      <c r="AD52" s="2320" t="s">
        <v>2805</v>
      </c>
    </row>
    <row r="53" spans="1:30" s="377" customFormat="1" ht="13.5" x14ac:dyDescent="0.25">
      <c r="A53" s="2125" t="s">
        <v>2276</v>
      </c>
      <c r="B53" s="144"/>
      <c r="C53" s="712">
        <f>SUMIFS(Sheet1!S71_PPPYearAmount,Sheet1!S71_SA34Code,$AC:$AC,Sheet1!S71_A5CapexCode,$AD:$AD)</f>
        <v>0</v>
      </c>
      <c r="D53" s="712">
        <f>SUMIFS(Sheet1!S71_PPYearAmount,Sheet1!S71_SA34Code,$AC:$AC,Sheet1!S71_A5CapexCode,$AD:$AD)</f>
        <v>0</v>
      </c>
      <c r="E53" s="715">
        <f>SUMIFS(Sheet1!S71_PYearAmount,Sheet1!S71_SA34Code,$AC:$AC,Sheet1!S71_A5CapexCode,$AD:$AD)</f>
        <v>0</v>
      </c>
      <c r="F53" s="725">
        <f>SUMIFS(Sheet1!S71_OriginalBudAmnt,Sheet1!S71_SA34Code,$AC:$AC,Sheet1!S71_A5CapexCode,$AD:$AD)</f>
        <v>0</v>
      </c>
      <c r="G53" s="712">
        <f>SUMIFS(Sheet1!S71_AdjustmentBudAmnt,Sheet1!S71_SA34Code,$AC:$AC,Sheet1!S71_A5CapexCode,$AD:$AD)</f>
        <v>0</v>
      </c>
      <c r="H53" s="713">
        <f>SUMIFS(Sheet1!S71_AdjustmentBudAmnt,Sheet1!S71_SA34Code,$AC:$AC,Sheet1!S71_A5CapexCode,$AD:$AD)</f>
        <v>0</v>
      </c>
      <c r="I53" s="725">
        <f>SUMIFS(Sheet1!S71_ASBudgetAmount,Sheet1!S71_SA34Code,$AC:$AC,Sheet1!S71_A5CapexCode,$AD:$AD)</f>
        <v>0</v>
      </c>
      <c r="J53" s="712">
        <f>SUMIFS(Sheet1!S71_OY1BudgetAmount,Sheet1!S71_SA34Code,$AC:$AC,Sheet1!S71_A5CapexCode,$AD:$AD)</f>
        <v>0</v>
      </c>
      <c r="K53" s="713">
        <f>SUMIFS(Sheet1!S71_OY2BudgetAmount,Sheet1!S71_SA34Code,$AC:$AC,Sheet1!S71_A5CapexCode,$AD:$AD)</f>
        <v>0</v>
      </c>
      <c r="L53" s="2126"/>
      <c r="AC53" s="2320" t="s">
        <v>2846</v>
      </c>
      <c r="AD53" s="2320" t="s">
        <v>2805</v>
      </c>
    </row>
    <row r="54" spans="1:30" s="377" customFormat="1" ht="13.5" x14ac:dyDescent="0.25">
      <c r="A54" s="2125" t="s">
        <v>2277</v>
      </c>
      <c r="B54" s="144"/>
      <c r="C54" s="712">
        <f>SUMIFS(Sheet1!S71_PPPYearAmount,Sheet1!S71_SA34Code,$AC:$AC,Sheet1!S71_A5CapexCode,$AD:$AD)</f>
        <v>0</v>
      </c>
      <c r="D54" s="712">
        <f>SUMIFS(Sheet1!S71_PPYearAmount,Sheet1!S71_SA34Code,$AC:$AC,Sheet1!S71_A5CapexCode,$AD:$AD)</f>
        <v>0</v>
      </c>
      <c r="E54" s="715">
        <f>SUMIFS(Sheet1!S71_PYearAmount,Sheet1!S71_SA34Code,$AC:$AC,Sheet1!S71_A5CapexCode,$AD:$AD)</f>
        <v>0</v>
      </c>
      <c r="F54" s="725">
        <f>SUMIFS(Sheet1!S71_OriginalBudAmnt,Sheet1!S71_SA34Code,$AC:$AC,Sheet1!S71_A5CapexCode,$AD:$AD)</f>
        <v>0</v>
      </c>
      <c r="G54" s="712">
        <f>SUMIFS(Sheet1!S71_AdjustmentBudAmnt,Sheet1!S71_SA34Code,$AC:$AC,Sheet1!S71_A5CapexCode,$AD:$AD)</f>
        <v>0</v>
      </c>
      <c r="H54" s="713">
        <f>SUMIFS(Sheet1!S71_AdjustmentBudAmnt,Sheet1!S71_SA34Code,$AC:$AC,Sheet1!S71_A5CapexCode,$AD:$AD)</f>
        <v>0</v>
      </c>
      <c r="I54" s="725">
        <f>SUMIFS(Sheet1!S71_ASBudgetAmount,Sheet1!S71_SA34Code,$AC:$AC,Sheet1!S71_A5CapexCode,$AD:$AD)</f>
        <v>0</v>
      </c>
      <c r="J54" s="712">
        <f>SUMIFS(Sheet1!S71_OY1BudgetAmount,Sheet1!S71_SA34Code,$AC:$AC,Sheet1!S71_A5CapexCode,$AD:$AD)</f>
        <v>0</v>
      </c>
      <c r="K54" s="713">
        <f>SUMIFS(Sheet1!S71_OY2BudgetAmount,Sheet1!S71_SA34Code,$AC:$AC,Sheet1!S71_A5CapexCode,$AD:$AD)</f>
        <v>0</v>
      </c>
      <c r="L54" s="2126"/>
      <c r="AC54" s="2320" t="s">
        <v>2847</v>
      </c>
      <c r="AD54" s="2320" t="s">
        <v>2805</v>
      </c>
    </row>
    <row r="55" spans="1:30" s="377" customFormat="1" ht="13.5" x14ac:dyDescent="0.25">
      <c r="A55" s="2125" t="s">
        <v>2278</v>
      </c>
      <c r="B55" s="144"/>
      <c r="C55" s="712">
        <f>SUMIFS(Sheet1!S71_PPPYearAmount,Sheet1!S71_SA34Code,$AC:$AC,Sheet1!S71_A5CapexCode,$AD:$AD)</f>
        <v>0</v>
      </c>
      <c r="D55" s="712">
        <f>SUMIFS(Sheet1!S71_PPYearAmount,Sheet1!S71_SA34Code,$AC:$AC,Sheet1!S71_A5CapexCode,$AD:$AD)</f>
        <v>0</v>
      </c>
      <c r="E55" s="715">
        <f>SUMIFS(Sheet1!S71_PYearAmount,Sheet1!S71_SA34Code,$AC:$AC,Sheet1!S71_A5CapexCode,$AD:$AD)</f>
        <v>0</v>
      </c>
      <c r="F55" s="725">
        <f>SUMIFS(Sheet1!S71_OriginalBudAmnt,Sheet1!S71_SA34Code,$AC:$AC,Sheet1!S71_A5CapexCode,$AD:$AD)</f>
        <v>0</v>
      </c>
      <c r="G55" s="712">
        <f>SUMIFS(Sheet1!S71_AdjustmentBudAmnt,Sheet1!S71_SA34Code,$AC:$AC,Sheet1!S71_A5CapexCode,$AD:$AD)</f>
        <v>0</v>
      </c>
      <c r="H55" s="713">
        <f>SUMIFS(Sheet1!S71_AdjustmentBudAmnt,Sheet1!S71_SA34Code,$AC:$AC,Sheet1!S71_A5CapexCode,$AD:$AD)</f>
        <v>0</v>
      </c>
      <c r="I55" s="725">
        <f>SUMIFS(Sheet1!S71_ASBudgetAmount,Sheet1!S71_SA34Code,$AC:$AC,Sheet1!S71_A5CapexCode,$AD:$AD)</f>
        <v>0</v>
      </c>
      <c r="J55" s="712">
        <f>SUMIFS(Sheet1!S71_OY1BudgetAmount,Sheet1!S71_SA34Code,$AC:$AC,Sheet1!S71_A5CapexCode,$AD:$AD)</f>
        <v>0</v>
      </c>
      <c r="K55" s="713">
        <f>SUMIFS(Sheet1!S71_OY2BudgetAmount,Sheet1!S71_SA34Code,$AC:$AC,Sheet1!S71_A5CapexCode,$AD:$AD)</f>
        <v>0</v>
      </c>
      <c r="L55" s="2126"/>
      <c r="AC55" s="2320" t="s">
        <v>2848</v>
      </c>
      <c r="AD55" s="2320" t="s">
        <v>2805</v>
      </c>
    </row>
    <row r="56" spans="1:30" s="377" customFormat="1" ht="13.5" x14ac:dyDescent="0.25">
      <c r="A56" s="2125" t="s">
        <v>2235</v>
      </c>
      <c r="B56" s="144"/>
      <c r="C56" s="712">
        <f>SUMIFS(Sheet1!S71_PPPYearAmount,Sheet1!S71_SA34Code,$AC:$AC,Sheet1!S71_A5CapexCode,$AD:$AD)</f>
        <v>0</v>
      </c>
      <c r="D56" s="712">
        <f>SUMIFS(Sheet1!S71_PPYearAmount,Sheet1!S71_SA34Code,$AC:$AC,Sheet1!S71_A5CapexCode,$AD:$AD)</f>
        <v>0</v>
      </c>
      <c r="E56" s="715">
        <f>SUMIFS(Sheet1!S71_PYearAmount,Sheet1!S71_SA34Code,$AC:$AC,Sheet1!S71_A5CapexCode,$AD:$AD)</f>
        <v>0</v>
      </c>
      <c r="F56" s="725">
        <f>SUMIFS(Sheet1!S71_OriginalBudAmnt,Sheet1!S71_SA34Code,$AC:$AC,Sheet1!S71_A5CapexCode,$AD:$AD)</f>
        <v>0</v>
      </c>
      <c r="G56" s="712">
        <f>SUMIFS(Sheet1!S71_AdjustmentBudAmnt,Sheet1!S71_SA34Code,$AC:$AC,Sheet1!S71_A5CapexCode,$AD:$AD)</f>
        <v>0</v>
      </c>
      <c r="H56" s="713">
        <f>SUMIFS(Sheet1!S71_AdjustmentBudAmnt,Sheet1!S71_SA34Code,$AC:$AC,Sheet1!S71_A5CapexCode,$AD:$AD)</f>
        <v>0</v>
      </c>
      <c r="I56" s="725">
        <f>SUMIFS(Sheet1!S71_ASBudgetAmount,Sheet1!S71_SA34Code,$AC:$AC,Sheet1!S71_A5CapexCode,$AD:$AD)</f>
        <v>0</v>
      </c>
      <c r="J56" s="712">
        <f>SUMIFS(Sheet1!S71_OY1BudgetAmount,Sheet1!S71_SA34Code,$AC:$AC,Sheet1!S71_A5CapexCode,$AD:$AD)</f>
        <v>0</v>
      </c>
      <c r="K56" s="713">
        <f>SUMIFS(Sheet1!S71_OY2BudgetAmount,Sheet1!S71_SA34Code,$AC:$AC,Sheet1!S71_A5CapexCode,$AD:$AD)</f>
        <v>0</v>
      </c>
      <c r="L56" s="2126"/>
      <c r="AC56" s="2320" t="s">
        <v>2700</v>
      </c>
      <c r="AD56" s="2320" t="s">
        <v>2805</v>
      </c>
    </row>
    <row r="57" spans="1:30" s="377" customFormat="1" ht="13.5" x14ac:dyDescent="0.25">
      <c r="A57" s="2125" t="s">
        <v>2236</v>
      </c>
      <c r="B57" s="144"/>
      <c r="C57" s="712">
        <f>SUMIFS(Sheet1!S71_PPPYearAmount,Sheet1!S71_SA34Code,$AC:$AC,Sheet1!S71_A5CapexCode,$AD:$AD)</f>
        <v>0</v>
      </c>
      <c r="D57" s="712">
        <f>SUMIFS(Sheet1!S71_PPYearAmount,Sheet1!S71_SA34Code,$AC:$AC,Sheet1!S71_A5CapexCode,$AD:$AD)</f>
        <v>0</v>
      </c>
      <c r="E57" s="715">
        <f>SUMIFS(Sheet1!S71_PYearAmount,Sheet1!S71_SA34Code,$AC:$AC,Sheet1!S71_A5CapexCode,$AD:$AD)</f>
        <v>0</v>
      </c>
      <c r="F57" s="725">
        <f>SUMIFS(Sheet1!S71_OriginalBudAmnt,Sheet1!S71_SA34Code,$AC:$AC,Sheet1!S71_A5CapexCode,$AD:$AD)</f>
        <v>0</v>
      </c>
      <c r="G57" s="712">
        <f>SUMIFS(Sheet1!S71_AdjustmentBudAmnt,Sheet1!S71_SA34Code,$AC:$AC,Sheet1!S71_A5CapexCode,$AD:$AD)</f>
        <v>0</v>
      </c>
      <c r="H57" s="713">
        <f>SUMIFS(Sheet1!S71_AdjustmentBudAmnt,Sheet1!S71_SA34Code,$AC:$AC,Sheet1!S71_A5CapexCode,$AD:$AD)</f>
        <v>0</v>
      </c>
      <c r="I57" s="725">
        <f>SUMIFS(Sheet1!S71_ASBudgetAmount,Sheet1!S71_SA34Code,$AC:$AC,Sheet1!S71_A5CapexCode,$AD:$AD)</f>
        <v>0</v>
      </c>
      <c r="J57" s="712">
        <f>SUMIFS(Sheet1!S71_OY1BudgetAmount,Sheet1!S71_SA34Code,$AC:$AC,Sheet1!S71_A5CapexCode,$AD:$AD)</f>
        <v>0</v>
      </c>
      <c r="K57" s="713">
        <f>SUMIFS(Sheet1!S71_OY2BudgetAmount,Sheet1!S71_SA34Code,$AC:$AC,Sheet1!S71_A5CapexCode,$AD:$AD)</f>
        <v>0</v>
      </c>
      <c r="L57" s="2126"/>
      <c r="AC57" s="2320" t="s">
        <v>2849</v>
      </c>
      <c r="AD57" s="2320" t="s">
        <v>2805</v>
      </c>
    </row>
    <row r="58" spans="1:30" s="377" customFormat="1" ht="13.5" x14ac:dyDescent="0.25">
      <c r="A58" s="2125" t="s">
        <v>2237</v>
      </c>
      <c r="B58" s="144"/>
      <c r="C58" s="712">
        <f>SUMIFS(Sheet1!S71_PPPYearAmount,Sheet1!S71_SA34Code,$AC:$AC,Sheet1!S71_A5CapexCode,$AD:$AD)</f>
        <v>0</v>
      </c>
      <c r="D58" s="712">
        <f>SUMIFS(Sheet1!S71_PPYearAmount,Sheet1!S71_SA34Code,$AC:$AC,Sheet1!S71_A5CapexCode,$AD:$AD)</f>
        <v>0</v>
      </c>
      <c r="E58" s="715">
        <f>SUMIFS(Sheet1!S71_PYearAmount,Sheet1!S71_SA34Code,$AC:$AC,Sheet1!S71_A5CapexCode,$AD:$AD)</f>
        <v>0</v>
      </c>
      <c r="F58" s="725">
        <f>SUMIFS(Sheet1!S71_OriginalBudAmnt,Sheet1!S71_SA34Code,$AC:$AC,Sheet1!S71_A5CapexCode,$AD:$AD)</f>
        <v>0</v>
      </c>
      <c r="G58" s="712">
        <f>SUMIFS(Sheet1!S71_AdjustmentBudAmnt,Sheet1!S71_SA34Code,$AC:$AC,Sheet1!S71_A5CapexCode,$AD:$AD)</f>
        <v>0</v>
      </c>
      <c r="H58" s="713">
        <f>SUMIFS(Sheet1!S71_AdjustmentBudAmnt,Sheet1!S71_SA34Code,$AC:$AC,Sheet1!S71_A5CapexCode,$AD:$AD)</f>
        <v>0</v>
      </c>
      <c r="I58" s="725">
        <f>SUMIFS(Sheet1!S71_ASBudgetAmount,Sheet1!S71_SA34Code,$AC:$AC,Sheet1!S71_A5CapexCode,$AD:$AD)</f>
        <v>0</v>
      </c>
      <c r="J58" s="712">
        <f>SUMIFS(Sheet1!S71_OY1BudgetAmount,Sheet1!S71_SA34Code,$AC:$AC,Sheet1!S71_A5CapexCode,$AD:$AD)</f>
        <v>0</v>
      </c>
      <c r="K58" s="713">
        <f>SUMIFS(Sheet1!S71_OY2BudgetAmount,Sheet1!S71_SA34Code,$AC:$AC,Sheet1!S71_A5CapexCode,$AD:$AD)</f>
        <v>0</v>
      </c>
      <c r="L58" s="2126"/>
      <c r="AC58" s="2320" t="s">
        <v>2850</v>
      </c>
      <c r="AD58" s="2320" t="s">
        <v>2805</v>
      </c>
    </row>
    <row r="59" spans="1:30" s="377" customFormat="1" ht="13.5" x14ac:dyDescent="0.25">
      <c r="A59" s="2125" t="s">
        <v>2242</v>
      </c>
      <c r="B59" s="144"/>
      <c r="C59" s="712">
        <f>SUMIFS(Sheet1!S71_PPPYearAmount,Sheet1!S71_SA34Code,$AC:$AC,Sheet1!S71_A5CapexCode,$AD:$AD)</f>
        <v>0</v>
      </c>
      <c r="D59" s="712">
        <f>SUMIFS(Sheet1!S71_PPYearAmount,Sheet1!S71_SA34Code,$AC:$AC,Sheet1!S71_A5CapexCode,$AD:$AD)</f>
        <v>0</v>
      </c>
      <c r="E59" s="715">
        <f>SUMIFS(Sheet1!S71_PYearAmount,Sheet1!S71_SA34Code,$AC:$AC,Sheet1!S71_A5CapexCode,$AD:$AD)</f>
        <v>0</v>
      </c>
      <c r="F59" s="725">
        <f>SUMIFS(Sheet1!S71_OriginalBudAmnt,Sheet1!S71_SA34Code,$AC:$AC,Sheet1!S71_A5CapexCode,$AD:$AD)</f>
        <v>0</v>
      </c>
      <c r="G59" s="712">
        <f>SUMIFS(Sheet1!S71_AdjustmentBudAmnt,Sheet1!S71_SA34Code,$AC:$AC,Sheet1!S71_A5CapexCode,$AD:$AD)</f>
        <v>0</v>
      </c>
      <c r="H59" s="713">
        <f>SUMIFS(Sheet1!S71_AdjustmentBudAmnt,Sheet1!S71_SA34Code,$AC:$AC,Sheet1!S71_A5CapexCode,$AD:$AD)</f>
        <v>0</v>
      </c>
      <c r="I59" s="725">
        <f>SUMIFS(Sheet1!S71_ASBudgetAmount,Sheet1!S71_SA34Code,$AC:$AC,Sheet1!S71_A5CapexCode,$AD:$AD)</f>
        <v>0</v>
      </c>
      <c r="J59" s="712">
        <f>SUMIFS(Sheet1!S71_OY1BudgetAmount,Sheet1!S71_SA34Code,$AC:$AC,Sheet1!S71_A5CapexCode,$AD:$AD)</f>
        <v>0</v>
      </c>
      <c r="K59" s="713">
        <f>SUMIFS(Sheet1!S71_OY2BudgetAmount,Sheet1!S71_SA34Code,$AC:$AC,Sheet1!S71_A5CapexCode,$AD:$AD)</f>
        <v>0</v>
      </c>
      <c r="L59" s="2126"/>
      <c r="AC59" s="2320" t="s">
        <v>2851</v>
      </c>
      <c r="AD59" s="2320" t="s">
        <v>2805</v>
      </c>
    </row>
    <row r="60" spans="1:30" s="377" customFormat="1" ht="13.5" x14ac:dyDescent="0.25">
      <c r="A60" s="2125" t="s">
        <v>2245</v>
      </c>
      <c r="B60" s="144"/>
      <c r="C60" s="712">
        <f>SUMIFS(Sheet1!S71_PPPYearAmount,Sheet1!S71_SA34Code,$AC:$AC,Sheet1!S71_A5CapexCode,$AD:$AD)</f>
        <v>0</v>
      </c>
      <c r="D60" s="712">
        <f>SUMIFS(Sheet1!S71_PPYearAmount,Sheet1!S71_SA34Code,$AC:$AC,Sheet1!S71_A5CapexCode,$AD:$AD)</f>
        <v>0</v>
      </c>
      <c r="E60" s="715">
        <f>SUMIFS(Sheet1!S71_PYearAmount,Sheet1!S71_SA34Code,$AC:$AC,Sheet1!S71_A5CapexCode,$AD:$AD)</f>
        <v>0</v>
      </c>
      <c r="F60" s="725">
        <f>SUMIFS(Sheet1!S71_OriginalBudAmnt,Sheet1!S71_SA34Code,$AC:$AC,Sheet1!S71_A5CapexCode,$AD:$AD)</f>
        <v>0</v>
      </c>
      <c r="G60" s="712">
        <f>SUMIFS(Sheet1!S71_AdjustmentBudAmnt,Sheet1!S71_SA34Code,$AC:$AC,Sheet1!S71_A5CapexCode,$AD:$AD)</f>
        <v>0</v>
      </c>
      <c r="H60" s="713">
        <f>SUMIFS(Sheet1!S71_AdjustmentBudAmnt,Sheet1!S71_SA34Code,$AC:$AC,Sheet1!S71_A5CapexCode,$AD:$AD)</f>
        <v>0</v>
      </c>
      <c r="I60" s="725">
        <f>SUMIFS(Sheet1!S71_ASBudgetAmount,Sheet1!S71_SA34Code,$AC:$AC,Sheet1!S71_A5CapexCode,$AD:$AD)</f>
        <v>0</v>
      </c>
      <c r="J60" s="712">
        <f>SUMIFS(Sheet1!S71_OY1BudgetAmount,Sheet1!S71_SA34Code,$AC:$AC,Sheet1!S71_A5CapexCode,$AD:$AD)</f>
        <v>0</v>
      </c>
      <c r="K60" s="713">
        <f>SUMIFS(Sheet1!S71_OY2BudgetAmount,Sheet1!S71_SA34Code,$AC:$AC,Sheet1!S71_A5CapexCode,$AD:$AD)</f>
        <v>0</v>
      </c>
      <c r="L60" s="2126"/>
      <c r="AC60" s="2320" t="s">
        <v>2852</v>
      </c>
      <c r="AD60" s="2320" t="s">
        <v>2805</v>
      </c>
    </row>
    <row r="61" spans="1:30" s="377" customFormat="1" ht="13.5" x14ac:dyDescent="0.25">
      <c r="A61" s="2125" t="s">
        <v>2233</v>
      </c>
      <c r="B61" s="144"/>
      <c r="C61" s="712">
        <f>SUMIFS(Sheet1!S71_PPPYearAmount,Sheet1!S71_SA34Code,$AC:$AC,Sheet1!S71_A5CapexCode,$AD:$AD)</f>
        <v>0</v>
      </c>
      <c r="D61" s="712">
        <f>SUMIFS(Sheet1!S71_PPYearAmount,Sheet1!S71_SA34Code,$AC:$AC,Sheet1!S71_A5CapexCode,$AD:$AD)</f>
        <v>0</v>
      </c>
      <c r="E61" s="715">
        <f>SUMIFS(Sheet1!S71_PYearAmount,Sheet1!S71_SA34Code,$AC:$AC,Sheet1!S71_A5CapexCode,$AD:$AD)</f>
        <v>0</v>
      </c>
      <c r="F61" s="725">
        <f>SUMIFS(Sheet1!S71_OriginalBudAmnt,Sheet1!S71_SA34Code,$AC:$AC,Sheet1!S71_A5CapexCode,$AD:$AD)</f>
        <v>0</v>
      </c>
      <c r="G61" s="712">
        <f>SUMIFS(Sheet1!S71_AdjustmentBudAmnt,Sheet1!S71_SA34Code,$AC:$AC,Sheet1!S71_A5CapexCode,$AD:$AD)</f>
        <v>0</v>
      </c>
      <c r="H61" s="713">
        <f>SUMIFS(Sheet1!S71_AdjustmentBudAmnt,Sheet1!S71_SA34Code,$AC:$AC,Sheet1!S71_A5CapexCode,$AD:$AD)</f>
        <v>0</v>
      </c>
      <c r="I61" s="725">
        <f>SUMIFS(Sheet1!S71_ASBudgetAmount,Sheet1!S71_SA34Code,$AC:$AC,Sheet1!S71_A5CapexCode,$AD:$AD)</f>
        <v>0</v>
      </c>
      <c r="J61" s="712">
        <f>SUMIFS(Sheet1!S71_OY1BudgetAmount,Sheet1!S71_SA34Code,$AC:$AC,Sheet1!S71_A5CapexCode,$AD:$AD)</f>
        <v>0</v>
      </c>
      <c r="K61" s="713">
        <f>SUMIFS(Sheet1!S71_OY2BudgetAmount,Sheet1!S71_SA34Code,$AC:$AC,Sheet1!S71_A5CapexCode,$AD:$AD)</f>
        <v>0</v>
      </c>
      <c r="L61" s="2126"/>
      <c r="AC61" s="2320" t="s">
        <v>2853</v>
      </c>
      <c r="AD61" s="2320" t="s">
        <v>2805</v>
      </c>
    </row>
    <row r="62" spans="1:30" s="377" customFormat="1" ht="13.5" x14ac:dyDescent="0.25">
      <c r="A62" s="137" t="s">
        <v>2270</v>
      </c>
      <c r="B62" s="144"/>
      <c r="C62" s="71">
        <f>SUM(C63:C67)</f>
        <v>0</v>
      </c>
      <c r="D62" s="71">
        <f t="shared" ref="D62:K62" si="8">SUM(D63:D67)</f>
        <v>0</v>
      </c>
      <c r="E62" s="305">
        <f t="shared" si="8"/>
        <v>0</v>
      </c>
      <c r="F62" s="75">
        <f t="shared" si="8"/>
        <v>0</v>
      </c>
      <c r="G62" s="71">
        <f t="shared" si="8"/>
        <v>0</v>
      </c>
      <c r="H62" s="117">
        <f t="shared" si="8"/>
        <v>0</v>
      </c>
      <c r="I62" s="75">
        <f t="shared" si="8"/>
        <v>0</v>
      </c>
      <c r="J62" s="71">
        <f t="shared" si="8"/>
        <v>0</v>
      </c>
      <c r="K62" s="117">
        <f t="shared" si="8"/>
        <v>0</v>
      </c>
      <c r="L62" s="2126"/>
      <c r="AC62" s="2320"/>
      <c r="AD62" s="2320" t="s">
        <v>2805</v>
      </c>
    </row>
    <row r="63" spans="1:30" s="377" customFormat="1" ht="13.5" x14ac:dyDescent="0.25">
      <c r="A63" s="2125" t="s">
        <v>2271</v>
      </c>
      <c r="B63" s="144"/>
      <c r="C63" s="712">
        <f>SUMIFS(Sheet1!S71_PPPYearAmount,Sheet1!S71_SA34Code,$AC:$AC,Sheet1!S71_A5CapexCode,$AD:$AD)</f>
        <v>0</v>
      </c>
      <c r="D63" s="712">
        <f>SUMIFS(Sheet1!S71_PPYearAmount,Sheet1!S71_SA34Code,$AC:$AC,Sheet1!S71_A5CapexCode,$AD:$AD)</f>
        <v>0</v>
      </c>
      <c r="E63" s="715">
        <f>SUMIFS(Sheet1!S71_PYearAmount,Sheet1!S71_SA34Code,$AC:$AC,Sheet1!S71_A5CapexCode,$AD:$AD)</f>
        <v>0</v>
      </c>
      <c r="F63" s="725">
        <f>SUMIFS(Sheet1!S71_OriginalBudAmnt,Sheet1!S71_SA34Code,$AC:$AC,Sheet1!S71_A5CapexCode,$AD:$AD)</f>
        <v>0</v>
      </c>
      <c r="G63" s="712">
        <f>SUMIFS(Sheet1!S71_AdjustmentBudAmnt,Sheet1!S71_SA34Code,$AC:$AC,Sheet1!S71_A5CapexCode,$AD:$AD)</f>
        <v>0</v>
      </c>
      <c r="H63" s="713">
        <f>SUMIFS(Sheet1!S71_AdjustmentBudAmnt,Sheet1!S71_SA34Code,$AC:$AC,Sheet1!S71_A5CapexCode,$AD:$AD)</f>
        <v>0</v>
      </c>
      <c r="I63" s="725">
        <f>SUMIFS(Sheet1!S71_ASBudgetAmount,Sheet1!S71_SA34Code,$AC:$AC,Sheet1!S71_A5CapexCode,$AD:$AD)</f>
        <v>0</v>
      </c>
      <c r="J63" s="712">
        <f>SUMIFS(Sheet1!S71_OY1BudgetAmount,Sheet1!S71_SA34Code,$AC:$AC,Sheet1!S71_A5CapexCode,$AD:$AD)</f>
        <v>0</v>
      </c>
      <c r="K63" s="713">
        <f>SUMIFS(Sheet1!S71_OY2BudgetAmount,Sheet1!S71_SA34Code,$AC:$AC,Sheet1!S71_A5CapexCode,$AD:$AD)</f>
        <v>0</v>
      </c>
      <c r="L63" s="2126"/>
      <c r="AC63" s="2320" t="s">
        <v>2854</v>
      </c>
      <c r="AD63" s="2320" t="s">
        <v>2805</v>
      </c>
    </row>
    <row r="64" spans="1:30" s="377" customFormat="1" ht="13.5" x14ac:dyDescent="0.25">
      <c r="A64" s="2125" t="s">
        <v>2272</v>
      </c>
      <c r="B64" s="144"/>
      <c r="C64" s="712">
        <f>SUMIFS(Sheet1!S71_PPPYearAmount,Sheet1!S71_SA34Code,$AC:$AC,Sheet1!S71_A5CapexCode,$AD:$AD)</f>
        <v>0</v>
      </c>
      <c r="D64" s="712">
        <f>SUMIFS(Sheet1!S71_PPYearAmount,Sheet1!S71_SA34Code,$AC:$AC,Sheet1!S71_A5CapexCode,$AD:$AD)</f>
        <v>0</v>
      </c>
      <c r="E64" s="715">
        <f>SUMIFS(Sheet1!S71_PYearAmount,Sheet1!S71_SA34Code,$AC:$AC,Sheet1!S71_A5CapexCode,$AD:$AD)</f>
        <v>0</v>
      </c>
      <c r="F64" s="725">
        <f>SUMIFS(Sheet1!S71_OriginalBudAmnt,Sheet1!S71_SA34Code,$AC:$AC,Sheet1!S71_A5CapexCode,$AD:$AD)</f>
        <v>0</v>
      </c>
      <c r="G64" s="712">
        <f>SUMIFS(Sheet1!S71_AdjustmentBudAmnt,Sheet1!S71_SA34Code,$AC:$AC,Sheet1!S71_A5CapexCode,$AD:$AD)</f>
        <v>0</v>
      </c>
      <c r="H64" s="713">
        <f>SUMIFS(Sheet1!S71_AdjustmentBudAmnt,Sheet1!S71_SA34Code,$AC:$AC,Sheet1!S71_A5CapexCode,$AD:$AD)</f>
        <v>0</v>
      </c>
      <c r="I64" s="725">
        <f>SUMIFS(Sheet1!S71_ASBudgetAmount,Sheet1!S71_SA34Code,$AC:$AC,Sheet1!S71_A5CapexCode,$AD:$AD)</f>
        <v>0</v>
      </c>
      <c r="J64" s="712">
        <f>SUMIFS(Sheet1!S71_OY1BudgetAmount,Sheet1!S71_SA34Code,$AC:$AC,Sheet1!S71_A5CapexCode,$AD:$AD)</f>
        <v>0</v>
      </c>
      <c r="K64" s="713">
        <f>SUMIFS(Sheet1!S71_OY2BudgetAmount,Sheet1!S71_SA34Code,$AC:$AC,Sheet1!S71_A5CapexCode,$AD:$AD)</f>
        <v>0</v>
      </c>
      <c r="L64" s="2126"/>
      <c r="AC64" s="2320" t="s">
        <v>2855</v>
      </c>
      <c r="AD64" s="2320" t="s">
        <v>2805</v>
      </c>
    </row>
    <row r="65" spans="1:30" s="377" customFormat="1" ht="13.5" x14ac:dyDescent="0.25">
      <c r="A65" s="2125" t="s">
        <v>2273</v>
      </c>
      <c r="B65" s="144"/>
      <c r="C65" s="712">
        <f>SUMIFS(Sheet1!S71_PPPYearAmount,Sheet1!S71_SA34Code,$AC:$AC,Sheet1!S71_A5CapexCode,$AD:$AD)</f>
        <v>0</v>
      </c>
      <c r="D65" s="712">
        <f>SUMIFS(Sheet1!S71_PPYearAmount,Sheet1!S71_SA34Code,$AC:$AC,Sheet1!S71_A5CapexCode,$AD:$AD)</f>
        <v>0</v>
      </c>
      <c r="E65" s="715">
        <f>SUMIFS(Sheet1!S71_PYearAmount,Sheet1!S71_SA34Code,$AC:$AC,Sheet1!S71_A5CapexCode,$AD:$AD)</f>
        <v>0</v>
      </c>
      <c r="F65" s="725">
        <f>SUMIFS(Sheet1!S71_OriginalBudAmnt,Sheet1!S71_SA34Code,$AC:$AC,Sheet1!S71_A5CapexCode,$AD:$AD)</f>
        <v>0</v>
      </c>
      <c r="G65" s="712">
        <f>SUMIFS(Sheet1!S71_AdjustmentBudAmnt,Sheet1!S71_SA34Code,$AC:$AC,Sheet1!S71_A5CapexCode,$AD:$AD)</f>
        <v>0</v>
      </c>
      <c r="H65" s="713">
        <f>SUMIFS(Sheet1!S71_AdjustmentBudAmnt,Sheet1!S71_SA34Code,$AC:$AC,Sheet1!S71_A5CapexCode,$AD:$AD)</f>
        <v>0</v>
      </c>
      <c r="I65" s="725">
        <f>SUMIFS(Sheet1!S71_ASBudgetAmount,Sheet1!S71_SA34Code,$AC:$AC,Sheet1!S71_A5CapexCode,$AD:$AD)</f>
        <v>0</v>
      </c>
      <c r="J65" s="712">
        <f>SUMIFS(Sheet1!S71_OY1BudgetAmount,Sheet1!S71_SA34Code,$AC:$AC,Sheet1!S71_A5CapexCode,$AD:$AD)</f>
        <v>0</v>
      </c>
      <c r="K65" s="713">
        <f>SUMIFS(Sheet1!S71_OY2BudgetAmount,Sheet1!S71_SA34Code,$AC:$AC,Sheet1!S71_A5CapexCode,$AD:$AD)</f>
        <v>0</v>
      </c>
      <c r="L65" s="2126"/>
      <c r="AC65" s="2320" t="s">
        <v>2856</v>
      </c>
      <c r="AD65" s="2320" t="s">
        <v>2805</v>
      </c>
    </row>
    <row r="66" spans="1:30" s="377" customFormat="1" ht="13.5" x14ac:dyDescent="0.25">
      <c r="A66" s="2125" t="s">
        <v>2274</v>
      </c>
      <c r="B66" s="144"/>
      <c r="C66" s="712">
        <f>SUMIFS(Sheet1!S71_PPPYearAmount,Sheet1!S71_SA34Code,$AC:$AC,Sheet1!S71_A5CapexCode,$AD:$AD)</f>
        <v>0</v>
      </c>
      <c r="D66" s="712">
        <f>SUMIFS(Sheet1!S71_PPYearAmount,Sheet1!S71_SA34Code,$AC:$AC,Sheet1!S71_A5CapexCode,$AD:$AD)</f>
        <v>0</v>
      </c>
      <c r="E66" s="715">
        <f>SUMIFS(Sheet1!S71_PYearAmount,Sheet1!S71_SA34Code,$AC:$AC,Sheet1!S71_A5CapexCode,$AD:$AD)</f>
        <v>0</v>
      </c>
      <c r="F66" s="725">
        <f>SUMIFS(Sheet1!S71_OriginalBudAmnt,Sheet1!S71_SA34Code,$AC:$AC,Sheet1!S71_A5CapexCode,$AD:$AD)</f>
        <v>0</v>
      </c>
      <c r="G66" s="712">
        <f>SUMIFS(Sheet1!S71_AdjustmentBudAmnt,Sheet1!S71_SA34Code,$AC:$AC,Sheet1!S71_A5CapexCode,$AD:$AD)</f>
        <v>0</v>
      </c>
      <c r="H66" s="713">
        <f>SUMIFS(Sheet1!S71_AdjustmentBudAmnt,Sheet1!S71_SA34Code,$AC:$AC,Sheet1!S71_A5CapexCode,$AD:$AD)</f>
        <v>0</v>
      </c>
      <c r="I66" s="725">
        <f>SUMIFS(Sheet1!S71_ASBudgetAmount,Sheet1!S71_SA34Code,$AC:$AC,Sheet1!S71_A5CapexCode,$AD:$AD)</f>
        <v>0</v>
      </c>
      <c r="J66" s="712">
        <f>SUMIFS(Sheet1!S71_OY1BudgetAmount,Sheet1!S71_SA34Code,$AC:$AC,Sheet1!S71_A5CapexCode,$AD:$AD)</f>
        <v>0</v>
      </c>
      <c r="K66" s="713">
        <f>SUMIFS(Sheet1!S71_OY2BudgetAmount,Sheet1!S71_SA34Code,$AC:$AC,Sheet1!S71_A5CapexCode,$AD:$AD)</f>
        <v>0</v>
      </c>
      <c r="L66" s="2126"/>
      <c r="AC66" s="2320" t="s">
        <v>2857</v>
      </c>
      <c r="AD66" s="2320" t="s">
        <v>2805</v>
      </c>
    </row>
    <row r="67" spans="1:30" s="377" customFormat="1" ht="13.5" x14ac:dyDescent="0.25">
      <c r="A67" s="2125" t="s">
        <v>2233</v>
      </c>
      <c r="B67" s="144"/>
      <c r="C67" s="712">
        <f>SUMIFS(Sheet1!S71_PPPYearAmount,Sheet1!S71_SA34Code,$AC:$AC,Sheet1!S71_A5CapexCode,$AD:$AD)</f>
        <v>0</v>
      </c>
      <c r="D67" s="712">
        <f>SUMIFS(Sheet1!S71_PPYearAmount,Sheet1!S71_SA34Code,$AC:$AC,Sheet1!S71_A5CapexCode,$AD:$AD)</f>
        <v>0</v>
      </c>
      <c r="E67" s="715">
        <f>SUMIFS(Sheet1!S71_PYearAmount,Sheet1!S71_SA34Code,$AC:$AC,Sheet1!S71_A5CapexCode,$AD:$AD)</f>
        <v>0</v>
      </c>
      <c r="F67" s="725">
        <f>SUMIFS(Sheet1!S71_OriginalBudAmnt,Sheet1!S71_SA34Code,$AC:$AC,Sheet1!S71_A5CapexCode,$AD:$AD)</f>
        <v>0</v>
      </c>
      <c r="G67" s="712">
        <f>SUMIFS(Sheet1!S71_AdjustmentBudAmnt,Sheet1!S71_SA34Code,$AC:$AC,Sheet1!S71_A5CapexCode,$AD:$AD)</f>
        <v>0</v>
      </c>
      <c r="H67" s="713">
        <f>SUMIFS(Sheet1!S71_AdjustmentBudAmnt,Sheet1!S71_SA34Code,$AC:$AC,Sheet1!S71_A5CapexCode,$AD:$AD)</f>
        <v>0</v>
      </c>
      <c r="I67" s="725">
        <f>SUMIFS(Sheet1!S71_ASBudgetAmount,Sheet1!S71_SA34Code,$AC:$AC,Sheet1!S71_A5CapexCode,$AD:$AD)</f>
        <v>0</v>
      </c>
      <c r="J67" s="712">
        <f>SUMIFS(Sheet1!S71_OY1BudgetAmount,Sheet1!S71_SA34Code,$AC:$AC,Sheet1!S71_A5CapexCode,$AD:$AD)</f>
        <v>0</v>
      </c>
      <c r="K67" s="713">
        <f>SUMIFS(Sheet1!S71_OY2BudgetAmount,Sheet1!S71_SA34Code,$AC:$AC,Sheet1!S71_A5CapexCode,$AD:$AD)</f>
        <v>0</v>
      </c>
      <c r="L67" s="2126"/>
      <c r="AC67" s="2320" t="s">
        <v>2858</v>
      </c>
      <c r="AD67" s="2320" t="s">
        <v>2805</v>
      </c>
    </row>
    <row r="68" spans="1:30" s="377" customFormat="1" ht="13.5" x14ac:dyDescent="0.25">
      <c r="A68" s="104" t="s">
        <v>2266</v>
      </c>
      <c r="B68" s="144"/>
      <c r="C68" s="71">
        <f>SUM(C69:C72)</f>
        <v>0</v>
      </c>
      <c r="D68" s="71">
        <f t="shared" ref="D68:K68" si="9">SUM(D69:D72)</f>
        <v>0</v>
      </c>
      <c r="E68" s="305">
        <f t="shared" si="9"/>
        <v>0</v>
      </c>
      <c r="F68" s="75">
        <f t="shared" si="9"/>
        <v>0</v>
      </c>
      <c r="G68" s="71">
        <f t="shared" si="9"/>
        <v>0</v>
      </c>
      <c r="H68" s="117">
        <f t="shared" si="9"/>
        <v>0</v>
      </c>
      <c r="I68" s="75">
        <f t="shared" si="9"/>
        <v>0</v>
      </c>
      <c r="J68" s="71">
        <f t="shared" si="9"/>
        <v>0</v>
      </c>
      <c r="K68" s="117">
        <f t="shared" si="9"/>
        <v>0</v>
      </c>
      <c r="L68" s="2126"/>
      <c r="AC68" s="2320"/>
      <c r="AD68" s="2320" t="s">
        <v>2805</v>
      </c>
    </row>
    <row r="69" spans="1:30" s="377" customFormat="1" ht="13.5" x14ac:dyDescent="0.25">
      <c r="A69" s="2125" t="s">
        <v>2267</v>
      </c>
      <c r="B69" s="144"/>
      <c r="C69" s="712">
        <f>SUMIFS(Sheet1!S71_PPPYearAmount,Sheet1!S71_SA34Code,$AC:$AC,Sheet1!S71_A5CapexCode,$AD:$AD)</f>
        <v>0</v>
      </c>
      <c r="D69" s="712">
        <f>SUMIFS(Sheet1!S71_PPYearAmount,Sheet1!S71_SA34Code,$AC:$AC,Sheet1!S71_A5CapexCode,$AD:$AD)</f>
        <v>0</v>
      </c>
      <c r="E69" s="715">
        <f>SUMIFS(Sheet1!S71_PYearAmount,Sheet1!S71_SA34Code,$AC:$AC,Sheet1!S71_A5CapexCode,$AD:$AD)</f>
        <v>0</v>
      </c>
      <c r="F69" s="725">
        <f>SUMIFS(Sheet1!S71_OriginalBudAmnt,Sheet1!S71_SA34Code,$AC:$AC,Sheet1!S71_A5CapexCode,$AD:$AD)</f>
        <v>0</v>
      </c>
      <c r="G69" s="712">
        <f>SUMIFS(Sheet1!S71_AdjustmentBudAmnt,Sheet1!S71_SA34Code,$AC:$AC,Sheet1!S71_A5CapexCode,$AD:$AD)</f>
        <v>0</v>
      </c>
      <c r="H69" s="713">
        <f>SUMIFS(Sheet1!S71_AdjustmentBudAmnt,Sheet1!S71_SA34Code,$AC:$AC,Sheet1!S71_A5CapexCode,$AD:$AD)</f>
        <v>0</v>
      </c>
      <c r="I69" s="725">
        <f>SUMIFS(Sheet1!S71_ASBudgetAmount,Sheet1!S71_SA34Code,$AC:$AC,Sheet1!S71_A5CapexCode,$AD:$AD)</f>
        <v>0</v>
      </c>
      <c r="J69" s="712">
        <f>SUMIFS(Sheet1!S71_OY1BudgetAmount,Sheet1!S71_SA34Code,$AC:$AC,Sheet1!S71_A5CapexCode,$AD:$AD)</f>
        <v>0</v>
      </c>
      <c r="K69" s="713">
        <f>SUMIFS(Sheet1!S71_OY2BudgetAmount,Sheet1!S71_SA34Code,$AC:$AC,Sheet1!S71_A5CapexCode,$AD:$AD)</f>
        <v>0</v>
      </c>
      <c r="L69" s="2124"/>
      <c r="AC69" s="2320" t="s">
        <v>2859</v>
      </c>
      <c r="AD69" s="2320" t="s">
        <v>2805</v>
      </c>
    </row>
    <row r="70" spans="1:30" s="377" customFormat="1" ht="13.5" x14ac:dyDescent="0.25">
      <c r="A70" s="2125" t="s">
        <v>2268</v>
      </c>
      <c r="B70" s="144"/>
      <c r="C70" s="712">
        <f>SUMIFS(Sheet1!S71_PPPYearAmount,Sheet1!S71_SA34Code,$AC:$AC,Sheet1!S71_A5CapexCode,$AD:$AD)</f>
        <v>0</v>
      </c>
      <c r="D70" s="712">
        <f>SUMIFS(Sheet1!S71_PPYearAmount,Sheet1!S71_SA34Code,$AC:$AC,Sheet1!S71_A5CapexCode,$AD:$AD)</f>
        <v>0</v>
      </c>
      <c r="E70" s="715">
        <f>SUMIFS(Sheet1!S71_PYearAmount,Sheet1!S71_SA34Code,$AC:$AC,Sheet1!S71_A5CapexCode,$AD:$AD)</f>
        <v>0</v>
      </c>
      <c r="F70" s="725">
        <f>SUMIFS(Sheet1!S71_OriginalBudAmnt,Sheet1!S71_SA34Code,$AC:$AC,Sheet1!S71_A5CapexCode,$AD:$AD)</f>
        <v>0</v>
      </c>
      <c r="G70" s="712">
        <f>SUMIFS(Sheet1!S71_AdjustmentBudAmnt,Sheet1!S71_SA34Code,$AC:$AC,Sheet1!S71_A5CapexCode,$AD:$AD)</f>
        <v>0</v>
      </c>
      <c r="H70" s="713">
        <f>SUMIFS(Sheet1!S71_AdjustmentBudAmnt,Sheet1!S71_SA34Code,$AC:$AC,Sheet1!S71_A5CapexCode,$AD:$AD)</f>
        <v>0</v>
      </c>
      <c r="I70" s="725">
        <f>SUMIFS(Sheet1!S71_ASBudgetAmount,Sheet1!S71_SA34Code,$AC:$AC,Sheet1!S71_A5CapexCode,$AD:$AD)</f>
        <v>0</v>
      </c>
      <c r="J70" s="712">
        <f>SUMIFS(Sheet1!S71_OY1BudgetAmount,Sheet1!S71_SA34Code,$AC:$AC,Sheet1!S71_A5CapexCode,$AD:$AD)</f>
        <v>0</v>
      </c>
      <c r="K70" s="713">
        <f>SUMIFS(Sheet1!S71_OY2BudgetAmount,Sheet1!S71_SA34Code,$AC:$AC,Sheet1!S71_A5CapexCode,$AD:$AD)</f>
        <v>0</v>
      </c>
      <c r="L70" s="2126"/>
      <c r="AC70" s="2320" t="s">
        <v>2860</v>
      </c>
      <c r="AD70" s="2320" t="s">
        <v>2805</v>
      </c>
    </row>
    <row r="71" spans="1:30" s="377" customFormat="1" ht="13.5" x14ac:dyDescent="0.25">
      <c r="A71" s="2125" t="s">
        <v>2269</v>
      </c>
      <c r="B71" s="144"/>
      <c r="C71" s="712">
        <f>SUMIFS(Sheet1!S71_PPPYearAmount,Sheet1!S71_SA34Code,$AC:$AC,Sheet1!S71_A5CapexCode,$AD:$AD)</f>
        <v>0</v>
      </c>
      <c r="D71" s="712">
        <f>SUMIFS(Sheet1!S71_PPYearAmount,Sheet1!S71_SA34Code,$AC:$AC,Sheet1!S71_A5CapexCode,$AD:$AD)</f>
        <v>0</v>
      </c>
      <c r="E71" s="715">
        <f>SUMIFS(Sheet1!S71_PYearAmount,Sheet1!S71_SA34Code,$AC:$AC,Sheet1!S71_A5CapexCode,$AD:$AD)</f>
        <v>0</v>
      </c>
      <c r="F71" s="725">
        <f>SUMIFS(Sheet1!S71_OriginalBudAmnt,Sheet1!S71_SA34Code,$AC:$AC,Sheet1!S71_A5CapexCode,$AD:$AD)</f>
        <v>0</v>
      </c>
      <c r="G71" s="712">
        <f>SUMIFS(Sheet1!S71_AdjustmentBudAmnt,Sheet1!S71_SA34Code,$AC:$AC,Sheet1!S71_A5CapexCode,$AD:$AD)</f>
        <v>0</v>
      </c>
      <c r="H71" s="713">
        <f>SUMIFS(Sheet1!S71_AdjustmentBudAmnt,Sheet1!S71_SA34Code,$AC:$AC,Sheet1!S71_A5CapexCode,$AD:$AD)</f>
        <v>0</v>
      </c>
      <c r="I71" s="725">
        <f>SUMIFS(Sheet1!S71_ASBudgetAmount,Sheet1!S71_SA34Code,$AC:$AC,Sheet1!S71_A5CapexCode,$AD:$AD)</f>
        <v>0</v>
      </c>
      <c r="J71" s="712">
        <f>SUMIFS(Sheet1!S71_OY1BudgetAmount,Sheet1!S71_SA34Code,$AC:$AC,Sheet1!S71_A5CapexCode,$AD:$AD)</f>
        <v>0</v>
      </c>
      <c r="K71" s="713">
        <f>SUMIFS(Sheet1!S71_OY2BudgetAmount,Sheet1!S71_SA34Code,$AC:$AC,Sheet1!S71_A5CapexCode,$AD:$AD)</f>
        <v>0</v>
      </c>
      <c r="L71" s="2126"/>
      <c r="AC71" s="2320" t="s">
        <v>2861</v>
      </c>
      <c r="AD71" s="2320" t="s">
        <v>2805</v>
      </c>
    </row>
    <row r="72" spans="1:30" s="377" customFormat="1" ht="13.5" x14ac:dyDescent="0.25">
      <c r="A72" s="2125" t="s">
        <v>2233</v>
      </c>
      <c r="B72" s="144"/>
      <c r="C72" s="712">
        <f>SUMIFS(Sheet1!S71_PPPYearAmount,Sheet1!S71_SA34Code,$AC:$AC,Sheet1!S71_A5CapexCode,$AD:$AD)</f>
        <v>0</v>
      </c>
      <c r="D72" s="712">
        <f>SUMIFS(Sheet1!S71_PPYearAmount,Sheet1!S71_SA34Code,$AC:$AC,Sheet1!S71_A5CapexCode,$AD:$AD)</f>
        <v>0</v>
      </c>
      <c r="E72" s="715">
        <f>SUMIFS(Sheet1!S71_PYearAmount,Sheet1!S71_SA34Code,$AC:$AC,Sheet1!S71_A5CapexCode,$AD:$AD)</f>
        <v>0</v>
      </c>
      <c r="F72" s="725">
        <f>SUMIFS(Sheet1!S71_OriginalBudAmnt,Sheet1!S71_SA34Code,$AC:$AC,Sheet1!S71_A5CapexCode,$AD:$AD)</f>
        <v>0</v>
      </c>
      <c r="G72" s="712">
        <f>SUMIFS(Sheet1!S71_AdjustmentBudAmnt,Sheet1!S71_SA34Code,$AC:$AC,Sheet1!S71_A5CapexCode,$AD:$AD)</f>
        <v>0</v>
      </c>
      <c r="H72" s="713">
        <f>SUMIFS(Sheet1!S71_AdjustmentBudAmnt,Sheet1!S71_SA34Code,$AC:$AC,Sheet1!S71_A5CapexCode,$AD:$AD)</f>
        <v>0</v>
      </c>
      <c r="I72" s="725">
        <f>SUMIFS(Sheet1!S71_ASBudgetAmount,Sheet1!S71_SA34Code,$AC:$AC,Sheet1!S71_A5CapexCode,$AD:$AD)</f>
        <v>0</v>
      </c>
      <c r="J72" s="712">
        <f>SUMIFS(Sheet1!S71_OY1BudgetAmount,Sheet1!S71_SA34Code,$AC:$AC,Sheet1!S71_A5CapexCode,$AD:$AD)</f>
        <v>0</v>
      </c>
      <c r="K72" s="713">
        <f>SUMIFS(Sheet1!S71_OY2BudgetAmount,Sheet1!S71_SA34Code,$AC:$AC,Sheet1!S71_A5CapexCode,$AD:$AD)</f>
        <v>0</v>
      </c>
      <c r="L72" s="2126"/>
      <c r="AC72" s="2320" t="s">
        <v>2862</v>
      </c>
      <c r="AD72" s="2320" t="s">
        <v>2805</v>
      </c>
    </row>
    <row r="73" spans="1:30" ht="4.9000000000000004" customHeight="1" x14ac:dyDescent="0.25">
      <c r="A73" s="116"/>
      <c r="B73" s="144"/>
      <c r="C73" s="177"/>
      <c r="D73" s="177"/>
      <c r="E73" s="180"/>
      <c r="F73" s="179"/>
      <c r="G73" s="177"/>
      <c r="H73" s="178"/>
      <c r="I73" s="179"/>
      <c r="J73" s="177"/>
      <c r="K73" s="178"/>
      <c r="L73" s="322"/>
      <c r="AD73" s="2320" t="s">
        <v>2805</v>
      </c>
    </row>
    <row r="74" spans="1:30" ht="17.25" customHeight="1" x14ac:dyDescent="0.25">
      <c r="A74" s="96" t="s">
        <v>2282</v>
      </c>
      <c r="B74" s="144"/>
      <c r="C74" s="98">
        <f>C75+C98</f>
        <v>0</v>
      </c>
      <c r="D74" s="98">
        <f t="shared" ref="D74:K74" si="10">D75+D98</f>
        <v>0</v>
      </c>
      <c r="E74" s="101">
        <f t="shared" si="10"/>
        <v>0</v>
      </c>
      <c r="F74" s="100">
        <f t="shared" si="10"/>
        <v>0</v>
      </c>
      <c r="G74" s="98">
        <f t="shared" si="10"/>
        <v>0</v>
      </c>
      <c r="H74" s="99">
        <f t="shared" si="10"/>
        <v>0</v>
      </c>
      <c r="I74" s="100">
        <f t="shared" si="10"/>
        <v>0</v>
      </c>
      <c r="J74" s="98">
        <f t="shared" si="10"/>
        <v>0</v>
      </c>
      <c r="K74" s="99">
        <f t="shared" si="10"/>
        <v>0</v>
      </c>
      <c r="L74" s="322"/>
      <c r="AD74" s="2320" t="s">
        <v>2805</v>
      </c>
    </row>
    <row r="75" spans="1:30" s="377" customFormat="1" ht="13.5" x14ac:dyDescent="0.25">
      <c r="A75" s="104" t="s">
        <v>2283</v>
      </c>
      <c r="B75" s="144"/>
      <c r="C75" s="82">
        <f>SUM(C76:C97)</f>
        <v>0</v>
      </c>
      <c r="D75" s="82">
        <f t="shared" ref="D75:K75" si="11">SUM(D76:D97)</f>
        <v>0</v>
      </c>
      <c r="E75" s="304">
        <f t="shared" si="11"/>
        <v>0</v>
      </c>
      <c r="F75" s="83">
        <f t="shared" si="11"/>
        <v>0</v>
      </c>
      <c r="G75" s="82">
        <f t="shared" si="11"/>
        <v>0</v>
      </c>
      <c r="H75" s="115">
        <f t="shared" si="11"/>
        <v>0</v>
      </c>
      <c r="I75" s="83">
        <f t="shared" si="11"/>
        <v>0</v>
      </c>
      <c r="J75" s="82">
        <f t="shared" si="11"/>
        <v>0</v>
      </c>
      <c r="K75" s="115">
        <f t="shared" si="11"/>
        <v>0</v>
      </c>
      <c r="L75" s="2126"/>
      <c r="AC75" s="2320"/>
      <c r="AD75" s="2320" t="s">
        <v>2805</v>
      </c>
    </row>
    <row r="76" spans="1:30" ht="11.25" customHeight="1" x14ac:dyDescent="0.25">
      <c r="A76" s="2125" t="s">
        <v>2284</v>
      </c>
      <c r="B76" s="144"/>
      <c r="C76" s="712">
        <f>SUMIFS(Sheet1!S71_PPPYearAmount,Sheet1!S71_SA34Code,$AC:$AC,Sheet1!S71_A5CapexCode,$AD:$AD)</f>
        <v>0</v>
      </c>
      <c r="D76" s="712">
        <f>SUMIFS(Sheet1!S71_PPYearAmount,Sheet1!S71_SA34Code,$AC:$AC,Sheet1!S71_A5CapexCode,$AD:$AD)</f>
        <v>0</v>
      </c>
      <c r="E76" s="715">
        <f>SUMIFS(Sheet1!S71_PYearAmount,Sheet1!S71_SA34Code,$AC:$AC,Sheet1!S71_A5CapexCode,$AD:$AD)</f>
        <v>0</v>
      </c>
      <c r="F76" s="725">
        <f>SUMIFS(Sheet1!S71_OriginalBudAmnt,Sheet1!S71_SA34Code,$AC:$AC,Sheet1!S71_A5CapexCode,$AD:$AD)</f>
        <v>0</v>
      </c>
      <c r="G76" s="712">
        <f>SUMIFS(Sheet1!S71_AdjustmentBudAmnt,Sheet1!S71_SA34Code,$AC:$AC,Sheet1!S71_A5CapexCode,$AD:$AD)</f>
        <v>0</v>
      </c>
      <c r="H76" s="713">
        <f>SUMIFS(Sheet1!S71_AdjustmentBudAmnt,Sheet1!S71_SA34Code,$AC:$AC,Sheet1!S71_A5CapexCode,$AD:$AD)</f>
        <v>0</v>
      </c>
      <c r="I76" s="725">
        <f>SUMIFS(Sheet1!S71_ASBudgetAmount,Sheet1!S71_SA34Code,$AC:$AC,Sheet1!S71_A5CapexCode,$AD:$AD)</f>
        <v>0</v>
      </c>
      <c r="J76" s="712">
        <f>SUMIFS(Sheet1!S71_OY1BudgetAmount,Sheet1!S71_SA34Code,$AC:$AC,Sheet1!S71_A5CapexCode,$AD:$AD)</f>
        <v>0</v>
      </c>
      <c r="K76" s="713">
        <f>SUMIFS(Sheet1!S71_OY2BudgetAmount,Sheet1!S71_SA34Code,$AC:$AC,Sheet1!S71_A5CapexCode,$AD:$AD)</f>
        <v>0</v>
      </c>
      <c r="L76" s="2126"/>
      <c r="AC76" s="2320" t="s">
        <v>2863</v>
      </c>
      <c r="AD76" s="2320" t="s">
        <v>2805</v>
      </c>
    </row>
    <row r="77" spans="1:30" ht="11.25" customHeight="1" x14ac:dyDescent="0.25">
      <c r="A77" s="2125" t="s">
        <v>2285</v>
      </c>
      <c r="B77" s="144"/>
      <c r="C77" s="712">
        <f>SUMIFS(Sheet1!S71_PPPYearAmount,Sheet1!S71_SA34Code,$AC:$AC,Sheet1!S71_A5CapexCode,$AD:$AD)</f>
        <v>0</v>
      </c>
      <c r="D77" s="712">
        <f>SUMIFS(Sheet1!S71_PPYearAmount,Sheet1!S71_SA34Code,$AC:$AC,Sheet1!S71_A5CapexCode,$AD:$AD)</f>
        <v>0</v>
      </c>
      <c r="E77" s="715">
        <f>SUMIFS(Sheet1!S71_PYearAmount,Sheet1!S71_SA34Code,$AC:$AC,Sheet1!S71_A5CapexCode,$AD:$AD)</f>
        <v>0</v>
      </c>
      <c r="F77" s="725">
        <f>SUMIFS(Sheet1!S71_OriginalBudAmnt,Sheet1!S71_SA34Code,$AC:$AC,Sheet1!S71_A5CapexCode,$AD:$AD)</f>
        <v>0</v>
      </c>
      <c r="G77" s="712">
        <f>SUMIFS(Sheet1!S71_AdjustmentBudAmnt,Sheet1!S71_SA34Code,$AC:$AC,Sheet1!S71_A5CapexCode,$AD:$AD)</f>
        <v>0</v>
      </c>
      <c r="H77" s="713">
        <f>SUMIFS(Sheet1!S71_AdjustmentBudAmnt,Sheet1!S71_SA34Code,$AC:$AC,Sheet1!S71_A5CapexCode,$AD:$AD)</f>
        <v>0</v>
      </c>
      <c r="I77" s="725">
        <f>SUMIFS(Sheet1!S71_ASBudgetAmount,Sheet1!S71_SA34Code,$AC:$AC,Sheet1!S71_A5CapexCode,$AD:$AD)</f>
        <v>0</v>
      </c>
      <c r="J77" s="712">
        <f>SUMIFS(Sheet1!S71_OY1BudgetAmount,Sheet1!S71_SA34Code,$AC:$AC,Sheet1!S71_A5CapexCode,$AD:$AD)</f>
        <v>0</v>
      </c>
      <c r="K77" s="713">
        <f>SUMIFS(Sheet1!S71_OY2BudgetAmount,Sheet1!S71_SA34Code,$AC:$AC,Sheet1!S71_A5CapexCode,$AD:$AD)</f>
        <v>0</v>
      </c>
      <c r="L77" s="2126"/>
      <c r="AC77" s="2320" t="s">
        <v>2701</v>
      </c>
      <c r="AD77" s="2320" t="s">
        <v>2805</v>
      </c>
    </row>
    <row r="78" spans="1:30" ht="11.25" customHeight="1" x14ac:dyDescent="0.25">
      <c r="A78" s="2125" t="s">
        <v>2286</v>
      </c>
      <c r="B78" s="144"/>
      <c r="C78" s="712">
        <f>SUMIFS(Sheet1!S71_PPPYearAmount,Sheet1!S71_SA34Code,$AC:$AC,Sheet1!S71_A5CapexCode,$AD:$AD)</f>
        <v>0</v>
      </c>
      <c r="D78" s="712">
        <f>SUMIFS(Sheet1!S71_PPYearAmount,Sheet1!S71_SA34Code,$AC:$AC,Sheet1!S71_A5CapexCode,$AD:$AD)</f>
        <v>0</v>
      </c>
      <c r="E78" s="715">
        <f>SUMIFS(Sheet1!S71_PYearAmount,Sheet1!S71_SA34Code,$AC:$AC,Sheet1!S71_A5CapexCode,$AD:$AD)</f>
        <v>0</v>
      </c>
      <c r="F78" s="725">
        <f>SUMIFS(Sheet1!S71_OriginalBudAmnt,Sheet1!S71_SA34Code,$AC:$AC,Sheet1!S71_A5CapexCode,$AD:$AD)</f>
        <v>0</v>
      </c>
      <c r="G78" s="712">
        <f>SUMIFS(Sheet1!S71_AdjustmentBudAmnt,Sheet1!S71_SA34Code,$AC:$AC,Sheet1!S71_A5CapexCode,$AD:$AD)</f>
        <v>0</v>
      </c>
      <c r="H78" s="713">
        <f>SUMIFS(Sheet1!S71_AdjustmentBudAmnt,Sheet1!S71_SA34Code,$AC:$AC,Sheet1!S71_A5CapexCode,$AD:$AD)</f>
        <v>0</v>
      </c>
      <c r="I78" s="725">
        <f>SUMIFS(Sheet1!S71_ASBudgetAmount,Sheet1!S71_SA34Code,$AC:$AC,Sheet1!S71_A5CapexCode,$AD:$AD)</f>
        <v>0</v>
      </c>
      <c r="J78" s="712">
        <f>SUMIFS(Sheet1!S71_OY1BudgetAmount,Sheet1!S71_SA34Code,$AC:$AC,Sheet1!S71_A5CapexCode,$AD:$AD)</f>
        <v>0</v>
      </c>
      <c r="K78" s="713">
        <f>SUMIFS(Sheet1!S71_OY2BudgetAmount,Sheet1!S71_SA34Code,$AC:$AC,Sheet1!S71_A5CapexCode,$AD:$AD)</f>
        <v>0</v>
      </c>
      <c r="L78" s="2126"/>
      <c r="AC78" s="2320" t="s">
        <v>2864</v>
      </c>
      <c r="AD78" s="2320" t="s">
        <v>2805</v>
      </c>
    </row>
    <row r="79" spans="1:30" ht="11.25" customHeight="1" x14ac:dyDescent="0.25">
      <c r="A79" s="2125" t="s">
        <v>2287</v>
      </c>
      <c r="B79" s="144"/>
      <c r="C79" s="712">
        <f>SUMIFS(Sheet1!S71_PPPYearAmount,Sheet1!S71_SA34Code,$AC:$AC,Sheet1!S71_A5CapexCode,$AD:$AD)</f>
        <v>0</v>
      </c>
      <c r="D79" s="712">
        <f>SUMIFS(Sheet1!S71_PPYearAmount,Sheet1!S71_SA34Code,$AC:$AC,Sheet1!S71_A5CapexCode,$AD:$AD)</f>
        <v>0</v>
      </c>
      <c r="E79" s="715">
        <f>SUMIFS(Sheet1!S71_PYearAmount,Sheet1!S71_SA34Code,$AC:$AC,Sheet1!S71_A5CapexCode,$AD:$AD)</f>
        <v>0</v>
      </c>
      <c r="F79" s="725">
        <f>SUMIFS(Sheet1!S71_OriginalBudAmnt,Sheet1!S71_SA34Code,$AC:$AC,Sheet1!S71_A5CapexCode,$AD:$AD)</f>
        <v>0</v>
      </c>
      <c r="G79" s="712">
        <f>SUMIFS(Sheet1!S71_AdjustmentBudAmnt,Sheet1!S71_SA34Code,$AC:$AC,Sheet1!S71_A5CapexCode,$AD:$AD)</f>
        <v>0</v>
      </c>
      <c r="H79" s="713">
        <f>SUMIFS(Sheet1!S71_AdjustmentBudAmnt,Sheet1!S71_SA34Code,$AC:$AC,Sheet1!S71_A5CapexCode,$AD:$AD)</f>
        <v>0</v>
      </c>
      <c r="I79" s="725">
        <f>SUMIFS(Sheet1!S71_ASBudgetAmount,Sheet1!S71_SA34Code,$AC:$AC,Sheet1!S71_A5CapexCode,$AD:$AD)</f>
        <v>0</v>
      </c>
      <c r="J79" s="712">
        <f>SUMIFS(Sheet1!S71_OY1BudgetAmount,Sheet1!S71_SA34Code,$AC:$AC,Sheet1!S71_A5CapexCode,$AD:$AD)</f>
        <v>0</v>
      </c>
      <c r="K79" s="713">
        <f>SUMIFS(Sheet1!S71_OY2BudgetAmount,Sheet1!S71_SA34Code,$AC:$AC,Sheet1!S71_A5CapexCode,$AD:$AD)</f>
        <v>0</v>
      </c>
      <c r="L79" s="2126"/>
      <c r="AC79" s="2320" t="s">
        <v>2865</v>
      </c>
      <c r="AD79" s="2320" t="s">
        <v>2805</v>
      </c>
    </row>
    <row r="80" spans="1:30" ht="11.25" customHeight="1" x14ac:dyDescent="0.25">
      <c r="A80" s="2125" t="s">
        <v>2288</v>
      </c>
      <c r="B80" s="144"/>
      <c r="C80" s="712">
        <f>SUMIFS(Sheet1!S71_PPPYearAmount,Sheet1!S71_SA34Code,$AC:$AC,Sheet1!S71_A5CapexCode,$AD:$AD)</f>
        <v>0</v>
      </c>
      <c r="D80" s="712">
        <f>SUMIFS(Sheet1!S71_PPYearAmount,Sheet1!S71_SA34Code,$AC:$AC,Sheet1!S71_A5CapexCode,$AD:$AD)</f>
        <v>0</v>
      </c>
      <c r="E80" s="715">
        <f>SUMIFS(Sheet1!S71_PYearAmount,Sheet1!S71_SA34Code,$AC:$AC,Sheet1!S71_A5CapexCode,$AD:$AD)</f>
        <v>0</v>
      </c>
      <c r="F80" s="725">
        <f>SUMIFS(Sheet1!S71_OriginalBudAmnt,Sheet1!S71_SA34Code,$AC:$AC,Sheet1!S71_A5CapexCode,$AD:$AD)</f>
        <v>0</v>
      </c>
      <c r="G80" s="712">
        <f>SUMIFS(Sheet1!S71_AdjustmentBudAmnt,Sheet1!S71_SA34Code,$AC:$AC,Sheet1!S71_A5CapexCode,$AD:$AD)</f>
        <v>0</v>
      </c>
      <c r="H80" s="713">
        <f>SUMIFS(Sheet1!S71_AdjustmentBudAmnt,Sheet1!S71_SA34Code,$AC:$AC,Sheet1!S71_A5CapexCode,$AD:$AD)</f>
        <v>0</v>
      </c>
      <c r="I80" s="725">
        <f>SUMIFS(Sheet1!S71_ASBudgetAmount,Sheet1!S71_SA34Code,$AC:$AC,Sheet1!S71_A5CapexCode,$AD:$AD)</f>
        <v>0</v>
      </c>
      <c r="J80" s="712">
        <f>SUMIFS(Sheet1!S71_OY1BudgetAmount,Sheet1!S71_SA34Code,$AC:$AC,Sheet1!S71_A5CapexCode,$AD:$AD)</f>
        <v>0</v>
      </c>
      <c r="K80" s="713">
        <f>SUMIFS(Sheet1!S71_OY2BudgetAmount,Sheet1!S71_SA34Code,$AC:$AC,Sheet1!S71_A5CapexCode,$AD:$AD)</f>
        <v>0</v>
      </c>
      <c r="L80" s="2126"/>
      <c r="AC80" s="2320" t="s">
        <v>2866</v>
      </c>
      <c r="AD80" s="2320" t="s">
        <v>2805</v>
      </c>
    </row>
    <row r="81" spans="1:30" ht="11.25" customHeight="1" x14ac:dyDescent="0.25">
      <c r="A81" s="2125" t="s">
        <v>2289</v>
      </c>
      <c r="B81" s="144"/>
      <c r="C81" s="712">
        <f>SUMIFS(Sheet1!S71_PPPYearAmount,Sheet1!S71_SA34Code,$AC:$AC,Sheet1!S71_A5CapexCode,$AD:$AD)</f>
        <v>0</v>
      </c>
      <c r="D81" s="712">
        <f>SUMIFS(Sheet1!S71_PPYearAmount,Sheet1!S71_SA34Code,$AC:$AC,Sheet1!S71_A5CapexCode,$AD:$AD)</f>
        <v>0</v>
      </c>
      <c r="E81" s="715">
        <f>SUMIFS(Sheet1!S71_PYearAmount,Sheet1!S71_SA34Code,$AC:$AC,Sheet1!S71_A5CapexCode,$AD:$AD)</f>
        <v>0</v>
      </c>
      <c r="F81" s="725">
        <f>SUMIFS(Sheet1!S71_OriginalBudAmnt,Sheet1!S71_SA34Code,$AC:$AC,Sheet1!S71_A5CapexCode,$AD:$AD)</f>
        <v>0</v>
      </c>
      <c r="G81" s="712">
        <f>SUMIFS(Sheet1!S71_AdjustmentBudAmnt,Sheet1!S71_SA34Code,$AC:$AC,Sheet1!S71_A5CapexCode,$AD:$AD)</f>
        <v>0</v>
      </c>
      <c r="H81" s="713">
        <f>SUMIFS(Sheet1!S71_AdjustmentBudAmnt,Sheet1!S71_SA34Code,$AC:$AC,Sheet1!S71_A5CapexCode,$AD:$AD)</f>
        <v>0</v>
      </c>
      <c r="I81" s="725">
        <f>SUMIFS(Sheet1!S71_ASBudgetAmount,Sheet1!S71_SA34Code,$AC:$AC,Sheet1!S71_A5CapexCode,$AD:$AD)</f>
        <v>0</v>
      </c>
      <c r="J81" s="712">
        <f>SUMIFS(Sheet1!S71_OY1BudgetAmount,Sheet1!S71_SA34Code,$AC:$AC,Sheet1!S71_A5CapexCode,$AD:$AD)</f>
        <v>0</v>
      </c>
      <c r="K81" s="713">
        <f>SUMIFS(Sheet1!S71_OY2BudgetAmount,Sheet1!S71_SA34Code,$AC:$AC,Sheet1!S71_A5CapexCode,$AD:$AD)</f>
        <v>0</v>
      </c>
      <c r="L81" s="2126"/>
      <c r="AC81" s="2320" t="s">
        <v>2867</v>
      </c>
      <c r="AD81" s="2320" t="s">
        <v>2805</v>
      </c>
    </row>
    <row r="82" spans="1:30" ht="11.25" customHeight="1" x14ac:dyDescent="0.25">
      <c r="A82" s="2125" t="s">
        <v>2290</v>
      </c>
      <c r="B82" s="144"/>
      <c r="C82" s="712">
        <f>SUMIFS(Sheet1!S71_PPPYearAmount,Sheet1!S71_SA34Code,$AC:$AC,Sheet1!S71_A5CapexCode,$AD:$AD)</f>
        <v>0</v>
      </c>
      <c r="D82" s="712">
        <f>SUMIFS(Sheet1!S71_PPYearAmount,Sheet1!S71_SA34Code,$AC:$AC,Sheet1!S71_A5CapexCode,$AD:$AD)</f>
        <v>0</v>
      </c>
      <c r="E82" s="715">
        <f>SUMIFS(Sheet1!S71_PYearAmount,Sheet1!S71_SA34Code,$AC:$AC,Sheet1!S71_A5CapexCode,$AD:$AD)</f>
        <v>0</v>
      </c>
      <c r="F82" s="725">
        <f>SUMIFS(Sheet1!S71_OriginalBudAmnt,Sheet1!S71_SA34Code,$AC:$AC,Sheet1!S71_A5CapexCode,$AD:$AD)</f>
        <v>0</v>
      </c>
      <c r="G82" s="712">
        <f>SUMIFS(Sheet1!S71_AdjustmentBudAmnt,Sheet1!S71_SA34Code,$AC:$AC,Sheet1!S71_A5CapexCode,$AD:$AD)</f>
        <v>0</v>
      </c>
      <c r="H82" s="713">
        <f>SUMIFS(Sheet1!S71_AdjustmentBudAmnt,Sheet1!S71_SA34Code,$AC:$AC,Sheet1!S71_A5CapexCode,$AD:$AD)</f>
        <v>0</v>
      </c>
      <c r="I82" s="725">
        <f>SUMIFS(Sheet1!S71_ASBudgetAmount,Sheet1!S71_SA34Code,$AC:$AC,Sheet1!S71_A5CapexCode,$AD:$AD)</f>
        <v>0</v>
      </c>
      <c r="J82" s="712">
        <f>SUMIFS(Sheet1!S71_OY1BudgetAmount,Sheet1!S71_SA34Code,$AC:$AC,Sheet1!S71_A5CapexCode,$AD:$AD)</f>
        <v>0</v>
      </c>
      <c r="K82" s="713">
        <f>SUMIFS(Sheet1!S71_OY2BudgetAmount,Sheet1!S71_SA34Code,$AC:$AC,Sheet1!S71_A5CapexCode,$AD:$AD)</f>
        <v>0</v>
      </c>
      <c r="L82" s="2126"/>
      <c r="AC82" s="2320" t="s">
        <v>2868</v>
      </c>
      <c r="AD82" s="2320" t="s">
        <v>2805</v>
      </c>
    </row>
    <row r="83" spans="1:30" ht="11.25" customHeight="1" x14ac:dyDescent="0.25">
      <c r="A83" s="2125" t="s">
        <v>2291</v>
      </c>
      <c r="B83" s="144"/>
      <c r="C83" s="712">
        <f>SUMIFS(Sheet1!S71_PPPYearAmount,Sheet1!S71_SA34Code,$AC:$AC,Sheet1!S71_A5CapexCode,$AD:$AD)</f>
        <v>0</v>
      </c>
      <c r="D83" s="712">
        <f>SUMIFS(Sheet1!S71_PPYearAmount,Sheet1!S71_SA34Code,$AC:$AC,Sheet1!S71_A5CapexCode,$AD:$AD)</f>
        <v>0</v>
      </c>
      <c r="E83" s="715">
        <f>SUMIFS(Sheet1!S71_PYearAmount,Sheet1!S71_SA34Code,$AC:$AC,Sheet1!S71_A5CapexCode,$AD:$AD)</f>
        <v>0</v>
      </c>
      <c r="F83" s="725">
        <f>SUMIFS(Sheet1!S71_OriginalBudAmnt,Sheet1!S71_SA34Code,$AC:$AC,Sheet1!S71_A5CapexCode,$AD:$AD)</f>
        <v>0</v>
      </c>
      <c r="G83" s="712">
        <f>SUMIFS(Sheet1!S71_AdjustmentBudAmnt,Sheet1!S71_SA34Code,$AC:$AC,Sheet1!S71_A5CapexCode,$AD:$AD)</f>
        <v>0</v>
      </c>
      <c r="H83" s="713">
        <f>SUMIFS(Sheet1!S71_AdjustmentBudAmnt,Sheet1!S71_SA34Code,$AC:$AC,Sheet1!S71_A5CapexCode,$AD:$AD)</f>
        <v>0</v>
      </c>
      <c r="I83" s="725">
        <f>SUMIFS(Sheet1!S71_ASBudgetAmount,Sheet1!S71_SA34Code,$AC:$AC,Sheet1!S71_A5CapexCode,$AD:$AD)</f>
        <v>0</v>
      </c>
      <c r="J83" s="712">
        <f>SUMIFS(Sheet1!S71_OY1BudgetAmount,Sheet1!S71_SA34Code,$AC:$AC,Sheet1!S71_A5CapexCode,$AD:$AD)</f>
        <v>0</v>
      </c>
      <c r="K83" s="713">
        <f>SUMIFS(Sheet1!S71_OY2BudgetAmount,Sheet1!S71_SA34Code,$AC:$AC,Sheet1!S71_A5CapexCode,$AD:$AD)</f>
        <v>0</v>
      </c>
      <c r="L83" s="2126"/>
      <c r="AC83" s="2320" t="s">
        <v>2869</v>
      </c>
      <c r="AD83" s="2320" t="s">
        <v>2805</v>
      </c>
    </row>
    <row r="84" spans="1:30" ht="11.25" customHeight="1" x14ac:dyDescent="0.25">
      <c r="A84" s="2125" t="s">
        <v>2292</v>
      </c>
      <c r="B84" s="144"/>
      <c r="C84" s="712">
        <f>SUMIFS(Sheet1!S71_PPPYearAmount,Sheet1!S71_SA34Code,$AC:$AC,Sheet1!S71_A5CapexCode,$AD:$AD)</f>
        <v>0</v>
      </c>
      <c r="D84" s="712">
        <f>SUMIFS(Sheet1!S71_PPYearAmount,Sheet1!S71_SA34Code,$AC:$AC,Sheet1!S71_A5CapexCode,$AD:$AD)</f>
        <v>0</v>
      </c>
      <c r="E84" s="715">
        <f>SUMIFS(Sheet1!S71_PYearAmount,Sheet1!S71_SA34Code,$AC:$AC,Sheet1!S71_A5CapexCode,$AD:$AD)</f>
        <v>0</v>
      </c>
      <c r="F84" s="725">
        <f>SUMIFS(Sheet1!S71_OriginalBudAmnt,Sheet1!S71_SA34Code,$AC:$AC,Sheet1!S71_A5CapexCode,$AD:$AD)</f>
        <v>0</v>
      </c>
      <c r="G84" s="712">
        <f>SUMIFS(Sheet1!S71_AdjustmentBudAmnt,Sheet1!S71_SA34Code,$AC:$AC,Sheet1!S71_A5CapexCode,$AD:$AD)</f>
        <v>0</v>
      </c>
      <c r="H84" s="713">
        <f>SUMIFS(Sheet1!S71_AdjustmentBudAmnt,Sheet1!S71_SA34Code,$AC:$AC,Sheet1!S71_A5CapexCode,$AD:$AD)</f>
        <v>0</v>
      </c>
      <c r="I84" s="725">
        <f>SUMIFS(Sheet1!S71_ASBudgetAmount,Sheet1!S71_SA34Code,$AC:$AC,Sheet1!S71_A5CapexCode,$AD:$AD)</f>
        <v>0</v>
      </c>
      <c r="J84" s="712">
        <f>SUMIFS(Sheet1!S71_OY1BudgetAmount,Sheet1!S71_SA34Code,$AC:$AC,Sheet1!S71_A5CapexCode,$AD:$AD)</f>
        <v>0</v>
      </c>
      <c r="K84" s="713">
        <f>SUMIFS(Sheet1!S71_OY2BudgetAmount,Sheet1!S71_SA34Code,$AC:$AC,Sheet1!S71_A5CapexCode,$AD:$AD)</f>
        <v>0</v>
      </c>
      <c r="L84" s="2126"/>
      <c r="AC84" s="2320" t="s">
        <v>2870</v>
      </c>
      <c r="AD84" s="2320" t="s">
        <v>2805</v>
      </c>
    </row>
    <row r="85" spans="1:30" ht="11.25" customHeight="1" x14ac:dyDescent="0.25">
      <c r="A85" s="2125" t="s">
        <v>288</v>
      </c>
      <c r="B85" s="144"/>
      <c r="C85" s="712">
        <f>SUMIFS(Sheet1!S71_PPPYearAmount,Sheet1!S71_SA34Code,$AC:$AC,Sheet1!S71_A5CapexCode,$AD:$AD)</f>
        <v>0</v>
      </c>
      <c r="D85" s="712">
        <f>SUMIFS(Sheet1!S71_PPYearAmount,Sheet1!S71_SA34Code,$AC:$AC,Sheet1!S71_A5CapexCode,$AD:$AD)</f>
        <v>0</v>
      </c>
      <c r="E85" s="715">
        <f>SUMIFS(Sheet1!S71_PYearAmount,Sheet1!S71_SA34Code,$AC:$AC,Sheet1!S71_A5CapexCode,$AD:$AD)</f>
        <v>0</v>
      </c>
      <c r="F85" s="725">
        <f>SUMIFS(Sheet1!S71_OriginalBudAmnt,Sheet1!S71_SA34Code,$AC:$AC,Sheet1!S71_A5CapexCode,$AD:$AD)</f>
        <v>0</v>
      </c>
      <c r="G85" s="712">
        <f>SUMIFS(Sheet1!S71_AdjustmentBudAmnt,Sheet1!S71_SA34Code,$AC:$AC,Sheet1!S71_A5CapexCode,$AD:$AD)</f>
        <v>0</v>
      </c>
      <c r="H85" s="713">
        <f>SUMIFS(Sheet1!S71_AdjustmentBudAmnt,Sheet1!S71_SA34Code,$AC:$AC,Sheet1!S71_A5CapexCode,$AD:$AD)</f>
        <v>0</v>
      </c>
      <c r="I85" s="725">
        <f>SUMIFS(Sheet1!S71_ASBudgetAmount,Sheet1!S71_SA34Code,$AC:$AC,Sheet1!S71_A5CapexCode,$AD:$AD)</f>
        <v>0</v>
      </c>
      <c r="J85" s="712">
        <f>SUMIFS(Sheet1!S71_OY1BudgetAmount,Sheet1!S71_SA34Code,$AC:$AC,Sheet1!S71_A5CapexCode,$AD:$AD)</f>
        <v>0</v>
      </c>
      <c r="K85" s="713">
        <f>SUMIFS(Sheet1!S71_OY2BudgetAmount,Sheet1!S71_SA34Code,$AC:$AC,Sheet1!S71_A5CapexCode,$AD:$AD)</f>
        <v>0</v>
      </c>
      <c r="L85" s="2126"/>
      <c r="AC85" s="2320" t="s">
        <v>2871</v>
      </c>
      <c r="AD85" s="2320" t="s">
        <v>2805</v>
      </c>
    </row>
    <row r="86" spans="1:30" ht="11.25" customHeight="1" x14ac:dyDescent="0.25">
      <c r="A86" s="2125" t="s">
        <v>2293</v>
      </c>
      <c r="B86" s="144"/>
      <c r="C86" s="712">
        <f>SUMIFS(Sheet1!S71_PPPYearAmount,Sheet1!S71_SA34Code,$AC:$AC,Sheet1!S71_A5CapexCode,$AD:$AD)</f>
        <v>0</v>
      </c>
      <c r="D86" s="712">
        <f>SUMIFS(Sheet1!S71_PPYearAmount,Sheet1!S71_SA34Code,$AC:$AC,Sheet1!S71_A5CapexCode,$AD:$AD)</f>
        <v>0</v>
      </c>
      <c r="E86" s="715">
        <f>SUMIFS(Sheet1!S71_PYearAmount,Sheet1!S71_SA34Code,$AC:$AC,Sheet1!S71_A5CapexCode,$AD:$AD)</f>
        <v>0</v>
      </c>
      <c r="F86" s="725">
        <f>SUMIFS(Sheet1!S71_OriginalBudAmnt,Sheet1!S71_SA34Code,$AC:$AC,Sheet1!S71_A5CapexCode,$AD:$AD)</f>
        <v>0</v>
      </c>
      <c r="G86" s="712">
        <f>SUMIFS(Sheet1!S71_AdjustmentBudAmnt,Sheet1!S71_SA34Code,$AC:$AC,Sheet1!S71_A5CapexCode,$AD:$AD)</f>
        <v>0</v>
      </c>
      <c r="H86" s="713">
        <f>SUMIFS(Sheet1!S71_AdjustmentBudAmnt,Sheet1!S71_SA34Code,$AC:$AC,Sheet1!S71_A5CapexCode,$AD:$AD)</f>
        <v>0</v>
      </c>
      <c r="I86" s="725">
        <f>SUMIFS(Sheet1!S71_ASBudgetAmount,Sheet1!S71_SA34Code,$AC:$AC,Sheet1!S71_A5CapexCode,$AD:$AD)</f>
        <v>0</v>
      </c>
      <c r="J86" s="712">
        <f>SUMIFS(Sheet1!S71_OY1BudgetAmount,Sheet1!S71_SA34Code,$AC:$AC,Sheet1!S71_A5CapexCode,$AD:$AD)</f>
        <v>0</v>
      </c>
      <c r="K86" s="713">
        <f>SUMIFS(Sheet1!S71_OY2BudgetAmount,Sheet1!S71_SA34Code,$AC:$AC,Sheet1!S71_A5CapexCode,$AD:$AD)</f>
        <v>0</v>
      </c>
      <c r="L86" s="2126"/>
      <c r="AC86" s="2320" t="s">
        <v>2872</v>
      </c>
      <c r="AD86" s="2320" t="s">
        <v>2805</v>
      </c>
    </row>
    <row r="87" spans="1:30" ht="11.25" customHeight="1" x14ac:dyDescent="0.25">
      <c r="A87" s="2125" t="s">
        <v>1446</v>
      </c>
      <c r="B87" s="144"/>
      <c r="C87" s="712">
        <f>SUMIFS(Sheet1!S71_PPPYearAmount,Sheet1!S71_SA34Code,$AC:$AC,Sheet1!S71_A5CapexCode,$AD:$AD)</f>
        <v>0</v>
      </c>
      <c r="D87" s="712">
        <f>SUMIFS(Sheet1!S71_PPYearAmount,Sheet1!S71_SA34Code,$AC:$AC,Sheet1!S71_A5CapexCode,$AD:$AD)</f>
        <v>0</v>
      </c>
      <c r="E87" s="715">
        <f>SUMIFS(Sheet1!S71_PYearAmount,Sheet1!S71_SA34Code,$AC:$AC,Sheet1!S71_A5CapexCode,$AD:$AD)</f>
        <v>0</v>
      </c>
      <c r="F87" s="725">
        <f>SUMIFS(Sheet1!S71_OriginalBudAmnt,Sheet1!S71_SA34Code,$AC:$AC,Sheet1!S71_A5CapexCode,$AD:$AD)</f>
        <v>0</v>
      </c>
      <c r="G87" s="712">
        <f>SUMIFS(Sheet1!S71_AdjustmentBudAmnt,Sheet1!S71_SA34Code,$AC:$AC,Sheet1!S71_A5CapexCode,$AD:$AD)</f>
        <v>0</v>
      </c>
      <c r="H87" s="713">
        <f>SUMIFS(Sheet1!S71_AdjustmentBudAmnt,Sheet1!S71_SA34Code,$AC:$AC,Sheet1!S71_A5CapexCode,$AD:$AD)</f>
        <v>0</v>
      </c>
      <c r="I87" s="725">
        <f>SUMIFS(Sheet1!S71_ASBudgetAmount,Sheet1!S71_SA34Code,$AC:$AC,Sheet1!S71_A5CapexCode,$AD:$AD)</f>
        <v>0</v>
      </c>
      <c r="J87" s="712">
        <f>SUMIFS(Sheet1!S71_OY1BudgetAmount,Sheet1!S71_SA34Code,$AC:$AC,Sheet1!S71_A5CapexCode,$AD:$AD)</f>
        <v>0</v>
      </c>
      <c r="K87" s="713">
        <f>SUMIFS(Sheet1!S71_OY2BudgetAmount,Sheet1!S71_SA34Code,$AC:$AC,Sheet1!S71_A5CapexCode,$AD:$AD)</f>
        <v>0</v>
      </c>
      <c r="L87" s="2126"/>
      <c r="AC87" s="2320" t="s">
        <v>2702</v>
      </c>
      <c r="AD87" s="2320" t="s">
        <v>2805</v>
      </c>
    </row>
    <row r="88" spans="1:30" ht="11.25" customHeight="1" x14ac:dyDescent="0.25">
      <c r="A88" s="2125" t="s">
        <v>2468</v>
      </c>
      <c r="B88" s="144"/>
      <c r="C88" s="712">
        <f>SUMIFS(Sheet1!S71_PPPYearAmount,Sheet1!S71_SA34Code,$AC:$AC,Sheet1!S71_A5CapexCode,$AD:$AD)</f>
        <v>0</v>
      </c>
      <c r="D88" s="712">
        <f>SUMIFS(Sheet1!S71_PPYearAmount,Sheet1!S71_SA34Code,$AC:$AC,Sheet1!S71_A5CapexCode,$AD:$AD)</f>
        <v>0</v>
      </c>
      <c r="E88" s="715">
        <f>SUMIFS(Sheet1!S71_PYearAmount,Sheet1!S71_SA34Code,$AC:$AC,Sheet1!S71_A5CapexCode,$AD:$AD)</f>
        <v>0</v>
      </c>
      <c r="F88" s="725">
        <f>SUMIFS(Sheet1!S71_OriginalBudAmnt,Sheet1!S71_SA34Code,$AC:$AC,Sheet1!S71_A5CapexCode,$AD:$AD)</f>
        <v>0</v>
      </c>
      <c r="G88" s="712">
        <f>SUMIFS(Sheet1!S71_AdjustmentBudAmnt,Sheet1!S71_SA34Code,$AC:$AC,Sheet1!S71_A5CapexCode,$AD:$AD)</f>
        <v>0</v>
      </c>
      <c r="H88" s="713">
        <f>SUMIFS(Sheet1!S71_AdjustmentBudAmnt,Sheet1!S71_SA34Code,$AC:$AC,Sheet1!S71_A5CapexCode,$AD:$AD)</f>
        <v>0</v>
      </c>
      <c r="I88" s="725">
        <f>SUMIFS(Sheet1!S71_ASBudgetAmount,Sheet1!S71_SA34Code,$AC:$AC,Sheet1!S71_A5CapexCode,$AD:$AD)</f>
        <v>0</v>
      </c>
      <c r="J88" s="712">
        <f>SUMIFS(Sheet1!S71_OY1BudgetAmount,Sheet1!S71_SA34Code,$AC:$AC,Sheet1!S71_A5CapexCode,$AD:$AD)</f>
        <v>0</v>
      </c>
      <c r="K88" s="713">
        <f>SUMIFS(Sheet1!S71_OY2BudgetAmount,Sheet1!S71_SA34Code,$AC:$AC,Sheet1!S71_A5CapexCode,$AD:$AD)</f>
        <v>0</v>
      </c>
      <c r="L88" s="2126"/>
      <c r="AC88" s="2320" t="s">
        <v>2873</v>
      </c>
      <c r="AD88" s="2320" t="s">
        <v>2805</v>
      </c>
    </row>
    <row r="89" spans="1:30" ht="11.25" customHeight="1" x14ac:dyDescent="0.25">
      <c r="A89" s="2125" t="s">
        <v>2295</v>
      </c>
      <c r="B89" s="144"/>
      <c r="C89" s="712">
        <f>SUMIFS(Sheet1!S71_PPPYearAmount,Sheet1!S71_SA34Code,$AC:$AC,Sheet1!S71_A5CapexCode,$AD:$AD)</f>
        <v>0</v>
      </c>
      <c r="D89" s="712">
        <f>SUMIFS(Sheet1!S71_PPYearAmount,Sheet1!S71_SA34Code,$AC:$AC,Sheet1!S71_A5CapexCode,$AD:$AD)</f>
        <v>0</v>
      </c>
      <c r="E89" s="715">
        <f>SUMIFS(Sheet1!S71_PYearAmount,Sheet1!S71_SA34Code,$AC:$AC,Sheet1!S71_A5CapexCode,$AD:$AD)</f>
        <v>0</v>
      </c>
      <c r="F89" s="725">
        <f>SUMIFS(Sheet1!S71_OriginalBudAmnt,Sheet1!S71_SA34Code,$AC:$AC,Sheet1!S71_A5CapexCode,$AD:$AD)</f>
        <v>0</v>
      </c>
      <c r="G89" s="712">
        <f>SUMIFS(Sheet1!S71_AdjustmentBudAmnt,Sheet1!S71_SA34Code,$AC:$AC,Sheet1!S71_A5CapexCode,$AD:$AD)</f>
        <v>0</v>
      </c>
      <c r="H89" s="713">
        <f>SUMIFS(Sheet1!S71_AdjustmentBudAmnt,Sheet1!S71_SA34Code,$AC:$AC,Sheet1!S71_A5CapexCode,$AD:$AD)</f>
        <v>0</v>
      </c>
      <c r="I89" s="725">
        <f>SUMIFS(Sheet1!S71_ASBudgetAmount,Sheet1!S71_SA34Code,$AC:$AC,Sheet1!S71_A5CapexCode,$AD:$AD)</f>
        <v>0</v>
      </c>
      <c r="J89" s="712">
        <f>SUMIFS(Sheet1!S71_OY1BudgetAmount,Sheet1!S71_SA34Code,$AC:$AC,Sheet1!S71_A5CapexCode,$AD:$AD)</f>
        <v>0</v>
      </c>
      <c r="K89" s="713">
        <f>SUMIFS(Sheet1!S71_OY2BudgetAmount,Sheet1!S71_SA34Code,$AC:$AC,Sheet1!S71_A5CapexCode,$AD:$AD)</f>
        <v>0</v>
      </c>
      <c r="L89" s="2126"/>
      <c r="AC89" s="2320" t="s">
        <v>2874</v>
      </c>
      <c r="AD89" s="2320" t="s">
        <v>2805</v>
      </c>
    </row>
    <row r="90" spans="1:30" ht="11.25" customHeight="1" x14ac:dyDescent="0.25">
      <c r="A90" s="2125" t="s">
        <v>2296</v>
      </c>
      <c r="B90" s="144"/>
      <c r="C90" s="712">
        <f>SUMIFS(Sheet1!S71_PPPYearAmount,Sheet1!S71_SA34Code,$AC:$AC,Sheet1!S71_A5CapexCode,$AD:$AD)</f>
        <v>0</v>
      </c>
      <c r="D90" s="712">
        <f>SUMIFS(Sheet1!S71_PPYearAmount,Sheet1!S71_SA34Code,$AC:$AC,Sheet1!S71_A5CapexCode,$AD:$AD)</f>
        <v>0</v>
      </c>
      <c r="E90" s="715">
        <f>SUMIFS(Sheet1!S71_PYearAmount,Sheet1!S71_SA34Code,$AC:$AC,Sheet1!S71_A5CapexCode,$AD:$AD)</f>
        <v>0</v>
      </c>
      <c r="F90" s="725">
        <f>SUMIFS(Sheet1!S71_OriginalBudAmnt,Sheet1!S71_SA34Code,$AC:$AC,Sheet1!S71_A5CapexCode,$AD:$AD)</f>
        <v>0</v>
      </c>
      <c r="G90" s="712">
        <f>SUMIFS(Sheet1!S71_AdjustmentBudAmnt,Sheet1!S71_SA34Code,$AC:$AC,Sheet1!S71_A5CapexCode,$AD:$AD)</f>
        <v>0</v>
      </c>
      <c r="H90" s="713">
        <f>SUMIFS(Sheet1!S71_AdjustmentBudAmnt,Sheet1!S71_SA34Code,$AC:$AC,Sheet1!S71_A5CapexCode,$AD:$AD)</f>
        <v>0</v>
      </c>
      <c r="I90" s="725">
        <f>SUMIFS(Sheet1!S71_ASBudgetAmount,Sheet1!S71_SA34Code,$AC:$AC,Sheet1!S71_A5CapexCode,$AD:$AD)</f>
        <v>0</v>
      </c>
      <c r="J90" s="712">
        <f>SUMIFS(Sheet1!S71_OY1BudgetAmount,Sheet1!S71_SA34Code,$AC:$AC,Sheet1!S71_A5CapexCode,$AD:$AD)</f>
        <v>0</v>
      </c>
      <c r="K90" s="713">
        <f>SUMIFS(Sheet1!S71_OY2BudgetAmount,Sheet1!S71_SA34Code,$AC:$AC,Sheet1!S71_A5CapexCode,$AD:$AD)</f>
        <v>0</v>
      </c>
      <c r="L90" s="2126"/>
      <c r="AC90" s="2320" t="s">
        <v>2875</v>
      </c>
      <c r="AD90" s="2320" t="s">
        <v>2805</v>
      </c>
    </row>
    <row r="91" spans="1:30" ht="11.25" customHeight="1" x14ac:dyDescent="0.25">
      <c r="A91" s="2125" t="s">
        <v>2297</v>
      </c>
      <c r="B91" s="144"/>
      <c r="C91" s="712">
        <f>SUMIFS(Sheet1!S71_PPPYearAmount,Sheet1!S71_SA34Code,$AC:$AC,Sheet1!S71_A5CapexCode,$AD:$AD)</f>
        <v>0</v>
      </c>
      <c r="D91" s="712">
        <f>SUMIFS(Sheet1!S71_PPYearAmount,Sheet1!S71_SA34Code,$AC:$AC,Sheet1!S71_A5CapexCode,$AD:$AD)</f>
        <v>0</v>
      </c>
      <c r="E91" s="715">
        <f>SUMIFS(Sheet1!S71_PYearAmount,Sheet1!S71_SA34Code,$AC:$AC,Sheet1!S71_A5CapexCode,$AD:$AD)</f>
        <v>0</v>
      </c>
      <c r="F91" s="725">
        <f>SUMIFS(Sheet1!S71_OriginalBudAmnt,Sheet1!S71_SA34Code,$AC:$AC,Sheet1!S71_A5CapexCode,$AD:$AD)</f>
        <v>0</v>
      </c>
      <c r="G91" s="712">
        <f>SUMIFS(Sheet1!S71_AdjustmentBudAmnt,Sheet1!S71_SA34Code,$AC:$AC,Sheet1!S71_A5CapexCode,$AD:$AD)</f>
        <v>0</v>
      </c>
      <c r="H91" s="713">
        <f>SUMIFS(Sheet1!S71_AdjustmentBudAmnt,Sheet1!S71_SA34Code,$AC:$AC,Sheet1!S71_A5CapexCode,$AD:$AD)</f>
        <v>0</v>
      </c>
      <c r="I91" s="725">
        <f>SUMIFS(Sheet1!S71_ASBudgetAmount,Sheet1!S71_SA34Code,$AC:$AC,Sheet1!S71_A5CapexCode,$AD:$AD)</f>
        <v>0</v>
      </c>
      <c r="J91" s="712">
        <f>SUMIFS(Sheet1!S71_OY1BudgetAmount,Sheet1!S71_SA34Code,$AC:$AC,Sheet1!S71_A5CapexCode,$AD:$AD)</f>
        <v>0</v>
      </c>
      <c r="K91" s="713">
        <f>SUMIFS(Sheet1!S71_OY2BudgetAmount,Sheet1!S71_SA34Code,$AC:$AC,Sheet1!S71_A5CapexCode,$AD:$AD)</f>
        <v>0</v>
      </c>
      <c r="L91" s="2126"/>
      <c r="AC91" s="2320" t="s">
        <v>2876</v>
      </c>
      <c r="AD91" s="2320" t="s">
        <v>2805</v>
      </c>
    </row>
    <row r="92" spans="1:30" ht="11.25" customHeight="1" x14ac:dyDescent="0.25">
      <c r="A92" s="2125" t="s">
        <v>1080</v>
      </c>
      <c r="B92" s="144"/>
      <c r="C92" s="712">
        <f>SUMIFS(Sheet1!S71_PPPYearAmount,Sheet1!S71_SA34Code,$AC:$AC,Sheet1!S71_A5CapexCode,$AD:$AD)</f>
        <v>0</v>
      </c>
      <c r="D92" s="712">
        <f>SUMIFS(Sheet1!S71_PPYearAmount,Sheet1!S71_SA34Code,$AC:$AC,Sheet1!S71_A5CapexCode,$AD:$AD)</f>
        <v>0</v>
      </c>
      <c r="E92" s="715">
        <f>SUMIFS(Sheet1!S71_PYearAmount,Sheet1!S71_SA34Code,$AC:$AC,Sheet1!S71_A5CapexCode,$AD:$AD)</f>
        <v>0</v>
      </c>
      <c r="F92" s="725">
        <f>SUMIFS(Sheet1!S71_OriginalBudAmnt,Sheet1!S71_SA34Code,$AC:$AC,Sheet1!S71_A5CapexCode,$AD:$AD)</f>
        <v>0</v>
      </c>
      <c r="G92" s="712">
        <f>SUMIFS(Sheet1!S71_AdjustmentBudAmnt,Sheet1!S71_SA34Code,$AC:$AC,Sheet1!S71_A5CapexCode,$AD:$AD)</f>
        <v>0</v>
      </c>
      <c r="H92" s="713">
        <f>SUMIFS(Sheet1!S71_AdjustmentBudAmnt,Sheet1!S71_SA34Code,$AC:$AC,Sheet1!S71_A5CapexCode,$AD:$AD)</f>
        <v>0</v>
      </c>
      <c r="I92" s="725">
        <f>SUMIFS(Sheet1!S71_ASBudgetAmount,Sheet1!S71_SA34Code,$AC:$AC,Sheet1!S71_A5CapexCode,$AD:$AD)</f>
        <v>0</v>
      </c>
      <c r="J92" s="712">
        <f>SUMIFS(Sheet1!S71_OY1BudgetAmount,Sheet1!S71_SA34Code,$AC:$AC,Sheet1!S71_A5CapexCode,$AD:$AD)</f>
        <v>0</v>
      </c>
      <c r="K92" s="713">
        <f>SUMIFS(Sheet1!S71_OY2BudgetAmount,Sheet1!S71_SA34Code,$AC:$AC,Sheet1!S71_A5CapexCode,$AD:$AD)</f>
        <v>0</v>
      </c>
      <c r="L92" s="2126"/>
      <c r="AC92" s="2320" t="s">
        <v>2877</v>
      </c>
      <c r="AD92" s="2320" t="s">
        <v>2805</v>
      </c>
    </row>
    <row r="93" spans="1:30" ht="11.25" customHeight="1" x14ac:dyDescent="0.25">
      <c r="A93" s="2125" t="s">
        <v>2298</v>
      </c>
      <c r="B93" s="144"/>
      <c r="C93" s="712">
        <f>SUMIFS(Sheet1!S71_PPPYearAmount,Sheet1!S71_SA34Code,$AC:$AC,Sheet1!S71_A5CapexCode,$AD:$AD)</f>
        <v>0</v>
      </c>
      <c r="D93" s="712">
        <f>SUMIFS(Sheet1!S71_PPYearAmount,Sheet1!S71_SA34Code,$AC:$AC,Sheet1!S71_A5CapexCode,$AD:$AD)</f>
        <v>0</v>
      </c>
      <c r="E93" s="715">
        <f>SUMIFS(Sheet1!S71_PYearAmount,Sheet1!S71_SA34Code,$AC:$AC,Sheet1!S71_A5CapexCode,$AD:$AD)</f>
        <v>0</v>
      </c>
      <c r="F93" s="725">
        <f>SUMIFS(Sheet1!S71_OriginalBudAmnt,Sheet1!S71_SA34Code,$AC:$AC,Sheet1!S71_A5CapexCode,$AD:$AD)</f>
        <v>0</v>
      </c>
      <c r="G93" s="712">
        <f>SUMIFS(Sheet1!S71_AdjustmentBudAmnt,Sheet1!S71_SA34Code,$AC:$AC,Sheet1!S71_A5CapexCode,$AD:$AD)</f>
        <v>0</v>
      </c>
      <c r="H93" s="713">
        <f>SUMIFS(Sheet1!S71_AdjustmentBudAmnt,Sheet1!S71_SA34Code,$AC:$AC,Sheet1!S71_A5CapexCode,$AD:$AD)</f>
        <v>0</v>
      </c>
      <c r="I93" s="725">
        <f>SUMIFS(Sheet1!S71_ASBudgetAmount,Sheet1!S71_SA34Code,$AC:$AC,Sheet1!S71_A5CapexCode,$AD:$AD)</f>
        <v>0</v>
      </c>
      <c r="J93" s="712">
        <f>SUMIFS(Sheet1!S71_OY1BudgetAmount,Sheet1!S71_SA34Code,$AC:$AC,Sheet1!S71_A5CapexCode,$AD:$AD)</f>
        <v>0</v>
      </c>
      <c r="K93" s="713">
        <f>SUMIFS(Sheet1!S71_OY2BudgetAmount,Sheet1!S71_SA34Code,$AC:$AC,Sheet1!S71_A5CapexCode,$AD:$AD)</f>
        <v>0</v>
      </c>
      <c r="L93" s="2126"/>
      <c r="O93" s="322"/>
      <c r="AC93" s="2320" t="s">
        <v>2878</v>
      </c>
      <c r="AD93" s="2320" t="s">
        <v>2805</v>
      </c>
    </row>
    <row r="94" spans="1:30" ht="11.25" customHeight="1" x14ac:dyDescent="0.25">
      <c r="A94" s="2125" t="s">
        <v>1079</v>
      </c>
      <c r="B94" s="144"/>
      <c r="C94" s="712">
        <f>SUMIFS(Sheet1!S71_PPPYearAmount,Sheet1!S71_SA34Code,$AC:$AC,Sheet1!S71_A5CapexCode,$AD:$AD)</f>
        <v>0</v>
      </c>
      <c r="D94" s="712">
        <f>SUMIFS(Sheet1!S71_PPYearAmount,Sheet1!S71_SA34Code,$AC:$AC,Sheet1!S71_A5CapexCode,$AD:$AD)</f>
        <v>0</v>
      </c>
      <c r="E94" s="715">
        <f>SUMIFS(Sheet1!S71_PYearAmount,Sheet1!S71_SA34Code,$AC:$AC,Sheet1!S71_A5CapexCode,$AD:$AD)</f>
        <v>0</v>
      </c>
      <c r="F94" s="725">
        <f>SUMIFS(Sheet1!S71_OriginalBudAmnt,Sheet1!S71_SA34Code,$AC:$AC,Sheet1!S71_A5CapexCode,$AD:$AD)</f>
        <v>0</v>
      </c>
      <c r="G94" s="712">
        <f>SUMIFS(Sheet1!S71_AdjustmentBudAmnt,Sheet1!S71_SA34Code,$AC:$AC,Sheet1!S71_A5CapexCode,$AD:$AD)</f>
        <v>0</v>
      </c>
      <c r="H94" s="713">
        <f>SUMIFS(Sheet1!S71_AdjustmentBudAmnt,Sheet1!S71_SA34Code,$AC:$AC,Sheet1!S71_A5CapexCode,$AD:$AD)</f>
        <v>0</v>
      </c>
      <c r="I94" s="725">
        <f>SUMIFS(Sheet1!S71_ASBudgetAmount,Sheet1!S71_SA34Code,$AC:$AC,Sheet1!S71_A5CapexCode,$AD:$AD)</f>
        <v>0</v>
      </c>
      <c r="J94" s="712">
        <f>SUMIFS(Sheet1!S71_OY1BudgetAmount,Sheet1!S71_SA34Code,$AC:$AC,Sheet1!S71_A5CapexCode,$AD:$AD)</f>
        <v>0</v>
      </c>
      <c r="K94" s="713">
        <f>SUMIFS(Sheet1!S71_OY2BudgetAmount,Sheet1!S71_SA34Code,$AC:$AC,Sheet1!S71_A5CapexCode,$AD:$AD)</f>
        <v>0</v>
      </c>
      <c r="L94" s="2126"/>
      <c r="AC94" s="2320" t="s">
        <v>2879</v>
      </c>
      <c r="AD94" s="2320" t="s">
        <v>2805</v>
      </c>
    </row>
    <row r="95" spans="1:30" ht="11.25" customHeight="1" x14ac:dyDescent="0.25">
      <c r="A95" s="2125" t="s">
        <v>2299</v>
      </c>
      <c r="B95" s="144"/>
      <c r="C95" s="712">
        <f>SUMIFS(Sheet1!S71_PPPYearAmount,Sheet1!S71_SA34Code,$AC:$AC,Sheet1!S71_A5CapexCode,$AD:$AD)</f>
        <v>0</v>
      </c>
      <c r="D95" s="712">
        <f>SUMIFS(Sheet1!S71_PPYearAmount,Sheet1!S71_SA34Code,$AC:$AC,Sheet1!S71_A5CapexCode,$AD:$AD)</f>
        <v>0</v>
      </c>
      <c r="E95" s="715">
        <f>SUMIFS(Sheet1!S71_PYearAmount,Sheet1!S71_SA34Code,$AC:$AC,Sheet1!S71_A5CapexCode,$AD:$AD)</f>
        <v>0</v>
      </c>
      <c r="F95" s="725">
        <f>SUMIFS(Sheet1!S71_OriginalBudAmnt,Sheet1!S71_SA34Code,$AC:$AC,Sheet1!S71_A5CapexCode,$AD:$AD)</f>
        <v>0</v>
      </c>
      <c r="G95" s="712">
        <f>SUMIFS(Sheet1!S71_AdjustmentBudAmnt,Sheet1!S71_SA34Code,$AC:$AC,Sheet1!S71_A5CapexCode,$AD:$AD)</f>
        <v>0</v>
      </c>
      <c r="H95" s="713">
        <f>SUMIFS(Sheet1!S71_AdjustmentBudAmnt,Sheet1!S71_SA34Code,$AC:$AC,Sheet1!S71_A5CapexCode,$AD:$AD)</f>
        <v>0</v>
      </c>
      <c r="I95" s="725">
        <f>SUMIFS(Sheet1!S71_ASBudgetAmount,Sheet1!S71_SA34Code,$AC:$AC,Sheet1!S71_A5CapexCode,$AD:$AD)</f>
        <v>0</v>
      </c>
      <c r="J95" s="712">
        <f>SUMIFS(Sheet1!S71_OY1BudgetAmount,Sheet1!S71_SA34Code,$AC:$AC,Sheet1!S71_A5CapexCode,$AD:$AD)</f>
        <v>0</v>
      </c>
      <c r="K95" s="713">
        <f>SUMIFS(Sheet1!S71_OY2BudgetAmount,Sheet1!S71_SA34Code,$AC:$AC,Sheet1!S71_A5CapexCode,$AD:$AD)</f>
        <v>0</v>
      </c>
      <c r="L95" s="2126"/>
      <c r="AC95" s="2320" t="s">
        <v>2880</v>
      </c>
      <c r="AD95" s="2320" t="s">
        <v>2805</v>
      </c>
    </row>
    <row r="96" spans="1:30" ht="11.25" customHeight="1" x14ac:dyDescent="0.25">
      <c r="A96" s="2125" t="s">
        <v>2300</v>
      </c>
      <c r="B96" s="144"/>
      <c r="C96" s="712">
        <f>SUMIFS(Sheet1!S71_PPPYearAmount,Sheet1!S71_SA34Code,$AC:$AC,Sheet1!S71_A5CapexCode,$AD:$AD)</f>
        <v>0</v>
      </c>
      <c r="D96" s="712">
        <f>SUMIFS(Sheet1!S71_PPYearAmount,Sheet1!S71_SA34Code,$AC:$AC,Sheet1!S71_A5CapexCode,$AD:$AD)</f>
        <v>0</v>
      </c>
      <c r="E96" s="715">
        <f>SUMIFS(Sheet1!S71_PYearAmount,Sheet1!S71_SA34Code,$AC:$AC,Sheet1!S71_A5CapexCode,$AD:$AD)</f>
        <v>0</v>
      </c>
      <c r="F96" s="725">
        <f>SUMIFS(Sheet1!S71_OriginalBudAmnt,Sheet1!S71_SA34Code,$AC:$AC,Sheet1!S71_A5CapexCode,$AD:$AD)</f>
        <v>0</v>
      </c>
      <c r="G96" s="712">
        <f>SUMIFS(Sheet1!S71_AdjustmentBudAmnt,Sheet1!S71_SA34Code,$AC:$AC,Sheet1!S71_A5CapexCode,$AD:$AD)</f>
        <v>0</v>
      </c>
      <c r="H96" s="713">
        <f>SUMIFS(Sheet1!S71_AdjustmentBudAmnt,Sheet1!S71_SA34Code,$AC:$AC,Sheet1!S71_A5CapexCode,$AD:$AD)</f>
        <v>0</v>
      </c>
      <c r="I96" s="725">
        <f>SUMIFS(Sheet1!S71_ASBudgetAmount,Sheet1!S71_SA34Code,$AC:$AC,Sheet1!S71_A5CapexCode,$AD:$AD)</f>
        <v>0</v>
      </c>
      <c r="J96" s="712">
        <f>SUMIFS(Sheet1!S71_OY1BudgetAmount,Sheet1!S71_SA34Code,$AC:$AC,Sheet1!S71_A5CapexCode,$AD:$AD)</f>
        <v>0</v>
      </c>
      <c r="K96" s="713">
        <f>SUMIFS(Sheet1!S71_OY2BudgetAmount,Sheet1!S71_SA34Code,$AC:$AC,Sheet1!S71_A5CapexCode,$AD:$AD)</f>
        <v>0</v>
      </c>
      <c r="L96" s="322"/>
      <c r="AC96" s="2320" t="s">
        <v>2881</v>
      </c>
      <c r="AD96" s="2320" t="s">
        <v>2805</v>
      </c>
    </row>
    <row r="97" spans="1:30" ht="11.25" customHeight="1" x14ac:dyDescent="0.25">
      <c r="A97" s="2125" t="s">
        <v>2233</v>
      </c>
      <c r="B97" s="144"/>
      <c r="C97" s="712">
        <f>SUMIFS(Sheet1!S71_PPPYearAmount,Sheet1!S71_SA34Code,$AC:$AC,Sheet1!S71_A5CapexCode,$AD:$AD)</f>
        <v>0</v>
      </c>
      <c r="D97" s="712">
        <f>SUMIFS(Sheet1!S71_PPYearAmount,Sheet1!S71_SA34Code,$AC:$AC,Sheet1!S71_A5CapexCode,$AD:$AD)</f>
        <v>0</v>
      </c>
      <c r="E97" s="715">
        <f>SUMIFS(Sheet1!S71_PYearAmount,Sheet1!S71_SA34Code,$AC:$AC,Sheet1!S71_A5CapexCode,$AD:$AD)</f>
        <v>0</v>
      </c>
      <c r="F97" s="725">
        <f>SUMIFS(Sheet1!S71_OriginalBudAmnt,Sheet1!S71_SA34Code,$AC:$AC,Sheet1!S71_A5CapexCode,$AD:$AD)</f>
        <v>0</v>
      </c>
      <c r="G97" s="712">
        <f>SUMIFS(Sheet1!S71_AdjustmentBudAmnt,Sheet1!S71_SA34Code,$AC:$AC,Sheet1!S71_A5CapexCode,$AD:$AD)</f>
        <v>0</v>
      </c>
      <c r="H97" s="713">
        <f>SUMIFS(Sheet1!S71_AdjustmentBudAmnt,Sheet1!S71_SA34Code,$AC:$AC,Sheet1!S71_A5CapexCode,$AD:$AD)</f>
        <v>0</v>
      </c>
      <c r="I97" s="725">
        <f>SUMIFS(Sheet1!S71_ASBudgetAmount,Sheet1!S71_SA34Code,$AC:$AC,Sheet1!S71_A5CapexCode,$AD:$AD)</f>
        <v>0</v>
      </c>
      <c r="J97" s="712">
        <f>SUMIFS(Sheet1!S71_OY1BudgetAmount,Sheet1!S71_SA34Code,$AC:$AC,Sheet1!S71_A5CapexCode,$AD:$AD)</f>
        <v>0</v>
      </c>
      <c r="K97" s="713">
        <f>SUMIFS(Sheet1!S71_OY2BudgetAmount,Sheet1!S71_SA34Code,$AC:$AC,Sheet1!S71_A5CapexCode,$AD:$AD)</f>
        <v>0</v>
      </c>
      <c r="L97" s="2126"/>
      <c r="AC97" s="2320" t="s">
        <v>2046</v>
      </c>
      <c r="AD97" s="2320" t="s">
        <v>2805</v>
      </c>
    </row>
    <row r="98" spans="1:30" s="377" customFormat="1" ht="13.5" x14ac:dyDescent="0.25">
      <c r="A98" s="104" t="s">
        <v>2301</v>
      </c>
      <c r="B98" s="144"/>
      <c r="C98" s="71">
        <f>SUM(C99:C101)</f>
        <v>0</v>
      </c>
      <c r="D98" s="71">
        <f t="shared" ref="D98:K98" si="12">SUM(D99:D101)</f>
        <v>0</v>
      </c>
      <c r="E98" s="305">
        <f t="shared" si="12"/>
        <v>0</v>
      </c>
      <c r="F98" s="75">
        <f t="shared" si="12"/>
        <v>0</v>
      </c>
      <c r="G98" s="71">
        <f t="shared" si="12"/>
        <v>0</v>
      </c>
      <c r="H98" s="117">
        <f t="shared" si="12"/>
        <v>0</v>
      </c>
      <c r="I98" s="75">
        <f t="shared" si="12"/>
        <v>0</v>
      </c>
      <c r="J98" s="71">
        <f t="shared" si="12"/>
        <v>0</v>
      </c>
      <c r="K98" s="117">
        <f t="shared" si="12"/>
        <v>0</v>
      </c>
      <c r="L98" s="2126"/>
      <c r="AC98" s="2320"/>
      <c r="AD98" s="2320" t="s">
        <v>2805</v>
      </c>
    </row>
    <row r="99" spans="1:30" s="377" customFormat="1" ht="13.5" x14ac:dyDescent="0.25">
      <c r="A99" s="2125" t="s">
        <v>2302</v>
      </c>
      <c r="B99" s="144"/>
      <c r="C99" s="712">
        <f>SUMIFS(Sheet1!S71_PPPYearAmount,Sheet1!S71_SA34Code,$AC:$AC,Sheet1!S71_A5CapexCode,$AD:$AD)</f>
        <v>0</v>
      </c>
      <c r="D99" s="712">
        <f>SUMIFS(Sheet1!S71_PPYearAmount,Sheet1!S71_SA34Code,$AC:$AC,Sheet1!S71_A5CapexCode,$AD:$AD)</f>
        <v>0</v>
      </c>
      <c r="E99" s="715">
        <f>SUMIFS(Sheet1!S71_PYearAmount,Sheet1!S71_SA34Code,$AC:$AC,Sheet1!S71_A5CapexCode,$AD:$AD)</f>
        <v>0</v>
      </c>
      <c r="F99" s="725">
        <f>SUMIFS(Sheet1!S71_OriginalBudAmnt,Sheet1!S71_SA34Code,$AC:$AC,Sheet1!S71_A5CapexCode,$AD:$AD)</f>
        <v>0</v>
      </c>
      <c r="G99" s="712">
        <f>SUMIFS(Sheet1!S71_AdjustmentBudAmnt,Sheet1!S71_SA34Code,$AC:$AC,Sheet1!S71_A5CapexCode,$AD:$AD)</f>
        <v>0</v>
      </c>
      <c r="H99" s="713">
        <f>SUMIFS(Sheet1!S71_AdjustmentBudAmnt,Sheet1!S71_SA34Code,$AC:$AC,Sheet1!S71_A5CapexCode,$AD:$AD)</f>
        <v>0</v>
      </c>
      <c r="I99" s="725">
        <f>SUMIFS(Sheet1!S71_ASBudgetAmount,Sheet1!S71_SA34Code,$AC:$AC,Sheet1!S71_A5CapexCode,$AD:$AD)</f>
        <v>0</v>
      </c>
      <c r="J99" s="712">
        <f>SUMIFS(Sheet1!S71_OY1BudgetAmount,Sheet1!S71_SA34Code,$AC:$AC,Sheet1!S71_A5CapexCode,$AD:$AD)</f>
        <v>0</v>
      </c>
      <c r="K99" s="713">
        <f>SUMIFS(Sheet1!S71_OY2BudgetAmount,Sheet1!S71_SA34Code,$AC:$AC,Sheet1!S71_A5CapexCode,$AD:$AD)</f>
        <v>0</v>
      </c>
      <c r="L99" s="2124"/>
      <c r="AC99" s="2320" t="s">
        <v>2882</v>
      </c>
      <c r="AD99" s="2320" t="s">
        <v>2805</v>
      </c>
    </row>
    <row r="100" spans="1:30" s="377" customFormat="1" ht="13.5" x14ac:dyDescent="0.25">
      <c r="A100" s="2125" t="s">
        <v>2303</v>
      </c>
      <c r="B100" s="144"/>
      <c r="C100" s="712">
        <f>SUMIFS(Sheet1!S71_PPPYearAmount,Sheet1!S71_SA34Code,$AC:$AC,Sheet1!S71_A5CapexCode,$AD:$AD)</f>
        <v>0</v>
      </c>
      <c r="D100" s="712">
        <f>SUMIFS(Sheet1!S71_PPYearAmount,Sheet1!S71_SA34Code,$AC:$AC,Sheet1!S71_A5CapexCode,$AD:$AD)</f>
        <v>0</v>
      </c>
      <c r="E100" s="715">
        <f>SUMIFS(Sheet1!S71_PYearAmount,Sheet1!S71_SA34Code,$AC:$AC,Sheet1!S71_A5CapexCode,$AD:$AD)</f>
        <v>0</v>
      </c>
      <c r="F100" s="725">
        <f>SUMIFS(Sheet1!S71_OriginalBudAmnt,Sheet1!S71_SA34Code,$AC:$AC,Sheet1!S71_A5CapexCode,$AD:$AD)</f>
        <v>0</v>
      </c>
      <c r="G100" s="712">
        <f>SUMIFS(Sheet1!S71_AdjustmentBudAmnt,Sheet1!S71_SA34Code,$AC:$AC,Sheet1!S71_A5CapexCode,$AD:$AD)</f>
        <v>0</v>
      </c>
      <c r="H100" s="713">
        <f>SUMIFS(Sheet1!S71_AdjustmentBudAmnt,Sheet1!S71_SA34Code,$AC:$AC,Sheet1!S71_A5CapexCode,$AD:$AD)</f>
        <v>0</v>
      </c>
      <c r="I100" s="725">
        <f>SUMIFS(Sheet1!S71_ASBudgetAmount,Sheet1!S71_SA34Code,$AC:$AC,Sheet1!S71_A5CapexCode,$AD:$AD)</f>
        <v>0</v>
      </c>
      <c r="J100" s="712">
        <f>SUMIFS(Sheet1!S71_OY1BudgetAmount,Sheet1!S71_SA34Code,$AC:$AC,Sheet1!S71_A5CapexCode,$AD:$AD)</f>
        <v>0</v>
      </c>
      <c r="K100" s="713">
        <f>SUMIFS(Sheet1!S71_OY2BudgetAmount,Sheet1!S71_SA34Code,$AC:$AC,Sheet1!S71_A5CapexCode,$AD:$AD)</f>
        <v>0</v>
      </c>
      <c r="L100" s="2126"/>
      <c r="AC100" s="2320" t="s">
        <v>2883</v>
      </c>
      <c r="AD100" s="2320" t="s">
        <v>2805</v>
      </c>
    </row>
    <row r="101" spans="1:30" s="377" customFormat="1" ht="13.5" x14ac:dyDescent="0.25">
      <c r="A101" s="2125" t="s">
        <v>2233</v>
      </c>
      <c r="B101" s="144"/>
      <c r="C101" s="712">
        <f>SUMIFS(Sheet1!S71_PPPYearAmount,Sheet1!S71_SA34Code,$AC:$AC,Sheet1!S71_A5CapexCode,$AD:$AD)</f>
        <v>0</v>
      </c>
      <c r="D101" s="712">
        <f>SUMIFS(Sheet1!S71_PPYearAmount,Sheet1!S71_SA34Code,$AC:$AC,Sheet1!S71_A5CapexCode,$AD:$AD)</f>
        <v>0</v>
      </c>
      <c r="E101" s="715">
        <f>SUMIFS(Sheet1!S71_PYearAmount,Sheet1!S71_SA34Code,$AC:$AC,Sheet1!S71_A5CapexCode,$AD:$AD)</f>
        <v>0</v>
      </c>
      <c r="F101" s="725">
        <f>SUMIFS(Sheet1!S71_OriginalBudAmnt,Sheet1!S71_SA34Code,$AC:$AC,Sheet1!S71_A5CapexCode,$AD:$AD)</f>
        <v>0</v>
      </c>
      <c r="G101" s="712">
        <f>SUMIFS(Sheet1!S71_AdjustmentBudAmnt,Sheet1!S71_SA34Code,$AC:$AC,Sheet1!S71_A5CapexCode,$AD:$AD)</f>
        <v>0</v>
      </c>
      <c r="H101" s="713">
        <f>SUMIFS(Sheet1!S71_AdjustmentBudAmnt,Sheet1!S71_SA34Code,$AC:$AC,Sheet1!S71_A5CapexCode,$AD:$AD)</f>
        <v>0</v>
      </c>
      <c r="I101" s="725">
        <f>SUMIFS(Sheet1!S71_ASBudgetAmount,Sheet1!S71_SA34Code,$AC:$AC,Sheet1!S71_A5CapexCode,$AD:$AD)</f>
        <v>0</v>
      </c>
      <c r="J101" s="712">
        <f>SUMIFS(Sheet1!S71_OY1BudgetAmount,Sheet1!S71_SA34Code,$AC:$AC,Sheet1!S71_A5CapexCode,$AD:$AD)</f>
        <v>0</v>
      </c>
      <c r="K101" s="713">
        <f>SUMIFS(Sheet1!S71_OY2BudgetAmount,Sheet1!S71_SA34Code,$AC:$AC,Sheet1!S71_A5CapexCode,$AD:$AD)</f>
        <v>0</v>
      </c>
      <c r="L101" s="2126"/>
      <c r="AC101" s="2320" t="s">
        <v>2884</v>
      </c>
      <c r="AD101" s="2320" t="s">
        <v>2805</v>
      </c>
    </row>
    <row r="102" spans="1:30" ht="4.9000000000000004" customHeight="1" x14ac:dyDescent="0.25">
      <c r="A102" s="116"/>
      <c r="B102" s="144"/>
      <c r="C102" s="177"/>
      <c r="D102" s="177"/>
      <c r="E102" s="180"/>
      <c r="F102" s="179"/>
      <c r="G102" s="177"/>
      <c r="H102" s="178"/>
      <c r="I102" s="179"/>
      <c r="J102" s="177"/>
      <c r="K102" s="178"/>
      <c r="L102" s="322"/>
      <c r="AD102" s="2320" t="s">
        <v>2805</v>
      </c>
    </row>
    <row r="103" spans="1:30" ht="17.25" customHeight="1" x14ac:dyDescent="0.25">
      <c r="A103" s="96" t="s">
        <v>828</v>
      </c>
      <c r="B103" s="144"/>
      <c r="C103" s="177">
        <f>SUM(C104:C108)</f>
        <v>0</v>
      </c>
      <c r="D103" s="177">
        <f t="shared" ref="D103:K103" si="13">SUM(D104:D108)</f>
        <v>0</v>
      </c>
      <c r="E103" s="180">
        <f t="shared" si="13"/>
        <v>0</v>
      </c>
      <c r="F103" s="179">
        <f t="shared" si="13"/>
        <v>0</v>
      </c>
      <c r="G103" s="177">
        <f t="shared" si="13"/>
        <v>0</v>
      </c>
      <c r="H103" s="178">
        <f t="shared" si="13"/>
        <v>0</v>
      </c>
      <c r="I103" s="179">
        <f t="shared" si="13"/>
        <v>0</v>
      </c>
      <c r="J103" s="177">
        <f t="shared" si="13"/>
        <v>0</v>
      </c>
      <c r="K103" s="178">
        <f t="shared" si="13"/>
        <v>0</v>
      </c>
      <c r="L103" s="322"/>
      <c r="AD103" s="2320" t="s">
        <v>2805</v>
      </c>
    </row>
    <row r="104" spans="1:30" ht="11.25" customHeight="1" x14ac:dyDescent="0.25">
      <c r="A104" s="104" t="s">
        <v>2304</v>
      </c>
      <c r="B104" s="144"/>
      <c r="C104" s="712">
        <f>SUMIFS(Sheet1!S71_PPPYearAmount,Sheet1!S71_SA34Code,$AC:$AC,Sheet1!S71_A5CapexCode,$AD:$AD)</f>
        <v>0</v>
      </c>
      <c r="D104" s="712">
        <f>SUMIFS(Sheet1!S71_PPYearAmount,Sheet1!S71_SA34Code,$AC:$AC,Sheet1!S71_A5CapexCode,$AD:$AD)</f>
        <v>0</v>
      </c>
      <c r="E104" s="715">
        <f>SUMIFS(Sheet1!S71_PYearAmount,Sheet1!S71_SA34Code,$AC:$AC,Sheet1!S71_A5CapexCode,$AD:$AD)</f>
        <v>0</v>
      </c>
      <c r="F104" s="725">
        <f>SUMIFS(Sheet1!S71_OriginalBudAmnt,Sheet1!S71_SA34Code,$AC:$AC,Sheet1!S71_A5CapexCode,$AD:$AD)</f>
        <v>0</v>
      </c>
      <c r="G104" s="712">
        <f>SUMIFS(Sheet1!S71_AdjustmentBudAmnt,Sheet1!S71_SA34Code,$AC:$AC,Sheet1!S71_A5CapexCode,$AD:$AD)</f>
        <v>0</v>
      </c>
      <c r="H104" s="713">
        <f>SUMIFS(Sheet1!S71_AdjustmentBudAmnt,Sheet1!S71_SA34Code,$AC:$AC,Sheet1!S71_A5CapexCode,$AD:$AD)</f>
        <v>0</v>
      </c>
      <c r="I104" s="725">
        <f>SUMIFS(Sheet1!S71_ASBudgetAmount,Sheet1!S71_SA34Code,$AC:$AC,Sheet1!S71_A5CapexCode,$AD:$AD)</f>
        <v>0</v>
      </c>
      <c r="J104" s="712">
        <f>SUMIFS(Sheet1!S71_OY1BudgetAmount,Sheet1!S71_SA34Code,$AC:$AC,Sheet1!S71_A5CapexCode,$AD:$AD)</f>
        <v>0</v>
      </c>
      <c r="K104" s="713">
        <f>SUMIFS(Sheet1!S71_OY2BudgetAmount,Sheet1!S71_SA34Code,$AC:$AC,Sheet1!S71_A5CapexCode,$AD:$AD)</f>
        <v>0</v>
      </c>
      <c r="L104" s="322"/>
      <c r="AC104" s="2320" t="s">
        <v>2885</v>
      </c>
      <c r="AD104" s="2320" t="s">
        <v>2805</v>
      </c>
    </row>
    <row r="105" spans="1:30" ht="11.25" customHeight="1" x14ac:dyDescent="0.25">
      <c r="A105" s="137" t="s">
        <v>2305</v>
      </c>
      <c r="B105" s="144"/>
      <c r="C105" s="712">
        <f>SUMIFS(Sheet1!S71_PPPYearAmount,Sheet1!S71_SA34Code,$AC:$AC,Sheet1!S71_A5CapexCode,$AD:$AD)</f>
        <v>0</v>
      </c>
      <c r="D105" s="712">
        <f>SUMIFS(Sheet1!S71_PPYearAmount,Sheet1!S71_SA34Code,$AC:$AC,Sheet1!S71_A5CapexCode,$AD:$AD)</f>
        <v>0</v>
      </c>
      <c r="E105" s="715">
        <f>SUMIFS(Sheet1!S71_PYearAmount,Sheet1!S71_SA34Code,$AC:$AC,Sheet1!S71_A5CapexCode,$AD:$AD)</f>
        <v>0</v>
      </c>
      <c r="F105" s="725">
        <f>SUMIFS(Sheet1!S71_OriginalBudAmnt,Sheet1!S71_SA34Code,$AC:$AC,Sheet1!S71_A5CapexCode,$AD:$AD)</f>
        <v>0</v>
      </c>
      <c r="G105" s="712">
        <f>SUMIFS(Sheet1!S71_AdjustmentBudAmnt,Sheet1!S71_SA34Code,$AC:$AC,Sheet1!S71_A5CapexCode,$AD:$AD)</f>
        <v>0</v>
      </c>
      <c r="H105" s="713">
        <f>SUMIFS(Sheet1!S71_AdjustmentBudAmnt,Sheet1!S71_SA34Code,$AC:$AC,Sheet1!S71_A5CapexCode,$AD:$AD)</f>
        <v>0</v>
      </c>
      <c r="I105" s="725">
        <f>SUMIFS(Sheet1!S71_ASBudgetAmount,Sheet1!S71_SA34Code,$AC:$AC,Sheet1!S71_A5CapexCode,$AD:$AD)</f>
        <v>0</v>
      </c>
      <c r="J105" s="712">
        <f>SUMIFS(Sheet1!S71_OY1BudgetAmount,Sheet1!S71_SA34Code,$AC:$AC,Sheet1!S71_A5CapexCode,$AD:$AD)</f>
        <v>0</v>
      </c>
      <c r="K105" s="713">
        <f>SUMIFS(Sheet1!S71_OY2BudgetAmount,Sheet1!S71_SA34Code,$AC:$AC,Sheet1!S71_A5CapexCode,$AD:$AD)</f>
        <v>0</v>
      </c>
      <c r="L105" s="322"/>
      <c r="AC105" s="2320" t="s">
        <v>2886</v>
      </c>
      <c r="AD105" s="2320" t="s">
        <v>2805</v>
      </c>
    </row>
    <row r="106" spans="1:30" ht="11.25" customHeight="1" x14ac:dyDescent="0.25">
      <c r="A106" s="104" t="s">
        <v>2306</v>
      </c>
      <c r="B106" s="144"/>
      <c r="C106" s="712">
        <f>SUMIFS(Sheet1!S71_PPPYearAmount,Sheet1!S71_SA34Code,$AC:$AC,Sheet1!S71_A5CapexCode,$AD:$AD)</f>
        <v>0</v>
      </c>
      <c r="D106" s="712">
        <f>SUMIFS(Sheet1!S71_PPYearAmount,Sheet1!S71_SA34Code,$AC:$AC,Sheet1!S71_A5CapexCode,$AD:$AD)</f>
        <v>0</v>
      </c>
      <c r="E106" s="715">
        <f>SUMIFS(Sheet1!S71_PYearAmount,Sheet1!S71_SA34Code,$AC:$AC,Sheet1!S71_A5CapexCode,$AD:$AD)</f>
        <v>0</v>
      </c>
      <c r="F106" s="725">
        <f>SUMIFS(Sheet1!S71_OriginalBudAmnt,Sheet1!S71_SA34Code,$AC:$AC,Sheet1!S71_A5CapexCode,$AD:$AD)</f>
        <v>0</v>
      </c>
      <c r="G106" s="712">
        <f>SUMIFS(Sheet1!S71_AdjustmentBudAmnt,Sheet1!S71_SA34Code,$AC:$AC,Sheet1!S71_A5CapexCode,$AD:$AD)</f>
        <v>0</v>
      </c>
      <c r="H106" s="713">
        <f>SUMIFS(Sheet1!S71_AdjustmentBudAmnt,Sheet1!S71_SA34Code,$AC:$AC,Sheet1!S71_A5CapexCode,$AD:$AD)</f>
        <v>0</v>
      </c>
      <c r="I106" s="725">
        <f>SUMIFS(Sheet1!S71_ASBudgetAmount,Sheet1!S71_SA34Code,$AC:$AC,Sheet1!S71_A5CapexCode,$AD:$AD)</f>
        <v>0</v>
      </c>
      <c r="J106" s="712">
        <f>SUMIFS(Sheet1!S71_OY1BudgetAmount,Sheet1!S71_SA34Code,$AC:$AC,Sheet1!S71_A5CapexCode,$AD:$AD)</f>
        <v>0</v>
      </c>
      <c r="K106" s="713">
        <f>SUMIFS(Sheet1!S71_OY2BudgetAmount,Sheet1!S71_SA34Code,$AC:$AC,Sheet1!S71_A5CapexCode,$AD:$AD)</f>
        <v>0</v>
      </c>
      <c r="L106" s="322"/>
      <c r="AC106" s="2320" t="s">
        <v>2887</v>
      </c>
      <c r="AD106" s="2320" t="s">
        <v>2805</v>
      </c>
    </row>
    <row r="107" spans="1:30" ht="11.25" customHeight="1" x14ac:dyDescent="0.25">
      <c r="A107" s="104" t="s">
        <v>2307</v>
      </c>
      <c r="B107" s="144"/>
      <c r="C107" s="712">
        <f>SUMIFS(Sheet1!S71_PPPYearAmount,Sheet1!S71_SA34Code,$AC:$AC,Sheet1!S71_A5CapexCode,$AD:$AD)</f>
        <v>0</v>
      </c>
      <c r="D107" s="712">
        <f>SUMIFS(Sheet1!S71_PPYearAmount,Sheet1!S71_SA34Code,$AC:$AC,Sheet1!S71_A5CapexCode,$AD:$AD)</f>
        <v>0</v>
      </c>
      <c r="E107" s="715">
        <f>SUMIFS(Sheet1!S71_PYearAmount,Sheet1!S71_SA34Code,$AC:$AC,Sheet1!S71_A5CapexCode,$AD:$AD)</f>
        <v>0</v>
      </c>
      <c r="F107" s="725">
        <f>SUMIFS(Sheet1!S71_OriginalBudAmnt,Sheet1!S71_SA34Code,$AC:$AC,Sheet1!S71_A5CapexCode,$AD:$AD)</f>
        <v>0</v>
      </c>
      <c r="G107" s="712">
        <f>SUMIFS(Sheet1!S71_AdjustmentBudAmnt,Sheet1!S71_SA34Code,$AC:$AC,Sheet1!S71_A5CapexCode,$AD:$AD)</f>
        <v>0</v>
      </c>
      <c r="H107" s="713">
        <f>SUMIFS(Sheet1!S71_AdjustmentBudAmnt,Sheet1!S71_SA34Code,$AC:$AC,Sheet1!S71_A5CapexCode,$AD:$AD)</f>
        <v>0</v>
      </c>
      <c r="I107" s="725">
        <f>SUMIFS(Sheet1!S71_ASBudgetAmount,Sheet1!S71_SA34Code,$AC:$AC,Sheet1!S71_A5CapexCode,$AD:$AD)</f>
        <v>0</v>
      </c>
      <c r="J107" s="712">
        <f>SUMIFS(Sheet1!S71_OY1BudgetAmount,Sheet1!S71_SA34Code,$AC:$AC,Sheet1!S71_A5CapexCode,$AD:$AD)</f>
        <v>0</v>
      </c>
      <c r="K107" s="713">
        <f>SUMIFS(Sheet1!S71_OY2BudgetAmount,Sheet1!S71_SA34Code,$AC:$AC,Sheet1!S71_A5CapexCode,$AD:$AD)</f>
        <v>0</v>
      </c>
      <c r="L107" s="322"/>
      <c r="AC107" s="2320" t="s">
        <v>2888</v>
      </c>
      <c r="AD107" s="2320" t="s">
        <v>2805</v>
      </c>
    </row>
    <row r="108" spans="1:30" ht="11.25" customHeight="1" x14ac:dyDescent="0.25">
      <c r="A108" s="137" t="s">
        <v>2308</v>
      </c>
      <c r="B108" s="144"/>
      <c r="C108" s="712">
        <f>SUMIFS(Sheet1!S71_PPPYearAmount,Sheet1!S71_SA34Code,$AC:$AC,Sheet1!S71_A5CapexCode,$AD:$AD)</f>
        <v>0</v>
      </c>
      <c r="D108" s="712">
        <f>SUMIFS(Sheet1!S71_PPYearAmount,Sheet1!S71_SA34Code,$AC:$AC,Sheet1!S71_A5CapexCode,$AD:$AD)</f>
        <v>0</v>
      </c>
      <c r="E108" s="715">
        <f>SUMIFS(Sheet1!S71_PYearAmount,Sheet1!S71_SA34Code,$AC:$AC,Sheet1!S71_A5CapexCode,$AD:$AD)</f>
        <v>0</v>
      </c>
      <c r="F108" s="725">
        <f>SUMIFS(Sheet1!S71_OriginalBudAmnt,Sheet1!S71_SA34Code,$AC:$AC,Sheet1!S71_A5CapexCode,$AD:$AD)</f>
        <v>0</v>
      </c>
      <c r="G108" s="712">
        <f>SUMIFS(Sheet1!S71_AdjustmentBudAmnt,Sheet1!S71_SA34Code,$AC:$AC,Sheet1!S71_A5CapexCode,$AD:$AD)</f>
        <v>0</v>
      </c>
      <c r="H108" s="713">
        <f>SUMIFS(Sheet1!S71_AdjustmentBudAmnt,Sheet1!S71_SA34Code,$AC:$AC,Sheet1!S71_A5CapexCode,$AD:$AD)</f>
        <v>0</v>
      </c>
      <c r="I108" s="725">
        <f>SUMIFS(Sheet1!S71_ASBudgetAmount,Sheet1!S71_SA34Code,$AC:$AC,Sheet1!S71_A5CapexCode,$AD:$AD)</f>
        <v>0</v>
      </c>
      <c r="J108" s="712">
        <f>SUMIFS(Sheet1!S71_OY1BudgetAmount,Sheet1!S71_SA34Code,$AC:$AC,Sheet1!S71_A5CapexCode,$AD:$AD)</f>
        <v>0</v>
      </c>
      <c r="K108" s="713">
        <f>SUMIFS(Sheet1!S71_OY2BudgetAmount,Sheet1!S71_SA34Code,$AC:$AC,Sheet1!S71_A5CapexCode,$AD:$AD)</f>
        <v>0</v>
      </c>
      <c r="L108" s="322"/>
      <c r="AC108" s="2320" t="s">
        <v>2048</v>
      </c>
      <c r="AD108" s="2320" t="s">
        <v>2805</v>
      </c>
    </row>
    <row r="109" spans="1:30" ht="4.9000000000000004" customHeight="1" x14ac:dyDescent="0.25">
      <c r="A109" s="448"/>
      <c r="B109" s="144"/>
      <c r="C109" s="177"/>
      <c r="D109" s="177"/>
      <c r="E109" s="180"/>
      <c r="F109" s="179"/>
      <c r="G109" s="177"/>
      <c r="H109" s="178"/>
      <c r="I109" s="179"/>
      <c r="J109" s="177"/>
      <c r="K109" s="178"/>
      <c r="L109" s="322"/>
      <c r="AD109" s="2320" t="s">
        <v>2805</v>
      </c>
    </row>
    <row r="110" spans="1:30" ht="17.25" customHeight="1" x14ac:dyDescent="0.25">
      <c r="A110" s="574" t="s">
        <v>829</v>
      </c>
      <c r="B110" s="144"/>
      <c r="C110" s="545">
        <f>+C111+C114</f>
        <v>0</v>
      </c>
      <c r="D110" s="545">
        <f t="shared" ref="D110:K110" si="14">+D111+D114</f>
        <v>0</v>
      </c>
      <c r="E110" s="831">
        <f t="shared" si="14"/>
        <v>0</v>
      </c>
      <c r="F110" s="743">
        <f t="shared" si="14"/>
        <v>0</v>
      </c>
      <c r="G110" s="545">
        <f t="shared" si="14"/>
        <v>0</v>
      </c>
      <c r="H110" s="742">
        <f t="shared" si="14"/>
        <v>0</v>
      </c>
      <c r="I110" s="743">
        <f t="shared" si="14"/>
        <v>0</v>
      </c>
      <c r="J110" s="545">
        <f t="shared" si="14"/>
        <v>0</v>
      </c>
      <c r="K110" s="742">
        <f t="shared" si="14"/>
        <v>0</v>
      </c>
      <c r="L110" s="322"/>
      <c r="AD110" s="2320" t="s">
        <v>2805</v>
      </c>
    </row>
    <row r="111" spans="1:30" s="377" customFormat="1" ht="13.5" x14ac:dyDescent="0.25">
      <c r="A111" s="104" t="s">
        <v>2338</v>
      </c>
      <c r="B111" s="144"/>
      <c r="C111" s="82">
        <f t="shared" ref="C111:K111" si="15">SUM(C112:C113)</f>
        <v>0</v>
      </c>
      <c r="D111" s="82">
        <f t="shared" si="15"/>
        <v>0</v>
      </c>
      <c r="E111" s="304">
        <f t="shared" si="15"/>
        <v>0</v>
      </c>
      <c r="F111" s="83">
        <f t="shared" si="15"/>
        <v>0</v>
      </c>
      <c r="G111" s="82">
        <f t="shared" si="15"/>
        <v>0</v>
      </c>
      <c r="H111" s="115">
        <f t="shared" si="15"/>
        <v>0</v>
      </c>
      <c r="I111" s="83">
        <f t="shared" si="15"/>
        <v>0</v>
      </c>
      <c r="J111" s="82">
        <f t="shared" si="15"/>
        <v>0</v>
      </c>
      <c r="K111" s="115">
        <f t="shared" si="15"/>
        <v>0</v>
      </c>
      <c r="L111" s="2126"/>
      <c r="AC111" s="2320"/>
      <c r="AD111" s="2320" t="s">
        <v>2805</v>
      </c>
    </row>
    <row r="112" spans="1:30" s="377" customFormat="1" ht="13.5" x14ac:dyDescent="0.25">
      <c r="A112" s="2125" t="s">
        <v>2339</v>
      </c>
      <c r="B112" s="144"/>
      <c r="C112" s="712">
        <f>SUMIFS(Sheet1!S71_PPPYearAmount,Sheet1!S71_SA34Code,$AC:$AC,Sheet1!S71_A5CapexCode,$AD:$AD)</f>
        <v>0</v>
      </c>
      <c r="D112" s="712">
        <f>SUMIFS(Sheet1!S71_PPYearAmount,Sheet1!S71_SA34Code,$AC:$AC,Sheet1!S71_A5CapexCode,$AD:$AD)</f>
        <v>0</v>
      </c>
      <c r="E112" s="715">
        <f>SUMIFS(Sheet1!S71_PYearAmount,Sheet1!S71_SA34Code,$AC:$AC,Sheet1!S71_A5CapexCode,$AD:$AD)</f>
        <v>0</v>
      </c>
      <c r="F112" s="725">
        <f>SUMIFS(Sheet1!S71_OriginalBudAmnt,Sheet1!S71_SA34Code,$AC:$AC,Sheet1!S71_A5CapexCode,$AD:$AD)</f>
        <v>0</v>
      </c>
      <c r="G112" s="712">
        <f>SUMIFS(Sheet1!S71_AdjustmentBudAmnt,Sheet1!S71_SA34Code,$AC:$AC,Sheet1!S71_A5CapexCode,$AD:$AD)</f>
        <v>0</v>
      </c>
      <c r="H112" s="713">
        <f>SUMIFS(Sheet1!S71_AdjustmentBudAmnt,Sheet1!S71_SA34Code,$AC:$AC,Sheet1!S71_A5CapexCode,$AD:$AD)</f>
        <v>0</v>
      </c>
      <c r="I112" s="725">
        <f>SUMIFS(Sheet1!S71_ASBudgetAmount,Sheet1!S71_SA34Code,$AC:$AC,Sheet1!S71_A5CapexCode,$AD:$AD)</f>
        <v>0</v>
      </c>
      <c r="J112" s="712">
        <f>SUMIFS(Sheet1!S71_OY1BudgetAmount,Sheet1!S71_SA34Code,$AC:$AC,Sheet1!S71_A5CapexCode,$AD:$AD)</f>
        <v>0</v>
      </c>
      <c r="K112" s="713">
        <f>SUMIFS(Sheet1!S71_OY2BudgetAmount,Sheet1!S71_SA34Code,$AC:$AC,Sheet1!S71_A5CapexCode,$AD:$AD)</f>
        <v>0</v>
      </c>
      <c r="L112" s="2124"/>
      <c r="AC112" s="2320" t="s">
        <v>2889</v>
      </c>
      <c r="AD112" s="2320" t="s">
        <v>2805</v>
      </c>
    </row>
    <row r="113" spans="1:30" s="377" customFormat="1" ht="13.5" x14ac:dyDescent="0.25">
      <c r="A113" s="2125" t="s">
        <v>2340</v>
      </c>
      <c r="B113" s="144"/>
      <c r="C113" s="712">
        <f>SUMIFS(Sheet1!S71_PPPYearAmount,Sheet1!S71_SA34Code,$AC:$AC,Sheet1!S71_A5CapexCode,$AD:$AD)</f>
        <v>0</v>
      </c>
      <c r="D113" s="712">
        <f>SUMIFS(Sheet1!S71_PPYearAmount,Sheet1!S71_SA34Code,$AC:$AC,Sheet1!S71_A5CapexCode,$AD:$AD)</f>
        <v>0</v>
      </c>
      <c r="E113" s="715">
        <f>SUMIFS(Sheet1!S71_PYearAmount,Sheet1!S71_SA34Code,$AC:$AC,Sheet1!S71_A5CapexCode,$AD:$AD)</f>
        <v>0</v>
      </c>
      <c r="F113" s="725">
        <f>SUMIFS(Sheet1!S71_OriginalBudAmnt,Sheet1!S71_SA34Code,$AC:$AC,Sheet1!S71_A5CapexCode,$AD:$AD)</f>
        <v>0</v>
      </c>
      <c r="G113" s="712">
        <f>SUMIFS(Sheet1!S71_AdjustmentBudAmnt,Sheet1!S71_SA34Code,$AC:$AC,Sheet1!S71_A5CapexCode,$AD:$AD)</f>
        <v>0</v>
      </c>
      <c r="H113" s="713">
        <f>SUMIFS(Sheet1!S71_AdjustmentBudAmnt,Sheet1!S71_SA34Code,$AC:$AC,Sheet1!S71_A5CapexCode,$AD:$AD)</f>
        <v>0</v>
      </c>
      <c r="I113" s="725">
        <f>SUMIFS(Sheet1!S71_ASBudgetAmount,Sheet1!S71_SA34Code,$AC:$AC,Sheet1!S71_A5CapexCode,$AD:$AD)</f>
        <v>0</v>
      </c>
      <c r="J113" s="712">
        <f>SUMIFS(Sheet1!S71_OY1BudgetAmount,Sheet1!S71_SA34Code,$AC:$AC,Sheet1!S71_A5CapexCode,$AD:$AD)</f>
        <v>0</v>
      </c>
      <c r="K113" s="713">
        <f>SUMIFS(Sheet1!S71_OY2BudgetAmount,Sheet1!S71_SA34Code,$AC:$AC,Sheet1!S71_A5CapexCode,$AD:$AD)</f>
        <v>0</v>
      </c>
      <c r="L113" s="2126"/>
      <c r="AC113" s="2320" t="s">
        <v>2890</v>
      </c>
      <c r="AD113" s="2320" t="s">
        <v>2805</v>
      </c>
    </row>
    <row r="114" spans="1:30" s="377" customFormat="1" ht="13.5" x14ac:dyDescent="0.25">
      <c r="A114" s="104" t="s">
        <v>2341</v>
      </c>
      <c r="B114" s="144"/>
      <c r="C114" s="71">
        <f>SUM(C115:C116)</f>
        <v>0</v>
      </c>
      <c r="D114" s="71">
        <f t="shared" ref="D114:K114" si="16">SUM(D115:D116)</f>
        <v>0</v>
      </c>
      <c r="E114" s="305">
        <f t="shared" si="16"/>
        <v>0</v>
      </c>
      <c r="F114" s="75">
        <f t="shared" si="16"/>
        <v>0</v>
      </c>
      <c r="G114" s="71">
        <f t="shared" si="16"/>
        <v>0</v>
      </c>
      <c r="H114" s="117">
        <f t="shared" si="16"/>
        <v>0</v>
      </c>
      <c r="I114" s="75">
        <f t="shared" si="16"/>
        <v>0</v>
      </c>
      <c r="J114" s="71">
        <f t="shared" si="16"/>
        <v>0</v>
      </c>
      <c r="K114" s="117">
        <f t="shared" si="16"/>
        <v>0</v>
      </c>
      <c r="L114" s="2126"/>
      <c r="AC114" s="2320" t="s">
        <v>2891</v>
      </c>
      <c r="AD114" s="2320" t="s">
        <v>2805</v>
      </c>
    </row>
    <row r="115" spans="1:30" s="377" customFormat="1" ht="13.5" x14ac:dyDescent="0.25">
      <c r="A115" s="2125" t="s">
        <v>2339</v>
      </c>
      <c r="B115" s="144"/>
      <c r="C115" s="712">
        <f>SUMIFS(Sheet1!S71_PPPYearAmount,Sheet1!S71_SA34Code,$AC:$AC,Sheet1!S71_A5CapexCode,$AD:$AD)</f>
        <v>0</v>
      </c>
      <c r="D115" s="712">
        <f>SUMIFS(Sheet1!S71_PPYearAmount,Sheet1!S71_SA34Code,$AC:$AC,Sheet1!S71_A5CapexCode,$AD:$AD)</f>
        <v>0</v>
      </c>
      <c r="E115" s="715">
        <f>SUMIFS(Sheet1!S71_PYearAmount,Sheet1!S71_SA34Code,$AC:$AC,Sheet1!S71_A5CapexCode,$AD:$AD)</f>
        <v>0</v>
      </c>
      <c r="F115" s="725">
        <f>SUMIFS(Sheet1!S71_OriginalBudAmnt,Sheet1!S71_SA34Code,$AC:$AC,Sheet1!S71_A5CapexCode,$AD:$AD)</f>
        <v>0</v>
      </c>
      <c r="G115" s="712">
        <f>SUMIFS(Sheet1!S71_AdjustmentBudAmnt,Sheet1!S71_SA34Code,$AC:$AC,Sheet1!S71_A5CapexCode,$AD:$AD)</f>
        <v>0</v>
      </c>
      <c r="H115" s="713">
        <f>SUMIFS(Sheet1!S71_AdjustmentBudAmnt,Sheet1!S71_SA34Code,$AC:$AC,Sheet1!S71_A5CapexCode,$AD:$AD)</f>
        <v>0</v>
      </c>
      <c r="I115" s="725">
        <f>SUMIFS(Sheet1!S71_ASBudgetAmount,Sheet1!S71_SA34Code,$AC:$AC,Sheet1!S71_A5CapexCode,$AD:$AD)</f>
        <v>0</v>
      </c>
      <c r="J115" s="712">
        <f>SUMIFS(Sheet1!S71_OY1BudgetAmount,Sheet1!S71_SA34Code,$AC:$AC,Sheet1!S71_A5CapexCode,$AD:$AD)</f>
        <v>0</v>
      </c>
      <c r="K115" s="713">
        <f>SUMIFS(Sheet1!S71_OY2BudgetAmount,Sheet1!S71_SA34Code,$AC:$AC,Sheet1!S71_A5CapexCode,$AD:$AD)</f>
        <v>0</v>
      </c>
      <c r="L115" s="2124"/>
      <c r="AC115" s="2320" t="s">
        <v>2892</v>
      </c>
      <c r="AD115" s="2320" t="s">
        <v>2805</v>
      </c>
    </row>
    <row r="116" spans="1:30" s="377" customFormat="1" ht="13.5" x14ac:dyDescent="0.25">
      <c r="A116" s="2125" t="s">
        <v>2340</v>
      </c>
      <c r="B116" s="144"/>
      <c r="C116" s="712">
        <f>SUMIFS(Sheet1!S71_PPPYearAmount,Sheet1!S71_SA34Code,$AC:$AC,Sheet1!S71_A5CapexCode,$AD:$AD)</f>
        <v>0</v>
      </c>
      <c r="D116" s="712">
        <f>SUMIFS(Sheet1!S71_PPYearAmount,Sheet1!S71_SA34Code,$AC:$AC,Sheet1!S71_A5CapexCode,$AD:$AD)</f>
        <v>0</v>
      </c>
      <c r="E116" s="715">
        <f>SUMIFS(Sheet1!S71_PYearAmount,Sheet1!S71_SA34Code,$AC:$AC,Sheet1!S71_A5CapexCode,$AD:$AD)</f>
        <v>0</v>
      </c>
      <c r="F116" s="725">
        <f>SUMIFS(Sheet1!S71_OriginalBudAmnt,Sheet1!S71_SA34Code,$AC:$AC,Sheet1!S71_A5CapexCode,$AD:$AD)</f>
        <v>0</v>
      </c>
      <c r="G116" s="712">
        <f>SUMIFS(Sheet1!S71_AdjustmentBudAmnt,Sheet1!S71_SA34Code,$AC:$AC,Sheet1!S71_A5CapexCode,$AD:$AD)</f>
        <v>0</v>
      </c>
      <c r="H116" s="713">
        <f>SUMIFS(Sheet1!S71_AdjustmentBudAmnt,Sheet1!S71_SA34Code,$AC:$AC,Sheet1!S71_A5CapexCode,$AD:$AD)</f>
        <v>0</v>
      </c>
      <c r="I116" s="725">
        <f>SUMIFS(Sheet1!S71_ASBudgetAmount,Sheet1!S71_SA34Code,$AC:$AC,Sheet1!S71_A5CapexCode,$AD:$AD)</f>
        <v>0</v>
      </c>
      <c r="J116" s="712">
        <f>SUMIFS(Sheet1!S71_OY1BudgetAmount,Sheet1!S71_SA34Code,$AC:$AC,Sheet1!S71_A5CapexCode,$AD:$AD)</f>
        <v>0</v>
      </c>
      <c r="K116" s="713">
        <f>SUMIFS(Sheet1!S71_OY2BudgetAmount,Sheet1!S71_SA34Code,$AC:$AC,Sheet1!S71_A5CapexCode,$AD:$AD)</f>
        <v>0</v>
      </c>
      <c r="L116" s="2126"/>
      <c r="AC116" s="2320" t="s">
        <v>2893</v>
      </c>
      <c r="AD116" s="2320" t="s">
        <v>2805</v>
      </c>
    </row>
    <row r="117" spans="1:30" ht="4.9000000000000004" customHeight="1" x14ac:dyDescent="0.25">
      <c r="A117" s="448"/>
      <c r="B117" s="144"/>
      <c r="C117" s="177"/>
      <c r="D117" s="177"/>
      <c r="E117" s="180"/>
      <c r="F117" s="179"/>
      <c r="G117" s="177"/>
      <c r="H117" s="178"/>
      <c r="I117" s="179"/>
      <c r="J117" s="177"/>
      <c r="K117" s="178"/>
      <c r="L117" s="322"/>
      <c r="AD117" s="2320" t="s">
        <v>2805</v>
      </c>
    </row>
    <row r="118" spans="1:30" ht="17.25" customHeight="1" x14ac:dyDescent="0.25">
      <c r="A118" s="574" t="s">
        <v>830</v>
      </c>
      <c r="B118" s="144"/>
      <c r="C118" s="545">
        <f>+C119+C131</f>
        <v>0</v>
      </c>
      <c r="D118" s="545">
        <f t="shared" ref="D118:K118" si="17">+D119+D131</f>
        <v>0</v>
      </c>
      <c r="E118" s="831">
        <f t="shared" si="17"/>
        <v>0</v>
      </c>
      <c r="F118" s="743">
        <f t="shared" si="17"/>
        <v>0</v>
      </c>
      <c r="G118" s="545">
        <f t="shared" si="17"/>
        <v>550000</v>
      </c>
      <c r="H118" s="742">
        <f t="shared" si="17"/>
        <v>550000</v>
      </c>
      <c r="I118" s="743">
        <f t="shared" si="17"/>
        <v>0</v>
      </c>
      <c r="J118" s="545">
        <f t="shared" si="17"/>
        <v>0</v>
      </c>
      <c r="K118" s="742">
        <f t="shared" si="17"/>
        <v>0</v>
      </c>
      <c r="L118" s="322"/>
      <c r="AD118" s="2320" t="s">
        <v>2805</v>
      </c>
    </row>
    <row r="119" spans="1:30" s="377" customFormat="1" ht="13.5" x14ac:dyDescent="0.25">
      <c r="A119" s="104" t="s">
        <v>2309</v>
      </c>
      <c r="B119" s="144"/>
      <c r="C119" s="82">
        <f>SUM(C120:C130)</f>
        <v>0</v>
      </c>
      <c r="D119" s="82">
        <f t="shared" ref="D119:K119" si="18">SUM(D120:D130)</f>
        <v>0</v>
      </c>
      <c r="E119" s="304">
        <f t="shared" si="18"/>
        <v>0</v>
      </c>
      <c r="F119" s="83">
        <f t="shared" si="18"/>
        <v>0</v>
      </c>
      <c r="G119" s="82">
        <f t="shared" si="18"/>
        <v>550000</v>
      </c>
      <c r="H119" s="115">
        <f t="shared" si="18"/>
        <v>550000</v>
      </c>
      <c r="I119" s="83">
        <f t="shared" si="18"/>
        <v>0</v>
      </c>
      <c r="J119" s="82">
        <f t="shared" si="18"/>
        <v>0</v>
      </c>
      <c r="K119" s="115">
        <f t="shared" si="18"/>
        <v>0</v>
      </c>
      <c r="L119" s="2126"/>
      <c r="AC119" s="2320"/>
      <c r="AD119" s="2320" t="s">
        <v>2805</v>
      </c>
    </row>
    <row r="120" spans="1:30" s="377" customFormat="1" ht="13.5" x14ac:dyDescent="0.25">
      <c r="A120" s="2125" t="s">
        <v>2310</v>
      </c>
      <c r="B120" s="144"/>
      <c r="C120" s="712">
        <f>SUMIFS(Sheet1!S71_PPPYearAmount,Sheet1!S71_SA34Code,$AC:$AC,Sheet1!S71_A5CapexCode,$AD:$AD)</f>
        <v>0</v>
      </c>
      <c r="D120" s="712">
        <f>SUMIFS(Sheet1!S71_PPYearAmount,Sheet1!S71_SA34Code,$AC:$AC,Sheet1!S71_A5CapexCode,$AD:$AD)</f>
        <v>0</v>
      </c>
      <c r="E120" s="715">
        <f>SUMIFS(Sheet1!S71_PYearAmount,Sheet1!S71_SA34Code,$AC:$AC,Sheet1!S71_A5CapexCode,$AD:$AD)</f>
        <v>0</v>
      </c>
      <c r="F120" s="725">
        <f>SUMIFS(Sheet1!S71_OriginalBudAmnt,Sheet1!S71_SA34Code,$AC:$AC,Sheet1!S71_A5CapexCode,$AD:$AD)</f>
        <v>0</v>
      </c>
      <c r="G120" s="712">
        <f>SUMIFS(Sheet1!S71_AdjustmentBudAmnt,Sheet1!S71_SA34Code,$AC:$AC,Sheet1!S71_A5CapexCode,$AD:$AD)</f>
        <v>0</v>
      </c>
      <c r="H120" s="713">
        <f>SUMIFS(Sheet1!S71_AdjustmentBudAmnt,Sheet1!S71_SA34Code,$AC:$AC,Sheet1!S71_A5CapexCode,$AD:$AD)</f>
        <v>0</v>
      </c>
      <c r="I120" s="725">
        <f>SUMIFS(Sheet1!S71_ASBudgetAmount,Sheet1!S71_SA34Code,$AC:$AC,Sheet1!S71_A5CapexCode,$AD:$AD)</f>
        <v>0</v>
      </c>
      <c r="J120" s="712">
        <f>SUMIFS(Sheet1!S71_OY1BudgetAmount,Sheet1!S71_SA34Code,$AC:$AC,Sheet1!S71_A5CapexCode,$AD:$AD)</f>
        <v>0</v>
      </c>
      <c r="K120" s="713">
        <f>SUMIFS(Sheet1!S71_OY2BudgetAmount,Sheet1!S71_SA34Code,$AC:$AC,Sheet1!S71_A5CapexCode,$AD:$AD)</f>
        <v>0</v>
      </c>
      <c r="L120" s="2124"/>
      <c r="AC120" s="2320" t="s">
        <v>2059</v>
      </c>
      <c r="AD120" s="2320" t="s">
        <v>2805</v>
      </c>
    </row>
    <row r="121" spans="1:30" s="377" customFormat="1" ht="13.5" x14ac:dyDescent="0.25">
      <c r="A121" s="2125" t="s">
        <v>2311</v>
      </c>
      <c r="B121" s="144"/>
      <c r="C121" s="712">
        <f>SUMIFS(Sheet1!S71_PPPYearAmount,Sheet1!S71_SA34Code,$AC:$AC,Sheet1!S71_A5CapexCode,$AD:$AD)</f>
        <v>0</v>
      </c>
      <c r="D121" s="712">
        <f>SUMIFS(Sheet1!S71_PPYearAmount,Sheet1!S71_SA34Code,$AC:$AC,Sheet1!S71_A5CapexCode,$AD:$AD)</f>
        <v>0</v>
      </c>
      <c r="E121" s="715">
        <f>SUMIFS(Sheet1!S71_PYearAmount,Sheet1!S71_SA34Code,$AC:$AC,Sheet1!S71_A5CapexCode,$AD:$AD)</f>
        <v>0</v>
      </c>
      <c r="F121" s="725">
        <f>SUMIFS(Sheet1!S71_OriginalBudAmnt,Sheet1!S71_SA34Code,$AC:$AC,Sheet1!S71_A5CapexCode,$AD:$AD)</f>
        <v>0</v>
      </c>
      <c r="G121" s="712">
        <f>SUMIFS(Sheet1!S71_AdjustmentBudAmnt,Sheet1!S71_SA34Code,$AC:$AC,Sheet1!S71_A5CapexCode,$AD:$AD)</f>
        <v>0</v>
      </c>
      <c r="H121" s="713">
        <f>SUMIFS(Sheet1!S71_AdjustmentBudAmnt,Sheet1!S71_SA34Code,$AC:$AC,Sheet1!S71_A5CapexCode,$AD:$AD)</f>
        <v>0</v>
      </c>
      <c r="I121" s="725">
        <f>SUMIFS(Sheet1!S71_ASBudgetAmount,Sheet1!S71_SA34Code,$AC:$AC,Sheet1!S71_A5CapexCode,$AD:$AD)</f>
        <v>0</v>
      </c>
      <c r="J121" s="712">
        <f>SUMIFS(Sheet1!S71_OY1BudgetAmount,Sheet1!S71_SA34Code,$AC:$AC,Sheet1!S71_A5CapexCode,$AD:$AD)</f>
        <v>0</v>
      </c>
      <c r="K121" s="713">
        <f>SUMIFS(Sheet1!S71_OY2BudgetAmount,Sheet1!S71_SA34Code,$AC:$AC,Sheet1!S71_A5CapexCode,$AD:$AD)</f>
        <v>0</v>
      </c>
      <c r="L121" s="2124"/>
      <c r="AC121" s="2320" t="s">
        <v>2069</v>
      </c>
      <c r="AD121" s="2320" t="s">
        <v>2805</v>
      </c>
    </row>
    <row r="122" spans="1:30" s="377" customFormat="1" ht="13.5" x14ac:dyDescent="0.25">
      <c r="A122" s="2125" t="s">
        <v>2312</v>
      </c>
      <c r="B122" s="144"/>
      <c r="C122" s="712">
        <f>SUMIFS(Sheet1!S71_PPPYearAmount,Sheet1!S71_SA34Code,$AC:$AC,Sheet1!S71_A5CapexCode,$AD:$AD)</f>
        <v>0</v>
      </c>
      <c r="D122" s="712">
        <f>SUMIFS(Sheet1!S71_PPYearAmount,Sheet1!S71_SA34Code,$AC:$AC,Sheet1!S71_A5CapexCode,$AD:$AD)</f>
        <v>0</v>
      </c>
      <c r="E122" s="715">
        <f>SUMIFS(Sheet1!S71_PYearAmount,Sheet1!S71_SA34Code,$AC:$AC,Sheet1!S71_A5CapexCode,$AD:$AD)</f>
        <v>0</v>
      </c>
      <c r="F122" s="725">
        <f>SUMIFS(Sheet1!S71_OriginalBudAmnt,Sheet1!S71_SA34Code,$AC:$AC,Sheet1!S71_A5CapexCode,$AD:$AD)</f>
        <v>0</v>
      </c>
      <c r="G122" s="712">
        <f>SUMIFS(Sheet1!S71_AdjustmentBudAmnt,Sheet1!S71_SA34Code,$AC:$AC,Sheet1!S71_A5CapexCode,$AD:$AD)</f>
        <v>0</v>
      </c>
      <c r="H122" s="713">
        <f>SUMIFS(Sheet1!S71_AdjustmentBudAmnt,Sheet1!S71_SA34Code,$AC:$AC,Sheet1!S71_A5CapexCode,$AD:$AD)</f>
        <v>0</v>
      </c>
      <c r="I122" s="725">
        <f>SUMIFS(Sheet1!S71_ASBudgetAmount,Sheet1!S71_SA34Code,$AC:$AC,Sheet1!S71_A5CapexCode,$AD:$AD)</f>
        <v>0</v>
      </c>
      <c r="J122" s="712">
        <f>SUMIFS(Sheet1!S71_OY1BudgetAmount,Sheet1!S71_SA34Code,$AC:$AC,Sheet1!S71_A5CapexCode,$AD:$AD)</f>
        <v>0</v>
      </c>
      <c r="K122" s="713">
        <f>SUMIFS(Sheet1!S71_OY2BudgetAmount,Sheet1!S71_SA34Code,$AC:$AC,Sheet1!S71_A5CapexCode,$AD:$AD)</f>
        <v>0</v>
      </c>
      <c r="L122" s="2124"/>
      <c r="AC122" s="2320" t="s">
        <v>2894</v>
      </c>
      <c r="AD122" s="2320" t="s">
        <v>2805</v>
      </c>
    </row>
    <row r="123" spans="1:30" s="377" customFormat="1" ht="13.5" x14ac:dyDescent="0.25">
      <c r="A123" s="2125" t="s">
        <v>2313</v>
      </c>
      <c r="B123" s="144"/>
      <c r="C123" s="712">
        <f>SUMIFS(Sheet1!S71_PPPYearAmount,Sheet1!S71_SA34Code,$AC:$AC,Sheet1!S71_A5CapexCode,$AD:$AD)</f>
        <v>0</v>
      </c>
      <c r="D123" s="712">
        <f>SUMIFS(Sheet1!S71_PPYearAmount,Sheet1!S71_SA34Code,$AC:$AC,Sheet1!S71_A5CapexCode,$AD:$AD)</f>
        <v>0</v>
      </c>
      <c r="E123" s="715">
        <f>SUMIFS(Sheet1!S71_PYearAmount,Sheet1!S71_SA34Code,$AC:$AC,Sheet1!S71_A5CapexCode,$AD:$AD)</f>
        <v>0</v>
      </c>
      <c r="F123" s="725">
        <f>SUMIFS(Sheet1!S71_OriginalBudAmnt,Sheet1!S71_SA34Code,$AC:$AC,Sheet1!S71_A5CapexCode,$AD:$AD)</f>
        <v>0</v>
      </c>
      <c r="G123" s="712">
        <f>SUMIFS(Sheet1!S71_AdjustmentBudAmnt,Sheet1!S71_SA34Code,$AC:$AC,Sheet1!S71_A5CapexCode,$AD:$AD)</f>
        <v>0</v>
      </c>
      <c r="H123" s="713">
        <f>SUMIFS(Sheet1!S71_AdjustmentBudAmnt,Sheet1!S71_SA34Code,$AC:$AC,Sheet1!S71_A5CapexCode,$AD:$AD)</f>
        <v>0</v>
      </c>
      <c r="I123" s="725">
        <f>SUMIFS(Sheet1!S71_ASBudgetAmount,Sheet1!S71_SA34Code,$AC:$AC,Sheet1!S71_A5CapexCode,$AD:$AD)</f>
        <v>0</v>
      </c>
      <c r="J123" s="712">
        <f>SUMIFS(Sheet1!S71_OY1BudgetAmount,Sheet1!S71_SA34Code,$AC:$AC,Sheet1!S71_A5CapexCode,$AD:$AD)</f>
        <v>0</v>
      </c>
      <c r="K123" s="713">
        <f>SUMIFS(Sheet1!S71_OY2BudgetAmount,Sheet1!S71_SA34Code,$AC:$AC,Sheet1!S71_A5CapexCode,$AD:$AD)</f>
        <v>0</v>
      </c>
      <c r="L123" s="2124"/>
      <c r="AC123" s="2320" t="s">
        <v>2895</v>
      </c>
      <c r="AD123" s="2320" t="s">
        <v>2805</v>
      </c>
    </row>
    <row r="124" spans="1:30" s="377" customFormat="1" ht="13.5" x14ac:dyDescent="0.25">
      <c r="A124" s="2125" t="s">
        <v>2314</v>
      </c>
      <c r="B124" s="144"/>
      <c r="C124" s="712">
        <f>SUMIFS(Sheet1!S71_PPPYearAmount,Sheet1!S71_SA34Code,$AC:$AC,Sheet1!S71_A5CapexCode,$AD:$AD)</f>
        <v>0</v>
      </c>
      <c r="D124" s="712">
        <f>SUMIFS(Sheet1!S71_PPYearAmount,Sheet1!S71_SA34Code,$AC:$AC,Sheet1!S71_A5CapexCode,$AD:$AD)</f>
        <v>0</v>
      </c>
      <c r="E124" s="715">
        <f>SUMIFS(Sheet1!S71_PYearAmount,Sheet1!S71_SA34Code,$AC:$AC,Sheet1!S71_A5CapexCode,$AD:$AD)</f>
        <v>0</v>
      </c>
      <c r="F124" s="725">
        <f>SUMIFS(Sheet1!S71_OriginalBudAmnt,Sheet1!S71_SA34Code,$AC:$AC,Sheet1!S71_A5CapexCode,$AD:$AD)</f>
        <v>0</v>
      </c>
      <c r="G124" s="712">
        <f>SUMIFS(Sheet1!S71_AdjustmentBudAmnt,Sheet1!S71_SA34Code,$AC:$AC,Sheet1!S71_A5CapexCode,$AD:$AD)</f>
        <v>550000</v>
      </c>
      <c r="H124" s="713">
        <f>SUMIFS(Sheet1!S71_AdjustmentBudAmnt,Sheet1!S71_SA34Code,$AC:$AC,Sheet1!S71_A5CapexCode,$AD:$AD)</f>
        <v>550000</v>
      </c>
      <c r="I124" s="725">
        <f>SUMIFS(Sheet1!S71_ASBudgetAmount,Sheet1!S71_SA34Code,$AC:$AC,Sheet1!S71_A5CapexCode,$AD:$AD)</f>
        <v>0</v>
      </c>
      <c r="J124" s="712">
        <f>SUMIFS(Sheet1!S71_OY1BudgetAmount,Sheet1!S71_SA34Code,$AC:$AC,Sheet1!S71_A5CapexCode,$AD:$AD)</f>
        <v>0</v>
      </c>
      <c r="K124" s="713">
        <f>SUMIFS(Sheet1!S71_OY2BudgetAmount,Sheet1!S71_SA34Code,$AC:$AC,Sheet1!S71_A5CapexCode,$AD:$AD)</f>
        <v>0</v>
      </c>
      <c r="L124" s="2124"/>
      <c r="AC124" s="2320" t="s">
        <v>2896</v>
      </c>
      <c r="AD124" s="2320" t="s">
        <v>2805</v>
      </c>
    </row>
    <row r="125" spans="1:30" s="377" customFormat="1" ht="13.5" x14ac:dyDescent="0.25">
      <c r="A125" s="2125" t="s">
        <v>2315</v>
      </c>
      <c r="B125" s="144"/>
      <c r="C125" s="712">
        <f>SUMIFS(Sheet1!S71_PPPYearAmount,Sheet1!S71_SA34Code,$AC:$AC,Sheet1!S71_A5CapexCode,$AD:$AD)</f>
        <v>0</v>
      </c>
      <c r="D125" s="712">
        <f>SUMIFS(Sheet1!S71_PPYearAmount,Sheet1!S71_SA34Code,$AC:$AC,Sheet1!S71_A5CapexCode,$AD:$AD)</f>
        <v>0</v>
      </c>
      <c r="E125" s="715">
        <f>SUMIFS(Sheet1!S71_PYearAmount,Sheet1!S71_SA34Code,$AC:$AC,Sheet1!S71_A5CapexCode,$AD:$AD)</f>
        <v>0</v>
      </c>
      <c r="F125" s="725">
        <f>SUMIFS(Sheet1!S71_OriginalBudAmnt,Sheet1!S71_SA34Code,$AC:$AC,Sheet1!S71_A5CapexCode,$AD:$AD)</f>
        <v>0</v>
      </c>
      <c r="G125" s="712">
        <f>SUMIFS(Sheet1!S71_AdjustmentBudAmnt,Sheet1!S71_SA34Code,$AC:$AC,Sheet1!S71_A5CapexCode,$AD:$AD)</f>
        <v>0</v>
      </c>
      <c r="H125" s="713">
        <f>SUMIFS(Sheet1!S71_AdjustmentBudAmnt,Sheet1!S71_SA34Code,$AC:$AC,Sheet1!S71_A5CapexCode,$AD:$AD)</f>
        <v>0</v>
      </c>
      <c r="I125" s="725">
        <f>SUMIFS(Sheet1!S71_ASBudgetAmount,Sheet1!S71_SA34Code,$AC:$AC,Sheet1!S71_A5CapexCode,$AD:$AD)</f>
        <v>0</v>
      </c>
      <c r="J125" s="712">
        <f>SUMIFS(Sheet1!S71_OY1BudgetAmount,Sheet1!S71_SA34Code,$AC:$AC,Sheet1!S71_A5CapexCode,$AD:$AD)</f>
        <v>0</v>
      </c>
      <c r="K125" s="713">
        <f>SUMIFS(Sheet1!S71_OY2BudgetAmount,Sheet1!S71_SA34Code,$AC:$AC,Sheet1!S71_A5CapexCode,$AD:$AD)</f>
        <v>0</v>
      </c>
      <c r="L125" s="2124"/>
      <c r="AC125" s="2320" t="s">
        <v>2897</v>
      </c>
      <c r="AD125" s="2320" t="s">
        <v>2805</v>
      </c>
    </row>
    <row r="126" spans="1:30" s="377" customFormat="1" ht="13.5" x14ac:dyDescent="0.25">
      <c r="A126" s="2125" t="s">
        <v>2316</v>
      </c>
      <c r="B126" s="144"/>
      <c r="C126" s="712">
        <f>SUMIFS(Sheet1!S71_PPPYearAmount,Sheet1!S71_SA34Code,$AC:$AC,Sheet1!S71_A5CapexCode,$AD:$AD)</f>
        <v>0</v>
      </c>
      <c r="D126" s="712">
        <f>SUMIFS(Sheet1!S71_PPYearAmount,Sheet1!S71_SA34Code,$AC:$AC,Sheet1!S71_A5CapexCode,$AD:$AD)</f>
        <v>0</v>
      </c>
      <c r="E126" s="715">
        <f>SUMIFS(Sheet1!S71_PYearAmount,Sheet1!S71_SA34Code,$AC:$AC,Sheet1!S71_A5CapexCode,$AD:$AD)</f>
        <v>0</v>
      </c>
      <c r="F126" s="725">
        <f>SUMIFS(Sheet1!S71_OriginalBudAmnt,Sheet1!S71_SA34Code,$AC:$AC,Sheet1!S71_A5CapexCode,$AD:$AD)</f>
        <v>0</v>
      </c>
      <c r="G126" s="712">
        <f>SUMIFS(Sheet1!S71_AdjustmentBudAmnt,Sheet1!S71_SA34Code,$AC:$AC,Sheet1!S71_A5CapexCode,$AD:$AD)</f>
        <v>0</v>
      </c>
      <c r="H126" s="713">
        <f>SUMIFS(Sheet1!S71_AdjustmentBudAmnt,Sheet1!S71_SA34Code,$AC:$AC,Sheet1!S71_A5CapexCode,$AD:$AD)</f>
        <v>0</v>
      </c>
      <c r="I126" s="725">
        <f>SUMIFS(Sheet1!S71_ASBudgetAmount,Sheet1!S71_SA34Code,$AC:$AC,Sheet1!S71_A5CapexCode,$AD:$AD)</f>
        <v>0</v>
      </c>
      <c r="J126" s="712">
        <f>SUMIFS(Sheet1!S71_OY1BudgetAmount,Sheet1!S71_SA34Code,$AC:$AC,Sheet1!S71_A5CapexCode,$AD:$AD)</f>
        <v>0</v>
      </c>
      <c r="K126" s="713">
        <f>SUMIFS(Sheet1!S71_OY2BudgetAmount,Sheet1!S71_SA34Code,$AC:$AC,Sheet1!S71_A5CapexCode,$AD:$AD)</f>
        <v>0</v>
      </c>
      <c r="L126" s="2124"/>
      <c r="AC126" s="2320" t="s">
        <v>2898</v>
      </c>
      <c r="AD126" s="2320" t="s">
        <v>2805</v>
      </c>
    </row>
    <row r="127" spans="1:30" s="377" customFormat="1" ht="13.5" x14ac:dyDescent="0.25">
      <c r="A127" s="2125" t="s">
        <v>2317</v>
      </c>
      <c r="B127" s="144"/>
      <c r="C127" s="712">
        <f>SUMIFS(Sheet1!S71_PPPYearAmount,Sheet1!S71_SA34Code,$AC:$AC,Sheet1!S71_A5CapexCode,$AD:$AD)</f>
        <v>0</v>
      </c>
      <c r="D127" s="712">
        <f>SUMIFS(Sheet1!S71_PPYearAmount,Sheet1!S71_SA34Code,$AC:$AC,Sheet1!S71_A5CapexCode,$AD:$AD)</f>
        <v>0</v>
      </c>
      <c r="E127" s="715">
        <f>SUMIFS(Sheet1!S71_PYearAmount,Sheet1!S71_SA34Code,$AC:$AC,Sheet1!S71_A5CapexCode,$AD:$AD)</f>
        <v>0</v>
      </c>
      <c r="F127" s="725">
        <f>SUMIFS(Sheet1!S71_OriginalBudAmnt,Sheet1!S71_SA34Code,$AC:$AC,Sheet1!S71_A5CapexCode,$AD:$AD)</f>
        <v>0</v>
      </c>
      <c r="G127" s="712">
        <f>SUMIFS(Sheet1!S71_AdjustmentBudAmnt,Sheet1!S71_SA34Code,$AC:$AC,Sheet1!S71_A5CapexCode,$AD:$AD)</f>
        <v>0</v>
      </c>
      <c r="H127" s="713">
        <f>SUMIFS(Sheet1!S71_AdjustmentBudAmnt,Sheet1!S71_SA34Code,$AC:$AC,Sheet1!S71_A5CapexCode,$AD:$AD)</f>
        <v>0</v>
      </c>
      <c r="I127" s="725">
        <f>SUMIFS(Sheet1!S71_ASBudgetAmount,Sheet1!S71_SA34Code,$AC:$AC,Sheet1!S71_A5CapexCode,$AD:$AD)</f>
        <v>0</v>
      </c>
      <c r="J127" s="712">
        <f>SUMIFS(Sheet1!S71_OY1BudgetAmount,Sheet1!S71_SA34Code,$AC:$AC,Sheet1!S71_A5CapexCode,$AD:$AD)</f>
        <v>0</v>
      </c>
      <c r="K127" s="713">
        <f>SUMIFS(Sheet1!S71_OY2BudgetAmount,Sheet1!S71_SA34Code,$AC:$AC,Sheet1!S71_A5CapexCode,$AD:$AD)</f>
        <v>0</v>
      </c>
      <c r="L127" s="2124"/>
      <c r="AC127" s="2320" t="s">
        <v>2899</v>
      </c>
      <c r="AD127" s="2320" t="s">
        <v>2805</v>
      </c>
    </row>
    <row r="128" spans="1:30" s="377" customFormat="1" ht="13.5" x14ac:dyDescent="0.25">
      <c r="A128" s="2125" t="s">
        <v>2318</v>
      </c>
      <c r="B128" s="144"/>
      <c r="C128" s="712">
        <f>SUMIFS(Sheet1!S71_PPPYearAmount,Sheet1!S71_SA34Code,$AC:$AC,Sheet1!S71_A5CapexCode,$AD:$AD)</f>
        <v>0</v>
      </c>
      <c r="D128" s="712">
        <f>SUMIFS(Sheet1!S71_PPYearAmount,Sheet1!S71_SA34Code,$AC:$AC,Sheet1!S71_A5CapexCode,$AD:$AD)</f>
        <v>0</v>
      </c>
      <c r="E128" s="715">
        <f>SUMIFS(Sheet1!S71_PYearAmount,Sheet1!S71_SA34Code,$AC:$AC,Sheet1!S71_A5CapexCode,$AD:$AD)</f>
        <v>0</v>
      </c>
      <c r="F128" s="725">
        <f>SUMIFS(Sheet1!S71_OriginalBudAmnt,Sheet1!S71_SA34Code,$AC:$AC,Sheet1!S71_A5CapexCode,$AD:$AD)</f>
        <v>0</v>
      </c>
      <c r="G128" s="712">
        <f>SUMIFS(Sheet1!S71_AdjustmentBudAmnt,Sheet1!S71_SA34Code,$AC:$AC,Sheet1!S71_A5CapexCode,$AD:$AD)</f>
        <v>0</v>
      </c>
      <c r="H128" s="713">
        <f>SUMIFS(Sheet1!S71_AdjustmentBudAmnt,Sheet1!S71_SA34Code,$AC:$AC,Sheet1!S71_A5CapexCode,$AD:$AD)</f>
        <v>0</v>
      </c>
      <c r="I128" s="725">
        <f>SUMIFS(Sheet1!S71_ASBudgetAmount,Sheet1!S71_SA34Code,$AC:$AC,Sheet1!S71_A5CapexCode,$AD:$AD)</f>
        <v>0</v>
      </c>
      <c r="J128" s="712">
        <f>SUMIFS(Sheet1!S71_OY1BudgetAmount,Sheet1!S71_SA34Code,$AC:$AC,Sheet1!S71_A5CapexCode,$AD:$AD)</f>
        <v>0</v>
      </c>
      <c r="K128" s="713">
        <f>SUMIFS(Sheet1!S71_OY2BudgetAmount,Sheet1!S71_SA34Code,$AC:$AC,Sheet1!S71_A5CapexCode,$AD:$AD)</f>
        <v>0</v>
      </c>
      <c r="L128" s="2124"/>
      <c r="AC128" s="2320" t="s">
        <v>2900</v>
      </c>
      <c r="AD128" s="2320" t="s">
        <v>2805</v>
      </c>
    </row>
    <row r="129" spans="1:30" s="377" customFormat="1" ht="13.5" x14ac:dyDescent="0.25">
      <c r="A129" s="2125" t="s">
        <v>2319</v>
      </c>
      <c r="B129" s="144"/>
      <c r="C129" s="712">
        <f>SUMIFS(Sheet1!S71_PPPYearAmount,Sheet1!S71_SA34Code,$AC:$AC,Sheet1!S71_A5CapexCode,$AD:$AD)</f>
        <v>0</v>
      </c>
      <c r="D129" s="712">
        <f>SUMIFS(Sheet1!S71_PPYearAmount,Sheet1!S71_SA34Code,$AC:$AC,Sheet1!S71_A5CapexCode,$AD:$AD)</f>
        <v>0</v>
      </c>
      <c r="E129" s="715">
        <f>SUMIFS(Sheet1!S71_PYearAmount,Sheet1!S71_SA34Code,$AC:$AC,Sheet1!S71_A5CapexCode,$AD:$AD)</f>
        <v>0</v>
      </c>
      <c r="F129" s="725">
        <f>SUMIFS(Sheet1!S71_OriginalBudAmnt,Sheet1!S71_SA34Code,$AC:$AC,Sheet1!S71_A5CapexCode,$AD:$AD)</f>
        <v>0</v>
      </c>
      <c r="G129" s="712">
        <f>SUMIFS(Sheet1!S71_AdjustmentBudAmnt,Sheet1!S71_SA34Code,$AC:$AC,Sheet1!S71_A5CapexCode,$AD:$AD)</f>
        <v>0</v>
      </c>
      <c r="H129" s="713">
        <f>SUMIFS(Sheet1!S71_AdjustmentBudAmnt,Sheet1!S71_SA34Code,$AC:$AC,Sheet1!S71_A5CapexCode,$AD:$AD)</f>
        <v>0</v>
      </c>
      <c r="I129" s="725">
        <f>SUMIFS(Sheet1!S71_ASBudgetAmount,Sheet1!S71_SA34Code,$AC:$AC,Sheet1!S71_A5CapexCode,$AD:$AD)</f>
        <v>0</v>
      </c>
      <c r="J129" s="712">
        <f>SUMIFS(Sheet1!S71_OY1BudgetAmount,Sheet1!S71_SA34Code,$AC:$AC,Sheet1!S71_A5CapexCode,$AD:$AD)</f>
        <v>0</v>
      </c>
      <c r="K129" s="713">
        <f>SUMIFS(Sheet1!S71_OY2BudgetAmount,Sheet1!S71_SA34Code,$AC:$AC,Sheet1!S71_A5CapexCode,$AD:$AD)</f>
        <v>0</v>
      </c>
      <c r="L129" s="2124"/>
      <c r="AC129" s="2320" t="s">
        <v>2901</v>
      </c>
      <c r="AD129" s="2320" t="s">
        <v>2805</v>
      </c>
    </row>
    <row r="130" spans="1:30" s="377" customFormat="1" ht="13.5" x14ac:dyDescent="0.25">
      <c r="A130" s="2125" t="s">
        <v>2233</v>
      </c>
      <c r="B130" s="144"/>
      <c r="C130" s="712">
        <f>SUMIFS(Sheet1!S71_PPPYearAmount,Sheet1!S71_SA34Code,$AC:$AC,Sheet1!S71_A5CapexCode,$AD:$AD)</f>
        <v>0</v>
      </c>
      <c r="D130" s="712">
        <f>SUMIFS(Sheet1!S71_PPYearAmount,Sheet1!S71_SA34Code,$AC:$AC,Sheet1!S71_A5CapexCode,$AD:$AD)</f>
        <v>0</v>
      </c>
      <c r="E130" s="715">
        <f>SUMIFS(Sheet1!S71_PYearAmount,Sheet1!S71_SA34Code,$AC:$AC,Sheet1!S71_A5CapexCode,$AD:$AD)</f>
        <v>0</v>
      </c>
      <c r="F130" s="725">
        <f>SUMIFS(Sheet1!S71_OriginalBudAmnt,Sheet1!S71_SA34Code,$AC:$AC,Sheet1!S71_A5CapexCode,$AD:$AD)</f>
        <v>0</v>
      </c>
      <c r="G130" s="712">
        <f>SUMIFS(Sheet1!S71_AdjustmentBudAmnt,Sheet1!S71_SA34Code,$AC:$AC,Sheet1!S71_A5CapexCode,$AD:$AD)</f>
        <v>0</v>
      </c>
      <c r="H130" s="713">
        <f>SUMIFS(Sheet1!S71_AdjustmentBudAmnt,Sheet1!S71_SA34Code,$AC:$AC,Sheet1!S71_A5CapexCode,$AD:$AD)</f>
        <v>0</v>
      </c>
      <c r="I130" s="725">
        <f>SUMIFS(Sheet1!S71_ASBudgetAmount,Sheet1!S71_SA34Code,$AC:$AC,Sheet1!S71_A5CapexCode,$AD:$AD)</f>
        <v>0</v>
      </c>
      <c r="J130" s="712">
        <f>SUMIFS(Sheet1!S71_OY1BudgetAmount,Sheet1!S71_SA34Code,$AC:$AC,Sheet1!S71_A5CapexCode,$AD:$AD)</f>
        <v>0</v>
      </c>
      <c r="K130" s="713">
        <f>SUMIFS(Sheet1!S71_OY2BudgetAmount,Sheet1!S71_SA34Code,$AC:$AC,Sheet1!S71_A5CapexCode,$AD:$AD)</f>
        <v>0</v>
      </c>
      <c r="L130" s="2124"/>
      <c r="AC130" s="2320" t="s">
        <v>2071</v>
      </c>
      <c r="AD130" s="2320" t="s">
        <v>2805</v>
      </c>
    </row>
    <row r="131" spans="1:30" s="377" customFormat="1" ht="13.5" x14ac:dyDescent="0.25">
      <c r="A131" s="104" t="s">
        <v>1487</v>
      </c>
      <c r="B131" s="144"/>
      <c r="C131" s="71">
        <f>SUM(C132:C134)</f>
        <v>0</v>
      </c>
      <c r="D131" s="71">
        <f t="shared" ref="D131:K131" si="19">SUM(D132:D134)</f>
        <v>0</v>
      </c>
      <c r="E131" s="305">
        <f t="shared" si="19"/>
        <v>0</v>
      </c>
      <c r="F131" s="75">
        <f t="shared" si="19"/>
        <v>0</v>
      </c>
      <c r="G131" s="71">
        <f t="shared" si="19"/>
        <v>0</v>
      </c>
      <c r="H131" s="117">
        <f t="shared" si="19"/>
        <v>0</v>
      </c>
      <c r="I131" s="75">
        <f t="shared" si="19"/>
        <v>0</v>
      </c>
      <c r="J131" s="71">
        <f t="shared" si="19"/>
        <v>0</v>
      </c>
      <c r="K131" s="117">
        <f t="shared" si="19"/>
        <v>0</v>
      </c>
      <c r="L131" s="2124"/>
      <c r="AC131" s="2320"/>
      <c r="AD131" s="2320" t="s">
        <v>2805</v>
      </c>
    </row>
    <row r="132" spans="1:30" s="377" customFormat="1" ht="13.5" x14ac:dyDescent="0.25">
      <c r="A132" s="2125" t="s">
        <v>2320</v>
      </c>
      <c r="B132" s="144"/>
      <c r="C132" s="712">
        <f>SUMIFS(Sheet1!S71_PPPYearAmount,Sheet1!S71_SA34Code,$AC:$AC,Sheet1!S71_A5CapexCode,$AD:$AD)</f>
        <v>0</v>
      </c>
      <c r="D132" s="712">
        <f>SUMIFS(Sheet1!S71_PPYearAmount,Sheet1!S71_SA34Code,$AC:$AC,Sheet1!S71_A5CapexCode,$AD:$AD)</f>
        <v>0</v>
      </c>
      <c r="E132" s="715">
        <f>SUMIFS(Sheet1!S71_PYearAmount,Sheet1!S71_SA34Code,$AC:$AC,Sheet1!S71_A5CapexCode,$AD:$AD)</f>
        <v>0</v>
      </c>
      <c r="F132" s="725">
        <f>SUMIFS(Sheet1!S71_OriginalBudAmnt,Sheet1!S71_SA34Code,$AC:$AC,Sheet1!S71_A5CapexCode,$AD:$AD)</f>
        <v>0</v>
      </c>
      <c r="G132" s="712">
        <f>SUMIFS(Sheet1!S71_AdjustmentBudAmnt,Sheet1!S71_SA34Code,$AC:$AC,Sheet1!S71_A5CapexCode,$AD:$AD)</f>
        <v>0</v>
      </c>
      <c r="H132" s="713">
        <f>SUMIFS(Sheet1!S71_AdjustmentBudAmnt,Sheet1!S71_SA34Code,$AC:$AC,Sheet1!S71_A5CapexCode,$AD:$AD)</f>
        <v>0</v>
      </c>
      <c r="I132" s="725">
        <f>SUMIFS(Sheet1!S71_ASBudgetAmount,Sheet1!S71_SA34Code,$AC:$AC,Sheet1!S71_A5CapexCode,$AD:$AD)</f>
        <v>0</v>
      </c>
      <c r="J132" s="712">
        <f>SUMIFS(Sheet1!S71_OY1BudgetAmount,Sheet1!S71_SA34Code,$AC:$AC,Sheet1!S71_A5CapexCode,$AD:$AD)</f>
        <v>0</v>
      </c>
      <c r="K132" s="713">
        <f>SUMIFS(Sheet1!S71_OY2BudgetAmount,Sheet1!S71_SA34Code,$AC:$AC,Sheet1!S71_A5CapexCode,$AD:$AD)</f>
        <v>0</v>
      </c>
      <c r="L132" s="2124"/>
      <c r="AC132" s="2320" t="s">
        <v>2902</v>
      </c>
      <c r="AD132" s="2320" t="s">
        <v>2805</v>
      </c>
    </row>
    <row r="133" spans="1:30" s="377" customFormat="1" ht="13.5" x14ac:dyDescent="0.25">
      <c r="A133" s="2125" t="s">
        <v>2321</v>
      </c>
      <c r="B133" s="144"/>
      <c r="C133" s="712">
        <f>SUMIFS(Sheet1!S71_PPPYearAmount,Sheet1!S71_SA34Code,$AC:$AC,Sheet1!S71_A5CapexCode,$AD:$AD)</f>
        <v>0</v>
      </c>
      <c r="D133" s="712">
        <f>SUMIFS(Sheet1!S71_PPYearAmount,Sheet1!S71_SA34Code,$AC:$AC,Sheet1!S71_A5CapexCode,$AD:$AD)</f>
        <v>0</v>
      </c>
      <c r="E133" s="715">
        <f>SUMIFS(Sheet1!S71_PYearAmount,Sheet1!S71_SA34Code,$AC:$AC,Sheet1!S71_A5CapexCode,$AD:$AD)</f>
        <v>0</v>
      </c>
      <c r="F133" s="725">
        <f>SUMIFS(Sheet1!S71_OriginalBudAmnt,Sheet1!S71_SA34Code,$AC:$AC,Sheet1!S71_A5CapexCode,$AD:$AD)</f>
        <v>0</v>
      </c>
      <c r="G133" s="712">
        <f>SUMIFS(Sheet1!S71_AdjustmentBudAmnt,Sheet1!S71_SA34Code,$AC:$AC,Sheet1!S71_A5CapexCode,$AD:$AD)</f>
        <v>0</v>
      </c>
      <c r="H133" s="713">
        <f>SUMIFS(Sheet1!S71_AdjustmentBudAmnt,Sheet1!S71_SA34Code,$AC:$AC,Sheet1!S71_A5CapexCode,$AD:$AD)</f>
        <v>0</v>
      </c>
      <c r="I133" s="725">
        <f>SUMIFS(Sheet1!S71_ASBudgetAmount,Sheet1!S71_SA34Code,$AC:$AC,Sheet1!S71_A5CapexCode,$AD:$AD)</f>
        <v>0</v>
      </c>
      <c r="J133" s="712">
        <f>SUMIFS(Sheet1!S71_OY1BudgetAmount,Sheet1!S71_SA34Code,$AC:$AC,Sheet1!S71_A5CapexCode,$AD:$AD)</f>
        <v>0</v>
      </c>
      <c r="K133" s="713">
        <f>SUMIFS(Sheet1!S71_OY2BudgetAmount,Sheet1!S71_SA34Code,$AC:$AC,Sheet1!S71_A5CapexCode,$AD:$AD)</f>
        <v>0</v>
      </c>
      <c r="L133" s="2124"/>
      <c r="AC133" s="2320" t="s">
        <v>2903</v>
      </c>
      <c r="AD133" s="2320" t="s">
        <v>2805</v>
      </c>
    </row>
    <row r="134" spans="1:30" s="377" customFormat="1" ht="13.5" x14ac:dyDescent="0.25">
      <c r="A134" s="2125" t="s">
        <v>2233</v>
      </c>
      <c r="B134" s="144"/>
      <c r="C134" s="712">
        <f>SUMIFS(Sheet1!S71_PPPYearAmount,Sheet1!S71_SA34Code,$AC:$AC,Sheet1!S71_A5CapexCode,$AD:$AD)</f>
        <v>0</v>
      </c>
      <c r="D134" s="712">
        <f>SUMIFS(Sheet1!S71_PPYearAmount,Sheet1!S71_SA34Code,$AC:$AC,Sheet1!S71_A5CapexCode,$AD:$AD)</f>
        <v>0</v>
      </c>
      <c r="E134" s="715">
        <f>SUMIFS(Sheet1!S71_PYearAmount,Sheet1!S71_SA34Code,$AC:$AC,Sheet1!S71_A5CapexCode,$AD:$AD)</f>
        <v>0</v>
      </c>
      <c r="F134" s="725">
        <f>SUMIFS(Sheet1!S71_OriginalBudAmnt,Sheet1!S71_SA34Code,$AC:$AC,Sheet1!S71_A5CapexCode,$AD:$AD)</f>
        <v>0</v>
      </c>
      <c r="G134" s="712">
        <f>SUMIFS(Sheet1!S71_AdjustmentBudAmnt,Sheet1!S71_SA34Code,$AC:$AC,Sheet1!S71_A5CapexCode,$AD:$AD)</f>
        <v>0</v>
      </c>
      <c r="H134" s="713">
        <f>SUMIFS(Sheet1!S71_AdjustmentBudAmnt,Sheet1!S71_SA34Code,$AC:$AC,Sheet1!S71_A5CapexCode,$AD:$AD)</f>
        <v>0</v>
      </c>
      <c r="I134" s="725">
        <f>SUMIFS(Sheet1!S71_ASBudgetAmount,Sheet1!S71_SA34Code,$AC:$AC,Sheet1!S71_A5CapexCode,$AD:$AD)</f>
        <v>0</v>
      </c>
      <c r="J134" s="712">
        <f>SUMIFS(Sheet1!S71_OY1BudgetAmount,Sheet1!S71_SA34Code,$AC:$AC,Sheet1!S71_A5CapexCode,$AD:$AD)</f>
        <v>0</v>
      </c>
      <c r="K134" s="713">
        <f>SUMIFS(Sheet1!S71_OY2BudgetAmount,Sheet1!S71_SA34Code,$AC:$AC,Sheet1!S71_A5CapexCode,$AD:$AD)</f>
        <v>0</v>
      </c>
      <c r="L134" s="2124"/>
      <c r="AC134" s="2320" t="s">
        <v>2904</v>
      </c>
      <c r="AD134" s="2320" t="s">
        <v>2805</v>
      </c>
    </row>
    <row r="135" spans="1:30" ht="4.9000000000000004" customHeight="1" x14ac:dyDescent="0.25">
      <c r="A135" s="2127"/>
      <c r="B135" s="144"/>
      <c r="C135" s="177"/>
      <c r="D135" s="177"/>
      <c r="E135" s="180"/>
      <c r="F135" s="179"/>
      <c r="G135" s="177"/>
      <c r="H135" s="178"/>
      <c r="I135" s="179"/>
      <c r="J135" s="177"/>
      <c r="K135" s="178"/>
      <c r="L135" s="322"/>
      <c r="AD135" s="2320" t="s">
        <v>2805</v>
      </c>
    </row>
    <row r="136" spans="1:30" ht="13.5" customHeight="1" x14ac:dyDescent="0.25">
      <c r="A136" s="96" t="s">
        <v>2322</v>
      </c>
      <c r="B136" s="144"/>
      <c r="C136" s="177">
        <f t="shared" ref="C136:K136" si="20">SUM(C137:C137)</f>
        <v>0</v>
      </c>
      <c r="D136" s="177">
        <f t="shared" si="20"/>
        <v>0</v>
      </c>
      <c r="E136" s="180">
        <f t="shared" si="20"/>
        <v>0</v>
      </c>
      <c r="F136" s="179">
        <f t="shared" si="20"/>
        <v>0</v>
      </c>
      <c r="G136" s="177">
        <f t="shared" si="20"/>
        <v>0</v>
      </c>
      <c r="H136" s="178">
        <f t="shared" si="20"/>
        <v>0</v>
      </c>
      <c r="I136" s="179">
        <f t="shared" si="20"/>
        <v>0</v>
      </c>
      <c r="J136" s="177">
        <f t="shared" si="20"/>
        <v>0</v>
      </c>
      <c r="K136" s="178">
        <f t="shared" si="20"/>
        <v>0</v>
      </c>
      <c r="L136" s="322"/>
      <c r="AD136" s="2320" t="s">
        <v>2805</v>
      </c>
    </row>
    <row r="137" spans="1:30" ht="11.25" customHeight="1" x14ac:dyDescent="0.25">
      <c r="A137" s="104" t="s">
        <v>2322</v>
      </c>
      <c r="B137" s="144"/>
      <c r="C137" s="712">
        <f>SUMIFS(Sheet1!S71_PPPYearAmount,Sheet1!S71_SA34Code,$AC:$AC,Sheet1!S71_A5CapexCode,$AD:$AD)</f>
        <v>0</v>
      </c>
      <c r="D137" s="712">
        <f>SUMIFS(Sheet1!S71_PPYearAmount,Sheet1!S71_SA34Code,$AC:$AC,Sheet1!S71_A5CapexCode,$AD:$AD)</f>
        <v>0</v>
      </c>
      <c r="E137" s="715">
        <f>SUMIFS(Sheet1!S71_PYearAmount,Sheet1!S71_SA34Code,$AC:$AC,Sheet1!S71_A5CapexCode,$AD:$AD)</f>
        <v>0</v>
      </c>
      <c r="F137" s="725">
        <f>SUMIFS(Sheet1!S71_OriginalBudAmnt,Sheet1!S71_SA34Code,$AC:$AC,Sheet1!S71_A5CapexCode,$AD:$AD)</f>
        <v>0</v>
      </c>
      <c r="G137" s="712">
        <f>SUMIFS(Sheet1!S71_AdjustmentBudAmnt,Sheet1!S71_SA34Code,$AC:$AC,Sheet1!S71_A5CapexCode,$AD:$AD)</f>
        <v>0</v>
      </c>
      <c r="H137" s="713">
        <f>SUMIFS(Sheet1!S71_AdjustmentBudAmnt,Sheet1!S71_SA34Code,$AC:$AC,Sheet1!S71_A5CapexCode,$AD:$AD)</f>
        <v>0</v>
      </c>
      <c r="I137" s="725">
        <f>SUMIFS(Sheet1!S71_ASBudgetAmount,Sheet1!S71_SA34Code,$AC:$AC,Sheet1!S71_A5CapexCode,$AD:$AD)</f>
        <v>0</v>
      </c>
      <c r="J137" s="712">
        <f>SUMIFS(Sheet1!S71_OY1BudgetAmount,Sheet1!S71_SA34Code,$AC:$AC,Sheet1!S71_A5CapexCode,$AD:$AD)</f>
        <v>0</v>
      </c>
      <c r="K137" s="713">
        <f>SUMIFS(Sheet1!S71_OY2BudgetAmount,Sheet1!S71_SA34Code,$AC:$AC,Sheet1!S71_A5CapexCode,$AD:$AD)</f>
        <v>0</v>
      </c>
      <c r="L137" s="322"/>
      <c r="AC137" s="2320" t="s">
        <v>2797</v>
      </c>
      <c r="AD137" s="2320" t="s">
        <v>2805</v>
      </c>
    </row>
    <row r="138" spans="1:30" ht="4.9000000000000004" customHeight="1" x14ac:dyDescent="0.25">
      <c r="A138" s="116"/>
      <c r="B138" s="144"/>
      <c r="C138" s="177"/>
      <c r="D138" s="177"/>
      <c r="E138" s="180"/>
      <c r="F138" s="179"/>
      <c r="G138" s="177"/>
      <c r="H138" s="178"/>
      <c r="I138" s="179"/>
      <c r="J138" s="177"/>
      <c r="K138" s="178"/>
      <c r="L138" s="322"/>
      <c r="AD138" s="2320" t="s">
        <v>2805</v>
      </c>
    </row>
    <row r="139" spans="1:30" ht="17.25" customHeight="1" x14ac:dyDescent="0.25">
      <c r="A139" s="96" t="s">
        <v>2325</v>
      </c>
      <c r="B139" s="144"/>
      <c r="C139" s="177">
        <f>+C140+C141</f>
        <v>0</v>
      </c>
      <c r="D139" s="177">
        <f t="shared" ref="D139:K139" si="21">+D140+D141</f>
        <v>0</v>
      </c>
      <c r="E139" s="180">
        <f t="shared" si="21"/>
        <v>0</v>
      </c>
      <c r="F139" s="179">
        <f t="shared" si="21"/>
        <v>0</v>
      </c>
      <c r="G139" s="177">
        <f t="shared" si="21"/>
        <v>0</v>
      </c>
      <c r="H139" s="178">
        <f t="shared" si="21"/>
        <v>0</v>
      </c>
      <c r="I139" s="179">
        <f t="shared" si="21"/>
        <v>0</v>
      </c>
      <c r="J139" s="177">
        <f t="shared" si="21"/>
        <v>0</v>
      </c>
      <c r="K139" s="178">
        <f t="shared" si="21"/>
        <v>0</v>
      </c>
      <c r="L139" s="322"/>
      <c r="AD139" s="2320" t="s">
        <v>2805</v>
      </c>
    </row>
    <row r="140" spans="1:30" ht="11.25" customHeight="1" x14ac:dyDescent="0.25">
      <c r="A140" s="137" t="s">
        <v>2323</v>
      </c>
      <c r="B140" s="144"/>
      <c r="C140" s="712">
        <f>SUMIFS(Sheet1!S71_PPPYearAmount,Sheet1!S71_SA34Code,$AC:$AC,Sheet1!S71_A5CapexCode,$AD:$AD)</f>
        <v>0</v>
      </c>
      <c r="D140" s="712">
        <f>SUMIFS(Sheet1!S71_PPYearAmount,Sheet1!S71_SA34Code,$AC:$AC,Sheet1!S71_A5CapexCode,$AD:$AD)</f>
        <v>0</v>
      </c>
      <c r="E140" s="715">
        <f>SUMIFS(Sheet1!S71_PYearAmount,Sheet1!S71_SA34Code,$AC:$AC,Sheet1!S71_A5CapexCode,$AD:$AD)</f>
        <v>0</v>
      </c>
      <c r="F140" s="725">
        <f>SUMIFS(Sheet1!S71_OriginalBudAmnt,Sheet1!S71_SA34Code,$AC:$AC,Sheet1!S71_A5CapexCode,$AD:$AD)</f>
        <v>0</v>
      </c>
      <c r="G140" s="712">
        <f>SUMIFS(Sheet1!S71_AdjustmentBudAmnt,Sheet1!S71_SA34Code,$AC:$AC,Sheet1!S71_A5CapexCode,$AD:$AD)</f>
        <v>0</v>
      </c>
      <c r="H140" s="713">
        <f>SUMIFS(Sheet1!S71_AdjustmentBudAmnt,Sheet1!S71_SA34Code,$AC:$AC,Sheet1!S71_A5CapexCode,$AD:$AD)</f>
        <v>0</v>
      </c>
      <c r="I140" s="725">
        <f>SUMIFS(Sheet1!S71_ASBudgetAmount,Sheet1!S71_SA34Code,$AC:$AC,Sheet1!S71_A5CapexCode,$AD:$AD)</f>
        <v>0</v>
      </c>
      <c r="J140" s="712">
        <f>SUMIFS(Sheet1!S71_OY1BudgetAmount,Sheet1!S71_SA34Code,$AC:$AC,Sheet1!S71_A5CapexCode,$AD:$AD)</f>
        <v>0</v>
      </c>
      <c r="K140" s="713">
        <f>SUMIFS(Sheet1!S71_OY2BudgetAmount,Sheet1!S71_SA34Code,$AC:$AC,Sheet1!S71_A5CapexCode,$AD:$AD)</f>
        <v>0</v>
      </c>
      <c r="L140" s="322"/>
      <c r="AC140" s="2320" t="s">
        <v>2905</v>
      </c>
      <c r="AD140" s="2320" t="s">
        <v>2805</v>
      </c>
    </row>
    <row r="141" spans="1:30" ht="11.25" customHeight="1" x14ac:dyDescent="0.25">
      <c r="A141" s="137" t="s">
        <v>2324</v>
      </c>
      <c r="B141" s="144"/>
      <c r="C141" s="71">
        <f>SUM(C142:C147)</f>
        <v>0</v>
      </c>
      <c r="D141" s="71">
        <f t="shared" ref="D141:K141" si="22">SUM(D142:D147)</f>
        <v>0</v>
      </c>
      <c r="E141" s="305">
        <f t="shared" si="22"/>
        <v>0</v>
      </c>
      <c r="F141" s="75">
        <f t="shared" si="22"/>
        <v>0</v>
      </c>
      <c r="G141" s="71">
        <f t="shared" si="22"/>
        <v>0</v>
      </c>
      <c r="H141" s="117">
        <f t="shared" si="22"/>
        <v>0</v>
      </c>
      <c r="I141" s="75">
        <f t="shared" si="22"/>
        <v>0</v>
      </c>
      <c r="J141" s="71">
        <f t="shared" si="22"/>
        <v>0</v>
      </c>
      <c r="K141" s="117">
        <f t="shared" si="22"/>
        <v>0</v>
      </c>
      <c r="L141" s="322"/>
      <c r="AD141" s="2320" t="s">
        <v>2805</v>
      </c>
    </row>
    <row r="142" spans="1:30" s="377" customFormat="1" ht="13.5" x14ac:dyDescent="0.25">
      <c r="A142" s="2125" t="s">
        <v>2326</v>
      </c>
      <c r="B142" s="144"/>
      <c r="C142" s="712">
        <f>SUMIFS(Sheet1!S71_PPPYearAmount,Sheet1!S71_SA34Code,$AC:$AC,Sheet1!S71_A5CapexCode,$AD:$AD)</f>
        <v>0</v>
      </c>
      <c r="D142" s="712">
        <f>SUMIFS(Sheet1!S71_PPYearAmount,Sheet1!S71_SA34Code,$AC:$AC,Sheet1!S71_A5CapexCode,$AD:$AD)</f>
        <v>0</v>
      </c>
      <c r="E142" s="715">
        <f>SUMIFS(Sheet1!S71_PYearAmount,Sheet1!S71_SA34Code,$AC:$AC,Sheet1!S71_A5CapexCode,$AD:$AD)</f>
        <v>0</v>
      </c>
      <c r="F142" s="725">
        <f>SUMIFS(Sheet1!S71_OriginalBudAmnt,Sheet1!S71_SA34Code,$AC:$AC,Sheet1!S71_A5CapexCode,$AD:$AD)</f>
        <v>0</v>
      </c>
      <c r="G142" s="712">
        <f>SUMIFS(Sheet1!S71_AdjustmentBudAmnt,Sheet1!S71_SA34Code,$AC:$AC,Sheet1!S71_A5CapexCode,$AD:$AD)</f>
        <v>0</v>
      </c>
      <c r="H142" s="713">
        <f>SUMIFS(Sheet1!S71_AdjustmentBudAmnt,Sheet1!S71_SA34Code,$AC:$AC,Sheet1!S71_A5CapexCode,$AD:$AD)</f>
        <v>0</v>
      </c>
      <c r="I142" s="725">
        <f>SUMIFS(Sheet1!S71_ASBudgetAmount,Sheet1!S71_SA34Code,$AC:$AC,Sheet1!S71_A5CapexCode,$AD:$AD)</f>
        <v>0</v>
      </c>
      <c r="J142" s="712">
        <f>SUMIFS(Sheet1!S71_OY1BudgetAmount,Sheet1!S71_SA34Code,$AC:$AC,Sheet1!S71_A5CapexCode,$AD:$AD)</f>
        <v>0</v>
      </c>
      <c r="K142" s="713">
        <f>SUMIFS(Sheet1!S71_OY2BudgetAmount,Sheet1!S71_SA34Code,$AC:$AC,Sheet1!S71_A5CapexCode,$AD:$AD)</f>
        <v>0</v>
      </c>
      <c r="L142" s="2124"/>
      <c r="AC142" s="2320" t="s">
        <v>2080</v>
      </c>
      <c r="AD142" s="2320" t="s">
        <v>2805</v>
      </c>
    </row>
    <row r="143" spans="1:30" s="377" customFormat="1" ht="13.5" x14ac:dyDescent="0.25">
      <c r="A143" s="2125" t="s">
        <v>2327</v>
      </c>
      <c r="B143" s="144"/>
      <c r="C143" s="712">
        <f>SUMIFS(Sheet1!S71_PPPYearAmount,Sheet1!S71_SA34Code,$AC:$AC,Sheet1!S71_A5CapexCode,$AD:$AD)</f>
        <v>0</v>
      </c>
      <c r="D143" s="712">
        <f>SUMIFS(Sheet1!S71_PPYearAmount,Sheet1!S71_SA34Code,$AC:$AC,Sheet1!S71_A5CapexCode,$AD:$AD)</f>
        <v>0</v>
      </c>
      <c r="E143" s="715">
        <f>SUMIFS(Sheet1!S71_PYearAmount,Sheet1!S71_SA34Code,$AC:$AC,Sheet1!S71_A5CapexCode,$AD:$AD)</f>
        <v>0</v>
      </c>
      <c r="F143" s="725">
        <f>SUMIFS(Sheet1!S71_OriginalBudAmnt,Sheet1!S71_SA34Code,$AC:$AC,Sheet1!S71_A5CapexCode,$AD:$AD)</f>
        <v>0</v>
      </c>
      <c r="G143" s="712">
        <f>SUMIFS(Sheet1!S71_AdjustmentBudAmnt,Sheet1!S71_SA34Code,$AC:$AC,Sheet1!S71_A5CapexCode,$AD:$AD)</f>
        <v>0</v>
      </c>
      <c r="H143" s="713">
        <f>SUMIFS(Sheet1!S71_AdjustmentBudAmnt,Sheet1!S71_SA34Code,$AC:$AC,Sheet1!S71_A5CapexCode,$AD:$AD)</f>
        <v>0</v>
      </c>
      <c r="I143" s="725">
        <f>SUMIFS(Sheet1!S71_ASBudgetAmount,Sheet1!S71_SA34Code,$AC:$AC,Sheet1!S71_A5CapexCode,$AD:$AD)</f>
        <v>0</v>
      </c>
      <c r="J143" s="712">
        <f>SUMIFS(Sheet1!S71_OY1BudgetAmount,Sheet1!S71_SA34Code,$AC:$AC,Sheet1!S71_A5CapexCode,$AD:$AD)</f>
        <v>0</v>
      </c>
      <c r="K143" s="713">
        <f>SUMIFS(Sheet1!S71_OY2BudgetAmount,Sheet1!S71_SA34Code,$AC:$AC,Sheet1!S71_A5CapexCode,$AD:$AD)</f>
        <v>0</v>
      </c>
      <c r="L143" s="2124"/>
      <c r="AC143" s="2320" t="s">
        <v>2906</v>
      </c>
      <c r="AD143" s="2320" t="s">
        <v>2805</v>
      </c>
    </row>
    <row r="144" spans="1:30" s="377" customFormat="1" ht="13.5" x14ac:dyDescent="0.25">
      <c r="A144" s="2125" t="s">
        <v>2328</v>
      </c>
      <c r="B144" s="144"/>
      <c r="C144" s="712">
        <f>SUMIFS(Sheet1!S71_PPPYearAmount,Sheet1!S71_SA34Code,$AC:$AC,Sheet1!S71_A5CapexCode,$AD:$AD)</f>
        <v>0</v>
      </c>
      <c r="D144" s="712">
        <f>SUMIFS(Sheet1!S71_PPYearAmount,Sheet1!S71_SA34Code,$AC:$AC,Sheet1!S71_A5CapexCode,$AD:$AD)</f>
        <v>0</v>
      </c>
      <c r="E144" s="715">
        <f>SUMIFS(Sheet1!S71_PYearAmount,Sheet1!S71_SA34Code,$AC:$AC,Sheet1!S71_A5CapexCode,$AD:$AD)</f>
        <v>0</v>
      </c>
      <c r="F144" s="725">
        <f>SUMIFS(Sheet1!S71_OriginalBudAmnt,Sheet1!S71_SA34Code,$AC:$AC,Sheet1!S71_A5CapexCode,$AD:$AD)</f>
        <v>0</v>
      </c>
      <c r="G144" s="712">
        <f>SUMIFS(Sheet1!S71_AdjustmentBudAmnt,Sheet1!S71_SA34Code,$AC:$AC,Sheet1!S71_A5CapexCode,$AD:$AD)</f>
        <v>0</v>
      </c>
      <c r="H144" s="713">
        <f>SUMIFS(Sheet1!S71_AdjustmentBudAmnt,Sheet1!S71_SA34Code,$AC:$AC,Sheet1!S71_A5CapexCode,$AD:$AD)</f>
        <v>0</v>
      </c>
      <c r="I144" s="725">
        <f>SUMIFS(Sheet1!S71_ASBudgetAmount,Sheet1!S71_SA34Code,$AC:$AC,Sheet1!S71_A5CapexCode,$AD:$AD)</f>
        <v>0</v>
      </c>
      <c r="J144" s="712">
        <f>SUMIFS(Sheet1!S71_OY1BudgetAmount,Sheet1!S71_SA34Code,$AC:$AC,Sheet1!S71_A5CapexCode,$AD:$AD)</f>
        <v>0</v>
      </c>
      <c r="K144" s="713">
        <f>SUMIFS(Sheet1!S71_OY2BudgetAmount,Sheet1!S71_SA34Code,$AC:$AC,Sheet1!S71_A5CapexCode,$AD:$AD)</f>
        <v>0</v>
      </c>
      <c r="L144" s="2124"/>
      <c r="AC144" s="2320" t="s">
        <v>2907</v>
      </c>
      <c r="AD144" s="2320" t="s">
        <v>2805</v>
      </c>
    </row>
    <row r="145" spans="1:30" s="377" customFormat="1" ht="13.5" x14ac:dyDescent="0.25">
      <c r="A145" s="2125" t="s">
        <v>2329</v>
      </c>
      <c r="B145" s="144"/>
      <c r="C145" s="712">
        <f>SUMIFS(Sheet1!S71_PPPYearAmount,Sheet1!S71_SA34Code,$AC:$AC,Sheet1!S71_A5CapexCode,$AD:$AD)</f>
        <v>0</v>
      </c>
      <c r="D145" s="712">
        <f>SUMIFS(Sheet1!S71_PPYearAmount,Sheet1!S71_SA34Code,$AC:$AC,Sheet1!S71_A5CapexCode,$AD:$AD)</f>
        <v>0</v>
      </c>
      <c r="E145" s="715">
        <f>SUMIFS(Sheet1!S71_PYearAmount,Sheet1!S71_SA34Code,$AC:$AC,Sheet1!S71_A5CapexCode,$AD:$AD)</f>
        <v>0</v>
      </c>
      <c r="F145" s="725">
        <f>SUMIFS(Sheet1!S71_OriginalBudAmnt,Sheet1!S71_SA34Code,$AC:$AC,Sheet1!S71_A5CapexCode,$AD:$AD)</f>
        <v>0</v>
      </c>
      <c r="G145" s="712">
        <f>SUMIFS(Sheet1!S71_AdjustmentBudAmnt,Sheet1!S71_SA34Code,$AC:$AC,Sheet1!S71_A5CapexCode,$AD:$AD)</f>
        <v>0</v>
      </c>
      <c r="H145" s="713">
        <f>SUMIFS(Sheet1!S71_AdjustmentBudAmnt,Sheet1!S71_SA34Code,$AC:$AC,Sheet1!S71_A5CapexCode,$AD:$AD)</f>
        <v>0</v>
      </c>
      <c r="I145" s="725">
        <f>SUMIFS(Sheet1!S71_ASBudgetAmount,Sheet1!S71_SA34Code,$AC:$AC,Sheet1!S71_A5CapexCode,$AD:$AD)</f>
        <v>0</v>
      </c>
      <c r="J145" s="712">
        <f>SUMIFS(Sheet1!S71_OY1BudgetAmount,Sheet1!S71_SA34Code,$AC:$AC,Sheet1!S71_A5CapexCode,$AD:$AD)</f>
        <v>0</v>
      </c>
      <c r="K145" s="713">
        <f>SUMIFS(Sheet1!S71_OY2BudgetAmount,Sheet1!S71_SA34Code,$AC:$AC,Sheet1!S71_A5CapexCode,$AD:$AD)</f>
        <v>0</v>
      </c>
      <c r="L145" s="2124"/>
      <c r="AC145" s="2320" t="s">
        <v>2908</v>
      </c>
      <c r="AD145" s="2320" t="s">
        <v>2805</v>
      </c>
    </row>
    <row r="146" spans="1:30" s="377" customFormat="1" ht="13.5" x14ac:dyDescent="0.25">
      <c r="A146" s="2125" t="s">
        <v>2330</v>
      </c>
      <c r="B146" s="144"/>
      <c r="C146" s="712">
        <f>SUMIFS(Sheet1!S71_PPPYearAmount,Sheet1!S71_SA34Code,$AC:$AC,Sheet1!S71_A5CapexCode,$AD:$AD)</f>
        <v>0</v>
      </c>
      <c r="D146" s="712">
        <f>SUMIFS(Sheet1!S71_PPYearAmount,Sheet1!S71_SA34Code,$AC:$AC,Sheet1!S71_A5CapexCode,$AD:$AD)</f>
        <v>0</v>
      </c>
      <c r="E146" s="715">
        <f>SUMIFS(Sheet1!S71_PYearAmount,Sheet1!S71_SA34Code,$AC:$AC,Sheet1!S71_A5CapexCode,$AD:$AD)</f>
        <v>0</v>
      </c>
      <c r="F146" s="725">
        <f>SUMIFS(Sheet1!S71_OriginalBudAmnt,Sheet1!S71_SA34Code,$AC:$AC,Sheet1!S71_A5CapexCode,$AD:$AD)</f>
        <v>0</v>
      </c>
      <c r="G146" s="712">
        <f>SUMIFS(Sheet1!S71_AdjustmentBudAmnt,Sheet1!S71_SA34Code,$AC:$AC,Sheet1!S71_A5CapexCode,$AD:$AD)</f>
        <v>0</v>
      </c>
      <c r="H146" s="713">
        <f>SUMIFS(Sheet1!S71_AdjustmentBudAmnt,Sheet1!S71_SA34Code,$AC:$AC,Sheet1!S71_A5CapexCode,$AD:$AD)</f>
        <v>0</v>
      </c>
      <c r="I146" s="725">
        <f>SUMIFS(Sheet1!S71_ASBudgetAmount,Sheet1!S71_SA34Code,$AC:$AC,Sheet1!S71_A5CapexCode,$AD:$AD)</f>
        <v>0</v>
      </c>
      <c r="J146" s="712">
        <f>SUMIFS(Sheet1!S71_OY1BudgetAmount,Sheet1!S71_SA34Code,$AC:$AC,Sheet1!S71_A5CapexCode,$AD:$AD)</f>
        <v>0</v>
      </c>
      <c r="K146" s="713">
        <f>SUMIFS(Sheet1!S71_OY2BudgetAmount,Sheet1!S71_SA34Code,$AC:$AC,Sheet1!S71_A5CapexCode,$AD:$AD)</f>
        <v>0</v>
      </c>
      <c r="L146" s="2124"/>
      <c r="AC146" s="2320" t="s">
        <v>2909</v>
      </c>
      <c r="AD146" s="2320" t="s">
        <v>2805</v>
      </c>
    </row>
    <row r="147" spans="1:30" s="377" customFormat="1" ht="13.5" x14ac:dyDescent="0.25">
      <c r="A147" s="2125" t="s">
        <v>2331</v>
      </c>
      <c r="B147" s="144"/>
      <c r="C147" s="712">
        <f>SUMIFS(Sheet1!S71_PPPYearAmount,Sheet1!S71_SA34Code,$AC:$AC,Sheet1!S71_A5CapexCode,$AD:$AD)</f>
        <v>0</v>
      </c>
      <c r="D147" s="712">
        <f>SUMIFS(Sheet1!S71_PPYearAmount,Sheet1!S71_SA34Code,$AC:$AC,Sheet1!S71_A5CapexCode,$AD:$AD)</f>
        <v>0</v>
      </c>
      <c r="E147" s="715">
        <f>SUMIFS(Sheet1!S71_PYearAmount,Sheet1!S71_SA34Code,$AC:$AC,Sheet1!S71_A5CapexCode,$AD:$AD)</f>
        <v>0</v>
      </c>
      <c r="F147" s="725">
        <f>SUMIFS(Sheet1!S71_OriginalBudAmnt,Sheet1!S71_SA34Code,$AC:$AC,Sheet1!S71_A5CapexCode,$AD:$AD)</f>
        <v>0</v>
      </c>
      <c r="G147" s="712">
        <f>SUMIFS(Sheet1!S71_AdjustmentBudAmnt,Sheet1!S71_SA34Code,$AC:$AC,Sheet1!S71_A5CapexCode,$AD:$AD)</f>
        <v>0</v>
      </c>
      <c r="H147" s="713">
        <f>SUMIFS(Sheet1!S71_AdjustmentBudAmnt,Sheet1!S71_SA34Code,$AC:$AC,Sheet1!S71_A5CapexCode,$AD:$AD)</f>
        <v>0</v>
      </c>
      <c r="I147" s="725">
        <f>SUMIFS(Sheet1!S71_ASBudgetAmount,Sheet1!S71_SA34Code,$AC:$AC,Sheet1!S71_A5CapexCode,$AD:$AD)</f>
        <v>0</v>
      </c>
      <c r="J147" s="712">
        <f>SUMIFS(Sheet1!S71_OY1BudgetAmount,Sheet1!S71_SA34Code,$AC:$AC,Sheet1!S71_A5CapexCode,$AD:$AD)</f>
        <v>0</v>
      </c>
      <c r="K147" s="713">
        <f>SUMIFS(Sheet1!S71_OY2BudgetAmount,Sheet1!S71_SA34Code,$AC:$AC,Sheet1!S71_A5CapexCode,$AD:$AD)</f>
        <v>0</v>
      </c>
      <c r="L147" s="2124"/>
      <c r="AC147" s="2320" t="s">
        <v>2910</v>
      </c>
      <c r="AD147" s="2320" t="s">
        <v>2805</v>
      </c>
    </row>
    <row r="148" spans="1:30" ht="4.9000000000000004" customHeight="1" x14ac:dyDescent="0.25">
      <c r="A148" s="116"/>
      <c r="B148" s="144"/>
      <c r="C148" s="545"/>
      <c r="D148" s="545"/>
      <c r="E148" s="831"/>
      <c r="F148" s="743"/>
      <c r="G148" s="545"/>
      <c r="H148" s="742"/>
      <c r="I148" s="743"/>
      <c r="J148" s="545"/>
      <c r="K148" s="742"/>
      <c r="L148" s="322"/>
      <c r="AD148" s="2320" t="s">
        <v>2805</v>
      </c>
    </row>
    <row r="149" spans="1:30" ht="13.5" customHeight="1" x14ac:dyDescent="0.25">
      <c r="A149" s="96" t="s">
        <v>2332</v>
      </c>
      <c r="B149" s="144"/>
      <c r="C149" s="177">
        <f t="shared" ref="C149:K149" si="23">SUM(C150:C150)</f>
        <v>0</v>
      </c>
      <c r="D149" s="177">
        <f t="shared" si="23"/>
        <v>0</v>
      </c>
      <c r="E149" s="180">
        <f t="shared" si="23"/>
        <v>0</v>
      </c>
      <c r="F149" s="179">
        <f t="shared" si="23"/>
        <v>0</v>
      </c>
      <c r="G149" s="177">
        <f t="shared" si="23"/>
        <v>0</v>
      </c>
      <c r="H149" s="178">
        <f t="shared" si="23"/>
        <v>0</v>
      </c>
      <c r="I149" s="179">
        <f t="shared" si="23"/>
        <v>0</v>
      </c>
      <c r="J149" s="177">
        <f t="shared" si="23"/>
        <v>0</v>
      </c>
      <c r="K149" s="178">
        <f t="shared" si="23"/>
        <v>0</v>
      </c>
      <c r="L149" s="322"/>
      <c r="AD149" s="2320" t="s">
        <v>2805</v>
      </c>
    </row>
    <row r="150" spans="1:30" ht="11.25" customHeight="1" x14ac:dyDescent="0.25">
      <c r="A150" s="104" t="s">
        <v>2332</v>
      </c>
      <c r="B150" s="144"/>
      <c r="C150" s="712">
        <f>SUMIFS(Sheet1!S71_PPPYearAmount,Sheet1!S71_SA34Code,$AC:$AC,Sheet1!S71_A5CapexCode,$AD:$AD)</f>
        <v>0</v>
      </c>
      <c r="D150" s="712">
        <f>SUMIFS(Sheet1!S71_PPYearAmount,Sheet1!S71_SA34Code,$AC:$AC,Sheet1!S71_A5CapexCode,$AD:$AD)</f>
        <v>0</v>
      </c>
      <c r="E150" s="715">
        <f>SUMIFS(Sheet1!S71_PYearAmount,Sheet1!S71_SA34Code,$AC:$AC,Sheet1!S71_A5CapexCode,$AD:$AD)</f>
        <v>0</v>
      </c>
      <c r="F150" s="725">
        <f>SUMIFS(Sheet1!S71_OriginalBudAmnt,Sheet1!S71_SA34Code,$AC:$AC,Sheet1!S71_A5CapexCode,$AD:$AD)</f>
        <v>0</v>
      </c>
      <c r="G150" s="712">
        <f>SUMIFS(Sheet1!S71_AdjustmentBudAmnt,Sheet1!S71_SA34Code,$AC:$AC,Sheet1!S71_A5CapexCode,$AD:$AD)</f>
        <v>0</v>
      </c>
      <c r="H150" s="713">
        <f>SUMIFS(Sheet1!S71_AdjustmentBudAmnt,Sheet1!S71_SA34Code,$AC:$AC,Sheet1!S71_A5CapexCode,$AD:$AD)</f>
        <v>0</v>
      </c>
      <c r="I150" s="725">
        <f>SUMIFS(Sheet1!S71_ASBudgetAmount,Sheet1!S71_SA34Code,$AC:$AC,Sheet1!S71_A5CapexCode,$AD:$AD)</f>
        <v>0</v>
      </c>
      <c r="J150" s="712">
        <f>SUMIFS(Sheet1!S71_OY1BudgetAmount,Sheet1!S71_SA34Code,$AC:$AC,Sheet1!S71_A5CapexCode,$AD:$AD)</f>
        <v>0</v>
      </c>
      <c r="K150" s="713">
        <f>SUMIFS(Sheet1!S71_OY2BudgetAmount,Sheet1!S71_SA34Code,$AC:$AC,Sheet1!S71_A5CapexCode,$AD:$AD)</f>
        <v>0</v>
      </c>
      <c r="L150" s="322"/>
      <c r="AC150" s="2320" t="s">
        <v>2799</v>
      </c>
      <c r="AD150" s="2320" t="s">
        <v>2805</v>
      </c>
    </row>
    <row r="151" spans="1:30" ht="4.9000000000000004" customHeight="1" x14ac:dyDescent="0.25">
      <c r="A151" s="116"/>
      <c r="B151" s="144"/>
      <c r="C151" s="177"/>
      <c r="D151" s="177"/>
      <c r="E151" s="180"/>
      <c r="F151" s="179"/>
      <c r="G151" s="177"/>
      <c r="H151" s="178"/>
      <c r="I151" s="179"/>
      <c r="J151" s="177"/>
      <c r="K151" s="178"/>
      <c r="L151" s="322"/>
      <c r="AD151" s="2320" t="s">
        <v>2805</v>
      </c>
    </row>
    <row r="152" spans="1:30" ht="13.5" customHeight="1" x14ac:dyDescent="0.25">
      <c r="A152" s="96" t="s">
        <v>2333</v>
      </c>
      <c r="B152" s="144"/>
      <c r="C152" s="177">
        <f t="shared" ref="C152:K152" si="24">SUM(C153:C153)</f>
        <v>0</v>
      </c>
      <c r="D152" s="177">
        <f t="shared" si="24"/>
        <v>0</v>
      </c>
      <c r="E152" s="180">
        <f t="shared" si="24"/>
        <v>0</v>
      </c>
      <c r="F152" s="179">
        <f t="shared" si="24"/>
        <v>0</v>
      </c>
      <c r="G152" s="177">
        <f t="shared" si="24"/>
        <v>0</v>
      </c>
      <c r="H152" s="178">
        <f t="shared" si="24"/>
        <v>0</v>
      </c>
      <c r="I152" s="179">
        <f t="shared" si="24"/>
        <v>0</v>
      </c>
      <c r="J152" s="177">
        <f t="shared" si="24"/>
        <v>0</v>
      </c>
      <c r="K152" s="178">
        <f t="shared" si="24"/>
        <v>0</v>
      </c>
      <c r="L152" s="322"/>
      <c r="AD152" s="2320" t="s">
        <v>2805</v>
      </c>
    </row>
    <row r="153" spans="1:30" ht="11.25" customHeight="1" x14ac:dyDescent="0.25">
      <c r="A153" s="104" t="s">
        <v>2333</v>
      </c>
      <c r="B153" s="144"/>
      <c r="C153" s="712">
        <f>SUMIFS(Sheet1!S71_PPPYearAmount,Sheet1!S71_SA34Code,$AC:$AC,Sheet1!S71_A5CapexCode,$AD:$AD)</f>
        <v>0</v>
      </c>
      <c r="D153" s="712">
        <f>SUMIFS(Sheet1!S71_PPYearAmount,Sheet1!S71_SA34Code,$AC:$AC,Sheet1!S71_A5CapexCode,$AD:$AD)</f>
        <v>0</v>
      </c>
      <c r="E153" s="715">
        <f>SUMIFS(Sheet1!S71_PYearAmount,Sheet1!S71_SA34Code,$AC:$AC,Sheet1!S71_A5CapexCode,$AD:$AD)</f>
        <v>0</v>
      </c>
      <c r="F153" s="725">
        <f>SUMIFS(Sheet1!S71_OriginalBudAmnt,Sheet1!S71_SA34Code,$AC:$AC,Sheet1!S71_A5CapexCode,$AD:$AD)</f>
        <v>0</v>
      </c>
      <c r="G153" s="712">
        <f>SUMIFS(Sheet1!S71_AdjustmentBudAmnt,Sheet1!S71_SA34Code,$AC:$AC,Sheet1!S71_A5CapexCode,$AD:$AD)</f>
        <v>0</v>
      </c>
      <c r="H153" s="713">
        <f>SUMIFS(Sheet1!S71_AdjustmentBudAmnt,Sheet1!S71_SA34Code,$AC:$AC,Sheet1!S71_A5CapexCode,$AD:$AD)</f>
        <v>0</v>
      </c>
      <c r="I153" s="725">
        <f>SUMIFS(Sheet1!S71_ASBudgetAmount,Sheet1!S71_SA34Code,$AC:$AC,Sheet1!S71_A5CapexCode,$AD:$AD)</f>
        <v>0</v>
      </c>
      <c r="J153" s="712">
        <f>SUMIFS(Sheet1!S71_OY1BudgetAmount,Sheet1!S71_SA34Code,$AC:$AC,Sheet1!S71_A5CapexCode,$AD:$AD)</f>
        <v>0</v>
      </c>
      <c r="K153" s="713">
        <f>SUMIFS(Sheet1!S71_OY2BudgetAmount,Sheet1!S71_SA34Code,$AC:$AC,Sheet1!S71_A5CapexCode,$AD:$AD)</f>
        <v>0</v>
      </c>
      <c r="L153" s="322"/>
      <c r="AC153" s="2320" t="s">
        <v>2800</v>
      </c>
      <c r="AD153" s="2320" t="s">
        <v>2805</v>
      </c>
    </row>
    <row r="154" spans="1:30" ht="4.9000000000000004" customHeight="1" x14ac:dyDescent="0.25">
      <c r="A154" s="116"/>
      <c r="B154" s="144"/>
      <c r="C154" s="177"/>
      <c r="D154" s="177"/>
      <c r="E154" s="180"/>
      <c r="F154" s="179"/>
      <c r="G154" s="177"/>
      <c r="H154" s="178"/>
      <c r="I154" s="179"/>
      <c r="J154" s="177"/>
      <c r="K154" s="178"/>
      <c r="L154" s="322"/>
      <c r="AD154" s="2320" t="s">
        <v>2805</v>
      </c>
    </row>
    <row r="155" spans="1:30" ht="13.5" customHeight="1" x14ac:dyDescent="0.25">
      <c r="A155" s="96" t="s">
        <v>2334</v>
      </c>
      <c r="B155" s="144"/>
      <c r="C155" s="177">
        <f t="shared" ref="C155:K155" si="25">SUM(C156:C156)</f>
        <v>0</v>
      </c>
      <c r="D155" s="177">
        <f t="shared" si="25"/>
        <v>0</v>
      </c>
      <c r="E155" s="180">
        <f t="shared" si="25"/>
        <v>0</v>
      </c>
      <c r="F155" s="179">
        <f t="shared" si="25"/>
        <v>0</v>
      </c>
      <c r="G155" s="177">
        <f t="shared" si="25"/>
        <v>0</v>
      </c>
      <c r="H155" s="178">
        <f t="shared" si="25"/>
        <v>0</v>
      </c>
      <c r="I155" s="179">
        <f t="shared" si="25"/>
        <v>0</v>
      </c>
      <c r="J155" s="177">
        <f t="shared" si="25"/>
        <v>0</v>
      </c>
      <c r="K155" s="178">
        <f t="shared" si="25"/>
        <v>0</v>
      </c>
      <c r="L155" s="322"/>
      <c r="AD155" s="2320" t="s">
        <v>2805</v>
      </c>
    </row>
    <row r="156" spans="1:30" ht="11.25" customHeight="1" x14ac:dyDescent="0.25">
      <c r="A156" s="104" t="s">
        <v>2334</v>
      </c>
      <c r="B156" s="144"/>
      <c r="C156" s="712">
        <f>SUMIFS(Sheet1!S71_PPPYearAmount,Sheet1!S71_SA34Code,$AC:$AC,Sheet1!S71_A5CapexCode,$AD:$AD)</f>
        <v>0</v>
      </c>
      <c r="D156" s="712">
        <f>SUMIFS(Sheet1!S71_PPYearAmount,Sheet1!S71_SA34Code,$AC:$AC,Sheet1!S71_A5CapexCode,$AD:$AD)</f>
        <v>0</v>
      </c>
      <c r="E156" s="715">
        <f>SUMIFS(Sheet1!S71_PYearAmount,Sheet1!S71_SA34Code,$AC:$AC,Sheet1!S71_A5CapexCode,$AD:$AD)</f>
        <v>0</v>
      </c>
      <c r="F156" s="725">
        <f>SUMIFS(Sheet1!S71_OriginalBudAmnt,Sheet1!S71_SA34Code,$AC:$AC,Sheet1!S71_A5CapexCode,$AD:$AD)</f>
        <v>0</v>
      </c>
      <c r="G156" s="712">
        <f>SUMIFS(Sheet1!S71_AdjustmentBudAmnt,Sheet1!S71_SA34Code,$AC:$AC,Sheet1!S71_A5CapexCode,$AD:$AD)</f>
        <v>0</v>
      </c>
      <c r="H156" s="713">
        <f>SUMIFS(Sheet1!S71_AdjustmentBudAmnt,Sheet1!S71_SA34Code,$AC:$AC,Sheet1!S71_A5CapexCode,$AD:$AD)</f>
        <v>0</v>
      </c>
      <c r="I156" s="725">
        <f>SUMIFS(Sheet1!S71_ASBudgetAmount,Sheet1!S71_SA34Code,$AC:$AC,Sheet1!S71_A5CapexCode,$AD:$AD)</f>
        <v>0</v>
      </c>
      <c r="J156" s="712">
        <f>SUMIFS(Sheet1!S71_OY1BudgetAmount,Sheet1!S71_SA34Code,$AC:$AC,Sheet1!S71_A5CapexCode,$AD:$AD)</f>
        <v>0</v>
      </c>
      <c r="K156" s="713">
        <f>SUMIFS(Sheet1!S71_OY2BudgetAmount,Sheet1!S71_SA34Code,$AC:$AC,Sheet1!S71_A5CapexCode,$AD:$AD)</f>
        <v>0</v>
      </c>
      <c r="L156" s="322"/>
      <c r="AC156" s="2320" t="s">
        <v>2801</v>
      </c>
      <c r="AD156" s="2320" t="s">
        <v>2805</v>
      </c>
    </row>
    <row r="157" spans="1:30" ht="4.9000000000000004" customHeight="1" x14ac:dyDescent="0.25">
      <c r="A157" s="116"/>
      <c r="B157" s="144"/>
      <c r="C157" s="177"/>
      <c r="D157" s="177"/>
      <c r="E157" s="180"/>
      <c r="F157" s="179"/>
      <c r="G157" s="177"/>
      <c r="H157" s="178"/>
      <c r="I157" s="179"/>
      <c r="J157" s="177"/>
      <c r="K157" s="178"/>
      <c r="L157" s="322"/>
      <c r="AD157" s="2320" t="s">
        <v>2805</v>
      </c>
    </row>
    <row r="158" spans="1:30" ht="13.5" customHeight="1" x14ac:dyDescent="0.25">
      <c r="A158" s="96" t="s">
        <v>2335</v>
      </c>
      <c r="B158" s="144"/>
      <c r="C158" s="177">
        <f t="shared" ref="C158:K158" si="26">SUM(C159:C159)</f>
        <v>0</v>
      </c>
      <c r="D158" s="177">
        <f t="shared" si="26"/>
        <v>0</v>
      </c>
      <c r="E158" s="180">
        <f t="shared" si="26"/>
        <v>0</v>
      </c>
      <c r="F158" s="179">
        <f t="shared" si="26"/>
        <v>0</v>
      </c>
      <c r="G158" s="177">
        <f t="shared" si="26"/>
        <v>0</v>
      </c>
      <c r="H158" s="178">
        <f t="shared" si="26"/>
        <v>0</v>
      </c>
      <c r="I158" s="179">
        <f t="shared" si="26"/>
        <v>0</v>
      </c>
      <c r="J158" s="177">
        <f t="shared" si="26"/>
        <v>0</v>
      </c>
      <c r="K158" s="178">
        <f t="shared" si="26"/>
        <v>0</v>
      </c>
      <c r="L158" s="322"/>
      <c r="AD158" s="2320" t="s">
        <v>2805</v>
      </c>
    </row>
    <row r="159" spans="1:30" ht="11.25" customHeight="1" x14ac:dyDescent="0.25">
      <c r="A159" s="104" t="s">
        <v>2335</v>
      </c>
      <c r="B159" s="144"/>
      <c r="C159" s="712">
        <f>SUMIFS(Sheet1!S71_PPPYearAmount,Sheet1!S71_SA34Code,$AC:$AC,Sheet1!S71_A5CapexCode,$AD:$AD)</f>
        <v>0</v>
      </c>
      <c r="D159" s="712">
        <f>SUMIFS(Sheet1!S71_PPYearAmount,Sheet1!S71_SA34Code,$AC:$AC,Sheet1!S71_A5CapexCode,$AD:$AD)</f>
        <v>0</v>
      </c>
      <c r="E159" s="715">
        <f>SUMIFS(Sheet1!S71_PYearAmount,Sheet1!S71_SA34Code,$AC:$AC,Sheet1!S71_A5CapexCode,$AD:$AD)</f>
        <v>0</v>
      </c>
      <c r="F159" s="725">
        <f>SUMIFS(Sheet1!S71_OriginalBudAmnt,Sheet1!S71_SA34Code,$AC:$AC,Sheet1!S71_A5CapexCode,$AD:$AD)</f>
        <v>0</v>
      </c>
      <c r="G159" s="712">
        <f>SUMIFS(Sheet1!S71_AdjustmentBudAmnt,Sheet1!S71_SA34Code,$AC:$AC,Sheet1!S71_A5CapexCode,$AD:$AD)</f>
        <v>0</v>
      </c>
      <c r="H159" s="713">
        <f>SUMIFS(Sheet1!S71_AdjustmentBudAmnt,Sheet1!S71_SA34Code,$AC:$AC,Sheet1!S71_A5CapexCode,$AD:$AD)</f>
        <v>0</v>
      </c>
      <c r="I159" s="725">
        <f>SUMIFS(Sheet1!S71_ASBudgetAmount,Sheet1!S71_SA34Code,$AC:$AC,Sheet1!S71_A5CapexCode,$AD:$AD)</f>
        <v>0</v>
      </c>
      <c r="J159" s="712">
        <f>SUMIFS(Sheet1!S71_OY1BudgetAmount,Sheet1!S71_SA34Code,$AC:$AC,Sheet1!S71_A5CapexCode,$AD:$AD)</f>
        <v>0</v>
      </c>
      <c r="K159" s="713">
        <f>SUMIFS(Sheet1!S71_OY2BudgetAmount,Sheet1!S71_SA34Code,$AC:$AC,Sheet1!S71_A5CapexCode,$AD:$AD)</f>
        <v>0</v>
      </c>
      <c r="L159" s="322"/>
      <c r="AC159" s="2320" t="s">
        <v>2802</v>
      </c>
      <c r="AD159" s="2320" t="s">
        <v>2805</v>
      </c>
    </row>
    <row r="160" spans="1:30" ht="4.9000000000000004" customHeight="1" x14ac:dyDescent="0.25">
      <c r="A160" s="116"/>
      <c r="B160" s="144"/>
      <c r="C160" s="177"/>
      <c r="D160" s="177"/>
      <c r="E160" s="180"/>
      <c r="F160" s="179"/>
      <c r="G160" s="177"/>
      <c r="H160" s="178"/>
      <c r="I160" s="179"/>
      <c r="J160" s="177"/>
      <c r="K160" s="178"/>
      <c r="L160" s="322"/>
      <c r="AD160" s="2320" t="s">
        <v>2805</v>
      </c>
    </row>
    <row r="161" spans="1:30" ht="13.5" customHeight="1" x14ac:dyDescent="0.25">
      <c r="A161" s="96" t="s">
        <v>2470</v>
      </c>
      <c r="B161" s="144"/>
      <c r="C161" s="177">
        <f t="shared" ref="C161:K161" si="27">SUM(C162:C162)</f>
        <v>0</v>
      </c>
      <c r="D161" s="177">
        <f t="shared" si="27"/>
        <v>0</v>
      </c>
      <c r="E161" s="180">
        <f t="shared" si="27"/>
        <v>0</v>
      </c>
      <c r="F161" s="179">
        <f t="shared" si="27"/>
        <v>0</v>
      </c>
      <c r="G161" s="177">
        <f t="shared" si="27"/>
        <v>0</v>
      </c>
      <c r="H161" s="178">
        <f t="shared" si="27"/>
        <v>0</v>
      </c>
      <c r="I161" s="179">
        <f t="shared" si="27"/>
        <v>0</v>
      </c>
      <c r="J161" s="177">
        <f t="shared" si="27"/>
        <v>0</v>
      </c>
      <c r="K161" s="178">
        <f t="shared" si="27"/>
        <v>0</v>
      </c>
      <c r="L161" s="322"/>
      <c r="AD161" s="2320" t="s">
        <v>2805</v>
      </c>
    </row>
    <row r="162" spans="1:30" ht="11.25" customHeight="1" x14ac:dyDescent="0.25">
      <c r="A162" s="104" t="s">
        <v>2470</v>
      </c>
      <c r="B162" s="144"/>
      <c r="C162" s="712">
        <f>SUMIFS(Sheet1!S71_PPPYearAmount,Sheet1!S71_SA34Code,$AC:$AC,Sheet1!S71_A5CapexCode,$AD:$AD)</f>
        <v>0</v>
      </c>
      <c r="D162" s="712">
        <f>SUMIFS(Sheet1!S71_PPYearAmount,Sheet1!S71_SA34Code,$AC:$AC,Sheet1!S71_A5CapexCode,$AD:$AD)</f>
        <v>0</v>
      </c>
      <c r="E162" s="715">
        <f>SUMIFS(Sheet1!S71_PYearAmount,Sheet1!S71_SA34Code,$AC:$AC,Sheet1!S71_A5CapexCode,$AD:$AD)</f>
        <v>0</v>
      </c>
      <c r="F162" s="725">
        <f>SUMIFS(Sheet1!S71_OriginalBudAmnt,Sheet1!S71_SA34Code,$AC:$AC,Sheet1!S71_A5CapexCode,$AD:$AD)</f>
        <v>0</v>
      </c>
      <c r="G162" s="712">
        <f>SUMIFS(Sheet1!S71_AdjustmentBudAmnt,Sheet1!S71_SA34Code,$AC:$AC,Sheet1!S71_A5CapexCode,$AD:$AD)</f>
        <v>0</v>
      </c>
      <c r="H162" s="713">
        <f>SUMIFS(Sheet1!S71_AdjustmentBudAmnt,Sheet1!S71_SA34Code,$AC:$AC,Sheet1!S71_A5CapexCode,$AD:$AD)</f>
        <v>0</v>
      </c>
      <c r="I162" s="725">
        <f>SUMIFS(Sheet1!S71_ASBudgetAmount,Sheet1!S71_SA34Code,$AC:$AC,Sheet1!S71_A5CapexCode,$AD:$AD)</f>
        <v>0</v>
      </c>
      <c r="J162" s="712">
        <f>SUMIFS(Sheet1!S71_OY1BudgetAmount,Sheet1!S71_SA34Code,$AC:$AC,Sheet1!S71_A5CapexCode,$AD:$AD)</f>
        <v>0</v>
      </c>
      <c r="K162" s="713">
        <f>SUMIFS(Sheet1!S71_OY2BudgetAmount,Sheet1!S71_SA34Code,$AC:$AC,Sheet1!S71_A5CapexCode,$AD:$AD)</f>
        <v>0</v>
      </c>
      <c r="L162" s="322"/>
      <c r="AC162" s="2320" t="s">
        <v>2803</v>
      </c>
      <c r="AD162" s="2320" t="s">
        <v>2805</v>
      </c>
    </row>
    <row r="163" spans="1:30" ht="4.9000000000000004" customHeight="1" x14ac:dyDescent="0.25">
      <c r="A163" s="116"/>
      <c r="B163" s="144"/>
      <c r="C163" s="177"/>
      <c r="D163" s="177"/>
      <c r="E163" s="180"/>
      <c r="F163" s="179"/>
      <c r="G163" s="177"/>
      <c r="H163" s="178"/>
      <c r="I163" s="179"/>
      <c r="J163" s="177"/>
      <c r="K163" s="178"/>
      <c r="L163" s="322"/>
      <c r="AD163" s="2320" t="s">
        <v>2805</v>
      </c>
    </row>
    <row r="164" spans="1:30" ht="13.5" customHeight="1" x14ac:dyDescent="0.25">
      <c r="A164" s="96" t="s">
        <v>2336</v>
      </c>
      <c r="B164" s="144"/>
      <c r="C164" s="177">
        <f t="shared" ref="C164:K164" si="28">SUM(C165:C165)</f>
        <v>0</v>
      </c>
      <c r="D164" s="177">
        <f t="shared" si="28"/>
        <v>0</v>
      </c>
      <c r="E164" s="180">
        <f t="shared" si="28"/>
        <v>0</v>
      </c>
      <c r="F164" s="179">
        <f t="shared" si="28"/>
        <v>0</v>
      </c>
      <c r="G164" s="177">
        <f t="shared" si="28"/>
        <v>0</v>
      </c>
      <c r="H164" s="178">
        <f t="shared" si="28"/>
        <v>0</v>
      </c>
      <c r="I164" s="179">
        <f t="shared" si="28"/>
        <v>0</v>
      </c>
      <c r="J164" s="177">
        <f t="shared" si="28"/>
        <v>0</v>
      </c>
      <c r="K164" s="178">
        <f t="shared" si="28"/>
        <v>0</v>
      </c>
      <c r="L164" s="322"/>
      <c r="AD164" s="2320" t="s">
        <v>2805</v>
      </c>
    </row>
    <row r="165" spans="1:30" ht="11.25" customHeight="1" x14ac:dyDescent="0.25">
      <c r="A165" s="104" t="s">
        <v>2336</v>
      </c>
      <c r="B165" s="144"/>
      <c r="C165" s="712">
        <f>SUMIFS(Sheet1!S71_PPPYearAmount,Sheet1!S71_SA34Code,$AC:$AC,Sheet1!S71_A5CapexCode,$AD:$AD)</f>
        <v>0</v>
      </c>
      <c r="D165" s="712">
        <f>SUMIFS(Sheet1!S71_PPYearAmount,Sheet1!S71_SA34Code,$AC:$AC,Sheet1!S71_A5CapexCode,$AD:$AD)</f>
        <v>0</v>
      </c>
      <c r="E165" s="715">
        <f>SUMIFS(Sheet1!S71_PYearAmount,Sheet1!S71_SA34Code,$AC:$AC,Sheet1!S71_A5CapexCode,$AD:$AD)</f>
        <v>0</v>
      </c>
      <c r="F165" s="725">
        <f>SUMIFS(Sheet1!S71_OriginalBudAmnt,Sheet1!S71_SA34Code,$AC:$AC,Sheet1!S71_A5CapexCode,$AD:$AD)</f>
        <v>0</v>
      </c>
      <c r="G165" s="712">
        <f>SUMIFS(Sheet1!S71_AdjustmentBudAmnt,Sheet1!S71_SA34Code,$AC:$AC,Sheet1!S71_A5CapexCode,$AD:$AD)</f>
        <v>0</v>
      </c>
      <c r="H165" s="713">
        <f>SUMIFS(Sheet1!S71_AdjustmentBudAmnt,Sheet1!S71_SA34Code,$AC:$AC,Sheet1!S71_A5CapexCode,$AD:$AD)</f>
        <v>0</v>
      </c>
      <c r="I165" s="725">
        <f>SUMIFS(Sheet1!S71_ASBudgetAmount,Sheet1!S71_SA34Code,$AC:$AC,Sheet1!S71_A5CapexCode,$AD:$AD)</f>
        <v>0</v>
      </c>
      <c r="J165" s="712">
        <f>SUMIFS(Sheet1!S71_OY1BudgetAmount,Sheet1!S71_SA34Code,$AC:$AC,Sheet1!S71_A5CapexCode,$AD:$AD)</f>
        <v>0</v>
      </c>
      <c r="K165" s="713">
        <f>SUMIFS(Sheet1!S71_OY2BudgetAmount,Sheet1!S71_SA34Code,$AC:$AC,Sheet1!S71_A5CapexCode,$AD:$AD)</f>
        <v>0</v>
      </c>
      <c r="L165" s="322"/>
      <c r="AC165" s="2320" t="s">
        <v>2804</v>
      </c>
      <c r="AD165" s="2320" t="s">
        <v>2805</v>
      </c>
    </row>
    <row r="166" spans="1:30" ht="4.9000000000000004" customHeight="1" x14ac:dyDescent="0.25">
      <c r="A166" s="116"/>
      <c r="B166" s="144"/>
      <c r="C166" s="177"/>
      <c r="D166" s="177"/>
      <c r="E166" s="180"/>
      <c r="F166" s="179"/>
      <c r="G166" s="177"/>
      <c r="H166" s="178"/>
      <c r="I166" s="179"/>
      <c r="J166" s="177"/>
      <c r="K166" s="178"/>
      <c r="L166" s="322"/>
      <c r="AD166" s="2320" t="s">
        <v>2805</v>
      </c>
    </row>
    <row r="167" spans="1:30" x14ac:dyDescent="0.25">
      <c r="A167" s="147" t="s">
        <v>1069</v>
      </c>
      <c r="B167" s="148">
        <v>1</v>
      </c>
      <c r="C167" s="185">
        <f>C6+C74+C103+C110+C118+C136+C139+C149+C152+C155+C158+C161+C164</f>
        <v>124</v>
      </c>
      <c r="D167" s="185">
        <f t="shared" ref="D167:K167" si="29">D6+D74+D103+D110+D118+D136+D139+D149+D152+D155+D158+D161+D164</f>
        <v>1</v>
      </c>
      <c r="E167" s="186">
        <f t="shared" si="29"/>
        <v>1</v>
      </c>
      <c r="F167" s="184">
        <f t="shared" si="29"/>
        <v>0</v>
      </c>
      <c r="G167" s="185">
        <f t="shared" si="29"/>
        <v>550000</v>
      </c>
      <c r="H167" s="183">
        <f t="shared" si="29"/>
        <v>550000</v>
      </c>
      <c r="I167" s="184">
        <f t="shared" si="29"/>
        <v>0</v>
      </c>
      <c r="J167" s="185">
        <f t="shared" si="29"/>
        <v>0</v>
      </c>
      <c r="K167" s="183">
        <f t="shared" si="29"/>
        <v>0</v>
      </c>
      <c r="L167" s="322"/>
      <c r="AD167" s="2320" t="s">
        <v>2805</v>
      </c>
    </row>
    <row r="168" spans="1:30" s="126" customFormat="1" ht="3.75" customHeight="1" x14ac:dyDescent="0.25">
      <c r="A168" s="136"/>
      <c r="B168" s="670"/>
      <c r="C168" s="74"/>
      <c r="D168" s="74"/>
      <c r="E168" s="74"/>
      <c r="F168" s="73"/>
      <c r="G168" s="74"/>
      <c r="H168" s="72"/>
      <c r="I168" s="73"/>
      <c r="J168" s="74"/>
      <c r="K168" s="72"/>
      <c r="AC168" s="2320"/>
      <c r="AD168" s="2320"/>
    </row>
    <row r="169" spans="1:30" x14ac:dyDescent="0.25">
      <c r="A169" s="2128" t="s">
        <v>1706</v>
      </c>
      <c r="B169" s="2129"/>
      <c r="C169" s="2130">
        <f>IF(ISERROR(C167/'A9-Asset'!C69),0,(C167/'A9-Asset'!C69))</f>
        <v>2.0551237217627657E-4</v>
      </c>
      <c r="D169" s="2130">
        <f>IF(ISERROR(D167/'A9-Asset'!D132),0,(D167/'A9-Asset'!D132))</f>
        <v>5.147374531690578E-9</v>
      </c>
      <c r="E169" s="2131">
        <f>IF(ISERROR(E167/'A9-Asset'!E132),0,(E167/'A9-Asset'!E132))</f>
        <v>4.6807239791860558E-9</v>
      </c>
      <c r="F169" s="2132">
        <f>IF(ISERROR(F167/'A9-Asset'!F132),0,(F167/'A9-Asset'!F132))</f>
        <v>0</v>
      </c>
      <c r="G169" s="2130">
        <f>IF(ISERROR(G167/'A9-Asset'!G132),0,(G167/'A9-Asset'!G132))</f>
        <v>1.2567841206834492E-2</v>
      </c>
      <c r="H169" s="2133">
        <f>IF(ISERROR(H167/'A9-Asset'!H132),0,(H167/'A9-Asset'!H132))</f>
        <v>1.2567841206834492E-2</v>
      </c>
      <c r="I169" s="2134">
        <f>IF(ISERROR(I167/'A9-Asset'!I132),0,(I167/'A9-Asset'!I132))</f>
        <v>0</v>
      </c>
      <c r="J169" s="2130">
        <f>IF(ISERROR(J167/'A9-Asset'!J132),0,(J167/'A9-Asset'!J132))</f>
        <v>0</v>
      </c>
      <c r="K169" s="2133">
        <f>IF(ISERROR(K167/'A9-Asset'!K132),0,(K167/'A9-Asset'!K132))</f>
        <v>0</v>
      </c>
      <c r="L169" s="674"/>
    </row>
    <row r="170" spans="1:30" ht="11.25" customHeight="1" x14ac:dyDescent="0.25">
      <c r="A170" s="2135" t="s">
        <v>1255</v>
      </c>
      <c r="B170" s="2136"/>
      <c r="C170" s="2137">
        <f>IF(ISERROR(C167/'A9-Asset'!C168),0,(C167/'A9-Asset'!C168))</f>
        <v>1.4105681586534262E-5</v>
      </c>
      <c r="D170" s="2137">
        <f>IF(ISERROR(D167/'A9-Asset'!D168),0,(D167/'A9-Asset'!D168))</f>
        <v>1.1464660870745579E-7</v>
      </c>
      <c r="E170" s="2138">
        <f>IF(ISERROR(E167/'A9-Asset'!E168),0,(E167/'A9-Asset'!E168))</f>
        <v>1.0731312090701049E-7</v>
      </c>
      <c r="F170" s="2139">
        <f>IF(ISERROR(F167/'A9-Asset'!F168),0,(F167/'A9-Asset'!F168))</f>
        <v>0</v>
      </c>
      <c r="G170" s="2137">
        <f>IF(ISERROR(G167/'A9-Asset'!G168),0,(G167/'A9-Asset'!G168))</f>
        <v>4.9224318710816881E-2</v>
      </c>
      <c r="H170" s="2140">
        <f>IF(ISERROR(H167/'A9-Asset'!H168),0,(H167/'A9-Asset'!H168))</f>
        <v>4.9224318710816881E-2</v>
      </c>
      <c r="I170" s="2141">
        <f>IF(ISERROR(I167/'A9-Asset'!I168),0,(I167/'A9-Asset'!I168))</f>
        <v>0</v>
      </c>
      <c r="J170" s="2137">
        <f>IF(ISERROR(J167/'A9-Asset'!J168),0,(J167/'A9-Asset'!J168))</f>
        <v>0</v>
      </c>
      <c r="K170" s="2140">
        <f>IF(ISERROR(K167/'A9-Asset'!K168),0,(K167/'A9-Asset'!K168))</f>
        <v>0</v>
      </c>
      <c r="L170" s="322"/>
    </row>
    <row r="171" spans="1:30" ht="11.25" customHeight="1" x14ac:dyDescent="0.25">
      <c r="A171" s="217" t="str">
        <f>head27a</f>
        <v>References</v>
      </c>
      <c r="B171" s="189"/>
      <c r="C171" s="193"/>
      <c r="D171" s="193"/>
      <c r="E171" s="193"/>
      <c r="F171" s="193"/>
      <c r="G171" s="193"/>
      <c r="H171" s="193"/>
      <c r="I171" s="193"/>
      <c r="J171" s="193"/>
      <c r="K171" s="193"/>
    </row>
    <row r="172" spans="1:30" ht="11.25" customHeight="1" x14ac:dyDescent="0.25">
      <c r="A172" s="218" t="s">
        <v>2354</v>
      </c>
      <c r="B172" s="189"/>
      <c r="C172" s="192"/>
      <c r="D172" s="192"/>
      <c r="E172" s="193"/>
      <c r="F172" s="193"/>
      <c r="G172" s="193"/>
      <c r="H172" s="193"/>
      <c r="I172" s="193"/>
      <c r="J172" s="193"/>
      <c r="K172" s="193"/>
    </row>
    <row r="173" spans="1:30" ht="11.25" customHeight="1" x14ac:dyDescent="0.25">
      <c r="A173" s="218"/>
      <c r="B173" s="189"/>
      <c r="C173" s="192"/>
      <c r="D173" s="192"/>
      <c r="E173" s="193"/>
      <c r="F173" s="193"/>
      <c r="G173" s="193"/>
      <c r="H173" s="193"/>
      <c r="I173" s="193"/>
      <c r="J173" s="193"/>
      <c r="K173" s="193"/>
    </row>
    <row r="174" spans="1:30" ht="11.25" customHeight="1" x14ac:dyDescent="0.25">
      <c r="A174" s="220"/>
      <c r="B174" s="189"/>
      <c r="C174" s="192"/>
      <c r="D174" s="192"/>
      <c r="E174" s="193"/>
      <c r="F174" s="193"/>
      <c r="G174" s="193"/>
      <c r="H174" s="193"/>
      <c r="I174" s="193"/>
      <c r="J174" s="193"/>
      <c r="K174" s="193"/>
    </row>
    <row r="175" spans="1:30" ht="11.25" customHeight="1" x14ac:dyDescent="0.25">
      <c r="A175" s="219" t="s">
        <v>248</v>
      </c>
      <c r="B175" s="150"/>
      <c r="C175" s="1028">
        <f>SUM(C167+SA34a!C167++SA34e!C167)-'A5-Capex'!C40</f>
        <v>0</v>
      </c>
      <c r="D175" s="1028">
        <f>SUM(D167+SA34a!D167++SA34e!D167)-'A5-Capex'!D40</f>
        <v>0</v>
      </c>
      <c r="E175" s="1028">
        <f>SUM(E167+SA34a!E167++SA34e!E167)-'A5-Capex'!E40</f>
        <v>0</v>
      </c>
      <c r="F175" s="1028">
        <f>SUM(F167+SA34a!F167++SA34e!F167)-'A5-Capex'!F40</f>
        <v>0</v>
      </c>
      <c r="G175" s="1028">
        <f>SUM(G167+SA34a!G167++SA34e!G167)-'A5-Capex'!G40</f>
        <v>0</v>
      </c>
      <c r="H175" s="1028">
        <f>SUM(H167+SA34a!H167++SA34e!H167)-'A5-Capex'!H40</f>
        <v>0</v>
      </c>
      <c r="I175" s="1028">
        <f>SUM(I167+SA34a!I167++SA34e!I167)-'A5-Capex'!J40</f>
        <v>0</v>
      </c>
      <c r="J175" s="1028">
        <f>SUM(J167+SA34a!J167++SA34e!J167)-'A5-Capex'!K40</f>
        <v>0</v>
      </c>
      <c r="K175" s="1028">
        <f>SUM(K167+SA34a!K167++SA34e!K167)-'A5-Capex'!L40</f>
        <v>0</v>
      </c>
    </row>
    <row r="176" spans="1:30" ht="11.25" customHeight="1" x14ac:dyDescent="0.25"/>
    <row r="177" ht="11.25" customHeight="1" x14ac:dyDescent="0.25"/>
    <row r="178" ht="11.25" customHeight="1" x14ac:dyDescent="0.25"/>
    <row r="179" ht="11.25" customHeight="1" x14ac:dyDescent="0.25"/>
    <row r="180" ht="11.25" customHeight="1" x14ac:dyDescent="0.25"/>
    <row r="181" ht="11.25" customHeight="1" x14ac:dyDescent="0.25"/>
    <row r="182" ht="11.25" customHeight="1" x14ac:dyDescent="0.25"/>
    <row r="183" ht="11.25" customHeight="1" x14ac:dyDescent="0.25"/>
    <row r="184" ht="11.25" customHeight="1" x14ac:dyDescent="0.25"/>
    <row r="185" ht="11.25" customHeight="1" x14ac:dyDescent="0.25"/>
    <row r="186" ht="11.25" customHeight="1" x14ac:dyDescent="0.25"/>
    <row r="187" ht="11.25" customHeight="1" x14ac:dyDescent="0.25"/>
    <row r="188" ht="11.25" customHeight="1" x14ac:dyDescent="0.25"/>
    <row r="189" ht="11.25" customHeight="1" x14ac:dyDescent="0.25"/>
    <row r="190" ht="11.25" customHeight="1" x14ac:dyDescent="0.25"/>
    <row r="191" ht="11.25" customHeight="1" x14ac:dyDescent="0.25"/>
    <row r="192" ht="11.25" customHeight="1" x14ac:dyDescent="0.25"/>
    <row r="193" ht="11.25" customHeight="1" x14ac:dyDescent="0.25"/>
    <row r="194" ht="11.25" customHeight="1" x14ac:dyDescent="0.25"/>
    <row r="195" ht="11.25" customHeight="1" x14ac:dyDescent="0.25"/>
    <row r="196" ht="11.25" customHeight="1" x14ac:dyDescent="0.25"/>
    <row r="197" ht="11.25" customHeight="1" x14ac:dyDescent="0.25"/>
    <row r="198" ht="11.25" customHeight="1" x14ac:dyDescent="0.25"/>
    <row r="199" ht="11.25" customHeight="1" x14ac:dyDescent="0.25"/>
    <row r="200" ht="11.25" customHeight="1" x14ac:dyDescent="0.25"/>
    <row r="201" ht="11.25" customHeight="1" x14ac:dyDescent="0.25"/>
    <row r="202" ht="11.25" customHeight="1" x14ac:dyDescent="0.25"/>
    <row r="203" ht="11.25" customHeight="1" x14ac:dyDescent="0.25"/>
    <row r="204" ht="11.25" customHeight="1" x14ac:dyDescent="0.25"/>
    <row r="205" ht="11.25" customHeight="1" x14ac:dyDescent="0.25"/>
    <row r="206" ht="11.25" customHeight="1" x14ac:dyDescent="0.25"/>
    <row r="207" ht="11.25" customHeight="1" x14ac:dyDescent="0.25"/>
    <row r="208" ht="11.25" customHeight="1" x14ac:dyDescent="0.25"/>
  </sheetData>
  <sheetProtection sheet="1" objects="1" scenarios="1"/>
  <mergeCells count="2">
    <mergeCell ref="F2:H2"/>
    <mergeCell ref="I2:K2"/>
  </mergeCells>
  <phoneticPr fontId="7" type="noConversion"/>
  <pageMargins left="0.74803149606299213" right="0.74803149606299213" top="0.98425196850393704" bottom="0.98425196850393704" header="0.51181102362204722" footer="0.51181102362204722"/>
  <pageSetup paperSize="9" scale="66" fitToHeight="2" orientation="portrait" r:id="rId1"/>
  <headerFooter alignWithMargins="0"/>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Sheet59"/>
  <dimension ref="A1:AE175"/>
  <sheetViews>
    <sheetView showGridLines="0" zoomScaleNormal="100" workbookViewId="0">
      <pane xSplit="2" ySplit="3" topLeftCell="C101" activePane="bottomRight" state="frozen"/>
      <selection pane="topRight"/>
      <selection pane="bottomLeft"/>
      <selection pane="bottomRight" activeCell="A167" sqref="A167"/>
    </sheetView>
  </sheetViews>
  <sheetFormatPr defaultColWidth="9.140625" defaultRowHeight="12.75" x14ac:dyDescent="0.25"/>
  <cols>
    <col min="1" max="1" width="30.7109375" style="58" customWidth="1"/>
    <col min="2" max="2" width="3" style="55" customWidth="1"/>
    <col min="3" max="11" width="9.28515625" style="58" customWidth="1"/>
    <col min="12" max="12" width="9.7109375" style="58" customWidth="1"/>
    <col min="13" max="13" width="9.42578125" style="58" customWidth="1"/>
    <col min="14" max="14" width="9.7109375" style="58" customWidth="1"/>
    <col min="15" max="17" width="9.42578125" style="58" customWidth="1"/>
    <col min="18" max="18" width="9.7109375" style="58" customWidth="1"/>
    <col min="19" max="21" width="9.42578125" style="58" customWidth="1"/>
    <col min="22" max="23" width="9.7109375" style="58" customWidth="1"/>
    <col min="24" max="26" width="9.140625" style="58" customWidth="1"/>
    <col min="27" max="27" width="9.140625" style="1514" customWidth="1"/>
    <col min="28" max="28" width="9.140625" style="2312" customWidth="1"/>
    <col min="29" max="30" width="9.140625" style="2365"/>
    <col min="31" max="31" width="9.140625" style="2312"/>
    <col min="32" max="16384" width="9.140625" style="58"/>
  </cols>
  <sheetData>
    <row r="1" spans="1:31" ht="13.5" customHeight="1" x14ac:dyDescent="0.25">
      <c r="A1" s="92" t="str">
        <f>muni&amp;" - "&amp;TableA34c</f>
        <v>KZN226 Mkhambathini - Supporting Table SA34c Repairs and maintenance expenditure by asset class</v>
      </c>
      <c r="B1" s="92"/>
      <c r="C1" s="92"/>
      <c r="D1" s="92"/>
      <c r="E1" s="92"/>
      <c r="F1" s="92"/>
      <c r="G1" s="92"/>
      <c r="H1" s="92"/>
      <c r="I1" s="92"/>
      <c r="J1" s="92"/>
      <c r="K1" s="92"/>
    </row>
    <row r="2" spans="1:31" ht="28.5" customHeight="1" x14ac:dyDescent="0.25">
      <c r="A2" s="1829" t="str">
        <f>desc</f>
        <v>Description</v>
      </c>
      <c r="B2" s="155" t="str">
        <f>head27</f>
        <v>Ref</v>
      </c>
      <c r="C2" s="837" t="str">
        <f>head1b</f>
        <v>2017/18</v>
      </c>
      <c r="D2" s="561" t="str">
        <f>head1A</f>
        <v>2018/19</v>
      </c>
      <c r="E2" s="683" t="str">
        <f>Head1</f>
        <v>2019/20</v>
      </c>
      <c r="F2" s="2447" t="str">
        <f>Head2</f>
        <v>Current Year 2020/21</v>
      </c>
      <c r="G2" s="2448"/>
      <c r="H2" s="2449"/>
      <c r="I2" s="2450" t="str">
        <f>Head3</f>
        <v>2021/22 Medium Term Revenue &amp; Expenditure Framework</v>
      </c>
      <c r="J2" s="2451"/>
      <c r="K2" s="2452"/>
    </row>
    <row r="3" spans="1:31" ht="25.5" x14ac:dyDescent="0.25">
      <c r="A3" s="156" t="s">
        <v>568</v>
      </c>
      <c r="B3" s="690">
        <v>1</v>
      </c>
      <c r="C3" s="698" t="str">
        <f>Head5</f>
        <v>Audited Outcome</v>
      </c>
      <c r="D3" s="562" t="str">
        <f>Head5</f>
        <v>Audited Outcome</v>
      </c>
      <c r="E3" s="702" t="str">
        <f>Head5</f>
        <v>Audited Outcome</v>
      </c>
      <c r="F3" s="95" t="str">
        <f>Head6</f>
        <v>Original Budget</v>
      </c>
      <c r="G3" s="698" t="str">
        <f>Head7</f>
        <v>Adjusted Budget</v>
      </c>
      <c r="H3" s="94" t="str">
        <f>Head8</f>
        <v>Full Year Forecast</v>
      </c>
      <c r="I3" s="95" t="str">
        <f>Head9</f>
        <v>Budget Year 2021/22</v>
      </c>
      <c r="J3" s="698" t="str">
        <f>Head10</f>
        <v>Budget Year +1 2022/23</v>
      </c>
      <c r="K3" s="94" t="str">
        <f>Head11</f>
        <v>Budget Year +2 2023/24</v>
      </c>
    </row>
    <row r="4" spans="1:31" ht="11.25" customHeight="1" x14ac:dyDescent="0.25">
      <c r="A4" s="2022" t="s">
        <v>1065</v>
      </c>
      <c r="B4" s="205"/>
      <c r="C4" s="81"/>
      <c r="D4" s="81"/>
      <c r="E4" s="756"/>
      <c r="F4" s="757"/>
      <c r="G4" s="81"/>
      <c r="H4" s="758"/>
      <c r="I4" s="757"/>
      <c r="J4" s="81"/>
      <c r="K4" s="758"/>
      <c r="L4" s="322"/>
    </row>
    <row r="5" spans="1:31" ht="4.9000000000000004" customHeight="1" x14ac:dyDescent="0.25">
      <c r="A5" s="96"/>
      <c r="B5" s="144"/>
      <c r="C5" s="762"/>
      <c r="D5" s="762"/>
      <c r="E5" s="763"/>
      <c r="F5" s="764"/>
      <c r="G5" s="762"/>
      <c r="H5" s="765"/>
      <c r="I5" s="764"/>
      <c r="J5" s="762"/>
      <c r="K5" s="765"/>
      <c r="L5" s="322"/>
    </row>
    <row r="6" spans="1:31" ht="13.15" customHeight="1" x14ac:dyDescent="0.25">
      <c r="A6" s="96" t="s">
        <v>838</v>
      </c>
      <c r="B6" s="144"/>
      <c r="C6" s="98">
        <f>C7+C12+C16+C26+C37+C44+C52+C62+C68</f>
        <v>0</v>
      </c>
      <c r="D6" s="98">
        <f t="shared" ref="D6:K6" si="0">D7+D12+D16+D26+D37+D44+D52+D62+D68</f>
        <v>1163601</v>
      </c>
      <c r="E6" s="101">
        <f t="shared" si="0"/>
        <v>1568075</v>
      </c>
      <c r="F6" s="100">
        <f t="shared" si="0"/>
        <v>11000000</v>
      </c>
      <c r="G6" s="98">
        <f t="shared" si="0"/>
        <v>15551245</v>
      </c>
      <c r="H6" s="99">
        <f t="shared" si="0"/>
        <v>15551245</v>
      </c>
      <c r="I6" s="100">
        <f t="shared" si="0"/>
        <v>9800000</v>
      </c>
      <c r="J6" s="98">
        <f t="shared" si="0"/>
        <v>14692000</v>
      </c>
      <c r="K6" s="99">
        <f t="shared" si="0"/>
        <v>15099680</v>
      </c>
      <c r="L6" s="2124"/>
    </row>
    <row r="7" spans="1:31" s="377" customFormat="1" ht="13.15" customHeight="1" x14ac:dyDescent="0.25">
      <c r="A7" s="104" t="s">
        <v>2230</v>
      </c>
      <c r="B7" s="144"/>
      <c r="C7" s="82">
        <f t="shared" ref="C7:K7" si="1">SUM(C8:C11)</f>
        <v>0</v>
      </c>
      <c r="D7" s="82">
        <f t="shared" si="1"/>
        <v>1163601</v>
      </c>
      <c r="E7" s="304">
        <f t="shared" si="1"/>
        <v>1568075</v>
      </c>
      <c r="F7" s="83">
        <f t="shared" si="1"/>
        <v>11000000</v>
      </c>
      <c r="G7" s="82">
        <f t="shared" si="1"/>
        <v>15551245</v>
      </c>
      <c r="H7" s="115">
        <f t="shared" si="1"/>
        <v>15551245</v>
      </c>
      <c r="I7" s="83">
        <f t="shared" si="1"/>
        <v>9800000</v>
      </c>
      <c r="J7" s="82">
        <f t="shared" si="1"/>
        <v>14692000</v>
      </c>
      <c r="K7" s="115">
        <f t="shared" si="1"/>
        <v>15099680</v>
      </c>
      <c r="L7" s="322"/>
      <c r="AA7" s="2382"/>
      <c r="AB7" s="2369"/>
      <c r="AC7" s="2365"/>
      <c r="AD7" s="2365"/>
      <c r="AE7" s="2369"/>
    </row>
    <row r="8" spans="1:31" s="377" customFormat="1" ht="13.15" customHeight="1" x14ac:dyDescent="0.25">
      <c r="A8" s="2125" t="s">
        <v>629</v>
      </c>
      <c r="B8" s="144"/>
      <c r="C8" s="712">
        <f>SUMIFS(Sheet1!S71_PPPYearAmount,Sheet1!S71_SA34cCode,$AC:$AC,Sheet1!S71_RepMaintCode,$AD:$AD)</f>
        <v>0</v>
      </c>
      <c r="D8" s="712">
        <f>SUMIFS(Sheet1!S71_PPYearAmount,Sheet1!S71_SA34cCode,$AC:$AC,Sheet1!S71_RepMaintCode,$AD:$AD)</f>
        <v>0</v>
      </c>
      <c r="E8" s="715">
        <f>SUMIFS(Sheet1!S71_PYearAmount,Sheet1!S71_SA34cCode,$AC:$AC,Sheet1!S71_RepMaintCode,$AD:$AD)</f>
        <v>0</v>
      </c>
      <c r="F8" s="725">
        <f>SUMIFS(Sheet1!S71_OriginalBudAmnt,Sheet1!S71_SA34cCode,$AC:$AC,Sheet1!S71_RepMaintCode,$AD:$AD)</f>
        <v>9000000</v>
      </c>
      <c r="G8" s="712">
        <f>SUMIFS(Sheet1!S71_AdjustmentBudAmnt,Sheet1!S71_SA34cCode,$AC:$AC,Sheet1!S71_RepMaintCode,$AD:$AD)</f>
        <v>12268512</v>
      </c>
      <c r="H8" s="713">
        <f>SUMIFS(Sheet1!S71_AdjustmentBudAmnt,Sheet1!S71_SA34cCode,$AC:$AC,Sheet1!S71_RepMaintCode,$AD:$AD)</f>
        <v>12268512</v>
      </c>
      <c r="I8" s="725">
        <f>SUMIFS(Sheet1!S71_ASBudgetAmount,Sheet1!S71_SA34cCode,$AC:$AC,Sheet1!S71_RepMaintCode,$AD:$AD)</f>
        <v>0</v>
      </c>
      <c r="J8" s="712">
        <f>SUMIFS(Sheet1!S71_OY1BudgetAmount,Sheet1!S71_SA34cCode,$AC:$AC,Sheet1!S71_RepMaintCode,$AD:$AD)</f>
        <v>4500000</v>
      </c>
      <c r="K8" s="713">
        <f>SUMIFS(Sheet1!S71_OY2BudgetAmount,Sheet1!S71_SA34cCode,$AC:$AC,Sheet1!S71_RepMaintCode,$AD:$AD)</f>
        <v>4500000</v>
      </c>
      <c r="L8" s="2124"/>
      <c r="AA8" s="2382"/>
      <c r="AB8" s="2369"/>
      <c r="AC8" s="2365" t="s">
        <v>2773</v>
      </c>
      <c r="AD8" s="2365" t="s">
        <v>2820</v>
      </c>
      <c r="AE8" s="2369" cm="1">
        <f t="array" ref="AE8">SUMIFS(Sheet1!S71_PreAuditActual,Sheet1!S71_SA34cCode,_xlfn.SINGLE($AC:$AC),Sheet1!S71_RepMaintCode,_xlfn.SINGLE($AD:$AD))</f>
        <v>13199044</v>
      </c>
    </row>
    <row r="9" spans="1:31" s="377" customFormat="1" ht="13.15" customHeight="1" x14ac:dyDescent="0.25">
      <c r="A9" s="2125" t="s">
        <v>2231</v>
      </c>
      <c r="B9" s="144"/>
      <c r="C9" s="712">
        <f>SUMIFS(Sheet1!S71_PPPYearAmount,Sheet1!S71_SA34cCode,$AC:$AC,Sheet1!S71_RepMaintCode,$AD:$AD)</f>
        <v>0</v>
      </c>
      <c r="D9" s="712">
        <f>SUMIFS(Sheet1!S71_PPYearAmount,Sheet1!S71_SA34cCode,$AC:$AC,Sheet1!S71_RepMaintCode,$AD:$AD)</f>
        <v>1163601</v>
      </c>
      <c r="E9" s="715">
        <f>SUMIFS(Sheet1!S71_PYearAmount,Sheet1!S71_SA34cCode,$AC:$AC,Sheet1!S71_RepMaintCode,$AD:$AD)</f>
        <v>1568075</v>
      </c>
      <c r="F9" s="725">
        <f>SUMIFS(Sheet1!S71_OriginalBudAmnt,Sheet1!S71_SA34cCode,$AC:$AC,Sheet1!S71_RepMaintCode,$AD:$AD)</f>
        <v>2000000</v>
      </c>
      <c r="G9" s="712">
        <f>SUMIFS(Sheet1!S71_AdjustmentBudAmnt,Sheet1!S71_SA34cCode,$AC:$AC,Sheet1!S71_RepMaintCode,$AD:$AD)</f>
        <v>3282733</v>
      </c>
      <c r="H9" s="713">
        <f>SUMIFS(Sheet1!S71_AdjustmentBudAmnt,Sheet1!S71_SA34cCode,$AC:$AC,Sheet1!S71_RepMaintCode,$AD:$AD)</f>
        <v>3282733</v>
      </c>
      <c r="I9" s="725">
        <f>SUMIFS(Sheet1!S71_ASBudgetAmount,Sheet1!S71_SA34cCode,$AC:$AC,Sheet1!S71_RepMaintCode,$AD:$AD)</f>
        <v>9800000</v>
      </c>
      <c r="J9" s="712">
        <f>SUMIFS(Sheet1!S71_OY1BudgetAmount,Sheet1!S71_SA34cCode,$AC:$AC,Sheet1!S71_RepMaintCode,$AD:$AD)</f>
        <v>10192000</v>
      </c>
      <c r="K9" s="713">
        <f>SUMIFS(Sheet1!S71_OY2BudgetAmount,Sheet1!S71_SA34cCode,$AC:$AC,Sheet1!S71_RepMaintCode,$AD:$AD)</f>
        <v>10599680</v>
      </c>
      <c r="L9" s="2126"/>
      <c r="AA9" s="2382"/>
      <c r="AB9" s="2369"/>
      <c r="AC9" s="2365" t="s">
        <v>2774</v>
      </c>
      <c r="AD9" s="2365" t="s">
        <v>2820</v>
      </c>
      <c r="AE9" s="2369" cm="1">
        <f t="array" ref="AE9">SUMIFS(Sheet1!S71_PreAuditActual,Sheet1!S71_SA34cCode,_xlfn.SINGLE($AC:$AC),Sheet1!S71_RepMaintCode,_xlfn.SINGLE($AD:$AD))</f>
        <v>2383366</v>
      </c>
    </row>
    <row r="10" spans="1:31" s="377" customFormat="1" ht="13.15" customHeight="1" x14ac:dyDescent="0.25">
      <c r="A10" s="2125" t="s">
        <v>2232</v>
      </c>
      <c r="B10" s="144"/>
      <c r="C10" s="712">
        <f>SUMIFS(Sheet1!S71_PPPYearAmount,Sheet1!S71_SA34cCode,$AC:$AC,Sheet1!S71_RepMaintCode,$AD:$AD)</f>
        <v>0</v>
      </c>
      <c r="D10" s="712">
        <f>SUMIFS(Sheet1!S71_PPYearAmount,Sheet1!S71_SA34cCode,$AC:$AC,Sheet1!S71_RepMaintCode,$AD:$AD)</f>
        <v>0</v>
      </c>
      <c r="E10" s="715">
        <f>SUMIFS(Sheet1!S71_PYearAmount,Sheet1!S71_SA34cCode,$AC:$AC,Sheet1!S71_RepMaintCode,$AD:$AD)</f>
        <v>0</v>
      </c>
      <c r="F10" s="725">
        <f>SUMIFS(Sheet1!S71_OriginalBudAmnt,Sheet1!S71_SA34cCode,$AC:$AC,Sheet1!S71_RepMaintCode,$AD:$AD)</f>
        <v>0</v>
      </c>
      <c r="G10" s="712">
        <f>SUMIFS(Sheet1!S71_AdjustmentBudAmnt,Sheet1!S71_SA34cCode,$AC:$AC,Sheet1!S71_RepMaintCode,$AD:$AD)</f>
        <v>0</v>
      </c>
      <c r="H10" s="713">
        <f>SUMIFS(Sheet1!S71_AdjustmentBudAmnt,Sheet1!S71_SA34cCode,$AC:$AC,Sheet1!S71_RepMaintCode,$AD:$AD)</f>
        <v>0</v>
      </c>
      <c r="I10" s="725">
        <f>SUMIFS(Sheet1!S71_ASBudgetAmount,Sheet1!S71_SA34cCode,$AC:$AC,Sheet1!S71_RepMaintCode,$AD:$AD)</f>
        <v>0</v>
      </c>
      <c r="J10" s="712">
        <f>SUMIFS(Sheet1!S71_OY1BudgetAmount,Sheet1!S71_SA34cCode,$AC:$AC,Sheet1!S71_RepMaintCode,$AD:$AD)</f>
        <v>0</v>
      </c>
      <c r="K10" s="713">
        <f>SUMIFS(Sheet1!S71_OY2BudgetAmount,Sheet1!S71_SA34cCode,$AC:$AC,Sheet1!S71_RepMaintCode,$AD:$AD)</f>
        <v>0</v>
      </c>
      <c r="L10" s="2126"/>
      <c r="AA10" s="2382"/>
      <c r="AB10" s="2369"/>
      <c r="AC10" s="2365" t="s">
        <v>2775</v>
      </c>
      <c r="AD10" s="2365" t="s">
        <v>2820</v>
      </c>
      <c r="AE10" s="2369" cm="1">
        <f t="array" ref="AE10">SUMIFS(Sheet1!S71_PreAuditActual,Sheet1!S71_SA34cCode,_xlfn.SINGLE($AC:$AC),Sheet1!S71_RepMaintCode,_xlfn.SINGLE($AD:$AD))</f>
        <v>0</v>
      </c>
    </row>
    <row r="11" spans="1:31" s="377" customFormat="1" ht="13.15" customHeight="1" x14ac:dyDescent="0.25">
      <c r="A11" s="2125" t="s">
        <v>2233</v>
      </c>
      <c r="B11" s="144"/>
      <c r="C11" s="712">
        <f>SUMIFS(Sheet1!S71_PPPYearAmount,Sheet1!S71_SA34cCode,$AC:$AC,Sheet1!S71_RepMaintCode,$AD:$AD)</f>
        <v>0</v>
      </c>
      <c r="D11" s="712">
        <f>SUMIFS(Sheet1!S71_PPYearAmount,Sheet1!S71_SA34cCode,$AC:$AC,Sheet1!S71_RepMaintCode,$AD:$AD)</f>
        <v>0</v>
      </c>
      <c r="E11" s="715">
        <f>SUMIFS(Sheet1!S71_PYearAmount,Sheet1!S71_SA34cCode,$AC:$AC,Sheet1!S71_RepMaintCode,$AD:$AD)</f>
        <v>0</v>
      </c>
      <c r="F11" s="725">
        <f>SUMIFS(Sheet1!S71_OriginalBudAmnt,Sheet1!S71_SA34cCode,$AC:$AC,Sheet1!S71_RepMaintCode,$AD:$AD)</f>
        <v>0</v>
      </c>
      <c r="G11" s="712">
        <f>SUMIFS(Sheet1!S71_AdjustmentBudAmnt,Sheet1!S71_SA34cCode,$AC:$AC,Sheet1!S71_RepMaintCode,$AD:$AD)</f>
        <v>0</v>
      </c>
      <c r="H11" s="713">
        <f>SUMIFS(Sheet1!S71_AdjustmentBudAmnt,Sheet1!S71_SA34cCode,$AC:$AC,Sheet1!S71_RepMaintCode,$AD:$AD)</f>
        <v>0</v>
      </c>
      <c r="I11" s="725">
        <f>SUMIFS(Sheet1!S71_ASBudgetAmount,Sheet1!S71_SA34cCode,$AC:$AC,Sheet1!S71_RepMaintCode,$AD:$AD)</f>
        <v>0</v>
      </c>
      <c r="J11" s="712">
        <f>SUMIFS(Sheet1!S71_OY1BudgetAmount,Sheet1!S71_SA34cCode,$AC:$AC,Sheet1!S71_RepMaintCode,$AD:$AD)</f>
        <v>0</v>
      </c>
      <c r="K11" s="713">
        <f>SUMIFS(Sheet1!S71_OY2BudgetAmount,Sheet1!S71_SA34cCode,$AC:$AC,Sheet1!S71_RepMaintCode,$AD:$AD)</f>
        <v>0</v>
      </c>
      <c r="L11" s="2126"/>
      <c r="AA11" s="2382"/>
      <c r="AB11" s="2369"/>
      <c r="AC11" s="2365" t="s">
        <v>2776</v>
      </c>
      <c r="AD11" s="2365" t="s">
        <v>2820</v>
      </c>
      <c r="AE11" s="2369" cm="1">
        <f t="array" ref="AE11">SUMIFS(Sheet1!S71_PreAuditActual,Sheet1!S71_SA34cCode,_xlfn.SINGLE($AC:$AC),Sheet1!S71_RepMaintCode,_xlfn.SINGLE($AD:$AD))</f>
        <v>0</v>
      </c>
    </row>
    <row r="12" spans="1:31" s="377" customFormat="1" ht="13.15" customHeight="1" x14ac:dyDescent="0.25">
      <c r="A12" s="104" t="s">
        <v>2234</v>
      </c>
      <c r="B12" s="144"/>
      <c r="C12" s="71">
        <f>SUM(C13:C15)</f>
        <v>0</v>
      </c>
      <c r="D12" s="71">
        <f t="shared" ref="D12:K12" si="2">SUM(D13:D15)</f>
        <v>0</v>
      </c>
      <c r="E12" s="305">
        <f t="shared" si="2"/>
        <v>0</v>
      </c>
      <c r="F12" s="75">
        <f t="shared" si="2"/>
        <v>0</v>
      </c>
      <c r="G12" s="71">
        <f t="shared" si="2"/>
        <v>0</v>
      </c>
      <c r="H12" s="117">
        <f t="shared" si="2"/>
        <v>0</v>
      </c>
      <c r="I12" s="75">
        <f t="shared" si="2"/>
        <v>0</v>
      </c>
      <c r="J12" s="71">
        <f t="shared" si="2"/>
        <v>0</v>
      </c>
      <c r="K12" s="117">
        <f t="shared" si="2"/>
        <v>0</v>
      </c>
      <c r="L12" s="2126"/>
      <c r="AA12" s="2382"/>
      <c r="AB12" s="2369"/>
      <c r="AC12" s="2365"/>
      <c r="AD12" s="2365" t="s">
        <v>2820</v>
      </c>
      <c r="AE12" s="2369" cm="1">
        <f t="array" ref="AE12">SUMIFS(Sheet1!S71_PreAuditActual,Sheet1!S71_SA34cCode,_xlfn.SINGLE($AC:$AC),Sheet1!S71_RepMaintCode,_xlfn.SINGLE($AD:$AD))</f>
        <v>0</v>
      </c>
    </row>
    <row r="13" spans="1:31" s="377" customFormat="1" ht="13.15" customHeight="1" x14ac:dyDescent="0.25">
      <c r="A13" s="2125" t="s">
        <v>2235</v>
      </c>
      <c r="B13" s="144"/>
      <c r="C13" s="712">
        <f>SUMIFS(Sheet1!S71_PPPYearAmount,Sheet1!S71_SA34cCode,$AC:$AC,Sheet1!S71_RepMaintCode,$AD:$AD)</f>
        <v>0</v>
      </c>
      <c r="D13" s="712">
        <f>SUMIFS(Sheet1!S71_PPYearAmount,Sheet1!S71_SA34cCode,$AC:$AC,Sheet1!S71_RepMaintCode,$AD:$AD)</f>
        <v>0</v>
      </c>
      <c r="E13" s="715">
        <f>SUMIFS(Sheet1!S71_PYearAmount,Sheet1!S71_SA34cCode,$AC:$AC,Sheet1!S71_RepMaintCode,$AD:$AD)</f>
        <v>0</v>
      </c>
      <c r="F13" s="725">
        <f>SUMIFS(Sheet1!S71_OriginalBudAmnt,Sheet1!S71_SA34cCode,$AC:$AC,Sheet1!S71_RepMaintCode,$AD:$AD)</f>
        <v>0</v>
      </c>
      <c r="G13" s="712">
        <f>SUMIFS(Sheet1!S71_AdjustmentBudAmnt,Sheet1!S71_SA34cCode,$AC:$AC,Sheet1!S71_RepMaintCode,$AD:$AD)</f>
        <v>0</v>
      </c>
      <c r="H13" s="713">
        <f>SUMIFS(Sheet1!S71_AdjustmentBudAmnt,Sheet1!S71_SA34cCode,$AC:$AC,Sheet1!S71_RepMaintCode,$AD:$AD)</f>
        <v>0</v>
      </c>
      <c r="I13" s="725">
        <f>SUMIFS(Sheet1!S71_ASBudgetAmount,Sheet1!S71_SA34cCode,$AC:$AC,Sheet1!S71_RepMaintCode,$AD:$AD)</f>
        <v>0</v>
      </c>
      <c r="J13" s="712">
        <f>SUMIFS(Sheet1!S71_OY1BudgetAmount,Sheet1!S71_SA34cCode,$AC:$AC,Sheet1!S71_RepMaintCode,$AD:$AD)</f>
        <v>0</v>
      </c>
      <c r="K13" s="713">
        <f>SUMIFS(Sheet1!S71_OY2BudgetAmount,Sheet1!S71_SA34cCode,$AC:$AC,Sheet1!S71_RepMaintCode,$AD:$AD)</f>
        <v>0</v>
      </c>
      <c r="L13" s="2126"/>
      <c r="AA13" s="2382"/>
      <c r="AB13" s="2369"/>
      <c r="AC13" s="2365" t="s">
        <v>2778</v>
      </c>
      <c r="AD13" s="2365" t="s">
        <v>2820</v>
      </c>
      <c r="AE13" s="2369" cm="1">
        <f t="array" ref="AE13">SUMIFS(Sheet1!S71_PreAuditActual,Sheet1!S71_SA34cCode,_xlfn.SINGLE($AC:$AC),Sheet1!S71_RepMaintCode,_xlfn.SINGLE($AD:$AD))</f>
        <v>0</v>
      </c>
    </row>
    <row r="14" spans="1:31" s="377" customFormat="1" ht="13.15" customHeight="1" x14ac:dyDescent="0.25">
      <c r="A14" s="2125" t="s">
        <v>2236</v>
      </c>
      <c r="B14" s="144"/>
      <c r="C14" s="712">
        <f>SUMIFS(Sheet1!S71_PPPYearAmount,Sheet1!S71_SA34cCode,$AC:$AC,Sheet1!S71_RepMaintCode,$AD:$AD)</f>
        <v>0</v>
      </c>
      <c r="D14" s="712">
        <f>SUMIFS(Sheet1!S71_PPYearAmount,Sheet1!S71_SA34cCode,$AC:$AC,Sheet1!S71_RepMaintCode,$AD:$AD)</f>
        <v>0</v>
      </c>
      <c r="E14" s="715">
        <f>SUMIFS(Sheet1!S71_PYearAmount,Sheet1!S71_SA34cCode,$AC:$AC,Sheet1!S71_RepMaintCode,$AD:$AD)</f>
        <v>0</v>
      </c>
      <c r="F14" s="725">
        <f>SUMIFS(Sheet1!S71_OriginalBudAmnt,Sheet1!S71_SA34cCode,$AC:$AC,Sheet1!S71_RepMaintCode,$AD:$AD)</f>
        <v>0</v>
      </c>
      <c r="G14" s="712">
        <f>SUMIFS(Sheet1!S71_AdjustmentBudAmnt,Sheet1!S71_SA34cCode,$AC:$AC,Sheet1!S71_RepMaintCode,$AD:$AD)</f>
        <v>0</v>
      </c>
      <c r="H14" s="713">
        <f>SUMIFS(Sheet1!S71_AdjustmentBudAmnt,Sheet1!S71_SA34cCode,$AC:$AC,Sheet1!S71_RepMaintCode,$AD:$AD)</f>
        <v>0</v>
      </c>
      <c r="I14" s="725">
        <f>SUMIFS(Sheet1!S71_ASBudgetAmount,Sheet1!S71_SA34cCode,$AC:$AC,Sheet1!S71_RepMaintCode,$AD:$AD)</f>
        <v>0</v>
      </c>
      <c r="J14" s="712">
        <f>SUMIFS(Sheet1!S71_OY1BudgetAmount,Sheet1!S71_SA34cCode,$AC:$AC,Sheet1!S71_RepMaintCode,$AD:$AD)</f>
        <v>0</v>
      </c>
      <c r="K14" s="713">
        <f>SUMIFS(Sheet1!S71_OY2BudgetAmount,Sheet1!S71_SA34cCode,$AC:$AC,Sheet1!S71_RepMaintCode,$AD:$AD)</f>
        <v>0</v>
      </c>
      <c r="L14" s="2126"/>
      <c r="AA14" s="2382"/>
      <c r="AB14" s="2369"/>
      <c r="AC14" s="2365" t="s">
        <v>2830</v>
      </c>
      <c r="AD14" s="2365" t="s">
        <v>2820</v>
      </c>
      <c r="AE14" s="2369" cm="1">
        <f t="array" ref="AE14">SUMIFS(Sheet1!S71_PreAuditActual,Sheet1!S71_SA34cCode,_xlfn.SINGLE($AC:$AC),Sheet1!S71_RepMaintCode,_xlfn.SINGLE($AD:$AD))</f>
        <v>0</v>
      </c>
    </row>
    <row r="15" spans="1:31" s="377" customFormat="1" ht="13.15" customHeight="1" x14ac:dyDescent="0.25">
      <c r="A15" s="2125" t="s">
        <v>2237</v>
      </c>
      <c r="B15" s="144"/>
      <c r="C15" s="712">
        <f>SUMIFS(Sheet1!S71_PPPYearAmount,Sheet1!S71_SA34cCode,$AC:$AC,Sheet1!S71_RepMaintCode,$AD:$AD)</f>
        <v>0</v>
      </c>
      <c r="D15" s="712">
        <f>SUMIFS(Sheet1!S71_PPYearAmount,Sheet1!S71_SA34cCode,$AC:$AC,Sheet1!S71_RepMaintCode,$AD:$AD)</f>
        <v>0</v>
      </c>
      <c r="E15" s="715">
        <f>SUMIFS(Sheet1!S71_PYearAmount,Sheet1!S71_SA34cCode,$AC:$AC,Sheet1!S71_RepMaintCode,$AD:$AD)</f>
        <v>0</v>
      </c>
      <c r="F15" s="725">
        <f>SUMIFS(Sheet1!S71_OriginalBudAmnt,Sheet1!S71_SA34cCode,$AC:$AC,Sheet1!S71_RepMaintCode,$AD:$AD)</f>
        <v>0</v>
      </c>
      <c r="G15" s="712">
        <f>SUMIFS(Sheet1!S71_AdjustmentBudAmnt,Sheet1!S71_SA34cCode,$AC:$AC,Sheet1!S71_RepMaintCode,$AD:$AD)</f>
        <v>0</v>
      </c>
      <c r="H15" s="713">
        <f>SUMIFS(Sheet1!S71_AdjustmentBudAmnt,Sheet1!S71_SA34cCode,$AC:$AC,Sheet1!S71_RepMaintCode,$AD:$AD)</f>
        <v>0</v>
      </c>
      <c r="I15" s="725">
        <f>SUMIFS(Sheet1!S71_ASBudgetAmount,Sheet1!S71_SA34cCode,$AC:$AC,Sheet1!S71_RepMaintCode,$AD:$AD)</f>
        <v>0</v>
      </c>
      <c r="J15" s="712">
        <f>SUMIFS(Sheet1!S71_OY1BudgetAmount,Sheet1!S71_SA34cCode,$AC:$AC,Sheet1!S71_RepMaintCode,$AD:$AD)</f>
        <v>0</v>
      </c>
      <c r="K15" s="713">
        <f>SUMIFS(Sheet1!S71_OY2BudgetAmount,Sheet1!S71_SA34cCode,$AC:$AC,Sheet1!S71_RepMaintCode,$AD:$AD)</f>
        <v>0</v>
      </c>
      <c r="L15" s="2126"/>
      <c r="AA15" s="2382"/>
      <c r="AB15" s="2369"/>
      <c r="AC15" s="2365" t="s">
        <v>2831</v>
      </c>
      <c r="AD15" s="2365" t="s">
        <v>2820</v>
      </c>
      <c r="AE15" s="2369" cm="1">
        <f t="array" ref="AE15">SUMIFS(Sheet1!S71_PreAuditActual,Sheet1!S71_SA34cCode,_xlfn.SINGLE($AC:$AC),Sheet1!S71_RepMaintCode,_xlfn.SINGLE($AD:$AD))</f>
        <v>0</v>
      </c>
    </row>
    <row r="16" spans="1:31" s="377" customFormat="1" ht="13.15" customHeight="1" x14ac:dyDescent="0.25">
      <c r="A16" s="104" t="s">
        <v>2279</v>
      </c>
      <c r="B16" s="144"/>
      <c r="C16" s="71">
        <f t="shared" ref="C16:K16" si="3">SUM(C17:C25)</f>
        <v>0</v>
      </c>
      <c r="D16" s="71">
        <f t="shared" si="3"/>
        <v>0</v>
      </c>
      <c r="E16" s="305">
        <f t="shared" si="3"/>
        <v>0</v>
      </c>
      <c r="F16" s="75">
        <f t="shared" si="3"/>
        <v>0</v>
      </c>
      <c r="G16" s="71">
        <f t="shared" si="3"/>
        <v>0</v>
      </c>
      <c r="H16" s="117">
        <f t="shared" si="3"/>
        <v>0</v>
      </c>
      <c r="I16" s="75">
        <f t="shared" si="3"/>
        <v>0</v>
      </c>
      <c r="J16" s="71">
        <f t="shared" si="3"/>
        <v>0</v>
      </c>
      <c r="K16" s="117">
        <f t="shared" si="3"/>
        <v>0</v>
      </c>
      <c r="L16" s="2126"/>
      <c r="AA16" s="2382"/>
      <c r="AB16" s="2369"/>
      <c r="AC16" s="2365"/>
      <c r="AD16" s="2365" t="s">
        <v>2820</v>
      </c>
      <c r="AE16" s="2369" cm="1">
        <f t="array" ref="AE16">SUMIFS(Sheet1!S71_PreAuditActual,Sheet1!S71_SA34cCode,_xlfn.SINGLE($AC:$AC),Sheet1!S71_RepMaintCode,_xlfn.SINGLE($AD:$AD))</f>
        <v>0</v>
      </c>
    </row>
    <row r="17" spans="1:31" s="377" customFormat="1" ht="13.15" customHeight="1" x14ac:dyDescent="0.25">
      <c r="A17" s="2125" t="s">
        <v>2238</v>
      </c>
      <c r="B17" s="144"/>
      <c r="C17" s="712">
        <f>SUMIFS(Sheet1!S71_PPPYearAmount,Sheet1!S71_SA34cCode,$AC:$AC,Sheet1!S71_RepMaintCode,$AD:$AD)</f>
        <v>0</v>
      </c>
      <c r="D17" s="712">
        <f>SUMIFS(Sheet1!S71_PPYearAmount,Sheet1!S71_SA34cCode,$AC:$AC,Sheet1!S71_RepMaintCode,$AD:$AD)</f>
        <v>0</v>
      </c>
      <c r="E17" s="715">
        <f>SUMIFS(Sheet1!S71_PYearAmount,Sheet1!S71_SA34cCode,$AC:$AC,Sheet1!S71_RepMaintCode,$AD:$AD)</f>
        <v>0</v>
      </c>
      <c r="F17" s="725">
        <f>SUMIFS(Sheet1!S71_OriginalBudAmnt,Sheet1!S71_SA34cCode,$AC:$AC,Sheet1!S71_RepMaintCode,$AD:$AD)</f>
        <v>0</v>
      </c>
      <c r="G17" s="712">
        <f>SUMIFS(Sheet1!S71_AdjustmentBudAmnt,Sheet1!S71_SA34cCode,$AC:$AC,Sheet1!S71_RepMaintCode,$AD:$AD)</f>
        <v>0</v>
      </c>
      <c r="H17" s="713">
        <f>SUMIFS(Sheet1!S71_AdjustmentBudAmnt,Sheet1!S71_SA34cCode,$AC:$AC,Sheet1!S71_RepMaintCode,$AD:$AD)</f>
        <v>0</v>
      </c>
      <c r="I17" s="725">
        <f>SUMIFS(Sheet1!S71_ASBudgetAmount,Sheet1!S71_SA34cCode,$AC:$AC,Sheet1!S71_RepMaintCode,$AD:$AD)</f>
        <v>0</v>
      </c>
      <c r="J17" s="712">
        <f>SUMIFS(Sheet1!S71_OY1BudgetAmount,Sheet1!S71_SA34cCode,$AC:$AC,Sheet1!S71_RepMaintCode,$AD:$AD)</f>
        <v>0</v>
      </c>
      <c r="K17" s="713">
        <f>SUMIFS(Sheet1!S71_OY2BudgetAmount,Sheet1!S71_SA34cCode,$AC:$AC,Sheet1!S71_RepMaintCode,$AD:$AD)</f>
        <v>0</v>
      </c>
      <c r="L17" s="2126"/>
      <c r="AA17" s="2382"/>
      <c r="AB17" s="2369"/>
      <c r="AC17" s="2365" t="s">
        <v>2767</v>
      </c>
      <c r="AD17" s="2365" t="s">
        <v>2820</v>
      </c>
      <c r="AE17" s="2369" cm="1">
        <f t="array" ref="AE17">SUMIFS(Sheet1!S71_PreAuditActual,Sheet1!S71_SA34cCode,_xlfn.SINGLE($AC:$AC),Sheet1!S71_RepMaintCode,_xlfn.SINGLE($AD:$AD))</f>
        <v>0</v>
      </c>
    </row>
    <row r="18" spans="1:31" s="377" customFormat="1" ht="13.15" customHeight="1" x14ac:dyDescent="0.25">
      <c r="A18" s="2125" t="s">
        <v>2239</v>
      </c>
      <c r="B18" s="144"/>
      <c r="C18" s="712">
        <f>SUMIFS(Sheet1!S71_PPPYearAmount,Sheet1!S71_SA34cCode,$AC:$AC,Sheet1!S71_RepMaintCode,$AD:$AD)</f>
        <v>0</v>
      </c>
      <c r="D18" s="712">
        <f>SUMIFS(Sheet1!S71_PPYearAmount,Sheet1!S71_SA34cCode,$AC:$AC,Sheet1!S71_RepMaintCode,$AD:$AD)</f>
        <v>0</v>
      </c>
      <c r="E18" s="715">
        <f>SUMIFS(Sheet1!S71_PYearAmount,Sheet1!S71_SA34cCode,$AC:$AC,Sheet1!S71_RepMaintCode,$AD:$AD)</f>
        <v>0</v>
      </c>
      <c r="F18" s="725">
        <f>SUMIFS(Sheet1!S71_OriginalBudAmnt,Sheet1!S71_SA34cCode,$AC:$AC,Sheet1!S71_RepMaintCode,$AD:$AD)</f>
        <v>0</v>
      </c>
      <c r="G18" s="712">
        <f>SUMIFS(Sheet1!S71_AdjustmentBudAmnt,Sheet1!S71_SA34cCode,$AC:$AC,Sheet1!S71_RepMaintCode,$AD:$AD)</f>
        <v>0</v>
      </c>
      <c r="H18" s="713">
        <f>SUMIFS(Sheet1!S71_AdjustmentBudAmnt,Sheet1!S71_SA34cCode,$AC:$AC,Sheet1!S71_RepMaintCode,$AD:$AD)</f>
        <v>0</v>
      </c>
      <c r="I18" s="725">
        <f>SUMIFS(Sheet1!S71_ASBudgetAmount,Sheet1!S71_SA34cCode,$AC:$AC,Sheet1!S71_RepMaintCode,$AD:$AD)</f>
        <v>0</v>
      </c>
      <c r="J18" s="712">
        <f>SUMIFS(Sheet1!S71_OY1BudgetAmount,Sheet1!S71_SA34cCode,$AC:$AC,Sheet1!S71_RepMaintCode,$AD:$AD)</f>
        <v>0</v>
      </c>
      <c r="K18" s="713">
        <f>SUMIFS(Sheet1!S71_OY2BudgetAmount,Sheet1!S71_SA34cCode,$AC:$AC,Sheet1!S71_RepMaintCode,$AD:$AD)</f>
        <v>0</v>
      </c>
      <c r="L18" s="2126"/>
      <c r="AA18" s="2382"/>
      <c r="AB18" s="2369"/>
      <c r="AC18" s="2365" t="s">
        <v>2768</v>
      </c>
      <c r="AD18" s="2365" t="s">
        <v>2820</v>
      </c>
      <c r="AE18" s="2369" cm="1">
        <f t="array" ref="AE18">SUMIFS(Sheet1!S71_PreAuditActual,Sheet1!S71_SA34cCode,_xlfn.SINGLE($AC:$AC),Sheet1!S71_RepMaintCode,_xlfn.SINGLE($AD:$AD))</f>
        <v>0</v>
      </c>
    </row>
    <row r="19" spans="1:31" s="377" customFormat="1" ht="13.15" customHeight="1" x14ac:dyDescent="0.25">
      <c r="A19" s="2125" t="s">
        <v>2240</v>
      </c>
      <c r="B19" s="144"/>
      <c r="C19" s="712">
        <f>SUMIFS(Sheet1!S71_PPPYearAmount,Sheet1!S71_SA34cCode,$AC:$AC,Sheet1!S71_RepMaintCode,$AD:$AD)</f>
        <v>0</v>
      </c>
      <c r="D19" s="712">
        <f>SUMIFS(Sheet1!S71_PPYearAmount,Sheet1!S71_SA34cCode,$AC:$AC,Sheet1!S71_RepMaintCode,$AD:$AD)</f>
        <v>0</v>
      </c>
      <c r="E19" s="715">
        <f>SUMIFS(Sheet1!S71_PYearAmount,Sheet1!S71_SA34cCode,$AC:$AC,Sheet1!S71_RepMaintCode,$AD:$AD)</f>
        <v>0</v>
      </c>
      <c r="F19" s="725">
        <f>SUMIFS(Sheet1!S71_OriginalBudAmnt,Sheet1!S71_SA34cCode,$AC:$AC,Sheet1!S71_RepMaintCode,$AD:$AD)</f>
        <v>0</v>
      </c>
      <c r="G19" s="712">
        <f>SUMIFS(Sheet1!S71_AdjustmentBudAmnt,Sheet1!S71_SA34cCode,$AC:$AC,Sheet1!S71_RepMaintCode,$AD:$AD)</f>
        <v>0</v>
      </c>
      <c r="H19" s="713">
        <f>SUMIFS(Sheet1!S71_AdjustmentBudAmnt,Sheet1!S71_SA34cCode,$AC:$AC,Sheet1!S71_RepMaintCode,$AD:$AD)</f>
        <v>0</v>
      </c>
      <c r="I19" s="725">
        <f>SUMIFS(Sheet1!S71_ASBudgetAmount,Sheet1!S71_SA34cCode,$AC:$AC,Sheet1!S71_RepMaintCode,$AD:$AD)</f>
        <v>0</v>
      </c>
      <c r="J19" s="712">
        <f>SUMIFS(Sheet1!S71_OY1BudgetAmount,Sheet1!S71_SA34cCode,$AC:$AC,Sheet1!S71_RepMaintCode,$AD:$AD)</f>
        <v>0</v>
      </c>
      <c r="K19" s="713">
        <f>SUMIFS(Sheet1!S71_OY2BudgetAmount,Sheet1!S71_SA34cCode,$AC:$AC,Sheet1!S71_RepMaintCode,$AD:$AD)</f>
        <v>0</v>
      </c>
      <c r="L19" s="2126"/>
      <c r="AA19" s="2382"/>
      <c r="AB19" s="2369"/>
      <c r="AC19" s="2365" t="s">
        <v>2779</v>
      </c>
      <c r="AD19" s="2365" t="s">
        <v>2820</v>
      </c>
      <c r="AE19" s="2369" cm="1">
        <f t="array" ref="AE19">SUMIFS(Sheet1!S71_PreAuditActual,Sheet1!S71_SA34cCode,_xlfn.SINGLE($AC:$AC),Sheet1!S71_RepMaintCode,_xlfn.SINGLE($AD:$AD))</f>
        <v>0</v>
      </c>
    </row>
    <row r="20" spans="1:31" s="377" customFormat="1" ht="13.15" customHeight="1" x14ac:dyDescent="0.25">
      <c r="A20" s="2125" t="s">
        <v>2241</v>
      </c>
      <c r="B20" s="144"/>
      <c r="C20" s="712">
        <f>SUMIFS(Sheet1!S71_PPPYearAmount,Sheet1!S71_SA34cCode,$AC:$AC,Sheet1!S71_RepMaintCode,$AD:$AD)</f>
        <v>0</v>
      </c>
      <c r="D20" s="712">
        <f>SUMIFS(Sheet1!S71_PPYearAmount,Sheet1!S71_SA34cCode,$AC:$AC,Sheet1!S71_RepMaintCode,$AD:$AD)</f>
        <v>0</v>
      </c>
      <c r="E20" s="715">
        <f>SUMIFS(Sheet1!S71_PYearAmount,Sheet1!S71_SA34cCode,$AC:$AC,Sheet1!S71_RepMaintCode,$AD:$AD)</f>
        <v>0</v>
      </c>
      <c r="F20" s="725">
        <f>SUMIFS(Sheet1!S71_OriginalBudAmnt,Sheet1!S71_SA34cCode,$AC:$AC,Sheet1!S71_RepMaintCode,$AD:$AD)</f>
        <v>0</v>
      </c>
      <c r="G20" s="712">
        <f>SUMIFS(Sheet1!S71_AdjustmentBudAmnt,Sheet1!S71_SA34cCode,$AC:$AC,Sheet1!S71_RepMaintCode,$AD:$AD)</f>
        <v>0</v>
      </c>
      <c r="H20" s="713">
        <f>SUMIFS(Sheet1!S71_AdjustmentBudAmnt,Sheet1!S71_SA34cCode,$AC:$AC,Sheet1!S71_RepMaintCode,$AD:$AD)</f>
        <v>0</v>
      </c>
      <c r="I20" s="725">
        <f>SUMIFS(Sheet1!S71_ASBudgetAmount,Sheet1!S71_SA34cCode,$AC:$AC,Sheet1!S71_RepMaintCode,$AD:$AD)</f>
        <v>0</v>
      </c>
      <c r="J20" s="712">
        <f>SUMIFS(Sheet1!S71_OY1BudgetAmount,Sheet1!S71_SA34cCode,$AC:$AC,Sheet1!S71_RepMaintCode,$AD:$AD)</f>
        <v>0</v>
      </c>
      <c r="K20" s="713">
        <f>SUMIFS(Sheet1!S71_OY2BudgetAmount,Sheet1!S71_SA34cCode,$AC:$AC,Sheet1!S71_RepMaintCode,$AD:$AD)</f>
        <v>0</v>
      </c>
      <c r="L20" s="2126"/>
      <c r="AA20" s="2382"/>
      <c r="AB20" s="2369"/>
      <c r="AC20" s="2365" t="s">
        <v>2780</v>
      </c>
      <c r="AD20" s="2365" t="s">
        <v>2820</v>
      </c>
      <c r="AE20" s="2369" cm="1">
        <f t="array" ref="AE20">SUMIFS(Sheet1!S71_PreAuditActual,Sheet1!S71_SA34cCode,_xlfn.SINGLE($AC:$AC),Sheet1!S71_RepMaintCode,_xlfn.SINGLE($AD:$AD))</f>
        <v>0</v>
      </c>
    </row>
    <row r="21" spans="1:31" s="377" customFormat="1" ht="13.15" customHeight="1" x14ac:dyDescent="0.25">
      <c r="A21" s="2125" t="s">
        <v>2242</v>
      </c>
      <c r="B21" s="144"/>
      <c r="C21" s="712">
        <f>SUMIFS(Sheet1!S71_PPPYearAmount,Sheet1!S71_SA34cCode,$AC:$AC,Sheet1!S71_RepMaintCode,$AD:$AD)</f>
        <v>0</v>
      </c>
      <c r="D21" s="712">
        <f>SUMIFS(Sheet1!S71_PPYearAmount,Sheet1!S71_SA34cCode,$AC:$AC,Sheet1!S71_RepMaintCode,$AD:$AD)</f>
        <v>0</v>
      </c>
      <c r="E21" s="715">
        <f>SUMIFS(Sheet1!S71_PYearAmount,Sheet1!S71_SA34cCode,$AC:$AC,Sheet1!S71_RepMaintCode,$AD:$AD)</f>
        <v>0</v>
      </c>
      <c r="F21" s="725">
        <f>SUMIFS(Sheet1!S71_OriginalBudAmnt,Sheet1!S71_SA34cCode,$AC:$AC,Sheet1!S71_RepMaintCode,$AD:$AD)</f>
        <v>0</v>
      </c>
      <c r="G21" s="712">
        <f>SUMIFS(Sheet1!S71_AdjustmentBudAmnt,Sheet1!S71_SA34cCode,$AC:$AC,Sheet1!S71_RepMaintCode,$AD:$AD)</f>
        <v>0</v>
      </c>
      <c r="H21" s="713">
        <f>SUMIFS(Sheet1!S71_AdjustmentBudAmnt,Sheet1!S71_SA34cCode,$AC:$AC,Sheet1!S71_RepMaintCode,$AD:$AD)</f>
        <v>0</v>
      </c>
      <c r="I21" s="725">
        <f>SUMIFS(Sheet1!S71_ASBudgetAmount,Sheet1!S71_SA34cCode,$AC:$AC,Sheet1!S71_RepMaintCode,$AD:$AD)</f>
        <v>0</v>
      </c>
      <c r="J21" s="712">
        <f>SUMIFS(Sheet1!S71_OY1BudgetAmount,Sheet1!S71_SA34cCode,$AC:$AC,Sheet1!S71_RepMaintCode,$AD:$AD)</f>
        <v>0</v>
      </c>
      <c r="K21" s="713">
        <f>SUMIFS(Sheet1!S71_OY2BudgetAmount,Sheet1!S71_SA34cCode,$AC:$AC,Sheet1!S71_RepMaintCode,$AD:$AD)</f>
        <v>0</v>
      </c>
      <c r="L21" s="2126"/>
      <c r="AA21" s="2382"/>
      <c r="AB21" s="2369"/>
      <c r="AC21" s="2365" t="s">
        <v>2832</v>
      </c>
      <c r="AD21" s="2365" t="s">
        <v>2820</v>
      </c>
      <c r="AE21" s="2369" cm="1">
        <f t="array" ref="AE21">SUMIFS(Sheet1!S71_PreAuditActual,Sheet1!S71_SA34cCode,_xlfn.SINGLE($AC:$AC),Sheet1!S71_RepMaintCode,_xlfn.SINGLE($AD:$AD))</f>
        <v>0</v>
      </c>
    </row>
    <row r="22" spans="1:31" s="377" customFormat="1" ht="13.15" customHeight="1" x14ac:dyDescent="0.25">
      <c r="A22" s="2125" t="s">
        <v>2243</v>
      </c>
      <c r="B22" s="144"/>
      <c r="C22" s="712">
        <f>SUMIFS(Sheet1!S71_PPPYearAmount,Sheet1!S71_SA34cCode,$AC:$AC,Sheet1!S71_RepMaintCode,$AD:$AD)</f>
        <v>0</v>
      </c>
      <c r="D22" s="712">
        <f>SUMIFS(Sheet1!S71_PPYearAmount,Sheet1!S71_SA34cCode,$AC:$AC,Sheet1!S71_RepMaintCode,$AD:$AD)</f>
        <v>0</v>
      </c>
      <c r="E22" s="715">
        <f>SUMIFS(Sheet1!S71_PYearAmount,Sheet1!S71_SA34cCode,$AC:$AC,Sheet1!S71_RepMaintCode,$AD:$AD)</f>
        <v>0</v>
      </c>
      <c r="F22" s="725">
        <f>SUMIFS(Sheet1!S71_OriginalBudAmnt,Sheet1!S71_SA34cCode,$AC:$AC,Sheet1!S71_RepMaintCode,$AD:$AD)</f>
        <v>0</v>
      </c>
      <c r="G22" s="712">
        <f>SUMIFS(Sheet1!S71_AdjustmentBudAmnt,Sheet1!S71_SA34cCode,$AC:$AC,Sheet1!S71_RepMaintCode,$AD:$AD)</f>
        <v>0</v>
      </c>
      <c r="H22" s="713">
        <f>SUMIFS(Sheet1!S71_AdjustmentBudAmnt,Sheet1!S71_SA34cCode,$AC:$AC,Sheet1!S71_RepMaintCode,$AD:$AD)</f>
        <v>0</v>
      </c>
      <c r="I22" s="725">
        <f>SUMIFS(Sheet1!S71_ASBudgetAmount,Sheet1!S71_SA34cCode,$AC:$AC,Sheet1!S71_RepMaintCode,$AD:$AD)</f>
        <v>0</v>
      </c>
      <c r="J22" s="712">
        <f>SUMIFS(Sheet1!S71_OY1BudgetAmount,Sheet1!S71_SA34cCode,$AC:$AC,Sheet1!S71_RepMaintCode,$AD:$AD)</f>
        <v>0</v>
      </c>
      <c r="K22" s="713">
        <f>SUMIFS(Sheet1!S71_OY2BudgetAmount,Sheet1!S71_SA34cCode,$AC:$AC,Sheet1!S71_RepMaintCode,$AD:$AD)</f>
        <v>0</v>
      </c>
      <c r="L22" s="2124"/>
      <c r="AA22" s="2382"/>
      <c r="AB22" s="2369"/>
      <c r="AC22" s="2365" t="s">
        <v>2769</v>
      </c>
      <c r="AD22" s="2365" t="s">
        <v>2820</v>
      </c>
      <c r="AE22" s="2369" cm="1">
        <f t="array" ref="AE22">SUMIFS(Sheet1!S71_PreAuditActual,Sheet1!S71_SA34cCode,_xlfn.SINGLE($AC:$AC),Sheet1!S71_RepMaintCode,_xlfn.SINGLE($AD:$AD))</f>
        <v>0</v>
      </c>
    </row>
    <row r="23" spans="1:31" s="377" customFormat="1" ht="13.15" customHeight="1" x14ac:dyDescent="0.25">
      <c r="A23" s="2125" t="s">
        <v>2244</v>
      </c>
      <c r="B23" s="144"/>
      <c r="C23" s="712">
        <f>SUMIFS(Sheet1!S71_PPPYearAmount,Sheet1!S71_SA34cCode,$AC:$AC,Sheet1!S71_RepMaintCode,$AD:$AD)</f>
        <v>0</v>
      </c>
      <c r="D23" s="712">
        <f>SUMIFS(Sheet1!S71_PPYearAmount,Sheet1!S71_SA34cCode,$AC:$AC,Sheet1!S71_RepMaintCode,$AD:$AD)</f>
        <v>0</v>
      </c>
      <c r="E23" s="715">
        <f>SUMIFS(Sheet1!S71_PYearAmount,Sheet1!S71_SA34cCode,$AC:$AC,Sheet1!S71_RepMaintCode,$AD:$AD)</f>
        <v>0</v>
      </c>
      <c r="F23" s="725">
        <f>SUMIFS(Sheet1!S71_OriginalBudAmnt,Sheet1!S71_SA34cCode,$AC:$AC,Sheet1!S71_RepMaintCode,$AD:$AD)</f>
        <v>0</v>
      </c>
      <c r="G23" s="712">
        <f>SUMIFS(Sheet1!S71_AdjustmentBudAmnt,Sheet1!S71_SA34cCode,$AC:$AC,Sheet1!S71_RepMaintCode,$AD:$AD)</f>
        <v>0</v>
      </c>
      <c r="H23" s="713">
        <f>SUMIFS(Sheet1!S71_AdjustmentBudAmnt,Sheet1!S71_SA34cCode,$AC:$AC,Sheet1!S71_RepMaintCode,$AD:$AD)</f>
        <v>0</v>
      </c>
      <c r="I23" s="725">
        <f>SUMIFS(Sheet1!S71_ASBudgetAmount,Sheet1!S71_SA34cCode,$AC:$AC,Sheet1!S71_RepMaintCode,$AD:$AD)</f>
        <v>0</v>
      </c>
      <c r="J23" s="712">
        <f>SUMIFS(Sheet1!S71_OY1BudgetAmount,Sheet1!S71_SA34cCode,$AC:$AC,Sheet1!S71_RepMaintCode,$AD:$AD)</f>
        <v>0</v>
      </c>
      <c r="K23" s="713">
        <f>SUMIFS(Sheet1!S71_OY2BudgetAmount,Sheet1!S71_SA34cCode,$AC:$AC,Sheet1!S71_RepMaintCode,$AD:$AD)</f>
        <v>0</v>
      </c>
      <c r="L23" s="2126"/>
      <c r="AA23" s="2382"/>
      <c r="AB23" s="2369"/>
      <c r="AC23" s="2365" t="s">
        <v>2781</v>
      </c>
      <c r="AD23" s="2365" t="s">
        <v>2820</v>
      </c>
      <c r="AE23" s="2369" cm="1">
        <f t="array" ref="AE23">SUMIFS(Sheet1!S71_PreAuditActual,Sheet1!S71_SA34cCode,_xlfn.SINGLE($AC:$AC),Sheet1!S71_RepMaintCode,_xlfn.SINGLE($AD:$AD))</f>
        <v>0</v>
      </c>
    </row>
    <row r="24" spans="1:31" s="377" customFormat="1" ht="13.15" customHeight="1" x14ac:dyDescent="0.25">
      <c r="A24" s="2125" t="s">
        <v>2245</v>
      </c>
      <c r="B24" s="144"/>
      <c r="C24" s="712">
        <f>SUMIFS(Sheet1!S71_PPPYearAmount,Sheet1!S71_SA34cCode,$AC:$AC,Sheet1!S71_RepMaintCode,$AD:$AD)</f>
        <v>0</v>
      </c>
      <c r="D24" s="712">
        <f>SUMIFS(Sheet1!S71_PPYearAmount,Sheet1!S71_SA34cCode,$AC:$AC,Sheet1!S71_RepMaintCode,$AD:$AD)</f>
        <v>0</v>
      </c>
      <c r="E24" s="715">
        <f>SUMIFS(Sheet1!S71_PYearAmount,Sheet1!S71_SA34cCode,$AC:$AC,Sheet1!S71_RepMaintCode,$AD:$AD)</f>
        <v>0</v>
      </c>
      <c r="F24" s="725">
        <f>SUMIFS(Sheet1!S71_OriginalBudAmnt,Sheet1!S71_SA34cCode,$AC:$AC,Sheet1!S71_RepMaintCode,$AD:$AD)</f>
        <v>0</v>
      </c>
      <c r="G24" s="712">
        <f>SUMIFS(Sheet1!S71_AdjustmentBudAmnt,Sheet1!S71_SA34cCode,$AC:$AC,Sheet1!S71_RepMaintCode,$AD:$AD)</f>
        <v>0</v>
      </c>
      <c r="H24" s="713">
        <f>SUMIFS(Sheet1!S71_AdjustmentBudAmnt,Sheet1!S71_SA34cCode,$AC:$AC,Sheet1!S71_RepMaintCode,$AD:$AD)</f>
        <v>0</v>
      </c>
      <c r="I24" s="725">
        <f>SUMIFS(Sheet1!S71_ASBudgetAmount,Sheet1!S71_SA34cCode,$AC:$AC,Sheet1!S71_RepMaintCode,$AD:$AD)</f>
        <v>0</v>
      </c>
      <c r="J24" s="712">
        <f>SUMIFS(Sheet1!S71_OY1BudgetAmount,Sheet1!S71_SA34cCode,$AC:$AC,Sheet1!S71_RepMaintCode,$AD:$AD)</f>
        <v>0</v>
      </c>
      <c r="K24" s="713">
        <f>SUMIFS(Sheet1!S71_OY2BudgetAmount,Sheet1!S71_SA34cCode,$AC:$AC,Sheet1!S71_RepMaintCode,$AD:$AD)</f>
        <v>0</v>
      </c>
      <c r="L24" s="2126"/>
      <c r="AA24" s="2382"/>
      <c r="AB24" s="2369"/>
      <c r="AC24" s="2365" t="s">
        <v>2782</v>
      </c>
      <c r="AD24" s="2365" t="s">
        <v>2820</v>
      </c>
      <c r="AE24" s="2369" cm="1">
        <f t="array" ref="AE24">SUMIFS(Sheet1!S71_PreAuditActual,Sheet1!S71_SA34cCode,_xlfn.SINGLE($AC:$AC),Sheet1!S71_RepMaintCode,_xlfn.SINGLE($AD:$AD))</f>
        <v>0</v>
      </c>
    </row>
    <row r="25" spans="1:31" s="377" customFormat="1" ht="13.15" customHeight="1" x14ac:dyDescent="0.25">
      <c r="A25" s="2125" t="s">
        <v>2233</v>
      </c>
      <c r="B25" s="144"/>
      <c r="C25" s="712">
        <f>SUMIFS(Sheet1!S71_PPPYearAmount,Sheet1!S71_SA34cCode,$AC:$AC,Sheet1!S71_RepMaintCode,$AD:$AD)</f>
        <v>0</v>
      </c>
      <c r="D25" s="712">
        <f>SUMIFS(Sheet1!S71_PPYearAmount,Sheet1!S71_SA34cCode,$AC:$AC,Sheet1!S71_RepMaintCode,$AD:$AD)</f>
        <v>0</v>
      </c>
      <c r="E25" s="715">
        <f>SUMIFS(Sheet1!S71_PYearAmount,Sheet1!S71_SA34cCode,$AC:$AC,Sheet1!S71_RepMaintCode,$AD:$AD)</f>
        <v>0</v>
      </c>
      <c r="F25" s="725">
        <f>SUMIFS(Sheet1!S71_OriginalBudAmnt,Sheet1!S71_SA34cCode,$AC:$AC,Sheet1!S71_RepMaintCode,$AD:$AD)</f>
        <v>0</v>
      </c>
      <c r="G25" s="712">
        <f>SUMIFS(Sheet1!S71_AdjustmentBudAmnt,Sheet1!S71_SA34cCode,$AC:$AC,Sheet1!S71_RepMaintCode,$AD:$AD)</f>
        <v>0</v>
      </c>
      <c r="H25" s="713">
        <f>SUMIFS(Sheet1!S71_AdjustmentBudAmnt,Sheet1!S71_SA34cCode,$AC:$AC,Sheet1!S71_RepMaintCode,$AD:$AD)</f>
        <v>0</v>
      </c>
      <c r="I25" s="725">
        <f>SUMIFS(Sheet1!S71_ASBudgetAmount,Sheet1!S71_SA34cCode,$AC:$AC,Sheet1!S71_RepMaintCode,$AD:$AD)</f>
        <v>0</v>
      </c>
      <c r="J25" s="712">
        <f>SUMIFS(Sheet1!S71_OY1BudgetAmount,Sheet1!S71_SA34cCode,$AC:$AC,Sheet1!S71_RepMaintCode,$AD:$AD)</f>
        <v>0</v>
      </c>
      <c r="K25" s="713">
        <f>SUMIFS(Sheet1!S71_OY2BudgetAmount,Sheet1!S71_SA34cCode,$AC:$AC,Sheet1!S71_RepMaintCode,$AD:$AD)</f>
        <v>0</v>
      </c>
      <c r="L25" s="2126"/>
      <c r="AA25" s="2382"/>
      <c r="AB25" s="2369"/>
      <c r="AC25" s="2365" t="s">
        <v>2833</v>
      </c>
      <c r="AD25" s="2365" t="s">
        <v>2820</v>
      </c>
      <c r="AE25" s="2369" cm="1">
        <f t="array" ref="AE25">SUMIFS(Sheet1!S71_PreAuditActual,Sheet1!S71_SA34cCode,_xlfn.SINGLE($AC:$AC),Sheet1!S71_RepMaintCode,_xlfn.SINGLE($AD:$AD))</f>
        <v>0</v>
      </c>
    </row>
    <row r="26" spans="1:31" ht="13.15" customHeight="1" x14ac:dyDescent="0.25">
      <c r="A26" s="137" t="s">
        <v>2280</v>
      </c>
      <c r="B26" s="97"/>
      <c r="C26" s="71">
        <f>SUM(C27:C36)</f>
        <v>0</v>
      </c>
      <c r="D26" s="71">
        <f t="shared" ref="D26:K26" si="4">SUM(D27:D36)</f>
        <v>0</v>
      </c>
      <c r="E26" s="305">
        <f t="shared" si="4"/>
        <v>0</v>
      </c>
      <c r="F26" s="75">
        <f t="shared" si="4"/>
        <v>0</v>
      </c>
      <c r="G26" s="71">
        <f t="shared" si="4"/>
        <v>0</v>
      </c>
      <c r="H26" s="117">
        <f t="shared" si="4"/>
        <v>0</v>
      </c>
      <c r="I26" s="75">
        <f t="shared" si="4"/>
        <v>0</v>
      </c>
      <c r="J26" s="71">
        <f t="shared" si="4"/>
        <v>0</v>
      </c>
      <c r="K26" s="117">
        <f t="shared" si="4"/>
        <v>0</v>
      </c>
      <c r="L26" s="322"/>
      <c r="AD26" s="2365" t="s">
        <v>2820</v>
      </c>
      <c r="AE26" s="2369" cm="1">
        <f t="array" ref="AE26">SUMIFS(Sheet1!S71_PreAuditActual,Sheet1!S71_SA34cCode,_xlfn.SINGLE($AC:$AC),Sheet1!S71_RepMaintCode,_xlfn.SINGLE($AD:$AD))</f>
        <v>0</v>
      </c>
    </row>
    <row r="27" spans="1:31" ht="13.15" customHeight="1" x14ac:dyDescent="0.25">
      <c r="A27" s="2125" t="s">
        <v>2246</v>
      </c>
      <c r="B27" s="144"/>
      <c r="C27" s="712">
        <f>SUMIFS(Sheet1!S71_PPPYearAmount,Sheet1!S71_SA34cCode,$AC:$AC,Sheet1!S71_RepMaintCode,$AD:$AD)</f>
        <v>0</v>
      </c>
      <c r="D27" s="712">
        <f>SUMIFS(Sheet1!S71_PPYearAmount,Sheet1!S71_SA34cCode,$AC:$AC,Sheet1!S71_RepMaintCode,$AD:$AD)</f>
        <v>0</v>
      </c>
      <c r="E27" s="715">
        <f>SUMIFS(Sheet1!S71_PYearAmount,Sheet1!S71_SA34cCode,$AC:$AC,Sheet1!S71_RepMaintCode,$AD:$AD)</f>
        <v>0</v>
      </c>
      <c r="F27" s="725">
        <f>SUMIFS(Sheet1!S71_OriginalBudAmnt,Sheet1!S71_SA34cCode,$AC:$AC,Sheet1!S71_RepMaintCode,$AD:$AD)</f>
        <v>0</v>
      </c>
      <c r="G27" s="712">
        <f>SUMIFS(Sheet1!S71_AdjustmentBudAmnt,Sheet1!S71_SA34cCode,$AC:$AC,Sheet1!S71_RepMaintCode,$AD:$AD)</f>
        <v>0</v>
      </c>
      <c r="H27" s="713">
        <f>SUMIFS(Sheet1!S71_AdjustmentBudAmnt,Sheet1!S71_SA34cCode,$AC:$AC,Sheet1!S71_RepMaintCode,$AD:$AD)</f>
        <v>0</v>
      </c>
      <c r="I27" s="725">
        <f>SUMIFS(Sheet1!S71_ASBudgetAmount,Sheet1!S71_SA34cCode,$AC:$AC,Sheet1!S71_RepMaintCode,$AD:$AD)</f>
        <v>0</v>
      </c>
      <c r="J27" s="712">
        <f>SUMIFS(Sheet1!S71_OY1BudgetAmount,Sheet1!S71_SA34cCode,$AC:$AC,Sheet1!S71_RepMaintCode,$AD:$AD)</f>
        <v>0</v>
      </c>
      <c r="K27" s="713">
        <f>SUMIFS(Sheet1!S71_OY2BudgetAmount,Sheet1!S71_SA34cCode,$AC:$AC,Sheet1!S71_RepMaintCode,$AD:$AD)</f>
        <v>0</v>
      </c>
      <c r="L27" s="322"/>
      <c r="AC27" s="2365" t="s">
        <v>2834</v>
      </c>
      <c r="AD27" s="2365" t="s">
        <v>2820</v>
      </c>
      <c r="AE27" s="2369" cm="1">
        <f t="array" ref="AE27">SUMIFS(Sheet1!S71_PreAuditActual,Sheet1!S71_SA34cCode,_xlfn.SINGLE($AC:$AC),Sheet1!S71_RepMaintCode,_xlfn.SINGLE($AD:$AD))</f>
        <v>0</v>
      </c>
    </row>
    <row r="28" spans="1:31" ht="13.15" customHeight="1" x14ac:dyDescent="0.25">
      <c r="A28" s="2125" t="s">
        <v>2247</v>
      </c>
      <c r="B28" s="144"/>
      <c r="C28" s="712">
        <f>SUMIFS(Sheet1!S71_PPPYearAmount,Sheet1!S71_SA34cCode,$AC:$AC,Sheet1!S71_RepMaintCode,$AD:$AD)</f>
        <v>0</v>
      </c>
      <c r="D28" s="712">
        <f>SUMIFS(Sheet1!S71_PPYearAmount,Sheet1!S71_SA34cCode,$AC:$AC,Sheet1!S71_RepMaintCode,$AD:$AD)</f>
        <v>0</v>
      </c>
      <c r="E28" s="715">
        <f>SUMIFS(Sheet1!S71_PYearAmount,Sheet1!S71_SA34cCode,$AC:$AC,Sheet1!S71_RepMaintCode,$AD:$AD)</f>
        <v>0</v>
      </c>
      <c r="F28" s="725">
        <f>SUMIFS(Sheet1!S71_OriginalBudAmnt,Sheet1!S71_SA34cCode,$AC:$AC,Sheet1!S71_RepMaintCode,$AD:$AD)</f>
        <v>0</v>
      </c>
      <c r="G28" s="712">
        <f>SUMIFS(Sheet1!S71_AdjustmentBudAmnt,Sheet1!S71_SA34cCode,$AC:$AC,Sheet1!S71_RepMaintCode,$AD:$AD)</f>
        <v>0</v>
      </c>
      <c r="H28" s="713">
        <f>SUMIFS(Sheet1!S71_AdjustmentBudAmnt,Sheet1!S71_SA34cCode,$AC:$AC,Sheet1!S71_RepMaintCode,$AD:$AD)</f>
        <v>0</v>
      </c>
      <c r="I28" s="725">
        <f>SUMIFS(Sheet1!S71_ASBudgetAmount,Sheet1!S71_SA34cCode,$AC:$AC,Sheet1!S71_RepMaintCode,$AD:$AD)</f>
        <v>0</v>
      </c>
      <c r="J28" s="712">
        <f>SUMIFS(Sheet1!S71_OY1BudgetAmount,Sheet1!S71_SA34cCode,$AC:$AC,Sheet1!S71_RepMaintCode,$AD:$AD)</f>
        <v>0</v>
      </c>
      <c r="K28" s="713">
        <f>SUMIFS(Sheet1!S71_OY2BudgetAmount,Sheet1!S71_SA34cCode,$AC:$AC,Sheet1!S71_RepMaintCode,$AD:$AD)</f>
        <v>0</v>
      </c>
      <c r="L28" s="2126"/>
      <c r="AC28" s="2365" t="s">
        <v>2835</v>
      </c>
      <c r="AD28" s="2365" t="s">
        <v>2820</v>
      </c>
      <c r="AE28" s="2369" cm="1">
        <f t="array" ref="AE28">SUMIFS(Sheet1!S71_PreAuditActual,Sheet1!S71_SA34cCode,_xlfn.SINGLE($AC:$AC),Sheet1!S71_RepMaintCode,_xlfn.SINGLE($AD:$AD))</f>
        <v>0</v>
      </c>
    </row>
    <row r="29" spans="1:31" ht="13.15" customHeight="1" x14ac:dyDescent="0.25">
      <c r="A29" s="2125" t="s">
        <v>2248</v>
      </c>
      <c r="B29" s="144"/>
      <c r="C29" s="712">
        <f>SUMIFS(Sheet1!S71_PPPYearAmount,Sheet1!S71_SA34cCode,$AC:$AC,Sheet1!S71_RepMaintCode,$AD:$AD)</f>
        <v>0</v>
      </c>
      <c r="D29" s="712">
        <f>SUMIFS(Sheet1!S71_PPYearAmount,Sheet1!S71_SA34cCode,$AC:$AC,Sheet1!S71_RepMaintCode,$AD:$AD)</f>
        <v>0</v>
      </c>
      <c r="E29" s="715">
        <f>SUMIFS(Sheet1!S71_PYearAmount,Sheet1!S71_SA34cCode,$AC:$AC,Sheet1!S71_RepMaintCode,$AD:$AD)</f>
        <v>0</v>
      </c>
      <c r="F29" s="725">
        <f>SUMIFS(Sheet1!S71_OriginalBudAmnt,Sheet1!S71_SA34cCode,$AC:$AC,Sheet1!S71_RepMaintCode,$AD:$AD)</f>
        <v>0</v>
      </c>
      <c r="G29" s="712">
        <f>SUMIFS(Sheet1!S71_AdjustmentBudAmnt,Sheet1!S71_SA34cCode,$AC:$AC,Sheet1!S71_RepMaintCode,$AD:$AD)</f>
        <v>0</v>
      </c>
      <c r="H29" s="713">
        <f>SUMIFS(Sheet1!S71_AdjustmentBudAmnt,Sheet1!S71_SA34cCode,$AC:$AC,Sheet1!S71_RepMaintCode,$AD:$AD)</f>
        <v>0</v>
      </c>
      <c r="I29" s="725">
        <f>SUMIFS(Sheet1!S71_ASBudgetAmount,Sheet1!S71_SA34cCode,$AC:$AC,Sheet1!S71_RepMaintCode,$AD:$AD)</f>
        <v>0</v>
      </c>
      <c r="J29" s="712">
        <f>SUMIFS(Sheet1!S71_OY1BudgetAmount,Sheet1!S71_SA34cCode,$AC:$AC,Sheet1!S71_RepMaintCode,$AD:$AD)</f>
        <v>0</v>
      </c>
      <c r="K29" s="713">
        <f>SUMIFS(Sheet1!S71_OY2BudgetAmount,Sheet1!S71_SA34cCode,$AC:$AC,Sheet1!S71_RepMaintCode,$AD:$AD)</f>
        <v>0</v>
      </c>
      <c r="L29" s="2126"/>
      <c r="AC29" s="2365" t="s">
        <v>2783</v>
      </c>
      <c r="AD29" s="2365" t="s">
        <v>2820</v>
      </c>
      <c r="AE29" s="2369" cm="1">
        <f t="array" ref="AE29">SUMIFS(Sheet1!S71_PreAuditActual,Sheet1!S71_SA34cCode,_xlfn.SINGLE($AC:$AC),Sheet1!S71_RepMaintCode,_xlfn.SINGLE($AD:$AD))</f>
        <v>0</v>
      </c>
    </row>
    <row r="30" spans="1:31" ht="13.15" customHeight="1" x14ac:dyDescent="0.25">
      <c r="A30" s="2125" t="s">
        <v>2249</v>
      </c>
      <c r="B30" s="144"/>
      <c r="C30" s="712">
        <f>SUMIFS(Sheet1!S71_PPPYearAmount,Sheet1!S71_SA34cCode,$AC:$AC,Sheet1!S71_RepMaintCode,$AD:$AD)</f>
        <v>0</v>
      </c>
      <c r="D30" s="712">
        <f>SUMIFS(Sheet1!S71_PPYearAmount,Sheet1!S71_SA34cCode,$AC:$AC,Sheet1!S71_RepMaintCode,$AD:$AD)</f>
        <v>0</v>
      </c>
      <c r="E30" s="715">
        <f>SUMIFS(Sheet1!S71_PYearAmount,Sheet1!S71_SA34cCode,$AC:$AC,Sheet1!S71_RepMaintCode,$AD:$AD)</f>
        <v>0</v>
      </c>
      <c r="F30" s="725">
        <f>SUMIFS(Sheet1!S71_OriginalBudAmnt,Sheet1!S71_SA34cCode,$AC:$AC,Sheet1!S71_RepMaintCode,$AD:$AD)</f>
        <v>0</v>
      </c>
      <c r="G30" s="712">
        <f>SUMIFS(Sheet1!S71_AdjustmentBudAmnt,Sheet1!S71_SA34cCode,$AC:$AC,Sheet1!S71_RepMaintCode,$AD:$AD)</f>
        <v>0</v>
      </c>
      <c r="H30" s="713">
        <f>SUMIFS(Sheet1!S71_AdjustmentBudAmnt,Sheet1!S71_SA34cCode,$AC:$AC,Sheet1!S71_RepMaintCode,$AD:$AD)</f>
        <v>0</v>
      </c>
      <c r="I30" s="725">
        <f>SUMIFS(Sheet1!S71_ASBudgetAmount,Sheet1!S71_SA34cCode,$AC:$AC,Sheet1!S71_RepMaintCode,$AD:$AD)</f>
        <v>0</v>
      </c>
      <c r="J30" s="712">
        <f>SUMIFS(Sheet1!S71_OY1BudgetAmount,Sheet1!S71_SA34cCode,$AC:$AC,Sheet1!S71_RepMaintCode,$AD:$AD)</f>
        <v>0</v>
      </c>
      <c r="K30" s="713">
        <f>SUMIFS(Sheet1!S71_OY2BudgetAmount,Sheet1!S71_SA34cCode,$AC:$AC,Sheet1!S71_RepMaintCode,$AD:$AD)</f>
        <v>0</v>
      </c>
      <c r="L30" s="2126"/>
      <c r="AC30" s="2365" t="s">
        <v>2784</v>
      </c>
      <c r="AD30" s="2365" t="s">
        <v>2820</v>
      </c>
      <c r="AE30" s="2369" cm="1">
        <f t="array" ref="AE30">SUMIFS(Sheet1!S71_PreAuditActual,Sheet1!S71_SA34cCode,_xlfn.SINGLE($AC:$AC),Sheet1!S71_RepMaintCode,_xlfn.SINGLE($AD:$AD))</f>
        <v>0</v>
      </c>
    </row>
    <row r="31" spans="1:31" ht="13.15" customHeight="1" x14ac:dyDescent="0.25">
      <c r="A31" s="2125" t="s">
        <v>2250</v>
      </c>
      <c r="B31" s="144"/>
      <c r="C31" s="712">
        <f>SUMIFS(Sheet1!S71_PPPYearAmount,Sheet1!S71_SA34cCode,$AC:$AC,Sheet1!S71_RepMaintCode,$AD:$AD)</f>
        <v>0</v>
      </c>
      <c r="D31" s="712">
        <f>SUMIFS(Sheet1!S71_PPYearAmount,Sheet1!S71_SA34cCode,$AC:$AC,Sheet1!S71_RepMaintCode,$AD:$AD)</f>
        <v>0</v>
      </c>
      <c r="E31" s="715">
        <f>SUMIFS(Sheet1!S71_PYearAmount,Sheet1!S71_SA34cCode,$AC:$AC,Sheet1!S71_RepMaintCode,$AD:$AD)</f>
        <v>0</v>
      </c>
      <c r="F31" s="725">
        <f>SUMIFS(Sheet1!S71_OriginalBudAmnt,Sheet1!S71_SA34cCode,$AC:$AC,Sheet1!S71_RepMaintCode,$AD:$AD)</f>
        <v>0</v>
      </c>
      <c r="G31" s="712">
        <f>SUMIFS(Sheet1!S71_AdjustmentBudAmnt,Sheet1!S71_SA34cCode,$AC:$AC,Sheet1!S71_RepMaintCode,$AD:$AD)</f>
        <v>0</v>
      </c>
      <c r="H31" s="713">
        <f>SUMIFS(Sheet1!S71_AdjustmentBudAmnt,Sheet1!S71_SA34cCode,$AC:$AC,Sheet1!S71_RepMaintCode,$AD:$AD)</f>
        <v>0</v>
      </c>
      <c r="I31" s="725">
        <f>SUMIFS(Sheet1!S71_ASBudgetAmount,Sheet1!S71_SA34cCode,$AC:$AC,Sheet1!S71_RepMaintCode,$AD:$AD)</f>
        <v>0</v>
      </c>
      <c r="J31" s="712">
        <f>SUMIFS(Sheet1!S71_OY1BudgetAmount,Sheet1!S71_SA34cCode,$AC:$AC,Sheet1!S71_RepMaintCode,$AD:$AD)</f>
        <v>0</v>
      </c>
      <c r="K31" s="713">
        <f>SUMIFS(Sheet1!S71_OY2BudgetAmount,Sheet1!S71_SA34cCode,$AC:$AC,Sheet1!S71_RepMaintCode,$AD:$AD)</f>
        <v>0</v>
      </c>
      <c r="L31" s="2126"/>
      <c r="AC31" s="2365" t="s">
        <v>2770</v>
      </c>
      <c r="AD31" s="2365" t="s">
        <v>2820</v>
      </c>
      <c r="AE31" s="2369" cm="1">
        <f t="array" ref="AE31">SUMIFS(Sheet1!S71_PreAuditActual,Sheet1!S71_SA34cCode,_xlfn.SINGLE($AC:$AC),Sheet1!S71_RepMaintCode,_xlfn.SINGLE($AD:$AD))</f>
        <v>0</v>
      </c>
    </row>
    <row r="32" spans="1:31" ht="13.15" customHeight="1" x14ac:dyDescent="0.25">
      <c r="A32" s="2125" t="s">
        <v>2251</v>
      </c>
      <c r="B32" s="144"/>
      <c r="C32" s="712">
        <f>SUMIFS(Sheet1!S71_PPPYearAmount,Sheet1!S71_SA34cCode,$AC:$AC,Sheet1!S71_RepMaintCode,$AD:$AD)</f>
        <v>0</v>
      </c>
      <c r="D32" s="712">
        <f>SUMIFS(Sheet1!S71_PPYearAmount,Sheet1!S71_SA34cCode,$AC:$AC,Sheet1!S71_RepMaintCode,$AD:$AD)</f>
        <v>0</v>
      </c>
      <c r="E32" s="715">
        <f>SUMIFS(Sheet1!S71_PYearAmount,Sheet1!S71_SA34cCode,$AC:$AC,Sheet1!S71_RepMaintCode,$AD:$AD)</f>
        <v>0</v>
      </c>
      <c r="F32" s="725">
        <f>SUMIFS(Sheet1!S71_OriginalBudAmnt,Sheet1!S71_SA34cCode,$AC:$AC,Sheet1!S71_RepMaintCode,$AD:$AD)</f>
        <v>0</v>
      </c>
      <c r="G32" s="712">
        <f>SUMIFS(Sheet1!S71_AdjustmentBudAmnt,Sheet1!S71_SA34cCode,$AC:$AC,Sheet1!S71_RepMaintCode,$AD:$AD)</f>
        <v>0</v>
      </c>
      <c r="H32" s="713">
        <f>SUMIFS(Sheet1!S71_AdjustmentBudAmnt,Sheet1!S71_SA34cCode,$AC:$AC,Sheet1!S71_RepMaintCode,$AD:$AD)</f>
        <v>0</v>
      </c>
      <c r="I32" s="725">
        <f>SUMIFS(Sheet1!S71_ASBudgetAmount,Sheet1!S71_SA34cCode,$AC:$AC,Sheet1!S71_RepMaintCode,$AD:$AD)</f>
        <v>0</v>
      </c>
      <c r="J32" s="712">
        <f>SUMIFS(Sheet1!S71_OY1BudgetAmount,Sheet1!S71_SA34cCode,$AC:$AC,Sheet1!S71_RepMaintCode,$AD:$AD)</f>
        <v>0</v>
      </c>
      <c r="K32" s="713">
        <f>SUMIFS(Sheet1!S71_OY2BudgetAmount,Sheet1!S71_SA34cCode,$AC:$AC,Sheet1!S71_RepMaintCode,$AD:$AD)</f>
        <v>0</v>
      </c>
      <c r="L32" s="2126"/>
      <c r="AC32" s="2365" t="s">
        <v>2771</v>
      </c>
      <c r="AD32" s="2365" t="s">
        <v>2820</v>
      </c>
      <c r="AE32" s="2369" cm="1">
        <f t="array" ref="AE32">SUMIFS(Sheet1!S71_PreAuditActual,Sheet1!S71_SA34cCode,_xlfn.SINGLE($AC:$AC),Sheet1!S71_RepMaintCode,_xlfn.SINGLE($AD:$AD))</f>
        <v>0</v>
      </c>
    </row>
    <row r="33" spans="1:31" ht="13.15" customHeight="1" x14ac:dyDescent="0.25">
      <c r="A33" s="2125" t="s">
        <v>2252</v>
      </c>
      <c r="B33" s="144"/>
      <c r="C33" s="712">
        <f>SUMIFS(Sheet1!S71_PPPYearAmount,Sheet1!S71_SA34cCode,$AC:$AC,Sheet1!S71_RepMaintCode,$AD:$AD)</f>
        <v>0</v>
      </c>
      <c r="D33" s="712">
        <f>SUMIFS(Sheet1!S71_PPYearAmount,Sheet1!S71_SA34cCode,$AC:$AC,Sheet1!S71_RepMaintCode,$AD:$AD)</f>
        <v>0</v>
      </c>
      <c r="E33" s="715">
        <f>SUMIFS(Sheet1!S71_PYearAmount,Sheet1!S71_SA34cCode,$AC:$AC,Sheet1!S71_RepMaintCode,$AD:$AD)</f>
        <v>0</v>
      </c>
      <c r="F33" s="725">
        <f>SUMIFS(Sheet1!S71_OriginalBudAmnt,Sheet1!S71_SA34cCode,$AC:$AC,Sheet1!S71_RepMaintCode,$AD:$AD)</f>
        <v>0</v>
      </c>
      <c r="G33" s="712">
        <f>SUMIFS(Sheet1!S71_AdjustmentBudAmnt,Sheet1!S71_SA34cCode,$AC:$AC,Sheet1!S71_RepMaintCode,$AD:$AD)</f>
        <v>0</v>
      </c>
      <c r="H33" s="713">
        <f>SUMIFS(Sheet1!S71_AdjustmentBudAmnt,Sheet1!S71_SA34cCode,$AC:$AC,Sheet1!S71_RepMaintCode,$AD:$AD)</f>
        <v>0</v>
      </c>
      <c r="I33" s="725">
        <f>SUMIFS(Sheet1!S71_ASBudgetAmount,Sheet1!S71_SA34cCode,$AC:$AC,Sheet1!S71_RepMaintCode,$AD:$AD)</f>
        <v>0</v>
      </c>
      <c r="J33" s="712">
        <f>SUMIFS(Sheet1!S71_OY1BudgetAmount,Sheet1!S71_SA34cCode,$AC:$AC,Sheet1!S71_RepMaintCode,$AD:$AD)</f>
        <v>0</v>
      </c>
      <c r="K33" s="713">
        <f>SUMIFS(Sheet1!S71_OY2BudgetAmount,Sheet1!S71_SA34cCode,$AC:$AC,Sheet1!S71_RepMaintCode,$AD:$AD)</f>
        <v>0</v>
      </c>
      <c r="L33" s="2126"/>
      <c r="AC33" s="2365" t="s">
        <v>2785</v>
      </c>
      <c r="AD33" s="2365" t="s">
        <v>2820</v>
      </c>
      <c r="AE33" s="2369" cm="1">
        <f t="array" ref="AE33">SUMIFS(Sheet1!S71_PreAuditActual,Sheet1!S71_SA34cCode,_xlfn.SINGLE($AC:$AC),Sheet1!S71_RepMaintCode,_xlfn.SINGLE($AD:$AD))</f>
        <v>0</v>
      </c>
    </row>
    <row r="34" spans="1:31" ht="13.15" customHeight="1" x14ac:dyDescent="0.25">
      <c r="A34" s="2125" t="s">
        <v>2253</v>
      </c>
      <c r="B34" s="144"/>
      <c r="C34" s="712">
        <f>SUMIFS(Sheet1!S71_PPPYearAmount,Sheet1!S71_SA34cCode,$AC:$AC,Sheet1!S71_RepMaintCode,$AD:$AD)</f>
        <v>0</v>
      </c>
      <c r="D34" s="712">
        <f>SUMIFS(Sheet1!S71_PPYearAmount,Sheet1!S71_SA34cCode,$AC:$AC,Sheet1!S71_RepMaintCode,$AD:$AD)</f>
        <v>0</v>
      </c>
      <c r="E34" s="715">
        <f>SUMIFS(Sheet1!S71_PYearAmount,Sheet1!S71_SA34cCode,$AC:$AC,Sheet1!S71_RepMaintCode,$AD:$AD)</f>
        <v>0</v>
      </c>
      <c r="F34" s="725">
        <f>SUMIFS(Sheet1!S71_OriginalBudAmnt,Sheet1!S71_SA34cCode,$AC:$AC,Sheet1!S71_RepMaintCode,$AD:$AD)</f>
        <v>0</v>
      </c>
      <c r="G34" s="712">
        <f>SUMIFS(Sheet1!S71_AdjustmentBudAmnt,Sheet1!S71_SA34cCode,$AC:$AC,Sheet1!S71_RepMaintCode,$AD:$AD)</f>
        <v>0</v>
      </c>
      <c r="H34" s="713">
        <f>SUMIFS(Sheet1!S71_AdjustmentBudAmnt,Sheet1!S71_SA34cCode,$AC:$AC,Sheet1!S71_RepMaintCode,$AD:$AD)</f>
        <v>0</v>
      </c>
      <c r="I34" s="725">
        <f>SUMIFS(Sheet1!S71_ASBudgetAmount,Sheet1!S71_SA34cCode,$AC:$AC,Sheet1!S71_RepMaintCode,$AD:$AD)</f>
        <v>0</v>
      </c>
      <c r="J34" s="712">
        <f>SUMIFS(Sheet1!S71_OY1BudgetAmount,Sheet1!S71_SA34cCode,$AC:$AC,Sheet1!S71_RepMaintCode,$AD:$AD)</f>
        <v>0</v>
      </c>
      <c r="K34" s="713">
        <f>SUMIFS(Sheet1!S71_OY2BudgetAmount,Sheet1!S71_SA34cCode,$AC:$AC,Sheet1!S71_RepMaintCode,$AD:$AD)</f>
        <v>0</v>
      </c>
      <c r="L34" s="2126"/>
      <c r="AC34" s="2365" t="s">
        <v>2836</v>
      </c>
      <c r="AD34" s="2365" t="s">
        <v>2820</v>
      </c>
      <c r="AE34" s="2369" cm="1">
        <f t="array" ref="AE34">SUMIFS(Sheet1!S71_PreAuditActual,Sheet1!S71_SA34cCode,_xlfn.SINGLE($AC:$AC),Sheet1!S71_RepMaintCode,_xlfn.SINGLE($AD:$AD))</f>
        <v>0</v>
      </c>
    </row>
    <row r="35" spans="1:31" ht="13.15" customHeight="1" x14ac:dyDescent="0.25">
      <c r="A35" s="2125" t="s">
        <v>2254</v>
      </c>
      <c r="B35" s="144"/>
      <c r="C35" s="712">
        <f>SUMIFS(Sheet1!S71_PPPYearAmount,Sheet1!S71_SA34cCode,$AC:$AC,Sheet1!S71_RepMaintCode,$AD:$AD)</f>
        <v>0</v>
      </c>
      <c r="D35" s="712">
        <f>SUMIFS(Sheet1!S71_PPYearAmount,Sheet1!S71_SA34cCode,$AC:$AC,Sheet1!S71_RepMaintCode,$AD:$AD)</f>
        <v>0</v>
      </c>
      <c r="E35" s="715">
        <f>SUMIFS(Sheet1!S71_PYearAmount,Sheet1!S71_SA34cCode,$AC:$AC,Sheet1!S71_RepMaintCode,$AD:$AD)</f>
        <v>0</v>
      </c>
      <c r="F35" s="725">
        <f>SUMIFS(Sheet1!S71_OriginalBudAmnt,Sheet1!S71_SA34cCode,$AC:$AC,Sheet1!S71_RepMaintCode,$AD:$AD)</f>
        <v>0</v>
      </c>
      <c r="G35" s="712">
        <f>SUMIFS(Sheet1!S71_AdjustmentBudAmnt,Sheet1!S71_SA34cCode,$AC:$AC,Sheet1!S71_RepMaintCode,$AD:$AD)</f>
        <v>0</v>
      </c>
      <c r="H35" s="713">
        <f>SUMIFS(Sheet1!S71_AdjustmentBudAmnt,Sheet1!S71_SA34cCode,$AC:$AC,Sheet1!S71_RepMaintCode,$AD:$AD)</f>
        <v>0</v>
      </c>
      <c r="I35" s="725">
        <f>SUMIFS(Sheet1!S71_ASBudgetAmount,Sheet1!S71_SA34cCode,$AC:$AC,Sheet1!S71_RepMaintCode,$AD:$AD)</f>
        <v>0</v>
      </c>
      <c r="J35" s="712">
        <f>SUMIFS(Sheet1!S71_OY1BudgetAmount,Sheet1!S71_SA34cCode,$AC:$AC,Sheet1!S71_RepMaintCode,$AD:$AD)</f>
        <v>0</v>
      </c>
      <c r="K35" s="713">
        <f>SUMIFS(Sheet1!S71_OY2BudgetAmount,Sheet1!S71_SA34cCode,$AC:$AC,Sheet1!S71_RepMaintCode,$AD:$AD)</f>
        <v>0</v>
      </c>
      <c r="L35" s="2126"/>
      <c r="AC35" s="2365" t="s">
        <v>2806</v>
      </c>
      <c r="AD35" s="2365" t="s">
        <v>2820</v>
      </c>
      <c r="AE35" s="2369" cm="1">
        <f t="array" ref="AE35">SUMIFS(Sheet1!S71_PreAuditActual,Sheet1!S71_SA34cCode,_xlfn.SINGLE($AC:$AC),Sheet1!S71_RepMaintCode,_xlfn.SINGLE($AD:$AD))</f>
        <v>0</v>
      </c>
    </row>
    <row r="36" spans="1:31" ht="13.15" customHeight="1" x14ac:dyDescent="0.25">
      <c r="A36" s="2125" t="s">
        <v>2233</v>
      </c>
      <c r="B36" s="144"/>
      <c r="C36" s="712">
        <f>SUMIFS(Sheet1!S71_PPPYearAmount,Sheet1!S71_SA34cCode,$AC:$AC,Sheet1!S71_RepMaintCode,$AD:$AD)</f>
        <v>0</v>
      </c>
      <c r="D36" s="712">
        <f>SUMIFS(Sheet1!S71_PPYearAmount,Sheet1!S71_SA34cCode,$AC:$AC,Sheet1!S71_RepMaintCode,$AD:$AD)</f>
        <v>0</v>
      </c>
      <c r="E36" s="715">
        <f>SUMIFS(Sheet1!S71_PYearAmount,Sheet1!S71_SA34cCode,$AC:$AC,Sheet1!S71_RepMaintCode,$AD:$AD)</f>
        <v>0</v>
      </c>
      <c r="F36" s="725">
        <f>SUMIFS(Sheet1!S71_OriginalBudAmnt,Sheet1!S71_SA34cCode,$AC:$AC,Sheet1!S71_RepMaintCode,$AD:$AD)</f>
        <v>0</v>
      </c>
      <c r="G36" s="712">
        <f>SUMIFS(Sheet1!S71_AdjustmentBudAmnt,Sheet1!S71_SA34cCode,$AC:$AC,Sheet1!S71_RepMaintCode,$AD:$AD)</f>
        <v>0</v>
      </c>
      <c r="H36" s="713">
        <f>SUMIFS(Sheet1!S71_AdjustmentBudAmnt,Sheet1!S71_SA34cCode,$AC:$AC,Sheet1!S71_RepMaintCode,$AD:$AD)</f>
        <v>0</v>
      </c>
      <c r="I36" s="725">
        <f>SUMIFS(Sheet1!S71_ASBudgetAmount,Sheet1!S71_SA34cCode,$AC:$AC,Sheet1!S71_RepMaintCode,$AD:$AD)</f>
        <v>0</v>
      </c>
      <c r="J36" s="712">
        <f>SUMIFS(Sheet1!S71_OY1BudgetAmount,Sheet1!S71_SA34cCode,$AC:$AC,Sheet1!S71_RepMaintCode,$AD:$AD)</f>
        <v>0</v>
      </c>
      <c r="K36" s="713">
        <f>SUMIFS(Sheet1!S71_OY2BudgetAmount,Sheet1!S71_SA34cCode,$AC:$AC,Sheet1!S71_RepMaintCode,$AD:$AD)</f>
        <v>0</v>
      </c>
      <c r="L36" s="2126"/>
      <c r="AC36" s="2365" t="s">
        <v>2698</v>
      </c>
      <c r="AD36" s="2365" t="s">
        <v>2820</v>
      </c>
      <c r="AE36" s="2369" cm="1">
        <f t="array" ref="AE36">SUMIFS(Sheet1!S71_PreAuditActual,Sheet1!S71_SA34cCode,_xlfn.SINGLE($AC:$AC),Sheet1!S71_RepMaintCode,_xlfn.SINGLE($AD:$AD))</f>
        <v>0</v>
      </c>
    </row>
    <row r="37" spans="1:31" ht="13.15" customHeight="1" x14ac:dyDescent="0.25">
      <c r="A37" s="137" t="s">
        <v>2281</v>
      </c>
      <c r="B37" s="144"/>
      <c r="C37" s="71">
        <f>SUM(C38:C43)</f>
        <v>0</v>
      </c>
      <c r="D37" s="71">
        <f t="shared" ref="D37:K37" si="5">SUM(D38:D43)</f>
        <v>0</v>
      </c>
      <c r="E37" s="305">
        <f t="shared" si="5"/>
        <v>0</v>
      </c>
      <c r="F37" s="75">
        <f t="shared" si="5"/>
        <v>0</v>
      </c>
      <c r="G37" s="71">
        <f t="shared" si="5"/>
        <v>0</v>
      </c>
      <c r="H37" s="117">
        <f t="shared" si="5"/>
        <v>0</v>
      </c>
      <c r="I37" s="75">
        <f t="shared" si="5"/>
        <v>0</v>
      </c>
      <c r="J37" s="71">
        <f t="shared" si="5"/>
        <v>0</v>
      </c>
      <c r="K37" s="117">
        <f t="shared" si="5"/>
        <v>0</v>
      </c>
      <c r="L37" s="2126"/>
      <c r="O37" s="322"/>
      <c r="AD37" s="2365" t="s">
        <v>2820</v>
      </c>
      <c r="AE37" s="2369" cm="1">
        <f t="array" ref="AE37">SUMIFS(Sheet1!S71_PreAuditActual,Sheet1!S71_SA34cCode,_xlfn.SINGLE($AC:$AC),Sheet1!S71_RepMaintCode,_xlfn.SINGLE($AD:$AD))</f>
        <v>0</v>
      </c>
    </row>
    <row r="38" spans="1:31" ht="13.15" customHeight="1" x14ac:dyDescent="0.25">
      <c r="A38" s="2125" t="s">
        <v>2255</v>
      </c>
      <c r="B38" s="144"/>
      <c r="C38" s="712">
        <f>SUMIFS(Sheet1!S71_PPPYearAmount,Sheet1!S71_SA34cCode,$AC:$AC,Sheet1!S71_RepMaintCode,$AD:$AD)</f>
        <v>0</v>
      </c>
      <c r="D38" s="712">
        <f>SUMIFS(Sheet1!S71_PPYearAmount,Sheet1!S71_SA34cCode,$AC:$AC,Sheet1!S71_RepMaintCode,$AD:$AD)</f>
        <v>0</v>
      </c>
      <c r="E38" s="715">
        <f>SUMIFS(Sheet1!S71_PYearAmount,Sheet1!S71_SA34cCode,$AC:$AC,Sheet1!S71_RepMaintCode,$AD:$AD)</f>
        <v>0</v>
      </c>
      <c r="F38" s="725">
        <f>SUMIFS(Sheet1!S71_OriginalBudAmnt,Sheet1!S71_SA34cCode,$AC:$AC,Sheet1!S71_RepMaintCode,$AD:$AD)</f>
        <v>0</v>
      </c>
      <c r="G38" s="712">
        <f>SUMIFS(Sheet1!S71_AdjustmentBudAmnt,Sheet1!S71_SA34cCode,$AC:$AC,Sheet1!S71_RepMaintCode,$AD:$AD)</f>
        <v>0</v>
      </c>
      <c r="H38" s="713">
        <f>SUMIFS(Sheet1!S71_AdjustmentBudAmnt,Sheet1!S71_SA34cCode,$AC:$AC,Sheet1!S71_RepMaintCode,$AD:$AD)</f>
        <v>0</v>
      </c>
      <c r="I38" s="725">
        <f>SUMIFS(Sheet1!S71_ASBudgetAmount,Sheet1!S71_SA34cCode,$AC:$AC,Sheet1!S71_RepMaintCode,$AD:$AD)</f>
        <v>0</v>
      </c>
      <c r="J38" s="712">
        <f>SUMIFS(Sheet1!S71_OY1BudgetAmount,Sheet1!S71_SA34cCode,$AC:$AC,Sheet1!S71_RepMaintCode,$AD:$AD)</f>
        <v>0</v>
      </c>
      <c r="K38" s="713">
        <f>SUMIFS(Sheet1!S71_OY2BudgetAmount,Sheet1!S71_SA34cCode,$AC:$AC,Sheet1!S71_RepMaintCode,$AD:$AD)</f>
        <v>0</v>
      </c>
      <c r="L38" s="2126"/>
      <c r="AC38" s="2365" t="s">
        <v>2807</v>
      </c>
      <c r="AD38" s="2365" t="s">
        <v>2820</v>
      </c>
      <c r="AE38" s="2369" cm="1">
        <f t="array" ref="AE38">SUMIFS(Sheet1!S71_PreAuditActual,Sheet1!S71_SA34cCode,_xlfn.SINGLE($AC:$AC),Sheet1!S71_RepMaintCode,_xlfn.SINGLE($AD:$AD))</f>
        <v>0</v>
      </c>
    </row>
    <row r="39" spans="1:31" ht="13.15" customHeight="1" x14ac:dyDescent="0.25">
      <c r="A39" s="2125" t="s">
        <v>25</v>
      </c>
      <c r="B39" s="144"/>
      <c r="C39" s="712">
        <f>SUMIFS(Sheet1!S71_PPPYearAmount,Sheet1!S71_SA34cCode,$AC:$AC,Sheet1!S71_RepMaintCode,$AD:$AD)</f>
        <v>0</v>
      </c>
      <c r="D39" s="712">
        <f>SUMIFS(Sheet1!S71_PPYearAmount,Sheet1!S71_SA34cCode,$AC:$AC,Sheet1!S71_RepMaintCode,$AD:$AD)</f>
        <v>0</v>
      </c>
      <c r="E39" s="715">
        <f>SUMIFS(Sheet1!S71_PYearAmount,Sheet1!S71_SA34cCode,$AC:$AC,Sheet1!S71_RepMaintCode,$AD:$AD)</f>
        <v>0</v>
      </c>
      <c r="F39" s="725">
        <f>SUMIFS(Sheet1!S71_OriginalBudAmnt,Sheet1!S71_SA34cCode,$AC:$AC,Sheet1!S71_RepMaintCode,$AD:$AD)</f>
        <v>0</v>
      </c>
      <c r="G39" s="712">
        <f>SUMIFS(Sheet1!S71_AdjustmentBudAmnt,Sheet1!S71_SA34cCode,$AC:$AC,Sheet1!S71_RepMaintCode,$AD:$AD)</f>
        <v>0</v>
      </c>
      <c r="H39" s="713">
        <f>SUMIFS(Sheet1!S71_AdjustmentBudAmnt,Sheet1!S71_SA34cCode,$AC:$AC,Sheet1!S71_RepMaintCode,$AD:$AD)</f>
        <v>0</v>
      </c>
      <c r="I39" s="725">
        <f>SUMIFS(Sheet1!S71_ASBudgetAmount,Sheet1!S71_SA34cCode,$AC:$AC,Sheet1!S71_RepMaintCode,$AD:$AD)</f>
        <v>0</v>
      </c>
      <c r="J39" s="712">
        <f>SUMIFS(Sheet1!S71_OY1BudgetAmount,Sheet1!S71_SA34cCode,$AC:$AC,Sheet1!S71_RepMaintCode,$AD:$AD)</f>
        <v>0</v>
      </c>
      <c r="K39" s="713">
        <f>SUMIFS(Sheet1!S71_OY2BudgetAmount,Sheet1!S71_SA34cCode,$AC:$AC,Sheet1!S71_RepMaintCode,$AD:$AD)</f>
        <v>0</v>
      </c>
      <c r="L39" s="2126"/>
      <c r="AC39" s="2365" t="s">
        <v>2837</v>
      </c>
      <c r="AD39" s="2365" t="s">
        <v>2820</v>
      </c>
      <c r="AE39" s="2369" cm="1">
        <f t="array" ref="AE39">SUMIFS(Sheet1!S71_PreAuditActual,Sheet1!S71_SA34cCode,_xlfn.SINGLE($AC:$AC),Sheet1!S71_RepMaintCode,_xlfn.SINGLE($AD:$AD))</f>
        <v>0</v>
      </c>
    </row>
    <row r="40" spans="1:31" ht="13.15" customHeight="1" x14ac:dyDescent="0.25">
      <c r="A40" s="2125" t="s">
        <v>2256</v>
      </c>
      <c r="B40" s="144"/>
      <c r="C40" s="712">
        <f>SUMIFS(Sheet1!S71_PPPYearAmount,Sheet1!S71_SA34cCode,$AC:$AC,Sheet1!S71_RepMaintCode,$AD:$AD)</f>
        <v>0</v>
      </c>
      <c r="D40" s="712">
        <f>SUMIFS(Sheet1!S71_PPYearAmount,Sheet1!S71_SA34cCode,$AC:$AC,Sheet1!S71_RepMaintCode,$AD:$AD)</f>
        <v>0</v>
      </c>
      <c r="E40" s="715">
        <f>SUMIFS(Sheet1!S71_PYearAmount,Sheet1!S71_SA34cCode,$AC:$AC,Sheet1!S71_RepMaintCode,$AD:$AD)</f>
        <v>0</v>
      </c>
      <c r="F40" s="725">
        <f>SUMIFS(Sheet1!S71_OriginalBudAmnt,Sheet1!S71_SA34cCode,$AC:$AC,Sheet1!S71_RepMaintCode,$AD:$AD)</f>
        <v>0</v>
      </c>
      <c r="G40" s="712">
        <f>SUMIFS(Sheet1!S71_AdjustmentBudAmnt,Sheet1!S71_SA34cCode,$AC:$AC,Sheet1!S71_RepMaintCode,$AD:$AD)</f>
        <v>0</v>
      </c>
      <c r="H40" s="713">
        <f>SUMIFS(Sheet1!S71_AdjustmentBudAmnt,Sheet1!S71_SA34cCode,$AC:$AC,Sheet1!S71_RepMaintCode,$AD:$AD)</f>
        <v>0</v>
      </c>
      <c r="I40" s="725">
        <f>SUMIFS(Sheet1!S71_ASBudgetAmount,Sheet1!S71_SA34cCode,$AC:$AC,Sheet1!S71_RepMaintCode,$AD:$AD)</f>
        <v>0</v>
      </c>
      <c r="J40" s="712">
        <f>SUMIFS(Sheet1!S71_OY1BudgetAmount,Sheet1!S71_SA34cCode,$AC:$AC,Sheet1!S71_RepMaintCode,$AD:$AD)</f>
        <v>0</v>
      </c>
      <c r="K40" s="713">
        <f>SUMIFS(Sheet1!S71_OY2BudgetAmount,Sheet1!S71_SA34cCode,$AC:$AC,Sheet1!S71_RepMaintCode,$AD:$AD)</f>
        <v>0</v>
      </c>
      <c r="L40" s="322"/>
      <c r="AC40" s="2365" t="s">
        <v>2838</v>
      </c>
      <c r="AD40" s="2365" t="s">
        <v>2820</v>
      </c>
      <c r="AE40" s="2369" cm="1">
        <f t="array" ref="AE40">SUMIFS(Sheet1!S71_PreAuditActual,Sheet1!S71_SA34cCode,_xlfn.SINGLE($AC:$AC),Sheet1!S71_RepMaintCode,_xlfn.SINGLE($AD:$AD))</f>
        <v>0</v>
      </c>
    </row>
    <row r="41" spans="1:31" ht="13.15" customHeight="1" x14ac:dyDescent="0.25">
      <c r="A41" s="2125" t="s">
        <v>2257</v>
      </c>
      <c r="B41" s="144"/>
      <c r="C41" s="712">
        <f>SUMIFS(Sheet1!S71_PPPYearAmount,Sheet1!S71_SA34cCode,$AC:$AC,Sheet1!S71_RepMaintCode,$AD:$AD)</f>
        <v>0</v>
      </c>
      <c r="D41" s="712">
        <f>SUMIFS(Sheet1!S71_PPYearAmount,Sheet1!S71_SA34cCode,$AC:$AC,Sheet1!S71_RepMaintCode,$AD:$AD)</f>
        <v>0</v>
      </c>
      <c r="E41" s="715">
        <f>SUMIFS(Sheet1!S71_PYearAmount,Sheet1!S71_SA34cCode,$AC:$AC,Sheet1!S71_RepMaintCode,$AD:$AD)</f>
        <v>0</v>
      </c>
      <c r="F41" s="725">
        <f>SUMIFS(Sheet1!S71_OriginalBudAmnt,Sheet1!S71_SA34cCode,$AC:$AC,Sheet1!S71_RepMaintCode,$AD:$AD)</f>
        <v>0</v>
      </c>
      <c r="G41" s="712">
        <f>SUMIFS(Sheet1!S71_AdjustmentBudAmnt,Sheet1!S71_SA34cCode,$AC:$AC,Sheet1!S71_RepMaintCode,$AD:$AD)</f>
        <v>0</v>
      </c>
      <c r="H41" s="713">
        <f>SUMIFS(Sheet1!S71_AdjustmentBudAmnt,Sheet1!S71_SA34cCode,$AC:$AC,Sheet1!S71_RepMaintCode,$AD:$AD)</f>
        <v>0</v>
      </c>
      <c r="I41" s="725">
        <f>SUMIFS(Sheet1!S71_ASBudgetAmount,Sheet1!S71_SA34cCode,$AC:$AC,Sheet1!S71_RepMaintCode,$AD:$AD)</f>
        <v>0</v>
      </c>
      <c r="J41" s="712">
        <f>SUMIFS(Sheet1!S71_OY1BudgetAmount,Sheet1!S71_SA34cCode,$AC:$AC,Sheet1!S71_RepMaintCode,$AD:$AD)</f>
        <v>0</v>
      </c>
      <c r="K41" s="713">
        <f>SUMIFS(Sheet1!S71_OY2BudgetAmount,Sheet1!S71_SA34cCode,$AC:$AC,Sheet1!S71_RepMaintCode,$AD:$AD)</f>
        <v>0</v>
      </c>
      <c r="L41" s="2126"/>
      <c r="AC41" s="2365" t="s">
        <v>2839</v>
      </c>
      <c r="AD41" s="2365" t="s">
        <v>2820</v>
      </c>
      <c r="AE41" s="2369" cm="1">
        <f t="array" ref="AE41">SUMIFS(Sheet1!S71_PreAuditActual,Sheet1!S71_SA34cCode,_xlfn.SINGLE($AC:$AC),Sheet1!S71_RepMaintCode,_xlfn.SINGLE($AD:$AD))</f>
        <v>0</v>
      </c>
    </row>
    <row r="42" spans="1:31" ht="13.15" customHeight="1" x14ac:dyDescent="0.25">
      <c r="A42" s="2125" t="s">
        <v>2258</v>
      </c>
      <c r="B42" s="144"/>
      <c r="C42" s="712">
        <f>SUMIFS(Sheet1!S71_PPPYearAmount,Sheet1!S71_SA34cCode,$AC:$AC,Sheet1!S71_RepMaintCode,$AD:$AD)</f>
        <v>0</v>
      </c>
      <c r="D42" s="712">
        <f>SUMIFS(Sheet1!S71_PPYearAmount,Sheet1!S71_SA34cCode,$AC:$AC,Sheet1!S71_RepMaintCode,$AD:$AD)</f>
        <v>0</v>
      </c>
      <c r="E42" s="715">
        <f>SUMIFS(Sheet1!S71_PYearAmount,Sheet1!S71_SA34cCode,$AC:$AC,Sheet1!S71_RepMaintCode,$AD:$AD)</f>
        <v>0</v>
      </c>
      <c r="F42" s="725">
        <f>SUMIFS(Sheet1!S71_OriginalBudAmnt,Sheet1!S71_SA34cCode,$AC:$AC,Sheet1!S71_RepMaintCode,$AD:$AD)</f>
        <v>0</v>
      </c>
      <c r="G42" s="712">
        <f>SUMIFS(Sheet1!S71_AdjustmentBudAmnt,Sheet1!S71_SA34cCode,$AC:$AC,Sheet1!S71_RepMaintCode,$AD:$AD)</f>
        <v>0</v>
      </c>
      <c r="H42" s="713">
        <f>SUMIFS(Sheet1!S71_AdjustmentBudAmnt,Sheet1!S71_SA34cCode,$AC:$AC,Sheet1!S71_RepMaintCode,$AD:$AD)</f>
        <v>0</v>
      </c>
      <c r="I42" s="725">
        <f>SUMIFS(Sheet1!S71_ASBudgetAmount,Sheet1!S71_SA34cCode,$AC:$AC,Sheet1!S71_RepMaintCode,$AD:$AD)</f>
        <v>0</v>
      </c>
      <c r="J42" s="712">
        <f>SUMIFS(Sheet1!S71_OY1BudgetAmount,Sheet1!S71_SA34cCode,$AC:$AC,Sheet1!S71_RepMaintCode,$AD:$AD)</f>
        <v>0</v>
      </c>
      <c r="K42" s="713">
        <f>SUMIFS(Sheet1!S71_OY2BudgetAmount,Sheet1!S71_SA34cCode,$AC:$AC,Sheet1!S71_RepMaintCode,$AD:$AD)</f>
        <v>0</v>
      </c>
      <c r="L42" s="322"/>
      <c r="AC42" s="2365" t="s">
        <v>2787</v>
      </c>
      <c r="AD42" s="2365" t="s">
        <v>2820</v>
      </c>
      <c r="AE42" s="2369" cm="1">
        <f t="array" ref="AE42">SUMIFS(Sheet1!S71_PreAuditActual,Sheet1!S71_SA34cCode,_xlfn.SINGLE($AC:$AC),Sheet1!S71_RepMaintCode,_xlfn.SINGLE($AD:$AD))</f>
        <v>0</v>
      </c>
    </row>
    <row r="43" spans="1:31" ht="13.15" customHeight="1" x14ac:dyDescent="0.25">
      <c r="A43" s="2125" t="s">
        <v>2233</v>
      </c>
      <c r="B43" s="144"/>
      <c r="C43" s="712">
        <f>SUMIFS(Sheet1!S71_PPPYearAmount,Sheet1!S71_SA34cCode,$AC:$AC,Sheet1!S71_RepMaintCode,$AD:$AD)</f>
        <v>0</v>
      </c>
      <c r="D43" s="712">
        <f>SUMIFS(Sheet1!S71_PPYearAmount,Sheet1!S71_SA34cCode,$AC:$AC,Sheet1!S71_RepMaintCode,$AD:$AD)</f>
        <v>0</v>
      </c>
      <c r="E43" s="715">
        <f>SUMIFS(Sheet1!S71_PYearAmount,Sheet1!S71_SA34cCode,$AC:$AC,Sheet1!S71_RepMaintCode,$AD:$AD)</f>
        <v>0</v>
      </c>
      <c r="F43" s="725">
        <f>SUMIFS(Sheet1!S71_OriginalBudAmnt,Sheet1!S71_SA34cCode,$AC:$AC,Sheet1!S71_RepMaintCode,$AD:$AD)</f>
        <v>0</v>
      </c>
      <c r="G43" s="712">
        <f>SUMIFS(Sheet1!S71_AdjustmentBudAmnt,Sheet1!S71_SA34cCode,$AC:$AC,Sheet1!S71_RepMaintCode,$AD:$AD)</f>
        <v>0</v>
      </c>
      <c r="H43" s="713">
        <f>SUMIFS(Sheet1!S71_AdjustmentBudAmnt,Sheet1!S71_SA34cCode,$AC:$AC,Sheet1!S71_RepMaintCode,$AD:$AD)</f>
        <v>0</v>
      </c>
      <c r="I43" s="725">
        <f>SUMIFS(Sheet1!S71_ASBudgetAmount,Sheet1!S71_SA34cCode,$AC:$AC,Sheet1!S71_RepMaintCode,$AD:$AD)</f>
        <v>0</v>
      </c>
      <c r="J43" s="712">
        <f>SUMIFS(Sheet1!S71_OY1BudgetAmount,Sheet1!S71_SA34cCode,$AC:$AC,Sheet1!S71_RepMaintCode,$AD:$AD)</f>
        <v>0</v>
      </c>
      <c r="K43" s="713">
        <f>SUMIFS(Sheet1!S71_OY2BudgetAmount,Sheet1!S71_SA34cCode,$AC:$AC,Sheet1!S71_RepMaintCode,$AD:$AD)</f>
        <v>0</v>
      </c>
      <c r="L43" s="322"/>
      <c r="AC43" s="2365" t="s">
        <v>2788</v>
      </c>
      <c r="AD43" s="2365" t="s">
        <v>2820</v>
      </c>
      <c r="AE43" s="2369" cm="1">
        <f t="array" ref="AE43">SUMIFS(Sheet1!S71_PreAuditActual,Sheet1!S71_SA34cCode,_xlfn.SINGLE($AC:$AC),Sheet1!S71_RepMaintCode,_xlfn.SINGLE($AD:$AD))</f>
        <v>0</v>
      </c>
    </row>
    <row r="44" spans="1:31" ht="13.15" customHeight="1" x14ac:dyDescent="0.25">
      <c r="A44" s="137" t="s">
        <v>2259</v>
      </c>
      <c r="B44" s="144"/>
      <c r="C44" s="71">
        <f>SUM(C45:C51)</f>
        <v>0</v>
      </c>
      <c r="D44" s="71">
        <f t="shared" ref="D44:K44" si="6">SUM(D45:D51)</f>
        <v>0</v>
      </c>
      <c r="E44" s="305">
        <f t="shared" si="6"/>
        <v>0</v>
      </c>
      <c r="F44" s="75">
        <f t="shared" si="6"/>
        <v>0</v>
      </c>
      <c r="G44" s="71">
        <f t="shared" si="6"/>
        <v>0</v>
      </c>
      <c r="H44" s="117">
        <f t="shared" si="6"/>
        <v>0</v>
      </c>
      <c r="I44" s="75">
        <f t="shared" si="6"/>
        <v>0</v>
      </c>
      <c r="J44" s="71">
        <f t="shared" si="6"/>
        <v>0</v>
      </c>
      <c r="K44" s="117">
        <f t="shared" si="6"/>
        <v>0</v>
      </c>
      <c r="L44" s="322"/>
      <c r="AD44" s="2365" t="s">
        <v>2820</v>
      </c>
      <c r="AE44" s="2369" cm="1">
        <f t="array" ref="AE44">SUMIFS(Sheet1!S71_PreAuditActual,Sheet1!S71_SA34cCode,_xlfn.SINGLE($AC:$AC),Sheet1!S71_RepMaintCode,_xlfn.SINGLE($AD:$AD))</f>
        <v>0</v>
      </c>
    </row>
    <row r="45" spans="1:31" ht="13.15" customHeight="1" x14ac:dyDescent="0.25">
      <c r="A45" s="2125" t="s">
        <v>2260</v>
      </c>
      <c r="B45" s="144"/>
      <c r="C45" s="712">
        <f>SUMIFS(Sheet1!S71_PPPYearAmount,Sheet1!S71_SA34cCode,$AC:$AC,Sheet1!S71_RepMaintCode,$AD:$AD)</f>
        <v>0</v>
      </c>
      <c r="D45" s="712">
        <f>SUMIFS(Sheet1!S71_PPYearAmount,Sheet1!S71_SA34cCode,$AC:$AC,Sheet1!S71_RepMaintCode,$AD:$AD)</f>
        <v>0</v>
      </c>
      <c r="E45" s="715">
        <f>SUMIFS(Sheet1!S71_PYearAmount,Sheet1!S71_SA34cCode,$AC:$AC,Sheet1!S71_RepMaintCode,$AD:$AD)</f>
        <v>0</v>
      </c>
      <c r="F45" s="725">
        <f>SUMIFS(Sheet1!S71_OriginalBudAmnt,Sheet1!S71_SA34cCode,$AC:$AC,Sheet1!S71_RepMaintCode,$AD:$AD)</f>
        <v>0</v>
      </c>
      <c r="G45" s="712">
        <f>SUMIFS(Sheet1!S71_AdjustmentBudAmnt,Sheet1!S71_SA34cCode,$AC:$AC,Sheet1!S71_RepMaintCode,$AD:$AD)</f>
        <v>0</v>
      </c>
      <c r="H45" s="713">
        <f>SUMIFS(Sheet1!S71_AdjustmentBudAmnt,Sheet1!S71_SA34cCode,$AC:$AC,Sheet1!S71_RepMaintCode,$AD:$AD)</f>
        <v>0</v>
      </c>
      <c r="I45" s="725">
        <f>SUMIFS(Sheet1!S71_ASBudgetAmount,Sheet1!S71_SA34cCode,$AC:$AC,Sheet1!S71_RepMaintCode,$AD:$AD)</f>
        <v>0</v>
      </c>
      <c r="J45" s="712">
        <f>SUMIFS(Sheet1!S71_OY1BudgetAmount,Sheet1!S71_SA34cCode,$AC:$AC,Sheet1!S71_RepMaintCode,$AD:$AD)</f>
        <v>0</v>
      </c>
      <c r="K45" s="713">
        <f>SUMIFS(Sheet1!S71_OY2BudgetAmount,Sheet1!S71_SA34cCode,$AC:$AC,Sheet1!S71_RepMaintCode,$AD:$AD)</f>
        <v>0</v>
      </c>
      <c r="L45" s="322"/>
      <c r="AC45" s="2365" t="s">
        <v>2840</v>
      </c>
      <c r="AD45" s="2365" t="s">
        <v>2820</v>
      </c>
      <c r="AE45" s="2369" cm="1">
        <f t="array" ref="AE45">SUMIFS(Sheet1!S71_PreAuditActual,Sheet1!S71_SA34cCode,_xlfn.SINGLE($AC:$AC),Sheet1!S71_RepMaintCode,_xlfn.SINGLE($AD:$AD))</f>
        <v>0</v>
      </c>
    </row>
    <row r="46" spans="1:31" ht="13.15" customHeight="1" x14ac:dyDescent="0.25">
      <c r="A46" s="2125" t="s">
        <v>2261</v>
      </c>
      <c r="B46" s="144"/>
      <c r="C46" s="712">
        <f>SUMIFS(Sheet1!S71_PPPYearAmount,Sheet1!S71_SA34cCode,$AC:$AC,Sheet1!S71_RepMaintCode,$AD:$AD)</f>
        <v>0</v>
      </c>
      <c r="D46" s="712">
        <f>SUMIFS(Sheet1!S71_PPYearAmount,Sheet1!S71_SA34cCode,$AC:$AC,Sheet1!S71_RepMaintCode,$AD:$AD)</f>
        <v>0</v>
      </c>
      <c r="E46" s="715">
        <f>SUMIFS(Sheet1!S71_PYearAmount,Sheet1!S71_SA34cCode,$AC:$AC,Sheet1!S71_RepMaintCode,$AD:$AD)</f>
        <v>0</v>
      </c>
      <c r="F46" s="725">
        <f>SUMIFS(Sheet1!S71_OriginalBudAmnt,Sheet1!S71_SA34cCode,$AC:$AC,Sheet1!S71_RepMaintCode,$AD:$AD)</f>
        <v>0</v>
      </c>
      <c r="G46" s="712">
        <f>SUMIFS(Sheet1!S71_AdjustmentBudAmnt,Sheet1!S71_SA34cCode,$AC:$AC,Sheet1!S71_RepMaintCode,$AD:$AD)</f>
        <v>0</v>
      </c>
      <c r="H46" s="713">
        <f>SUMIFS(Sheet1!S71_AdjustmentBudAmnt,Sheet1!S71_SA34cCode,$AC:$AC,Sheet1!S71_RepMaintCode,$AD:$AD)</f>
        <v>0</v>
      </c>
      <c r="I46" s="725">
        <f>SUMIFS(Sheet1!S71_ASBudgetAmount,Sheet1!S71_SA34cCode,$AC:$AC,Sheet1!S71_RepMaintCode,$AD:$AD)</f>
        <v>0</v>
      </c>
      <c r="J46" s="712">
        <f>SUMIFS(Sheet1!S71_OY1BudgetAmount,Sheet1!S71_SA34cCode,$AC:$AC,Sheet1!S71_RepMaintCode,$AD:$AD)</f>
        <v>0</v>
      </c>
      <c r="K46" s="713">
        <f>SUMIFS(Sheet1!S71_OY2BudgetAmount,Sheet1!S71_SA34cCode,$AC:$AC,Sheet1!S71_RepMaintCode,$AD:$AD)</f>
        <v>0</v>
      </c>
      <c r="L46" s="322"/>
      <c r="AC46" s="2365" t="s">
        <v>2699</v>
      </c>
      <c r="AD46" s="2365" t="s">
        <v>2820</v>
      </c>
      <c r="AE46" s="2369" cm="1">
        <f t="array" ref="AE46">SUMIFS(Sheet1!S71_PreAuditActual,Sheet1!S71_SA34cCode,_xlfn.SINGLE($AC:$AC),Sheet1!S71_RepMaintCode,_xlfn.SINGLE($AD:$AD))</f>
        <v>0</v>
      </c>
    </row>
    <row r="47" spans="1:31" ht="13.15" customHeight="1" x14ac:dyDescent="0.25">
      <c r="A47" s="2125" t="s">
        <v>2262</v>
      </c>
      <c r="B47" s="144"/>
      <c r="C47" s="712">
        <f>SUMIFS(Sheet1!S71_PPPYearAmount,Sheet1!S71_SA34cCode,$AC:$AC,Sheet1!S71_RepMaintCode,$AD:$AD)</f>
        <v>0</v>
      </c>
      <c r="D47" s="712">
        <f>SUMIFS(Sheet1!S71_PPYearAmount,Sheet1!S71_SA34cCode,$AC:$AC,Sheet1!S71_RepMaintCode,$AD:$AD)</f>
        <v>0</v>
      </c>
      <c r="E47" s="715">
        <f>SUMIFS(Sheet1!S71_PYearAmount,Sheet1!S71_SA34cCode,$AC:$AC,Sheet1!S71_RepMaintCode,$AD:$AD)</f>
        <v>0</v>
      </c>
      <c r="F47" s="725">
        <f>SUMIFS(Sheet1!S71_OriginalBudAmnt,Sheet1!S71_SA34cCode,$AC:$AC,Sheet1!S71_RepMaintCode,$AD:$AD)</f>
        <v>0</v>
      </c>
      <c r="G47" s="712">
        <f>SUMIFS(Sheet1!S71_AdjustmentBudAmnt,Sheet1!S71_SA34cCode,$AC:$AC,Sheet1!S71_RepMaintCode,$AD:$AD)</f>
        <v>0</v>
      </c>
      <c r="H47" s="713">
        <f>SUMIFS(Sheet1!S71_AdjustmentBudAmnt,Sheet1!S71_SA34cCode,$AC:$AC,Sheet1!S71_RepMaintCode,$AD:$AD)</f>
        <v>0</v>
      </c>
      <c r="I47" s="725">
        <f>SUMIFS(Sheet1!S71_ASBudgetAmount,Sheet1!S71_SA34cCode,$AC:$AC,Sheet1!S71_RepMaintCode,$AD:$AD)</f>
        <v>0</v>
      </c>
      <c r="J47" s="712">
        <f>SUMIFS(Sheet1!S71_OY1BudgetAmount,Sheet1!S71_SA34cCode,$AC:$AC,Sheet1!S71_RepMaintCode,$AD:$AD)</f>
        <v>0</v>
      </c>
      <c r="K47" s="713">
        <f>SUMIFS(Sheet1!S71_OY2BudgetAmount,Sheet1!S71_SA34cCode,$AC:$AC,Sheet1!S71_RepMaintCode,$AD:$AD)</f>
        <v>0</v>
      </c>
      <c r="L47" s="322"/>
      <c r="AC47" s="2365" t="s">
        <v>2841</v>
      </c>
      <c r="AD47" s="2365" t="s">
        <v>2820</v>
      </c>
      <c r="AE47" s="2369" cm="1">
        <f t="array" ref="AE47">SUMIFS(Sheet1!S71_PreAuditActual,Sheet1!S71_SA34cCode,_xlfn.SINGLE($AC:$AC),Sheet1!S71_RepMaintCode,_xlfn.SINGLE($AD:$AD))</f>
        <v>0</v>
      </c>
    </row>
    <row r="48" spans="1:31" ht="13.15" customHeight="1" x14ac:dyDescent="0.25">
      <c r="A48" s="2125" t="s">
        <v>2263</v>
      </c>
      <c r="B48" s="144"/>
      <c r="C48" s="712">
        <f>SUMIFS(Sheet1!S71_PPPYearAmount,Sheet1!S71_SA34cCode,$AC:$AC,Sheet1!S71_RepMaintCode,$AD:$AD)</f>
        <v>0</v>
      </c>
      <c r="D48" s="712">
        <f>SUMIFS(Sheet1!S71_PPYearAmount,Sheet1!S71_SA34cCode,$AC:$AC,Sheet1!S71_RepMaintCode,$AD:$AD)</f>
        <v>0</v>
      </c>
      <c r="E48" s="715">
        <f>SUMIFS(Sheet1!S71_PYearAmount,Sheet1!S71_SA34cCode,$AC:$AC,Sheet1!S71_RepMaintCode,$AD:$AD)</f>
        <v>0</v>
      </c>
      <c r="F48" s="725">
        <f>SUMIFS(Sheet1!S71_OriginalBudAmnt,Sheet1!S71_SA34cCode,$AC:$AC,Sheet1!S71_RepMaintCode,$AD:$AD)</f>
        <v>0</v>
      </c>
      <c r="G48" s="712">
        <f>SUMIFS(Sheet1!S71_AdjustmentBudAmnt,Sheet1!S71_SA34cCode,$AC:$AC,Sheet1!S71_RepMaintCode,$AD:$AD)</f>
        <v>0</v>
      </c>
      <c r="H48" s="713">
        <f>SUMIFS(Sheet1!S71_AdjustmentBudAmnt,Sheet1!S71_SA34cCode,$AC:$AC,Sheet1!S71_RepMaintCode,$AD:$AD)</f>
        <v>0</v>
      </c>
      <c r="I48" s="725">
        <f>SUMIFS(Sheet1!S71_ASBudgetAmount,Sheet1!S71_SA34cCode,$AC:$AC,Sheet1!S71_RepMaintCode,$AD:$AD)</f>
        <v>0</v>
      </c>
      <c r="J48" s="712">
        <f>SUMIFS(Sheet1!S71_OY1BudgetAmount,Sheet1!S71_SA34cCode,$AC:$AC,Sheet1!S71_RepMaintCode,$AD:$AD)</f>
        <v>0</v>
      </c>
      <c r="K48" s="713">
        <f>SUMIFS(Sheet1!S71_OY2BudgetAmount,Sheet1!S71_SA34cCode,$AC:$AC,Sheet1!S71_RepMaintCode,$AD:$AD)</f>
        <v>0</v>
      </c>
      <c r="L48" s="2126"/>
      <c r="AC48" s="2365" t="s">
        <v>2842</v>
      </c>
      <c r="AD48" s="2365" t="s">
        <v>2820</v>
      </c>
      <c r="AE48" s="2369" cm="1">
        <f t="array" ref="AE48">SUMIFS(Sheet1!S71_PreAuditActual,Sheet1!S71_SA34cCode,_xlfn.SINGLE($AC:$AC),Sheet1!S71_RepMaintCode,_xlfn.SINGLE($AD:$AD))</f>
        <v>0</v>
      </c>
    </row>
    <row r="49" spans="1:31" ht="13.15" customHeight="1" x14ac:dyDescent="0.25">
      <c r="A49" s="2125" t="s">
        <v>2264</v>
      </c>
      <c r="B49" s="144"/>
      <c r="C49" s="712">
        <f>SUMIFS(Sheet1!S71_PPPYearAmount,Sheet1!S71_SA34cCode,$AC:$AC,Sheet1!S71_RepMaintCode,$AD:$AD)</f>
        <v>0</v>
      </c>
      <c r="D49" s="712">
        <f>SUMIFS(Sheet1!S71_PPYearAmount,Sheet1!S71_SA34cCode,$AC:$AC,Sheet1!S71_RepMaintCode,$AD:$AD)</f>
        <v>0</v>
      </c>
      <c r="E49" s="715">
        <f>SUMIFS(Sheet1!S71_PYearAmount,Sheet1!S71_SA34cCode,$AC:$AC,Sheet1!S71_RepMaintCode,$AD:$AD)</f>
        <v>0</v>
      </c>
      <c r="F49" s="725">
        <f>SUMIFS(Sheet1!S71_OriginalBudAmnt,Sheet1!S71_SA34cCode,$AC:$AC,Sheet1!S71_RepMaintCode,$AD:$AD)</f>
        <v>0</v>
      </c>
      <c r="G49" s="712">
        <f>SUMIFS(Sheet1!S71_AdjustmentBudAmnt,Sheet1!S71_SA34cCode,$AC:$AC,Sheet1!S71_RepMaintCode,$AD:$AD)</f>
        <v>0</v>
      </c>
      <c r="H49" s="713">
        <f>SUMIFS(Sheet1!S71_AdjustmentBudAmnt,Sheet1!S71_SA34cCode,$AC:$AC,Sheet1!S71_RepMaintCode,$AD:$AD)</f>
        <v>0</v>
      </c>
      <c r="I49" s="725">
        <f>SUMIFS(Sheet1!S71_ASBudgetAmount,Sheet1!S71_SA34cCode,$AC:$AC,Sheet1!S71_RepMaintCode,$AD:$AD)</f>
        <v>0</v>
      </c>
      <c r="J49" s="712">
        <f>SUMIFS(Sheet1!S71_OY1BudgetAmount,Sheet1!S71_SA34cCode,$AC:$AC,Sheet1!S71_RepMaintCode,$AD:$AD)</f>
        <v>0</v>
      </c>
      <c r="K49" s="713">
        <f>SUMIFS(Sheet1!S71_OY2BudgetAmount,Sheet1!S71_SA34cCode,$AC:$AC,Sheet1!S71_RepMaintCode,$AD:$AD)</f>
        <v>0</v>
      </c>
      <c r="L49" s="322"/>
      <c r="AC49" s="2365" t="s">
        <v>2843</v>
      </c>
      <c r="AD49" s="2365" t="s">
        <v>2820</v>
      </c>
      <c r="AE49" s="2369" cm="1">
        <f t="array" ref="AE49">SUMIFS(Sheet1!S71_PreAuditActual,Sheet1!S71_SA34cCode,_xlfn.SINGLE($AC:$AC),Sheet1!S71_RepMaintCode,_xlfn.SINGLE($AD:$AD))</f>
        <v>0</v>
      </c>
    </row>
    <row r="50" spans="1:31" ht="13.15" customHeight="1" x14ac:dyDescent="0.25">
      <c r="A50" s="2125" t="s">
        <v>2265</v>
      </c>
      <c r="B50" s="144"/>
      <c r="C50" s="712">
        <f>SUMIFS(Sheet1!S71_PPPYearAmount,Sheet1!S71_SA34cCode,$AC:$AC,Sheet1!S71_RepMaintCode,$AD:$AD)</f>
        <v>0</v>
      </c>
      <c r="D50" s="712">
        <f>SUMIFS(Sheet1!S71_PPYearAmount,Sheet1!S71_SA34cCode,$AC:$AC,Sheet1!S71_RepMaintCode,$AD:$AD)</f>
        <v>0</v>
      </c>
      <c r="E50" s="715">
        <f>SUMIFS(Sheet1!S71_PYearAmount,Sheet1!S71_SA34cCode,$AC:$AC,Sheet1!S71_RepMaintCode,$AD:$AD)</f>
        <v>0</v>
      </c>
      <c r="F50" s="725">
        <f>SUMIFS(Sheet1!S71_OriginalBudAmnt,Sheet1!S71_SA34cCode,$AC:$AC,Sheet1!S71_RepMaintCode,$AD:$AD)</f>
        <v>0</v>
      </c>
      <c r="G50" s="712">
        <f>SUMIFS(Sheet1!S71_AdjustmentBudAmnt,Sheet1!S71_SA34cCode,$AC:$AC,Sheet1!S71_RepMaintCode,$AD:$AD)</f>
        <v>0</v>
      </c>
      <c r="H50" s="713">
        <f>SUMIFS(Sheet1!S71_AdjustmentBudAmnt,Sheet1!S71_SA34cCode,$AC:$AC,Sheet1!S71_RepMaintCode,$AD:$AD)</f>
        <v>0</v>
      </c>
      <c r="I50" s="725">
        <f>SUMIFS(Sheet1!S71_ASBudgetAmount,Sheet1!S71_SA34cCode,$AC:$AC,Sheet1!S71_RepMaintCode,$AD:$AD)</f>
        <v>0</v>
      </c>
      <c r="J50" s="712">
        <f>SUMIFS(Sheet1!S71_OY1BudgetAmount,Sheet1!S71_SA34cCode,$AC:$AC,Sheet1!S71_RepMaintCode,$AD:$AD)</f>
        <v>0</v>
      </c>
      <c r="K50" s="713">
        <f>SUMIFS(Sheet1!S71_OY2BudgetAmount,Sheet1!S71_SA34cCode,$AC:$AC,Sheet1!S71_RepMaintCode,$AD:$AD)</f>
        <v>0</v>
      </c>
      <c r="L50" s="322"/>
      <c r="AC50" s="2365" t="s">
        <v>2844</v>
      </c>
      <c r="AD50" s="2365" t="s">
        <v>2820</v>
      </c>
      <c r="AE50" s="2369" cm="1">
        <f t="array" ref="AE50">SUMIFS(Sheet1!S71_PreAuditActual,Sheet1!S71_SA34cCode,_xlfn.SINGLE($AC:$AC),Sheet1!S71_RepMaintCode,_xlfn.SINGLE($AD:$AD))</f>
        <v>0</v>
      </c>
    </row>
    <row r="51" spans="1:31" ht="13.15" customHeight="1" x14ac:dyDescent="0.25">
      <c r="A51" s="2125" t="s">
        <v>2233</v>
      </c>
      <c r="B51" s="144"/>
      <c r="C51" s="712">
        <f>SUMIFS(Sheet1!S71_PPPYearAmount,Sheet1!S71_SA34cCode,$AC:$AC,Sheet1!S71_RepMaintCode,$AD:$AD)</f>
        <v>0</v>
      </c>
      <c r="D51" s="712">
        <f>SUMIFS(Sheet1!S71_PPYearAmount,Sheet1!S71_SA34cCode,$AC:$AC,Sheet1!S71_RepMaintCode,$AD:$AD)</f>
        <v>0</v>
      </c>
      <c r="E51" s="715">
        <f>SUMIFS(Sheet1!S71_PYearAmount,Sheet1!S71_SA34cCode,$AC:$AC,Sheet1!S71_RepMaintCode,$AD:$AD)</f>
        <v>0</v>
      </c>
      <c r="F51" s="725">
        <f>SUMIFS(Sheet1!S71_OriginalBudAmnt,Sheet1!S71_SA34cCode,$AC:$AC,Sheet1!S71_RepMaintCode,$AD:$AD)</f>
        <v>0</v>
      </c>
      <c r="G51" s="712">
        <f>SUMIFS(Sheet1!S71_AdjustmentBudAmnt,Sheet1!S71_SA34cCode,$AC:$AC,Sheet1!S71_RepMaintCode,$AD:$AD)</f>
        <v>0</v>
      </c>
      <c r="H51" s="713">
        <f>SUMIFS(Sheet1!S71_AdjustmentBudAmnt,Sheet1!S71_SA34cCode,$AC:$AC,Sheet1!S71_RepMaintCode,$AD:$AD)</f>
        <v>0</v>
      </c>
      <c r="I51" s="725">
        <f>SUMIFS(Sheet1!S71_ASBudgetAmount,Sheet1!S71_SA34cCode,$AC:$AC,Sheet1!S71_RepMaintCode,$AD:$AD)</f>
        <v>0</v>
      </c>
      <c r="J51" s="712">
        <f>SUMIFS(Sheet1!S71_OY1BudgetAmount,Sheet1!S71_SA34cCode,$AC:$AC,Sheet1!S71_RepMaintCode,$AD:$AD)</f>
        <v>0</v>
      </c>
      <c r="K51" s="713">
        <f>SUMIFS(Sheet1!S71_OY2BudgetAmount,Sheet1!S71_SA34cCode,$AC:$AC,Sheet1!S71_RepMaintCode,$AD:$AD)</f>
        <v>0</v>
      </c>
      <c r="L51" s="322"/>
      <c r="AC51" s="2365" t="s">
        <v>2845</v>
      </c>
      <c r="AD51" s="2365" t="s">
        <v>2820</v>
      </c>
      <c r="AE51" s="2369" cm="1">
        <f t="array" ref="AE51">SUMIFS(Sheet1!S71_PreAuditActual,Sheet1!S71_SA34cCode,_xlfn.SINGLE($AC:$AC),Sheet1!S71_RepMaintCode,_xlfn.SINGLE($AD:$AD))</f>
        <v>0</v>
      </c>
    </row>
    <row r="52" spans="1:31" ht="13.15" customHeight="1" x14ac:dyDescent="0.25">
      <c r="A52" s="104" t="s">
        <v>2275</v>
      </c>
      <c r="B52" s="144"/>
      <c r="C52" s="71">
        <f t="shared" ref="C52:K52" si="7">SUM(C53:C61)</f>
        <v>0</v>
      </c>
      <c r="D52" s="71">
        <f t="shared" si="7"/>
        <v>0</v>
      </c>
      <c r="E52" s="305">
        <f t="shared" si="7"/>
        <v>0</v>
      </c>
      <c r="F52" s="75">
        <f t="shared" si="7"/>
        <v>0</v>
      </c>
      <c r="G52" s="71">
        <f t="shared" si="7"/>
        <v>0</v>
      </c>
      <c r="H52" s="117">
        <f t="shared" si="7"/>
        <v>0</v>
      </c>
      <c r="I52" s="75">
        <f t="shared" si="7"/>
        <v>0</v>
      </c>
      <c r="J52" s="71">
        <f t="shared" si="7"/>
        <v>0</v>
      </c>
      <c r="K52" s="117">
        <f t="shared" si="7"/>
        <v>0</v>
      </c>
      <c r="L52" s="2126"/>
      <c r="AD52" s="2365" t="s">
        <v>2820</v>
      </c>
      <c r="AE52" s="2369" cm="1">
        <f t="array" ref="AE52">SUMIFS(Sheet1!S71_PreAuditActual,Sheet1!S71_SA34cCode,_xlfn.SINGLE($AC:$AC),Sheet1!S71_RepMaintCode,_xlfn.SINGLE($AD:$AD))</f>
        <v>0</v>
      </c>
    </row>
    <row r="53" spans="1:31" ht="13.15" customHeight="1" x14ac:dyDescent="0.25">
      <c r="A53" s="2125" t="s">
        <v>2276</v>
      </c>
      <c r="B53" s="144"/>
      <c r="C53" s="712">
        <f>SUMIFS(Sheet1!S71_PPPYearAmount,Sheet1!S71_SA34cCode,$AC:$AC,Sheet1!S71_RepMaintCode,$AD:$AD)</f>
        <v>0</v>
      </c>
      <c r="D53" s="712">
        <f>SUMIFS(Sheet1!S71_PPYearAmount,Sheet1!S71_SA34cCode,$AC:$AC,Sheet1!S71_RepMaintCode,$AD:$AD)</f>
        <v>0</v>
      </c>
      <c r="E53" s="715">
        <f>SUMIFS(Sheet1!S71_PYearAmount,Sheet1!S71_SA34cCode,$AC:$AC,Sheet1!S71_RepMaintCode,$AD:$AD)</f>
        <v>0</v>
      </c>
      <c r="F53" s="725">
        <f>SUMIFS(Sheet1!S71_OriginalBudAmnt,Sheet1!S71_SA34cCode,$AC:$AC,Sheet1!S71_RepMaintCode,$AD:$AD)</f>
        <v>0</v>
      </c>
      <c r="G53" s="712">
        <f>SUMIFS(Sheet1!S71_AdjustmentBudAmnt,Sheet1!S71_SA34cCode,$AC:$AC,Sheet1!S71_RepMaintCode,$AD:$AD)</f>
        <v>0</v>
      </c>
      <c r="H53" s="713">
        <f>SUMIFS(Sheet1!S71_AdjustmentBudAmnt,Sheet1!S71_SA34cCode,$AC:$AC,Sheet1!S71_RepMaintCode,$AD:$AD)</f>
        <v>0</v>
      </c>
      <c r="I53" s="725">
        <f>SUMIFS(Sheet1!S71_ASBudgetAmount,Sheet1!S71_SA34cCode,$AC:$AC,Sheet1!S71_RepMaintCode,$AD:$AD)</f>
        <v>0</v>
      </c>
      <c r="J53" s="712">
        <f>SUMIFS(Sheet1!S71_OY1BudgetAmount,Sheet1!S71_SA34cCode,$AC:$AC,Sheet1!S71_RepMaintCode,$AD:$AD)</f>
        <v>0</v>
      </c>
      <c r="K53" s="713">
        <f>SUMIFS(Sheet1!S71_OY2BudgetAmount,Sheet1!S71_SA34cCode,$AC:$AC,Sheet1!S71_RepMaintCode,$AD:$AD)</f>
        <v>0</v>
      </c>
      <c r="L53" s="322"/>
      <c r="AC53" s="2365" t="s">
        <v>2846</v>
      </c>
      <c r="AD53" s="2365" t="s">
        <v>2820</v>
      </c>
      <c r="AE53" s="2369" cm="1">
        <f t="array" ref="AE53">SUMIFS(Sheet1!S71_PreAuditActual,Sheet1!S71_SA34cCode,_xlfn.SINGLE($AC:$AC),Sheet1!S71_RepMaintCode,_xlfn.SINGLE($AD:$AD))</f>
        <v>0</v>
      </c>
    </row>
    <row r="54" spans="1:31" ht="13.15" customHeight="1" x14ac:dyDescent="0.25">
      <c r="A54" s="2125" t="s">
        <v>2277</v>
      </c>
      <c r="B54" s="144"/>
      <c r="C54" s="712">
        <f>SUMIFS(Sheet1!S71_PPPYearAmount,Sheet1!S71_SA34cCode,$AC:$AC,Sheet1!S71_RepMaintCode,$AD:$AD)</f>
        <v>0</v>
      </c>
      <c r="D54" s="712">
        <f>SUMIFS(Sheet1!S71_PPYearAmount,Sheet1!S71_SA34cCode,$AC:$AC,Sheet1!S71_RepMaintCode,$AD:$AD)</f>
        <v>0</v>
      </c>
      <c r="E54" s="715">
        <f>SUMIFS(Sheet1!S71_PYearAmount,Sheet1!S71_SA34cCode,$AC:$AC,Sheet1!S71_RepMaintCode,$AD:$AD)</f>
        <v>0</v>
      </c>
      <c r="F54" s="725">
        <f>SUMIFS(Sheet1!S71_OriginalBudAmnt,Sheet1!S71_SA34cCode,$AC:$AC,Sheet1!S71_RepMaintCode,$AD:$AD)</f>
        <v>0</v>
      </c>
      <c r="G54" s="712">
        <f>SUMIFS(Sheet1!S71_AdjustmentBudAmnt,Sheet1!S71_SA34cCode,$AC:$AC,Sheet1!S71_RepMaintCode,$AD:$AD)</f>
        <v>0</v>
      </c>
      <c r="H54" s="713">
        <f>SUMIFS(Sheet1!S71_AdjustmentBudAmnt,Sheet1!S71_SA34cCode,$AC:$AC,Sheet1!S71_RepMaintCode,$AD:$AD)</f>
        <v>0</v>
      </c>
      <c r="I54" s="725">
        <f>SUMIFS(Sheet1!S71_ASBudgetAmount,Sheet1!S71_SA34cCode,$AC:$AC,Sheet1!S71_RepMaintCode,$AD:$AD)</f>
        <v>0</v>
      </c>
      <c r="J54" s="712">
        <f>SUMIFS(Sheet1!S71_OY1BudgetAmount,Sheet1!S71_SA34cCode,$AC:$AC,Sheet1!S71_RepMaintCode,$AD:$AD)</f>
        <v>0</v>
      </c>
      <c r="K54" s="713">
        <f>SUMIFS(Sheet1!S71_OY2BudgetAmount,Sheet1!S71_SA34cCode,$AC:$AC,Sheet1!S71_RepMaintCode,$AD:$AD)</f>
        <v>0</v>
      </c>
      <c r="L54" s="2126"/>
      <c r="AC54" s="2365" t="s">
        <v>2847</v>
      </c>
      <c r="AD54" s="2365" t="s">
        <v>2820</v>
      </c>
      <c r="AE54" s="2369" cm="1">
        <f t="array" ref="AE54">SUMIFS(Sheet1!S71_PreAuditActual,Sheet1!S71_SA34cCode,_xlfn.SINGLE($AC:$AC),Sheet1!S71_RepMaintCode,_xlfn.SINGLE($AD:$AD))</f>
        <v>0</v>
      </c>
    </row>
    <row r="55" spans="1:31" ht="13.15" customHeight="1" x14ac:dyDescent="0.25">
      <c r="A55" s="2125" t="s">
        <v>2278</v>
      </c>
      <c r="B55" s="144"/>
      <c r="C55" s="712">
        <f>SUMIFS(Sheet1!S71_PPPYearAmount,Sheet1!S71_SA34cCode,$AC:$AC,Sheet1!S71_RepMaintCode,$AD:$AD)</f>
        <v>0</v>
      </c>
      <c r="D55" s="712">
        <f>SUMIFS(Sheet1!S71_PPYearAmount,Sheet1!S71_SA34cCode,$AC:$AC,Sheet1!S71_RepMaintCode,$AD:$AD)</f>
        <v>0</v>
      </c>
      <c r="E55" s="715">
        <f>SUMIFS(Sheet1!S71_PYearAmount,Sheet1!S71_SA34cCode,$AC:$AC,Sheet1!S71_RepMaintCode,$AD:$AD)</f>
        <v>0</v>
      </c>
      <c r="F55" s="725">
        <f>SUMIFS(Sheet1!S71_OriginalBudAmnt,Sheet1!S71_SA34cCode,$AC:$AC,Sheet1!S71_RepMaintCode,$AD:$AD)</f>
        <v>0</v>
      </c>
      <c r="G55" s="712">
        <f>SUMIFS(Sheet1!S71_AdjustmentBudAmnt,Sheet1!S71_SA34cCode,$AC:$AC,Sheet1!S71_RepMaintCode,$AD:$AD)</f>
        <v>0</v>
      </c>
      <c r="H55" s="713">
        <f>SUMIFS(Sheet1!S71_AdjustmentBudAmnt,Sheet1!S71_SA34cCode,$AC:$AC,Sheet1!S71_RepMaintCode,$AD:$AD)</f>
        <v>0</v>
      </c>
      <c r="I55" s="725">
        <f>SUMIFS(Sheet1!S71_ASBudgetAmount,Sheet1!S71_SA34cCode,$AC:$AC,Sheet1!S71_RepMaintCode,$AD:$AD)</f>
        <v>0</v>
      </c>
      <c r="J55" s="712">
        <f>SUMIFS(Sheet1!S71_OY1BudgetAmount,Sheet1!S71_SA34cCode,$AC:$AC,Sheet1!S71_RepMaintCode,$AD:$AD)</f>
        <v>0</v>
      </c>
      <c r="K55" s="713">
        <f>SUMIFS(Sheet1!S71_OY2BudgetAmount,Sheet1!S71_SA34cCode,$AC:$AC,Sheet1!S71_RepMaintCode,$AD:$AD)</f>
        <v>0</v>
      </c>
      <c r="L55" s="2126"/>
      <c r="AC55" s="2365" t="s">
        <v>2848</v>
      </c>
      <c r="AD55" s="2365" t="s">
        <v>2820</v>
      </c>
      <c r="AE55" s="2369" cm="1">
        <f t="array" ref="AE55">SUMIFS(Sheet1!S71_PreAuditActual,Sheet1!S71_SA34cCode,_xlfn.SINGLE($AC:$AC),Sheet1!S71_RepMaintCode,_xlfn.SINGLE($AD:$AD))</f>
        <v>0</v>
      </c>
    </row>
    <row r="56" spans="1:31" ht="13.15" customHeight="1" x14ac:dyDescent="0.25">
      <c r="A56" s="2125" t="s">
        <v>2235</v>
      </c>
      <c r="B56" s="144"/>
      <c r="C56" s="712">
        <f>SUMIFS(Sheet1!S71_PPPYearAmount,Sheet1!S71_SA34cCode,$AC:$AC,Sheet1!S71_RepMaintCode,$AD:$AD)</f>
        <v>0</v>
      </c>
      <c r="D56" s="712">
        <f>SUMIFS(Sheet1!S71_PPYearAmount,Sheet1!S71_SA34cCode,$AC:$AC,Sheet1!S71_RepMaintCode,$AD:$AD)</f>
        <v>0</v>
      </c>
      <c r="E56" s="715">
        <f>SUMIFS(Sheet1!S71_PYearAmount,Sheet1!S71_SA34cCode,$AC:$AC,Sheet1!S71_RepMaintCode,$AD:$AD)</f>
        <v>0</v>
      </c>
      <c r="F56" s="725">
        <f>SUMIFS(Sheet1!S71_OriginalBudAmnt,Sheet1!S71_SA34cCode,$AC:$AC,Sheet1!S71_RepMaintCode,$AD:$AD)</f>
        <v>0</v>
      </c>
      <c r="G56" s="712">
        <f>SUMIFS(Sheet1!S71_AdjustmentBudAmnt,Sheet1!S71_SA34cCode,$AC:$AC,Sheet1!S71_RepMaintCode,$AD:$AD)</f>
        <v>0</v>
      </c>
      <c r="H56" s="713">
        <f>SUMIFS(Sheet1!S71_AdjustmentBudAmnt,Sheet1!S71_SA34cCode,$AC:$AC,Sheet1!S71_RepMaintCode,$AD:$AD)</f>
        <v>0</v>
      </c>
      <c r="I56" s="725">
        <f>SUMIFS(Sheet1!S71_ASBudgetAmount,Sheet1!S71_SA34cCode,$AC:$AC,Sheet1!S71_RepMaintCode,$AD:$AD)</f>
        <v>0</v>
      </c>
      <c r="J56" s="712">
        <f>SUMIFS(Sheet1!S71_OY1BudgetAmount,Sheet1!S71_SA34cCode,$AC:$AC,Sheet1!S71_RepMaintCode,$AD:$AD)</f>
        <v>0</v>
      </c>
      <c r="K56" s="713">
        <f>SUMIFS(Sheet1!S71_OY2BudgetAmount,Sheet1!S71_SA34cCode,$AC:$AC,Sheet1!S71_RepMaintCode,$AD:$AD)</f>
        <v>0</v>
      </c>
      <c r="L56" s="2126"/>
      <c r="AC56" s="2365" t="s">
        <v>2700</v>
      </c>
      <c r="AD56" s="2365" t="s">
        <v>2820</v>
      </c>
      <c r="AE56" s="2369" cm="1">
        <f t="array" ref="AE56">SUMIFS(Sheet1!S71_PreAuditActual,Sheet1!S71_SA34cCode,_xlfn.SINGLE($AC:$AC),Sheet1!S71_RepMaintCode,_xlfn.SINGLE($AD:$AD))</f>
        <v>0</v>
      </c>
    </row>
    <row r="57" spans="1:31" ht="13.15" customHeight="1" x14ac:dyDescent="0.25">
      <c r="A57" s="2125" t="s">
        <v>2236</v>
      </c>
      <c r="B57" s="144"/>
      <c r="C57" s="712">
        <f>SUMIFS(Sheet1!S71_PPPYearAmount,Sheet1!S71_SA34cCode,$AC:$AC,Sheet1!S71_RepMaintCode,$AD:$AD)</f>
        <v>0</v>
      </c>
      <c r="D57" s="712">
        <f>SUMIFS(Sheet1!S71_PPYearAmount,Sheet1!S71_SA34cCode,$AC:$AC,Sheet1!S71_RepMaintCode,$AD:$AD)</f>
        <v>0</v>
      </c>
      <c r="E57" s="715">
        <f>SUMIFS(Sheet1!S71_PYearAmount,Sheet1!S71_SA34cCode,$AC:$AC,Sheet1!S71_RepMaintCode,$AD:$AD)</f>
        <v>0</v>
      </c>
      <c r="F57" s="725">
        <f>SUMIFS(Sheet1!S71_OriginalBudAmnt,Sheet1!S71_SA34cCode,$AC:$AC,Sheet1!S71_RepMaintCode,$AD:$AD)</f>
        <v>0</v>
      </c>
      <c r="G57" s="712">
        <f>SUMIFS(Sheet1!S71_AdjustmentBudAmnt,Sheet1!S71_SA34cCode,$AC:$AC,Sheet1!S71_RepMaintCode,$AD:$AD)</f>
        <v>0</v>
      </c>
      <c r="H57" s="713">
        <f>SUMIFS(Sheet1!S71_AdjustmentBudAmnt,Sheet1!S71_SA34cCode,$AC:$AC,Sheet1!S71_RepMaintCode,$AD:$AD)</f>
        <v>0</v>
      </c>
      <c r="I57" s="725">
        <f>SUMIFS(Sheet1!S71_ASBudgetAmount,Sheet1!S71_SA34cCode,$AC:$AC,Sheet1!S71_RepMaintCode,$AD:$AD)</f>
        <v>0</v>
      </c>
      <c r="J57" s="712">
        <f>SUMIFS(Sheet1!S71_OY1BudgetAmount,Sheet1!S71_SA34cCode,$AC:$AC,Sheet1!S71_RepMaintCode,$AD:$AD)</f>
        <v>0</v>
      </c>
      <c r="K57" s="713">
        <f>SUMIFS(Sheet1!S71_OY2BudgetAmount,Sheet1!S71_SA34cCode,$AC:$AC,Sheet1!S71_RepMaintCode,$AD:$AD)</f>
        <v>0</v>
      </c>
      <c r="L57" s="2126"/>
      <c r="AC57" s="2365" t="s">
        <v>2849</v>
      </c>
      <c r="AD57" s="2365" t="s">
        <v>2820</v>
      </c>
      <c r="AE57" s="2369" cm="1">
        <f t="array" ref="AE57">SUMIFS(Sheet1!S71_PreAuditActual,Sheet1!S71_SA34cCode,_xlfn.SINGLE($AC:$AC),Sheet1!S71_RepMaintCode,_xlfn.SINGLE($AD:$AD))</f>
        <v>0</v>
      </c>
    </row>
    <row r="58" spans="1:31" ht="13.15" customHeight="1" x14ac:dyDescent="0.25">
      <c r="A58" s="2125" t="s">
        <v>2237</v>
      </c>
      <c r="B58" s="144"/>
      <c r="C58" s="712">
        <f>SUMIFS(Sheet1!S71_PPPYearAmount,Sheet1!S71_SA34cCode,$AC:$AC,Sheet1!S71_RepMaintCode,$AD:$AD)</f>
        <v>0</v>
      </c>
      <c r="D58" s="712">
        <f>SUMIFS(Sheet1!S71_PPYearAmount,Sheet1!S71_SA34cCode,$AC:$AC,Sheet1!S71_RepMaintCode,$AD:$AD)</f>
        <v>0</v>
      </c>
      <c r="E58" s="715">
        <f>SUMIFS(Sheet1!S71_PYearAmount,Sheet1!S71_SA34cCode,$AC:$AC,Sheet1!S71_RepMaintCode,$AD:$AD)</f>
        <v>0</v>
      </c>
      <c r="F58" s="725">
        <f>SUMIFS(Sheet1!S71_OriginalBudAmnt,Sheet1!S71_SA34cCode,$AC:$AC,Sheet1!S71_RepMaintCode,$AD:$AD)</f>
        <v>0</v>
      </c>
      <c r="G58" s="712">
        <f>SUMIFS(Sheet1!S71_AdjustmentBudAmnt,Sheet1!S71_SA34cCode,$AC:$AC,Sheet1!S71_RepMaintCode,$AD:$AD)</f>
        <v>0</v>
      </c>
      <c r="H58" s="713">
        <f>SUMIFS(Sheet1!S71_AdjustmentBudAmnt,Sheet1!S71_SA34cCode,$AC:$AC,Sheet1!S71_RepMaintCode,$AD:$AD)</f>
        <v>0</v>
      </c>
      <c r="I58" s="725">
        <f>SUMIFS(Sheet1!S71_ASBudgetAmount,Sheet1!S71_SA34cCode,$AC:$AC,Sheet1!S71_RepMaintCode,$AD:$AD)</f>
        <v>0</v>
      </c>
      <c r="J58" s="712">
        <f>SUMIFS(Sheet1!S71_OY1BudgetAmount,Sheet1!S71_SA34cCode,$AC:$AC,Sheet1!S71_RepMaintCode,$AD:$AD)</f>
        <v>0</v>
      </c>
      <c r="K58" s="713">
        <f>SUMIFS(Sheet1!S71_OY2BudgetAmount,Sheet1!S71_SA34cCode,$AC:$AC,Sheet1!S71_RepMaintCode,$AD:$AD)</f>
        <v>0</v>
      </c>
      <c r="L58" s="2124"/>
      <c r="AC58" s="2365" t="s">
        <v>2850</v>
      </c>
      <c r="AD58" s="2365" t="s">
        <v>2820</v>
      </c>
      <c r="AE58" s="2369" cm="1">
        <f t="array" ref="AE58">SUMIFS(Sheet1!S71_PreAuditActual,Sheet1!S71_SA34cCode,_xlfn.SINGLE($AC:$AC),Sheet1!S71_RepMaintCode,_xlfn.SINGLE($AD:$AD))</f>
        <v>0</v>
      </c>
    </row>
    <row r="59" spans="1:31" ht="13.15" customHeight="1" x14ac:dyDescent="0.25">
      <c r="A59" s="2125" t="s">
        <v>2242</v>
      </c>
      <c r="B59" s="144"/>
      <c r="C59" s="712">
        <f>SUMIFS(Sheet1!S71_PPPYearAmount,Sheet1!S71_SA34cCode,$AC:$AC,Sheet1!S71_RepMaintCode,$AD:$AD)</f>
        <v>0</v>
      </c>
      <c r="D59" s="712">
        <f>SUMIFS(Sheet1!S71_PPYearAmount,Sheet1!S71_SA34cCode,$AC:$AC,Sheet1!S71_RepMaintCode,$AD:$AD)</f>
        <v>0</v>
      </c>
      <c r="E59" s="715">
        <f>SUMIFS(Sheet1!S71_PYearAmount,Sheet1!S71_SA34cCode,$AC:$AC,Sheet1!S71_RepMaintCode,$AD:$AD)</f>
        <v>0</v>
      </c>
      <c r="F59" s="725">
        <f>SUMIFS(Sheet1!S71_OriginalBudAmnt,Sheet1!S71_SA34cCode,$AC:$AC,Sheet1!S71_RepMaintCode,$AD:$AD)</f>
        <v>0</v>
      </c>
      <c r="G59" s="712">
        <f>SUMIFS(Sheet1!S71_AdjustmentBudAmnt,Sheet1!S71_SA34cCode,$AC:$AC,Sheet1!S71_RepMaintCode,$AD:$AD)</f>
        <v>0</v>
      </c>
      <c r="H59" s="713">
        <f>SUMIFS(Sheet1!S71_AdjustmentBudAmnt,Sheet1!S71_SA34cCode,$AC:$AC,Sheet1!S71_RepMaintCode,$AD:$AD)</f>
        <v>0</v>
      </c>
      <c r="I59" s="725">
        <f>SUMIFS(Sheet1!S71_ASBudgetAmount,Sheet1!S71_SA34cCode,$AC:$AC,Sheet1!S71_RepMaintCode,$AD:$AD)</f>
        <v>0</v>
      </c>
      <c r="J59" s="712">
        <f>SUMIFS(Sheet1!S71_OY1BudgetAmount,Sheet1!S71_SA34cCode,$AC:$AC,Sheet1!S71_RepMaintCode,$AD:$AD)</f>
        <v>0</v>
      </c>
      <c r="K59" s="713">
        <f>SUMIFS(Sheet1!S71_OY2BudgetAmount,Sheet1!S71_SA34cCode,$AC:$AC,Sheet1!S71_RepMaintCode,$AD:$AD)</f>
        <v>0</v>
      </c>
      <c r="L59" s="2126"/>
      <c r="AC59" s="2365" t="s">
        <v>2851</v>
      </c>
      <c r="AD59" s="2365" t="s">
        <v>2820</v>
      </c>
      <c r="AE59" s="2369" cm="1">
        <f t="array" ref="AE59">SUMIFS(Sheet1!S71_PreAuditActual,Sheet1!S71_SA34cCode,_xlfn.SINGLE($AC:$AC),Sheet1!S71_RepMaintCode,_xlfn.SINGLE($AD:$AD))</f>
        <v>0</v>
      </c>
    </row>
    <row r="60" spans="1:31" ht="13.15" customHeight="1" x14ac:dyDescent="0.25">
      <c r="A60" s="2125" t="s">
        <v>2245</v>
      </c>
      <c r="B60" s="144"/>
      <c r="C60" s="712">
        <f>SUMIFS(Sheet1!S71_PPPYearAmount,Sheet1!S71_SA34cCode,$AC:$AC,Sheet1!S71_RepMaintCode,$AD:$AD)</f>
        <v>0</v>
      </c>
      <c r="D60" s="712">
        <f>SUMIFS(Sheet1!S71_PPYearAmount,Sheet1!S71_SA34cCode,$AC:$AC,Sheet1!S71_RepMaintCode,$AD:$AD)</f>
        <v>0</v>
      </c>
      <c r="E60" s="715">
        <f>SUMIFS(Sheet1!S71_PYearAmount,Sheet1!S71_SA34cCode,$AC:$AC,Sheet1!S71_RepMaintCode,$AD:$AD)</f>
        <v>0</v>
      </c>
      <c r="F60" s="725">
        <f>SUMIFS(Sheet1!S71_OriginalBudAmnt,Sheet1!S71_SA34cCode,$AC:$AC,Sheet1!S71_RepMaintCode,$AD:$AD)</f>
        <v>0</v>
      </c>
      <c r="G60" s="712">
        <f>SUMIFS(Sheet1!S71_AdjustmentBudAmnt,Sheet1!S71_SA34cCode,$AC:$AC,Sheet1!S71_RepMaintCode,$AD:$AD)</f>
        <v>0</v>
      </c>
      <c r="H60" s="713">
        <f>SUMIFS(Sheet1!S71_AdjustmentBudAmnt,Sheet1!S71_SA34cCode,$AC:$AC,Sheet1!S71_RepMaintCode,$AD:$AD)</f>
        <v>0</v>
      </c>
      <c r="I60" s="725">
        <f>SUMIFS(Sheet1!S71_ASBudgetAmount,Sheet1!S71_SA34cCode,$AC:$AC,Sheet1!S71_RepMaintCode,$AD:$AD)</f>
        <v>0</v>
      </c>
      <c r="J60" s="712">
        <f>SUMIFS(Sheet1!S71_OY1BudgetAmount,Sheet1!S71_SA34cCode,$AC:$AC,Sheet1!S71_RepMaintCode,$AD:$AD)</f>
        <v>0</v>
      </c>
      <c r="K60" s="713">
        <f>SUMIFS(Sheet1!S71_OY2BudgetAmount,Sheet1!S71_SA34cCode,$AC:$AC,Sheet1!S71_RepMaintCode,$AD:$AD)</f>
        <v>0</v>
      </c>
      <c r="L60" s="2126"/>
      <c r="AC60" s="2365" t="s">
        <v>2852</v>
      </c>
      <c r="AD60" s="2365" t="s">
        <v>2820</v>
      </c>
      <c r="AE60" s="2369" cm="1">
        <f t="array" ref="AE60">SUMIFS(Sheet1!S71_PreAuditActual,Sheet1!S71_SA34cCode,_xlfn.SINGLE($AC:$AC),Sheet1!S71_RepMaintCode,_xlfn.SINGLE($AD:$AD))</f>
        <v>0</v>
      </c>
    </row>
    <row r="61" spans="1:31" ht="13.15" customHeight="1" x14ac:dyDescent="0.25">
      <c r="A61" s="2125" t="s">
        <v>2233</v>
      </c>
      <c r="B61" s="144"/>
      <c r="C61" s="712">
        <f>SUMIFS(Sheet1!S71_PPPYearAmount,Sheet1!S71_SA34cCode,$AC:$AC,Sheet1!S71_RepMaintCode,$AD:$AD)</f>
        <v>0</v>
      </c>
      <c r="D61" s="712">
        <f>SUMIFS(Sheet1!S71_PPYearAmount,Sheet1!S71_SA34cCode,$AC:$AC,Sheet1!S71_RepMaintCode,$AD:$AD)</f>
        <v>0</v>
      </c>
      <c r="E61" s="715">
        <f>SUMIFS(Sheet1!S71_PYearAmount,Sheet1!S71_SA34cCode,$AC:$AC,Sheet1!S71_RepMaintCode,$AD:$AD)</f>
        <v>0</v>
      </c>
      <c r="F61" s="725">
        <f>SUMIFS(Sheet1!S71_OriginalBudAmnt,Sheet1!S71_SA34cCode,$AC:$AC,Sheet1!S71_RepMaintCode,$AD:$AD)</f>
        <v>0</v>
      </c>
      <c r="G61" s="712">
        <f>SUMIFS(Sheet1!S71_AdjustmentBudAmnt,Sheet1!S71_SA34cCode,$AC:$AC,Sheet1!S71_RepMaintCode,$AD:$AD)</f>
        <v>0</v>
      </c>
      <c r="H61" s="713">
        <f>SUMIFS(Sheet1!S71_AdjustmentBudAmnt,Sheet1!S71_SA34cCode,$AC:$AC,Sheet1!S71_RepMaintCode,$AD:$AD)</f>
        <v>0</v>
      </c>
      <c r="I61" s="725">
        <f>SUMIFS(Sheet1!S71_ASBudgetAmount,Sheet1!S71_SA34cCode,$AC:$AC,Sheet1!S71_RepMaintCode,$AD:$AD)</f>
        <v>0</v>
      </c>
      <c r="J61" s="712">
        <f>SUMIFS(Sheet1!S71_OY1BudgetAmount,Sheet1!S71_SA34cCode,$AC:$AC,Sheet1!S71_RepMaintCode,$AD:$AD)</f>
        <v>0</v>
      </c>
      <c r="K61" s="713">
        <f>SUMIFS(Sheet1!S71_OY2BudgetAmount,Sheet1!S71_SA34cCode,$AC:$AC,Sheet1!S71_RepMaintCode,$AD:$AD)</f>
        <v>0</v>
      </c>
      <c r="L61" s="2126"/>
      <c r="AC61" s="2365" t="s">
        <v>2853</v>
      </c>
      <c r="AD61" s="2365" t="s">
        <v>2820</v>
      </c>
      <c r="AE61" s="2369" cm="1">
        <f t="array" ref="AE61">SUMIFS(Sheet1!S71_PreAuditActual,Sheet1!S71_SA34cCode,_xlfn.SINGLE($AC:$AC),Sheet1!S71_RepMaintCode,_xlfn.SINGLE($AD:$AD))</f>
        <v>0</v>
      </c>
    </row>
    <row r="62" spans="1:31" ht="13.15" customHeight="1" x14ac:dyDescent="0.25">
      <c r="A62" s="137" t="s">
        <v>2270</v>
      </c>
      <c r="B62" s="144"/>
      <c r="C62" s="71">
        <f>SUM(C63:C67)</f>
        <v>0</v>
      </c>
      <c r="D62" s="71">
        <f t="shared" ref="D62:K62" si="8">SUM(D63:D67)</f>
        <v>0</v>
      </c>
      <c r="E62" s="305">
        <f t="shared" si="8"/>
        <v>0</v>
      </c>
      <c r="F62" s="75">
        <f t="shared" si="8"/>
        <v>0</v>
      </c>
      <c r="G62" s="71">
        <f t="shared" si="8"/>
        <v>0</v>
      </c>
      <c r="H62" s="117">
        <f t="shared" si="8"/>
        <v>0</v>
      </c>
      <c r="I62" s="75">
        <f t="shared" si="8"/>
        <v>0</v>
      </c>
      <c r="J62" s="71">
        <f t="shared" si="8"/>
        <v>0</v>
      </c>
      <c r="K62" s="117">
        <f t="shared" si="8"/>
        <v>0</v>
      </c>
      <c r="L62" s="2126"/>
      <c r="AD62" s="2365" t="s">
        <v>2820</v>
      </c>
      <c r="AE62" s="2369" cm="1">
        <f t="array" ref="AE62">SUMIFS(Sheet1!S71_PreAuditActual,Sheet1!S71_SA34cCode,_xlfn.SINGLE($AC:$AC),Sheet1!S71_RepMaintCode,_xlfn.SINGLE($AD:$AD))</f>
        <v>0</v>
      </c>
    </row>
    <row r="63" spans="1:31" ht="13.15" customHeight="1" x14ac:dyDescent="0.25">
      <c r="A63" s="2125" t="s">
        <v>2271</v>
      </c>
      <c r="B63" s="144"/>
      <c r="C63" s="712">
        <f>SUMIFS(Sheet1!S71_PPPYearAmount,Sheet1!S71_SA34cCode,$AC:$AC,Sheet1!S71_RepMaintCode,$AD:$AD)</f>
        <v>0</v>
      </c>
      <c r="D63" s="712">
        <f>SUMIFS(Sheet1!S71_PPYearAmount,Sheet1!S71_SA34cCode,$AC:$AC,Sheet1!S71_RepMaintCode,$AD:$AD)</f>
        <v>0</v>
      </c>
      <c r="E63" s="715">
        <f>SUMIFS(Sheet1!S71_PYearAmount,Sheet1!S71_SA34cCode,$AC:$AC,Sheet1!S71_RepMaintCode,$AD:$AD)</f>
        <v>0</v>
      </c>
      <c r="F63" s="725">
        <f>SUMIFS(Sheet1!S71_OriginalBudAmnt,Sheet1!S71_SA34cCode,$AC:$AC,Sheet1!S71_RepMaintCode,$AD:$AD)</f>
        <v>0</v>
      </c>
      <c r="G63" s="712">
        <f>SUMIFS(Sheet1!S71_AdjustmentBudAmnt,Sheet1!S71_SA34cCode,$AC:$AC,Sheet1!S71_RepMaintCode,$AD:$AD)</f>
        <v>0</v>
      </c>
      <c r="H63" s="713">
        <f>SUMIFS(Sheet1!S71_AdjustmentBudAmnt,Sheet1!S71_SA34cCode,$AC:$AC,Sheet1!S71_RepMaintCode,$AD:$AD)</f>
        <v>0</v>
      </c>
      <c r="I63" s="725">
        <f>SUMIFS(Sheet1!S71_ASBudgetAmount,Sheet1!S71_SA34cCode,$AC:$AC,Sheet1!S71_RepMaintCode,$AD:$AD)</f>
        <v>0</v>
      </c>
      <c r="J63" s="712">
        <f>SUMIFS(Sheet1!S71_OY1BudgetAmount,Sheet1!S71_SA34cCode,$AC:$AC,Sheet1!S71_RepMaintCode,$AD:$AD)</f>
        <v>0</v>
      </c>
      <c r="K63" s="713">
        <f>SUMIFS(Sheet1!S71_OY2BudgetAmount,Sheet1!S71_SA34cCode,$AC:$AC,Sheet1!S71_RepMaintCode,$AD:$AD)</f>
        <v>0</v>
      </c>
      <c r="L63" s="2126"/>
      <c r="AC63" s="2365" t="s">
        <v>2854</v>
      </c>
      <c r="AD63" s="2365" t="s">
        <v>2820</v>
      </c>
      <c r="AE63" s="2369" cm="1">
        <f t="array" ref="AE63">SUMIFS(Sheet1!S71_PreAuditActual,Sheet1!S71_SA34cCode,_xlfn.SINGLE($AC:$AC),Sheet1!S71_RepMaintCode,_xlfn.SINGLE($AD:$AD))</f>
        <v>0</v>
      </c>
    </row>
    <row r="64" spans="1:31" ht="13.15" customHeight="1" x14ac:dyDescent="0.25">
      <c r="A64" s="2125" t="s">
        <v>2272</v>
      </c>
      <c r="B64" s="144"/>
      <c r="C64" s="712">
        <f>SUMIFS(Sheet1!S71_PPPYearAmount,Sheet1!S71_SA34cCode,$AC:$AC,Sheet1!S71_RepMaintCode,$AD:$AD)</f>
        <v>0</v>
      </c>
      <c r="D64" s="712">
        <f>SUMIFS(Sheet1!S71_PPYearAmount,Sheet1!S71_SA34cCode,$AC:$AC,Sheet1!S71_RepMaintCode,$AD:$AD)</f>
        <v>0</v>
      </c>
      <c r="E64" s="715">
        <f>SUMIFS(Sheet1!S71_PYearAmount,Sheet1!S71_SA34cCode,$AC:$AC,Sheet1!S71_RepMaintCode,$AD:$AD)</f>
        <v>0</v>
      </c>
      <c r="F64" s="725">
        <f>SUMIFS(Sheet1!S71_OriginalBudAmnt,Sheet1!S71_SA34cCode,$AC:$AC,Sheet1!S71_RepMaintCode,$AD:$AD)</f>
        <v>0</v>
      </c>
      <c r="G64" s="712">
        <f>SUMIFS(Sheet1!S71_AdjustmentBudAmnt,Sheet1!S71_SA34cCode,$AC:$AC,Sheet1!S71_RepMaintCode,$AD:$AD)</f>
        <v>0</v>
      </c>
      <c r="H64" s="713">
        <f>SUMIFS(Sheet1!S71_AdjustmentBudAmnt,Sheet1!S71_SA34cCode,$AC:$AC,Sheet1!S71_RepMaintCode,$AD:$AD)</f>
        <v>0</v>
      </c>
      <c r="I64" s="725">
        <f>SUMIFS(Sheet1!S71_ASBudgetAmount,Sheet1!S71_SA34cCode,$AC:$AC,Sheet1!S71_RepMaintCode,$AD:$AD)</f>
        <v>0</v>
      </c>
      <c r="J64" s="712">
        <f>SUMIFS(Sheet1!S71_OY1BudgetAmount,Sheet1!S71_SA34cCode,$AC:$AC,Sheet1!S71_RepMaintCode,$AD:$AD)</f>
        <v>0</v>
      </c>
      <c r="K64" s="713">
        <f>SUMIFS(Sheet1!S71_OY2BudgetAmount,Sheet1!S71_SA34cCode,$AC:$AC,Sheet1!S71_RepMaintCode,$AD:$AD)</f>
        <v>0</v>
      </c>
      <c r="L64" s="322"/>
      <c r="AC64" s="2365" t="s">
        <v>2855</v>
      </c>
      <c r="AD64" s="2365" t="s">
        <v>2820</v>
      </c>
      <c r="AE64" s="2369" cm="1">
        <f t="array" ref="AE64">SUMIFS(Sheet1!S71_PreAuditActual,Sheet1!S71_SA34cCode,_xlfn.SINGLE($AC:$AC),Sheet1!S71_RepMaintCode,_xlfn.SINGLE($AD:$AD))</f>
        <v>0</v>
      </c>
    </row>
    <row r="65" spans="1:31" ht="13.15" customHeight="1" x14ac:dyDescent="0.25">
      <c r="A65" s="2125" t="s">
        <v>2273</v>
      </c>
      <c r="B65" s="144"/>
      <c r="C65" s="712">
        <f>SUMIFS(Sheet1!S71_PPPYearAmount,Sheet1!S71_SA34cCode,$AC:$AC,Sheet1!S71_RepMaintCode,$AD:$AD)</f>
        <v>0</v>
      </c>
      <c r="D65" s="712">
        <f>SUMIFS(Sheet1!S71_PPYearAmount,Sheet1!S71_SA34cCode,$AC:$AC,Sheet1!S71_RepMaintCode,$AD:$AD)</f>
        <v>0</v>
      </c>
      <c r="E65" s="715">
        <f>SUMIFS(Sheet1!S71_PYearAmount,Sheet1!S71_SA34cCode,$AC:$AC,Sheet1!S71_RepMaintCode,$AD:$AD)</f>
        <v>0</v>
      </c>
      <c r="F65" s="725">
        <f>SUMIFS(Sheet1!S71_OriginalBudAmnt,Sheet1!S71_SA34cCode,$AC:$AC,Sheet1!S71_RepMaintCode,$AD:$AD)</f>
        <v>0</v>
      </c>
      <c r="G65" s="712">
        <f>SUMIFS(Sheet1!S71_AdjustmentBudAmnt,Sheet1!S71_SA34cCode,$AC:$AC,Sheet1!S71_RepMaintCode,$AD:$AD)</f>
        <v>0</v>
      </c>
      <c r="H65" s="713">
        <f>SUMIFS(Sheet1!S71_AdjustmentBudAmnt,Sheet1!S71_SA34cCode,$AC:$AC,Sheet1!S71_RepMaintCode,$AD:$AD)</f>
        <v>0</v>
      </c>
      <c r="I65" s="725">
        <f>SUMIFS(Sheet1!S71_ASBudgetAmount,Sheet1!S71_SA34cCode,$AC:$AC,Sheet1!S71_RepMaintCode,$AD:$AD)</f>
        <v>0</v>
      </c>
      <c r="J65" s="712">
        <f>SUMIFS(Sheet1!S71_OY1BudgetAmount,Sheet1!S71_SA34cCode,$AC:$AC,Sheet1!S71_RepMaintCode,$AD:$AD)</f>
        <v>0</v>
      </c>
      <c r="K65" s="713">
        <f>SUMIFS(Sheet1!S71_OY2BudgetAmount,Sheet1!S71_SA34cCode,$AC:$AC,Sheet1!S71_RepMaintCode,$AD:$AD)</f>
        <v>0</v>
      </c>
      <c r="L65" s="322"/>
      <c r="AC65" s="2365" t="s">
        <v>2856</v>
      </c>
      <c r="AD65" s="2365" t="s">
        <v>2820</v>
      </c>
      <c r="AE65" s="2369" cm="1">
        <f t="array" ref="AE65">SUMIFS(Sheet1!S71_PreAuditActual,Sheet1!S71_SA34cCode,_xlfn.SINGLE($AC:$AC),Sheet1!S71_RepMaintCode,_xlfn.SINGLE($AD:$AD))</f>
        <v>0</v>
      </c>
    </row>
    <row r="66" spans="1:31" ht="13.15" customHeight="1" x14ac:dyDescent="0.25">
      <c r="A66" s="2125" t="s">
        <v>2274</v>
      </c>
      <c r="B66" s="144"/>
      <c r="C66" s="712">
        <f>SUMIFS(Sheet1!S71_PPPYearAmount,Sheet1!S71_SA34cCode,$AC:$AC,Sheet1!S71_RepMaintCode,$AD:$AD)</f>
        <v>0</v>
      </c>
      <c r="D66" s="712">
        <f>SUMIFS(Sheet1!S71_PPYearAmount,Sheet1!S71_SA34cCode,$AC:$AC,Sheet1!S71_RepMaintCode,$AD:$AD)</f>
        <v>0</v>
      </c>
      <c r="E66" s="715">
        <f>SUMIFS(Sheet1!S71_PYearAmount,Sheet1!S71_SA34cCode,$AC:$AC,Sheet1!S71_RepMaintCode,$AD:$AD)</f>
        <v>0</v>
      </c>
      <c r="F66" s="725">
        <f>SUMIFS(Sheet1!S71_OriginalBudAmnt,Sheet1!S71_SA34cCode,$AC:$AC,Sheet1!S71_RepMaintCode,$AD:$AD)</f>
        <v>0</v>
      </c>
      <c r="G66" s="712">
        <f>SUMIFS(Sheet1!S71_AdjustmentBudAmnt,Sheet1!S71_SA34cCode,$AC:$AC,Sheet1!S71_RepMaintCode,$AD:$AD)</f>
        <v>0</v>
      </c>
      <c r="H66" s="713">
        <f>SUMIFS(Sheet1!S71_AdjustmentBudAmnt,Sheet1!S71_SA34cCode,$AC:$AC,Sheet1!S71_RepMaintCode,$AD:$AD)</f>
        <v>0</v>
      </c>
      <c r="I66" s="725">
        <f>SUMIFS(Sheet1!S71_ASBudgetAmount,Sheet1!S71_SA34cCode,$AC:$AC,Sheet1!S71_RepMaintCode,$AD:$AD)</f>
        <v>0</v>
      </c>
      <c r="J66" s="712">
        <f>SUMIFS(Sheet1!S71_OY1BudgetAmount,Sheet1!S71_SA34cCode,$AC:$AC,Sheet1!S71_RepMaintCode,$AD:$AD)</f>
        <v>0</v>
      </c>
      <c r="K66" s="713">
        <f>SUMIFS(Sheet1!S71_OY2BudgetAmount,Sheet1!S71_SA34cCode,$AC:$AC,Sheet1!S71_RepMaintCode,$AD:$AD)</f>
        <v>0</v>
      </c>
      <c r="L66" s="322"/>
      <c r="AC66" s="2365" t="s">
        <v>2857</v>
      </c>
      <c r="AD66" s="2365" t="s">
        <v>2820</v>
      </c>
      <c r="AE66" s="2369" cm="1">
        <f t="array" ref="AE66">SUMIFS(Sheet1!S71_PreAuditActual,Sheet1!S71_SA34cCode,_xlfn.SINGLE($AC:$AC),Sheet1!S71_RepMaintCode,_xlfn.SINGLE($AD:$AD))</f>
        <v>0</v>
      </c>
    </row>
    <row r="67" spans="1:31" ht="13.15" customHeight="1" x14ac:dyDescent="0.25">
      <c r="A67" s="2125" t="s">
        <v>2233</v>
      </c>
      <c r="B67" s="144"/>
      <c r="C67" s="712">
        <f>SUMIFS(Sheet1!S71_PPPYearAmount,Sheet1!S71_SA34cCode,$AC:$AC,Sheet1!S71_RepMaintCode,$AD:$AD)</f>
        <v>0</v>
      </c>
      <c r="D67" s="712">
        <f>SUMIFS(Sheet1!S71_PPYearAmount,Sheet1!S71_SA34cCode,$AC:$AC,Sheet1!S71_RepMaintCode,$AD:$AD)</f>
        <v>0</v>
      </c>
      <c r="E67" s="715">
        <f>SUMIFS(Sheet1!S71_PYearAmount,Sheet1!S71_SA34cCode,$AC:$AC,Sheet1!S71_RepMaintCode,$AD:$AD)</f>
        <v>0</v>
      </c>
      <c r="F67" s="725">
        <f>SUMIFS(Sheet1!S71_OriginalBudAmnt,Sheet1!S71_SA34cCode,$AC:$AC,Sheet1!S71_RepMaintCode,$AD:$AD)</f>
        <v>0</v>
      </c>
      <c r="G67" s="712">
        <f>SUMIFS(Sheet1!S71_AdjustmentBudAmnt,Sheet1!S71_SA34cCode,$AC:$AC,Sheet1!S71_RepMaintCode,$AD:$AD)</f>
        <v>0</v>
      </c>
      <c r="H67" s="713">
        <f>SUMIFS(Sheet1!S71_AdjustmentBudAmnt,Sheet1!S71_SA34cCode,$AC:$AC,Sheet1!S71_RepMaintCode,$AD:$AD)</f>
        <v>0</v>
      </c>
      <c r="I67" s="725">
        <f>SUMIFS(Sheet1!S71_ASBudgetAmount,Sheet1!S71_SA34cCode,$AC:$AC,Sheet1!S71_RepMaintCode,$AD:$AD)</f>
        <v>0</v>
      </c>
      <c r="J67" s="712">
        <f>SUMIFS(Sheet1!S71_OY1BudgetAmount,Sheet1!S71_SA34cCode,$AC:$AC,Sheet1!S71_RepMaintCode,$AD:$AD)</f>
        <v>0</v>
      </c>
      <c r="K67" s="713">
        <f>SUMIFS(Sheet1!S71_OY2BudgetAmount,Sheet1!S71_SA34cCode,$AC:$AC,Sheet1!S71_RepMaintCode,$AD:$AD)</f>
        <v>0</v>
      </c>
      <c r="L67" s="322"/>
      <c r="AC67" s="2365" t="s">
        <v>2858</v>
      </c>
      <c r="AD67" s="2365" t="s">
        <v>2820</v>
      </c>
      <c r="AE67" s="2369" cm="1">
        <f t="array" ref="AE67">SUMIFS(Sheet1!S71_PreAuditActual,Sheet1!S71_SA34cCode,_xlfn.SINGLE($AC:$AC),Sheet1!S71_RepMaintCode,_xlfn.SINGLE($AD:$AD))</f>
        <v>0</v>
      </c>
    </row>
    <row r="68" spans="1:31" ht="13.15" customHeight="1" x14ac:dyDescent="0.25">
      <c r="A68" s="104" t="s">
        <v>2266</v>
      </c>
      <c r="B68" s="144"/>
      <c r="C68" s="71">
        <f>SUM(C69:C72)</f>
        <v>0</v>
      </c>
      <c r="D68" s="71">
        <f t="shared" ref="D68:K68" si="9">SUM(D69:D72)</f>
        <v>0</v>
      </c>
      <c r="E68" s="305">
        <f t="shared" si="9"/>
        <v>0</v>
      </c>
      <c r="F68" s="75">
        <f t="shared" si="9"/>
        <v>0</v>
      </c>
      <c r="G68" s="71">
        <f t="shared" si="9"/>
        <v>0</v>
      </c>
      <c r="H68" s="117">
        <f t="shared" si="9"/>
        <v>0</v>
      </c>
      <c r="I68" s="75">
        <f t="shared" si="9"/>
        <v>0</v>
      </c>
      <c r="J68" s="71">
        <f t="shared" si="9"/>
        <v>0</v>
      </c>
      <c r="K68" s="117">
        <f t="shared" si="9"/>
        <v>0</v>
      </c>
      <c r="L68" s="322"/>
      <c r="AD68" s="2365" t="s">
        <v>2820</v>
      </c>
      <c r="AE68" s="2369" cm="1">
        <f t="array" ref="AE68">SUMIFS(Sheet1!S71_PreAuditActual,Sheet1!S71_SA34cCode,_xlfn.SINGLE($AC:$AC),Sheet1!S71_RepMaintCode,_xlfn.SINGLE($AD:$AD))</f>
        <v>0</v>
      </c>
    </row>
    <row r="69" spans="1:31" ht="13.15" customHeight="1" x14ac:dyDescent="0.25">
      <c r="A69" s="2125" t="s">
        <v>2267</v>
      </c>
      <c r="B69" s="144"/>
      <c r="C69" s="712">
        <f>SUMIFS(Sheet1!S71_PPPYearAmount,Sheet1!S71_SA34cCode,$AC:$AC,Sheet1!S71_RepMaintCode,$AD:$AD)</f>
        <v>0</v>
      </c>
      <c r="D69" s="712">
        <f>SUMIFS(Sheet1!S71_PPYearAmount,Sheet1!S71_SA34cCode,$AC:$AC,Sheet1!S71_RepMaintCode,$AD:$AD)</f>
        <v>0</v>
      </c>
      <c r="E69" s="715">
        <f>SUMIFS(Sheet1!S71_PYearAmount,Sheet1!S71_SA34cCode,$AC:$AC,Sheet1!S71_RepMaintCode,$AD:$AD)</f>
        <v>0</v>
      </c>
      <c r="F69" s="725">
        <f>SUMIFS(Sheet1!S71_OriginalBudAmnt,Sheet1!S71_SA34cCode,$AC:$AC,Sheet1!S71_RepMaintCode,$AD:$AD)</f>
        <v>0</v>
      </c>
      <c r="G69" s="712">
        <f>SUMIFS(Sheet1!S71_AdjustmentBudAmnt,Sheet1!S71_SA34cCode,$AC:$AC,Sheet1!S71_RepMaintCode,$AD:$AD)</f>
        <v>0</v>
      </c>
      <c r="H69" s="713">
        <f>SUMIFS(Sheet1!S71_AdjustmentBudAmnt,Sheet1!S71_SA34cCode,$AC:$AC,Sheet1!S71_RepMaintCode,$AD:$AD)</f>
        <v>0</v>
      </c>
      <c r="I69" s="725">
        <f>SUMIFS(Sheet1!S71_ASBudgetAmount,Sheet1!S71_SA34cCode,$AC:$AC,Sheet1!S71_RepMaintCode,$AD:$AD)</f>
        <v>0</v>
      </c>
      <c r="J69" s="712">
        <f>SUMIFS(Sheet1!S71_OY1BudgetAmount,Sheet1!S71_SA34cCode,$AC:$AC,Sheet1!S71_RepMaintCode,$AD:$AD)</f>
        <v>0</v>
      </c>
      <c r="K69" s="713">
        <f>SUMIFS(Sheet1!S71_OY2BudgetAmount,Sheet1!S71_SA34cCode,$AC:$AC,Sheet1!S71_RepMaintCode,$AD:$AD)</f>
        <v>0</v>
      </c>
      <c r="L69" s="322"/>
      <c r="AC69" s="2365" t="s">
        <v>2859</v>
      </c>
      <c r="AD69" s="2365" t="s">
        <v>2820</v>
      </c>
      <c r="AE69" s="2369" cm="1">
        <f t="array" ref="AE69">SUMIFS(Sheet1!S71_PreAuditActual,Sheet1!S71_SA34cCode,_xlfn.SINGLE($AC:$AC),Sheet1!S71_RepMaintCode,_xlfn.SINGLE($AD:$AD))</f>
        <v>0</v>
      </c>
    </row>
    <row r="70" spans="1:31" ht="13.15" customHeight="1" x14ac:dyDescent="0.25">
      <c r="A70" s="2125" t="s">
        <v>2268</v>
      </c>
      <c r="B70" s="144"/>
      <c r="C70" s="712">
        <f>SUMIFS(Sheet1!S71_PPPYearAmount,Sheet1!S71_SA34cCode,$AC:$AC,Sheet1!S71_RepMaintCode,$AD:$AD)</f>
        <v>0</v>
      </c>
      <c r="D70" s="712">
        <f>SUMIFS(Sheet1!S71_PPYearAmount,Sheet1!S71_SA34cCode,$AC:$AC,Sheet1!S71_RepMaintCode,$AD:$AD)</f>
        <v>0</v>
      </c>
      <c r="E70" s="715">
        <f>SUMIFS(Sheet1!S71_PYearAmount,Sheet1!S71_SA34cCode,$AC:$AC,Sheet1!S71_RepMaintCode,$AD:$AD)</f>
        <v>0</v>
      </c>
      <c r="F70" s="725">
        <f>SUMIFS(Sheet1!S71_OriginalBudAmnt,Sheet1!S71_SA34cCode,$AC:$AC,Sheet1!S71_RepMaintCode,$AD:$AD)</f>
        <v>0</v>
      </c>
      <c r="G70" s="712">
        <f>SUMIFS(Sheet1!S71_AdjustmentBudAmnt,Sheet1!S71_SA34cCode,$AC:$AC,Sheet1!S71_RepMaintCode,$AD:$AD)</f>
        <v>0</v>
      </c>
      <c r="H70" s="713">
        <f>SUMIFS(Sheet1!S71_AdjustmentBudAmnt,Sheet1!S71_SA34cCode,$AC:$AC,Sheet1!S71_RepMaintCode,$AD:$AD)</f>
        <v>0</v>
      </c>
      <c r="I70" s="725">
        <f>SUMIFS(Sheet1!S71_ASBudgetAmount,Sheet1!S71_SA34cCode,$AC:$AC,Sheet1!S71_RepMaintCode,$AD:$AD)</f>
        <v>0</v>
      </c>
      <c r="J70" s="712">
        <f>SUMIFS(Sheet1!S71_OY1BudgetAmount,Sheet1!S71_SA34cCode,$AC:$AC,Sheet1!S71_RepMaintCode,$AD:$AD)</f>
        <v>0</v>
      </c>
      <c r="K70" s="713">
        <f>SUMIFS(Sheet1!S71_OY2BudgetAmount,Sheet1!S71_SA34cCode,$AC:$AC,Sheet1!S71_RepMaintCode,$AD:$AD)</f>
        <v>0</v>
      </c>
      <c r="L70" s="322"/>
      <c r="AC70" s="2365" t="s">
        <v>2860</v>
      </c>
      <c r="AD70" s="2365" t="s">
        <v>2820</v>
      </c>
      <c r="AE70" s="2369" cm="1">
        <f t="array" ref="AE70">SUMIFS(Sheet1!S71_PreAuditActual,Sheet1!S71_SA34cCode,_xlfn.SINGLE($AC:$AC),Sheet1!S71_RepMaintCode,_xlfn.SINGLE($AD:$AD))</f>
        <v>0</v>
      </c>
    </row>
    <row r="71" spans="1:31" ht="13.15" customHeight="1" x14ac:dyDescent="0.25">
      <c r="A71" s="2125" t="s">
        <v>2269</v>
      </c>
      <c r="B71" s="144"/>
      <c r="C71" s="712">
        <f>SUMIFS(Sheet1!S71_PPPYearAmount,Sheet1!S71_SA34cCode,$AC:$AC,Sheet1!S71_RepMaintCode,$AD:$AD)</f>
        <v>0</v>
      </c>
      <c r="D71" s="712">
        <f>SUMIFS(Sheet1!S71_PPYearAmount,Sheet1!S71_SA34cCode,$AC:$AC,Sheet1!S71_RepMaintCode,$AD:$AD)</f>
        <v>0</v>
      </c>
      <c r="E71" s="715">
        <f>SUMIFS(Sheet1!S71_PYearAmount,Sheet1!S71_SA34cCode,$AC:$AC,Sheet1!S71_RepMaintCode,$AD:$AD)</f>
        <v>0</v>
      </c>
      <c r="F71" s="725">
        <f>SUMIFS(Sheet1!S71_OriginalBudAmnt,Sheet1!S71_SA34cCode,$AC:$AC,Sheet1!S71_RepMaintCode,$AD:$AD)</f>
        <v>0</v>
      </c>
      <c r="G71" s="712">
        <f>SUMIFS(Sheet1!S71_AdjustmentBudAmnt,Sheet1!S71_SA34cCode,$AC:$AC,Sheet1!S71_RepMaintCode,$AD:$AD)</f>
        <v>0</v>
      </c>
      <c r="H71" s="713">
        <f>SUMIFS(Sheet1!S71_AdjustmentBudAmnt,Sheet1!S71_SA34cCode,$AC:$AC,Sheet1!S71_RepMaintCode,$AD:$AD)</f>
        <v>0</v>
      </c>
      <c r="I71" s="725">
        <f>SUMIFS(Sheet1!S71_ASBudgetAmount,Sheet1!S71_SA34cCode,$AC:$AC,Sheet1!S71_RepMaintCode,$AD:$AD)</f>
        <v>0</v>
      </c>
      <c r="J71" s="712">
        <f>SUMIFS(Sheet1!S71_OY1BudgetAmount,Sheet1!S71_SA34cCode,$AC:$AC,Sheet1!S71_RepMaintCode,$AD:$AD)</f>
        <v>0</v>
      </c>
      <c r="K71" s="713">
        <f>SUMIFS(Sheet1!S71_OY2BudgetAmount,Sheet1!S71_SA34cCode,$AC:$AC,Sheet1!S71_RepMaintCode,$AD:$AD)</f>
        <v>0</v>
      </c>
      <c r="L71" s="322"/>
      <c r="AC71" s="2365" t="s">
        <v>2861</v>
      </c>
      <c r="AD71" s="2365" t="s">
        <v>2820</v>
      </c>
      <c r="AE71" s="2369" cm="1">
        <f t="array" ref="AE71">SUMIFS(Sheet1!S71_PreAuditActual,Sheet1!S71_SA34cCode,_xlfn.SINGLE($AC:$AC),Sheet1!S71_RepMaintCode,_xlfn.SINGLE($AD:$AD))</f>
        <v>0</v>
      </c>
    </row>
    <row r="72" spans="1:31" ht="13.15" customHeight="1" x14ac:dyDescent="0.25">
      <c r="A72" s="2125" t="s">
        <v>2233</v>
      </c>
      <c r="B72" s="144"/>
      <c r="C72" s="712">
        <f>SUMIFS(Sheet1!S71_PPPYearAmount,Sheet1!S71_SA34cCode,$AC:$AC,Sheet1!S71_RepMaintCode,$AD:$AD)</f>
        <v>0</v>
      </c>
      <c r="D72" s="712">
        <f>SUMIFS(Sheet1!S71_PPYearAmount,Sheet1!S71_SA34cCode,$AC:$AC,Sheet1!S71_RepMaintCode,$AD:$AD)</f>
        <v>0</v>
      </c>
      <c r="E72" s="715">
        <f>SUMIFS(Sheet1!S71_PYearAmount,Sheet1!S71_SA34cCode,$AC:$AC,Sheet1!S71_RepMaintCode,$AD:$AD)</f>
        <v>0</v>
      </c>
      <c r="F72" s="725">
        <f>SUMIFS(Sheet1!S71_OriginalBudAmnt,Sheet1!S71_SA34cCode,$AC:$AC,Sheet1!S71_RepMaintCode,$AD:$AD)</f>
        <v>0</v>
      </c>
      <c r="G72" s="712">
        <f>SUMIFS(Sheet1!S71_AdjustmentBudAmnt,Sheet1!S71_SA34cCode,$AC:$AC,Sheet1!S71_RepMaintCode,$AD:$AD)</f>
        <v>0</v>
      </c>
      <c r="H72" s="713">
        <f>SUMIFS(Sheet1!S71_AdjustmentBudAmnt,Sheet1!S71_SA34cCode,$AC:$AC,Sheet1!S71_RepMaintCode,$AD:$AD)</f>
        <v>0</v>
      </c>
      <c r="I72" s="725">
        <f>SUMIFS(Sheet1!S71_ASBudgetAmount,Sheet1!S71_SA34cCode,$AC:$AC,Sheet1!S71_RepMaintCode,$AD:$AD)</f>
        <v>0</v>
      </c>
      <c r="J72" s="712">
        <f>SUMIFS(Sheet1!S71_OY1BudgetAmount,Sheet1!S71_SA34cCode,$AC:$AC,Sheet1!S71_RepMaintCode,$AD:$AD)</f>
        <v>0</v>
      </c>
      <c r="K72" s="713">
        <f>SUMIFS(Sheet1!S71_OY2BudgetAmount,Sheet1!S71_SA34cCode,$AC:$AC,Sheet1!S71_RepMaintCode,$AD:$AD)</f>
        <v>0</v>
      </c>
      <c r="L72" s="322"/>
      <c r="AC72" s="2365" t="s">
        <v>2862</v>
      </c>
      <c r="AD72" s="2365" t="s">
        <v>2820</v>
      </c>
      <c r="AE72" s="2369" cm="1">
        <f t="array" ref="AE72">SUMIFS(Sheet1!S71_PreAuditActual,Sheet1!S71_SA34cCode,_xlfn.SINGLE($AC:$AC),Sheet1!S71_RepMaintCode,_xlfn.SINGLE($AD:$AD))</f>
        <v>0</v>
      </c>
    </row>
    <row r="73" spans="1:31" ht="4.9000000000000004" customHeight="1" x14ac:dyDescent="0.25">
      <c r="A73" s="116"/>
      <c r="B73" s="144"/>
      <c r="C73" s="177"/>
      <c r="D73" s="177"/>
      <c r="E73" s="180"/>
      <c r="F73" s="179"/>
      <c r="G73" s="177"/>
      <c r="H73" s="178"/>
      <c r="I73" s="179"/>
      <c r="J73" s="177"/>
      <c r="K73" s="178"/>
      <c r="L73" s="322"/>
      <c r="AD73" s="2365" t="s">
        <v>2820</v>
      </c>
      <c r="AE73" s="2369" cm="1">
        <f t="array" ref="AE73">SUMIFS(Sheet1!S71_PreAuditActual,Sheet1!S71_SA34cCode,_xlfn.SINGLE($AC:$AC),Sheet1!S71_RepMaintCode,_xlfn.SINGLE($AD:$AD))</f>
        <v>0</v>
      </c>
    </row>
    <row r="74" spans="1:31" ht="13.15" customHeight="1" x14ac:dyDescent="0.25">
      <c r="A74" s="96" t="s">
        <v>2282</v>
      </c>
      <c r="B74" s="144"/>
      <c r="C74" s="98">
        <f>C75+C98</f>
        <v>0</v>
      </c>
      <c r="D74" s="98">
        <f t="shared" ref="D74:K74" si="10">D75+D98</f>
        <v>2835908</v>
      </c>
      <c r="E74" s="101">
        <f t="shared" si="10"/>
        <v>5083670</v>
      </c>
      <c r="F74" s="100">
        <f t="shared" si="10"/>
        <v>3500000</v>
      </c>
      <c r="G74" s="98">
        <f t="shared" si="10"/>
        <v>6479775</v>
      </c>
      <c r="H74" s="99">
        <f t="shared" si="10"/>
        <v>6479775</v>
      </c>
      <c r="I74" s="100">
        <f t="shared" si="10"/>
        <v>6900000</v>
      </c>
      <c r="J74" s="98">
        <f t="shared" si="10"/>
        <v>3850000</v>
      </c>
      <c r="K74" s="99">
        <f t="shared" si="10"/>
        <v>4235000</v>
      </c>
      <c r="L74" s="322"/>
      <c r="AD74" s="2365" t="s">
        <v>2820</v>
      </c>
      <c r="AE74" s="2369" cm="1">
        <f t="array" ref="AE74">SUMIFS(Sheet1!S71_PreAuditActual,Sheet1!S71_SA34cCode,_xlfn.SINGLE($AC:$AC),Sheet1!S71_RepMaintCode,_xlfn.SINGLE($AD:$AD))</f>
        <v>0</v>
      </c>
    </row>
    <row r="75" spans="1:31" ht="13.15" customHeight="1" x14ac:dyDescent="0.25">
      <c r="A75" s="104" t="s">
        <v>2283</v>
      </c>
      <c r="B75" s="144"/>
      <c r="C75" s="82">
        <f>SUM(C76:C97)</f>
        <v>0</v>
      </c>
      <c r="D75" s="82">
        <f t="shared" ref="D75:K75" si="11">SUM(D76:D97)</f>
        <v>1436085</v>
      </c>
      <c r="E75" s="304">
        <f t="shared" si="11"/>
        <v>1950906</v>
      </c>
      <c r="F75" s="83">
        <f t="shared" si="11"/>
        <v>2000000</v>
      </c>
      <c r="G75" s="82">
        <f t="shared" si="11"/>
        <v>4979775</v>
      </c>
      <c r="H75" s="115">
        <f t="shared" si="11"/>
        <v>4979775</v>
      </c>
      <c r="I75" s="83">
        <f t="shared" si="11"/>
        <v>5000000</v>
      </c>
      <c r="J75" s="82">
        <f t="shared" si="11"/>
        <v>2200000</v>
      </c>
      <c r="K75" s="115">
        <f t="shared" si="11"/>
        <v>2420000</v>
      </c>
      <c r="L75" s="322"/>
      <c r="AD75" s="2365" t="s">
        <v>2820</v>
      </c>
      <c r="AE75" s="2369" cm="1">
        <f t="array" ref="AE75">SUMIFS(Sheet1!S71_PreAuditActual,Sheet1!S71_SA34cCode,_xlfn.SINGLE($AC:$AC),Sheet1!S71_RepMaintCode,_xlfn.SINGLE($AD:$AD))</f>
        <v>0</v>
      </c>
    </row>
    <row r="76" spans="1:31" ht="13.15" customHeight="1" x14ac:dyDescent="0.25">
      <c r="A76" s="2125" t="s">
        <v>2284</v>
      </c>
      <c r="B76" s="144"/>
      <c r="C76" s="712">
        <f>SUMIFS(Sheet1!S71_PPPYearAmount,Sheet1!S71_SA34cCode,$AC:$AC,Sheet1!S71_RepMaintCode,$AD:$AD)</f>
        <v>0</v>
      </c>
      <c r="D76" s="712">
        <f>SUMIFS(Sheet1!S71_PPYearAmount,Sheet1!S71_SA34cCode,$AC:$AC,Sheet1!S71_RepMaintCode,$AD:$AD)</f>
        <v>909301</v>
      </c>
      <c r="E76" s="715">
        <f>SUMIFS(Sheet1!S71_PYearAmount,Sheet1!S71_SA34cCode,$AC:$AC,Sheet1!S71_RepMaintCode,$AD:$AD)</f>
        <v>1699102</v>
      </c>
      <c r="F76" s="725">
        <f>SUMIFS(Sheet1!S71_OriginalBudAmnt,Sheet1!S71_SA34cCode,$AC:$AC,Sheet1!S71_RepMaintCode,$AD:$AD)</f>
        <v>2000000</v>
      </c>
      <c r="G76" s="712">
        <f>SUMIFS(Sheet1!S71_AdjustmentBudAmnt,Sheet1!S71_SA34cCode,$AC:$AC,Sheet1!S71_RepMaintCode,$AD:$AD)</f>
        <v>4979775</v>
      </c>
      <c r="H76" s="713">
        <f>SUMIFS(Sheet1!S71_AdjustmentBudAmnt,Sheet1!S71_SA34cCode,$AC:$AC,Sheet1!S71_RepMaintCode,$AD:$AD)</f>
        <v>4979775</v>
      </c>
      <c r="I76" s="725">
        <f>SUMIFS(Sheet1!S71_ASBudgetAmount,Sheet1!S71_SA34cCode,$AC:$AC,Sheet1!S71_RepMaintCode,$AD:$AD)</f>
        <v>5000000</v>
      </c>
      <c r="J76" s="712">
        <f>SUMIFS(Sheet1!S71_OY1BudgetAmount,Sheet1!S71_SA34cCode,$AC:$AC,Sheet1!S71_RepMaintCode,$AD:$AD)</f>
        <v>2200000</v>
      </c>
      <c r="K76" s="713">
        <f>SUMIFS(Sheet1!S71_OY2BudgetAmount,Sheet1!S71_SA34cCode,$AC:$AC,Sheet1!S71_RepMaintCode,$AD:$AD)</f>
        <v>2420000</v>
      </c>
      <c r="L76" s="322"/>
      <c r="AC76" s="2365" t="s">
        <v>2863</v>
      </c>
      <c r="AD76" s="2365" t="s">
        <v>2820</v>
      </c>
      <c r="AE76" s="2369" cm="1">
        <f t="array" ref="AE76">SUMIFS(Sheet1!S71_PreAuditActual,Sheet1!S71_SA34cCode,_xlfn.SINGLE($AC:$AC),Sheet1!S71_RepMaintCode,_xlfn.SINGLE($AD:$AD))</f>
        <v>3156374</v>
      </c>
    </row>
    <row r="77" spans="1:31" ht="13.15" customHeight="1" x14ac:dyDescent="0.25">
      <c r="A77" s="2125" t="s">
        <v>2285</v>
      </c>
      <c r="B77" s="144"/>
      <c r="C77" s="712">
        <f>SUMIFS(Sheet1!S71_PPPYearAmount,Sheet1!S71_SA34cCode,$AC:$AC,Sheet1!S71_RepMaintCode,$AD:$AD)</f>
        <v>0</v>
      </c>
      <c r="D77" s="712">
        <f>SUMIFS(Sheet1!S71_PPYearAmount,Sheet1!S71_SA34cCode,$AC:$AC,Sheet1!S71_RepMaintCode,$AD:$AD)</f>
        <v>0</v>
      </c>
      <c r="E77" s="715">
        <f>SUMIFS(Sheet1!S71_PYearAmount,Sheet1!S71_SA34cCode,$AC:$AC,Sheet1!S71_RepMaintCode,$AD:$AD)</f>
        <v>0</v>
      </c>
      <c r="F77" s="725">
        <f>SUMIFS(Sheet1!S71_OriginalBudAmnt,Sheet1!S71_SA34cCode,$AC:$AC,Sheet1!S71_RepMaintCode,$AD:$AD)</f>
        <v>0</v>
      </c>
      <c r="G77" s="712">
        <f>SUMIFS(Sheet1!S71_AdjustmentBudAmnt,Sheet1!S71_SA34cCode,$AC:$AC,Sheet1!S71_RepMaintCode,$AD:$AD)</f>
        <v>0</v>
      </c>
      <c r="H77" s="713">
        <f>SUMIFS(Sheet1!S71_AdjustmentBudAmnt,Sheet1!S71_SA34cCode,$AC:$AC,Sheet1!S71_RepMaintCode,$AD:$AD)</f>
        <v>0</v>
      </c>
      <c r="I77" s="725">
        <f>SUMIFS(Sheet1!S71_ASBudgetAmount,Sheet1!S71_SA34cCode,$AC:$AC,Sheet1!S71_RepMaintCode,$AD:$AD)</f>
        <v>0</v>
      </c>
      <c r="J77" s="712">
        <f>SUMIFS(Sheet1!S71_OY1BudgetAmount,Sheet1!S71_SA34cCode,$AC:$AC,Sheet1!S71_RepMaintCode,$AD:$AD)</f>
        <v>0</v>
      </c>
      <c r="K77" s="713">
        <f>SUMIFS(Sheet1!S71_OY2BudgetAmount,Sheet1!S71_SA34cCode,$AC:$AC,Sheet1!S71_RepMaintCode,$AD:$AD)</f>
        <v>0</v>
      </c>
      <c r="L77" s="322"/>
      <c r="AC77" s="2365" t="s">
        <v>2701</v>
      </c>
      <c r="AD77" s="2365" t="s">
        <v>2820</v>
      </c>
      <c r="AE77" s="2369" cm="1">
        <f t="array" ref="AE77">SUMIFS(Sheet1!S71_PreAuditActual,Sheet1!S71_SA34cCode,_xlfn.SINGLE($AC:$AC),Sheet1!S71_RepMaintCode,_xlfn.SINGLE($AD:$AD))</f>
        <v>0</v>
      </c>
    </row>
    <row r="78" spans="1:31" ht="13.15" customHeight="1" x14ac:dyDescent="0.25">
      <c r="A78" s="2125" t="s">
        <v>2286</v>
      </c>
      <c r="B78" s="144"/>
      <c r="C78" s="712">
        <f>SUMIFS(Sheet1!S71_PPPYearAmount,Sheet1!S71_SA34cCode,$AC:$AC,Sheet1!S71_RepMaintCode,$AD:$AD)</f>
        <v>0</v>
      </c>
      <c r="D78" s="712">
        <f>SUMIFS(Sheet1!S71_PPYearAmount,Sheet1!S71_SA34cCode,$AC:$AC,Sheet1!S71_RepMaintCode,$AD:$AD)</f>
        <v>526784</v>
      </c>
      <c r="E78" s="715">
        <f>SUMIFS(Sheet1!S71_PYearAmount,Sheet1!S71_SA34cCode,$AC:$AC,Sheet1!S71_RepMaintCode,$AD:$AD)</f>
        <v>251804</v>
      </c>
      <c r="F78" s="725">
        <f>SUMIFS(Sheet1!S71_OriginalBudAmnt,Sheet1!S71_SA34cCode,$AC:$AC,Sheet1!S71_RepMaintCode,$AD:$AD)</f>
        <v>0</v>
      </c>
      <c r="G78" s="712">
        <f>SUMIFS(Sheet1!S71_AdjustmentBudAmnt,Sheet1!S71_SA34cCode,$AC:$AC,Sheet1!S71_RepMaintCode,$AD:$AD)</f>
        <v>0</v>
      </c>
      <c r="H78" s="713">
        <f>SUMIFS(Sheet1!S71_AdjustmentBudAmnt,Sheet1!S71_SA34cCode,$AC:$AC,Sheet1!S71_RepMaintCode,$AD:$AD)</f>
        <v>0</v>
      </c>
      <c r="I78" s="725">
        <f>SUMIFS(Sheet1!S71_ASBudgetAmount,Sheet1!S71_SA34cCode,$AC:$AC,Sheet1!S71_RepMaintCode,$AD:$AD)</f>
        <v>0</v>
      </c>
      <c r="J78" s="712">
        <f>SUMIFS(Sheet1!S71_OY1BudgetAmount,Sheet1!S71_SA34cCode,$AC:$AC,Sheet1!S71_RepMaintCode,$AD:$AD)</f>
        <v>0</v>
      </c>
      <c r="K78" s="713">
        <f>SUMIFS(Sheet1!S71_OY2BudgetAmount,Sheet1!S71_SA34cCode,$AC:$AC,Sheet1!S71_RepMaintCode,$AD:$AD)</f>
        <v>0</v>
      </c>
      <c r="L78" s="322"/>
      <c r="AC78" s="2365" t="s">
        <v>2864</v>
      </c>
      <c r="AD78" s="2365" t="s">
        <v>2820</v>
      </c>
      <c r="AE78" s="2369" cm="1">
        <f t="array" ref="AE78">SUMIFS(Sheet1!S71_PreAuditActual,Sheet1!S71_SA34cCode,_xlfn.SINGLE($AC:$AC),Sheet1!S71_RepMaintCode,_xlfn.SINGLE($AD:$AD))</f>
        <v>0</v>
      </c>
    </row>
    <row r="79" spans="1:31" ht="13.15" customHeight="1" x14ac:dyDescent="0.25">
      <c r="A79" s="2125" t="s">
        <v>2287</v>
      </c>
      <c r="B79" s="144"/>
      <c r="C79" s="712">
        <f>SUMIFS(Sheet1!S71_PPPYearAmount,Sheet1!S71_SA34cCode,$AC:$AC,Sheet1!S71_RepMaintCode,$AD:$AD)</f>
        <v>0</v>
      </c>
      <c r="D79" s="712">
        <f>SUMIFS(Sheet1!S71_PPYearAmount,Sheet1!S71_SA34cCode,$AC:$AC,Sheet1!S71_RepMaintCode,$AD:$AD)</f>
        <v>0</v>
      </c>
      <c r="E79" s="715">
        <f>SUMIFS(Sheet1!S71_PYearAmount,Sheet1!S71_SA34cCode,$AC:$AC,Sheet1!S71_RepMaintCode,$AD:$AD)</f>
        <v>0</v>
      </c>
      <c r="F79" s="725">
        <f>SUMIFS(Sheet1!S71_OriginalBudAmnt,Sheet1!S71_SA34cCode,$AC:$AC,Sheet1!S71_RepMaintCode,$AD:$AD)</f>
        <v>0</v>
      </c>
      <c r="G79" s="712">
        <f>SUMIFS(Sheet1!S71_AdjustmentBudAmnt,Sheet1!S71_SA34cCode,$AC:$AC,Sheet1!S71_RepMaintCode,$AD:$AD)</f>
        <v>0</v>
      </c>
      <c r="H79" s="713">
        <f>SUMIFS(Sheet1!S71_AdjustmentBudAmnt,Sheet1!S71_SA34cCode,$AC:$AC,Sheet1!S71_RepMaintCode,$AD:$AD)</f>
        <v>0</v>
      </c>
      <c r="I79" s="725">
        <f>SUMIFS(Sheet1!S71_ASBudgetAmount,Sheet1!S71_SA34cCode,$AC:$AC,Sheet1!S71_RepMaintCode,$AD:$AD)</f>
        <v>0</v>
      </c>
      <c r="J79" s="712">
        <f>SUMIFS(Sheet1!S71_OY1BudgetAmount,Sheet1!S71_SA34cCode,$AC:$AC,Sheet1!S71_RepMaintCode,$AD:$AD)</f>
        <v>0</v>
      </c>
      <c r="K79" s="713">
        <f>SUMIFS(Sheet1!S71_OY2BudgetAmount,Sheet1!S71_SA34cCode,$AC:$AC,Sheet1!S71_RepMaintCode,$AD:$AD)</f>
        <v>0</v>
      </c>
      <c r="L79" s="322"/>
      <c r="AC79" s="2365" t="s">
        <v>2865</v>
      </c>
      <c r="AD79" s="2365" t="s">
        <v>2820</v>
      </c>
      <c r="AE79" s="2369" cm="1">
        <f t="array" ref="AE79">SUMIFS(Sheet1!S71_PreAuditActual,Sheet1!S71_SA34cCode,_xlfn.SINGLE($AC:$AC),Sheet1!S71_RepMaintCode,_xlfn.SINGLE($AD:$AD))</f>
        <v>0</v>
      </c>
    </row>
    <row r="80" spans="1:31" ht="13.15" customHeight="1" x14ac:dyDescent="0.25">
      <c r="A80" s="2125" t="s">
        <v>2288</v>
      </c>
      <c r="B80" s="144"/>
      <c r="C80" s="712">
        <f>SUMIFS(Sheet1!S71_PPPYearAmount,Sheet1!S71_SA34cCode,$AC:$AC,Sheet1!S71_RepMaintCode,$AD:$AD)</f>
        <v>0</v>
      </c>
      <c r="D80" s="712">
        <f>SUMIFS(Sheet1!S71_PPYearAmount,Sheet1!S71_SA34cCode,$AC:$AC,Sheet1!S71_RepMaintCode,$AD:$AD)</f>
        <v>0</v>
      </c>
      <c r="E80" s="715">
        <f>SUMIFS(Sheet1!S71_PYearAmount,Sheet1!S71_SA34cCode,$AC:$AC,Sheet1!S71_RepMaintCode,$AD:$AD)</f>
        <v>0</v>
      </c>
      <c r="F80" s="725">
        <f>SUMIFS(Sheet1!S71_OriginalBudAmnt,Sheet1!S71_SA34cCode,$AC:$AC,Sheet1!S71_RepMaintCode,$AD:$AD)</f>
        <v>0</v>
      </c>
      <c r="G80" s="712">
        <f>SUMIFS(Sheet1!S71_AdjustmentBudAmnt,Sheet1!S71_SA34cCode,$AC:$AC,Sheet1!S71_RepMaintCode,$AD:$AD)</f>
        <v>0</v>
      </c>
      <c r="H80" s="713">
        <f>SUMIFS(Sheet1!S71_AdjustmentBudAmnt,Sheet1!S71_SA34cCode,$AC:$AC,Sheet1!S71_RepMaintCode,$AD:$AD)</f>
        <v>0</v>
      </c>
      <c r="I80" s="725">
        <f>SUMIFS(Sheet1!S71_ASBudgetAmount,Sheet1!S71_SA34cCode,$AC:$AC,Sheet1!S71_RepMaintCode,$AD:$AD)</f>
        <v>0</v>
      </c>
      <c r="J80" s="712">
        <f>SUMIFS(Sheet1!S71_OY1BudgetAmount,Sheet1!S71_SA34cCode,$AC:$AC,Sheet1!S71_RepMaintCode,$AD:$AD)</f>
        <v>0</v>
      </c>
      <c r="K80" s="713">
        <f>SUMIFS(Sheet1!S71_OY2BudgetAmount,Sheet1!S71_SA34cCode,$AC:$AC,Sheet1!S71_RepMaintCode,$AD:$AD)</f>
        <v>0</v>
      </c>
      <c r="L80" s="322"/>
      <c r="AC80" s="2365" t="s">
        <v>2866</v>
      </c>
      <c r="AD80" s="2365" t="s">
        <v>2820</v>
      </c>
      <c r="AE80" s="2369" cm="1">
        <f t="array" ref="AE80">SUMIFS(Sheet1!S71_PreAuditActual,Sheet1!S71_SA34cCode,_xlfn.SINGLE($AC:$AC),Sheet1!S71_RepMaintCode,_xlfn.SINGLE($AD:$AD))</f>
        <v>0</v>
      </c>
    </row>
    <row r="81" spans="1:31" ht="13.15" customHeight="1" x14ac:dyDescent="0.25">
      <c r="A81" s="2125" t="s">
        <v>2289</v>
      </c>
      <c r="B81" s="144"/>
      <c r="C81" s="712">
        <f>SUMIFS(Sheet1!S71_PPPYearAmount,Sheet1!S71_SA34cCode,$AC:$AC,Sheet1!S71_RepMaintCode,$AD:$AD)</f>
        <v>0</v>
      </c>
      <c r="D81" s="712">
        <f>SUMIFS(Sheet1!S71_PPYearAmount,Sheet1!S71_SA34cCode,$AC:$AC,Sheet1!S71_RepMaintCode,$AD:$AD)</f>
        <v>0</v>
      </c>
      <c r="E81" s="715">
        <f>SUMIFS(Sheet1!S71_PYearAmount,Sheet1!S71_SA34cCode,$AC:$AC,Sheet1!S71_RepMaintCode,$AD:$AD)</f>
        <v>0</v>
      </c>
      <c r="F81" s="725">
        <f>SUMIFS(Sheet1!S71_OriginalBudAmnt,Sheet1!S71_SA34cCode,$AC:$AC,Sheet1!S71_RepMaintCode,$AD:$AD)</f>
        <v>0</v>
      </c>
      <c r="G81" s="712">
        <f>SUMIFS(Sheet1!S71_AdjustmentBudAmnt,Sheet1!S71_SA34cCode,$AC:$AC,Sheet1!S71_RepMaintCode,$AD:$AD)</f>
        <v>0</v>
      </c>
      <c r="H81" s="713">
        <f>SUMIFS(Sheet1!S71_AdjustmentBudAmnt,Sheet1!S71_SA34cCode,$AC:$AC,Sheet1!S71_RepMaintCode,$AD:$AD)</f>
        <v>0</v>
      </c>
      <c r="I81" s="725">
        <f>SUMIFS(Sheet1!S71_ASBudgetAmount,Sheet1!S71_SA34cCode,$AC:$AC,Sheet1!S71_RepMaintCode,$AD:$AD)</f>
        <v>0</v>
      </c>
      <c r="J81" s="712">
        <f>SUMIFS(Sheet1!S71_OY1BudgetAmount,Sheet1!S71_SA34cCode,$AC:$AC,Sheet1!S71_RepMaintCode,$AD:$AD)</f>
        <v>0</v>
      </c>
      <c r="K81" s="713">
        <f>SUMIFS(Sheet1!S71_OY2BudgetAmount,Sheet1!S71_SA34cCode,$AC:$AC,Sheet1!S71_RepMaintCode,$AD:$AD)</f>
        <v>0</v>
      </c>
      <c r="L81" s="322"/>
      <c r="AC81" s="2365" t="s">
        <v>2867</v>
      </c>
      <c r="AD81" s="2365" t="s">
        <v>2820</v>
      </c>
      <c r="AE81" s="2369" cm="1">
        <f t="array" ref="AE81">SUMIFS(Sheet1!S71_PreAuditActual,Sheet1!S71_SA34cCode,_xlfn.SINGLE($AC:$AC),Sheet1!S71_RepMaintCode,_xlfn.SINGLE($AD:$AD))</f>
        <v>0</v>
      </c>
    </row>
    <row r="82" spans="1:31" ht="13.15" customHeight="1" x14ac:dyDescent="0.25">
      <c r="A82" s="2125" t="s">
        <v>2290</v>
      </c>
      <c r="B82" s="144"/>
      <c r="C82" s="712">
        <f>SUMIFS(Sheet1!S71_PPPYearAmount,Sheet1!S71_SA34cCode,$AC:$AC,Sheet1!S71_RepMaintCode,$AD:$AD)</f>
        <v>0</v>
      </c>
      <c r="D82" s="712">
        <f>SUMIFS(Sheet1!S71_PPYearAmount,Sheet1!S71_SA34cCode,$AC:$AC,Sheet1!S71_RepMaintCode,$AD:$AD)</f>
        <v>0</v>
      </c>
      <c r="E82" s="715">
        <f>SUMIFS(Sheet1!S71_PYearAmount,Sheet1!S71_SA34cCode,$AC:$AC,Sheet1!S71_RepMaintCode,$AD:$AD)</f>
        <v>0</v>
      </c>
      <c r="F82" s="725">
        <f>SUMIFS(Sheet1!S71_OriginalBudAmnt,Sheet1!S71_SA34cCode,$AC:$AC,Sheet1!S71_RepMaintCode,$AD:$AD)</f>
        <v>0</v>
      </c>
      <c r="G82" s="712">
        <f>SUMIFS(Sheet1!S71_AdjustmentBudAmnt,Sheet1!S71_SA34cCode,$AC:$AC,Sheet1!S71_RepMaintCode,$AD:$AD)</f>
        <v>0</v>
      </c>
      <c r="H82" s="713">
        <f>SUMIFS(Sheet1!S71_AdjustmentBudAmnt,Sheet1!S71_SA34cCode,$AC:$AC,Sheet1!S71_RepMaintCode,$AD:$AD)</f>
        <v>0</v>
      </c>
      <c r="I82" s="725">
        <f>SUMIFS(Sheet1!S71_ASBudgetAmount,Sheet1!S71_SA34cCode,$AC:$AC,Sheet1!S71_RepMaintCode,$AD:$AD)</f>
        <v>0</v>
      </c>
      <c r="J82" s="712">
        <f>SUMIFS(Sheet1!S71_OY1BudgetAmount,Sheet1!S71_SA34cCode,$AC:$AC,Sheet1!S71_RepMaintCode,$AD:$AD)</f>
        <v>0</v>
      </c>
      <c r="K82" s="713">
        <f>SUMIFS(Sheet1!S71_OY2BudgetAmount,Sheet1!S71_SA34cCode,$AC:$AC,Sheet1!S71_RepMaintCode,$AD:$AD)</f>
        <v>0</v>
      </c>
      <c r="L82" s="322"/>
      <c r="AC82" s="2365" t="s">
        <v>2868</v>
      </c>
      <c r="AD82" s="2365" t="s">
        <v>2820</v>
      </c>
      <c r="AE82" s="2369" cm="1">
        <f t="array" ref="AE82">SUMIFS(Sheet1!S71_PreAuditActual,Sheet1!S71_SA34cCode,_xlfn.SINGLE($AC:$AC),Sheet1!S71_RepMaintCode,_xlfn.SINGLE($AD:$AD))</f>
        <v>0</v>
      </c>
    </row>
    <row r="83" spans="1:31" ht="13.15" customHeight="1" x14ac:dyDescent="0.25">
      <c r="A83" s="2125" t="s">
        <v>2291</v>
      </c>
      <c r="B83" s="144"/>
      <c r="C83" s="712">
        <f>SUMIFS(Sheet1!S71_PPPYearAmount,Sheet1!S71_SA34cCode,$AC:$AC,Sheet1!S71_RepMaintCode,$AD:$AD)</f>
        <v>0</v>
      </c>
      <c r="D83" s="712">
        <f>SUMIFS(Sheet1!S71_PPYearAmount,Sheet1!S71_SA34cCode,$AC:$AC,Sheet1!S71_RepMaintCode,$AD:$AD)</f>
        <v>0</v>
      </c>
      <c r="E83" s="715">
        <f>SUMIFS(Sheet1!S71_PYearAmount,Sheet1!S71_SA34cCode,$AC:$AC,Sheet1!S71_RepMaintCode,$AD:$AD)</f>
        <v>0</v>
      </c>
      <c r="F83" s="725">
        <f>SUMIFS(Sheet1!S71_OriginalBudAmnt,Sheet1!S71_SA34cCode,$AC:$AC,Sheet1!S71_RepMaintCode,$AD:$AD)</f>
        <v>0</v>
      </c>
      <c r="G83" s="712">
        <f>SUMIFS(Sheet1!S71_AdjustmentBudAmnt,Sheet1!S71_SA34cCode,$AC:$AC,Sheet1!S71_RepMaintCode,$AD:$AD)</f>
        <v>0</v>
      </c>
      <c r="H83" s="713">
        <f>SUMIFS(Sheet1!S71_AdjustmentBudAmnt,Sheet1!S71_SA34cCode,$AC:$AC,Sheet1!S71_RepMaintCode,$AD:$AD)</f>
        <v>0</v>
      </c>
      <c r="I83" s="725">
        <f>SUMIFS(Sheet1!S71_ASBudgetAmount,Sheet1!S71_SA34cCode,$AC:$AC,Sheet1!S71_RepMaintCode,$AD:$AD)</f>
        <v>0</v>
      </c>
      <c r="J83" s="712">
        <f>SUMIFS(Sheet1!S71_OY1BudgetAmount,Sheet1!S71_SA34cCode,$AC:$AC,Sheet1!S71_RepMaintCode,$AD:$AD)</f>
        <v>0</v>
      </c>
      <c r="K83" s="713">
        <f>SUMIFS(Sheet1!S71_OY2BudgetAmount,Sheet1!S71_SA34cCode,$AC:$AC,Sheet1!S71_RepMaintCode,$AD:$AD)</f>
        <v>0</v>
      </c>
      <c r="L83" s="322"/>
      <c r="AC83" s="2365" t="s">
        <v>2869</v>
      </c>
      <c r="AD83" s="2365" t="s">
        <v>2820</v>
      </c>
      <c r="AE83" s="2369" cm="1">
        <f t="array" ref="AE83">SUMIFS(Sheet1!S71_PreAuditActual,Sheet1!S71_SA34cCode,_xlfn.SINGLE($AC:$AC),Sheet1!S71_RepMaintCode,_xlfn.SINGLE($AD:$AD))</f>
        <v>0</v>
      </c>
    </row>
    <row r="84" spans="1:31" s="126" customFormat="1" ht="13.15" customHeight="1" x14ac:dyDescent="0.25">
      <c r="A84" s="2125" t="s">
        <v>2292</v>
      </c>
      <c r="B84" s="144"/>
      <c r="C84" s="712">
        <f>SUMIFS(Sheet1!S71_PPPYearAmount,Sheet1!S71_SA34cCode,$AC:$AC,Sheet1!S71_RepMaintCode,$AD:$AD)</f>
        <v>0</v>
      </c>
      <c r="D84" s="712">
        <f>SUMIFS(Sheet1!S71_PPYearAmount,Sheet1!S71_SA34cCode,$AC:$AC,Sheet1!S71_RepMaintCode,$AD:$AD)</f>
        <v>0</v>
      </c>
      <c r="E84" s="715">
        <f>SUMIFS(Sheet1!S71_PYearAmount,Sheet1!S71_SA34cCode,$AC:$AC,Sheet1!S71_RepMaintCode,$AD:$AD)</f>
        <v>0</v>
      </c>
      <c r="F84" s="725">
        <f>SUMIFS(Sheet1!S71_OriginalBudAmnt,Sheet1!S71_SA34cCode,$AC:$AC,Sheet1!S71_RepMaintCode,$AD:$AD)</f>
        <v>0</v>
      </c>
      <c r="G84" s="712">
        <f>SUMIFS(Sheet1!S71_AdjustmentBudAmnt,Sheet1!S71_SA34cCode,$AC:$AC,Sheet1!S71_RepMaintCode,$AD:$AD)</f>
        <v>0</v>
      </c>
      <c r="H84" s="713">
        <f>SUMIFS(Sheet1!S71_AdjustmentBudAmnt,Sheet1!S71_SA34cCode,$AC:$AC,Sheet1!S71_RepMaintCode,$AD:$AD)</f>
        <v>0</v>
      </c>
      <c r="I84" s="725">
        <f>SUMIFS(Sheet1!S71_ASBudgetAmount,Sheet1!S71_SA34cCode,$AC:$AC,Sheet1!S71_RepMaintCode,$AD:$AD)</f>
        <v>0</v>
      </c>
      <c r="J84" s="712">
        <f>SUMIFS(Sheet1!S71_OY1BudgetAmount,Sheet1!S71_SA34cCode,$AC:$AC,Sheet1!S71_RepMaintCode,$AD:$AD)</f>
        <v>0</v>
      </c>
      <c r="K84" s="713">
        <f>SUMIFS(Sheet1!S71_OY2BudgetAmount,Sheet1!S71_SA34cCode,$AC:$AC,Sheet1!S71_RepMaintCode,$AD:$AD)</f>
        <v>0</v>
      </c>
      <c r="AA84" s="2383"/>
      <c r="AB84" s="2370"/>
      <c r="AC84" s="2365" t="s">
        <v>2870</v>
      </c>
      <c r="AD84" s="2365" t="s">
        <v>2820</v>
      </c>
      <c r="AE84" s="2369" cm="1">
        <f t="array" ref="AE84">SUMIFS(Sheet1!S71_PreAuditActual,Sheet1!S71_SA34cCode,_xlfn.SINGLE($AC:$AC),Sheet1!S71_RepMaintCode,_xlfn.SINGLE($AD:$AD))</f>
        <v>0</v>
      </c>
    </row>
    <row r="85" spans="1:31" ht="13.15" customHeight="1" x14ac:dyDescent="0.25">
      <c r="A85" s="2125" t="s">
        <v>288</v>
      </c>
      <c r="B85" s="144"/>
      <c r="C85" s="712">
        <f>SUMIFS(Sheet1!S71_PPPYearAmount,Sheet1!S71_SA34cCode,$AC:$AC,Sheet1!S71_RepMaintCode,$AD:$AD)</f>
        <v>0</v>
      </c>
      <c r="D85" s="712">
        <f>SUMIFS(Sheet1!S71_PPYearAmount,Sheet1!S71_SA34cCode,$AC:$AC,Sheet1!S71_RepMaintCode,$AD:$AD)</f>
        <v>0</v>
      </c>
      <c r="E85" s="715">
        <f>SUMIFS(Sheet1!S71_PYearAmount,Sheet1!S71_SA34cCode,$AC:$AC,Sheet1!S71_RepMaintCode,$AD:$AD)</f>
        <v>0</v>
      </c>
      <c r="F85" s="725">
        <f>SUMIFS(Sheet1!S71_OriginalBudAmnt,Sheet1!S71_SA34cCode,$AC:$AC,Sheet1!S71_RepMaintCode,$AD:$AD)</f>
        <v>0</v>
      </c>
      <c r="G85" s="712">
        <f>SUMIFS(Sheet1!S71_AdjustmentBudAmnt,Sheet1!S71_SA34cCode,$AC:$AC,Sheet1!S71_RepMaintCode,$AD:$AD)</f>
        <v>0</v>
      </c>
      <c r="H85" s="713">
        <f>SUMIFS(Sheet1!S71_AdjustmentBudAmnt,Sheet1!S71_SA34cCode,$AC:$AC,Sheet1!S71_RepMaintCode,$AD:$AD)</f>
        <v>0</v>
      </c>
      <c r="I85" s="725">
        <f>SUMIFS(Sheet1!S71_ASBudgetAmount,Sheet1!S71_SA34cCode,$AC:$AC,Sheet1!S71_RepMaintCode,$AD:$AD)</f>
        <v>0</v>
      </c>
      <c r="J85" s="712">
        <f>SUMIFS(Sheet1!S71_OY1BudgetAmount,Sheet1!S71_SA34cCode,$AC:$AC,Sheet1!S71_RepMaintCode,$AD:$AD)</f>
        <v>0</v>
      </c>
      <c r="K85" s="713">
        <f>SUMIFS(Sheet1!S71_OY2BudgetAmount,Sheet1!S71_SA34cCode,$AC:$AC,Sheet1!S71_RepMaintCode,$AD:$AD)</f>
        <v>0</v>
      </c>
      <c r="AC85" s="2365" t="s">
        <v>2871</v>
      </c>
      <c r="AD85" s="2365" t="s">
        <v>2820</v>
      </c>
      <c r="AE85" s="2369" cm="1">
        <f t="array" ref="AE85">SUMIFS(Sheet1!S71_PreAuditActual,Sheet1!S71_SA34cCode,_xlfn.SINGLE($AC:$AC),Sheet1!S71_RepMaintCode,_xlfn.SINGLE($AD:$AD))</f>
        <v>0</v>
      </c>
    </row>
    <row r="86" spans="1:31" ht="13.15" customHeight="1" x14ac:dyDescent="0.25">
      <c r="A86" s="2125" t="s">
        <v>2293</v>
      </c>
      <c r="B86" s="144"/>
      <c r="C86" s="712">
        <f>SUMIFS(Sheet1!S71_PPPYearAmount,Sheet1!S71_SA34cCode,$AC:$AC,Sheet1!S71_RepMaintCode,$AD:$AD)</f>
        <v>0</v>
      </c>
      <c r="D86" s="712">
        <f>SUMIFS(Sheet1!S71_PPYearAmount,Sheet1!S71_SA34cCode,$AC:$AC,Sheet1!S71_RepMaintCode,$AD:$AD)</f>
        <v>0</v>
      </c>
      <c r="E86" s="715">
        <f>SUMIFS(Sheet1!S71_PYearAmount,Sheet1!S71_SA34cCode,$AC:$AC,Sheet1!S71_RepMaintCode,$AD:$AD)</f>
        <v>0</v>
      </c>
      <c r="F86" s="725">
        <f>SUMIFS(Sheet1!S71_OriginalBudAmnt,Sheet1!S71_SA34cCode,$AC:$AC,Sheet1!S71_RepMaintCode,$AD:$AD)</f>
        <v>0</v>
      </c>
      <c r="G86" s="712">
        <f>SUMIFS(Sheet1!S71_AdjustmentBudAmnt,Sheet1!S71_SA34cCode,$AC:$AC,Sheet1!S71_RepMaintCode,$AD:$AD)</f>
        <v>0</v>
      </c>
      <c r="H86" s="713">
        <f>SUMIFS(Sheet1!S71_AdjustmentBudAmnt,Sheet1!S71_SA34cCode,$AC:$AC,Sheet1!S71_RepMaintCode,$AD:$AD)</f>
        <v>0</v>
      </c>
      <c r="I86" s="725">
        <f>SUMIFS(Sheet1!S71_ASBudgetAmount,Sheet1!S71_SA34cCode,$AC:$AC,Sheet1!S71_RepMaintCode,$AD:$AD)</f>
        <v>0</v>
      </c>
      <c r="J86" s="712">
        <f>SUMIFS(Sheet1!S71_OY1BudgetAmount,Sheet1!S71_SA34cCode,$AC:$AC,Sheet1!S71_RepMaintCode,$AD:$AD)</f>
        <v>0</v>
      </c>
      <c r="K86" s="713">
        <f>SUMIFS(Sheet1!S71_OY2BudgetAmount,Sheet1!S71_SA34cCode,$AC:$AC,Sheet1!S71_RepMaintCode,$AD:$AD)</f>
        <v>0</v>
      </c>
      <c r="AC86" s="2365" t="s">
        <v>2872</v>
      </c>
      <c r="AD86" s="2365" t="s">
        <v>2820</v>
      </c>
      <c r="AE86" s="2369" cm="1">
        <f t="array" ref="AE86">SUMIFS(Sheet1!S71_PreAuditActual,Sheet1!S71_SA34cCode,_xlfn.SINGLE($AC:$AC),Sheet1!S71_RepMaintCode,_xlfn.SINGLE($AD:$AD))</f>
        <v>0</v>
      </c>
    </row>
    <row r="87" spans="1:31" ht="13.15" customHeight="1" x14ac:dyDescent="0.25">
      <c r="A87" s="2125" t="s">
        <v>1446</v>
      </c>
      <c r="B87" s="144"/>
      <c r="C87" s="712">
        <f>SUMIFS(Sheet1!S71_PPPYearAmount,Sheet1!S71_SA34cCode,$AC:$AC,Sheet1!S71_RepMaintCode,$AD:$AD)</f>
        <v>0</v>
      </c>
      <c r="D87" s="712">
        <f>SUMIFS(Sheet1!S71_PPYearAmount,Sheet1!S71_SA34cCode,$AC:$AC,Sheet1!S71_RepMaintCode,$AD:$AD)</f>
        <v>0</v>
      </c>
      <c r="E87" s="715">
        <f>SUMIFS(Sheet1!S71_PYearAmount,Sheet1!S71_SA34cCode,$AC:$AC,Sheet1!S71_RepMaintCode,$AD:$AD)</f>
        <v>0</v>
      </c>
      <c r="F87" s="725">
        <f>SUMIFS(Sheet1!S71_OriginalBudAmnt,Sheet1!S71_SA34cCode,$AC:$AC,Sheet1!S71_RepMaintCode,$AD:$AD)</f>
        <v>0</v>
      </c>
      <c r="G87" s="712">
        <f>SUMIFS(Sheet1!S71_AdjustmentBudAmnt,Sheet1!S71_SA34cCode,$AC:$AC,Sheet1!S71_RepMaintCode,$AD:$AD)</f>
        <v>0</v>
      </c>
      <c r="H87" s="713">
        <f>SUMIFS(Sheet1!S71_AdjustmentBudAmnt,Sheet1!S71_SA34cCode,$AC:$AC,Sheet1!S71_RepMaintCode,$AD:$AD)</f>
        <v>0</v>
      </c>
      <c r="I87" s="725">
        <f>SUMIFS(Sheet1!S71_ASBudgetAmount,Sheet1!S71_SA34cCode,$AC:$AC,Sheet1!S71_RepMaintCode,$AD:$AD)</f>
        <v>0</v>
      </c>
      <c r="J87" s="712">
        <f>SUMIFS(Sheet1!S71_OY1BudgetAmount,Sheet1!S71_SA34cCode,$AC:$AC,Sheet1!S71_RepMaintCode,$AD:$AD)</f>
        <v>0</v>
      </c>
      <c r="K87" s="713">
        <f>SUMIFS(Sheet1!S71_OY2BudgetAmount,Sheet1!S71_SA34cCode,$AC:$AC,Sheet1!S71_RepMaintCode,$AD:$AD)</f>
        <v>0</v>
      </c>
      <c r="AC87" s="2365" t="s">
        <v>2702</v>
      </c>
      <c r="AD87" s="2365" t="s">
        <v>2820</v>
      </c>
      <c r="AE87" s="2369" cm="1">
        <f t="array" ref="AE87">SUMIFS(Sheet1!S71_PreAuditActual,Sheet1!S71_SA34cCode,_xlfn.SINGLE($AC:$AC),Sheet1!S71_RepMaintCode,_xlfn.SINGLE($AD:$AD))</f>
        <v>0</v>
      </c>
    </row>
    <row r="88" spans="1:31" ht="13.15" customHeight="1" x14ac:dyDescent="0.25">
      <c r="A88" s="2125" t="s">
        <v>2468</v>
      </c>
      <c r="B88" s="144"/>
      <c r="C88" s="712">
        <f>SUMIFS(Sheet1!S71_PPPYearAmount,Sheet1!S71_SA34cCode,$AC:$AC,Sheet1!S71_RepMaintCode,$AD:$AD)</f>
        <v>0</v>
      </c>
      <c r="D88" s="712">
        <f>SUMIFS(Sheet1!S71_PPYearAmount,Sheet1!S71_SA34cCode,$AC:$AC,Sheet1!S71_RepMaintCode,$AD:$AD)</f>
        <v>0</v>
      </c>
      <c r="E88" s="715">
        <f>SUMIFS(Sheet1!S71_PYearAmount,Sheet1!S71_SA34cCode,$AC:$AC,Sheet1!S71_RepMaintCode,$AD:$AD)</f>
        <v>0</v>
      </c>
      <c r="F88" s="725">
        <f>SUMIFS(Sheet1!S71_OriginalBudAmnt,Sheet1!S71_SA34cCode,$AC:$AC,Sheet1!S71_RepMaintCode,$AD:$AD)</f>
        <v>0</v>
      </c>
      <c r="G88" s="712">
        <f>SUMIFS(Sheet1!S71_AdjustmentBudAmnt,Sheet1!S71_SA34cCode,$AC:$AC,Sheet1!S71_RepMaintCode,$AD:$AD)</f>
        <v>0</v>
      </c>
      <c r="H88" s="713">
        <f>SUMIFS(Sheet1!S71_AdjustmentBudAmnt,Sheet1!S71_SA34cCode,$AC:$AC,Sheet1!S71_RepMaintCode,$AD:$AD)</f>
        <v>0</v>
      </c>
      <c r="I88" s="725">
        <f>SUMIFS(Sheet1!S71_ASBudgetAmount,Sheet1!S71_SA34cCode,$AC:$AC,Sheet1!S71_RepMaintCode,$AD:$AD)</f>
        <v>0</v>
      </c>
      <c r="J88" s="712">
        <f>SUMIFS(Sheet1!S71_OY1BudgetAmount,Sheet1!S71_SA34cCode,$AC:$AC,Sheet1!S71_RepMaintCode,$AD:$AD)</f>
        <v>0</v>
      </c>
      <c r="K88" s="713">
        <f>SUMIFS(Sheet1!S71_OY2BudgetAmount,Sheet1!S71_SA34cCode,$AC:$AC,Sheet1!S71_RepMaintCode,$AD:$AD)</f>
        <v>0</v>
      </c>
      <c r="AC88" s="2365" t="s">
        <v>2873</v>
      </c>
      <c r="AD88" s="2365" t="s">
        <v>2820</v>
      </c>
      <c r="AE88" s="2369" cm="1">
        <f t="array" ref="AE88">SUMIFS(Sheet1!S71_PreAuditActual,Sheet1!S71_SA34cCode,_xlfn.SINGLE($AC:$AC),Sheet1!S71_RepMaintCode,_xlfn.SINGLE($AD:$AD))</f>
        <v>0</v>
      </c>
    </row>
    <row r="89" spans="1:31" ht="13.15" customHeight="1" x14ac:dyDescent="0.25">
      <c r="A89" s="2125" t="s">
        <v>2295</v>
      </c>
      <c r="B89" s="144"/>
      <c r="C89" s="712">
        <f>SUMIFS(Sheet1!S71_PPPYearAmount,Sheet1!S71_SA34cCode,$AC:$AC,Sheet1!S71_RepMaintCode,$AD:$AD)</f>
        <v>0</v>
      </c>
      <c r="D89" s="712">
        <f>SUMIFS(Sheet1!S71_PPYearAmount,Sheet1!S71_SA34cCode,$AC:$AC,Sheet1!S71_RepMaintCode,$AD:$AD)</f>
        <v>0</v>
      </c>
      <c r="E89" s="715">
        <f>SUMIFS(Sheet1!S71_PYearAmount,Sheet1!S71_SA34cCode,$AC:$AC,Sheet1!S71_RepMaintCode,$AD:$AD)</f>
        <v>0</v>
      </c>
      <c r="F89" s="725">
        <f>SUMIFS(Sheet1!S71_OriginalBudAmnt,Sheet1!S71_SA34cCode,$AC:$AC,Sheet1!S71_RepMaintCode,$AD:$AD)</f>
        <v>0</v>
      </c>
      <c r="G89" s="712">
        <f>SUMIFS(Sheet1!S71_AdjustmentBudAmnt,Sheet1!S71_SA34cCode,$AC:$AC,Sheet1!S71_RepMaintCode,$AD:$AD)</f>
        <v>0</v>
      </c>
      <c r="H89" s="713">
        <f>SUMIFS(Sheet1!S71_AdjustmentBudAmnt,Sheet1!S71_SA34cCode,$AC:$AC,Sheet1!S71_RepMaintCode,$AD:$AD)</f>
        <v>0</v>
      </c>
      <c r="I89" s="725">
        <f>SUMIFS(Sheet1!S71_ASBudgetAmount,Sheet1!S71_SA34cCode,$AC:$AC,Sheet1!S71_RepMaintCode,$AD:$AD)</f>
        <v>0</v>
      </c>
      <c r="J89" s="712">
        <f>SUMIFS(Sheet1!S71_OY1BudgetAmount,Sheet1!S71_SA34cCode,$AC:$AC,Sheet1!S71_RepMaintCode,$AD:$AD)</f>
        <v>0</v>
      </c>
      <c r="K89" s="713">
        <f>SUMIFS(Sheet1!S71_OY2BudgetAmount,Sheet1!S71_SA34cCode,$AC:$AC,Sheet1!S71_RepMaintCode,$AD:$AD)</f>
        <v>0</v>
      </c>
      <c r="AC89" s="2365" t="s">
        <v>2874</v>
      </c>
      <c r="AD89" s="2365" t="s">
        <v>2820</v>
      </c>
      <c r="AE89" s="2369" cm="1">
        <f t="array" ref="AE89">SUMIFS(Sheet1!S71_PreAuditActual,Sheet1!S71_SA34cCode,_xlfn.SINGLE($AC:$AC),Sheet1!S71_RepMaintCode,_xlfn.SINGLE($AD:$AD))</f>
        <v>0</v>
      </c>
    </row>
    <row r="90" spans="1:31" ht="13.15" customHeight="1" x14ac:dyDescent="0.25">
      <c r="A90" s="2125" t="s">
        <v>2296</v>
      </c>
      <c r="B90" s="144"/>
      <c r="C90" s="712">
        <f>SUMIFS(Sheet1!S71_PPPYearAmount,Sheet1!S71_SA34cCode,$AC:$AC,Sheet1!S71_RepMaintCode,$AD:$AD)</f>
        <v>0</v>
      </c>
      <c r="D90" s="712">
        <f>SUMIFS(Sheet1!S71_PPYearAmount,Sheet1!S71_SA34cCode,$AC:$AC,Sheet1!S71_RepMaintCode,$AD:$AD)</f>
        <v>0</v>
      </c>
      <c r="E90" s="715">
        <f>SUMIFS(Sheet1!S71_PYearAmount,Sheet1!S71_SA34cCode,$AC:$AC,Sheet1!S71_RepMaintCode,$AD:$AD)</f>
        <v>0</v>
      </c>
      <c r="F90" s="725">
        <f>SUMIFS(Sheet1!S71_OriginalBudAmnt,Sheet1!S71_SA34cCode,$AC:$AC,Sheet1!S71_RepMaintCode,$AD:$AD)</f>
        <v>0</v>
      </c>
      <c r="G90" s="712">
        <f>SUMIFS(Sheet1!S71_AdjustmentBudAmnt,Sheet1!S71_SA34cCode,$AC:$AC,Sheet1!S71_RepMaintCode,$AD:$AD)</f>
        <v>0</v>
      </c>
      <c r="H90" s="713">
        <f>SUMIFS(Sheet1!S71_AdjustmentBudAmnt,Sheet1!S71_SA34cCode,$AC:$AC,Sheet1!S71_RepMaintCode,$AD:$AD)</f>
        <v>0</v>
      </c>
      <c r="I90" s="725">
        <f>SUMIFS(Sheet1!S71_ASBudgetAmount,Sheet1!S71_SA34cCode,$AC:$AC,Sheet1!S71_RepMaintCode,$AD:$AD)</f>
        <v>0</v>
      </c>
      <c r="J90" s="712">
        <f>SUMIFS(Sheet1!S71_OY1BudgetAmount,Sheet1!S71_SA34cCode,$AC:$AC,Sheet1!S71_RepMaintCode,$AD:$AD)</f>
        <v>0</v>
      </c>
      <c r="K90" s="713">
        <f>SUMIFS(Sheet1!S71_OY2BudgetAmount,Sheet1!S71_SA34cCode,$AC:$AC,Sheet1!S71_RepMaintCode,$AD:$AD)</f>
        <v>0</v>
      </c>
      <c r="AC90" s="2365" t="s">
        <v>2875</v>
      </c>
      <c r="AD90" s="2365" t="s">
        <v>2820</v>
      </c>
      <c r="AE90" s="2369" cm="1">
        <f t="array" ref="AE90">SUMIFS(Sheet1!S71_PreAuditActual,Sheet1!S71_SA34cCode,_xlfn.SINGLE($AC:$AC),Sheet1!S71_RepMaintCode,_xlfn.SINGLE($AD:$AD))</f>
        <v>0</v>
      </c>
    </row>
    <row r="91" spans="1:31" ht="13.15" customHeight="1" x14ac:dyDescent="0.25">
      <c r="A91" s="2125" t="s">
        <v>2297</v>
      </c>
      <c r="B91" s="144"/>
      <c r="C91" s="712">
        <f>SUMIFS(Sheet1!S71_PPPYearAmount,Sheet1!S71_SA34cCode,$AC:$AC,Sheet1!S71_RepMaintCode,$AD:$AD)</f>
        <v>0</v>
      </c>
      <c r="D91" s="712">
        <f>SUMIFS(Sheet1!S71_PPYearAmount,Sheet1!S71_SA34cCode,$AC:$AC,Sheet1!S71_RepMaintCode,$AD:$AD)</f>
        <v>0</v>
      </c>
      <c r="E91" s="715">
        <f>SUMIFS(Sheet1!S71_PYearAmount,Sheet1!S71_SA34cCode,$AC:$AC,Sheet1!S71_RepMaintCode,$AD:$AD)</f>
        <v>0</v>
      </c>
      <c r="F91" s="725">
        <f>SUMIFS(Sheet1!S71_OriginalBudAmnt,Sheet1!S71_SA34cCode,$AC:$AC,Sheet1!S71_RepMaintCode,$AD:$AD)</f>
        <v>0</v>
      </c>
      <c r="G91" s="712">
        <f>SUMIFS(Sheet1!S71_AdjustmentBudAmnt,Sheet1!S71_SA34cCode,$AC:$AC,Sheet1!S71_RepMaintCode,$AD:$AD)</f>
        <v>0</v>
      </c>
      <c r="H91" s="713">
        <f>SUMIFS(Sheet1!S71_AdjustmentBudAmnt,Sheet1!S71_SA34cCode,$AC:$AC,Sheet1!S71_RepMaintCode,$AD:$AD)</f>
        <v>0</v>
      </c>
      <c r="I91" s="725">
        <f>SUMIFS(Sheet1!S71_ASBudgetAmount,Sheet1!S71_SA34cCode,$AC:$AC,Sheet1!S71_RepMaintCode,$AD:$AD)</f>
        <v>0</v>
      </c>
      <c r="J91" s="712">
        <f>SUMIFS(Sheet1!S71_OY1BudgetAmount,Sheet1!S71_SA34cCode,$AC:$AC,Sheet1!S71_RepMaintCode,$AD:$AD)</f>
        <v>0</v>
      </c>
      <c r="K91" s="713">
        <f>SUMIFS(Sheet1!S71_OY2BudgetAmount,Sheet1!S71_SA34cCode,$AC:$AC,Sheet1!S71_RepMaintCode,$AD:$AD)</f>
        <v>0</v>
      </c>
      <c r="AC91" s="2365" t="s">
        <v>2876</v>
      </c>
      <c r="AD91" s="2365" t="s">
        <v>2820</v>
      </c>
      <c r="AE91" s="2369" cm="1">
        <f t="array" ref="AE91">SUMIFS(Sheet1!S71_PreAuditActual,Sheet1!S71_SA34cCode,_xlfn.SINGLE($AC:$AC),Sheet1!S71_RepMaintCode,_xlfn.SINGLE($AD:$AD))</f>
        <v>0</v>
      </c>
    </row>
    <row r="92" spans="1:31" ht="13.15" customHeight="1" x14ac:dyDescent="0.25">
      <c r="A92" s="2125" t="s">
        <v>1080</v>
      </c>
      <c r="B92" s="144"/>
      <c r="C92" s="712">
        <f>SUMIFS(Sheet1!S71_PPPYearAmount,Sheet1!S71_SA34cCode,$AC:$AC,Sheet1!S71_RepMaintCode,$AD:$AD)</f>
        <v>0</v>
      </c>
      <c r="D92" s="712">
        <f>SUMIFS(Sheet1!S71_PPYearAmount,Sheet1!S71_SA34cCode,$AC:$AC,Sheet1!S71_RepMaintCode,$AD:$AD)</f>
        <v>0</v>
      </c>
      <c r="E92" s="715">
        <f>SUMIFS(Sheet1!S71_PYearAmount,Sheet1!S71_SA34cCode,$AC:$AC,Sheet1!S71_RepMaintCode,$AD:$AD)</f>
        <v>0</v>
      </c>
      <c r="F92" s="725">
        <f>SUMIFS(Sheet1!S71_OriginalBudAmnt,Sheet1!S71_SA34cCode,$AC:$AC,Sheet1!S71_RepMaintCode,$AD:$AD)</f>
        <v>0</v>
      </c>
      <c r="G92" s="712">
        <f>SUMIFS(Sheet1!S71_AdjustmentBudAmnt,Sheet1!S71_SA34cCode,$AC:$AC,Sheet1!S71_RepMaintCode,$AD:$AD)</f>
        <v>0</v>
      </c>
      <c r="H92" s="713">
        <f>SUMIFS(Sheet1!S71_AdjustmentBudAmnt,Sheet1!S71_SA34cCode,$AC:$AC,Sheet1!S71_RepMaintCode,$AD:$AD)</f>
        <v>0</v>
      </c>
      <c r="I92" s="725">
        <f>SUMIFS(Sheet1!S71_ASBudgetAmount,Sheet1!S71_SA34cCode,$AC:$AC,Sheet1!S71_RepMaintCode,$AD:$AD)</f>
        <v>0</v>
      </c>
      <c r="J92" s="712">
        <f>SUMIFS(Sheet1!S71_OY1BudgetAmount,Sheet1!S71_SA34cCode,$AC:$AC,Sheet1!S71_RepMaintCode,$AD:$AD)</f>
        <v>0</v>
      </c>
      <c r="K92" s="713">
        <f>SUMIFS(Sheet1!S71_OY2BudgetAmount,Sheet1!S71_SA34cCode,$AC:$AC,Sheet1!S71_RepMaintCode,$AD:$AD)</f>
        <v>0</v>
      </c>
      <c r="AC92" s="2365" t="s">
        <v>2877</v>
      </c>
      <c r="AD92" s="2365" t="s">
        <v>2820</v>
      </c>
      <c r="AE92" s="2369" cm="1">
        <f t="array" ref="AE92">SUMIFS(Sheet1!S71_PreAuditActual,Sheet1!S71_SA34cCode,_xlfn.SINGLE($AC:$AC),Sheet1!S71_RepMaintCode,_xlfn.SINGLE($AD:$AD))</f>
        <v>0</v>
      </c>
    </row>
    <row r="93" spans="1:31" ht="13.15" customHeight="1" x14ac:dyDescent="0.25">
      <c r="A93" s="2125" t="s">
        <v>2298</v>
      </c>
      <c r="B93" s="144"/>
      <c r="C93" s="712">
        <f>SUMIFS(Sheet1!S71_PPPYearAmount,Sheet1!S71_SA34cCode,$AC:$AC,Sheet1!S71_RepMaintCode,$AD:$AD)</f>
        <v>0</v>
      </c>
      <c r="D93" s="712">
        <f>SUMIFS(Sheet1!S71_PPYearAmount,Sheet1!S71_SA34cCode,$AC:$AC,Sheet1!S71_RepMaintCode,$AD:$AD)</f>
        <v>0</v>
      </c>
      <c r="E93" s="715">
        <f>SUMIFS(Sheet1!S71_PYearAmount,Sheet1!S71_SA34cCode,$AC:$AC,Sheet1!S71_RepMaintCode,$AD:$AD)</f>
        <v>0</v>
      </c>
      <c r="F93" s="725">
        <f>SUMIFS(Sheet1!S71_OriginalBudAmnt,Sheet1!S71_SA34cCode,$AC:$AC,Sheet1!S71_RepMaintCode,$AD:$AD)</f>
        <v>0</v>
      </c>
      <c r="G93" s="712">
        <f>SUMIFS(Sheet1!S71_AdjustmentBudAmnt,Sheet1!S71_SA34cCode,$AC:$AC,Sheet1!S71_RepMaintCode,$AD:$AD)</f>
        <v>0</v>
      </c>
      <c r="H93" s="713">
        <f>SUMIFS(Sheet1!S71_AdjustmentBudAmnt,Sheet1!S71_SA34cCode,$AC:$AC,Sheet1!S71_RepMaintCode,$AD:$AD)</f>
        <v>0</v>
      </c>
      <c r="I93" s="725">
        <f>SUMIFS(Sheet1!S71_ASBudgetAmount,Sheet1!S71_SA34cCode,$AC:$AC,Sheet1!S71_RepMaintCode,$AD:$AD)</f>
        <v>0</v>
      </c>
      <c r="J93" s="712">
        <f>SUMIFS(Sheet1!S71_OY1BudgetAmount,Sheet1!S71_SA34cCode,$AC:$AC,Sheet1!S71_RepMaintCode,$AD:$AD)</f>
        <v>0</v>
      </c>
      <c r="K93" s="713">
        <f>SUMIFS(Sheet1!S71_OY2BudgetAmount,Sheet1!S71_SA34cCode,$AC:$AC,Sheet1!S71_RepMaintCode,$AD:$AD)</f>
        <v>0</v>
      </c>
      <c r="AC93" s="2365" t="s">
        <v>2878</v>
      </c>
      <c r="AD93" s="2365" t="s">
        <v>2820</v>
      </c>
      <c r="AE93" s="2369" cm="1">
        <f t="array" ref="AE93">SUMIFS(Sheet1!S71_PreAuditActual,Sheet1!S71_SA34cCode,_xlfn.SINGLE($AC:$AC),Sheet1!S71_RepMaintCode,_xlfn.SINGLE($AD:$AD))</f>
        <v>0</v>
      </c>
    </row>
    <row r="94" spans="1:31" ht="13.15" customHeight="1" x14ac:dyDescent="0.25">
      <c r="A94" s="2125" t="s">
        <v>1079</v>
      </c>
      <c r="B94" s="144"/>
      <c r="C94" s="712">
        <f>SUMIFS(Sheet1!S71_PPPYearAmount,Sheet1!S71_SA34cCode,$AC:$AC,Sheet1!S71_RepMaintCode,$AD:$AD)</f>
        <v>0</v>
      </c>
      <c r="D94" s="712">
        <f>SUMIFS(Sheet1!S71_PPYearAmount,Sheet1!S71_SA34cCode,$AC:$AC,Sheet1!S71_RepMaintCode,$AD:$AD)</f>
        <v>0</v>
      </c>
      <c r="E94" s="715">
        <f>SUMIFS(Sheet1!S71_PYearAmount,Sheet1!S71_SA34cCode,$AC:$AC,Sheet1!S71_RepMaintCode,$AD:$AD)</f>
        <v>0</v>
      </c>
      <c r="F94" s="725">
        <f>SUMIFS(Sheet1!S71_OriginalBudAmnt,Sheet1!S71_SA34cCode,$AC:$AC,Sheet1!S71_RepMaintCode,$AD:$AD)</f>
        <v>0</v>
      </c>
      <c r="G94" s="712">
        <f>SUMIFS(Sheet1!S71_AdjustmentBudAmnt,Sheet1!S71_SA34cCode,$AC:$AC,Sheet1!S71_RepMaintCode,$AD:$AD)</f>
        <v>0</v>
      </c>
      <c r="H94" s="713">
        <f>SUMIFS(Sheet1!S71_AdjustmentBudAmnt,Sheet1!S71_SA34cCode,$AC:$AC,Sheet1!S71_RepMaintCode,$AD:$AD)</f>
        <v>0</v>
      </c>
      <c r="I94" s="725">
        <f>SUMIFS(Sheet1!S71_ASBudgetAmount,Sheet1!S71_SA34cCode,$AC:$AC,Sheet1!S71_RepMaintCode,$AD:$AD)</f>
        <v>0</v>
      </c>
      <c r="J94" s="712">
        <f>SUMIFS(Sheet1!S71_OY1BudgetAmount,Sheet1!S71_SA34cCode,$AC:$AC,Sheet1!S71_RepMaintCode,$AD:$AD)</f>
        <v>0</v>
      </c>
      <c r="K94" s="713">
        <f>SUMIFS(Sheet1!S71_OY2BudgetAmount,Sheet1!S71_SA34cCode,$AC:$AC,Sheet1!S71_RepMaintCode,$AD:$AD)</f>
        <v>0</v>
      </c>
      <c r="AC94" s="2365" t="s">
        <v>2879</v>
      </c>
      <c r="AD94" s="2365" t="s">
        <v>2820</v>
      </c>
      <c r="AE94" s="2369" cm="1">
        <f t="array" ref="AE94">SUMIFS(Sheet1!S71_PreAuditActual,Sheet1!S71_SA34cCode,_xlfn.SINGLE($AC:$AC),Sheet1!S71_RepMaintCode,_xlfn.SINGLE($AD:$AD))</f>
        <v>0</v>
      </c>
    </row>
    <row r="95" spans="1:31" ht="13.15" customHeight="1" x14ac:dyDescent="0.25">
      <c r="A95" s="2125" t="s">
        <v>2299</v>
      </c>
      <c r="B95" s="144"/>
      <c r="C95" s="712">
        <f>SUMIFS(Sheet1!S71_PPPYearAmount,Sheet1!S71_SA34cCode,$AC:$AC,Sheet1!S71_RepMaintCode,$AD:$AD)</f>
        <v>0</v>
      </c>
      <c r="D95" s="712">
        <f>SUMIFS(Sheet1!S71_PPYearAmount,Sheet1!S71_SA34cCode,$AC:$AC,Sheet1!S71_RepMaintCode,$AD:$AD)</f>
        <v>0</v>
      </c>
      <c r="E95" s="715">
        <f>SUMIFS(Sheet1!S71_PYearAmount,Sheet1!S71_SA34cCode,$AC:$AC,Sheet1!S71_RepMaintCode,$AD:$AD)</f>
        <v>0</v>
      </c>
      <c r="F95" s="725">
        <f>SUMIFS(Sheet1!S71_OriginalBudAmnt,Sheet1!S71_SA34cCode,$AC:$AC,Sheet1!S71_RepMaintCode,$AD:$AD)</f>
        <v>0</v>
      </c>
      <c r="G95" s="712">
        <f>SUMIFS(Sheet1!S71_AdjustmentBudAmnt,Sheet1!S71_SA34cCode,$AC:$AC,Sheet1!S71_RepMaintCode,$AD:$AD)</f>
        <v>0</v>
      </c>
      <c r="H95" s="713">
        <f>SUMIFS(Sheet1!S71_AdjustmentBudAmnt,Sheet1!S71_SA34cCode,$AC:$AC,Sheet1!S71_RepMaintCode,$AD:$AD)</f>
        <v>0</v>
      </c>
      <c r="I95" s="725">
        <f>SUMIFS(Sheet1!S71_ASBudgetAmount,Sheet1!S71_SA34cCode,$AC:$AC,Sheet1!S71_RepMaintCode,$AD:$AD)</f>
        <v>0</v>
      </c>
      <c r="J95" s="712">
        <f>SUMIFS(Sheet1!S71_OY1BudgetAmount,Sheet1!S71_SA34cCode,$AC:$AC,Sheet1!S71_RepMaintCode,$AD:$AD)</f>
        <v>0</v>
      </c>
      <c r="K95" s="713">
        <f>SUMIFS(Sheet1!S71_OY2BudgetAmount,Sheet1!S71_SA34cCode,$AC:$AC,Sheet1!S71_RepMaintCode,$AD:$AD)</f>
        <v>0</v>
      </c>
      <c r="AC95" s="2365" t="s">
        <v>2880</v>
      </c>
      <c r="AD95" s="2365" t="s">
        <v>2820</v>
      </c>
      <c r="AE95" s="2369" cm="1">
        <f t="array" ref="AE95">SUMIFS(Sheet1!S71_PreAuditActual,Sheet1!S71_SA34cCode,_xlfn.SINGLE($AC:$AC),Sheet1!S71_RepMaintCode,_xlfn.SINGLE($AD:$AD))</f>
        <v>0</v>
      </c>
    </row>
    <row r="96" spans="1:31" ht="13.15" customHeight="1" x14ac:dyDescent="0.25">
      <c r="A96" s="2125" t="s">
        <v>2300</v>
      </c>
      <c r="B96" s="144"/>
      <c r="C96" s="712">
        <f>SUMIFS(Sheet1!S71_PPPYearAmount,Sheet1!S71_SA34cCode,$AC:$AC,Sheet1!S71_RepMaintCode,$AD:$AD)</f>
        <v>0</v>
      </c>
      <c r="D96" s="712">
        <f>SUMIFS(Sheet1!S71_PPYearAmount,Sheet1!S71_SA34cCode,$AC:$AC,Sheet1!S71_RepMaintCode,$AD:$AD)</f>
        <v>0</v>
      </c>
      <c r="E96" s="715">
        <f>SUMIFS(Sheet1!S71_PYearAmount,Sheet1!S71_SA34cCode,$AC:$AC,Sheet1!S71_RepMaintCode,$AD:$AD)</f>
        <v>0</v>
      </c>
      <c r="F96" s="725">
        <f>SUMIFS(Sheet1!S71_OriginalBudAmnt,Sheet1!S71_SA34cCode,$AC:$AC,Sheet1!S71_RepMaintCode,$AD:$AD)</f>
        <v>0</v>
      </c>
      <c r="G96" s="712">
        <f>SUMIFS(Sheet1!S71_AdjustmentBudAmnt,Sheet1!S71_SA34cCode,$AC:$AC,Sheet1!S71_RepMaintCode,$AD:$AD)</f>
        <v>0</v>
      </c>
      <c r="H96" s="713">
        <f>SUMIFS(Sheet1!S71_AdjustmentBudAmnt,Sheet1!S71_SA34cCode,$AC:$AC,Sheet1!S71_RepMaintCode,$AD:$AD)</f>
        <v>0</v>
      </c>
      <c r="I96" s="725">
        <f>SUMIFS(Sheet1!S71_ASBudgetAmount,Sheet1!S71_SA34cCode,$AC:$AC,Sheet1!S71_RepMaintCode,$AD:$AD)</f>
        <v>0</v>
      </c>
      <c r="J96" s="712">
        <f>SUMIFS(Sheet1!S71_OY1BudgetAmount,Sheet1!S71_SA34cCode,$AC:$AC,Sheet1!S71_RepMaintCode,$AD:$AD)</f>
        <v>0</v>
      </c>
      <c r="K96" s="713">
        <f>SUMIFS(Sheet1!S71_OY2BudgetAmount,Sheet1!S71_SA34cCode,$AC:$AC,Sheet1!S71_RepMaintCode,$AD:$AD)</f>
        <v>0</v>
      </c>
      <c r="AC96" s="2365" t="s">
        <v>2881</v>
      </c>
      <c r="AD96" s="2365" t="s">
        <v>2820</v>
      </c>
      <c r="AE96" s="2369" cm="1">
        <f t="array" ref="AE96">SUMIFS(Sheet1!S71_PreAuditActual,Sheet1!S71_SA34cCode,_xlfn.SINGLE($AC:$AC),Sheet1!S71_RepMaintCode,_xlfn.SINGLE($AD:$AD))</f>
        <v>0</v>
      </c>
    </row>
    <row r="97" spans="1:31" ht="13.15" customHeight="1" x14ac:dyDescent="0.25">
      <c r="A97" s="2125" t="s">
        <v>2233</v>
      </c>
      <c r="B97" s="144"/>
      <c r="C97" s="712">
        <f>SUMIFS(Sheet1!S71_PPPYearAmount,Sheet1!S71_SA34cCode,$AC:$AC,Sheet1!S71_RepMaintCode,$AD:$AD)</f>
        <v>0</v>
      </c>
      <c r="D97" s="712">
        <f>SUMIFS(Sheet1!S71_PPYearAmount,Sheet1!S71_SA34cCode,$AC:$AC,Sheet1!S71_RepMaintCode,$AD:$AD)</f>
        <v>0</v>
      </c>
      <c r="E97" s="715">
        <f>SUMIFS(Sheet1!S71_PYearAmount,Sheet1!S71_SA34cCode,$AC:$AC,Sheet1!S71_RepMaintCode,$AD:$AD)</f>
        <v>0</v>
      </c>
      <c r="F97" s="725">
        <f>SUMIFS(Sheet1!S71_OriginalBudAmnt,Sheet1!S71_SA34cCode,$AC:$AC,Sheet1!S71_RepMaintCode,$AD:$AD)</f>
        <v>0</v>
      </c>
      <c r="G97" s="712">
        <f>SUMIFS(Sheet1!S71_AdjustmentBudAmnt,Sheet1!S71_SA34cCode,$AC:$AC,Sheet1!S71_RepMaintCode,$AD:$AD)</f>
        <v>0</v>
      </c>
      <c r="H97" s="713">
        <f>SUMIFS(Sheet1!S71_AdjustmentBudAmnt,Sheet1!S71_SA34cCode,$AC:$AC,Sheet1!S71_RepMaintCode,$AD:$AD)</f>
        <v>0</v>
      </c>
      <c r="I97" s="725">
        <f>SUMIFS(Sheet1!S71_ASBudgetAmount,Sheet1!S71_SA34cCode,$AC:$AC,Sheet1!S71_RepMaintCode,$AD:$AD)</f>
        <v>0</v>
      </c>
      <c r="J97" s="712">
        <f>SUMIFS(Sheet1!S71_OY1BudgetAmount,Sheet1!S71_SA34cCode,$AC:$AC,Sheet1!S71_RepMaintCode,$AD:$AD)</f>
        <v>0</v>
      </c>
      <c r="K97" s="713">
        <f>SUMIFS(Sheet1!S71_OY2BudgetAmount,Sheet1!S71_SA34cCode,$AC:$AC,Sheet1!S71_RepMaintCode,$AD:$AD)</f>
        <v>0</v>
      </c>
      <c r="AC97" s="2365" t="s">
        <v>2046</v>
      </c>
      <c r="AD97" s="2365" t="s">
        <v>2820</v>
      </c>
      <c r="AE97" s="2369" cm="1">
        <f t="array" ref="AE97">SUMIFS(Sheet1!S71_PreAuditActual,Sheet1!S71_SA34cCode,_xlfn.SINGLE($AC:$AC),Sheet1!S71_RepMaintCode,_xlfn.SINGLE($AD:$AD))</f>
        <v>0</v>
      </c>
    </row>
    <row r="98" spans="1:31" ht="13.15" customHeight="1" x14ac:dyDescent="0.25">
      <c r="A98" s="104" t="s">
        <v>2301</v>
      </c>
      <c r="B98" s="144"/>
      <c r="C98" s="71">
        <f>SUM(C99:C101)</f>
        <v>0</v>
      </c>
      <c r="D98" s="71">
        <f t="shared" ref="D98:K98" si="12">SUM(D99:D101)</f>
        <v>1399823</v>
      </c>
      <c r="E98" s="305">
        <f t="shared" si="12"/>
        <v>3132764</v>
      </c>
      <c r="F98" s="75">
        <f t="shared" si="12"/>
        <v>1500000</v>
      </c>
      <c r="G98" s="71">
        <f t="shared" si="12"/>
        <v>1500000</v>
      </c>
      <c r="H98" s="117">
        <f t="shared" si="12"/>
        <v>1500000</v>
      </c>
      <c r="I98" s="75">
        <f t="shared" si="12"/>
        <v>1900000</v>
      </c>
      <c r="J98" s="71">
        <f t="shared" si="12"/>
        <v>1650000</v>
      </c>
      <c r="K98" s="117">
        <f t="shared" si="12"/>
        <v>1815000</v>
      </c>
      <c r="AD98" s="2365" t="s">
        <v>2820</v>
      </c>
      <c r="AE98" s="2369" cm="1">
        <f t="array" ref="AE98">SUMIFS(Sheet1!S71_PreAuditActual,Sheet1!S71_SA34cCode,_xlfn.SINGLE($AC:$AC),Sheet1!S71_RepMaintCode,_xlfn.SINGLE($AD:$AD))</f>
        <v>0</v>
      </c>
    </row>
    <row r="99" spans="1:31" ht="13.15" customHeight="1" x14ac:dyDescent="0.25">
      <c r="A99" s="2125" t="s">
        <v>2302</v>
      </c>
      <c r="B99" s="144"/>
      <c r="C99" s="712">
        <f>SUMIFS(Sheet1!S71_PPPYearAmount,Sheet1!S71_SA34cCode,$AC:$AC,Sheet1!S71_RepMaintCode,$AD:$AD)</f>
        <v>0</v>
      </c>
      <c r="D99" s="712">
        <f>SUMIFS(Sheet1!S71_PPYearAmount,Sheet1!S71_SA34cCode,$AC:$AC,Sheet1!S71_RepMaintCode,$AD:$AD)</f>
        <v>0</v>
      </c>
      <c r="E99" s="715">
        <f>SUMIFS(Sheet1!S71_PYearAmount,Sheet1!S71_SA34cCode,$AC:$AC,Sheet1!S71_RepMaintCode,$AD:$AD)</f>
        <v>0</v>
      </c>
      <c r="F99" s="725">
        <f>SUMIFS(Sheet1!S71_OriginalBudAmnt,Sheet1!S71_SA34cCode,$AC:$AC,Sheet1!S71_RepMaintCode,$AD:$AD)</f>
        <v>0</v>
      </c>
      <c r="G99" s="712">
        <f>SUMIFS(Sheet1!S71_AdjustmentBudAmnt,Sheet1!S71_SA34cCode,$AC:$AC,Sheet1!S71_RepMaintCode,$AD:$AD)</f>
        <v>0</v>
      </c>
      <c r="H99" s="713">
        <f>SUMIFS(Sheet1!S71_AdjustmentBudAmnt,Sheet1!S71_SA34cCode,$AC:$AC,Sheet1!S71_RepMaintCode,$AD:$AD)</f>
        <v>0</v>
      </c>
      <c r="I99" s="725">
        <f>SUMIFS(Sheet1!S71_ASBudgetAmount,Sheet1!S71_SA34cCode,$AC:$AC,Sheet1!S71_RepMaintCode,$AD:$AD)</f>
        <v>0</v>
      </c>
      <c r="J99" s="712">
        <f>SUMIFS(Sheet1!S71_OY1BudgetAmount,Sheet1!S71_SA34cCode,$AC:$AC,Sheet1!S71_RepMaintCode,$AD:$AD)</f>
        <v>0</v>
      </c>
      <c r="K99" s="713">
        <f>SUMIFS(Sheet1!S71_OY2BudgetAmount,Sheet1!S71_SA34cCode,$AC:$AC,Sheet1!S71_RepMaintCode,$AD:$AD)</f>
        <v>0</v>
      </c>
      <c r="AC99" s="2365" t="s">
        <v>2882</v>
      </c>
      <c r="AD99" s="2365" t="s">
        <v>2820</v>
      </c>
      <c r="AE99" s="2369" cm="1">
        <f t="array" ref="AE99">SUMIFS(Sheet1!S71_PreAuditActual,Sheet1!S71_SA34cCode,_xlfn.SINGLE($AC:$AC),Sheet1!S71_RepMaintCode,_xlfn.SINGLE($AD:$AD))</f>
        <v>0</v>
      </c>
    </row>
    <row r="100" spans="1:31" ht="13.15" customHeight="1" x14ac:dyDescent="0.25">
      <c r="A100" s="2125" t="s">
        <v>2303</v>
      </c>
      <c r="B100" s="144"/>
      <c r="C100" s="712">
        <f>SUMIFS(Sheet1!S71_PPPYearAmount,Sheet1!S71_SA34cCode,$AC:$AC,Sheet1!S71_RepMaintCode,$AD:$AD)</f>
        <v>0</v>
      </c>
      <c r="D100" s="712">
        <f>SUMIFS(Sheet1!S71_PPYearAmount,Sheet1!S71_SA34cCode,$AC:$AC,Sheet1!S71_RepMaintCode,$AD:$AD)</f>
        <v>1399823</v>
      </c>
      <c r="E100" s="715">
        <f>SUMIFS(Sheet1!S71_PYearAmount,Sheet1!S71_SA34cCode,$AC:$AC,Sheet1!S71_RepMaintCode,$AD:$AD)</f>
        <v>3132764</v>
      </c>
      <c r="F100" s="725">
        <f>SUMIFS(Sheet1!S71_OriginalBudAmnt,Sheet1!S71_SA34cCode,$AC:$AC,Sheet1!S71_RepMaintCode,$AD:$AD)</f>
        <v>1500000</v>
      </c>
      <c r="G100" s="712">
        <f>SUMIFS(Sheet1!S71_AdjustmentBudAmnt,Sheet1!S71_SA34cCode,$AC:$AC,Sheet1!S71_RepMaintCode,$AD:$AD)</f>
        <v>1500000</v>
      </c>
      <c r="H100" s="713">
        <f>SUMIFS(Sheet1!S71_AdjustmentBudAmnt,Sheet1!S71_SA34cCode,$AC:$AC,Sheet1!S71_RepMaintCode,$AD:$AD)</f>
        <v>1500000</v>
      </c>
      <c r="I100" s="725">
        <f>SUMIFS(Sheet1!S71_ASBudgetAmount,Sheet1!S71_SA34cCode,$AC:$AC,Sheet1!S71_RepMaintCode,$AD:$AD)</f>
        <v>1900000</v>
      </c>
      <c r="J100" s="712">
        <f>SUMIFS(Sheet1!S71_OY1BudgetAmount,Sheet1!S71_SA34cCode,$AC:$AC,Sheet1!S71_RepMaintCode,$AD:$AD)</f>
        <v>1650000</v>
      </c>
      <c r="K100" s="713">
        <f>SUMIFS(Sheet1!S71_OY2BudgetAmount,Sheet1!S71_SA34cCode,$AC:$AC,Sheet1!S71_RepMaintCode,$AD:$AD)</f>
        <v>1815000</v>
      </c>
      <c r="AC100" s="2365" t="s">
        <v>2883</v>
      </c>
      <c r="AD100" s="2365" t="s">
        <v>2820</v>
      </c>
      <c r="AE100" s="2369" cm="1">
        <f t="array" ref="AE100">SUMIFS(Sheet1!S71_PreAuditActual,Sheet1!S71_SA34cCode,_xlfn.SINGLE($AC:$AC),Sheet1!S71_RepMaintCode,_xlfn.SINGLE($AD:$AD))</f>
        <v>901179</v>
      </c>
    </row>
    <row r="101" spans="1:31" ht="13.15" customHeight="1" x14ac:dyDescent="0.25">
      <c r="A101" s="2125" t="s">
        <v>2233</v>
      </c>
      <c r="B101" s="144"/>
      <c r="C101" s="712">
        <f>SUMIFS(Sheet1!S71_PPPYearAmount,Sheet1!S71_SA34cCode,$AC:$AC,Sheet1!S71_RepMaintCode,$AD:$AD)</f>
        <v>0</v>
      </c>
      <c r="D101" s="712">
        <f>SUMIFS(Sheet1!S71_PPYearAmount,Sheet1!S71_SA34cCode,$AC:$AC,Sheet1!S71_RepMaintCode,$AD:$AD)</f>
        <v>0</v>
      </c>
      <c r="E101" s="715">
        <f>SUMIFS(Sheet1!S71_PYearAmount,Sheet1!S71_SA34cCode,$AC:$AC,Sheet1!S71_RepMaintCode,$AD:$AD)</f>
        <v>0</v>
      </c>
      <c r="F101" s="725">
        <f>SUMIFS(Sheet1!S71_OriginalBudAmnt,Sheet1!S71_SA34cCode,$AC:$AC,Sheet1!S71_RepMaintCode,$AD:$AD)</f>
        <v>0</v>
      </c>
      <c r="G101" s="712">
        <f>SUMIFS(Sheet1!S71_AdjustmentBudAmnt,Sheet1!S71_SA34cCode,$AC:$AC,Sheet1!S71_RepMaintCode,$AD:$AD)</f>
        <v>0</v>
      </c>
      <c r="H101" s="713">
        <f>SUMIFS(Sheet1!S71_AdjustmentBudAmnt,Sheet1!S71_SA34cCode,$AC:$AC,Sheet1!S71_RepMaintCode,$AD:$AD)</f>
        <v>0</v>
      </c>
      <c r="I101" s="725">
        <f>SUMIFS(Sheet1!S71_ASBudgetAmount,Sheet1!S71_SA34cCode,$AC:$AC,Sheet1!S71_RepMaintCode,$AD:$AD)</f>
        <v>0</v>
      </c>
      <c r="J101" s="712">
        <f>SUMIFS(Sheet1!S71_OY1BudgetAmount,Sheet1!S71_SA34cCode,$AC:$AC,Sheet1!S71_RepMaintCode,$AD:$AD)</f>
        <v>0</v>
      </c>
      <c r="K101" s="713">
        <f>SUMIFS(Sheet1!S71_OY2BudgetAmount,Sheet1!S71_SA34cCode,$AC:$AC,Sheet1!S71_RepMaintCode,$AD:$AD)</f>
        <v>0</v>
      </c>
      <c r="AC101" s="2365" t="s">
        <v>2884</v>
      </c>
      <c r="AD101" s="2365" t="s">
        <v>2820</v>
      </c>
      <c r="AE101" s="2369" cm="1">
        <f t="array" ref="AE101">SUMIFS(Sheet1!S71_PreAuditActual,Sheet1!S71_SA34cCode,_xlfn.SINGLE($AC:$AC),Sheet1!S71_RepMaintCode,_xlfn.SINGLE($AD:$AD))</f>
        <v>0</v>
      </c>
    </row>
    <row r="102" spans="1:31" ht="4.9000000000000004" customHeight="1" x14ac:dyDescent="0.25">
      <c r="A102" s="116"/>
      <c r="B102" s="144"/>
      <c r="C102" s="712">
        <f>SUMIFS(Sheet1!S71_PPPYearAmount,Sheet1!S71_SA34cCode,$AC:$AC,Sheet1!S71_RepMaintCode,$AD:$AD)</f>
        <v>0</v>
      </c>
      <c r="D102" s="712">
        <f>SUMIFS(Sheet1!S71_PPYearAmount,Sheet1!S71_SA34cCode,$AC:$AC,Sheet1!S71_RepMaintCode,$AD:$AD)</f>
        <v>0</v>
      </c>
      <c r="E102" s="715">
        <f>SUMIFS(Sheet1!S71_PYearAmount,Sheet1!S71_SA34cCode,$AC:$AC,Sheet1!S71_RepMaintCode,$AD:$AD)</f>
        <v>0</v>
      </c>
      <c r="F102" s="725">
        <f>SUMIFS(Sheet1!S71_OriginalBudAmnt,Sheet1!S71_SA34cCode,$AC:$AC,Sheet1!S71_RepMaintCode,$AD:$AD)</f>
        <v>0</v>
      </c>
      <c r="G102" s="712">
        <f>SUMIFS(Sheet1!S71_AdjustmentBudAmnt,Sheet1!S71_SA34cCode,$AC:$AC,Sheet1!S71_RepMaintCode,$AD:$AD)</f>
        <v>0</v>
      </c>
      <c r="H102" s="713">
        <f>SUMIFS(Sheet1!S71_AdjustmentBudAmnt,Sheet1!S71_SA34cCode,$AC:$AC,Sheet1!S71_RepMaintCode,$AD:$AD)</f>
        <v>0</v>
      </c>
      <c r="I102" s="725">
        <f>SUMIFS(Sheet1!S71_ASBudgetAmount,Sheet1!S71_SA34cCode,$AC:$AC,Sheet1!S71_RepMaintCode,$AD:$AD)</f>
        <v>0</v>
      </c>
      <c r="J102" s="712">
        <f>SUMIFS(Sheet1!S71_OY1BudgetAmount,Sheet1!S71_SA34cCode,$AC:$AC,Sheet1!S71_RepMaintCode,$AD:$AD)</f>
        <v>0</v>
      </c>
      <c r="K102" s="713">
        <f>SUMIFS(Sheet1!S71_OY2BudgetAmount,Sheet1!S71_SA34cCode,$AC:$AC,Sheet1!S71_RepMaintCode,$AD:$AD)</f>
        <v>0</v>
      </c>
      <c r="AD102" s="2365" t="s">
        <v>2820</v>
      </c>
      <c r="AE102" s="2369" cm="1">
        <f t="array" ref="AE102">SUMIFS(Sheet1!S71_PreAuditActual,Sheet1!S71_SA34cCode,_xlfn.SINGLE($AC:$AC),Sheet1!S71_RepMaintCode,_xlfn.SINGLE($AD:$AD))</f>
        <v>0</v>
      </c>
    </row>
    <row r="103" spans="1:31" ht="13.15" customHeight="1" x14ac:dyDescent="0.25">
      <c r="A103" s="96" t="s">
        <v>828</v>
      </c>
      <c r="B103" s="144"/>
      <c r="C103" s="177">
        <f>SUM(C104:C108)</f>
        <v>0</v>
      </c>
      <c r="D103" s="177">
        <f t="shared" ref="D103:K103" si="13">SUM(D104:D108)</f>
        <v>0</v>
      </c>
      <c r="E103" s="180">
        <f t="shared" si="13"/>
        <v>0</v>
      </c>
      <c r="F103" s="179">
        <f t="shared" si="13"/>
        <v>0</v>
      </c>
      <c r="G103" s="177">
        <f t="shared" si="13"/>
        <v>0</v>
      </c>
      <c r="H103" s="178">
        <f t="shared" si="13"/>
        <v>0</v>
      </c>
      <c r="I103" s="179">
        <f t="shared" si="13"/>
        <v>0</v>
      </c>
      <c r="J103" s="177">
        <f t="shared" si="13"/>
        <v>0</v>
      </c>
      <c r="K103" s="178">
        <f t="shared" si="13"/>
        <v>0</v>
      </c>
      <c r="AD103" s="2365" t="s">
        <v>2820</v>
      </c>
      <c r="AE103" s="2369" cm="1">
        <f t="array" ref="AE103">SUMIFS(Sheet1!S71_PreAuditActual,Sheet1!S71_SA34cCode,_xlfn.SINGLE($AC:$AC),Sheet1!S71_RepMaintCode,_xlfn.SINGLE($AD:$AD))</f>
        <v>0</v>
      </c>
    </row>
    <row r="104" spans="1:31" ht="13.15" customHeight="1" x14ac:dyDescent="0.25">
      <c r="A104" s="104" t="s">
        <v>2304</v>
      </c>
      <c r="B104" s="144"/>
      <c r="C104" s="712">
        <f>SUMIFS(Sheet1!S71_PPPYearAmount,Sheet1!S71_SA34cCode,$AC:$AC,Sheet1!S71_RepMaintCode,$AD:$AD)</f>
        <v>0</v>
      </c>
      <c r="D104" s="712">
        <f>SUMIFS(Sheet1!S71_PPYearAmount,Sheet1!S71_SA34cCode,$AC:$AC,Sheet1!S71_RepMaintCode,$AD:$AD)</f>
        <v>0</v>
      </c>
      <c r="E104" s="715">
        <f>SUMIFS(Sheet1!S71_PYearAmount,Sheet1!S71_SA34cCode,$AC:$AC,Sheet1!S71_RepMaintCode,$AD:$AD)</f>
        <v>0</v>
      </c>
      <c r="F104" s="725">
        <f>SUMIFS(Sheet1!S71_OriginalBudAmnt,Sheet1!S71_SA34cCode,$AC:$AC,Sheet1!S71_RepMaintCode,$AD:$AD)</f>
        <v>0</v>
      </c>
      <c r="G104" s="712">
        <f>SUMIFS(Sheet1!S71_AdjustmentBudAmnt,Sheet1!S71_SA34cCode,$AC:$AC,Sheet1!S71_RepMaintCode,$AD:$AD)</f>
        <v>0</v>
      </c>
      <c r="H104" s="713">
        <f>SUMIFS(Sheet1!S71_AdjustmentBudAmnt,Sheet1!S71_SA34cCode,$AC:$AC,Sheet1!S71_RepMaintCode,$AD:$AD)</f>
        <v>0</v>
      </c>
      <c r="I104" s="725">
        <f>SUMIFS(Sheet1!S71_ASBudgetAmount,Sheet1!S71_SA34cCode,$AC:$AC,Sheet1!S71_RepMaintCode,$AD:$AD)</f>
        <v>0</v>
      </c>
      <c r="J104" s="712">
        <f>SUMIFS(Sheet1!S71_OY1BudgetAmount,Sheet1!S71_SA34cCode,$AC:$AC,Sheet1!S71_RepMaintCode,$AD:$AD)</f>
        <v>0</v>
      </c>
      <c r="K104" s="713">
        <f>SUMIFS(Sheet1!S71_OY2BudgetAmount,Sheet1!S71_SA34cCode,$AC:$AC,Sheet1!S71_RepMaintCode,$AD:$AD)</f>
        <v>0</v>
      </c>
      <c r="AC104" s="2365" t="s">
        <v>2885</v>
      </c>
      <c r="AD104" s="2365" t="s">
        <v>2820</v>
      </c>
      <c r="AE104" s="2369" cm="1">
        <f t="array" ref="AE104">SUMIFS(Sheet1!S71_PreAuditActual,Sheet1!S71_SA34cCode,_xlfn.SINGLE($AC:$AC),Sheet1!S71_RepMaintCode,_xlfn.SINGLE($AD:$AD))</f>
        <v>0</v>
      </c>
    </row>
    <row r="105" spans="1:31" ht="13.15" customHeight="1" x14ac:dyDescent="0.25">
      <c r="A105" s="137" t="s">
        <v>2305</v>
      </c>
      <c r="B105" s="144"/>
      <c r="C105" s="712">
        <f>SUMIFS(Sheet1!S71_PPPYearAmount,Sheet1!S71_SA34cCode,$AC:$AC,Sheet1!S71_RepMaintCode,$AD:$AD)</f>
        <v>0</v>
      </c>
      <c r="D105" s="712">
        <f>SUMIFS(Sheet1!S71_PPYearAmount,Sheet1!S71_SA34cCode,$AC:$AC,Sheet1!S71_RepMaintCode,$AD:$AD)</f>
        <v>0</v>
      </c>
      <c r="E105" s="715">
        <f>SUMIFS(Sheet1!S71_PYearAmount,Sheet1!S71_SA34cCode,$AC:$AC,Sheet1!S71_RepMaintCode,$AD:$AD)</f>
        <v>0</v>
      </c>
      <c r="F105" s="725">
        <f>SUMIFS(Sheet1!S71_OriginalBudAmnt,Sheet1!S71_SA34cCode,$AC:$AC,Sheet1!S71_RepMaintCode,$AD:$AD)</f>
        <v>0</v>
      </c>
      <c r="G105" s="712">
        <f>SUMIFS(Sheet1!S71_AdjustmentBudAmnt,Sheet1!S71_SA34cCode,$AC:$AC,Sheet1!S71_RepMaintCode,$AD:$AD)</f>
        <v>0</v>
      </c>
      <c r="H105" s="713">
        <f>SUMIFS(Sheet1!S71_AdjustmentBudAmnt,Sheet1!S71_SA34cCode,$AC:$AC,Sheet1!S71_RepMaintCode,$AD:$AD)</f>
        <v>0</v>
      </c>
      <c r="I105" s="725">
        <f>SUMIFS(Sheet1!S71_ASBudgetAmount,Sheet1!S71_SA34cCode,$AC:$AC,Sheet1!S71_RepMaintCode,$AD:$AD)</f>
        <v>0</v>
      </c>
      <c r="J105" s="712">
        <f>SUMIFS(Sheet1!S71_OY1BudgetAmount,Sheet1!S71_SA34cCode,$AC:$AC,Sheet1!S71_RepMaintCode,$AD:$AD)</f>
        <v>0</v>
      </c>
      <c r="K105" s="713">
        <f>SUMIFS(Sheet1!S71_OY2BudgetAmount,Sheet1!S71_SA34cCode,$AC:$AC,Sheet1!S71_RepMaintCode,$AD:$AD)</f>
        <v>0</v>
      </c>
      <c r="AC105" s="2365" t="s">
        <v>2886</v>
      </c>
      <c r="AD105" s="2365" t="s">
        <v>2820</v>
      </c>
      <c r="AE105" s="2369" cm="1">
        <f t="array" ref="AE105">SUMIFS(Sheet1!S71_PreAuditActual,Sheet1!S71_SA34cCode,_xlfn.SINGLE($AC:$AC),Sheet1!S71_RepMaintCode,_xlfn.SINGLE($AD:$AD))</f>
        <v>0</v>
      </c>
    </row>
    <row r="106" spans="1:31" ht="13.15" customHeight="1" x14ac:dyDescent="0.25">
      <c r="A106" s="104" t="s">
        <v>2306</v>
      </c>
      <c r="B106" s="144"/>
      <c r="C106" s="712">
        <f>SUMIFS(Sheet1!S71_PPPYearAmount,Sheet1!S71_SA34cCode,$AC:$AC,Sheet1!S71_RepMaintCode,$AD:$AD)</f>
        <v>0</v>
      </c>
      <c r="D106" s="712">
        <f>SUMIFS(Sheet1!S71_PPYearAmount,Sheet1!S71_SA34cCode,$AC:$AC,Sheet1!S71_RepMaintCode,$AD:$AD)</f>
        <v>0</v>
      </c>
      <c r="E106" s="715">
        <f>SUMIFS(Sheet1!S71_PYearAmount,Sheet1!S71_SA34cCode,$AC:$AC,Sheet1!S71_RepMaintCode,$AD:$AD)</f>
        <v>0</v>
      </c>
      <c r="F106" s="725">
        <f>SUMIFS(Sheet1!S71_OriginalBudAmnt,Sheet1!S71_SA34cCode,$AC:$AC,Sheet1!S71_RepMaintCode,$AD:$AD)</f>
        <v>0</v>
      </c>
      <c r="G106" s="712">
        <f>SUMIFS(Sheet1!S71_AdjustmentBudAmnt,Sheet1!S71_SA34cCode,$AC:$AC,Sheet1!S71_RepMaintCode,$AD:$AD)</f>
        <v>0</v>
      </c>
      <c r="H106" s="713">
        <f>SUMIFS(Sheet1!S71_AdjustmentBudAmnt,Sheet1!S71_SA34cCode,$AC:$AC,Sheet1!S71_RepMaintCode,$AD:$AD)</f>
        <v>0</v>
      </c>
      <c r="I106" s="725">
        <f>SUMIFS(Sheet1!S71_ASBudgetAmount,Sheet1!S71_SA34cCode,$AC:$AC,Sheet1!S71_RepMaintCode,$AD:$AD)</f>
        <v>0</v>
      </c>
      <c r="J106" s="712">
        <f>SUMIFS(Sheet1!S71_OY1BudgetAmount,Sheet1!S71_SA34cCode,$AC:$AC,Sheet1!S71_RepMaintCode,$AD:$AD)</f>
        <v>0</v>
      </c>
      <c r="K106" s="713">
        <f>SUMIFS(Sheet1!S71_OY2BudgetAmount,Sheet1!S71_SA34cCode,$AC:$AC,Sheet1!S71_RepMaintCode,$AD:$AD)</f>
        <v>0</v>
      </c>
      <c r="AC106" s="2365" t="s">
        <v>2887</v>
      </c>
      <c r="AD106" s="2365" t="s">
        <v>2820</v>
      </c>
      <c r="AE106" s="2369" cm="1">
        <f t="array" ref="AE106">SUMIFS(Sheet1!S71_PreAuditActual,Sheet1!S71_SA34cCode,_xlfn.SINGLE($AC:$AC),Sheet1!S71_RepMaintCode,_xlfn.SINGLE($AD:$AD))</f>
        <v>0</v>
      </c>
    </row>
    <row r="107" spans="1:31" ht="13.15" customHeight="1" x14ac:dyDescent="0.25">
      <c r="A107" s="104" t="s">
        <v>2307</v>
      </c>
      <c r="B107" s="144"/>
      <c r="C107" s="712">
        <f>SUMIFS(Sheet1!S71_PPPYearAmount,Sheet1!S71_SA34cCode,$AC:$AC,Sheet1!S71_RepMaintCode,$AD:$AD)</f>
        <v>0</v>
      </c>
      <c r="D107" s="712">
        <f>SUMIFS(Sheet1!S71_PPYearAmount,Sheet1!S71_SA34cCode,$AC:$AC,Sheet1!S71_RepMaintCode,$AD:$AD)</f>
        <v>0</v>
      </c>
      <c r="E107" s="715">
        <f>SUMIFS(Sheet1!S71_PYearAmount,Sheet1!S71_SA34cCode,$AC:$AC,Sheet1!S71_RepMaintCode,$AD:$AD)</f>
        <v>0</v>
      </c>
      <c r="F107" s="725">
        <f>SUMIFS(Sheet1!S71_OriginalBudAmnt,Sheet1!S71_SA34cCode,$AC:$AC,Sheet1!S71_RepMaintCode,$AD:$AD)</f>
        <v>0</v>
      </c>
      <c r="G107" s="712">
        <f>SUMIFS(Sheet1!S71_AdjustmentBudAmnt,Sheet1!S71_SA34cCode,$AC:$AC,Sheet1!S71_RepMaintCode,$AD:$AD)</f>
        <v>0</v>
      </c>
      <c r="H107" s="713">
        <f>SUMIFS(Sheet1!S71_AdjustmentBudAmnt,Sheet1!S71_SA34cCode,$AC:$AC,Sheet1!S71_RepMaintCode,$AD:$AD)</f>
        <v>0</v>
      </c>
      <c r="I107" s="725">
        <f>SUMIFS(Sheet1!S71_ASBudgetAmount,Sheet1!S71_SA34cCode,$AC:$AC,Sheet1!S71_RepMaintCode,$AD:$AD)</f>
        <v>0</v>
      </c>
      <c r="J107" s="712">
        <f>SUMIFS(Sheet1!S71_OY1BudgetAmount,Sheet1!S71_SA34cCode,$AC:$AC,Sheet1!S71_RepMaintCode,$AD:$AD)</f>
        <v>0</v>
      </c>
      <c r="K107" s="713">
        <f>SUMIFS(Sheet1!S71_OY2BudgetAmount,Sheet1!S71_SA34cCode,$AC:$AC,Sheet1!S71_RepMaintCode,$AD:$AD)</f>
        <v>0</v>
      </c>
      <c r="AC107" s="2365" t="s">
        <v>2888</v>
      </c>
      <c r="AD107" s="2365" t="s">
        <v>2820</v>
      </c>
      <c r="AE107" s="2369" cm="1">
        <f t="array" ref="AE107">SUMIFS(Sheet1!S71_PreAuditActual,Sheet1!S71_SA34cCode,_xlfn.SINGLE($AC:$AC),Sheet1!S71_RepMaintCode,_xlfn.SINGLE($AD:$AD))</f>
        <v>0</v>
      </c>
    </row>
    <row r="108" spans="1:31" ht="13.15" customHeight="1" x14ac:dyDescent="0.25">
      <c r="A108" s="137" t="s">
        <v>2308</v>
      </c>
      <c r="B108" s="144"/>
      <c r="C108" s="712">
        <f>SUMIFS(Sheet1!S71_PPPYearAmount,Sheet1!S71_SA34cCode,$AC:$AC,Sheet1!S71_RepMaintCode,$AD:$AD)</f>
        <v>0</v>
      </c>
      <c r="D108" s="712">
        <f>SUMIFS(Sheet1!S71_PPYearAmount,Sheet1!S71_SA34cCode,$AC:$AC,Sheet1!S71_RepMaintCode,$AD:$AD)</f>
        <v>0</v>
      </c>
      <c r="E108" s="715">
        <f>SUMIFS(Sheet1!S71_PYearAmount,Sheet1!S71_SA34cCode,$AC:$AC,Sheet1!S71_RepMaintCode,$AD:$AD)</f>
        <v>0</v>
      </c>
      <c r="F108" s="725">
        <f>SUMIFS(Sheet1!S71_OriginalBudAmnt,Sheet1!S71_SA34cCode,$AC:$AC,Sheet1!S71_RepMaintCode,$AD:$AD)</f>
        <v>0</v>
      </c>
      <c r="G108" s="712">
        <f>SUMIFS(Sheet1!S71_AdjustmentBudAmnt,Sheet1!S71_SA34cCode,$AC:$AC,Sheet1!S71_RepMaintCode,$AD:$AD)</f>
        <v>0</v>
      </c>
      <c r="H108" s="713">
        <f>SUMIFS(Sheet1!S71_AdjustmentBudAmnt,Sheet1!S71_SA34cCode,$AC:$AC,Sheet1!S71_RepMaintCode,$AD:$AD)</f>
        <v>0</v>
      </c>
      <c r="I108" s="725">
        <f>SUMIFS(Sheet1!S71_ASBudgetAmount,Sheet1!S71_SA34cCode,$AC:$AC,Sheet1!S71_RepMaintCode,$AD:$AD)</f>
        <v>0</v>
      </c>
      <c r="J108" s="712">
        <f>SUMIFS(Sheet1!S71_OY1BudgetAmount,Sheet1!S71_SA34cCode,$AC:$AC,Sheet1!S71_RepMaintCode,$AD:$AD)</f>
        <v>0</v>
      </c>
      <c r="K108" s="713">
        <f>SUMIFS(Sheet1!S71_OY2BudgetAmount,Sheet1!S71_SA34cCode,$AC:$AC,Sheet1!S71_RepMaintCode,$AD:$AD)</f>
        <v>0</v>
      </c>
      <c r="AC108" s="2365" t="s">
        <v>2048</v>
      </c>
      <c r="AD108" s="2365" t="s">
        <v>2820</v>
      </c>
      <c r="AE108" s="2369" cm="1">
        <f t="array" ref="AE108">SUMIFS(Sheet1!S71_PreAuditActual,Sheet1!S71_SA34cCode,_xlfn.SINGLE($AC:$AC),Sheet1!S71_RepMaintCode,_xlfn.SINGLE($AD:$AD))</f>
        <v>0</v>
      </c>
    </row>
    <row r="109" spans="1:31" ht="4.9000000000000004" customHeight="1" x14ac:dyDescent="0.25">
      <c r="A109" s="448"/>
      <c r="B109" s="144"/>
      <c r="C109" s="177"/>
      <c r="D109" s="177"/>
      <c r="E109" s="180"/>
      <c r="F109" s="179"/>
      <c r="G109" s="177"/>
      <c r="H109" s="178"/>
      <c r="I109" s="179"/>
      <c r="J109" s="177"/>
      <c r="K109" s="178"/>
      <c r="AD109" s="2365" t="s">
        <v>2820</v>
      </c>
      <c r="AE109" s="2369" cm="1">
        <f t="array" ref="AE109">SUMIFS(Sheet1!S71_PreAuditActual,Sheet1!S71_SA34cCode,_xlfn.SINGLE($AC:$AC),Sheet1!S71_RepMaintCode,_xlfn.SINGLE($AD:$AD))</f>
        <v>0</v>
      </c>
    </row>
    <row r="110" spans="1:31" ht="13.15" customHeight="1" x14ac:dyDescent="0.25">
      <c r="A110" s="574" t="s">
        <v>829</v>
      </c>
      <c r="B110" s="144"/>
      <c r="C110" s="545">
        <f>+C111+C114</f>
        <v>0</v>
      </c>
      <c r="D110" s="545">
        <f t="shared" ref="D110:K110" si="14">+D111+D114</f>
        <v>0</v>
      </c>
      <c r="E110" s="831">
        <f t="shared" si="14"/>
        <v>0</v>
      </c>
      <c r="F110" s="743">
        <f t="shared" si="14"/>
        <v>0</v>
      </c>
      <c r="G110" s="545">
        <f t="shared" si="14"/>
        <v>0</v>
      </c>
      <c r="H110" s="742">
        <f t="shared" si="14"/>
        <v>0</v>
      </c>
      <c r="I110" s="743">
        <f t="shared" si="14"/>
        <v>0</v>
      </c>
      <c r="J110" s="545">
        <f t="shared" si="14"/>
        <v>0</v>
      </c>
      <c r="K110" s="742">
        <f t="shared" si="14"/>
        <v>0</v>
      </c>
      <c r="AD110" s="2365" t="s">
        <v>2820</v>
      </c>
      <c r="AE110" s="2369" cm="1">
        <f t="array" ref="AE110">SUMIFS(Sheet1!S71_PreAuditActual,Sheet1!S71_SA34cCode,_xlfn.SINGLE($AC:$AC),Sheet1!S71_RepMaintCode,_xlfn.SINGLE($AD:$AD))</f>
        <v>0</v>
      </c>
    </row>
    <row r="111" spans="1:31" ht="13.15" customHeight="1" x14ac:dyDescent="0.25">
      <c r="A111" s="104" t="s">
        <v>2338</v>
      </c>
      <c r="B111" s="144"/>
      <c r="C111" s="82">
        <f t="shared" ref="C111:K111" si="15">SUM(C112:C113)</f>
        <v>0</v>
      </c>
      <c r="D111" s="82">
        <f t="shared" si="15"/>
        <v>0</v>
      </c>
      <c r="E111" s="304">
        <f t="shared" si="15"/>
        <v>0</v>
      </c>
      <c r="F111" s="83">
        <f t="shared" si="15"/>
        <v>0</v>
      </c>
      <c r="G111" s="82">
        <f t="shared" si="15"/>
        <v>0</v>
      </c>
      <c r="H111" s="115">
        <f t="shared" si="15"/>
        <v>0</v>
      </c>
      <c r="I111" s="83">
        <f t="shared" si="15"/>
        <v>0</v>
      </c>
      <c r="J111" s="82">
        <f t="shared" si="15"/>
        <v>0</v>
      </c>
      <c r="K111" s="115">
        <f t="shared" si="15"/>
        <v>0</v>
      </c>
      <c r="AD111" s="2365" t="s">
        <v>2820</v>
      </c>
      <c r="AE111" s="2369" cm="1">
        <f t="array" ref="AE111">SUMIFS(Sheet1!S71_PreAuditActual,Sheet1!S71_SA34cCode,_xlfn.SINGLE($AC:$AC),Sheet1!S71_RepMaintCode,_xlfn.SINGLE($AD:$AD))</f>
        <v>0</v>
      </c>
    </row>
    <row r="112" spans="1:31" ht="13.15" customHeight="1" x14ac:dyDescent="0.25">
      <c r="A112" s="2125" t="s">
        <v>2339</v>
      </c>
      <c r="B112" s="144"/>
      <c r="C112" s="712">
        <f>SUMIFS(Sheet1!S71_PPPYearAmount,Sheet1!S71_SA34cCode,$AC:$AC,Sheet1!S71_RepMaintCode,$AD:$AD)</f>
        <v>0</v>
      </c>
      <c r="D112" s="712">
        <f>SUMIFS(Sheet1!S71_PPYearAmount,Sheet1!S71_SA34cCode,$AC:$AC,Sheet1!S71_RepMaintCode,$AD:$AD)</f>
        <v>0</v>
      </c>
      <c r="E112" s="715">
        <f>SUMIFS(Sheet1!S71_PYearAmount,Sheet1!S71_SA34cCode,$AC:$AC,Sheet1!S71_RepMaintCode,$AD:$AD)</f>
        <v>0</v>
      </c>
      <c r="F112" s="725">
        <f>SUMIFS(Sheet1!S71_OriginalBudAmnt,Sheet1!S71_SA34cCode,$AC:$AC,Sheet1!S71_RepMaintCode,$AD:$AD)</f>
        <v>0</v>
      </c>
      <c r="G112" s="712">
        <f>SUMIFS(Sheet1!S71_AdjustmentBudAmnt,Sheet1!S71_SA34cCode,$AC:$AC,Sheet1!S71_RepMaintCode,$AD:$AD)</f>
        <v>0</v>
      </c>
      <c r="H112" s="713">
        <f>SUMIFS(Sheet1!S71_AdjustmentBudAmnt,Sheet1!S71_SA34cCode,$AC:$AC,Sheet1!S71_RepMaintCode,$AD:$AD)</f>
        <v>0</v>
      </c>
      <c r="I112" s="725">
        <f>SUMIFS(Sheet1!S71_ASBudgetAmount,Sheet1!S71_SA34cCode,$AC:$AC,Sheet1!S71_RepMaintCode,$AD:$AD)</f>
        <v>0</v>
      </c>
      <c r="J112" s="712">
        <f>SUMIFS(Sheet1!S71_OY1BudgetAmount,Sheet1!S71_SA34cCode,$AC:$AC,Sheet1!S71_RepMaintCode,$AD:$AD)</f>
        <v>0</v>
      </c>
      <c r="K112" s="713">
        <f>SUMIFS(Sheet1!S71_OY2BudgetAmount,Sheet1!S71_SA34cCode,$AC:$AC,Sheet1!S71_RepMaintCode,$AD:$AD)</f>
        <v>0</v>
      </c>
      <c r="AC112" s="2365" t="s">
        <v>2889</v>
      </c>
      <c r="AD112" s="2365" t="s">
        <v>2820</v>
      </c>
      <c r="AE112" s="2369" cm="1">
        <f t="array" ref="AE112">SUMIFS(Sheet1!S71_PreAuditActual,Sheet1!S71_SA34cCode,_xlfn.SINGLE($AC:$AC),Sheet1!S71_RepMaintCode,_xlfn.SINGLE($AD:$AD))</f>
        <v>0</v>
      </c>
    </row>
    <row r="113" spans="1:31" ht="13.15" customHeight="1" x14ac:dyDescent="0.25">
      <c r="A113" s="2125" t="s">
        <v>2340</v>
      </c>
      <c r="B113" s="144"/>
      <c r="C113" s="712">
        <f>SUMIFS(Sheet1!S71_PPPYearAmount,Sheet1!S71_SA34cCode,$AC:$AC,Sheet1!S71_RepMaintCode,$AD:$AD)</f>
        <v>0</v>
      </c>
      <c r="D113" s="712">
        <f>SUMIFS(Sheet1!S71_PPYearAmount,Sheet1!S71_SA34cCode,$AC:$AC,Sheet1!S71_RepMaintCode,$AD:$AD)</f>
        <v>0</v>
      </c>
      <c r="E113" s="715">
        <f>SUMIFS(Sheet1!S71_PYearAmount,Sheet1!S71_SA34cCode,$AC:$AC,Sheet1!S71_RepMaintCode,$AD:$AD)</f>
        <v>0</v>
      </c>
      <c r="F113" s="725">
        <f>SUMIFS(Sheet1!S71_OriginalBudAmnt,Sheet1!S71_SA34cCode,$AC:$AC,Sheet1!S71_RepMaintCode,$AD:$AD)</f>
        <v>0</v>
      </c>
      <c r="G113" s="712">
        <f>SUMIFS(Sheet1!S71_AdjustmentBudAmnt,Sheet1!S71_SA34cCode,$AC:$AC,Sheet1!S71_RepMaintCode,$AD:$AD)</f>
        <v>0</v>
      </c>
      <c r="H113" s="713">
        <f>SUMIFS(Sheet1!S71_AdjustmentBudAmnt,Sheet1!S71_SA34cCode,$AC:$AC,Sheet1!S71_RepMaintCode,$AD:$AD)</f>
        <v>0</v>
      </c>
      <c r="I113" s="725">
        <f>SUMIFS(Sheet1!S71_ASBudgetAmount,Sheet1!S71_SA34cCode,$AC:$AC,Sheet1!S71_RepMaintCode,$AD:$AD)</f>
        <v>0</v>
      </c>
      <c r="J113" s="712">
        <f>SUMIFS(Sheet1!S71_OY1BudgetAmount,Sheet1!S71_SA34cCode,$AC:$AC,Sheet1!S71_RepMaintCode,$AD:$AD)</f>
        <v>0</v>
      </c>
      <c r="K113" s="713">
        <f>SUMIFS(Sheet1!S71_OY2BudgetAmount,Sheet1!S71_SA34cCode,$AC:$AC,Sheet1!S71_RepMaintCode,$AD:$AD)</f>
        <v>0</v>
      </c>
      <c r="AC113" s="2365" t="s">
        <v>2890</v>
      </c>
      <c r="AD113" s="2365" t="s">
        <v>2820</v>
      </c>
      <c r="AE113" s="2369" cm="1">
        <f t="array" ref="AE113">SUMIFS(Sheet1!S71_PreAuditActual,Sheet1!S71_SA34cCode,_xlfn.SINGLE($AC:$AC),Sheet1!S71_RepMaintCode,_xlfn.SINGLE($AD:$AD))</f>
        <v>0</v>
      </c>
    </row>
    <row r="114" spans="1:31" ht="13.15" customHeight="1" x14ac:dyDescent="0.25">
      <c r="A114" s="104" t="s">
        <v>2341</v>
      </c>
      <c r="B114" s="144"/>
      <c r="C114" s="71">
        <f>SUM(C115:C116)</f>
        <v>0</v>
      </c>
      <c r="D114" s="71">
        <f t="shared" ref="D114:K114" si="16">SUM(D115:D116)</f>
        <v>0</v>
      </c>
      <c r="E114" s="305">
        <f t="shared" si="16"/>
        <v>0</v>
      </c>
      <c r="F114" s="75">
        <f t="shared" si="16"/>
        <v>0</v>
      </c>
      <c r="G114" s="71">
        <f t="shared" si="16"/>
        <v>0</v>
      </c>
      <c r="H114" s="117">
        <f t="shared" si="16"/>
        <v>0</v>
      </c>
      <c r="I114" s="75">
        <f t="shared" si="16"/>
        <v>0</v>
      </c>
      <c r="J114" s="71">
        <f t="shared" si="16"/>
        <v>0</v>
      </c>
      <c r="K114" s="117">
        <f t="shared" si="16"/>
        <v>0</v>
      </c>
      <c r="AD114" s="2365" t="s">
        <v>2820</v>
      </c>
      <c r="AE114" s="2369" cm="1">
        <f t="array" ref="AE114">SUMIFS(Sheet1!S71_PreAuditActual,Sheet1!S71_SA34cCode,_xlfn.SINGLE($AC:$AC),Sheet1!S71_RepMaintCode,_xlfn.SINGLE($AD:$AD))</f>
        <v>0</v>
      </c>
    </row>
    <row r="115" spans="1:31" ht="13.15" customHeight="1" x14ac:dyDescent="0.25">
      <c r="A115" s="2125" t="s">
        <v>2339</v>
      </c>
      <c r="B115" s="144"/>
      <c r="C115" s="712">
        <f>SUMIFS(Sheet1!S71_PPPYearAmount,Sheet1!S71_SA34cCode,$AC:$AC,Sheet1!S71_RepMaintCode,$AD:$AD)</f>
        <v>0</v>
      </c>
      <c r="D115" s="712">
        <f>SUMIFS(Sheet1!S71_PPYearAmount,Sheet1!S71_SA34cCode,$AC:$AC,Sheet1!S71_RepMaintCode,$AD:$AD)</f>
        <v>0</v>
      </c>
      <c r="E115" s="715">
        <f>SUMIFS(Sheet1!S71_PYearAmount,Sheet1!S71_SA34cCode,$AC:$AC,Sheet1!S71_RepMaintCode,$AD:$AD)</f>
        <v>0</v>
      </c>
      <c r="F115" s="725">
        <f>SUMIFS(Sheet1!S71_OriginalBudAmnt,Sheet1!S71_SA34cCode,$AC:$AC,Sheet1!S71_RepMaintCode,$AD:$AD)</f>
        <v>0</v>
      </c>
      <c r="G115" s="712">
        <f>SUMIFS(Sheet1!S71_AdjustmentBudAmnt,Sheet1!S71_SA34cCode,$AC:$AC,Sheet1!S71_RepMaintCode,$AD:$AD)</f>
        <v>0</v>
      </c>
      <c r="H115" s="713">
        <f>SUMIFS(Sheet1!S71_AdjustmentBudAmnt,Sheet1!S71_SA34cCode,$AC:$AC,Sheet1!S71_RepMaintCode,$AD:$AD)</f>
        <v>0</v>
      </c>
      <c r="I115" s="725">
        <f>SUMIFS(Sheet1!S71_ASBudgetAmount,Sheet1!S71_SA34cCode,$AC:$AC,Sheet1!S71_RepMaintCode,$AD:$AD)</f>
        <v>0</v>
      </c>
      <c r="J115" s="712">
        <f>SUMIFS(Sheet1!S71_OY1BudgetAmount,Sheet1!S71_SA34cCode,$AC:$AC,Sheet1!S71_RepMaintCode,$AD:$AD)</f>
        <v>0</v>
      </c>
      <c r="K115" s="713">
        <f>SUMIFS(Sheet1!S71_OY2BudgetAmount,Sheet1!S71_SA34cCode,$AC:$AC,Sheet1!S71_RepMaintCode,$AD:$AD)</f>
        <v>0</v>
      </c>
      <c r="AC115" s="2365" t="s">
        <v>2892</v>
      </c>
      <c r="AD115" s="2365" t="s">
        <v>2820</v>
      </c>
      <c r="AE115" s="2369" cm="1">
        <f t="array" ref="AE115">SUMIFS(Sheet1!S71_PreAuditActual,Sheet1!S71_SA34cCode,_xlfn.SINGLE($AC:$AC),Sheet1!S71_RepMaintCode,_xlfn.SINGLE($AD:$AD))</f>
        <v>0</v>
      </c>
    </row>
    <row r="116" spans="1:31" ht="13.15" customHeight="1" x14ac:dyDescent="0.25">
      <c r="A116" s="2125" t="s">
        <v>2340</v>
      </c>
      <c r="B116" s="144"/>
      <c r="C116" s="712">
        <f>SUMIFS(Sheet1!S71_PPPYearAmount,Sheet1!S71_SA34cCode,$AC:$AC,Sheet1!S71_RepMaintCode,$AD:$AD)</f>
        <v>0</v>
      </c>
      <c r="D116" s="712">
        <f>SUMIFS(Sheet1!S71_PPYearAmount,Sheet1!S71_SA34cCode,$AC:$AC,Sheet1!S71_RepMaintCode,$AD:$AD)</f>
        <v>0</v>
      </c>
      <c r="E116" s="715">
        <f>SUMIFS(Sheet1!S71_PYearAmount,Sheet1!S71_SA34cCode,$AC:$AC,Sheet1!S71_RepMaintCode,$AD:$AD)</f>
        <v>0</v>
      </c>
      <c r="F116" s="725">
        <f>SUMIFS(Sheet1!S71_OriginalBudAmnt,Sheet1!S71_SA34cCode,$AC:$AC,Sheet1!S71_RepMaintCode,$AD:$AD)</f>
        <v>0</v>
      </c>
      <c r="G116" s="712">
        <f>SUMIFS(Sheet1!S71_AdjustmentBudAmnt,Sheet1!S71_SA34cCode,$AC:$AC,Sheet1!S71_RepMaintCode,$AD:$AD)</f>
        <v>0</v>
      </c>
      <c r="H116" s="713">
        <f>SUMIFS(Sheet1!S71_AdjustmentBudAmnt,Sheet1!S71_SA34cCode,$AC:$AC,Sheet1!S71_RepMaintCode,$AD:$AD)</f>
        <v>0</v>
      </c>
      <c r="I116" s="725">
        <f>SUMIFS(Sheet1!S71_ASBudgetAmount,Sheet1!S71_SA34cCode,$AC:$AC,Sheet1!S71_RepMaintCode,$AD:$AD)</f>
        <v>0</v>
      </c>
      <c r="J116" s="712">
        <f>SUMIFS(Sheet1!S71_OY1BudgetAmount,Sheet1!S71_SA34cCode,$AC:$AC,Sheet1!S71_RepMaintCode,$AD:$AD)</f>
        <v>0</v>
      </c>
      <c r="K116" s="713">
        <f>SUMIFS(Sheet1!S71_OY2BudgetAmount,Sheet1!S71_SA34cCode,$AC:$AC,Sheet1!S71_RepMaintCode,$AD:$AD)</f>
        <v>0</v>
      </c>
      <c r="AC116" s="2365" t="s">
        <v>2893</v>
      </c>
      <c r="AD116" s="2365" t="s">
        <v>2820</v>
      </c>
      <c r="AE116" s="2369" cm="1">
        <f t="array" ref="AE116">SUMIFS(Sheet1!S71_PreAuditActual,Sheet1!S71_SA34cCode,_xlfn.SINGLE($AC:$AC),Sheet1!S71_RepMaintCode,_xlfn.SINGLE($AD:$AD))</f>
        <v>0</v>
      </c>
    </row>
    <row r="117" spans="1:31" ht="4.9000000000000004" customHeight="1" x14ac:dyDescent="0.25">
      <c r="A117" s="448"/>
      <c r="B117" s="144"/>
      <c r="C117" s="177"/>
      <c r="D117" s="177"/>
      <c r="E117" s="180"/>
      <c r="F117" s="179"/>
      <c r="G117" s="177"/>
      <c r="H117" s="178"/>
      <c r="I117" s="179"/>
      <c r="J117" s="177"/>
      <c r="K117" s="178"/>
      <c r="AD117" s="2365" t="s">
        <v>2820</v>
      </c>
      <c r="AE117" s="2369" cm="1">
        <f t="array" ref="AE117">SUMIFS(Sheet1!S71_PreAuditActual,Sheet1!S71_SA34cCode,_xlfn.SINGLE($AC:$AC),Sheet1!S71_RepMaintCode,_xlfn.SINGLE($AD:$AD))</f>
        <v>0</v>
      </c>
    </row>
    <row r="118" spans="1:31" ht="13.15" customHeight="1" x14ac:dyDescent="0.25">
      <c r="A118" s="574" t="s">
        <v>830</v>
      </c>
      <c r="B118" s="144"/>
      <c r="C118" s="545">
        <f>+C119+C131</f>
        <v>3026908</v>
      </c>
      <c r="D118" s="545">
        <f t="shared" ref="D118:K118" si="17">+D119+D131</f>
        <v>263909</v>
      </c>
      <c r="E118" s="831">
        <f t="shared" si="17"/>
        <v>1064569</v>
      </c>
      <c r="F118" s="743">
        <f t="shared" si="17"/>
        <v>2000000</v>
      </c>
      <c r="G118" s="545">
        <f t="shared" si="17"/>
        <v>7819500</v>
      </c>
      <c r="H118" s="742">
        <f t="shared" si="17"/>
        <v>7819500</v>
      </c>
      <c r="I118" s="743">
        <f t="shared" si="17"/>
        <v>10500000</v>
      </c>
      <c r="J118" s="545">
        <f t="shared" si="17"/>
        <v>2200000</v>
      </c>
      <c r="K118" s="742">
        <f t="shared" si="17"/>
        <v>2420000</v>
      </c>
      <c r="AD118" s="2365" t="s">
        <v>2820</v>
      </c>
      <c r="AE118" s="2369" cm="1">
        <f t="array" ref="AE118">SUMIFS(Sheet1!S71_PreAuditActual,Sheet1!S71_SA34cCode,_xlfn.SINGLE($AC:$AC),Sheet1!S71_RepMaintCode,_xlfn.SINGLE($AD:$AD))</f>
        <v>0</v>
      </c>
    </row>
    <row r="119" spans="1:31" ht="13.15" customHeight="1" x14ac:dyDescent="0.25">
      <c r="A119" s="104" t="s">
        <v>2309</v>
      </c>
      <c r="B119" s="144"/>
      <c r="C119" s="82">
        <f>SUM(C120:C130)</f>
        <v>3026908</v>
      </c>
      <c r="D119" s="82">
        <f t="shared" ref="D119:K119" si="18">SUM(D120:D130)</f>
        <v>263909</v>
      </c>
      <c r="E119" s="304">
        <f t="shared" si="18"/>
        <v>1064569</v>
      </c>
      <c r="F119" s="83">
        <f t="shared" si="18"/>
        <v>2000000</v>
      </c>
      <c r="G119" s="82">
        <f t="shared" si="18"/>
        <v>7819500</v>
      </c>
      <c r="H119" s="115">
        <f t="shared" si="18"/>
        <v>7819500</v>
      </c>
      <c r="I119" s="83">
        <f t="shared" si="18"/>
        <v>10500000</v>
      </c>
      <c r="J119" s="82">
        <f t="shared" si="18"/>
        <v>2200000</v>
      </c>
      <c r="K119" s="115">
        <f t="shared" si="18"/>
        <v>2420000</v>
      </c>
      <c r="AD119" s="2365" t="s">
        <v>2820</v>
      </c>
      <c r="AE119" s="2369" cm="1">
        <f t="array" ref="AE119">SUMIFS(Sheet1!S71_PreAuditActual,Sheet1!S71_SA34cCode,_xlfn.SINGLE($AC:$AC),Sheet1!S71_RepMaintCode,_xlfn.SINGLE($AD:$AD))</f>
        <v>0</v>
      </c>
    </row>
    <row r="120" spans="1:31" ht="13.15" customHeight="1" x14ac:dyDescent="0.25">
      <c r="A120" s="2125" t="s">
        <v>2310</v>
      </c>
      <c r="B120" s="144"/>
      <c r="C120" s="712">
        <f>SUMIFS(Sheet1!S71_PPPYearAmount,Sheet1!S71_SA34cCode,$AC:$AC,Sheet1!S71_RepMaintCode,$AD:$AD)</f>
        <v>2930891</v>
      </c>
      <c r="D120" s="712">
        <f>SUMIFS(Sheet1!S71_PPYearAmount,Sheet1!S71_SA34cCode,$AC:$AC,Sheet1!S71_RepMaintCode,$AD:$AD)</f>
        <v>263909</v>
      </c>
      <c r="E120" s="715">
        <f>SUMIFS(Sheet1!S71_PYearAmount,Sheet1!S71_SA34cCode,$AC:$AC,Sheet1!S71_RepMaintCode,$AD:$AD)</f>
        <v>1064569</v>
      </c>
      <c r="F120" s="725">
        <f>SUMIFS(Sheet1!S71_OriginalBudAmnt,Sheet1!S71_SA34cCode,$AC:$AC,Sheet1!S71_RepMaintCode,$AD:$AD)</f>
        <v>2000000</v>
      </c>
      <c r="G120" s="712">
        <f>SUMIFS(Sheet1!S71_AdjustmentBudAmnt,Sheet1!S71_SA34cCode,$AC:$AC,Sheet1!S71_RepMaintCode,$AD:$AD)</f>
        <v>7819500</v>
      </c>
      <c r="H120" s="713">
        <f>SUMIFS(Sheet1!S71_AdjustmentBudAmnt,Sheet1!S71_SA34cCode,$AC:$AC,Sheet1!S71_RepMaintCode,$AD:$AD)</f>
        <v>7819500</v>
      </c>
      <c r="I120" s="725">
        <f>SUMIFS(Sheet1!S71_ASBudgetAmount,Sheet1!S71_SA34cCode,$AC:$AC,Sheet1!S71_RepMaintCode,$AD:$AD)</f>
        <v>10500000</v>
      </c>
      <c r="J120" s="712">
        <f>SUMIFS(Sheet1!S71_OY1BudgetAmount,Sheet1!S71_SA34cCode,$AC:$AC,Sheet1!S71_RepMaintCode,$AD:$AD)</f>
        <v>2200000</v>
      </c>
      <c r="K120" s="713">
        <f>SUMIFS(Sheet1!S71_OY2BudgetAmount,Sheet1!S71_SA34cCode,$AC:$AC,Sheet1!S71_RepMaintCode,$AD:$AD)</f>
        <v>2420000</v>
      </c>
      <c r="AC120" s="2365" t="s">
        <v>2059</v>
      </c>
      <c r="AD120" s="2365" t="s">
        <v>2820</v>
      </c>
      <c r="AE120" s="2369" cm="1">
        <f t="array" ref="AE120">SUMIFS(Sheet1!S71_PreAuditActual,Sheet1!S71_SA34cCode,_xlfn.SINGLE($AC:$AC),Sheet1!S71_RepMaintCode,_xlfn.SINGLE($AD:$AD))</f>
        <v>9303532</v>
      </c>
    </row>
    <row r="121" spans="1:31" ht="13.15" customHeight="1" x14ac:dyDescent="0.25">
      <c r="A121" s="2125" t="s">
        <v>2311</v>
      </c>
      <c r="B121" s="144"/>
      <c r="C121" s="712">
        <f>SUMIFS(Sheet1!S71_PPPYearAmount,Sheet1!S71_SA34cCode,$AC:$AC,Sheet1!S71_RepMaintCode,$AD:$AD)</f>
        <v>0</v>
      </c>
      <c r="D121" s="712">
        <f>SUMIFS(Sheet1!S71_PPYearAmount,Sheet1!S71_SA34cCode,$AC:$AC,Sheet1!S71_RepMaintCode,$AD:$AD)</f>
        <v>0</v>
      </c>
      <c r="E121" s="715">
        <f>SUMIFS(Sheet1!S71_PYearAmount,Sheet1!S71_SA34cCode,$AC:$AC,Sheet1!S71_RepMaintCode,$AD:$AD)</f>
        <v>0</v>
      </c>
      <c r="F121" s="725">
        <f>SUMIFS(Sheet1!S71_OriginalBudAmnt,Sheet1!S71_SA34cCode,$AC:$AC,Sheet1!S71_RepMaintCode,$AD:$AD)</f>
        <v>0</v>
      </c>
      <c r="G121" s="712">
        <f>SUMIFS(Sheet1!S71_AdjustmentBudAmnt,Sheet1!S71_SA34cCode,$AC:$AC,Sheet1!S71_RepMaintCode,$AD:$AD)</f>
        <v>0</v>
      </c>
      <c r="H121" s="713">
        <f>SUMIFS(Sheet1!S71_AdjustmentBudAmnt,Sheet1!S71_SA34cCode,$AC:$AC,Sheet1!S71_RepMaintCode,$AD:$AD)</f>
        <v>0</v>
      </c>
      <c r="I121" s="725">
        <f>SUMIFS(Sheet1!S71_ASBudgetAmount,Sheet1!S71_SA34cCode,$AC:$AC,Sheet1!S71_RepMaintCode,$AD:$AD)</f>
        <v>0</v>
      </c>
      <c r="J121" s="712">
        <f>SUMIFS(Sheet1!S71_OY1BudgetAmount,Sheet1!S71_SA34cCode,$AC:$AC,Sheet1!S71_RepMaintCode,$AD:$AD)</f>
        <v>0</v>
      </c>
      <c r="K121" s="713">
        <f>SUMIFS(Sheet1!S71_OY2BudgetAmount,Sheet1!S71_SA34cCode,$AC:$AC,Sheet1!S71_RepMaintCode,$AD:$AD)</f>
        <v>0</v>
      </c>
      <c r="AC121" s="2365" t="s">
        <v>2069</v>
      </c>
      <c r="AD121" s="2365" t="s">
        <v>2820</v>
      </c>
      <c r="AE121" s="2369" cm="1">
        <f t="array" ref="AE121">SUMIFS(Sheet1!S71_PreAuditActual,Sheet1!S71_SA34cCode,_xlfn.SINGLE($AC:$AC),Sheet1!S71_RepMaintCode,_xlfn.SINGLE($AD:$AD))</f>
        <v>0</v>
      </c>
    </row>
    <row r="122" spans="1:31" ht="13.15" customHeight="1" x14ac:dyDescent="0.25">
      <c r="A122" s="2125" t="s">
        <v>2312</v>
      </c>
      <c r="B122" s="144"/>
      <c r="C122" s="712">
        <f>SUMIFS(Sheet1!S71_PPPYearAmount,Sheet1!S71_SA34cCode,$AC:$AC,Sheet1!S71_RepMaintCode,$AD:$AD)</f>
        <v>96017</v>
      </c>
      <c r="D122" s="712">
        <f>SUMIFS(Sheet1!S71_PPYearAmount,Sheet1!S71_SA34cCode,$AC:$AC,Sheet1!S71_RepMaintCode,$AD:$AD)</f>
        <v>0</v>
      </c>
      <c r="E122" s="715">
        <f>SUMIFS(Sheet1!S71_PYearAmount,Sheet1!S71_SA34cCode,$AC:$AC,Sheet1!S71_RepMaintCode,$AD:$AD)</f>
        <v>0</v>
      </c>
      <c r="F122" s="725">
        <f>SUMIFS(Sheet1!S71_OriginalBudAmnt,Sheet1!S71_SA34cCode,$AC:$AC,Sheet1!S71_RepMaintCode,$AD:$AD)</f>
        <v>0</v>
      </c>
      <c r="G122" s="712">
        <f>SUMIFS(Sheet1!S71_AdjustmentBudAmnt,Sheet1!S71_SA34cCode,$AC:$AC,Sheet1!S71_RepMaintCode,$AD:$AD)</f>
        <v>0</v>
      </c>
      <c r="H122" s="713">
        <f>SUMIFS(Sheet1!S71_AdjustmentBudAmnt,Sheet1!S71_SA34cCode,$AC:$AC,Sheet1!S71_RepMaintCode,$AD:$AD)</f>
        <v>0</v>
      </c>
      <c r="I122" s="725">
        <f>SUMIFS(Sheet1!S71_ASBudgetAmount,Sheet1!S71_SA34cCode,$AC:$AC,Sheet1!S71_RepMaintCode,$AD:$AD)</f>
        <v>0</v>
      </c>
      <c r="J122" s="712">
        <f>SUMIFS(Sheet1!S71_OY1BudgetAmount,Sheet1!S71_SA34cCode,$AC:$AC,Sheet1!S71_RepMaintCode,$AD:$AD)</f>
        <v>0</v>
      </c>
      <c r="K122" s="713">
        <f>SUMIFS(Sheet1!S71_OY2BudgetAmount,Sheet1!S71_SA34cCode,$AC:$AC,Sheet1!S71_RepMaintCode,$AD:$AD)</f>
        <v>0</v>
      </c>
      <c r="AC122" s="2365" t="s">
        <v>2894</v>
      </c>
      <c r="AD122" s="2365" t="s">
        <v>2820</v>
      </c>
      <c r="AE122" s="2369" cm="1">
        <f t="array" ref="AE122">SUMIFS(Sheet1!S71_PreAuditActual,Sheet1!S71_SA34cCode,_xlfn.SINGLE($AC:$AC),Sheet1!S71_RepMaintCode,_xlfn.SINGLE($AD:$AD))</f>
        <v>0</v>
      </c>
    </row>
    <row r="123" spans="1:31" ht="13.15" customHeight="1" x14ac:dyDescent="0.25">
      <c r="A123" s="2125" t="s">
        <v>2313</v>
      </c>
      <c r="B123" s="144"/>
      <c r="C123" s="712">
        <f>SUMIFS(Sheet1!S71_PPPYearAmount,Sheet1!S71_SA34cCode,$AC:$AC,Sheet1!S71_RepMaintCode,$AD:$AD)</f>
        <v>0</v>
      </c>
      <c r="D123" s="712">
        <f>SUMIFS(Sheet1!S71_PPYearAmount,Sheet1!S71_SA34cCode,$AC:$AC,Sheet1!S71_RepMaintCode,$AD:$AD)</f>
        <v>0</v>
      </c>
      <c r="E123" s="715">
        <f>SUMIFS(Sheet1!S71_PYearAmount,Sheet1!S71_SA34cCode,$AC:$AC,Sheet1!S71_RepMaintCode,$AD:$AD)</f>
        <v>0</v>
      </c>
      <c r="F123" s="725">
        <f>SUMIFS(Sheet1!S71_OriginalBudAmnt,Sheet1!S71_SA34cCode,$AC:$AC,Sheet1!S71_RepMaintCode,$AD:$AD)</f>
        <v>0</v>
      </c>
      <c r="G123" s="712">
        <f>SUMIFS(Sheet1!S71_AdjustmentBudAmnt,Sheet1!S71_SA34cCode,$AC:$AC,Sheet1!S71_RepMaintCode,$AD:$AD)</f>
        <v>0</v>
      </c>
      <c r="H123" s="713">
        <f>SUMIFS(Sheet1!S71_AdjustmentBudAmnt,Sheet1!S71_SA34cCode,$AC:$AC,Sheet1!S71_RepMaintCode,$AD:$AD)</f>
        <v>0</v>
      </c>
      <c r="I123" s="725">
        <f>SUMIFS(Sheet1!S71_ASBudgetAmount,Sheet1!S71_SA34cCode,$AC:$AC,Sheet1!S71_RepMaintCode,$AD:$AD)</f>
        <v>0</v>
      </c>
      <c r="J123" s="712">
        <f>SUMIFS(Sheet1!S71_OY1BudgetAmount,Sheet1!S71_SA34cCode,$AC:$AC,Sheet1!S71_RepMaintCode,$AD:$AD)</f>
        <v>0</v>
      </c>
      <c r="K123" s="713">
        <f>SUMIFS(Sheet1!S71_OY2BudgetAmount,Sheet1!S71_SA34cCode,$AC:$AC,Sheet1!S71_RepMaintCode,$AD:$AD)</f>
        <v>0</v>
      </c>
      <c r="AC123" s="2365" t="s">
        <v>2895</v>
      </c>
      <c r="AD123" s="2365" t="s">
        <v>2820</v>
      </c>
      <c r="AE123" s="2369" cm="1">
        <f t="array" ref="AE123">SUMIFS(Sheet1!S71_PreAuditActual,Sheet1!S71_SA34cCode,_xlfn.SINGLE($AC:$AC),Sheet1!S71_RepMaintCode,_xlfn.SINGLE($AD:$AD))</f>
        <v>0</v>
      </c>
    </row>
    <row r="124" spans="1:31" ht="13.15" customHeight="1" x14ac:dyDescent="0.25">
      <c r="A124" s="2125" t="s">
        <v>2314</v>
      </c>
      <c r="B124" s="144"/>
      <c r="C124" s="712">
        <f>SUMIFS(Sheet1!S71_PPPYearAmount,Sheet1!S71_SA34cCode,$AC:$AC,Sheet1!S71_RepMaintCode,$AD:$AD)</f>
        <v>0</v>
      </c>
      <c r="D124" s="712">
        <f>SUMIFS(Sheet1!S71_PPYearAmount,Sheet1!S71_SA34cCode,$AC:$AC,Sheet1!S71_RepMaintCode,$AD:$AD)</f>
        <v>0</v>
      </c>
      <c r="E124" s="715">
        <f>SUMIFS(Sheet1!S71_PYearAmount,Sheet1!S71_SA34cCode,$AC:$AC,Sheet1!S71_RepMaintCode,$AD:$AD)</f>
        <v>0</v>
      </c>
      <c r="F124" s="725">
        <f>SUMIFS(Sheet1!S71_OriginalBudAmnt,Sheet1!S71_SA34cCode,$AC:$AC,Sheet1!S71_RepMaintCode,$AD:$AD)</f>
        <v>0</v>
      </c>
      <c r="G124" s="712">
        <f>SUMIFS(Sheet1!S71_AdjustmentBudAmnt,Sheet1!S71_SA34cCode,$AC:$AC,Sheet1!S71_RepMaintCode,$AD:$AD)</f>
        <v>0</v>
      </c>
      <c r="H124" s="713">
        <f>SUMIFS(Sheet1!S71_AdjustmentBudAmnt,Sheet1!S71_SA34cCode,$AC:$AC,Sheet1!S71_RepMaintCode,$AD:$AD)</f>
        <v>0</v>
      </c>
      <c r="I124" s="725">
        <f>SUMIFS(Sheet1!S71_ASBudgetAmount,Sheet1!S71_SA34cCode,$AC:$AC,Sheet1!S71_RepMaintCode,$AD:$AD)</f>
        <v>0</v>
      </c>
      <c r="J124" s="712">
        <f>SUMIFS(Sheet1!S71_OY1BudgetAmount,Sheet1!S71_SA34cCode,$AC:$AC,Sheet1!S71_RepMaintCode,$AD:$AD)</f>
        <v>0</v>
      </c>
      <c r="K124" s="713">
        <f>SUMIFS(Sheet1!S71_OY2BudgetAmount,Sheet1!S71_SA34cCode,$AC:$AC,Sheet1!S71_RepMaintCode,$AD:$AD)</f>
        <v>0</v>
      </c>
      <c r="AC124" s="2365" t="s">
        <v>2896</v>
      </c>
      <c r="AD124" s="2365" t="s">
        <v>2820</v>
      </c>
      <c r="AE124" s="2369" cm="1">
        <f t="array" ref="AE124">SUMIFS(Sheet1!S71_PreAuditActual,Sheet1!S71_SA34cCode,_xlfn.SINGLE($AC:$AC),Sheet1!S71_RepMaintCode,_xlfn.SINGLE($AD:$AD))</f>
        <v>0</v>
      </c>
    </row>
    <row r="125" spans="1:31" ht="13.15" customHeight="1" x14ac:dyDescent="0.25">
      <c r="A125" s="2125" t="s">
        <v>2315</v>
      </c>
      <c r="B125" s="144"/>
      <c r="C125" s="712">
        <f>SUMIFS(Sheet1!S71_PPPYearAmount,Sheet1!S71_SA34cCode,$AC:$AC,Sheet1!S71_RepMaintCode,$AD:$AD)</f>
        <v>0</v>
      </c>
      <c r="D125" s="712">
        <f>SUMIFS(Sheet1!S71_PPYearAmount,Sheet1!S71_SA34cCode,$AC:$AC,Sheet1!S71_RepMaintCode,$AD:$AD)</f>
        <v>0</v>
      </c>
      <c r="E125" s="715">
        <f>SUMIFS(Sheet1!S71_PYearAmount,Sheet1!S71_SA34cCode,$AC:$AC,Sheet1!S71_RepMaintCode,$AD:$AD)</f>
        <v>0</v>
      </c>
      <c r="F125" s="725">
        <f>SUMIFS(Sheet1!S71_OriginalBudAmnt,Sheet1!S71_SA34cCode,$AC:$AC,Sheet1!S71_RepMaintCode,$AD:$AD)</f>
        <v>0</v>
      </c>
      <c r="G125" s="712">
        <f>SUMIFS(Sheet1!S71_AdjustmentBudAmnt,Sheet1!S71_SA34cCode,$AC:$AC,Sheet1!S71_RepMaintCode,$AD:$AD)</f>
        <v>0</v>
      </c>
      <c r="H125" s="713">
        <f>SUMIFS(Sheet1!S71_AdjustmentBudAmnt,Sheet1!S71_SA34cCode,$AC:$AC,Sheet1!S71_RepMaintCode,$AD:$AD)</f>
        <v>0</v>
      </c>
      <c r="I125" s="725">
        <f>SUMIFS(Sheet1!S71_ASBudgetAmount,Sheet1!S71_SA34cCode,$AC:$AC,Sheet1!S71_RepMaintCode,$AD:$AD)</f>
        <v>0</v>
      </c>
      <c r="J125" s="712">
        <f>SUMIFS(Sheet1!S71_OY1BudgetAmount,Sheet1!S71_SA34cCode,$AC:$AC,Sheet1!S71_RepMaintCode,$AD:$AD)</f>
        <v>0</v>
      </c>
      <c r="K125" s="713">
        <f>SUMIFS(Sheet1!S71_OY2BudgetAmount,Sheet1!S71_SA34cCode,$AC:$AC,Sheet1!S71_RepMaintCode,$AD:$AD)</f>
        <v>0</v>
      </c>
      <c r="AC125" s="2365" t="s">
        <v>2897</v>
      </c>
      <c r="AD125" s="2365" t="s">
        <v>2820</v>
      </c>
      <c r="AE125" s="2369" cm="1">
        <f t="array" ref="AE125">SUMIFS(Sheet1!S71_PreAuditActual,Sheet1!S71_SA34cCode,_xlfn.SINGLE($AC:$AC),Sheet1!S71_RepMaintCode,_xlfn.SINGLE($AD:$AD))</f>
        <v>0</v>
      </c>
    </row>
    <row r="126" spans="1:31" ht="13.15" customHeight="1" x14ac:dyDescent="0.25">
      <c r="A126" s="2125" t="s">
        <v>2316</v>
      </c>
      <c r="B126" s="144"/>
      <c r="C126" s="712">
        <f>SUMIFS(Sheet1!S71_PPPYearAmount,Sheet1!S71_SA34cCode,$AC:$AC,Sheet1!S71_RepMaintCode,$AD:$AD)</f>
        <v>0</v>
      </c>
      <c r="D126" s="712">
        <f>SUMIFS(Sheet1!S71_PPYearAmount,Sheet1!S71_SA34cCode,$AC:$AC,Sheet1!S71_RepMaintCode,$AD:$AD)</f>
        <v>0</v>
      </c>
      <c r="E126" s="715">
        <f>SUMIFS(Sheet1!S71_PYearAmount,Sheet1!S71_SA34cCode,$AC:$AC,Sheet1!S71_RepMaintCode,$AD:$AD)</f>
        <v>0</v>
      </c>
      <c r="F126" s="725">
        <f>SUMIFS(Sheet1!S71_OriginalBudAmnt,Sheet1!S71_SA34cCode,$AC:$AC,Sheet1!S71_RepMaintCode,$AD:$AD)</f>
        <v>0</v>
      </c>
      <c r="G126" s="712">
        <f>SUMIFS(Sheet1!S71_AdjustmentBudAmnt,Sheet1!S71_SA34cCode,$AC:$AC,Sheet1!S71_RepMaintCode,$AD:$AD)</f>
        <v>0</v>
      </c>
      <c r="H126" s="713">
        <f>SUMIFS(Sheet1!S71_AdjustmentBudAmnt,Sheet1!S71_SA34cCode,$AC:$AC,Sheet1!S71_RepMaintCode,$AD:$AD)</f>
        <v>0</v>
      </c>
      <c r="I126" s="725">
        <f>SUMIFS(Sheet1!S71_ASBudgetAmount,Sheet1!S71_SA34cCode,$AC:$AC,Sheet1!S71_RepMaintCode,$AD:$AD)</f>
        <v>0</v>
      </c>
      <c r="J126" s="712">
        <f>SUMIFS(Sheet1!S71_OY1BudgetAmount,Sheet1!S71_SA34cCode,$AC:$AC,Sheet1!S71_RepMaintCode,$AD:$AD)</f>
        <v>0</v>
      </c>
      <c r="K126" s="713">
        <f>SUMIFS(Sheet1!S71_OY2BudgetAmount,Sheet1!S71_SA34cCode,$AC:$AC,Sheet1!S71_RepMaintCode,$AD:$AD)</f>
        <v>0</v>
      </c>
      <c r="AC126" s="2365" t="s">
        <v>2898</v>
      </c>
      <c r="AD126" s="2365" t="s">
        <v>2820</v>
      </c>
      <c r="AE126" s="2369" cm="1">
        <f t="array" ref="AE126">SUMIFS(Sheet1!S71_PreAuditActual,Sheet1!S71_SA34cCode,_xlfn.SINGLE($AC:$AC),Sheet1!S71_RepMaintCode,_xlfn.SINGLE($AD:$AD))</f>
        <v>0</v>
      </c>
    </row>
    <row r="127" spans="1:31" ht="13.15" customHeight="1" x14ac:dyDescent="0.25">
      <c r="A127" s="2125" t="s">
        <v>2317</v>
      </c>
      <c r="B127" s="144"/>
      <c r="C127" s="712">
        <f>SUMIFS(Sheet1!S71_PPPYearAmount,Sheet1!S71_SA34cCode,$AC:$AC,Sheet1!S71_RepMaintCode,$AD:$AD)</f>
        <v>0</v>
      </c>
      <c r="D127" s="712">
        <f>SUMIFS(Sheet1!S71_PPYearAmount,Sheet1!S71_SA34cCode,$AC:$AC,Sheet1!S71_RepMaintCode,$AD:$AD)</f>
        <v>0</v>
      </c>
      <c r="E127" s="715">
        <f>SUMIFS(Sheet1!S71_PYearAmount,Sheet1!S71_SA34cCode,$AC:$AC,Sheet1!S71_RepMaintCode,$AD:$AD)</f>
        <v>0</v>
      </c>
      <c r="F127" s="725">
        <f>SUMIFS(Sheet1!S71_OriginalBudAmnt,Sheet1!S71_SA34cCode,$AC:$AC,Sheet1!S71_RepMaintCode,$AD:$AD)</f>
        <v>0</v>
      </c>
      <c r="G127" s="712">
        <f>SUMIFS(Sheet1!S71_AdjustmentBudAmnt,Sheet1!S71_SA34cCode,$AC:$AC,Sheet1!S71_RepMaintCode,$AD:$AD)</f>
        <v>0</v>
      </c>
      <c r="H127" s="713">
        <f>SUMIFS(Sheet1!S71_AdjustmentBudAmnt,Sheet1!S71_SA34cCode,$AC:$AC,Sheet1!S71_RepMaintCode,$AD:$AD)</f>
        <v>0</v>
      </c>
      <c r="I127" s="725">
        <f>SUMIFS(Sheet1!S71_ASBudgetAmount,Sheet1!S71_SA34cCode,$AC:$AC,Sheet1!S71_RepMaintCode,$AD:$AD)</f>
        <v>0</v>
      </c>
      <c r="J127" s="712">
        <f>SUMIFS(Sheet1!S71_OY1BudgetAmount,Sheet1!S71_SA34cCode,$AC:$AC,Sheet1!S71_RepMaintCode,$AD:$AD)</f>
        <v>0</v>
      </c>
      <c r="K127" s="713">
        <f>SUMIFS(Sheet1!S71_OY2BudgetAmount,Sheet1!S71_SA34cCode,$AC:$AC,Sheet1!S71_RepMaintCode,$AD:$AD)</f>
        <v>0</v>
      </c>
      <c r="AC127" s="2365" t="s">
        <v>2899</v>
      </c>
      <c r="AD127" s="2365" t="s">
        <v>2820</v>
      </c>
      <c r="AE127" s="2369" cm="1">
        <f t="array" ref="AE127">SUMIFS(Sheet1!S71_PreAuditActual,Sheet1!S71_SA34cCode,_xlfn.SINGLE($AC:$AC),Sheet1!S71_RepMaintCode,_xlfn.SINGLE($AD:$AD))</f>
        <v>0</v>
      </c>
    </row>
    <row r="128" spans="1:31" ht="13.15" customHeight="1" x14ac:dyDescent="0.25">
      <c r="A128" s="2125" t="s">
        <v>2318</v>
      </c>
      <c r="B128" s="144"/>
      <c r="C128" s="712">
        <f>SUMIFS(Sheet1!S71_PPPYearAmount,Sheet1!S71_SA34cCode,$AC:$AC,Sheet1!S71_RepMaintCode,$AD:$AD)</f>
        <v>0</v>
      </c>
      <c r="D128" s="712">
        <f>SUMIFS(Sheet1!S71_PPYearAmount,Sheet1!S71_SA34cCode,$AC:$AC,Sheet1!S71_RepMaintCode,$AD:$AD)</f>
        <v>0</v>
      </c>
      <c r="E128" s="715">
        <f>SUMIFS(Sheet1!S71_PYearAmount,Sheet1!S71_SA34cCode,$AC:$AC,Sheet1!S71_RepMaintCode,$AD:$AD)</f>
        <v>0</v>
      </c>
      <c r="F128" s="725">
        <f>SUMIFS(Sheet1!S71_OriginalBudAmnt,Sheet1!S71_SA34cCode,$AC:$AC,Sheet1!S71_RepMaintCode,$AD:$AD)</f>
        <v>0</v>
      </c>
      <c r="G128" s="712">
        <f>SUMIFS(Sheet1!S71_AdjustmentBudAmnt,Sheet1!S71_SA34cCode,$AC:$AC,Sheet1!S71_RepMaintCode,$AD:$AD)</f>
        <v>0</v>
      </c>
      <c r="H128" s="713">
        <f>SUMIFS(Sheet1!S71_AdjustmentBudAmnt,Sheet1!S71_SA34cCode,$AC:$AC,Sheet1!S71_RepMaintCode,$AD:$AD)</f>
        <v>0</v>
      </c>
      <c r="I128" s="725">
        <f>SUMIFS(Sheet1!S71_ASBudgetAmount,Sheet1!S71_SA34cCode,$AC:$AC,Sheet1!S71_RepMaintCode,$AD:$AD)</f>
        <v>0</v>
      </c>
      <c r="J128" s="712">
        <f>SUMIFS(Sheet1!S71_OY1BudgetAmount,Sheet1!S71_SA34cCode,$AC:$AC,Sheet1!S71_RepMaintCode,$AD:$AD)</f>
        <v>0</v>
      </c>
      <c r="K128" s="713">
        <f>SUMIFS(Sheet1!S71_OY2BudgetAmount,Sheet1!S71_SA34cCode,$AC:$AC,Sheet1!S71_RepMaintCode,$AD:$AD)</f>
        <v>0</v>
      </c>
      <c r="AC128" s="2365" t="s">
        <v>2900</v>
      </c>
      <c r="AD128" s="2365" t="s">
        <v>2820</v>
      </c>
      <c r="AE128" s="2369" cm="1">
        <f t="array" ref="AE128">SUMIFS(Sheet1!S71_PreAuditActual,Sheet1!S71_SA34cCode,_xlfn.SINGLE($AC:$AC),Sheet1!S71_RepMaintCode,_xlfn.SINGLE($AD:$AD))</f>
        <v>0</v>
      </c>
    </row>
    <row r="129" spans="1:31" ht="13.15" customHeight="1" x14ac:dyDescent="0.25">
      <c r="A129" s="2125" t="s">
        <v>2319</v>
      </c>
      <c r="B129" s="144"/>
      <c r="C129" s="712">
        <f>SUMIFS(Sheet1!S71_PPPYearAmount,Sheet1!S71_SA34cCode,$AC:$AC,Sheet1!S71_RepMaintCode,$AD:$AD)</f>
        <v>0</v>
      </c>
      <c r="D129" s="712">
        <f>SUMIFS(Sheet1!S71_PPYearAmount,Sheet1!S71_SA34cCode,$AC:$AC,Sheet1!S71_RepMaintCode,$AD:$AD)</f>
        <v>0</v>
      </c>
      <c r="E129" s="715">
        <f>SUMIFS(Sheet1!S71_PYearAmount,Sheet1!S71_SA34cCode,$AC:$AC,Sheet1!S71_RepMaintCode,$AD:$AD)</f>
        <v>0</v>
      </c>
      <c r="F129" s="725">
        <f>SUMIFS(Sheet1!S71_OriginalBudAmnt,Sheet1!S71_SA34cCode,$AC:$AC,Sheet1!S71_RepMaintCode,$AD:$AD)</f>
        <v>0</v>
      </c>
      <c r="G129" s="712">
        <f>SUMIFS(Sheet1!S71_AdjustmentBudAmnt,Sheet1!S71_SA34cCode,$AC:$AC,Sheet1!S71_RepMaintCode,$AD:$AD)</f>
        <v>0</v>
      </c>
      <c r="H129" s="713">
        <f>SUMIFS(Sheet1!S71_AdjustmentBudAmnt,Sheet1!S71_SA34cCode,$AC:$AC,Sheet1!S71_RepMaintCode,$AD:$AD)</f>
        <v>0</v>
      </c>
      <c r="I129" s="725">
        <f>SUMIFS(Sheet1!S71_ASBudgetAmount,Sheet1!S71_SA34cCode,$AC:$AC,Sheet1!S71_RepMaintCode,$AD:$AD)</f>
        <v>0</v>
      </c>
      <c r="J129" s="712">
        <f>SUMIFS(Sheet1!S71_OY1BudgetAmount,Sheet1!S71_SA34cCode,$AC:$AC,Sheet1!S71_RepMaintCode,$AD:$AD)</f>
        <v>0</v>
      </c>
      <c r="K129" s="713">
        <f>SUMIFS(Sheet1!S71_OY2BudgetAmount,Sheet1!S71_SA34cCode,$AC:$AC,Sheet1!S71_RepMaintCode,$AD:$AD)</f>
        <v>0</v>
      </c>
      <c r="AC129" s="2365" t="s">
        <v>2901</v>
      </c>
      <c r="AD129" s="2365" t="s">
        <v>2820</v>
      </c>
      <c r="AE129" s="2369" cm="1">
        <f t="array" ref="AE129">SUMIFS(Sheet1!S71_PreAuditActual,Sheet1!S71_SA34cCode,_xlfn.SINGLE($AC:$AC),Sheet1!S71_RepMaintCode,_xlfn.SINGLE($AD:$AD))</f>
        <v>0</v>
      </c>
    </row>
    <row r="130" spans="1:31" ht="13.15" customHeight="1" x14ac:dyDescent="0.25">
      <c r="A130" s="2125" t="s">
        <v>2233</v>
      </c>
      <c r="B130" s="144"/>
      <c r="C130" s="712">
        <f>SUMIFS(Sheet1!S71_PPPYearAmount,Sheet1!S71_SA34cCode,$AC:$AC,Sheet1!S71_RepMaintCode,$AD:$AD)</f>
        <v>0</v>
      </c>
      <c r="D130" s="712">
        <f>SUMIFS(Sheet1!S71_PPYearAmount,Sheet1!S71_SA34cCode,$AC:$AC,Sheet1!S71_RepMaintCode,$AD:$AD)</f>
        <v>0</v>
      </c>
      <c r="E130" s="715">
        <f>SUMIFS(Sheet1!S71_PYearAmount,Sheet1!S71_SA34cCode,$AC:$AC,Sheet1!S71_RepMaintCode,$AD:$AD)</f>
        <v>0</v>
      </c>
      <c r="F130" s="725">
        <f>SUMIFS(Sheet1!S71_OriginalBudAmnt,Sheet1!S71_SA34cCode,$AC:$AC,Sheet1!S71_RepMaintCode,$AD:$AD)</f>
        <v>0</v>
      </c>
      <c r="G130" s="712">
        <f>SUMIFS(Sheet1!S71_AdjustmentBudAmnt,Sheet1!S71_SA34cCode,$AC:$AC,Sheet1!S71_RepMaintCode,$AD:$AD)</f>
        <v>0</v>
      </c>
      <c r="H130" s="713">
        <f>SUMIFS(Sheet1!S71_AdjustmentBudAmnt,Sheet1!S71_SA34cCode,$AC:$AC,Sheet1!S71_RepMaintCode,$AD:$AD)</f>
        <v>0</v>
      </c>
      <c r="I130" s="725">
        <f>SUMIFS(Sheet1!S71_ASBudgetAmount,Sheet1!S71_SA34cCode,$AC:$AC,Sheet1!S71_RepMaintCode,$AD:$AD)</f>
        <v>0</v>
      </c>
      <c r="J130" s="712">
        <f>SUMIFS(Sheet1!S71_OY1BudgetAmount,Sheet1!S71_SA34cCode,$AC:$AC,Sheet1!S71_RepMaintCode,$AD:$AD)</f>
        <v>0</v>
      </c>
      <c r="K130" s="713">
        <f>SUMIFS(Sheet1!S71_OY2BudgetAmount,Sheet1!S71_SA34cCode,$AC:$AC,Sheet1!S71_RepMaintCode,$AD:$AD)</f>
        <v>0</v>
      </c>
      <c r="AC130" s="2365" t="s">
        <v>2071</v>
      </c>
      <c r="AD130" s="2365" t="s">
        <v>2820</v>
      </c>
      <c r="AE130" s="2369" cm="1">
        <f t="array" ref="AE130">SUMIFS(Sheet1!S71_PreAuditActual,Sheet1!S71_SA34cCode,_xlfn.SINGLE($AC:$AC),Sheet1!S71_RepMaintCode,_xlfn.SINGLE($AD:$AD))</f>
        <v>0</v>
      </c>
    </row>
    <row r="131" spans="1:31" ht="13.15" customHeight="1" x14ac:dyDescent="0.25">
      <c r="A131" s="104" t="s">
        <v>1487</v>
      </c>
      <c r="B131" s="144"/>
      <c r="C131" s="71">
        <f>SUM(C132:C134)</f>
        <v>0</v>
      </c>
      <c r="D131" s="71">
        <f t="shared" ref="D131:K131" si="19">SUM(D132:D134)</f>
        <v>0</v>
      </c>
      <c r="E131" s="305">
        <f t="shared" si="19"/>
        <v>0</v>
      </c>
      <c r="F131" s="75">
        <f t="shared" si="19"/>
        <v>0</v>
      </c>
      <c r="G131" s="71">
        <f t="shared" si="19"/>
        <v>0</v>
      </c>
      <c r="H131" s="117">
        <f t="shared" si="19"/>
        <v>0</v>
      </c>
      <c r="I131" s="75">
        <f t="shared" si="19"/>
        <v>0</v>
      </c>
      <c r="J131" s="71">
        <f t="shared" si="19"/>
        <v>0</v>
      </c>
      <c r="K131" s="117">
        <f t="shared" si="19"/>
        <v>0</v>
      </c>
      <c r="AD131" s="2365" t="s">
        <v>2820</v>
      </c>
      <c r="AE131" s="2369" cm="1">
        <f t="array" ref="AE131">SUMIFS(Sheet1!S71_PreAuditActual,Sheet1!S71_SA34cCode,_xlfn.SINGLE($AC:$AC),Sheet1!S71_RepMaintCode,_xlfn.SINGLE($AD:$AD))</f>
        <v>0</v>
      </c>
    </row>
    <row r="132" spans="1:31" ht="13.15" customHeight="1" x14ac:dyDescent="0.25">
      <c r="A132" s="2125" t="s">
        <v>2320</v>
      </c>
      <c r="B132" s="144"/>
      <c r="C132" s="712">
        <f>SUMIFS(Sheet1!S71_PPPYearAmount,Sheet1!S71_SA34cCode,$AC:$AC,Sheet1!S71_RepMaintCode,$AD:$AD)</f>
        <v>0</v>
      </c>
      <c r="D132" s="712">
        <f>SUMIFS(Sheet1!S71_PPYearAmount,Sheet1!S71_SA34cCode,$AC:$AC,Sheet1!S71_RepMaintCode,$AD:$AD)</f>
        <v>0</v>
      </c>
      <c r="E132" s="715">
        <f>SUMIFS(Sheet1!S71_PYearAmount,Sheet1!S71_SA34cCode,$AC:$AC,Sheet1!S71_RepMaintCode,$AD:$AD)</f>
        <v>0</v>
      </c>
      <c r="F132" s="725">
        <f>SUMIFS(Sheet1!S71_OriginalBudAmnt,Sheet1!S71_SA34cCode,$AC:$AC,Sheet1!S71_RepMaintCode,$AD:$AD)</f>
        <v>0</v>
      </c>
      <c r="G132" s="712">
        <f>SUMIFS(Sheet1!S71_AdjustmentBudAmnt,Sheet1!S71_SA34cCode,$AC:$AC,Sheet1!S71_RepMaintCode,$AD:$AD)</f>
        <v>0</v>
      </c>
      <c r="H132" s="713">
        <f>SUMIFS(Sheet1!S71_AdjustmentBudAmnt,Sheet1!S71_SA34cCode,$AC:$AC,Sheet1!S71_RepMaintCode,$AD:$AD)</f>
        <v>0</v>
      </c>
      <c r="I132" s="725">
        <f>SUMIFS(Sheet1!S71_ASBudgetAmount,Sheet1!S71_SA34cCode,$AC:$AC,Sheet1!S71_RepMaintCode,$AD:$AD)</f>
        <v>0</v>
      </c>
      <c r="J132" s="712">
        <f>SUMIFS(Sheet1!S71_OY1BudgetAmount,Sheet1!S71_SA34cCode,$AC:$AC,Sheet1!S71_RepMaintCode,$AD:$AD)</f>
        <v>0</v>
      </c>
      <c r="K132" s="713">
        <f>SUMIFS(Sheet1!S71_OY2BudgetAmount,Sheet1!S71_SA34cCode,$AC:$AC,Sheet1!S71_RepMaintCode,$AD:$AD)</f>
        <v>0</v>
      </c>
      <c r="AC132" s="2365" t="s">
        <v>2902</v>
      </c>
      <c r="AD132" s="2365" t="s">
        <v>2820</v>
      </c>
      <c r="AE132" s="2369" cm="1">
        <f t="array" ref="AE132">SUMIFS(Sheet1!S71_PreAuditActual,Sheet1!S71_SA34cCode,_xlfn.SINGLE($AC:$AC),Sheet1!S71_RepMaintCode,_xlfn.SINGLE($AD:$AD))</f>
        <v>0</v>
      </c>
    </row>
    <row r="133" spans="1:31" ht="13.15" customHeight="1" x14ac:dyDescent="0.25">
      <c r="A133" s="2125" t="s">
        <v>2321</v>
      </c>
      <c r="B133" s="144"/>
      <c r="C133" s="712">
        <f>SUMIFS(Sheet1!S71_PPPYearAmount,Sheet1!S71_SA34cCode,$AC:$AC,Sheet1!S71_RepMaintCode,$AD:$AD)</f>
        <v>0</v>
      </c>
      <c r="D133" s="712">
        <f>SUMIFS(Sheet1!S71_PPYearAmount,Sheet1!S71_SA34cCode,$AC:$AC,Sheet1!S71_RepMaintCode,$AD:$AD)</f>
        <v>0</v>
      </c>
      <c r="E133" s="715">
        <f>SUMIFS(Sheet1!S71_PYearAmount,Sheet1!S71_SA34cCode,$AC:$AC,Sheet1!S71_RepMaintCode,$AD:$AD)</f>
        <v>0</v>
      </c>
      <c r="F133" s="725">
        <f>SUMIFS(Sheet1!S71_OriginalBudAmnt,Sheet1!S71_SA34cCode,$AC:$AC,Sheet1!S71_RepMaintCode,$AD:$AD)</f>
        <v>0</v>
      </c>
      <c r="G133" s="712">
        <f>SUMIFS(Sheet1!S71_AdjustmentBudAmnt,Sheet1!S71_SA34cCode,$AC:$AC,Sheet1!S71_RepMaintCode,$AD:$AD)</f>
        <v>0</v>
      </c>
      <c r="H133" s="713">
        <f>SUMIFS(Sheet1!S71_AdjustmentBudAmnt,Sheet1!S71_SA34cCode,$AC:$AC,Sheet1!S71_RepMaintCode,$AD:$AD)</f>
        <v>0</v>
      </c>
      <c r="I133" s="725">
        <f>SUMIFS(Sheet1!S71_ASBudgetAmount,Sheet1!S71_SA34cCode,$AC:$AC,Sheet1!S71_RepMaintCode,$AD:$AD)</f>
        <v>0</v>
      </c>
      <c r="J133" s="712">
        <f>SUMIFS(Sheet1!S71_OY1BudgetAmount,Sheet1!S71_SA34cCode,$AC:$AC,Sheet1!S71_RepMaintCode,$AD:$AD)</f>
        <v>0</v>
      </c>
      <c r="K133" s="713">
        <f>SUMIFS(Sheet1!S71_OY2BudgetAmount,Sheet1!S71_SA34cCode,$AC:$AC,Sheet1!S71_RepMaintCode,$AD:$AD)</f>
        <v>0</v>
      </c>
      <c r="AC133" s="2365" t="s">
        <v>2903</v>
      </c>
      <c r="AD133" s="2365" t="s">
        <v>2820</v>
      </c>
      <c r="AE133" s="2369" cm="1">
        <f t="array" ref="AE133">SUMIFS(Sheet1!S71_PreAuditActual,Sheet1!S71_SA34cCode,_xlfn.SINGLE($AC:$AC),Sheet1!S71_RepMaintCode,_xlfn.SINGLE($AD:$AD))</f>
        <v>0</v>
      </c>
    </row>
    <row r="134" spans="1:31" ht="13.15" customHeight="1" x14ac:dyDescent="0.25">
      <c r="A134" s="2125" t="s">
        <v>2233</v>
      </c>
      <c r="B134" s="144"/>
      <c r="C134" s="712">
        <f>SUMIFS(Sheet1!S71_PPPYearAmount,Sheet1!S71_SA34cCode,$AC:$AC,Sheet1!S71_RepMaintCode,$AD:$AD)</f>
        <v>0</v>
      </c>
      <c r="D134" s="712">
        <f>SUMIFS(Sheet1!S71_PPYearAmount,Sheet1!S71_SA34cCode,$AC:$AC,Sheet1!S71_RepMaintCode,$AD:$AD)</f>
        <v>0</v>
      </c>
      <c r="E134" s="715">
        <f>SUMIFS(Sheet1!S71_PYearAmount,Sheet1!S71_SA34cCode,$AC:$AC,Sheet1!S71_RepMaintCode,$AD:$AD)</f>
        <v>0</v>
      </c>
      <c r="F134" s="725">
        <f>SUMIFS(Sheet1!S71_OriginalBudAmnt,Sheet1!S71_SA34cCode,$AC:$AC,Sheet1!S71_RepMaintCode,$AD:$AD)</f>
        <v>0</v>
      </c>
      <c r="G134" s="712">
        <f>SUMIFS(Sheet1!S71_AdjustmentBudAmnt,Sheet1!S71_SA34cCode,$AC:$AC,Sheet1!S71_RepMaintCode,$AD:$AD)</f>
        <v>0</v>
      </c>
      <c r="H134" s="713">
        <f>SUMIFS(Sheet1!S71_AdjustmentBudAmnt,Sheet1!S71_SA34cCode,$AC:$AC,Sheet1!S71_RepMaintCode,$AD:$AD)</f>
        <v>0</v>
      </c>
      <c r="I134" s="725">
        <f>SUMIFS(Sheet1!S71_ASBudgetAmount,Sheet1!S71_SA34cCode,$AC:$AC,Sheet1!S71_RepMaintCode,$AD:$AD)</f>
        <v>0</v>
      </c>
      <c r="J134" s="712">
        <f>SUMIFS(Sheet1!S71_OY1BudgetAmount,Sheet1!S71_SA34cCode,$AC:$AC,Sheet1!S71_RepMaintCode,$AD:$AD)</f>
        <v>0</v>
      </c>
      <c r="K134" s="713">
        <f>SUMIFS(Sheet1!S71_OY2BudgetAmount,Sheet1!S71_SA34cCode,$AC:$AC,Sheet1!S71_RepMaintCode,$AD:$AD)</f>
        <v>0</v>
      </c>
      <c r="AC134" s="2365" t="s">
        <v>2904</v>
      </c>
      <c r="AD134" s="2365" t="s">
        <v>2820</v>
      </c>
      <c r="AE134" s="2369" cm="1">
        <f t="array" ref="AE134">SUMIFS(Sheet1!S71_PreAuditActual,Sheet1!S71_SA34cCode,_xlfn.SINGLE($AC:$AC),Sheet1!S71_RepMaintCode,_xlfn.SINGLE($AD:$AD))</f>
        <v>0</v>
      </c>
    </row>
    <row r="135" spans="1:31" ht="4.9000000000000004" customHeight="1" x14ac:dyDescent="0.25">
      <c r="A135" s="2127"/>
      <c r="B135" s="144"/>
      <c r="C135" s="177"/>
      <c r="D135" s="177"/>
      <c r="E135" s="180"/>
      <c r="F135" s="179"/>
      <c r="G135" s="177"/>
      <c r="H135" s="178"/>
      <c r="I135" s="179"/>
      <c r="J135" s="177"/>
      <c r="K135" s="178"/>
      <c r="AD135" s="2365" t="s">
        <v>2820</v>
      </c>
      <c r="AE135" s="2369" cm="1">
        <f t="array" ref="AE135">SUMIFS(Sheet1!S71_PreAuditActual,Sheet1!S71_SA34cCode,_xlfn.SINGLE($AC:$AC),Sheet1!S71_RepMaintCode,_xlfn.SINGLE($AD:$AD))</f>
        <v>0</v>
      </c>
    </row>
    <row r="136" spans="1:31" ht="13.15" customHeight="1" x14ac:dyDescent="0.25">
      <c r="A136" s="96" t="s">
        <v>2322</v>
      </c>
      <c r="B136" s="144"/>
      <c r="C136" s="177">
        <f t="shared" ref="C136:K136" si="20">SUM(C137:C137)</f>
        <v>0</v>
      </c>
      <c r="D136" s="177">
        <f t="shared" si="20"/>
        <v>0</v>
      </c>
      <c r="E136" s="180">
        <f t="shared" si="20"/>
        <v>0</v>
      </c>
      <c r="F136" s="179">
        <f t="shared" si="20"/>
        <v>0</v>
      </c>
      <c r="G136" s="177">
        <f t="shared" si="20"/>
        <v>0</v>
      </c>
      <c r="H136" s="178">
        <f t="shared" si="20"/>
        <v>0</v>
      </c>
      <c r="I136" s="179">
        <f t="shared" si="20"/>
        <v>0</v>
      </c>
      <c r="J136" s="177">
        <f t="shared" si="20"/>
        <v>0</v>
      </c>
      <c r="K136" s="178">
        <f t="shared" si="20"/>
        <v>0</v>
      </c>
      <c r="AD136" s="2365" t="s">
        <v>2820</v>
      </c>
      <c r="AE136" s="2369" cm="1">
        <f t="array" ref="AE136">SUMIFS(Sheet1!S71_PreAuditActual,Sheet1!S71_SA34cCode,_xlfn.SINGLE($AC:$AC),Sheet1!S71_RepMaintCode,_xlfn.SINGLE($AD:$AD))</f>
        <v>0</v>
      </c>
    </row>
    <row r="137" spans="1:31" ht="13.15" customHeight="1" x14ac:dyDescent="0.25">
      <c r="A137" s="104" t="s">
        <v>2322</v>
      </c>
      <c r="B137" s="144"/>
      <c r="C137" s="712">
        <f>SUMIFS(Sheet1!S71_PPPYearAmount,Sheet1!S71_SA34cCode,$AC:$AC,Sheet1!S71_RepMaintCode,$AD:$AD)</f>
        <v>0</v>
      </c>
      <c r="D137" s="712">
        <f>SUMIFS(Sheet1!S71_PPYearAmount,Sheet1!S71_SA34cCode,$AC:$AC,Sheet1!S71_RepMaintCode,$AD:$AD)</f>
        <v>0</v>
      </c>
      <c r="E137" s="715">
        <f>SUMIFS(Sheet1!S71_PYearAmount,Sheet1!S71_SA34cCode,$AC:$AC,Sheet1!S71_RepMaintCode,$AD:$AD)</f>
        <v>0</v>
      </c>
      <c r="F137" s="725">
        <f>SUMIFS(Sheet1!S71_OriginalBudAmnt,Sheet1!S71_SA34cCode,$AC:$AC,Sheet1!S71_RepMaintCode,$AD:$AD)</f>
        <v>0</v>
      </c>
      <c r="G137" s="712">
        <f>SUMIFS(Sheet1!S71_AdjustmentBudAmnt,Sheet1!S71_SA34cCode,$AC:$AC,Sheet1!S71_RepMaintCode,$AD:$AD)</f>
        <v>0</v>
      </c>
      <c r="H137" s="713">
        <f>SUMIFS(Sheet1!S71_AdjustmentBudAmnt,Sheet1!S71_SA34cCode,$AC:$AC,Sheet1!S71_RepMaintCode,$AD:$AD)</f>
        <v>0</v>
      </c>
      <c r="I137" s="725">
        <f>SUMIFS(Sheet1!S71_ASBudgetAmount,Sheet1!S71_SA34cCode,$AC:$AC,Sheet1!S71_RepMaintCode,$AD:$AD)</f>
        <v>0</v>
      </c>
      <c r="J137" s="712">
        <f>SUMIFS(Sheet1!S71_OY1BudgetAmount,Sheet1!S71_SA34cCode,$AC:$AC,Sheet1!S71_RepMaintCode,$AD:$AD)</f>
        <v>0</v>
      </c>
      <c r="K137" s="713">
        <f>SUMIFS(Sheet1!S71_OY2BudgetAmount,Sheet1!S71_SA34cCode,$AC:$AC,Sheet1!S71_RepMaintCode,$AD:$AD)</f>
        <v>0</v>
      </c>
      <c r="AC137" s="2365" t="s">
        <v>2797</v>
      </c>
      <c r="AD137" s="2365" t="s">
        <v>2820</v>
      </c>
      <c r="AE137" s="2369" cm="1">
        <f t="array" ref="AE137">SUMIFS(Sheet1!S71_PreAuditActual,Sheet1!S71_SA34cCode,_xlfn.SINGLE($AC:$AC),Sheet1!S71_RepMaintCode,_xlfn.SINGLE($AD:$AD))</f>
        <v>0</v>
      </c>
    </row>
    <row r="138" spans="1:31" ht="4.9000000000000004" customHeight="1" x14ac:dyDescent="0.25">
      <c r="A138" s="116"/>
      <c r="B138" s="144"/>
      <c r="C138" s="177"/>
      <c r="D138" s="177"/>
      <c r="E138" s="180"/>
      <c r="F138" s="179"/>
      <c r="G138" s="177"/>
      <c r="H138" s="178"/>
      <c r="I138" s="179"/>
      <c r="J138" s="177"/>
      <c r="K138" s="178"/>
      <c r="AD138" s="2365" t="s">
        <v>2820</v>
      </c>
      <c r="AE138" s="2369" cm="1">
        <f t="array" ref="AE138">SUMIFS(Sheet1!S71_PreAuditActual,Sheet1!S71_SA34cCode,_xlfn.SINGLE($AC:$AC),Sheet1!S71_RepMaintCode,_xlfn.SINGLE($AD:$AD))</f>
        <v>0</v>
      </c>
    </row>
    <row r="139" spans="1:31" ht="13.15" customHeight="1" x14ac:dyDescent="0.25">
      <c r="A139" s="96" t="s">
        <v>2325</v>
      </c>
      <c r="B139" s="144"/>
      <c r="C139" s="177">
        <f>+C140+C141</f>
        <v>0</v>
      </c>
      <c r="D139" s="177">
        <f t="shared" ref="D139:K139" si="21">+D140+D141</f>
        <v>0</v>
      </c>
      <c r="E139" s="180">
        <f t="shared" si="21"/>
        <v>0</v>
      </c>
      <c r="F139" s="179">
        <f t="shared" si="21"/>
        <v>0</v>
      </c>
      <c r="G139" s="177">
        <f t="shared" si="21"/>
        <v>0</v>
      </c>
      <c r="H139" s="178">
        <f t="shared" si="21"/>
        <v>0</v>
      </c>
      <c r="I139" s="179">
        <f t="shared" si="21"/>
        <v>0</v>
      </c>
      <c r="J139" s="177">
        <f t="shared" si="21"/>
        <v>0</v>
      </c>
      <c r="K139" s="178">
        <f t="shared" si="21"/>
        <v>0</v>
      </c>
      <c r="AD139" s="2365" t="s">
        <v>2820</v>
      </c>
      <c r="AE139" s="2369" cm="1">
        <f t="array" ref="AE139">SUMIFS(Sheet1!S71_PreAuditActual,Sheet1!S71_SA34cCode,_xlfn.SINGLE($AC:$AC),Sheet1!S71_RepMaintCode,_xlfn.SINGLE($AD:$AD))</f>
        <v>0</v>
      </c>
    </row>
    <row r="140" spans="1:31" ht="13.15" customHeight="1" x14ac:dyDescent="0.25">
      <c r="A140" s="137" t="s">
        <v>2323</v>
      </c>
      <c r="B140" s="144"/>
      <c r="C140" s="712">
        <f>SUMIFS(Sheet1!S71_PPPYearAmount,Sheet1!S71_SA34cCode,$AC:$AC,Sheet1!S71_RepMaintCode,$AD:$AD)</f>
        <v>0</v>
      </c>
      <c r="D140" s="712">
        <f>SUMIFS(Sheet1!S71_PPYearAmount,Sheet1!S71_SA34cCode,$AC:$AC,Sheet1!S71_RepMaintCode,$AD:$AD)</f>
        <v>0</v>
      </c>
      <c r="E140" s="715">
        <f>SUMIFS(Sheet1!S71_PYearAmount,Sheet1!S71_SA34cCode,$AC:$AC,Sheet1!S71_RepMaintCode,$AD:$AD)</f>
        <v>0</v>
      </c>
      <c r="F140" s="725">
        <f>SUMIFS(Sheet1!S71_OriginalBudAmnt,Sheet1!S71_SA34cCode,$AC:$AC,Sheet1!S71_RepMaintCode,$AD:$AD)</f>
        <v>0</v>
      </c>
      <c r="G140" s="712">
        <f>SUMIFS(Sheet1!S71_AdjustmentBudAmnt,Sheet1!S71_SA34cCode,$AC:$AC,Sheet1!S71_RepMaintCode,$AD:$AD)</f>
        <v>0</v>
      </c>
      <c r="H140" s="713">
        <f>SUMIFS(Sheet1!S71_AdjustmentBudAmnt,Sheet1!S71_SA34cCode,$AC:$AC,Sheet1!S71_RepMaintCode,$AD:$AD)</f>
        <v>0</v>
      </c>
      <c r="I140" s="725">
        <f>SUMIFS(Sheet1!S71_ASBudgetAmount,Sheet1!S71_SA34cCode,$AC:$AC,Sheet1!S71_RepMaintCode,$AD:$AD)</f>
        <v>0</v>
      </c>
      <c r="J140" s="712">
        <f>SUMIFS(Sheet1!S71_OY1BudgetAmount,Sheet1!S71_SA34cCode,$AC:$AC,Sheet1!S71_RepMaintCode,$AD:$AD)</f>
        <v>0</v>
      </c>
      <c r="K140" s="713">
        <f>SUMIFS(Sheet1!S71_OY2BudgetAmount,Sheet1!S71_SA34cCode,$AC:$AC,Sheet1!S71_RepMaintCode,$AD:$AD)</f>
        <v>0</v>
      </c>
      <c r="AC140" s="2365" t="s">
        <v>2905</v>
      </c>
      <c r="AD140" s="2365" t="s">
        <v>2820</v>
      </c>
      <c r="AE140" s="2369" cm="1">
        <f t="array" ref="AE140">SUMIFS(Sheet1!S71_PreAuditActual,Sheet1!S71_SA34cCode,_xlfn.SINGLE($AC:$AC),Sheet1!S71_RepMaintCode,_xlfn.SINGLE($AD:$AD))</f>
        <v>0</v>
      </c>
    </row>
    <row r="141" spans="1:31" ht="13.15" customHeight="1" x14ac:dyDescent="0.25">
      <c r="A141" s="137" t="s">
        <v>2324</v>
      </c>
      <c r="B141" s="144"/>
      <c r="C141" s="71">
        <f>SUM(C142:C147)</f>
        <v>0</v>
      </c>
      <c r="D141" s="71">
        <f t="shared" ref="D141:K141" si="22">SUM(D142:D147)</f>
        <v>0</v>
      </c>
      <c r="E141" s="305">
        <f t="shared" si="22"/>
        <v>0</v>
      </c>
      <c r="F141" s="75">
        <f t="shared" si="22"/>
        <v>0</v>
      </c>
      <c r="G141" s="71">
        <f t="shared" si="22"/>
        <v>0</v>
      </c>
      <c r="H141" s="117">
        <f t="shared" si="22"/>
        <v>0</v>
      </c>
      <c r="I141" s="75">
        <f t="shared" si="22"/>
        <v>0</v>
      </c>
      <c r="J141" s="71">
        <f t="shared" si="22"/>
        <v>0</v>
      </c>
      <c r="K141" s="117">
        <f t="shared" si="22"/>
        <v>0</v>
      </c>
      <c r="AD141" s="2365" t="s">
        <v>2820</v>
      </c>
      <c r="AE141" s="2369" cm="1">
        <f t="array" ref="AE141">SUMIFS(Sheet1!S71_PreAuditActual,Sheet1!S71_SA34cCode,_xlfn.SINGLE($AC:$AC),Sheet1!S71_RepMaintCode,_xlfn.SINGLE($AD:$AD))</f>
        <v>0</v>
      </c>
    </row>
    <row r="142" spans="1:31" ht="13.15" customHeight="1" x14ac:dyDescent="0.25">
      <c r="A142" s="2125" t="s">
        <v>2326</v>
      </c>
      <c r="B142" s="144"/>
      <c r="C142" s="712">
        <f>SUMIFS(Sheet1!S71_PPPYearAmount,Sheet1!S71_SA34cCode,$AC:$AC,Sheet1!S71_RepMaintCode,$AD:$AD)</f>
        <v>0</v>
      </c>
      <c r="D142" s="712">
        <f>SUMIFS(Sheet1!S71_PPYearAmount,Sheet1!S71_SA34cCode,$AC:$AC,Sheet1!S71_RepMaintCode,$AD:$AD)</f>
        <v>0</v>
      </c>
      <c r="E142" s="715">
        <f>SUMIFS(Sheet1!S71_PYearAmount,Sheet1!S71_SA34cCode,$AC:$AC,Sheet1!S71_RepMaintCode,$AD:$AD)</f>
        <v>0</v>
      </c>
      <c r="F142" s="725">
        <f>SUMIFS(Sheet1!S71_OriginalBudAmnt,Sheet1!S71_SA34cCode,$AC:$AC,Sheet1!S71_RepMaintCode,$AD:$AD)</f>
        <v>0</v>
      </c>
      <c r="G142" s="712">
        <f>SUMIFS(Sheet1!S71_AdjustmentBudAmnt,Sheet1!S71_SA34cCode,$AC:$AC,Sheet1!S71_RepMaintCode,$AD:$AD)</f>
        <v>0</v>
      </c>
      <c r="H142" s="713">
        <f>SUMIFS(Sheet1!S71_AdjustmentBudAmnt,Sheet1!S71_SA34cCode,$AC:$AC,Sheet1!S71_RepMaintCode,$AD:$AD)</f>
        <v>0</v>
      </c>
      <c r="I142" s="725">
        <f>SUMIFS(Sheet1!S71_ASBudgetAmount,Sheet1!S71_SA34cCode,$AC:$AC,Sheet1!S71_RepMaintCode,$AD:$AD)</f>
        <v>0</v>
      </c>
      <c r="J142" s="712">
        <f>SUMIFS(Sheet1!S71_OY1BudgetAmount,Sheet1!S71_SA34cCode,$AC:$AC,Sheet1!S71_RepMaintCode,$AD:$AD)</f>
        <v>0</v>
      </c>
      <c r="K142" s="713">
        <f>SUMIFS(Sheet1!S71_OY2BudgetAmount,Sheet1!S71_SA34cCode,$AC:$AC,Sheet1!S71_RepMaintCode,$AD:$AD)</f>
        <v>0</v>
      </c>
      <c r="AC142" s="2365" t="s">
        <v>2080</v>
      </c>
      <c r="AD142" s="2365" t="s">
        <v>2820</v>
      </c>
      <c r="AE142" s="2369" cm="1">
        <f t="array" ref="AE142">SUMIFS(Sheet1!S71_PreAuditActual,Sheet1!S71_SA34cCode,_xlfn.SINGLE($AC:$AC),Sheet1!S71_RepMaintCode,_xlfn.SINGLE($AD:$AD))</f>
        <v>0</v>
      </c>
    </row>
    <row r="143" spans="1:31" ht="13.15" customHeight="1" x14ac:dyDescent="0.25">
      <c r="A143" s="2125" t="s">
        <v>2327</v>
      </c>
      <c r="B143" s="144"/>
      <c r="C143" s="712">
        <f>SUMIFS(Sheet1!S71_PPPYearAmount,Sheet1!S71_SA34cCode,$AC:$AC,Sheet1!S71_RepMaintCode,$AD:$AD)</f>
        <v>0</v>
      </c>
      <c r="D143" s="712">
        <f>SUMIFS(Sheet1!S71_PPYearAmount,Sheet1!S71_SA34cCode,$AC:$AC,Sheet1!S71_RepMaintCode,$AD:$AD)</f>
        <v>0</v>
      </c>
      <c r="E143" s="715">
        <f>SUMIFS(Sheet1!S71_PYearAmount,Sheet1!S71_SA34cCode,$AC:$AC,Sheet1!S71_RepMaintCode,$AD:$AD)</f>
        <v>0</v>
      </c>
      <c r="F143" s="725">
        <f>SUMIFS(Sheet1!S71_OriginalBudAmnt,Sheet1!S71_SA34cCode,$AC:$AC,Sheet1!S71_RepMaintCode,$AD:$AD)</f>
        <v>0</v>
      </c>
      <c r="G143" s="712">
        <f>SUMIFS(Sheet1!S71_AdjustmentBudAmnt,Sheet1!S71_SA34cCode,$AC:$AC,Sheet1!S71_RepMaintCode,$AD:$AD)</f>
        <v>0</v>
      </c>
      <c r="H143" s="713">
        <f>SUMIFS(Sheet1!S71_AdjustmentBudAmnt,Sheet1!S71_SA34cCode,$AC:$AC,Sheet1!S71_RepMaintCode,$AD:$AD)</f>
        <v>0</v>
      </c>
      <c r="I143" s="725">
        <f>SUMIFS(Sheet1!S71_ASBudgetAmount,Sheet1!S71_SA34cCode,$AC:$AC,Sheet1!S71_RepMaintCode,$AD:$AD)</f>
        <v>0</v>
      </c>
      <c r="J143" s="712">
        <f>SUMIFS(Sheet1!S71_OY1BudgetAmount,Sheet1!S71_SA34cCode,$AC:$AC,Sheet1!S71_RepMaintCode,$AD:$AD)</f>
        <v>0</v>
      </c>
      <c r="K143" s="713">
        <f>SUMIFS(Sheet1!S71_OY2BudgetAmount,Sheet1!S71_SA34cCode,$AC:$AC,Sheet1!S71_RepMaintCode,$AD:$AD)</f>
        <v>0</v>
      </c>
      <c r="AC143" s="2365" t="s">
        <v>2906</v>
      </c>
      <c r="AD143" s="2365" t="s">
        <v>2820</v>
      </c>
      <c r="AE143" s="2369" cm="1">
        <f t="array" ref="AE143">SUMIFS(Sheet1!S71_PreAuditActual,Sheet1!S71_SA34cCode,_xlfn.SINGLE($AC:$AC),Sheet1!S71_RepMaintCode,_xlfn.SINGLE($AD:$AD))</f>
        <v>0</v>
      </c>
    </row>
    <row r="144" spans="1:31" ht="13.15" customHeight="1" x14ac:dyDescent="0.25">
      <c r="A144" s="2125" t="s">
        <v>2328</v>
      </c>
      <c r="B144" s="144"/>
      <c r="C144" s="712">
        <f>SUMIFS(Sheet1!S71_PPPYearAmount,Sheet1!S71_SA34cCode,$AC:$AC,Sheet1!S71_RepMaintCode,$AD:$AD)</f>
        <v>0</v>
      </c>
      <c r="D144" s="712">
        <f>SUMIFS(Sheet1!S71_PPYearAmount,Sheet1!S71_SA34cCode,$AC:$AC,Sheet1!S71_RepMaintCode,$AD:$AD)</f>
        <v>0</v>
      </c>
      <c r="E144" s="715">
        <f>SUMIFS(Sheet1!S71_PYearAmount,Sheet1!S71_SA34cCode,$AC:$AC,Sheet1!S71_RepMaintCode,$AD:$AD)</f>
        <v>0</v>
      </c>
      <c r="F144" s="725">
        <f>SUMIFS(Sheet1!S71_OriginalBudAmnt,Sheet1!S71_SA34cCode,$AC:$AC,Sheet1!S71_RepMaintCode,$AD:$AD)</f>
        <v>0</v>
      </c>
      <c r="G144" s="712">
        <f>SUMIFS(Sheet1!S71_AdjustmentBudAmnt,Sheet1!S71_SA34cCode,$AC:$AC,Sheet1!S71_RepMaintCode,$AD:$AD)</f>
        <v>0</v>
      </c>
      <c r="H144" s="713">
        <f>SUMIFS(Sheet1!S71_AdjustmentBudAmnt,Sheet1!S71_SA34cCode,$AC:$AC,Sheet1!S71_RepMaintCode,$AD:$AD)</f>
        <v>0</v>
      </c>
      <c r="I144" s="725">
        <f>SUMIFS(Sheet1!S71_ASBudgetAmount,Sheet1!S71_SA34cCode,$AC:$AC,Sheet1!S71_RepMaintCode,$AD:$AD)</f>
        <v>0</v>
      </c>
      <c r="J144" s="712">
        <f>SUMIFS(Sheet1!S71_OY1BudgetAmount,Sheet1!S71_SA34cCode,$AC:$AC,Sheet1!S71_RepMaintCode,$AD:$AD)</f>
        <v>0</v>
      </c>
      <c r="K144" s="713">
        <f>SUMIFS(Sheet1!S71_OY2BudgetAmount,Sheet1!S71_SA34cCode,$AC:$AC,Sheet1!S71_RepMaintCode,$AD:$AD)</f>
        <v>0</v>
      </c>
      <c r="AC144" s="2365" t="s">
        <v>2907</v>
      </c>
      <c r="AD144" s="2365" t="s">
        <v>2820</v>
      </c>
      <c r="AE144" s="2369" cm="1">
        <f t="array" ref="AE144">SUMIFS(Sheet1!S71_PreAuditActual,Sheet1!S71_SA34cCode,_xlfn.SINGLE($AC:$AC),Sheet1!S71_RepMaintCode,_xlfn.SINGLE($AD:$AD))</f>
        <v>0</v>
      </c>
    </row>
    <row r="145" spans="1:31" ht="13.15" customHeight="1" x14ac:dyDescent="0.25">
      <c r="A145" s="2125" t="s">
        <v>2329</v>
      </c>
      <c r="B145" s="144"/>
      <c r="C145" s="712">
        <f>SUMIFS(Sheet1!S71_PPPYearAmount,Sheet1!S71_SA34cCode,$AC:$AC,Sheet1!S71_RepMaintCode,$AD:$AD)</f>
        <v>0</v>
      </c>
      <c r="D145" s="712">
        <f>SUMIFS(Sheet1!S71_PPYearAmount,Sheet1!S71_SA34cCode,$AC:$AC,Sheet1!S71_RepMaintCode,$AD:$AD)</f>
        <v>0</v>
      </c>
      <c r="E145" s="715">
        <f>SUMIFS(Sheet1!S71_PYearAmount,Sheet1!S71_SA34cCode,$AC:$AC,Sheet1!S71_RepMaintCode,$AD:$AD)</f>
        <v>0</v>
      </c>
      <c r="F145" s="725">
        <f>SUMIFS(Sheet1!S71_OriginalBudAmnt,Sheet1!S71_SA34cCode,$AC:$AC,Sheet1!S71_RepMaintCode,$AD:$AD)</f>
        <v>0</v>
      </c>
      <c r="G145" s="712">
        <f>SUMIFS(Sheet1!S71_AdjustmentBudAmnt,Sheet1!S71_SA34cCode,$AC:$AC,Sheet1!S71_RepMaintCode,$AD:$AD)</f>
        <v>0</v>
      </c>
      <c r="H145" s="713">
        <f>SUMIFS(Sheet1!S71_AdjustmentBudAmnt,Sheet1!S71_SA34cCode,$AC:$AC,Sheet1!S71_RepMaintCode,$AD:$AD)</f>
        <v>0</v>
      </c>
      <c r="I145" s="725">
        <f>SUMIFS(Sheet1!S71_ASBudgetAmount,Sheet1!S71_SA34cCode,$AC:$AC,Sheet1!S71_RepMaintCode,$AD:$AD)</f>
        <v>0</v>
      </c>
      <c r="J145" s="712">
        <f>SUMIFS(Sheet1!S71_OY1BudgetAmount,Sheet1!S71_SA34cCode,$AC:$AC,Sheet1!S71_RepMaintCode,$AD:$AD)</f>
        <v>0</v>
      </c>
      <c r="K145" s="713">
        <f>SUMIFS(Sheet1!S71_OY2BudgetAmount,Sheet1!S71_SA34cCode,$AC:$AC,Sheet1!S71_RepMaintCode,$AD:$AD)</f>
        <v>0</v>
      </c>
      <c r="AC145" s="2365" t="s">
        <v>2908</v>
      </c>
      <c r="AD145" s="2365" t="s">
        <v>2820</v>
      </c>
      <c r="AE145" s="2369" cm="1">
        <f t="array" ref="AE145">SUMIFS(Sheet1!S71_PreAuditActual,Sheet1!S71_SA34cCode,_xlfn.SINGLE($AC:$AC),Sheet1!S71_RepMaintCode,_xlfn.SINGLE($AD:$AD))</f>
        <v>0</v>
      </c>
    </row>
    <row r="146" spans="1:31" ht="13.15" customHeight="1" x14ac:dyDescent="0.25">
      <c r="A146" s="2125" t="s">
        <v>2330</v>
      </c>
      <c r="B146" s="144"/>
      <c r="C146" s="712">
        <f>SUMIFS(Sheet1!S71_PPPYearAmount,Sheet1!S71_SA34cCode,$AC:$AC,Sheet1!S71_RepMaintCode,$AD:$AD)</f>
        <v>0</v>
      </c>
      <c r="D146" s="712">
        <f>SUMIFS(Sheet1!S71_PPYearAmount,Sheet1!S71_SA34cCode,$AC:$AC,Sheet1!S71_RepMaintCode,$AD:$AD)</f>
        <v>0</v>
      </c>
      <c r="E146" s="715">
        <f>SUMIFS(Sheet1!S71_PYearAmount,Sheet1!S71_SA34cCode,$AC:$AC,Sheet1!S71_RepMaintCode,$AD:$AD)</f>
        <v>0</v>
      </c>
      <c r="F146" s="725">
        <f>SUMIFS(Sheet1!S71_OriginalBudAmnt,Sheet1!S71_SA34cCode,$AC:$AC,Sheet1!S71_RepMaintCode,$AD:$AD)</f>
        <v>0</v>
      </c>
      <c r="G146" s="712">
        <f>SUMIFS(Sheet1!S71_AdjustmentBudAmnt,Sheet1!S71_SA34cCode,$AC:$AC,Sheet1!S71_RepMaintCode,$AD:$AD)</f>
        <v>0</v>
      </c>
      <c r="H146" s="713">
        <f>SUMIFS(Sheet1!S71_AdjustmentBudAmnt,Sheet1!S71_SA34cCode,$AC:$AC,Sheet1!S71_RepMaintCode,$AD:$AD)</f>
        <v>0</v>
      </c>
      <c r="I146" s="725">
        <f>SUMIFS(Sheet1!S71_ASBudgetAmount,Sheet1!S71_SA34cCode,$AC:$AC,Sheet1!S71_RepMaintCode,$AD:$AD)</f>
        <v>0</v>
      </c>
      <c r="J146" s="712">
        <f>SUMIFS(Sheet1!S71_OY1BudgetAmount,Sheet1!S71_SA34cCode,$AC:$AC,Sheet1!S71_RepMaintCode,$AD:$AD)</f>
        <v>0</v>
      </c>
      <c r="K146" s="713">
        <f>SUMIFS(Sheet1!S71_OY2BudgetAmount,Sheet1!S71_SA34cCode,$AC:$AC,Sheet1!S71_RepMaintCode,$AD:$AD)</f>
        <v>0</v>
      </c>
      <c r="AC146" s="2365" t="s">
        <v>2909</v>
      </c>
      <c r="AD146" s="2365" t="s">
        <v>2820</v>
      </c>
      <c r="AE146" s="2369" cm="1">
        <f t="array" ref="AE146">SUMIFS(Sheet1!S71_PreAuditActual,Sheet1!S71_SA34cCode,_xlfn.SINGLE($AC:$AC),Sheet1!S71_RepMaintCode,_xlfn.SINGLE($AD:$AD))</f>
        <v>0</v>
      </c>
    </row>
    <row r="147" spans="1:31" ht="13.15" customHeight="1" x14ac:dyDescent="0.25">
      <c r="A147" s="2125" t="s">
        <v>2331</v>
      </c>
      <c r="B147" s="144"/>
      <c r="C147" s="712">
        <f>SUMIFS(Sheet1!S71_PPPYearAmount,Sheet1!S71_SA34cCode,$AC:$AC,Sheet1!S71_RepMaintCode,$AD:$AD)</f>
        <v>0</v>
      </c>
      <c r="D147" s="712">
        <f>SUMIFS(Sheet1!S71_PPYearAmount,Sheet1!S71_SA34cCode,$AC:$AC,Sheet1!S71_RepMaintCode,$AD:$AD)</f>
        <v>0</v>
      </c>
      <c r="E147" s="715">
        <f>SUMIFS(Sheet1!S71_PYearAmount,Sheet1!S71_SA34cCode,$AC:$AC,Sheet1!S71_RepMaintCode,$AD:$AD)</f>
        <v>0</v>
      </c>
      <c r="F147" s="725">
        <f>SUMIFS(Sheet1!S71_OriginalBudAmnt,Sheet1!S71_SA34cCode,$AC:$AC,Sheet1!S71_RepMaintCode,$AD:$AD)</f>
        <v>0</v>
      </c>
      <c r="G147" s="712">
        <f>SUMIFS(Sheet1!S71_AdjustmentBudAmnt,Sheet1!S71_SA34cCode,$AC:$AC,Sheet1!S71_RepMaintCode,$AD:$AD)</f>
        <v>0</v>
      </c>
      <c r="H147" s="713">
        <f>SUMIFS(Sheet1!S71_AdjustmentBudAmnt,Sheet1!S71_SA34cCode,$AC:$AC,Sheet1!S71_RepMaintCode,$AD:$AD)</f>
        <v>0</v>
      </c>
      <c r="I147" s="725">
        <f>SUMIFS(Sheet1!S71_ASBudgetAmount,Sheet1!S71_SA34cCode,$AC:$AC,Sheet1!S71_RepMaintCode,$AD:$AD)</f>
        <v>0</v>
      </c>
      <c r="J147" s="712">
        <f>SUMIFS(Sheet1!S71_OY1BudgetAmount,Sheet1!S71_SA34cCode,$AC:$AC,Sheet1!S71_RepMaintCode,$AD:$AD)</f>
        <v>0</v>
      </c>
      <c r="K147" s="713">
        <f>SUMIFS(Sheet1!S71_OY2BudgetAmount,Sheet1!S71_SA34cCode,$AC:$AC,Sheet1!S71_RepMaintCode,$AD:$AD)</f>
        <v>0</v>
      </c>
      <c r="AC147" s="2365" t="s">
        <v>2910</v>
      </c>
      <c r="AD147" s="2365" t="s">
        <v>2820</v>
      </c>
      <c r="AE147" s="2369" cm="1">
        <f t="array" ref="AE147">SUMIFS(Sheet1!S71_PreAuditActual,Sheet1!S71_SA34cCode,_xlfn.SINGLE($AC:$AC),Sheet1!S71_RepMaintCode,_xlfn.SINGLE($AD:$AD))</f>
        <v>0</v>
      </c>
    </row>
    <row r="148" spans="1:31" ht="4.9000000000000004" customHeight="1" x14ac:dyDescent="0.25">
      <c r="A148" s="116"/>
      <c r="B148" s="144"/>
      <c r="C148" s="545"/>
      <c r="D148" s="545"/>
      <c r="E148" s="831"/>
      <c r="F148" s="743"/>
      <c r="G148" s="545"/>
      <c r="H148" s="742"/>
      <c r="I148" s="743"/>
      <c r="J148" s="545"/>
      <c r="K148" s="742"/>
      <c r="AD148" s="2365" t="s">
        <v>2820</v>
      </c>
      <c r="AE148" s="2369" cm="1">
        <f t="array" ref="AE148">SUMIFS(Sheet1!S71_PreAuditActual,Sheet1!S71_SA34cCode,_xlfn.SINGLE($AC:$AC),Sheet1!S71_RepMaintCode,_xlfn.SINGLE($AD:$AD))</f>
        <v>0</v>
      </c>
    </row>
    <row r="149" spans="1:31" ht="13.15" customHeight="1" x14ac:dyDescent="0.25">
      <c r="A149" s="96" t="s">
        <v>2332</v>
      </c>
      <c r="B149" s="144"/>
      <c r="C149" s="177">
        <f t="shared" ref="C149:K149" si="23">SUM(C150:C150)</f>
        <v>0</v>
      </c>
      <c r="D149" s="177">
        <f t="shared" si="23"/>
        <v>0</v>
      </c>
      <c r="E149" s="180">
        <f t="shared" si="23"/>
        <v>0</v>
      </c>
      <c r="F149" s="179">
        <f t="shared" si="23"/>
        <v>0</v>
      </c>
      <c r="G149" s="177">
        <f t="shared" si="23"/>
        <v>0</v>
      </c>
      <c r="H149" s="178">
        <f t="shared" si="23"/>
        <v>0</v>
      </c>
      <c r="I149" s="179">
        <f t="shared" si="23"/>
        <v>0</v>
      </c>
      <c r="J149" s="177">
        <f t="shared" si="23"/>
        <v>0</v>
      </c>
      <c r="K149" s="178">
        <f t="shared" si="23"/>
        <v>0</v>
      </c>
      <c r="AD149" s="2365" t="s">
        <v>2820</v>
      </c>
      <c r="AE149" s="2369" cm="1">
        <f t="array" ref="AE149">SUMIFS(Sheet1!S71_PreAuditActual,Sheet1!S71_SA34cCode,_xlfn.SINGLE($AC:$AC),Sheet1!S71_RepMaintCode,_xlfn.SINGLE($AD:$AD))</f>
        <v>0</v>
      </c>
    </row>
    <row r="150" spans="1:31" ht="13.15" customHeight="1" x14ac:dyDescent="0.25">
      <c r="A150" s="104" t="s">
        <v>2332</v>
      </c>
      <c r="B150" s="144"/>
      <c r="C150" s="712">
        <f>SUMIFS(Sheet1!S71_PPPYearAmount,Sheet1!S71_SA34cCode,$AC:$AC,Sheet1!S71_RepMaintCode,$AD:$AD)</f>
        <v>0</v>
      </c>
      <c r="D150" s="712">
        <f>SUMIFS(Sheet1!S71_PPYearAmount,Sheet1!S71_SA34cCode,$AC:$AC,Sheet1!S71_RepMaintCode,$AD:$AD)</f>
        <v>0</v>
      </c>
      <c r="E150" s="715">
        <f>SUMIFS(Sheet1!S71_PYearAmount,Sheet1!S71_SA34cCode,$AC:$AC,Sheet1!S71_RepMaintCode,$AD:$AD)</f>
        <v>0</v>
      </c>
      <c r="F150" s="725">
        <f>SUMIFS(Sheet1!S71_OriginalBudAmnt,Sheet1!S71_SA34cCode,$AC:$AC,Sheet1!S71_RepMaintCode,$AD:$AD)</f>
        <v>0</v>
      </c>
      <c r="G150" s="712">
        <f>SUMIFS(Sheet1!S71_AdjustmentBudAmnt,Sheet1!S71_SA34cCode,$AC:$AC,Sheet1!S71_RepMaintCode,$AD:$AD)</f>
        <v>0</v>
      </c>
      <c r="H150" s="713">
        <f>SUMIFS(Sheet1!S71_AdjustmentBudAmnt,Sheet1!S71_SA34cCode,$AC:$AC,Sheet1!S71_RepMaintCode,$AD:$AD)</f>
        <v>0</v>
      </c>
      <c r="I150" s="725">
        <f>SUMIFS(Sheet1!S71_ASBudgetAmount,Sheet1!S71_SA34cCode,$AC:$AC,Sheet1!S71_RepMaintCode,$AD:$AD)</f>
        <v>0</v>
      </c>
      <c r="J150" s="712">
        <f>SUMIFS(Sheet1!S71_OY1BudgetAmount,Sheet1!S71_SA34cCode,$AC:$AC,Sheet1!S71_RepMaintCode,$AD:$AD)</f>
        <v>0</v>
      </c>
      <c r="K150" s="713">
        <f>SUMIFS(Sheet1!S71_OY2BudgetAmount,Sheet1!S71_SA34cCode,$AC:$AC,Sheet1!S71_RepMaintCode,$AD:$AD)</f>
        <v>0</v>
      </c>
      <c r="AC150" s="2365" t="s">
        <v>2799</v>
      </c>
      <c r="AD150" s="2365" t="s">
        <v>2820</v>
      </c>
      <c r="AE150" s="2369" cm="1">
        <f t="array" ref="AE150">SUMIFS(Sheet1!S71_PreAuditActual,Sheet1!S71_SA34cCode,_xlfn.SINGLE($AC:$AC),Sheet1!S71_RepMaintCode,_xlfn.SINGLE($AD:$AD))</f>
        <v>0</v>
      </c>
    </row>
    <row r="151" spans="1:31" ht="4.9000000000000004" customHeight="1" x14ac:dyDescent="0.25">
      <c r="A151" s="116"/>
      <c r="B151" s="144"/>
      <c r="C151" s="177"/>
      <c r="D151" s="177"/>
      <c r="E151" s="180"/>
      <c r="F151" s="179"/>
      <c r="G151" s="177"/>
      <c r="H151" s="178"/>
      <c r="I151" s="179"/>
      <c r="J151" s="177"/>
      <c r="K151" s="178"/>
      <c r="AD151" s="2365" t="s">
        <v>2820</v>
      </c>
      <c r="AE151" s="2369" cm="1">
        <f t="array" ref="AE151">SUMIFS(Sheet1!S71_PreAuditActual,Sheet1!S71_SA34cCode,_xlfn.SINGLE($AC:$AC),Sheet1!S71_RepMaintCode,_xlfn.SINGLE($AD:$AD))</f>
        <v>0</v>
      </c>
    </row>
    <row r="152" spans="1:31" ht="13.15" customHeight="1" x14ac:dyDescent="0.25">
      <c r="A152" s="96" t="s">
        <v>2333</v>
      </c>
      <c r="B152" s="144"/>
      <c r="C152" s="177">
        <f t="shared" ref="C152:K152" si="24">SUM(C153:C153)</f>
        <v>0</v>
      </c>
      <c r="D152" s="177">
        <f t="shared" si="24"/>
        <v>0</v>
      </c>
      <c r="E152" s="180">
        <f t="shared" si="24"/>
        <v>0</v>
      </c>
      <c r="F152" s="179">
        <f t="shared" si="24"/>
        <v>0</v>
      </c>
      <c r="G152" s="177">
        <f t="shared" si="24"/>
        <v>0</v>
      </c>
      <c r="H152" s="178">
        <f t="shared" si="24"/>
        <v>0</v>
      </c>
      <c r="I152" s="179">
        <f t="shared" si="24"/>
        <v>0</v>
      </c>
      <c r="J152" s="177">
        <f t="shared" si="24"/>
        <v>0</v>
      </c>
      <c r="K152" s="178">
        <f t="shared" si="24"/>
        <v>0</v>
      </c>
      <c r="AD152" s="2365" t="s">
        <v>2820</v>
      </c>
      <c r="AE152" s="2369" cm="1">
        <f t="array" ref="AE152">SUMIFS(Sheet1!S71_PreAuditActual,Sheet1!S71_SA34cCode,_xlfn.SINGLE($AC:$AC),Sheet1!S71_RepMaintCode,_xlfn.SINGLE($AD:$AD))</f>
        <v>0</v>
      </c>
    </row>
    <row r="153" spans="1:31" ht="13.15" customHeight="1" x14ac:dyDescent="0.25">
      <c r="A153" s="104" t="s">
        <v>2333</v>
      </c>
      <c r="B153" s="144"/>
      <c r="C153" s="712">
        <f>SUMIFS(Sheet1!S71_PPPYearAmount,Sheet1!S71_SA34cCode,$AC:$AC,Sheet1!S71_RepMaintCode,$AD:$AD)</f>
        <v>0</v>
      </c>
      <c r="D153" s="712">
        <f>SUMIFS(Sheet1!S71_PPYearAmount,Sheet1!S71_SA34cCode,$AC:$AC,Sheet1!S71_RepMaintCode,$AD:$AD)</f>
        <v>0</v>
      </c>
      <c r="E153" s="715">
        <f>SUMIFS(Sheet1!S71_PYearAmount,Sheet1!S71_SA34cCode,$AC:$AC,Sheet1!S71_RepMaintCode,$AD:$AD)</f>
        <v>0</v>
      </c>
      <c r="F153" s="725">
        <f>SUMIFS(Sheet1!S71_OriginalBudAmnt,Sheet1!S71_SA34cCode,$AC:$AC,Sheet1!S71_RepMaintCode,$AD:$AD)</f>
        <v>0</v>
      </c>
      <c r="G153" s="712">
        <f>SUMIFS(Sheet1!S71_AdjustmentBudAmnt,Sheet1!S71_SA34cCode,$AC:$AC,Sheet1!S71_RepMaintCode,$AD:$AD)</f>
        <v>0</v>
      </c>
      <c r="H153" s="713">
        <f>SUMIFS(Sheet1!S71_AdjustmentBudAmnt,Sheet1!S71_SA34cCode,$AC:$AC,Sheet1!S71_RepMaintCode,$AD:$AD)</f>
        <v>0</v>
      </c>
      <c r="I153" s="725">
        <f>SUMIFS(Sheet1!S71_ASBudgetAmount,Sheet1!S71_SA34cCode,$AC:$AC,Sheet1!S71_RepMaintCode,$AD:$AD)</f>
        <v>0</v>
      </c>
      <c r="J153" s="712">
        <f>SUMIFS(Sheet1!S71_OY1BudgetAmount,Sheet1!S71_SA34cCode,$AC:$AC,Sheet1!S71_RepMaintCode,$AD:$AD)</f>
        <v>0</v>
      </c>
      <c r="K153" s="713">
        <f>SUMIFS(Sheet1!S71_OY2BudgetAmount,Sheet1!S71_SA34cCode,$AC:$AC,Sheet1!S71_RepMaintCode,$AD:$AD)</f>
        <v>0</v>
      </c>
      <c r="AC153" s="2365" t="s">
        <v>2800</v>
      </c>
      <c r="AD153" s="2365" t="s">
        <v>2820</v>
      </c>
      <c r="AE153" s="2369" cm="1">
        <f t="array" ref="AE153">SUMIFS(Sheet1!S71_PreAuditActual,Sheet1!S71_SA34cCode,_xlfn.SINGLE($AC:$AC),Sheet1!S71_RepMaintCode,_xlfn.SINGLE($AD:$AD))</f>
        <v>0</v>
      </c>
    </row>
    <row r="154" spans="1:31" ht="4.9000000000000004" customHeight="1" x14ac:dyDescent="0.25">
      <c r="A154" s="116"/>
      <c r="B154" s="144"/>
      <c r="C154" s="177"/>
      <c r="D154" s="177"/>
      <c r="E154" s="180"/>
      <c r="F154" s="179"/>
      <c r="G154" s="177"/>
      <c r="H154" s="178"/>
      <c r="I154" s="179"/>
      <c r="J154" s="177"/>
      <c r="K154" s="178"/>
      <c r="AD154" s="2365" t="s">
        <v>2820</v>
      </c>
      <c r="AE154" s="2369" cm="1">
        <f t="array" ref="AE154">SUMIFS(Sheet1!S71_PreAuditActual,Sheet1!S71_SA34cCode,_xlfn.SINGLE($AC:$AC),Sheet1!S71_RepMaintCode,_xlfn.SINGLE($AD:$AD))</f>
        <v>0</v>
      </c>
    </row>
    <row r="155" spans="1:31" ht="13.15" customHeight="1" x14ac:dyDescent="0.25">
      <c r="A155" s="96" t="s">
        <v>2334</v>
      </c>
      <c r="B155" s="144"/>
      <c r="C155" s="177">
        <f t="shared" ref="C155:K155" si="25">SUM(C156:C156)</f>
        <v>13553</v>
      </c>
      <c r="D155" s="177">
        <f t="shared" si="25"/>
        <v>0</v>
      </c>
      <c r="E155" s="180">
        <f t="shared" si="25"/>
        <v>0</v>
      </c>
      <c r="F155" s="179">
        <f t="shared" si="25"/>
        <v>0</v>
      </c>
      <c r="G155" s="177">
        <f t="shared" si="25"/>
        <v>0</v>
      </c>
      <c r="H155" s="178">
        <f t="shared" si="25"/>
        <v>0</v>
      </c>
      <c r="I155" s="179">
        <f t="shared" si="25"/>
        <v>0</v>
      </c>
      <c r="J155" s="177">
        <f t="shared" si="25"/>
        <v>0</v>
      </c>
      <c r="K155" s="178">
        <f t="shared" si="25"/>
        <v>0</v>
      </c>
      <c r="AD155" s="2365" t="s">
        <v>2820</v>
      </c>
      <c r="AE155" s="2369" cm="1">
        <f t="array" ref="AE155">SUMIFS(Sheet1!S71_PreAuditActual,Sheet1!S71_SA34cCode,_xlfn.SINGLE($AC:$AC),Sheet1!S71_RepMaintCode,_xlfn.SINGLE($AD:$AD))</f>
        <v>0</v>
      </c>
    </row>
    <row r="156" spans="1:31" ht="13.15" customHeight="1" x14ac:dyDescent="0.25">
      <c r="A156" s="104" t="s">
        <v>2334</v>
      </c>
      <c r="B156" s="144"/>
      <c r="C156" s="712">
        <f>SUMIFS(Sheet1!S71_PPPYearAmount,Sheet1!S71_SA34cCode,$AC:$AC,Sheet1!S71_RepMaintCode,$AD:$AD)</f>
        <v>13553</v>
      </c>
      <c r="D156" s="712">
        <f>SUMIFS(Sheet1!S71_PPYearAmount,Sheet1!S71_SA34cCode,$AC:$AC,Sheet1!S71_RepMaintCode,$AD:$AD)</f>
        <v>0</v>
      </c>
      <c r="E156" s="715">
        <f>SUMIFS(Sheet1!S71_PYearAmount,Sheet1!S71_SA34cCode,$AC:$AC,Sheet1!S71_RepMaintCode,$AD:$AD)</f>
        <v>0</v>
      </c>
      <c r="F156" s="725">
        <f>SUMIFS(Sheet1!S71_OriginalBudAmnt,Sheet1!S71_SA34cCode,$AC:$AC,Sheet1!S71_RepMaintCode,$AD:$AD)</f>
        <v>0</v>
      </c>
      <c r="G156" s="712">
        <f>SUMIFS(Sheet1!S71_AdjustmentBudAmnt,Sheet1!S71_SA34cCode,$AC:$AC,Sheet1!S71_RepMaintCode,$AD:$AD)</f>
        <v>0</v>
      </c>
      <c r="H156" s="713">
        <f>SUMIFS(Sheet1!S71_AdjustmentBudAmnt,Sheet1!S71_SA34cCode,$AC:$AC,Sheet1!S71_RepMaintCode,$AD:$AD)</f>
        <v>0</v>
      </c>
      <c r="I156" s="725">
        <f>SUMIFS(Sheet1!S71_ASBudgetAmount,Sheet1!S71_SA34cCode,$AC:$AC,Sheet1!S71_RepMaintCode,$AD:$AD)</f>
        <v>0</v>
      </c>
      <c r="J156" s="712">
        <f>SUMIFS(Sheet1!S71_OY1BudgetAmount,Sheet1!S71_SA34cCode,$AC:$AC,Sheet1!S71_RepMaintCode,$AD:$AD)</f>
        <v>0</v>
      </c>
      <c r="K156" s="713">
        <f>SUMIFS(Sheet1!S71_OY2BudgetAmount,Sheet1!S71_SA34cCode,$AC:$AC,Sheet1!S71_RepMaintCode,$AD:$AD)</f>
        <v>0</v>
      </c>
      <c r="AC156" s="2365" t="s">
        <v>2801</v>
      </c>
      <c r="AD156" s="2365" t="s">
        <v>2820</v>
      </c>
      <c r="AE156" s="2369" cm="1">
        <f t="array" ref="AE156">SUMIFS(Sheet1!S71_PreAuditActual,Sheet1!S71_SA34cCode,_xlfn.SINGLE($AC:$AC),Sheet1!S71_RepMaintCode,_xlfn.SINGLE($AD:$AD))</f>
        <v>0</v>
      </c>
    </row>
    <row r="157" spans="1:31" ht="4.9000000000000004" customHeight="1" x14ac:dyDescent="0.25">
      <c r="A157" s="116"/>
      <c r="B157" s="144"/>
      <c r="C157" s="177"/>
      <c r="D157" s="177"/>
      <c r="E157" s="180"/>
      <c r="F157" s="179"/>
      <c r="G157" s="177"/>
      <c r="H157" s="178"/>
      <c r="I157" s="179"/>
      <c r="J157" s="177"/>
      <c r="K157" s="178"/>
      <c r="AD157" s="2365" t="s">
        <v>2820</v>
      </c>
      <c r="AE157" s="2369" cm="1">
        <f t="array" ref="AE157">SUMIFS(Sheet1!S71_PreAuditActual,Sheet1!S71_SA34cCode,_xlfn.SINGLE($AC:$AC),Sheet1!S71_RepMaintCode,_xlfn.SINGLE($AD:$AD))</f>
        <v>0</v>
      </c>
    </row>
    <row r="158" spans="1:31" ht="13.15" customHeight="1" x14ac:dyDescent="0.25">
      <c r="A158" s="96" t="s">
        <v>2335</v>
      </c>
      <c r="B158" s="144"/>
      <c r="C158" s="177">
        <f t="shared" ref="C158:K158" si="26">SUM(C159:C159)</f>
        <v>211261</v>
      </c>
      <c r="D158" s="177">
        <f t="shared" si="26"/>
        <v>367982</v>
      </c>
      <c r="E158" s="180">
        <f t="shared" si="26"/>
        <v>599761</v>
      </c>
      <c r="F158" s="179">
        <f t="shared" si="26"/>
        <v>380000</v>
      </c>
      <c r="G158" s="177">
        <f t="shared" si="26"/>
        <v>980000</v>
      </c>
      <c r="H158" s="178">
        <f t="shared" si="26"/>
        <v>980000</v>
      </c>
      <c r="I158" s="179">
        <f t="shared" si="26"/>
        <v>1018220</v>
      </c>
      <c r="J158" s="177">
        <f t="shared" si="26"/>
        <v>1058949</v>
      </c>
      <c r="K158" s="178">
        <f t="shared" si="26"/>
        <v>1101307</v>
      </c>
      <c r="AD158" s="2365" t="s">
        <v>2820</v>
      </c>
      <c r="AE158" s="2369" cm="1">
        <f t="array" ref="AE158">SUMIFS(Sheet1!S71_PreAuditActual,Sheet1!S71_SA34cCode,_xlfn.SINGLE($AC:$AC),Sheet1!S71_RepMaintCode,_xlfn.SINGLE($AD:$AD))</f>
        <v>0</v>
      </c>
    </row>
    <row r="159" spans="1:31" ht="13.15" customHeight="1" x14ac:dyDescent="0.25">
      <c r="A159" s="104" t="s">
        <v>2335</v>
      </c>
      <c r="B159" s="144"/>
      <c r="C159" s="712">
        <f>SUMIFS(Sheet1!S71_PPPYearAmount,Sheet1!S71_SA34cCode,$AC:$AC,Sheet1!S71_RepMaintCode,$AD:$AD)</f>
        <v>211261</v>
      </c>
      <c r="D159" s="712">
        <f>SUMIFS(Sheet1!S71_PPYearAmount,Sheet1!S71_SA34cCode,$AC:$AC,Sheet1!S71_RepMaintCode,$AD:$AD)</f>
        <v>367982</v>
      </c>
      <c r="E159" s="715">
        <f>SUMIFS(Sheet1!S71_PYearAmount,Sheet1!S71_SA34cCode,$AC:$AC,Sheet1!S71_RepMaintCode,$AD:$AD)</f>
        <v>599761</v>
      </c>
      <c r="F159" s="725">
        <f>SUMIFS(Sheet1!S71_OriginalBudAmnt,Sheet1!S71_SA34cCode,$AC:$AC,Sheet1!S71_RepMaintCode,$AD:$AD)</f>
        <v>380000</v>
      </c>
      <c r="G159" s="712">
        <f>SUMIFS(Sheet1!S71_AdjustmentBudAmnt,Sheet1!S71_SA34cCode,$AC:$AC,Sheet1!S71_RepMaintCode,$AD:$AD)</f>
        <v>980000</v>
      </c>
      <c r="H159" s="713">
        <f>SUMIFS(Sheet1!S71_AdjustmentBudAmnt,Sheet1!S71_SA34cCode,$AC:$AC,Sheet1!S71_RepMaintCode,$AD:$AD)</f>
        <v>980000</v>
      </c>
      <c r="I159" s="725">
        <f>SUMIFS(Sheet1!S71_ASBudgetAmount,Sheet1!S71_SA34cCode,$AC:$AC,Sheet1!S71_RepMaintCode,$AD:$AD)</f>
        <v>1018220</v>
      </c>
      <c r="J159" s="712">
        <f>SUMIFS(Sheet1!S71_OY1BudgetAmount,Sheet1!S71_SA34cCode,$AC:$AC,Sheet1!S71_RepMaintCode,$AD:$AD)</f>
        <v>1058949</v>
      </c>
      <c r="K159" s="713">
        <f>SUMIFS(Sheet1!S71_OY2BudgetAmount,Sheet1!S71_SA34cCode,$AC:$AC,Sheet1!S71_RepMaintCode,$AD:$AD)</f>
        <v>1101307</v>
      </c>
      <c r="AC159" s="2365" t="s">
        <v>2802</v>
      </c>
      <c r="AD159" s="2365" t="s">
        <v>2820</v>
      </c>
      <c r="AE159" s="2369" cm="1">
        <f t="array" ref="AE159">SUMIFS(Sheet1!S71_PreAuditActual,Sheet1!S71_SA34cCode,_xlfn.SINGLE($AC:$AC),Sheet1!S71_RepMaintCode,_xlfn.SINGLE($AD:$AD))</f>
        <v>735451</v>
      </c>
    </row>
    <row r="160" spans="1:31" ht="4.9000000000000004" customHeight="1" x14ac:dyDescent="0.25">
      <c r="A160" s="116"/>
      <c r="B160" s="144"/>
      <c r="C160" s="177"/>
      <c r="D160" s="177"/>
      <c r="E160" s="180"/>
      <c r="F160" s="179"/>
      <c r="G160" s="177"/>
      <c r="H160" s="178"/>
      <c r="I160" s="179"/>
      <c r="J160" s="177"/>
      <c r="K160" s="178"/>
      <c r="AD160" s="2365" t="s">
        <v>2820</v>
      </c>
      <c r="AE160" s="2369" cm="1">
        <f t="array" ref="AE160">SUMIFS(Sheet1!S71_PreAuditActual,Sheet1!S71_SA34cCode,_xlfn.SINGLE($AC:$AC),Sheet1!S71_RepMaintCode,_xlfn.SINGLE($AD:$AD))</f>
        <v>0</v>
      </c>
    </row>
    <row r="161" spans="1:31" ht="13.15" customHeight="1" x14ac:dyDescent="0.25">
      <c r="A161" s="96" t="s">
        <v>2470</v>
      </c>
      <c r="B161" s="144"/>
      <c r="C161" s="177">
        <f t="shared" ref="C161:K161" si="27">SUM(C162:C162)</f>
        <v>0</v>
      </c>
      <c r="D161" s="177">
        <f t="shared" si="27"/>
        <v>0</v>
      </c>
      <c r="E161" s="180">
        <f t="shared" si="27"/>
        <v>0</v>
      </c>
      <c r="F161" s="179">
        <f t="shared" si="27"/>
        <v>0</v>
      </c>
      <c r="G161" s="177">
        <f t="shared" si="27"/>
        <v>0</v>
      </c>
      <c r="H161" s="178">
        <f t="shared" si="27"/>
        <v>0</v>
      </c>
      <c r="I161" s="179">
        <f t="shared" si="27"/>
        <v>0</v>
      </c>
      <c r="J161" s="177">
        <f t="shared" si="27"/>
        <v>0</v>
      </c>
      <c r="K161" s="178">
        <f t="shared" si="27"/>
        <v>0</v>
      </c>
      <c r="AD161" s="2365" t="s">
        <v>2820</v>
      </c>
      <c r="AE161" s="2369" cm="1">
        <f t="array" ref="AE161">SUMIFS(Sheet1!S71_PreAuditActual,Sheet1!S71_SA34cCode,_xlfn.SINGLE($AC:$AC),Sheet1!S71_RepMaintCode,_xlfn.SINGLE($AD:$AD))</f>
        <v>0</v>
      </c>
    </row>
    <row r="162" spans="1:31" ht="13.15" customHeight="1" x14ac:dyDescent="0.25">
      <c r="A162" s="104" t="s">
        <v>2470</v>
      </c>
      <c r="B162" s="144"/>
      <c r="C162" s="712">
        <f>SUMIFS(Sheet1!S71_PPPYearAmount,Sheet1!S71_SA34cCode,$AC:$AC,Sheet1!S71_RepMaintCode,$AD:$AD)</f>
        <v>0</v>
      </c>
      <c r="D162" s="712">
        <f>SUMIFS(Sheet1!S71_PPYearAmount,Sheet1!S71_SA34cCode,$AC:$AC,Sheet1!S71_RepMaintCode,$AD:$AD)</f>
        <v>0</v>
      </c>
      <c r="E162" s="715">
        <f>SUMIFS(Sheet1!S71_PYearAmount,Sheet1!S71_SA34cCode,$AC:$AC,Sheet1!S71_RepMaintCode,$AD:$AD)</f>
        <v>0</v>
      </c>
      <c r="F162" s="725">
        <f>SUMIFS(Sheet1!S71_OriginalBudAmnt,Sheet1!S71_SA34cCode,$AC:$AC,Sheet1!S71_RepMaintCode,$AD:$AD)</f>
        <v>0</v>
      </c>
      <c r="G162" s="712">
        <f>SUMIFS(Sheet1!S71_AdjustmentBudAmnt,Sheet1!S71_SA34cCode,$AC:$AC,Sheet1!S71_RepMaintCode,$AD:$AD)</f>
        <v>0</v>
      </c>
      <c r="H162" s="713">
        <f>SUMIFS(Sheet1!S71_AdjustmentBudAmnt,Sheet1!S71_SA34cCode,$AC:$AC,Sheet1!S71_RepMaintCode,$AD:$AD)</f>
        <v>0</v>
      </c>
      <c r="I162" s="725">
        <f>SUMIFS(Sheet1!S71_ASBudgetAmount,Sheet1!S71_SA34cCode,$AC:$AC,Sheet1!S71_RepMaintCode,$AD:$AD)</f>
        <v>0</v>
      </c>
      <c r="J162" s="712">
        <f>SUMIFS(Sheet1!S71_OY1BudgetAmount,Sheet1!S71_SA34cCode,$AC:$AC,Sheet1!S71_RepMaintCode,$AD:$AD)</f>
        <v>0</v>
      </c>
      <c r="K162" s="713">
        <f>SUMIFS(Sheet1!S71_OY2BudgetAmount,Sheet1!S71_SA34cCode,$AC:$AC,Sheet1!S71_RepMaintCode,$AD:$AD)</f>
        <v>0</v>
      </c>
      <c r="AC162" s="2365" t="s">
        <v>2803</v>
      </c>
      <c r="AD162" s="2365" t="s">
        <v>2820</v>
      </c>
      <c r="AE162" s="2369" cm="1">
        <f t="array" ref="AE162">SUMIFS(Sheet1!S71_PreAuditActual,Sheet1!S71_SA34cCode,_xlfn.SINGLE($AC:$AC),Sheet1!S71_RepMaintCode,_xlfn.SINGLE($AD:$AD))</f>
        <v>0</v>
      </c>
    </row>
    <row r="163" spans="1:31" ht="4.9000000000000004" customHeight="1" x14ac:dyDescent="0.25">
      <c r="A163" s="116"/>
      <c r="B163" s="144"/>
      <c r="C163" s="177"/>
      <c r="D163" s="177"/>
      <c r="E163" s="180"/>
      <c r="F163" s="179"/>
      <c r="G163" s="177"/>
      <c r="H163" s="178"/>
      <c r="I163" s="179"/>
      <c r="J163" s="177"/>
      <c r="K163" s="178"/>
      <c r="AD163" s="2365" t="s">
        <v>2820</v>
      </c>
      <c r="AE163" s="2369" cm="1">
        <f t="array" ref="AE163">SUMIFS(Sheet1!S71_PreAuditActual,Sheet1!S71_SA34cCode,_xlfn.SINGLE($AC:$AC),Sheet1!S71_RepMaintCode,_xlfn.SINGLE($AD:$AD))</f>
        <v>0</v>
      </c>
    </row>
    <row r="164" spans="1:31" ht="13.15" customHeight="1" x14ac:dyDescent="0.25">
      <c r="A164" s="96" t="s">
        <v>2336</v>
      </c>
      <c r="B164" s="144"/>
      <c r="C164" s="177">
        <f t="shared" ref="C164:K164" si="28">SUM(C165:C165)</f>
        <v>0</v>
      </c>
      <c r="D164" s="177">
        <f t="shared" si="28"/>
        <v>0</v>
      </c>
      <c r="E164" s="180">
        <f t="shared" si="28"/>
        <v>0</v>
      </c>
      <c r="F164" s="179">
        <f t="shared" si="28"/>
        <v>0</v>
      </c>
      <c r="G164" s="177">
        <f t="shared" si="28"/>
        <v>0</v>
      </c>
      <c r="H164" s="178">
        <f t="shared" si="28"/>
        <v>0</v>
      </c>
      <c r="I164" s="179">
        <f t="shared" si="28"/>
        <v>0</v>
      </c>
      <c r="J164" s="177">
        <f t="shared" si="28"/>
        <v>0</v>
      </c>
      <c r="K164" s="178">
        <f t="shared" si="28"/>
        <v>0</v>
      </c>
      <c r="AD164" s="2365" t="s">
        <v>2820</v>
      </c>
      <c r="AE164" s="2369" cm="1">
        <f t="array" ref="AE164">SUMIFS(Sheet1!S71_PreAuditActual,Sheet1!S71_SA34cCode,_xlfn.SINGLE($AC:$AC),Sheet1!S71_RepMaintCode,_xlfn.SINGLE($AD:$AD))</f>
        <v>0</v>
      </c>
    </row>
    <row r="165" spans="1:31" ht="13.15" customHeight="1" x14ac:dyDescent="0.25">
      <c r="A165" s="104" t="s">
        <v>2336</v>
      </c>
      <c r="B165" s="144"/>
      <c r="C165" s="712">
        <f>SUMIFS(Sheet1!S71_PPPYearAmount,Sheet1!S71_SA34cCode,$AC:$AC,Sheet1!S71_RepMaintCode,$AD:$AD)</f>
        <v>0</v>
      </c>
      <c r="D165" s="712">
        <f>SUMIFS(Sheet1!S71_PPYearAmount,Sheet1!S71_SA34cCode,$AC:$AC,Sheet1!S71_RepMaintCode,$AD:$AD)</f>
        <v>0</v>
      </c>
      <c r="E165" s="715">
        <f>SUMIFS(Sheet1!S71_PYearAmount,Sheet1!S71_SA34cCode,$AC:$AC,Sheet1!S71_RepMaintCode,$AD:$AD)</f>
        <v>0</v>
      </c>
      <c r="F165" s="725">
        <f>SUMIFS(Sheet1!S71_OriginalBudAmnt,Sheet1!S71_SA34cCode,$AC:$AC,Sheet1!S71_RepMaintCode,$AD:$AD)</f>
        <v>0</v>
      </c>
      <c r="G165" s="712">
        <f>SUMIFS(Sheet1!S71_AdjustmentBudAmnt,Sheet1!S71_SA34cCode,$AC:$AC,Sheet1!S71_RepMaintCode,$AD:$AD)</f>
        <v>0</v>
      </c>
      <c r="H165" s="713">
        <f>SUMIFS(Sheet1!S71_AdjustmentBudAmnt,Sheet1!S71_SA34cCode,$AC:$AC,Sheet1!S71_RepMaintCode,$AD:$AD)</f>
        <v>0</v>
      </c>
      <c r="I165" s="725">
        <f>SUMIFS(Sheet1!S71_ASBudgetAmount,Sheet1!S71_SA34cCode,$AC:$AC,Sheet1!S71_RepMaintCode,$AD:$AD)</f>
        <v>0</v>
      </c>
      <c r="J165" s="712">
        <f>SUMIFS(Sheet1!S71_OY1BudgetAmount,Sheet1!S71_SA34cCode,$AC:$AC,Sheet1!S71_RepMaintCode,$AD:$AD)</f>
        <v>0</v>
      </c>
      <c r="K165" s="713">
        <f>SUMIFS(Sheet1!S71_OY2BudgetAmount,Sheet1!S71_SA34cCode,$AC:$AC,Sheet1!S71_RepMaintCode,$AD:$AD)</f>
        <v>0</v>
      </c>
      <c r="AC165" s="2365" t="s">
        <v>2804</v>
      </c>
      <c r="AD165" s="2365" t="s">
        <v>2820</v>
      </c>
      <c r="AE165" s="2369" cm="1">
        <f t="array" ref="AE165">SUMIFS(Sheet1!S71_PreAuditActual,Sheet1!S71_SA34cCode,_xlfn.SINGLE($AC:$AC),Sheet1!S71_RepMaintCode,_xlfn.SINGLE($AD:$AD))</f>
        <v>0</v>
      </c>
    </row>
    <row r="166" spans="1:31" ht="4.9000000000000004" customHeight="1" x14ac:dyDescent="0.25">
      <c r="A166" s="116"/>
      <c r="B166" s="144"/>
      <c r="C166" s="177"/>
      <c r="D166" s="177"/>
      <c r="E166" s="180"/>
      <c r="F166" s="179"/>
      <c r="G166" s="177"/>
      <c r="H166" s="178"/>
      <c r="I166" s="179"/>
      <c r="J166" s="177"/>
      <c r="K166" s="178"/>
      <c r="AD166" s="2365" t="s">
        <v>2820</v>
      </c>
      <c r="AE166" s="2369" cm="1">
        <f t="array" ref="AE166">SUMIFS(Sheet1!S71_PreAuditActual,Sheet1!S71_SA34cCode,_xlfn.SINGLE($AC:$AC),Sheet1!S71_RepMaintCode,_xlfn.SINGLE($AD:$AD))</f>
        <v>0</v>
      </c>
    </row>
    <row r="167" spans="1:31" ht="13.15" customHeight="1" x14ac:dyDescent="0.25">
      <c r="A167" s="147" t="s">
        <v>1066</v>
      </c>
      <c r="B167" s="148">
        <v>1</v>
      </c>
      <c r="C167" s="185">
        <f>C6+C74+C103+C110+C118+C136+C139+C149+C152+C155+C158+C161+C164</f>
        <v>3251722</v>
      </c>
      <c r="D167" s="185">
        <f t="shared" ref="D167:K167" si="29">D6+D74+D103+D110+D118+D136+D139+D149+D152+D155+D158+D161+D164</f>
        <v>4631400</v>
      </c>
      <c r="E167" s="186">
        <f t="shared" si="29"/>
        <v>8316075</v>
      </c>
      <c r="F167" s="184">
        <f t="shared" si="29"/>
        <v>16880000</v>
      </c>
      <c r="G167" s="185">
        <f t="shared" si="29"/>
        <v>30830520</v>
      </c>
      <c r="H167" s="183">
        <f t="shared" si="29"/>
        <v>30830520</v>
      </c>
      <c r="I167" s="184">
        <f t="shared" si="29"/>
        <v>28218220</v>
      </c>
      <c r="J167" s="185">
        <f t="shared" si="29"/>
        <v>21800949</v>
      </c>
      <c r="K167" s="183">
        <f t="shared" si="29"/>
        <v>22855987</v>
      </c>
      <c r="AE167" s="2312">
        <f>SUM(AE8:AE166)</f>
        <v>29678946</v>
      </c>
    </row>
    <row r="168" spans="1:31" x14ac:dyDescent="0.25">
      <c r="F168" s="176"/>
      <c r="G168" s="220"/>
      <c r="H168" s="1425"/>
      <c r="I168" s="176"/>
      <c r="J168" s="220"/>
      <c r="K168" s="1425"/>
    </row>
    <row r="169" spans="1:31" x14ac:dyDescent="0.25">
      <c r="A169" s="2128" t="s">
        <v>798</v>
      </c>
      <c r="B169" s="2129"/>
      <c r="C169" s="2130">
        <f>IF(ISERROR(ROUND(C167/'A6-FinPos'!C19,3)),0,(ROUND(C167/'A6-FinPos'!C19,3)))</f>
        <v>2.5999999999999999E-2</v>
      </c>
      <c r="D169" s="2130">
        <f>IF(ISERROR(ROUND(D167/'A6-FinPos'!D19,3)),0,(ROUND(D167/'A6-FinPos'!D19,3)))</f>
        <v>3.2000000000000001E-2</v>
      </c>
      <c r="E169" s="2131">
        <f>IF(ISERROR(ROUND(E167/'A6-FinPos'!E19,3)),0,(ROUND(E167/'A6-FinPos'!E19,3)))</f>
        <v>5.2999999999999999E-2</v>
      </c>
      <c r="F169" s="2132">
        <f>IF(ISERROR(ROUND(F167/'A6-FinPos'!F19,3)),0,(ROUND(F167/'A6-FinPos'!F19,3)))</f>
        <v>0.10199999999999999</v>
      </c>
      <c r="G169" s="2130">
        <f>IF(ISERROR(ROUND(G167/'A6-FinPos'!G19,3)),0,(ROUND(G167/'A6-FinPos'!G19,3)))</f>
        <v>0.158</v>
      </c>
      <c r="H169" s="2133">
        <f>IF(ISERROR(ROUND(H167/'A6-FinPos'!H19,3)),0,(ROUND(H167/'A6-FinPos'!H19,3)))</f>
        <v>0.158</v>
      </c>
      <c r="I169" s="2134">
        <f>IF(ISERROR(ROUND(I167/'A6-FinPos'!I19,3)),0,(ROUND(I167/'A6-FinPos'!I19,3)))</f>
        <v>9.2999999999999999E-2</v>
      </c>
      <c r="J169" s="2130">
        <f>IF(ISERROR(ROUND(J167/'A6-FinPos'!J19,3)),0,(ROUND(J167/'A6-FinPos'!J19,3)))</f>
        <v>0.11799999999999999</v>
      </c>
      <c r="K169" s="2133">
        <f>IF(ISERROR(ROUND(K167/'A6-FinPos'!K19,3)),0,(ROUND(K167/'A6-FinPos'!K19,3)))</f>
        <v>0.161</v>
      </c>
      <c r="L169" s="322"/>
    </row>
    <row r="170" spans="1:31" x14ac:dyDescent="0.25">
      <c r="A170" s="2135" t="s">
        <v>1810</v>
      </c>
      <c r="B170" s="2136"/>
      <c r="C170" s="2137">
        <f>IF(ISERROR(ROUND(C167/'A1-Sum'!B18,3)),0,(ROUND(C167/'A1-Sum'!B18,3)))</f>
        <v>4.1000000000000002E-2</v>
      </c>
      <c r="D170" s="2137">
        <f>IF(ISERROR(ROUND(D167/'A1-Sum'!C18,3)),0,(ROUND(D167/'A1-Sum'!C18,3)))</f>
        <v>5.7000000000000002E-2</v>
      </c>
      <c r="E170" s="2138">
        <f>IF(ISERROR(ROUND(E167/'A1-Sum'!D18,3)),0,(ROUND(E167/'A1-Sum'!D18,3)))</f>
        <v>8.8999999999999996E-2</v>
      </c>
      <c r="F170" s="2139">
        <f>IF(ISERROR(ROUND(F167/'A1-Sum'!E18,3)),0,(ROUND(F167/'A1-Sum'!E18,3)))</f>
        <v>0.13900000000000001</v>
      </c>
      <c r="G170" s="2137">
        <f>IF(ISERROR(ROUND(G167/'A1-Sum'!F18,3)),0,(ROUND(G167/'A1-Sum'!F18,3)))</f>
        <v>0.216</v>
      </c>
      <c r="H170" s="2140">
        <f>IF(ISERROR(ROUND(H167/'A1-Sum'!G18,3)),0,(ROUND(H167/'A1-Sum'!G18,3)))</f>
        <v>0.216</v>
      </c>
      <c r="I170" s="2141">
        <f>IF(ISERROR(ROUND(I167/'A1-Sum'!H18,3)),0,(ROUND(I167/'A1-Sum'!H18,3)))</f>
        <v>0.26300000000000001</v>
      </c>
      <c r="J170" s="2137">
        <f>IF(ISERROR(ROUND(J167/'A1-Sum'!I18,3)),0,(ROUND(J167/'A1-Sum'!I18,3)))</f>
        <v>0.153</v>
      </c>
      <c r="K170" s="2140">
        <f>IF(ISERROR(ROUND(K167/'A1-Sum'!J18,3)),0,(ROUND(K167/'A1-Sum'!J18,3)))</f>
        <v>0.16800000000000001</v>
      </c>
      <c r="L170" s="322"/>
    </row>
    <row r="171" spans="1:31" x14ac:dyDescent="0.25">
      <c r="A171" s="217" t="str">
        <f>head27a</f>
        <v>References</v>
      </c>
      <c r="B171" s="189"/>
      <c r="C171" s="193"/>
      <c r="D171" s="193"/>
      <c r="E171" s="193"/>
      <c r="F171" s="193"/>
      <c r="G171" s="193"/>
      <c r="H171" s="193"/>
      <c r="I171" s="193"/>
      <c r="J171" s="193"/>
      <c r="K171" s="193"/>
      <c r="L171" s="674"/>
    </row>
    <row r="172" spans="1:31" ht="11.25" customHeight="1" x14ac:dyDescent="0.25">
      <c r="A172" s="218" t="s">
        <v>1067</v>
      </c>
      <c r="B172" s="189"/>
      <c r="C172" s="192"/>
      <c r="D172" s="192"/>
      <c r="E172" s="193"/>
      <c r="F172" s="193"/>
      <c r="G172" s="193"/>
      <c r="H172" s="193"/>
      <c r="I172" s="193"/>
      <c r="J172" s="193"/>
      <c r="K172" s="193"/>
    </row>
    <row r="175" spans="1:31" ht="11.25" customHeight="1" x14ac:dyDescent="0.25">
      <c r="A175" s="219" t="s">
        <v>248</v>
      </c>
      <c r="B175" s="150"/>
      <c r="C175" s="223">
        <f>C167-'SA1'!C181</f>
        <v>0</v>
      </c>
      <c r="D175" s="223">
        <f>D167-'SA1'!D181</f>
        <v>0</v>
      </c>
      <c r="E175" s="223">
        <f>E167-'SA1'!E181</f>
        <v>0</v>
      </c>
      <c r="F175" s="223">
        <f>F167-'SA1'!F181</f>
        <v>0</v>
      </c>
      <c r="G175" s="223">
        <f>G167-'SA1'!G181</f>
        <v>0</v>
      </c>
      <c r="H175" s="223">
        <f>H167-'SA1'!H181</f>
        <v>0</v>
      </c>
      <c r="I175" s="223">
        <f>I167-'SA1'!J181</f>
        <v>6417271</v>
      </c>
      <c r="J175" s="223">
        <f>J167-'SA1'!K181</f>
        <v>-1055038</v>
      </c>
      <c r="K175" s="223">
        <f>K167-'SA1'!L181</f>
        <v>22855987</v>
      </c>
    </row>
  </sheetData>
  <sheetProtection sheet="1" objects="1" scenarios="1"/>
  <mergeCells count="2">
    <mergeCell ref="F2:H2"/>
    <mergeCell ref="I2:K2"/>
  </mergeCells>
  <phoneticPr fontId="7" type="noConversion"/>
  <pageMargins left="0.75" right="0.75" top="1" bottom="1" header="0.5" footer="0.5"/>
  <pageSetup scale="60"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1">
    <tabColor rgb="FF92D050"/>
  </sheetPr>
  <dimension ref="A1:AI308"/>
  <sheetViews>
    <sheetView zoomScaleNormal="100" workbookViewId="0">
      <pane xSplit="1" ySplit="1" topLeftCell="T2" activePane="bottomRight" state="frozen"/>
      <selection pane="topRight"/>
      <selection pane="bottomLeft"/>
      <selection pane="bottomRight" activeCell="Y22" sqref="Y22"/>
    </sheetView>
  </sheetViews>
  <sheetFormatPr defaultColWidth="9.140625" defaultRowHeight="11.25" x14ac:dyDescent="0.2"/>
  <cols>
    <col min="1" max="1" width="112.42578125" style="2" bestFit="1" customWidth="1"/>
    <col min="2" max="20" width="41.85546875" style="2" bestFit="1" customWidth="1"/>
    <col min="21" max="21" width="1.28515625" style="2" customWidth="1"/>
    <col min="22" max="22" width="5.5703125" style="2" bestFit="1" customWidth="1"/>
    <col min="23" max="23" width="2.7109375" style="2" bestFit="1" customWidth="1"/>
    <col min="24" max="24" width="4.140625" style="2" bestFit="1" customWidth="1"/>
    <col min="25" max="25" width="9.7109375" style="2" bestFit="1" customWidth="1"/>
    <col min="26" max="26" width="9.5703125" style="2" bestFit="1" customWidth="1"/>
    <col min="27" max="27" width="3.85546875" style="2" bestFit="1" customWidth="1"/>
    <col min="28" max="28" width="6.7109375" style="2" bestFit="1" customWidth="1"/>
    <col min="29" max="29" width="4.28515625" style="2" bestFit="1" customWidth="1"/>
    <col min="30" max="30" width="7.7109375" style="2" bestFit="1" customWidth="1"/>
    <col min="31" max="31" width="32.85546875" style="2" bestFit="1" customWidth="1"/>
    <col min="32" max="32" width="31.140625" style="2" bestFit="1" customWidth="1"/>
    <col min="33" max="33" width="32.28515625" style="2" bestFit="1" customWidth="1"/>
    <col min="34" max="34" width="23.5703125" style="2" bestFit="1" customWidth="1"/>
    <col min="35" max="35" width="64.5703125" style="2" bestFit="1" customWidth="1"/>
    <col min="36" max="16384" width="9.140625" style="2"/>
  </cols>
  <sheetData>
    <row r="1" spans="1:35" s="3" customFormat="1" ht="13.5" thickBot="1" x14ac:dyDescent="0.25">
      <c r="A1" s="2300" t="s">
        <v>659</v>
      </c>
      <c r="B1" s="2300">
        <v>2007</v>
      </c>
      <c r="C1" s="2300">
        <v>2008</v>
      </c>
      <c r="D1" s="2300">
        <v>2009</v>
      </c>
      <c r="E1" s="2300">
        <v>2010</v>
      </c>
      <c r="F1" s="2300">
        <v>2011</v>
      </c>
      <c r="G1" s="2300">
        <v>2012</v>
      </c>
      <c r="H1" s="2300">
        <v>2013</v>
      </c>
      <c r="I1" s="2300">
        <v>2014</v>
      </c>
      <c r="J1" s="2300">
        <v>2015</v>
      </c>
      <c r="K1" s="2300">
        <v>2016</v>
      </c>
      <c r="L1" s="2300">
        <v>2018</v>
      </c>
      <c r="M1" s="2300">
        <v>2019</v>
      </c>
      <c r="N1" s="2300">
        <v>2020</v>
      </c>
      <c r="O1" s="2300">
        <v>2021</v>
      </c>
      <c r="P1" s="2399">
        <v>2022</v>
      </c>
      <c r="Q1" s="2399">
        <v>2023</v>
      </c>
      <c r="R1" s="2399">
        <v>2024</v>
      </c>
      <c r="S1" s="2399">
        <v>2025</v>
      </c>
      <c r="T1" s="2399">
        <v>2026</v>
      </c>
      <c r="U1" s="2300"/>
      <c r="V1" s="2300" t="s">
        <v>133</v>
      </c>
      <c r="W1" s="2300"/>
      <c r="X1" s="2300"/>
      <c r="Y1" s="2300"/>
      <c r="Z1" s="2300"/>
      <c r="AA1" s="2300"/>
      <c r="AB1" s="2300"/>
      <c r="AC1" s="2300"/>
      <c r="AD1" s="2300" t="s">
        <v>1389</v>
      </c>
      <c r="AE1" s="2300" t="s">
        <v>1390</v>
      </c>
      <c r="AF1" s="2300" t="s">
        <v>1392</v>
      </c>
      <c r="AG1" s="2300" t="s">
        <v>1391</v>
      </c>
      <c r="AH1" s="2300" t="s">
        <v>1073</v>
      </c>
      <c r="AI1" s="2300"/>
    </row>
    <row r="2" spans="1:35" x14ac:dyDescent="0.2">
      <c r="A2" s="6" t="str">
        <f>'Template names'!C2</f>
        <v>Prior year -1</v>
      </c>
      <c r="B2" s="5" t="s">
        <v>917</v>
      </c>
      <c r="C2" s="5" t="s">
        <v>1121</v>
      </c>
      <c r="D2" s="5" t="s">
        <v>961</v>
      </c>
      <c r="E2" s="8" t="str">
        <f t="shared" ref="E2:O2" si="0">E1-2&amp;"/"&amp;RIGHT(E1,2)-1</f>
        <v>2008/9</v>
      </c>
      <c r="F2" s="8" t="str">
        <f t="shared" si="0"/>
        <v>2009/10</v>
      </c>
      <c r="G2" s="8" t="str">
        <f t="shared" si="0"/>
        <v>2010/11</v>
      </c>
      <c r="H2" s="8" t="str">
        <f t="shared" si="0"/>
        <v>2011/12</v>
      </c>
      <c r="I2" s="8" t="str">
        <f t="shared" si="0"/>
        <v>2012/13</v>
      </c>
      <c r="J2" s="8" t="str">
        <f t="shared" si="0"/>
        <v>2013/14</v>
      </c>
      <c r="K2" s="8" t="str">
        <f t="shared" si="0"/>
        <v>2014/15</v>
      </c>
      <c r="L2" s="8" t="str">
        <f t="shared" si="0"/>
        <v>2016/17</v>
      </c>
      <c r="M2" s="8" t="str">
        <f t="shared" si="0"/>
        <v>2017/18</v>
      </c>
      <c r="N2" s="8" t="str">
        <f t="shared" si="0"/>
        <v>2018/19</v>
      </c>
      <c r="O2" s="8" t="str">
        <f t="shared" si="0"/>
        <v>2019/20</v>
      </c>
      <c r="P2" s="2325" t="s">
        <v>3035</v>
      </c>
      <c r="Q2" s="2328" t="s">
        <v>3039</v>
      </c>
      <c r="R2" s="2328" t="s">
        <v>3058</v>
      </c>
      <c r="S2" s="2328" t="s">
        <v>3059</v>
      </c>
      <c r="T2" s="2328" t="s">
        <v>3060</v>
      </c>
      <c r="U2" s="5"/>
      <c r="V2" s="14" t="s">
        <v>364</v>
      </c>
      <c r="W2" s="70" t="s">
        <v>134</v>
      </c>
      <c r="X2" s="70" t="s">
        <v>135</v>
      </c>
      <c r="Y2" s="4" t="s">
        <v>137</v>
      </c>
      <c r="Z2" s="8" t="s">
        <v>141</v>
      </c>
      <c r="AA2" s="4" t="s">
        <v>364</v>
      </c>
      <c r="AB2" s="11" t="s">
        <v>945</v>
      </c>
      <c r="AC2" s="11" t="s">
        <v>1466</v>
      </c>
      <c r="AE2" s="1" t="s">
        <v>1681</v>
      </c>
      <c r="AF2" s="1" t="s">
        <v>1682</v>
      </c>
      <c r="AG2" s="1" t="s">
        <v>1677</v>
      </c>
      <c r="AH2" s="1" t="s">
        <v>1670</v>
      </c>
    </row>
    <row r="3" spans="1:35" x14ac:dyDescent="0.2">
      <c r="A3" s="6" t="str">
        <f>'Template names'!C3</f>
        <v>Prior year -2</v>
      </c>
      <c r="B3" s="5" t="s">
        <v>918</v>
      </c>
      <c r="C3" s="5" t="s">
        <v>917</v>
      </c>
      <c r="D3" s="5" t="s">
        <v>1121</v>
      </c>
      <c r="E3" s="8" t="str">
        <f t="shared" ref="E3:O3" si="1">E1-3&amp;"/"&amp;RIGHT(E1,2)-2</f>
        <v>2007/8</v>
      </c>
      <c r="F3" s="8" t="str">
        <f t="shared" si="1"/>
        <v>2008/9</v>
      </c>
      <c r="G3" s="8" t="str">
        <f t="shared" si="1"/>
        <v>2009/10</v>
      </c>
      <c r="H3" s="8" t="str">
        <f t="shared" si="1"/>
        <v>2010/11</v>
      </c>
      <c r="I3" s="8" t="str">
        <f t="shared" si="1"/>
        <v>2011/12</v>
      </c>
      <c r="J3" s="8" t="str">
        <f t="shared" si="1"/>
        <v>2012/13</v>
      </c>
      <c r="K3" s="8" t="str">
        <f t="shared" si="1"/>
        <v>2013/14</v>
      </c>
      <c r="L3" s="8" t="str">
        <f t="shared" si="1"/>
        <v>2015/16</v>
      </c>
      <c r="M3" s="8" t="str">
        <f t="shared" si="1"/>
        <v>2016/17</v>
      </c>
      <c r="N3" s="8" t="str">
        <f t="shared" si="1"/>
        <v>2017/18</v>
      </c>
      <c r="O3" s="8" t="str">
        <f t="shared" si="1"/>
        <v>2018/19</v>
      </c>
      <c r="P3" s="2325" t="s">
        <v>3036</v>
      </c>
      <c r="Q3" s="2328" t="s">
        <v>3035</v>
      </c>
      <c r="R3" s="2328" t="s">
        <v>3039</v>
      </c>
      <c r="S3" s="2328" t="s">
        <v>3058</v>
      </c>
      <c r="T3" s="2328" t="s">
        <v>3059</v>
      </c>
      <c r="U3" s="5"/>
      <c r="V3" s="14" t="s">
        <v>706</v>
      </c>
      <c r="W3" s="4">
        <v>1</v>
      </c>
      <c r="X3" s="4">
        <v>4</v>
      </c>
      <c r="Y3" s="4" t="s">
        <v>138</v>
      </c>
      <c r="Z3" s="8" t="s">
        <v>139</v>
      </c>
      <c r="AA3" s="12" t="s">
        <v>706</v>
      </c>
      <c r="AB3" s="12" t="s">
        <v>1463</v>
      </c>
      <c r="AC3" s="12" t="s">
        <v>1467</v>
      </c>
      <c r="AE3" s="1" t="s">
        <v>1680</v>
      </c>
      <c r="AF3" s="1" t="s">
        <v>1683</v>
      </c>
      <c r="AG3" s="1" t="s">
        <v>1676</v>
      </c>
      <c r="AH3" s="1" t="s">
        <v>1671</v>
      </c>
    </row>
    <row r="4" spans="1:35" x14ac:dyDescent="0.2">
      <c r="A4" s="6" t="str">
        <f>'Template names'!C4</f>
        <v>Prior year -3</v>
      </c>
      <c r="B4" s="5" t="s">
        <v>919</v>
      </c>
      <c r="C4" s="5" t="s">
        <v>918</v>
      </c>
      <c r="D4" s="5" t="s">
        <v>917</v>
      </c>
      <c r="E4" s="8" t="str">
        <f t="shared" ref="E4:O4" si="2">E1-4&amp;"/"&amp;RIGHT(E1,2)-3</f>
        <v>2006/7</v>
      </c>
      <c r="F4" s="8" t="str">
        <f t="shared" si="2"/>
        <v>2007/8</v>
      </c>
      <c r="G4" s="8" t="str">
        <f t="shared" si="2"/>
        <v>2008/9</v>
      </c>
      <c r="H4" s="8" t="str">
        <f t="shared" si="2"/>
        <v>2009/10</v>
      </c>
      <c r="I4" s="8" t="str">
        <f t="shared" si="2"/>
        <v>2010/11</v>
      </c>
      <c r="J4" s="8" t="str">
        <f t="shared" si="2"/>
        <v>2011/12</v>
      </c>
      <c r="K4" s="8" t="str">
        <f t="shared" si="2"/>
        <v>2012/13</v>
      </c>
      <c r="L4" s="8" t="str">
        <f t="shared" si="2"/>
        <v>2014/15</v>
      </c>
      <c r="M4" s="8" t="str">
        <f t="shared" si="2"/>
        <v>2015/16</v>
      </c>
      <c r="N4" s="8" t="str">
        <f t="shared" si="2"/>
        <v>2016/17</v>
      </c>
      <c r="O4" s="8" t="str">
        <f t="shared" si="2"/>
        <v>2017/18</v>
      </c>
      <c r="P4" s="2325" t="s">
        <v>3037</v>
      </c>
      <c r="Q4" s="2328" t="s">
        <v>3036</v>
      </c>
      <c r="R4" s="2328" t="s">
        <v>3035</v>
      </c>
      <c r="S4" s="2328" t="s">
        <v>3039</v>
      </c>
      <c r="T4" s="2328" t="s">
        <v>3058</v>
      </c>
      <c r="U4" s="5"/>
      <c r="V4" s="15"/>
      <c r="W4" s="4">
        <v>2</v>
      </c>
      <c r="X4" s="4">
        <v>5</v>
      </c>
      <c r="Y4" s="12" t="s">
        <v>245</v>
      </c>
      <c r="Z4" s="9" t="s">
        <v>245</v>
      </c>
      <c r="AA4" s="13"/>
      <c r="AE4" s="1" t="s">
        <v>1679</v>
      </c>
      <c r="AF4" s="1" t="s">
        <v>1487</v>
      </c>
      <c r="AG4" s="1" t="s">
        <v>1665</v>
      </c>
      <c r="AH4" s="1" t="s">
        <v>1551</v>
      </c>
    </row>
    <row r="5" spans="1:35" x14ac:dyDescent="0.2">
      <c r="A5" s="6" t="str">
        <f>'Template names'!C5</f>
        <v>Year in which budget is being prepared</v>
      </c>
      <c r="B5" s="5" t="s">
        <v>343</v>
      </c>
      <c r="C5" s="5" t="s">
        <v>960</v>
      </c>
      <c r="D5" s="5" t="s">
        <v>968</v>
      </c>
      <c r="E5" s="8" t="str">
        <f t="shared" ref="E5:O5" si="3">"Current Year "&amp; E1-1&amp;"/"&amp;RIGHT(E1,2)</f>
        <v>Current Year 2009/10</v>
      </c>
      <c r="F5" s="8" t="str">
        <f t="shared" si="3"/>
        <v>Current Year 2010/11</v>
      </c>
      <c r="G5" s="8" t="str">
        <f t="shared" si="3"/>
        <v>Current Year 2011/12</v>
      </c>
      <c r="H5" s="8" t="str">
        <f t="shared" si="3"/>
        <v>Current Year 2012/13</v>
      </c>
      <c r="I5" s="8" t="str">
        <f t="shared" si="3"/>
        <v>Current Year 2013/14</v>
      </c>
      <c r="J5" s="8" t="str">
        <f t="shared" si="3"/>
        <v>Current Year 2014/15</v>
      </c>
      <c r="K5" s="8" t="str">
        <f t="shared" si="3"/>
        <v>Current Year 2015/16</v>
      </c>
      <c r="L5" s="8" t="str">
        <f t="shared" si="3"/>
        <v>Current Year 2017/18</v>
      </c>
      <c r="M5" s="8" t="str">
        <f t="shared" si="3"/>
        <v>Current Year 2018/19</v>
      </c>
      <c r="N5" s="8" t="str">
        <f t="shared" si="3"/>
        <v>Current Year 2019/20</v>
      </c>
      <c r="O5" s="8" t="str">
        <f t="shared" si="3"/>
        <v>Current Year 2020/21</v>
      </c>
      <c r="P5" s="2325" t="s">
        <v>3038</v>
      </c>
      <c r="Q5" s="2328" t="s">
        <v>3061</v>
      </c>
      <c r="R5" s="2328" t="s">
        <v>3062</v>
      </c>
      <c r="S5" s="2328" t="s">
        <v>3063</v>
      </c>
      <c r="T5" s="2328" t="s">
        <v>3064</v>
      </c>
      <c r="U5" s="5"/>
      <c r="W5" s="4">
        <v>3</v>
      </c>
      <c r="X5" s="4">
        <v>6</v>
      </c>
      <c r="AE5" s="1" t="s">
        <v>1678</v>
      </c>
      <c r="AF5" s="1" t="s">
        <v>1675</v>
      </c>
      <c r="AG5" s="1" t="s">
        <v>1667</v>
      </c>
      <c r="AH5" s="1" t="s">
        <v>1672</v>
      </c>
    </row>
    <row r="6" spans="1:35" x14ac:dyDescent="0.2">
      <c r="A6" s="6" t="str">
        <f>'Template names'!C6</f>
        <v>Year in which budget is being prepared</v>
      </c>
      <c r="B6" s="5" t="s">
        <v>1121</v>
      </c>
      <c r="C6" s="5" t="s">
        <v>961</v>
      </c>
      <c r="D6" s="5" t="s">
        <v>969</v>
      </c>
      <c r="E6" s="8" t="str">
        <f t="shared" ref="E6:O6" si="4">E1-1&amp;"/"&amp;RIGHT(E1,2)</f>
        <v>2009/10</v>
      </c>
      <c r="F6" s="8" t="str">
        <f t="shared" si="4"/>
        <v>2010/11</v>
      </c>
      <c r="G6" s="8" t="str">
        <f t="shared" si="4"/>
        <v>2011/12</v>
      </c>
      <c r="H6" s="8" t="str">
        <f t="shared" si="4"/>
        <v>2012/13</v>
      </c>
      <c r="I6" s="8" t="str">
        <f t="shared" si="4"/>
        <v>2013/14</v>
      </c>
      <c r="J6" s="8" t="str">
        <f t="shared" si="4"/>
        <v>2014/15</v>
      </c>
      <c r="K6" s="8" t="str">
        <f t="shared" si="4"/>
        <v>2015/16</v>
      </c>
      <c r="L6" s="8" t="str">
        <f t="shared" si="4"/>
        <v>2017/18</v>
      </c>
      <c r="M6" s="8" t="str">
        <f t="shared" si="4"/>
        <v>2018/19</v>
      </c>
      <c r="N6" s="8" t="str">
        <f t="shared" si="4"/>
        <v>2019/20</v>
      </c>
      <c r="O6" s="8" t="str">
        <f t="shared" si="4"/>
        <v>2020/21</v>
      </c>
      <c r="P6" s="2325" t="s">
        <v>3039</v>
      </c>
      <c r="Q6" s="2328" t="s">
        <v>3058</v>
      </c>
      <c r="R6" s="2328" t="s">
        <v>3059</v>
      </c>
      <c r="S6" s="2328" t="s">
        <v>3060</v>
      </c>
      <c r="T6" s="2328" t="s">
        <v>3065</v>
      </c>
      <c r="U6" s="5"/>
      <c r="W6" s="4">
        <v>4</v>
      </c>
      <c r="X6" s="69" t="s">
        <v>944</v>
      </c>
      <c r="AE6" s="2" t="s">
        <v>1658</v>
      </c>
      <c r="AG6" s="1" t="s">
        <v>1666</v>
      </c>
      <c r="AH6" s="1" t="s">
        <v>1673</v>
      </c>
    </row>
    <row r="7" spans="1:35" x14ac:dyDescent="0.2">
      <c r="A7" s="6" t="str">
        <f>'Template names'!C7</f>
        <v>MTREF name</v>
      </c>
      <c r="B7" s="5" t="s">
        <v>684</v>
      </c>
      <c r="C7" s="5" t="s">
        <v>685</v>
      </c>
      <c r="D7" s="5" t="s">
        <v>686</v>
      </c>
      <c r="E7" s="8" t="str">
        <f t="shared" ref="E7:O7" si="5">E1&amp;"/"&amp;RIGHT(E1,2)+1&amp;" Medium Term Revenue &amp; Expenditure Framework"</f>
        <v>2010/11 Medium Term Revenue &amp; Expenditure Framework</v>
      </c>
      <c r="F7" s="8" t="str">
        <f t="shared" si="5"/>
        <v>2011/12 Medium Term Revenue &amp; Expenditure Framework</v>
      </c>
      <c r="G7" s="8" t="str">
        <f t="shared" si="5"/>
        <v>2012/13 Medium Term Revenue &amp; Expenditure Framework</v>
      </c>
      <c r="H7" s="8" t="str">
        <f t="shared" si="5"/>
        <v>2013/14 Medium Term Revenue &amp; Expenditure Framework</v>
      </c>
      <c r="I7" s="8" t="str">
        <f t="shared" si="5"/>
        <v>2014/15 Medium Term Revenue &amp; Expenditure Framework</v>
      </c>
      <c r="J7" s="8" t="str">
        <f t="shared" si="5"/>
        <v>2015/16 Medium Term Revenue &amp; Expenditure Framework</v>
      </c>
      <c r="K7" s="8" t="str">
        <f t="shared" si="5"/>
        <v>2016/17 Medium Term Revenue &amp; Expenditure Framework</v>
      </c>
      <c r="L7" s="8" t="str">
        <f t="shared" si="5"/>
        <v>2018/19 Medium Term Revenue &amp; Expenditure Framework</v>
      </c>
      <c r="M7" s="8" t="str">
        <f t="shared" si="5"/>
        <v>2019/20 Medium Term Revenue &amp; Expenditure Framework</v>
      </c>
      <c r="N7" s="8" t="str">
        <f t="shared" si="5"/>
        <v>2020/21 Medium Term Revenue &amp; Expenditure Framework</v>
      </c>
      <c r="O7" s="8" t="str">
        <f t="shared" si="5"/>
        <v>2021/22 Medium Term Revenue &amp; Expenditure Framework</v>
      </c>
      <c r="P7" s="2325" t="s">
        <v>3040</v>
      </c>
      <c r="Q7" s="2328" t="s">
        <v>3066</v>
      </c>
      <c r="R7" s="2328" t="s">
        <v>3067</v>
      </c>
      <c r="S7" s="2328" t="s">
        <v>3068</v>
      </c>
      <c r="T7" s="2328" t="s">
        <v>3069</v>
      </c>
      <c r="U7" s="5"/>
      <c r="W7" s="4">
        <v>5</v>
      </c>
      <c r="X7" s="12" t="s">
        <v>136</v>
      </c>
      <c r="AE7" s="2" t="s">
        <v>1659</v>
      </c>
      <c r="AG7" s="1" t="s">
        <v>1663</v>
      </c>
      <c r="AH7" s="1" t="s">
        <v>1674</v>
      </c>
    </row>
    <row r="8" spans="1:35" x14ac:dyDescent="0.2">
      <c r="A8" s="6" t="str">
        <f>'Template names'!C15</f>
        <v>1st year of MTREF</v>
      </c>
      <c r="B8" s="5" t="s">
        <v>1418</v>
      </c>
      <c r="C8" s="5" t="s">
        <v>962</v>
      </c>
      <c r="D8" s="5" t="s">
        <v>970</v>
      </c>
      <c r="E8" s="8" t="str">
        <f t="shared" ref="E8:O8" si="6">"Budget Year "&amp;E1&amp;"/"&amp;RIGHT(E1,2)+1</f>
        <v>Budget Year 2010/11</v>
      </c>
      <c r="F8" s="8" t="str">
        <f t="shared" si="6"/>
        <v>Budget Year 2011/12</v>
      </c>
      <c r="G8" s="8" t="str">
        <f t="shared" si="6"/>
        <v>Budget Year 2012/13</v>
      </c>
      <c r="H8" s="8" t="str">
        <f t="shared" si="6"/>
        <v>Budget Year 2013/14</v>
      </c>
      <c r="I8" s="8" t="str">
        <f t="shared" si="6"/>
        <v>Budget Year 2014/15</v>
      </c>
      <c r="J8" s="8" t="str">
        <f t="shared" si="6"/>
        <v>Budget Year 2015/16</v>
      </c>
      <c r="K8" s="8" t="str">
        <f t="shared" si="6"/>
        <v>Budget Year 2016/17</v>
      </c>
      <c r="L8" s="8" t="str">
        <f t="shared" si="6"/>
        <v>Budget Year 2018/19</v>
      </c>
      <c r="M8" s="8" t="str">
        <f t="shared" si="6"/>
        <v>Budget Year 2019/20</v>
      </c>
      <c r="N8" s="8" t="str">
        <f t="shared" si="6"/>
        <v>Budget Year 2020/21</v>
      </c>
      <c r="O8" s="8" t="str">
        <f t="shared" si="6"/>
        <v>Budget Year 2021/22</v>
      </c>
      <c r="P8" s="2325" t="s">
        <v>3041</v>
      </c>
      <c r="Q8" s="2328" t="s">
        <v>3070</v>
      </c>
      <c r="R8" s="2328" t="s">
        <v>3071</v>
      </c>
      <c r="S8" s="2328" t="s">
        <v>3072</v>
      </c>
      <c r="T8" s="2328" t="s">
        <v>3073</v>
      </c>
      <c r="U8" s="5"/>
      <c r="W8" s="12" t="s">
        <v>943</v>
      </c>
      <c r="AE8" s="2" t="s">
        <v>1660</v>
      </c>
      <c r="AG8" s="1" t="s">
        <v>1664</v>
      </c>
      <c r="AH8" s="1" t="s">
        <v>1675</v>
      </c>
    </row>
    <row r="9" spans="1:35" x14ac:dyDescent="0.2">
      <c r="A9" s="6" t="str">
        <f>'Template names'!C16</f>
        <v>2nd year of MTREF</v>
      </c>
      <c r="B9" s="5" t="s">
        <v>1419</v>
      </c>
      <c r="C9" s="5" t="s">
        <v>963</v>
      </c>
      <c r="D9" s="5" t="s">
        <v>1192</v>
      </c>
      <c r="E9" s="8" t="str">
        <f t="shared" ref="E9:O9" si="7">"Budget Year +1 "&amp;E1+1&amp;"/"&amp;RIGHT(E1,2)+2</f>
        <v>Budget Year +1 2011/12</v>
      </c>
      <c r="F9" s="8" t="str">
        <f t="shared" si="7"/>
        <v>Budget Year +1 2012/13</v>
      </c>
      <c r="G9" s="8" t="str">
        <f t="shared" si="7"/>
        <v>Budget Year +1 2013/14</v>
      </c>
      <c r="H9" s="8" t="str">
        <f t="shared" si="7"/>
        <v>Budget Year +1 2014/15</v>
      </c>
      <c r="I9" s="8" t="str">
        <f t="shared" si="7"/>
        <v>Budget Year +1 2015/16</v>
      </c>
      <c r="J9" s="8" t="str">
        <f t="shared" si="7"/>
        <v>Budget Year +1 2016/17</v>
      </c>
      <c r="K9" s="8" t="str">
        <f t="shared" si="7"/>
        <v>Budget Year +1 2017/18</v>
      </c>
      <c r="L9" s="8" t="str">
        <f t="shared" si="7"/>
        <v>Budget Year +1 2019/20</v>
      </c>
      <c r="M9" s="8" t="str">
        <f t="shared" si="7"/>
        <v>Budget Year +1 2020/21</v>
      </c>
      <c r="N9" s="8" t="str">
        <f t="shared" si="7"/>
        <v>Budget Year +1 2021/22</v>
      </c>
      <c r="O9" s="8" t="str">
        <f t="shared" si="7"/>
        <v>Budget Year +1 2022/23</v>
      </c>
      <c r="P9" s="2325" t="s">
        <v>3042</v>
      </c>
      <c r="Q9" s="2328" t="s">
        <v>3074</v>
      </c>
      <c r="R9" s="2328" t="s">
        <v>3075</v>
      </c>
      <c r="S9" s="2328" t="s">
        <v>3076</v>
      </c>
      <c r="T9" s="2328" t="s">
        <v>3077</v>
      </c>
      <c r="U9" s="5"/>
      <c r="AE9" s="1" t="s">
        <v>1661</v>
      </c>
    </row>
    <row r="10" spans="1:35" x14ac:dyDescent="0.2">
      <c r="A10" s="6" t="str">
        <f>'Template names'!C17</f>
        <v>3rd year of MTREF</v>
      </c>
      <c r="B10" s="5" t="s">
        <v>1420</v>
      </c>
      <c r="C10" s="5" t="s">
        <v>964</v>
      </c>
      <c r="D10" s="5" t="s">
        <v>1193</v>
      </c>
      <c r="E10" s="8" t="str">
        <f t="shared" ref="E10:O10" si="8">"Budget Year +2 "&amp;E1+2&amp;"/"&amp;RIGHT(E1,2)+3</f>
        <v>Budget Year +2 2012/13</v>
      </c>
      <c r="F10" s="8" t="str">
        <f t="shared" si="8"/>
        <v>Budget Year +2 2013/14</v>
      </c>
      <c r="G10" s="8" t="str">
        <f t="shared" si="8"/>
        <v>Budget Year +2 2014/15</v>
      </c>
      <c r="H10" s="8" t="str">
        <f t="shared" si="8"/>
        <v>Budget Year +2 2015/16</v>
      </c>
      <c r="I10" s="8" t="str">
        <f t="shared" si="8"/>
        <v>Budget Year +2 2016/17</v>
      </c>
      <c r="J10" s="8" t="str">
        <f t="shared" si="8"/>
        <v>Budget Year +2 2017/18</v>
      </c>
      <c r="K10" s="8" t="str">
        <f t="shared" si="8"/>
        <v>Budget Year +2 2018/19</v>
      </c>
      <c r="L10" s="8" t="str">
        <f t="shared" si="8"/>
        <v>Budget Year +2 2020/21</v>
      </c>
      <c r="M10" s="8" t="str">
        <f t="shared" si="8"/>
        <v>Budget Year +2 2021/22</v>
      </c>
      <c r="N10" s="8" t="str">
        <f t="shared" si="8"/>
        <v>Budget Year +2 2022/23</v>
      </c>
      <c r="O10" s="8" t="str">
        <f t="shared" si="8"/>
        <v>Budget Year +2 2023/24</v>
      </c>
      <c r="P10" s="2325" t="s">
        <v>3043</v>
      </c>
      <c r="Q10" s="2328" t="s">
        <v>3078</v>
      </c>
      <c r="R10" s="2328" t="s">
        <v>3079</v>
      </c>
      <c r="S10" s="2328" t="s">
        <v>3080</v>
      </c>
      <c r="T10" s="2328" t="s">
        <v>3081</v>
      </c>
      <c r="U10" s="5"/>
      <c r="AE10" s="1" t="s">
        <v>1662</v>
      </c>
    </row>
    <row r="11" spans="1:35" x14ac:dyDescent="0.2">
      <c r="A11" s="6" t="str">
        <f>'Template names'!C18</f>
        <v>1st yr of long term forecast</v>
      </c>
      <c r="B11" s="5" t="s">
        <v>1483</v>
      </c>
      <c r="C11" s="5" t="s">
        <v>1484</v>
      </c>
      <c r="D11" s="5" t="s">
        <v>1485</v>
      </c>
      <c r="E11" s="8" t="str">
        <f t="shared" ref="E11:O11" si="9">"Forecast "&amp;E1+3&amp;"/"&amp;RIGHT(E1,2)+4</f>
        <v>Forecast 2013/14</v>
      </c>
      <c r="F11" s="8" t="str">
        <f t="shared" si="9"/>
        <v>Forecast 2014/15</v>
      </c>
      <c r="G11" s="8" t="str">
        <f t="shared" si="9"/>
        <v>Forecast 2015/16</v>
      </c>
      <c r="H11" s="8" t="str">
        <f t="shared" si="9"/>
        <v>Forecast 2016/17</v>
      </c>
      <c r="I11" s="8" t="str">
        <f t="shared" si="9"/>
        <v>Forecast 2017/18</v>
      </c>
      <c r="J11" s="8" t="str">
        <f t="shared" si="9"/>
        <v>Forecast 2018/19</v>
      </c>
      <c r="K11" s="8" t="str">
        <f t="shared" si="9"/>
        <v>Forecast 2019/20</v>
      </c>
      <c r="L11" s="8" t="str">
        <f t="shared" si="9"/>
        <v>Forecast 2021/22</v>
      </c>
      <c r="M11" s="8" t="str">
        <f t="shared" si="9"/>
        <v>Forecast 2022/23</v>
      </c>
      <c r="N11" s="8" t="str">
        <f t="shared" si="9"/>
        <v>Forecast 2023/24</v>
      </c>
      <c r="O11" s="8" t="str">
        <f t="shared" si="9"/>
        <v>Forecast 2024/25</v>
      </c>
      <c r="P11" s="2325" t="s">
        <v>3044</v>
      </c>
      <c r="Q11" s="2328" t="s">
        <v>3045</v>
      </c>
      <c r="R11" s="2328" t="s">
        <v>3046</v>
      </c>
      <c r="S11" s="2328" t="s">
        <v>3047</v>
      </c>
      <c r="T11" s="2328" t="s">
        <v>3048</v>
      </c>
      <c r="U11" s="5"/>
      <c r="AE11" s="1" t="s">
        <v>1668</v>
      </c>
    </row>
    <row r="12" spans="1:35" x14ac:dyDescent="0.2">
      <c r="A12" s="6" t="str">
        <f>'Template names'!C19</f>
        <v>Next yr of long term forecast</v>
      </c>
      <c r="B12" s="5" t="s">
        <v>1484</v>
      </c>
      <c r="C12" s="5" t="s">
        <v>1485</v>
      </c>
      <c r="D12" s="5" t="s">
        <v>1486</v>
      </c>
      <c r="E12" s="8" t="str">
        <f t="shared" ref="E12:O12" si="10">"Forecast "&amp;E1+4&amp;"/"&amp;RIGHT(E1,2)+5</f>
        <v>Forecast 2014/15</v>
      </c>
      <c r="F12" s="8" t="str">
        <f t="shared" si="10"/>
        <v>Forecast 2015/16</v>
      </c>
      <c r="G12" s="8" t="str">
        <f t="shared" si="10"/>
        <v>Forecast 2016/17</v>
      </c>
      <c r="H12" s="8" t="str">
        <f t="shared" si="10"/>
        <v>Forecast 2017/18</v>
      </c>
      <c r="I12" s="8" t="str">
        <f t="shared" si="10"/>
        <v>Forecast 2018/19</v>
      </c>
      <c r="J12" s="8" t="str">
        <f t="shared" si="10"/>
        <v>Forecast 2019/20</v>
      </c>
      <c r="K12" s="8" t="str">
        <f t="shared" si="10"/>
        <v>Forecast 2020/21</v>
      </c>
      <c r="L12" s="8" t="str">
        <f t="shared" si="10"/>
        <v>Forecast 2022/23</v>
      </c>
      <c r="M12" s="8" t="str">
        <f t="shared" si="10"/>
        <v>Forecast 2023/24</v>
      </c>
      <c r="N12" s="8" t="str">
        <f t="shared" si="10"/>
        <v>Forecast 2024/25</v>
      </c>
      <c r="O12" s="8" t="str">
        <f t="shared" si="10"/>
        <v>Forecast 2025/26</v>
      </c>
      <c r="P12" s="2325" t="s">
        <v>3045</v>
      </c>
      <c r="Q12" s="2328" t="s">
        <v>3046</v>
      </c>
      <c r="R12" s="2328" t="s">
        <v>3047</v>
      </c>
      <c r="S12" s="2328" t="s">
        <v>3048</v>
      </c>
      <c r="T12" s="2328" t="s">
        <v>3049</v>
      </c>
      <c r="U12" s="5"/>
      <c r="AE12" s="1" t="s">
        <v>1669</v>
      </c>
    </row>
    <row r="13" spans="1:35" x14ac:dyDescent="0.2">
      <c r="A13" s="6" t="str">
        <f>'Template names'!C20</f>
        <v>Next yr of long term forecast</v>
      </c>
      <c r="B13" s="5" t="s">
        <v>1485</v>
      </c>
      <c r="C13" s="5" t="s">
        <v>1486</v>
      </c>
      <c r="D13" s="5" t="s">
        <v>786</v>
      </c>
      <c r="E13" s="8" t="str">
        <f t="shared" ref="E13:O13" si="11">"Forecast "&amp;E1+5&amp;"/"&amp;RIGHT(E1,2)+6</f>
        <v>Forecast 2015/16</v>
      </c>
      <c r="F13" s="8" t="str">
        <f t="shared" si="11"/>
        <v>Forecast 2016/17</v>
      </c>
      <c r="G13" s="8" t="str">
        <f t="shared" si="11"/>
        <v>Forecast 2017/18</v>
      </c>
      <c r="H13" s="8" t="str">
        <f t="shared" si="11"/>
        <v>Forecast 2018/19</v>
      </c>
      <c r="I13" s="8" t="str">
        <f t="shared" si="11"/>
        <v>Forecast 2019/20</v>
      </c>
      <c r="J13" s="8" t="str">
        <f t="shared" si="11"/>
        <v>Forecast 2020/21</v>
      </c>
      <c r="K13" s="8" t="str">
        <f t="shared" si="11"/>
        <v>Forecast 2021/22</v>
      </c>
      <c r="L13" s="8" t="str">
        <f t="shared" si="11"/>
        <v>Forecast 2023/24</v>
      </c>
      <c r="M13" s="8" t="str">
        <f t="shared" si="11"/>
        <v>Forecast 2024/25</v>
      </c>
      <c r="N13" s="8" t="str">
        <f t="shared" si="11"/>
        <v>Forecast 2025/26</v>
      </c>
      <c r="O13" s="8" t="str">
        <f t="shared" si="11"/>
        <v>Forecast 2026/27</v>
      </c>
      <c r="P13" s="2325" t="s">
        <v>3046</v>
      </c>
      <c r="Q13" s="2328" t="s">
        <v>3047</v>
      </c>
      <c r="R13" s="2328" t="s">
        <v>3048</v>
      </c>
      <c r="S13" s="2328" t="s">
        <v>3049</v>
      </c>
      <c r="T13" s="2328" t="s">
        <v>3050</v>
      </c>
      <c r="U13" s="5"/>
    </row>
    <row r="14" spans="1:35" x14ac:dyDescent="0.2">
      <c r="A14" s="6" t="str">
        <f>'Template names'!C21</f>
        <v>Next yr of long term forecast</v>
      </c>
      <c r="B14" s="5" t="s">
        <v>1486</v>
      </c>
      <c r="C14" s="5" t="s">
        <v>786</v>
      </c>
      <c r="D14" s="5" t="s">
        <v>787</v>
      </c>
      <c r="E14" s="8" t="str">
        <f t="shared" ref="E14:O14" si="12">"Forecast "&amp;E1+6&amp;"/"&amp;RIGHT(E1,2)+7</f>
        <v>Forecast 2016/17</v>
      </c>
      <c r="F14" s="8" t="str">
        <f t="shared" si="12"/>
        <v>Forecast 2017/18</v>
      </c>
      <c r="G14" s="8" t="str">
        <f t="shared" si="12"/>
        <v>Forecast 2018/19</v>
      </c>
      <c r="H14" s="8" t="str">
        <f t="shared" si="12"/>
        <v>Forecast 2019/20</v>
      </c>
      <c r="I14" s="8" t="str">
        <f t="shared" si="12"/>
        <v>Forecast 2020/21</v>
      </c>
      <c r="J14" s="8" t="str">
        <f t="shared" si="12"/>
        <v>Forecast 2021/22</v>
      </c>
      <c r="K14" s="8" t="str">
        <f t="shared" si="12"/>
        <v>Forecast 2022/23</v>
      </c>
      <c r="L14" s="8" t="str">
        <f t="shared" si="12"/>
        <v>Forecast 2024/25</v>
      </c>
      <c r="M14" s="8" t="str">
        <f t="shared" si="12"/>
        <v>Forecast 2025/26</v>
      </c>
      <c r="N14" s="8" t="str">
        <f t="shared" si="12"/>
        <v>Forecast 2026/27</v>
      </c>
      <c r="O14" s="8" t="str">
        <f t="shared" si="12"/>
        <v>Forecast 2027/28</v>
      </c>
      <c r="P14" s="2325" t="s">
        <v>3047</v>
      </c>
      <c r="Q14" s="2328" t="s">
        <v>3048</v>
      </c>
      <c r="R14" s="2328" t="s">
        <v>3049</v>
      </c>
      <c r="S14" s="2328" t="s">
        <v>3050</v>
      </c>
      <c r="T14" s="2328" t="s">
        <v>3051</v>
      </c>
      <c r="U14" s="5"/>
      <c r="AE14" s="134" t="s">
        <v>1731</v>
      </c>
      <c r="AF14" s="134" t="s">
        <v>2460</v>
      </c>
      <c r="AG14" s="134" t="s">
        <v>1732</v>
      </c>
      <c r="AH14" s="134" t="s">
        <v>2477</v>
      </c>
      <c r="AI14" s="134" t="s">
        <v>2491</v>
      </c>
    </row>
    <row r="15" spans="1:35" x14ac:dyDescent="0.2">
      <c r="A15" s="6" t="str">
        <f>'Template names'!C22</f>
        <v>Next yr of long term forecast</v>
      </c>
      <c r="B15" s="5" t="s">
        <v>786</v>
      </c>
      <c r="C15" s="5" t="s">
        <v>787</v>
      </c>
      <c r="D15" s="5" t="s">
        <v>788</v>
      </c>
      <c r="E15" s="8" t="str">
        <f t="shared" ref="E15:O15" si="13">"Forecast "&amp;E1+7&amp;"/"&amp;RIGHT(E1,2)+8</f>
        <v>Forecast 2017/18</v>
      </c>
      <c r="F15" s="8" t="str">
        <f t="shared" si="13"/>
        <v>Forecast 2018/19</v>
      </c>
      <c r="G15" s="8" t="str">
        <f t="shared" si="13"/>
        <v>Forecast 2019/20</v>
      </c>
      <c r="H15" s="8" t="str">
        <f t="shared" si="13"/>
        <v>Forecast 2020/21</v>
      </c>
      <c r="I15" s="8" t="str">
        <f t="shared" si="13"/>
        <v>Forecast 2021/22</v>
      </c>
      <c r="J15" s="8" t="str">
        <f t="shared" si="13"/>
        <v>Forecast 2022/23</v>
      </c>
      <c r="K15" s="8" t="str">
        <f t="shared" si="13"/>
        <v>Forecast 2023/24</v>
      </c>
      <c r="L15" s="8" t="str">
        <f t="shared" si="13"/>
        <v>Forecast 2025/26</v>
      </c>
      <c r="M15" s="8" t="str">
        <f t="shared" si="13"/>
        <v>Forecast 2026/27</v>
      </c>
      <c r="N15" s="8" t="str">
        <f t="shared" si="13"/>
        <v>Forecast 2027/28</v>
      </c>
      <c r="O15" s="8" t="str">
        <f t="shared" si="13"/>
        <v>Forecast 2028/29</v>
      </c>
      <c r="P15" s="2325" t="s">
        <v>3048</v>
      </c>
      <c r="Q15" s="2328" t="s">
        <v>3049</v>
      </c>
      <c r="R15" s="2328" t="s">
        <v>3050</v>
      </c>
      <c r="S15" s="2328" t="s">
        <v>3051</v>
      </c>
      <c r="T15" s="2328" t="s">
        <v>3052</v>
      </c>
      <c r="U15" s="5"/>
    </row>
    <row r="16" spans="1:35" x14ac:dyDescent="0.2">
      <c r="A16" s="6" t="str">
        <f>'Template names'!C23</f>
        <v>Next yr of long term forecast</v>
      </c>
      <c r="B16" s="5" t="s">
        <v>787</v>
      </c>
      <c r="C16" s="5" t="s">
        <v>788</v>
      </c>
      <c r="D16" s="5" t="s">
        <v>789</v>
      </c>
      <c r="E16" s="8" t="str">
        <f t="shared" ref="E16:O16" si="14">"Forecast "&amp;E1+8&amp;"/"&amp;RIGHT(E1,2)+9</f>
        <v>Forecast 2018/19</v>
      </c>
      <c r="F16" s="8" t="str">
        <f t="shared" si="14"/>
        <v>Forecast 2019/20</v>
      </c>
      <c r="G16" s="8" t="str">
        <f t="shared" si="14"/>
        <v>Forecast 2020/21</v>
      </c>
      <c r="H16" s="8" t="str">
        <f t="shared" si="14"/>
        <v>Forecast 2021/22</v>
      </c>
      <c r="I16" s="8" t="str">
        <f t="shared" si="14"/>
        <v>Forecast 2022/23</v>
      </c>
      <c r="J16" s="8" t="str">
        <f t="shared" si="14"/>
        <v>Forecast 2023/24</v>
      </c>
      <c r="K16" s="8" t="str">
        <f t="shared" si="14"/>
        <v>Forecast 2024/25</v>
      </c>
      <c r="L16" s="8" t="str">
        <f t="shared" si="14"/>
        <v>Forecast 2026/27</v>
      </c>
      <c r="M16" s="8" t="str">
        <f t="shared" si="14"/>
        <v>Forecast 2027/28</v>
      </c>
      <c r="N16" s="8" t="str">
        <f t="shared" si="14"/>
        <v>Forecast 2028/29</v>
      </c>
      <c r="O16" s="8" t="str">
        <f t="shared" si="14"/>
        <v>Forecast 2029/30</v>
      </c>
      <c r="P16" s="2325" t="s">
        <v>3049</v>
      </c>
      <c r="Q16" s="2328" t="s">
        <v>3050</v>
      </c>
      <c r="R16" s="2328" t="s">
        <v>3051</v>
      </c>
      <c r="S16" s="2328" t="s">
        <v>3052</v>
      </c>
      <c r="T16" s="2328" t="s">
        <v>3053</v>
      </c>
      <c r="U16" s="5"/>
      <c r="AE16" s="2" t="s">
        <v>2230</v>
      </c>
      <c r="AF16" s="2" t="s">
        <v>463</v>
      </c>
      <c r="AG16" s="2" t="s">
        <v>629</v>
      </c>
      <c r="AH16" s="2" t="s">
        <v>2487</v>
      </c>
      <c r="AI16" s="2" t="s">
        <v>2492</v>
      </c>
    </row>
    <row r="17" spans="1:35" x14ac:dyDescent="0.2">
      <c r="A17" s="6" t="str">
        <f>'Template names'!C24</f>
        <v>Next yr of long term forecast</v>
      </c>
      <c r="B17" s="5" t="s">
        <v>788</v>
      </c>
      <c r="C17" s="5" t="s">
        <v>789</v>
      </c>
      <c r="D17" s="5" t="s">
        <v>1351</v>
      </c>
      <c r="E17" s="8" t="str">
        <f t="shared" ref="E17:O17" si="15">"Forecast "&amp;E1+9&amp;"/"&amp;RIGHT(E1,2)+10</f>
        <v>Forecast 2019/20</v>
      </c>
      <c r="F17" s="8" t="str">
        <f t="shared" si="15"/>
        <v>Forecast 2020/21</v>
      </c>
      <c r="G17" s="8" t="str">
        <f t="shared" si="15"/>
        <v>Forecast 2021/22</v>
      </c>
      <c r="H17" s="8" t="str">
        <f t="shared" si="15"/>
        <v>Forecast 2022/23</v>
      </c>
      <c r="I17" s="8" t="str">
        <f t="shared" si="15"/>
        <v>Forecast 2023/24</v>
      </c>
      <c r="J17" s="8" t="str">
        <f t="shared" si="15"/>
        <v>Forecast 2024/25</v>
      </c>
      <c r="K17" s="8" t="str">
        <f t="shared" si="15"/>
        <v>Forecast 2025/26</v>
      </c>
      <c r="L17" s="8" t="str">
        <f t="shared" si="15"/>
        <v>Forecast 2027/28</v>
      </c>
      <c r="M17" s="8" t="str">
        <f t="shared" si="15"/>
        <v>Forecast 2028/29</v>
      </c>
      <c r="N17" s="8" t="str">
        <f t="shared" si="15"/>
        <v>Forecast 2029/30</v>
      </c>
      <c r="O17" s="8" t="str">
        <f t="shared" si="15"/>
        <v>Forecast 2030/31</v>
      </c>
      <c r="P17" s="2325" t="s">
        <v>3050</v>
      </c>
      <c r="Q17" s="2328" t="s">
        <v>3051</v>
      </c>
      <c r="R17" s="2328" t="s">
        <v>3052</v>
      </c>
      <c r="S17" s="2328" t="s">
        <v>3053</v>
      </c>
      <c r="T17" s="2328" t="s">
        <v>3054</v>
      </c>
      <c r="U17" s="5"/>
      <c r="AE17" s="2" t="s">
        <v>2234</v>
      </c>
      <c r="AF17" s="2" t="s">
        <v>464</v>
      </c>
      <c r="AG17" s="2" t="s">
        <v>2231</v>
      </c>
      <c r="AH17" s="2" t="s">
        <v>2488</v>
      </c>
      <c r="AI17" s="2" t="s">
        <v>2493</v>
      </c>
    </row>
    <row r="18" spans="1:35" x14ac:dyDescent="0.2">
      <c r="A18" s="6" t="str">
        <f>'Template names'!C25</f>
        <v>Next yr of long term forecast</v>
      </c>
      <c r="B18" s="5" t="s">
        <v>789</v>
      </c>
      <c r="C18" s="5" t="s">
        <v>1351</v>
      </c>
      <c r="D18" s="5" t="s">
        <v>1350</v>
      </c>
      <c r="E18" s="8" t="str">
        <f t="shared" ref="E18:O18" si="16">"Forecast "&amp;E1+10&amp;"/"&amp;RIGHT(E1,2)+11</f>
        <v>Forecast 2020/21</v>
      </c>
      <c r="F18" s="8" t="str">
        <f t="shared" si="16"/>
        <v>Forecast 2021/22</v>
      </c>
      <c r="G18" s="8" t="str">
        <f t="shared" si="16"/>
        <v>Forecast 2022/23</v>
      </c>
      <c r="H18" s="8" t="str">
        <f t="shared" si="16"/>
        <v>Forecast 2023/24</v>
      </c>
      <c r="I18" s="8" t="str">
        <f t="shared" si="16"/>
        <v>Forecast 2024/25</v>
      </c>
      <c r="J18" s="8" t="str">
        <f t="shared" si="16"/>
        <v>Forecast 2025/26</v>
      </c>
      <c r="K18" s="8" t="str">
        <f t="shared" si="16"/>
        <v>Forecast 2026/27</v>
      </c>
      <c r="L18" s="8" t="str">
        <f t="shared" si="16"/>
        <v>Forecast 2028/29</v>
      </c>
      <c r="M18" s="8" t="str">
        <f t="shared" si="16"/>
        <v>Forecast 2029/30</v>
      </c>
      <c r="N18" s="8" t="str">
        <f t="shared" si="16"/>
        <v>Forecast 2030/31</v>
      </c>
      <c r="O18" s="8" t="str">
        <f t="shared" si="16"/>
        <v>Forecast 2031/32</v>
      </c>
      <c r="P18" s="2325" t="s">
        <v>3051</v>
      </c>
      <c r="Q18" s="2328" t="s">
        <v>3052</v>
      </c>
      <c r="R18" s="2328" t="s">
        <v>3053</v>
      </c>
      <c r="S18" s="2328" t="s">
        <v>3054</v>
      </c>
      <c r="T18" s="2328" t="s">
        <v>3055</v>
      </c>
      <c r="U18" s="5"/>
      <c r="AE18" s="2" t="s">
        <v>2279</v>
      </c>
      <c r="AF18" s="2" t="s">
        <v>21</v>
      </c>
      <c r="AG18" s="2" t="s">
        <v>2232</v>
      </c>
      <c r="AH18" s="2" t="s">
        <v>2489</v>
      </c>
      <c r="AI18" s="2" t="s">
        <v>2494</v>
      </c>
    </row>
    <row r="19" spans="1:35" x14ac:dyDescent="0.2">
      <c r="A19" s="6" t="str">
        <f>'Template names'!C26</f>
        <v>Next yr of long term forecast</v>
      </c>
      <c r="B19" s="5" t="s">
        <v>1351</v>
      </c>
      <c r="C19" s="5" t="s">
        <v>1350</v>
      </c>
      <c r="D19" s="5" t="s">
        <v>790</v>
      </c>
      <c r="E19" s="8" t="str">
        <f t="shared" ref="E19:O19" si="17">"Forecast "&amp;E1+11&amp;"/"&amp;RIGHT(E1,2)+12</f>
        <v>Forecast 2021/22</v>
      </c>
      <c r="F19" s="8" t="str">
        <f t="shared" si="17"/>
        <v>Forecast 2022/23</v>
      </c>
      <c r="G19" s="8" t="str">
        <f t="shared" si="17"/>
        <v>Forecast 2023/24</v>
      </c>
      <c r="H19" s="8" t="str">
        <f t="shared" si="17"/>
        <v>Forecast 2024/25</v>
      </c>
      <c r="I19" s="8" t="str">
        <f t="shared" si="17"/>
        <v>Forecast 2025/26</v>
      </c>
      <c r="J19" s="8" t="str">
        <f t="shared" si="17"/>
        <v>Forecast 2026/27</v>
      </c>
      <c r="K19" s="8" t="str">
        <f t="shared" si="17"/>
        <v>Forecast 2027/28</v>
      </c>
      <c r="L19" s="8" t="str">
        <f t="shared" si="17"/>
        <v>Forecast 2029/30</v>
      </c>
      <c r="M19" s="8" t="str">
        <f t="shared" si="17"/>
        <v>Forecast 2030/31</v>
      </c>
      <c r="N19" s="8" t="str">
        <f t="shared" si="17"/>
        <v>Forecast 2031/32</v>
      </c>
      <c r="O19" s="8" t="str">
        <f t="shared" si="17"/>
        <v>Forecast 2032/33</v>
      </c>
      <c r="P19" s="2325" t="s">
        <v>3052</v>
      </c>
      <c r="Q19" s="2328" t="s">
        <v>3053</v>
      </c>
      <c r="R19" s="2328" t="s">
        <v>3054</v>
      </c>
      <c r="S19" s="2328" t="s">
        <v>3055</v>
      </c>
      <c r="T19" s="2328" t="s">
        <v>3082</v>
      </c>
      <c r="U19" s="5"/>
      <c r="AE19" s="2" t="s">
        <v>2280</v>
      </c>
      <c r="AF19" s="2" t="s">
        <v>22</v>
      </c>
      <c r="AG19" s="2" t="s">
        <v>2233</v>
      </c>
      <c r="AH19" s="2" t="s">
        <v>2490</v>
      </c>
      <c r="AI19" s="2" t="s">
        <v>2495</v>
      </c>
    </row>
    <row r="20" spans="1:35" x14ac:dyDescent="0.2">
      <c r="A20" s="6" t="str">
        <f>'Template names'!C27</f>
        <v>Next yr of long term forecast</v>
      </c>
      <c r="B20" s="5" t="s">
        <v>1350</v>
      </c>
      <c r="C20" s="5" t="s">
        <v>790</v>
      </c>
      <c r="D20" s="5" t="s">
        <v>1417</v>
      </c>
      <c r="E20" s="8" t="str">
        <f t="shared" ref="E20:O20" si="18">"Forecast "&amp;E1+12&amp;"/"&amp;RIGHT(E1,2)+13</f>
        <v>Forecast 2022/23</v>
      </c>
      <c r="F20" s="8" t="str">
        <f t="shared" si="18"/>
        <v>Forecast 2023/24</v>
      </c>
      <c r="G20" s="8" t="str">
        <f t="shared" si="18"/>
        <v>Forecast 2024/25</v>
      </c>
      <c r="H20" s="8" t="str">
        <f t="shared" si="18"/>
        <v>Forecast 2025/26</v>
      </c>
      <c r="I20" s="8" t="str">
        <f t="shared" si="18"/>
        <v>Forecast 2026/27</v>
      </c>
      <c r="J20" s="8" t="str">
        <f t="shared" si="18"/>
        <v>Forecast 2027/28</v>
      </c>
      <c r="K20" s="8" t="str">
        <f t="shared" si="18"/>
        <v>Forecast 2028/29</v>
      </c>
      <c r="L20" s="8" t="str">
        <f t="shared" si="18"/>
        <v>Forecast 2030/31</v>
      </c>
      <c r="M20" s="8" t="str">
        <f t="shared" si="18"/>
        <v>Forecast 2031/32</v>
      </c>
      <c r="N20" s="8" t="str">
        <f t="shared" si="18"/>
        <v>Forecast 2032/33</v>
      </c>
      <c r="O20" s="8" t="str">
        <f t="shared" si="18"/>
        <v>Forecast 2033/34</v>
      </c>
      <c r="P20" s="2325" t="s">
        <v>3053</v>
      </c>
      <c r="Q20" s="2328" t="s">
        <v>3054</v>
      </c>
      <c r="R20" s="2328" t="s">
        <v>3055</v>
      </c>
      <c r="S20" s="2328" t="s">
        <v>3082</v>
      </c>
      <c r="T20" s="2328" t="s">
        <v>3083</v>
      </c>
      <c r="U20" s="5"/>
      <c r="AE20" s="2" t="s">
        <v>2281</v>
      </c>
      <c r="AF20" s="2" t="s">
        <v>115</v>
      </c>
      <c r="AG20" s="2" t="s">
        <v>2235</v>
      </c>
      <c r="AI20" s="2" t="s">
        <v>2496</v>
      </c>
    </row>
    <row r="21" spans="1:35" x14ac:dyDescent="0.2">
      <c r="A21" s="6" t="str">
        <f>'Template names'!C28</f>
        <v>Next yr of long term forecast</v>
      </c>
      <c r="B21" s="5" t="s">
        <v>790</v>
      </c>
      <c r="C21" s="5" t="s">
        <v>1417</v>
      </c>
      <c r="D21" s="5" t="s">
        <v>965</v>
      </c>
      <c r="E21" s="8" t="str">
        <f t="shared" ref="E21:O21" si="19">"Forecast "&amp;E1+13&amp;"/"&amp;RIGHT(E1,2)+14</f>
        <v>Forecast 2023/24</v>
      </c>
      <c r="F21" s="8" t="str">
        <f t="shared" si="19"/>
        <v>Forecast 2024/25</v>
      </c>
      <c r="G21" s="8" t="str">
        <f t="shared" si="19"/>
        <v>Forecast 2025/26</v>
      </c>
      <c r="H21" s="8" t="str">
        <f t="shared" si="19"/>
        <v>Forecast 2026/27</v>
      </c>
      <c r="I21" s="8" t="str">
        <f t="shared" si="19"/>
        <v>Forecast 2027/28</v>
      </c>
      <c r="J21" s="8" t="str">
        <f t="shared" si="19"/>
        <v>Forecast 2028/29</v>
      </c>
      <c r="K21" s="8" t="str">
        <f t="shared" si="19"/>
        <v>Forecast 2029/30</v>
      </c>
      <c r="L21" s="8" t="str">
        <f t="shared" si="19"/>
        <v>Forecast 2031/32</v>
      </c>
      <c r="M21" s="8" t="str">
        <f t="shared" si="19"/>
        <v>Forecast 2032/33</v>
      </c>
      <c r="N21" s="8" t="str">
        <f t="shared" si="19"/>
        <v>Forecast 2033/34</v>
      </c>
      <c r="O21" s="8" t="str">
        <f t="shared" si="19"/>
        <v>Forecast 2034/35</v>
      </c>
      <c r="P21" s="2325" t="s">
        <v>3054</v>
      </c>
      <c r="Q21" s="2328" t="s">
        <v>3055</v>
      </c>
      <c r="R21" s="2328" t="s">
        <v>3082</v>
      </c>
      <c r="S21" s="2328" t="s">
        <v>3083</v>
      </c>
      <c r="T21" s="2328" t="s">
        <v>3084</v>
      </c>
      <c r="U21" s="5"/>
      <c r="AE21" s="2" t="s">
        <v>2259</v>
      </c>
      <c r="AF21" s="2" t="s">
        <v>23</v>
      </c>
      <c r="AG21" s="2" t="s">
        <v>2236</v>
      </c>
      <c r="AI21" s="2" t="s">
        <v>2497</v>
      </c>
    </row>
    <row r="22" spans="1:35" x14ac:dyDescent="0.2">
      <c r="A22" s="6" t="str">
        <f>'Template names'!C29</f>
        <v>Next yr of long term forecast</v>
      </c>
      <c r="B22" s="5" t="s">
        <v>1417</v>
      </c>
      <c r="C22" s="5" t="s">
        <v>965</v>
      </c>
      <c r="D22" s="5" t="s">
        <v>1194</v>
      </c>
      <c r="E22" s="8" t="str">
        <f t="shared" ref="E22:O22" si="20">"Forecast "&amp;E1+14&amp;"/"&amp;RIGHT(E1,2)+15</f>
        <v>Forecast 2024/25</v>
      </c>
      <c r="F22" s="8" t="str">
        <f t="shared" si="20"/>
        <v>Forecast 2025/26</v>
      </c>
      <c r="G22" s="8" t="str">
        <f t="shared" si="20"/>
        <v>Forecast 2026/27</v>
      </c>
      <c r="H22" s="8" t="str">
        <f t="shared" si="20"/>
        <v>Forecast 2027/28</v>
      </c>
      <c r="I22" s="8" t="str">
        <f t="shared" si="20"/>
        <v>Forecast 2028/29</v>
      </c>
      <c r="J22" s="8" t="str">
        <f t="shared" si="20"/>
        <v>Forecast 2029/30</v>
      </c>
      <c r="K22" s="8" t="str">
        <f t="shared" si="20"/>
        <v>Forecast 2030/31</v>
      </c>
      <c r="L22" s="8" t="str">
        <f t="shared" si="20"/>
        <v>Forecast 2032/33</v>
      </c>
      <c r="M22" s="8" t="str">
        <f t="shared" si="20"/>
        <v>Forecast 2033/34</v>
      </c>
      <c r="N22" s="8" t="str">
        <f t="shared" si="20"/>
        <v>Forecast 2034/35</v>
      </c>
      <c r="O22" s="8" t="str">
        <f t="shared" si="20"/>
        <v>Forecast 2035/36</v>
      </c>
      <c r="P22" s="2325" t="s">
        <v>3055</v>
      </c>
      <c r="Q22" s="2328" t="s">
        <v>3082</v>
      </c>
      <c r="R22" s="2328" t="s">
        <v>3083</v>
      </c>
      <c r="S22" s="2328" t="s">
        <v>3084</v>
      </c>
      <c r="T22" s="2328" t="s">
        <v>3085</v>
      </c>
      <c r="U22" s="5"/>
      <c r="AE22" s="2" t="s">
        <v>2275</v>
      </c>
      <c r="AF22" s="2" t="s">
        <v>24</v>
      </c>
      <c r="AG22" s="2" t="s">
        <v>2237</v>
      </c>
      <c r="AI22" s="2" t="s">
        <v>2498</v>
      </c>
    </row>
    <row r="23" spans="1:35" x14ac:dyDescent="0.2">
      <c r="A23" s="6" t="s">
        <v>1197</v>
      </c>
      <c r="B23" s="5" t="s">
        <v>1500</v>
      </c>
      <c r="C23" s="5" t="s">
        <v>966</v>
      </c>
      <c r="D23" s="5" t="s">
        <v>1195</v>
      </c>
      <c r="E23" s="8" t="str">
        <f t="shared" ref="E23:O23" si="21">"Annual target " &amp; E1&amp;"/"&amp;RIGHT(E1,2)+1</f>
        <v>Annual target 2010/11</v>
      </c>
      <c r="F23" s="8" t="str">
        <f t="shared" si="21"/>
        <v>Annual target 2011/12</v>
      </c>
      <c r="G23" s="8" t="str">
        <f t="shared" si="21"/>
        <v>Annual target 2012/13</v>
      </c>
      <c r="H23" s="8" t="str">
        <f t="shared" si="21"/>
        <v>Annual target 2013/14</v>
      </c>
      <c r="I23" s="8" t="str">
        <f t="shared" si="21"/>
        <v>Annual target 2014/15</v>
      </c>
      <c r="J23" s="8" t="str">
        <f t="shared" si="21"/>
        <v>Annual target 2015/16</v>
      </c>
      <c r="K23" s="8" t="str">
        <f t="shared" si="21"/>
        <v>Annual target 2016/17</v>
      </c>
      <c r="L23" s="8" t="str">
        <f t="shared" si="21"/>
        <v>Annual target 2018/19</v>
      </c>
      <c r="M23" s="8" t="str">
        <f t="shared" si="21"/>
        <v>Annual target 2019/20</v>
      </c>
      <c r="N23" s="8" t="str">
        <f t="shared" si="21"/>
        <v>Annual target 2020/21</v>
      </c>
      <c r="O23" s="8" t="str">
        <f t="shared" si="21"/>
        <v>Annual target 2021/22</v>
      </c>
      <c r="P23" s="2325" t="s">
        <v>3056</v>
      </c>
      <c r="Q23" s="2328" t="s">
        <v>3086</v>
      </c>
      <c r="R23" s="2328" t="s">
        <v>3087</v>
      </c>
      <c r="S23" s="2328" t="s">
        <v>3088</v>
      </c>
      <c r="T23" s="2328" t="s">
        <v>3089</v>
      </c>
      <c r="U23" s="5"/>
      <c r="AE23" s="2" t="s">
        <v>2270</v>
      </c>
      <c r="AF23" s="2" t="s">
        <v>25</v>
      </c>
      <c r="AG23" s="2" t="s">
        <v>2238</v>
      </c>
      <c r="AI23" s="2" t="s">
        <v>2499</v>
      </c>
    </row>
    <row r="24" spans="1:35" x14ac:dyDescent="0.2">
      <c r="A24" s="7" t="str">
        <f>A23</f>
        <v>Adjustments Budget</v>
      </c>
      <c r="B24" s="10" t="s">
        <v>1501</v>
      </c>
      <c r="C24" s="10" t="s">
        <v>967</v>
      </c>
      <c r="D24" s="10" t="s">
        <v>1196</v>
      </c>
      <c r="E24" s="9" t="str">
        <f t="shared" ref="E24:O24" si="22">"Revised target "&amp; E1&amp;"/"&amp;RIGHT(E1,2)+1</f>
        <v>Revised target 2010/11</v>
      </c>
      <c r="F24" s="9" t="str">
        <f t="shared" si="22"/>
        <v>Revised target 2011/12</v>
      </c>
      <c r="G24" s="9" t="str">
        <f t="shared" si="22"/>
        <v>Revised target 2012/13</v>
      </c>
      <c r="H24" s="9" t="str">
        <f t="shared" si="22"/>
        <v>Revised target 2013/14</v>
      </c>
      <c r="I24" s="9" t="str">
        <f t="shared" si="22"/>
        <v>Revised target 2014/15</v>
      </c>
      <c r="J24" s="9" t="str">
        <f t="shared" si="22"/>
        <v>Revised target 2015/16</v>
      </c>
      <c r="K24" s="9" t="str">
        <f t="shared" si="22"/>
        <v>Revised target 2016/17</v>
      </c>
      <c r="L24" s="9" t="str">
        <f t="shared" si="22"/>
        <v>Revised target 2018/19</v>
      </c>
      <c r="M24" s="9" t="str">
        <f t="shared" si="22"/>
        <v>Revised target 2019/20</v>
      </c>
      <c r="N24" s="9" t="str">
        <f t="shared" si="22"/>
        <v>Revised target 2020/21</v>
      </c>
      <c r="O24" s="9" t="str">
        <f t="shared" si="22"/>
        <v>Revised target 2021/22</v>
      </c>
      <c r="P24" s="2326" t="s">
        <v>3057</v>
      </c>
      <c r="Q24" s="2329" t="s">
        <v>3090</v>
      </c>
      <c r="R24" s="2329" t="s">
        <v>3091</v>
      </c>
      <c r="S24" s="2329" t="s">
        <v>3092</v>
      </c>
      <c r="T24" s="2329" t="s">
        <v>3093</v>
      </c>
      <c r="U24" s="5"/>
      <c r="AE24" s="2" t="s">
        <v>2266</v>
      </c>
      <c r="AF24" s="2" t="s">
        <v>26</v>
      </c>
      <c r="AG24" s="2" t="s">
        <v>2239</v>
      </c>
      <c r="AI24" s="2" t="s">
        <v>2500</v>
      </c>
    </row>
    <row r="25" spans="1:35" ht="18" x14ac:dyDescent="0.25">
      <c r="A25" s="68" t="s">
        <v>468</v>
      </c>
      <c r="P25" s="2324"/>
      <c r="Q25" s="2327"/>
      <c r="R25" s="2327"/>
      <c r="S25" s="2327"/>
      <c r="T25" s="2327"/>
      <c r="AE25" s="2" t="s">
        <v>2283</v>
      </c>
      <c r="AF25" s="2" t="s">
        <v>941</v>
      </c>
      <c r="AG25" s="2" t="s">
        <v>2240</v>
      </c>
      <c r="AI25" s="2" t="s">
        <v>2501</v>
      </c>
    </row>
    <row r="26" spans="1:35" ht="12.75" x14ac:dyDescent="0.2">
      <c r="P26" s="2324"/>
      <c r="Q26" s="2327"/>
      <c r="R26" s="2327"/>
      <c r="S26" s="2327"/>
      <c r="T26" s="2327"/>
      <c r="AE26" s="2" t="s">
        <v>2301</v>
      </c>
      <c r="AF26" s="2" t="s">
        <v>271</v>
      </c>
      <c r="AG26" s="2" t="s">
        <v>2241</v>
      </c>
      <c r="AI26" s="2" t="s">
        <v>2502</v>
      </c>
    </row>
    <row r="27" spans="1:35" ht="12.75" x14ac:dyDescent="0.2">
      <c r="A27" s="364" t="s">
        <v>76</v>
      </c>
      <c r="B27" s="364">
        <v>86</v>
      </c>
      <c r="C27" s="364"/>
      <c r="D27" s="364"/>
      <c r="P27" s="2324"/>
      <c r="Q27" s="2327"/>
      <c r="R27" s="2327"/>
      <c r="S27" s="2327"/>
      <c r="T27" s="2327"/>
      <c r="AE27" s="2" t="s">
        <v>828</v>
      </c>
      <c r="AF27" s="2" t="s">
        <v>116</v>
      </c>
      <c r="AG27" s="2" t="s">
        <v>2242</v>
      </c>
      <c r="AI27" s="2" t="s">
        <v>2503</v>
      </c>
    </row>
    <row r="28" spans="1:35" ht="12.75" x14ac:dyDescent="0.2">
      <c r="A28" s="364" t="s">
        <v>75</v>
      </c>
      <c r="B28" s="364" t="str">
        <f>INDEX(B29:B307,B27,1)</f>
        <v>KZN226 Mkhambathini</v>
      </c>
      <c r="C28" s="364"/>
      <c r="D28" s="364"/>
      <c r="P28" s="2324"/>
      <c r="Q28" s="2327"/>
      <c r="R28" s="2327"/>
      <c r="S28" s="2327"/>
      <c r="T28" s="2327"/>
      <c r="AE28" s="2" t="s">
        <v>2338</v>
      </c>
      <c r="AF28" s="2" t="s">
        <v>2</v>
      </c>
      <c r="AG28" s="2" t="s">
        <v>2243</v>
      </c>
      <c r="AI28" s="2" t="s">
        <v>2504</v>
      </c>
    </row>
    <row r="29" spans="1:35" ht="12.75" x14ac:dyDescent="0.2">
      <c r="A29" s="364"/>
      <c r="B29" s="364" t="s">
        <v>74</v>
      </c>
      <c r="C29" s="364" t="s">
        <v>632</v>
      </c>
      <c r="D29" s="364"/>
      <c r="P29" s="2324"/>
      <c r="Q29" s="2327"/>
      <c r="R29" s="2327"/>
      <c r="S29" s="2327"/>
      <c r="T29" s="2327"/>
      <c r="AE29" s="2" t="s">
        <v>2341</v>
      </c>
      <c r="AF29" s="2" t="s">
        <v>1387</v>
      </c>
      <c r="AG29" s="2" t="s">
        <v>2244</v>
      </c>
      <c r="AI29" s="2" t="s">
        <v>2505</v>
      </c>
    </row>
    <row r="30" spans="1:35" ht="12.75" x14ac:dyDescent="0.2">
      <c r="A30" s="364"/>
      <c r="B30" s="373" t="s">
        <v>1976</v>
      </c>
      <c r="C30" s="631" t="s">
        <v>97</v>
      </c>
      <c r="D30" s="364"/>
      <c r="P30" s="2324"/>
      <c r="Q30" s="2327"/>
      <c r="R30" s="2327"/>
      <c r="S30" s="2327"/>
      <c r="T30" s="2327"/>
      <c r="AE30" s="2" t="s">
        <v>2309</v>
      </c>
      <c r="AF30" s="2" t="s">
        <v>433</v>
      </c>
      <c r="AG30" s="2" t="s">
        <v>2245</v>
      </c>
    </row>
    <row r="31" spans="1:35" ht="12.75" x14ac:dyDescent="0.2">
      <c r="A31" s="364"/>
      <c r="B31" s="373" t="s">
        <v>1977</v>
      </c>
      <c r="C31" s="632" t="s">
        <v>97</v>
      </c>
      <c r="D31" s="364"/>
      <c r="P31" s="2324"/>
      <c r="Q31" s="2327"/>
      <c r="R31" s="2327"/>
      <c r="S31" s="2327"/>
      <c r="T31" s="2327"/>
      <c r="AE31" s="2" t="s">
        <v>1487</v>
      </c>
      <c r="AF31" s="2" t="s">
        <v>1</v>
      </c>
      <c r="AG31" s="2" t="s">
        <v>2233</v>
      </c>
    </row>
    <row r="32" spans="1:35" ht="12.75" x14ac:dyDescent="0.2">
      <c r="A32" s="364"/>
      <c r="B32" s="373" t="s">
        <v>2514</v>
      </c>
      <c r="C32" s="631" t="s">
        <v>97</v>
      </c>
      <c r="D32" s="364"/>
      <c r="P32" s="2324"/>
      <c r="Q32" s="2327"/>
      <c r="R32" s="2327"/>
      <c r="S32" s="2327"/>
      <c r="T32" s="2327"/>
      <c r="AE32" s="2" t="s">
        <v>2322</v>
      </c>
      <c r="AF32" s="2" t="s">
        <v>288</v>
      </c>
      <c r="AG32" s="2" t="s">
        <v>2246</v>
      </c>
    </row>
    <row r="33" spans="1:33" ht="12.75" x14ac:dyDescent="0.2">
      <c r="A33" s="364"/>
      <c r="B33" s="373" t="s">
        <v>1038</v>
      </c>
      <c r="C33" s="631" t="s">
        <v>97</v>
      </c>
      <c r="D33" s="364"/>
      <c r="P33" s="2324"/>
      <c r="Q33" s="2327"/>
      <c r="R33" s="2327"/>
      <c r="S33" s="2327"/>
      <c r="T33" s="2327"/>
      <c r="AE33" s="2" t="s">
        <v>2323</v>
      </c>
      <c r="AF33" s="2" t="s">
        <v>0</v>
      </c>
      <c r="AG33" s="2" t="s">
        <v>2247</v>
      </c>
    </row>
    <row r="34" spans="1:33" ht="12.75" x14ac:dyDescent="0.2">
      <c r="A34" s="364"/>
      <c r="B34" s="373" t="s">
        <v>1039</v>
      </c>
      <c r="C34" s="631" t="s">
        <v>97</v>
      </c>
      <c r="D34" s="364"/>
      <c r="P34" s="2324"/>
      <c r="Q34" s="2327"/>
      <c r="R34" s="2327"/>
      <c r="S34" s="2327"/>
      <c r="T34" s="2327"/>
      <c r="AE34" s="2" t="s">
        <v>2324</v>
      </c>
      <c r="AF34" s="2" t="s">
        <v>1388</v>
      </c>
      <c r="AG34" s="2" t="s">
        <v>2248</v>
      </c>
    </row>
    <row r="35" spans="1:33" ht="12.75" x14ac:dyDescent="0.2">
      <c r="A35" s="364"/>
      <c r="B35" s="373" t="s">
        <v>1040</v>
      </c>
      <c r="C35" s="631" t="s">
        <v>97</v>
      </c>
      <c r="D35" s="364"/>
      <c r="P35" s="2324"/>
      <c r="Q35" s="2327"/>
      <c r="R35" s="2327"/>
      <c r="S35" s="2327"/>
      <c r="T35" s="2327"/>
      <c r="AE35" s="2" t="s">
        <v>2332</v>
      </c>
      <c r="AF35" s="2" t="s">
        <v>825</v>
      </c>
      <c r="AG35" s="2" t="s">
        <v>2249</v>
      </c>
    </row>
    <row r="36" spans="1:33" ht="12.75" x14ac:dyDescent="0.2">
      <c r="A36" s="364"/>
      <c r="B36" s="373" t="s">
        <v>1041</v>
      </c>
      <c r="C36" s="631" t="s">
        <v>97</v>
      </c>
      <c r="D36" s="364"/>
      <c r="P36" s="2324"/>
      <c r="Q36" s="2327"/>
      <c r="R36" s="2327"/>
      <c r="S36" s="2327"/>
      <c r="T36" s="2327"/>
      <c r="AE36" s="2" t="s">
        <v>2333</v>
      </c>
      <c r="AF36" s="2" t="s">
        <v>1332</v>
      </c>
      <c r="AG36" s="2" t="s">
        <v>2250</v>
      </c>
    </row>
    <row r="37" spans="1:33" ht="12.75" x14ac:dyDescent="0.2">
      <c r="A37" s="364"/>
      <c r="B37" s="373" t="s">
        <v>1042</v>
      </c>
      <c r="C37" s="632" t="s">
        <v>97</v>
      </c>
      <c r="D37" s="364"/>
      <c r="P37" s="2324"/>
      <c r="Q37" s="2327"/>
      <c r="R37" s="2327"/>
      <c r="S37" s="2327"/>
      <c r="T37" s="2327"/>
      <c r="AE37" s="2" t="s">
        <v>2334</v>
      </c>
      <c r="AF37" s="2" t="s">
        <v>1116</v>
      </c>
      <c r="AG37" s="2" t="s">
        <v>2251</v>
      </c>
    </row>
    <row r="38" spans="1:33" ht="12.75" x14ac:dyDescent="0.2">
      <c r="A38" s="364"/>
      <c r="B38" s="373" t="s">
        <v>1647</v>
      </c>
      <c r="C38" s="631" t="s">
        <v>97</v>
      </c>
      <c r="D38" s="364"/>
      <c r="P38" s="2324"/>
      <c r="Q38" s="2327"/>
      <c r="R38" s="2327"/>
      <c r="S38" s="2327"/>
      <c r="T38" s="2327"/>
      <c r="AE38" s="2" t="s">
        <v>2335</v>
      </c>
      <c r="AF38" s="2" t="s">
        <v>619</v>
      </c>
      <c r="AG38" s="2" t="s">
        <v>2252</v>
      </c>
    </row>
    <row r="39" spans="1:33" ht="12.75" x14ac:dyDescent="0.2">
      <c r="A39" s="364"/>
      <c r="B39" s="373" t="s">
        <v>2016</v>
      </c>
      <c r="C39" s="377" t="s">
        <v>97</v>
      </c>
      <c r="D39" s="364"/>
      <c r="P39" s="2324"/>
      <c r="Q39" s="2327"/>
      <c r="R39" s="2327"/>
      <c r="S39" s="2327"/>
      <c r="T39" s="2327"/>
      <c r="AE39" s="2" t="s">
        <v>2470</v>
      </c>
      <c r="AF39" s="2" t="s">
        <v>431</v>
      </c>
      <c r="AG39" s="2" t="s">
        <v>2253</v>
      </c>
    </row>
    <row r="40" spans="1:33" ht="12.75" x14ac:dyDescent="0.2">
      <c r="A40" s="364"/>
      <c r="B40" s="373" t="s">
        <v>1043</v>
      </c>
      <c r="C40" s="377" t="s">
        <v>97</v>
      </c>
      <c r="D40" s="364"/>
      <c r="P40" s="2324"/>
      <c r="Q40" s="2327"/>
      <c r="R40" s="2327"/>
      <c r="S40" s="2327"/>
      <c r="T40" s="2327"/>
      <c r="AE40" s="2" t="s">
        <v>2336</v>
      </c>
      <c r="AF40" s="2" t="s">
        <v>27</v>
      </c>
      <c r="AG40" s="2" t="s">
        <v>2254</v>
      </c>
    </row>
    <row r="41" spans="1:33" ht="12.75" x14ac:dyDescent="0.2">
      <c r="A41" s="364"/>
      <c r="B41" s="373" t="s">
        <v>1044</v>
      </c>
      <c r="C41" s="378" t="s">
        <v>97</v>
      </c>
      <c r="D41" s="364"/>
      <c r="P41" s="2324"/>
      <c r="Q41" s="2327"/>
      <c r="R41" s="2327"/>
      <c r="S41" s="2327"/>
      <c r="T41" s="2327"/>
      <c r="AF41" s="2" t="s">
        <v>1090</v>
      </c>
      <c r="AG41" s="2" t="s">
        <v>2233</v>
      </c>
    </row>
    <row r="42" spans="1:33" ht="12.75" x14ac:dyDescent="0.2">
      <c r="A42" s="364"/>
      <c r="B42" s="373" t="s">
        <v>1045</v>
      </c>
      <c r="C42" s="378" t="s">
        <v>97</v>
      </c>
      <c r="D42" s="364"/>
      <c r="P42" s="2324"/>
      <c r="Q42" s="2327"/>
      <c r="R42" s="2327"/>
      <c r="S42" s="2327"/>
      <c r="T42" s="2327"/>
      <c r="AF42" s="2" t="s">
        <v>432</v>
      </c>
      <c r="AG42" s="2" t="s">
        <v>2255</v>
      </c>
    </row>
    <row r="43" spans="1:33" ht="12.75" x14ac:dyDescent="0.2">
      <c r="A43" s="364"/>
      <c r="B43" s="373" t="s">
        <v>1046</v>
      </c>
      <c r="C43" s="378" t="s">
        <v>97</v>
      </c>
      <c r="D43" s="364"/>
      <c r="P43" s="2324"/>
      <c r="Q43" s="2327"/>
      <c r="R43" s="2327"/>
      <c r="S43" s="2327"/>
      <c r="T43" s="2327"/>
      <c r="AF43" s="2" t="s">
        <v>535</v>
      </c>
      <c r="AG43" s="2" t="s">
        <v>25</v>
      </c>
    </row>
    <row r="44" spans="1:33" ht="12.75" x14ac:dyDescent="0.2">
      <c r="A44" s="364"/>
      <c r="B44" s="373" t="s">
        <v>1047</v>
      </c>
      <c r="C44" s="378" t="s">
        <v>97</v>
      </c>
      <c r="D44" s="364"/>
      <c r="P44" s="2324"/>
      <c r="Q44" s="2327"/>
      <c r="R44" s="2327"/>
      <c r="S44" s="2327"/>
      <c r="T44" s="2327"/>
      <c r="AF44" s="2" t="s">
        <v>1734</v>
      </c>
      <c r="AG44" s="2" t="s">
        <v>2256</v>
      </c>
    </row>
    <row r="45" spans="1:33" ht="12.75" x14ac:dyDescent="0.2">
      <c r="A45" s="364"/>
      <c r="B45" s="375" t="s">
        <v>2214</v>
      </c>
      <c r="C45" s="378" t="s">
        <v>97</v>
      </c>
      <c r="D45" s="364"/>
      <c r="P45" s="2324"/>
      <c r="Q45" s="2327"/>
      <c r="R45" s="2327"/>
      <c r="S45" s="2327"/>
      <c r="T45" s="2327"/>
      <c r="AF45" s="2" t="s">
        <v>1735</v>
      </c>
      <c r="AG45" s="2" t="s">
        <v>2257</v>
      </c>
    </row>
    <row r="46" spans="1:33" ht="12.75" x14ac:dyDescent="0.2">
      <c r="A46" s="364"/>
      <c r="B46" s="373" t="s">
        <v>1525</v>
      </c>
      <c r="C46" s="378" t="s">
        <v>97</v>
      </c>
      <c r="D46" s="364"/>
      <c r="P46" s="2324"/>
      <c r="Q46" s="2327"/>
      <c r="R46" s="2327"/>
      <c r="S46" s="2327"/>
      <c r="T46" s="2327"/>
      <c r="AF46" s="2" t="s">
        <v>1736</v>
      </c>
      <c r="AG46" s="2" t="s">
        <v>2258</v>
      </c>
    </row>
    <row r="47" spans="1:33" ht="12.75" x14ac:dyDescent="0.2">
      <c r="A47" s="364"/>
      <c r="B47" s="373" t="s">
        <v>1048</v>
      </c>
      <c r="C47" s="378" t="s">
        <v>97</v>
      </c>
      <c r="D47" s="364"/>
      <c r="P47" s="2324"/>
      <c r="Q47" s="2327"/>
      <c r="R47" s="2327"/>
      <c r="S47" s="2327"/>
      <c r="T47" s="2327"/>
      <c r="AF47" s="2" t="s">
        <v>1737</v>
      </c>
      <c r="AG47" s="2" t="s">
        <v>2233</v>
      </c>
    </row>
    <row r="48" spans="1:33" ht="12.75" x14ac:dyDescent="0.2">
      <c r="A48" s="364"/>
      <c r="B48" s="373" t="s">
        <v>157</v>
      </c>
      <c r="C48" s="378" t="s">
        <v>97</v>
      </c>
      <c r="D48" s="364"/>
      <c r="P48" s="2324"/>
      <c r="Q48" s="2327"/>
      <c r="R48" s="2327"/>
      <c r="S48" s="2327"/>
      <c r="T48" s="2327"/>
      <c r="AF48" s="2" t="s">
        <v>1078</v>
      </c>
      <c r="AG48" s="2" t="s">
        <v>2260</v>
      </c>
    </row>
    <row r="49" spans="1:33" ht="12.75" x14ac:dyDescent="0.2">
      <c r="A49" s="364"/>
      <c r="B49" s="373" t="s">
        <v>2215</v>
      </c>
      <c r="C49" s="378" t="s">
        <v>97</v>
      </c>
      <c r="D49" s="364"/>
      <c r="P49" s="2324"/>
      <c r="Q49" s="2327"/>
      <c r="R49" s="2327"/>
      <c r="S49" s="2327"/>
      <c r="T49" s="2327"/>
      <c r="AF49" s="2" t="s">
        <v>536</v>
      </c>
      <c r="AG49" s="2" t="s">
        <v>2261</v>
      </c>
    </row>
    <row r="50" spans="1:33" ht="12.75" x14ac:dyDescent="0.2">
      <c r="A50" s="364"/>
      <c r="B50" s="373" t="s">
        <v>158</v>
      </c>
      <c r="C50" s="378" t="s">
        <v>97</v>
      </c>
      <c r="D50" s="364"/>
      <c r="P50" s="2324"/>
      <c r="Q50" s="2327"/>
      <c r="R50" s="2327"/>
      <c r="S50" s="2327"/>
      <c r="T50" s="2327"/>
      <c r="AF50" s="2" t="s">
        <v>537</v>
      </c>
      <c r="AG50" s="2" t="s">
        <v>2262</v>
      </c>
    </row>
    <row r="51" spans="1:33" ht="12.75" x14ac:dyDescent="0.2">
      <c r="A51" s="364"/>
      <c r="B51" s="373" t="s">
        <v>159</v>
      </c>
      <c r="C51" s="377" t="s">
        <v>97</v>
      </c>
      <c r="D51" s="364"/>
      <c r="P51" s="2324"/>
      <c r="Q51" s="2327"/>
      <c r="R51" s="2327"/>
      <c r="S51" s="2327"/>
      <c r="T51" s="2327"/>
      <c r="AF51" s="2" t="s">
        <v>1079</v>
      </c>
      <c r="AG51" s="2" t="s">
        <v>2263</v>
      </c>
    </row>
    <row r="52" spans="1:33" ht="12.75" x14ac:dyDescent="0.2">
      <c r="A52" s="364"/>
      <c r="B52" s="375" t="s">
        <v>2216</v>
      </c>
      <c r="C52" s="377" t="s">
        <v>97</v>
      </c>
      <c r="D52" s="364"/>
      <c r="P52" s="2324"/>
      <c r="Q52" s="2327"/>
      <c r="R52" s="2327"/>
      <c r="S52" s="2327"/>
      <c r="T52" s="2327"/>
      <c r="AF52" s="2" t="s">
        <v>1080</v>
      </c>
      <c r="AG52" s="2" t="s">
        <v>2264</v>
      </c>
    </row>
    <row r="53" spans="1:33" ht="12.75" x14ac:dyDescent="0.2">
      <c r="A53" s="364"/>
      <c r="B53" s="373" t="s">
        <v>1512</v>
      </c>
      <c r="C53" s="377" t="s">
        <v>97</v>
      </c>
      <c r="D53" s="364"/>
      <c r="P53" s="2324"/>
      <c r="Q53" s="2327"/>
      <c r="R53" s="2327"/>
      <c r="S53" s="2327"/>
      <c r="T53" s="2327"/>
      <c r="AF53" s="2" t="s">
        <v>1331</v>
      </c>
      <c r="AG53" s="2" t="s">
        <v>2265</v>
      </c>
    </row>
    <row r="54" spans="1:33" ht="12.75" x14ac:dyDescent="0.2">
      <c r="A54" s="364"/>
      <c r="B54" s="373" t="s">
        <v>160</v>
      </c>
      <c r="C54" s="377" t="s">
        <v>97</v>
      </c>
      <c r="D54" s="364"/>
      <c r="P54" s="2324"/>
      <c r="Q54" s="2327"/>
      <c r="R54" s="2327"/>
      <c r="S54" s="2327"/>
      <c r="T54" s="2327"/>
      <c r="AF54" s="2" t="s">
        <v>273</v>
      </c>
      <c r="AG54" s="2" t="s">
        <v>2233</v>
      </c>
    </row>
    <row r="55" spans="1:33" ht="12.75" x14ac:dyDescent="0.2">
      <c r="A55" s="364"/>
      <c r="B55" s="373" t="s">
        <v>161</v>
      </c>
      <c r="C55" s="377" t="s">
        <v>97</v>
      </c>
      <c r="D55" s="364"/>
      <c r="P55" s="2324"/>
      <c r="Q55" s="2327"/>
      <c r="R55" s="2327"/>
      <c r="S55" s="2327"/>
      <c r="T55" s="2327"/>
      <c r="AF55" s="2" t="s">
        <v>272</v>
      </c>
      <c r="AG55" s="2" t="s">
        <v>2276</v>
      </c>
    </row>
    <row r="56" spans="1:33" ht="12.75" x14ac:dyDescent="0.2">
      <c r="A56" s="364"/>
      <c r="B56" s="375" t="s">
        <v>2217</v>
      </c>
      <c r="C56" s="377" t="s">
        <v>97</v>
      </c>
      <c r="D56" s="364"/>
      <c r="P56" s="2324"/>
      <c r="Q56" s="2327"/>
      <c r="R56" s="2327"/>
      <c r="S56" s="2327"/>
      <c r="T56" s="2327"/>
      <c r="AF56" s="2" t="s">
        <v>538</v>
      </c>
      <c r="AG56" s="2" t="s">
        <v>2277</v>
      </c>
    </row>
    <row r="57" spans="1:33" ht="12.75" x14ac:dyDescent="0.2">
      <c r="A57" s="364"/>
      <c r="B57" s="373" t="s">
        <v>1644</v>
      </c>
      <c r="C57" s="377" t="s">
        <v>97</v>
      </c>
      <c r="D57" s="364"/>
      <c r="P57" s="2324"/>
      <c r="Q57" s="2327"/>
      <c r="R57" s="2327"/>
      <c r="S57" s="2327"/>
      <c r="T57" s="2327"/>
      <c r="AF57" s="2" t="s">
        <v>834</v>
      </c>
      <c r="AG57" s="2" t="s">
        <v>2278</v>
      </c>
    </row>
    <row r="58" spans="1:33" ht="12.75" x14ac:dyDescent="0.2">
      <c r="A58" s="364"/>
      <c r="B58" s="373" t="s">
        <v>1528</v>
      </c>
      <c r="C58" s="319" t="s">
        <v>97</v>
      </c>
      <c r="D58" s="364"/>
      <c r="P58" s="2324"/>
      <c r="Q58" s="2327"/>
      <c r="R58" s="2327"/>
      <c r="S58" s="2327"/>
      <c r="T58" s="2327"/>
      <c r="AF58" s="2" t="s">
        <v>245</v>
      </c>
      <c r="AG58" s="2" t="s">
        <v>2235</v>
      </c>
    </row>
    <row r="59" spans="1:33" ht="12.75" x14ac:dyDescent="0.2">
      <c r="A59" s="364"/>
      <c r="B59" s="373" t="s">
        <v>731</v>
      </c>
      <c r="C59" s="319" t="s">
        <v>97</v>
      </c>
      <c r="D59" s="364"/>
      <c r="P59" s="2324"/>
      <c r="Q59" s="2327"/>
      <c r="R59" s="2327"/>
      <c r="S59" s="2327"/>
      <c r="T59" s="2327"/>
      <c r="AG59" s="2" t="s">
        <v>2236</v>
      </c>
    </row>
    <row r="60" spans="1:33" ht="12.75" x14ac:dyDescent="0.2">
      <c r="A60" s="364"/>
      <c r="B60" s="373" t="s">
        <v>732</v>
      </c>
      <c r="C60" s="377" t="s">
        <v>97</v>
      </c>
      <c r="D60" s="364"/>
      <c r="P60" s="2324"/>
      <c r="Q60" s="2327"/>
      <c r="R60" s="2327"/>
      <c r="S60" s="2327"/>
      <c r="T60" s="2327"/>
      <c r="AE60" s="134" t="s">
        <v>1974</v>
      </c>
      <c r="AF60" s="134"/>
      <c r="AG60" s="2" t="s">
        <v>2237</v>
      </c>
    </row>
    <row r="61" spans="1:33" ht="12.75" x14ac:dyDescent="0.2">
      <c r="A61" s="364"/>
      <c r="B61" s="373" t="s">
        <v>733</v>
      </c>
      <c r="C61" s="377" t="s">
        <v>97</v>
      </c>
      <c r="D61" s="364"/>
      <c r="P61" s="2324"/>
      <c r="Q61" s="2327"/>
      <c r="R61" s="2327"/>
      <c r="S61" s="2327"/>
      <c r="T61" s="2327"/>
      <c r="AE61" s="400" t="s">
        <v>1802</v>
      </c>
      <c r="AF61" s="400" t="s">
        <v>1803</v>
      </c>
      <c r="AG61" s="2" t="s">
        <v>2242</v>
      </c>
    </row>
    <row r="62" spans="1:33" ht="12.75" x14ac:dyDescent="0.2">
      <c r="A62" s="364"/>
      <c r="B62" s="373" t="s">
        <v>734</v>
      </c>
      <c r="C62" s="377" t="s">
        <v>97</v>
      </c>
      <c r="D62" s="364"/>
      <c r="P62" s="2324"/>
      <c r="Q62" s="2327"/>
      <c r="R62" s="2327"/>
      <c r="S62" s="2327"/>
      <c r="T62" s="2327"/>
      <c r="AE62" s="401" t="s">
        <v>364</v>
      </c>
      <c r="AF62" s="401" t="s">
        <v>1801</v>
      </c>
      <c r="AG62" s="2" t="s">
        <v>2245</v>
      </c>
    </row>
    <row r="63" spans="1:33" ht="12.75" x14ac:dyDescent="0.2">
      <c r="A63" s="364"/>
      <c r="B63" s="373" t="s">
        <v>1514</v>
      </c>
      <c r="C63" s="377" t="s">
        <v>97</v>
      </c>
      <c r="D63" s="364"/>
      <c r="P63" s="2324"/>
      <c r="Q63" s="2327"/>
      <c r="R63" s="2327"/>
      <c r="S63" s="2327"/>
      <c r="T63" s="2327"/>
      <c r="AE63" s="401" t="s">
        <v>706</v>
      </c>
      <c r="AF63" s="401" t="s">
        <v>1463</v>
      </c>
      <c r="AG63" s="2" t="s">
        <v>2233</v>
      </c>
    </row>
    <row r="64" spans="1:33" ht="12.75" x14ac:dyDescent="0.2">
      <c r="A64" s="364"/>
      <c r="B64" s="373" t="s">
        <v>1529</v>
      </c>
      <c r="C64" s="378" t="s">
        <v>97</v>
      </c>
      <c r="D64" s="364"/>
      <c r="P64" s="2324"/>
      <c r="Q64" s="2327"/>
      <c r="R64" s="2327"/>
      <c r="S64" s="2327"/>
      <c r="T64" s="2327"/>
      <c r="AG64" s="2" t="s">
        <v>2271</v>
      </c>
    </row>
    <row r="65" spans="1:33" ht="12.75" x14ac:dyDescent="0.2">
      <c r="A65" s="364"/>
      <c r="B65" s="373" t="s">
        <v>1530</v>
      </c>
      <c r="C65" s="377" t="s">
        <v>97</v>
      </c>
      <c r="D65" s="364"/>
      <c r="P65" s="2324"/>
      <c r="Q65" s="2327"/>
      <c r="R65" s="2327"/>
      <c r="S65" s="2327"/>
      <c r="T65" s="2327"/>
      <c r="AG65" s="2" t="s">
        <v>2272</v>
      </c>
    </row>
    <row r="66" spans="1:33" ht="12.75" x14ac:dyDescent="0.2">
      <c r="A66" s="364"/>
      <c r="B66" s="373" t="s">
        <v>1710</v>
      </c>
      <c r="C66" s="377" t="s">
        <v>97</v>
      </c>
      <c r="D66" s="364"/>
      <c r="P66" s="2324"/>
      <c r="Q66" s="2327"/>
      <c r="R66" s="2327"/>
      <c r="S66" s="2327"/>
      <c r="T66" s="2327"/>
      <c r="AE66" s="134" t="s">
        <v>1975</v>
      </c>
      <c r="AG66" s="2" t="s">
        <v>2273</v>
      </c>
    </row>
    <row r="67" spans="1:33" ht="12.75" x14ac:dyDescent="0.2">
      <c r="A67" s="364"/>
      <c r="B67" s="373" t="s">
        <v>1711</v>
      </c>
      <c r="C67" s="377" t="s">
        <v>97</v>
      </c>
      <c r="D67" s="364"/>
      <c r="P67" s="2324"/>
      <c r="Q67" s="2327"/>
      <c r="R67" s="2327"/>
      <c r="S67" s="2327"/>
      <c r="T67" s="2327"/>
      <c r="AE67" s="2" t="s">
        <v>364</v>
      </c>
      <c r="AG67" s="2" t="s">
        <v>2274</v>
      </c>
    </row>
    <row r="68" spans="1:33" ht="12.75" x14ac:dyDescent="0.2">
      <c r="A68" s="364"/>
      <c r="B68" s="373" t="s">
        <v>420</v>
      </c>
      <c r="C68" s="377" t="s">
        <v>97</v>
      </c>
      <c r="D68" s="364"/>
      <c r="P68" s="2324"/>
      <c r="Q68" s="2327"/>
      <c r="R68" s="2327"/>
      <c r="S68" s="2327"/>
      <c r="T68" s="2327"/>
      <c r="AE68" s="2" t="s">
        <v>706</v>
      </c>
      <c r="AG68" s="2" t="s">
        <v>2233</v>
      </c>
    </row>
    <row r="69" spans="1:33" ht="12.75" x14ac:dyDescent="0.2">
      <c r="A69" s="364"/>
      <c r="B69" s="373" t="s">
        <v>1978</v>
      </c>
      <c r="C69" s="377" t="s">
        <v>1516</v>
      </c>
      <c r="D69" s="364"/>
      <c r="P69" s="2324"/>
      <c r="Q69" s="2327"/>
      <c r="R69" s="2327"/>
      <c r="S69" s="2327"/>
      <c r="T69" s="2327"/>
      <c r="AG69" s="2" t="s">
        <v>2267</v>
      </c>
    </row>
    <row r="70" spans="1:33" ht="12.75" x14ac:dyDescent="0.2">
      <c r="A70" s="364"/>
      <c r="B70" s="373" t="s">
        <v>735</v>
      </c>
      <c r="C70" s="377" t="s">
        <v>1516</v>
      </c>
      <c r="D70" s="364"/>
      <c r="P70" s="2324"/>
      <c r="Q70" s="2327"/>
      <c r="R70" s="2327"/>
      <c r="S70" s="2327"/>
      <c r="T70" s="2327"/>
      <c r="AG70" s="2" t="s">
        <v>2268</v>
      </c>
    </row>
    <row r="71" spans="1:33" ht="12.75" x14ac:dyDescent="0.2">
      <c r="A71" s="364"/>
      <c r="B71" s="373" t="s">
        <v>736</v>
      </c>
      <c r="C71" s="377" t="s">
        <v>1516</v>
      </c>
      <c r="D71" s="364"/>
      <c r="P71" s="2324"/>
      <c r="Q71" s="2327"/>
      <c r="R71" s="2327"/>
      <c r="S71" s="2327"/>
      <c r="T71" s="2327"/>
      <c r="AG71" s="2" t="s">
        <v>2269</v>
      </c>
    </row>
    <row r="72" spans="1:33" ht="12.75" x14ac:dyDescent="0.2">
      <c r="A72" s="364"/>
      <c r="B72" s="373" t="s">
        <v>737</v>
      </c>
      <c r="C72" s="377" t="s">
        <v>1516</v>
      </c>
      <c r="D72" s="364"/>
      <c r="P72" s="2324"/>
      <c r="Q72" s="2327"/>
      <c r="R72" s="2327"/>
      <c r="S72" s="2327"/>
      <c r="T72" s="2327"/>
      <c r="AG72" s="2" t="s">
        <v>2233</v>
      </c>
    </row>
    <row r="73" spans="1:33" ht="12.75" x14ac:dyDescent="0.2">
      <c r="A73" s="364"/>
      <c r="B73" s="373" t="s">
        <v>1515</v>
      </c>
      <c r="C73" s="377" t="s">
        <v>1516</v>
      </c>
      <c r="D73" s="364"/>
      <c r="P73" s="2324"/>
      <c r="Q73" s="2327"/>
      <c r="R73" s="2327"/>
      <c r="S73" s="2327"/>
      <c r="T73" s="2327"/>
      <c r="AG73" s="2" t="s">
        <v>2284</v>
      </c>
    </row>
    <row r="74" spans="1:33" ht="12.75" x14ac:dyDescent="0.2">
      <c r="A74" s="364"/>
      <c r="B74" s="373" t="s">
        <v>738</v>
      </c>
      <c r="C74" s="377" t="s">
        <v>1516</v>
      </c>
      <c r="D74" s="364"/>
      <c r="P74" s="2324"/>
      <c r="Q74" s="2327"/>
      <c r="R74" s="2327"/>
      <c r="S74" s="2327"/>
      <c r="T74" s="2327"/>
      <c r="AG74" s="2" t="s">
        <v>2285</v>
      </c>
    </row>
    <row r="75" spans="1:33" ht="12.75" x14ac:dyDescent="0.2">
      <c r="A75" s="364"/>
      <c r="B75" s="373" t="s">
        <v>739</v>
      </c>
      <c r="C75" s="377" t="s">
        <v>1516</v>
      </c>
      <c r="D75" s="364"/>
      <c r="P75" s="2324"/>
      <c r="Q75" s="2327"/>
      <c r="R75" s="2327"/>
      <c r="S75" s="2327"/>
      <c r="T75" s="2327"/>
      <c r="AG75" s="2" t="s">
        <v>2286</v>
      </c>
    </row>
    <row r="76" spans="1:33" ht="12.75" x14ac:dyDescent="0.2">
      <c r="A76" s="364"/>
      <c r="B76" s="373" t="s">
        <v>740</v>
      </c>
      <c r="C76" s="377" t="s">
        <v>1516</v>
      </c>
      <c r="D76" s="364"/>
      <c r="P76" s="2324"/>
      <c r="Q76" s="2327"/>
      <c r="R76" s="2327"/>
      <c r="S76" s="2327"/>
      <c r="T76" s="2327"/>
      <c r="AG76" s="2" t="s">
        <v>2287</v>
      </c>
    </row>
    <row r="77" spans="1:33" ht="12.75" x14ac:dyDescent="0.2">
      <c r="A77" s="364"/>
      <c r="B77" s="373" t="s">
        <v>741</v>
      </c>
      <c r="C77" s="377" t="s">
        <v>1516</v>
      </c>
      <c r="D77" s="364"/>
      <c r="P77" s="2324"/>
      <c r="Q77" s="2327"/>
      <c r="R77" s="2327"/>
      <c r="S77" s="2327"/>
      <c r="T77" s="2327"/>
      <c r="AG77" s="2" t="s">
        <v>2288</v>
      </c>
    </row>
    <row r="78" spans="1:33" ht="12.75" x14ac:dyDescent="0.2">
      <c r="A78" s="364"/>
      <c r="B78" s="373" t="s">
        <v>742</v>
      </c>
      <c r="C78" s="377" t="s">
        <v>1516</v>
      </c>
      <c r="D78" s="364"/>
      <c r="P78" s="2324"/>
      <c r="Q78" s="2327"/>
      <c r="R78" s="2327"/>
      <c r="S78" s="2327"/>
      <c r="T78" s="2327"/>
      <c r="AG78" s="2" t="s">
        <v>2289</v>
      </c>
    </row>
    <row r="79" spans="1:33" ht="12.75" x14ac:dyDescent="0.2">
      <c r="A79" s="364"/>
      <c r="B79" s="373" t="s">
        <v>1519</v>
      </c>
      <c r="C79" s="377" t="s">
        <v>1516</v>
      </c>
      <c r="D79" s="364"/>
      <c r="P79" s="2324"/>
      <c r="Q79" s="2327"/>
      <c r="R79" s="2327"/>
      <c r="S79" s="2327"/>
      <c r="T79" s="2327"/>
      <c r="AG79" s="2" t="s">
        <v>2290</v>
      </c>
    </row>
    <row r="80" spans="1:33" ht="12.75" x14ac:dyDescent="0.2">
      <c r="A80" s="364"/>
      <c r="B80" s="373" t="s">
        <v>743</v>
      </c>
      <c r="C80" s="377" t="s">
        <v>1516</v>
      </c>
      <c r="D80" s="364"/>
      <c r="P80" s="2324"/>
      <c r="Q80" s="2327"/>
      <c r="R80" s="2327"/>
      <c r="S80" s="2327"/>
      <c r="T80" s="2327"/>
      <c r="AG80" s="2" t="s">
        <v>2291</v>
      </c>
    </row>
    <row r="81" spans="1:33" ht="12.75" x14ac:dyDescent="0.2">
      <c r="A81" s="364"/>
      <c r="B81" s="373" t="s">
        <v>744</v>
      </c>
      <c r="C81" s="377" t="s">
        <v>1516</v>
      </c>
      <c r="D81" s="364"/>
      <c r="P81" s="2324"/>
      <c r="Q81" s="2327"/>
      <c r="R81" s="2327"/>
      <c r="S81" s="2327"/>
      <c r="T81" s="2327"/>
      <c r="AG81" s="2" t="s">
        <v>2292</v>
      </c>
    </row>
    <row r="82" spans="1:33" ht="12.75" x14ac:dyDescent="0.2">
      <c r="A82" s="364"/>
      <c r="B82" s="373" t="s">
        <v>745</v>
      </c>
      <c r="C82" s="377" t="s">
        <v>1516</v>
      </c>
      <c r="D82" s="364"/>
      <c r="P82" s="2324"/>
      <c r="Q82" s="2327"/>
      <c r="R82" s="2327"/>
      <c r="S82" s="2327"/>
      <c r="T82" s="2327"/>
      <c r="AG82" s="2" t="s">
        <v>288</v>
      </c>
    </row>
    <row r="83" spans="1:33" ht="12.75" x14ac:dyDescent="0.2">
      <c r="A83" s="364"/>
      <c r="B83" s="373" t="s">
        <v>1531</v>
      </c>
      <c r="C83" s="377" t="s">
        <v>1516</v>
      </c>
      <c r="D83" s="364"/>
      <c r="P83" s="2324"/>
      <c r="Q83" s="2327"/>
      <c r="R83" s="2327"/>
      <c r="S83" s="2327"/>
      <c r="T83" s="2327"/>
      <c r="AG83" s="2" t="s">
        <v>2293</v>
      </c>
    </row>
    <row r="84" spans="1:33" ht="12.75" x14ac:dyDescent="0.2">
      <c r="A84" s="364"/>
      <c r="B84" s="373" t="s">
        <v>746</v>
      </c>
      <c r="C84" s="377" t="s">
        <v>1516</v>
      </c>
      <c r="D84" s="364"/>
      <c r="P84" s="2324"/>
      <c r="Q84" s="2327"/>
      <c r="R84" s="2327"/>
      <c r="S84" s="2327"/>
      <c r="T84" s="2327"/>
      <c r="AG84" s="2" t="s">
        <v>1446</v>
      </c>
    </row>
    <row r="85" spans="1:33" ht="12.75" x14ac:dyDescent="0.2">
      <c r="A85" s="364"/>
      <c r="B85" s="373" t="s">
        <v>1712</v>
      </c>
      <c r="C85" s="377" t="s">
        <v>1516</v>
      </c>
      <c r="D85" s="364"/>
      <c r="P85" s="2324"/>
      <c r="Q85" s="2327"/>
      <c r="R85" s="2327"/>
      <c r="S85" s="2327"/>
      <c r="T85" s="2327"/>
      <c r="AG85" s="2" t="s">
        <v>2294</v>
      </c>
    </row>
    <row r="86" spans="1:33" ht="12.75" x14ac:dyDescent="0.2">
      <c r="A86" s="364"/>
      <c r="B86" s="373" t="s">
        <v>1521</v>
      </c>
      <c r="C86" s="377" t="s">
        <v>1516</v>
      </c>
      <c r="D86" s="364"/>
      <c r="P86" s="2324"/>
      <c r="Q86" s="2327"/>
      <c r="R86" s="2327"/>
      <c r="S86" s="2327"/>
      <c r="T86" s="2327"/>
      <c r="AG86" s="2" t="s">
        <v>2295</v>
      </c>
    </row>
    <row r="87" spans="1:33" ht="12.75" x14ac:dyDescent="0.2">
      <c r="A87" s="364"/>
      <c r="B87" s="373" t="s">
        <v>747</v>
      </c>
      <c r="C87" s="377" t="s">
        <v>1516</v>
      </c>
      <c r="D87" s="364"/>
      <c r="P87" s="2324"/>
      <c r="Q87" s="2327"/>
      <c r="R87" s="2327"/>
      <c r="S87" s="2327"/>
      <c r="T87" s="2327"/>
      <c r="AG87" s="2" t="s">
        <v>2296</v>
      </c>
    </row>
    <row r="88" spans="1:33" ht="12.75" x14ac:dyDescent="0.2">
      <c r="A88" s="364"/>
      <c r="B88" s="373" t="s">
        <v>748</v>
      </c>
      <c r="C88" s="377" t="s">
        <v>1516</v>
      </c>
      <c r="D88" s="364"/>
      <c r="P88" s="2324"/>
      <c r="Q88" s="2327"/>
      <c r="R88" s="2327"/>
      <c r="S88" s="2327"/>
      <c r="T88" s="2327"/>
      <c r="AG88" s="2" t="s">
        <v>2297</v>
      </c>
    </row>
    <row r="89" spans="1:33" ht="12.75" x14ac:dyDescent="0.2">
      <c r="A89" s="364"/>
      <c r="B89" s="373" t="s">
        <v>773</v>
      </c>
      <c r="C89" s="377" t="s">
        <v>1516</v>
      </c>
      <c r="D89" s="364"/>
      <c r="P89" s="2324"/>
      <c r="Q89" s="2327"/>
      <c r="R89" s="2327"/>
      <c r="S89" s="2327"/>
      <c r="T89" s="2327"/>
      <c r="AG89" s="2" t="s">
        <v>1080</v>
      </c>
    </row>
    <row r="90" spans="1:33" ht="12.75" x14ac:dyDescent="0.2">
      <c r="A90" s="364"/>
      <c r="B90" s="373" t="s">
        <v>774</v>
      </c>
      <c r="C90" s="377" t="s">
        <v>1516</v>
      </c>
      <c r="D90" s="364"/>
      <c r="P90" s="2324"/>
      <c r="Q90" s="2327"/>
      <c r="R90" s="2327"/>
      <c r="S90" s="2327"/>
      <c r="T90" s="2327"/>
      <c r="AG90" s="2" t="s">
        <v>2298</v>
      </c>
    </row>
    <row r="91" spans="1:33" ht="12.75" x14ac:dyDescent="0.2">
      <c r="A91" s="364"/>
      <c r="B91" s="373" t="s">
        <v>1524</v>
      </c>
      <c r="C91" s="377" t="s">
        <v>1516</v>
      </c>
      <c r="D91" s="364"/>
      <c r="P91" s="2324"/>
      <c r="Q91" s="2327"/>
      <c r="R91" s="2327"/>
      <c r="S91" s="2327"/>
      <c r="T91" s="2327"/>
      <c r="AG91" s="2" t="s">
        <v>1079</v>
      </c>
    </row>
    <row r="92" spans="1:33" ht="12.75" x14ac:dyDescent="0.2">
      <c r="A92" s="364"/>
      <c r="B92" s="373" t="s">
        <v>2515</v>
      </c>
      <c r="C92" s="377" t="s">
        <v>1032</v>
      </c>
      <c r="D92" s="364"/>
      <c r="P92" s="2324"/>
      <c r="Q92" s="2327"/>
      <c r="R92" s="2327"/>
      <c r="S92" s="2327"/>
      <c r="T92" s="2327"/>
      <c r="AG92" s="2" t="s">
        <v>2299</v>
      </c>
    </row>
    <row r="93" spans="1:33" ht="12.75" x14ac:dyDescent="0.2">
      <c r="A93" s="364"/>
      <c r="B93" s="373" t="s">
        <v>1979</v>
      </c>
      <c r="C93" s="377" t="s">
        <v>1032</v>
      </c>
      <c r="D93" s="364"/>
      <c r="P93" s="2324"/>
      <c r="Q93" s="2327"/>
      <c r="R93" s="2327"/>
      <c r="S93" s="2327"/>
      <c r="T93" s="2327"/>
      <c r="AG93" s="2" t="s">
        <v>2300</v>
      </c>
    </row>
    <row r="94" spans="1:33" ht="12.75" x14ac:dyDescent="0.2">
      <c r="A94" s="364"/>
      <c r="B94" s="373" t="s">
        <v>1980</v>
      </c>
      <c r="C94" s="377" t="s">
        <v>1032</v>
      </c>
      <c r="D94" s="364"/>
      <c r="P94" s="2324"/>
      <c r="Q94" s="2327"/>
      <c r="R94" s="2327"/>
      <c r="S94" s="2327"/>
      <c r="T94" s="2327"/>
      <c r="AG94" s="2" t="s">
        <v>2233</v>
      </c>
    </row>
    <row r="95" spans="1:33" ht="12.75" x14ac:dyDescent="0.2">
      <c r="A95" s="364"/>
      <c r="B95" s="373" t="s">
        <v>775</v>
      </c>
      <c r="C95" s="377" t="s">
        <v>1032</v>
      </c>
      <c r="D95" s="364"/>
      <c r="P95" s="2324"/>
      <c r="Q95" s="2327"/>
      <c r="R95" s="2327"/>
      <c r="S95" s="2327"/>
      <c r="T95" s="2327"/>
      <c r="AG95" s="2" t="s">
        <v>2302</v>
      </c>
    </row>
    <row r="96" spans="1:33" ht="12.75" x14ac:dyDescent="0.2">
      <c r="A96" s="364"/>
      <c r="B96" s="373" t="s">
        <v>776</v>
      </c>
      <c r="C96" s="377" t="s">
        <v>1032</v>
      </c>
      <c r="D96" s="364"/>
      <c r="P96" s="2324"/>
      <c r="Q96" s="2327"/>
      <c r="R96" s="2327"/>
      <c r="S96" s="2327"/>
      <c r="T96" s="2327"/>
      <c r="AG96" s="2" t="s">
        <v>2303</v>
      </c>
    </row>
    <row r="97" spans="1:33" ht="12.75" x14ac:dyDescent="0.2">
      <c r="A97" s="364"/>
      <c r="B97" s="373" t="s">
        <v>214</v>
      </c>
      <c r="C97" s="377" t="s">
        <v>1032</v>
      </c>
      <c r="D97" s="364"/>
      <c r="P97" s="2324"/>
      <c r="Q97" s="2327"/>
      <c r="R97" s="2327"/>
      <c r="S97" s="2327"/>
      <c r="T97" s="2327"/>
      <c r="AG97" s="2" t="s">
        <v>2233</v>
      </c>
    </row>
    <row r="98" spans="1:33" ht="12.75" x14ac:dyDescent="0.2">
      <c r="A98" s="364"/>
      <c r="B98" s="373" t="s">
        <v>1031</v>
      </c>
      <c r="C98" s="377" t="s">
        <v>1032</v>
      </c>
      <c r="D98" s="364"/>
      <c r="P98" s="2324"/>
      <c r="Q98" s="2327"/>
      <c r="R98" s="2327"/>
      <c r="S98" s="2327"/>
      <c r="T98" s="2327"/>
      <c r="AG98" s="2" t="s">
        <v>2304</v>
      </c>
    </row>
    <row r="99" spans="1:33" ht="12.75" x14ac:dyDescent="0.2">
      <c r="A99" s="364"/>
      <c r="B99" s="373" t="s">
        <v>713</v>
      </c>
      <c r="C99" s="377" t="s">
        <v>1032</v>
      </c>
      <c r="D99" s="364"/>
      <c r="P99" s="2324"/>
      <c r="Q99" s="2327"/>
      <c r="R99" s="2327"/>
      <c r="S99" s="2327"/>
      <c r="T99" s="2327"/>
      <c r="AG99" s="2" t="s">
        <v>2305</v>
      </c>
    </row>
    <row r="100" spans="1:33" ht="12.75" x14ac:dyDescent="0.2">
      <c r="A100" s="364"/>
      <c r="B100" s="373" t="s">
        <v>1648</v>
      </c>
      <c r="C100" s="377" t="s">
        <v>1032</v>
      </c>
      <c r="D100" s="364"/>
      <c r="P100" s="2324"/>
      <c r="Q100" s="2327"/>
      <c r="R100" s="2327"/>
      <c r="S100" s="2327"/>
      <c r="T100" s="2327"/>
      <c r="AG100" s="2" t="s">
        <v>2306</v>
      </c>
    </row>
    <row r="101" spans="1:33" ht="12.75" x14ac:dyDescent="0.2">
      <c r="A101" s="364"/>
      <c r="B101" s="375" t="s">
        <v>2218</v>
      </c>
      <c r="C101" s="377" t="s">
        <v>1032</v>
      </c>
      <c r="D101" s="364"/>
      <c r="P101" s="2324"/>
      <c r="Q101" s="2327"/>
      <c r="R101" s="2327"/>
      <c r="S101" s="2327"/>
      <c r="T101" s="2327"/>
      <c r="AG101" s="2" t="s">
        <v>2307</v>
      </c>
    </row>
    <row r="102" spans="1:33" ht="12.75" x14ac:dyDescent="0.2">
      <c r="A102" s="364"/>
      <c r="B102" s="373" t="s">
        <v>1033</v>
      </c>
      <c r="C102" s="377" t="s">
        <v>1032</v>
      </c>
      <c r="D102" s="364"/>
      <c r="P102" s="2324"/>
      <c r="Q102" s="2327"/>
      <c r="R102" s="2327"/>
      <c r="S102" s="2327"/>
      <c r="T102" s="2327"/>
      <c r="AG102" s="2" t="s">
        <v>2308</v>
      </c>
    </row>
    <row r="103" spans="1:33" ht="12.75" x14ac:dyDescent="0.2">
      <c r="A103" s="364"/>
      <c r="B103" s="373" t="s">
        <v>1981</v>
      </c>
      <c r="C103" s="377" t="s">
        <v>1645</v>
      </c>
      <c r="D103" s="364"/>
      <c r="P103" s="2324"/>
      <c r="Q103" s="2327"/>
      <c r="R103" s="2327"/>
      <c r="S103" s="2327"/>
      <c r="T103" s="2327"/>
      <c r="AG103" s="2" t="s">
        <v>2339</v>
      </c>
    </row>
    <row r="104" spans="1:33" ht="12.75" x14ac:dyDescent="0.2">
      <c r="A104" s="364"/>
      <c r="B104" s="373" t="s">
        <v>1532</v>
      </c>
      <c r="C104" s="377" t="s">
        <v>1645</v>
      </c>
      <c r="D104" s="364"/>
      <c r="P104" s="2324"/>
      <c r="Q104" s="2327"/>
      <c r="R104" s="2327"/>
      <c r="S104" s="2327"/>
      <c r="T104" s="2327"/>
      <c r="AG104" s="2" t="s">
        <v>2340</v>
      </c>
    </row>
    <row r="105" spans="1:33" ht="12.75" x14ac:dyDescent="0.2">
      <c r="A105" s="364"/>
      <c r="B105" s="373" t="s">
        <v>1533</v>
      </c>
      <c r="C105" s="631" t="s">
        <v>1645</v>
      </c>
      <c r="D105" s="364"/>
      <c r="P105" s="2324"/>
      <c r="Q105" s="2327"/>
      <c r="R105" s="2327"/>
      <c r="S105" s="2327"/>
      <c r="T105" s="2327"/>
      <c r="AG105" s="2" t="s">
        <v>2310</v>
      </c>
    </row>
    <row r="106" spans="1:33" ht="12.75" x14ac:dyDescent="0.2">
      <c r="A106" s="364"/>
      <c r="B106" s="373" t="s">
        <v>1534</v>
      </c>
      <c r="C106" s="631" t="s">
        <v>1645</v>
      </c>
      <c r="D106" s="364"/>
      <c r="P106" s="2324"/>
      <c r="Q106" s="2327"/>
      <c r="R106" s="2327"/>
      <c r="S106" s="2327"/>
      <c r="T106" s="2327"/>
      <c r="AG106" s="2" t="s">
        <v>2311</v>
      </c>
    </row>
    <row r="107" spans="1:33" ht="12.75" x14ac:dyDescent="0.2">
      <c r="A107" s="364"/>
      <c r="B107" s="373" t="s">
        <v>2219</v>
      </c>
      <c r="C107" s="631" t="s">
        <v>1645</v>
      </c>
      <c r="D107" s="364"/>
      <c r="P107" s="2324"/>
      <c r="Q107" s="2327"/>
      <c r="R107" s="2327"/>
      <c r="S107" s="2327"/>
      <c r="T107" s="2327"/>
      <c r="AG107" s="2" t="s">
        <v>2312</v>
      </c>
    </row>
    <row r="108" spans="1:33" ht="12.75" x14ac:dyDescent="0.2">
      <c r="A108" s="364"/>
      <c r="B108" s="373" t="s">
        <v>990</v>
      </c>
      <c r="C108" s="631" t="s">
        <v>1645</v>
      </c>
      <c r="D108" s="364"/>
      <c r="P108" s="2324"/>
      <c r="Q108" s="2327"/>
      <c r="R108" s="2327"/>
      <c r="S108" s="2327"/>
      <c r="T108" s="2327"/>
      <c r="AG108" s="2" t="s">
        <v>2313</v>
      </c>
    </row>
    <row r="109" spans="1:33" ht="12.75" x14ac:dyDescent="0.2">
      <c r="A109" s="364"/>
      <c r="B109" s="373" t="s">
        <v>1535</v>
      </c>
      <c r="C109" s="631" t="s">
        <v>1645</v>
      </c>
      <c r="D109" s="364"/>
      <c r="P109" s="2324"/>
      <c r="Q109" s="2327"/>
      <c r="R109" s="2327"/>
      <c r="S109" s="2327"/>
      <c r="T109" s="2327"/>
      <c r="AG109" s="2" t="s">
        <v>2314</v>
      </c>
    </row>
    <row r="110" spans="1:33" ht="12.75" x14ac:dyDescent="0.2">
      <c r="A110" s="364"/>
      <c r="B110" s="373" t="s">
        <v>1536</v>
      </c>
      <c r="C110" s="631" t="s">
        <v>1645</v>
      </c>
      <c r="D110" s="364"/>
      <c r="P110" s="2324"/>
      <c r="Q110" s="2327"/>
      <c r="R110" s="2327"/>
      <c r="S110" s="2327"/>
      <c r="T110" s="2327"/>
      <c r="AG110" s="2" t="s">
        <v>2315</v>
      </c>
    </row>
    <row r="111" spans="1:33" ht="12.75" x14ac:dyDescent="0.2">
      <c r="A111" s="364"/>
      <c r="B111" s="373" t="s">
        <v>1537</v>
      </c>
      <c r="C111" s="631" t="s">
        <v>1645</v>
      </c>
      <c r="D111" s="364"/>
      <c r="P111" s="2324"/>
      <c r="Q111" s="2327"/>
      <c r="R111" s="2327"/>
      <c r="S111" s="2327"/>
      <c r="T111" s="2327"/>
      <c r="AG111" s="2" t="s">
        <v>2316</v>
      </c>
    </row>
    <row r="112" spans="1:33" ht="12.75" x14ac:dyDescent="0.2">
      <c r="A112" s="364"/>
      <c r="B112" s="373" t="s">
        <v>1538</v>
      </c>
      <c r="C112" s="631" t="s">
        <v>1645</v>
      </c>
      <c r="D112" s="364"/>
      <c r="P112" s="2324"/>
      <c r="Q112" s="2327"/>
      <c r="R112" s="2327"/>
      <c r="S112" s="2327"/>
      <c r="T112" s="2327"/>
      <c r="AG112" s="2" t="s">
        <v>2317</v>
      </c>
    </row>
    <row r="113" spans="1:33" ht="12.75" x14ac:dyDescent="0.2">
      <c r="A113" s="364"/>
      <c r="B113" s="373" t="s">
        <v>1539</v>
      </c>
      <c r="C113" s="631" t="s">
        <v>1645</v>
      </c>
      <c r="D113" s="364"/>
      <c r="P113" s="2324"/>
      <c r="Q113" s="2327"/>
      <c r="R113" s="2327"/>
      <c r="S113" s="2327"/>
      <c r="T113" s="2327"/>
      <c r="AG113" s="2" t="s">
        <v>2318</v>
      </c>
    </row>
    <row r="114" spans="1:33" ht="12.75" x14ac:dyDescent="0.2">
      <c r="A114" s="364"/>
      <c r="B114" s="373" t="s">
        <v>1540</v>
      </c>
      <c r="C114" s="631" t="s">
        <v>1645</v>
      </c>
      <c r="D114" s="364"/>
      <c r="P114" s="2324"/>
      <c r="Q114" s="2327"/>
      <c r="R114" s="2327"/>
      <c r="S114" s="2327"/>
      <c r="T114" s="2327"/>
      <c r="AG114" s="2" t="s">
        <v>2319</v>
      </c>
    </row>
    <row r="115" spans="1:33" ht="12.75" x14ac:dyDescent="0.2">
      <c r="A115" s="364"/>
      <c r="B115" s="373" t="s">
        <v>1541</v>
      </c>
      <c r="C115" s="631" t="s">
        <v>1645</v>
      </c>
      <c r="D115" s="364"/>
      <c r="P115" s="2324"/>
      <c r="Q115" s="2327"/>
      <c r="R115" s="2327"/>
      <c r="S115" s="2327"/>
      <c r="T115" s="2327"/>
      <c r="AG115" s="2" t="s">
        <v>2233</v>
      </c>
    </row>
    <row r="116" spans="1:33" ht="12.75" x14ac:dyDescent="0.2">
      <c r="A116" s="364"/>
      <c r="B116" s="373" t="s">
        <v>992</v>
      </c>
      <c r="C116" s="631" t="s">
        <v>1645</v>
      </c>
      <c r="D116" s="364"/>
      <c r="P116" s="2324"/>
      <c r="Q116" s="2327"/>
      <c r="R116" s="2327"/>
      <c r="S116" s="2327"/>
      <c r="T116" s="2327"/>
      <c r="AG116" s="2" t="s">
        <v>2320</v>
      </c>
    </row>
    <row r="117" spans="1:33" ht="12.75" x14ac:dyDescent="0.2">
      <c r="A117" s="364"/>
      <c r="B117" s="373" t="s">
        <v>1542</v>
      </c>
      <c r="C117" s="631" t="s">
        <v>1645</v>
      </c>
      <c r="D117" s="364"/>
      <c r="P117" s="2324"/>
      <c r="Q117" s="2327"/>
      <c r="R117" s="2327"/>
      <c r="S117" s="2327"/>
      <c r="T117" s="2327"/>
      <c r="AG117" s="2" t="s">
        <v>2321</v>
      </c>
    </row>
    <row r="118" spans="1:33" ht="12.75" x14ac:dyDescent="0.2">
      <c r="A118" s="364"/>
      <c r="B118" s="375" t="s">
        <v>2220</v>
      </c>
      <c r="C118" s="631" t="s">
        <v>1645</v>
      </c>
      <c r="D118" s="364"/>
      <c r="P118" s="2324"/>
      <c r="Q118" s="2327"/>
      <c r="R118" s="2327"/>
      <c r="S118" s="2327"/>
      <c r="T118" s="2327"/>
      <c r="AG118" s="2" t="s">
        <v>2233</v>
      </c>
    </row>
    <row r="119" spans="1:33" ht="12.75" x14ac:dyDescent="0.2">
      <c r="A119" s="364"/>
      <c r="B119" s="375" t="s">
        <v>2221</v>
      </c>
      <c r="C119" s="631" t="s">
        <v>1645</v>
      </c>
      <c r="D119" s="364"/>
      <c r="P119" s="2324"/>
      <c r="Q119" s="2327"/>
      <c r="R119" s="2327"/>
      <c r="S119" s="2327"/>
      <c r="T119" s="2327"/>
      <c r="AG119" s="2" t="s">
        <v>2326</v>
      </c>
    </row>
    <row r="120" spans="1:33" ht="12.75" x14ac:dyDescent="0.2">
      <c r="A120" s="364"/>
      <c r="B120" s="373" t="s">
        <v>994</v>
      </c>
      <c r="C120" s="631" t="s">
        <v>1645</v>
      </c>
      <c r="D120" s="364"/>
      <c r="P120" s="2324"/>
      <c r="Q120" s="2327"/>
      <c r="R120" s="2327"/>
      <c r="S120" s="2327"/>
      <c r="T120" s="2327"/>
      <c r="AG120" s="2" t="s">
        <v>2327</v>
      </c>
    </row>
    <row r="121" spans="1:33" ht="12.75" x14ac:dyDescent="0.2">
      <c r="A121" s="364"/>
      <c r="B121" s="373" t="s">
        <v>1543</v>
      </c>
      <c r="C121" s="631" t="s">
        <v>1645</v>
      </c>
      <c r="D121" s="364"/>
      <c r="P121" s="2324"/>
      <c r="Q121" s="2327"/>
      <c r="R121" s="2327"/>
      <c r="S121" s="2327"/>
      <c r="T121" s="2327"/>
      <c r="AG121" s="2" t="s">
        <v>2328</v>
      </c>
    </row>
    <row r="122" spans="1:33" ht="12.75" x14ac:dyDescent="0.2">
      <c r="A122" s="364"/>
      <c r="B122" s="373" t="s">
        <v>1544</v>
      </c>
      <c r="C122" s="631" t="s">
        <v>1645</v>
      </c>
      <c r="D122" s="364"/>
      <c r="P122" s="2324"/>
      <c r="Q122" s="2327"/>
      <c r="R122" s="2327"/>
      <c r="S122" s="2327"/>
      <c r="T122" s="2327"/>
      <c r="AG122" s="2" t="s">
        <v>2329</v>
      </c>
    </row>
    <row r="123" spans="1:33" ht="12.75" x14ac:dyDescent="0.2">
      <c r="A123" s="364"/>
      <c r="B123" s="373" t="s">
        <v>1545</v>
      </c>
      <c r="C123" s="631" t="s">
        <v>1645</v>
      </c>
      <c r="D123" s="364"/>
      <c r="P123" s="2324"/>
      <c r="Q123" s="2327"/>
      <c r="R123" s="2327"/>
      <c r="S123" s="2327"/>
      <c r="T123" s="2327"/>
      <c r="AG123" s="2" t="s">
        <v>2330</v>
      </c>
    </row>
    <row r="124" spans="1:33" ht="12.75" x14ac:dyDescent="0.2">
      <c r="A124" s="364"/>
      <c r="B124" s="373" t="s">
        <v>1546</v>
      </c>
      <c r="C124" s="631" t="s">
        <v>1645</v>
      </c>
      <c r="D124" s="364"/>
      <c r="P124" s="2324"/>
      <c r="Q124" s="2327"/>
      <c r="R124" s="2327"/>
      <c r="S124" s="2327"/>
      <c r="T124" s="2327"/>
      <c r="AG124" s="2" t="s">
        <v>2331</v>
      </c>
    </row>
    <row r="125" spans="1:33" ht="12.75" x14ac:dyDescent="0.2">
      <c r="A125" s="364"/>
      <c r="B125" s="373" t="s">
        <v>995</v>
      </c>
      <c r="C125" s="377" t="s">
        <v>1645</v>
      </c>
      <c r="D125" s="364"/>
      <c r="P125" s="2324"/>
      <c r="Q125" s="2327"/>
      <c r="R125" s="2327"/>
      <c r="S125" s="2327"/>
      <c r="T125" s="2327"/>
    </row>
    <row r="126" spans="1:33" ht="12.75" x14ac:dyDescent="0.2">
      <c r="A126" s="364"/>
      <c r="B126" s="373" t="s">
        <v>1547</v>
      </c>
      <c r="C126" s="377" t="s">
        <v>1645</v>
      </c>
      <c r="D126" s="364"/>
      <c r="P126" s="2324"/>
      <c r="Q126" s="2327"/>
      <c r="R126" s="2327"/>
      <c r="S126" s="2327"/>
      <c r="T126" s="2327"/>
    </row>
    <row r="127" spans="1:33" ht="12.75" x14ac:dyDescent="0.2">
      <c r="A127" s="364"/>
      <c r="B127" s="373" t="s">
        <v>2516</v>
      </c>
      <c r="C127" s="377" t="s">
        <v>1645</v>
      </c>
      <c r="D127" s="364"/>
      <c r="P127" s="2324"/>
      <c r="Q127" s="2327"/>
      <c r="R127" s="2327"/>
      <c r="S127" s="2327"/>
      <c r="T127" s="2327"/>
    </row>
    <row r="128" spans="1:33" ht="12.75" x14ac:dyDescent="0.2">
      <c r="A128" s="364"/>
      <c r="B128" s="373" t="s">
        <v>1548</v>
      </c>
      <c r="C128" s="377" t="s">
        <v>1645</v>
      </c>
      <c r="D128" s="364"/>
      <c r="P128" s="2324"/>
      <c r="Q128" s="2327"/>
      <c r="R128" s="2327"/>
      <c r="S128" s="2327"/>
      <c r="T128" s="2327"/>
    </row>
    <row r="129" spans="1:4" ht="12.75" x14ac:dyDescent="0.2">
      <c r="A129" s="364"/>
      <c r="B129" s="373" t="s">
        <v>996</v>
      </c>
      <c r="C129" s="377" t="s">
        <v>1645</v>
      </c>
      <c r="D129" s="364"/>
    </row>
    <row r="130" spans="1:4" ht="12.75" x14ac:dyDescent="0.2">
      <c r="A130" s="364"/>
      <c r="B130" s="373" t="s">
        <v>1549</v>
      </c>
      <c r="C130" s="377" t="s">
        <v>1645</v>
      </c>
      <c r="D130" s="364"/>
    </row>
    <row r="131" spans="1:4" ht="12.75" x14ac:dyDescent="0.2">
      <c r="A131" s="364"/>
      <c r="B131" s="373" t="s">
        <v>1550</v>
      </c>
      <c r="C131" s="377" t="s">
        <v>1645</v>
      </c>
      <c r="D131" s="364"/>
    </row>
    <row r="132" spans="1:4" ht="12.75" x14ac:dyDescent="0.2">
      <c r="A132" s="364"/>
      <c r="B132" s="373" t="s">
        <v>39</v>
      </c>
      <c r="C132" s="377" t="s">
        <v>1645</v>
      </c>
      <c r="D132" s="364"/>
    </row>
    <row r="133" spans="1:4" ht="12.75" x14ac:dyDescent="0.2">
      <c r="A133" s="364"/>
      <c r="B133" s="373" t="s">
        <v>40</v>
      </c>
      <c r="C133" s="377" t="s">
        <v>1645</v>
      </c>
      <c r="D133" s="364"/>
    </row>
    <row r="134" spans="1:4" ht="12.75" x14ac:dyDescent="0.2">
      <c r="A134" s="364"/>
      <c r="B134" s="373" t="s">
        <v>41</v>
      </c>
      <c r="C134" s="377" t="s">
        <v>1645</v>
      </c>
      <c r="D134" s="364"/>
    </row>
    <row r="135" spans="1:4" ht="12.75" x14ac:dyDescent="0.2">
      <c r="A135" s="364"/>
      <c r="B135" s="373" t="s">
        <v>998</v>
      </c>
      <c r="C135" s="378" t="s">
        <v>1645</v>
      </c>
      <c r="D135" s="364"/>
    </row>
    <row r="136" spans="1:4" ht="12.75" x14ac:dyDescent="0.2">
      <c r="A136" s="364"/>
      <c r="B136" s="373" t="s">
        <v>42</v>
      </c>
      <c r="C136" s="378" t="s">
        <v>1645</v>
      </c>
      <c r="D136" s="364"/>
    </row>
    <row r="137" spans="1:4" ht="12.75" x14ac:dyDescent="0.2">
      <c r="A137" s="364"/>
      <c r="B137" s="373" t="s">
        <v>43</v>
      </c>
      <c r="C137" s="378" t="s">
        <v>1645</v>
      </c>
      <c r="D137" s="364"/>
    </row>
    <row r="138" spans="1:4" ht="12.75" x14ac:dyDescent="0.2">
      <c r="A138" s="364"/>
      <c r="B138" s="373" t="s">
        <v>44</v>
      </c>
      <c r="C138" s="378" t="s">
        <v>1645</v>
      </c>
      <c r="D138" s="364"/>
    </row>
    <row r="139" spans="1:4" ht="12.75" x14ac:dyDescent="0.2">
      <c r="A139" s="364"/>
      <c r="B139" s="375" t="s">
        <v>2517</v>
      </c>
      <c r="C139" s="378" t="s">
        <v>1645</v>
      </c>
      <c r="D139" s="364"/>
    </row>
    <row r="140" spans="1:4" ht="12.75" x14ac:dyDescent="0.2">
      <c r="A140" s="364"/>
      <c r="B140" s="373" t="s">
        <v>1000</v>
      </c>
      <c r="C140" s="378" t="s">
        <v>1645</v>
      </c>
      <c r="D140" s="364"/>
    </row>
    <row r="141" spans="1:4" ht="12.75" x14ac:dyDescent="0.2">
      <c r="A141" s="364"/>
      <c r="B141" s="373" t="s">
        <v>1649</v>
      </c>
      <c r="C141" s="378" t="s">
        <v>1645</v>
      </c>
      <c r="D141" s="364"/>
    </row>
    <row r="142" spans="1:4" ht="12.75" x14ac:dyDescent="0.2">
      <c r="A142" s="364"/>
      <c r="B142" s="373" t="s">
        <v>45</v>
      </c>
      <c r="C142" s="378" t="s">
        <v>1645</v>
      </c>
      <c r="D142" s="364"/>
    </row>
    <row r="143" spans="1:4" ht="12.75" x14ac:dyDescent="0.2">
      <c r="A143" s="364"/>
      <c r="B143" s="373" t="s">
        <v>1650</v>
      </c>
      <c r="C143" s="378" t="s">
        <v>1645</v>
      </c>
      <c r="D143" s="364"/>
    </row>
    <row r="144" spans="1:4" ht="12.75" x14ac:dyDescent="0.2">
      <c r="A144" s="364"/>
      <c r="B144" s="373" t="s">
        <v>46</v>
      </c>
      <c r="C144" s="378" t="s">
        <v>1645</v>
      </c>
      <c r="D144" s="364"/>
    </row>
    <row r="145" spans="1:4" ht="12.75" x14ac:dyDescent="0.2">
      <c r="A145" s="364"/>
      <c r="B145" s="373" t="s">
        <v>47</v>
      </c>
      <c r="C145" s="378" t="s">
        <v>1645</v>
      </c>
      <c r="D145" s="364"/>
    </row>
    <row r="146" spans="1:4" ht="12.75" x14ac:dyDescent="0.2">
      <c r="A146" s="364"/>
      <c r="B146" s="373" t="s">
        <v>2222</v>
      </c>
      <c r="C146" s="378" t="s">
        <v>1645</v>
      </c>
      <c r="D146" s="364"/>
    </row>
    <row r="147" spans="1:4" ht="12.75" x14ac:dyDescent="0.2">
      <c r="A147" s="364"/>
      <c r="B147" s="373" t="s">
        <v>48</v>
      </c>
      <c r="C147" s="378" t="s">
        <v>1645</v>
      </c>
      <c r="D147" s="364"/>
    </row>
    <row r="148" spans="1:4" ht="12.75" x14ac:dyDescent="0.2">
      <c r="A148" s="364"/>
      <c r="B148" s="373" t="s">
        <v>49</v>
      </c>
      <c r="C148" s="378" t="s">
        <v>1645</v>
      </c>
      <c r="D148" s="364"/>
    </row>
    <row r="149" spans="1:4" ht="12.75" x14ac:dyDescent="0.2">
      <c r="A149" s="364"/>
      <c r="B149" s="373" t="s">
        <v>50</v>
      </c>
      <c r="C149" s="378" t="s">
        <v>1645</v>
      </c>
      <c r="D149" s="364"/>
    </row>
    <row r="150" spans="1:4" ht="12.75" x14ac:dyDescent="0.2">
      <c r="A150" s="364"/>
      <c r="B150" s="373" t="s">
        <v>51</v>
      </c>
      <c r="C150" s="378" t="s">
        <v>1645</v>
      </c>
      <c r="D150" s="364"/>
    </row>
    <row r="151" spans="1:4" ht="12.75" x14ac:dyDescent="0.2">
      <c r="A151" s="364"/>
      <c r="B151" s="373" t="s">
        <v>1005</v>
      </c>
      <c r="C151" s="378" t="s">
        <v>1645</v>
      </c>
      <c r="D151" s="364"/>
    </row>
    <row r="152" spans="1:4" ht="12.75" x14ac:dyDescent="0.2">
      <c r="A152" s="364"/>
      <c r="B152" s="373" t="s">
        <v>52</v>
      </c>
      <c r="C152" s="378" t="s">
        <v>1645</v>
      </c>
      <c r="D152" s="364"/>
    </row>
    <row r="153" spans="1:4" ht="12.75" x14ac:dyDescent="0.2">
      <c r="A153" s="364"/>
      <c r="B153" s="373" t="s">
        <v>53</v>
      </c>
      <c r="C153" s="378" t="s">
        <v>1645</v>
      </c>
      <c r="D153" s="364"/>
    </row>
    <row r="154" spans="1:4" ht="12.75" x14ac:dyDescent="0.2">
      <c r="A154" s="364"/>
      <c r="B154" s="373" t="s">
        <v>54</v>
      </c>
      <c r="C154" s="378" t="s">
        <v>1645</v>
      </c>
      <c r="D154" s="364"/>
    </row>
    <row r="155" spans="1:4" ht="12.75" x14ac:dyDescent="0.2">
      <c r="A155" s="364"/>
      <c r="B155" s="375" t="s">
        <v>2223</v>
      </c>
      <c r="C155" s="378" t="s">
        <v>1645</v>
      </c>
      <c r="D155" s="364"/>
    </row>
    <row r="156" spans="1:4" ht="12.75" x14ac:dyDescent="0.2">
      <c r="A156" s="364"/>
      <c r="B156" s="373" t="s">
        <v>2009</v>
      </c>
      <c r="C156" s="378" t="s">
        <v>1645</v>
      </c>
      <c r="D156" s="364"/>
    </row>
    <row r="157" spans="1:4" ht="12.75" x14ac:dyDescent="0.2">
      <c r="A157" s="364"/>
      <c r="B157" s="373" t="s">
        <v>55</v>
      </c>
      <c r="C157" s="378" t="s">
        <v>1982</v>
      </c>
      <c r="D157" s="364"/>
    </row>
    <row r="158" spans="1:4" ht="12.75" x14ac:dyDescent="0.2">
      <c r="A158" s="364"/>
      <c r="B158" s="373" t="s">
        <v>56</v>
      </c>
      <c r="C158" s="378" t="s">
        <v>1982</v>
      </c>
      <c r="D158" s="364"/>
    </row>
    <row r="159" spans="1:4" ht="12.75" x14ac:dyDescent="0.2">
      <c r="A159" s="364"/>
      <c r="B159" s="373" t="s">
        <v>57</v>
      </c>
      <c r="C159" s="378" t="s">
        <v>1982</v>
      </c>
      <c r="D159" s="364"/>
    </row>
    <row r="160" spans="1:4" ht="12.75" x14ac:dyDescent="0.2">
      <c r="A160" s="364"/>
      <c r="B160" s="373" t="s">
        <v>58</v>
      </c>
      <c r="C160" s="378" t="s">
        <v>1982</v>
      </c>
      <c r="D160" s="364"/>
    </row>
    <row r="161" spans="1:4" ht="12.75" x14ac:dyDescent="0.2">
      <c r="A161" s="364"/>
      <c r="B161" s="373" t="s">
        <v>59</v>
      </c>
      <c r="C161" s="378" t="s">
        <v>1982</v>
      </c>
      <c r="D161" s="364"/>
    </row>
    <row r="162" spans="1:4" ht="12.75" x14ac:dyDescent="0.2">
      <c r="A162" s="364"/>
      <c r="B162" s="373" t="s">
        <v>1014</v>
      </c>
      <c r="C162" s="378" t="s">
        <v>1982</v>
      </c>
      <c r="D162" s="364"/>
    </row>
    <row r="163" spans="1:4" ht="12.75" x14ac:dyDescent="0.2">
      <c r="A163" s="364"/>
      <c r="B163" s="373" t="s">
        <v>60</v>
      </c>
      <c r="C163" s="378" t="s">
        <v>1982</v>
      </c>
      <c r="D163" s="364"/>
    </row>
    <row r="164" spans="1:4" ht="12.75" x14ac:dyDescent="0.2">
      <c r="A164" s="364"/>
      <c r="B164" s="373" t="s">
        <v>61</v>
      </c>
      <c r="C164" s="378" t="s">
        <v>1982</v>
      </c>
      <c r="D164" s="364"/>
    </row>
    <row r="165" spans="1:4" ht="12.75" x14ac:dyDescent="0.2">
      <c r="A165" s="364"/>
      <c r="B165" s="373" t="s">
        <v>62</v>
      </c>
      <c r="C165" s="378" t="s">
        <v>1982</v>
      </c>
      <c r="D165" s="364"/>
    </row>
    <row r="166" spans="1:4" ht="12.75" x14ac:dyDescent="0.2">
      <c r="A166" s="364"/>
      <c r="B166" s="375" t="s">
        <v>2518</v>
      </c>
      <c r="C166" s="378" t="s">
        <v>1982</v>
      </c>
      <c r="D166" s="364"/>
    </row>
    <row r="167" spans="1:4" ht="12.75" x14ac:dyDescent="0.2">
      <c r="A167" s="364"/>
      <c r="B167" s="373" t="s">
        <v>1017</v>
      </c>
      <c r="C167" s="378" t="s">
        <v>1982</v>
      </c>
      <c r="D167" s="364"/>
    </row>
    <row r="168" spans="1:4" ht="12.75" x14ac:dyDescent="0.2">
      <c r="A168" s="364"/>
      <c r="B168" s="373" t="s">
        <v>63</v>
      </c>
      <c r="C168" s="378" t="s">
        <v>1982</v>
      </c>
      <c r="D168" s="364"/>
    </row>
    <row r="169" spans="1:4" ht="12.75" x14ac:dyDescent="0.2">
      <c r="A169" s="364"/>
      <c r="B169" s="373" t="s">
        <v>64</v>
      </c>
      <c r="C169" s="378" t="s">
        <v>1982</v>
      </c>
      <c r="D169" s="364"/>
    </row>
    <row r="170" spans="1:4" ht="12.75" x14ac:dyDescent="0.2">
      <c r="A170" s="364"/>
      <c r="B170" s="373" t="s">
        <v>65</v>
      </c>
      <c r="C170" s="378" t="s">
        <v>1982</v>
      </c>
      <c r="D170" s="364"/>
    </row>
    <row r="171" spans="1:4" ht="12.75" x14ac:dyDescent="0.2">
      <c r="A171" s="364"/>
      <c r="B171" s="373" t="s">
        <v>66</v>
      </c>
      <c r="C171" s="378" t="s">
        <v>1982</v>
      </c>
      <c r="D171" s="364"/>
    </row>
    <row r="172" spans="1:4" ht="12.75" x14ac:dyDescent="0.2">
      <c r="A172" s="364"/>
      <c r="B172" s="373" t="s">
        <v>1018</v>
      </c>
      <c r="C172" s="378" t="s">
        <v>1982</v>
      </c>
      <c r="D172" s="364"/>
    </row>
    <row r="173" spans="1:4" ht="12.75" x14ac:dyDescent="0.2">
      <c r="A173" s="364"/>
      <c r="B173" s="373" t="s">
        <v>67</v>
      </c>
      <c r="C173" s="378" t="s">
        <v>1982</v>
      </c>
      <c r="D173" s="364"/>
    </row>
    <row r="174" spans="1:4" ht="12.75" x14ac:dyDescent="0.2">
      <c r="A174" s="364"/>
      <c r="B174" s="373" t="s">
        <v>68</v>
      </c>
      <c r="C174" s="378" t="s">
        <v>1982</v>
      </c>
      <c r="D174" s="364"/>
    </row>
    <row r="175" spans="1:4" ht="12.75" x14ac:dyDescent="0.2">
      <c r="A175" s="364"/>
      <c r="B175" s="373" t="s">
        <v>69</v>
      </c>
      <c r="C175" s="378" t="s">
        <v>1982</v>
      </c>
      <c r="D175" s="364"/>
    </row>
    <row r="176" spans="1:4" ht="12.75" x14ac:dyDescent="0.2">
      <c r="A176" s="364"/>
      <c r="B176" s="373" t="s">
        <v>70</v>
      </c>
      <c r="C176" s="378" t="s">
        <v>1982</v>
      </c>
      <c r="D176" s="364"/>
    </row>
    <row r="177" spans="1:4" ht="12.75" x14ac:dyDescent="0.2">
      <c r="A177" s="364"/>
      <c r="B177" s="375" t="s">
        <v>2224</v>
      </c>
      <c r="C177" s="378" t="s">
        <v>1982</v>
      </c>
      <c r="D177" s="364"/>
    </row>
    <row r="178" spans="1:4" ht="12.75" x14ac:dyDescent="0.2">
      <c r="A178" s="364"/>
      <c r="B178" s="373" t="s">
        <v>1019</v>
      </c>
      <c r="C178" s="378" t="s">
        <v>1982</v>
      </c>
      <c r="D178" s="364"/>
    </row>
    <row r="179" spans="1:4" ht="12.75" x14ac:dyDescent="0.2">
      <c r="A179" s="364"/>
      <c r="B179" s="373" t="s">
        <v>1651</v>
      </c>
      <c r="C179" s="377" t="s">
        <v>1982</v>
      </c>
      <c r="D179" s="364"/>
    </row>
    <row r="180" spans="1:4" ht="12.75" x14ac:dyDescent="0.2">
      <c r="A180" s="364"/>
      <c r="B180" s="373" t="s">
        <v>71</v>
      </c>
      <c r="C180" s="377" t="s">
        <v>1982</v>
      </c>
      <c r="D180" s="364"/>
    </row>
    <row r="181" spans="1:4" ht="12.75" x14ac:dyDescent="0.2">
      <c r="A181" s="364"/>
      <c r="B181" s="373" t="s">
        <v>1652</v>
      </c>
      <c r="C181" s="377" t="s">
        <v>1982</v>
      </c>
      <c r="D181" s="364"/>
    </row>
    <row r="182" spans="1:4" ht="12.75" x14ac:dyDescent="0.2">
      <c r="A182" s="364"/>
      <c r="B182" s="375" t="s">
        <v>2519</v>
      </c>
      <c r="C182" s="377" t="s">
        <v>1982</v>
      </c>
      <c r="D182" s="364"/>
    </row>
    <row r="183" spans="1:4" ht="12.75" x14ac:dyDescent="0.2">
      <c r="A183" s="364"/>
      <c r="B183" s="373" t="s">
        <v>1708</v>
      </c>
      <c r="C183" s="377" t="s">
        <v>1982</v>
      </c>
      <c r="D183" s="364"/>
    </row>
    <row r="184" spans="1:4" ht="12.75" x14ac:dyDescent="0.2">
      <c r="A184" s="364"/>
      <c r="B184" s="373" t="s">
        <v>714</v>
      </c>
      <c r="C184" s="377" t="s">
        <v>1009</v>
      </c>
      <c r="D184" s="364"/>
    </row>
    <row r="185" spans="1:4" ht="12.75" x14ac:dyDescent="0.2">
      <c r="A185" s="364"/>
      <c r="B185" s="373" t="s">
        <v>715</v>
      </c>
      <c r="C185" s="377" t="s">
        <v>1009</v>
      </c>
      <c r="D185" s="364"/>
    </row>
    <row r="186" spans="1:4" ht="12.75" x14ac:dyDescent="0.2">
      <c r="A186" s="364"/>
      <c r="B186" s="373" t="s">
        <v>716</v>
      </c>
      <c r="C186" s="377" t="s">
        <v>1009</v>
      </c>
      <c r="D186" s="364"/>
    </row>
    <row r="187" spans="1:4" ht="12.75" x14ac:dyDescent="0.2">
      <c r="A187" s="364"/>
      <c r="B187" s="373" t="s">
        <v>1653</v>
      </c>
      <c r="C187" s="377" t="s">
        <v>1009</v>
      </c>
      <c r="D187" s="364"/>
    </row>
    <row r="188" spans="1:4" ht="12.75" x14ac:dyDescent="0.2">
      <c r="A188" s="364"/>
      <c r="B188" s="373" t="s">
        <v>717</v>
      </c>
      <c r="C188" s="377" t="s">
        <v>1009</v>
      </c>
      <c r="D188" s="364"/>
    </row>
    <row r="189" spans="1:4" ht="12.75" x14ac:dyDescent="0.2">
      <c r="A189" s="364"/>
      <c r="B189" s="373" t="s">
        <v>718</v>
      </c>
      <c r="C189" s="377" t="s">
        <v>1009</v>
      </c>
      <c r="D189" s="364"/>
    </row>
    <row r="190" spans="1:4" ht="12.75" x14ac:dyDescent="0.2">
      <c r="A190" s="364"/>
      <c r="B190" s="373" t="s">
        <v>719</v>
      </c>
      <c r="C190" s="377" t="s">
        <v>1009</v>
      </c>
      <c r="D190" s="364"/>
    </row>
    <row r="191" spans="1:4" ht="12.75" x14ac:dyDescent="0.2">
      <c r="A191" s="364"/>
      <c r="B191" s="373" t="s">
        <v>1008</v>
      </c>
      <c r="C191" s="377" t="s">
        <v>1009</v>
      </c>
      <c r="D191" s="364"/>
    </row>
    <row r="192" spans="1:4" ht="12.75" x14ac:dyDescent="0.2">
      <c r="A192" s="364"/>
      <c r="B192" s="373" t="s">
        <v>1654</v>
      </c>
      <c r="C192" s="377" t="s">
        <v>1009</v>
      </c>
      <c r="D192" s="364"/>
    </row>
    <row r="193" spans="1:4" ht="12.75" x14ac:dyDescent="0.2">
      <c r="A193" s="364"/>
      <c r="B193" s="373" t="s">
        <v>1713</v>
      </c>
      <c r="C193" s="377" t="s">
        <v>1009</v>
      </c>
      <c r="D193" s="364"/>
    </row>
    <row r="194" spans="1:4" ht="12.75" x14ac:dyDescent="0.2">
      <c r="A194" s="364"/>
      <c r="B194" s="373" t="s">
        <v>720</v>
      </c>
      <c r="C194" s="377" t="s">
        <v>1009</v>
      </c>
      <c r="D194" s="364"/>
    </row>
    <row r="195" spans="1:4" ht="12.75" x14ac:dyDescent="0.2">
      <c r="A195" s="364"/>
      <c r="B195" s="373" t="s">
        <v>721</v>
      </c>
      <c r="C195" s="377" t="s">
        <v>1009</v>
      </c>
      <c r="D195" s="364"/>
    </row>
    <row r="196" spans="1:4" ht="12.75" x14ac:dyDescent="0.2">
      <c r="A196" s="364"/>
      <c r="B196" s="373" t="s">
        <v>1714</v>
      </c>
      <c r="C196" s="377" t="s">
        <v>1009</v>
      </c>
      <c r="D196" s="364"/>
    </row>
    <row r="197" spans="1:4" ht="12.75" x14ac:dyDescent="0.2">
      <c r="A197" s="364"/>
      <c r="B197" s="373" t="s">
        <v>72</v>
      </c>
      <c r="C197" s="377" t="s">
        <v>1009</v>
      </c>
      <c r="D197" s="364"/>
    </row>
    <row r="198" spans="1:4" ht="12.75" x14ac:dyDescent="0.2">
      <c r="A198" s="364"/>
      <c r="B198" s="373" t="s">
        <v>1011</v>
      </c>
      <c r="C198" s="377" t="s">
        <v>1009</v>
      </c>
      <c r="D198" s="364"/>
    </row>
    <row r="199" spans="1:4" ht="12.75" x14ac:dyDescent="0.2">
      <c r="A199" s="364"/>
      <c r="B199" s="373" t="s">
        <v>722</v>
      </c>
      <c r="C199" s="377" t="s">
        <v>1009</v>
      </c>
      <c r="D199" s="364"/>
    </row>
    <row r="200" spans="1:4" ht="12.75" x14ac:dyDescent="0.2">
      <c r="A200" s="364"/>
      <c r="B200" s="373" t="s">
        <v>723</v>
      </c>
      <c r="C200" s="377" t="s">
        <v>1009</v>
      </c>
      <c r="D200" s="364"/>
    </row>
    <row r="201" spans="1:4" ht="12.75" x14ac:dyDescent="0.2">
      <c r="A201" s="364"/>
      <c r="B201" s="373" t="s">
        <v>724</v>
      </c>
      <c r="C201" s="377" t="s">
        <v>1009</v>
      </c>
      <c r="D201" s="364"/>
    </row>
    <row r="202" spans="1:4" ht="12.75" x14ac:dyDescent="0.2">
      <c r="A202" s="364"/>
      <c r="B202" s="375" t="s">
        <v>2225</v>
      </c>
      <c r="C202" s="377" t="s">
        <v>1009</v>
      </c>
      <c r="D202" s="364"/>
    </row>
    <row r="203" spans="1:4" ht="12.75" x14ac:dyDescent="0.2">
      <c r="A203" s="364"/>
      <c r="B203" s="373" t="s">
        <v>1012</v>
      </c>
      <c r="C203" s="377" t="s">
        <v>1009</v>
      </c>
      <c r="D203" s="364"/>
    </row>
    <row r="204" spans="1:4" ht="12.75" x14ac:dyDescent="0.2">
      <c r="A204" s="364"/>
      <c r="B204" s="373" t="s">
        <v>1655</v>
      </c>
      <c r="C204" s="377" t="s">
        <v>1036</v>
      </c>
      <c r="D204" s="364"/>
    </row>
    <row r="205" spans="1:4" ht="12.75" x14ac:dyDescent="0.2">
      <c r="A205" s="364"/>
      <c r="B205" s="373" t="s">
        <v>225</v>
      </c>
      <c r="C205" s="377" t="s">
        <v>1036</v>
      </c>
      <c r="D205" s="364"/>
    </row>
    <row r="206" spans="1:4" ht="12.75" x14ac:dyDescent="0.2">
      <c r="A206" s="364"/>
      <c r="B206" s="373" t="s">
        <v>226</v>
      </c>
      <c r="C206" s="377" t="s">
        <v>1036</v>
      </c>
      <c r="D206" s="364"/>
    </row>
    <row r="207" spans="1:4" ht="12.75" x14ac:dyDescent="0.2">
      <c r="A207" s="364"/>
      <c r="B207" s="373" t="s">
        <v>1646</v>
      </c>
      <c r="C207" s="377" t="s">
        <v>1036</v>
      </c>
      <c r="D207" s="364"/>
    </row>
    <row r="208" spans="1:4" ht="12.75" x14ac:dyDescent="0.2">
      <c r="A208" s="364"/>
      <c r="B208" s="373" t="s">
        <v>725</v>
      </c>
      <c r="C208" s="377" t="s">
        <v>1036</v>
      </c>
      <c r="D208" s="364"/>
    </row>
    <row r="209" spans="1:4" ht="12.75" x14ac:dyDescent="0.2">
      <c r="A209" s="364"/>
      <c r="B209" s="373" t="s">
        <v>726</v>
      </c>
      <c r="C209" s="377" t="s">
        <v>1036</v>
      </c>
      <c r="D209" s="364"/>
    </row>
    <row r="210" spans="1:4" ht="12.75" x14ac:dyDescent="0.2">
      <c r="A210" s="364"/>
      <c r="B210" s="373" t="s">
        <v>727</v>
      </c>
      <c r="C210" s="377" t="s">
        <v>1036</v>
      </c>
      <c r="D210" s="364"/>
    </row>
    <row r="211" spans="1:4" ht="12.75" x14ac:dyDescent="0.2">
      <c r="A211" s="364"/>
      <c r="B211" s="373" t="s">
        <v>728</v>
      </c>
      <c r="C211" s="377" t="s">
        <v>1036</v>
      </c>
      <c r="D211" s="364"/>
    </row>
    <row r="212" spans="1:4" ht="12.75" x14ac:dyDescent="0.2">
      <c r="A212" s="364"/>
      <c r="B212" s="373" t="s">
        <v>729</v>
      </c>
      <c r="C212" s="377" t="s">
        <v>1036</v>
      </c>
      <c r="D212" s="364"/>
    </row>
    <row r="213" spans="1:4" ht="12.75" x14ac:dyDescent="0.2">
      <c r="A213" s="364"/>
      <c r="B213" s="373" t="s">
        <v>730</v>
      </c>
      <c r="C213" s="377" t="s">
        <v>1036</v>
      </c>
      <c r="D213" s="364"/>
    </row>
    <row r="214" spans="1:4" ht="12.75" x14ac:dyDescent="0.2">
      <c r="A214" s="364"/>
      <c r="B214" s="373" t="s">
        <v>1035</v>
      </c>
      <c r="C214" s="377" t="s">
        <v>1036</v>
      </c>
      <c r="D214" s="364"/>
    </row>
    <row r="215" spans="1:4" ht="12.75" x14ac:dyDescent="0.2">
      <c r="A215" s="364"/>
      <c r="B215" s="373" t="s">
        <v>1104</v>
      </c>
      <c r="C215" s="377" t="s">
        <v>1036</v>
      </c>
      <c r="D215" s="364"/>
    </row>
    <row r="216" spans="1:4" ht="12.75" x14ac:dyDescent="0.2">
      <c r="A216" s="364"/>
      <c r="B216" s="373" t="s">
        <v>1105</v>
      </c>
      <c r="C216" s="377" t="s">
        <v>1036</v>
      </c>
      <c r="D216" s="364"/>
    </row>
    <row r="217" spans="1:4" ht="12.75" x14ac:dyDescent="0.2">
      <c r="A217" s="364"/>
      <c r="B217" s="373" t="s">
        <v>1106</v>
      </c>
      <c r="C217" s="377" t="s">
        <v>1036</v>
      </c>
      <c r="D217" s="364"/>
    </row>
    <row r="218" spans="1:4" ht="12.75" x14ac:dyDescent="0.2">
      <c r="A218" s="364"/>
      <c r="B218" s="373" t="s">
        <v>1107</v>
      </c>
      <c r="C218" s="377" t="s">
        <v>1036</v>
      </c>
      <c r="D218" s="364"/>
    </row>
    <row r="219" spans="1:4" ht="12.75" x14ac:dyDescent="0.2">
      <c r="A219" s="364"/>
      <c r="B219" s="373" t="s">
        <v>1108</v>
      </c>
      <c r="C219" s="377" t="s">
        <v>1036</v>
      </c>
      <c r="D219" s="364"/>
    </row>
    <row r="220" spans="1:4" ht="12.75" x14ac:dyDescent="0.2">
      <c r="A220" s="364"/>
      <c r="B220" s="373" t="s">
        <v>1109</v>
      </c>
      <c r="C220" s="377" t="s">
        <v>1036</v>
      </c>
      <c r="D220" s="364"/>
    </row>
    <row r="221" spans="1:4" ht="12.75" x14ac:dyDescent="0.2">
      <c r="A221" s="364"/>
      <c r="B221" s="373" t="s">
        <v>215</v>
      </c>
      <c r="C221" s="377" t="s">
        <v>1036</v>
      </c>
      <c r="D221" s="364"/>
    </row>
    <row r="222" spans="1:4" ht="12.75" x14ac:dyDescent="0.2">
      <c r="A222" s="364"/>
      <c r="B222" s="373" t="s">
        <v>216</v>
      </c>
      <c r="C222" s="377" t="s">
        <v>1036</v>
      </c>
      <c r="D222" s="364"/>
    </row>
    <row r="223" spans="1:4" ht="12.75" x14ac:dyDescent="0.2">
      <c r="A223" s="364"/>
      <c r="B223" s="373" t="s">
        <v>1709</v>
      </c>
      <c r="C223" s="377" t="s">
        <v>1036</v>
      </c>
      <c r="D223" s="364"/>
    </row>
    <row r="224" spans="1:4" ht="12.75" x14ac:dyDescent="0.2">
      <c r="A224" s="364"/>
      <c r="B224" s="373" t="s">
        <v>217</v>
      </c>
      <c r="C224" s="377" t="s">
        <v>1036</v>
      </c>
      <c r="D224" s="364"/>
    </row>
    <row r="225" spans="1:4" ht="12.75" x14ac:dyDescent="0.2">
      <c r="A225" s="364"/>
      <c r="B225" s="373" t="s">
        <v>218</v>
      </c>
      <c r="C225" s="377" t="s">
        <v>1036</v>
      </c>
      <c r="D225" s="364"/>
    </row>
    <row r="226" spans="1:4" ht="12.75" x14ac:dyDescent="0.2">
      <c r="A226" s="364"/>
      <c r="B226" s="373" t="s">
        <v>219</v>
      </c>
      <c r="C226" s="377" t="s">
        <v>1036</v>
      </c>
      <c r="D226" s="364"/>
    </row>
    <row r="227" spans="1:4" ht="12.75" x14ac:dyDescent="0.2">
      <c r="A227" s="364"/>
      <c r="B227" s="373" t="s">
        <v>220</v>
      </c>
      <c r="C227" s="377" t="s">
        <v>1036</v>
      </c>
      <c r="D227" s="364"/>
    </row>
    <row r="228" spans="1:4" ht="12.75" x14ac:dyDescent="0.2">
      <c r="A228" s="364"/>
      <c r="B228" s="375" t="s">
        <v>2226</v>
      </c>
      <c r="C228" s="377" t="s">
        <v>1036</v>
      </c>
      <c r="D228" s="364"/>
    </row>
    <row r="229" spans="1:4" ht="12.75" x14ac:dyDescent="0.2">
      <c r="A229" s="364"/>
      <c r="B229" s="373" t="s">
        <v>2227</v>
      </c>
      <c r="C229" s="377" t="s">
        <v>1036</v>
      </c>
      <c r="D229" s="364"/>
    </row>
    <row r="230" spans="1:4" ht="12.75" x14ac:dyDescent="0.2">
      <c r="A230" s="364"/>
      <c r="B230" s="373" t="s">
        <v>221</v>
      </c>
      <c r="C230" s="377" t="s">
        <v>1036</v>
      </c>
      <c r="D230" s="364"/>
    </row>
    <row r="231" spans="1:4" ht="12.75" x14ac:dyDescent="0.2">
      <c r="A231" s="364"/>
      <c r="B231" s="373" t="s">
        <v>222</v>
      </c>
      <c r="C231" s="377" t="s">
        <v>1036</v>
      </c>
      <c r="D231" s="364"/>
    </row>
    <row r="232" spans="1:4" ht="12.75" x14ac:dyDescent="0.2">
      <c r="A232" s="364"/>
      <c r="B232" s="373" t="s">
        <v>223</v>
      </c>
      <c r="C232" s="377" t="s">
        <v>1036</v>
      </c>
      <c r="D232" s="364"/>
    </row>
    <row r="233" spans="1:4" ht="12.75" x14ac:dyDescent="0.2">
      <c r="A233" s="364"/>
      <c r="B233" s="373" t="s">
        <v>224</v>
      </c>
      <c r="C233" s="377" t="s">
        <v>1036</v>
      </c>
      <c r="D233" s="364"/>
    </row>
    <row r="234" spans="1:4" ht="12.75" x14ac:dyDescent="0.2">
      <c r="A234" s="364"/>
      <c r="B234" s="373" t="s">
        <v>1037</v>
      </c>
      <c r="C234" s="377" t="s">
        <v>1036</v>
      </c>
      <c r="D234" s="364"/>
    </row>
    <row r="235" spans="1:4" ht="12.75" x14ac:dyDescent="0.2">
      <c r="A235" s="364"/>
      <c r="B235" s="373" t="s">
        <v>227</v>
      </c>
      <c r="C235" s="377" t="s">
        <v>1021</v>
      </c>
      <c r="D235" s="364"/>
    </row>
    <row r="236" spans="1:4" ht="12.75" x14ac:dyDescent="0.2">
      <c r="A236" s="364"/>
      <c r="B236" s="373" t="s">
        <v>228</v>
      </c>
      <c r="C236" s="377" t="s">
        <v>1021</v>
      </c>
      <c r="D236" s="364"/>
    </row>
    <row r="237" spans="1:4" ht="12.75" x14ac:dyDescent="0.2">
      <c r="A237" s="364"/>
      <c r="B237" s="373" t="s">
        <v>229</v>
      </c>
      <c r="C237" s="377" t="s">
        <v>1021</v>
      </c>
      <c r="D237" s="364"/>
    </row>
    <row r="238" spans="1:4" ht="12.75" x14ac:dyDescent="0.2">
      <c r="A238" s="364"/>
      <c r="B238" s="373" t="s">
        <v>230</v>
      </c>
      <c r="C238" s="377" t="s">
        <v>1021</v>
      </c>
      <c r="D238" s="364"/>
    </row>
    <row r="239" spans="1:4" ht="12.75" x14ac:dyDescent="0.2">
      <c r="A239" s="364"/>
      <c r="B239" s="373" t="s">
        <v>177</v>
      </c>
      <c r="C239" s="377" t="s">
        <v>1021</v>
      </c>
      <c r="D239" s="364"/>
    </row>
    <row r="240" spans="1:4" ht="12.75" x14ac:dyDescent="0.2">
      <c r="A240" s="364"/>
      <c r="B240" s="373" t="s">
        <v>1020</v>
      </c>
      <c r="C240" s="377" t="s">
        <v>1021</v>
      </c>
      <c r="D240" s="364"/>
    </row>
    <row r="241" spans="1:4" ht="12.75" x14ac:dyDescent="0.2">
      <c r="A241" s="364"/>
      <c r="B241" s="373" t="s">
        <v>178</v>
      </c>
      <c r="C241" s="377" t="s">
        <v>1021</v>
      </c>
      <c r="D241" s="364"/>
    </row>
    <row r="242" spans="1:4" ht="12.75" x14ac:dyDescent="0.2">
      <c r="A242" s="364"/>
      <c r="B242" s="373" t="s">
        <v>179</v>
      </c>
      <c r="C242" s="377" t="s">
        <v>1021</v>
      </c>
      <c r="D242" s="364"/>
    </row>
    <row r="243" spans="1:4" ht="12.75" x14ac:dyDescent="0.2">
      <c r="A243" s="364"/>
      <c r="B243" s="373" t="s">
        <v>180</v>
      </c>
      <c r="C243" s="377" t="s">
        <v>1021</v>
      </c>
      <c r="D243" s="364"/>
    </row>
    <row r="244" spans="1:4" ht="12.75" x14ac:dyDescent="0.2">
      <c r="A244" s="364"/>
      <c r="B244" s="373" t="s">
        <v>181</v>
      </c>
      <c r="C244" s="377" t="s">
        <v>1021</v>
      </c>
      <c r="D244" s="364"/>
    </row>
    <row r="245" spans="1:4" ht="12.75" x14ac:dyDescent="0.2">
      <c r="A245" s="364"/>
      <c r="B245" s="373" t="s">
        <v>182</v>
      </c>
      <c r="C245" s="377" t="s">
        <v>1021</v>
      </c>
      <c r="D245" s="364"/>
    </row>
    <row r="246" spans="1:4" ht="12.75" x14ac:dyDescent="0.2">
      <c r="A246" s="364"/>
      <c r="B246" s="373" t="s">
        <v>1022</v>
      </c>
      <c r="C246" s="377" t="s">
        <v>1021</v>
      </c>
      <c r="D246" s="364"/>
    </row>
    <row r="247" spans="1:4" ht="12.75" x14ac:dyDescent="0.2">
      <c r="A247" s="364"/>
      <c r="B247" s="373" t="s">
        <v>183</v>
      </c>
      <c r="C247" s="377" t="s">
        <v>1021</v>
      </c>
      <c r="D247" s="364"/>
    </row>
    <row r="248" spans="1:4" ht="12.75" x14ac:dyDescent="0.2">
      <c r="A248" s="364"/>
      <c r="B248" s="373" t="s">
        <v>184</v>
      </c>
      <c r="C248" s="377" t="s">
        <v>1021</v>
      </c>
      <c r="D248" s="364"/>
    </row>
    <row r="249" spans="1:4" ht="12.75" x14ac:dyDescent="0.2">
      <c r="A249" s="364"/>
      <c r="B249" s="373" t="s">
        <v>185</v>
      </c>
      <c r="C249" s="377" t="s">
        <v>1021</v>
      </c>
      <c r="D249" s="364"/>
    </row>
    <row r="250" spans="1:4" ht="12.75" x14ac:dyDescent="0.2">
      <c r="A250" s="364"/>
      <c r="B250" s="373" t="s">
        <v>186</v>
      </c>
      <c r="C250" s="377" t="s">
        <v>1021</v>
      </c>
      <c r="D250" s="364"/>
    </row>
    <row r="251" spans="1:4" ht="12.75" x14ac:dyDescent="0.2">
      <c r="A251" s="364"/>
      <c r="B251" s="373" t="s">
        <v>2228</v>
      </c>
      <c r="C251" s="377" t="s">
        <v>1021</v>
      </c>
      <c r="D251" s="364"/>
    </row>
    <row r="252" spans="1:4" ht="12.75" x14ac:dyDescent="0.2">
      <c r="A252" s="364"/>
      <c r="B252" s="373" t="s">
        <v>1526</v>
      </c>
      <c r="C252" s="377" t="s">
        <v>1021</v>
      </c>
      <c r="D252" s="364"/>
    </row>
    <row r="253" spans="1:4" ht="12.75" x14ac:dyDescent="0.2">
      <c r="A253" s="364"/>
      <c r="B253" s="373" t="s">
        <v>73</v>
      </c>
      <c r="C253" s="377" t="s">
        <v>1021</v>
      </c>
      <c r="D253" s="364"/>
    </row>
    <row r="254" spans="1:4" ht="12.75" x14ac:dyDescent="0.2">
      <c r="A254" s="364"/>
      <c r="B254" s="373" t="s">
        <v>187</v>
      </c>
      <c r="C254" s="377" t="s">
        <v>1021</v>
      </c>
      <c r="D254" s="364"/>
    </row>
    <row r="255" spans="1:4" ht="12.75" x14ac:dyDescent="0.2">
      <c r="A255" s="364"/>
      <c r="B255" s="375" t="s">
        <v>2520</v>
      </c>
      <c r="C255" s="377" t="s">
        <v>1021</v>
      </c>
      <c r="D255" s="364"/>
    </row>
    <row r="256" spans="1:4" ht="12.75" x14ac:dyDescent="0.2">
      <c r="A256" s="364"/>
      <c r="B256" s="373" t="s">
        <v>1527</v>
      </c>
      <c r="C256" s="377" t="s">
        <v>1021</v>
      </c>
      <c r="D256" s="364"/>
    </row>
    <row r="257" spans="1:4" ht="12.75" x14ac:dyDescent="0.2">
      <c r="A257" s="364"/>
      <c r="B257" s="373" t="s">
        <v>1983</v>
      </c>
      <c r="C257" s="377" t="s">
        <v>893</v>
      </c>
      <c r="D257" s="364"/>
    </row>
    <row r="258" spans="1:4" ht="12.75" x14ac:dyDescent="0.2">
      <c r="A258" s="364"/>
      <c r="B258" s="373" t="s">
        <v>188</v>
      </c>
      <c r="C258" s="377" t="s">
        <v>893</v>
      </c>
      <c r="D258" s="364"/>
    </row>
    <row r="259" spans="1:4" ht="12.75" x14ac:dyDescent="0.2">
      <c r="A259" s="364"/>
      <c r="B259" s="373" t="s">
        <v>189</v>
      </c>
      <c r="C259" s="377" t="s">
        <v>893</v>
      </c>
      <c r="D259" s="364"/>
    </row>
    <row r="260" spans="1:4" ht="12.75" x14ac:dyDescent="0.2">
      <c r="A260" s="364"/>
      <c r="B260" s="373" t="s">
        <v>190</v>
      </c>
      <c r="C260" s="377" t="s">
        <v>893</v>
      </c>
      <c r="D260" s="364"/>
    </row>
    <row r="261" spans="1:4" ht="12.75" x14ac:dyDescent="0.2">
      <c r="A261" s="364"/>
      <c r="B261" s="373" t="s">
        <v>191</v>
      </c>
      <c r="C261" s="377" t="s">
        <v>893</v>
      </c>
      <c r="D261" s="364"/>
    </row>
    <row r="262" spans="1:4" ht="12.75" x14ac:dyDescent="0.2">
      <c r="A262" s="364"/>
      <c r="B262" s="373" t="s">
        <v>192</v>
      </c>
      <c r="C262" s="377" t="s">
        <v>893</v>
      </c>
      <c r="D262" s="364"/>
    </row>
    <row r="263" spans="1:4" ht="12.75" x14ac:dyDescent="0.2">
      <c r="A263" s="364"/>
      <c r="B263" s="373" t="s">
        <v>892</v>
      </c>
      <c r="C263" s="377" t="s">
        <v>893</v>
      </c>
      <c r="D263" s="364"/>
    </row>
    <row r="264" spans="1:4" ht="12.75" x14ac:dyDescent="0.2">
      <c r="A264" s="364"/>
      <c r="B264" s="373" t="s">
        <v>193</v>
      </c>
      <c r="C264" s="377" t="s">
        <v>893</v>
      </c>
      <c r="D264" s="364"/>
    </row>
    <row r="265" spans="1:4" ht="12.75" x14ac:dyDescent="0.2">
      <c r="A265" s="364"/>
      <c r="B265" s="373" t="s">
        <v>194</v>
      </c>
      <c r="C265" s="377" t="s">
        <v>893</v>
      </c>
      <c r="D265" s="364"/>
    </row>
    <row r="266" spans="1:4" ht="12.75" x14ac:dyDescent="0.2">
      <c r="A266" s="364"/>
      <c r="B266" s="373" t="s">
        <v>195</v>
      </c>
      <c r="C266" s="377" t="s">
        <v>893</v>
      </c>
      <c r="D266" s="364"/>
    </row>
    <row r="267" spans="1:4" ht="12.75" x14ac:dyDescent="0.2">
      <c r="A267" s="364"/>
      <c r="B267" s="373" t="s">
        <v>196</v>
      </c>
      <c r="C267" s="377" t="s">
        <v>893</v>
      </c>
      <c r="D267" s="364"/>
    </row>
    <row r="268" spans="1:4" ht="12.75" x14ac:dyDescent="0.2">
      <c r="A268" s="364"/>
      <c r="B268" s="373" t="s">
        <v>1656</v>
      </c>
      <c r="C268" s="377" t="s">
        <v>893</v>
      </c>
      <c r="D268" s="364"/>
    </row>
    <row r="269" spans="1:4" ht="12.75" x14ac:dyDescent="0.2">
      <c r="A269" s="364"/>
      <c r="B269" s="373" t="s">
        <v>1707</v>
      </c>
      <c r="C269" s="377" t="s">
        <v>893</v>
      </c>
      <c r="D269" s="364"/>
    </row>
    <row r="270" spans="1:4" ht="12.75" x14ac:dyDescent="0.2">
      <c r="A270" s="364"/>
      <c r="B270" s="373" t="s">
        <v>197</v>
      </c>
      <c r="C270" s="377" t="s">
        <v>893</v>
      </c>
      <c r="D270" s="364"/>
    </row>
    <row r="271" spans="1:4" ht="12.75" x14ac:dyDescent="0.2">
      <c r="A271" s="364"/>
      <c r="B271" s="373" t="s">
        <v>198</v>
      </c>
      <c r="C271" s="377" t="s">
        <v>893</v>
      </c>
      <c r="D271" s="364"/>
    </row>
    <row r="272" spans="1:4" ht="12.75" x14ac:dyDescent="0.2">
      <c r="A272" s="364"/>
      <c r="B272" s="373" t="s">
        <v>199</v>
      </c>
      <c r="C272" s="377" t="s">
        <v>893</v>
      </c>
      <c r="D272" s="364"/>
    </row>
    <row r="273" spans="1:4" ht="12.75" x14ac:dyDescent="0.2">
      <c r="A273" s="364"/>
      <c r="B273" s="373" t="s">
        <v>200</v>
      </c>
      <c r="C273" s="377" t="s">
        <v>893</v>
      </c>
      <c r="D273" s="364"/>
    </row>
    <row r="274" spans="1:4" ht="12.75" x14ac:dyDescent="0.2">
      <c r="A274" s="364"/>
      <c r="B274" s="373" t="s">
        <v>1007</v>
      </c>
      <c r="C274" s="377" t="s">
        <v>893</v>
      </c>
      <c r="D274" s="364"/>
    </row>
    <row r="275" spans="1:4" ht="12.75" x14ac:dyDescent="0.2">
      <c r="A275" s="364"/>
      <c r="B275" s="373" t="s">
        <v>201</v>
      </c>
      <c r="C275" s="377" t="s">
        <v>893</v>
      </c>
      <c r="D275" s="364"/>
    </row>
    <row r="276" spans="1:4" ht="12.75" x14ac:dyDescent="0.2">
      <c r="A276" s="364"/>
      <c r="B276" s="373" t="s">
        <v>202</v>
      </c>
      <c r="C276" s="377" t="s">
        <v>893</v>
      </c>
      <c r="D276" s="364"/>
    </row>
    <row r="277" spans="1:4" ht="12.75" x14ac:dyDescent="0.2">
      <c r="A277" s="364"/>
      <c r="B277" s="373" t="s">
        <v>203</v>
      </c>
      <c r="C277" s="377" t="s">
        <v>893</v>
      </c>
      <c r="D277" s="364"/>
    </row>
    <row r="278" spans="1:4" ht="12.75" x14ac:dyDescent="0.2">
      <c r="A278" s="364"/>
      <c r="B278" s="373" t="s">
        <v>204</v>
      </c>
      <c r="C278" s="377" t="s">
        <v>893</v>
      </c>
      <c r="D278" s="364"/>
    </row>
    <row r="279" spans="1:4" ht="12.75" x14ac:dyDescent="0.2">
      <c r="A279" s="364"/>
      <c r="B279" s="373" t="s">
        <v>205</v>
      </c>
      <c r="C279" s="377" t="s">
        <v>893</v>
      </c>
      <c r="D279" s="364"/>
    </row>
    <row r="280" spans="1:4" ht="12.75" x14ac:dyDescent="0.2">
      <c r="A280" s="364"/>
      <c r="B280" s="373" t="s">
        <v>206</v>
      </c>
      <c r="C280" s="377" t="s">
        <v>893</v>
      </c>
      <c r="D280" s="364"/>
    </row>
    <row r="281" spans="1:4" ht="12.75" x14ac:dyDescent="0.2">
      <c r="A281" s="364"/>
      <c r="B281" s="373" t="s">
        <v>207</v>
      </c>
      <c r="C281" s="377" t="s">
        <v>893</v>
      </c>
      <c r="D281" s="364"/>
    </row>
    <row r="282" spans="1:4" ht="12.75" x14ac:dyDescent="0.2">
      <c r="A282" s="364"/>
      <c r="B282" s="313" t="s">
        <v>2525</v>
      </c>
      <c r="C282" s="377" t="s">
        <v>893</v>
      </c>
      <c r="D282" s="364"/>
    </row>
    <row r="283" spans="1:4" ht="12.75" x14ac:dyDescent="0.2">
      <c r="A283" s="364"/>
      <c r="B283" s="373" t="s">
        <v>208</v>
      </c>
      <c r="C283" s="377" t="s">
        <v>893</v>
      </c>
      <c r="D283" s="364"/>
    </row>
    <row r="284" spans="1:4" ht="12.75" x14ac:dyDescent="0.2">
      <c r="A284" s="364"/>
      <c r="B284" s="373" t="s">
        <v>209</v>
      </c>
      <c r="C284" s="377" t="s">
        <v>893</v>
      </c>
      <c r="D284" s="364"/>
    </row>
    <row r="285" spans="1:4" ht="12.75" x14ac:dyDescent="0.2">
      <c r="A285" s="364"/>
      <c r="B285" s="373" t="s">
        <v>210</v>
      </c>
      <c r="C285" s="377" t="s">
        <v>893</v>
      </c>
      <c r="D285" s="364"/>
    </row>
    <row r="286" spans="1:4" ht="12.75" x14ac:dyDescent="0.2">
      <c r="A286" s="364"/>
      <c r="B286" s="373" t="s">
        <v>1034</v>
      </c>
      <c r="C286" s="377" t="s">
        <v>893</v>
      </c>
      <c r="D286" s="364"/>
    </row>
    <row r="287" spans="1:4" ht="12.75" x14ac:dyDescent="0.2">
      <c r="A287" s="364"/>
      <c r="B287" s="373"/>
      <c r="C287" s="377"/>
      <c r="D287" s="364"/>
    </row>
    <row r="288" spans="1:4" ht="12.75" x14ac:dyDescent="0.2">
      <c r="A288" s="364"/>
      <c r="B288" s="373"/>
      <c r="D288" s="364"/>
    </row>
    <row r="289" spans="1:4" ht="12.75" x14ac:dyDescent="0.2">
      <c r="A289" s="364"/>
      <c r="B289" s="373"/>
      <c r="D289" s="364"/>
    </row>
    <row r="290" spans="1:4" ht="12.75" x14ac:dyDescent="0.2">
      <c r="A290" s="364"/>
      <c r="B290" s="373"/>
      <c r="D290" s="364"/>
    </row>
    <row r="291" spans="1:4" ht="12.75" x14ac:dyDescent="0.2">
      <c r="A291" s="364"/>
      <c r="B291" s="373"/>
      <c r="D291" s="364"/>
    </row>
    <row r="292" spans="1:4" ht="12.75" x14ac:dyDescent="0.2">
      <c r="A292" s="364"/>
      <c r="B292" s="373"/>
      <c r="D292" s="364"/>
    </row>
    <row r="293" spans="1:4" ht="12.75" x14ac:dyDescent="0.2">
      <c r="A293" s="364"/>
      <c r="B293" s="373"/>
      <c r="D293" s="364"/>
    </row>
    <row r="294" spans="1:4" ht="12.75" x14ac:dyDescent="0.2">
      <c r="A294" s="364"/>
      <c r="B294" s="373"/>
      <c r="D294" s="364"/>
    </row>
    <row r="295" spans="1:4" ht="12.75" x14ac:dyDescent="0.2">
      <c r="A295" s="364"/>
      <c r="B295" s="373"/>
      <c r="D295" s="364"/>
    </row>
    <row r="296" spans="1:4" ht="12.75" x14ac:dyDescent="0.2">
      <c r="A296" s="364"/>
      <c r="B296" s="373"/>
      <c r="D296" s="364"/>
    </row>
    <row r="297" spans="1:4" ht="12.75" x14ac:dyDescent="0.2">
      <c r="A297" s="364"/>
      <c r="B297" s="373"/>
      <c r="D297" s="364"/>
    </row>
    <row r="298" spans="1:4" ht="12.75" x14ac:dyDescent="0.2">
      <c r="A298" s="364"/>
      <c r="B298" s="373"/>
      <c r="D298" s="364"/>
    </row>
    <row r="299" spans="1:4" ht="12.75" x14ac:dyDescent="0.2">
      <c r="A299" s="364"/>
      <c r="B299" s="373"/>
      <c r="D299" s="364"/>
    </row>
    <row r="300" spans="1:4" ht="12.75" x14ac:dyDescent="0.2">
      <c r="A300" s="364"/>
      <c r="B300" s="373"/>
      <c r="D300" s="364"/>
    </row>
    <row r="301" spans="1:4" ht="12.75" x14ac:dyDescent="0.2">
      <c r="A301" s="364"/>
      <c r="B301" s="373"/>
      <c r="D301" s="364"/>
    </row>
    <row r="302" spans="1:4" ht="12.75" x14ac:dyDescent="0.2">
      <c r="A302" s="364"/>
      <c r="B302" s="373"/>
      <c r="D302" s="364"/>
    </row>
    <row r="303" spans="1:4" ht="12.75" x14ac:dyDescent="0.2">
      <c r="A303" s="364"/>
      <c r="B303" s="373"/>
      <c r="D303" s="364"/>
    </row>
    <row r="304" spans="1:4" ht="12.75" x14ac:dyDescent="0.2">
      <c r="A304" s="364"/>
      <c r="B304" s="373"/>
      <c r="D304" s="364"/>
    </row>
    <row r="305" spans="1:4" ht="12.75" x14ac:dyDescent="0.2">
      <c r="A305" s="364"/>
      <c r="B305" s="373"/>
      <c r="D305" s="364"/>
    </row>
    <row r="306" spans="1:4" ht="12.75" x14ac:dyDescent="0.2">
      <c r="A306" s="364"/>
      <c r="B306" s="373"/>
      <c r="D306" s="364"/>
    </row>
    <row r="307" spans="1:4" ht="12.75" x14ac:dyDescent="0.2">
      <c r="A307" s="364"/>
      <c r="B307" s="373"/>
      <c r="D307" s="364"/>
    </row>
    <row r="308" spans="1:4" x14ac:dyDescent="0.2">
      <c r="B308" s="2">
        <f>COUNTA(B30:B307)</f>
        <v>257</v>
      </c>
    </row>
  </sheetData>
  <phoneticPr fontId="7" type="noConversion"/>
  <pageMargins left="0.75" right="0.75" top="1" bottom="1" header="0.5" footer="0.5"/>
  <pageSetup paperSize="9" orientation="portrait" r:id="rId1"/>
  <headerFooter alignWithMargins="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Sheet63"/>
  <dimension ref="A1:AD173"/>
  <sheetViews>
    <sheetView showGridLines="0" zoomScaleNormal="100" workbookViewId="0">
      <pane xSplit="2" ySplit="3" topLeftCell="C130" activePane="bottomRight" state="frozen"/>
      <selection pane="topRight"/>
      <selection pane="bottomLeft"/>
      <selection pane="bottomRight" activeCell="N168" sqref="N168"/>
    </sheetView>
  </sheetViews>
  <sheetFormatPr defaultColWidth="9.140625" defaultRowHeight="12.75" x14ac:dyDescent="0.25"/>
  <cols>
    <col min="1" max="1" width="30.7109375" style="58" customWidth="1"/>
    <col min="2" max="2" width="3" style="55" customWidth="1"/>
    <col min="3" max="11" width="9.28515625" style="58" customWidth="1"/>
    <col min="12" max="12" width="9.7109375" style="58" customWidth="1"/>
    <col min="13" max="13" width="9.42578125" style="58" customWidth="1"/>
    <col min="14" max="14" width="9.7109375" style="58" customWidth="1"/>
    <col min="15" max="17" width="9.42578125" style="58" customWidth="1"/>
    <col min="18" max="18" width="9.7109375" style="58" customWidth="1"/>
    <col min="19" max="21" width="9.42578125" style="58" customWidth="1"/>
    <col min="22" max="23" width="9.7109375" style="58" customWidth="1"/>
    <col min="24" max="28" width="9.140625" style="58" customWidth="1"/>
    <col min="29" max="30" width="9.140625" style="2365"/>
    <col min="31" max="16384" width="9.140625" style="58"/>
  </cols>
  <sheetData>
    <row r="1" spans="1:30" ht="13.5" customHeight="1" x14ac:dyDescent="0.25">
      <c r="A1" s="92" t="str">
        <f>muni&amp;" - "&amp;TableA34d</f>
        <v>KZN226 Mkhambathini - Supporting Table SA34d Depreciation by asset class</v>
      </c>
      <c r="B1" s="92"/>
      <c r="C1" s="92"/>
      <c r="D1" s="92"/>
      <c r="E1" s="92"/>
      <c r="F1" s="92"/>
      <c r="G1" s="92"/>
      <c r="H1" s="92"/>
      <c r="I1" s="92"/>
      <c r="J1" s="92"/>
      <c r="K1" s="92"/>
    </row>
    <row r="2" spans="1:30" ht="28.5" customHeight="1" x14ac:dyDescent="0.25">
      <c r="A2" s="1829" t="str">
        <f>desc</f>
        <v>Description</v>
      </c>
      <c r="B2" s="155" t="str">
        <f>head27</f>
        <v>Ref</v>
      </c>
      <c r="C2" s="837" t="str">
        <f>head1b</f>
        <v>2017/18</v>
      </c>
      <c r="D2" s="561" t="str">
        <f>head1A</f>
        <v>2018/19</v>
      </c>
      <c r="E2" s="683" t="str">
        <f>Head1</f>
        <v>2019/20</v>
      </c>
      <c r="F2" s="2447" t="str">
        <f>Head2</f>
        <v>Current Year 2020/21</v>
      </c>
      <c r="G2" s="2448"/>
      <c r="H2" s="2449"/>
      <c r="I2" s="2450" t="str">
        <f>Head3</f>
        <v>2021/22 Medium Term Revenue &amp; Expenditure Framework</v>
      </c>
      <c r="J2" s="2451"/>
      <c r="K2" s="2452"/>
    </row>
    <row r="3" spans="1:30" ht="25.5" x14ac:dyDescent="0.25">
      <c r="A3" s="156" t="s">
        <v>568</v>
      </c>
      <c r="B3" s="690">
        <v>1</v>
      </c>
      <c r="C3" s="698" t="str">
        <f>Head5</f>
        <v>Audited Outcome</v>
      </c>
      <c r="D3" s="562" t="str">
        <f>Head5</f>
        <v>Audited Outcome</v>
      </c>
      <c r="E3" s="702" t="str">
        <f>Head5</f>
        <v>Audited Outcome</v>
      </c>
      <c r="F3" s="95" t="str">
        <f>Head6</f>
        <v>Original Budget</v>
      </c>
      <c r="G3" s="698" t="str">
        <f>Head7</f>
        <v>Adjusted Budget</v>
      </c>
      <c r="H3" s="94" t="str">
        <f>Head8</f>
        <v>Full Year Forecast</v>
      </c>
      <c r="I3" s="95" t="str">
        <f>Head9</f>
        <v>Budget Year 2021/22</v>
      </c>
      <c r="J3" s="698" t="str">
        <f>Head10</f>
        <v>Budget Year +1 2022/23</v>
      </c>
      <c r="K3" s="94" t="str">
        <f>Head11</f>
        <v>Budget Year +2 2023/24</v>
      </c>
    </row>
    <row r="4" spans="1:30" ht="11.25" customHeight="1" x14ac:dyDescent="0.25">
      <c r="A4" s="2022" t="s">
        <v>1788</v>
      </c>
      <c r="B4" s="205"/>
      <c r="C4" s="81"/>
      <c r="D4" s="81"/>
      <c r="E4" s="756"/>
      <c r="F4" s="757"/>
      <c r="G4" s="81"/>
      <c r="H4" s="758"/>
      <c r="I4" s="757"/>
      <c r="J4" s="81"/>
      <c r="K4" s="758"/>
      <c r="L4" s="322"/>
    </row>
    <row r="5" spans="1:30" ht="4.9000000000000004" customHeight="1" x14ac:dyDescent="0.25">
      <c r="A5" s="96"/>
      <c r="B5" s="144"/>
      <c r="C5" s="762"/>
      <c r="D5" s="762"/>
      <c r="E5" s="763"/>
      <c r="F5" s="764"/>
      <c r="G5" s="762"/>
      <c r="H5" s="765"/>
      <c r="I5" s="764"/>
      <c r="J5" s="762"/>
      <c r="K5" s="765"/>
      <c r="L5" s="322"/>
    </row>
    <row r="6" spans="1:30" ht="13.15" customHeight="1" x14ac:dyDescent="0.25">
      <c r="A6" s="96" t="s">
        <v>838</v>
      </c>
      <c r="B6" s="144"/>
      <c r="C6" s="98">
        <f>C7+C12+C16+C26+C37+C44+C52+C62+C68</f>
        <v>2854713</v>
      </c>
      <c r="D6" s="98">
        <f t="shared" ref="D6:K6" si="0">D7+D12+D16+D26+D37+D44+D52+D62+D68</f>
        <v>3301206</v>
      </c>
      <c r="E6" s="101">
        <f t="shared" si="0"/>
        <v>3574823</v>
      </c>
      <c r="F6" s="100">
        <f t="shared" si="0"/>
        <v>3787600</v>
      </c>
      <c r="G6" s="98">
        <f t="shared" si="0"/>
        <v>3787600</v>
      </c>
      <c r="H6" s="99">
        <f t="shared" si="0"/>
        <v>3787600</v>
      </c>
      <c r="I6" s="100">
        <f t="shared" si="0"/>
        <v>3935316</v>
      </c>
      <c r="J6" s="98">
        <f t="shared" si="0"/>
        <v>4092729</v>
      </c>
      <c r="K6" s="99">
        <f t="shared" si="0"/>
        <v>4256438</v>
      </c>
      <c r="L6" s="2124"/>
    </row>
    <row r="7" spans="1:30" s="377" customFormat="1" ht="13.15" customHeight="1" x14ac:dyDescent="0.25">
      <c r="A7" s="104" t="s">
        <v>2230</v>
      </c>
      <c r="B7" s="144"/>
      <c r="C7" s="82">
        <f t="shared" ref="C7:K7" si="1">SUM(C8:C11)</f>
        <v>2854713</v>
      </c>
      <c r="D7" s="82">
        <f t="shared" si="1"/>
        <v>3301206</v>
      </c>
      <c r="E7" s="304">
        <f t="shared" si="1"/>
        <v>3574823</v>
      </c>
      <c r="F7" s="83">
        <f t="shared" si="1"/>
        <v>3787600</v>
      </c>
      <c r="G7" s="82">
        <f t="shared" si="1"/>
        <v>3787600</v>
      </c>
      <c r="H7" s="115">
        <f t="shared" si="1"/>
        <v>3787600</v>
      </c>
      <c r="I7" s="83">
        <f t="shared" si="1"/>
        <v>3935316</v>
      </c>
      <c r="J7" s="82">
        <f t="shared" si="1"/>
        <v>4092729</v>
      </c>
      <c r="K7" s="115">
        <f t="shared" si="1"/>
        <v>4256438</v>
      </c>
      <c r="L7" s="322"/>
      <c r="AC7" s="2365"/>
      <c r="AD7" s="2365"/>
    </row>
    <row r="8" spans="1:30" s="377" customFormat="1" ht="13.15" customHeight="1" x14ac:dyDescent="0.25">
      <c r="A8" s="2125" t="s">
        <v>629</v>
      </c>
      <c r="B8" s="144"/>
      <c r="C8" s="712">
        <f>SUMIFS(Sheet1!S71_PPPYearAmount,Sheet1!S71_SA34dCode,$AC:$AC,Sheet1!S71_DepCode,$AD:$AD)</f>
        <v>2854713</v>
      </c>
      <c r="D8" s="712">
        <f>SUMIFS(Sheet1!S71_PPYearAmount,Sheet1!S71_SA34dCode,$AC:$AC,Sheet1!S71_DepCode,$AD:$AD)</f>
        <v>3301206</v>
      </c>
      <c r="E8" s="715">
        <f>SUMIFS(Sheet1!S71_PYearAmount,Sheet1!S71_SA34dCode,$AC:$AC,Sheet1!S71_DepCode,$AD:$AD)</f>
        <v>3574823</v>
      </c>
      <c r="F8" s="725">
        <f>SUMIFS(Sheet1!S71_OriginalBudAmnt,Sheet1!S71_SA34dCode,$AC:$AC,Sheet1!S71_DepCode,$AD:$AD)</f>
        <v>3787600</v>
      </c>
      <c r="G8" s="712">
        <f>SUMIFS(Sheet1!S71_AdjustmentBudAmnt,Sheet1!S71_SA34dCode,$AC:$AC,Sheet1!S71_DepCode,$AD:$AD)</f>
        <v>3787600</v>
      </c>
      <c r="H8" s="713">
        <f>SUMIFS(Sheet1!S71_AdjustmentBudAmnt,Sheet1!S71_SA34dCode,$AC:$AC,Sheet1!S71_DepCode,$AD:$AD)</f>
        <v>3787600</v>
      </c>
      <c r="I8" s="725">
        <f>SUMIFS(Sheet1!S71_ASBudgetAmount,Sheet1!S71_SA34dCode,$AC:$AC,Sheet1!S71_DepCode,$AD:$AD)</f>
        <v>3935316</v>
      </c>
      <c r="J8" s="712">
        <f>SUMIFS(Sheet1!S71_OY1BudgetAmount,Sheet1!S71_SA34dCode,$AC:$AC,Sheet1!S71_DepCode,$AD:$AD)</f>
        <v>4092729</v>
      </c>
      <c r="K8" s="713">
        <f>SUMIFS(Sheet1!S71_OY2BudgetAmount,Sheet1!S71_SA34dCode,$AC:$AC,Sheet1!S71_DepCode,$AD:$AD)</f>
        <v>4256438</v>
      </c>
      <c r="L8" s="2124"/>
      <c r="AC8" s="2365" t="s">
        <v>2773</v>
      </c>
      <c r="AD8" s="2365" t="s">
        <v>2821</v>
      </c>
    </row>
    <row r="9" spans="1:30" s="377" customFormat="1" ht="13.15" customHeight="1" x14ac:dyDescent="0.25">
      <c r="A9" s="2125" t="s">
        <v>2231</v>
      </c>
      <c r="B9" s="144"/>
      <c r="C9" s="712">
        <f>SUMIFS(Sheet1!S71_PPPYearAmount,Sheet1!S71_SA34dCode,$AC:$AC,Sheet1!S71_DepCode,$AD:$AD)</f>
        <v>0</v>
      </c>
      <c r="D9" s="712">
        <f>SUMIFS(Sheet1!S71_PPYearAmount,Sheet1!S71_SA34dCode,$AC:$AC,Sheet1!S71_DepCode,$AD:$AD)</f>
        <v>0</v>
      </c>
      <c r="E9" s="715">
        <f>SUMIFS(Sheet1!S71_PYearAmount,Sheet1!S71_SA34dCode,$AC:$AC,Sheet1!S71_DepCode,$AD:$AD)</f>
        <v>0</v>
      </c>
      <c r="F9" s="725">
        <f>SUMIFS(Sheet1!S71_OriginalBudAmnt,Sheet1!S71_SA34dCode,$AC:$AC,Sheet1!S71_DepCode,$AD:$AD)</f>
        <v>0</v>
      </c>
      <c r="G9" s="712">
        <f>SUMIFS(Sheet1!S71_AdjustmentBudAmnt,Sheet1!S71_SA34dCode,$AC:$AC,Sheet1!S71_DepCode,$AD:$AD)</f>
        <v>0</v>
      </c>
      <c r="H9" s="713">
        <f>SUMIFS(Sheet1!S71_AdjustmentBudAmnt,Sheet1!S71_SA34dCode,$AC:$AC,Sheet1!S71_DepCode,$AD:$AD)</f>
        <v>0</v>
      </c>
      <c r="I9" s="725">
        <f>SUMIFS(Sheet1!S71_ASBudgetAmount,Sheet1!S71_SA34dCode,$AC:$AC,Sheet1!S71_DepCode,$AD:$AD)</f>
        <v>0</v>
      </c>
      <c r="J9" s="712">
        <f>SUMIFS(Sheet1!S71_OY1BudgetAmount,Sheet1!S71_SA34dCode,$AC:$AC,Sheet1!S71_DepCode,$AD:$AD)</f>
        <v>0</v>
      </c>
      <c r="K9" s="713">
        <f>SUMIFS(Sheet1!S71_OY2BudgetAmount,Sheet1!S71_SA34dCode,$AC:$AC,Sheet1!S71_DepCode,$AD:$AD)</f>
        <v>0</v>
      </c>
      <c r="L9" s="2126"/>
      <c r="AC9" s="2365" t="s">
        <v>2774</v>
      </c>
      <c r="AD9" s="2365" t="s">
        <v>2821</v>
      </c>
    </row>
    <row r="10" spans="1:30" s="377" customFormat="1" ht="13.15" customHeight="1" x14ac:dyDescent="0.25">
      <c r="A10" s="2125" t="s">
        <v>2232</v>
      </c>
      <c r="B10" s="144"/>
      <c r="C10" s="712">
        <f>SUMIFS(Sheet1!S71_PPPYearAmount,Sheet1!S71_SA34dCode,$AC:$AC,Sheet1!S71_DepCode,$AD:$AD)</f>
        <v>0</v>
      </c>
      <c r="D10" s="712">
        <f>SUMIFS(Sheet1!S71_PPYearAmount,Sheet1!S71_SA34dCode,$AC:$AC,Sheet1!S71_DepCode,$AD:$AD)</f>
        <v>0</v>
      </c>
      <c r="E10" s="715">
        <f>SUMIFS(Sheet1!S71_PYearAmount,Sheet1!S71_SA34dCode,$AC:$AC,Sheet1!S71_DepCode,$AD:$AD)</f>
        <v>0</v>
      </c>
      <c r="F10" s="725">
        <f>SUMIFS(Sheet1!S71_OriginalBudAmnt,Sheet1!S71_SA34dCode,$AC:$AC,Sheet1!S71_DepCode,$AD:$AD)</f>
        <v>0</v>
      </c>
      <c r="G10" s="712">
        <f>SUMIFS(Sheet1!S71_AdjustmentBudAmnt,Sheet1!S71_SA34dCode,$AC:$AC,Sheet1!S71_DepCode,$AD:$AD)</f>
        <v>0</v>
      </c>
      <c r="H10" s="713">
        <f>SUMIFS(Sheet1!S71_AdjustmentBudAmnt,Sheet1!S71_SA34dCode,$AC:$AC,Sheet1!S71_DepCode,$AD:$AD)</f>
        <v>0</v>
      </c>
      <c r="I10" s="725">
        <f>SUMIFS(Sheet1!S71_ASBudgetAmount,Sheet1!S71_SA34dCode,$AC:$AC,Sheet1!S71_DepCode,$AD:$AD)</f>
        <v>0</v>
      </c>
      <c r="J10" s="712">
        <f>SUMIFS(Sheet1!S71_OY1BudgetAmount,Sheet1!S71_SA34dCode,$AC:$AC,Sheet1!S71_DepCode,$AD:$AD)</f>
        <v>0</v>
      </c>
      <c r="K10" s="713">
        <f>SUMIFS(Sheet1!S71_OY2BudgetAmount,Sheet1!S71_SA34dCode,$AC:$AC,Sheet1!S71_DepCode,$AD:$AD)</f>
        <v>0</v>
      </c>
      <c r="L10" s="2126"/>
      <c r="AC10" s="2365" t="s">
        <v>2775</v>
      </c>
      <c r="AD10" s="2365" t="s">
        <v>2821</v>
      </c>
    </row>
    <row r="11" spans="1:30" s="377" customFormat="1" ht="13.15" customHeight="1" x14ac:dyDescent="0.25">
      <c r="A11" s="2125" t="s">
        <v>2233</v>
      </c>
      <c r="B11" s="144"/>
      <c r="C11" s="712">
        <f>SUMIFS(Sheet1!S71_PPPYearAmount,Sheet1!S71_SA34dCode,$AC:$AC,Sheet1!S71_DepCode,$AD:$AD)</f>
        <v>0</v>
      </c>
      <c r="D11" s="712">
        <f>SUMIFS(Sheet1!S71_PPYearAmount,Sheet1!S71_SA34dCode,$AC:$AC,Sheet1!S71_DepCode,$AD:$AD)</f>
        <v>0</v>
      </c>
      <c r="E11" s="715">
        <f>SUMIFS(Sheet1!S71_PYearAmount,Sheet1!S71_SA34dCode,$AC:$AC,Sheet1!S71_DepCode,$AD:$AD)</f>
        <v>0</v>
      </c>
      <c r="F11" s="725">
        <f>SUMIFS(Sheet1!S71_OriginalBudAmnt,Sheet1!S71_SA34dCode,$AC:$AC,Sheet1!S71_DepCode,$AD:$AD)</f>
        <v>0</v>
      </c>
      <c r="G11" s="712">
        <f>SUMIFS(Sheet1!S71_AdjustmentBudAmnt,Sheet1!S71_SA34dCode,$AC:$AC,Sheet1!S71_DepCode,$AD:$AD)</f>
        <v>0</v>
      </c>
      <c r="H11" s="713">
        <f>SUMIFS(Sheet1!S71_AdjustmentBudAmnt,Sheet1!S71_SA34dCode,$AC:$AC,Sheet1!S71_DepCode,$AD:$AD)</f>
        <v>0</v>
      </c>
      <c r="I11" s="725">
        <f>SUMIFS(Sheet1!S71_ASBudgetAmount,Sheet1!S71_SA34dCode,$AC:$AC,Sheet1!S71_DepCode,$AD:$AD)</f>
        <v>0</v>
      </c>
      <c r="J11" s="712">
        <f>SUMIFS(Sheet1!S71_OY1BudgetAmount,Sheet1!S71_SA34dCode,$AC:$AC,Sheet1!S71_DepCode,$AD:$AD)</f>
        <v>0</v>
      </c>
      <c r="K11" s="713">
        <f>SUMIFS(Sheet1!S71_OY2BudgetAmount,Sheet1!S71_SA34dCode,$AC:$AC,Sheet1!S71_DepCode,$AD:$AD)</f>
        <v>0</v>
      </c>
      <c r="L11" s="2126"/>
      <c r="AC11" s="2365" t="s">
        <v>2776</v>
      </c>
      <c r="AD11" s="2365" t="s">
        <v>2821</v>
      </c>
    </row>
    <row r="12" spans="1:30" s="377" customFormat="1" ht="13.15" customHeight="1" x14ac:dyDescent="0.25">
      <c r="A12" s="104" t="s">
        <v>2234</v>
      </c>
      <c r="B12" s="144"/>
      <c r="C12" s="71">
        <f>SUM(C13:C15)</f>
        <v>0</v>
      </c>
      <c r="D12" s="71">
        <f t="shared" ref="D12:K12" si="2">SUM(D13:D15)</f>
        <v>0</v>
      </c>
      <c r="E12" s="305">
        <f t="shared" si="2"/>
        <v>0</v>
      </c>
      <c r="F12" s="75">
        <f t="shared" si="2"/>
        <v>0</v>
      </c>
      <c r="G12" s="71">
        <f t="shared" si="2"/>
        <v>0</v>
      </c>
      <c r="H12" s="117">
        <f t="shared" si="2"/>
        <v>0</v>
      </c>
      <c r="I12" s="75">
        <f t="shared" si="2"/>
        <v>0</v>
      </c>
      <c r="J12" s="71">
        <f t="shared" si="2"/>
        <v>0</v>
      </c>
      <c r="K12" s="117">
        <f t="shared" si="2"/>
        <v>0</v>
      </c>
      <c r="L12" s="2126"/>
      <c r="AC12" s="2365"/>
      <c r="AD12" s="2365" t="s">
        <v>2821</v>
      </c>
    </row>
    <row r="13" spans="1:30" s="377" customFormat="1" ht="13.15" customHeight="1" x14ac:dyDescent="0.25">
      <c r="A13" s="2125" t="s">
        <v>2235</v>
      </c>
      <c r="B13" s="144"/>
      <c r="C13" s="712">
        <f>SUMIFS(Sheet1!S71_PPPYearAmount,Sheet1!S71_SA34dCode,$AC:$AC,Sheet1!S71_DepCode,$AD:$AD)</f>
        <v>0</v>
      </c>
      <c r="D13" s="712">
        <f>SUMIFS(Sheet1!S71_PPYearAmount,Sheet1!S71_SA34dCode,$AC:$AC,Sheet1!S71_DepCode,$AD:$AD)</f>
        <v>0</v>
      </c>
      <c r="E13" s="715">
        <f>SUMIFS(Sheet1!S71_PYearAmount,Sheet1!S71_SA34dCode,$AC:$AC,Sheet1!S71_DepCode,$AD:$AD)</f>
        <v>0</v>
      </c>
      <c r="F13" s="725">
        <f>SUMIFS(Sheet1!S71_OriginalBudAmnt,Sheet1!S71_SA34dCode,$AC:$AC,Sheet1!S71_DepCode,$AD:$AD)</f>
        <v>0</v>
      </c>
      <c r="G13" s="712">
        <f>SUMIFS(Sheet1!S71_AdjustmentBudAmnt,Sheet1!S71_SA34dCode,$AC:$AC,Sheet1!S71_DepCode,$AD:$AD)</f>
        <v>0</v>
      </c>
      <c r="H13" s="713">
        <f>SUMIFS(Sheet1!S71_AdjustmentBudAmnt,Sheet1!S71_SA34dCode,$AC:$AC,Sheet1!S71_DepCode,$AD:$AD)</f>
        <v>0</v>
      </c>
      <c r="I13" s="725">
        <f>SUMIFS(Sheet1!S71_ASBudgetAmount,Sheet1!S71_SA34dCode,$AC:$AC,Sheet1!S71_DepCode,$AD:$AD)</f>
        <v>0</v>
      </c>
      <c r="J13" s="712">
        <f>SUMIFS(Sheet1!S71_OY1BudgetAmount,Sheet1!S71_SA34dCode,$AC:$AC,Sheet1!S71_DepCode,$AD:$AD)</f>
        <v>0</v>
      </c>
      <c r="K13" s="713">
        <f>SUMIFS(Sheet1!S71_OY2BudgetAmount,Sheet1!S71_SA34dCode,$AC:$AC,Sheet1!S71_DepCode,$AD:$AD)</f>
        <v>0</v>
      </c>
      <c r="L13" s="2126"/>
      <c r="AC13" s="2365" t="s">
        <v>2830</v>
      </c>
      <c r="AD13" s="2365" t="s">
        <v>2821</v>
      </c>
    </row>
    <row r="14" spans="1:30" s="377" customFormat="1" ht="13.15" customHeight="1" x14ac:dyDescent="0.25">
      <c r="A14" s="2125" t="s">
        <v>2236</v>
      </c>
      <c r="B14" s="144"/>
      <c r="C14" s="712">
        <f>SUMIFS(Sheet1!S71_PPPYearAmount,Sheet1!S71_SA34dCode,$AC:$AC,Sheet1!S71_DepCode,$AD:$AD)</f>
        <v>0</v>
      </c>
      <c r="D14" s="712">
        <f>SUMIFS(Sheet1!S71_PPYearAmount,Sheet1!S71_SA34dCode,$AC:$AC,Sheet1!S71_DepCode,$AD:$AD)</f>
        <v>0</v>
      </c>
      <c r="E14" s="715">
        <f>SUMIFS(Sheet1!S71_PYearAmount,Sheet1!S71_SA34dCode,$AC:$AC,Sheet1!S71_DepCode,$AD:$AD)</f>
        <v>0</v>
      </c>
      <c r="F14" s="725">
        <f>SUMIFS(Sheet1!S71_OriginalBudAmnt,Sheet1!S71_SA34dCode,$AC:$AC,Sheet1!S71_DepCode,$AD:$AD)</f>
        <v>0</v>
      </c>
      <c r="G14" s="712">
        <f>SUMIFS(Sheet1!S71_AdjustmentBudAmnt,Sheet1!S71_SA34dCode,$AC:$AC,Sheet1!S71_DepCode,$AD:$AD)</f>
        <v>0</v>
      </c>
      <c r="H14" s="713">
        <f>SUMIFS(Sheet1!S71_AdjustmentBudAmnt,Sheet1!S71_SA34dCode,$AC:$AC,Sheet1!S71_DepCode,$AD:$AD)</f>
        <v>0</v>
      </c>
      <c r="I14" s="725">
        <f>SUMIFS(Sheet1!S71_ASBudgetAmount,Sheet1!S71_SA34dCode,$AC:$AC,Sheet1!S71_DepCode,$AD:$AD)</f>
        <v>0</v>
      </c>
      <c r="J14" s="712">
        <f>SUMIFS(Sheet1!S71_OY1BudgetAmount,Sheet1!S71_SA34dCode,$AC:$AC,Sheet1!S71_DepCode,$AD:$AD)</f>
        <v>0</v>
      </c>
      <c r="K14" s="713">
        <f>SUMIFS(Sheet1!S71_OY2BudgetAmount,Sheet1!S71_SA34dCode,$AC:$AC,Sheet1!S71_DepCode,$AD:$AD)</f>
        <v>0</v>
      </c>
      <c r="L14" s="2126"/>
      <c r="AC14" s="2365" t="s">
        <v>2778</v>
      </c>
      <c r="AD14" s="2365" t="s">
        <v>2821</v>
      </c>
    </row>
    <row r="15" spans="1:30" s="377" customFormat="1" ht="13.15" customHeight="1" x14ac:dyDescent="0.25">
      <c r="A15" s="2125" t="s">
        <v>2237</v>
      </c>
      <c r="B15" s="144"/>
      <c r="C15" s="712">
        <f>SUMIFS(Sheet1!S71_PPPYearAmount,Sheet1!S71_SA34dCode,$AC:$AC,Sheet1!S71_DepCode,$AD:$AD)</f>
        <v>0</v>
      </c>
      <c r="D15" s="712">
        <f>SUMIFS(Sheet1!S71_PPYearAmount,Sheet1!S71_SA34dCode,$AC:$AC,Sheet1!S71_DepCode,$AD:$AD)</f>
        <v>0</v>
      </c>
      <c r="E15" s="715">
        <f>SUMIFS(Sheet1!S71_PYearAmount,Sheet1!S71_SA34dCode,$AC:$AC,Sheet1!S71_DepCode,$AD:$AD)</f>
        <v>0</v>
      </c>
      <c r="F15" s="725">
        <f>SUMIFS(Sheet1!S71_OriginalBudAmnt,Sheet1!S71_SA34dCode,$AC:$AC,Sheet1!S71_DepCode,$AD:$AD)</f>
        <v>0</v>
      </c>
      <c r="G15" s="712">
        <f>SUMIFS(Sheet1!S71_AdjustmentBudAmnt,Sheet1!S71_SA34dCode,$AC:$AC,Sheet1!S71_DepCode,$AD:$AD)</f>
        <v>0</v>
      </c>
      <c r="H15" s="713">
        <f>SUMIFS(Sheet1!S71_AdjustmentBudAmnt,Sheet1!S71_SA34dCode,$AC:$AC,Sheet1!S71_DepCode,$AD:$AD)</f>
        <v>0</v>
      </c>
      <c r="I15" s="725">
        <f>SUMIFS(Sheet1!S71_ASBudgetAmount,Sheet1!S71_SA34dCode,$AC:$AC,Sheet1!S71_DepCode,$AD:$AD)</f>
        <v>0</v>
      </c>
      <c r="J15" s="712">
        <f>SUMIFS(Sheet1!S71_OY1BudgetAmount,Sheet1!S71_SA34dCode,$AC:$AC,Sheet1!S71_DepCode,$AD:$AD)</f>
        <v>0</v>
      </c>
      <c r="K15" s="713">
        <f>SUMIFS(Sheet1!S71_OY2BudgetAmount,Sheet1!S71_SA34dCode,$AC:$AC,Sheet1!S71_DepCode,$AD:$AD)</f>
        <v>0</v>
      </c>
      <c r="L15" s="2126"/>
      <c r="AC15" s="2365" t="s">
        <v>2831</v>
      </c>
      <c r="AD15" s="2365" t="s">
        <v>2821</v>
      </c>
    </row>
    <row r="16" spans="1:30" s="377" customFormat="1" ht="13.15" customHeight="1" x14ac:dyDescent="0.25">
      <c r="A16" s="104" t="s">
        <v>2279</v>
      </c>
      <c r="B16" s="144"/>
      <c r="C16" s="71">
        <f t="shared" ref="C16:K16" si="3">SUM(C17:C25)</f>
        <v>0</v>
      </c>
      <c r="D16" s="71">
        <f t="shared" si="3"/>
        <v>0</v>
      </c>
      <c r="E16" s="305">
        <f t="shared" si="3"/>
        <v>0</v>
      </c>
      <c r="F16" s="75">
        <f t="shared" si="3"/>
        <v>0</v>
      </c>
      <c r="G16" s="71">
        <f t="shared" si="3"/>
        <v>0</v>
      </c>
      <c r="H16" s="117">
        <f t="shared" si="3"/>
        <v>0</v>
      </c>
      <c r="I16" s="75">
        <f t="shared" si="3"/>
        <v>0</v>
      </c>
      <c r="J16" s="71">
        <f t="shared" si="3"/>
        <v>0</v>
      </c>
      <c r="K16" s="117">
        <f t="shared" si="3"/>
        <v>0</v>
      </c>
      <c r="L16" s="2126"/>
      <c r="AC16" s="2365"/>
      <c r="AD16" s="2365" t="s">
        <v>2821</v>
      </c>
    </row>
    <row r="17" spans="1:30" s="377" customFormat="1" ht="13.15" customHeight="1" x14ac:dyDescent="0.25">
      <c r="A17" s="2125" t="s">
        <v>2238</v>
      </c>
      <c r="B17" s="144"/>
      <c r="C17" s="712">
        <f>SUMIFS(Sheet1!S71_PPPYearAmount,Sheet1!S71_SA34dCode,$AC:$AC,Sheet1!S71_DepCode,$AD:$AD)</f>
        <v>0</v>
      </c>
      <c r="D17" s="712">
        <f>SUMIFS(Sheet1!S71_PPYearAmount,Sheet1!S71_SA34dCode,$AC:$AC,Sheet1!S71_DepCode,$AD:$AD)</f>
        <v>0</v>
      </c>
      <c r="E17" s="715">
        <f>SUMIFS(Sheet1!S71_PYearAmount,Sheet1!S71_SA34dCode,$AC:$AC,Sheet1!S71_DepCode,$AD:$AD)</f>
        <v>0</v>
      </c>
      <c r="F17" s="725">
        <f>SUMIFS(Sheet1!S71_OriginalBudAmnt,Sheet1!S71_SA34dCode,$AC:$AC,Sheet1!S71_DepCode,$AD:$AD)</f>
        <v>0</v>
      </c>
      <c r="G17" s="712">
        <f>SUMIFS(Sheet1!S71_AdjustmentBudAmnt,Sheet1!S71_SA34dCode,$AC:$AC,Sheet1!S71_DepCode,$AD:$AD)</f>
        <v>0</v>
      </c>
      <c r="H17" s="713">
        <f>SUMIFS(Sheet1!S71_AdjustmentBudAmnt,Sheet1!S71_SA34dCode,$AC:$AC,Sheet1!S71_DepCode,$AD:$AD)</f>
        <v>0</v>
      </c>
      <c r="I17" s="725">
        <f>SUMIFS(Sheet1!S71_ASBudgetAmount,Sheet1!S71_SA34dCode,$AC:$AC,Sheet1!S71_DepCode,$AD:$AD)</f>
        <v>0</v>
      </c>
      <c r="J17" s="712">
        <f>SUMIFS(Sheet1!S71_OY1BudgetAmount,Sheet1!S71_SA34dCode,$AC:$AC,Sheet1!S71_DepCode,$AD:$AD)</f>
        <v>0</v>
      </c>
      <c r="K17" s="713">
        <f>SUMIFS(Sheet1!S71_OY2BudgetAmount,Sheet1!S71_SA34dCode,$AC:$AC,Sheet1!S71_DepCode,$AD:$AD)</f>
        <v>0</v>
      </c>
      <c r="L17" s="2126"/>
      <c r="AC17" s="2365" t="s">
        <v>2767</v>
      </c>
      <c r="AD17" s="2365" t="s">
        <v>2821</v>
      </c>
    </row>
    <row r="18" spans="1:30" s="377" customFormat="1" ht="13.15" customHeight="1" x14ac:dyDescent="0.25">
      <c r="A18" s="2125" t="s">
        <v>2239</v>
      </c>
      <c r="B18" s="144"/>
      <c r="C18" s="712">
        <f>SUMIFS(Sheet1!S71_PPPYearAmount,Sheet1!S71_SA34dCode,$AC:$AC,Sheet1!S71_DepCode,$AD:$AD)</f>
        <v>0</v>
      </c>
      <c r="D18" s="712">
        <f>SUMIFS(Sheet1!S71_PPYearAmount,Sheet1!S71_SA34dCode,$AC:$AC,Sheet1!S71_DepCode,$AD:$AD)</f>
        <v>0</v>
      </c>
      <c r="E18" s="715">
        <f>SUMIFS(Sheet1!S71_PYearAmount,Sheet1!S71_SA34dCode,$AC:$AC,Sheet1!S71_DepCode,$AD:$AD)</f>
        <v>0</v>
      </c>
      <c r="F18" s="725">
        <f>SUMIFS(Sheet1!S71_OriginalBudAmnt,Sheet1!S71_SA34dCode,$AC:$AC,Sheet1!S71_DepCode,$AD:$AD)</f>
        <v>0</v>
      </c>
      <c r="G18" s="712">
        <f>SUMIFS(Sheet1!S71_AdjustmentBudAmnt,Sheet1!S71_SA34dCode,$AC:$AC,Sheet1!S71_DepCode,$AD:$AD)</f>
        <v>0</v>
      </c>
      <c r="H18" s="713">
        <f>SUMIFS(Sheet1!S71_AdjustmentBudAmnt,Sheet1!S71_SA34dCode,$AC:$AC,Sheet1!S71_DepCode,$AD:$AD)</f>
        <v>0</v>
      </c>
      <c r="I18" s="725">
        <f>SUMIFS(Sheet1!S71_ASBudgetAmount,Sheet1!S71_SA34dCode,$AC:$AC,Sheet1!S71_DepCode,$AD:$AD)</f>
        <v>0</v>
      </c>
      <c r="J18" s="712">
        <f>SUMIFS(Sheet1!S71_OY1BudgetAmount,Sheet1!S71_SA34dCode,$AC:$AC,Sheet1!S71_DepCode,$AD:$AD)</f>
        <v>0</v>
      </c>
      <c r="K18" s="713">
        <f>SUMIFS(Sheet1!S71_OY2BudgetAmount,Sheet1!S71_SA34dCode,$AC:$AC,Sheet1!S71_DepCode,$AD:$AD)</f>
        <v>0</v>
      </c>
      <c r="L18" s="2126"/>
      <c r="AC18" s="2365" t="s">
        <v>2768</v>
      </c>
      <c r="AD18" s="2365" t="s">
        <v>2821</v>
      </c>
    </row>
    <row r="19" spans="1:30" s="377" customFormat="1" ht="13.15" customHeight="1" x14ac:dyDescent="0.25">
      <c r="A19" s="2125" t="s">
        <v>2240</v>
      </c>
      <c r="B19" s="144"/>
      <c r="C19" s="712">
        <f>SUMIFS(Sheet1!S71_PPPYearAmount,Sheet1!S71_SA34dCode,$AC:$AC,Sheet1!S71_DepCode,$AD:$AD)</f>
        <v>0</v>
      </c>
      <c r="D19" s="712">
        <f>SUMIFS(Sheet1!S71_PPYearAmount,Sheet1!S71_SA34dCode,$AC:$AC,Sheet1!S71_DepCode,$AD:$AD)</f>
        <v>0</v>
      </c>
      <c r="E19" s="715">
        <f>SUMIFS(Sheet1!S71_PYearAmount,Sheet1!S71_SA34dCode,$AC:$AC,Sheet1!S71_DepCode,$AD:$AD)</f>
        <v>0</v>
      </c>
      <c r="F19" s="725">
        <f>SUMIFS(Sheet1!S71_OriginalBudAmnt,Sheet1!S71_SA34dCode,$AC:$AC,Sheet1!S71_DepCode,$AD:$AD)</f>
        <v>0</v>
      </c>
      <c r="G19" s="712">
        <f>SUMIFS(Sheet1!S71_AdjustmentBudAmnt,Sheet1!S71_SA34dCode,$AC:$AC,Sheet1!S71_DepCode,$AD:$AD)</f>
        <v>0</v>
      </c>
      <c r="H19" s="713">
        <f>SUMIFS(Sheet1!S71_AdjustmentBudAmnt,Sheet1!S71_SA34dCode,$AC:$AC,Sheet1!S71_DepCode,$AD:$AD)</f>
        <v>0</v>
      </c>
      <c r="I19" s="725">
        <f>SUMIFS(Sheet1!S71_ASBudgetAmount,Sheet1!S71_SA34dCode,$AC:$AC,Sheet1!S71_DepCode,$AD:$AD)</f>
        <v>0</v>
      </c>
      <c r="J19" s="712">
        <f>SUMIFS(Sheet1!S71_OY1BudgetAmount,Sheet1!S71_SA34dCode,$AC:$AC,Sheet1!S71_DepCode,$AD:$AD)</f>
        <v>0</v>
      </c>
      <c r="K19" s="713">
        <f>SUMIFS(Sheet1!S71_OY2BudgetAmount,Sheet1!S71_SA34dCode,$AC:$AC,Sheet1!S71_DepCode,$AD:$AD)</f>
        <v>0</v>
      </c>
      <c r="L19" s="2126"/>
      <c r="AC19" s="2365" t="s">
        <v>2779</v>
      </c>
      <c r="AD19" s="2365" t="s">
        <v>2821</v>
      </c>
    </row>
    <row r="20" spans="1:30" s="377" customFormat="1" ht="13.15" customHeight="1" x14ac:dyDescent="0.25">
      <c r="A20" s="2125" t="s">
        <v>2241</v>
      </c>
      <c r="B20" s="144"/>
      <c r="C20" s="712">
        <f>SUMIFS(Sheet1!S71_PPPYearAmount,Sheet1!S71_SA34dCode,$AC:$AC,Sheet1!S71_DepCode,$AD:$AD)</f>
        <v>0</v>
      </c>
      <c r="D20" s="712">
        <f>SUMIFS(Sheet1!S71_PPYearAmount,Sheet1!S71_SA34dCode,$AC:$AC,Sheet1!S71_DepCode,$AD:$AD)</f>
        <v>0</v>
      </c>
      <c r="E20" s="715">
        <f>SUMIFS(Sheet1!S71_PYearAmount,Sheet1!S71_SA34dCode,$AC:$AC,Sheet1!S71_DepCode,$AD:$AD)</f>
        <v>0</v>
      </c>
      <c r="F20" s="725">
        <f>SUMIFS(Sheet1!S71_OriginalBudAmnt,Sheet1!S71_SA34dCode,$AC:$AC,Sheet1!S71_DepCode,$AD:$AD)</f>
        <v>0</v>
      </c>
      <c r="G20" s="712">
        <f>SUMIFS(Sheet1!S71_AdjustmentBudAmnt,Sheet1!S71_SA34dCode,$AC:$AC,Sheet1!S71_DepCode,$AD:$AD)</f>
        <v>0</v>
      </c>
      <c r="H20" s="713">
        <f>SUMIFS(Sheet1!S71_AdjustmentBudAmnt,Sheet1!S71_SA34dCode,$AC:$AC,Sheet1!S71_DepCode,$AD:$AD)</f>
        <v>0</v>
      </c>
      <c r="I20" s="725">
        <f>SUMIFS(Sheet1!S71_ASBudgetAmount,Sheet1!S71_SA34dCode,$AC:$AC,Sheet1!S71_DepCode,$AD:$AD)</f>
        <v>0</v>
      </c>
      <c r="J20" s="712">
        <f>SUMIFS(Sheet1!S71_OY1BudgetAmount,Sheet1!S71_SA34dCode,$AC:$AC,Sheet1!S71_DepCode,$AD:$AD)</f>
        <v>0</v>
      </c>
      <c r="K20" s="713">
        <f>SUMIFS(Sheet1!S71_OY2BudgetAmount,Sheet1!S71_SA34dCode,$AC:$AC,Sheet1!S71_DepCode,$AD:$AD)</f>
        <v>0</v>
      </c>
      <c r="L20" s="2126"/>
      <c r="AC20" s="2365" t="s">
        <v>2780</v>
      </c>
      <c r="AD20" s="2365" t="s">
        <v>2821</v>
      </c>
    </row>
    <row r="21" spans="1:30" s="377" customFormat="1" ht="13.15" customHeight="1" x14ac:dyDescent="0.25">
      <c r="A21" s="2125" t="s">
        <v>2242</v>
      </c>
      <c r="B21" s="144"/>
      <c r="C21" s="712">
        <f>SUMIFS(Sheet1!S71_PPPYearAmount,Sheet1!S71_SA34dCode,$AC:$AC,Sheet1!S71_DepCode,$AD:$AD)</f>
        <v>0</v>
      </c>
      <c r="D21" s="712">
        <f>SUMIFS(Sheet1!S71_PPYearAmount,Sheet1!S71_SA34dCode,$AC:$AC,Sheet1!S71_DepCode,$AD:$AD)</f>
        <v>0</v>
      </c>
      <c r="E21" s="715">
        <f>SUMIFS(Sheet1!S71_PYearAmount,Sheet1!S71_SA34dCode,$AC:$AC,Sheet1!S71_DepCode,$AD:$AD)</f>
        <v>0</v>
      </c>
      <c r="F21" s="725">
        <f>SUMIFS(Sheet1!S71_OriginalBudAmnt,Sheet1!S71_SA34dCode,$AC:$AC,Sheet1!S71_DepCode,$AD:$AD)</f>
        <v>0</v>
      </c>
      <c r="G21" s="712">
        <f>SUMIFS(Sheet1!S71_AdjustmentBudAmnt,Sheet1!S71_SA34dCode,$AC:$AC,Sheet1!S71_DepCode,$AD:$AD)</f>
        <v>0</v>
      </c>
      <c r="H21" s="713">
        <f>SUMIFS(Sheet1!S71_AdjustmentBudAmnt,Sheet1!S71_SA34dCode,$AC:$AC,Sheet1!S71_DepCode,$AD:$AD)</f>
        <v>0</v>
      </c>
      <c r="I21" s="725">
        <f>SUMIFS(Sheet1!S71_ASBudgetAmount,Sheet1!S71_SA34dCode,$AC:$AC,Sheet1!S71_DepCode,$AD:$AD)</f>
        <v>0</v>
      </c>
      <c r="J21" s="712">
        <f>SUMIFS(Sheet1!S71_OY1BudgetAmount,Sheet1!S71_SA34dCode,$AC:$AC,Sheet1!S71_DepCode,$AD:$AD)</f>
        <v>0</v>
      </c>
      <c r="K21" s="713">
        <f>SUMIFS(Sheet1!S71_OY2BudgetAmount,Sheet1!S71_SA34dCode,$AC:$AC,Sheet1!S71_DepCode,$AD:$AD)</f>
        <v>0</v>
      </c>
      <c r="L21" s="2126"/>
      <c r="AC21" s="2365" t="s">
        <v>2832</v>
      </c>
      <c r="AD21" s="2365" t="s">
        <v>2821</v>
      </c>
    </row>
    <row r="22" spans="1:30" s="377" customFormat="1" ht="13.15" customHeight="1" x14ac:dyDescent="0.25">
      <c r="A22" s="2125" t="s">
        <v>2243</v>
      </c>
      <c r="B22" s="144"/>
      <c r="C22" s="712">
        <f>SUMIFS(Sheet1!S71_PPPYearAmount,Sheet1!S71_SA34dCode,$AC:$AC,Sheet1!S71_DepCode,$AD:$AD)</f>
        <v>0</v>
      </c>
      <c r="D22" s="712">
        <f>SUMIFS(Sheet1!S71_PPYearAmount,Sheet1!S71_SA34dCode,$AC:$AC,Sheet1!S71_DepCode,$AD:$AD)</f>
        <v>0</v>
      </c>
      <c r="E22" s="715">
        <f>SUMIFS(Sheet1!S71_PYearAmount,Sheet1!S71_SA34dCode,$AC:$AC,Sheet1!S71_DepCode,$AD:$AD)</f>
        <v>0</v>
      </c>
      <c r="F22" s="725">
        <f>SUMIFS(Sheet1!S71_OriginalBudAmnt,Sheet1!S71_SA34dCode,$AC:$AC,Sheet1!S71_DepCode,$AD:$AD)</f>
        <v>0</v>
      </c>
      <c r="G22" s="712">
        <f>SUMIFS(Sheet1!S71_AdjustmentBudAmnt,Sheet1!S71_SA34dCode,$AC:$AC,Sheet1!S71_DepCode,$AD:$AD)</f>
        <v>0</v>
      </c>
      <c r="H22" s="713">
        <f>SUMIFS(Sheet1!S71_AdjustmentBudAmnt,Sheet1!S71_SA34dCode,$AC:$AC,Sheet1!S71_DepCode,$AD:$AD)</f>
        <v>0</v>
      </c>
      <c r="I22" s="725">
        <f>SUMIFS(Sheet1!S71_ASBudgetAmount,Sheet1!S71_SA34dCode,$AC:$AC,Sheet1!S71_DepCode,$AD:$AD)</f>
        <v>0</v>
      </c>
      <c r="J22" s="712">
        <f>SUMIFS(Sheet1!S71_OY1BudgetAmount,Sheet1!S71_SA34dCode,$AC:$AC,Sheet1!S71_DepCode,$AD:$AD)</f>
        <v>0</v>
      </c>
      <c r="K22" s="713">
        <f>SUMIFS(Sheet1!S71_OY2BudgetAmount,Sheet1!S71_SA34dCode,$AC:$AC,Sheet1!S71_DepCode,$AD:$AD)</f>
        <v>0</v>
      </c>
      <c r="L22" s="2124"/>
      <c r="AC22" s="2365" t="s">
        <v>2769</v>
      </c>
      <c r="AD22" s="2365" t="s">
        <v>2821</v>
      </c>
    </row>
    <row r="23" spans="1:30" s="377" customFormat="1" ht="13.15" customHeight="1" x14ac:dyDescent="0.25">
      <c r="A23" s="2125" t="s">
        <v>2244</v>
      </c>
      <c r="B23" s="144"/>
      <c r="C23" s="712">
        <f>SUMIFS(Sheet1!S71_PPPYearAmount,Sheet1!S71_SA34dCode,$AC:$AC,Sheet1!S71_DepCode,$AD:$AD)</f>
        <v>0</v>
      </c>
      <c r="D23" s="712">
        <f>SUMIFS(Sheet1!S71_PPYearAmount,Sheet1!S71_SA34dCode,$AC:$AC,Sheet1!S71_DepCode,$AD:$AD)</f>
        <v>0</v>
      </c>
      <c r="E23" s="715">
        <f>SUMIFS(Sheet1!S71_PYearAmount,Sheet1!S71_SA34dCode,$AC:$AC,Sheet1!S71_DepCode,$AD:$AD)</f>
        <v>0</v>
      </c>
      <c r="F23" s="725">
        <f>SUMIFS(Sheet1!S71_OriginalBudAmnt,Sheet1!S71_SA34dCode,$AC:$AC,Sheet1!S71_DepCode,$AD:$AD)</f>
        <v>0</v>
      </c>
      <c r="G23" s="712">
        <f>SUMIFS(Sheet1!S71_AdjustmentBudAmnt,Sheet1!S71_SA34dCode,$AC:$AC,Sheet1!S71_DepCode,$AD:$AD)</f>
        <v>0</v>
      </c>
      <c r="H23" s="713">
        <f>SUMIFS(Sheet1!S71_AdjustmentBudAmnt,Sheet1!S71_SA34dCode,$AC:$AC,Sheet1!S71_DepCode,$AD:$AD)</f>
        <v>0</v>
      </c>
      <c r="I23" s="725">
        <f>SUMIFS(Sheet1!S71_ASBudgetAmount,Sheet1!S71_SA34dCode,$AC:$AC,Sheet1!S71_DepCode,$AD:$AD)</f>
        <v>0</v>
      </c>
      <c r="J23" s="712">
        <f>SUMIFS(Sheet1!S71_OY1BudgetAmount,Sheet1!S71_SA34dCode,$AC:$AC,Sheet1!S71_DepCode,$AD:$AD)</f>
        <v>0</v>
      </c>
      <c r="K23" s="713">
        <f>SUMIFS(Sheet1!S71_OY2BudgetAmount,Sheet1!S71_SA34dCode,$AC:$AC,Sheet1!S71_DepCode,$AD:$AD)</f>
        <v>0</v>
      </c>
      <c r="L23" s="2126"/>
      <c r="AC23" s="2365" t="s">
        <v>2781</v>
      </c>
      <c r="AD23" s="2365" t="s">
        <v>2821</v>
      </c>
    </row>
    <row r="24" spans="1:30" s="377" customFormat="1" ht="13.15" customHeight="1" x14ac:dyDescent="0.25">
      <c r="A24" s="2125" t="s">
        <v>2245</v>
      </c>
      <c r="B24" s="144"/>
      <c r="C24" s="712">
        <f>SUMIFS(Sheet1!S71_PPPYearAmount,Sheet1!S71_SA34dCode,$AC:$AC,Sheet1!S71_DepCode,$AD:$AD)</f>
        <v>0</v>
      </c>
      <c r="D24" s="712">
        <f>SUMIFS(Sheet1!S71_PPYearAmount,Sheet1!S71_SA34dCode,$AC:$AC,Sheet1!S71_DepCode,$AD:$AD)</f>
        <v>0</v>
      </c>
      <c r="E24" s="715">
        <f>SUMIFS(Sheet1!S71_PYearAmount,Sheet1!S71_SA34dCode,$AC:$AC,Sheet1!S71_DepCode,$AD:$AD)</f>
        <v>0</v>
      </c>
      <c r="F24" s="725">
        <f>SUMIFS(Sheet1!S71_OriginalBudAmnt,Sheet1!S71_SA34dCode,$AC:$AC,Sheet1!S71_DepCode,$AD:$AD)</f>
        <v>0</v>
      </c>
      <c r="G24" s="712">
        <f>SUMIFS(Sheet1!S71_AdjustmentBudAmnt,Sheet1!S71_SA34dCode,$AC:$AC,Sheet1!S71_DepCode,$AD:$AD)</f>
        <v>0</v>
      </c>
      <c r="H24" s="713">
        <f>SUMIFS(Sheet1!S71_AdjustmentBudAmnt,Sheet1!S71_SA34dCode,$AC:$AC,Sheet1!S71_DepCode,$AD:$AD)</f>
        <v>0</v>
      </c>
      <c r="I24" s="725">
        <f>SUMIFS(Sheet1!S71_ASBudgetAmount,Sheet1!S71_SA34dCode,$AC:$AC,Sheet1!S71_DepCode,$AD:$AD)</f>
        <v>0</v>
      </c>
      <c r="J24" s="712">
        <f>SUMIFS(Sheet1!S71_OY1BudgetAmount,Sheet1!S71_SA34dCode,$AC:$AC,Sheet1!S71_DepCode,$AD:$AD)</f>
        <v>0</v>
      </c>
      <c r="K24" s="713">
        <f>SUMIFS(Sheet1!S71_OY2BudgetAmount,Sheet1!S71_SA34dCode,$AC:$AC,Sheet1!S71_DepCode,$AD:$AD)</f>
        <v>0</v>
      </c>
      <c r="L24" s="2126"/>
      <c r="AC24" s="2365" t="s">
        <v>2782</v>
      </c>
      <c r="AD24" s="2365" t="s">
        <v>2821</v>
      </c>
    </row>
    <row r="25" spans="1:30" s="377" customFormat="1" ht="13.15" customHeight="1" x14ac:dyDescent="0.25">
      <c r="A25" s="2125" t="s">
        <v>2233</v>
      </c>
      <c r="B25" s="144"/>
      <c r="C25" s="712">
        <f>SUMIFS(Sheet1!S71_PPPYearAmount,Sheet1!S71_SA34dCode,$AC:$AC,Sheet1!S71_DepCode,$AD:$AD)</f>
        <v>0</v>
      </c>
      <c r="D25" s="712">
        <f>SUMIFS(Sheet1!S71_PPYearAmount,Sheet1!S71_SA34dCode,$AC:$AC,Sheet1!S71_DepCode,$AD:$AD)</f>
        <v>0</v>
      </c>
      <c r="E25" s="715">
        <f>SUMIFS(Sheet1!S71_PYearAmount,Sheet1!S71_SA34dCode,$AC:$AC,Sheet1!S71_DepCode,$AD:$AD)</f>
        <v>0</v>
      </c>
      <c r="F25" s="725">
        <f>SUMIFS(Sheet1!S71_OriginalBudAmnt,Sheet1!S71_SA34dCode,$AC:$AC,Sheet1!S71_DepCode,$AD:$AD)</f>
        <v>0</v>
      </c>
      <c r="G25" s="712">
        <f>SUMIFS(Sheet1!S71_AdjustmentBudAmnt,Sheet1!S71_SA34dCode,$AC:$AC,Sheet1!S71_DepCode,$AD:$AD)</f>
        <v>0</v>
      </c>
      <c r="H25" s="713">
        <f>SUMIFS(Sheet1!S71_AdjustmentBudAmnt,Sheet1!S71_SA34dCode,$AC:$AC,Sheet1!S71_DepCode,$AD:$AD)</f>
        <v>0</v>
      </c>
      <c r="I25" s="725">
        <f>SUMIFS(Sheet1!S71_ASBudgetAmount,Sheet1!S71_SA34dCode,$AC:$AC,Sheet1!S71_DepCode,$AD:$AD)</f>
        <v>0</v>
      </c>
      <c r="J25" s="712">
        <f>SUMIFS(Sheet1!S71_OY1BudgetAmount,Sheet1!S71_SA34dCode,$AC:$AC,Sheet1!S71_DepCode,$AD:$AD)</f>
        <v>0</v>
      </c>
      <c r="K25" s="713">
        <f>SUMIFS(Sheet1!S71_OY2BudgetAmount,Sheet1!S71_SA34dCode,$AC:$AC,Sheet1!S71_DepCode,$AD:$AD)</f>
        <v>0</v>
      </c>
      <c r="L25" s="2126"/>
      <c r="AC25" s="2365" t="s">
        <v>2833</v>
      </c>
      <c r="AD25" s="2365" t="s">
        <v>2821</v>
      </c>
    </row>
    <row r="26" spans="1:30" ht="13.15" customHeight="1" x14ac:dyDescent="0.25">
      <c r="A26" s="137" t="s">
        <v>2280</v>
      </c>
      <c r="B26" s="97"/>
      <c r="C26" s="71">
        <f>SUM(C27:C36)</f>
        <v>0</v>
      </c>
      <c r="D26" s="71">
        <f t="shared" ref="D26:K26" si="4">SUM(D27:D36)</f>
        <v>0</v>
      </c>
      <c r="E26" s="305">
        <f t="shared" si="4"/>
        <v>0</v>
      </c>
      <c r="F26" s="75">
        <f t="shared" si="4"/>
        <v>0</v>
      </c>
      <c r="G26" s="71">
        <f t="shared" si="4"/>
        <v>0</v>
      </c>
      <c r="H26" s="117">
        <f t="shared" si="4"/>
        <v>0</v>
      </c>
      <c r="I26" s="75">
        <f t="shared" si="4"/>
        <v>0</v>
      </c>
      <c r="J26" s="71">
        <f t="shared" si="4"/>
        <v>0</v>
      </c>
      <c r="K26" s="117">
        <f t="shared" si="4"/>
        <v>0</v>
      </c>
      <c r="L26" s="322"/>
      <c r="AD26" s="2365" t="s">
        <v>2821</v>
      </c>
    </row>
    <row r="27" spans="1:30" ht="13.15" customHeight="1" x14ac:dyDescent="0.25">
      <c r="A27" s="2125" t="s">
        <v>2246</v>
      </c>
      <c r="B27" s="144"/>
      <c r="C27" s="712">
        <f>SUMIFS(Sheet1!S71_PPPYearAmount,Sheet1!S71_SA34dCode,$AC:$AC,Sheet1!S71_DepCode,$AD:$AD)</f>
        <v>0</v>
      </c>
      <c r="D27" s="712">
        <f>SUMIFS(Sheet1!S71_PPYearAmount,Sheet1!S71_SA34dCode,$AC:$AC,Sheet1!S71_DepCode,$AD:$AD)</f>
        <v>0</v>
      </c>
      <c r="E27" s="715">
        <f>SUMIFS(Sheet1!S71_PYearAmount,Sheet1!S71_SA34dCode,$AC:$AC,Sheet1!S71_DepCode,$AD:$AD)</f>
        <v>0</v>
      </c>
      <c r="F27" s="725">
        <f>SUMIFS(Sheet1!S71_OriginalBudAmnt,Sheet1!S71_SA34dCode,$AC:$AC,Sheet1!S71_DepCode,$AD:$AD)</f>
        <v>0</v>
      </c>
      <c r="G27" s="712">
        <f>SUMIFS(Sheet1!S71_AdjustmentBudAmnt,Sheet1!S71_SA34dCode,$AC:$AC,Sheet1!S71_DepCode,$AD:$AD)</f>
        <v>0</v>
      </c>
      <c r="H27" s="713">
        <f>SUMIFS(Sheet1!S71_AdjustmentBudAmnt,Sheet1!S71_SA34dCode,$AC:$AC,Sheet1!S71_DepCode,$AD:$AD)</f>
        <v>0</v>
      </c>
      <c r="I27" s="725">
        <f>SUMIFS(Sheet1!S71_ASBudgetAmount,Sheet1!S71_SA34dCode,$AC:$AC,Sheet1!S71_DepCode,$AD:$AD)</f>
        <v>0</v>
      </c>
      <c r="J27" s="712">
        <f>SUMIFS(Sheet1!S71_OY1BudgetAmount,Sheet1!S71_SA34dCode,$AC:$AC,Sheet1!S71_DepCode,$AD:$AD)</f>
        <v>0</v>
      </c>
      <c r="K27" s="713">
        <f>SUMIFS(Sheet1!S71_OY2BudgetAmount,Sheet1!S71_SA34dCode,$AC:$AC,Sheet1!S71_DepCode,$AD:$AD)</f>
        <v>0</v>
      </c>
      <c r="L27" s="322"/>
      <c r="AC27" s="2365" t="s">
        <v>2834</v>
      </c>
      <c r="AD27" s="2365" t="s">
        <v>2821</v>
      </c>
    </row>
    <row r="28" spans="1:30" ht="13.15" customHeight="1" x14ac:dyDescent="0.25">
      <c r="A28" s="2125" t="s">
        <v>2247</v>
      </c>
      <c r="B28" s="144"/>
      <c r="C28" s="712">
        <f>SUMIFS(Sheet1!S71_PPPYearAmount,Sheet1!S71_SA34dCode,$AC:$AC,Sheet1!S71_DepCode,$AD:$AD)</f>
        <v>0</v>
      </c>
      <c r="D28" s="712">
        <f>SUMIFS(Sheet1!S71_PPYearAmount,Sheet1!S71_SA34dCode,$AC:$AC,Sheet1!S71_DepCode,$AD:$AD)</f>
        <v>0</v>
      </c>
      <c r="E28" s="715">
        <f>SUMIFS(Sheet1!S71_PYearAmount,Sheet1!S71_SA34dCode,$AC:$AC,Sheet1!S71_DepCode,$AD:$AD)</f>
        <v>0</v>
      </c>
      <c r="F28" s="725">
        <f>SUMIFS(Sheet1!S71_OriginalBudAmnt,Sheet1!S71_SA34dCode,$AC:$AC,Sheet1!S71_DepCode,$AD:$AD)</f>
        <v>0</v>
      </c>
      <c r="G28" s="712">
        <f>SUMIFS(Sheet1!S71_AdjustmentBudAmnt,Sheet1!S71_SA34dCode,$AC:$AC,Sheet1!S71_DepCode,$AD:$AD)</f>
        <v>0</v>
      </c>
      <c r="H28" s="713">
        <f>SUMIFS(Sheet1!S71_AdjustmentBudAmnt,Sheet1!S71_SA34dCode,$AC:$AC,Sheet1!S71_DepCode,$AD:$AD)</f>
        <v>0</v>
      </c>
      <c r="I28" s="725">
        <f>SUMIFS(Sheet1!S71_ASBudgetAmount,Sheet1!S71_SA34dCode,$AC:$AC,Sheet1!S71_DepCode,$AD:$AD)</f>
        <v>0</v>
      </c>
      <c r="J28" s="712">
        <f>SUMIFS(Sheet1!S71_OY1BudgetAmount,Sheet1!S71_SA34dCode,$AC:$AC,Sheet1!S71_DepCode,$AD:$AD)</f>
        <v>0</v>
      </c>
      <c r="K28" s="713">
        <f>SUMIFS(Sheet1!S71_OY2BudgetAmount,Sheet1!S71_SA34dCode,$AC:$AC,Sheet1!S71_DepCode,$AD:$AD)</f>
        <v>0</v>
      </c>
      <c r="L28" s="2126"/>
      <c r="AC28" s="2365" t="s">
        <v>2835</v>
      </c>
      <c r="AD28" s="2365" t="s">
        <v>2821</v>
      </c>
    </row>
    <row r="29" spans="1:30" ht="13.15" customHeight="1" x14ac:dyDescent="0.25">
      <c r="A29" s="2125" t="s">
        <v>2248</v>
      </c>
      <c r="B29" s="144"/>
      <c r="C29" s="712">
        <f>SUMIFS(Sheet1!S71_PPPYearAmount,Sheet1!S71_SA34dCode,$AC:$AC,Sheet1!S71_DepCode,$AD:$AD)</f>
        <v>0</v>
      </c>
      <c r="D29" s="712">
        <f>SUMIFS(Sheet1!S71_PPYearAmount,Sheet1!S71_SA34dCode,$AC:$AC,Sheet1!S71_DepCode,$AD:$AD)</f>
        <v>0</v>
      </c>
      <c r="E29" s="715">
        <f>SUMIFS(Sheet1!S71_PYearAmount,Sheet1!S71_SA34dCode,$AC:$AC,Sheet1!S71_DepCode,$AD:$AD)</f>
        <v>0</v>
      </c>
      <c r="F29" s="725">
        <f>SUMIFS(Sheet1!S71_OriginalBudAmnt,Sheet1!S71_SA34dCode,$AC:$AC,Sheet1!S71_DepCode,$AD:$AD)</f>
        <v>0</v>
      </c>
      <c r="G29" s="712">
        <f>SUMIFS(Sheet1!S71_AdjustmentBudAmnt,Sheet1!S71_SA34dCode,$AC:$AC,Sheet1!S71_DepCode,$AD:$AD)</f>
        <v>0</v>
      </c>
      <c r="H29" s="713">
        <f>SUMIFS(Sheet1!S71_AdjustmentBudAmnt,Sheet1!S71_SA34dCode,$AC:$AC,Sheet1!S71_DepCode,$AD:$AD)</f>
        <v>0</v>
      </c>
      <c r="I29" s="725">
        <f>SUMIFS(Sheet1!S71_ASBudgetAmount,Sheet1!S71_SA34dCode,$AC:$AC,Sheet1!S71_DepCode,$AD:$AD)</f>
        <v>0</v>
      </c>
      <c r="J29" s="712">
        <f>SUMIFS(Sheet1!S71_OY1BudgetAmount,Sheet1!S71_SA34dCode,$AC:$AC,Sheet1!S71_DepCode,$AD:$AD)</f>
        <v>0</v>
      </c>
      <c r="K29" s="713">
        <f>SUMIFS(Sheet1!S71_OY2BudgetAmount,Sheet1!S71_SA34dCode,$AC:$AC,Sheet1!S71_DepCode,$AD:$AD)</f>
        <v>0</v>
      </c>
      <c r="L29" s="2126"/>
      <c r="AC29" s="2365" t="s">
        <v>2783</v>
      </c>
      <c r="AD29" s="2365" t="s">
        <v>2821</v>
      </c>
    </row>
    <row r="30" spans="1:30" ht="13.15" customHeight="1" x14ac:dyDescent="0.25">
      <c r="A30" s="2125" t="s">
        <v>2249</v>
      </c>
      <c r="B30" s="144"/>
      <c r="C30" s="712">
        <f>SUMIFS(Sheet1!S71_PPPYearAmount,Sheet1!S71_SA34dCode,$AC:$AC,Sheet1!S71_DepCode,$AD:$AD)</f>
        <v>0</v>
      </c>
      <c r="D30" s="712">
        <f>SUMIFS(Sheet1!S71_PPYearAmount,Sheet1!S71_SA34dCode,$AC:$AC,Sheet1!S71_DepCode,$AD:$AD)</f>
        <v>0</v>
      </c>
      <c r="E30" s="715">
        <f>SUMIFS(Sheet1!S71_PYearAmount,Sheet1!S71_SA34dCode,$AC:$AC,Sheet1!S71_DepCode,$AD:$AD)</f>
        <v>0</v>
      </c>
      <c r="F30" s="725">
        <f>SUMIFS(Sheet1!S71_OriginalBudAmnt,Sheet1!S71_SA34dCode,$AC:$AC,Sheet1!S71_DepCode,$AD:$AD)</f>
        <v>0</v>
      </c>
      <c r="G30" s="712">
        <f>SUMIFS(Sheet1!S71_AdjustmentBudAmnt,Sheet1!S71_SA34dCode,$AC:$AC,Sheet1!S71_DepCode,$AD:$AD)</f>
        <v>0</v>
      </c>
      <c r="H30" s="713">
        <f>SUMIFS(Sheet1!S71_AdjustmentBudAmnt,Sheet1!S71_SA34dCode,$AC:$AC,Sheet1!S71_DepCode,$AD:$AD)</f>
        <v>0</v>
      </c>
      <c r="I30" s="725">
        <f>SUMIFS(Sheet1!S71_ASBudgetAmount,Sheet1!S71_SA34dCode,$AC:$AC,Sheet1!S71_DepCode,$AD:$AD)</f>
        <v>0</v>
      </c>
      <c r="J30" s="712">
        <f>SUMIFS(Sheet1!S71_OY1BudgetAmount,Sheet1!S71_SA34dCode,$AC:$AC,Sheet1!S71_DepCode,$AD:$AD)</f>
        <v>0</v>
      </c>
      <c r="K30" s="713">
        <f>SUMIFS(Sheet1!S71_OY2BudgetAmount,Sheet1!S71_SA34dCode,$AC:$AC,Sheet1!S71_DepCode,$AD:$AD)</f>
        <v>0</v>
      </c>
      <c r="L30" s="2126"/>
      <c r="AC30" s="2365" t="s">
        <v>2784</v>
      </c>
      <c r="AD30" s="2365" t="s">
        <v>2821</v>
      </c>
    </row>
    <row r="31" spans="1:30" ht="13.15" customHeight="1" x14ac:dyDescent="0.25">
      <c r="A31" s="2125" t="s">
        <v>2250</v>
      </c>
      <c r="B31" s="144"/>
      <c r="C31" s="712">
        <f>SUMIFS(Sheet1!S71_PPPYearAmount,Sheet1!S71_SA34dCode,$AC:$AC,Sheet1!S71_DepCode,$AD:$AD)</f>
        <v>0</v>
      </c>
      <c r="D31" s="712">
        <f>SUMIFS(Sheet1!S71_PPYearAmount,Sheet1!S71_SA34dCode,$AC:$AC,Sheet1!S71_DepCode,$AD:$AD)</f>
        <v>0</v>
      </c>
      <c r="E31" s="715">
        <f>SUMIFS(Sheet1!S71_PYearAmount,Sheet1!S71_SA34dCode,$AC:$AC,Sheet1!S71_DepCode,$AD:$AD)</f>
        <v>0</v>
      </c>
      <c r="F31" s="725">
        <f>SUMIFS(Sheet1!S71_OriginalBudAmnt,Sheet1!S71_SA34dCode,$AC:$AC,Sheet1!S71_DepCode,$AD:$AD)</f>
        <v>0</v>
      </c>
      <c r="G31" s="712">
        <f>SUMIFS(Sheet1!S71_AdjustmentBudAmnt,Sheet1!S71_SA34dCode,$AC:$AC,Sheet1!S71_DepCode,$AD:$AD)</f>
        <v>0</v>
      </c>
      <c r="H31" s="713">
        <f>SUMIFS(Sheet1!S71_AdjustmentBudAmnt,Sheet1!S71_SA34dCode,$AC:$AC,Sheet1!S71_DepCode,$AD:$AD)</f>
        <v>0</v>
      </c>
      <c r="I31" s="725">
        <f>SUMIFS(Sheet1!S71_ASBudgetAmount,Sheet1!S71_SA34dCode,$AC:$AC,Sheet1!S71_DepCode,$AD:$AD)</f>
        <v>0</v>
      </c>
      <c r="J31" s="712">
        <f>SUMIFS(Sheet1!S71_OY1BudgetAmount,Sheet1!S71_SA34dCode,$AC:$AC,Sheet1!S71_DepCode,$AD:$AD)</f>
        <v>0</v>
      </c>
      <c r="K31" s="713">
        <f>SUMIFS(Sheet1!S71_OY2BudgetAmount,Sheet1!S71_SA34dCode,$AC:$AC,Sheet1!S71_DepCode,$AD:$AD)</f>
        <v>0</v>
      </c>
      <c r="L31" s="2126"/>
      <c r="AC31" s="2365" t="s">
        <v>2770</v>
      </c>
      <c r="AD31" s="2365" t="s">
        <v>2821</v>
      </c>
    </row>
    <row r="32" spans="1:30" ht="13.15" customHeight="1" x14ac:dyDescent="0.25">
      <c r="A32" s="2125" t="s">
        <v>2251</v>
      </c>
      <c r="B32" s="144"/>
      <c r="C32" s="712">
        <f>SUMIFS(Sheet1!S71_PPPYearAmount,Sheet1!S71_SA34dCode,$AC:$AC,Sheet1!S71_DepCode,$AD:$AD)</f>
        <v>0</v>
      </c>
      <c r="D32" s="712">
        <f>SUMIFS(Sheet1!S71_PPYearAmount,Sheet1!S71_SA34dCode,$AC:$AC,Sheet1!S71_DepCode,$AD:$AD)</f>
        <v>0</v>
      </c>
      <c r="E32" s="715">
        <f>SUMIFS(Sheet1!S71_PYearAmount,Sheet1!S71_SA34dCode,$AC:$AC,Sheet1!S71_DepCode,$AD:$AD)</f>
        <v>0</v>
      </c>
      <c r="F32" s="725">
        <f>SUMIFS(Sheet1!S71_OriginalBudAmnt,Sheet1!S71_SA34dCode,$AC:$AC,Sheet1!S71_DepCode,$AD:$AD)</f>
        <v>0</v>
      </c>
      <c r="G32" s="712">
        <f>SUMIFS(Sheet1!S71_AdjustmentBudAmnt,Sheet1!S71_SA34dCode,$AC:$AC,Sheet1!S71_DepCode,$AD:$AD)</f>
        <v>0</v>
      </c>
      <c r="H32" s="713">
        <f>SUMIFS(Sheet1!S71_AdjustmentBudAmnt,Sheet1!S71_SA34dCode,$AC:$AC,Sheet1!S71_DepCode,$AD:$AD)</f>
        <v>0</v>
      </c>
      <c r="I32" s="725">
        <f>SUMIFS(Sheet1!S71_ASBudgetAmount,Sheet1!S71_SA34dCode,$AC:$AC,Sheet1!S71_DepCode,$AD:$AD)</f>
        <v>0</v>
      </c>
      <c r="J32" s="712">
        <f>SUMIFS(Sheet1!S71_OY1BudgetAmount,Sheet1!S71_SA34dCode,$AC:$AC,Sheet1!S71_DepCode,$AD:$AD)</f>
        <v>0</v>
      </c>
      <c r="K32" s="713">
        <f>SUMIFS(Sheet1!S71_OY2BudgetAmount,Sheet1!S71_SA34dCode,$AC:$AC,Sheet1!S71_DepCode,$AD:$AD)</f>
        <v>0</v>
      </c>
      <c r="L32" s="2126"/>
      <c r="AC32" s="2365" t="s">
        <v>2771</v>
      </c>
      <c r="AD32" s="2365" t="s">
        <v>2821</v>
      </c>
    </row>
    <row r="33" spans="1:30" ht="13.15" customHeight="1" x14ac:dyDescent="0.25">
      <c r="A33" s="2125" t="s">
        <v>2252</v>
      </c>
      <c r="B33" s="144"/>
      <c r="C33" s="712">
        <f>SUMIFS(Sheet1!S71_PPPYearAmount,Sheet1!S71_SA34dCode,$AC:$AC,Sheet1!S71_DepCode,$AD:$AD)</f>
        <v>0</v>
      </c>
      <c r="D33" s="712">
        <f>SUMIFS(Sheet1!S71_PPYearAmount,Sheet1!S71_SA34dCode,$AC:$AC,Sheet1!S71_DepCode,$AD:$AD)</f>
        <v>0</v>
      </c>
      <c r="E33" s="715">
        <f>SUMIFS(Sheet1!S71_PYearAmount,Sheet1!S71_SA34dCode,$AC:$AC,Sheet1!S71_DepCode,$AD:$AD)</f>
        <v>0</v>
      </c>
      <c r="F33" s="725">
        <f>SUMIFS(Sheet1!S71_OriginalBudAmnt,Sheet1!S71_SA34dCode,$AC:$AC,Sheet1!S71_DepCode,$AD:$AD)</f>
        <v>0</v>
      </c>
      <c r="G33" s="712">
        <f>SUMIFS(Sheet1!S71_AdjustmentBudAmnt,Sheet1!S71_SA34dCode,$AC:$AC,Sheet1!S71_DepCode,$AD:$AD)</f>
        <v>0</v>
      </c>
      <c r="H33" s="713">
        <f>SUMIFS(Sheet1!S71_AdjustmentBudAmnt,Sheet1!S71_SA34dCode,$AC:$AC,Sheet1!S71_DepCode,$AD:$AD)</f>
        <v>0</v>
      </c>
      <c r="I33" s="725">
        <f>SUMIFS(Sheet1!S71_ASBudgetAmount,Sheet1!S71_SA34dCode,$AC:$AC,Sheet1!S71_DepCode,$AD:$AD)</f>
        <v>0</v>
      </c>
      <c r="J33" s="712">
        <f>SUMIFS(Sheet1!S71_OY1BudgetAmount,Sheet1!S71_SA34dCode,$AC:$AC,Sheet1!S71_DepCode,$AD:$AD)</f>
        <v>0</v>
      </c>
      <c r="K33" s="713">
        <f>SUMIFS(Sheet1!S71_OY2BudgetAmount,Sheet1!S71_SA34dCode,$AC:$AC,Sheet1!S71_DepCode,$AD:$AD)</f>
        <v>0</v>
      </c>
      <c r="L33" s="2126"/>
      <c r="AC33" s="2365" t="s">
        <v>2785</v>
      </c>
      <c r="AD33" s="2365" t="s">
        <v>2821</v>
      </c>
    </row>
    <row r="34" spans="1:30" ht="13.15" customHeight="1" x14ac:dyDescent="0.25">
      <c r="A34" s="2125" t="s">
        <v>2253</v>
      </c>
      <c r="B34" s="144"/>
      <c r="C34" s="712">
        <f>SUMIFS(Sheet1!S71_PPPYearAmount,Sheet1!S71_SA34dCode,$AC:$AC,Sheet1!S71_DepCode,$AD:$AD)</f>
        <v>0</v>
      </c>
      <c r="D34" s="712">
        <f>SUMIFS(Sheet1!S71_PPYearAmount,Sheet1!S71_SA34dCode,$AC:$AC,Sheet1!S71_DepCode,$AD:$AD)</f>
        <v>0</v>
      </c>
      <c r="E34" s="715">
        <f>SUMIFS(Sheet1!S71_PYearAmount,Sheet1!S71_SA34dCode,$AC:$AC,Sheet1!S71_DepCode,$AD:$AD)</f>
        <v>0</v>
      </c>
      <c r="F34" s="725">
        <f>SUMIFS(Sheet1!S71_OriginalBudAmnt,Sheet1!S71_SA34dCode,$AC:$AC,Sheet1!S71_DepCode,$AD:$AD)</f>
        <v>0</v>
      </c>
      <c r="G34" s="712">
        <f>SUMIFS(Sheet1!S71_AdjustmentBudAmnt,Sheet1!S71_SA34dCode,$AC:$AC,Sheet1!S71_DepCode,$AD:$AD)</f>
        <v>0</v>
      </c>
      <c r="H34" s="713">
        <f>SUMIFS(Sheet1!S71_AdjustmentBudAmnt,Sheet1!S71_SA34dCode,$AC:$AC,Sheet1!S71_DepCode,$AD:$AD)</f>
        <v>0</v>
      </c>
      <c r="I34" s="725">
        <f>SUMIFS(Sheet1!S71_ASBudgetAmount,Sheet1!S71_SA34dCode,$AC:$AC,Sheet1!S71_DepCode,$AD:$AD)</f>
        <v>0</v>
      </c>
      <c r="J34" s="712">
        <f>SUMIFS(Sheet1!S71_OY1BudgetAmount,Sheet1!S71_SA34dCode,$AC:$AC,Sheet1!S71_DepCode,$AD:$AD)</f>
        <v>0</v>
      </c>
      <c r="K34" s="713">
        <f>SUMIFS(Sheet1!S71_OY2BudgetAmount,Sheet1!S71_SA34dCode,$AC:$AC,Sheet1!S71_DepCode,$AD:$AD)</f>
        <v>0</v>
      </c>
      <c r="L34" s="2126"/>
      <c r="AC34" s="2365" t="s">
        <v>2836</v>
      </c>
      <c r="AD34" s="2365" t="s">
        <v>2821</v>
      </c>
    </row>
    <row r="35" spans="1:30" ht="13.15" customHeight="1" x14ac:dyDescent="0.25">
      <c r="A35" s="2125" t="s">
        <v>2254</v>
      </c>
      <c r="B35" s="144"/>
      <c r="C35" s="712">
        <f>SUMIFS(Sheet1!S71_PPPYearAmount,Sheet1!S71_SA34dCode,$AC:$AC,Sheet1!S71_DepCode,$AD:$AD)</f>
        <v>0</v>
      </c>
      <c r="D35" s="712">
        <f>SUMIFS(Sheet1!S71_PPYearAmount,Sheet1!S71_SA34dCode,$AC:$AC,Sheet1!S71_DepCode,$AD:$AD)</f>
        <v>0</v>
      </c>
      <c r="E35" s="715">
        <f>SUMIFS(Sheet1!S71_PYearAmount,Sheet1!S71_SA34dCode,$AC:$AC,Sheet1!S71_DepCode,$AD:$AD)</f>
        <v>0</v>
      </c>
      <c r="F35" s="725">
        <f>SUMIFS(Sheet1!S71_OriginalBudAmnt,Sheet1!S71_SA34dCode,$AC:$AC,Sheet1!S71_DepCode,$AD:$AD)</f>
        <v>0</v>
      </c>
      <c r="G35" s="712">
        <f>SUMIFS(Sheet1!S71_AdjustmentBudAmnt,Sheet1!S71_SA34dCode,$AC:$AC,Sheet1!S71_DepCode,$AD:$AD)</f>
        <v>0</v>
      </c>
      <c r="H35" s="713">
        <f>SUMIFS(Sheet1!S71_AdjustmentBudAmnt,Sheet1!S71_SA34dCode,$AC:$AC,Sheet1!S71_DepCode,$AD:$AD)</f>
        <v>0</v>
      </c>
      <c r="I35" s="725">
        <f>SUMIFS(Sheet1!S71_ASBudgetAmount,Sheet1!S71_SA34dCode,$AC:$AC,Sheet1!S71_DepCode,$AD:$AD)</f>
        <v>0</v>
      </c>
      <c r="J35" s="712">
        <f>SUMIFS(Sheet1!S71_OY1BudgetAmount,Sheet1!S71_SA34dCode,$AC:$AC,Sheet1!S71_DepCode,$AD:$AD)</f>
        <v>0</v>
      </c>
      <c r="K35" s="713">
        <f>SUMIFS(Sheet1!S71_OY2BudgetAmount,Sheet1!S71_SA34dCode,$AC:$AC,Sheet1!S71_DepCode,$AD:$AD)</f>
        <v>0</v>
      </c>
      <c r="L35" s="2126"/>
      <c r="AC35" s="2365" t="s">
        <v>2806</v>
      </c>
      <c r="AD35" s="2365" t="s">
        <v>2821</v>
      </c>
    </row>
    <row r="36" spans="1:30" ht="13.15" customHeight="1" x14ac:dyDescent="0.25">
      <c r="A36" s="2125" t="s">
        <v>2233</v>
      </c>
      <c r="B36" s="144"/>
      <c r="C36" s="712">
        <f>SUMIFS(Sheet1!S71_PPPYearAmount,Sheet1!S71_SA34dCode,$AC:$AC,Sheet1!S71_DepCode,$AD:$AD)</f>
        <v>0</v>
      </c>
      <c r="D36" s="712">
        <f>SUMIFS(Sheet1!S71_PPYearAmount,Sheet1!S71_SA34dCode,$AC:$AC,Sheet1!S71_DepCode,$AD:$AD)</f>
        <v>0</v>
      </c>
      <c r="E36" s="715">
        <f>SUMIFS(Sheet1!S71_PYearAmount,Sheet1!S71_SA34dCode,$AC:$AC,Sheet1!S71_DepCode,$AD:$AD)</f>
        <v>0</v>
      </c>
      <c r="F36" s="725">
        <f>SUMIFS(Sheet1!S71_OriginalBudAmnt,Sheet1!S71_SA34dCode,$AC:$AC,Sheet1!S71_DepCode,$AD:$AD)</f>
        <v>0</v>
      </c>
      <c r="G36" s="712">
        <f>SUMIFS(Sheet1!S71_AdjustmentBudAmnt,Sheet1!S71_SA34dCode,$AC:$AC,Sheet1!S71_DepCode,$AD:$AD)</f>
        <v>0</v>
      </c>
      <c r="H36" s="713">
        <f>SUMIFS(Sheet1!S71_AdjustmentBudAmnt,Sheet1!S71_SA34dCode,$AC:$AC,Sheet1!S71_DepCode,$AD:$AD)</f>
        <v>0</v>
      </c>
      <c r="I36" s="725">
        <f>SUMIFS(Sheet1!S71_ASBudgetAmount,Sheet1!S71_SA34dCode,$AC:$AC,Sheet1!S71_DepCode,$AD:$AD)</f>
        <v>0</v>
      </c>
      <c r="J36" s="712">
        <f>SUMIFS(Sheet1!S71_OY1BudgetAmount,Sheet1!S71_SA34dCode,$AC:$AC,Sheet1!S71_DepCode,$AD:$AD)</f>
        <v>0</v>
      </c>
      <c r="K36" s="713">
        <f>SUMIFS(Sheet1!S71_OY2BudgetAmount,Sheet1!S71_SA34dCode,$AC:$AC,Sheet1!S71_DepCode,$AD:$AD)</f>
        <v>0</v>
      </c>
      <c r="L36" s="2126"/>
      <c r="AC36" s="2365" t="s">
        <v>2698</v>
      </c>
      <c r="AD36" s="2365" t="s">
        <v>2821</v>
      </c>
    </row>
    <row r="37" spans="1:30" ht="13.15" customHeight="1" x14ac:dyDescent="0.25">
      <c r="A37" s="137" t="s">
        <v>2281</v>
      </c>
      <c r="B37" s="144"/>
      <c r="C37" s="71">
        <f>SUM(C38:C43)</f>
        <v>0</v>
      </c>
      <c r="D37" s="71">
        <f t="shared" ref="D37:K37" si="5">SUM(D38:D43)</f>
        <v>0</v>
      </c>
      <c r="E37" s="305">
        <f t="shared" si="5"/>
        <v>0</v>
      </c>
      <c r="F37" s="75">
        <f t="shared" si="5"/>
        <v>0</v>
      </c>
      <c r="G37" s="71">
        <f t="shared" si="5"/>
        <v>0</v>
      </c>
      <c r="H37" s="117">
        <f t="shared" si="5"/>
        <v>0</v>
      </c>
      <c r="I37" s="75">
        <f t="shared" si="5"/>
        <v>0</v>
      </c>
      <c r="J37" s="71">
        <f t="shared" si="5"/>
        <v>0</v>
      </c>
      <c r="K37" s="117">
        <f t="shared" si="5"/>
        <v>0</v>
      </c>
      <c r="L37" s="2126"/>
      <c r="O37" s="322"/>
      <c r="AD37" s="2365" t="s">
        <v>2821</v>
      </c>
    </row>
    <row r="38" spans="1:30" ht="13.15" customHeight="1" x14ac:dyDescent="0.25">
      <c r="A38" s="2125" t="s">
        <v>2255</v>
      </c>
      <c r="B38" s="144"/>
      <c r="C38" s="712">
        <f>SUMIFS(Sheet1!S71_PPPYearAmount,Sheet1!S71_SA34dCode,$AC:$AC,Sheet1!S71_DepCode,$AD:$AD)</f>
        <v>0</v>
      </c>
      <c r="D38" s="712">
        <f>SUMIFS(Sheet1!S71_PPYearAmount,Sheet1!S71_SA34dCode,$AC:$AC,Sheet1!S71_DepCode,$AD:$AD)</f>
        <v>0</v>
      </c>
      <c r="E38" s="715">
        <f>SUMIFS(Sheet1!S71_PYearAmount,Sheet1!S71_SA34dCode,$AC:$AC,Sheet1!S71_DepCode,$AD:$AD)</f>
        <v>0</v>
      </c>
      <c r="F38" s="725">
        <f>SUMIFS(Sheet1!S71_OriginalBudAmnt,Sheet1!S71_SA34dCode,$AC:$AC,Sheet1!S71_DepCode,$AD:$AD)</f>
        <v>0</v>
      </c>
      <c r="G38" s="712">
        <f>SUMIFS(Sheet1!S71_AdjustmentBudAmnt,Sheet1!S71_SA34dCode,$AC:$AC,Sheet1!S71_DepCode,$AD:$AD)</f>
        <v>0</v>
      </c>
      <c r="H38" s="713">
        <f>SUMIFS(Sheet1!S71_AdjustmentBudAmnt,Sheet1!S71_SA34dCode,$AC:$AC,Sheet1!S71_DepCode,$AD:$AD)</f>
        <v>0</v>
      </c>
      <c r="I38" s="725">
        <f>SUMIFS(Sheet1!S71_ASBudgetAmount,Sheet1!S71_SA34dCode,$AC:$AC,Sheet1!S71_DepCode,$AD:$AD)</f>
        <v>0</v>
      </c>
      <c r="J38" s="712">
        <f>SUMIFS(Sheet1!S71_OY1BudgetAmount,Sheet1!S71_SA34dCode,$AC:$AC,Sheet1!S71_DepCode,$AD:$AD)</f>
        <v>0</v>
      </c>
      <c r="K38" s="713">
        <f>SUMIFS(Sheet1!S71_OY2BudgetAmount,Sheet1!S71_SA34dCode,$AC:$AC,Sheet1!S71_DepCode,$AD:$AD)</f>
        <v>0</v>
      </c>
      <c r="L38" s="2126"/>
      <c r="AC38" s="2365" t="s">
        <v>2807</v>
      </c>
      <c r="AD38" s="2365" t="s">
        <v>2821</v>
      </c>
    </row>
    <row r="39" spans="1:30" ht="13.15" customHeight="1" x14ac:dyDescent="0.25">
      <c r="A39" s="2125" t="s">
        <v>25</v>
      </c>
      <c r="B39" s="144"/>
      <c r="C39" s="712">
        <f>SUMIFS(Sheet1!S71_PPPYearAmount,Sheet1!S71_SA34dCode,$AC:$AC,Sheet1!S71_DepCode,$AD:$AD)</f>
        <v>0</v>
      </c>
      <c r="D39" s="712">
        <f>SUMIFS(Sheet1!S71_PPYearAmount,Sheet1!S71_SA34dCode,$AC:$AC,Sheet1!S71_DepCode,$AD:$AD)</f>
        <v>0</v>
      </c>
      <c r="E39" s="715">
        <f>SUMIFS(Sheet1!S71_PYearAmount,Sheet1!S71_SA34dCode,$AC:$AC,Sheet1!S71_DepCode,$AD:$AD)</f>
        <v>0</v>
      </c>
      <c r="F39" s="725">
        <f>SUMIFS(Sheet1!S71_OriginalBudAmnt,Sheet1!S71_SA34dCode,$AC:$AC,Sheet1!S71_DepCode,$AD:$AD)</f>
        <v>0</v>
      </c>
      <c r="G39" s="712">
        <f>SUMIFS(Sheet1!S71_AdjustmentBudAmnt,Sheet1!S71_SA34dCode,$AC:$AC,Sheet1!S71_DepCode,$AD:$AD)</f>
        <v>0</v>
      </c>
      <c r="H39" s="713">
        <f>SUMIFS(Sheet1!S71_AdjustmentBudAmnt,Sheet1!S71_SA34dCode,$AC:$AC,Sheet1!S71_DepCode,$AD:$AD)</f>
        <v>0</v>
      </c>
      <c r="I39" s="725">
        <f>SUMIFS(Sheet1!S71_ASBudgetAmount,Sheet1!S71_SA34dCode,$AC:$AC,Sheet1!S71_DepCode,$AD:$AD)</f>
        <v>0</v>
      </c>
      <c r="J39" s="712">
        <f>SUMIFS(Sheet1!S71_OY1BudgetAmount,Sheet1!S71_SA34dCode,$AC:$AC,Sheet1!S71_DepCode,$AD:$AD)</f>
        <v>0</v>
      </c>
      <c r="K39" s="713">
        <f>SUMIFS(Sheet1!S71_OY2BudgetAmount,Sheet1!S71_SA34dCode,$AC:$AC,Sheet1!S71_DepCode,$AD:$AD)</f>
        <v>0</v>
      </c>
      <c r="L39" s="2126"/>
      <c r="AC39" s="2365" t="s">
        <v>2837</v>
      </c>
      <c r="AD39" s="2365" t="s">
        <v>2821</v>
      </c>
    </row>
    <row r="40" spans="1:30" ht="13.15" customHeight="1" x14ac:dyDescent="0.25">
      <c r="A40" s="2125" t="s">
        <v>2256</v>
      </c>
      <c r="B40" s="144"/>
      <c r="C40" s="712">
        <f>SUMIFS(Sheet1!S71_PPPYearAmount,Sheet1!S71_SA34dCode,$AC:$AC,Sheet1!S71_DepCode,$AD:$AD)</f>
        <v>0</v>
      </c>
      <c r="D40" s="712">
        <f>SUMIFS(Sheet1!S71_PPYearAmount,Sheet1!S71_SA34dCode,$AC:$AC,Sheet1!S71_DepCode,$AD:$AD)</f>
        <v>0</v>
      </c>
      <c r="E40" s="715">
        <f>SUMIFS(Sheet1!S71_PYearAmount,Sheet1!S71_SA34dCode,$AC:$AC,Sheet1!S71_DepCode,$AD:$AD)</f>
        <v>0</v>
      </c>
      <c r="F40" s="725">
        <f>SUMIFS(Sheet1!S71_OriginalBudAmnt,Sheet1!S71_SA34dCode,$AC:$AC,Sheet1!S71_DepCode,$AD:$AD)</f>
        <v>0</v>
      </c>
      <c r="G40" s="712">
        <f>SUMIFS(Sheet1!S71_AdjustmentBudAmnt,Sheet1!S71_SA34dCode,$AC:$AC,Sheet1!S71_DepCode,$AD:$AD)</f>
        <v>0</v>
      </c>
      <c r="H40" s="713">
        <f>SUMIFS(Sheet1!S71_AdjustmentBudAmnt,Sheet1!S71_SA34dCode,$AC:$AC,Sheet1!S71_DepCode,$AD:$AD)</f>
        <v>0</v>
      </c>
      <c r="I40" s="725">
        <f>SUMIFS(Sheet1!S71_ASBudgetAmount,Sheet1!S71_SA34dCode,$AC:$AC,Sheet1!S71_DepCode,$AD:$AD)</f>
        <v>0</v>
      </c>
      <c r="J40" s="712">
        <f>SUMIFS(Sheet1!S71_OY1BudgetAmount,Sheet1!S71_SA34dCode,$AC:$AC,Sheet1!S71_DepCode,$AD:$AD)</f>
        <v>0</v>
      </c>
      <c r="K40" s="713">
        <f>SUMIFS(Sheet1!S71_OY2BudgetAmount,Sheet1!S71_SA34dCode,$AC:$AC,Sheet1!S71_DepCode,$AD:$AD)</f>
        <v>0</v>
      </c>
      <c r="L40" s="322"/>
      <c r="AC40" s="2365" t="s">
        <v>2838</v>
      </c>
      <c r="AD40" s="2365" t="s">
        <v>2821</v>
      </c>
    </row>
    <row r="41" spans="1:30" ht="13.15" customHeight="1" x14ac:dyDescent="0.25">
      <c r="A41" s="2125" t="s">
        <v>2257</v>
      </c>
      <c r="B41" s="144"/>
      <c r="C41" s="712">
        <f>SUMIFS(Sheet1!S71_PPPYearAmount,Sheet1!S71_SA34dCode,$AC:$AC,Sheet1!S71_DepCode,$AD:$AD)</f>
        <v>0</v>
      </c>
      <c r="D41" s="712">
        <f>SUMIFS(Sheet1!S71_PPYearAmount,Sheet1!S71_SA34dCode,$AC:$AC,Sheet1!S71_DepCode,$AD:$AD)</f>
        <v>0</v>
      </c>
      <c r="E41" s="715">
        <f>SUMIFS(Sheet1!S71_PYearAmount,Sheet1!S71_SA34dCode,$AC:$AC,Sheet1!S71_DepCode,$AD:$AD)</f>
        <v>0</v>
      </c>
      <c r="F41" s="725">
        <f>SUMIFS(Sheet1!S71_OriginalBudAmnt,Sheet1!S71_SA34dCode,$AC:$AC,Sheet1!S71_DepCode,$AD:$AD)</f>
        <v>0</v>
      </c>
      <c r="G41" s="712">
        <f>SUMIFS(Sheet1!S71_AdjustmentBudAmnt,Sheet1!S71_SA34dCode,$AC:$AC,Sheet1!S71_DepCode,$AD:$AD)</f>
        <v>0</v>
      </c>
      <c r="H41" s="713">
        <f>SUMIFS(Sheet1!S71_AdjustmentBudAmnt,Sheet1!S71_SA34dCode,$AC:$AC,Sheet1!S71_DepCode,$AD:$AD)</f>
        <v>0</v>
      </c>
      <c r="I41" s="725">
        <f>SUMIFS(Sheet1!S71_ASBudgetAmount,Sheet1!S71_SA34dCode,$AC:$AC,Sheet1!S71_DepCode,$AD:$AD)</f>
        <v>0</v>
      </c>
      <c r="J41" s="712">
        <f>SUMIFS(Sheet1!S71_OY1BudgetAmount,Sheet1!S71_SA34dCode,$AC:$AC,Sheet1!S71_DepCode,$AD:$AD)</f>
        <v>0</v>
      </c>
      <c r="K41" s="713">
        <f>SUMIFS(Sheet1!S71_OY2BudgetAmount,Sheet1!S71_SA34dCode,$AC:$AC,Sheet1!S71_DepCode,$AD:$AD)</f>
        <v>0</v>
      </c>
      <c r="L41" s="2126"/>
      <c r="AC41" s="2365" t="s">
        <v>2839</v>
      </c>
      <c r="AD41" s="2365" t="s">
        <v>2821</v>
      </c>
    </row>
    <row r="42" spans="1:30" ht="13.15" customHeight="1" x14ac:dyDescent="0.25">
      <c r="A42" s="2125" t="s">
        <v>2258</v>
      </c>
      <c r="B42" s="144"/>
      <c r="C42" s="712">
        <f>SUMIFS(Sheet1!S71_PPPYearAmount,Sheet1!S71_SA34dCode,$AC:$AC,Sheet1!S71_DepCode,$AD:$AD)</f>
        <v>0</v>
      </c>
      <c r="D42" s="712">
        <f>SUMIFS(Sheet1!S71_PPYearAmount,Sheet1!S71_SA34dCode,$AC:$AC,Sheet1!S71_DepCode,$AD:$AD)</f>
        <v>0</v>
      </c>
      <c r="E42" s="715">
        <f>SUMIFS(Sheet1!S71_PYearAmount,Sheet1!S71_SA34dCode,$AC:$AC,Sheet1!S71_DepCode,$AD:$AD)</f>
        <v>0</v>
      </c>
      <c r="F42" s="725">
        <f>SUMIFS(Sheet1!S71_OriginalBudAmnt,Sheet1!S71_SA34dCode,$AC:$AC,Sheet1!S71_DepCode,$AD:$AD)</f>
        <v>0</v>
      </c>
      <c r="G42" s="712">
        <f>SUMIFS(Sheet1!S71_AdjustmentBudAmnt,Sheet1!S71_SA34dCode,$AC:$AC,Sheet1!S71_DepCode,$AD:$AD)</f>
        <v>0</v>
      </c>
      <c r="H42" s="713">
        <f>SUMIFS(Sheet1!S71_AdjustmentBudAmnt,Sheet1!S71_SA34dCode,$AC:$AC,Sheet1!S71_DepCode,$AD:$AD)</f>
        <v>0</v>
      </c>
      <c r="I42" s="725">
        <f>SUMIFS(Sheet1!S71_ASBudgetAmount,Sheet1!S71_SA34dCode,$AC:$AC,Sheet1!S71_DepCode,$AD:$AD)</f>
        <v>0</v>
      </c>
      <c r="J42" s="712">
        <f>SUMIFS(Sheet1!S71_OY1BudgetAmount,Sheet1!S71_SA34dCode,$AC:$AC,Sheet1!S71_DepCode,$AD:$AD)</f>
        <v>0</v>
      </c>
      <c r="K42" s="713">
        <f>SUMIFS(Sheet1!S71_OY2BudgetAmount,Sheet1!S71_SA34dCode,$AC:$AC,Sheet1!S71_DepCode,$AD:$AD)</f>
        <v>0</v>
      </c>
      <c r="L42" s="322"/>
      <c r="AC42" s="2365" t="s">
        <v>2787</v>
      </c>
      <c r="AD42" s="2365" t="s">
        <v>2821</v>
      </c>
    </row>
    <row r="43" spans="1:30" ht="13.15" customHeight="1" x14ac:dyDescent="0.25">
      <c r="A43" s="2125" t="s">
        <v>2233</v>
      </c>
      <c r="B43" s="144"/>
      <c r="C43" s="712">
        <f>SUMIFS(Sheet1!S71_PPPYearAmount,Sheet1!S71_SA34dCode,$AC:$AC,Sheet1!S71_DepCode,$AD:$AD)</f>
        <v>0</v>
      </c>
      <c r="D43" s="712">
        <f>SUMIFS(Sheet1!S71_PPYearAmount,Sheet1!S71_SA34dCode,$AC:$AC,Sheet1!S71_DepCode,$AD:$AD)</f>
        <v>0</v>
      </c>
      <c r="E43" s="715">
        <f>SUMIFS(Sheet1!S71_PYearAmount,Sheet1!S71_SA34dCode,$AC:$AC,Sheet1!S71_DepCode,$AD:$AD)</f>
        <v>0</v>
      </c>
      <c r="F43" s="725">
        <f>SUMIFS(Sheet1!S71_OriginalBudAmnt,Sheet1!S71_SA34dCode,$AC:$AC,Sheet1!S71_DepCode,$AD:$AD)</f>
        <v>0</v>
      </c>
      <c r="G43" s="712">
        <f>SUMIFS(Sheet1!S71_AdjustmentBudAmnt,Sheet1!S71_SA34dCode,$AC:$AC,Sheet1!S71_DepCode,$AD:$AD)</f>
        <v>0</v>
      </c>
      <c r="H43" s="713">
        <f>SUMIFS(Sheet1!S71_AdjustmentBudAmnt,Sheet1!S71_SA34dCode,$AC:$AC,Sheet1!S71_DepCode,$AD:$AD)</f>
        <v>0</v>
      </c>
      <c r="I43" s="725">
        <f>SUMIFS(Sheet1!S71_ASBudgetAmount,Sheet1!S71_SA34dCode,$AC:$AC,Sheet1!S71_DepCode,$AD:$AD)</f>
        <v>0</v>
      </c>
      <c r="J43" s="712">
        <f>SUMIFS(Sheet1!S71_OY1BudgetAmount,Sheet1!S71_SA34dCode,$AC:$AC,Sheet1!S71_DepCode,$AD:$AD)</f>
        <v>0</v>
      </c>
      <c r="K43" s="713">
        <f>SUMIFS(Sheet1!S71_OY2BudgetAmount,Sheet1!S71_SA34dCode,$AC:$AC,Sheet1!S71_DepCode,$AD:$AD)</f>
        <v>0</v>
      </c>
      <c r="L43" s="322"/>
      <c r="AC43" s="2365" t="s">
        <v>2788</v>
      </c>
      <c r="AD43" s="2365" t="s">
        <v>2821</v>
      </c>
    </row>
    <row r="44" spans="1:30" ht="13.15" customHeight="1" x14ac:dyDescent="0.25">
      <c r="A44" s="137" t="s">
        <v>2259</v>
      </c>
      <c r="B44" s="144"/>
      <c r="C44" s="71">
        <f>SUM(C45:C51)</f>
        <v>0</v>
      </c>
      <c r="D44" s="71">
        <f t="shared" ref="D44:K44" si="6">SUM(D45:D51)</f>
        <v>0</v>
      </c>
      <c r="E44" s="305">
        <f t="shared" si="6"/>
        <v>0</v>
      </c>
      <c r="F44" s="75">
        <f t="shared" si="6"/>
        <v>0</v>
      </c>
      <c r="G44" s="71">
        <f t="shared" si="6"/>
        <v>0</v>
      </c>
      <c r="H44" s="117">
        <f t="shared" si="6"/>
        <v>0</v>
      </c>
      <c r="I44" s="75">
        <f t="shared" si="6"/>
        <v>0</v>
      </c>
      <c r="J44" s="71">
        <f t="shared" si="6"/>
        <v>0</v>
      </c>
      <c r="K44" s="117">
        <f t="shared" si="6"/>
        <v>0</v>
      </c>
      <c r="L44" s="322"/>
      <c r="AD44" s="2365" t="s">
        <v>2821</v>
      </c>
    </row>
    <row r="45" spans="1:30" ht="13.15" customHeight="1" x14ac:dyDescent="0.25">
      <c r="A45" s="2125" t="s">
        <v>2260</v>
      </c>
      <c r="B45" s="144"/>
      <c r="C45" s="712">
        <f>SUMIFS(Sheet1!S71_PPPYearAmount,Sheet1!S71_SA34dCode,$AC:$AC,Sheet1!S71_DepCode,$AD:$AD)</f>
        <v>0</v>
      </c>
      <c r="D45" s="712">
        <f>SUMIFS(Sheet1!S71_PPYearAmount,Sheet1!S71_SA34dCode,$AC:$AC,Sheet1!S71_DepCode,$AD:$AD)</f>
        <v>0</v>
      </c>
      <c r="E45" s="715">
        <f>SUMIFS(Sheet1!S71_PYearAmount,Sheet1!S71_SA34dCode,$AC:$AC,Sheet1!S71_DepCode,$AD:$AD)</f>
        <v>0</v>
      </c>
      <c r="F45" s="725">
        <f>SUMIFS(Sheet1!S71_OriginalBudAmnt,Sheet1!S71_SA34dCode,$AC:$AC,Sheet1!S71_DepCode,$AD:$AD)</f>
        <v>0</v>
      </c>
      <c r="G45" s="712">
        <f>SUMIFS(Sheet1!S71_AdjustmentBudAmnt,Sheet1!S71_SA34dCode,$AC:$AC,Sheet1!S71_DepCode,$AD:$AD)</f>
        <v>0</v>
      </c>
      <c r="H45" s="713">
        <f>SUMIFS(Sheet1!S71_AdjustmentBudAmnt,Sheet1!S71_SA34dCode,$AC:$AC,Sheet1!S71_DepCode,$AD:$AD)</f>
        <v>0</v>
      </c>
      <c r="I45" s="725">
        <f>SUMIFS(Sheet1!S71_ASBudgetAmount,Sheet1!S71_SA34dCode,$AC:$AC,Sheet1!S71_DepCode,$AD:$AD)</f>
        <v>0</v>
      </c>
      <c r="J45" s="712">
        <f>SUMIFS(Sheet1!S71_OY1BudgetAmount,Sheet1!S71_SA34dCode,$AC:$AC,Sheet1!S71_DepCode,$AD:$AD)</f>
        <v>0</v>
      </c>
      <c r="K45" s="713">
        <f>SUMIFS(Sheet1!S71_OY2BudgetAmount,Sheet1!S71_SA34dCode,$AC:$AC,Sheet1!S71_DepCode,$AD:$AD)</f>
        <v>0</v>
      </c>
      <c r="L45" s="322"/>
      <c r="AC45" s="2365" t="s">
        <v>2840</v>
      </c>
      <c r="AD45" s="2365" t="s">
        <v>2821</v>
      </c>
    </row>
    <row r="46" spans="1:30" ht="13.15" customHeight="1" x14ac:dyDescent="0.25">
      <c r="A46" s="2125" t="s">
        <v>2261</v>
      </c>
      <c r="B46" s="144"/>
      <c r="C46" s="712">
        <f>SUMIFS(Sheet1!S71_PPPYearAmount,Sheet1!S71_SA34dCode,$AC:$AC,Sheet1!S71_DepCode,$AD:$AD)</f>
        <v>0</v>
      </c>
      <c r="D46" s="712">
        <f>SUMIFS(Sheet1!S71_PPYearAmount,Sheet1!S71_SA34dCode,$AC:$AC,Sheet1!S71_DepCode,$AD:$AD)</f>
        <v>0</v>
      </c>
      <c r="E46" s="715">
        <f>SUMIFS(Sheet1!S71_PYearAmount,Sheet1!S71_SA34dCode,$AC:$AC,Sheet1!S71_DepCode,$AD:$AD)</f>
        <v>0</v>
      </c>
      <c r="F46" s="725">
        <f>SUMIFS(Sheet1!S71_OriginalBudAmnt,Sheet1!S71_SA34dCode,$AC:$AC,Sheet1!S71_DepCode,$AD:$AD)</f>
        <v>0</v>
      </c>
      <c r="G46" s="712">
        <f>SUMIFS(Sheet1!S71_AdjustmentBudAmnt,Sheet1!S71_SA34dCode,$AC:$AC,Sheet1!S71_DepCode,$AD:$AD)</f>
        <v>0</v>
      </c>
      <c r="H46" s="713">
        <f>SUMIFS(Sheet1!S71_AdjustmentBudAmnt,Sheet1!S71_SA34dCode,$AC:$AC,Sheet1!S71_DepCode,$AD:$AD)</f>
        <v>0</v>
      </c>
      <c r="I46" s="725">
        <f>SUMIFS(Sheet1!S71_ASBudgetAmount,Sheet1!S71_SA34dCode,$AC:$AC,Sheet1!S71_DepCode,$AD:$AD)</f>
        <v>0</v>
      </c>
      <c r="J46" s="712">
        <f>SUMIFS(Sheet1!S71_OY1BudgetAmount,Sheet1!S71_SA34dCode,$AC:$AC,Sheet1!S71_DepCode,$AD:$AD)</f>
        <v>0</v>
      </c>
      <c r="K46" s="713">
        <f>SUMIFS(Sheet1!S71_OY2BudgetAmount,Sheet1!S71_SA34dCode,$AC:$AC,Sheet1!S71_DepCode,$AD:$AD)</f>
        <v>0</v>
      </c>
      <c r="L46" s="322"/>
      <c r="AC46" s="2365" t="s">
        <v>2699</v>
      </c>
      <c r="AD46" s="2365" t="s">
        <v>2821</v>
      </c>
    </row>
    <row r="47" spans="1:30" ht="13.15" customHeight="1" x14ac:dyDescent="0.25">
      <c r="A47" s="2125" t="s">
        <v>2262</v>
      </c>
      <c r="B47" s="144"/>
      <c r="C47" s="712">
        <f>SUMIFS(Sheet1!S71_PPPYearAmount,Sheet1!S71_SA34dCode,$AC:$AC,Sheet1!S71_DepCode,$AD:$AD)</f>
        <v>0</v>
      </c>
      <c r="D47" s="712">
        <f>SUMIFS(Sheet1!S71_PPYearAmount,Sheet1!S71_SA34dCode,$AC:$AC,Sheet1!S71_DepCode,$AD:$AD)</f>
        <v>0</v>
      </c>
      <c r="E47" s="715">
        <f>SUMIFS(Sheet1!S71_PYearAmount,Sheet1!S71_SA34dCode,$AC:$AC,Sheet1!S71_DepCode,$AD:$AD)</f>
        <v>0</v>
      </c>
      <c r="F47" s="725">
        <f>SUMIFS(Sheet1!S71_OriginalBudAmnt,Sheet1!S71_SA34dCode,$AC:$AC,Sheet1!S71_DepCode,$AD:$AD)</f>
        <v>0</v>
      </c>
      <c r="G47" s="712">
        <f>SUMIFS(Sheet1!S71_AdjustmentBudAmnt,Sheet1!S71_SA34dCode,$AC:$AC,Sheet1!S71_DepCode,$AD:$AD)</f>
        <v>0</v>
      </c>
      <c r="H47" s="713">
        <f>SUMIFS(Sheet1!S71_AdjustmentBudAmnt,Sheet1!S71_SA34dCode,$AC:$AC,Sheet1!S71_DepCode,$AD:$AD)</f>
        <v>0</v>
      </c>
      <c r="I47" s="725">
        <f>SUMIFS(Sheet1!S71_ASBudgetAmount,Sheet1!S71_SA34dCode,$AC:$AC,Sheet1!S71_DepCode,$AD:$AD)</f>
        <v>0</v>
      </c>
      <c r="J47" s="712">
        <f>SUMIFS(Sheet1!S71_OY1BudgetAmount,Sheet1!S71_SA34dCode,$AC:$AC,Sheet1!S71_DepCode,$AD:$AD)</f>
        <v>0</v>
      </c>
      <c r="K47" s="713">
        <f>SUMIFS(Sheet1!S71_OY2BudgetAmount,Sheet1!S71_SA34dCode,$AC:$AC,Sheet1!S71_DepCode,$AD:$AD)</f>
        <v>0</v>
      </c>
      <c r="L47" s="322"/>
      <c r="AC47" s="2365" t="s">
        <v>2841</v>
      </c>
      <c r="AD47" s="2365" t="s">
        <v>2821</v>
      </c>
    </row>
    <row r="48" spans="1:30" ht="13.15" customHeight="1" x14ac:dyDescent="0.25">
      <c r="A48" s="2125" t="s">
        <v>2263</v>
      </c>
      <c r="B48" s="144"/>
      <c r="C48" s="712">
        <f>SUMIFS(Sheet1!S71_PPPYearAmount,Sheet1!S71_SA34dCode,$AC:$AC,Sheet1!S71_DepCode,$AD:$AD)</f>
        <v>0</v>
      </c>
      <c r="D48" s="712">
        <f>SUMIFS(Sheet1!S71_PPYearAmount,Sheet1!S71_SA34dCode,$AC:$AC,Sheet1!S71_DepCode,$AD:$AD)</f>
        <v>0</v>
      </c>
      <c r="E48" s="715">
        <f>SUMIFS(Sheet1!S71_PYearAmount,Sheet1!S71_SA34dCode,$AC:$AC,Sheet1!S71_DepCode,$AD:$AD)</f>
        <v>0</v>
      </c>
      <c r="F48" s="725">
        <f>SUMIFS(Sheet1!S71_OriginalBudAmnt,Sheet1!S71_SA34dCode,$AC:$AC,Sheet1!S71_DepCode,$AD:$AD)</f>
        <v>0</v>
      </c>
      <c r="G48" s="712">
        <f>SUMIFS(Sheet1!S71_AdjustmentBudAmnt,Sheet1!S71_SA34dCode,$AC:$AC,Sheet1!S71_DepCode,$AD:$AD)</f>
        <v>0</v>
      </c>
      <c r="H48" s="713">
        <f>SUMIFS(Sheet1!S71_AdjustmentBudAmnt,Sheet1!S71_SA34dCode,$AC:$AC,Sheet1!S71_DepCode,$AD:$AD)</f>
        <v>0</v>
      </c>
      <c r="I48" s="725">
        <f>SUMIFS(Sheet1!S71_ASBudgetAmount,Sheet1!S71_SA34dCode,$AC:$AC,Sheet1!S71_DepCode,$AD:$AD)</f>
        <v>0</v>
      </c>
      <c r="J48" s="712">
        <f>SUMIFS(Sheet1!S71_OY1BudgetAmount,Sheet1!S71_SA34dCode,$AC:$AC,Sheet1!S71_DepCode,$AD:$AD)</f>
        <v>0</v>
      </c>
      <c r="K48" s="713">
        <f>SUMIFS(Sheet1!S71_OY2BudgetAmount,Sheet1!S71_SA34dCode,$AC:$AC,Sheet1!S71_DepCode,$AD:$AD)</f>
        <v>0</v>
      </c>
      <c r="L48" s="2126"/>
      <c r="AC48" s="2365" t="s">
        <v>2842</v>
      </c>
      <c r="AD48" s="2365" t="s">
        <v>2821</v>
      </c>
    </row>
    <row r="49" spans="1:30" ht="13.15" customHeight="1" x14ac:dyDescent="0.25">
      <c r="A49" s="2125" t="s">
        <v>2264</v>
      </c>
      <c r="B49" s="144"/>
      <c r="C49" s="712">
        <f>SUMIFS(Sheet1!S71_PPPYearAmount,Sheet1!S71_SA34dCode,$AC:$AC,Sheet1!S71_DepCode,$AD:$AD)</f>
        <v>0</v>
      </c>
      <c r="D49" s="712">
        <f>SUMIFS(Sheet1!S71_PPYearAmount,Sheet1!S71_SA34dCode,$AC:$AC,Sheet1!S71_DepCode,$AD:$AD)</f>
        <v>0</v>
      </c>
      <c r="E49" s="715">
        <f>SUMIFS(Sheet1!S71_PYearAmount,Sheet1!S71_SA34dCode,$AC:$AC,Sheet1!S71_DepCode,$AD:$AD)</f>
        <v>0</v>
      </c>
      <c r="F49" s="725">
        <f>SUMIFS(Sheet1!S71_OriginalBudAmnt,Sheet1!S71_SA34dCode,$AC:$AC,Sheet1!S71_DepCode,$AD:$AD)</f>
        <v>0</v>
      </c>
      <c r="G49" s="712">
        <f>SUMIFS(Sheet1!S71_AdjustmentBudAmnt,Sheet1!S71_SA34dCode,$AC:$AC,Sheet1!S71_DepCode,$AD:$AD)</f>
        <v>0</v>
      </c>
      <c r="H49" s="713">
        <f>SUMIFS(Sheet1!S71_AdjustmentBudAmnt,Sheet1!S71_SA34dCode,$AC:$AC,Sheet1!S71_DepCode,$AD:$AD)</f>
        <v>0</v>
      </c>
      <c r="I49" s="725">
        <f>SUMIFS(Sheet1!S71_ASBudgetAmount,Sheet1!S71_SA34dCode,$AC:$AC,Sheet1!S71_DepCode,$AD:$AD)</f>
        <v>0</v>
      </c>
      <c r="J49" s="712">
        <f>SUMIFS(Sheet1!S71_OY1BudgetAmount,Sheet1!S71_SA34dCode,$AC:$AC,Sheet1!S71_DepCode,$AD:$AD)</f>
        <v>0</v>
      </c>
      <c r="K49" s="713">
        <f>SUMIFS(Sheet1!S71_OY2BudgetAmount,Sheet1!S71_SA34dCode,$AC:$AC,Sheet1!S71_DepCode,$AD:$AD)</f>
        <v>0</v>
      </c>
      <c r="L49" s="322"/>
      <c r="AC49" s="2365" t="s">
        <v>2843</v>
      </c>
      <c r="AD49" s="2365" t="s">
        <v>2821</v>
      </c>
    </row>
    <row r="50" spans="1:30" ht="13.15" customHeight="1" x14ac:dyDescent="0.25">
      <c r="A50" s="2125" t="s">
        <v>2265</v>
      </c>
      <c r="B50" s="144"/>
      <c r="C50" s="712">
        <f>SUMIFS(Sheet1!S71_PPPYearAmount,Sheet1!S71_SA34dCode,$AC:$AC,Sheet1!S71_DepCode,$AD:$AD)</f>
        <v>0</v>
      </c>
      <c r="D50" s="712">
        <f>SUMIFS(Sheet1!S71_PPYearAmount,Sheet1!S71_SA34dCode,$AC:$AC,Sheet1!S71_DepCode,$AD:$AD)</f>
        <v>0</v>
      </c>
      <c r="E50" s="715">
        <f>SUMIFS(Sheet1!S71_PYearAmount,Sheet1!S71_SA34dCode,$AC:$AC,Sheet1!S71_DepCode,$AD:$AD)</f>
        <v>0</v>
      </c>
      <c r="F50" s="725">
        <f>SUMIFS(Sheet1!S71_OriginalBudAmnt,Sheet1!S71_SA34dCode,$AC:$AC,Sheet1!S71_DepCode,$AD:$AD)</f>
        <v>0</v>
      </c>
      <c r="G50" s="712">
        <f>SUMIFS(Sheet1!S71_AdjustmentBudAmnt,Sheet1!S71_SA34dCode,$AC:$AC,Sheet1!S71_DepCode,$AD:$AD)</f>
        <v>0</v>
      </c>
      <c r="H50" s="713">
        <f>SUMIFS(Sheet1!S71_AdjustmentBudAmnt,Sheet1!S71_SA34dCode,$AC:$AC,Sheet1!S71_DepCode,$AD:$AD)</f>
        <v>0</v>
      </c>
      <c r="I50" s="725">
        <f>SUMIFS(Sheet1!S71_ASBudgetAmount,Sheet1!S71_SA34dCode,$AC:$AC,Sheet1!S71_DepCode,$AD:$AD)</f>
        <v>0</v>
      </c>
      <c r="J50" s="712">
        <f>SUMIFS(Sheet1!S71_OY1BudgetAmount,Sheet1!S71_SA34dCode,$AC:$AC,Sheet1!S71_DepCode,$AD:$AD)</f>
        <v>0</v>
      </c>
      <c r="K50" s="713">
        <f>SUMIFS(Sheet1!S71_OY2BudgetAmount,Sheet1!S71_SA34dCode,$AC:$AC,Sheet1!S71_DepCode,$AD:$AD)</f>
        <v>0</v>
      </c>
      <c r="L50" s="322"/>
      <c r="AC50" s="2365" t="s">
        <v>2844</v>
      </c>
      <c r="AD50" s="2365" t="s">
        <v>2821</v>
      </c>
    </row>
    <row r="51" spans="1:30" ht="13.15" customHeight="1" x14ac:dyDescent="0.25">
      <c r="A51" s="2125" t="s">
        <v>2233</v>
      </c>
      <c r="B51" s="144"/>
      <c r="C51" s="712">
        <f>SUMIFS(Sheet1!S71_PPPYearAmount,Sheet1!S71_SA34dCode,$AC:$AC,Sheet1!S71_DepCode,$AD:$AD)</f>
        <v>0</v>
      </c>
      <c r="D51" s="712">
        <f>SUMIFS(Sheet1!S71_PPYearAmount,Sheet1!S71_SA34dCode,$AC:$AC,Sheet1!S71_DepCode,$AD:$AD)</f>
        <v>0</v>
      </c>
      <c r="E51" s="715">
        <f>SUMIFS(Sheet1!S71_PYearAmount,Sheet1!S71_SA34dCode,$AC:$AC,Sheet1!S71_DepCode,$AD:$AD)</f>
        <v>0</v>
      </c>
      <c r="F51" s="725">
        <f>SUMIFS(Sheet1!S71_OriginalBudAmnt,Sheet1!S71_SA34dCode,$AC:$AC,Sheet1!S71_DepCode,$AD:$AD)</f>
        <v>0</v>
      </c>
      <c r="G51" s="712">
        <f>SUMIFS(Sheet1!S71_AdjustmentBudAmnt,Sheet1!S71_SA34dCode,$AC:$AC,Sheet1!S71_DepCode,$AD:$AD)</f>
        <v>0</v>
      </c>
      <c r="H51" s="713">
        <f>SUMIFS(Sheet1!S71_AdjustmentBudAmnt,Sheet1!S71_SA34dCode,$AC:$AC,Sheet1!S71_DepCode,$AD:$AD)</f>
        <v>0</v>
      </c>
      <c r="I51" s="725">
        <f>SUMIFS(Sheet1!S71_ASBudgetAmount,Sheet1!S71_SA34dCode,$AC:$AC,Sheet1!S71_DepCode,$AD:$AD)</f>
        <v>0</v>
      </c>
      <c r="J51" s="712">
        <f>SUMIFS(Sheet1!S71_OY1BudgetAmount,Sheet1!S71_SA34dCode,$AC:$AC,Sheet1!S71_DepCode,$AD:$AD)</f>
        <v>0</v>
      </c>
      <c r="K51" s="713">
        <f>SUMIFS(Sheet1!S71_OY2BudgetAmount,Sheet1!S71_SA34dCode,$AC:$AC,Sheet1!S71_DepCode,$AD:$AD)</f>
        <v>0</v>
      </c>
      <c r="L51" s="322"/>
      <c r="AC51" s="2365" t="s">
        <v>2845</v>
      </c>
      <c r="AD51" s="2365" t="s">
        <v>2821</v>
      </c>
    </row>
    <row r="52" spans="1:30" ht="13.15" customHeight="1" x14ac:dyDescent="0.25">
      <c r="A52" s="104" t="s">
        <v>2275</v>
      </c>
      <c r="B52" s="144"/>
      <c r="C52" s="71">
        <f t="shared" ref="C52:K52" si="7">SUM(C53:C61)</f>
        <v>0</v>
      </c>
      <c r="D52" s="71">
        <f t="shared" si="7"/>
        <v>0</v>
      </c>
      <c r="E52" s="305">
        <f t="shared" si="7"/>
        <v>0</v>
      </c>
      <c r="F52" s="75">
        <f t="shared" si="7"/>
        <v>0</v>
      </c>
      <c r="G52" s="71">
        <f t="shared" si="7"/>
        <v>0</v>
      </c>
      <c r="H52" s="117">
        <f t="shared" si="7"/>
        <v>0</v>
      </c>
      <c r="I52" s="75">
        <f t="shared" si="7"/>
        <v>0</v>
      </c>
      <c r="J52" s="71">
        <f t="shared" si="7"/>
        <v>0</v>
      </c>
      <c r="K52" s="117">
        <f t="shared" si="7"/>
        <v>0</v>
      </c>
      <c r="L52" s="2126"/>
      <c r="AD52" s="2365" t="s">
        <v>2821</v>
      </c>
    </row>
    <row r="53" spans="1:30" ht="13.15" customHeight="1" x14ac:dyDescent="0.25">
      <c r="A53" s="2125" t="s">
        <v>2276</v>
      </c>
      <c r="B53" s="144"/>
      <c r="C53" s="712">
        <f>SUMIFS(Sheet1!S71_PPPYearAmount,Sheet1!S71_SA34dCode,$AC:$AC,Sheet1!S71_DepCode,$AD:$AD)</f>
        <v>0</v>
      </c>
      <c r="D53" s="712">
        <f>SUMIFS(Sheet1!S71_PPYearAmount,Sheet1!S71_SA34dCode,$AC:$AC,Sheet1!S71_DepCode,$AD:$AD)</f>
        <v>0</v>
      </c>
      <c r="E53" s="715">
        <f>SUMIFS(Sheet1!S71_PYearAmount,Sheet1!S71_SA34dCode,$AC:$AC,Sheet1!S71_DepCode,$AD:$AD)</f>
        <v>0</v>
      </c>
      <c r="F53" s="725">
        <f>SUMIFS(Sheet1!S71_OriginalBudAmnt,Sheet1!S71_SA34dCode,$AC:$AC,Sheet1!S71_DepCode,$AD:$AD)</f>
        <v>0</v>
      </c>
      <c r="G53" s="712">
        <f>SUMIFS(Sheet1!S71_AdjustmentBudAmnt,Sheet1!S71_SA34dCode,$AC:$AC,Sheet1!S71_DepCode,$AD:$AD)</f>
        <v>0</v>
      </c>
      <c r="H53" s="713">
        <f>SUMIFS(Sheet1!S71_AdjustmentBudAmnt,Sheet1!S71_SA34dCode,$AC:$AC,Sheet1!S71_DepCode,$AD:$AD)</f>
        <v>0</v>
      </c>
      <c r="I53" s="725">
        <f>SUMIFS(Sheet1!S71_ASBudgetAmount,Sheet1!S71_SA34dCode,$AC:$AC,Sheet1!S71_DepCode,$AD:$AD)</f>
        <v>0</v>
      </c>
      <c r="J53" s="712">
        <f>SUMIFS(Sheet1!S71_OY1BudgetAmount,Sheet1!S71_SA34dCode,$AC:$AC,Sheet1!S71_DepCode,$AD:$AD)</f>
        <v>0</v>
      </c>
      <c r="K53" s="713">
        <f>SUMIFS(Sheet1!S71_OY2BudgetAmount,Sheet1!S71_SA34dCode,$AC:$AC,Sheet1!S71_DepCode,$AD:$AD)</f>
        <v>0</v>
      </c>
      <c r="L53" s="322"/>
      <c r="AC53" s="2365" t="s">
        <v>2846</v>
      </c>
      <c r="AD53" s="2365" t="s">
        <v>2821</v>
      </c>
    </row>
    <row r="54" spans="1:30" ht="13.15" customHeight="1" x14ac:dyDescent="0.25">
      <c r="A54" s="2125" t="s">
        <v>2277</v>
      </c>
      <c r="B54" s="144"/>
      <c r="C54" s="712">
        <f>SUMIFS(Sheet1!S71_PPPYearAmount,Sheet1!S71_SA34dCode,$AC:$AC,Sheet1!S71_DepCode,$AD:$AD)</f>
        <v>0</v>
      </c>
      <c r="D54" s="712">
        <f>SUMIFS(Sheet1!S71_PPYearAmount,Sheet1!S71_SA34dCode,$AC:$AC,Sheet1!S71_DepCode,$AD:$AD)</f>
        <v>0</v>
      </c>
      <c r="E54" s="715">
        <f>SUMIFS(Sheet1!S71_PYearAmount,Sheet1!S71_SA34dCode,$AC:$AC,Sheet1!S71_DepCode,$AD:$AD)</f>
        <v>0</v>
      </c>
      <c r="F54" s="725">
        <f>SUMIFS(Sheet1!S71_OriginalBudAmnt,Sheet1!S71_SA34dCode,$AC:$AC,Sheet1!S71_DepCode,$AD:$AD)</f>
        <v>0</v>
      </c>
      <c r="G54" s="712">
        <f>SUMIFS(Sheet1!S71_AdjustmentBudAmnt,Sheet1!S71_SA34dCode,$AC:$AC,Sheet1!S71_DepCode,$AD:$AD)</f>
        <v>0</v>
      </c>
      <c r="H54" s="713">
        <f>SUMIFS(Sheet1!S71_AdjustmentBudAmnt,Sheet1!S71_SA34dCode,$AC:$AC,Sheet1!S71_DepCode,$AD:$AD)</f>
        <v>0</v>
      </c>
      <c r="I54" s="725">
        <f>SUMIFS(Sheet1!S71_ASBudgetAmount,Sheet1!S71_SA34dCode,$AC:$AC,Sheet1!S71_DepCode,$AD:$AD)</f>
        <v>0</v>
      </c>
      <c r="J54" s="712">
        <f>SUMIFS(Sheet1!S71_OY1BudgetAmount,Sheet1!S71_SA34dCode,$AC:$AC,Sheet1!S71_DepCode,$AD:$AD)</f>
        <v>0</v>
      </c>
      <c r="K54" s="713">
        <f>SUMIFS(Sheet1!S71_OY2BudgetAmount,Sheet1!S71_SA34dCode,$AC:$AC,Sheet1!S71_DepCode,$AD:$AD)</f>
        <v>0</v>
      </c>
      <c r="L54" s="2126"/>
      <c r="AC54" s="2365" t="s">
        <v>2847</v>
      </c>
      <c r="AD54" s="2365" t="s">
        <v>2821</v>
      </c>
    </row>
    <row r="55" spans="1:30" ht="13.15" customHeight="1" x14ac:dyDescent="0.25">
      <c r="A55" s="2125" t="s">
        <v>2278</v>
      </c>
      <c r="B55" s="144"/>
      <c r="C55" s="712">
        <f>SUMIFS(Sheet1!S71_PPPYearAmount,Sheet1!S71_SA34dCode,$AC:$AC,Sheet1!S71_DepCode,$AD:$AD)</f>
        <v>0</v>
      </c>
      <c r="D55" s="712">
        <f>SUMIFS(Sheet1!S71_PPYearAmount,Sheet1!S71_SA34dCode,$AC:$AC,Sheet1!S71_DepCode,$AD:$AD)</f>
        <v>0</v>
      </c>
      <c r="E55" s="715">
        <f>SUMIFS(Sheet1!S71_PYearAmount,Sheet1!S71_SA34dCode,$AC:$AC,Sheet1!S71_DepCode,$AD:$AD)</f>
        <v>0</v>
      </c>
      <c r="F55" s="725">
        <f>SUMIFS(Sheet1!S71_OriginalBudAmnt,Sheet1!S71_SA34dCode,$AC:$AC,Sheet1!S71_DepCode,$AD:$AD)</f>
        <v>0</v>
      </c>
      <c r="G55" s="712">
        <f>SUMIFS(Sheet1!S71_AdjustmentBudAmnt,Sheet1!S71_SA34dCode,$AC:$AC,Sheet1!S71_DepCode,$AD:$AD)</f>
        <v>0</v>
      </c>
      <c r="H55" s="713">
        <f>SUMIFS(Sheet1!S71_AdjustmentBudAmnt,Sheet1!S71_SA34dCode,$AC:$AC,Sheet1!S71_DepCode,$AD:$AD)</f>
        <v>0</v>
      </c>
      <c r="I55" s="725">
        <f>SUMIFS(Sheet1!S71_ASBudgetAmount,Sheet1!S71_SA34dCode,$AC:$AC,Sheet1!S71_DepCode,$AD:$AD)</f>
        <v>0</v>
      </c>
      <c r="J55" s="712">
        <f>SUMIFS(Sheet1!S71_OY1BudgetAmount,Sheet1!S71_SA34dCode,$AC:$AC,Sheet1!S71_DepCode,$AD:$AD)</f>
        <v>0</v>
      </c>
      <c r="K55" s="713">
        <f>SUMIFS(Sheet1!S71_OY2BudgetAmount,Sheet1!S71_SA34dCode,$AC:$AC,Sheet1!S71_DepCode,$AD:$AD)</f>
        <v>0</v>
      </c>
      <c r="L55" s="2126"/>
      <c r="AC55" s="2365" t="s">
        <v>2848</v>
      </c>
      <c r="AD55" s="2365" t="s">
        <v>2821</v>
      </c>
    </row>
    <row r="56" spans="1:30" ht="13.15" customHeight="1" x14ac:dyDescent="0.25">
      <c r="A56" s="2125" t="s">
        <v>2235</v>
      </c>
      <c r="B56" s="144"/>
      <c r="C56" s="712">
        <f>SUMIFS(Sheet1!S71_PPPYearAmount,Sheet1!S71_SA34dCode,$AC:$AC,Sheet1!S71_DepCode,$AD:$AD)</f>
        <v>0</v>
      </c>
      <c r="D56" s="712">
        <f>SUMIFS(Sheet1!S71_PPYearAmount,Sheet1!S71_SA34dCode,$AC:$AC,Sheet1!S71_DepCode,$AD:$AD)</f>
        <v>0</v>
      </c>
      <c r="E56" s="715">
        <f>SUMIFS(Sheet1!S71_PYearAmount,Sheet1!S71_SA34dCode,$AC:$AC,Sheet1!S71_DepCode,$AD:$AD)</f>
        <v>0</v>
      </c>
      <c r="F56" s="725">
        <f>SUMIFS(Sheet1!S71_OriginalBudAmnt,Sheet1!S71_SA34dCode,$AC:$AC,Sheet1!S71_DepCode,$AD:$AD)</f>
        <v>0</v>
      </c>
      <c r="G56" s="712">
        <f>SUMIFS(Sheet1!S71_AdjustmentBudAmnt,Sheet1!S71_SA34dCode,$AC:$AC,Sheet1!S71_DepCode,$AD:$AD)</f>
        <v>0</v>
      </c>
      <c r="H56" s="713">
        <f>SUMIFS(Sheet1!S71_AdjustmentBudAmnt,Sheet1!S71_SA34dCode,$AC:$AC,Sheet1!S71_DepCode,$AD:$AD)</f>
        <v>0</v>
      </c>
      <c r="I56" s="725">
        <f>SUMIFS(Sheet1!S71_ASBudgetAmount,Sheet1!S71_SA34dCode,$AC:$AC,Sheet1!S71_DepCode,$AD:$AD)</f>
        <v>0</v>
      </c>
      <c r="J56" s="712">
        <f>SUMIFS(Sheet1!S71_OY1BudgetAmount,Sheet1!S71_SA34dCode,$AC:$AC,Sheet1!S71_DepCode,$AD:$AD)</f>
        <v>0</v>
      </c>
      <c r="K56" s="713">
        <f>SUMIFS(Sheet1!S71_OY2BudgetAmount,Sheet1!S71_SA34dCode,$AC:$AC,Sheet1!S71_DepCode,$AD:$AD)</f>
        <v>0</v>
      </c>
      <c r="L56" s="2126"/>
      <c r="AC56" s="2365" t="s">
        <v>2700</v>
      </c>
      <c r="AD56" s="2365" t="s">
        <v>2821</v>
      </c>
    </row>
    <row r="57" spans="1:30" ht="13.15" customHeight="1" x14ac:dyDescent="0.25">
      <c r="A57" s="2125" t="s">
        <v>2236</v>
      </c>
      <c r="B57" s="144"/>
      <c r="C57" s="712">
        <f>SUMIFS(Sheet1!S71_PPPYearAmount,Sheet1!S71_SA34dCode,$AC:$AC,Sheet1!S71_DepCode,$AD:$AD)</f>
        <v>0</v>
      </c>
      <c r="D57" s="712">
        <f>SUMIFS(Sheet1!S71_PPYearAmount,Sheet1!S71_SA34dCode,$AC:$AC,Sheet1!S71_DepCode,$AD:$AD)</f>
        <v>0</v>
      </c>
      <c r="E57" s="715">
        <f>SUMIFS(Sheet1!S71_PYearAmount,Sheet1!S71_SA34dCode,$AC:$AC,Sheet1!S71_DepCode,$AD:$AD)</f>
        <v>0</v>
      </c>
      <c r="F57" s="725">
        <f>SUMIFS(Sheet1!S71_OriginalBudAmnt,Sheet1!S71_SA34dCode,$AC:$AC,Sheet1!S71_DepCode,$AD:$AD)</f>
        <v>0</v>
      </c>
      <c r="G57" s="712">
        <f>SUMIFS(Sheet1!S71_AdjustmentBudAmnt,Sheet1!S71_SA34dCode,$AC:$AC,Sheet1!S71_DepCode,$AD:$AD)</f>
        <v>0</v>
      </c>
      <c r="H57" s="713">
        <f>SUMIFS(Sheet1!S71_AdjustmentBudAmnt,Sheet1!S71_SA34dCode,$AC:$AC,Sheet1!S71_DepCode,$AD:$AD)</f>
        <v>0</v>
      </c>
      <c r="I57" s="725">
        <f>SUMIFS(Sheet1!S71_ASBudgetAmount,Sheet1!S71_SA34dCode,$AC:$AC,Sheet1!S71_DepCode,$AD:$AD)</f>
        <v>0</v>
      </c>
      <c r="J57" s="712">
        <f>SUMIFS(Sheet1!S71_OY1BudgetAmount,Sheet1!S71_SA34dCode,$AC:$AC,Sheet1!S71_DepCode,$AD:$AD)</f>
        <v>0</v>
      </c>
      <c r="K57" s="713">
        <f>SUMIFS(Sheet1!S71_OY2BudgetAmount,Sheet1!S71_SA34dCode,$AC:$AC,Sheet1!S71_DepCode,$AD:$AD)</f>
        <v>0</v>
      </c>
      <c r="L57" s="2126"/>
      <c r="AC57" s="2365" t="s">
        <v>2849</v>
      </c>
      <c r="AD57" s="2365" t="s">
        <v>2821</v>
      </c>
    </row>
    <row r="58" spans="1:30" ht="13.15" customHeight="1" x14ac:dyDescent="0.25">
      <c r="A58" s="2125" t="s">
        <v>2237</v>
      </c>
      <c r="B58" s="144"/>
      <c r="C58" s="712">
        <f>SUMIFS(Sheet1!S71_PPPYearAmount,Sheet1!S71_SA34dCode,$AC:$AC,Sheet1!S71_DepCode,$AD:$AD)</f>
        <v>0</v>
      </c>
      <c r="D58" s="712">
        <f>SUMIFS(Sheet1!S71_PPYearAmount,Sheet1!S71_SA34dCode,$AC:$AC,Sheet1!S71_DepCode,$AD:$AD)</f>
        <v>0</v>
      </c>
      <c r="E58" s="715">
        <f>SUMIFS(Sheet1!S71_PYearAmount,Sheet1!S71_SA34dCode,$AC:$AC,Sheet1!S71_DepCode,$AD:$AD)</f>
        <v>0</v>
      </c>
      <c r="F58" s="725">
        <f>SUMIFS(Sheet1!S71_OriginalBudAmnt,Sheet1!S71_SA34dCode,$AC:$AC,Sheet1!S71_DepCode,$AD:$AD)</f>
        <v>0</v>
      </c>
      <c r="G58" s="712">
        <f>SUMIFS(Sheet1!S71_AdjustmentBudAmnt,Sheet1!S71_SA34dCode,$AC:$AC,Sheet1!S71_DepCode,$AD:$AD)</f>
        <v>0</v>
      </c>
      <c r="H58" s="713">
        <f>SUMIFS(Sheet1!S71_AdjustmentBudAmnt,Sheet1!S71_SA34dCode,$AC:$AC,Sheet1!S71_DepCode,$AD:$AD)</f>
        <v>0</v>
      </c>
      <c r="I58" s="725">
        <f>SUMIFS(Sheet1!S71_ASBudgetAmount,Sheet1!S71_SA34dCode,$AC:$AC,Sheet1!S71_DepCode,$AD:$AD)</f>
        <v>0</v>
      </c>
      <c r="J58" s="712">
        <f>SUMIFS(Sheet1!S71_OY1BudgetAmount,Sheet1!S71_SA34dCode,$AC:$AC,Sheet1!S71_DepCode,$AD:$AD)</f>
        <v>0</v>
      </c>
      <c r="K58" s="713">
        <f>SUMIFS(Sheet1!S71_OY2BudgetAmount,Sheet1!S71_SA34dCode,$AC:$AC,Sheet1!S71_DepCode,$AD:$AD)</f>
        <v>0</v>
      </c>
      <c r="L58" s="2124"/>
      <c r="AC58" s="2365" t="s">
        <v>2850</v>
      </c>
      <c r="AD58" s="2365" t="s">
        <v>2821</v>
      </c>
    </row>
    <row r="59" spans="1:30" ht="13.15" customHeight="1" x14ac:dyDescent="0.25">
      <c r="A59" s="2125" t="s">
        <v>2242</v>
      </c>
      <c r="B59" s="144"/>
      <c r="C59" s="712">
        <f>SUMIFS(Sheet1!S71_PPPYearAmount,Sheet1!S71_SA34dCode,$AC:$AC,Sheet1!S71_DepCode,$AD:$AD)</f>
        <v>0</v>
      </c>
      <c r="D59" s="712">
        <f>SUMIFS(Sheet1!S71_PPYearAmount,Sheet1!S71_SA34dCode,$AC:$AC,Sheet1!S71_DepCode,$AD:$AD)</f>
        <v>0</v>
      </c>
      <c r="E59" s="715">
        <f>SUMIFS(Sheet1!S71_PYearAmount,Sheet1!S71_SA34dCode,$AC:$AC,Sheet1!S71_DepCode,$AD:$AD)</f>
        <v>0</v>
      </c>
      <c r="F59" s="725">
        <f>SUMIFS(Sheet1!S71_OriginalBudAmnt,Sheet1!S71_SA34dCode,$AC:$AC,Sheet1!S71_DepCode,$AD:$AD)</f>
        <v>0</v>
      </c>
      <c r="G59" s="712">
        <f>SUMIFS(Sheet1!S71_AdjustmentBudAmnt,Sheet1!S71_SA34dCode,$AC:$AC,Sheet1!S71_DepCode,$AD:$AD)</f>
        <v>0</v>
      </c>
      <c r="H59" s="713">
        <f>SUMIFS(Sheet1!S71_AdjustmentBudAmnt,Sheet1!S71_SA34dCode,$AC:$AC,Sheet1!S71_DepCode,$AD:$AD)</f>
        <v>0</v>
      </c>
      <c r="I59" s="725">
        <f>SUMIFS(Sheet1!S71_ASBudgetAmount,Sheet1!S71_SA34dCode,$AC:$AC,Sheet1!S71_DepCode,$AD:$AD)</f>
        <v>0</v>
      </c>
      <c r="J59" s="712">
        <f>SUMIFS(Sheet1!S71_OY1BudgetAmount,Sheet1!S71_SA34dCode,$AC:$AC,Sheet1!S71_DepCode,$AD:$AD)</f>
        <v>0</v>
      </c>
      <c r="K59" s="713">
        <f>SUMIFS(Sheet1!S71_OY2BudgetAmount,Sheet1!S71_SA34dCode,$AC:$AC,Sheet1!S71_DepCode,$AD:$AD)</f>
        <v>0</v>
      </c>
      <c r="L59" s="2126"/>
      <c r="AC59" s="2365" t="s">
        <v>2851</v>
      </c>
      <c r="AD59" s="2365" t="s">
        <v>2821</v>
      </c>
    </row>
    <row r="60" spans="1:30" ht="13.15" customHeight="1" x14ac:dyDescent="0.25">
      <c r="A60" s="2125" t="s">
        <v>2245</v>
      </c>
      <c r="B60" s="144"/>
      <c r="C60" s="712">
        <f>SUMIFS(Sheet1!S71_PPPYearAmount,Sheet1!S71_SA34dCode,$AC:$AC,Sheet1!S71_DepCode,$AD:$AD)</f>
        <v>0</v>
      </c>
      <c r="D60" s="712">
        <f>SUMIFS(Sheet1!S71_PPYearAmount,Sheet1!S71_SA34dCode,$AC:$AC,Sheet1!S71_DepCode,$AD:$AD)</f>
        <v>0</v>
      </c>
      <c r="E60" s="715">
        <f>SUMIFS(Sheet1!S71_PYearAmount,Sheet1!S71_SA34dCode,$AC:$AC,Sheet1!S71_DepCode,$AD:$AD)</f>
        <v>0</v>
      </c>
      <c r="F60" s="725">
        <f>SUMIFS(Sheet1!S71_OriginalBudAmnt,Sheet1!S71_SA34dCode,$AC:$AC,Sheet1!S71_DepCode,$AD:$AD)</f>
        <v>0</v>
      </c>
      <c r="G60" s="712">
        <f>SUMIFS(Sheet1!S71_AdjustmentBudAmnt,Sheet1!S71_SA34dCode,$AC:$AC,Sheet1!S71_DepCode,$AD:$AD)</f>
        <v>0</v>
      </c>
      <c r="H60" s="713">
        <f>SUMIFS(Sheet1!S71_AdjustmentBudAmnt,Sheet1!S71_SA34dCode,$AC:$AC,Sheet1!S71_DepCode,$AD:$AD)</f>
        <v>0</v>
      </c>
      <c r="I60" s="725">
        <f>SUMIFS(Sheet1!S71_ASBudgetAmount,Sheet1!S71_SA34dCode,$AC:$AC,Sheet1!S71_DepCode,$AD:$AD)</f>
        <v>0</v>
      </c>
      <c r="J60" s="712">
        <f>SUMIFS(Sheet1!S71_OY1BudgetAmount,Sheet1!S71_SA34dCode,$AC:$AC,Sheet1!S71_DepCode,$AD:$AD)</f>
        <v>0</v>
      </c>
      <c r="K60" s="713">
        <f>SUMIFS(Sheet1!S71_OY2BudgetAmount,Sheet1!S71_SA34dCode,$AC:$AC,Sheet1!S71_DepCode,$AD:$AD)</f>
        <v>0</v>
      </c>
      <c r="L60" s="2126"/>
      <c r="AC60" s="2365" t="s">
        <v>2852</v>
      </c>
      <c r="AD60" s="2365" t="s">
        <v>2821</v>
      </c>
    </row>
    <row r="61" spans="1:30" ht="13.15" customHeight="1" x14ac:dyDescent="0.25">
      <c r="A61" s="2125" t="s">
        <v>2233</v>
      </c>
      <c r="B61" s="144"/>
      <c r="C61" s="712">
        <f>SUMIFS(Sheet1!S71_PPPYearAmount,Sheet1!S71_SA34dCode,$AC:$AC,Sheet1!S71_DepCode,$AD:$AD)</f>
        <v>0</v>
      </c>
      <c r="D61" s="712">
        <f>SUMIFS(Sheet1!S71_PPYearAmount,Sheet1!S71_SA34dCode,$AC:$AC,Sheet1!S71_DepCode,$AD:$AD)</f>
        <v>0</v>
      </c>
      <c r="E61" s="715">
        <f>SUMIFS(Sheet1!S71_PYearAmount,Sheet1!S71_SA34dCode,$AC:$AC,Sheet1!S71_DepCode,$AD:$AD)</f>
        <v>0</v>
      </c>
      <c r="F61" s="725">
        <f>SUMIFS(Sheet1!S71_OriginalBudAmnt,Sheet1!S71_SA34dCode,$AC:$AC,Sheet1!S71_DepCode,$AD:$AD)</f>
        <v>0</v>
      </c>
      <c r="G61" s="712">
        <f>SUMIFS(Sheet1!S71_AdjustmentBudAmnt,Sheet1!S71_SA34dCode,$AC:$AC,Sheet1!S71_DepCode,$AD:$AD)</f>
        <v>0</v>
      </c>
      <c r="H61" s="713">
        <f>SUMIFS(Sheet1!S71_AdjustmentBudAmnt,Sheet1!S71_SA34dCode,$AC:$AC,Sheet1!S71_DepCode,$AD:$AD)</f>
        <v>0</v>
      </c>
      <c r="I61" s="725">
        <f>SUMIFS(Sheet1!S71_ASBudgetAmount,Sheet1!S71_SA34dCode,$AC:$AC,Sheet1!S71_DepCode,$AD:$AD)</f>
        <v>0</v>
      </c>
      <c r="J61" s="712">
        <f>SUMIFS(Sheet1!S71_OY1BudgetAmount,Sheet1!S71_SA34dCode,$AC:$AC,Sheet1!S71_DepCode,$AD:$AD)</f>
        <v>0</v>
      </c>
      <c r="K61" s="713">
        <f>SUMIFS(Sheet1!S71_OY2BudgetAmount,Sheet1!S71_SA34dCode,$AC:$AC,Sheet1!S71_DepCode,$AD:$AD)</f>
        <v>0</v>
      </c>
      <c r="L61" s="2126"/>
      <c r="AC61" s="2365" t="s">
        <v>2853</v>
      </c>
      <c r="AD61" s="2365" t="s">
        <v>2821</v>
      </c>
    </row>
    <row r="62" spans="1:30" ht="13.15" customHeight="1" x14ac:dyDescent="0.25">
      <c r="A62" s="137" t="s">
        <v>2270</v>
      </c>
      <c r="B62" s="144"/>
      <c r="C62" s="71">
        <f>SUM(C63:C67)</f>
        <v>0</v>
      </c>
      <c r="D62" s="71">
        <f t="shared" ref="D62:K62" si="8">SUM(D63:D67)</f>
        <v>0</v>
      </c>
      <c r="E62" s="305">
        <f t="shared" si="8"/>
        <v>0</v>
      </c>
      <c r="F62" s="75">
        <f t="shared" si="8"/>
        <v>0</v>
      </c>
      <c r="G62" s="71">
        <f t="shared" si="8"/>
        <v>0</v>
      </c>
      <c r="H62" s="117">
        <f t="shared" si="8"/>
        <v>0</v>
      </c>
      <c r="I62" s="75">
        <f t="shared" si="8"/>
        <v>0</v>
      </c>
      <c r="J62" s="71">
        <f t="shared" si="8"/>
        <v>0</v>
      </c>
      <c r="K62" s="117">
        <f t="shared" si="8"/>
        <v>0</v>
      </c>
      <c r="L62" s="2126"/>
      <c r="AD62" s="2365" t="s">
        <v>2821</v>
      </c>
    </row>
    <row r="63" spans="1:30" ht="13.15" customHeight="1" x14ac:dyDescent="0.25">
      <c r="A63" s="2125" t="s">
        <v>2271</v>
      </c>
      <c r="B63" s="144"/>
      <c r="C63" s="712">
        <f>SUMIFS(Sheet1!S71_PPPYearAmount,Sheet1!S71_SA34dCode,$AC:$AC,Sheet1!S71_DepCode,$AD:$AD)</f>
        <v>0</v>
      </c>
      <c r="D63" s="712">
        <f>SUMIFS(Sheet1!S71_PPYearAmount,Sheet1!S71_SA34dCode,$AC:$AC,Sheet1!S71_DepCode,$AD:$AD)</f>
        <v>0</v>
      </c>
      <c r="E63" s="715">
        <f>SUMIFS(Sheet1!S71_PYearAmount,Sheet1!S71_SA34dCode,$AC:$AC,Sheet1!S71_DepCode,$AD:$AD)</f>
        <v>0</v>
      </c>
      <c r="F63" s="725">
        <f>SUMIFS(Sheet1!S71_OriginalBudAmnt,Sheet1!S71_SA34dCode,$AC:$AC,Sheet1!S71_DepCode,$AD:$AD)</f>
        <v>0</v>
      </c>
      <c r="G63" s="712">
        <f>SUMIFS(Sheet1!S71_AdjustmentBudAmnt,Sheet1!S71_SA34dCode,$AC:$AC,Sheet1!S71_DepCode,$AD:$AD)</f>
        <v>0</v>
      </c>
      <c r="H63" s="713">
        <f>SUMIFS(Sheet1!S71_AdjustmentBudAmnt,Sheet1!S71_SA34dCode,$AC:$AC,Sheet1!S71_DepCode,$AD:$AD)</f>
        <v>0</v>
      </c>
      <c r="I63" s="725">
        <f>SUMIFS(Sheet1!S71_ASBudgetAmount,Sheet1!S71_SA34dCode,$AC:$AC,Sheet1!S71_DepCode,$AD:$AD)</f>
        <v>0</v>
      </c>
      <c r="J63" s="712">
        <f>SUMIFS(Sheet1!S71_OY1BudgetAmount,Sheet1!S71_SA34dCode,$AC:$AC,Sheet1!S71_DepCode,$AD:$AD)</f>
        <v>0</v>
      </c>
      <c r="K63" s="713">
        <f>SUMIFS(Sheet1!S71_OY2BudgetAmount,Sheet1!S71_SA34dCode,$AC:$AC,Sheet1!S71_DepCode,$AD:$AD)</f>
        <v>0</v>
      </c>
      <c r="L63" s="2126"/>
      <c r="AC63" s="2365" t="s">
        <v>2854</v>
      </c>
      <c r="AD63" s="2365" t="s">
        <v>2821</v>
      </c>
    </row>
    <row r="64" spans="1:30" ht="13.15" customHeight="1" x14ac:dyDescent="0.25">
      <c r="A64" s="2125" t="s">
        <v>2272</v>
      </c>
      <c r="B64" s="144"/>
      <c r="C64" s="712">
        <f>SUMIFS(Sheet1!S71_PPPYearAmount,Sheet1!S71_SA34dCode,$AC:$AC,Sheet1!S71_DepCode,$AD:$AD)</f>
        <v>0</v>
      </c>
      <c r="D64" s="712">
        <f>SUMIFS(Sheet1!S71_PPYearAmount,Sheet1!S71_SA34dCode,$AC:$AC,Sheet1!S71_DepCode,$AD:$AD)</f>
        <v>0</v>
      </c>
      <c r="E64" s="715">
        <f>SUMIFS(Sheet1!S71_PYearAmount,Sheet1!S71_SA34dCode,$AC:$AC,Sheet1!S71_DepCode,$AD:$AD)</f>
        <v>0</v>
      </c>
      <c r="F64" s="725">
        <f>SUMIFS(Sheet1!S71_OriginalBudAmnt,Sheet1!S71_SA34dCode,$AC:$AC,Sheet1!S71_DepCode,$AD:$AD)</f>
        <v>0</v>
      </c>
      <c r="G64" s="712">
        <f>SUMIFS(Sheet1!S71_AdjustmentBudAmnt,Sheet1!S71_SA34dCode,$AC:$AC,Sheet1!S71_DepCode,$AD:$AD)</f>
        <v>0</v>
      </c>
      <c r="H64" s="713">
        <f>SUMIFS(Sheet1!S71_AdjustmentBudAmnt,Sheet1!S71_SA34dCode,$AC:$AC,Sheet1!S71_DepCode,$AD:$AD)</f>
        <v>0</v>
      </c>
      <c r="I64" s="725">
        <f>SUMIFS(Sheet1!S71_ASBudgetAmount,Sheet1!S71_SA34dCode,$AC:$AC,Sheet1!S71_DepCode,$AD:$AD)</f>
        <v>0</v>
      </c>
      <c r="J64" s="712">
        <f>SUMIFS(Sheet1!S71_OY1BudgetAmount,Sheet1!S71_SA34dCode,$AC:$AC,Sheet1!S71_DepCode,$AD:$AD)</f>
        <v>0</v>
      </c>
      <c r="K64" s="713">
        <f>SUMIFS(Sheet1!S71_OY2BudgetAmount,Sheet1!S71_SA34dCode,$AC:$AC,Sheet1!S71_DepCode,$AD:$AD)</f>
        <v>0</v>
      </c>
      <c r="L64" s="322"/>
      <c r="AC64" s="2365" t="s">
        <v>2855</v>
      </c>
      <c r="AD64" s="2365" t="s">
        <v>2821</v>
      </c>
    </row>
    <row r="65" spans="1:30" ht="13.15" customHeight="1" x14ac:dyDescent="0.25">
      <c r="A65" s="2125" t="s">
        <v>2273</v>
      </c>
      <c r="B65" s="144"/>
      <c r="C65" s="712">
        <f>SUMIFS(Sheet1!S71_PPPYearAmount,Sheet1!S71_SA34dCode,$AC:$AC,Sheet1!S71_DepCode,$AD:$AD)</f>
        <v>0</v>
      </c>
      <c r="D65" s="712">
        <f>SUMIFS(Sheet1!S71_PPYearAmount,Sheet1!S71_SA34dCode,$AC:$AC,Sheet1!S71_DepCode,$AD:$AD)</f>
        <v>0</v>
      </c>
      <c r="E65" s="715">
        <f>SUMIFS(Sheet1!S71_PYearAmount,Sheet1!S71_SA34dCode,$AC:$AC,Sheet1!S71_DepCode,$AD:$AD)</f>
        <v>0</v>
      </c>
      <c r="F65" s="725">
        <f>SUMIFS(Sheet1!S71_OriginalBudAmnt,Sheet1!S71_SA34dCode,$AC:$AC,Sheet1!S71_DepCode,$AD:$AD)</f>
        <v>0</v>
      </c>
      <c r="G65" s="712">
        <f>SUMIFS(Sheet1!S71_AdjustmentBudAmnt,Sheet1!S71_SA34dCode,$AC:$AC,Sheet1!S71_DepCode,$AD:$AD)</f>
        <v>0</v>
      </c>
      <c r="H65" s="713">
        <f>SUMIFS(Sheet1!S71_AdjustmentBudAmnt,Sheet1!S71_SA34dCode,$AC:$AC,Sheet1!S71_DepCode,$AD:$AD)</f>
        <v>0</v>
      </c>
      <c r="I65" s="725">
        <f>SUMIFS(Sheet1!S71_ASBudgetAmount,Sheet1!S71_SA34dCode,$AC:$AC,Sheet1!S71_DepCode,$AD:$AD)</f>
        <v>0</v>
      </c>
      <c r="J65" s="712">
        <f>SUMIFS(Sheet1!S71_OY1BudgetAmount,Sheet1!S71_SA34dCode,$AC:$AC,Sheet1!S71_DepCode,$AD:$AD)</f>
        <v>0</v>
      </c>
      <c r="K65" s="713">
        <f>SUMIFS(Sheet1!S71_OY2BudgetAmount,Sheet1!S71_SA34dCode,$AC:$AC,Sheet1!S71_DepCode,$AD:$AD)</f>
        <v>0</v>
      </c>
      <c r="L65" s="322"/>
      <c r="AC65" s="2365" t="s">
        <v>2856</v>
      </c>
      <c r="AD65" s="2365" t="s">
        <v>2821</v>
      </c>
    </row>
    <row r="66" spans="1:30" ht="13.15" customHeight="1" x14ac:dyDescent="0.25">
      <c r="A66" s="2125" t="s">
        <v>2274</v>
      </c>
      <c r="B66" s="144"/>
      <c r="C66" s="712">
        <f>SUMIFS(Sheet1!S71_PPPYearAmount,Sheet1!S71_SA34dCode,$AC:$AC,Sheet1!S71_DepCode,$AD:$AD)</f>
        <v>0</v>
      </c>
      <c r="D66" s="712">
        <f>SUMIFS(Sheet1!S71_PPYearAmount,Sheet1!S71_SA34dCode,$AC:$AC,Sheet1!S71_DepCode,$AD:$AD)</f>
        <v>0</v>
      </c>
      <c r="E66" s="715">
        <f>SUMIFS(Sheet1!S71_PYearAmount,Sheet1!S71_SA34dCode,$AC:$AC,Sheet1!S71_DepCode,$AD:$AD)</f>
        <v>0</v>
      </c>
      <c r="F66" s="725">
        <f>SUMIFS(Sheet1!S71_OriginalBudAmnt,Sheet1!S71_SA34dCode,$AC:$AC,Sheet1!S71_DepCode,$AD:$AD)</f>
        <v>0</v>
      </c>
      <c r="G66" s="712">
        <f>SUMIFS(Sheet1!S71_AdjustmentBudAmnt,Sheet1!S71_SA34dCode,$AC:$AC,Sheet1!S71_DepCode,$AD:$AD)</f>
        <v>0</v>
      </c>
      <c r="H66" s="713">
        <f>SUMIFS(Sheet1!S71_AdjustmentBudAmnt,Sheet1!S71_SA34dCode,$AC:$AC,Sheet1!S71_DepCode,$AD:$AD)</f>
        <v>0</v>
      </c>
      <c r="I66" s="725">
        <f>SUMIFS(Sheet1!S71_ASBudgetAmount,Sheet1!S71_SA34dCode,$AC:$AC,Sheet1!S71_DepCode,$AD:$AD)</f>
        <v>0</v>
      </c>
      <c r="J66" s="712">
        <f>SUMIFS(Sheet1!S71_OY1BudgetAmount,Sheet1!S71_SA34dCode,$AC:$AC,Sheet1!S71_DepCode,$AD:$AD)</f>
        <v>0</v>
      </c>
      <c r="K66" s="713">
        <f>SUMIFS(Sheet1!S71_OY2BudgetAmount,Sheet1!S71_SA34dCode,$AC:$AC,Sheet1!S71_DepCode,$AD:$AD)</f>
        <v>0</v>
      </c>
      <c r="L66" s="322"/>
      <c r="AC66" s="2365" t="s">
        <v>2857</v>
      </c>
      <c r="AD66" s="2365" t="s">
        <v>2821</v>
      </c>
    </row>
    <row r="67" spans="1:30" ht="13.15" customHeight="1" x14ac:dyDescent="0.25">
      <c r="A67" s="2125" t="s">
        <v>2233</v>
      </c>
      <c r="B67" s="144"/>
      <c r="C67" s="712">
        <f>SUMIFS(Sheet1!S71_PPPYearAmount,Sheet1!S71_SA34dCode,$AC:$AC,Sheet1!S71_DepCode,$AD:$AD)</f>
        <v>0</v>
      </c>
      <c r="D67" s="712">
        <f>SUMIFS(Sheet1!S71_PPYearAmount,Sheet1!S71_SA34dCode,$AC:$AC,Sheet1!S71_DepCode,$AD:$AD)</f>
        <v>0</v>
      </c>
      <c r="E67" s="715">
        <f>SUMIFS(Sheet1!S71_PYearAmount,Sheet1!S71_SA34dCode,$AC:$AC,Sheet1!S71_DepCode,$AD:$AD)</f>
        <v>0</v>
      </c>
      <c r="F67" s="725">
        <f>SUMIFS(Sheet1!S71_OriginalBudAmnt,Sheet1!S71_SA34dCode,$AC:$AC,Sheet1!S71_DepCode,$AD:$AD)</f>
        <v>0</v>
      </c>
      <c r="G67" s="712">
        <f>SUMIFS(Sheet1!S71_AdjustmentBudAmnt,Sheet1!S71_SA34dCode,$AC:$AC,Sheet1!S71_DepCode,$AD:$AD)</f>
        <v>0</v>
      </c>
      <c r="H67" s="713">
        <f>SUMIFS(Sheet1!S71_AdjustmentBudAmnt,Sheet1!S71_SA34dCode,$AC:$AC,Sheet1!S71_DepCode,$AD:$AD)</f>
        <v>0</v>
      </c>
      <c r="I67" s="725">
        <f>SUMIFS(Sheet1!S71_ASBudgetAmount,Sheet1!S71_SA34dCode,$AC:$AC,Sheet1!S71_DepCode,$AD:$AD)</f>
        <v>0</v>
      </c>
      <c r="J67" s="712">
        <f>SUMIFS(Sheet1!S71_OY1BudgetAmount,Sheet1!S71_SA34dCode,$AC:$AC,Sheet1!S71_DepCode,$AD:$AD)</f>
        <v>0</v>
      </c>
      <c r="K67" s="713">
        <f>SUMIFS(Sheet1!S71_OY2BudgetAmount,Sheet1!S71_SA34dCode,$AC:$AC,Sheet1!S71_DepCode,$AD:$AD)</f>
        <v>0</v>
      </c>
      <c r="L67" s="322"/>
      <c r="AC67" s="2365" t="s">
        <v>2858</v>
      </c>
      <c r="AD67" s="2365" t="s">
        <v>2821</v>
      </c>
    </row>
    <row r="68" spans="1:30" ht="13.15" customHeight="1" x14ac:dyDescent="0.25">
      <c r="A68" s="104" t="s">
        <v>2266</v>
      </c>
      <c r="B68" s="144"/>
      <c r="C68" s="71">
        <f>SUM(C69:C72)</f>
        <v>0</v>
      </c>
      <c r="D68" s="71">
        <f t="shared" ref="D68:K68" si="9">SUM(D69:D72)</f>
        <v>0</v>
      </c>
      <c r="E68" s="305">
        <f t="shared" si="9"/>
        <v>0</v>
      </c>
      <c r="F68" s="75">
        <f t="shared" si="9"/>
        <v>0</v>
      </c>
      <c r="G68" s="71">
        <f t="shared" si="9"/>
        <v>0</v>
      </c>
      <c r="H68" s="117">
        <f t="shared" si="9"/>
        <v>0</v>
      </c>
      <c r="I68" s="75">
        <f t="shared" si="9"/>
        <v>0</v>
      </c>
      <c r="J68" s="71">
        <f t="shared" si="9"/>
        <v>0</v>
      </c>
      <c r="K68" s="117">
        <f t="shared" si="9"/>
        <v>0</v>
      </c>
      <c r="L68" s="322"/>
      <c r="AD68" s="2365" t="s">
        <v>2821</v>
      </c>
    </row>
    <row r="69" spans="1:30" ht="13.15" customHeight="1" x14ac:dyDescent="0.25">
      <c r="A69" s="2125" t="s">
        <v>2267</v>
      </c>
      <c r="B69" s="144"/>
      <c r="C69" s="712">
        <f>SUMIFS(Sheet1!S71_PPPYearAmount,Sheet1!S71_SA34dCode,$AC:$AC,Sheet1!S71_DepCode,$AD:$AD)</f>
        <v>0</v>
      </c>
      <c r="D69" s="712">
        <f>SUMIFS(Sheet1!S71_PPYearAmount,Sheet1!S71_SA34dCode,$AC:$AC,Sheet1!S71_DepCode,$AD:$AD)</f>
        <v>0</v>
      </c>
      <c r="E69" s="715">
        <f>SUMIFS(Sheet1!S71_PYearAmount,Sheet1!S71_SA34dCode,$AC:$AC,Sheet1!S71_DepCode,$AD:$AD)</f>
        <v>0</v>
      </c>
      <c r="F69" s="725">
        <f>SUMIFS(Sheet1!S71_OriginalBudAmnt,Sheet1!S71_SA34dCode,$AC:$AC,Sheet1!S71_DepCode,$AD:$AD)</f>
        <v>0</v>
      </c>
      <c r="G69" s="712">
        <f>SUMIFS(Sheet1!S71_AdjustmentBudAmnt,Sheet1!S71_SA34dCode,$AC:$AC,Sheet1!S71_DepCode,$AD:$AD)</f>
        <v>0</v>
      </c>
      <c r="H69" s="713">
        <f>SUMIFS(Sheet1!S71_AdjustmentBudAmnt,Sheet1!S71_SA34dCode,$AC:$AC,Sheet1!S71_DepCode,$AD:$AD)</f>
        <v>0</v>
      </c>
      <c r="I69" s="725">
        <f>SUMIFS(Sheet1!S71_ASBudgetAmount,Sheet1!S71_SA34dCode,$AC:$AC,Sheet1!S71_DepCode,$AD:$AD)</f>
        <v>0</v>
      </c>
      <c r="J69" s="712">
        <f>SUMIFS(Sheet1!S71_OY1BudgetAmount,Sheet1!S71_SA34dCode,$AC:$AC,Sheet1!S71_DepCode,$AD:$AD)</f>
        <v>0</v>
      </c>
      <c r="K69" s="713">
        <f>SUMIFS(Sheet1!S71_OY2BudgetAmount,Sheet1!S71_SA34dCode,$AC:$AC,Sheet1!S71_DepCode,$AD:$AD)</f>
        <v>0</v>
      </c>
      <c r="L69" s="322"/>
      <c r="AC69" s="2365" t="s">
        <v>2859</v>
      </c>
      <c r="AD69" s="2365" t="s">
        <v>2821</v>
      </c>
    </row>
    <row r="70" spans="1:30" ht="13.15" customHeight="1" x14ac:dyDescent="0.25">
      <c r="A70" s="2125" t="s">
        <v>2268</v>
      </c>
      <c r="B70" s="144"/>
      <c r="C70" s="712">
        <f>SUMIFS(Sheet1!S71_PPPYearAmount,Sheet1!S71_SA34dCode,$AC:$AC,Sheet1!S71_DepCode,$AD:$AD)</f>
        <v>0</v>
      </c>
      <c r="D70" s="712">
        <f>SUMIFS(Sheet1!S71_PPYearAmount,Sheet1!S71_SA34dCode,$AC:$AC,Sheet1!S71_DepCode,$AD:$AD)</f>
        <v>0</v>
      </c>
      <c r="E70" s="715">
        <f>SUMIFS(Sheet1!S71_PYearAmount,Sheet1!S71_SA34dCode,$AC:$AC,Sheet1!S71_DepCode,$AD:$AD)</f>
        <v>0</v>
      </c>
      <c r="F70" s="725">
        <f>SUMIFS(Sheet1!S71_OriginalBudAmnt,Sheet1!S71_SA34dCode,$AC:$AC,Sheet1!S71_DepCode,$AD:$AD)</f>
        <v>0</v>
      </c>
      <c r="G70" s="712">
        <f>SUMIFS(Sheet1!S71_AdjustmentBudAmnt,Sheet1!S71_SA34dCode,$AC:$AC,Sheet1!S71_DepCode,$AD:$AD)</f>
        <v>0</v>
      </c>
      <c r="H70" s="713">
        <f>SUMIFS(Sheet1!S71_AdjustmentBudAmnt,Sheet1!S71_SA34dCode,$AC:$AC,Sheet1!S71_DepCode,$AD:$AD)</f>
        <v>0</v>
      </c>
      <c r="I70" s="725">
        <f>SUMIFS(Sheet1!S71_ASBudgetAmount,Sheet1!S71_SA34dCode,$AC:$AC,Sheet1!S71_DepCode,$AD:$AD)</f>
        <v>0</v>
      </c>
      <c r="J70" s="712">
        <f>SUMIFS(Sheet1!S71_OY1BudgetAmount,Sheet1!S71_SA34dCode,$AC:$AC,Sheet1!S71_DepCode,$AD:$AD)</f>
        <v>0</v>
      </c>
      <c r="K70" s="713">
        <f>SUMIFS(Sheet1!S71_OY2BudgetAmount,Sheet1!S71_SA34dCode,$AC:$AC,Sheet1!S71_DepCode,$AD:$AD)</f>
        <v>0</v>
      </c>
      <c r="L70" s="322"/>
      <c r="AC70" s="2365" t="s">
        <v>2860</v>
      </c>
      <c r="AD70" s="2365" t="s">
        <v>2821</v>
      </c>
    </row>
    <row r="71" spans="1:30" ht="13.15" customHeight="1" x14ac:dyDescent="0.25">
      <c r="A71" s="2125" t="s">
        <v>2269</v>
      </c>
      <c r="B71" s="144"/>
      <c r="C71" s="712">
        <f>SUMIFS(Sheet1!S71_PPPYearAmount,Sheet1!S71_SA34dCode,$AC:$AC,Sheet1!S71_DepCode,$AD:$AD)</f>
        <v>0</v>
      </c>
      <c r="D71" s="712">
        <f>SUMIFS(Sheet1!S71_PPYearAmount,Sheet1!S71_SA34dCode,$AC:$AC,Sheet1!S71_DepCode,$AD:$AD)</f>
        <v>0</v>
      </c>
      <c r="E71" s="715">
        <f>SUMIFS(Sheet1!S71_PYearAmount,Sheet1!S71_SA34dCode,$AC:$AC,Sheet1!S71_DepCode,$AD:$AD)</f>
        <v>0</v>
      </c>
      <c r="F71" s="725">
        <f>SUMIFS(Sheet1!S71_OriginalBudAmnt,Sheet1!S71_SA34dCode,$AC:$AC,Sheet1!S71_DepCode,$AD:$AD)</f>
        <v>0</v>
      </c>
      <c r="G71" s="712">
        <f>SUMIFS(Sheet1!S71_AdjustmentBudAmnt,Sheet1!S71_SA34dCode,$AC:$AC,Sheet1!S71_DepCode,$AD:$AD)</f>
        <v>0</v>
      </c>
      <c r="H71" s="713">
        <f>SUMIFS(Sheet1!S71_AdjustmentBudAmnt,Sheet1!S71_SA34dCode,$AC:$AC,Sheet1!S71_DepCode,$AD:$AD)</f>
        <v>0</v>
      </c>
      <c r="I71" s="725">
        <f>SUMIFS(Sheet1!S71_ASBudgetAmount,Sheet1!S71_SA34dCode,$AC:$AC,Sheet1!S71_DepCode,$AD:$AD)</f>
        <v>0</v>
      </c>
      <c r="J71" s="712">
        <f>SUMIFS(Sheet1!S71_OY1BudgetAmount,Sheet1!S71_SA34dCode,$AC:$AC,Sheet1!S71_DepCode,$AD:$AD)</f>
        <v>0</v>
      </c>
      <c r="K71" s="713">
        <f>SUMIFS(Sheet1!S71_OY2BudgetAmount,Sheet1!S71_SA34dCode,$AC:$AC,Sheet1!S71_DepCode,$AD:$AD)</f>
        <v>0</v>
      </c>
      <c r="L71" s="322"/>
      <c r="AC71" s="2365" t="s">
        <v>2861</v>
      </c>
      <c r="AD71" s="2365" t="s">
        <v>2821</v>
      </c>
    </row>
    <row r="72" spans="1:30" ht="13.15" customHeight="1" x14ac:dyDescent="0.25">
      <c r="A72" s="2125" t="s">
        <v>2233</v>
      </c>
      <c r="B72" s="144"/>
      <c r="C72" s="712">
        <f>SUMIFS(Sheet1!S71_PPPYearAmount,Sheet1!S71_SA34dCode,$AC:$AC,Sheet1!S71_DepCode,$AD:$AD)</f>
        <v>0</v>
      </c>
      <c r="D72" s="712">
        <f>SUMIFS(Sheet1!S71_PPYearAmount,Sheet1!S71_SA34dCode,$AC:$AC,Sheet1!S71_DepCode,$AD:$AD)</f>
        <v>0</v>
      </c>
      <c r="E72" s="715">
        <f>SUMIFS(Sheet1!S71_PYearAmount,Sheet1!S71_SA34dCode,$AC:$AC,Sheet1!S71_DepCode,$AD:$AD)</f>
        <v>0</v>
      </c>
      <c r="F72" s="725">
        <f>SUMIFS(Sheet1!S71_OriginalBudAmnt,Sheet1!S71_SA34dCode,$AC:$AC,Sheet1!S71_DepCode,$AD:$AD)</f>
        <v>0</v>
      </c>
      <c r="G72" s="712">
        <f>SUMIFS(Sheet1!S71_AdjustmentBudAmnt,Sheet1!S71_SA34dCode,$AC:$AC,Sheet1!S71_DepCode,$AD:$AD)</f>
        <v>0</v>
      </c>
      <c r="H72" s="713">
        <f>SUMIFS(Sheet1!S71_AdjustmentBudAmnt,Sheet1!S71_SA34dCode,$AC:$AC,Sheet1!S71_DepCode,$AD:$AD)</f>
        <v>0</v>
      </c>
      <c r="I72" s="725">
        <f>SUMIFS(Sheet1!S71_ASBudgetAmount,Sheet1!S71_SA34dCode,$AC:$AC,Sheet1!S71_DepCode,$AD:$AD)</f>
        <v>0</v>
      </c>
      <c r="J72" s="712">
        <f>SUMIFS(Sheet1!S71_OY1BudgetAmount,Sheet1!S71_SA34dCode,$AC:$AC,Sheet1!S71_DepCode,$AD:$AD)</f>
        <v>0</v>
      </c>
      <c r="K72" s="713">
        <f>SUMIFS(Sheet1!S71_OY2BudgetAmount,Sheet1!S71_SA34dCode,$AC:$AC,Sheet1!S71_DepCode,$AD:$AD)</f>
        <v>0</v>
      </c>
      <c r="L72" s="322"/>
      <c r="AC72" s="2365" t="s">
        <v>2862</v>
      </c>
      <c r="AD72" s="2365" t="s">
        <v>2821</v>
      </c>
    </row>
    <row r="73" spans="1:30" ht="4.9000000000000004" customHeight="1" x14ac:dyDescent="0.25">
      <c r="A73" s="116"/>
      <c r="B73" s="144"/>
      <c r="C73" s="177"/>
      <c r="D73" s="177"/>
      <c r="E73" s="180"/>
      <c r="F73" s="179"/>
      <c r="G73" s="177"/>
      <c r="H73" s="178"/>
      <c r="I73" s="179"/>
      <c r="J73" s="177"/>
      <c r="K73" s="178"/>
      <c r="L73" s="322"/>
      <c r="AD73" s="2365" t="s">
        <v>2821</v>
      </c>
    </row>
    <row r="74" spans="1:30" ht="13.15" customHeight="1" x14ac:dyDescent="0.25">
      <c r="A74" s="96" t="s">
        <v>2282</v>
      </c>
      <c r="B74" s="144"/>
      <c r="C74" s="98">
        <f>C75+C98</f>
        <v>2662192</v>
      </c>
      <c r="D74" s="98">
        <f t="shared" ref="D74:K74" si="10">D75+D98</f>
        <v>3299272</v>
      </c>
      <c r="E74" s="101">
        <f t="shared" si="10"/>
        <v>3916490</v>
      </c>
      <c r="F74" s="100">
        <f t="shared" si="10"/>
        <v>3787600</v>
      </c>
      <c r="G74" s="98">
        <f t="shared" si="10"/>
        <v>3787600</v>
      </c>
      <c r="H74" s="99">
        <f t="shared" si="10"/>
        <v>3787600</v>
      </c>
      <c r="I74" s="100">
        <f t="shared" si="10"/>
        <v>3935316</v>
      </c>
      <c r="J74" s="98">
        <f t="shared" si="10"/>
        <v>4092729</v>
      </c>
      <c r="K74" s="99">
        <f t="shared" si="10"/>
        <v>4256438</v>
      </c>
      <c r="L74" s="322"/>
      <c r="AD74" s="2365" t="s">
        <v>2821</v>
      </c>
    </row>
    <row r="75" spans="1:30" ht="13.15" customHeight="1" x14ac:dyDescent="0.25">
      <c r="A75" s="104" t="s">
        <v>2283</v>
      </c>
      <c r="B75" s="144"/>
      <c r="C75" s="82">
        <f>SUM(C76:C97)</f>
        <v>2662192</v>
      </c>
      <c r="D75" s="82">
        <f t="shared" ref="D75:K75" si="11">SUM(D76:D97)</f>
        <v>3299272</v>
      </c>
      <c r="E75" s="304">
        <f t="shared" si="11"/>
        <v>3916490</v>
      </c>
      <c r="F75" s="83">
        <f t="shared" si="11"/>
        <v>3787600</v>
      </c>
      <c r="G75" s="82">
        <f t="shared" si="11"/>
        <v>3787600</v>
      </c>
      <c r="H75" s="115">
        <f t="shared" si="11"/>
        <v>3787600</v>
      </c>
      <c r="I75" s="83">
        <f t="shared" si="11"/>
        <v>3935316</v>
      </c>
      <c r="J75" s="82">
        <f t="shared" si="11"/>
        <v>4092729</v>
      </c>
      <c r="K75" s="115">
        <f t="shared" si="11"/>
        <v>4256438</v>
      </c>
      <c r="L75" s="322"/>
      <c r="AD75" s="2365" t="s">
        <v>2821</v>
      </c>
    </row>
    <row r="76" spans="1:30" ht="13.15" customHeight="1" x14ac:dyDescent="0.25">
      <c r="A76" s="2125" t="s">
        <v>2284</v>
      </c>
      <c r="B76" s="144"/>
      <c r="C76" s="712">
        <f>SUMIFS(Sheet1!S71_PPPYearAmount,Sheet1!S71_SA34dCode,$AC:$AC,Sheet1!S71_DepCode,$AD:$AD)</f>
        <v>2662192</v>
      </c>
      <c r="D76" s="712">
        <f>SUMIFS(Sheet1!S71_PPYearAmount,Sheet1!S71_SA34dCode,$AC:$AC,Sheet1!S71_DepCode,$AD:$AD)</f>
        <v>3299272</v>
      </c>
      <c r="E76" s="715">
        <f>SUMIFS(Sheet1!S71_PYearAmount,Sheet1!S71_SA34dCode,$AC:$AC,Sheet1!S71_DepCode,$AD:$AD)</f>
        <v>3916490</v>
      </c>
      <c r="F76" s="725">
        <f>SUMIFS(Sheet1!S71_OriginalBudAmnt,Sheet1!S71_SA34dCode,$AC:$AC,Sheet1!S71_DepCode,$AD:$AD)</f>
        <v>3787600</v>
      </c>
      <c r="G76" s="712">
        <f>SUMIFS(Sheet1!S71_AdjustmentBudAmnt,Sheet1!S71_SA34dCode,$AC:$AC,Sheet1!S71_DepCode,$AD:$AD)</f>
        <v>3787600</v>
      </c>
      <c r="H76" s="713">
        <f>SUMIFS(Sheet1!S71_AdjustmentBudAmnt,Sheet1!S71_SA34dCode,$AC:$AC,Sheet1!S71_DepCode,$AD:$AD)</f>
        <v>3787600</v>
      </c>
      <c r="I76" s="725">
        <f>SUMIFS(Sheet1!S71_ASBudgetAmount,Sheet1!S71_SA34dCode,$AC:$AC,Sheet1!S71_DepCode,$AD:$AD)</f>
        <v>3935316</v>
      </c>
      <c r="J76" s="712">
        <f>SUMIFS(Sheet1!S71_OY1BudgetAmount,Sheet1!S71_SA34dCode,$AC:$AC,Sheet1!S71_DepCode,$AD:$AD)</f>
        <v>4092729</v>
      </c>
      <c r="K76" s="713">
        <f>SUMIFS(Sheet1!S71_OY2BudgetAmount,Sheet1!S71_SA34dCode,$AC:$AC,Sheet1!S71_DepCode,$AD:$AD)</f>
        <v>4256438</v>
      </c>
      <c r="L76" s="322"/>
      <c r="AC76" s="2365" t="s">
        <v>2863</v>
      </c>
      <c r="AD76" s="2365" t="s">
        <v>2821</v>
      </c>
    </row>
    <row r="77" spans="1:30" ht="13.15" customHeight="1" x14ac:dyDescent="0.25">
      <c r="A77" s="2125" t="s">
        <v>2285</v>
      </c>
      <c r="B77" s="144"/>
      <c r="C77" s="712">
        <f>SUMIFS(Sheet1!S71_PPPYearAmount,Sheet1!S71_SA34dCode,$AC:$AC,Sheet1!S71_DepCode,$AD:$AD)</f>
        <v>0</v>
      </c>
      <c r="D77" s="712">
        <f>SUMIFS(Sheet1!S71_PPYearAmount,Sheet1!S71_SA34dCode,$AC:$AC,Sheet1!S71_DepCode,$AD:$AD)</f>
        <v>0</v>
      </c>
      <c r="E77" s="715">
        <f>SUMIFS(Sheet1!S71_PYearAmount,Sheet1!S71_SA34dCode,$AC:$AC,Sheet1!S71_DepCode,$AD:$AD)</f>
        <v>0</v>
      </c>
      <c r="F77" s="725">
        <f>SUMIFS(Sheet1!S71_OriginalBudAmnt,Sheet1!S71_SA34dCode,$AC:$AC,Sheet1!S71_DepCode,$AD:$AD)</f>
        <v>0</v>
      </c>
      <c r="G77" s="712">
        <f>SUMIFS(Sheet1!S71_AdjustmentBudAmnt,Sheet1!S71_SA34dCode,$AC:$AC,Sheet1!S71_DepCode,$AD:$AD)</f>
        <v>0</v>
      </c>
      <c r="H77" s="713">
        <f>SUMIFS(Sheet1!S71_AdjustmentBudAmnt,Sheet1!S71_SA34dCode,$AC:$AC,Sheet1!S71_DepCode,$AD:$AD)</f>
        <v>0</v>
      </c>
      <c r="I77" s="725">
        <f>SUMIFS(Sheet1!S71_ASBudgetAmount,Sheet1!S71_SA34dCode,$AC:$AC,Sheet1!S71_DepCode,$AD:$AD)</f>
        <v>0</v>
      </c>
      <c r="J77" s="712">
        <f>SUMIFS(Sheet1!S71_OY1BudgetAmount,Sheet1!S71_SA34dCode,$AC:$AC,Sheet1!S71_DepCode,$AD:$AD)</f>
        <v>0</v>
      </c>
      <c r="K77" s="713">
        <f>SUMIFS(Sheet1!S71_OY2BudgetAmount,Sheet1!S71_SA34dCode,$AC:$AC,Sheet1!S71_DepCode,$AD:$AD)</f>
        <v>0</v>
      </c>
      <c r="L77" s="322"/>
      <c r="AC77" s="2365" t="s">
        <v>2701</v>
      </c>
      <c r="AD77" s="2365" t="s">
        <v>2821</v>
      </c>
    </row>
    <row r="78" spans="1:30" ht="13.15" customHeight="1" x14ac:dyDescent="0.25">
      <c r="A78" s="2125" t="s">
        <v>2286</v>
      </c>
      <c r="B78" s="144"/>
      <c r="C78" s="712">
        <f>SUMIFS(Sheet1!S71_PPPYearAmount,Sheet1!S71_SA34dCode,$AC:$AC,Sheet1!S71_DepCode,$AD:$AD)</f>
        <v>0</v>
      </c>
      <c r="D78" s="712">
        <f>SUMIFS(Sheet1!S71_PPYearAmount,Sheet1!S71_SA34dCode,$AC:$AC,Sheet1!S71_DepCode,$AD:$AD)</f>
        <v>0</v>
      </c>
      <c r="E78" s="715">
        <f>SUMIFS(Sheet1!S71_PYearAmount,Sheet1!S71_SA34dCode,$AC:$AC,Sheet1!S71_DepCode,$AD:$AD)</f>
        <v>0</v>
      </c>
      <c r="F78" s="725">
        <f>SUMIFS(Sheet1!S71_OriginalBudAmnt,Sheet1!S71_SA34dCode,$AC:$AC,Sheet1!S71_DepCode,$AD:$AD)</f>
        <v>0</v>
      </c>
      <c r="G78" s="712">
        <f>SUMIFS(Sheet1!S71_AdjustmentBudAmnt,Sheet1!S71_SA34dCode,$AC:$AC,Sheet1!S71_DepCode,$AD:$AD)</f>
        <v>0</v>
      </c>
      <c r="H78" s="713">
        <f>SUMIFS(Sheet1!S71_AdjustmentBudAmnt,Sheet1!S71_SA34dCode,$AC:$AC,Sheet1!S71_DepCode,$AD:$AD)</f>
        <v>0</v>
      </c>
      <c r="I78" s="725">
        <f>SUMIFS(Sheet1!S71_ASBudgetAmount,Sheet1!S71_SA34dCode,$AC:$AC,Sheet1!S71_DepCode,$AD:$AD)</f>
        <v>0</v>
      </c>
      <c r="J78" s="712">
        <f>SUMIFS(Sheet1!S71_OY1BudgetAmount,Sheet1!S71_SA34dCode,$AC:$AC,Sheet1!S71_DepCode,$AD:$AD)</f>
        <v>0</v>
      </c>
      <c r="K78" s="713">
        <f>SUMIFS(Sheet1!S71_OY2BudgetAmount,Sheet1!S71_SA34dCode,$AC:$AC,Sheet1!S71_DepCode,$AD:$AD)</f>
        <v>0</v>
      </c>
      <c r="L78" s="322"/>
      <c r="AC78" s="2365" t="s">
        <v>2864</v>
      </c>
      <c r="AD78" s="2365" t="s">
        <v>2821</v>
      </c>
    </row>
    <row r="79" spans="1:30" ht="13.15" customHeight="1" x14ac:dyDescent="0.25">
      <c r="A79" s="2125" t="s">
        <v>2287</v>
      </c>
      <c r="B79" s="144"/>
      <c r="C79" s="712">
        <f>SUMIFS(Sheet1!S71_PPPYearAmount,Sheet1!S71_SA34dCode,$AC:$AC,Sheet1!S71_DepCode,$AD:$AD)</f>
        <v>0</v>
      </c>
      <c r="D79" s="712">
        <f>SUMIFS(Sheet1!S71_PPYearAmount,Sheet1!S71_SA34dCode,$AC:$AC,Sheet1!S71_DepCode,$AD:$AD)</f>
        <v>0</v>
      </c>
      <c r="E79" s="715">
        <f>SUMIFS(Sheet1!S71_PYearAmount,Sheet1!S71_SA34dCode,$AC:$AC,Sheet1!S71_DepCode,$AD:$AD)</f>
        <v>0</v>
      </c>
      <c r="F79" s="725">
        <f>SUMIFS(Sheet1!S71_OriginalBudAmnt,Sheet1!S71_SA34dCode,$AC:$AC,Sheet1!S71_DepCode,$AD:$AD)</f>
        <v>0</v>
      </c>
      <c r="G79" s="712">
        <f>SUMIFS(Sheet1!S71_AdjustmentBudAmnt,Sheet1!S71_SA34dCode,$AC:$AC,Sheet1!S71_DepCode,$AD:$AD)</f>
        <v>0</v>
      </c>
      <c r="H79" s="713">
        <f>SUMIFS(Sheet1!S71_AdjustmentBudAmnt,Sheet1!S71_SA34dCode,$AC:$AC,Sheet1!S71_DepCode,$AD:$AD)</f>
        <v>0</v>
      </c>
      <c r="I79" s="725">
        <f>SUMIFS(Sheet1!S71_ASBudgetAmount,Sheet1!S71_SA34dCode,$AC:$AC,Sheet1!S71_DepCode,$AD:$AD)</f>
        <v>0</v>
      </c>
      <c r="J79" s="712">
        <f>SUMIFS(Sheet1!S71_OY1BudgetAmount,Sheet1!S71_SA34dCode,$AC:$AC,Sheet1!S71_DepCode,$AD:$AD)</f>
        <v>0</v>
      </c>
      <c r="K79" s="713">
        <f>SUMIFS(Sheet1!S71_OY2BudgetAmount,Sheet1!S71_SA34dCode,$AC:$AC,Sheet1!S71_DepCode,$AD:$AD)</f>
        <v>0</v>
      </c>
      <c r="L79" s="322"/>
      <c r="AC79" s="2365" t="s">
        <v>2865</v>
      </c>
      <c r="AD79" s="2365" t="s">
        <v>2821</v>
      </c>
    </row>
    <row r="80" spans="1:30" ht="13.15" customHeight="1" x14ac:dyDescent="0.25">
      <c r="A80" s="2125" t="s">
        <v>2288</v>
      </c>
      <c r="B80" s="144"/>
      <c r="C80" s="712">
        <f>SUMIFS(Sheet1!S71_PPPYearAmount,Sheet1!S71_SA34dCode,$AC:$AC,Sheet1!S71_DepCode,$AD:$AD)</f>
        <v>0</v>
      </c>
      <c r="D80" s="712">
        <f>SUMIFS(Sheet1!S71_PPYearAmount,Sheet1!S71_SA34dCode,$AC:$AC,Sheet1!S71_DepCode,$AD:$AD)</f>
        <v>0</v>
      </c>
      <c r="E80" s="715">
        <f>SUMIFS(Sheet1!S71_PYearAmount,Sheet1!S71_SA34dCode,$AC:$AC,Sheet1!S71_DepCode,$AD:$AD)</f>
        <v>0</v>
      </c>
      <c r="F80" s="725">
        <f>SUMIFS(Sheet1!S71_OriginalBudAmnt,Sheet1!S71_SA34dCode,$AC:$AC,Sheet1!S71_DepCode,$AD:$AD)</f>
        <v>0</v>
      </c>
      <c r="G80" s="712">
        <f>SUMIFS(Sheet1!S71_AdjustmentBudAmnt,Sheet1!S71_SA34dCode,$AC:$AC,Sheet1!S71_DepCode,$AD:$AD)</f>
        <v>0</v>
      </c>
      <c r="H80" s="713">
        <f>SUMIFS(Sheet1!S71_AdjustmentBudAmnt,Sheet1!S71_SA34dCode,$AC:$AC,Sheet1!S71_DepCode,$AD:$AD)</f>
        <v>0</v>
      </c>
      <c r="I80" s="725">
        <f>SUMIFS(Sheet1!S71_ASBudgetAmount,Sheet1!S71_SA34dCode,$AC:$AC,Sheet1!S71_DepCode,$AD:$AD)</f>
        <v>0</v>
      </c>
      <c r="J80" s="712">
        <f>SUMIFS(Sheet1!S71_OY1BudgetAmount,Sheet1!S71_SA34dCode,$AC:$AC,Sheet1!S71_DepCode,$AD:$AD)</f>
        <v>0</v>
      </c>
      <c r="K80" s="713">
        <f>SUMIFS(Sheet1!S71_OY2BudgetAmount,Sheet1!S71_SA34dCode,$AC:$AC,Sheet1!S71_DepCode,$AD:$AD)</f>
        <v>0</v>
      </c>
      <c r="L80" s="322"/>
      <c r="AC80" s="2365" t="s">
        <v>2866</v>
      </c>
      <c r="AD80" s="2365" t="s">
        <v>2821</v>
      </c>
    </row>
    <row r="81" spans="1:30" ht="13.15" customHeight="1" x14ac:dyDescent="0.25">
      <c r="A81" s="2125" t="s">
        <v>2289</v>
      </c>
      <c r="B81" s="144"/>
      <c r="C81" s="712">
        <f>SUMIFS(Sheet1!S71_PPPYearAmount,Sheet1!S71_SA34dCode,$AC:$AC,Sheet1!S71_DepCode,$AD:$AD)</f>
        <v>0</v>
      </c>
      <c r="D81" s="712">
        <f>SUMIFS(Sheet1!S71_PPYearAmount,Sheet1!S71_SA34dCode,$AC:$AC,Sheet1!S71_DepCode,$AD:$AD)</f>
        <v>0</v>
      </c>
      <c r="E81" s="715">
        <f>SUMIFS(Sheet1!S71_PYearAmount,Sheet1!S71_SA34dCode,$AC:$AC,Sheet1!S71_DepCode,$AD:$AD)</f>
        <v>0</v>
      </c>
      <c r="F81" s="725">
        <f>SUMIFS(Sheet1!S71_OriginalBudAmnt,Sheet1!S71_SA34dCode,$AC:$AC,Sheet1!S71_DepCode,$AD:$AD)</f>
        <v>0</v>
      </c>
      <c r="G81" s="712">
        <f>SUMIFS(Sheet1!S71_AdjustmentBudAmnt,Sheet1!S71_SA34dCode,$AC:$AC,Sheet1!S71_DepCode,$AD:$AD)</f>
        <v>0</v>
      </c>
      <c r="H81" s="713">
        <f>SUMIFS(Sheet1!S71_AdjustmentBudAmnt,Sheet1!S71_SA34dCode,$AC:$AC,Sheet1!S71_DepCode,$AD:$AD)</f>
        <v>0</v>
      </c>
      <c r="I81" s="725">
        <f>SUMIFS(Sheet1!S71_ASBudgetAmount,Sheet1!S71_SA34dCode,$AC:$AC,Sheet1!S71_DepCode,$AD:$AD)</f>
        <v>0</v>
      </c>
      <c r="J81" s="712">
        <f>SUMIFS(Sheet1!S71_OY1BudgetAmount,Sheet1!S71_SA34dCode,$AC:$AC,Sheet1!S71_DepCode,$AD:$AD)</f>
        <v>0</v>
      </c>
      <c r="K81" s="713">
        <f>SUMIFS(Sheet1!S71_OY2BudgetAmount,Sheet1!S71_SA34dCode,$AC:$AC,Sheet1!S71_DepCode,$AD:$AD)</f>
        <v>0</v>
      </c>
      <c r="L81" s="322"/>
      <c r="AC81" s="2365" t="s">
        <v>2867</v>
      </c>
      <c r="AD81" s="2365" t="s">
        <v>2821</v>
      </c>
    </row>
    <row r="82" spans="1:30" ht="13.15" customHeight="1" x14ac:dyDescent="0.25">
      <c r="A82" s="2125" t="s">
        <v>2290</v>
      </c>
      <c r="B82" s="144"/>
      <c r="C82" s="712">
        <f>SUMIFS(Sheet1!S71_PPPYearAmount,Sheet1!S71_SA34dCode,$AC:$AC,Sheet1!S71_DepCode,$AD:$AD)</f>
        <v>0</v>
      </c>
      <c r="D82" s="712">
        <f>SUMIFS(Sheet1!S71_PPYearAmount,Sheet1!S71_SA34dCode,$AC:$AC,Sheet1!S71_DepCode,$AD:$AD)</f>
        <v>0</v>
      </c>
      <c r="E82" s="715">
        <f>SUMIFS(Sheet1!S71_PYearAmount,Sheet1!S71_SA34dCode,$AC:$AC,Sheet1!S71_DepCode,$AD:$AD)</f>
        <v>0</v>
      </c>
      <c r="F82" s="725">
        <f>SUMIFS(Sheet1!S71_OriginalBudAmnt,Sheet1!S71_SA34dCode,$AC:$AC,Sheet1!S71_DepCode,$AD:$AD)</f>
        <v>0</v>
      </c>
      <c r="G82" s="712">
        <f>SUMIFS(Sheet1!S71_AdjustmentBudAmnt,Sheet1!S71_SA34dCode,$AC:$AC,Sheet1!S71_DepCode,$AD:$AD)</f>
        <v>0</v>
      </c>
      <c r="H82" s="713">
        <f>SUMIFS(Sheet1!S71_AdjustmentBudAmnt,Sheet1!S71_SA34dCode,$AC:$AC,Sheet1!S71_DepCode,$AD:$AD)</f>
        <v>0</v>
      </c>
      <c r="I82" s="725">
        <f>SUMIFS(Sheet1!S71_ASBudgetAmount,Sheet1!S71_SA34dCode,$AC:$AC,Sheet1!S71_DepCode,$AD:$AD)</f>
        <v>0</v>
      </c>
      <c r="J82" s="712">
        <f>SUMIFS(Sheet1!S71_OY1BudgetAmount,Sheet1!S71_SA34dCode,$AC:$AC,Sheet1!S71_DepCode,$AD:$AD)</f>
        <v>0</v>
      </c>
      <c r="K82" s="713">
        <f>SUMIFS(Sheet1!S71_OY2BudgetAmount,Sheet1!S71_SA34dCode,$AC:$AC,Sheet1!S71_DepCode,$AD:$AD)</f>
        <v>0</v>
      </c>
      <c r="L82" s="322"/>
      <c r="AC82" s="2365" t="s">
        <v>2868</v>
      </c>
      <c r="AD82" s="2365" t="s">
        <v>2821</v>
      </c>
    </row>
    <row r="83" spans="1:30" ht="13.15" customHeight="1" x14ac:dyDescent="0.25">
      <c r="A83" s="2125" t="s">
        <v>2291</v>
      </c>
      <c r="B83" s="144"/>
      <c r="C83" s="712">
        <f>SUMIFS(Sheet1!S71_PPPYearAmount,Sheet1!S71_SA34dCode,$AC:$AC,Sheet1!S71_DepCode,$AD:$AD)</f>
        <v>0</v>
      </c>
      <c r="D83" s="712">
        <f>SUMIFS(Sheet1!S71_PPYearAmount,Sheet1!S71_SA34dCode,$AC:$AC,Sheet1!S71_DepCode,$AD:$AD)</f>
        <v>0</v>
      </c>
      <c r="E83" s="715">
        <f>SUMIFS(Sheet1!S71_PYearAmount,Sheet1!S71_SA34dCode,$AC:$AC,Sheet1!S71_DepCode,$AD:$AD)</f>
        <v>0</v>
      </c>
      <c r="F83" s="725">
        <f>SUMIFS(Sheet1!S71_OriginalBudAmnt,Sheet1!S71_SA34dCode,$AC:$AC,Sheet1!S71_DepCode,$AD:$AD)</f>
        <v>0</v>
      </c>
      <c r="G83" s="712">
        <f>SUMIFS(Sheet1!S71_AdjustmentBudAmnt,Sheet1!S71_SA34dCode,$AC:$AC,Sheet1!S71_DepCode,$AD:$AD)</f>
        <v>0</v>
      </c>
      <c r="H83" s="713">
        <f>SUMIFS(Sheet1!S71_AdjustmentBudAmnt,Sheet1!S71_SA34dCode,$AC:$AC,Sheet1!S71_DepCode,$AD:$AD)</f>
        <v>0</v>
      </c>
      <c r="I83" s="725">
        <f>SUMIFS(Sheet1!S71_ASBudgetAmount,Sheet1!S71_SA34dCode,$AC:$AC,Sheet1!S71_DepCode,$AD:$AD)</f>
        <v>0</v>
      </c>
      <c r="J83" s="712">
        <f>SUMIFS(Sheet1!S71_OY1BudgetAmount,Sheet1!S71_SA34dCode,$AC:$AC,Sheet1!S71_DepCode,$AD:$AD)</f>
        <v>0</v>
      </c>
      <c r="K83" s="713">
        <f>SUMIFS(Sheet1!S71_OY2BudgetAmount,Sheet1!S71_SA34dCode,$AC:$AC,Sheet1!S71_DepCode,$AD:$AD)</f>
        <v>0</v>
      </c>
      <c r="L83" s="322"/>
      <c r="AC83" s="2365" t="s">
        <v>2869</v>
      </c>
      <c r="AD83" s="2365" t="s">
        <v>2821</v>
      </c>
    </row>
    <row r="84" spans="1:30" ht="13.15" customHeight="1" x14ac:dyDescent="0.25">
      <c r="A84" s="2125" t="s">
        <v>2292</v>
      </c>
      <c r="B84" s="144"/>
      <c r="C84" s="712">
        <f>SUMIFS(Sheet1!S71_PPPYearAmount,Sheet1!S71_SA34dCode,$AC:$AC,Sheet1!S71_DepCode,$AD:$AD)</f>
        <v>0</v>
      </c>
      <c r="D84" s="712">
        <f>SUMIFS(Sheet1!S71_PPYearAmount,Sheet1!S71_SA34dCode,$AC:$AC,Sheet1!S71_DepCode,$AD:$AD)</f>
        <v>0</v>
      </c>
      <c r="E84" s="715">
        <f>SUMIFS(Sheet1!S71_PYearAmount,Sheet1!S71_SA34dCode,$AC:$AC,Sheet1!S71_DepCode,$AD:$AD)</f>
        <v>0</v>
      </c>
      <c r="F84" s="725">
        <f>SUMIFS(Sheet1!S71_OriginalBudAmnt,Sheet1!S71_SA34dCode,$AC:$AC,Sheet1!S71_DepCode,$AD:$AD)</f>
        <v>0</v>
      </c>
      <c r="G84" s="712">
        <f>SUMIFS(Sheet1!S71_AdjustmentBudAmnt,Sheet1!S71_SA34dCode,$AC:$AC,Sheet1!S71_DepCode,$AD:$AD)</f>
        <v>0</v>
      </c>
      <c r="H84" s="713">
        <f>SUMIFS(Sheet1!S71_AdjustmentBudAmnt,Sheet1!S71_SA34dCode,$AC:$AC,Sheet1!S71_DepCode,$AD:$AD)</f>
        <v>0</v>
      </c>
      <c r="I84" s="725">
        <f>SUMIFS(Sheet1!S71_ASBudgetAmount,Sheet1!S71_SA34dCode,$AC:$AC,Sheet1!S71_DepCode,$AD:$AD)</f>
        <v>0</v>
      </c>
      <c r="J84" s="712">
        <f>SUMIFS(Sheet1!S71_OY1BudgetAmount,Sheet1!S71_SA34dCode,$AC:$AC,Sheet1!S71_DepCode,$AD:$AD)</f>
        <v>0</v>
      </c>
      <c r="K84" s="713">
        <f>SUMIFS(Sheet1!S71_OY2BudgetAmount,Sheet1!S71_SA34dCode,$AC:$AC,Sheet1!S71_DepCode,$AD:$AD)</f>
        <v>0</v>
      </c>
      <c r="AC84" s="2365" t="s">
        <v>2870</v>
      </c>
      <c r="AD84" s="2365" t="s">
        <v>2821</v>
      </c>
    </row>
    <row r="85" spans="1:30" ht="13.15" customHeight="1" x14ac:dyDescent="0.25">
      <c r="A85" s="2125" t="s">
        <v>288</v>
      </c>
      <c r="B85" s="144"/>
      <c r="C85" s="712">
        <f>SUMIFS(Sheet1!S71_PPPYearAmount,Sheet1!S71_SA34dCode,$AC:$AC,Sheet1!S71_DepCode,$AD:$AD)</f>
        <v>0</v>
      </c>
      <c r="D85" s="712">
        <f>SUMIFS(Sheet1!S71_PPYearAmount,Sheet1!S71_SA34dCode,$AC:$AC,Sheet1!S71_DepCode,$AD:$AD)</f>
        <v>0</v>
      </c>
      <c r="E85" s="715">
        <f>SUMIFS(Sheet1!S71_PYearAmount,Sheet1!S71_SA34dCode,$AC:$AC,Sheet1!S71_DepCode,$AD:$AD)</f>
        <v>0</v>
      </c>
      <c r="F85" s="725">
        <f>SUMIFS(Sheet1!S71_OriginalBudAmnt,Sheet1!S71_SA34dCode,$AC:$AC,Sheet1!S71_DepCode,$AD:$AD)</f>
        <v>0</v>
      </c>
      <c r="G85" s="712">
        <f>SUMIFS(Sheet1!S71_AdjustmentBudAmnt,Sheet1!S71_SA34dCode,$AC:$AC,Sheet1!S71_DepCode,$AD:$AD)</f>
        <v>0</v>
      </c>
      <c r="H85" s="713">
        <f>SUMIFS(Sheet1!S71_AdjustmentBudAmnt,Sheet1!S71_SA34dCode,$AC:$AC,Sheet1!S71_DepCode,$AD:$AD)</f>
        <v>0</v>
      </c>
      <c r="I85" s="725">
        <f>SUMIFS(Sheet1!S71_ASBudgetAmount,Sheet1!S71_SA34dCode,$AC:$AC,Sheet1!S71_DepCode,$AD:$AD)</f>
        <v>0</v>
      </c>
      <c r="J85" s="712">
        <f>SUMIFS(Sheet1!S71_OY1BudgetAmount,Sheet1!S71_SA34dCode,$AC:$AC,Sheet1!S71_DepCode,$AD:$AD)</f>
        <v>0</v>
      </c>
      <c r="K85" s="713">
        <f>SUMIFS(Sheet1!S71_OY2BudgetAmount,Sheet1!S71_SA34dCode,$AC:$AC,Sheet1!S71_DepCode,$AD:$AD)</f>
        <v>0</v>
      </c>
      <c r="AC85" s="2365" t="s">
        <v>2871</v>
      </c>
      <c r="AD85" s="2365" t="s">
        <v>2821</v>
      </c>
    </row>
    <row r="86" spans="1:30" ht="13.15" customHeight="1" x14ac:dyDescent="0.25">
      <c r="A86" s="2125" t="s">
        <v>2293</v>
      </c>
      <c r="B86" s="144"/>
      <c r="C86" s="712">
        <f>SUMIFS(Sheet1!S71_PPPYearAmount,Sheet1!S71_SA34dCode,$AC:$AC,Sheet1!S71_DepCode,$AD:$AD)</f>
        <v>0</v>
      </c>
      <c r="D86" s="712">
        <f>SUMIFS(Sheet1!S71_PPYearAmount,Sheet1!S71_SA34dCode,$AC:$AC,Sheet1!S71_DepCode,$AD:$AD)</f>
        <v>0</v>
      </c>
      <c r="E86" s="715">
        <f>SUMIFS(Sheet1!S71_PYearAmount,Sheet1!S71_SA34dCode,$AC:$AC,Sheet1!S71_DepCode,$AD:$AD)</f>
        <v>0</v>
      </c>
      <c r="F86" s="725">
        <f>SUMIFS(Sheet1!S71_OriginalBudAmnt,Sheet1!S71_SA34dCode,$AC:$AC,Sheet1!S71_DepCode,$AD:$AD)</f>
        <v>0</v>
      </c>
      <c r="G86" s="712">
        <f>SUMIFS(Sheet1!S71_AdjustmentBudAmnt,Sheet1!S71_SA34dCode,$AC:$AC,Sheet1!S71_DepCode,$AD:$AD)</f>
        <v>0</v>
      </c>
      <c r="H86" s="713">
        <f>SUMIFS(Sheet1!S71_AdjustmentBudAmnt,Sheet1!S71_SA34dCode,$AC:$AC,Sheet1!S71_DepCode,$AD:$AD)</f>
        <v>0</v>
      </c>
      <c r="I86" s="725">
        <f>SUMIFS(Sheet1!S71_ASBudgetAmount,Sheet1!S71_SA34dCode,$AC:$AC,Sheet1!S71_DepCode,$AD:$AD)</f>
        <v>0</v>
      </c>
      <c r="J86" s="712">
        <f>SUMIFS(Sheet1!S71_OY1BudgetAmount,Sheet1!S71_SA34dCode,$AC:$AC,Sheet1!S71_DepCode,$AD:$AD)</f>
        <v>0</v>
      </c>
      <c r="K86" s="713">
        <f>SUMIFS(Sheet1!S71_OY2BudgetAmount,Sheet1!S71_SA34dCode,$AC:$AC,Sheet1!S71_DepCode,$AD:$AD)</f>
        <v>0</v>
      </c>
      <c r="AC86" s="2365" t="s">
        <v>2872</v>
      </c>
      <c r="AD86" s="2365" t="s">
        <v>2821</v>
      </c>
    </row>
    <row r="87" spans="1:30" ht="13.15" customHeight="1" x14ac:dyDescent="0.25">
      <c r="A87" s="2125" t="s">
        <v>1446</v>
      </c>
      <c r="B87" s="144"/>
      <c r="C87" s="712">
        <f>SUMIFS(Sheet1!S71_PPPYearAmount,Sheet1!S71_SA34dCode,$AC:$AC,Sheet1!S71_DepCode,$AD:$AD)</f>
        <v>0</v>
      </c>
      <c r="D87" s="712">
        <f>SUMIFS(Sheet1!S71_PPYearAmount,Sheet1!S71_SA34dCode,$AC:$AC,Sheet1!S71_DepCode,$AD:$AD)</f>
        <v>0</v>
      </c>
      <c r="E87" s="715">
        <f>SUMIFS(Sheet1!S71_PYearAmount,Sheet1!S71_SA34dCode,$AC:$AC,Sheet1!S71_DepCode,$AD:$AD)</f>
        <v>0</v>
      </c>
      <c r="F87" s="725">
        <f>SUMIFS(Sheet1!S71_OriginalBudAmnt,Sheet1!S71_SA34dCode,$AC:$AC,Sheet1!S71_DepCode,$AD:$AD)</f>
        <v>0</v>
      </c>
      <c r="G87" s="712">
        <f>SUMIFS(Sheet1!S71_AdjustmentBudAmnt,Sheet1!S71_SA34dCode,$AC:$AC,Sheet1!S71_DepCode,$AD:$AD)</f>
        <v>0</v>
      </c>
      <c r="H87" s="713">
        <f>SUMIFS(Sheet1!S71_AdjustmentBudAmnt,Sheet1!S71_SA34dCode,$AC:$AC,Sheet1!S71_DepCode,$AD:$AD)</f>
        <v>0</v>
      </c>
      <c r="I87" s="725">
        <f>SUMIFS(Sheet1!S71_ASBudgetAmount,Sheet1!S71_SA34dCode,$AC:$AC,Sheet1!S71_DepCode,$AD:$AD)</f>
        <v>0</v>
      </c>
      <c r="J87" s="712">
        <f>SUMIFS(Sheet1!S71_OY1BudgetAmount,Sheet1!S71_SA34dCode,$AC:$AC,Sheet1!S71_DepCode,$AD:$AD)</f>
        <v>0</v>
      </c>
      <c r="K87" s="713">
        <f>SUMIFS(Sheet1!S71_OY2BudgetAmount,Sheet1!S71_SA34dCode,$AC:$AC,Sheet1!S71_DepCode,$AD:$AD)</f>
        <v>0</v>
      </c>
      <c r="AC87" s="2365" t="s">
        <v>2702</v>
      </c>
      <c r="AD87" s="2365" t="s">
        <v>2821</v>
      </c>
    </row>
    <row r="88" spans="1:30" ht="13.15" customHeight="1" x14ac:dyDescent="0.25">
      <c r="A88" s="2125" t="s">
        <v>2468</v>
      </c>
      <c r="B88" s="144"/>
      <c r="C88" s="712">
        <f>SUMIFS(Sheet1!S71_PPPYearAmount,Sheet1!S71_SA34dCode,$AC:$AC,Sheet1!S71_DepCode,$AD:$AD)</f>
        <v>0</v>
      </c>
      <c r="D88" s="712">
        <f>SUMIFS(Sheet1!S71_PPYearAmount,Sheet1!S71_SA34dCode,$AC:$AC,Sheet1!S71_DepCode,$AD:$AD)</f>
        <v>0</v>
      </c>
      <c r="E88" s="715">
        <f>SUMIFS(Sheet1!S71_PYearAmount,Sheet1!S71_SA34dCode,$AC:$AC,Sheet1!S71_DepCode,$AD:$AD)</f>
        <v>0</v>
      </c>
      <c r="F88" s="725">
        <f>SUMIFS(Sheet1!S71_OriginalBudAmnt,Sheet1!S71_SA34dCode,$AC:$AC,Sheet1!S71_DepCode,$AD:$AD)</f>
        <v>0</v>
      </c>
      <c r="G88" s="712">
        <f>SUMIFS(Sheet1!S71_AdjustmentBudAmnt,Sheet1!S71_SA34dCode,$AC:$AC,Sheet1!S71_DepCode,$AD:$AD)</f>
        <v>0</v>
      </c>
      <c r="H88" s="713">
        <f>SUMIFS(Sheet1!S71_AdjustmentBudAmnt,Sheet1!S71_SA34dCode,$AC:$AC,Sheet1!S71_DepCode,$AD:$AD)</f>
        <v>0</v>
      </c>
      <c r="I88" s="725">
        <f>SUMIFS(Sheet1!S71_ASBudgetAmount,Sheet1!S71_SA34dCode,$AC:$AC,Sheet1!S71_DepCode,$AD:$AD)</f>
        <v>0</v>
      </c>
      <c r="J88" s="712">
        <f>SUMIFS(Sheet1!S71_OY1BudgetAmount,Sheet1!S71_SA34dCode,$AC:$AC,Sheet1!S71_DepCode,$AD:$AD)</f>
        <v>0</v>
      </c>
      <c r="K88" s="713">
        <f>SUMIFS(Sheet1!S71_OY2BudgetAmount,Sheet1!S71_SA34dCode,$AC:$AC,Sheet1!S71_DepCode,$AD:$AD)</f>
        <v>0</v>
      </c>
      <c r="AC88" s="2365" t="s">
        <v>2873</v>
      </c>
      <c r="AD88" s="2365" t="s">
        <v>2821</v>
      </c>
    </row>
    <row r="89" spans="1:30" ht="13.15" customHeight="1" x14ac:dyDescent="0.25">
      <c r="A89" s="2125" t="s">
        <v>2295</v>
      </c>
      <c r="B89" s="144"/>
      <c r="C89" s="712">
        <f>SUMIFS(Sheet1!S71_PPPYearAmount,Sheet1!S71_SA34dCode,$AC:$AC,Sheet1!S71_DepCode,$AD:$AD)</f>
        <v>0</v>
      </c>
      <c r="D89" s="712">
        <f>SUMIFS(Sheet1!S71_PPYearAmount,Sheet1!S71_SA34dCode,$AC:$AC,Sheet1!S71_DepCode,$AD:$AD)</f>
        <v>0</v>
      </c>
      <c r="E89" s="715">
        <f>SUMIFS(Sheet1!S71_PYearAmount,Sheet1!S71_SA34dCode,$AC:$AC,Sheet1!S71_DepCode,$AD:$AD)</f>
        <v>0</v>
      </c>
      <c r="F89" s="725">
        <f>SUMIFS(Sheet1!S71_OriginalBudAmnt,Sheet1!S71_SA34dCode,$AC:$AC,Sheet1!S71_DepCode,$AD:$AD)</f>
        <v>0</v>
      </c>
      <c r="G89" s="712">
        <f>SUMIFS(Sheet1!S71_AdjustmentBudAmnt,Sheet1!S71_SA34dCode,$AC:$AC,Sheet1!S71_DepCode,$AD:$AD)</f>
        <v>0</v>
      </c>
      <c r="H89" s="713">
        <f>SUMIFS(Sheet1!S71_AdjustmentBudAmnt,Sheet1!S71_SA34dCode,$AC:$AC,Sheet1!S71_DepCode,$AD:$AD)</f>
        <v>0</v>
      </c>
      <c r="I89" s="725">
        <f>SUMIFS(Sheet1!S71_ASBudgetAmount,Sheet1!S71_SA34dCode,$AC:$AC,Sheet1!S71_DepCode,$AD:$AD)</f>
        <v>0</v>
      </c>
      <c r="J89" s="712">
        <f>SUMIFS(Sheet1!S71_OY1BudgetAmount,Sheet1!S71_SA34dCode,$AC:$AC,Sheet1!S71_DepCode,$AD:$AD)</f>
        <v>0</v>
      </c>
      <c r="K89" s="713">
        <f>SUMIFS(Sheet1!S71_OY2BudgetAmount,Sheet1!S71_SA34dCode,$AC:$AC,Sheet1!S71_DepCode,$AD:$AD)</f>
        <v>0</v>
      </c>
      <c r="AC89" s="2365" t="s">
        <v>2874</v>
      </c>
      <c r="AD89" s="2365" t="s">
        <v>2821</v>
      </c>
    </row>
    <row r="90" spans="1:30" ht="13.15" customHeight="1" x14ac:dyDescent="0.25">
      <c r="A90" s="2125" t="s">
        <v>2296</v>
      </c>
      <c r="B90" s="144"/>
      <c r="C90" s="712">
        <f>SUMIFS(Sheet1!S71_PPPYearAmount,Sheet1!S71_SA34dCode,$AC:$AC,Sheet1!S71_DepCode,$AD:$AD)</f>
        <v>0</v>
      </c>
      <c r="D90" s="712">
        <f>SUMIFS(Sheet1!S71_PPYearAmount,Sheet1!S71_SA34dCode,$AC:$AC,Sheet1!S71_DepCode,$AD:$AD)</f>
        <v>0</v>
      </c>
      <c r="E90" s="715">
        <f>SUMIFS(Sheet1!S71_PYearAmount,Sheet1!S71_SA34dCode,$AC:$AC,Sheet1!S71_DepCode,$AD:$AD)</f>
        <v>0</v>
      </c>
      <c r="F90" s="725">
        <f>SUMIFS(Sheet1!S71_OriginalBudAmnt,Sheet1!S71_SA34dCode,$AC:$AC,Sheet1!S71_DepCode,$AD:$AD)</f>
        <v>0</v>
      </c>
      <c r="G90" s="712">
        <f>SUMIFS(Sheet1!S71_AdjustmentBudAmnt,Sheet1!S71_SA34dCode,$AC:$AC,Sheet1!S71_DepCode,$AD:$AD)</f>
        <v>0</v>
      </c>
      <c r="H90" s="713">
        <f>SUMIFS(Sheet1!S71_AdjustmentBudAmnt,Sheet1!S71_SA34dCode,$AC:$AC,Sheet1!S71_DepCode,$AD:$AD)</f>
        <v>0</v>
      </c>
      <c r="I90" s="725">
        <f>SUMIFS(Sheet1!S71_ASBudgetAmount,Sheet1!S71_SA34dCode,$AC:$AC,Sheet1!S71_DepCode,$AD:$AD)</f>
        <v>0</v>
      </c>
      <c r="J90" s="712">
        <f>SUMIFS(Sheet1!S71_OY1BudgetAmount,Sheet1!S71_SA34dCode,$AC:$AC,Sheet1!S71_DepCode,$AD:$AD)</f>
        <v>0</v>
      </c>
      <c r="K90" s="713">
        <f>SUMIFS(Sheet1!S71_OY2BudgetAmount,Sheet1!S71_SA34dCode,$AC:$AC,Sheet1!S71_DepCode,$AD:$AD)</f>
        <v>0</v>
      </c>
      <c r="AC90" s="2365" t="s">
        <v>2875</v>
      </c>
      <c r="AD90" s="2365" t="s">
        <v>2821</v>
      </c>
    </row>
    <row r="91" spans="1:30" ht="13.15" customHeight="1" x14ac:dyDescent="0.25">
      <c r="A91" s="2125" t="s">
        <v>2297</v>
      </c>
      <c r="B91" s="144"/>
      <c r="C91" s="712">
        <f>SUMIFS(Sheet1!S71_PPPYearAmount,Sheet1!S71_SA34dCode,$AC:$AC,Sheet1!S71_DepCode,$AD:$AD)</f>
        <v>0</v>
      </c>
      <c r="D91" s="712">
        <f>SUMIFS(Sheet1!S71_PPYearAmount,Sheet1!S71_SA34dCode,$AC:$AC,Sheet1!S71_DepCode,$AD:$AD)</f>
        <v>0</v>
      </c>
      <c r="E91" s="715">
        <f>SUMIFS(Sheet1!S71_PYearAmount,Sheet1!S71_SA34dCode,$AC:$AC,Sheet1!S71_DepCode,$AD:$AD)</f>
        <v>0</v>
      </c>
      <c r="F91" s="725">
        <f>SUMIFS(Sheet1!S71_OriginalBudAmnt,Sheet1!S71_SA34dCode,$AC:$AC,Sheet1!S71_DepCode,$AD:$AD)</f>
        <v>0</v>
      </c>
      <c r="G91" s="712">
        <f>SUMIFS(Sheet1!S71_AdjustmentBudAmnt,Sheet1!S71_SA34dCode,$AC:$AC,Sheet1!S71_DepCode,$AD:$AD)</f>
        <v>0</v>
      </c>
      <c r="H91" s="713">
        <f>SUMIFS(Sheet1!S71_AdjustmentBudAmnt,Sheet1!S71_SA34dCode,$AC:$AC,Sheet1!S71_DepCode,$AD:$AD)</f>
        <v>0</v>
      </c>
      <c r="I91" s="725">
        <f>SUMIFS(Sheet1!S71_ASBudgetAmount,Sheet1!S71_SA34dCode,$AC:$AC,Sheet1!S71_DepCode,$AD:$AD)</f>
        <v>0</v>
      </c>
      <c r="J91" s="712">
        <f>SUMIFS(Sheet1!S71_OY1BudgetAmount,Sheet1!S71_SA34dCode,$AC:$AC,Sheet1!S71_DepCode,$AD:$AD)</f>
        <v>0</v>
      </c>
      <c r="K91" s="713">
        <f>SUMIFS(Sheet1!S71_OY2BudgetAmount,Sheet1!S71_SA34dCode,$AC:$AC,Sheet1!S71_DepCode,$AD:$AD)</f>
        <v>0</v>
      </c>
      <c r="AC91" s="2365" t="s">
        <v>2876</v>
      </c>
      <c r="AD91" s="2365" t="s">
        <v>2821</v>
      </c>
    </row>
    <row r="92" spans="1:30" ht="13.15" customHeight="1" x14ac:dyDescent="0.25">
      <c r="A92" s="2125" t="s">
        <v>1080</v>
      </c>
      <c r="B92" s="144"/>
      <c r="C92" s="712">
        <f>SUMIFS(Sheet1!S71_PPPYearAmount,Sheet1!S71_SA34dCode,$AC:$AC,Sheet1!S71_DepCode,$AD:$AD)</f>
        <v>0</v>
      </c>
      <c r="D92" s="712">
        <f>SUMIFS(Sheet1!S71_PPYearAmount,Sheet1!S71_SA34dCode,$AC:$AC,Sheet1!S71_DepCode,$AD:$AD)</f>
        <v>0</v>
      </c>
      <c r="E92" s="715">
        <f>SUMIFS(Sheet1!S71_PYearAmount,Sheet1!S71_SA34dCode,$AC:$AC,Sheet1!S71_DepCode,$AD:$AD)</f>
        <v>0</v>
      </c>
      <c r="F92" s="725">
        <f>SUMIFS(Sheet1!S71_OriginalBudAmnt,Sheet1!S71_SA34dCode,$AC:$AC,Sheet1!S71_DepCode,$AD:$AD)</f>
        <v>0</v>
      </c>
      <c r="G92" s="712">
        <f>SUMIFS(Sheet1!S71_AdjustmentBudAmnt,Sheet1!S71_SA34dCode,$AC:$AC,Sheet1!S71_DepCode,$AD:$AD)</f>
        <v>0</v>
      </c>
      <c r="H92" s="713">
        <f>SUMIFS(Sheet1!S71_AdjustmentBudAmnt,Sheet1!S71_SA34dCode,$AC:$AC,Sheet1!S71_DepCode,$AD:$AD)</f>
        <v>0</v>
      </c>
      <c r="I92" s="725">
        <f>SUMIFS(Sheet1!S71_ASBudgetAmount,Sheet1!S71_SA34dCode,$AC:$AC,Sheet1!S71_DepCode,$AD:$AD)</f>
        <v>0</v>
      </c>
      <c r="J92" s="712">
        <f>SUMIFS(Sheet1!S71_OY1BudgetAmount,Sheet1!S71_SA34dCode,$AC:$AC,Sheet1!S71_DepCode,$AD:$AD)</f>
        <v>0</v>
      </c>
      <c r="K92" s="713">
        <f>SUMIFS(Sheet1!S71_OY2BudgetAmount,Sheet1!S71_SA34dCode,$AC:$AC,Sheet1!S71_DepCode,$AD:$AD)</f>
        <v>0</v>
      </c>
      <c r="AC92" s="2365" t="s">
        <v>2877</v>
      </c>
      <c r="AD92" s="2365" t="s">
        <v>2821</v>
      </c>
    </row>
    <row r="93" spans="1:30" ht="13.15" customHeight="1" x14ac:dyDescent="0.25">
      <c r="A93" s="2125" t="s">
        <v>2298</v>
      </c>
      <c r="B93" s="144"/>
      <c r="C93" s="712">
        <f>SUMIFS(Sheet1!S71_PPPYearAmount,Sheet1!S71_SA34dCode,$AC:$AC,Sheet1!S71_DepCode,$AD:$AD)</f>
        <v>0</v>
      </c>
      <c r="D93" s="712">
        <f>SUMIFS(Sheet1!S71_PPYearAmount,Sheet1!S71_SA34dCode,$AC:$AC,Sheet1!S71_DepCode,$AD:$AD)</f>
        <v>0</v>
      </c>
      <c r="E93" s="715">
        <f>SUMIFS(Sheet1!S71_PYearAmount,Sheet1!S71_SA34dCode,$AC:$AC,Sheet1!S71_DepCode,$AD:$AD)</f>
        <v>0</v>
      </c>
      <c r="F93" s="725">
        <f>SUMIFS(Sheet1!S71_OriginalBudAmnt,Sheet1!S71_SA34dCode,$AC:$AC,Sheet1!S71_DepCode,$AD:$AD)</f>
        <v>0</v>
      </c>
      <c r="G93" s="712">
        <f>SUMIFS(Sheet1!S71_AdjustmentBudAmnt,Sheet1!S71_SA34dCode,$AC:$AC,Sheet1!S71_DepCode,$AD:$AD)</f>
        <v>0</v>
      </c>
      <c r="H93" s="713">
        <f>SUMIFS(Sheet1!S71_AdjustmentBudAmnt,Sheet1!S71_SA34dCode,$AC:$AC,Sheet1!S71_DepCode,$AD:$AD)</f>
        <v>0</v>
      </c>
      <c r="I93" s="725">
        <f>SUMIFS(Sheet1!S71_ASBudgetAmount,Sheet1!S71_SA34dCode,$AC:$AC,Sheet1!S71_DepCode,$AD:$AD)</f>
        <v>0</v>
      </c>
      <c r="J93" s="712">
        <f>SUMIFS(Sheet1!S71_OY1BudgetAmount,Sheet1!S71_SA34dCode,$AC:$AC,Sheet1!S71_DepCode,$AD:$AD)</f>
        <v>0</v>
      </c>
      <c r="K93" s="713">
        <f>SUMIFS(Sheet1!S71_OY2BudgetAmount,Sheet1!S71_SA34dCode,$AC:$AC,Sheet1!S71_DepCode,$AD:$AD)</f>
        <v>0</v>
      </c>
      <c r="AC93" s="2365" t="s">
        <v>2878</v>
      </c>
      <c r="AD93" s="2365" t="s">
        <v>2821</v>
      </c>
    </row>
    <row r="94" spans="1:30" ht="13.15" customHeight="1" x14ac:dyDescent="0.25">
      <c r="A94" s="2125" t="s">
        <v>1079</v>
      </c>
      <c r="B94" s="144"/>
      <c r="C94" s="712">
        <f>SUMIFS(Sheet1!S71_PPPYearAmount,Sheet1!S71_SA34dCode,$AC:$AC,Sheet1!S71_DepCode,$AD:$AD)</f>
        <v>0</v>
      </c>
      <c r="D94" s="712">
        <f>SUMIFS(Sheet1!S71_PPYearAmount,Sheet1!S71_SA34dCode,$AC:$AC,Sheet1!S71_DepCode,$AD:$AD)</f>
        <v>0</v>
      </c>
      <c r="E94" s="715">
        <f>SUMIFS(Sheet1!S71_PYearAmount,Sheet1!S71_SA34dCode,$AC:$AC,Sheet1!S71_DepCode,$AD:$AD)</f>
        <v>0</v>
      </c>
      <c r="F94" s="725">
        <f>SUMIFS(Sheet1!S71_OriginalBudAmnt,Sheet1!S71_SA34dCode,$AC:$AC,Sheet1!S71_DepCode,$AD:$AD)</f>
        <v>0</v>
      </c>
      <c r="G94" s="712">
        <f>SUMIFS(Sheet1!S71_AdjustmentBudAmnt,Sheet1!S71_SA34dCode,$AC:$AC,Sheet1!S71_DepCode,$AD:$AD)</f>
        <v>0</v>
      </c>
      <c r="H94" s="713">
        <f>SUMIFS(Sheet1!S71_AdjustmentBudAmnt,Sheet1!S71_SA34dCode,$AC:$AC,Sheet1!S71_DepCode,$AD:$AD)</f>
        <v>0</v>
      </c>
      <c r="I94" s="725">
        <f>SUMIFS(Sheet1!S71_ASBudgetAmount,Sheet1!S71_SA34dCode,$AC:$AC,Sheet1!S71_DepCode,$AD:$AD)</f>
        <v>0</v>
      </c>
      <c r="J94" s="712">
        <f>SUMIFS(Sheet1!S71_OY1BudgetAmount,Sheet1!S71_SA34dCode,$AC:$AC,Sheet1!S71_DepCode,$AD:$AD)</f>
        <v>0</v>
      </c>
      <c r="K94" s="713">
        <f>SUMIFS(Sheet1!S71_OY2BudgetAmount,Sheet1!S71_SA34dCode,$AC:$AC,Sheet1!S71_DepCode,$AD:$AD)</f>
        <v>0</v>
      </c>
      <c r="AC94" s="2365" t="s">
        <v>2879</v>
      </c>
      <c r="AD94" s="2365" t="s">
        <v>2821</v>
      </c>
    </row>
    <row r="95" spans="1:30" ht="13.15" customHeight="1" x14ac:dyDescent="0.25">
      <c r="A95" s="2125" t="s">
        <v>2299</v>
      </c>
      <c r="B95" s="144"/>
      <c r="C95" s="712">
        <f>SUMIFS(Sheet1!S71_PPPYearAmount,Sheet1!S71_SA34dCode,$AC:$AC,Sheet1!S71_DepCode,$AD:$AD)</f>
        <v>0</v>
      </c>
      <c r="D95" s="712">
        <f>SUMIFS(Sheet1!S71_PPYearAmount,Sheet1!S71_SA34dCode,$AC:$AC,Sheet1!S71_DepCode,$AD:$AD)</f>
        <v>0</v>
      </c>
      <c r="E95" s="715">
        <f>SUMIFS(Sheet1!S71_PYearAmount,Sheet1!S71_SA34dCode,$AC:$AC,Sheet1!S71_DepCode,$AD:$AD)</f>
        <v>0</v>
      </c>
      <c r="F95" s="725">
        <f>SUMIFS(Sheet1!S71_OriginalBudAmnt,Sheet1!S71_SA34dCode,$AC:$AC,Sheet1!S71_DepCode,$AD:$AD)</f>
        <v>0</v>
      </c>
      <c r="G95" s="712">
        <f>SUMIFS(Sheet1!S71_AdjustmentBudAmnt,Sheet1!S71_SA34dCode,$AC:$AC,Sheet1!S71_DepCode,$AD:$AD)</f>
        <v>0</v>
      </c>
      <c r="H95" s="713">
        <f>SUMIFS(Sheet1!S71_AdjustmentBudAmnt,Sheet1!S71_SA34dCode,$AC:$AC,Sheet1!S71_DepCode,$AD:$AD)</f>
        <v>0</v>
      </c>
      <c r="I95" s="725">
        <f>SUMIFS(Sheet1!S71_ASBudgetAmount,Sheet1!S71_SA34dCode,$AC:$AC,Sheet1!S71_DepCode,$AD:$AD)</f>
        <v>0</v>
      </c>
      <c r="J95" s="712">
        <f>SUMIFS(Sheet1!S71_OY1BudgetAmount,Sheet1!S71_SA34dCode,$AC:$AC,Sheet1!S71_DepCode,$AD:$AD)</f>
        <v>0</v>
      </c>
      <c r="K95" s="713">
        <f>SUMIFS(Sheet1!S71_OY2BudgetAmount,Sheet1!S71_SA34dCode,$AC:$AC,Sheet1!S71_DepCode,$AD:$AD)</f>
        <v>0</v>
      </c>
      <c r="AC95" s="2365" t="s">
        <v>2880</v>
      </c>
      <c r="AD95" s="2365" t="s">
        <v>2821</v>
      </c>
    </row>
    <row r="96" spans="1:30" ht="13.15" customHeight="1" x14ac:dyDescent="0.25">
      <c r="A96" s="2125" t="s">
        <v>2300</v>
      </c>
      <c r="B96" s="144"/>
      <c r="C96" s="712">
        <f>SUMIFS(Sheet1!S71_PPPYearAmount,Sheet1!S71_SA34dCode,$AC:$AC,Sheet1!S71_DepCode,$AD:$AD)</f>
        <v>0</v>
      </c>
      <c r="D96" s="712">
        <f>SUMIFS(Sheet1!S71_PPYearAmount,Sheet1!S71_SA34dCode,$AC:$AC,Sheet1!S71_DepCode,$AD:$AD)</f>
        <v>0</v>
      </c>
      <c r="E96" s="715">
        <f>SUMIFS(Sheet1!S71_PYearAmount,Sheet1!S71_SA34dCode,$AC:$AC,Sheet1!S71_DepCode,$AD:$AD)</f>
        <v>0</v>
      </c>
      <c r="F96" s="725">
        <f>SUMIFS(Sheet1!S71_OriginalBudAmnt,Sheet1!S71_SA34dCode,$AC:$AC,Sheet1!S71_DepCode,$AD:$AD)</f>
        <v>0</v>
      </c>
      <c r="G96" s="712">
        <f>SUMIFS(Sheet1!S71_AdjustmentBudAmnt,Sheet1!S71_SA34dCode,$AC:$AC,Sheet1!S71_DepCode,$AD:$AD)</f>
        <v>0</v>
      </c>
      <c r="H96" s="713">
        <f>SUMIFS(Sheet1!S71_AdjustmentBudAmnt,Sheet1!S71_SA34dCode,$AC:$AC,Sheet1!S71_DepCode,$AD:$AD)</f>
        <v>0</v>
      </c>
      <c r="I96" s="725">
        <f>SUMIFS(Sheet1!S71_ASBudgetAmount,Sheet1!S71_SA34dCode,$AC:$AC,Sheet1!S71_DepCode,$AD:$AD)</f>
        <v>0</v>
      </c>
      <c r="J96" s="712">
        <f>SUMIFS(Sheet1!S71_OY1BudgetAmount,Sheet1!S71_SA34dCode,$AC:$AC,Sheet1!S71_DepCode,$AD:$AD)</f>
        <v>0</v>
      </c>
      <c r="K96" s="713">
        <f>SUMIFS(Sheet1!S71_OY2BudgetAmount,Sheet1!S71_SA34dCode,$AC:$AC,Sheet1!S71_DepCode,$AD:$AD)</f>
        <v>0</v>
      </c>
      <c r="AC96" s="2365" t="s">
        <v>2881</v>
      </c>
      <c r="AD96" s="2365" t="s">
        <v>2821</v>
      </c>
    </row>
    <row r="97" spans="1:30" ht="13.15" customHeight="1" x14ac:dyDescent="0.25">
      <c r="A97" s="2125" t="s">
        <v>2233</v>
      </c>
      <c r="B97" s="144"/>
      <c r="C97" s="712">
        <f>SUMIFS(Sheet1!S71_PPPYearAmount,Sheet1!S71_SA34dCode,$AC:$AC,Sheet1!S71_DepCode,$AD:$AD)</f>
        <v>0</v>
      </c>
      <c r="D97" s="712">
        <f>SUMIFS(Sheet1!S71_PPYearAmount,Sheet1!S71_SA34dCode,$AC:$AC,Sheet1!S71_DepCode,$AD:$AD)</f>
        <v>0</v>
      </c>
      <c r="E97" s="715">
        <f>SUMIFS(Sheet1!S71_PYearAmount,Sheet1!S71_SA34dCode,$AC:$AC,Sheet1!S71_DepCode,$AD:$AD)</f>
        <v>0</v>
      </c>
      <c r="F97" s="725">
        <f>SUMIFS(Sheet1!S71_OriginalBudAmnt,Sheet1!S71_SA34dCode,$AC:$AC,Sheet1!S71_DepCode,$AD:$AD)</f>
        <v>0</v>
      </c>
      <c r="G97" s="712">
        <f>SUMIFS(Sheet1!S71_AdjustmentBudAmnt,Sheet1!S71_SA34dCode,$AC:$AC,Sheet1!S71_DepCode,$AD:$AD)</f>
        <v>0</v>
      </c>
      <c r="H97" s="713">
        <f>SUMIFS(Sheet1!S71_AdjustmentBudAmnt,Sheet1!S71_SA34dCode,$AC:$AC,Sheet1!S71_DepCode,$AD:$AD)</f>
        <v>0</v>
      </c>
      <c r="I97" s="725">
        <f>SUMIFS(Sheet1!S71_ASBudgetAmount,Sheet1!S71_SA34dCode,$AC:$AC,Sheet1!S71_DepCode,$AD:$AD)</f>
        <v>0</v>
      </c>
      <c r="J97" s="712">
        <f>SUMIFS(Sheet1!S71_OY1BudgetAmount,Sheet1!S71_SA34dCode,$AC:$AC,Sheet1!S71_DepCode,$AD:$AD)</f>
        <v>0</v>
      </c>
      <c r="K97" s="713">
        <f>SUMIFS(Sheet1!S71_OY2BudgetAmount,Sheet1!S71_SA34dCode,$AC:$AC,Sheet1!S71_DepCode,$AD:$AD)</f>
        <v>0</v>
      </c>
      <c r="AC97" s="2365" t="s">
        <v>2046</v>
      </c>
      <c r="AD97" s="2365" t="s">
        <v>2821</v>
      </c>
    </row>
    <row r="98" spans="1:30" ht="13.15" customHeight="1" x14ac:dyDescent="0.25">
      <c r="A98" s="104" t="s">
        <v>2301</v>
      </c>
      <c r="B98" s="144"/>
      <c r="C98" s="71">
        <f>SUM(C99:C101)</f>
        <v>0</v>
      </c>
      <c r="D98" s="71">
        <f t="shared" ref="D98:K98" si="12">SUM(D99:D101)</f>
        <v>0</v>
      </c>
      <c r="E98" s="305">
        <f t="shared" si="12"/>
        <v>0</v>
      </c>
      <c r="F98" s="75">
        <f t="shared" si="12"/>
        <v>0</v>
      </c>
      <c r="G98" s="71">
        <f t="shared" si="12"/>
        <v>0</v>
      </c>
      <c r="H98" s="117">
        <f t="shared" si="12"/>
        <v>0</v>
      </c>
      <c r="I98" s="75">
        <f t="shared" si="12"/>
        <v>0</v>
      </c>
      <c r="J98" s="71">
        <f t="shared" si="12"/>
        <v>0</v>
      </c>
      <c r="K98" s="117">
        <f t="shared" si="12"/>
        <v>0</v>
      </c>
      <c r="AD98" s="2365" t="s">
        <v>2821</v>
      </c>
    </row>
    <row r="99" spans="1:30" ht="13.15" customHeight="1" x14ac:dyDescent="0.25">
      <c r="A99" s="2125" t="s">
        <v>2302</v>
      </c>
      <c r="B99" s="144"/>
      <c r="C99" s="712">
        <f>SUMIFS(Sheet1!S71_PPPYearAmount,Sheet1!S71_SA34dCode,$AC:$AC,Sheet1!S71_DepCode,$AD:$AD)</f>
        <v>0</v>
      </c>
      <c r="D99" s="712">
        <f>SUMIFS(Sheet1!S71_PPYearAmount,Sheet1!S71_SA34dCode,$AC:$AC,Sheet1!S71_DepCode,$AD:$AD)</f>
        <v>0</v>
      </c>
      <c r="E99" s="715">
        <f>SUMIFS(Sheet1!S71_PYearAmount,Sheet1!S71_SA34dCode,$AC:$AC,Sheet1!S71_DepCode,$AD:$AD)</f>
        <v>0</v>
      </c>
      <c r="F99" s="725">
        <f>SUMIFS(Sheet1!S71_OriginalBudAmnt,Sheet1!S71_SA34dCode,$AC:$AC,Sheet1!S71_DepCode,$AD:$AD)</f>
        <v>0</v>
      </c>
      <c r="G99" s="712">
        <f>SUMIFS(Sheet1!S71_AdjustmentBudAmnt,Sheet1!S71_SA34dCode,$AC:$AC,Sheet1!S71_DepCode,$AD:$AD)</f>
        <v>0</v>
      </c>
      <c r="H99" s="713">
        <f>SUMIFS(Sheet1!S71_AdjustmentBudAmnt,Sheet1!S71_SA34dCode,$AC:$AC,Sheet1!S71_DepCode,$AD:$AD)</f>
        <v>0</v>
      </c>
      <c r="I99" s="725">
        <f>SUMIFS(Sheet1!S71_ASBudgetAmount,Sheet1!S71_SA34dCode,$AC:$AC,Sheet1!S71_DepCode,$AD:$AD)</f>
        <v>0</v>
      </c>
      <c r="J99" s="712">
        <f>SUMIFS(Sheet1!S71_OY1BudgetAmount,Sheet1!S71_SA34dCode,$AC:$AC,Sheet1!S71_DepCode,$AD:$AD)</f>
        <v>0</v>
      </c>
      <c r="K99" s="713">
        <f>SUMIFS(Sheet1!S71_OY2BudgetAmount,Sheet1!S71_SA34dCode,$AC:$AC,Sheet1!S71_DepCode,$AD:$AD)</f>
        <v>0</v>
      </c>
      <c r="AC99" s="2365" t="s">
        <v>2882</v>
      </c>
      <c r="AD99" s="2365" t="s">
        <v>2821</v>
      </c>
    </row>
    <row r="100" spans="1:30" ht="13.15" customHeight="1" x14ac:dyDescent="0.25">
      <c r="A100" s="2125" t="s">
        <v>2303</v>
      </c>
      <c r="B100" s="144"/>
      <c r="C100" s="712">
        <f>SUMIFS(Sheet1!S71_PPPYearAmount,Sheet1!S71_SA34dCode,$AC:$AC,Sheet1!S71_DepCode,$AD:$AD)</f>
        <v>0</v>
      </c>
      <c r="D100" s="712">
        <f>SUMIFS(Sheet1!S71_PPYearAmount,Sheet1!S71_SA34dCode,$AC:$AC,Sheet1!S71_DepCode,$AD:$AD)</f>
        <v>0</v>
      </c>
      <c r="E100" s="715">
        <f>SUMIFS(Sheet1!S71_PYearAmount,Sheet1!S71_SA34dCode,$AC:$AC,Sheet1!S71_DepCode,$AD:$AD)</f>
        <v>0</v>
      </c>
      <c r="F100" s="725">
        <f>SUMIFS(Sheet1!S71_OriginalBudAmnt,Sheet1!S71_SA34dCode,$AC:$AC,Sheet1!S71_DepCode,$AD:$AD)</f>
        <v>0</v>
      </c>
      <c r="G100" s="712">
        <f>SUMIFS(Sheet1!S71_AdjustmentBudAmnt,Sheet1!S71_SA34dCode,$AC:$AC,Sheet1!S71_DepCode,$AD:$AD)</f>
        <v>0</v>
      </c>
      <c r="H100" s="713">
        <f>SUMIFS(Sheet1!S71_AdjustmentBudAmnt,Sheet1!S71_SA34dCode,$AC:$AC,Sheet1!S71_DepCode,$AD:$AD)</f>
        <v>0</v>
      </c>
      <c r="I100" s="725">
        <f>SUMIFS(Sheet1!S71_ASBudgetAmount,Sheet1!S71_SA34dCode,$AC:$AC,Sheet1!S71_DepCode,$AD:$AD)</f>
        <v>0</v>
      </c>
      <c r="J100" s="712">
        <f>SUMIFS(Sheet1!S71_OY1BudgetAmount,Sheet1!S71_SA34dCode,$AC:$AC,Sheet1!S71_DepCode,$AD:$AD)</f>
        <v>0</v>
      </c>
      <c r="K100" s="713">
        <f>SUMIFS(Sheet1!S71_OY2BudgetAmount,Sheet1!S71_SA34dCode,$AC:$AC,Sheet1!S71_DepCode,$AD:$AD)</f>
        <v>0</v>
      </c>
      <c r="AC100" s="2365" t="s">
        <v>2883</v>
      </c>
      <c r="AD100" s="2365" t="s">
        <v>2821</v>
      </c>
    </row>
    <row r="101" spans="1:30" ht="13.15" customHeight="1" x14ac:dyDescent="0.25">
      <c r="A101" s="2125" t="s">
        <v>2233</v>
      </c>
      <c r="B101" s="144"/>
      <c r="C101" s="712">
        <f>SUMIFS(Sheet1!S71_PPPYearAmount,Sheet1!S71_SA34dCode,$AC:$AC,Sheet1!S71_DepCode,$AD:$AD)</f>
        <v>0</v>
      </c>
      <c r="D101" s="712">
        <f>SUMIFS(Sheet1!S71_PPYearAmount,Sheet1!S71_SA34dCode,$AC:$AC,Sheet1!S71_DepCode,$AD:$AD)</f>
        <v>0</v>
      </c>
      <c r="E101" s="715">
        <f>SUMIFS(Sheet1!S71_PYearAmount,Sheet1!S71_SA34dCode,$AC:$AC,Sheet1!S71_DepCode,$AD:$AD)</f>
        <v>0</v>
      </c>
      <c r="F101" s="725">
        <f>SUMIFS(Sheet1!S71_OriginalBudAmnt,Sheet1!S71_SA34dCode,$AC:$AC,Sheet1!S71_DepCode,$AD:$AD)</f>
        <v>0</v>
      </c>
      <c r="G101" s="712">
        <f>SUMIFS(Sheet1!S71_AdjustmentBudAmnt,Sheet1!S71_SA34dCode,$AC:$AC,Sheet1!S71_DepCode,$AD:$AD)</f>
        <v>0</v>
      </c>
      <c r="H101" s="713">
        <f>SUMIFS(Sheet1!S71_AdjustmentBudAmnt,Sheet1!S71_SA34dCode,$AC:$AC,Sheet1!S71_DepCode,$AD:$AD)</f>
        <v>0</v>
      </c>
      <c r="I101" s="725">
        <f>SUMIFS(Sheet1!S71_ASBudgetAmount,Sheet1!S71_SA34dCode,$AC:$AC,Sheet1!S71_DepCode,$AD:$AD)</f>
        <v>0</v>
      </c>
      <c r="J101" s="712">
        <f>SUMIFS(Sheet1!S71_OY1BudgetAmount,Sheet1!S71_SA34dCode,$AC:$AC,Sheet1!S71_DepCode,$AD:$AD)</f>
        <v>0</v>
      </c>
      <c r="K101" s="713">
        <f>SUMIFS(Sheet1!S71_OY2BudgetAmount,Sheet1!S71_SA34dCode,$AC:$AC,Sheet1!S71_DepCode,$AD:$AD)</f>
        <v>0</v>
      </c>
      <c r="AC101" s="2365" t="s">
        <v>2884</v>
      </c>
      <c r="AD101" s="2365" t="s">
        <v>2821</v>
      </c>
    </row>
    <row r="102" spans="1:30" ht="4.9000000000000004" customHeight="1" x14ac:dyDescent="0.25">
      <c r="A102" s="116"/>
      <c r="B102" s="144"/>
      <c r="C102" s="177"/>
      <c r="D102" s="177"/>
      <c r="E102" s="180"/>
      <c r="F102" s="179"/>
      <c r="G102" s="177"/>
      <c r="H102" s="178"/>
      <c r="I102" s="179"/>
      <c r="J102" s="177"/>
      <c r="K102" s="178"/>
      <c r="AD102" s="2365" t="s">
        <v>2821</v>
      </c>
    </row>
    <row r="103" spans="1:30" ht="13.15" customHeight="1" x14ac:dyDescent="0.25">
      <c r="A103" s="96" t="s">
        <v>828</v>
      </c>
      <c r="B103" s="144"/>
      <c r="C103" s="177">
        <f>SUM(C104:C108)</f>
        <v>0</v>
      </c>
      <c r="D103" s="177">
        <f t="shared" ref="D103:K103" si="13">SUM(D104:D108)</f>
        <v>0</v>
      </c>
      <c r="E103" s="180">
        <f t="shared" si="13"/>
        <v>0</v>
      </c>
      <c r="F103" s="179">
        <f t="shared" si="13"/>
        <v>0</v>
      </c>
      <c r="G103" s="177">
        <f t="shared" si="13"/>
        <v>0</v>
      </c>
      <c r="H103" s="178">
        <f t="shared" si="13"/>
        <v>0</v>
      </c>
      <c r="I103" s="179">
        <f t="shared" si="13"/>
        <v>0</v>
      </c>
      <c r="J103" s="177">
        <f t="shared" si="13"/>
        <v>0</v>
      </c>
      <c r="K103" s="178">
        <f t="shared" si="13"/>
        <v>0</v>
      </c>
      <c r="AD103" s="2365" t="s">
        <v>2821</v>
      </c>
    </row>
    <row r="104" spans="1:30" ht="13.15" customHeight="1" x14ac:dyDescent="0.25">
      <c r="A104" s="104" t="s">
        <v>2304</v>
      </c>
      <c r="B104" s="144"/>
      <c r="C104" s="712">
        <f>SUMIFS(Sheet1!S71_PPPYearAmount,Sheet1!S71_SA34dCode,$AC:$AC,Sheet1!S71_DepCode,$AD:$AD)</f>
        <v>0</v>
      </c>
      <c r="D104" s="712">
        <f>SUMIFS(Sheet1!S71_PPYearAmount,Sheet1!S71_SA34dCode,$AC:$AC,Sheet1!S71_DepCode,$AD:$AD)</f>
        <v>0</v>
      </c>
      <c r="E104" s="715">
        <f>SUMIFS(Sheet1!S71_PYearAmount,Sheet1!S71_SA34dCode,$AC:$AC,Sheet1!S71_DepCode,$AD:$AD)</f>
        <v>0</v>
      </c>
      <c r="F104" s="725">
        <f>SUMIFS(Sheet1!S71_OriginalBudAmnt,Sheet1!S71_SA34dCode,$AC:$AC,Sheet1!S71_DepCode,$AD:$AD)</f>
        <v>0</v>
      </c>
      <c r="G104" s="712">
        <f>SUMIFS(Sheet1!S71_AdjustmentBudAmnt,Sheet1!S71_SA34dCode,$AC:$AC,Sheet1!S71_DepCode,$AD:$AD)</f>
        <v>0</v>
      </c>
      <c r="H104" s="713">
        <f>SUMIFS(Sheet1!S71_AdjustmentBudAmnt,Sheet1!S71_SA34dCode,$AC:$AC,Sheet1!S71_DepCode,$AD:$AD)</f>
        <v>0</v>
      </c>
      <c r="I104" s="725">
        <f>SUMIFS(Sheet1!S71_ASBudgetAmount,Sheet1!S71_SA34dCode,$AC:$AC,Sheet1!S71_DepCode,$AD:$AD)</f>
        <v>0</v>
      </c>
      <c r="J104" s="712">
        <f>SUMIFS(Sheet1!S71_OY1BudgetAmount,Sheet1!S71_SA34dCode,$AC:$AC,Sheet1!S71_DepCode,$AD:$AD)</f>
        <v>0</v>
      </c>
      <c r="K104" s="713">
        <f>SUMIFS(Sheet1!S71_OY2BudgetAmount,Sheet1!S71_SA34dCode,$AC:$AC,Sheet1!S71_DepCode,$AD:$AD)</f>
        <v>0</v>
      </c>
      <c r="AC104" s="2365" t="s">
        <v>2885</v>
      </c>
      <c r="AD104" s="2365" t="s">
        <v>2821</v>
      </c>
    </row>
    <row r="105" spans="1:30" ht="13.15" customHeight="1" x14ac:dyDescent="0.25">
      <c r="A105" s="137" t="s">
        <v>2305</v>
      </c>
      <c r="B105" s="144"/>
      <c r="C105" s="712">
        <f>SUMIFS(Sheet1!S71_PPPYearAmount,Sheet1!S71_SA34dCode,$AC:$AC,Sheet1!S71_DepCode,$AD:$AD)</f>
        <v>0</v>
      </c>
      <c r="D105" s="712">
        <f>SUMIFS(Sheet1!S71_PPYearAmount,Sheet1!S71_SA34dCode,$AC:$AC,Sheet1!S71_DepCode,$AD:$AD)</f>
        <v>0</v>
      </c>
      <c r="E105" s="715">
        <f>SUMIFS(Sheet1!S71_PYearAmount,Sheet1!S71_SA34dCode,$AC:$AC,Sheet1!S71_DepCode,$AD:$AD)</f>
        <v>0</v>
      </c>
      <c r="F105" s="725">
        <f>SUMIFS(Sheet1!S71_OriginalBudAmnt,Sheet1!S71_SA34dCode,$AC:$AC,Sheet1!S71_DepCode,$AD:$AD)</f>
        <v>0</v>
      </c>
      <c r="G105" s="712">
        <f>SUMIFS(Sheet1!S71_AdjustmentBudAmnt,Sheet1!S71_SA34dCode,$AC:$AC,Sheet1!S71_DepCode,$AD:$AD)</f>
        <v>0</v>
      </c>
      <c r="H105" s="713">
        <f>SUMIFS(Sheet1!S71_AdjustmentBudAmnt,Sheet1!S71_SA34dCode,$AC:$AC,Sheet1!S71_DepCode,$AD:$AD)</f>
        <v>0</v>
      </c>
      <c r="I105" s="725">
        <f>SUMIFS(Sheet1!S71_ASBudgetAmount,Sheet1!S71_SA34dCode,$AC:$AC,Sheet1!S71_DepCode,$AD:$AD)</f>
        <v>0</v>
      </c>
      <c r="J105" s="712">
        <f>SUMIFS(Sheet1!S71_OY1BudgetAmount,Sheet1!S71_SA34dCode,$AC:$AC,Sheet1!S71_DepCode,$AD:$AD)</f>
        <v>0</v>
      </c>
      <c r="K105" s="713">
        <f>SUMIFS(Sheet1!S71_OY2BudgetAmount,Sheet1!S71_SA34dCode,$AC:$AC,Sheet1!S71_DepCode,$AD:$AD)</f>
        <v>0</v>
      </c>
      <c r="AC105" s="2365" t="s">
        <v>2886</v>
      </c>
      <c r="AD105" s="2365" t="s">
        <v>2821</v>
      </c>
    </row>
    <row r="106" spans="1:30" ht="13.15" customHeight="1" x14ac:dyDescent="0.25">
      <c r="A106" s="104" t="s">
        <v>2306</v>
      </c>
      <c r="B106" s="144"/>
      <c r="C106" s="712">
        <f>SUMIFS(Sheet1!S71_PPPYearAmount,Sheet1!S71_SA34dCode,$AC:$AC,Sheet1!S71_DepCode,$AD:$AD)</f>
        <v>0</v>
      </c>
      <c r="D106" s="712">
        <f>SUMIFS(Sheet1!S71_PPYearAmount,Sheet1!S71_SA34dCode,$AC:$AC,Sheet1!S71_DepCode,$AD:$AD)</f>
        <v>0</v>
      </c>
      <c r="E106" s="715">
        <f>SUMIFS(Sheet1!S71_PYearAmount,Sheet1!S71_SA34dCode,$AC:$AC,Sheet1!S71_DepCode,$AD:$AD)</f>
        <v>0</v>
      </c>
      <c r="F106" s="725">
        <f>SUMIFS(Sheet1!S71_OriginalBudAmnt,Sheet1!S71_SA34dCode,$AC:$AC,Sheet1!S71_DepCode,$AD:$AD)</f>
        <v>0</v>
      </c>
      <c r="G106" s="712">
        <f>SUMIFS(Sheet1!S71_AdjustmentBudAmnt,Sheet1!S71_SA34dCode,$AC:$AC,Sheet1!S71_DepCode,$AD:$AD)</f>
        <v>0</v>
      </c>
      <c r="H106" s="713">
        <f>SUMIFS(Sheet1!S71_AdjustmentBudAmnt,Sheet1!S71_SA34dCode,$AC:$AC,Sheet1!S71_DepCode,$AD:$AD)</f>
        <v>0</v>
      </c>
      <c r="I106" s="725">
        <f>SUMIFS(Sheet1!S71_ASBudgetAmount,Sheet1!S71_SA34dCode,$AC:$AC,Sheet1!S71_DepCode,$AD:$AD)</f>
        <v>0</v>
      </c>
      <c r="J106" s="712">
        <f>SUMIFS(Sheet1!S71_OY1BudgetAmount,Sheet1!S71_SA34dCode,$AC:$AC,Sheet1!S71_DepCode,$AD:$AD)</f>
        <v>0</v>
      </c>
      <c r="K106" s="713">
        <f>SUMIFS(Sheet1!S71_OY2BudgetAmount,Sheet1!S71_SA34dCode,$AC:$AC,Sheet1!S71_DepCode,$AD:$AD)</f>
        <v>0</v>
      </c>
      <c r="AC106" s="2365" t="s">
        <v>2887</v>
      </c>
      <c r="AD106" s="2365" t="s">
        <v>2821</v>
      </c>
    </row>
    <row r="107" spans="1:30" ht="13.15" customHeight="1" x14ac:dyDescent="0.25">
      <c r="A107" s="104" t="s">
        <v>2307</v>
      </c>
      <c r="B107" s="144"/>
      <c r="C107" s="712">
        <f>SUMIFS(Sheet1!S71_PPPYearAmount,Sheet1!S71_SA34dCode,$AC:$AC,Sheet1!S71_DepCode,$AD:$AD)</f>
        <v>0</v>
      </c>
      <c r="D107" s="712">
        <f>SUMIFS(Sheet1!S71_PPYearAmount,Sheet1!S71_SA34dCode,$AC:$AC,Sheet1!S71_DepCode,$AD:$AD)</f>
        <v>0</v>
      </c>
      <c r="E107" s="715">
        <f>SUMIFS(Sheet1!S71_PYearAmount,Sheet1!S71_SA34dCode,$AC:$AC,Sheet1!S71_DepCode,$AD:$AD)</f>
        <v>0</v>
      </c>
      <c r="F107" s="725">
        <f>SUMIFS(Sheet1!S71_OriginalBudAmnt,Sheet1!S71_SA34dCode,$AC:$AC,Sheet1!S71_DepCode,$AD:$AD)</f>
        <v>0</v>
      </c>
      <c r="G107" s="712">
        <f>SUMIFS(Sheet1!S71_AdjustmentBudAmnt,Sheet1!S71_SA34dCode,$AC:$AC,Sheet1!S71_DepCode,$AD:$AD)</f>
        <v>0</v>
      </c>
      <c r="H107" s="713">
        <f>SUMIFS(Sheet1!S71_AdjustmentBudAmnt,Sheet1!S71_SA34dCode,$AC:$AC,Sheet1!S71_DepCode,$AD:$AD)</f>
        <v>0</v>
      </c>
      <c r="I107" s="725">
        <f>SUMIFS(Sheet1!S71_ASBudgetAmount,Sheet1!S71_SA34dCode,$AC:$AC,Sheet1!S71_DepCode,$AD:$AD)</f>
        <v>0</v>
      </c>
      <c r="J107" s="712">
        <f>SUMIFS(Sheet1!S71_OY1BudgetAmount,Sheet1!S71_SA34dCode,$AC:$AC,Sheet1!S71_DepCode,$AD:$AD)</f>
        <v>0</v>
      </c>
      <c r="K107" s="713">
        <f>SUMIFS(Sheet1!S71_OY2BudgetAmount,Sheet1!S71_SA34dCode,$AC:$AC,Sheet1!S71_DepCode,$AD:$AD)</f>
        <v>0</v>
      </c>
      <c r="AC107" s="2365" t="s">
        <v>2888</v>
      </c>
      <c r="AD107" s="2365" t="s">
        <v>2821</v>
      </c>
    </row>
    <row r="108" spans="1:30" ht="13.15" customHeight="1" x14ac:dyDescent="0.25">
      <c r="A108" s="137" t="s">
        <v>2308</v>
      </c>
      <c r="B108" s="144"/>
      <c r="C108" s="712">
        <f>SUMIFS(Sheet1!S71_PPPYearAmount,Sheet1!S71_SA34dCode,$AC:$AC,Sheet1!S71_DepCode,$AD:$AD)</f>
        <v>0</v>
      </c>
      <c r="D108" s="712">
        <f>SUMIFS(Sheet1!S71_PPYearAmount,Sheet1!S71_SA34dCode,$AC:$AC,Sheet1!S71_DepCode,$AD:$AD)</f>
        <v>0</v>
      </c>
      <c r="E108" s="715">
        <f>SUMIFS(Sheet1!S71_PYearAmount,Sheet1!S71_SA34dCode,$AC:$AC,Sheet1!S71_DepCode,$AD:$AD)</f>
        <v>0</v>
      </c>
      <c r="F108" s="725">
        <f>SUMIFS(Sheet1!S71_OriginalBudAmnt,Sheet1!S71_SA34dCode,$AC:$AC,Sheet1!S71_DepCode,$AD:$AD)</f>
        <v>0</v>
      </c>
      <c r="G108" s="712">
        <f>SUMIFS(Sheet1!S71_AdjustmentBudAmnt,Sheet1!S71_SA34dCode,$AC:$AC,Sheet1!S71_DepCode,$AD:$AD)</f>
        <v>0</v>
      </c>
      <c r="H108" s="713">
        <f>SUMIFS(Sheet1!S71_AdjustmentBudAmnt,Sheet1!S71_SA34dCode,$AC:$AC,Sheet1!S71_DepCode,$AD:$AD)</f>
        <v>0</v>
      </c>
      <c r="I108" s="725">
        <f>SUMIFS(Sheet1!S71_ASBudgetAmount,Sheet1!S71_SA34dCode,$AC:$AC,Sheet1!S71_DepCode,$AD:$AD)</f>
        <v>0</v>
      </c>
      <c r="J108" s="712">
        <f>SUMIFS(Sheet1!S71_OY1BudgetAmount,Sheet1!S71_SA34dCode,$AC:$AC,Sheet1!S71_DepCode,$AD:$AD)</f>
        <v>0</v>
      </c>
      <c r="K108" s="713">
        <f>SUMIFS(Sheet1!S71_OY2BudgetAmount,Sheet1!S71_SA34dCode,$AC:$AC,Sheet1!S71_DepCode,$AD:$AD)</f>
        <v>0</v>
      </c>
      <c r="AC108" s="2365" t="s">
        <v>2048</v>
      </c>
      <c r="AD108" s="2365" t="s">
        <v>2821</v>
      </c>
    </row>
    <row r="109" spans="1:30" ht="4.9000000000000004" customHeight="1" x14ac:dyDescent="0.25">
      <c r="A109" s="448"/>
      <c r="B109" s="144"/>
      <c r="C109" s="177"/>
      <c r="D109" s="177"/>
      <c r="E109" s="180"/>
      <c r="F109" s="179"/>
      <c r="G109" s="177"/>
      <c r="H109" s="178"/>
      <c r="I109" s="179"/>
      <c r="J109" s="177"/>
      <c r="K109" s="178"/>
      <c r="AD109" s="2365" t="s">
        <v>2821</v>
      </c>
    </row>
    <row r="110" spans="1:30" ht="13.15" customHeight="1" x14ac:dyDescent="0.25">
      <c r="A110" s="574" t="s">
        <v>829</v>
      </c>
      <c r="B110" s="144"/>
      <c r="C110" s="545">
        <f>+C111+C114</f>
        <v>0</v>
      </c>
      <c r="D110" s="545">
        <f t="shared" ref="D110:K110" si="14">+D111+D114</f>
        <v>0</v>
      </c>
      <c r="E110" s="831">
        <f t="shared" si="14"/>
        <v>0</v>
      </c>
      <c r="F110" s="743">
        <f t="shared" si="14"/>
        <v>0</v>
      </c>
      <c r="G110" s="545">
        <f t="shared" si="14"/>
        <v>0</v>
      </c>
      <c r="H110" s="742">
        <f t="shared" si="14"/>
        <v>0</v>
      </c>
      <c r="I110" s="743">
        <f t="shared" si="14"/>
        <v>0</v>
      </c>
      <c r="J110" s="545">
        <f t="shared" si="14"/>
        <v>0</v>
      </c>
      <c r="K110" s="742">
        <f t="shared" si="14"/>
        <v>0</v>
      </c>
      <c r="AD110" s="2365" t="s">
        <v>2821</v>
      </c>
    </row>
    <row r="111" spans="1:30" ht="13.15" customHeight="1" x14ac:dyDescent="0.25">
      <c r="A111" s="104" t="s">
        <v>2338</v>
      </c>
      <c r="B111" s="144"/>
      <c r="C111" s="82">
        <f t="shared" ref="C111:K111" si="15">SUM(C112:C113)</f>
        <v>0</v>
      </c>
      <c r="D111" s="82">
        <f t="shared" si="15"/>
        <v>0</v>
      </c>
      <c r="E111" s="304">
        <f t="shared" si="15"/>
        <v>0</v>
      </c>
      <c r="F111" s="83">
        <f t="shared" si="15"/>
        <v>0</v>
      </c>
      <c r="G111" s="82">
        <f t="shared" si="15"/>
        <v>0</v>
      </c>
      <c r="H111" s="115">
        <f t="shared" si="15"/>
        <v>0</v>
      </c>
      <c r="I111" s="83">
        <f t="shared" si="15"/>
        <v>0</v>
      </c>
      <c r="J111" s="82">
        <f t="shared" si="15"/>
        <v>0</v>
      </c>
      <c r="K111" s="115">
        <f t="shared" si="15"/>
        <v>0</v>
      </c>
      <c r="AD111" s="2365" t="s">
        <v>2821</v>
      </c>
    </row>
    <row r="112" spans="1:30" ht="13.15" customHeight="1" x14ac:dyDescent="0.25">
      <c r="A112" s="2125" t="s">
        <v>2339</v>
      </c>
      <c r="B112" s="144"/>
      <c r="C112" s="712">
        <f>SUMIFS(Sheet1!S71_PPPYearAmount,Sheet1!S71_SA34dCode,$AC:$AC,Sheet1!S71_DepCode,$AD:$AD)</f>
        <v>0</v>
      </c>
      <c r="D112" s="712">
        <f>SUMIFS(Sheet1!S71_PPYearAmount,Sheet1!S71_SA34dCode,$AC:$AC,Sheet1!S71_DepCode,$AD:$AD)</f>
        <v>0</v>
      </c>
      <c r="E112" s="715">
        <f>SUMIFS(Sheet1!S71_PYearAmount,Sheet1!S71_SA34dCode,$AC:$AC,Sheet1!S71_DepCode,$AD:$AD)</f>
        <v>0</v>
      </c>
      <c r="F112" s="725">
        <f>SUMIFS(Sheet1!S71_OriginalBudAmnt,Sheet1!S71_SA34dCode,$AC:$AC,Sheet1!S71_DepCode,$AD:$AD)</f>
        <v>0</v>
      </c>
      <c r="G112" s="712">
        <f>SUMIFS(Sheet1!S71_AdjustmentBudAmnt,Sheet1!S71_SA34dCode,$AC:$AC,Sheet1!S71_DepCode,$AD:$AD)</f>
        <v>0</v>
      </c>
      <c r="H112" s="713">
        <f>SUMIFS(Sheet1!S71_AdjustmentBudAmnt,Sheet1!S71_SA34dCode,$AC:$AC,Sheet1!S71_DepCode,$AD:$AD)</f>
        <v>0</v>
      </c>
      <c r="I112" s="725">
        <f>SUMIFS(Sheet1!S71_ASBudgetAmount,Sheet1!S71_SA34dCode,$AC:$AC,Sheet1!S71_DepCode,$AD:$AD)</f>
        <v>0</v>
      </c>
      <c r="J112" s="712">
        <f>SUMIFS(Sheet1!S71_OY1BudgetAmount,Sheet1!S71_SA34dCode,$AC:$AC,Sheet1!S71_DepCode,$AD:$AD)</f>
        <v>0</v>
      </c>
      <c r="K112" s="713">
        <f>SUMIFS(Sheet1!S71_OY2BudgetAmount,Sheet1!S71_SA34dCode,$AC:$AC,Sheet1!S71_DepCode,$AD:$AD)</f>
        <v>0</v>
      </c>
      <c r="AC112" s="2365" t="s">
        <v>2889</v>
      </c>
      <c r="AD112" s="2365" t="s">
        <v>2821</v>
      </c>
    </row>
    <row r="113" spans="1:30" ht="13.15" customHeight="1" x14ac:dyDescent="0.25">
      <c r="A113" s="2125" t="s">
        <v>2340</v>
      </c>
      <c r="B113" s="144"/>
      <c r="C113" s="712">
        <f>SUMIFS(Sheet1!S71_PPPYearAmount,Sheet1!S71_SA34dCode,$AC:$AC,Sheet1!S71_DepCode,$AD:$AD)</f>
        <v>0</v>
      </c>
      <c r="D113" s="712">
        <f>SUMIFS(Sheet1!S71_PPYearAmount,Sheet1!S71_SA34dCode,$AC:$AC,Sheet1!S71_DepCode,$AD:$AD)</f>
        <v>0</v>
      </c>
      <c r="E113" s="715">
        <f>SUMIFS(Sheet1!S71_PYearAmount,Sheet1!S71_SA34dCode,$AC:$AC,Sheet1!S71_DepCode,$AD:$AD)</f>
        <v>0</v>
      </c>
      <c r="F113" s="725">
        <f>SUMIFS(Sheet1!S71_OriginalBudAmnt,Sheet1!S71_SA34dCode,$AC:$AC,Sheet1!S71_DepCode,$AD:$AD)</f>
        <v>0</v>
      </c>
      <c r="G113" s="712">
        <f>SUMIFS(Sheet1!S71_AdjustmentBudAmnt,Sheet1!S71_SA34dCode,$AC:$AC,Sheet1!S71_DepCode,$AD:$AD)</f>
        <v>0</v>
      </c>
      <c r="H113" s="713">
        <f>SUMIFS(Sheet1!S71_AdjustmentBudAmnt,Sheet1!S71_SA34dCode,$AC:$AC,Sheet1!S71_DepCode,$AD:$AD)</f>
        <v>0</v>
      </c>
      <c r="I113" s="725">
        <f>SUMIFS(Sheet1!S71_ASBudgetAmount,Sheet1!S71_SA34dCode,$AC:$AC,Sheet1!S71_DepCode,$AD:$AD)</f>
        <v>0</v>
      </c>
      <c r="J113" s="712">
        <f>SUMIFS(Sheet1!S71_OY1BudgetAmount,Sheet1!S71_SA34dCode,$AC:$AC,Sheet1!S71_DepCode,$AD:$AD)</f>
        <v>0</v>
      </c>
      <c r="K113" s="713">
        <f>SUMIFS(Sheet1!S71_OY2BudgetAmount,Sheet1!S71_SA34dCode,$AC:$AC,Sheet1!S71_DepCode,$AD:$AD)</f>
        <v>0</v>
      </c>
      <c r="AC113" s="2365" t="s">
        <v>2890</v>
      </c>
      <c r="AD113" s="2365" t="s">
        <v>2821</v>
      </c>
    </row>
    <row r="114" spans="1:30" ht="13.15" customHeight="1" x14ac:dyDescent="0.25">
      <c r="A114" s="104" t="s">
        <v>2341</v>
      </c>
      <c r="B114" s="144"/>
      <c r="C114" s="71">
        <f>SUM(C115:C116)</f>
        <v>0</v>
      </c>
      <c r="D114" s="71">
        <f t="shared" ref="D114:K114" si="16">SUM(D115:D116)</f>
        <v>0</v>
      </c>
      <c r="E114" s="305">
        <f t="shared" si="16"/>
        <v>0</v>
      </c>
      <c r="F114" s="75">
        <f t="shared" si="16"/>
        <v>0</v>
      </c>
      <c r="G114" s="71">
        <f t="shared" si="16"/>
        <v>0</v>
      </c>
      <c r="H114" s="117">
        <f t="shared" si="16"/>
        <v>0</v>
      </c>
      <c r="I114" s="75">
        <f t="shared" si="16"/>
        <v>0</v>
      </c>
      <c r="J114" s="71">
        <f t="shared" si="16"/>
        <v>0</v>
      </c>
      <c r="K114" s="117">
        <f t="shared" si="16"/>
        <v>0</v>
      </c>
      <c r="AD114" s="2365" t="s">
        <v>2821</v>
      </c>
    </row>
    <row r="115" spans="1:30" ht="13.15" customHeight="1" x14ac:dyDescent="0.25">
      <c r="A115" s="2125" t="s">
        <v>2339</v>
      </c>
      <c r="B115" s="144"/>
      <c r="C115" s="712">
        <f>SUMIFS(Sheet1!S71_PPPYearAmount,Sheet1!S71_SA34dCode,$AC:$AC,Sheet1!S71_DepCode,$AD:$AD)</f>
        <v>0</v>
      </c>
      <c r="D115" s="712">
        <f>SUMIFS(Sheet1!S71_PPYearAmount,Sheet1!S71_SA34dCode,$AC:$AC,Sheet1!S71_DepCode,$AD:$AD)</f>
        <v>0</v>
      </c>
      <c r="E115" s="715">
        <f>SUMIFS(Sheet1!S71_PYearAmount,Sheet1!S71_SA34dCode,$AC:$AC,Sheet1!S71_DepCode,$AD:$AD)</f>
        <v>0</v>
      </c>
      <c r="F115" s="725">
        <f>SUMIFS(Sheet1!S71_OriginalBudAmnt,Sheet1!S71_SA34dCode,$AC:$AC,Sheet1!S71_DepCode,$AD:$AD)</f>
        <v>0</v>
      </c>
      <c r="G115" s="712">
        <f>SUMIFS(Sheet1!S71_AdjustmentBudAmnt,Sheet1!S71_SA34dCode,$AC:$AC,Sheet1!S71_DepCode,$AD:$AD)</f>
        <v>0</v>
      </c>
      <c r="H115" s="713">
        <f>SUMIFS(Sheet1!S71_AdjustmentBudAmnt,Sheet1!S71_SA34dCode,$AC:$AC,Sheet1!S71_DepCode,$AD:$AD)</f>
        <v>0</v>
      </c>
      <c r="I115" s="725">
        <f>SUMIFS(Sheet1!S71_ASBudgetAmount,Sheet1!S71_SA34dCode,$AC:$AC,Sheet1!S71_DepCode,$AD:$AD)</f>
        <v>0</v>
      </c>
      <c r="J115" s="712">
        <f>SUMIFS(Sheet1!S71_OY1BudgetAmount,Sheet1!S71_SA34dCode,$AC:$AC,Sheet1!S71_DepCode,$AD:$AD)</f>
        <v>0</v>
      </c>
      <c r="K115" s="713">
        <f>SUMIFS(Sheet1!S71_OY2BudgetAmount,Sheet1!S71_SA34dCode,$AC:$AC,Sheet1!S71_DepCode,$AD:$AD)</f>
        <v>0</v>
      </c>
      <c r="AC115" s="2365" t="s">
        <v>2892</v>
      </c>
      <c r="AD115" s="2365" t="s">
        <v>2821</v>
      </c>
    </row>
    <row r="116" spans="1:30" ht="13.15" customHeight="1" x14ac:dyDescent="0.25">
      <c r="A116" s="2125" t="s">
        <v>2340</v>
      </c>
      <c r="B116" s="144"/>
      <c r="C116" s="712">
        <f>SUMIFS(Sheet1!S71_PPPYearAmount,Sheet1!S71_SA34dCode,$AC:$AC,Sheet1!S71_DepCode,$AD:$AD)</f>
        <v>0</v>
      </c>
      <c r="D116" s="712">
        <f>SUMIFS(Sheet1!S71_PPYearAmount,Sheet1!S71_SA34dCode,$AC:$AC,Sheet1!S71_DepCode,$AD:$AD)</f>
        <v>0</v>
      </c>
      <c r="E116" s="715">
        <f>SUMIFS(Sheet1!S71_PYearAmount,Sheet1!S71_SA34dCode,$AC:$AC,Sheet1!S71_DepCode,$AD:$AD)</f>
        <v>0</v>
      </c>
      <c r="F116" s="725">
        <f>SUMIFS(Sheet1!S71_OriginalBudAmnt,Sheet1!S71_SA34dCode,$AC:$AC,Sheet1!S71_DepCode,$AD:$AD)</f>
        <v>0</v>
      </c>
      <c r="G116" s="712">
        <f>SUMIFS(Sheet1!S71_AdjustmentBudAmnt,Sheet1!S71_SA34dCode,$AC:$AC,Sheet1!S71_DepCode,$AD:$AD)</f>
        <v>0</v>
      </c>
      <c r="H116" s="713">
        <f>SUMIFS(Sheet1!S71_AdjustmentBudAmnt,Sheet1!S71_SA34dCode,$AC:$AC,Sheet1!S71_DepCode,$AD:$AD)</f>
        <v>0</v>
      </c>
      <c r="I116" s="725">
        <f>SUMIFS(Sheet1!S71_ASBudgetAmount,Sheet1!S71_SA34dCode,$AC:$AC,Sheet1!S71_DepCode,$AD:$AD)</f>
        <v>0</v>
      </c>
      <c r="J116" s="712">
        <f>SUMIFS(Sheet1!S71_OY1BudgetAmount,Sheet1!S71_SA34dCode,$AC:$AC,Sheet1!S71_DepCode,$AD:$AD)</f>
        <v>0</v>
      </c>
      <c r="K116" s="713">
        <f>SUMIFS(Sheet1!S71_OY2BudgetAmount,Sheet1!S71_SA34dCode,$AC:$AC,Sheet1!S71_DepCode,$AD:$AD)</f>
        <v>0</v>
      </c>
      <c r="AC116" s="2365" t="s">
        <v>2893</v>
      </c>
      <c r="AD116" s="2365" t="s">
        <v>2821</v>
      </c>
    </row>
    <row r="117" spans="1:30" ht="4.9000000000000004" customHeight="1" x14ac:dyDescent="0.25">
      <c r="A117" s="448"/>
      <c r="B117" s="144"/>
      <c r="C117" s="177"/>
      <c r="D117" s="177"/>
      <c r="E117" s="180"/>
      <c r="F117" s="179"/>
      <c r="G117" s="177"/>
      <c r="H117" s="178"/>
      <c r="I117" s="179"/>
      <c r="J117" s="177"/>
      <c r="K117" s="178"/>
      <c r="AD117" s="2365" t="s">
        <v>2821</v>
      </c>
    </row>
    <row r="118" spans="1:30" ht="13.15" customHeight="1" x14ac:dyDescent="0.25">
      <c r="A118" s="574" t="s">
        <v>830</v>
      </c>
      <c r="B118" s="144"/>
      <c r="C118" s="545">
        <f>+C119+C131</f>
        <v>1321351</v>
      </c>
      <c r="D118" s="545">
        <f t="shared" ref="D118:K118" si="17">+D119+D131</f>
        <v>1538246</v>
      </c>
      <c r="E118" s="831">
        <f t="shared" si="17"/>
        <v>355326</v>
      </c>
      <c r="F118" s="743">
        <f t="shared" si="17"/>
        <v>545746</v>
      </c>
      <c r="G118" s="545">
        <f t="shared" si="17"/>
        <v>545746</v>
      </c>
      <c r="H118" s="742">
        <f t="shared" si="17"/>
        <v>545746</v>
      </c>
      <c r="I118" s="743">
        <f t="shared" si="17"/>
        <v>567030</v>
      </c>
      <c r="J118" s="545">
        <f t="shared" si="17"/>
        <v>589711</v>
      </c>
      <c r="K118" s="742">
        <f t="shared" si="17"/>
        <v>613300</v>
      </c>
      <c r="AD118" s="2365" t="s">
        <v>2821</v>
      </c>
    </row>
    <row r="119" spans="1:30" ht="13.15" customHeight="1" x14ac:dyDescent="0.25">
      <c r="A119" s="104" t="s">
        <v>2309</v>
      </c>
      <c r="B119" s="144"/>
      <c r="C119" s="82">
        <f>SUM(C120:C130)</f>
        <v>1321351</v>
      </c>
      <c r="D119" s="82">
        <f t="shared" ref="D119:K119" si="18">SUM(D120:D130)</f>
        <v>1538246</v>
      </c>
      <c r="E119" s="304">
        <f t="shared" si="18"/>
        <v>355326</v>
      </c>
      <c r="F119" s="83">
        <f t="shared" si="18"/>
        <v>545746</v>
      </c>
      <c r="G119" s="82">
        <f t="shared" si="18"/>
        <v>545746</v>
      </c>
      <c r="H119" s="115">
        <f t="shared" si="18"/>
        <v>545746</v>
      </c>
      <c r="I119" s="83">
        <f t="shared" si="18"/>
        <v>567030</v>
      </c>
      <c r="J119" s="82">
        <f t="shared" si="18"/>
        <v>589711</v>
      </c>
      <c r="K119" s="115">
        <f t="shared" si="18"/>
        <v>613300</v>
      </c>
      <c r="AD119" s="2365" t="s">
        <v>2821</v>
      </c>
    </row>
    <row r="120" spans="1:30" ht="13.15" customHeight="1" x14ac:dyDescent="0.25">
      <c r="A120" s="2125" t="s">
        <v>2310</v>
      </c>
      <c r="B120" s="144"/>
      <c r="C120" s="712">
        <f>SUMIFS(Sheet1!S71_PPPYearAmount,Sheet1!S71_SA34dCode,$AC:$AC,Sheet1!S71_DepCode,$AD:$AD)</f>
        <v>1321351</v>
      </c>
      <c r="D120" s="712">
        <f>SUMIFS(Sheet1!S71_PPYearAmount,Sheet1!S71_SA34dCode,$AC:$AC,Sheet1!S71_DepCode,$AD:$AD)</f>
        <v>1538246</v>
      </c>
      <c r="E120" s="715">
        <f>SUMIFS(Sheet1!S71_PYearAmount,Sheet1!S71_SA34dCode,$AC:$AC,Sheet1!S71_DepCode,$AD:$AD)</f>
        <v>355326</v>
      </c>
      <c r="F120" s="725">
        <f>SUMIFS(Sheet1!S71_OriginalBudAmnt,Sheet1!S71_SA34dCode,$AC:$AC,Sheet1!S71_DepCode,$AD:$AD)</f>
        <v>545746</v>
      </c>
      <c r="G120" s="712">
        <f>SUMIFS(Sheet1!S71_AdjustmentBudAmnt,Sheet1!S71_SA34dCode,$AC:$AC,Sheet1!S71_DepCode,$AD:$AD)</f>
        <v>545746</v>
      </c>
      <c r="H120" s="713">
        <f>SUMIFS(Sheet1!S71_AdjustmentBudAmnt,Sheet1!S71_SA34dCode,$AC:$AC,Sheet1!S71_DepCode,$AD:$AD)</f>
        <v>545746</v>
      </c>
      <c r="I120" s="725">
        <f>SUMIFS(Sheet1!S71_ASBudgetAmount,Sheet1!S71_SA34dCode,$AC:$AC,Sheet1!S71_DepCode,$AD:$AD)</f>
        <v>567030</v>
      </c>
      <c r="J120" s="712">
        <f>SUMIFS(Sheet1!S71_OY1BudgetAmount,Sheet1!S71_SA34dCode,$AC:$AC,Sheet1!S71_DepCode,$AD:$AD)</f>
        <v>589711</v>
      </c>
      <c r="K120" s="713">
        <f>SUMIFS(Sheet1!S71_OY2BudgetAmount,Sheet1!S71_SA34dCode,$AC:$AC,Sheet1!S71_DepCode,$AD:$AD)</f>
        <v>613300</v>
      </c>
      <c r="AC120" s="2365" t="s">
        <v>2059</v>
      </c>
      <c r="AD120" s="2365" t="s">
        <v>2821</v>
      </c>
    </row>
    <row r="121" spans="1:30" ht="13.15" customHeight="1" x14ac:dyDescent="0.25">
      <c r="A121" s="2125" t="s">
        <v>2311</v>
      </c>
      <c r="B121" s="144"/>
      <c r="C121" s="712">
        <f>SUMIFS(Sheet1!S71_PPPYearAmount,Sheet1!S71_SA34dCode,$AC:$AC,Sheet1!S71_DepCode,$AD:$AD)</f>
        <v>0</v>
      </c>
      <c r="D121" s="712">
        <f>SUMIFS(Sheet1!S71_PPYearAmount,Sheet1!S71_SA34dCode,$AC:$AC,Sheet1!S71_DepCode,$AD:$AD)</f>
        <v>0</v>
      </c>
      <c r="E121" s="715">
        <f>SUMIFS(Sheet1!S71_PYearAmount,Sheet1!S71_SA34dCode,$AC:$AC,Sheet1!S71_DepCode,$AD:$AD)</f>
        <v>0</v>
      </c>
      <c r="F121" s="725">
        <f>SUMIFS(Sheet1!S71_OriginalBudAmnt,Sheet1!S71_SA34dCode,$AC:$AC,Sheet1!S71_DepCode,$AD:$AD)</f>
        <v>0</v>
      </c>
      <c r="G121" s="712">
        <f>SUMIFS(Sheet1!S71_AdjustmentBudAmnt,Sheet1!S71_SA34dCode,$AC:$AC,Sheet1!S71_DepCode,$AD:$AD)</f>
        <v>0</v>
      </c>
      <c r="H121" s="713">
        <f>SUMIFS(Sheet1!S71_AdjustmentBudAmnt,Sheet1!S71_SA34dCode,$AC:$AC,Sheet1!S71_DepCode,$AD:$AD)</f>
        <v>0</v>
      </c>
      <c r="I121" s="725">
        <f>SUMIFS(Sheet1!S71_ASBudgetAmount,Sheet1!S71_SA34dCode,$AC:$AC,Sheet1!S71_DepCode,$AD:$AD)</f>
        <v>0</v>
      </c>
      <c r="J121" s="712">
        <f>SUMIFS(Sheet1!S71_OY1BudgetAmount,Sheet1!S71_SA34dCode,$AC:$AC,Sheet1!S71_DepCode,$AD:$AD)</f>
        <v>0</v>
      </c>
      <c r="K121" s="713">
        <f>SUMIFS(Sheet1!S71_OY2BudgetAmount,Sheet1!S71_SA34dCode,$AC:$AC,Sheet1!S71_DepCode,$AD:$AD)</f>
        <v>0</v>
      </c>
      <c r="AC121" s="2365" t="s">
        <v>2069</v>
      </c>
      <c r="AD121" s="2365" t="s">
        <v>2821</v>
      </c>
    </row>
    <row r="122" spans="1:30" ht="13.15" customHeight="1" x14ac:dyDescent="0.25">
      <c r="A122" s="2125" t="s">
        <v>2312</v>
      </c>
      <c r="B122" s="144"/>
      <c r="C122" s="712">
        <f>SUMIFS(Sheet1!S71_PPPYearAmount,Sheet1!S71_SA34dCode,$AC:$AC,Sheet1!S71_DepCode,$AD:$AD)</f>
        <v>0</v>
      </c>
      <c r="D122" s="712">
        <f>SUMIFS(Sheet1!S71_PPYearAmount,Sheet1!S71_SA34dCode,$AC:$AC,Sheet1!S71_DepCode,$AD:$AD)</f>
        <v>0</v>
      </c>
      <c r="E122" s="715">
        <f>SUMIFS(Sheet1!S71_PYearAmount,Sheet1!S71_SA34dCode,$AC:$AC,Sheet1!S71_DepCode,$AD:$AD)</f>
        <v>0</v>
      </c>
      <c r="F122" s="725">
        <f>SUMIFS(Sheet1!S71_OriginalBudAmnt,Sheet1!S71_SA34dCode,$AC:$AC,Sheet1!S71_DepCode,$AD:$AD)</f>
        <v>0</v>
      </c>
      <c r="G122" s="712">
        <f>SUMIFS(Sheet1!S71_AdjustmentBudAmnt,Sheet1!S71_SA34dCode,$AC:$AC,Sheet1!S71_DepCode,$AD:$AD)</f>
        <v>0</v>
      </c>
      <c r="H122" s="713">
        <f>SUMIFS(Sheet1!S71_AdjustmentBudAmnt,Sheet1!S71_SA34dCode,$AC:$AC,Sheet1!S71_DepCode,$AD:$AD)</f>
        <v>0</v>
      </c>
      <c r="I122" s="725">
        <f>SUMIFS(Sheet1!S71_ASBudgetAmount,Sheet1!S71_SA34dCode,$AC:$AC,Sheet1!S71_DepCode,$AD:$AD)</f>
        <v>0</v>
      </c>
      <c r="J122" s="712">
        <f>SUMIFS(Sheet1!S71_OY1BudgetAmount,Sheet1!S71_SA34dCode,$AC:$AC,Sheet1!S71_DepCode,$AD:$AD)</f>
        <v>0</v>
      </c>
      <c r="K122" s="713">
        <f>SUMIFS(Sheet1!S71_OY2BudgetAmount,Sheet1!S71_SA34dCode,$AC:$AC,Sheet1!S71_DepCode,$AD:$AD)</f>
        <v>0</v>
      </c>
      <c r="AC122" s="2365" t="s">
        <v>2894</v>
      </c>
      <c r="AD122" s="2365" t="s">
        <v>2821</v>
      </c>
    </row>
    <row r="123" spans="1:30" ht="13.15" customHeight="1" x14ac:dyDescent="0.25">
      <c r="A123" s="2125" t="s">
        <v>2313</v>
      </c>
      <c r="B123" s="144"/>
      <c r="C123" s="712">
        <f>SUMIFS(Sheet1!S71_PPPYearAmount,Sheet1!S71_SA34dCode,$AC:$AC,Sheet1!S71_DepCode,$AD:$AD)</f>
        <v>0</v>
      </c>
      <c r="D123" s="712">
        <f>SUMIFS(Sheet1!S71_PPYearAmount,Sheet1!S71_SA34dCode,$AC:$AC,Sheet1!S71_DepCode,$AD:$AD)</f>
        <v>0</v>
      </c>
      <c r="E123" s="715">
        <f>SUMIFS(Sheet1!S71_PYearAmount,Sheet1!S71_SA34dCode,$AC:$AC,Sheet1!S71_DepCode,$AD:$AD)</f>
        <v>0</v>
      </c>
      <c r="F123" s="725">
        <f>SUMIFS(Sheet1!S71_OriginalBudAmnt,Sheet1!S71_SA34dCode,$AC:$AC,Sheet1!S71_DepCode,$AD:$AD)</f>
        <v>0</v>
      </c>
      <c r="G123" s="712">
        <f>SUMIFS(Sheet1!S71_AdjustmentBudAmnt,Sheet1!S71_SA34dCode,$AC:$AC,Sheet1!S71_DepCode,$AD:$AD)</f>
        <v>0</v>
      </c>
      <c r="H123" s="713">
        <f>SUMIFS(Sheet1!S71_AdjustmentBudAmnt,Sheet1!S71_SA34dCode,$AC:$AC,Sheet1!S71_DepCode,$AD:$AD)</f>
        <v>0</v>
      </c>
      <c r="I123" s="725">
        <f>SUMIFS(Sheet1!S71_ASBudgetAmount,Sheet1!S71_SA34dCode,$AC:$AC,Sheet1!S71_DepCode,$AD:$AD)</f>
        <v>0</v>
      </c>
      <c r="J123" s="712">
        <f>SUMIFS(Sheet1!S71_OY1BudgetAmount,Sheet1!S71_SA34dCode,$AC:$AC,Sheet1!S71_DepCode,$AD:$AD)</f>
        <v>0</v>
      </c>
      <c r="K123" s="713">
        <f>SUMIFS(Sheet1!S71_OY2BudgetAmount,Sheet1!S71_SA34dCode,$AC:$AC,Sheet1!S71_DepCode,$AD:$AD)</f>
        <v>0</v>
      </c>
      <c r="AC123" s="2365" t="s">
        <v>2895</v>
      </c>
      <c r="AD123" s="2365" t="s">
        <v>2821</v>
      </c>
    </row>
    <row r="124" spans="1:30" ht="13.15" customHeight="1" x14ac:dyDescent="0.25">
      <c r="A124" s="2125" t="s">
        <v>2314</v>
      </c>
      <c r="B124" s="144"/>
      <c r="C124" s="712">
        <f>SUMIFS(Sheet1!S71_PPPYearAmount,Sheet1!S71_SA34dCode,$AC:$AC,Sheet1!S71_DepCode,$AD:$AD)</f>
        <v>0</v>
      </c>
      <c r="D124" s="712">
        <f>SUMIFS(Sheet1!S71_PPYearAmount,Sheet1!S71_SA34dCode,$AC:$AC,Sheet1!S71_DepCode,$AD:$AD)</f>
        <v>0</v>
      </c>
      <c r="E124" s="715">
        <f>SUMIFS(Sheet1!S71_PYearAmount,Sheet1!S71_SA34dCode,$AC:$AC,Sheet1!S71_DepCode,$AD:$AD)</f>
        <v>0</v>
      </c>
      <c r="F124" s="725">
        <f>SUMIFS(Sheet1!S71_OriginalBudAmnt,Sheet1!S71_SA34dCode,$AC:$AC,Sheet1!S71_DepCode,$AD:$AD)</f>
        <v>0</v>
      </c>
      <c r="G124" s="712">
        <f>SUMIFS(Sheet1!S71_AdjustmentBudAmnt,Sheet1!S71_SA34dCode,$AC:$AC,Sheet1!S71_DepCode,$AD:$AD)</f>
        <v>0</v>
      </c>
      <c r="H124" s="713">
        <f>SUMIFS(Sheet1!S71_AdjustmentBudAmnt,Sheet1!S71_SA34dCode,$AC:$AC,Sheet1!S71_DepCode,$AD:$AD)</f>
        <v>0</v>
      </c>
      <c r="I124" s="725">
        <f>SUMIFS(Sheet1!S71_ASBudgetAmount,Sheet1!S71_SA34dCode,$AC:$AC,Sheet1!S71_DepCode,$AD:$AD)</f>
        <v>0</v>
      </c>
      <c r="J124" s="712">
        <f>SUMIFS(Sheet1!S71_OY1BudgetAmount,Sheet1!S71_SA34dCode,$AC:$AC,Sheet1!S71_DepCode,$AD:$AD)</f>
        <v>0</v>
      </c>
      <c r="K124" s="713">
        <f>SUMIFS(Sheet1!S71_OY2BudgetAmount,Sheet1!S71_SA34dCode,$AC:$AC,Sheet1!S71_DepCode,$AD:$AD)</f>
        <v>0</v>
      </c>
      <c r="AC124" s="2365" t="s">
        <v>2896</v>
      </c>
      <c r="AD124" s="2365" t="s">
        <v>2821</v>
      </c>
    </row>
    <row r="125" spans="1:30" ht="13.15" customHeight="1" x14ac:dyDescent="0.25">
      <c r="A125" s="2125" t="s">
        <v>2315</v>
      </c>
      <c r="B125" s="144"/>
      <c r="C125" s="712">
        <f>SUMIFS(Sheet1!S71_PPPYearAmount,Sheet1!S71_SA34dCode,$AC:$AC,Sheet1!S71_DepCode,$AD:$AD)</f>
        <v>0</v>
      </c>
      <c r="D125" s="712">
        <f>SUMIFS(Sheet1!S71_PPYearAmount,Sheet1!S71_SA34dCode,$AC:$AC,Sheet1!S71_DepCode,$AD:$AD)</f>
        <v>0</v>
      </c>
      <c r="E125" s="715">
        <f>SUMIFS(Sheet1!S71_PYearAmount,Sheet1!S71_SA34dCode,$AC:$AC,Sheet1!S71_DepCode,$AD:$AD)</f>
        <v>0</v>
      </c>
      <c r="F125" s="725">
        <f>SUMIFS(Sheet1!S71_OriginalBudAmnt,Sheet1!S71_SA34dCode,$AC:$AC,Sheet1!S71_DepCode,$AD:$AD)</f>
        <v>0</v>
      </c>
      <c r="G125" s="712">
        <f>SUMIFS(Sheet1!S71_AdjustmentBudAmnt,Sheet1!S71_SA34dCode,$AC:$AC,Sheet1!S71_DepCode,$AD:$AD)</f>
        <v>0</v>
      </c>
      <c r="H125" s="713">
        <f>SUMIFS(Sheet1!S71_AdjustmentBudAmnt,Sheet1!S71_SA34dCode,$AC:$AC,Sheet1!S71_DepCode,$AD:$AD)</f>
        <v>0</v>
      </c>
      <c r="I125" s="725">
        <f>SUMIFS(Sheet1!S71_ASBudgetAmount,Sheet1!S71_SA34dCode,$AC:$AC,Sheet1!S71_DepCode,$AD:$AD)</f>
        <v>0</v>
      </c>
      <c r="J125" s="712">
        <f>SUMIFS(Sheet1!S71_OY1BudgetAmount,Sheet1!S71_SA34dCode,$AC:$AC,Sheet1!S71_DepCode,$AD:$AD)</f>
        <v>0</v>
      </c>
      <c r="K125" s="713">
        <f>SUMIFS(Sheet1!S71_OY2BudgetAmount,Sheet1!S71_SA34dCode,$AC:$AC,Sheet1!S71_DepCode,$AD:$AD)</f>
        <v>0</v>
      </c>
      <c r="AC125" s="2365" t="s">
        <v>2897</v>
      </c>
      <c r="AD125" s="2365" t="s">
        <v>2821</v>
      </c>
    </row>
    <row r="126" spans="1:30" ht="13.15" customHeight="1" x14ac:dyDescent="0.25">
      <c r="A126" s="2125" t="s">
        <v>2316</v>
      </c>
      <c r="B126" s="144"/>
      <c r="C126" s="712">
        <f>SUMIFS(Sheet1!S71_PPPYearAmount,Sheet1!S71_SA34dCode,$AC:$AC,Sheet1!S71_DepCode,$AD:$AD)</f>
        <v>0</v>
      </c>
      <c r="D126" s="712">
        <f>SUMIFS(Sheet1!S71_PPYearAmount,Sheet1!S71_SA34dCode,$AC:$AC,Sheet1!S71_DepCode,$AD:$AD)</f>
        <v>0</v>
      </c>
      <c r="E126" s="715">
        <f>SUMIFS(Sheet1!S71_PYearAmount,Sheet1!S71_SA34dCode,$AC:$AC,Sheet1!S71_DepCode,$AD:$AD)</f>
        <v>0</v>
      </c>
      <c r="F126" s="725">
        <f>SUMIFS(Sheet1!S71_OriginalBudAmnt,Sheet1!S71_SA34dCode,$AC:$AC,Sheet1!S71_DepCode,$AD:$AD)</f>
        <v>0</v>
      </c>
      <c r="G126" s="712">
        <f>SUMIFS(Sheet1!S71_AdjustmentBudAmnt,Sheet1!S71_SA34dCode,$AC:$AC,Sheet1!S71_DepCode,$AD:$AD)</f>
        <v>0</v>
      </c>
      <c r="H126" s="713">
        <f>SUMIFS(Sheet1!S71_AdjustmentBudAmnt,Sheet1!S71_SA34dCode,$AC:$AC,Sheet1!S71_DepCode,$AD:$AD)</f>
        <v>0</v>
      </c>
      <c r="I126" s="725">
        <f>SUMIFS(Sheet1!S71_ASBudgetAmount,Sheet1!S71_SA34dCode,$AC:$AC,Sheet1!S71_DepCode,$AD:$AD)</f>
        <v>0</v>
      </c>
      <c r="J126" s="712">
        <f>SUMIFS(Sheet1!S71_OY1BudgetAmount,Sheet1!S71_SA34dCode,$AC:$AC,Sheet1!S71_DepCode,$AD:$AD)</f>
        <v>0</v>
      </c>
      <c r="K126" s="713">
        <f>SUMIFS(Sheet1!S71_OY2BudgetAmount,Sheet1!S71_SA34dCode,$AC:$AC,Sheet1!S71_DepCode,$AD:$AD)</f>
        <v>0</v>
      </c>
      <c r="AC126" s="2365" t="s">
        <v>2898</v>
      </c>
      <c r="AD126" s="2365" t="s">
        <v>2821</v>
      </c>
    </row>
    <row r="127" spans="1:30" ht="13.15" customHeight="1" x14ac:dyDescent="0.25">
      <c r="A127" s="2125" t="s">
        <v>2317</v>
      </c>
      <c r="B127" s="144"/>
      <c r="C127" s="712">
        <f>SUMIFS(Sheet1!S71_PPPYearAmount,Sheet1!S71_SA34dCode,$AC:$AC,Sheet1!S71_DepCode,$AD:$AD)</f>
        <v>0</v>
      </c>
      <c r="D127" s="712">
        <f>SUMIFS(Sheet1!S71_PPYearAmount,Sheet1!S71_SA34dCode,$AC:$AC,Sheet1!S71_DepCode,$AD:$AD)</f>
        <v>0</v>
      </c>
      <c r="E127" s="715">
        <f>SUMIFS(Sheet1!S71_PYearAmount,Sheet1!S71_SA34dCode,$AC:$AC,Sheet1!S71_DepCode,$AD:$AD)</f>
        <v>0</v>
      </c>
      <c r="F127" s="725">
        <f>SUMIFS(Sheet1!S71_OriginalBudAmnt,Sheet1!S71_SA34dCode,$AC:$AC,Sheet1!S71_DepCode,$AD:$AD)</f>
        <v>0</v>
      </c>
      <c r="G127" s="712">
        <f>SUMIFS(Sheet1!S71_AdjustmentBudAmnt,Sheet1!S71_SA34dCode,$AC:$AC,Sheet1!S71_DepCode,$AD:$AD)</f>
        <v>0</v>
      </c>
      <c r="H127" s="713">
        <f>SUMIFS(Sheet1!S71_AdjustmentBudAmnt,Sheet1!S71_SA34dCode,$AC:$AC,Sheet1!S71_DepCode,$AD:$AD)</f>
        <v>0</v>
      </c>
      <c r="I127" s="725">
        <f>SUMIFS(Sheet1!S71_ASBudgetAmount,Sheet1!S71_SA34dCode,$AC:$AC,Sheet1!S71_DepCode,$AD:$AD)</f>
        <v>0</v>
      </c>
      <c r="J127" s="712">
        <f>SUMIFS(Sheet1!S71_OY1BudgetAmount,Sheet1!S71_SA34dCode,$AC:$AC,Sheet1!S71_DepCode,$AD:$AD)</f>
        <v>0</v>
      </c>
      <c r="K127" s="713">
        <f>SUMIFS(Sheet1!S71_OY2BudgetAmount,Sheet1!S71_SA34dCode,$AC:$AC,Sheet1!S71_DepCode,$AD:$AD)</f>
        <v>0</v>
      </c>
      <c r="AC127" s="2365" t="s">
        <v>2899</v>
      </c>
      <c r="AD127" s="2365" t="s">
        <v>2821</v>
      </c>
    </row>
    <row r="128" spans="1:30" ht="13.15" customHeight="1" x14ac:dyDescent="0.25">
      <c r="A128" s="2125" t="s">
        <v>2318</v>
      </c>
      <c r="B128" s="144"/>
      <c r="C128" s="712">
        <f>SUMIFS(Sheet1!S71_PPPYearAmount,Sheet1!S71_SA34dCode,$AC:$AC,Sheet1!S71_DepCode,$AD:$AD)</f>
        <v>0</v>
      </c>
      <c r="D128" s="712">
        <f>SUMIFS(Sheet1!S71_PPYearAmount,Sheet1!S71_SA34dCode,$AC:$AC,Sheet1!S71_DepCode,$AD:$AD)</f>
        <v>0</v>
      </c>
      <c r="E128" s="715">
        <f>SUMIFS(Sheet1!S71_PYearAmount,Sheet1!S71_SA34dCode,$AC:$AC,Sheet1!S71_DepCode,$AD:$AD)</f>
        <v>0</v>
      </c>
      <c r="F128" s="725">
        <f>SUMIFS(Sheet1!S71_OriginalBudAmnt,Sheet1!S71_SA34dCode,$AC:$AC,Sheet1!S71_DepCode,$AD:$AD)</f>
        <v>0</v>
      </c>
      <c r="G128" s="712">
        <f>SUMIFS(Sheet1!S71_AdjustmentBudAmnt,Sheet1!S71_SA34dCode,$AC:$AC,Sheet1!S71_DepCode,$AD:$AD)</f>
        <v>0</v>
      </c>
      <c r="H128" s="713">
        <f>SUMIFS(Sheet1!S71_AdjustmentBudAmnt,Sheet1!S71_SA34dCode,$AC:$AC,Sheet1!S71_DepCode,$AD:$AD)</f>
        <v>0</v>
      </c>
      <c r="I128" s="725">
        <f>SUMIFS(Sheet1!S71_ASBudgetAmount,Sheet1!S71_SA34dCode,$AC:$AC,Sheet1!S71_DepCode,$AD:$AD)</f>
        <v>0</v>
      </c>
      <c r="J128" s="712">
        <f>SUMIFS(Sheet1!S71_OY1BudgetAmount,Sheet1!S71_SA34dCode,$AC:$AC,Sheet1!S71_DepCode,$AD:$AD)</f>
        <v>0</v>
      </c>
      <c r="K128" s="713">
        <f>SUMIFS(Sheet1!S71_OY2BudgetAmount,Sheet1!S71_SA34dCode,$AC:$AC,Sheet1!S71_DepCode,$AD:$AD)</f>
        <v>0</v>
      </c>
      <c r="AC128" s="2365" t="s">
        <v>2900</v>
      </c>
      <c r="AD128" s="2365" t="s">
        <v>2821</v>
      </c>
    </row>
    <row r="129" spans="1:30" ht="13.15" customHeight="1" x14ac:dyDescent="0.25">
      <c r="A129" s="2125" t="s">
        <v>2319</v>
      </c>
      <c r="B129" s="144"/>
      <c r="C129" s="712">
        <f>SUMIFS(Sheet1!S71_PPPYearAmount,Sheet1!S71_SA34dCode,$AC:$AC,Sheet1!S71_DepCode,$AD:$AD)</f>
        <v>0</v>
      </c>
      <c r="D129" s="712">
        <f>SUMIFS(Sheet1!S71_PPYearAmount,Sheet1!S71_SA34dCode,$AC:$AC,Sheet1!S71_DepCode,$AD:$AD)</f>
        <v>0</v>
      </c>
      <c r="E129" s="715">
        <f>SUMIFS(Sheet1!S71_PYearAmount,Sheet1!S71_SA34dCode,$AC:$AC,Sheet1!S71_DepCode,$AD:$AD)</f>
        <v>0</v>
      </c>
      <c r="F129" s="725">
        <f>SUMIFS(Sheet1!S71_OriginalBudAmnt,Sheet1!S71_SA34dCode,$AC:$AC,Sheet1!S71_DepCode,$AD:$AD)</f>
        <v>0</v>
      </c>
      <c r="G129" s="712">
        <f>SUMIFS(Sheet1!S71_AdjustmentBudAmnt,Sheet1!S71_SA34dCode,$AC:$AC,Sheet1!S71_DepCode,$AD:$AD)</f>
        <v>0</v>
      </c>
      <c r="H129" s="713">
        <f>SUMIFS(Sheet1!S71_AdjustmentBudAmnt,Sheet1!S71_SA34dCode,$AC:$AC,Sheet1!S71_DepCode,$AD:$AD)</f>
        <v>0</v>
      </c>
      <c r="I129" s="725">
        <f>SUMIFS(Sheet1!S71_ASBudgetAmount,Sheet1!S71_SA34dCode,$AC:$AC,Sheet1!S71_DepCode,$AD:$AD)</f>
        <v>0</v>
      </c>
      <c r="J129" s="712">
        <f>SUMIFS(Sheet1!S71_OY1BudgetAmount,Sheet1!S71_SA34dCode,$AC:$AC,Sheet1!S71_DepCode,$AD:$AD)</f>
        <v>0</v>
      </c>
      <c r="K129" s="713">
        <f>SUMIFS(Sheet1!S71_OY2BudgetAmount,Sheet1!S71_SA34dCode,$AC:$AC,Sheet1!S71_DepCode,$AD:$AD)</f>
        <v>0</v>
      </c>
      <c r="AC129" s="2365" t="s">
        <v>2901</v>
      </c>
      <c r="AD129" s="2365" t="s">
        <v>2821</v>
      </c>
    </row>
    <row r="130" spans="1:30" ht="13.15" customHeight="1" x14ac:dyDescent="0.25">
      <c r="A130" s="2125" t="s">
        <v>2233</v>
      </c>
      <c r="B130" s="144"/>
      <c r="C130" s="712">
        <f>SUMIFS(Sheet1!S71_PPPYearAmount,Sheet1!S71_SA34dCode,$AC:$AC,Sheet1!S71_DepCode,$AD:$AD)</f>
        <v>0</v>
      </c>
      <c r="D130" s="712">
        <f>SUMIFS(Sheet1!S71_PPYearAmount,Sheet1!S71_SA34dCode,$AC:$AC,Sheet1!S71_DepCode,$AD:$AD)</f>
        <v>0</v>
      </c>
      <c r="E130" s="715">
        <f>SUMIFS(Sheet1!S71_PYearAmount,Sheet1!S71_SA34dCode,$AC:$AC,Sheet1!S71_DepCode,$AD:$AD)</f>
        <v>0</v>
      </c>
      <c r="F130" s="725">
        <f>SUMIFS(Sheet1!S71_OriginalBudAmnt,Sheet1!S71_SA34dCode,$AC:$AC,Sheet1!S71_DepCode,$AD:$AD)</f>
        <v>0</v>
      </c>
      <c r="G130" s="712">
        <f>SUMIFS(Sheet1!S71_AdjustmentBudAmnt,Sheet1!S71_SA34dCode,$AC:$AC,Sheet1!S71_DepCode,$AD:$AD)</f>
        <v>0</v>
      </c>
      <c r="H130" s="713">
        <f>SUMIFS(Sheet1!S71_AdjustmentBudAmnt,Sheet1!S71_SA34dCode,$AC:$AC,Sheet1!S71_DepCode,$AD:$AD)</f>
        <v>0</v>
      </c>
      <c r="I130" s="725">
        <f>SUMIFS(Sheet1!S71_ASBudgetAmount,Sheet1!S71_SA34dCode,$AC:$AC,Sheet1!S71_DepCode,$AD:$AD)</f>
        <v>0</v>
      </c>
      <c r="J130" s="712">
        <f>SUMIFS(Sheet1!S71_OY1BudgetAmount,Sheet1!S71_SA34dCode,$AC:$AC,Sheet1!S71_DepCode,$AD:$AD)</f>
        <v>0</v>
      </c>
      <c r="K130" s="713">
        <f>SUMIFS(Sheet1!S71_OY2BudgetAmount,Sheet1!S71_SA34dCode,$AC:$AC,Sheet1!S71_DepCode,$AD:$AD)</f>
        <v>0</v>
      </c>
      <c r="AC130" s="2365" t="s">
        <v>2071</v>
      </c>
      <c r="AD130" s="2365" t="s">
        <v>2821</v>
      </c>
    </row>
    <row r="131" spans="1:30" ht="13.15" customHeight="1" x14ac:dyDescent="0.25">
      <c r="A131" s="104" t="s">
        <v>1487</v>
      </c>
      <c r="B131" s="144"/>
      <c r="C131" s="71">
        <f>SUM(C132:C134)</f>
        <v>0</v>
      </c>
      <c r="D131" s="71">
        <f t="shared" ref="D131:K131" si="19">SUM(D132:D134)</f>
        <v>0</v>
      </c>
      <c r="E131" s="305">
        <f t="shared" si="19"/>
        <v>0</v>
      </c>
      <c r="F131" s="75">
        <f t="shared" si="19"/>
        <v>0</v>
      </c>
      <c r="G131" s="71">
        <f t="shared" si="19"/>
        <v>0</v>
      </c>
      <c r="H131" s="117">
        <f t="shared" si="19"/>
        <v>0</v>
      </c>
      <c r="I131" s="75">
        <f t="shared" si="19"/>
        <v>0</v>
      </c>
      <c r="J131" s="71">
        <f t="shared" si="19"/>
        <v>0</v>
      </c>
      <c r="K131" s="117">
        <f t="shared" si="19"/>
        <v>0</v>
      </c>
      <c r="AD131" s="2365" t="s">
        <v>2821</v>
      </c>
    </row>
    <row r="132" spans="1:30" ht="13.15" customHeight="1" x14ac:dyDescent="0.25">
      <c r="A132" s="2125" t="s">
        <v>2320</v>
      </c>
      <c r="B132" s="144"/>
      <c r="C132" s="712">
        <f>SUMIFS(Sheet1!S71_PPPYearAmount,Sheet1!S71_SA34dCode,$AC:$AC,Sheet1!S71_DepCode,$AD:$AD)</f>
        <v>0</v>
      </c>
      <c r="D132" s="712">
        <f>SUMIFS(Sheet1!S71_PPYearAmount,Sheet1!S71_SA34dCode,$AC:$AC,Sheet1!S71_DepCode,$AD:$AD)</f>
        <v>0</v>
      </c>
      <c r="E132" s="715">
        <f>SUMIFS(Sheet1!S71_PYearAmount,Sheet1!S71_SA34dCode,$AC:$AC,Sheet1!S71_DepCode,$AD:$AD)</f>
        <v>0</v>
      </c>
      <c r="F132" s="725">
        <f>SUMIFS(Sheet1!S71_OriginalBudAmnt,Sheet1!S71_SA34dCode,$AC:$AC,Sheet1!S71_DepCode,$AD:$AD)</f>
        <v>0</v>
      </c>
      <c r="G132" s="712">
        <f>SUMIFS(Sheet1!S71_AdjustmentBudAmnt,Sheet1!S71_SA34dCode,$AC:$AC,Sheet1!S71_DepCode,$AD:$AD)</f>
        <v>0</v>
      </c>
      <c r="H132" s="713">
        <f>SUMIFS(Sheet1!S71_AdjustmentBudAmnt,Sheet1!S71_SA34dCode,$AC:$AC,Sheet1!S71_DepCode,$AD:$AD)</f>
        <v>0</v>
      </c>
      <c r="I132" s="725">
        <f>SUMIFS(Sheet1!S71_ASBudgetAmount,Sheet1!S71_SA34dCode,$AC:$AC,Sheet1!S71_DepCode,$AD:$AD)</f>
        <v>0</v>
      </c>
      <c r="J132" s="712">
        <f>SUMIFS(Sheet1!S71_OY1BudgetAmount,Sheet1!S71_SA34dCode,$AC:$AC,Sheet1!S71_DepCode,$AD:$AD)</f>
        <v>0</v>
      </c>
      <c r="K132" s="713">
        <f>SUMIFS(Sheet1!S71_OY2BudgetAmount,Sheet1!S71_SA34dCode,$AC:$AC,Sheet1!S71_DepCode,$AD:$AD)</f>
        <v>0</v>
      </c>
      <c r="AC132" s="2365" t="s">
        <v>2902</v>
      </c>
      <c r="AD132" s="2365" t="s">
        <v>2821</v>
      </c>
    </row>
    <row r="133" spans="1:30" ht="13.15" customHeight="1" x14ac:dyDescent="0.25">
      <c r="A133" s="2125" t="s">
        <v>2321</v>
      </c>
      <c r="B133" s="144"/>
      <c r="C133" s="712">
        <f>SUMIFS(Sheet1!S71_PPPYearAmount,Sheet1!S71_SA34dCode,$AC:$AC,Sheet1!S71_DepCode,$AD:$AD)</f>
        <v>0</v>
      </c>
      <c r="D133" s="712">
        <f>SUMIFS(Sheet1!S71_PPYearAmount,Sheet1!S71_SA34dCode,$AC:$AC,Sheet1!S71_DepCode,$AD:$AD)</f>
        <v>0</v>
      </c>
      <c r="E133" s="715">
        <f>SUMIFS(Sheet1!S71_PYearAmount,Sheet1!S71_SA34dCode,$AC:$AC,Sheet1!S71_DepCode,$AD:$AD)</f>
        <v>0</v>
      </c>
      <c r="F133" s="725">
        <f>SUMIFS(Sheet1!S71_OriginalBudAmnt,Sheet1!S71_SA34dCode,$AC:$AC,Sheet1!S71_DepCode,$AD:$AD)</f>
        <v>0</v>
      </c>
      <c r="G133" s="712">
        <f>SUMIFS(Sheet1!S71_AdjustmentBudAmnt,Sheet1!S71_SA34dCode,$AC:$AC,Sheet1!S71_DepCode,$AD:$AD)</f>
        <v>0</v>
      </c>
      <c r="H133" s="713">
        <f>SUMIFS(Sheet1!S71_AdjustmentBudAmnt,Sheet1!S71_SA34dCode,$AC:$AC,Sheet1!S71_DepCode,$AD:$AD)</f>
        <v>0</v>
      </c>
      <c r="I133" s="725">
        <f>SUMIFS(Sheet1!S71_ASBudgetAmount,Sheet1!S71_SA34dCode,$AC:$AC,Sheet1!S71_DepCode,$AD:$AD)</f>
        <v>0</v>
      </c>
      <c r="J133" s="712">
        <f>SUMIFS(Sheet1!S71_OY1BudgetAmount,Sheet1!S71_SA34dCode,$AC:$AC,Sheet1!S71_DepCode,$AD:$AD)</f>
        <v>0</v>
      </c>
      <c r="K133" s="713">
        <f>SUMIFS(Sheet1!S71_OY2BudgetAmount,Sheet1!S71_SA34dCode,$AC:$AC,Sheet1!S71_DepCode,$AD:$AD)</f>
        <v>0</v>
      </c>
      <c r="AC133" s="2365" t="s">
        <v>2903</v>
      </c>
      <c r="AD133" s="2365" t="s">
        <v>2821</v>
      </c>
    </row>
    <row r="134" spans="1:30" ht="13.15" customHeight="1" x14ac:dyDescent="0.25">
      <c r="A134" s="2125" t="s">
        <v>2233</v>
      </c>
      <c r="B134" s="144"/>
      <c r="C134" s="712">
        <f>SUMIFS(Sheet1!S71_PPPYearAmount,Sheet1!S71_SA34dCode,$AC:$AC,Sheet1!S71_DepCode,$AD:$AD)</f>
        <v>0</v>
      </c>
      <c r="D134" s="712">
        <f>SUMIFS(Sheet1!S71_PPYearAmount,Sheet1!S71_SA34dCode,$AC:$AC,Sheet1!S71_DepCode,$AD:$AD)</f>
        <v>0</v>
      </c>
      <c r="E134" s="715">
        <f>SUMIFS(Sheet1!S71_PYearAmount,Sheet1!S71_SA34dCode,$AC:$AC,Sheet1!S71_DepCode,$AD:$AD)</f>
        <v>0</v>
      </c>
      <c r="F134" s="725">
        <f>SUMIFS(Sheet1!S71_OriginalBudAmnt,Sheet1!S71_SA34dCode,$AC:$AC,Sheet1!S71_DepCode,$AD:$AD)</f>
        <v>0</v>
      </c>
      <c r="G134" s="712">
        <f>SUMIFS(Sheet1!S71_AdjustmentBudAmnt,Sheet1!S71_SA34dCode,$AC:$AC,Sheet1!S71_DepCode,$AD:$AD)</f>
        <v>0</v>
      </c>
      <c r="H134" s="713">
        <f>SUMIFS(Sheet1!S71_AdjustmentBudAmnt,Sheet1!S71_SA34dCode,$AC:$AC,Sheet1!S71_DepCode,$AD:$AD)</f>
        <v>0</v>
      </c>
      <c r="I134" s="725">
        <f>SUMIFS(Sheet1!S71_ASBudgetAmount,Sheet1!S71_SA34dCode,$AC:$AC,Sheet1!S71_DepCode,$AD:$AD)</f>
        <v>0</v>
      </c>
      <c r="J134" s="712">
        <f>SUMIFS(Sheet1!S71_OY1BudgetAmount,Sheet1!S71_SA34dCode,$AC:$AC,Sheet1!S71_DepCode,$AD:$AD)</f>
        <v>0</v>
      </c>
      <c r="K134" s="713">
        <f>SUMIFS(Sheet1!S71_OY2BudgetAmount,Sheet1!S71_SA34dCode,$AC:$AC,Sheet1!S71_DepCode,$AD:$AD)</f>
        <v>0</v>
      </c>
      <c r="AC134" s="2365" t="s">
        <v>2904</v>
      </c>
      <c r="AD134" s="2365" t="s">
        <v>2821</v>
      </c>
    </row>
    <row r="135" spans="1:30" ht="4.9000000000000004" customHeight="1" x14ac:dyDescent="0.25">
      <c r="A135" s="2127"/>
      <c r="B135" s="144"/>
      <c r="C135" s="177"/>
      <c r="D135" s="177"/>
      <c r="E135" s="180"/>
      <c r="F135" s="179"/>
      <c r="G135" s="177"/>
      <c r="H135" s="178"/>
      <c r="I135" s="179"/>
      <c r="J135" s="177"/>
      <c r="K135" s="178"/>
      <c r="AD135" s="2365" t="s">
        <v>2821</v>
      </c>
    </row>
    <row r="136" spans="1:30" ht="13.15" customHeight="1" x14ac:dyDescent="0.25">
      <c r="A136" s="96" t="s">
        <v>2322</v>
      </c>
      <c r="B136" s="144"/>
      <c r="C136" s="177">
        <f t="shared" ref="C136:K136" si="20">SUM(C137:C137)</f>
        <v>0</v>
      </c>
      <c r="D136" s="177">
        <f t="shared" si="20"/>
        <v>0</v>
      </c>
      <c r="E136" s="180">
        <f t="shared" si="20"/>
        <v>0</v>
      </c>
      <c r="F136" s="179">
        <f t="shared" si="20"/>
        <v>0</v>
      </c>
      <c r="G136" s="177">
        <f t="shared" si="20"/>
        <v>0</v>
      </c>
      <c r="H136" s="178">
        <f t="shared" si="20"/>
        <v>0</v>
      </c>
      <c r="I136" s="179">
        <f t="shared" si="20"/>
        <v>0</v>
      </c>
      <c r="J136" s="177">
        <f t="shared" si="20"/>
        <v>0</v>
      </c>
      <c r="K136" s="178">
        <f t="shared" si="20"/>
        <v>0</v>
      </c>
      <c r="AD136" s="2365" t="s">
        <v>2821</v>
      </c>
    </row>
    <row r="137" spans="1:30" ht="13.15" customHeight="1" x14ac:dyDescent="0.25">
      <c r="A137" s="104" t="s">
        <v>2322</v>
      </c>
      <c r="B137" s="144"/>
      <c r="C137" s="712">
        <f>SUMIFS(Sheet1!S71_PPPYearAmount,Sheet1!S71_SA34dCode,$AC:$AC,Sheet1!S71_DepCode,$AD:$AD)</f>
        <v>0</v>
      </c>
      <c r="D137" s="712">
        <f>SUMIFS(Sheet1!S71_PPYearAmount,Sheet1!S71_SA34dCode,$AC:$AC,Sheet1!S71_DepCode,$AD:$AD)</f>
        <v>0</v>
      </c>
      <c r="E137" s="715">
        <f>SUMIFS(Sheet1!S71_PYearAmount,Sheet1!S71_SA34dCode,$AC:$AC,Sheet1!S71_DepCode,$AD:$AD)</f>
        <v>0</v>
      </c>
      <c r="F137" s="725">
        <f>SUMIFS(Sheet1!S71_OriginalBudAmnt,Sheet1!S71_SA34dCode,$AC:$AC,Sheet1!S71_DepCode,$AD:$AD)</f>
        <v>0</v>
      </c>
      <c r="G137" s="712">
        <f>SUMIFS(Sheet1!S71_AdjustmentBudAmnt,Sheet1!S71_SA34dCode,$AC:$AC,Sheet1!S71_DepCode,$AD:$AD)</f>
        <v>0</v>
      </c>
      <c r="H137" s="713">
        <f>SUMIFS(Sheet1!S71_AdjustmentBudAmnt,Sheet1!S71_SA34dCode,$AC:$AC,Sheet1!S71_DepCode,$AD:$AD)</f>
        <v>0</v>
      </c>
      <c r="I137" s="725">
        <f>SUMIFS(Sheet1!S71_ASBudgetAmount,Sheet1!S71_SA34dCode,$AC:$AC,Sheet1!S71_DepCode,$AD:$AD)</f>
        <v>0</v>
      </c>
      <c r="J137" s="712">
        <f>SUMIFS(Sheet1!S71_OY1BudgetAmount,Sheet1!S71_SA34dCode,$AC:$AC,Sheet1!S71_DepCode,$AD:$AD)</f>
        <v>0</v>
      </c>
      <c r="K137" s="713">
        <f>SUMIFS(Sheet1!S71_OY2BudgetAmount,Sheet1!S71_SA34dCode,$AC:$AC,Sheet1!S71_DepCode,$AD:$AD)</f>
        <v>0</v>
      </c>
      <c r="AC137" s="2365" t="s">
        <v>2797</v>
      </c>
      <c r="AD137" s="2365" t="s">
        <v>2821</v>
      </c>
    </row>
    <row r="138" spans="1:30" ht="4.9000000000000004" customHeight="1" x14ac:dyDescent="0.25">
      <c r="A138" s="116"/>
      <c r="B138" s="144"/>
      <c r="C138" s="177"/>
      <c r="D138" s="177"/>
      <c r="E138" s="180"/>
      <c r="F138" s="179"/>
      <c r="G138" s="177"/>
      <c r="H138" s="178"/>
      <c r="I138" s="179"/>
      <c r="J138" s="177"/>
      <c r="K138" s="178"/>
      <c r="AD138" s="2365" t="s">
        <v>2821</v>
      </c>
    </row>
    <row r="139" spans="1:30" ht="13.15" customHeight="1" x14ac:dyDescent="0.25">
      <c r="A139" s="96" t="s">
        <v>2325</v>
      </c>
      <c r="B139" s="144"/>
      <c r="C139" s="177">
        <f>+C140+C141</f>
        <v>0</v>
      </c>
      <c r="D139" s="177">
        <f t="shared" ref="D139:K139" si="21">+D140+D141</f>
        <v>0</v>
      </c>
      <c r="E139" s="180">
        <f t="shared" si="21"/>
        <v>221717</v>
      </c>
      <c r="F139" s="179">
        <f t="shared" si="21"/>
        <v>234628</v>
      </c>
      <c r="G139" s="177">
        <f t="shared" si="21"/>
        <v>234628</v>
      </c>
      <c r="H139" s="178">
        <f t="shared" si="21"/>
        <v>234628</v>
      </c>
      <c r="I139" s="179">
        <f t="shared" si="21"/>
        <v>243778</v>
      </c>
      <c r="J139" s="177">
        <f t="shared" si="21"/>
        <v>253530</v>
      </c>
      <c r="K139" s="178">
        <f t="shared" si="21"/>
        <v>263671</v>
      </c>
      <c r="AD139" s="2365" t="s">
        <v>2821</v>
      </c>
    </row>
    <row r="140" spans="1:30" ht="13.15" customHeight="1" x14ac:dyDescent="0.25">
      <c r="A140" s="137" t="s">
        <v>2323</v>
      </c>
      <c r="B140" s="144"/>
      <c r="C140" s="712">
        <f>SUMIFS(Sheet1!S71_PPPYearAmount,Sheet1!S71_SA34dCode,$AC:$AC,Sheet1!S71_DepCode,$AD:$AD)</f>
        <v>0</v>
      </c>
      <c r="D140" s="712">
        <f>SUMIFS(Sheet1!S71_PPYearAmount,Sheet1!S71_SA34dCode,$AC:$AC,Sheet1!S71_DepCode,$AD:$AD)</f>
        <v>0</v>
      </c>
      <c r="E140" s="715">
        <f>SUMIFS(Sheet1!S71_PYearAmount,Sheet1!S71_SA34dCode,$AC:$AC,Sheet1!S71_DepCode,$AD:$AD)</f>
        <v>0</v>
      </c>
      <c r="F140" s="725">
        <f>SUMIFS(Sheet1!S71_OriginalBudAmnt,Sheet1!S71_SA34dCode,$AC:$AC,Sheet1!S71_DepCode,$AD:$AD)</f>
        <v>0</v>
      </c>
      <c r="G140" s="712">
        <f>SUMIFS(Sheet1!S71_AdjustmentBudAmnt,Sheet1!S71_SA34dCode,$AC:$AC,Sheet1!S71_DepCode,$AD:$AD)</f>
        <v>0</v>
      </c>
      <c r="H140" s="713">
        <f>SUMIFS(Sheet1!S71_AdjustmentBudAmnt,Sheet1!S71_SA34dCode,$AC:$AC,Sheet1!S71_DepCode,$AD:$AD)</f>
        <v>0</v>
      </c>
      <c r="I140" s="725">
        <f>SUMIFS(Sheet1!S71_ASBudgetAmount,Sheet1!S71_SA34dCode,$AC:$AC,Sheet1!S71_DepCode,$AD:$AD)</f>
        <v>0</v>
      </c>
      <c r="J140" s="712">
        <f>SUMIFS(Sheet1!S71_OY1BudgetAmount,Sheet1!S71_SA34dCode,$AC:$AC,Sheet1!S71_DepCode,$AD:$AD)</f>
        <v>0</v>
      </c>
      <c r="K140" s="713">
        <f>SUMIFS(Sheet1!S71_OY2BudgetAmount,Sheet1!S71_SA34dCode,$AC:$AC,Sheet1!S71_DepCode,$AD:$AD)</f>
        <v>0</v>
      </c>
      <c r="AC140" s="2365" t="s">
        <v>2905</v>
      </c>
      <c r="AD140" s="2365" t="s">
        <v>2821</v>
      </c>
    </row>
    <row r="141" spans="1:30" ht="13.15" customHeight="1" x14ac:dyDescent="0.25">
      <c r="A141" s="137" t="s">
        <v>2324</v>
      </c>
      <c r="B141" s="144"/>
      <c r="C141" s="71">
        <f>SUM(C142:C147)</f>
        <v>0</v>
      </c>
      <c r="D141" s="71">
        <f t="shared" ref="D141:K141" si="22">SUM(D142:D147)</f>
        <v>0</v>
      </c>
      <c r="E141" s="305">
        <f t="shared" si="22"/>
        <v>221717</v>
      </c>
      <c r="F141" s="75">
        <f t="shared" si="22"/>
        <v>234628</v>
      </c>
      <c r="G141" s="71">
        <f t="shared" si="22"/>
        <v>234628</v>
      </c>
      <c r="H141" s="117">
        <f t="shared" si="22"/>
        <v>234628</v>
      </c>
      <c r="I141" s="75">
        <f t="shared" si="22"/>
        <v>243778</v>
      </c>
      <c r="J141" s="71">
        <f t="shared" si="22"/>
        <v>253530</v>
      </c>
      <c r="K141" s="117">
        <f t="shared" si="22"/>
        <v>263671</v>
      </c>
      <c r="AD141" s="2365" t="s">
        <v>2821</v>
      </c>
    </row>
    <row r="142" spans="1:30" ht="13.15" customHeight="1" x14ac:dyDescent="0.25">
      <c r="A142" s="2125" t="s">
        <v>2326</v>
      </c>
      <c r="B142" s="144"/>
      <c r="C142" s="712">
        <f>SUMIFS(Sheet1!S71_PPPYearAmount,Sheet1!S71_SA34dCode,$AC:$AC,Sheet1!S71_DepCode,$AD:$AD)</f>
        <v>0</v>
      </c>
      <c r="D142" s="712">
        <f>SUMIFS(Sheet1!S71_PPYearAmount,Sheet1!S71_SA34dCode,$AC:$AC,Sheet1!S71_DepCode,$AD:$AD)</f>
        <v>0</v>
      </c>
      <c r="E142" s="715">
        <f>SUMIFS(Sheet1!S71_PYearAmount,Sheet1!S71_SA34dCode,$AC:$AC,Sheet1!S71_DepCode,$AD:$AD)</f>
        <v>0</v>
      </c>
      <c r="F142" s="725">
        <f>SUMIFS(Sheet1!S71_OriginalBudAmnt,Sheet1!S71_SA34dCode,$AC:$AC,Sheet1!S71_DepCode,$AD:$AD)</f>
        <v>0</v>
      </c>
      <c r="G142" s="712">
        <f>SUMIFS(Sheet1!S71_AdjustmentBudAmnt,Sheet1!S71_SA34dCode,$AC:$AC,Sheet1!S71_DepCode,$AD:$AD)</f>
        <v>0</v>
      </c>
      <c r="H142" s="713">
        <f>SUMIFS(Sheet1!S71_AdjustmentBudAmnt,Sheet1!S71_SA34dCode,$AC:$AC,Sheet1!S71_DepCode,$AD:$AD)</f>
        <v>0</v>
      </c>
      <c r="I142" s="725">
        <f>SUMIFS(Sheet1!S71_ASBudgetAmount,Sheet1!S71_SA34dCode,$AC:$AC,Sheet1!S71_DepCode,$AD:$AD)</f>
        <v>0</v>
      </c>
      <c r="J142" s="712">
        <f>SUMIFS(Sheet1!S71_OY1BudgetAmount,Sheet1!S71_SA34dCode,$AC:$AC,Sheet1!S71_DepCode,$AD:$AD)</f>
        <v>0</v>
      </c>
      <c r="K142" s="713">
        <f>SUMIFS(Sheet1!S71_OY2BudgetAmount,Sheet1!S71_SA34dCode,$AC:$AC,Sheet1!S71_DepCode,$AD:$AD)</f>
        <v>0</v>
      </c>
      <c r="AC142" s="2365" t="s">
        <v>2080</v>
      </c>
      <c r="AD142" s="2365" t="s">
        <v>2821</v>
      </c>
    </row>
    <row r="143" spans="1:30" ht="13.15" customHeight="1" x14ac:dyDescent="0.25">
      <c r="A143" s="2125" t="s">
        <v>2327</v>
      </c>
      <c r="B143" s="144"/>
      <c r="C143" s="712">
        <f>SUMIFS(Sheet1!S71_PPPYearAmount,Sheet1!S71_SA34dCode,$AC:$AC,Sheet1!S71_DepCode,$AD:$AD)</f>
        <v>0</v>
      </c>
      <c r="D143" s="712">
        <f>SUMIFS(Sheet1!S71_PPYearAmount,Sheet1!S71_SA34dCode,$AC:$AC,Sheet1!S71_DepCode,$AD:$AD)</f>
        <v>0</v>
      </c>
      <c r="E143" s="715">
        <f>SUMIFS(Sheet1!S71_PYearAmount,Sheet1!S71_SA34dCode,$AC:$AC,Sheet1!S71_DepCode,$AD:$AD)</f>
        <v>0</v>
      </c>
      <c r="F143" s="725">
        <f>SUMIFS(Sheet1!S71_OriginalBudAmnt,Sheet1!S71_SA34dCode,$AC:$AC,Sheet1!S71_DepCode,$AD:$AD)</f>
        <v>0</v>
      </c>
      <c r="G143" s="712">
        <f>SUMIFS(Sheet1!S71_AdjustmentBudAmnt,Sheet1!S71_SA34dCode,$AC:$AC,Sheet1!S71_DepCode,$AD:$AD)</f>
        <v>0</v>
      </c>
      <c r="H143" s="713">
        <f>SUMIFS(Sheet1!S71_AdjustmentBudAmnt,Sheet1!S71_SA34dCode,$AC:$AC,Sheet1!S71_DepCode,$AD:$AD)</f>
        <v>0</v>
      </c>
      <c r="I143" s="725">
        <f>SUMIFS(Sheet1!S71_ASBudgetAmount,Sheet1!S71_SA34dCode,$AC:$AC,Sheet1!S71_DepCode,$AD:$AD)</f>
        <v>0</v>
      </c>
      <c r="J143" s="712">
        <f>SUMIFS(Sheet1!S71_OY1BudgetAmount,Sheet1!S71_SA34dCode,$AC:$AC,Sheet1!S71_DepCode,$AD:$AD)</f>
        <v>0</v>
      </c>
      <c r="K143" s="713">
        <f>SUMIFS(Sheet1!S71_OY2BudgetAmount,Sheet1!S71_SA34dCode,$AC:$AC,Sheet1!S71_DepCode,$AD:$AD)</f>
        <v>0</v>
      </c>
      <c r="AC143" s="2365" t="s">
        <v>2906</v>
      </c>
      <c r="AD143" s="2365" t="s">
        <v>2821</v>
      </c>
    </row>
    <row r="144" spans="1:30" ht="13.15" customHeight="1" x14ac:dyDescent="0.25">
      <c r="A144" s="2125" t="s">
        <v>2328</v>
      </c>
      <c r="B144" s="144"/>
      <c r="C144" s="712">
        <f>SUMIFS(Sheet1!S71_PPPYearAmount,Sheet1!S71_SA34dCode,$AC:$AC,Sheet1!S71_DepCode,$AD:$AD)</f>
        <v>0</v>
      </c>
      <c r="D144" s="712">
        <f>SUMIFS(Sheet1!S71_PPYearAmount,Sheet1!S71_SA34dCode,$AC:$AC,Sheet1!S71_DepCode,$AD:$AD)</f>
        <v>0</v>
      </c>
      <c r="E144" s="715">
        <f>SUMIFS(Sheet1!S71_PYearAmount,Sheet1!S71_SA34dCode,$AC:$AC,Sheet1!S71_DepCode,$AD:$AD)</f>
        <v>0</v>
      </c>
      <c r="F144" s="725">
        <f>SUMIFS(Sheet1!S71_OriginalBudAmnt,Sheet1!S71_SA34dCode,$AC:$AC,Sheet1!S71_DepCode,$AD:$AD)</f>
        <v>0</v>
      </c>
      <c r="G144" s="712">
        <f>SUMIFS(Sheet1!S71_AdjustmentBudAmnt,Sheet1!S71_SA34dCode,$AC:$AC,Sheet1!S71_DepCode,$AD:$AD)</f>
        <v>0</v>
      </c>
      <c r="H144" s="713">
        <f>SUMIFS(Sheet1!S71_AdjustmentBudAmnt,Sheet1!S71_SA34dCode,$AC:$AC,Sheet1!S71_DepCode,$AD:$AD)</f>
        <v>0</v>
      </c>
      <c r="I144" s="725">
        <f>SUMIFS(Sheet1!S71_ASBudgetAmount,Sheet1!S71_SA34dCode,$AC:$AC,Sheet1!S71_DepCode,$AD:$AD)</f>
        <v>0</v>
      </c>
      <c r="J144" s="712">
        <f>SUMIFS(Sheet1!S71_OY1BudgetAmount,Sheet1!S71_SA34dCode,$AC:$AC,Sheet1!S71_DepCode,$AD:$AD)</f>
        <v>0</v>
      </c>
      <c r="K144" s="713">
        <f>SUMIFS(Sheet1!S71_OY2BudgetAmount,Sheet1!S71_SA34dCode,$AC:$AC,Sheet1!S71_DepCode,$AD:$AD)</f>
        <v>0</v>
      </c>
      <c r="AC144" s="2365" t="s">
        <v>2907</v>
      </c>
      <c r="AD144" s="2365" t="s">
        <v>2821</v>
      </c>
    </row>
    <row r="145" spans="1:30" ht="13.15" customHeight="1" x14ac:dyDescent="0.25">
      <c r="A145" s="2125" t="s">
        <v>2329</v>
      </c>
      <c r="B145" s="144"/>
      <c r="C145" s="712">
        <f>SUMIFS(Sheet1!S71_PPPYearAmount,Sheet1!S71_SA34dCode,$AC:$AC,Sheet1!S71_DepCode,$AD:$AD)</f>
        <v>0</v>
      </c>
      <c r="D145" s="712">
        <f>SUMIFS(Sheet1!S71_PPYearAmount,Sheet1!S71_SA34dCode,$AC:$AC,Sheet1!S71_DepCode,$AD:$AD)</f>
        <v>0</v>
      </c>
      <c r="E145" s="715">
        <f>SUMIFS(Sheet1!S71_PYearAmount,Sheet1!S71_SA34dCode,$AC:$AC,Sheet1!S71_DepCode,$AD:$AD)</f>
        <v>221717</v>
      </c>
      <c r="F145" s="725">
        <f>SUMIFS(Sheet1!S71_OriginalBudAmnt,Sheet1!S71_SA34dCode,$AC:$AC,Sheet1!S71_DepCode,$AD:$AD)</f>
        <v>234628</v>
      </c>
      <c r="G145" s="712">
        <f>SUMIFS(Sheet1!S71_AdjustmentBudAmnt,Sheet1!S71_SA34dCode,$AC:$AC,Sheet1!S71_DepCode,$AD:$AD)</f>
        <v>234628</v>
      </c>
      <c r="H145" s="713">
        <f>SUMIFS(Sheet1!S71_AdjustmentBudAmnt,Sheet1!S71_SA34dCode,$AC:$AC,Sheet1!S71_DepCode,$AD:$AD)</f>
        <v>234628</v>
      </c>
      <c r="I145" s="725">
        <f>SUMIFS(Sheet1!S71_ASBudgetAmount,Sheet1!S71_SA34dCode,$AC:$AC,Sheet1!S71_DepCode,$AD:$AD)</f>
        <v>243778</v>
      </c>
      <c r="J145" s="712">
        <f>SUMIFS(Sheet1!S71_OY1BudgetAmount,Sheet1!S71_SA34dCode,$AC:$AC,Sheet1!S71_DepCode,$AD:$AD)</f>
        <v>253530</v>
      </c>
      <c r="K145" s="713">
        <f>SUMIFS(Sheet1!S71_OY2BudgetAmount,Sheet1!S71_SA34dCode,$AC:$AC,Sheet1!S71_DepCode,$AD:$AD)</f>
        <v>263671</v>
      </c>
      <c r="AC145" s="2365" t="s">
        <v>2908</v>
      </c>
      <c r="AD145" s="2365" t="s">
        <v>2821</v>
      </c>
    </row>
    <row r="146" spans="1:30" ht="13.15" customHeight="1" x14ac:dyDescent="0.25">
      <c r="A146" s="2125" t="s">
        <v>2330</v>
      </c>
      <c r="B146" s="144"/>
      <c r="C146" s="712">
        <f>SUMIFS(Sheet1!S71_PPPYearAmount,Sheet1!S71_SA34dCode,$AC:$AC,Sheet1!S71_DepCode,$AD:$AD)</f>
        <v>0</v>
      </c>
      <c r="D146" s="712">
        <f>SUMIFS(Sheet1!S71_PPYearAmount,Sheet1!S71_SA34dCode,$AC:$AC,Sheet1!S71_DepCode,$AD:$AD)</f>
        <v>0</v>
      </c>
      <c r="E146" s="715">
        <f>SUMIFS(Sheet1!S71_PYearAmount,Sheet1!S71_SA34dCode,$AC:$AC,Sheet1!S71_DepCode,$AD:$AD)</f>
        <v>0</v>
      </c>
      <c r="F146" s="725">
        <f>SUMIFS(Sheet1!S71_OriginalBudAmnt,Sheet1!S71_SA34dCode,$AC:$AC,Sheet1!S71_DepCode,$AD:$AD)</f>
        <v>0</v>
      </c>
      <c r="G146" s="712">
        <f>SUMIFS(Sheet1!S71_AdjustmentBudAmnt,Sheet1!S71_SA34dCode,$AC:$AC,Sheet1!S71_DepCode,$AD:$AD)</f>
        <v>0</v>
      </c>
      <c r="H146" s="713">
        <f>SUMIFS(Sheet1!S71_AdjustmentBudAmnt,Sheet1!S71_SA34dCode,$AC:$AC,Sheet1!S71_DepCode,$AD:$AD)</f>
        <v>0</v>
      </c>
      <c r="I146" s="725">
        <f>SUMIFS(Sheet1!S71_ASBudgetAmount,Sheet1!S71_SA34dCode,$AC:$AC,Sheet1!S71_DepCode,$AD:$AD)</f>
        <v>0</v>
      </c>
      <c r="J146" s="712">
        <f>SUMIFS(Sheet1!S71_OY1BudgetAmount,Sheet1!S71_SA34dCode,$AC:$AC,Sheet1!S71_DepCode,$AD:$AD)</f>
        <v>0</v>
      </c>
      <c r="K146" s="713">
        <f>SUMIFS(Sheet1!S71_OY2BudgetAmount,Sheet1!S71_SA34dCode,$AC:$AC,Sheet1!S71_DepCode,$AD:$AD)</f>
        <v>0</v>
      </c>
      <c r="AC146" s="2365" t="s">
        <v>2909</v>
      </c>
      <c r="AD146" s="2365" t="s">
        <v>2821</v>
      </c>
    </row>
    <row r="147" spans="1:30" ht="13.15" customHeight="1" x14ac:dyDescent="0.25">
      <c r="A147" s="2125" t="s">
        <v>2331</v>
      </c>
      <c r="B147" s="144"/>
      <c r="C147" s="712">
        <f>SUMIFS(Sheet1!S71_PPPYearAmount,Sheet1!S71_SA34dCode,$AC:$AC,Sheet1!S71_DepCode,$AD:$AD)</f>
        <v>0</v>
      </c>
      <c r="D147" s="712">
        <f>SUMIFS(Sheet1!S71_PPYearAmount,Sheet1!S71_SA34dCode,$AC:$AC,Sheet1!S71_DepCode,$AD:$AD)</f>
        <v>0</v>
      </c>
      <c r="E147" s="715">
        <f>SUMIFS(Sheet1!S71_PYearAmount,Sheet1!S71_SA34dCode,$AC:$AC,Sheet1!S71_DepCode,$AD:$AD)</f>
        <v>0</v>
      </c>
      <c r="F147" s="725">
        <f>SUMIFS(Sheet1!S71_OriginalBudAmnt,Sheet1!S71_SA34dCode,$AC:$AC,Sheet1!S71_DepCode,$AD:$AD)</f>
        <v>0</v>
      </c>
      <c r="G147" s="712">
        <f>SUMIFS(Sheet1!S71_AdjustmentBudAmnt,Sheet1!S71_SA34dCode,$AC:$AC,Sheet1!S71_DepCode,$AD:$AD)</f>
        <v>0</v>
      </c>
      <c r="H147" s="713">
        <f>SUMIFS(Sheet1!S71_AdjustmentBudAmnt,Sheet1!S71_SA34dCode,$AC:$AC,Sheet1!S71_DepCode,$AD:$AD)</f>
        <v>0</v>
      </c>
      <c r="I147" s="725">
        <f>SUMIFS(Sheet1!S71_ASBudgetAmount,Sheet1!S71_SA34dCode,$AC:$AC,Sheet1!S71_DepCode,$AD:$AD)</f>
        <v>0</v>
      </c>
      <c r="J147" s="712">
        <f>SUMIFS(Sheet1!S71_OY1BudgetAmount,Sheet1!S71_SA34dCode,$AC:$AC,Sheet1!S71_DepCode,$AD:$AD)</f>
        <v>0</v>
      </c>
      <c r="K147" s="713">
        <f>SUMIFS(Sheet1!S71_OY2BudgetAmount,Sheet1!S71_SA34dCode,$AC:$AC,Sheet1!S71_DepCode,$AD:$AD)</f>
        <v>0</v>
      </c>
      <c r="AC147" s="2365" t="s">
        <v>2910</v>
      </c>
      <c r="AD147" s="2365" t="s">
        <v>2821</v>
      </c>
    </row>
    <row r="148" spans="1:30" ht="4.9000000000000004" customHeight="1" x14ac:dyDescent="0.25">
      <c r="A148" s="116"/>
      <c r="B148" s="144"/>
      <c r="C148" s="545"/>
      <c r="D148" s="545"/>
      <c r="E148" s="831"/>
      <c r="F148" s="743"/>
      <c r="G148" s="545"/>
      <c r="H148" s="742"/>
      <c r="I148" s="743"/>
      <c r="J148" s="545"/>
      <c r="K148" s="742"/>
      <c r="AD148" s="2365" t="s">
        <v>2821</v>
      </c>
    </row>
    <row r="149" spans="1:30" ht="13.15" customHeight="1" x14ac:dyDescent="0.25">
      <c r="A149" s="96" t="s">
        <v>2332</v>
      </c>
      <c r="B149" s="144"/>
      <c r="C149" s="177">
        <f t="shared" ref="C149:K149" si="23">SUM(C150:C150)</f>
        <v>0</v>
      </c>
      <c r="D149" s="177">
        <f t="shared" si="23"/>
        <v>0</v>
      </c>
      <c r="E149" s="180">
        <f t="shared" si="23"/>
        <v>145430</v>
      </c>
      <c r="F149" s="179">
        <f t="shared" si="23"/>
        <v>712510</v>
      </c>
      <c r="G149" s="177">
        <f t="shared" si="23"/>
        <v>712510</v>
      </c>
      <c r="H149" s="178">
        <f t="shared" si="23"/>
        <v>712510</v>
      </c>
      <c r="I149" s="179">
        <f t="shared" si="23"/>
        <v>740297</v>
      </c>
      <c r="J149" s="177">
        <f t="shared" si="23"/>
        <v>769910</v>
      </c>
      <c r="K149" s="178">
        <f t="shared" si="23"/>
        <v>800706</v>
      </c>
      <c r="AD149" s="2365" t="s">
        <v>2821</v>
      </c>
    </row>
    <row r="150" spans="1:30" ht="13.15" customHeight="1" x14ac:dyDescent="0.25">
      <c r="A150" s="104" t="s">
        <v>2332</v>
      </c>
      <c r="B150" s="144"/>
      <c r="C150" s="712">
        <f>SUMIFS(Sheet1!S71_PPPYearAmount,Sheet1!S71_SA34dCode,$AC:$AC,Sheet1!S71_DepCode,$AD:$AD)</f>
        <v>0</v>
      </c>
      <c r="D150" s="712">
        <f>SUMIFS(Sheet1!S71_PPYearAmount,Sheet1!S71_SA34dCode,$AC:$AC,Sheet1!S71_DepCode,$AD:$AD)</f>
        <v>0</v>
      </c>
      <c r="E150" s="715">
        <f>SUMIFS(Sheet1!S71_PYearAmount,Sheet1!S71_SA34dCode,$AC:$AC,Sheet1!S71_DepCode,$AD:$AD)</f>
        <v>145430</v>
      </c>
      <c r="F150" s="725">
        <f>SUMIFS(Sheet1!S71_OriginalBudAmnt,Sheet1!S71_SA34dCode,$AC:$AC,Sheet1!S71_DepCode,$AD:$AD)</f>
        <v>712510</v>
      </c>
      <c r="G150" s="712">
        <f>SUMIFS(Sheet1!S71_AdjustmentBudAmnt,Sheet1!S71_SA34dCode,$AC:$AC,Sheet1!S71_DepCode,$AD:$AD)</f>
        <v>712510</v>
      </c>
      <c r="H150" s="713">
        <f>SUMIFS(Sheet1!S71_AdjustmentBudAmnt,Sheet1!S71_SA34dCode,$AC:$AC,Sheet1!S71_DepCode,$AD:$AD)</f>
        <v>712510</v>
      </c>
      <c r="I150" s="725">
        <f>SUMIFS(Sheet1!S71_ASBudgetAmount,Sheet1!S71_SA34dCode,$AC:$AC,Sheet1!S71_DepCode,$AD:$AD)</f>
        <v>740297</v>
      </c>
      <c r="J150" s="712">
        <f>SUMIFS(Sheet1!S71_OY1BudgetAmount,Sheet1!S71_SA34dCode,$AC:$AC,Sheet1!S71_DepCode,$AD:$AD)</f>
        <v>769910</v>
      </c>
      <c r="K150" s="713">
        <f>SUMIFS(Sheet1!S71_OY2BudgetAmount,Sheet1!S71_SA34dCode,$AC:$AC,Sheet1!S71_DepCode,$AD:$AD)</f>
        <v>800706</v>
      </c>
      <c r="AC150" s="2365" t="s">
        <v>2799</v>
      </c>
      <c r="AD150" s="2365" t="s">
        <v>2821</v>
      </c>
    </row>
    <row r="151" spans="1:30" ht="4.9000000000000004" customHeight="1" x14ac:dyDescent="0.25">
      <c r="A151" s="116"/>
      <c r="B151" s="144"/>
      <c r="C151" s="177"/>
      <c r="D151" s="177"/>
      <c r="E151" s="180"/>
      <c r="F151" s="179"/>
      <c r="G151" s="177"/>
      <c r="H151" s="178"/>
      <c r="I151" s="179"/>
      <c r="J151" s="177"/>
      <c r="K151" s="178"/>
      <c r="AD151" s="2365" t="s">
        <v>2821</v>
      </c>
    </row>
    <row r="152" spans="1:30" ht="13.15" customHeight="1" x14ac:dyDescent="0.25">
      <c r="A152" s="96" t="s">
        <v>2333</v>
      </c>
      <c r="B152" s="144"/>
      <c r="C152" s="177">
        <f t="shared" ref="C152:K152" si="24">SUM(C153:C153)</f>
        <v>1952528</v>
      </c>
      <c r="D152" s="177">
        <f t="shared" si="24"/>
        <v>583732</v>
      </c>
      <c r="E152" s="180">
        <f t="shared" si="24"/>
        <v>228980</v>
      </c>
      <c r="F152" s="179">
        <f t="shared" si="24"/>
        <v>1002993</v>
      </c>
      <c r="G152" s="177">
        <f t="shared" si="24"/>
        <v>1002993</v>
      </c>
      <c r="H152" s="178">
        <f t="shared" si="24"/>
        <v>1002993</v>
      </c>
      <c r="I152" s="179">
        <f t="shared" si="24"/>
        <v>1042110</v>
      </c>
      <c r="J152" s="177">
        <f t="shared" si="24"/>
        <v>1083794</v>
      </c>
      <c r="K152" s="178">
        <f t="shared" si="24"/>
        <v>1127146</v>
      </c>
      <c r="AD152" s="2365" t="s">
        <v>2821</v>
      </c>
    </row>
    <row r="153" spans="1:30" ht="13.15" customHeight="1" x14ac:dyDescent="0.25">
      <c r="A153" s="104" t="s">
        <v>2333</v>
      </c>
      <c r="B153" s="144"/>
      <c r="C153" s="712">
        <f>SUMIFS(Sheet1!S71_PPPYearAmount,Sheet1!S71_SA34dCode,$AC:$AC,Sheet1!S71_DepCode,$AD:$AD)</f>
        <v>1952528</v>
      </c>
      <c r="D153" s="712">
        <f>SUMIFS(Sheet1!S71_PPYearAmount,Sheet1!S71_SA34dCode,$AC:$AC,Sheet1!S71_DepCode,$AD:$AD)</f>
        <v>583732</v>
      </c>
      <c r="E153" s="715">
        <f>SUMIFS(Sheet1!S71_PYearAmount,Sheet1!S71_SA34dCode,$AC:$AC,Sheet1!S71_DepCode,$AD:$AD)</f>
        <v>228980</v>
      </c>
      <c r="F153" s="725">
        <f>SUMIFS(Sheet1!S71_OriginalBudAmnt,Sheet1!S71_SA34dCode,$AC:$AC,Sheet1!S71_DepCode,$AD:$AD)</f>
        <v>1002993</v>
      </c>
      <c r="G153" s="712">
        <f>SUMIFS(Sheet1!S71_AdjustmentBudAmnt,Sheet1!S71_SA34dCode,$AC:$AC,Sheet1!S71_DepCode,$AD:$AD)</f>
        <v>1002993</v>
      </c>
      <c r="H153" s="713">
        <f>SUMIFS(Sheet1!S71_AdjustmentBudAmnt,Sheet1!S71_SA34dCode,$AC:$AC,Sheet1!S71_DepCode,$AD:$AD)</f>
        <v>1002993</v>
      </c>
      <c r="I153" s="725">
        <f>SUMIFS(Sheet1!S71_ASBudgetAmount,Sheet1!S71_SA34dCode,$AC:$AC,Sheet1!S71_DepCode,$AD:$AD)</f>
        <v>1042110</v>
      </c>
      <c r="J153" s="712">
        <f>SUMIFS(Sheet1!S71_OY1BudgetAmount,Sheet1!S71_SA34dCode,$AC:$AC,Sheet1!S71_DepCode,$AD:$AD)</f>
        <v>1083794</v>
      </c>
      <c r="K153" s="713">
        <f>SUMIFS(Sheet1!S71_OY2BudgetAmount,Sheet1!S71_SA34dCode,$AC:$AC,Sheet1!S71_DepCode,$AD:$AD)</f>
        <v>1127146</v>
      </c>
      <c r="AC153" s="2365" t="s">
        <v>2800</v>
      </c>
      <c r="AD153" s="2365" t="s">
        <v>2821</v>
      </c>
    </row>
    <row r="154" spans="1:30" ht="4.9000000000000004" customHeight="1" x14ac:dyDescent="0.25">
      <c r="A154" s="116"/>
      <c r="B154" s="144"/>
      <c r="C154" s="177"/>
      <c r="D154" s="177"/>
      <c r="E154" s="180"/>
      <c r="F154" s="179"/>
      <c r="G154" s="177"/>
      <c r="H154" s="178"/>
      <c r="I154" s="179"/>
      <c r="J154" s="177"/>
      <c r="K154" s="178"/>
      <c r="AD154" s="2365" t="s">
        <v>2821</v>
      </c>
    </row>
    <row r="155" spans="1:30" ht="13.15" customHeight="1" x14ac:dyDescent="0.25">
      <c r="A155" s="96" t="s">
        <v>2334</v>
      </c>
      <c r="B155" s="144"/>
      <c r="C155" s="177">
        <f t="shared" ref="C155:K155" si="25">SUM(C156:C156)</f>
        <v>0</v>
      </c>
      <c r="D155" s="177">
        <f t="shared" si="25"/>
        <v>0</v>
      </c>
      <c r="E155" s="180">
        <f t="shared" si="25"/>
        <v>130400</v>
      </c>
      <c r="F155" s="179">
        <f t="shared" si="25"/>
        <v>175336</v>
      </c>
      <c r="G155" s="177">
        <f t="shared" si="25"/>
        <v>175336</v>
      </c>
      <c r="H155" s="178">
        <f t="shared" si="25"/>
        <v>175336</v>
      </c>
      <c r="I155" s="179">
        <f t="shared" si="25"/>
        <v>182174</v>
      </c>
      <c r="J155" s="177">
        <f t="shared" si="25"/>
        <v>189461</v>
      </c>
      <c r="K155" s="178">
        <f t="shared" si="25"/>
        <v>197040</v>
      </c>
      <c r="AD155" s="2365" t="s">
        <v>2821</v>
      </c>
    </row>
    <row r="156" spans="1:30" ht="13.15" customHeight="1" x14ac:dyDescent="0.25">
      <c r="A156" s="104" t="s">
        <v>2334</v>
      </c>
      <c r="B156" s="144"/>
      <c r="C156" s="712">
        <f>SUMIFS(Sheet1!S71_PPPYearAmount,Sheet1!S71_SA34dCode,$AC:$AC,Sheet1!S71_DepCode,$AD:$AD)</f>
        <v>0</v>
      </c>
      <c r="D156" s="712">
        <f>SUMIFS(Sheet1!S71_PPYearAmount,Sheet1!S71_SA34dCode,$AC:$AC,Sheet1!S71_DepCode,$AD:$AD)</f>
        <v>0</v>
      </c>
      <c r="E156" s="715">
        <f>SUMIFS(Sheet1!S71_PYearAmount,Sheet1!S71_SA34dCode,$AC:$AC,Sheet1!S71_DepCode,$AD:$AD)</f>
        <v>130400</v>
      </c>
      <c r="F156" s="725">
        <f>SUMIFS(Sheet1!S71_OriginalBudAmnt,Sheet1!S71_SA34dCode,$AC:$AC,Sheet1!S71_DepCode,$AD:$AD)</f>
        <v>175336</v>
      </c>
      <c r="G156" s="712">
        <f>SUMIFS(Sheet1!S71_AdjustmentBudAmnt,Sheet1!S71_SA34dCode,$AC:$AC,Sheet1!S71_DepCode,$AD:$AD)</f>
        <v>175336</v>
      </c>
      <c r="H156" s="713">
        <f>SUMIFS(Sheet1!S71_AdjustmentBudAmnt,Sheet1!S71_SA34dCode,$AC:$AC,Sheet1!S71_DepCode,$AD:$AD)</f>
        <v>175336</v>
      </c>
      <c r="I156" s="725">
        <f>SUMIFS(Sheet1!S71_ASBudgetAmount,Sheet1!S71_SA34dCode,$AC:$AC,Sheet1!S71_DepCode,$AD:$AD)</f>
        <v>182174</v>
      </c>
      <c r="J156" s="712">
        <f>SUMIFS(Sheet1!S71_OY1BudgetAmount,Sheet1!S71_SA34dCode,$AC:$AC,Sheet1!S71_DepCode,$AD:$AD)</f>
        <v>189461</v>
      </c>
      <c r="K156" s="713">
        <f>SUMIFS(Sheet1!S71_OY2BudgetAmount,Sheet1!S71_SA34dCode,$AC:$AC,Sheet1!S71_DepCode,$AD:$AD)</f>
        <v>197040</v>
      </c>
      <c r="AC156" s="2365" t="s">
        <v>2801</v>
      </c>
      <c r="AD156" s="2365" t="s">
        <v>2821</v>
      </c>
    </row>
    <row r="157" spans="1:30" ht="4.9000000000000004" customHeight="1" x14ac:dyDescent="0.25">
      <c r="A157" s="116"/>
      <c r="B157" s="144"/>
      <c r="C157" s="177"/>
      <c r="D157" s="177"/>
      <c r="E157" s="180"/>
      <c r="F157" s="179"/>
      <c r="G157" s="177"/>
      <c r="H157" s="178"/>
      <c r="I157" s="179"/>
      <c r="J157" s="177"/>
      <c r="K157" s="178"/>
      <c r="AD157" s="2365" t="s">
        <v>2821</v>
      </c>
    </row>
    <row r="158" spans="1:30" ht="13.15" customHeight="1" x14ac:dyDescent="0.25">
      <c r="A158" s="96" t="s">
        <v>2335</v>
      </c>
      <c r="B158" s="144"/>
      <c r="C158" s="177">
        <f t="shared" ref="C158:K158" si="26">SUM(C159:C159)</f>
        <v>0</v>
      </c>
      <c r="D158" s="177">
        <f t="shared" si="26"/>
        <v>0</v>
      </c>
      <c r="E158" s="180">
        <f t="shared" si="26"/>
        <v>745359</v>
      </c>
      <c r="F158" s="179">
        <f t="shared" si="26"/>
        <v>926926</v>
      </c>
      <c r="G158" s="177">
        <f t="shared" si="26"/>
        <v>926926</v>
      </c>
      <c r="H158" s="178">
        <f t="shared" si="26"/>
        <v>926926</v>
      </c>
      <c r="I158" s="179">
        <f t="shared" si="26"/>
        <v>963076</v>
      </c>
      <c r="J158" s="177">
        <f t="shared" si="26"/>
        <v>1001599</v>
      </c>
      <c r="K158" s="178">
        <f t="shared" si="26"/>
        <v>1041663</v>
      </c>
      <c r="AD158" s="2365" t="s">
        <v>2821</v>
      </c>
    </row>
    <row r="159" spans="1:30" ht="13.15" customHeight="1" x14ac:dyDescent="0.25">
      <c r="A159" s="104" t="s">
        <v>2335</v>
      </c>
      <c r="B159" s="144"/>
      <c r="C159" s="712">
        <f>SUMIFS(Sheet1!S71_PPPYearAmount,Sheet1!S71_SA34dCode,$AC:$AC,Sheet1!S71_DepCode,$AD:$AD)</f>
        <v>0</v>
      </c>
      <c r="D159" s="712">
        <f>SUMIFS(Sheet1!S71_PPYearAmount,Sheet1!S71_SA34dCode,$AC:$AC,Sheet1!S71_DepCode,$AD:$AD)</f>
        <v>0</v>
      </c>
      <c r="E159" s="715">
        <f>SUMIFS(Sheet1!S71_PYearAmount,Sheet1!S71_SA34dCode,$AC:$AC,Sheet1!S71_DepCode,$AD:$AD)</f>
        <v>745359</v>
      </c>
      <c r="F159" s="725">
        <f>SUMIFS(Sheet1!S71_OriginalBudAmnt,Sheet1!S71_SA34dCode,$AC:$AC,Sheet1!S71_DepCode,$AD:$AD)</f>
        <v>926926</v>
      </c>
      <c r="G159" s="712">
        <f>SUMIFS(Sheet1!S71_AdjustmentBudAmnt,Sheet1!S71_SA34dCode,$AC:$AC,Sheet1!S71_DepCode,$AD:$AD)</f>
        <v>926926</v>
      </c>
      <c r="H159" s="713">
        <f>SUMIFS(Sheet1!S71_AdjustmentBudAmnt,Sheet1!S71_SA34dCode,$AC:$AC,Sheet1!S71_DepCode,$AD:$AD)</f>
        <v>926926</v>
      </c>
      <c r="I159" s="725">
        <f>SUMIFS(Sheet1!S71_ASBudgetAmount,Sheet1!S71_SA34dCode,$AC:$AC,Sheet1!S71_DepCode,$AD:$AD)</f>
        <v>963076</v>
      </c>
      <c r="J159" s="712">
        <f>SUMIFS(Sheet1!S71_OY1BudgetAmount,Sheet1!S71_SA34dCode,$AC:$AC,Sheet1!S71_DepCode,$AD:$AD)</f>
        <v>1001599</v>
      </c>
      <c r="K159" s="713">
        <f>SUMIFS(Sheet1!S71_OY2BudgetAmount,Sheet1!S71_SA34dCode,$AC:$AC,Sheet1!S71_DepCode,$AD:$AD)</f>
        <v>1041663</v>
      </c>
      <c r="AC159" s="2365" t="s">
        <v>2802</v>
      </c>
      <c r="AD159" s="2365" t="s">
        <v>2821</v>
      </c>
    </row>
    <row r="160" spans="1:30" ht="4.9000000000000004" customHeight="1" x14ac:dyDescent="0.25">
      <c r="A160" s="116"/>
      <c r="B160" s="144"/>
      <c r="C160" s="177"/>
      <c r="D160" s="177"/>
      <c r="E160" s="180"/>
      <c r="F160" s="179"/>
      <c r="G160" s="177"/>
      <c r="H160" s="178"/>
      <c r="I160" s="179"/>
      <c r="J160" s="177"/>
      <c r="K160" s="178"/>
      <c r="AD160" s="2365" t="s">
        <v>2821</v>
      </c>
    </row>
    <row r="161" spans="1:30" ht="13.15" customHeight="1" x14ac:dyDescent="0.25">
      <c r="A161" s="96" t="s">
        <v>2470</v>
      </c>
      <c r="B161" s="144"/>
      <c r="C161" s="177">
        <f t="shared" ref="C161:K161" si="27">SUM(C162:C162)</f>
        <v>0</v>
      </c>
      <c r="D161" s="177">
        <f t="shared" si="27"/>
        <v>0</v>
      </c>
      <c r="E161" s="180">
        <f t="shared" si="27"/>
        <v>0</v>
      </c>
      <c r="F161" s="179">
        <f t="shared" si="27"/>
        <v>0</v>
      </c>
      <c r="G161" s="177">
        <f t="shared" si="27"/>
        <v>0</v>
      </c>
      <c r="H161" s="178">
        <f t="shared" si="27"/>
        <v>0</v>
      </c>
      <c r="I161" s="179">
        <f t="shared" si="27"/>
        <v>0</v>
      </c>
      <c r="J161" s="177">
        <f t="shared" si="27"/>
        <v>0</v>
      </c>
      <c r="K161" s="178">
        <f t="shared" si="27"/>
        <v>0</v>
      </c>
      <c r="AD161" s="2365" t="s">
        <v>2821</v>
      </c>
    </row>
    <row r="162" spans="1:30" ht="13.15" customHeight="1" x14ac:dyDescent="0.25">
      <c r="A162" s="104" t="s">
        <v>2470</v>
      </c>
      <c r="B162" s="144"/>
      <c r="C162" s="712">
        <f>SUMIFS(Sheet1!S71_PPPYearAmount,Sheet1!S71_SA34dCode,$AC:$AC,Sheet1!S71_DepCode,$AD:$AD)</f>
        <v>0</v>
      </c>
      <c r="D162" s="712">
        <f>SUMIFS(Sheet1!S71_PPYearAmount,Sheet1!S71_SA34dCode,$AC:$AC,Sheet1!S71_DepCode,$AD:$AD)</f>
        <v>0</v>
      </c>
      <c r="E162" s="715">
        <f>SUMIFS(Sheet1!S71_PYearAmount,Sheet1!S71_SA34dCode,$AC:$AC,Sheet1!S71_DepCode,$AD:$AD)</f>
        <v>0</v>
      </c>
      <c r="F162" s="725">
        <f>SUMIFS(Sheet1!S71_OriginalBudAmnt,Sheet1!S71_SA34dCode,$AC:$AC,Sheet1!S71_DepCode,$AD:$AD)</f>
        <v>0</v>
      </c>
      <c r="G162" s="712">
        <f>SUMIFS(Sheet1!S71_AdjustmentBudAmnt,Sheet1!S71_SA34dCode,$AC:$AC,Sheet1!S71_DepCode,$AD:$AD)</f>
        <v>0</v>
      </c>
      <c r="H162" s="713">
        <f>SUMIFS(Sheet1!S71_AdjustmentBudAmnt,Sheet1!S71_SA34dCode,$AC:$AC,Sheet1!S71_DepCode,$AD:$AD)</f>
        <v>0</v>
      </c>
      <c r="I162" s="725">
        <f>SUMIFS(Sheet1!S71_ASBudgetAmount,Sheet1!S71_SA34dCode,$AC:$AC,Sheet1!S71_DepCode,$AD:$AD)</f>
        <v>0</v>
      </c>
      <c r="J162" s="712">
        <f>SUMIFS(Sheet1!S71_OY1BudgetAmount,Sheet1!S71_SA34dCode,$AC:$AC,Sheet1!S71_DepCode,$AD:$AD)</f>
        <v>0</v>
      </c>
      <c r="K162" s="713">
        <f>SUMIFS(Sheet1!S71_OY2BudgetAmount,Sheet1!S71_SA34dCode,$AC:$AC,Sheet1!S71_DepCode,$AD:$AD)</f>
        <v>0</v>
      </c>
      <c r="AC162" s="2365" t="s">
        <v>2803</v>
      </c>
      <c r="AD162" s="2365" t="s">
        <v>2821</v>
      </c>
    </row>
    <row r="163" spans="1:30" ht="4.9000000000000004" customHeight="1" x14ac:dyDescent="0.25">
      <c r="A163" s="116"/>
      <c r="B163" s="144"/>
      <c r="C163" s="177"/>
      <c r="D163" s="177"/>
      <c r="E163" s="180"/>
      <c r="F163" s="179"/>
      <c r="G163" s="177"/>
      <c r="H163" s="178"/>
      <c r="I163" s="179"/>
      <c r="J163" s="177"/>
      <c r="K163" s="178"/>
      <c r="AD163" s="2365" t="s">
        <v>2821</v>
      </c>
    </row>
    <row r="164" spans="1:30" ht="13.15" customHeight="1" x14ac:dyDescent="0.25">
      <c r="A164" s="96" t="s">
        <v>2336</v>
      </c>
      <c r="B164" s="144"/>
      <c r="C164" s="177">
        <f t="shared" ref="C164:K164" si="28">SUM(C165:C165)</f>
        <v>0</v>
      </c>
      <c r="D164" s="177">
        <f t="shared" si="28"/>
        <v>0</v>
      </c>
      <c r="E164" s="180">
        <f t="shared" si="28"/>
        <v>0</v>
      </c>
      <c r="F164" s="179">
        <f t="shared" si="28"/>
        <v>0</v>
      </c>
      <c r="G164" s="177">
        <f t="shared" si="28"/>
        <v>0</v>
      </c>
      <c r="H164" s="178">
        <f t="shared" si="28"/>
        <v>0</v>
      </c>
      <c r="I164" s="179">
        <f t="shared" si="28"/>
        <v>0</v>
      </c>
      <c r="J164" s="177">
        <f t="shared" si="28"/>
        <v>0</v>
      </c>
      <c r="K164" s="178">
        <f t="shared" si="28"/>
        <v>0</v>
      </c>
      <c r="AD164" s="2365" t="s">
        <v>2821</v>
      </c>
    </row>
    <row r="165" spans="1:30" ht="13.15" customHeight="1" x14ac:dyDescent="0.25">
      <c r="A165" s="104" t="s">
        <v>2336</v>
      </c>
      <c r="B165" s="144"/>
      <c r="C165" s="712">
        <f>SUMIFS(Sheet1!S71_PPPYearAmount,Sheet1!S71_SA34dCode,$AC:$AC,Sheet1!S71_DepCode,$AD:$AD)</f>
        <v>0</v>
      </c>
      <c r="D165" s="712">
        <f>SUMIFS(Sheet1!S71_PPYearAmount,Sheet1!S71_SA34dCode,$AC:$AC,Sheet1!S71_DepCode,$AD:$AD)</f>
        <v>0</v>
      </c>
      <c r="E165" s="715">
        <f>SUMIFS(Sheet1!S71_PYearAmount,Sheet1!S71_SA34dCode,$AC:$AC,Sheet1!S71_DepCode,$AD:$AD)</f>
        <v>0</v>
      </c>
      <c r="F165" s="725">
        <f>SUMIFS(Sheet1!S71_OriginalBudAmnt,Sheet1!S71_SA34dCode,$AC:$AC,Sheet1!S71_DepCode,$AD:$AD)</f>
        <v>0</v>
      </c>
      <c r="G165" s="712">
        <f>SUMIFS(Sheet1!S71_AdjustmentBudAmnt,Sheet1!S71_SA34dCode,$AC:$AC,Sheet1!S71_DepCode,$AD:$AD)</f>
        <v>0</v>
      </c>
      <c r="H165" s="713">
        <f>SUMIFS(Sheet1!S71_AdjustmentBudAmnt,Sheet1!S71_SA34dCode,$AC:$AC,Sheet1!S71_DepCode,$AD:$AD)</f>
        <v>0</v>
      </c>
      <c r="I165" s="725">
        <f>SUMIFS(Sheet1!S71_ASBudgetAmount,Sheet1!S71_SA34dCode,$AC:$AC,Sheet1!S71_DepCode,$AD:$AD)</f>
        <v>0</v>
      </c>
      <c r="J165" s="712">
        <f>SUMIFS(Sheet1!S71_OY1BudgetAmount,Sheet1!S71_SA34dCode,$AC:$AC,Sheet1!S71_DepCode,$AD:$AD)</f>
        <v>0</v>
      </c>
      <c r="K165" s="713">
        <f>SUMIFS(Sheet1!S71_OY2BudgetAmount,Sheet1!S71_SA34dCode,$AC:$AC,Sheet1!S71_DepCode,$AD:$AD)</f>
        <v>0</v>
      </c>
      <c r="AC165" s="2365" t="s">
        <v>2804</v>
      </c>
      <c r="AD165" s="2365" t="s">
        <v>2821</v>
      </c>
    </row>
    <row r="166" spans="1:30" ht="4.9000000000000004" customHeight="1" x14ac:dyDescent="0.25">
      <c r="A166" s="116"/>
      <c r="B166" s="144"/>
      <c r="C166" s="177"/>
      <c r="D166" s="177"/>
      <c r="E166" s="180"/>
      <c r="F166" s="179"/>
      <c r="G166" s="177"/>
      <c r="H166" s="178"/>
      <c r="I166" s="179"/>
      <c r="J166" s="177"/>
      <c r="K166" s="178"/>
    </row>
    <row r="167" spans="1:30" ht="13.15" customHeight="1" x14ac:dyDescent="0.25">
      <c r="A167" s="147" t="s">
        <v>1789</v>
      </c>
      <c r="B167" s="148">
        <v>1</v>
      </c>
      <c r="C167" s="185">
        <f>C6+C74+C103+C110+C118+C136+C139+C149+C152+C155+C158+C161+C164</f>
        <v>8790784</v>
      </c>
      <c r="D167" s="185">
        <f t="shared" ref="D167:K167" si="29">D6+D74+D103+D110+D118+D136+D139+D149+D152+D155+D158+D161+D164</f>
        <v>8722456</v>
      </c>
      <c r="E167" s="186">
        <f t="shared" si="29"/>
        <v>9318525</v>
      </c>
      <c r="F167" s="184">
        <f t="shared" si="29"/>
        <v>11173339</v>
      </c>
      <c r="G167" s="185">
        <f t="shared" si="29"/>
        <v>11173339</v>
      </c>
      <c r="H167" s="183">
        <f t="shared" si="29"/>
        <v>11173339</v>
      </c>
      <c r="I167" s="184">
        <f t="shared" si="29"/>
        <v>11609097</v>
      </c>
      <c r="J167" s="185">
        <f t="shared" si="29"/>
        <v>12073463</v>
      </c>
      <c r="K167" s="183">
        <f t="shared" si="29"/>
        <v>12556402</v>
      </c>
    </row>
    <row r="169" spans="1:30" x14ac:dyDescent="0.25">
      <c r="A169" s="217" t="str">
        <f>head27a</f>
        <v>References</v>
      </c>
      <c r="B169" s="189"/>
      <c r="C169" s="193"/>
      <c r="D169" s="193"/>
      <c r="E169" s="193"/>
      <c r="F169" s="193"/>
      <c r="G169" s="193"/>
      <c r="H169" s="193"/>
      <c r="I169" s="193"/>
      <c r="J169" s="193"/>
      <c r="K169" s="193"/>
      <c r="L169" s="674"/>
    </row>
    <row r="170" spans="1:30" ht="11.25" customHeight="1" x14ac:dyDescent="0.25">
      <c r="A170" s="218" t="s">
        <v>1951</v>
      </c>
      <c r="B170" s="189"/>
      <c r="C170" s="192"/>
      <c r="D170" s="192"/>
      <c r="E170" s="193"/>
      <c r="F170" s="193"/>
      <c r="G170" s="193"/>
      <c r="H170" s="193"/>
      <c r="I170" s="193"/>
      <c r="J170" s="193"/>
      <c r="K170" s="193"/>
    </row>
    <row r="171" spans="1:30" ht="11.25" customHeight="1" x14ac:dyDescent="0.25">
      <c r="A171" s="218"/>
      <c r="B171" s="189"/>
      <c r="C171" s="192"/>
      <c r="D171" s="192"/>
      <c r="E171" s="193"/>
      <c r="F171" s="193"/>
      <c r="G171" s="193"/>
      <c r="H171" s="193"/>
      <c r="I171" s="193"/>
      <c r="J171" s="193"/>
      <c r="K171" s="193"/>
    </row>
    <row r="172" spans="1:30" ht="11.25" customHeight="1" x14ac:dyDescent="0.25">
      <c r="A172" s="220"/>
      <c r="B172" s="189"/>
      <c r="C172" s="192"/>
      <c r="D172" s="192"/>
      <c r="E172" s="193"/>
      <c r="F172" s="193"/>
      <c r="G172" s="193"/>
      <c r="H172" s="193"/>
      <c r="I172" s="193"/>
      <c r="J172" s="193"/>
      <c r="K172" s="193"/>
    </row>
    <row r="173" spans="1:30" ht="11.25" customHeight="1" x14ac:dyDescent="0.25">
      <c r="A173" s="219" t="s">
        <v>474</v>
      </c>
      <c r="B173" s="150"/>
      <c r="C173" s="223">
        <f>C$167-'A4-FinPerf RE'!C$27</f>
        <v>0</v>
      </c>
      <c r="D173" s="223">
        <f>D$167-'A4-FinPerf RE'!D$27</f>
        <v>0</v>
      </c>
      <c r="E173" s="223">
        <f>E$167-'A4-FinPerf RE'!E$27</f>
        <v>0</v>
      </c>
      <c r="F173" s="223">
        <f>F$167-'A4-FinPerf RE'!F$27</f>
        <v>0</v>
      </c>
      <c r="G173" s="223">
        <f>G$167-'A4-FinPerf RE'!G$27</f>
        <v>0</v>
      </c>
      <c r="H173" s="223">
        <f>H$167-'A4-FinPerf RE'!H$27</f>
        <v>0</v>
      </c>
      <c r="I173" s="223">
        <f>I$167-'A4-FinPerf RE'!J$27</f>
        <v>0</v>
      </c>
      <c r="J173" s="223">
        <f>J$167-'A4-FinPerf RE'!K$27</f>
        <v>0</v>
      </c>
      <c r="K173" s="223">
        <f>K$167-'A4-FinPerf RE'!L$27</f>
        <v>0</v>
      </c>
    </row>
  </sheetData>
  <sheetProtection sheet="1" objects="1" scenarios="1"/>
  <mergeCells count="2">
    <mergeCell ref="F2:H2"/>
    <mergeCell ref="I2:K2"/>
  </mergeCells>
  <pageMargins left="0.75" right="0.75" top="1" bottom="1" header="0.5" footer="0.5"/>
  <pageSetup scale="60" orientation="portrait" r:id="rId1"/>
  <headerFooter alignWithMargins="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Sheet67"/>
  <dimension ref="A1:AD208"/>
  <sheetViews>
    <sheetView showGridLines="0" zoomScaleNormal="100" workbookViewId="0">
      <pane xSplit="2" ySplit="3" topLeftCell="C4" activePane="bottomRight" state="frozen"/>
      <selection pane="topRight"/>
      <selection pane="bottomLeft"/>
      <selection pane="bottomRight" activeCell="P166" sqref="P166"/>
    </sheetView>
  </sheetViews>
  <sheetFormatPr defaultColWidth="9.140625" defaultRowHeight="12.75" x14ac:dyDescent="0.25"/>
  <cols>
    <col min="1" max="1" width="34.7109375" style="58" customWidth="1"/>
    <col min="2" max="2" width="3" style="55" customWidth="1"/>
    <col min="3" max="11" width="9.28515625" style="58" customWidth="1"/>
    <col min="12" max="12" width="9.7109375" style="58" customWidth="1"/>
    <col min="13" max="13" width="9.42578125" style="58" customWidth="1"/>
    <col min="14" max="14" width="9.7109375" style="58" customWidth="1"/>
    <col min="15" max="17" width="9.42578125" style="58" customWidth="1"/>
    <col min="18" max="18" width="9.7109375" style="58" customWidth="1"/>
    <col min="19" max="21" width="9.42578125" style="58" customWidth="1"/>
    <col min="22" max="23" width="9.7109375" style="58" customWidth="1"/>
    <col min="24" max="27" width="9.140625" style="58" customWidth="1"/>
    <col min="28" max="28" width="9.140625" style="2312"/>
    <col min="29" max="30" width="9.140625" style="2365"/>
    <col min="31" max="16384" width="9.140625" style="58"/>
  </cols>
  <sheetData>
    <row r="1" spans="1:30" ht="13.5" customHeight="1" x14ac:dyDescent="0.25">
      <c r="A1" s="92" t="str">
        <f>muni&amp;" - "&amp;TableA34e</f>
        <v>KZN226 Mkhambathini - Supporting Table SA34e Capital expenditure on the upgrading of existing assets by asset class</v>
      </c>
      <c r="B1" s="92"/>
      <c r="C1" s="92"/>
      <c r="D1" s="92"/>
      <c r="E1" s="92"/>
      <c r="F1" s="92"/>
      <c r="G1" s="92"/>
      <c r="H1" s="92"/>
      <c r="I1" s="92"/>
      <c r="J1" s="92"/>
      <c r="K1" s="92"/>
    </row>
    <row r="2" spans="1:30" ht="28.5" customHeight="1" x14ac:dyDescent="0.25">
      <c r="A2" s="1829" t="str">
        <f>desc</f>
        <v>Description</v>
      </c>
      <c r="B2" s="155" t="str">
        <f>head27</f>
        <v>Ref</v>
      </c>
      <c r="C2" s="837" t="str">
        <f>head1b</f>
        <v>2017/18</v>
      </c>
      <c r="D2" s="561" t="str">
        <f>head1A</f>
        <v>2018/19</v>
      </c>
      <c r="E2" s="683" t="str">
        <f>Head1</f>
        <v>2019/20</v>
      </c>
      <c r="F2" s="2447" t="str">
        <f>Head2</f>
        <v>Current Year 2020/21</v>
      </c>
      <c r="G2" s="2448"/>
      <c r="H2" s="2449"/>
      <c r="I2" s="2450" t="str">
        <f>Head3</f>
        <v>2021/22 Medium Term Revenue &amp; Expenditure Framework</v>
      </c>
      <c r="J2" s="2451"/>
      <c r="K2" s="2452"/>
    </row>
    <row r="3" spans="1:30" ht="25.5" x14ac:dyDescent="0.25">
      <c r="A3" s="156" t="s">
        <v>568</v>
      </c>
      <c r="B3" s="690">
        <v>1</v>
      </c>
      <c r="C3" s="698" t="str">
        <f>Head5</f>
        <v>Audited Outcome</v>
      </c>
      <c r="D3" s="562" t="str">
        <f>Head5</f>
        <v>Audited Outcome</v>
      </c>
      <c r="E3" s="702" t="str">
        <f>Head5</f>
        <v>Audited Outcome</v>
      </c>
      <c r="F3" s="95" t="str">
        <f>Head6</f>
        <v>Original Budget</v>
      </c>
      <c r="G3" s="698" t="str">
        <f>Head7</f>
        <v>Adjusted Budget</v>
      </c>
      <c r="H3" s="94" t="str">
        <f>Head8</f>
        <v>Full Year Forecast</v>
      </c>
      <c r="I3" s="95" t="str">
        <f>Head9</f>
        <v>Budget Year 2021/22</v>
      </c>
      <c r="J3" s="698" t="str">
        <f>Head10</f>
        <v>Budget Year +1 2022/23</v>
      </c>
      <c r="K3" s="94" t="str">
        <f>Head11</f>
        <v>Budget Year +2 2023/24</v>
      </c>
    </row>
    <row r="4" spans="1:30" ht="11.25" customHeight="1" x14ac:dyDescent="0.25">
      <c r="A4" s="2022" t="s">
        <v>2348</v>
      </c>
      <c r="B4" s="205"/>
      <c r="C4" s="81"/>
      <c r="D4" s="81"/>
      <c r="E4" s="756"/>
      <c r="F4" s="757"/>
      <c r="G4" s="81"/>
      <c r="H4" s="758"/>
      <c r="I4" s="757"/>
      <c r="J4" s="81"/>
      <c r="K4" s="758"/>
    </row>
    <row r="5" spans="1:30" ht="4.9000000000000004" customHeight="1" x14ac:dyDescent="0.25">
      <c r="A5" s="96"/>
      <c r="B5" s="144"/>
      <c r="C5" s="762"/>
      <c r="D5" s="762"/>
      <c r="E5" s="763"/>
      <c r="F5" s="764"/>
      <c r="G5" s="762"/>
      <c r="H5" s="765"/>
      <c r="I5" s="764"/>
      <c r="J5" s="762"/>
      <c r="K5" s="765"/>
    </row>
    <row r="6" spans="1:30" ht="11.25" customHeight="1" x14ac:dyDescent="0.25">
      <c r="A6" s="96" t="s">
        <v>838</v>
      </c>
      <c r="B6" s="144"/>
      <c r="C6" s="98">
        <f>C7+C12+C16+C26+C37+C44+C52+C62+C68</f>
        <v>603370</v>
      </c>
      <c r="D6" s="98">
        <f t="shared" ref="D6:K6" si="0">D7+D12+D16+D26+D37+D44+D52+D62+D68</f>
        <v>2214341</v>
      </c>
      <c r="E6" s="101">
        <f t="shared" si="0"/>
        <v>0</v>
      </c>
      <c r="F6" s="100">
        <f t="shared" si="0"/>
        <v>0</v>
      </c>
      <c r="G6" s="98">
        <f t="shared" si="0"/>
        <v>0</v>
      </c>
      <c r="H6" s="99">
        <f t="shared" si="0"/>
        <v>0</v>
      </c>
      <c r="I6" s="100">
        <f t="shared" si="0"/>
        <v>0</v>
      </c>
      <c r="J6" s="98">
        <f t="shared" si="0"/>
        <v>0</v>
      </c>
      <c r="K6" s="99">
        <f t="shared" si="0"/>
        <v>0</v>
      </c>
      <c r="L6" s="2124"/>
    </row>
    <row r="7" spans="1:30" s="377" customFormat="1" ht="13.5" x14ac:dyDescent="0.25">
      <c r="A7" s="104" t="s">
        <v>2230</v>
      </c>
      <c r="B7" s="144"/>
      <c r="C7" s="82">
        <f t="shared" ref="C7:K7" si="1">SUM(C8:C11)</f>
        <v>603370</v>
      </c>
      <c r="D7" s="82">
        <f t="shared" si="1"/>
        <v>2214341</v>
      </c>
      <c r="E7" s="304">
        <f t="shared" si="1"/>
        <v>0</v>
      </c>
      <c r="F7" s="83">
        <f t="shared" si="1"/>
        <v>0</v>
      </c>
      <c r="G7" s="82">
        <f t="shared" si="1"/>
        <v>0</v>
      </c>
      <c r="H7" s="115">
        <f t="shared" si="1"/>
        <v>0</v>
      </c>
      <c r="I7" s="83">
        <f t="shared" si="1"/>
        <v>0</v>
      </c>
      <c r="J7" s="82">
        <f t="shared" si="1"/>
        <v>0</v>
      </c>
      <c r="K7" s="115">
        <f t="shared" si="1"/>
        <v>0</v>
      </c>
      <c r="L7" s="322"/>
      <c r="AB7" s="2369"/>
      <c r="AC7" s="2365"/>
      <c r="AD7" s="2365"/>
    </row>
    <row r="8" spans="1:30" s="377" customFormat="1" ht="13.5" x14ac:dyDescent="0.25">
      <c r="A8" s="2125" t="s">
        <v>629</v>
      </c>
      <c r="B8" s="144"/>
      <c r="C8" s="712">
        <f>SUMIFS(Sheet1!S71_PPPYearAmount,Sheet1!S71_SA34eCode,$AC:$AC,Sheet1!S71_A5CapexCode,$AD:$AD)</f>
        <v>603370</v>
      </c>
      <c r="D8" s="712">
        <f>SUMIFS(Sheet1!S71_PPYearAmount,Sheet1!S71_SA34eCode,$AC:$AC,Sheet1!S71_A5CapexCode,$AD:$AD)</f>
        <v>2214341</v>
      </c>
      <c r="E8" s="715">
        <f>SUMIFS(Sheet1!S71_PYearAmount,Sheet1!S71_SA34eCode,$AC:$AC,Sheet1!S71_A5CapexCode,$AD:$AD)</f>
        <v>0</v>
      </c>
      <c r="F8" s="725">
        <f>SUMIFS(Sheet1!S71_OriginalBudAmnt,Sheet1!S71_SA34eCode,$AC:$AC,Sheet1!S71_A5CapexCode,$AD:$AD)</f>
        <v>0</v>
      </c>
      <c r="G8" s="712">
        <f>SUMIFS(Sheet1!S71_AdjustmentBudAmnt,Sheet1!S71_SA34eCode,$AC:$AC,Sheet1!S71_A5CapexCode,$AD:$AD)</f>
        <v>0</v>
      </c>
      <c r="H8" s="713">
        <f>SUMIFS(Sheet1!S71_AdjustmentBudAmnt,Sheet1!S71_SA34eCode,$AC:$AC,Sheet1!S71_A5CapexCode,$AD:$AD)</f>
        <v>0</v>
      </c>
      <c r="I8" s="725">
        <f>SUMIFS(Sheet1!S71_ASBudgetAmount,Sheet1!S71_SA34eCode,$AC:$AC,Sheet1!S71_A5CapexCode,$AD:$AD)</f>
        <v>0</v>
      </c>
      <c r="J8" s="712">
        <f>SUMIFS(Sheet1!S71_OY1BudgetAmount,Sheet1!S71_SA34eCode,$AC:$AC,Sheet1!S71_A5CapexCode,$AD:$AD)</f>
        <v>0</v>
      </c>
      <c r="K8" s="713">
        <f>SUMIFS(Sheet1!S71_OY2BudgetAmount,Sheet1!S71_SA34eCode,$AC:$AC,Sheet1!S71_A5CapexCode,$AD:$AD)</f>
        <v>0</v>
      </c>
      <c r="L8" s="2124"/>
      <c r="AB8" s="2369"/>
      <c r="AC8" s="2365" t="s">
        <v>2773</v>
      </c>
      <c r="AD8" s="2365" t="s">
        <v>2805</v>
      </c>
    </row>
    <row r="9" spans="1:30" s="377" customFormat="1" ht="13.5" x14ac:dyDescent="0.25">
      <c r="A9" s="2125" t="s">
        <v>2231</v>
      </c>
      <c r="B9" s="144"/>
      <c r="C9" s="712">
        <f>SUMIFS(Sheet1!S71_PPPYearAmount,Sheet1!S71_SA34eCode,$AC:$AC,Sheet1!S71_A5CapexCode,$AD:$AD)</f>
        <v>0</v>
      </c>
      <c r="D9" s="712">
        <f>SUMIFS(Sheet1!S71_PPYearAmount,Sheet1!S71_SA34eCode,$AC:$AC,Sheet1!S71_A5CapexCode,$AD:$AD)</f>
        <v>0</v>
      </c>
      <c r="E9" s="715">
        <f>SUMIFS(Sheet1!S71_PYearAmount,Sheet1!S71_SA34eCode,$AC:$AC,Sheet1!S71_A5CapexCode,$AD:$AD)</f>
        <v>0</v>
      </c>
      <c r="F9" s="725">
        <f>SUMIFS(Sheet1!S71_OriginalBudAmnt,Sheet1!S71_SA34eCode,$AC:$AC,Sheet1!S71_A5CapexCode,$AD:$AD)</f>
        <v>0</v>
      </c>
      <c r="G9" s="712">
        <f>SUMIFS(Sheet1!S71_AdjustmentBudAmnt,Sheet1!S71_SA34eCode,$AC:$AC,Sheet1!S71_A5CapexCode,$AD:$AD)</f>
        <v>0</v>
      </c>
      <c r="H9" s="713">
        <f>SUMIFS(Sheet1!S71_AdjustmentBudAmnt,Sheet1!S71_SA34eCode,$AC:$AC,Sheet1!S71_A5CapexCode,$AD:$AD)</f>
        <v>0</v>
      </c>
      <c r="I9" s="725">
        <f>SUMIFS(Sheet1!S71_ASBudgetAmount,Sheet1!S71_SA34eCode,$AC:$AC,Sheet1!S71_A5CapexCode,$AD:$AD)</f>
        <v>0</v>
      </c>
      <c r="J9" s="712">
        <f>SUMIFS(Sheet1!S71_OY1BudgetAmount,Sheet1!S71_SA34eCode,$AC:$AC,Sheet1!S71_A5CapexCode,$AD:$AD)</f>
        <v>0</v>
      </c>
      <c r="K9" s="713">
        <f>SUMIFS(Sheet1!S71_OY2BudgetAmount,Sheet1!S71_SA34eCode,$AC:$AC,Sheet1!S71_A5CapexCode,$AD:$AD)</f>
        <v>0</v>
      </c>
      <c r="L9" s="2126"/>
      <c r="AB9" s="2369"/>
      <c r="AC9" s="2365" t="s">
        <v>2774</v>
      </c>
      <c r="AD9" s="2365" t="s">
        <v>2805</v>
      </c>
    </row>
    <row r="10" spans="1:30" s="377" customFormat="1" ht="13.5" x14ac:dyDescent="0.25">
      <c r="A10" s="2125" t="s">
        <v>2232</v>
      </c>
      <c r="B10" s="144"/>
      <c r="C10" s="712">
        <f>SUMIFS(Sheet1!S71_PPPYearAmount,Sheet1!S71_SA34eCode,$AC:$AC,Sheet1!S71_A5CapexCode,$AD:$AD)</f>
        <v>0</v>
      </c>
      <c r="D10" s="712">
        <f>SUMIFS(Sheet1!S71_PPYearAmount,Sheet1!S71_SA34eCode,$AC:$AC,Sheet1!S71_A5CapexCode,$AD:$AD)</f>
        <v>0</v>
      </c>
      <c r="E10" s="715">
        <f>SUMIFS(Sheet1!S71_PYearAmount,Sheet1!S71_SA34eCode,$AC:$AC,Sheet1!S71_A5CapexCode,$AD:$AD)</f>
        <v>0</v>
      </c>
      <c r="F10" s="725">
        <f>SUMIFS(Sheet1!S71_OriginalBudAmnt,Sheet1!S71_SA34eCode,$AC:$AC,Sheet1!S71_A5CapexCode,$AD:$AD)</f>
        <v>0</v>
      </c>
      <c r="G10" s="712">
        <f>SUMIFS(Sheet1!S71_AdjustmentBudAmnt,Sheet1!S71_SA34eCode,$AC:$AC,Sheet1!S71_A5CapexCode,$AD:$AD)</f>
        <v>0</v>
      </c>
      <c r="H10" s="713">
        <f>SUMIFS(Sheet1!S71_AdjustmentBudAmnt,Sheet1!S71_SA34eCode,$AC:$AC,Sheet1!S71_A5CapexCode,$AD:$AD)</f>
        <v>0</v>
      </c>
      <c r="I10" s="725">
        <f>SUMIFS(Sheet1!S71_ASBudgetAmount,Sheet1!S71_SA34eCode,$AC:$AC,Sheet1!S71_A5CapexCode,$AD:$AD)</f>
        <v>0</v>
      </c>
      <c r="J10" s="712">
        <f>SUMIFS(Sheet1!S71_OY1BudgetAmount,Sheet1!S71_SA34eCode,$AC:$AC,Sheet1!S71_A5CapexCode,$AD:$AD)</f>
        <v>0</v>
      </c>
      <c r="K10" s="713">
        <f>SUMIFS(Sheet1!S71_OY2BudgetAmount,Sheet1!S71_SA34eCode,$AC:$AC,Sheet1!S71_A5CapexCode,$AD:$AD)</f>
        <v>0</v>
      </c>
      <c r="L10" s="2124"/>
      <c r="AB10" s="2369"/>
      <c r="AC10" s="2365" t="s">
        <v>2775</v>
      </c>
      <c r="AD10" s="2365" t="s">
        <v>2805</v>
      </c>
    </row>
    <row r="11" spans="1:30" s="377" customFormat="1" ht="13.5" x14ac:dyDescent="0.25">
      <c r="A11" s="2125" t="s">
        <v>2233</v>
      </c>
      <c r="B11" s="144"/>
      <c r="C11" s="712">
        <f>SUMIFS(Sheet1!S71_PPPYearAmount,Sheet1!S71_SA34eCode,$AC:$AC,Sheet1!S71_A5CapexCode,$AD:$AD)</f>
        <v>0</v>
      </c>
      <c r="D11" s="712">
        <f>SUMIFS(Sheet1!S71_PPYearAmount,Sheet1!S71_SA34eCode,$AC:$AC,Sheet1!S71_A5CapexCode,$AD:$AD)</f>
        <v>0</v>
      </c>
      <c r="E11" s="715">
        <f>SUMIFS(Sheet1!S71_PYearAmount,Sheet1!S71_SA34eCode,$AC:$AC,Sheet1!S71_A5CapexCode,$AD:$AD)</f>
        <v>0</v>
      </c>
      <c r="F11" s="725">
        <f>SUMIFS(Sheet1!S71_OriginalBudAmnt,Sheet1!S71_SA34eCode,$AC:$AC,Sheet1!S71_A5CapexCode,$AD:$AD)</f>
        <v>0</v>
      </c>
      <c r="G11" s="712">
        <f>SUMIFS(Sheet1!S71_AdjustmentBudAmnt,Sheet1!S71_SA34eCode,$AC:$AC,Sheet1!S71_A5CapexCode,$AD:$AD)</f>
        <v>0</v>
      </c>
      <c r="H11" s="713">
        <f>SUMIFS(Sheet1!S71_AdjustmentBudAmnt,Sheet1!S71_SA34eCode,$AC:$AC,Sheet1!S71_A5CapexCode,$AD:$AD)</f>
        <v>0</v>
      </c>
      <c r="I11" s="725">
        <f>SUMIFS(Sheet1!S71_ASBudgetAmount,Sheet1!S71_SA34eCode,$AC:$AC,Sheet1!S71_A5CapexCode,$AD:$AD)</f>
        <v>0</v>
      </c>
      <c r="J11" s="712">
        <f>SUMIFS(Sheet1!S71_OY1BudgetAmount,Sheet1!S71_SA34eCode,$AC:$AC,Sheet1!S71_A5CapexCode,$AD:$AD)</f>
        <v>0</v>
      </c>
      <c r="K11" s="713">
        <f>SUMIFS(Sheet1!S71_OY2BudgetAmount,Sheet1!S71_SA34eCode,$AC:$AC,Sheet1!S71_A5CapexCode,$AD:$AD)</f>
        <v>0</v>
      </c>
      <c r="L11" s="2126"/>
      <c r="AB11" s="2369"/>
      <c r="AC11" s="2365" t="s">
        <v>2776</v>
      </c>
      <c r="AD11" s="2365" t="s">
        <v>2805</v>
      </c>
    </row>
    <row r="12" spans="1:30" s="377" customFormat="1" ht="13.5" x14ac:dyDescent="0.25">
      <c r="A12" s="104" t="s">
        <v>2234</v>
      </c>
      <c r="B12" s="144"/>
      <c r="C12" s="71">
        <f>SUM(C13:C15)</f>
        <v>0</v>
      </c>
      <c r="D12" s="71">
        <f t="shared" ref="D12:K12" si="2">SUM(D13:D15)</f>
        <v>0</v>
      </c>
      <c r="E12" s="305">
        <f t="shared" si="2"/>
        <v>0</v>
      </c>
      <c r="F12" s="75">
        <f t="shared" si="2"/>
        <v>0</v>
      </c>
      <c r="G12" s="71">
        <f t="shared" si="2"/>
        <v>0</v>
      </c>
      <c r="H12" s="117">
        <f t="shared" si="2"/>
        <v>0</v>
      </c>
      <c r="I12" s="75">
        <f t="shared" si="2"/>
        <v>0</v>
      </c>
      <c r="J12" s="71">
        <f t="shared" si="2"/>
        <v>0</v>
      </c>
      <c r="K12" s="117">
        <f t="shared" si="2"/>
        <v>0</v>
      </c>
      <c r="L12" s="2126"/>
      <c r="AB12" s="2369"/>
      <c r="AC12" s="2365"/>
      <c r="AD12" s="2365"/>
    </row>
    <row r="13" spans="1:30" s="377" customFormat="1" ht="13.5" x14ac:dyDescent="0.25">
      <c r="A13" s="2125" t="s">
        <v>2235</v>
      </c>
      <c r="B13" s="144"/>
      <c r="C13" s="712">
        <f>SUMIFS(Sheet1!S71_PPPYearAmount,Sheet1!S71_SA34eCode,$AC:$AC,Sheet1!S71_A5CapexCode,$AD:$AD)</f>
        <v>0</v>
      </c>
      <c r="D13" s="712">
        <f>SUMIFS(Sheet1!S71_PPYearAmount,Sheet1!S71_SA34eCode,$AC:$AC,Sheet1!S71_A5CapexCode,$AD:$AD)</f>
        <v>0</v>
      </c>
      <c r="E13" s="715">
        <f>SUMIFS(Sheet1!S71_PYearAmount,Sheet1!S71_SA34eCode,$AC:$AC,Sheet1!S71_A5CapexCode,$AD:$AD)</f>
        <v>0</v>
      </c>
      <c r="F13" s="725">
        <f>SUMIFS(Sheet1!S71_OriginalBudAmnt,Sheet1!S71_SA34eCode,$AC:$AC,Sheet1!S71_A5CapexCode,$AD:$AD)</f>
        <v>0</v>
      </c>
      <c r="G13" s="712">
        <f>SUMIFS(Sheet1!S71_AdjustmentBudAmnt,Sheet1!S71_SA34eCode,$AC:$AC,Sheet1!S71_A5CapexCode,$AD:$AD)</f>
        <v>0</v>
      </c>
      <c r="H13" s="713">
        <f>SUMIFS(Sheet1!S71_AdjustmentBudAmnt,Sheet1!S71_SA34eCode,$AC:$AC,Sheet1!S71_A5CapexCode,$AD:$AD)</f>
        <v>0</v>
      </c>
      <c r="I13" s="725">
        <f>SUMIFS(Sheet1!S71_ASBudgetAmount,Sheet1!S71_SA34eCode,$AC:$AC,Sheet1!S71_A5CapexCode,$AD:$AD)</f>
        <v>0</v>
      </c>
      <c r="J13" s="712">
        <f>SUMIFS(Sheet1!S71_OY1BudgetAmount,Sheet1!S71_SA34eCode,$AC:$AC,Sheet1!S71_A5CapexCode,$AD:$AD)</f>
        <v>0</v>
      </c>
      <c r="K13" s="713">
        <f>SUMIFS(Sheet1!S71_OY2BudgetAmount,Sheet1!S71_SA34eCode,$AC:$AC,Sheet1!S71_A5CapexCode,$AD:$AD)</f>
        <v>0</v>
      </c>
      <c r="L13" s="2126"/>
      <c r="AB13" s="2369"/>
      <c r="AC13" s="2365" t="s">
        <v>2778</v>
      </c>
      <c r="AD13" s="2365" t="s">
        <v>2805</v>
      </c>
    </row>
    <row r="14" spans="1:30" s="377" customFormat="1" ht="13.5" x14ac:dyDescent="0.25">
      <c r="A14" s="2125" t="s">
        <v>2236</v>
      </c>
      <c r="B14" s="144"/>
      <c r="C14" s="712">
        <f>SUMIFS(Sheet1!S71_PPPYearAmount,Sheet1!S71_SA34eCode,$AC:$AC,Sheet1!S71_A5CapexCode,$AD:$AD)</f>
        <v>0</v>
      </c>
      <c r="D14" s="712">
        <f>SUMIFS(Sheet1!S71_PPYearAmount,Sheet1!S71_SA34eCode,$AC:$AC,Sheet1!S71_A5CapexCode,$AD:$AD)</f>
        <v>0</v>
      </c>
      <c r="E14" s="715">
        <f>SUMIFS(Sheet1!S71_PYearAmount,Sheet1!S71_SA34eCode,$AC:$AC,Sheet1!S71_A5CapexCode,$AD:$AD)</f>
        <v>0</v>
      </c>
      <c r="F14" s="725">
        <f>SUMIFS(Sheet1!S71_OriginalBudAmnt,Sheet1!S71_SA34eCode,$AC:$AC,Sheet1!S71_A5CapexCode,$AD:$AD)</f>
        <v>0</v>
      </c>
      <c r="G14" s="712">
        <f>SUMIFS(Sheet1!S71_AdjustmentBudAmnt,Sheet1!S71_SA34eCode,$AC:$AC,Sheet1!S71_A5CapexCode,$AD:$AD)</f>
        <v>0</v>
      </c>
      <c r="H14" s="713">
        <f>SUMIFS(Sheet1!S71_AdjustmentBudAmnt,Sheet1!S71_SA34eCode,$AC:$AC,Sheet1!S71_A5CapexCode,$AD:$AD)</f>
        <v>0</v>
      </c>
      <c r="I14" s="725">
        <f>SUMIFS(Sheet1!S71_ASBudgetAmount,Sheet1!S71_SA34eCode,$AC:$AC,Sheet1!S71_A5CapexCode,$AD:$AD)</f>
        <v>0</v>
      </c>
      <c r="J14" s="712">
        <f>SUMIFS(Sheet1!S71_OY1BudgetAmount,Sheet1!S71_SA34eCode,$AC:$AC,Sheet1!S71_A5CapexCode,$AD:$AD)</f>
        <v>0</v>
      </c>
      <c r="K14" s="713">
        <f>SUMIFS(Sheet1!S71_OY2BudgetAmount,Sheet1!S71_SA34eCode,$AC:$AC,Sheet1!S71_A5CapexCode,$AD:$AD)</f>
        <v>0</v>
      </c>
      <c r="L14" s="2126"/>
      <c r="AB14" s="2369"/>
      <c r="AC14" s="2365" t="s">
        <v>2830</v>
      </c>
      <c r="AD14" s="2365" t="s">
        <v>2805</v>
      </c>
    </row>
    <row r="15" spans="1:30" s="377" customFormat="1" ht="13.5" x14ac:dyDescent="0.25">
      <c r="A15" s="2125" t="s">
        <v>2237</v>
      </c>
      <c r="B15" s="144"/>
      <c r="C15" s="712">
        <f>SUMIFS(Sheet1!S71_PPPYearAmount,Sheet1!S71_SA34eCode,$AC:$AC,Sheet1!S71_A5CapexCode,$AD:$AD)</f>
        <v>0</v>
      </c>
      <c r="D15" s="712">
        <f>SUMIFS(Sheet1!S71_PPYearAmount,Sheet1!S71_SA34eCode,$AC:$AC,Sheet1!S71_A5CapexCode,$AD:$AD)</f>
        <v>0</v>
      </c>
      <c r="E15" s="715">
        <f>SUMIFS(Sheet1!S71_PYearAmount,Sheet1!S71_SA34eCode,$AC:$AC,Sheet1!S71_A5CapexCode,$AD:$AD)</f>
        <v>0</v>
      </c>
      <c r="F15" s="725">
        <f>SUMIFS(Sheet1!S71_OriginalBudAmnt,Sheet1!S71_SA34eCode,$AC:$AC,Sheet1!S71_A5CapexCode,$AD:$AD)</f>
        <v>0</v>
      </c>
      <c r="G15" s="712">
        <f>SUMIFS(Sheet1!S71_AdjustmentBudAmnt,Sheet1!S71_SA34eCode,$AC:$AC,Sheet1!S71_A5CapexCode,$AD:$AD)</f>
        <v>0</v>
      </c>
      <c r="H15" s="713">
        <f>SUMIFS(Sheet1!S71_AdjustmentBudAmnt,Sheet1!S71_SA34eCode,$AC:$AC,Sheet1!S71_A5CapexCode,$AD:$AD)</f>
        <v>0</v>
      </c>
      <c r="I15" s="725">
        <f>SUMIFS(Sheet1!S71_ASBudgetAmount,Sheet1!S71_SA34eCode,$AC:$AC,Sheet1!S71_A5CapexCode,$AD:$AD)</f>
        <v>0</v>
      </c>
      <c r="J15" s="712">
        <f>SUMIFS(Sheet1!S71_OY1BudgetAmount,Sheet1!S71_SA34eCode,$AC:$AC,Sheet1!S71_A5CapexCode,$AD:$AD)</f>
        <v>0</v>
      </c>
      <c r="K15" s="713">
        <f>SUMIFS(Sheet1!S71_OY2BudgetAmount,Sheet1!S71_SA34eCode,$AC:$AC,Sheet1!S71_A5CapexCode,$AD:$AD)</f>
        <v>0</v>
      </c>
      <c r="L15" s="2126"/>
      <c r="AB15" s="2369"/>
      <c r="AC15" s="2365" t="s">
        <v>2831</v>
      </c>
      <c r="AD15" s="2365" t="s">
        <v>2805</v>
      </c>
    </row>
    <row r="16" spans="1:30" s="377" customFormat="1" ht="13.5" x14ac:dyDescent="0.25">
      <c r="A16" s="104" t="s">
        <v>2279</v>
      </c>
      <c r="B16" s="144"/>
      <c r="C16" s="71">
        <f t="shared" ref="C16:K16" si="3">SUM(C17:C25)</f>
        <v>0</v>
      </c>
      <c r="D16" s="71">
        <f t="shared" si="3"/>
        <v>0</v>
      </c>
      <c r="E16" s="305">
        <f t="shared" si="3"/>
        <v>0</v>
      </c>
      <c r="F16" s="75">
        <f t="shared" si="3"/>
        <v>0</v>
      </c>
      <c r="G16" s="71">
        <f t="shared" si="3"/>
        <v>0</v>
      </c>
      <c r="H16" s="117">
        <f t="shared" si="3"/>
        <v>0</v>
      </c>
      <c r="I16" s="75">
        <f t="shared" si="3"/>
        <v>0</v>
      </c>
      <c r="J16" s="71">
        <f t="shared" si="3"/>
        <v>0</v>
      </c>
      <c r="K16" s="117">
        <f t="shared" si="3"/>
        <v>0</v>
      </c>
      <c r="L16" s="2126"/>
      <c r="AB16" s="2369"/>
      <c r="AC16" s="2365"/>
      <c r="AD16" s="2365"/>
    </row>
    <row r="17" spans="1:30" s="377" customFormat="1" ht="13.5" x14ac:dyDescent="0.25">
      <c r="A17" s="2125" t="s">
        <v>2238</v>
      </c>
      <c r="B17" s="144"/>
      <c r="C17" s="712">
        <f>SUMIFS(Sheet1!S71_PPPYearAmount,Sheet1!S71_SA34eCode,$AC:$AC,Sheet1!S71_A5CapexCode,$AD:$AD)</f>
        <v>0</v>
      </c>
      <c r="D17" s="712">
        <f>SUMIFS(Sheet1!S71_PPYearAmount,Sheet1!S71_SA34eCode,$AC:$AC,Sheet1!S71_A5CapexCode,$AD:$AD)</f>
        <v>0</v>
      </c>
      <c r="E17" s="715">
        <f>SUMIFS(Sheet1!S71_PYearAmount,Sheet1!S71_SA34eCode,$AC:$AC,Sheet1!S71_A5CapexCode,$AD:$AD)</f>
        <v>0</v>
      </c>
      <c r="F17" s="725">
        <f>SUMIFS(Sheet1!S71_OriginalBudAmnt,Sheet1!S71_SA34eCode,$AC:$AC,Sheet1!S71_A5CapexCode,$AD:$AD)</f>
        <v>0</v>
      </c>
      <c r="G17" s="712">
        <f>SUMIFS(Sheet1!S71_AdjustmentBudAmnt,Sheet1!S71_SA34eCode,$AC:$AC,Sheet1!S71_A5CapexCode,$AD:$AD)</f>
        <v>0</v>
      </c>
      <c r="H17" s="713">
        <f>SUMIFS(Sheet1!S71_AdjustmentBudAmnt,Sheet1!S71_SA34eCode,$AC:$AC,Sheet1!S71_A5CapexCode,$AD:$AD)</f>
        <v>0</v>
      </c>
      <c r="I17" s="725">
        <f>SUMIFS(Sheet1!S71_ASBudgetAmount,Sheet1!S71_SA34eCode,$AC:$AC,Sheet1!S71_A5CapexCode,$AD:$AD)</f>
        <v>0</v>
      </c>
      <c r="J17" s="712">
        <f>SUMIFS(Sheet1!S71_OY1BudgetAmount,Sheet1!S71_SA34eCode,$AC:$AC,Sheet1!S71_A5CapexCode,$AD:$AD)</f>
        <v>0</v>
      </c>
      <c r="K17" s="713">
        <f>SUMIFS(Sheet1!S71_OY2BudgetAmount,Sheet1!S71_SA34eCode,$AC:$AC,Sheet1!S71_A5CapexCode,$AD:$AD)</f>
        <v>0</v>
      </c>
      <c r="L17" s="2126"/>
      <c r="AB17" s="2369"/>
      <c r="AC17" s="2365" t="s">
        <v>2767</v>
      </c>
      <c r="AD17" s="2365" t="s">
        <v>2805</v>
      </c>
    </row>
    <row r="18" spans="1:30" s="377" customFormat="1" ht="13.5" x14ac:dyDescent="0.25">
      <c r="A18" s="2125" t="s">
        <v>2239</v>
      </c>
      <c r="B18" s="144"/>
      <c r="C18" s="712">
        <f>SUMIFS(Sheet1!S71_PPPYearAmount,Sheet1!S71_SA34eCode,$AC:$AC,Sheet1!S71_A5CapexCode,$AD:$AD)</f>
        <v>0</v>
      </c>
      <c r="D18" s="712">
        <f>SUMIFS(Sheet1!S71_PPYearAmount,Sheet1!S71_SA34eCode,$AC:$AC,Sheet1!S71_A5CapexCode,$AD:$AD)</f>
        <v>0</v>
      </c>
      <c r="E18" s="715">
        <f>SUMIFS(Sheet1!S71_PYearAmount,Sheet1!S71_SA34eCode,$AC:$AC,Sheet1!S71_A5CapexCode,$AD:$AD)</f>
        <v>0</v>
      </c>
      <c r="F18" s="725">
        <f>SUMIFS(Sheet1!S71_OriginalBudAmnt,Sheet1!S71_SA34eCode,$AC:$AC,Sheet1!S71_A5CapexCode,$AD:$AD)</f>
        <v>0</v>
      </c>
      <c r="G18" s="712">
        <f>SUMIFS(Sheet1!S71_AdjustmentBudAmnt,Sheet1!S71_SA34eCode,$AC:$AC,Sheet1!S71_A5CapexCode,$AD:$AD)</f>
        <v>0</v>
      </c>
      <c r="H18" s="713">
        <f>SUMIFS(Sheet1!S71_AdjustmentBudAmnt,Sheet1!S71_SA34eCode,$AC:$AC,Sheet1!S71_A5CapexCode,$AD:$AD)</f>
        <v>0</v>
      </c>
      <c r="I18" s="725">
        <f>SUMIFS(Sheet1!S71_ASBudgetAmount,Sheet1!S71_SA34eCode,$AC:$AC,Sheet1!S71_A5CapexCode,$AD:$AD)</f>
        <v>0</v>
      </c>
      <c r="J18" s="712">
        <f>SUMIFS(Sheet1!S71_OY1BudgetAmount,Sheet1!S71_SA34eCode,$AC:$AC,Sheet1!S71_A5CapexCode,$AD:$AD)</f>
        <v>0</v>
      </c>
      <c r="K18" s="713">
        <f>SUMIFS(Sheet1!S71_OY2BudgetAmount,Sheet1!S71_SA34eCode,$AC:$AC,Sheet1!S71_A5CapexCode,$AD:$AD)</f>
        <v>0</v>
      </c>
      <c r="L18" s="2126"/>
      <c r="AB18" s="2369"/>
      <c r="AC18" s="2365" t="s">
        <v>2768</v>
      </c>
      <c r="AD18" s="2365" t="s">
        <v>2805</v>
      </c>
    </row>
    <row r="19" spans="1:30" s="377" customFormat="1" ht="13.5" x14ac:dyDescent="0.25">
      <c r="A19" s="2125" t="s">
        <v>2240</v>
      </c>
      <c r="B19" s="144"/>
      <c r="C19" s="712">
        <f>SUMIFS(Sheet1!S71_PPPYearAmount,Sheet1!S71_SA34eCode,$AC:$AC,Sheet1!S71_A5CapexCode,$AD:$AD)</f>
        <v>0</v>
      </c>
      <c r="D19" s="712">
        <f>SUMIFS(Sheet1!S71_PPYearAmount,Sheet1!S71_SA34eCode,$AC:$AC,Sheet1!S71_A5CapexCode,$AD:$AD)</f>
        <v>0</v>
      </c>
      <c r="E19" s="715">
        <f>SUMIFS(Sheet1!S71_PYearAmount,Sheet1!S71_SA34eCode,$AC:$AC,Sheet1!S71_A5CapexCode,$AD:$AD)</f>
        <v>0</v>
      </c>
      <c r="F19" s="725">
        <f>SUMIFS(Sheet1!S71_OriginalBudAmnt,Sheet1!S71_SA34eCode,$AC:$AC,Sheet1!S71_A5CapexCode,$AD:$AD)</f>
        <v>0</v>
      </c>
      <c r="G19" s="712">
        <f>SUMIFS(Sheet1!S71_AdjustmentBudAmnt,Sheet1!S71_SA34eCode,$AC:$AC,Sheet1!S71_A5CapexCode,$AD:$AD)</f>
        <v>0</v>
      </c>
      <c r="H19" s="713">
        <f>SUMIFS(Sheet1!S71_AdjustmentBudAmnt,Sheet1!S71_SA34eCode,$AC:$AC,Sheet1!S71_A5CapexCode,$AD:$AD)</f>
        <v>0</v>
      </c>
      <c r="I19" s="725">
        <f>SUMIFS(Sheet1!S71_ASBudgetAmount,Sheet1!S71_SA34eCode,$AC:$AC,Sheet1!S71_A5CapexCode,$AD:$AD)</f>
        <v>0</v>
      </c>
      <c r="J19" s="712">
        <f>SUMIFS(Sheet1!S71_OY1BudgetAmount,Sheet1!S71_SA34eCode,$AC:$AC,Sheet1!S71_A5CapexCode,$AD:$AD)</f>
        <v>0</v>
      </c>
      <c r="K19" s="713">
        <f>SUMIFS(Sheet1!S71_OY2BudgetAmount,Sheet1!S71_SA34eCode,$AC:$AC,Sheet1!S71_A5CapexCode,$AD:$AD)</f>
        <v>0</v>
      </c>
      <c r="L19" s="2126"/>
      <c r="AB19" s="2369"/>
      <c r="AC19" s="2365" t="s">
        <v>2779</v>
      </c>
      <c r="AD19" s="2365" t="s">
        <v>2805</v>
      </c>
    </row>
    <row r="20" spans="1:30" s="377" customFormat="1" ht="13.5" x14ac:dyDescent="0.25">
      <c r="A20" s="2125" t="s">
        <v>2241</v>
      </c>
      <c r="B20" s="144"/>
      <c r="C20" s="712">
        <f>SUMIFS(Sheet1!S71_PPPYearAmount,Sheet1!S71_SA34eCode,$AC:$AC,Sheet1!S71_A5CapexCode,$AD:$AD)</f>
        <v>0</v>
      </c>
      <c r="D20" s="712">
        <f>SUMIFS(Sheet1!S71_PPYearAmount,Sheet1!S71_SA34eCode,$AC:$AC,Sheet1!S71_A5CapexCode,$AD:$AD)</f>
        <v>0</v>
      </c>
      <c r="E20" s="715">
        <f>SUMIFS(Sheet1!S71_PYearAmount,Sheet1!S71_SA34eCode,$AC:$AC,Sheet1!S71_A5CapexCode,$AD:$AD)</f>
        <v>0</v>
      </c>
      <c r="F20" s="725">
        <f>SUMIFS(Sheet1!S71_OriginalBudAmnt,Sheet1!S71_SA34eCode,$AC:$AC,Sheet1!S71_A5CapexCode,$AD:$AD)</f>
        <v>0</v>
      </c>
      <c r="G20" s="712">
        <f>SUMIFS(Sheet1!S71_AdjustmentBudAmnt,Sheet1!S71_SA34eCode,$AC:$AC,Sheet1!S71_A5CapexCode,$AD:$AD)</f>
        <v>0</v>
      </c>
      <c r="H20" s="713">
        <f>SUMIFS(Sheet1!S71_AdjustmentBudAmnt,Sheet1!S71_SA34eCode,$AC:$AC,Sheet1!S71_A5CapexCode,$AD:$AD)</f>
        <v>0</v>
      </c>
      <c r="I20" s="725">
        <f>SUMIFS(Sheet1!S71_ASBudgetAmount,Sheet1!S71_SA34eCode,$AC:$AC,Sheet1!S71_A5CapexCode,$AD:$AD)</f>
        <v>0</v>
      </c>
      <c r="J20" s="712">
        <f>SUMIFS(Sheet1!S71_OY1BudgetAmount,Sheet1!S71_SA34eCode,$AC:$AC,Sheet1!S71_A5CapexCode,$AD:$AD)</f>
        <v>0</v>
      </c>
      <c r="K20" s="713">
        <f>SUMIFS(Sheet1!S71_OY2BudgetAmount,Sheet1!S71_SA34eCode,$AC:$AC,Sheet1!S71_A5CapexCode,$AD:$AD)</f>
        <v>0</v>
      </c>
      <c r="L20" s="2126"/>
      <c r="AB20" s="2369"/>
      <c r="AC20" s="2365" t="s">
        <v>2780</v>
      </c>
      <c r="AD20" s="2365" t="s">
        <v>2805</v>
      </c>
    </row>
    <row r="21" spans="1:30" s="377" customFormat="1" ht="13.5" x14ac:dyDescent="0.25">
      <c r="A21" s="2125" t="s">
        <v>2242</v>
      </c>
      <c r="B21" s="144"/>
      <c r="C21" s="712">
        <f>SUMIFS(Sheet1!S71_PPPYearAmount,Sheet1!S71_SA34eCode,$AC:$AC,Sheet1!S71_A5CapexCode,$AD:$AD)</f>
        <v>0</v>
      </c>
      <c r="D21" s="712">
        <f>SUMIFS(Sheet1!S71_PPYearAmount,Sheet1!S71_SA34eCode,$AC:$AC,Sheet1!S71_A5CapexCode,$AD:$AD)</f>
        <v>0</v>
      </c>
      <c r="E21" s="715">
        <f>SUMIFS(Sheet1!S71_PYearAmount,Sheet1!S71_SA34eCode,$AC:$AC,Sheet1!S71_A5CapexCode,$AD:$AD)</f>
        <v>0</v>
      </c>
      <c r="F21" s="725">
        <f>SUMIFS(Sheet1!S71_OriginalBudAmnt,Sheet1!S71_SA34eCode,$AC:$AC,Sheet1!S71_A5CapexCode,$AD:$AD)</f>
        <v>0</v>
      </c>
      <c r="G21" s="712">
        <f>SUMIFS(Sheet1!S71_AdjustmentBudAmnt,Sheet1!S71_SA34eCode,$AC:$AC,Sheet1!S71_A5CapexCode,$AD:$AD)</f>
        <v>0</v>
      </c>
      <c r="H21" s="713">
        <f>SUMIFS(Sheet1!S71_AdjustmentBudAmnt,Sheet1!S71_SA34eCode,$AC:$AC,Sheet1!S71_A5CapexCode,$AD:$AD)</f>
        <v>0</v>
      </c>
      <c r="I21" s="725">
        <f>SUMIFS(Sheet1!S71_ASBudgetAmount,Sheet1!S71_SA34eCode,$AC:$AC,Sheet1!S71_A5CapexCode,$AD:$AD)</f>
        <v>0</v>
      </c>
      <c r="J21" s="712">
        <f>SUMIFS(Sheet1!S71_OY1BudgetAmount,Sheet1!S71_SA34eCode,$AC:$AC,Sheet1!S71_A5CapexCode,$AD:$AD)</f>
        <v>0</v>
      </c>
      <c r="K21" s="713">
        <f>SUMIFS(Sheet1!S71_OY2BudgetAmount,Sheet1!S71_SA34eCode,$AC:$AC,Sheet1!S71_A5CapexCode,$AD:$AD)</f>
        <v>0</v>
      </c>
      <c r="L21" s="2126"/>
      <c r="AB21" s="2369"/>
      <c r="AC21" s="2365" t="s">
        <v>2832</v>
      </c>
      <c r="AD21" s="2365" t="s">
        <v>2805</v>
      </c>
    </row>
    <row r="22" spans="1:30" s="377" customFormat="1" ht="13.5" x14ac:dyDescent="0.25">
      <c r="A22" s="2125" t="s">
        <v>2243</v>
      </c>
      <c r="B22" s="144"/>
      <c r="C22" s="712">
        <f>SUMIFS(Sheet1!S71_PPPYearAmount,Sheet1!S71_SA34eCode,$AC:$AC,Sheet1!S71_A5CapexCode,$AD:$AD)</f>
        <v>0</v>
      </c>
      <c r="D22" s="712">
        <f>SUMIFS(Sheet1!S71_PPYearAmount,Sheet1!S71_SA34eCode,$AC:$AC,Sheet1!S71_A5CapexCode,$AD:$AD)</f>
        <v>0</v>
      </c>
      <c r="E22" s="715">
        <f>SUMIFS(Sheet1!S71_PYearAmount,Sheet1!S71_SA34eCode,$AC:$AC,Sheet1!S71_A5CapexCode,$AD:$AD)</f>
        <v>0</v>
      </c>
      <c r="F22" s="725">
        <f>SUMIFS(Sheet1!S71_OriginalBudAmnt,Sheet1!S71_SA34eCode,$AC:$AC,Sheet1!S71_A5CapexCode,$AD:$AD)</f>
        <v>0</v>
      </c>
      <c r="G22" s="712">
        <f>SUMIFS(Sheet1!S71_AdjustmentBudAmnt,Sheet1!S71_SA34eCode,$AC:$AC,Sheet1!S71_A5CapexCode,$AD:$AD)</f>
        <v>0</v>
      </c>
      <c r="H22" s="713">
        <f>SUMIFS(Sheet1!S71_AdjustmentBudAmnt,Sheet1!S71_SA34eCode,$AC:$AC,Sheet1!S71_A5CapexCode,$AD:$AD)</f>
        <v>0</v>
      </c>
      <c r="I22" s="725">
        <f>SUMIFS(Sheet1!S71_ASBudgetAmount,Sheet1!S71_SA34eCode,$AC:$AC,Sheet1!S71_A5CapexCode,$AD:$AD)</f>
        <v>0</v>
      </c>
      <c r="J22" s="712">
        <f>SUMIFS(Sheet1!S71_OY1BudgetAmount,Sheet1!S71_SA34eCode,$AC:$AC,Sheet1!S71_A5CapexCode,$AD:$AD)</f>
        <v>0</v>
      </c>
      <c r="K22" s="713">
        <f>SUMIFS(Sheet1!S71_OY2BudgetAmount,Sheet1!S71_SA34eCode,$AC:$AC,Sheet1!S71_A5CapexCode,$AD:$AD)</f>
        <v>0</v>
      </c>
      <c r="L22" s="2126"/>
      <c r="AB22" s="2369"/>
      <c r="AC22" s="2365" t="s">
        <v>2769</v>
      </c>
      <c r="AD22" s="2365" t="s">
        <v>2805</v>
      </c>
    </row>
    <row r="23" spans="1:30" s="377" customFormat="1" ht="13.5" x14ac:dyDescent="0.25">
      <c r="A23" s="2125" t="s">
        <v>2244</v>
      </c>
      <c r="B23" s="144"/>
      <c r="C23" s="712">
        <f>SUMIFS(Sheet1!S71_PPPYearAmount,Sheet1!S71_SA34eCode,$AC:$AC,Sheet1!S71_A5CapexCode,$AD:$AD)</f>
        <v>0</v>
      </c>
      <c r="D23" s="712">
        <f>SUMIFS(Sheet1!S71_PPYearAmount,Sheet1!S71_SA34eCode,$AC:$AC,Sheet1!S71_A5CapexCode,$AD:$AD)</f>
        <v>0</v>
      </c>
      <c r="E23" s="715">
        <f>SUMIFS(Sheet1!S71_PYearAmount,Sheet1!S71_SA34eCode,$AC:$AC,Sheet1!S71_A5CapexCode,$AD:$AD)</f>
        <v>0</v>
      </c>
      <c r="F23" s="725">
        <f>SUMIFS(Sheet1!S71_OriginalBudAmnt,Sheet1!S71_SA34eCode,$AC:$AC,Sheet1!S71_A5CapexCode,$AD:$AD)</f>
        <v>0</v>
      </c>
      <c r="G23" s="712">
        <f>SUMIFS(Sheet1!S71_AdjustmentBudAmnt,Sheet1!S71_SA34eCode,$AC:$AC,Sheet1!S71_A5CapexCode,$AD:$AD)</f>
        <v>0</v>
      </c>
      <c r="H23" s="713">
        <f>SUMIFS(Sheet1!S71_AdjustmentBudAmnt,Sheet1!S71_SA34eCode,$AC:$AC,Sheet1!S71_A5CapexCode,$AD:$AD)</f>
        <v>0</v>
      </c>
      <c r="I23" s="725">
        <f>SUMIFS(Sheet1!S71_ASBudgetAmount,Sheet1!S71_SA34eCode,$AC:$AC,Sheet1!S71_A5CapexCode,$AD:$AD)</f>
        <v>0</v>
      </c>
      <c r="J23" s="712">
        <f>SUMIFS(Sheet1!S71_OY1BudgetAmount,Sheet1!S71_SA34eCode,$AC:$AC,Sheet1!S71_A5CapexCode,$AD:$AD)</f>
        <v>0</v>
      </c>
      <c r="K23" s="713">
        <f>SUMIFS(Sheet1!S71_OY2BudgetAmount,Sheet1!S71_SA34eCode,$AC:$AC,Sheet1!S71_A5CapexCode,$AD:$AD)</f>
        <v>0</v>
      </c>
      <c r="L23" s="2126"/>
      <c r="AB23" s="2369"/>
      <c r="AC23" s="2365" t="s">
        <v>2781</v>
      </c>
      <c r="AD23" s="2365" t="s">
        <v>2805</v>
      </c>
    </row>
    <row r="24" spans="1:30" s="377" customFormat="1" ht="13.5" x14ac:dyDescent="0.25">
      <c r="A24" s="2125" t="s">
        <v>2245</v>
      </c>
      <c r="B24" s="144"/>
      <c r="C24" s="712">
        <f>SUMIFS(Sheet1!S71_PPPYearAmount,Sheet1!S71_SA34eCode,$AC:$AC,Sheet1!S71_A5CapexCode,$AD:$AD)</f>
        <v>0</v>
      </c>
      <c r="D24" s="712">
        <f>SUMIFS(Sheet1!S71_PPYearAmount,Sheet1!S71_SA34eCode,$AC:$AC,Sheet1!S71_A5CapexCode,$AD:$AD)</f>
        <v>0</v>
      </c>
      <c r="E24" s="715">
        <f>SUMIFS(Sheet1!S71_PYearAmount,Sheet1!S71_SA34eCode,$AC:$AC,Sheet1!S71_A5CapexCode,$AD:$AD)</f>
        <v>0</v>
      </c>
      <c r="F24" s="725">
        <f>SUMIFS(Sheet1!S71_OriginalBudAmnt,Sheet1!S71_SA34eCode,$AC:$AC,Sheet1!S71_A5CapexCode,$AD:$AD)</f>
        <v>0</v>
      </c>
      <c r="G24" s="712">
        <f>SUMIFS(Sheet1!S71_AdjustmentBudAmnt,Sheet1!S71_SA34eCode,$AC:$AC,Sheet1!S71_A5CapexCode,$AD:$AD)</f>
        <v>0</v>
      </c>
      <c r="H24" s="713">
        <f>SUMIFS(Sheet1!S71_AdjustmentBudAmnt,Sheet1!S71_SA34eCode,$AC:$AC,Sheet1!S71_A5CapexCode,$AD:$AD)</f>
        <v>0</v>
      </c>
      <c r="I24" s="725">
        <f>SUMIFS(Sheet1!S71_ASBudgetAmount,Sheet1!S71_SA34eCode,$AC:$AC,Sheet1!S71_A5CapexCode,$AD:$AD)</f>
        <v>0</v>
      </c>
      <c r="J24" s="712">
        <f>SUMIFS(Sheet1!S71_OY1BudgetAmount,Sheet1!S71_SA34eCode,$AC:$AC,Sheet1!S71_A5CapexCode,$AD:$AD)</f>
        <v>0</v>
      </c>
      <c r="K24" s="713">
        <f>SUMIFS(Sheet1!S71_OY2BudgetAmount,Sheet1!S71_SA34eCode,$AC:$AC,Sheet1!S71_A5CapexCode,$AD:$AD)</f>
        <v>0</v>
      </c>
      <c r="L24" s="2126"/>
      <c r="AB24" s="2369"/>
      <c r="AC24" s="2365" t="s">
        <v>2782</v>
      </c>
      <c r="AD24" s="2365" t="s">
        <v>2805</v>
      </c>
    </row>
    <row r="25" spans="1:30" s="377" customFormat="1" ht="13.5" x14ac:dyDescent="0.25">
      <c r="A25" s="2125" t="s">
        <v>2233</v>
      </c>
      <c r="B25" s="144"/>
      <c r="C25" s="712">
        <f>SUMIFS(Sheet1!S71_PPPYearAmount,Sheet1!S71_SA34eCode,$AC:$AC,Sheet1!S71_A5CapexCode,$AD:$AD)</f>
        <v>0</v>
      </c>
      <c r="D25" s="712">
        <f>SUMIFS(Sheet1!S71_PPYearAmount,Sheet1!S71_SA34eCode,$AC:$AC,Sheet1!S71_A5CapexCode,$AD:$AD)</f>
        <v>0</v>
      </c>
      <c r="E25" s="715">
        <f>SUMIFS(Sheet1!S71_PYearAmount,Sheet1!S71_SA34eCode,$AC:$AC,Sheet1!S71_A5CapexCode,$AD:$AD)</f>
        <v>0</v>
      </c>
      <c r="F25" s="725">
        <f>SUMIFS(Sheet1!S71_OriginalBudAmnt,Sheet1!S71_SA34eCode,$AC:$AC,Sheet1!S71_A5CapexCode,$AD:$AD)</f>
        <v>0</v>
      </c>
      <c r="G25" s="712">
        <f>SUMIFS(Sheet1!S71_AdjustmentBudAmnt,Sheet1!S71_SA34eCode,$AC:$AC,Sheet1!S71_A5CapexCode,$AD:$AD)</f>
        <v>0</v>
      </c>
      <c r="H25" s="713">
        <f>SUMIFS(Sheet1!S71_AdjustmentBudAmnt,Sheet1!S71_SA34eCode,$AC:$AC,Sheet1!S71_A5CapexCode,$AD:$AD)</f>
        <v>0</v>
      </c>
      <c r="I25" s="725">
        <f>SUMIFS(Sheet1!S71_ASBudgetAmount,Sheet1!S71_SA34eCode,$AC:$AC,Sheet1!S71_A5CapexCode,$AD:$AD)</f>
        <v>0</v>
      </c>
      <c r="J25" s="712">
        <f>SUMIFS(Sheet1!S71_OY1BudgetAmount,Sheet1!S71_SA34eCode,$AC:$AC,Sheet1!S71_A5CapexCode,$AD:$AD)</f>
        <v>0</v>
      </c>
      <c r="K25" s="713">
        <f>SUMIFS(Sheet1!S71_OY2BudgetAmount,Sheet1!S71_SA34eCode,$AC:$AC,Sheet1!S71_A5CapexCode,$AD:$AD)</f>
        <v>0</v>
      </c>
      <c r="L25" s="2126"/>
      <c r="AB25" s="2369"/>
      <c r="AC25" s="2365" t="s">
        <v>2833</v>
      </c>
      <c r="AD25" s="2365" t="s">
        <v>2805</v>
      </c>
    </row>
    <row r="26" spans="1:30" s="377" customFormat="1" ht="13.5" x14ac:dyDescent="0.25">
      <c r="A26" s="137" t="s">
        <v>2280</v>
      </c>
      <c r="B26" s="97"/>
      <c r="C26" s="71">
        <f>SUM(C27:C36)</f>
        <v>0</v>
      </c>
      <c r="D26" s="71">
        <f t="shared" ref="D26:K26" si="4">SUM(D27:D36)</f>
        <v>0</v>
      </c>
      <c r="E26" s="305">
        <f t="shared" si="4"/>
        <v>0</v>
      </c>
      <c r="F26" s="75">
        <f t="shared" si="4"/>
        <v>0</v>
      </c>
      <c r="G26" s="71">
        <f t="shared" si="4"/>
        <v>0</v>
      </c>
      <c r="H26" s="117">
        <f t="shared" si="4"/>
        <v>0</v>
      </c>
      <c r="I26" s="75">
        <f t="shared" si="4"/>
        <v>0</v>
      </c>
      <c r="J26" s="71">
        <f t="shared" si="4"/>
        <v>0</v>
      </c>
      <c r="K26" s="117">
        <f t="shared" si="4"/>
        <v>0</v>
      </c>
      <c r="L26" s="2126"/>
      <c r="AB26" s="2369"/>
      <c r="AC26" s="2365"/>
      <c r="AD26" s="2365"/>
    </row>
    <row r="27" spans="1:30" s="377" customFormat="1" ht="13.5" x14ac:dyDescent="0.25">
      <c r="A27" s="2125" t="s">
        <v>2246</v>
      </c>
      <c r="B27" s="144"/>
      <c r="C27" s="712">
        <f>SUMIFS(Sheet1!S71_PPPYearAmount,Sheet1!S71_SA34eCode,$AC:$AC,Sheet1!S71_A5CapexCode,$AD:$AD)</f>
        <v>0</v>
      </c>
      <c r="D27" s="712">
        <f>SUMIFS(Sheet1!S71_PPYearAmount,Sheet1!S71_SA34eCode,$AC:$AC,Sheet1!S71_A5CapexCode,$AD:$AD)</f>
        <v>0</v>
      </c>
      <c r="E27" s="715">
        <f>SUMIFS(Sheet1!S71_PYearAmount,Sheet1!S71_SA34eCode,$AC:$AC,Sheet1!S71_A5CapexCode,$AD:$AD)</f>
        <v>0</v>
      </c>
      <c r="F27" s="725">
        <f>SUMIFS(Sheet1!S71_OriginalBudAmnt,Sheet1!S71_SA34eCode,$AC:$AC,Sheet1!S71_A5CapexCode,$AD:$AD)</f>
        <v>0</v>
      </c>
      <c r="G27" s="712">
        <f>SUMIFS(Sheet1!S71_AdjustmentBudAmnt,Sheet1!S71_SA34eCode,$AC:$AC,Sheet1!S71_A5CapexCode,$AD:$AD)</f>
        <v>0</v>
      </c>
      <c r="H27" s="713">
        <f>SUMIFS(Sheet1!S71_AdjustmentBudAmnt,Sheet1!S71_SA34eCode,$AC:$AC,Sheet1!S71_A5CapexCode,$AD:$AD)</f>
        <v>0</v>
      </c>
      <c r="I27" s="725">
        <f>SUMIFS(Sheet1!S71_ASBudgetAmount,Sheet1!S71_SA34eCode,$AC:$AC,Sheet1!S71_A5CapexCode,$AD:$AD)</f>
        <v>0</v>
      </c>
      <c r="J27" s="712">
        <f>SUMIFS(Sheet1!S71_OY1BudgetAmount,Sheet1!S71_SA34eCode,$AC:$AC,Sheet1!S71_A5CapexCode,$AD:$AD)</f>
        <v>0</v>
      </c>
      <c r="K27" s="713">
        <f>SUMIFS(Sheet1!S71_OY2BudgetAmount,Sheet1!S71_SA34eCode,$AC:$AC,Sheet1!S71_A5CapexCode,$AD:$AD)</f>
        <v>0</v>
      </c>
      <c r="L27" s="2126"/>
      <c r="AB27" s="2369"/>
      <c r="AC27" s="2365" t="s">
        <v>2834</v>
      </c>
      <c r="AD27" s="2365" t="s">
        <v>2805</v>
      </c>
    </row>
    <row r="28" spans="1:30" s="377" customFormat="1" ht="13.5" x14ac:dyDescent="0.25">
      <c r="A28" s="2125" t="s">
        <v>2247</v>
      </c>
      <c r="B28" s="144"/>
      <c r="C28" s="712">
        <f>SUMIFS(Sheet1!S71_PPPYearAmount,Sheet1!S71_SA34eCode,$AC:$AC,Sheet1!S71_A5CapexCode,$AD:$AD)</f>
        <v>0</v>
      </c>
      <c r="D28" s="712">
        <f>SUMIFS(Sheet1!S71_PPYearAmount,Sheet1!S71_SA34eCode,$AC:$AC,Sheet1!S71_A5CapexCode,$AD:$AD)</f>
        <v>0</v>
      </c>
      <c r="E28" s="715">
        <f>SUMIFS(Sheet1!S71_PYearAmount,Sheet1!S71_SA34eCode,$AC:$AC,Sheet1!S71_A5CapexCode,$AD:$AD)</f>
        <v>0</v>
      </c>
      <c r="F28" s="725">
        <f>SUMIFS(Sheet1!S71_OriginalBudAmnt,Sheet1!S71_SA34eCode,$AC:$AC,Sheet1!S71_A5CapexCode,$AD:$AD)</f>
        <v>0</v>
      </c>
      <c r="G28" s="712">
        <f>SUMIFS(Sheet1!S71_AdjustmentBudAmnt,Sheet1!S71_SA34eCode,$AC:$AC,Sheet1!S71_A5CapexCode,$AD:$AD)</f>
        <v>0</v>
      </c>
      <c r="H28" s="713">
        <f>SUMIFS(Sheet1!S71_AdjustmentBudAmnt,Sheet1!S71_SA34eCode,$AC:$AC,Sheet1!S71_A5CapexCode,$AD:$AD)</f>
        <v>0</v>
      </c>
      <c r="I28" s="725">
        <f>SUMIFS(Sheet1!S71_ASBudgetAmount,Sheet1!S71_SA34eCode,$AC:$AC,Sheet1!S71_A5CapexCode,$AD:$AD)</f>
        <v>0</v>
      </c>
      <c r="J28" s="712">
        <f>SUMIFS(Sheet1!S71_OY1BudgetAmount,Sheet1!S71_SA34eCode,$AC:$AC,Sheet1!S71_A5CapexCode,$AD:$AD)</f>
        <v>0</v>
      </c>
      <c r="K28" s="713">
        <f>SUMIFS(Sheet1!S71_OY2BudgetAmount,Sheet1!S71_SA34eCode,$AC:$AC,Sheet1!S71_A5CapexCode,$AD:$AD)</f>
        <v>0</v>
      </c>
      <c r="L28" s="2126"/>
      <c r="AB28" s="2369"/>
      <c r="AC28" s="2365" t="s">
        <v>2835</v>
      </c>
      <c r="AD28" s="2365" t="s">
        <v>2805</v>
      </c>
    </row>
    <row r="29" spans="1:30" s="377" customFormat="1" ht="13.5" x14ac:dyDescent="0.25">
      <c r="A29" s="2125" t="s">
        <v>2248</v>
      </c>
      <c r="B29" s="144"/>
      <c r="C29" s="712">
        <f>SUMIFS(Sheet1!S71_PPPYearAmount,Sheet1!S71_SA34eCode,$AC:$AC,Sheet1!S71_A5CapexCode,$AD:$AD)</f>
        <v>0</v>
      </c>
      <c r="D29" s="712">
        <f>SUMIFS(Sheet1!S71_PPYearAmount,Sheet1!S71_SA34eCode,$AC:$AC,Sheet1!S71_A5CapexCode,$AD:$AD)</f>
        <v>0</v>
      </c>
      <c r="E29" s="715">
        <f>SUMIFS(Sheet1!S71_PYearAmount,Sheet1!S71_SA34eCode,$AC:$AC,Sheet1!S71_A5CapexCode,$AD:$AD)</f>
        <v>0</v>
      </c>
      <c r="F29" s="725">
        <f>SUMIFS(Sheet1!S71_OriginalBudAmnt,Sheet1!S71_SA34eCode,$AC:$AC,Sheet1!S71_A5CapexCode,$AD:$AD)</f>
        <v>0</v>
      </c>
      <c r="G29" s="712">
        <f>SUMIFS(Sheet1!S71_AdjustmentBudAmnt,Sheet1!S71_SA34eCode,$AC:$AC,Sheet1!S71_A5CapexCode,$AD:$AD)</f>
        <v>0</v>
      </c>
      <c r="H29" s="713">
        <f>SUMIFS(Sheet1!S71_AdjustmentBudAmnt,Sheet1!S71_SA34eCode,$AC:$AC,Sheet1!S71_A5CapexCode,$AD:$AD)</f>
        <v>0</v>
      </c>
      <c r="I29" s="725">
        <f>SUMIFS(Sheet1!S71_ASBudgetAmount,Sheet1!S71_SA34eCode,$AC:$AC,Sheet1!S71_A5CapexCode,$AD:$AD)</f>
        <v>0</v>
      </c>
      <c r="J29" s="712">
        <f>SUMIFS(Sheet1!S71_OY1BudgetAmount,Sheet1!S71_SA34eCode,$AC:$AC,Sheet1!S71_A5CapexCode,$AD:$AD)</f>
        <v>0</v>
      </c>
      <c r="K29" s="713">
        <f>SUMIFS(Sheet1!S71_OY2BudgetAmount,Sheet1!S71_SA34eCode,$AC:$AC,Sheet1!S71_A5CapexCode,$AD:$AD)</f>
        <v>0</v>
      </c>
      <c r="L29" s="2126"/>
      <c r="AB29" s="2369"/>
      <c r="AC29" s="2365" t="s">
        <v>2783</v>
      </c>
      <c r="AD29" s="2365" t="s">
        <v>2805</v>
      </c>
    </row>
    <row r="30" spans="1:30" s="377" customFormat="1" ht="13.5" x14ac:dyDescent="0.25">
      <c r="A30" s="2125" t="s">
        <v>2249</v>
      </c>
      <c r="B30" s="144"/>
      <c r="C30" s="712">
        <f>SUMIFS(Sheet1!S71_PPPYearAmount,Sheet1!S71_SA34eCode,$AC:$AC,Sheet1!S71_A5CapexCode,$AD:$AD)</f>
        <v>0</v>
      </c>
      <c r="D30" s="712">
        <f>SUMIFS(Sheet1!S71_PPYearAmount,Sheet1!S71_SA34eCode,$AC:$AC,Sheet1!S71_A5CapexCode,$AD:$AD)</f>
        <v>0</v>
      </c>
      <c r="E30" s="715">
        <f>SUMIFS(Sheet1!S71_PYearAmount,Sheet1!S71_SA34eCode,$AC:$AC,Sheet1!S71_A5CapexCode,$AD:$AD)</f>
        <v>0</v>
      </c>
      <c r="F30" s="725">
        <f>SUMIFS(Sheet1!S71_OriginalBudAmnt,Sheet1!S71_SA34eCode,$AC:$AC,Sheet1!S71_A5CapexCode,$AD:$AD)</f>
        <v>0</v>
      </c>
      <c r="G30" s="712">
        <f>SUMIFS(Sheet1!S71_AdjustmentBudAmnt,Sheet1!S71_SA34eCode,$AC:$AC,Sheet1!S71_A5CapexCode,$AD:$AD)</f>
        <v>0</v>
      </c>
      <c r="H30" s="713">
        <f>SUMIFS(Sheet1!S71_AdjustmentBudAmnt,Sheet1!S71_SA34eCode,$AC:$AC,Sheet1!S71_A5CapexCode,$AD:$AD)</f>
        <v>0</v>
      </c>
      <c r="I30" s="725">
        <f>SUMIFS(Sheet1!S71_ASBudgetAmount,Sheet1!S71_SA34eCode,$AC:$AC,Sheet1!S71_A5CapexCode,$AD:$AD)</f>
        <v>0</v>
      </c>
      <c r="J30" s="712">
        <f>SUMIFS(Sheet1!S71_OY1BudgetAmount,Sheet1!S71_SA34eCode,$AC:$AC,Sheet1!S71_A5CapexCode,$AD:$AD)</f>
        <v>0</v>
      </c>
      <c r="K30" s="713">
        <f>SUMIFS(Sheet1!S71_OY2BudgetAmount,Sheet1!S71_SA34eCode,$AC:$AC,Sheet1!S71_A5CapexCode,$AD:$AD)</f>
        <v>0</v>
      </c>
      <c r="L30" s="2126"/>
      <c r="AB30" s="2369"/>
      <c r="AC30" s="2365" t="s">
        <v>2784</v>
      </c>
      <c r="AD30" s="2365" t="s">
        <v>2805</v>
      </c>
    </row>
    <row r="31" spans="1:30" s="377" customFormat="1" ht="13.5" x14ac:dyDescent="0.25">
      <c r="A31" s="2125" t="s">
        <v>2250</v>
      </c>
      <c r="B31" s="144"/>
      <c r="C31" s="712">
        <f>SUMIFS(Sheet1!S71_PPPYearAmount,Sheet1!S71_SA34eCode,$AC:$AC,Sheet1!S71_A5CapexCode,$AD:$AD)</f>
        <v>0</v>
      </c>
      <c r="D31" s="712">
        <f>SUMIFS(Sheet1!S71_PPYearAmount,Sheet1!S71_SA34eCode,$AC:$AC,Sheet1!S71_A5CapexCode,$AD:$AD)</f>
        <v>0</v>
      </c>
      <c r="E31" s="715">
        <f>SUMIFS(Sheet1!S71_PYearAmount,Sheet1!S71_SA34eCode,$AC:$AC,Sheet1!S71_A5CapexCode,$AD:$AD)</f>
        <v>0</v>
      </c>
      <c r="F31" s="725">
        <f>SUMIFS(Sheet1!S71_OriginalBudAmnt,Sheet1!S71_SA34eCode,$AC:$AC,Sheet1!S71_A5CapexCode,$AD:$AD)</f>
        <v>0</v>
      </c>
      <c r="G31" s="712">
        <f>SUMIFS(Sheet1!S71_AdjustmentBudAmnt,Sheet1!S71_SA34eCode,$AC:$AC,Sheet1!S71_A5CapexCode,$AD:$AD)</f>
        <v>0</v>
      </c>
      <c r="H31" s="713">
        <f>SUMIFS(Sheet1!S71_AdjustmentBudAmnt,Sheet1!S71_SA34eCode,$AC:$AC,Sheet1!S71_A5CapexCode,$AD:$AD)</f>
        <v>0</v>
      </c>
      <c r="I31" s="725">
        <f>SUMIFS(Sheet1!S71_ASBudgetAmount,Sheet1!S71_SA34eCode,$AC:$AC,Sheet1!S71_A5CapexCode,$AD:$AD)</f>
        <v>0</v>
      </c>
      <c r="J31" s="712">
        <f>SUMIFS(Sheet1!S71_OY1BudgetAmount,Sheet1!S71_SA34eCode,$AC:$AC,Sheet1!S71_A5CapexCode,$AD:$AD)</f>
        <v>0</v>
      </c>
      <c r="K31" s="713">
        <f>SUMIFS(Sheet1!S71_OY2BudgetAmount,Sheet1!S71_SA34eCode,$AC:$AC,Sheet1!S71_A5CapexCode,$AD:$AD)</f>
        <v>0</v>
      </c>
      <c r="L31" s="2126"/>
      <c r="AB31" s="2369"/>
      <c r="AC31" s="2365" t="s">
        <v>2770</v>
      </c>
      <c r="AD31" s="2365" t="s">
        <v>2805</v>
      </c>
    </row>
    <row r="32" spans="1:30" s="377" customFormat="1" ht="13.5" x14ac:dyDescent="0.25">
      <c r="A32" s="2125" t="s">
        <v>2251</v>
      </c>
      <c r="B32" s="144"/>
      <c r="C32" s="712">
        <f>SUMIFS(Sheet1!S71_PPPYearAmount,Sheet1!S71_SA34eCode,$AC:$AC,Sheet1!S71_A5CapexCode,$AD:$AD)</f>
        <v>0</v>
      </c>
      <c r="D32" s="712">
        <f>SUMIFS(Sheet1!S71_PPYearAmount,Sheet1!S71_SA34eCode,$AC:$AC,Sheet1!S71_A5CapexCode,$AD:$AD)</f>
        <v>0</v>
      </c>
      <c r="E32" s="715">
        <f>SUMIFS(Sheet1!S71_PYearAmount,Sheet1!S71_SA34eCode,$AC:$AC,Sheet1!S71_A5CapexCode,$AD:$AD)</f>
        <v>0</v>
      </c>
      <c r="F32" s="725">
        <f>SUMIFS(Sheet1!S71_OriginalBudAmnt,Sheet1!S71_SA34eCode,$AC:$AC,Sheet1!S71_A5CapexCode,$AD:$AD)</f>
        <v>0</v>
      </c>
      <c r="G32" s="712">
        <f>SUMIFS(Sheet1!S71_AdjustmentBudAmnt,Sheet1!S71_SA34eCode,$AC:$AC,Sheet1!S71_A5CapexCode,$AD:$AD)</f>
        <v>0</v>
      </c>
      <c r="H32" s="713">
        <f>SUMIFS(Sheet1!S71_AdjustmentBudAmnt,Sheet1!S71_SA34eCode,$AC:$AC,Sheet1!S71_A5CapexCode,$AD:$AD)</f>
        <v>0</v>
      </c>
      <c r="I32" s="725">
        <f>SUMIFS(Sheet1!S71_ASBudgetAmount,Sheet1!S71_SA34eCode,$AC:$AC,Sheet1!S71_A5CapexCode,$AD:$AD)</f>
        <v>0</v>
      </c>
      <c r="J32" s="712">
        <f>SUMIFS(Sheet1!S71_OY1BudgetAmount,Sheet1!S71_SA34eCode,$AC:$AC,Sheet1!S71_A5CapexCode,$AD:$AD)</f>
        <v>0</v>
      </c>
      <c r="K32" s="713">
        <f>SUMIFS(Sheet1!S71_OY2BudgetAmount,Sheet1!S71_SA34eCode,$AC:$AC,Sheet1!S71_A5CapexCode,$AD:$AD)</f>
        <v>0</v>
      </c>
      <c r="L32" s="2126"/>
      <c r="AB32" s="2369"/>
      <c r="AC32" s="2365" t="s">
        <v>2771</v>
      </c>
      <c r="AD32" s="2365" t="s">
        <v>2805</v>
      </c>
    </row>
    <row r="33" spans="1:30" s="377" customFormat="1" ht="13.5" x14ac:dyDescent="0.25">
      <c r="A33" s="2125" t="s">
        <v>2252</v>
      </c>
      <c r="B33" s="144"/>
      <c r="C33" s="712">
        <f>SUMIFS(Sheet1!S71_PPPYearAmount,Sheet1!S71_SA34eCode,$AC:$AC,Sheet1!S71_A5CapexCode,$AD:$AD)</f>
        <v>0</v>
      </c>
      <c r="D33" s="712">
        <f>SUMIFS(Sheet1!S71_PPYearAmount,Sheet1!S71_SA34eCode,$AC:$AC,Sheet1!S71_A5CapexCode,$AD:$AD)</f>
        <v>0</v>
      </c>
      <c r="E33" s="715">
        <f>SUMIFS(Sheet1!S71_PYearAmount,Sheet1!S71_SA34eCode,$AC:$AC,Sheet1!S71_A5CapexCode,$AD:$AD)</f>
        <v>0</v>
      </c>
      <c r="F33" s="725">
        <f>SUMIFS(Sheet1!S71_OriginalBudAmnt,Sheet1!S71_SA34eCode,$AC:$AC,Sheet1!S71_A5CapexCode,$AD:$AD)</f>
        <v>0</v>
      </c>
      <c r="G33" s="712">
        <f>SUMIFS(Sheet1!S71_AdjustmentBudAmnt,Sheet1!S71_SA34eCode,$AC:$AC,Sheet1!S71_A5CapexCode,$AD:$AD)</f>
        <v>0</v>
      </c>
      <c r="H33" s="713">
        <f>SUMIFS(Sheet1!S71_AdjustmentBudAmnt,Sheet1!S71_SA34eCode,$AC:$AC,Sheet1!S71_A5CapexCode,$AD:$AD)</f>
        <v>0</v>
      </c>
      <c r="I33" s="725">
        <f>SUMIFS(Sheet1!S71_ASBudgetAmount,Sheet1!S71_SA34eCode,$AC:$AC,Sheet1!S71_A5CapexCode,$AD:$AD)</f>
        <v>0</v>
      </c>
      <c r="J33" s="712">
        <f>SUMIFS(Sheet1!S71_OY1BudgetAmount,Sheet1!S71_SA34eCode,$AC:$AC,Sheet1!S71_A5CapexCode,$AD:$AD)</f>
        <v>0</v>
      </c>
      <c r="K33" s="713">
        <f>SUMIFS(Sheet1!S71_OY2BudgetAmount,Sheet1!S71_SA34eCode,$AC:$AC,Sheet1!S71_A5CapexCode,$AD:$AD)</f>
        <v>0</v>
      </c>
      <c r="L33" s="2126"/>
      <c r="AB33" s="2369"/>
      <c r="AC33" s="2365" t="s">
        <v>2785</v>
      </c>
      <c r="AD33" s="2365" t="s">
        <v>2805</v>
      </c>
    </row>
    <row r="34" spans="1:30" s="377" customFormat="1" ht="13.5" x14ac:dyDescent="0.25">
      <c r="A34" s="2125" t="s">
        <v>2253</v>
      </c>
      <c r="B34" s="144"/>
      <c r="C34" s="712">
        <f>SUMIFS(Sheet1!S71_PPPYearAmount,Sheet1!S71_SA34eCode,$AC:$AC,Sheet1!S71_A5CapexCode,$AD:$AD)</f>
        <v>0</v>
      </c>
      <c r="D34" s="712">
        <f>SUMIFS(Sheet1!S71_PPYearAmount,Sheet1!S71_SA34eCode,$AC:$AC,Sheet1!S71_A5CapexCode,$AD:$AD)</f>
        <v>0</v>
      </c>
      <c r="E34" s="715">
        <f>SUMIFS(Sheet1!S71_PYearAmount,Sheet1!S71_SA34eCode,$AC:$AC,Sheet1!S71_A5CapexCode,$AD:$AD)</f>
        <v>0</v>
      </c>
      <c r="F34" s="725">
        <f>SUMIFS(Sheet1!S71_OriginalBudAmnt,Sheet1!S71_SA34eCode,$AC:$AC,Sheet1!S71_A5CapexCode,$AD:$AD)</f>
        <v>0</v>
      </c>
      <c r="G34" s="712">
        <f>SUMIFS(Sheet1!S71_AdjustmentBudAmnt,Sheet1!S71_SA34eCode,$AC:$AC,Sheet1!S71_A5CapexCode,$AD:$AD)</f>
        <v>0</v>
      </c>
      <c r="H34" s="713">
        <f>SUMIFS(Sheet1!S71_AdjustmentBudAmnt,Sheet1!S71_SA34eCode,$AC:$AC,Sheet1!S71_A5CapexCode,$AD:$AD)</f>
        <v>0</v>
      </c>
      <c r="I34" s="725">
        <f>SUMIFS(Sheet1!S71_ASBudgetAmount,Sheet1!S71_SA34eCode,$AC:$AC,Sheet1!S71_A5CapexCode,$AD:$AD)</f>
        <v>0</v>
      </c>
      <c r="J34" s="712">
        <f>SUMIFS(Sheet1!S71_OY1BudgetAmount,Sheet1!S71_SA34eCode,$AC:$AC,Sheet1!S71_A5CapexCode,$AD:$AD)</f>
        <v>0</v>
      </c>
      <c r="K34" s="713">
        <f>SUMIFS(Sheet1!S71_OY2BudgetAmount,Sheet1!S71_SA34eCode,$AC:$AC,Sheet1!S71_A5CapexCode,$AD:$AD)</f>
        <v>0</v>
      </c>
      <c r="L34" s="2126"/>
      <c r="AB34" s="2369"/>
      <c r="AC34" s="2365" t="s">
        <v>2836</v>
      </c>
      <c r="AD34" s="2365" t="s">
        <v>2805</v>
      </c>
    </row>
    <row r="35" spans="1:30" s="377" customFormat="1" ht="13.5" x14ac:dyDescent="0.25">
      <c r="A35" s="2125" t="s">
        <v>2254</v>
      </c>
      <c r="B35" s="144"/>
      <c r="C35" s="712">
        <f>SUMIFS(Sheet1!S71_PPPYearAmount,Sheet1!S71_SA34eCode,$AC:$AC,Sheet1!S71_A5CapexCode,$AD:$AD)</f>
        <v>0</v>
      </c>
      <c r="D35" s="712">
        <f>SUMIFS(Sheet1!S71_PPYearAmount,Sheet1!S71_SA34eCode,$AC:$AC,Sheet1!S71_A5CapexCode,$AD:$AD)</f>
        <v>0</v>
      </c>
      <c r="E35" s="715">
        <f>SUMIFS(Sheet1!S71_PYearAmount,Sheet1!S71_SA34eCode,$AC:$AC,Sheet1!S71_A5CapexCode,$AD:$AD)</f>
        <v>0</v>
      </c>
      <c r="F35" s="725">
        <f>SUMIFS(Sheet1!S71_OriginalBudAmnt,Sheet1!S71_SA34eCode,$AC:$AC,Sheet1!S71_A5CapexCode,$AD:$AD)</f>
        <v>0</v>
      </c>
      <c r="G35" s="712">
        <f>SUMIFS(Sheet1!S71_AdjustmentBudAmnt,Sheet1!S71_SA34eCode,$AC:$AC,Sheet1!S71_A5CapexCode,$AD:$AD)</f>
        <v>0</v>
      </c>
      <c r="H35" s="713">
        <f>SUMIFS(Sheet1!S71_AdjustmentBudAmnt,Sheet1!S71_SA34eCode,$AC:$AC,Sheet1!S71_A5CapexCode,$AD:$AD)</f>
        <v>0</v>
      </c>
      <c r="I35" s="725">
        <f>SUMIFS(Sheet1!S71_ASBudgetAmount,Sheet1!S71_SA34eCode,$AC:$AC,Sheet1!S71_A5CapexCode,$AD:$AD)</f>
        <v>0</v>
      </c>
      <c r="J35" s="712">
        <f>SUMIFS(Sheet1!S71_OY1BudgetAmount,Sheet1!S71_SA34eCode,$AC:$AC,Sheet1!S71_A5CapexCode,$AD:$AD)</f>
        <v>0</v>
      </c>
      <c r="K35" s="713">
        <f>SUMIFS(Sheet1!S71_OY2BudgetAmount,Sheet1!S71_SA34eCode,$AC:$AC,Sheet1!S71_A5CapexCode,$AD:$AD)</f>
        <v>0</v>
      </c>
      <c r="L35" s="2126"/>
      <c r="AB35" s="2369"/>
      <c r="AC35" s="2365" t="s">
        <v>2806</v>
      </c>
      <c r="AD35" s="2365" t="s">
        <v>2805</v>
      </c>
    </row>
    <row r="36" spans="1:30" s="377" customFormat="1" ht="13.5" x14ac:dyDescent="0.25">
      <c r="A36" s="2125" t="s">
        <v>2233</v>
      </c>
      <c r="B36" s="144"/>
      <c r="C36" s="712">
        <f>SUMIFS(Sheet1!S71_PPPYearAmount,Sheet1!S71_SA34eCode,$AC:$AC,Sheet1!S71_A5CapexCode,$AD:$AD)</f>
        <v>0</v>
      </c>
      <c r="D36" s="712">
        <f>SUMIFS(Sheet1!S71_PPYearAmount,Sheet1!S71_SA34eCode,$AC:$AC,Sheet1!S71_A5CapexCode,$AD:$AD)</f>
        <v>0</v>
      </c>
      <c r="E36" s="715">
        <f>SUMIFS(Sheet1!S71_PYearAmount,Sheet1!S71_SA34eCode,$AC:$AC,Sheet1!S71_A5CapexCode,$AD:$AD)</f>
        <v>0</v>
      </c>
      <c r="F36" s="725">
        <f>SUMIFS(Sheet1!S71_OriginalBudAmnt,Sheet1!S71_SA34eCode,$AC:$AC,Sheet1!S71_A5CapexCode,$AD:$AD)</f>
        <v>0</v>
      </c>
      <c r="G36" s="712">
        <f>SUMIFS(Sheet1!S71_AdjustmentBudAmnt,Sheet1!S71_SA34eCode,$AC:$AC,Sheet1!S71_A5CapexCode,$AD:$AD)</f>
        <v>0</v>
      </c>
      <c r="H36" s="713">
        <f>SUMIFS(Sheet1!S71_AdjustmentBudAmnt,Sheet1!S71_SA34eCode,$AC:$AC,Sheet1!S71_A5CapexCode,$AD:$AD)</f>
        <v>0</v>
      </c>
      <c r="I36" s="725">
        <f>SUMIFS(Sheet1!S71_ASBudgetAmount,Sheet1!S71_SA34eCode,$AC:$AC,Sheet1!S71_A5CapexCode,$AD:$AD)</f>
        <v>0</v>
      </c>
      <c r="J36" s="712">
        <f>SUMIFS(Sheet1!S71_OY1BudgetAmount,Sheet1!S71_SA34eCode,$AC:$AC,Sheet1!S71_A5CapexCode,$AD:$AD)</f>
        <v>0</v>
      </c>
      <c r="K36" s="713">
        <f>SUMIFS(Sheet1!S71_OY2BudgetAmount,Sheet1!S71_SA34eCode,$AC:$AC,Sheet1!S71_A5CapexCode,$AD:$AD)</f>
        <v>0</v>
      </c>
      <c r="L36" s="2126"/>
      <c r="AB36" s="2369"/>
      <c r="AC36" s="2365" t="s">
        <v>2698</v>
      </c>
      <c r="AD36" s="2365" t="s">
        <v>2805</v>
      </c>
    </row>
    <row r="37" spans="1:30" s="377" customFormat="1" ht="13.5" x14ac:dyDescent="0.25">
      <c r="A37" s="137" t="s">
        <v>2281</v>
      </c>
      <c r="B37" s="144"/>
      <c r="C37" s="71">
        <f>SUM(C38:C43)</f>
        <v>0</v>
      </c>
      <c r="D37" s="71">
        <f t="shared" ref="D37:K37" si="5">SUM(D38:D43)</f>
        <v>0</v>
      </c>
      <c r="E37" s="305">
        <f t="shared" si="5"/>
        <v>0</v>
      </c>
      <c r="F37" s="75">
        <f t="shared" si="5"/>
        <v>0</v>
      </c>
      <c r="G37" s="71">
        <f t="shared" si="5"/>
        <v>0</v>
      </c>
      <c r="H37" s="117">
        <f t="shared" si="5"/>
        <v>0</v>
      </c>
      <c r="I37" s="75">
        <f t="shared" si="5"/>
        <v>0</v>
      </c>
      <c r="J37" s="71">
        <f t="shared" si="5"/>
        <v>0</v>
      </c>
      <c r="K37" s="117">
        <f t="shared" si="5"/>
        <v>0</v>
      </c>
      <c r="L37" s="2126"/>
      <c r="AB37" s="2369"/>
      <c r="AC37" s="2365"/>
      <c r="AD37" s="2365"/>
    </row>
    <row r="38" spans="1:30" s="377" customFormat="1" ht="13.5" x14ac:dyDescent="0.25">
      <c r="A38" s="2125" t="s">
        <v>2255</v>
      </c>
      <c r="B38" s="144"/>
      <c r="C38" s="712">
        <f>SUMIFS(Sheet1!S71_PPPYearAmount,Sheet1!S71_SA34eCode,$AC:$AC,Sheet1!S71_A5CapexCode,$AD:$AD)</f>
        <v>0</v>
      </c>
      <c r="D38" s="712">
        <f>SUMIFS(Sheet1!S71_PPYearAmount,Sheet1!S71_SA34eCode,$AC:$AC,Sheet1!S71_A5CapexCode,$AD:$AD)</f>
        <v>0</v>
      </c>
      <c r="E38" s="715">
        <f>SUMIFS(Sheet1!S71_PYearAmount,Sheet1!S71_SA34eCode,$AC:$AC,Sheet1!S71_A5CapexCode,$AD:$AD)</f>
        <v>0</v>
      </c>
      <c r="F38" s="725">
        <f>SUMIFS(Sheet1!S71_OriginalBudAmnt,Sheet1!S71_SA34eCode,$AC:$AC,Sheet1!S71_A5CapexCode,$AD:$AD)</f>
        <v>0</v>
      </c>
      <c r="G38" s="712">
        <f>SUMIFS(Sheet1!S71_AdjustmentBudAmnt,Sheet1!S71_SA34eCode,$AC:$AC,Sheet1!S71_A5CapexCode,$AD:$AD)</f>
        <v>0</v>
      </c>
      <c r="H38" s="713">
        <f>SUMIFS(Sheet1!S71_AdjustmentBudAmnt,Sheet1!S71_SA34eCode,$AC:$AC,Sheet1!S71_A5CapexCode,$AD:$AD)</f>
        <v>0</v>
      </c>
      <c r="I38" s="725">
        <f>SUMIFS(Sheet1!S71_ASBudgetAmount,Sheet1!S71_SA34eCode,$AC:$AC,Sheet1!S71_A5CapexCode,$AD:$AD)</f>
        <v>0</v>
      </c>
      <c r="J38" s="712">
        <f>SUMIFS(Sheet1!S71_OY1BudgetAmount,Sheet1!S71_SA34eCode,$AC:$AC,Sheet1!S71_A5CapexCode,$AD:$AD)</f>
        <v>0</v>
      </c>
      <c r="K38" s="713">
        <f>SUMIFS(Sheet1!S71_OY2BudgetAmount,Sheet1!S71_SA34eCode,$AC:$AC,Sheet1!S71_A5CapexCode,$AD:$AD)</f>
        <v>0</v>
      </c>
      <c r="L38" s="2126"/>
      <c r="AB38" s="2369"/>
      <c r="AC38" s="2365" t="s">
        <v>2807</v>
      </c>
      <c r="AD38" s="2365" t="s">
        <v>2805</v>
      </c>
    </row>
    <row r="39" spans="1:30" s="377" customFormat="1" ht="13.5" x14ac:dyDescent="0.25">
      <c r="A39" s="2125" t="s">
        <v>25</v>
      </c>
      <c r="B39" s="144"/>
      <c r="C39" s="712">
        <f>SUMIFS(Sheet1!S71_PPPYearAmount,Sheet1!S71_SA34eCode,$AC:$AC,Sheet1!S71_A5CapexCode,$AD:$AD)</f>
        <v>0</v>
      </c>
      <c r="D39" s="712">
        <f>SUMIFS(Sheet1!S71_PPYearAmount,Sheet1!S71_SA34eCode,$AC:$AC,Sheet1!S71_A5CapexCode,$AD:$AD)</f>
        <v>0</v>
      </c>
      <c r="E39" s="715">
        <f>SUMIFS(Sheet1!S71_PYearAmount,Sheet1!S71_SA34eCode,$AC:$AC,Sheet1!S71_A5CapexCode,$AD:$AD)</f>
        <v>0</v>
      </c>
      <c r="F39" s="725">
        <f>SUMIFS(Sheet1!S71_OriginalBudAmnt,Sheet1!S71_SA34eCode,$AC:$AC,Sheet1!S71_A5CapexCode,$AD:$AD)</f>
        <v>0</v>
      </c>
      <c r="G39" s="712">
        <f>SUMIFS(Sheet1!S71_AdjustmentBudAmnt,Sheet1!S71_SA34eCode,$AC:$AC,Sheet1!S71_A5CapexCode,$AD:$AD)</f>
        <v>0</v>
      </c>
      <c r="H39" s="713">
        <f>SUMIFS(Sheet1!S71_AdjustmentBudAmnt,Sheet1!S71_SA34eCode,$AC:$AC,Sheet1!S71_A5CapexCode,$AD:$AD)</f>
        <v>0</v>
      </c>
      <c r="I39" s="725">
        <f>SUMIFS(Sheet1!S71_ASBudgetAmount,Sheet1!S71_SA34eCode,$AC:$AC,Sheet1!S71_A5CapexCode,$AD:$AD)</f>
        <v>0</v>
      </c>
      <c r="J39" s="712">
        <f>SUMIFS(Sheet1!S71_OY1BudgetAmount,Sheet1!S71_SA34eCode,$AC:$AC,Sheet1!S71_A5CapexCode,$AD:$AD)</f>
        <v>0</v>
      </c>
      <c r="K39" s="713">
        <f>SUMIFS(Sheet1!S71_OY2BudgetAmount,Sheet1!S71_SA34eCode,$AC:$AC,Sheet1!S71_A5CapexCode,$AD:$AD)</f>
        <v>0</v>
      </c>
      <c r="L39" s="2126"/>
      <c r="AB39" s="2369"/>
      <c r="AC39" s="2365" t="s">
        <v>2837</v>
      </c>
      <c r="AD39" s="2365" t="s">
        <v>2805</v>
      </c>
    </row>
    <row r="40" spans="1:30" s="377" customFormat="1" ht="13.5" x14ac:dyDescent="0.25">
      <c r="A40" s="2125" t="s">
        <v>2256</v>
      </c>
      <c r="B40" s="144"/>
      <c r="C40" s="712">
        <f>SUMIFS(Sheet1!S71_PPPYearAmount,Sheet1!S71_SA34eCode,$AC:$AC,Sheet1!S71_A5CapexCode,$AD:$AD)</f>
        <v>0</v>
      </c>
      <c r="D40" s="712">
        <f>SUMIFS(Sheet1!S71_PPYearAmount,Sheet1!S71_SA34eCode,$AC:$AC,Sheet1!S71_A5CapexCode,$AD:$AD)</f>
        <v>0</v>
      </c>
      <c r="E40" s="715">
        <f>SUMIFS(Sheet1!S71_PYearAmount,Sheet1!S71_SA34eCode,$AC:$AC,Sheet1!S71_A5CapexCode,$AD:$AD)</f>
        <v>0</v>
      </c>
      <c r="F40" s="725">
        <f>SUMIFS(Sheet1!S71_OriginalBudAmnt,Sheet1!S71_SA34eCode,$AC:$AC,Sheet1!S71_A5CapexCode,$AD:$AD)</f>
        <v>0</v>
      </c>
      <c r="G40" s="712">
        <f>SUMIFS(Sheet1!S71_AdjustmentBudAmnt,Sheet1!S71_SA34eCode,$AC:$AC,Sheet1!S71_A5CapexCode,$AD:$AD)</f>
        <v>0</v>
      </c>
      <c r="H40" s="713">
        <f>SUMIFS(Sheet1!S71_AdjustmentBudAmnt,Sheet1!S71_SA34eCode,$AC:$AC,Sheet1!S71_A5CapexCode,$AD:$AD)</f>
        <v>0</v>
      </c>
      <c r="I40" s="725">
        <f>SUMIFS(Sheet1!S71_ASBudgetAmount,Sheet1!S71_SA34eCode,$AC:$AC,Sheet1!S71_A5CapexCode,$AD:$AD)</f>
        <v>0</v>
      </c>
      <c r="J40" s="712">
        <f>SUMIFS(Sheet1!S71_OY1BudgetAmount,Sheet1!S71_SA34eCode,$AC:$AC,Sheet1!S71_A5CapexCode,$AD:$AD)</f>
        <v>0</v>
      </c>
      <c r="K40" s="713">
        <f>SUMIFS(Sheet1!S71_OY2BudgetAmount,Sheet1!S71_SA34eCode,$AC:$AC,Sheet1!S71_A5CapexCode,$AD:$AD)</f>
        <v>0</v>
      </c>
      <c r="L40" s="2126"/>
      <c r="AB40" s="2369"/>
      <c r="AC40" s="2365" t="s">
        <v>2838</v>
      </c>
      <c r="AD40" s="2365" t="s">
        <v>2805</v>
      </c>
    </row>
    <row r="41" spans="1:30" s="377" customFormat="1" ht="13.5" x14ac:dyDescent="0.25">
      <c r="A41" s="2125" t="s">
        <v>2257</v>
      </c>
      <c r="B41" s="144"/>
      <c r="C41" s="712">
        <f>SUMIFS(Sheet1!S71_PPPYearAmount,Sheet1!S71_SA34eCode,$AC:$AC,Sheet1!S71_A5CapexCode,$AD:$AD)</f>
        <v>0</v>
      </c>
      <c r="D41" s="712">
        <f>SUMIFS(Sheet1!S71_PPYearAmount,Sheet1!S71_SA34eCode,$AC:$AC,Sheet1!S71_A5CapexCode,$AD:$AD)</f>
        <v>0</v>
      </c>
      <c r="E41" s="715">
        <f>SUMIFS(Sheet1!S71_PYearAmount,Sheet1!S71_SA34eCode,$AC:$AC,Sheet1!S71_A5CapexCode,$AD:$AD)</f>
        <v>0</v>
      </c>
      <c r="F41" s="725">
        <f>SUMIFS(Sheet1!S71_OriginalBudAmnt,Sheet1!S71_SA34eCode,$AC:$AC,Sheet1!S71_A5CapexCode,$AD:$AD)</f>
        <v>0</v>
      </c>
      <c r="G41" s="712">
        <f>SUMIFS(Sheet1!S71_AdjustmentBudAmnt,Sheet1!S71_SA34eCode,$AC:$AC,Sheet1!S71_A5CapexCode,$AD:$AD)</f>
        <v>0</v>
      </c>
      <c r="H41" s="713">
        <f>SUMIFS(Sheet1!S71_AdjustmentBudAmnt,Sheet1!S71_SA34eCode,$AC:$AC,Sheet1!S71_A5CapexCode,$AD:$AD)</f>
        <v>0</v>
      </c>
      <c r="I41" s="725">
        <f>SUMIFS(Sheet1!S71_ASBudgetAmount,Sheet1!S71_SA34eCode,$AC:$AC,Sheet1!S71_A5CapexCode,$AD:$AD)</f>
        <v>0</v>
      </c>
      <c r="J41" s="712">
        <f>SUMIFS(Sheet1!S71_OY1BudgetAmount,Sheet1!S71_SA34eCode,$AC:$AC,Sheet1!S71_A5CapexCode,$AD:$AD)</f>
        <v>0</v>
      </c>
      <c r="K41" s="713">
        <f>SUMIFS(Sheet1!S71_OY2BudgetAmount,Sheet1!S71_SA34eCode,$AC:$AC,Sheet1!S71_A5CapexCode,$AD:$AD)</f>
        <v>0</v>
      </c>
      <c r="L41" s="2126"/>
      <c r="AB41" s="2369"/>
      <c r="AC41" s="2365" t="s">
        <v>2839</v>
      </c>
      <c r="AD41" s="2365" t="s">
        <v>2805</v>
      </c>
    </row>
    <row r="42" spans="1:30" s="377" customFormat="1" ht="13.5" x14ac:dyDescent="0.25">
      <c r="A42" s="2125" t="s">
        <v>2258</v>
      </c>
      <c r="B42" s="144"/>
      <c r="C42" s="712">
        <f>SUMIFS(Sheet1!S71_PPPYearAmount,Sheet1!S71_SA34eCode,$AC:$AC,Sheet1!S71_A5CapexCode,$AD:$AD)</f>
        <v>0</v>
      </c>
      <c r="D42" s="712">
        <f>SUMIFS(Sheet1!S71_PPYearAmount,Sheet1!S71_SA34eCode,$AC:$AC,Sheet1!S71_A5CapexCode,$AD:$AD)</f>
        <v>0</v>
      </c>
      <c r="E42" s="715">
        <f>SUMIFS(Sheet1!S71_PYearAmount,Sheet1!S71_SA34eCode,$AC:$AC,Sheet1!S71_A5CapexCode,$AD:$AD)</f>
        <v>0</v>
      </c>
      <c r="F42" s="725">
        <f>SUMIFS(Sheet1!S71_OriginalBudAmnt,Sheet1!S71_SA34eCode,$AC:$AC,Sheet1!S71_A5CapexCode,$AD:$AD)</f>
        <v>0</v>
      </c>
      <c r="G42" s="712">
        <f>SUMIFS(Sheet1!S71_AdjustmentBudAmnt,Sheet1!S71_SA34eCode,$AC:$AC,Sheet1!S71_A5CapexCode,$AD:$AD)</f>
        <v>0</v>
      </c>
      <c r="H42" s="713">
        <f>SUMIFS(Sheet1!S71_AdjustmentBudAmnt,Sheet1!S71_SA34eCode,$AC:$AC,Sheet1!S71_A5CapexCode,$AD:$AD)</f>
        <v>0</v>
      </c>
      <c r="I42" s="725">
        <f>SUMIFS(Sheet1!S71_ASBudgetAmount,Sheet1!S71_SA34eCode,$AC:$AC,Sheet1!S71_A5CapexCode,$AD:$AD)</f>
        <v>0</v>
      </c>
      <c r="J42" s="712">
        <f>SUMIFS(Sheet1!S71_OY1BudgetAmount,Sheet1!S71_SA34eCode,$AC:$AC,Sheet1!S71_A5CapexCode,$AD:$AD)</f>
        <v>0</v>
      </c>
      <c r="K42" s="713">
        <f>SUMIFS(Sheet1!S71_OY2BudgetAmount,Sheet1!S71_SA34eCode,$AC:$AC,Sheet1!S71_A5CapexCode,$AD:$AD)</f>
        <v>0</v>
      </c>
      <c r="L42" s="2126"/>
      <c r="AB42" s="2369"/>
      <c r="AC42" s="2365" t="s">
        <v>2787</v>
      </c>
      <c r="AD42" s="2365" t="s">
        <v>2805</v>
      </c>
    </row>
    <row r="43" spans="1:30" s="377" customFormat="1" ht="13.5" x14ac:dyDescent="0.25">
      <c r="A43" s="2125" t="s">
        <v>2233</v>
      </c>
      <c r="B43" s="144"/>
      <c r="C43" s="712">
        <f>SUMIFS(Sheet1!S71_PPPYearAmount,Sheet1!S71_SA34eCode,$AC:$AC,Sheet1!S71_A5CapexCode,$AD:$AD)</f>
        <v>0</v>
      </c>
      <c r="D43" s="712">
        <f>SUMIFS(Sheet1!S71_PPYearAmount,Sheet1!S71_SA34eCode,$AC:$AC,Sheet1!S71_A5CapexCode,$AD:$AD)</f>
        <v>0</v>
      </c>
      <c r="E43" s="715">
        <f>SUMIFS(Sheet1!S71_PYearAmount,Sheet1!S71_SA34eCode,$AC:$AC,Sheet1!S71_A5CapexCode,$AD:$AD)</f>
        <v>0</v>
      </c>
      <c r="F43" s="725">
        <f>SUMIFS(Sheet1!S71_OriginalBudAmnt,Sheet1!S71_SA34eCode,$AC:$AC,Sheet1!S71_A5CapexCode,$AD:$AD)</f>
        <v>0</v>
      </c>
      <c r="G43" s="712">
        <f>SUMIFS(Sheet1!S71_AdjustmentBudAmnt,Sheet1!S71_SA34eCode,$AC:$AC,Sheet1!S71_A5CapexCode,$AD:$AD)</f>
        <v>0</v>
      </c>
      <c r="H43" s="713">
        <f>SUMIFS(Sheet1!S71_AdjustmentBudAmnt,Sheet1!S71_SA34eCode,$AC:$AC,Sheet1!S71_A5CapexCode,$AD:$AD)</f>
        <v>0</v>
      </c>
      <c r="I43" s="725">
        <f>SUMIFS(Sheet1!S71_ASBudgetAmount,Sheet1!S71_SA34eCode,$AC:$AC,Sheet1!S71_A5CapexCode,$AD:$AD)</f>
        <v>0</v>
      </c>
      <c r="J43" s="712">
        <f>SUMIFS(Sheet1!S71_OY1BudgetAmount,Sheet1!S71_SA34eCode,$AC:$AC,Sheet1!S71_A5CapexCode,$AD:$AD)</f>
        <v>0</v>
      </c>
      <c r="K43" s="713">
        <f>SUMIFS(Sheet1!S71_OY2BudgetAmount,Sheet1!S71_SA34eCode,$AC:$AC,Sheet1!S71_A5CapexCode,$AD:$AD)</f>
        <v>0</v>
      </c>
      <c r="L43" s="2126"/>
      <c r="AB43" s="2369"/>
      <c r="AC43" s="2365" t="s">
        <v>2788</v>
      </c>
      <c r="AD43" s="2365" t="s">
        <v>2805</v>
      </c>
    </row>
    <row r="44" spans="1:30" s="377" customFormat="1" ht="13.5" x14ac:dyDescent="0.25">
      <c r="A44" s="137" t="s">
        <v>2259</v>
      </c>
      <c r="B44" s="144"/>
      <c r="C44" s="71">
        <f>SUM(C45:C51)</f>
        <v>0</v>
      </c>
      <c r="D44" s="71">
        <f t="shared" ref="D44:K44" si="6">SUM(D45:D51)</f>
        <v>0</v>
      </c>
      <c r="E44" s="305">
        <f t="shared" si="6"/>
        <v>0</v>
      </c>
      <c r="F44" s="75">
        <f t="shared" si="6"/>
        <v>0</v>
      </c>
      <c r="G44" s="71">
        <f t="shared" si="6"/>
        <v>0</v>
      </c>
      <c r="H44" s="117">
        <f t="shared" si="6"/>
        <v>0</v>
      </c>
      <c r="I44" s="75">
        <f t="shared" si="6"/>
        <v>0</v>
      </c>
      <c r="J44" s="71">
        <f t="shared" si="6"/>
        <v>0</v>
      </c>
      <c r="K44" s="117">
        <f t="shared" si="6"/>
        <v>0</v>
      </c>
      <c r="L44" s="2126"/>
      <c r="AB44" s="2369"/>
      <c r="AC44" s="2365"/>
      <c r="AD44" s="2365"/>
    </row>
    <row r="45" spans="1:30" s="377" customFormat="1" ht="13.5" x14ac:dyDescent="0.25">
      <c r="A45" s="2125" t="s">
        <v>2260</v>
      </c>
      <c r="B45" s="144"/>
      <c r="C45" s="712">
        <f>SUMIFS(Sheet1!S71_PPPYearAmount,Sheet1!S71_SA34eCode,$AC:$AC,Sheet1!S71_A5CapexCode,$AD:$AD)</f>
        <v>0</v>
      </c>
      <c r="D45" s="712">
        <f>SUMIFS(Sheet1!S71_PPYearAmount,Sheet1!S71_SA34eCode,$AC:$AC,Sheet1!S71_A5CapexCode,$AD:$AD)</f>
        <v>0</v>
      </c>
      <c r="E45" s="715">
        <f>SUMIFS(Sheet1!S71_PYearAmount,Sheet1!S71_SA34eCode,$AC:$AC,Sheet1!S71_A5CapexCode,$AD:$AD)</f>
        <v>0</v>
      </c>
      <c r="F45" s="725">
        <f>SUMIFS(Sheet1!S71_OriginalBudAmnt,Sheet1!S71_SA34eCode,$AC:$AC,Sheet1!S71_A5CapexCode,$AD:$AD)</f>
        <v>0</v>
      </c>
      <c r="G45" s="712">
        <f>SUMIFS(Sheet1!S71_AdjustmentBudAmnt,Sheet1!S71_SA34eCode,$AC:$AC,Sheet1!S71_A5CapexCode,$AD:$AD)</f>
        <v>0</v>
      </c>
      <c r="H45" s="713">
        <f>SUMIFS(Sheet1!S71_AdjustmentBudAmnt,Sheet1!S71_SA34eCode,$AC:$AC,Sheet1!S71_A5CapexCode,$AD:$AD)</f>
        <v>0</v>
      </c>
      <c r="I45" s="725">
        <f>SUMIFS(Sheet1!S71_ASBudgetAmount,Sheet1!S71_SA34eCode,$AC:$AC,Sheet1!S71_A5CapexCode,$AD:$AD)</f>
        <v>0</v>
      </c>
      <c r="J45" s="712">
        <f>SUMIFS(Sheet1!S71_OY1BudgetAmount,Sheet1!S71_SA34eCode,$AC:$AC,Sheet1!S71_A5CapexCode,$AD:$AD)</f>
        <v>0</v>
      </c>
      <c r="K45" s="713">
        <f>SUMIFS(Sheet1!S71_OY2BudgetAmount,Sheet1!S71_SA34eCode,$AC:$AC,Sheet1!S71_A5CapexCode,$AD:$AD)</f>
        <v>0</v>
      </c>
      <c r="L45" s="2126"/>
      <c r="AB45" s="2369"/>
      <c r="AC45" s="2365" t="s">
        <v>2840</v>
      </c>
      <c r="AD45" s="2365" t="s">
        <v>2805</v>
      </c>
    </row>
    <row r="46" spans="1:30" s="377" customFormat="1" ht="13.5" x14ac:dyDescent="0.25">
      <c r="A46" s="2125" t="s">
        <v>2261</v>
      </c>
      <c r="B46" s="144"/>
      <c r="C46" s="712">
        <f>SUMIFS(Sheet1!S71_PPPYearAmount,Sheet1!S71_SA34eCode,$AC:$AC,Sheet1!S71_A5CapexCode,$AD:$AD)</f>
        <v>0</v>
      </c>
      <c r="D46" s="712">
        <f>SUMIFS(Sheet1!S71_PPYearAmount,Sheet1!S71_SA34eCode,$AC:$AC,Sheet1!S71_A5CapexCode,$AD:$AD)</f>
        <v>0</v>
      </c>
      <c r="E46" s="715">
        <f>SUMIFS(Sheet1!S71_PYearAmount,Sheet1!S71_SA34eCode,$AC:$AC,Sheet1!S71_A5CapexCode,$AD:$AD)</f>
        <v>0</v>
      </c>
      <c r="F46" s="725">
        <f>SUMIFS(Sheet1!S71_OriginalBudAmnt,Sheet1!S71_SA34eCode,$AC:$AC,Sheet1!S71_A5CapexCode,$AD:$AD)</f>
        <v>0</v>
      </c>
      <c r="G46" s="712">
        <f>SUMIFS(Sheet1!S71_AdjustmentBudAmnt,Sheet1!S71_SA34eCode,$AC:$AC,Sheet1!S71_A5CapexCode,$AD:$AD)</f>
        <v>0</v>
      </c>
      <c r="H46" s="713">
        <f>SUMIFS(Sheet1!S71_AdjustmentBudAmnt,Sheet1!S71_SA34eCode,$AC:$AC,Sheet1!S71_A5CapexCode,$AD:$AD)</f>
        <v>0</v>
      </c>
      <c r="I46" s="725">
        <f>SUMIFS(Sheet1!S71_ASBudgetAmount,Sheet1!S71_SA34eCode,$AC:$AC,Sheet1!S71_A5CapexCode,$AD:$AD)</f>
        <v>0</v>
      </c>
      <c r="J46" s="712">
        <f>SUMIFS(Sheet1!S71_OY1BudgetAmount,Sheet1!S71_SA34eCode,$AC:$AC,Sheet1!S71_A5CapexCode,$AD:$AD)</f>
        <v>0</v>
      </c>
      <c r="K46" s="713">
        <f>SUMIFS(Sheet1!S71_OY2BudgetAmount,Sheet1!S71_SA34eCode,$AC:$AC,Sheet1!S71_A5CapexCode,$AD:$AD)</f>
        <v>0</v>
      </c>
      <c r="L46" s="2126"/>
      <c r="AB46" s="2369"/>
      <c r="AC46" s="2365" t="s">
        <v>2699</v>
      </c>
      <c r="AD46" s="2365" t="s">
        <v>2805</v>
      </c>
    </row>
    <row r="47" spans="1:30" s="377" customFormat="1" ht="13.5" x14ac:dyDescent="0.25">
      <c r="A47" s="2125" t="s">
        <v>2262</v>
      </c>
      <c r="B47" s="144"/>
      <c r="C47" s="712">
        <f>SUMIFS(Sheet1!S71_PPPYearAmount,Sheet1!S71_SA34eCode,$AC:$AC,Sheet1!S71_A5CapexCode,$AD:$AD)</f>
        <v>0</v>
      </c>
      <c r="D47" s="712">
        <f>SUMIFS(Sheet1!S71_PPYearAmount,Sheet1!S71_SA34eCode,$AC:$AC,Sheet1!S71_A5CapexCode,$AD:$AD)</f>
        <v>0</v>
      </c>
      <c r="E47" s="715">
        <f>SUMIFS(Sheet1!S71_PYearAmount,Sheet1!S71_SA34eCode,$AC:$AC,Sheet1!S71_A5CapexCode,$AD:$AD)</f>
        <v>0</v>
      </c>
      <c r="F47" s="725">
        <f>SUMIFS(Sheet1!S71_OriginalBudAmnt,Sheet1!S71_SA34eCode,$AC:$AC,Sheet1!S71_A5CapexCode,$AD:$AD)</f>
        <v>0</v>
      </c>
      <c r="G47" s="712">
        <f>SUMIFS(Sheet1!S71_AdjustmentBudAmnt,Sheet1!S71_SA34eCode,$AC:$AC,Sheet1!S71_A5CapexCode,$AD:$AD)</f>
        <v>0</v>
      </c>
      <c r="H47" s="713">
        <f>SUMIFS(Sheet1!S71_AdjustmentBudAmnt,Sheet1!S71_SA34eCode,$AC:$AC,Sheet1!S71_A5CapexCode,$AD:$AD)</f>
        <v>0</v>
      </c>
      <c r="I47" s="725">
        <f>SUMIFS(Sheet1!S71_ASBudgetAmount,Sheet1!S71_SA34eCode,$AC:$AC,Sheet1!S71_A5CapexCode,$AD:$AD)</f>
        <v>0</v>
      </c>
      <c r="J47" s="712">
        <f>SUMIFS(Sheet1!S71_OY1BudgetAmount,Sheet1!S71_SA34eCode,$AC:$AC,Sheet1!S71_A5CapexCode,$AD:$AD)</f>
        <v>0</v>
      </c>
      <c r="K47" s="713">
        <f>SUMIFS(Sheet1!S71_OY2BudgetAmount,Sheet1!S71_SA34eCode,$AC:$AC,Sheet1!S71_A5CapexCode,$AD:$AD)</f>
        <v>0</v>
      </c>
      <c r="L47" s="2126"/>
      <c r="AB47" s="2369"/>
      <c r="AC47" s="2365" t="s">
        <v>2841</v>
      </c>
      <c r="AD47" s="2365" t="s">
        <v>2805</v>
      </c>
    </row>
    <row r="48" spans="1:30" s="377" customFormat="1" ht="13.5" x14ac:dyDescent="0.25">
      <c r="A48" s="2125" t="s">
        <v>2263</v>
      </c>
      <c r="B48" s="144"/>
      <c r="C48" s="712">
        <f>SUMIFS(Sheet1!S71_PPPYearAmount,Sheet1!S71_SA34eCode,$AC:$AC,Sheet1!S71_A5CapexCode,$AD:$AD)</f>
        <v>0</v>
      </c>
      <c r="D48" s="712">
        <f>SUMIFS(Sheet1!S71_PPYearAmount,Sheet1!S71_SA34eCode,$AC:$AC,Sheet1!S71_A5CapexCode,$AD:$AD)</f>
        <v>0</v>
      </c>
      <c r="E48" s="715">
        <f>SUMIFS(Sheet1!S71_PYearAmount,Sheet1!S71_SA34eCode,$AC:$AC,Sheet1!S71_A5CapexCode,$AD:$AD)</f>
        <v>0</v>
      </c>
      <c r="F48" s="725">
        <f>SUMIFS(Sheet1!S71_OriginalBudAmnt,Sheet1!S71_SA34eCode,$AC:$AC,Sheet1!S71_A5CapexCode,$AD:$AD)</f>
        <v>0</v>
      </c>
      <c r="G48" s="712">
        <f>SUMIFS(Sheet1!S71_AdjustmentBudAmnt,Sheet1!S71_SA34eCode,$AC:$AC,Sheet1!S71_A5CapexCode,$AD:$AD)</f>
        <v>0</v>
      </c>
      <c r="H48" s="713">
        <f>SUMIFS(Sheet1!S71_AdjustmentBudAmnt,Sheet1!S71_SA34eCode,$AC:$AC,Sheet1!S71_A5CapexCode,$AD:$AD)</f>
        <v>0</v>
      </c>
      <c r="I48" s="725">
        <f>SUMIFS(Sheet1!S71_ASBudgetAmount,Sheet1!S71_SA34eCode,$AC:$AC,Sheet1!S71_A5CapexCode,$AD:$AD)</f>
        <v>0</v>
      </c>
      <c r="J48" s="712">
        <f>SUMIFS(Sheet1!S71_OY1BudgetAmount,Sheet1!S71_SA34eCode,$AC:$AC,Sheet1!S71_A5CapexCode,$AD:$AD)</f>
        <v>0</v>
      </c>
      <c r="K48" s="713">
        <f>SUMIFS(Sheet1!S71_OY2BudgetAmount,Sheet1!S71_SA34eCode,$AC:$AC,Sheet1!S71_A5CapexCode,$AD:$AD)</f>
        <v>0</v>
      </c>
      <c r="L48" s="2126"/>
      <c r="AB48" s="2369"/>
      <c r="AC48" s="2365" t="s">
        <v>2842</v>
      </c>
      <c r="AD48" s="2365" t="s">
        <v>2805</v>
      </c>
    </row>
    <row r="49" spans="1:30" s="377" customFormat="1" ht="13.5" x14ac:dyDescent="0.25">
      <c r="A49" s="2125" t="s">
        <v>2264</v>
      </c>
      <c r="B49" s="144"/>
      <c r="C49" s="712">
        <f>SUMIFS(Sheet1!S71_PPPYearAmount,Sheet1!S71_SA34eCode,$AC:$AC,Sheet1!S71_A5CapexCode,$AD:$AD)</f>
        <v>0</v>
      </c>
      <c r="D49" s="712">
        <f>SUMIFS(Sheet1!S71_PPYearAmount,Sheet1!S71_SA34eCode,$AC:$AC,Sheet1!S71_A5CapexCode,$AD:$AD)</f>
        <v>0</v>
      </c>
      <c r="E49" s="715">
        <f>SUMIFS(Sheet1!S71_PYearAmount,Sheet1!S71_SA34eCode,$AC:$AC,Sheet1!S71_A5CapexCode,$AD:$AD)</f>
        <v>0</v>
      </c>
      <c r="F49" s="725">
        <f>SUMIFS(Sheet1!S71_OriginalBudAmnt,Sheet1!S71_SA34eCode,$AC:$AC,Sheet1!S71_A5CapexCode,$AD:$AD)</f>
        <v>0</v>
      </c>
      <c r="G49" s="712">
        <f>SUMIFS(Sheet1!S71_AdjustmentBudAmnt,Sheet1!S71_SA34eCode,$AC:$AC,Sheet1!S71_A5CapexCode,$AD:$AD)</f>
        <v>0</v>
      </c>
      <c r="H49" s="713">
        <f>SUMIFS(Sheet1!S71_AdjustmentBudAmnt,Sheet1!S71_SA34eCode,$AC:$AC,Sheet1!S71_A5CapexCode,$AD:$AD)</f>
        <v>0</v>
      </c>
      <c r="I49" s="725">
        <f>SUMIFS(Sheet1!S71_ASBudgetAmount,Sheet1!S71_SA34eCode,$AC:$AC,Sheet1!S71_A5CapexCode,$AD:$AD)</f>
        <v>0</v>
      </c>
      <c r="J49" s="712">
        <f>SUMIFS(Sheet1!S71_OY1BudgetAmount,Sheet1!S71_SA34eCode,$AC:$AC,Sheet1!S71_A5CapexCode,$AD:$AD)</f>
        <v>0</v>
      </c>
      <c r="K49" s="713">
        <f>SUMIFS(Sheet1!S71_OY2BudgetAmount,Sheet1!S71_SA34eCode,$AC:$AC,Sheet1!S71_A5CapexCode,$AD:$AD)</f>
        <v>0</v>
      </c>
      <c r="L49" s="2126"/>
      <c r="AB49" s="2369"/>
      <c r="AC49" s="2365" t="s">
        <v>2843</v>
      </c>
      <c r="AD49" s="2365" t="s">
        <v>2805</v>
      </c>
    </row>
    <row r="50" spans="1:30" s="377" customFormat="1" ht="13.5" x14ac:dyDescent="0.25">
      <c r="A50" s="2125" t="s">
        <v>2265</v>
      </c>
      <c r="B50" s="144"/>
      <c r="C50" s="712">
        <f>SUMIFS(Sheet1!S71_PPPYearAmount,Sheet1!S71_SA34eCode,$AC:$AC,Sheet1!S71_A5CapexCode,$AD:$AD)</f>
        <v>0</v>
      </c>
      <c r="D50" s="712">
        <f>SUMIFS(Sheet1!S71_PPYearAmount,Sheet1!S71_SA34eCode,$AC:$AC,Sheet1!S71_A5CapexCode,$AD:$AD)</f>
        <v>0</v>
      </c>
      <c r="E50" s="715">
        <f>SUMIFS(Sheet1!S71_PYearAmount,Sheet1!S71_SA34eCode,$AC:$AC,Sheet1!S71_A5CapexCode,$AD:$AD)</f>
        <v>0</v>
      </c>
      <c r="F50" s="725">
        <f>SUMIFS(Sheet1!S71_OriginalBudAmnt,Sheet1!S71_SA34eCode,$AC:$AC,Sheet1!S71_A5CapexCode,$AD:$AD)</f>
        <v>0</v>
      </c>
      <c r="G50" s="712">
        <f>SUMIFS(Sheet1!S71_AdjustmentBudAmnt,Sheet1!S71_SA34eCode,$AC:$AC,Sheet1!S71_A5CapexCode,$AD:$AD)</f>
        <v>0</v>
      </c>
      <c r="H50" s="713">
        <f>SUMIFS(Sheet1!S71_AdjustmentBudAmnt,Sheet1!S71_SA34eCode,$AC:$AC,Sheet1!S71_A5CapexCode,$AD:$AD)</f>
        <v>0</v>
      </c>
      <c r="I50" s="725">
        <f>SUMIFS(Sheet1!S71_ASBudgetAmount,Sheet1!S71_SA34eCode,$AC:$AC,Sheet1!S71_A5CapexCode,$AD:$AD)</f>
        <v>0</v>
      </c>
      <c r="J50" s="712">
        <f>SUMIFS(Sheet1!S71_OY1BudgetAmount,Sheet1!S71_SA34eCode,$AC:$AC,Sheet1!S71_A5CapexCode,$AD:$AD)</f>
        <v>0</v>
      </c>
      <c r="K50" s="713">
        <f>SUMIFS(Sheet1!S71_OY2BudgetAmount,Sheet1!S71_SA34eCode,$AC:$AC,Sheet1!S71_A5CapexCode,$AD:$AD)</f>
        <v>0</v>
      </c>
      <c r="L50" s="2126"/>
      <c r="AB50" s="2369"/>
      <c r="AC50" s="2365" t="s">
        <v>2844</v>
      </c>
      <c r="AD50" s="2365" t="s">
        <v>2805</v>
      </c>
    </row>
    <row r="51" spans="1:30" s="377" customFormat="1" ht="13.5" x14ac:dyDescent="0.25">
      <c r="A51" s="2125" t="s">
        <v>2233</v>
      </c>
      <c r="B51" s="144"/>
      <c r="C51" s="712">
        <f>SUMIFS(Sheet1!S71_PPPYearAmount,Sheet1!S71_SA34eCode,$AC:$AC,Sheet1!S71_A5CapexCode,$AD:$AD)</f>
        <v>0</v>
      </c>
      <c r="D51" s="712">
        <f>SUMIFS(Sheet1!S71_PPYearAmount,Sheet1!S71_SA34eCode,$AC:$AC,Sheet1!S71_A5CapexCode,$AD:$AD)</f>
        <v>0</v>
      </c>
      <c r="E51" s="715">
        <f>SUMIFS(Sheet1!S71_PYearAmount,Sheet1!S71_SA34eCode,$AC:$AC,Sheet1!S71_A5CapexCode,$AD:$AD)</f>
        <v>0</v>
      </c>
      <c r="F51" s="725">
        <f>SUMIFS(Sheet1!S71_OriginalBudAmnt,Sheet1!S71_SA34eCode,$AC:$AC,Sheet1!S71_A5CapexCode,$AD:$AD)</f>
        <v>0</v>
      </c>
      <c r="G51" s="712">
        <f>SUMIFS(Sheet1!S71_AdjustmentBudAmnt,Sheet1!S71_SA34eCode,$AC:$AC,Sheet1!S71_A5CapexCode,$AD:$AD)</f>
        <v>0</v>
      </c>
      <c r="H51" s="713">
        <f>SUMIFS(Sheet1!S71_AdjustmentBudAmnt,Sheet1!S71_SA34eCode,$AC:$AC,Sheet1!S71_A5CapexCode,$AD:$AD)</f>
        <v>0</v>
      </c>
      <c r="I51" s="725">
        <f>SUMIFS(Sheet1!S71_ASBudgetAmount,Sheet1!S71_SA34eCode,$AC:$AC,Sheet1!S71_A5CapexCode,$AD:$AD)</f>
        <v>0</v>
      </c>
      <c r="J51" s="712">
        <f>SUMIFS(Sheet1!S71_OY1BudgetAmount,Sheet1!S71_SA34eCode,$AC:$AC,Sheet1!S71_A5CapexCode,$AD:$AD)</f>
        <v>0</v>
      </c>
      <c r="K51" s="713">
        <f>SUMIFS(Sheet1!S71_OY2BudgetAmount,Sheet1!S71_SA34eCode,$AC:$AC,Sheet1!S71_A5CapexCode,$AD:$AD)</f>
        <v>0</v>
      </c>
      <c r="L51" s="2126"/>
      <c r="AB51" s="2369"/>
      <c r="AC51" s="2365" t="s">
        <v>2845</v>
      </c>
      <c r="AD51" s="2365" t="s">
        <v>2805</v>
      </c>
    </row>
    <row r="52" spans="1:30" s="377" customFormat="1" ht="13.5" x14ac:dyDescent="0.25">
      <c r="A52" s="104" t="s">
        <v>2275</v>
      </c>
      <c r="B52" s="144"/>
      <c r="C52" s="71">
        <f t="shared" ref="C52:K52" si="7">SUM(C53:C61)</f>
        <v>0</v>
      </c>
      <c r="D52" s="71">
        <f t="shared" si="7"/>
        <v>0</v>
      </c>
      <c r="E52" s="305">
        <f t="shared" si="7"/>
        <v>0</v>
      </c>
      <c r="F52" s="75">
        <f t="shared" si="7"/>
        <v>0</v>
      </c>
      <c r="G52" s="71">
        <f t="shared" si="7"/>
        <v>0</v>
      </c>
      <c r="H52" s="117">
        <f t="shared" si="7"/>
        <v>0</v>
      </c>
      <c r="I52" s="75">
        <f t="shared" si="7"/>
        <v>0</v>
      </c>
      <c r="J52" s="71">
        <f t="shared" si="7"/>
        <v>0</v>
      </c>
      <c r="K52" s="117">
        <f t="shared" si="7"/>
        <v>0</v>
      </c>
      <c r="L52" s="2126"/>
      <c r="AB52" s="2369"/>
      <c r="AC52" s="2365"/>
      <c r="AD52" s="2365"/>
    </row>
    <row r="53" spans="1:30" s="377" customFormat="1" ht="13.5" x14ac:dyDescent="0.25">
      <c r="A53" s="2125" t="s">
        <v>2276</v>
      </c>
      <c r="B53" s="144"/>
      <c r="C53" s="712">
        <f>SUMIFS(Sheet1!S71_PPPYearAmount,Sheet1!S71_SA34eCode,$AC:$AC,Sheet1!S71_A5CapexCode,$AD:$AD)</f>
        <v>0</v>
      </c>
      <c r="D53" s="712">
        <f>SUMIFS(Sheet1!S71_PPYearAmount,Sheet1!S71_SA34eCode,$AC:$AC,Sheet1!S71_A5CapexCode,$AD:$AD)</f>
        <v>0</v>
      </c>
      <c r="E53" s="715">
        <f>SUMIFS(Sheet1!S71_PYearAmount,Sheet1!S71_SA34eCode,$AC:$AC,Sheet1!S71_A5CapexCode,$AD:$AD)</f>
        <v>0</v>
      </c>
      <c r="F53" s="725">
        <f>SUMIFS(Sheet1!S71_OriginalBudAmnt,Sheet1!S71_SA34eCode,$AC:$AC,Sheet1!S71_A5CapexCode,$AD:$AD)</f>
        <v>0</v>
      </c>
      <c r="G53" s="712">
        <f>SUMIFS(Sheet1!S71_AdjustmentBudAmnt,Sheet1!S71_SA34eCode,$AC:$AC,Sheet1!S71_A5CapexCode,$AD:$AD)</f>
        <v>0</v>
      </c>
      <c r="H53" s="713">
        <f>SUMIFS(Sheet1!S71_AdjustmentBudAmnt,Sheet1!S71_SA34eCode,$AC:$AC,Sheet1!S71_A5CapexCode,$AD:$AD)</f>
        <v>0</v>
      </c>
      <c r="I53" s="725">
        <f>SUMIFS(Sheet1!S71_ASBudgetAmount,Sheet1!S71_SA34eCode,$AC:$AC,Sheet1!S71_A5CapexCode,$AD:$AD)</f>
        <v>0</v>
      </c>
      <c r="J53" s="712">
        <f>SUMIFS(Sheet1!S71_OY1BudgetAmount,Sheet1!S71_SA34eCode,$AC:$AC,Sheet1!S71_A5CapexCode,$AD:$AD)</f>
        <v>0</v>
      </c>
      <c r="K53" s="713">
        <f>SUMIFS(Sheet1!S71_OY2BudgetAmount,Sheet1!S71_SA34eCode,$AC:$AC,Sheet1!S71_A5CapexCode,$AD:$AD)</f>
        <v>0</v>
      </c>
      <c r="L53" s="2126"/>
      <c r="AB53" s="2369"/>
      <c r="AC53" s="2365" t="s">
        <v>2846</v>
      </c>
      <c r="AD53" s="2365" t="s">
        <v>2805</v>
      </c>
    </row>
    <row r="54" spans="1:30" s="377" customFormat="1" ht="13.5" x14ac:dyDescent="0.25">
      <c r="A54" s="2125" t="s">
        <v>2277</v>
      </c>
      <c r="B54" s="144"/>
      <c r="C54" s="712">
        <f>SUMIFS(Sheet1!S71_PPPYearAmount,Sheet1!S71_SA34eCode,$AC:$AC,Sheet1!S71_A5CapexCode,$AD:$AD)</f>
        <v>0</v>
      </c>
      <c r="D54" s="712">
        <f>SUMIFS(Sheet1!S71_PPYearAmount,Sheet1!S71_SA34eCode,$AC:$AC,Sheet1!S71_A5CapexCode,$AD:$AD)</f>
        <v>0</v>
      </c>
      <c r="E54" s="715">
        <f>SUMIFS(Sheet1!S71_PYearAmount,Sheet1!S71_SA34eCode,$AC:$AC,Sheet1!S71_A5CapexCode,$AD:$AD)</f>
        <v>0</v>
      </c>
      <c r="F54" s="725">
        <f>SUMIFS(Sheet1!S71_OriginalBudAmnt,Sheet1!S71_SA34eCode,$AC:$AC,Sheet1!S71_A5CapexCode,$AD:$AD)</f>
        <v>0</v>
      </c>
      <c r="G54" s="712">
        <f>SUMIFS(Sheet1!S71_AdjustmentBudAmnt,Sheet1!S71_SA34eCode,$AC:$AC,Sheet1!S71_A5CapexCode,$AD:$AD)</f>
        <v>0</v>
      </c>
      <c r="H54" s="713">
        <f>SUMIFS(Sheet1!S71_AdjustmentBudAmnt,Sheet1!S71_SA34eCode,$AC:$AC,Sheet1!S71_A5CapexCode,$AD:$AD)</f>
        <v>0</v>
      </c>
      <c r="I54" s="725">
        <f>SUMIFS(Sheet1!S71_ASBudgetAmount,Sheet1!S71_SA34eCode,$AC:$AC,Sheet1!S71_A5CapexCode,$AD:$AD)</f>
        <v>0</v>
      </c>
      <c r="J54" s="712">
        <f>SUMIFS(Sheet1!S71_OY1BudgetAmount,Sheet1!S71_SA34eCode,$AC:$AC,Sheet1!S71_A5CapexCode,$AD:$AD)</f>
        <v>0</v>
      </c>
      <c r="K54" s="713">
        <f>SUMIFS(Sheet1!S71_OY2BudgetAmount,Sheet1!S71_SA34eCode,$AC:$AC,Sheet1!S71_A5CapexCode,$AD:$AD)</f>
        <v>0</v>
      </c>
      <c r="L54" s="2126"/>
      <c r="AB54" s="2369"/>
      <c r="AC54" s="2365" t="s">
        <v>2847</v>
      </c>
      <c r="AD54" s="2365" t="s">
        <v>2805</v>
      </c>
    </row>
    <row r="55" spans="1:30" s="377" customFormat="1" ht="13.5" x14ac:dyDescent="0.25">
      <c r="A55" s="2125" t="s">
        <v>2278</v>
      </c>
      <c r="B55" s="144"/>
      <c r="C55" s="712">
        <f>SUMIFS(Sheet1!S71_PPPYearAmount,Sheet1!S71_SA34eCode,$AC:$AC,Sheet1!S71_A5CapexCode,$AD:$AD)</f>
        <v>0</v>
      </c>
      <c r="D55" s="712">
        <f>SUMIFS(Sheet1!S71_PPYearAmount,Sheet1!S71_SA34eCode,$AC:$AC,Sheet1!S71_A5CapexCode,$AD:$AD)</f>
        <v>0</v>
      </c>
      <c r="E55" s="715">
        <f>SUMIFS(Sheet1!S71_PYearAmount,Sheet1!S71_SA34eCode,$AC:$AC,Sheet1!S71_A5CapexCode,$AD:$AD)</f>
        <v>0</v>
      </c>
      <c r="F55" s="725">
        <f>SUMIFS(Sheet1!S71_OriginalBudAmnt,Sheet1!S71_SA34eCode,$AC:$AC,Sheet1!S71_A5CapexCode,$AD:$AD)</f>
        <v>0</v>
      </c>
      <c r="G55" s="712">
        <f>SUMIFS(Sheet1!S71_AdjustmentBudAmnt,Sheet1!S71_SA34eCode,$AC:$AC,Sheet1!S71_A5CapexCode,$AD:$AD)</f>
        <v>0</v>
      </c>
      <c r="H55" s="713">
        <f>SUMIFS(Sheet1!S71_AdjustmentBudAmnt,Sheet1!S71_SA34eCode,$AC:$AC,Sheet1!S71_A5CapexCode,$AD:$AD)</f>
        <v>0</v>
      </c>
      <c r="I55" s="725">
        <f>SUMIFS(Sheet1!S71_ASBudgetAmount,Sheet1!S71_SA34eCode,$AC:$AC,Sheet1!S71_A5CapexCode,$AD:$AD)</f>
        <v>0</v>
      </c>
      <c r="J55" s="712">
        <f>SUMIFS(Sheet1!S71_OY1BudgetAmount,Sheet1!S71_SA34eCode,$AC:$AC,Sheet1!S71_A5CapexCode,$AD:$AD)</f>
        <v>0</v>
      </c>
      <c r="K55" s="713">
        <f>SUMIFS(Sheet1!S71_OY2BudgetAmount,Sheet1!S71_SA34eCode,$AC:$AC,Sheet1!S71_A5CapexCode,$AD:$AD)</f>
        <v>0</v>
      </c>
      <c r="L55" s="2126"/>
      <c r="AB55" s="2369"/>
      <c r="AC55" s="2365" t="s">
        <v>2848</v>
      </c>
      <c r="AD55" s="2365" t="s">
        <v>2805</v>
      </c>
    </row>
    <row r="56" spans="1:30" s="377" customFormat="1" ht="13.5" x14ac:dyDescent="0.25">
      <c r="A56" s="2125" t="s">
        <v>2235</v>
      </c>
      <c r="B56" s="144"/>
      <c r="C56" s="712">
        <f>SUMIFS(Sheet1!S71_PPPYearAmount,Sheet1!S71_SA34eCode,$AC:$AC,Sheet1!S71_A5CapexCode,$AD:$AD)</f>
        <v>0</v>
      </c>
      <c r="D56" s="712">
        <f>SUMIFS(Sheet1!S71_PPYearAmount,Sheet1!S71_SA34eCode,$AC:$AC,Sheet1!S71_A5CapexCode,$AD:$AD)</f>
        <v>0</v>
      </c>
      <c r="E56" s="715">
        <f>SUMIFS(Sheet1!S71_PYearAmount,Sheet1!S71_SA34eCode,$AC:$AC,Sheet1!S71_A5CapexCode,$AD:$AD)</f>
        <v>0</v>
      </c>
      <c r="F56" s="725">
        <f>SUMIFS(Sheet1!S71_OriginalBudAmnt,Sheet1!S71_SA34eCode,$AC:$AC,Sheet1!S71_A5CapexCode,$AD:$AD)</f>
        <v>0</v>
      </c>
      <c r="G56" s="712">
        <f>SUMIFS(Sheet1!S71_AdjustmentBudAmnt,Sheet1!S71_SA34eCode,$AC:$AC,Sheet1!S71_A5CapexCode,$AD:$AD)</f>
        <v>0</v>
      </c>
      <c r="H56" s="713">
        <f>SUMIFS(Sheet1!S71_AdjustmentBudAmnt,Sheet1!S71_SA34eCode,$AC:$AC,Sheet1!S71_A5CapexCode,$AD:$AD)</f>
        <v>0</v>
      </c>
      <c r="I56" s="725">
        <f>SUMIFS(Sheet1!S71_ASBudgetAmount,Sheet1!S71_SA34eCode,$AC:$AC,Sheet1!S71_A5CapexCode,$AD:$AD)</f>
        <v>0</v>
      </c>
      <c r="J56" s="712">
        <f>SUMIFS(Sheet1!S71_OY1BudgetAmount,Sheet1!S71_SA34eCode,$AC:$AC,Sheet1!S71_A5CapexCode,$AD:$AD)</f>
        <v>0</v>
      </c>
      <c r="K56" s="713">
        <f>SUMIFS(Sheet1!S71_OY2BudgetAmount,Sheet1!S71_SA34eCode,$AC:$AC,Sheet1!S71_A5CapexCode,$AD:$AD)</f>
        <v>0</v>
      </c>
      <c r="L56" s="2126"/>
      <c r="AB56" s="2369"/>
      <c r="AC56" s="2365" t="s">
        <v>2700</v>
      </c>
      <c r="AD56" s="2365" t="s">
        <v>2805</v>
      </c>
    </row>
    <row r="57" spans="1:30" s="377" customFormat="1" ht="13.5" x14ac:dyDescent="0.25">
      <c r="A57" s="2125" t="s">
        <v>2236</v>
      </c>
      <c r="B57" s="144"/>
      <c r="C57" s="712">
        <f>SUMIFS(Sheet1!S71_PPPYearAmount,Sheet1!S71_SA34eCode,$AC:$AC,Sheet1!S71_A5CapexCode,$AD:$AD)</f>
        <v>0</v>
      </c>
      <c r="D57" s="712">
        <f>SUMIFS(Sheet1!S71_PPYearAmount,Sheet1!S71_SA34eCode,$AC:$AC,Sheet1!S71_A5CapexCode,$AD:$AD)</f>
        <v>0</v>
      </c>
      <c r="E57" s="715">
        <f>SUMIFS(Sheet1!S71_PYearAmount,Sheet1!S71_SA34eCode,$AC:$AC,Sheet1!S71_A5CapexCode,$AD:$AD)</f>
        <v>0</v>
      </c>
      <c r="F57" s="725">
        <f>SUMIFS(Sheet1!S71_OriginalBudAmnt,Sheet1!S71_SA34eCode,$AC:$AC,Sheet1!S71_A5CapexCode,$AD:$AD)</f>
        <v>0</v>
      </c>
      <c r="G57" s="712">
        <f>SUMIFS(Sheet1!S71_AdjustmentBudAmnt,Sheet1!S71_SA34eCode,$AC:$AC,Sheet1!S71_A5CapexCode,$AD:$AD)</f>
        <v>0</v>
      </c>
      <c r="H57" s="713">
        <f>SUMIFS(Sheet1!S71_AdjustmentBudAmnt,Sheet1!S71_SA34eCode,$AC:$AC,Sheet1!S71_A5CapexCode,$AD:$AD)</f>
        <v>0</v>
      </c>
      <c r="I57" s="725">
        <f>SUMIFS(Sheet1!S71_ASBudgetAmount,Sheet1!S71_SA34eCode,$AC:$AC,Sheet1!S71_A5CapexCode,$AD:$AD)</f>
        <v>0</v>
      </c>
      <c r="J57" s="712">
        <f>SUMIFS(Sheet1!S71_OY1BudgetAmount,Sheet1!S71_SA34eCode,$AC:$AC,Sheet1!S71_A5CapexCode,$AD:$AD)</f>
        <v>0</v>
      </c>
      <c r="K57" s="713">
        <f>SUMIFS(Sheet1!S71_OY2BudgetAmount,Sheet1!S71_SA34eCode,$AC:$AC,Sheet1!S71_A5CapexCode,$AD:$AD)</f>
        <v>0</v>
      </c>
      <c r="L57" s="2126"/>
      <c r="AB57" s="2369"/>
      <c r="AC57" s="2365" t="s">
        <v>2849</v>
      </c>
      <c r="AD57" s="2365" t="s">
        <v>2805</v>
      </c>
    </row>
    <row r="58" spans="1:30" s="377" customFormat="1" ht="13.5" x14ac:dyDescent="0.25">
      <c r="A58" s="2125" t="s">
        <v>2237</v>
      </c>
      <c r="B58" s="144"/>
      <c r="C58" s="712">
        <f>SUMIFS(Sheet1!S71_PPPYearAmount,Sheet1!S71_SA34eCode,$AC:$AC,Sheet1!S71_A5CapexCode,$AD:$AD)</f>
        <v>0</v>
      </c>
      <c r="D58" s="712">
        <f>SUMIFS(Sheet1!S71_PPYearAmount,Sheet1!S71_SA34eCode,$AC:$AC,Sheet1!S71_A5CapexCode,$AD:$AD)</f>
        <v>0</v>
      </c>
      <c r="E58" s="715">
        <f>SUMIFS(Sheet1!S71_PYearAmount,Sheet1!S71_SA34eCode,$AC:$AC,Sheet1!S71_A5CapexCode,$AD:$AD)</f>
        <v>0</v>
      </c>
      <c r="F58" s="725">
        <f>SUMIFS(Sheet1!S71_OriginalBudAmnt,Sheet1!S71_SA34eCode,$AC:$AC,Sheet1!S71_A5CapexCode,$AD:$AD)</f>
        <v>0</v>
      </c>
      <c r="G58" s="712">
        <f>SUMIFS(Sheet1!S71_AdjustmentBudAmnt,Sheet1!S71_SA34eCode,$AC:$AC,Sheet1!S71_A5CapexCode,$AD:$AD)</f>
        <v>0</v>
      </c>
      <c r="H58" s="713">
        <f>SUMIFS(Sheet1!S71_AdjustmentBudAmnt,Sheet1!S71_SA34eCode,$AC:$AC,Sheet1!S71_A5CapexCode,$AD:$AD)</f>
        <v>0</v>
      </c>
      <c r="I58" s="725">
        <f>SUMIFS(Sheet1!S71_ASBudgetAmount,Sheet1!S71_SA34eCode,$AC:$AC,Sheet1!S71_A5CapexCode,$AD:$AD)</f>
        <v>0</v>
      </c>
      <c r="J58" s="712">
        <f>SUMIFS(Sheet1!S71_OY1BudgetAmount,Sheet1!S71_SA34eCode,$AC:$AC,Sheet1!S71_A5CapexCode,$AD:$AD)</f>
        <v>0</v>
      </c>
      <c r="K58" s="713">
        <f>SUMIFS(Sheet1!S71_OY2BudgetAmount,Sheet1!S71_SA34eCode,$AC:$AC,Sheet1!S71_A5CapexCode,$AD:$AD)</f>
        <v>0</v>
      </c>
      <c r="L58" s="2126"/>
      <c r="AB58" s="2369"/>
      <c r="AC58" s="2365" t="s">
        <v>2850</v>
      </c>
      <c r="AD58" s="2365" t="s">
        <v>2805</v>
      </c>
    </row>
    <row r="59" spans="1:30" s="377" customFormat="1" ht="13.5" x14ac:dyDescent="0.25">
      <c r="A59" s="2125" t="s">
        <v>2242</v>
      </c>
      <c r="B59" s="144"/>
      <c r="C59" s="712">
        <f>SUMIFS(Sheet1!S71_PPPYearAmount,Sheet1!S71_SA34eCode,$AC:$AC,Sheet1!S71_A5CapexCode,$AD:$AD)</f>
        <v>0</v>
      </c>
      <c r="D59" s="712">
        <f>SUMIFS(Sheet1!S71_PPYearAmount,Sheet1!S71_SA34eCode,$AC:$AC,Sheet1!S71_A5CapexCode,$AD:$AD)</f>
        <v>0</v>
      </c>
      <c r="E59" s="715">
        <f>SUMIFS(Sheet1!S71_PYearAmount,Sheet1!S71_SA34eCode,$AC:$AC,Sheet1!S71_A5CapexCode,$AD:$AD)</f>
        <v>0</v>
      </c>
      <c r="F59" s="725">
        <f>SUMIFS(Sheet1!S71_OriginalBudAmnt,Sheet1!S71_SA34eCode,$AC:$AC,Sheet1!S71_A5CapexCode,$AD:$AD)</f>
        <v>0</v>
      </c>
      <c r="G59" s="712">
        <f>SUMIFS(Sheet1!S71_AdjustmentBudAmnt,Sheet1!S71_SA34eCode,$AC:$AC,Sheet1!S71_A5CapexCode,$AD:$AD)</f>
        <v>0</v>
      </c>
      <c r="H59" s="713">
        <f>SUMIFS(Sheet1!S71_AdjustmentBudAmnt,Sheet1!S71_SA34eCode,$AC:$AC,Sheet1!S71_A5CapexCode,$AD:$AD)</f>
        <v>0</v>
      </c>
      <c r="I59" s="725">
        <f>SUMIFS(Sheet1!S71_ASBudgetAmount,Sheet1!S71_SA34eCode,$AC:$AC,Sheet1!S71_A5CapexCode,$AD:$AD)</f>
        <v>0</v>
      </c>
      <c r="J59" s="712">
        <f>SUMIFS(Sheet1!S71_OY1BudgetAmount,Sheet1!S71_SA34eCode,$AC:$AC,Sheet1!S71_A5CapexCode,$AD:$AD)</f>
        <v>0</v>
      </c>
      <c r="K59" s="713">
        <f>SUMIFS(Sheet1!S71_OY2BudgetAmount,Sheet1!S71_SA34eCode,$AC:$AC,Sheet1!S71_A5CapexCode,$AD:$AD)</f>
        <v>0</v>
      </c>
      <c r="L59" s="2126"/>
      <c r="AB59" s="2369"/>
      <c r="AC59" s="2365" t="s">
        <v>2851</v>
      </c>
      <c r="AD59" s="2365" t="s">
        <v>2805</v>
      </c>
    </row>
    <row r="60" spans="1:30" s="377" customFormat="1" ht="13.5" x14ac:dyDescent="0.25">
      <c r="A60" s="2125" t="s">
        <v>2245</v>
      </c>
      <c r="B60" s="144"/>
      <c r="C60" s="712">
        <f>SUMIFS(Sheet1!S71_PPPYearAmount,Sheet1!S71_SA34eCode,$AC:$AC,Sheet1!S71_A5CapexCode,$AD:$AD)</f>
        <v>0</v>
      </c>
      <c r="D60" s="712">
        <f>SUMIFS(Sheet1!S71_PPYearAmount,Sheet1!S71_SA34eCode,$AC:$AC,Sheet1!S71_A5CapexCode,$AD:$AD)</f>
        <v>0</v>
      </c>
      <c r="E60" s="715">
        <f>SUMIFS(Sheet1!S71_PYearAmount,Sheet1!S71_SA34eCode,$AC:$AC,Sheet1!S71_A5CapexCode,$AD:$AD)</f>
        <v>0</v>
      </c>
      <c r="F60" s="725">
        <f>SUMIFS(Sheet1!S71_OriginalBudAmnt,Sheet1!S71_SA34eCode,$AC:$AC,Sheet1!S71_A5CapexCode,$AD:$AD)</f>
        <v>0</v>
      </c>
      <c r="G60" s="712">
        <f>SUMIFS(Sheet1!S71_AdjustmentBudAmnt,Sheet1!S71_SA34eCode,$AC:$AC,Sheet1!S71_A5CapexCode,$AD:$AD)</f>
        <v>0</v>
      </c>
      <c r="H60" s="713">
        <f>SUMIFS(Sheet1!S71_AdjustmentBudAmnt,Sheet1!S71_SA34eCode,$AC:$AC,Sheet1!S71_A5CapexCode,$AD:$AD)</f>
        <v>0</v>
      </c>
      <c r="I60" s="725">
        <f>SUMIFS(Sheet1!S71_ASBudgetAmount,Sheet1!S71_SA34eCode,$AC:$AC,Sheet1!S71_A5CapexCode,$AD:$AD)</f>
        <v>0</v>
      </c>
      <c r="J60" s="712">
        <f>SUMIFS(Sheet1!S71_OY1BudgetAmount,Sheet1!S71_SA34eCode,$AC:$AC,Sheet1!S71_A5CapexCode,$AD:$AD)</f>
        <v>0</v>
      </c>
      <c r="K60" s="713">
        <f>SUMIFS(Sheet1!S71_OY2BudgetAmount,Sheet1!S71_SA34eCode,$AC:$AC,Sheet1!S71_A5CapexCode,$AD:$AD)</f>
        <v>0</v>
      </c>
      <c r="L60" s="2126"/>
      <c r="AB60" s="2369"/>
      <c r="AC60" s="2365" t="s">
        <v>2852</v>
      </c>
      <c r="AD60" s="2365" t="s">
        <v>2805</v>
      </c>
    </row>
    <row r="61" spans="1:30" s="377" customFormat="1" ht="13.5" x14ac:dyDescent="0.25">
      <c r="A61" s="2125" t="s">
        <v>2233</v>
      </c>
      <c r="B61" s="144"/>
      <c r="C61" s="712">
        <f>SUMIFS(Sheet1!S71_PPPYearAmount,Sheet1!S71_SA34eCode,$AC:$AC,Sheet1!S71_A5CapexCode,$AD:$AD)</f>
        <v>0</v>
      </c>
      <c r="D61" s="712">
        <f>SUMIFS(Sheet1!S71_PPYearAmount,Sheet1!S71_SA34eCode,$AC:$AC,Sheet1!S71_A5CapexCode,$AD:$AD)</f>
        <v>0</v>
      </c>
      <c r="E61" s="715">
        <f>SUMIFS(Sheet1!S71_PYearAmount,Sheet1!S71_SA34eCode,$AC:$AC,Sheet1!S71_A5CapexCode,$AD:$AD)</f>
        <v>0</v>
      </c>
      <c r="F61" s="725">
        <f>SUMIFS(Sheet1!S71_OriginalBudAmnt,Sheet1!S71_SA34eCode,$AC:$AC,Sheet1!S71_A5CapexCode,$AD:$AD)</f>
        <v>0</v>
      </c>
      <c r="G61" s="712">
        <f>SUMIFS(Sheet1!S71_AdjustmentBudAmnt,Sheet1!S71_SA34eCode,$AC:$AC,Sheet1!S71_A5CapexCode,$AD:$AD)</f>
        <v>0</v>
      </c>
      <c r="H61" s="713">
        <f>SUMIFS(Sheet1!S71_AdjustmentBudAmnt,Sheet1!S71_SA34eCode,$AC:$AC,Sheet1!S71_A5CapexCode,$AD:$AD)</f>
        <v>0</v>
      </c>
      <c r="I61" s="725">
        <f>SUMIFS(Sheet1!S71_ASBudgetAmount,Sheet1!S71_SA34eCode,$AC:$AC,Sheet1!S71_A5CapexCode,$AD:$AD)</f>
        <v>0</v>
      </c>
      <c r="J61" s="712">
        <f>SUMIFS(Sheet1!S71_OY1BudgetAmount,Sheet1!S71_SA34eCode,$AC:$AC,Sheet1!S71_A5CapexCode,$AD:$AD)</f>
        <v>0</v>
      </c>
      <c r="K61" s="713">
        <f>SUMIFS(Sheet1!S71_OY2BudgetAmount,Sheet1!S71_SA34eCode,$AC:$AC,Sheet1!S71_A5CapexCode,$AD:$AD)</f>
        <v>0</v>
      </c>
      <c r="L61" s="2126"/>
      <c r="AB61" s="2369"/>
      <c r="AC61" s="2365" t="s">
        <v>2853</v>
      </c>
      <c r="AD61" s="2365" t="s">
        <v>2805</v>
      </c>
    </row>
    <row r="62" spans="1:30" s="377" customFormat="1" ht="13.5" x14ac:dyDescent="0.25">
      <c r="A62" s="137" t="s">
        <v>2270</v>
      </c>
      <c r="B62" s="144"/>
      <c r="C62" s="71">
        <f>SUM(C63:C67)</f>
        <v>0</v>
      </c>
      <c r="D62" s="71">
        <f t="shared" ref="D62:K62" si="8">SUM(D63:D67)</f>
        <v>0</v>
      </c>
      <c r="E62" s="305">
        <f t="shared" si="8"/>
        <v>0</v>
      </c>
      <c r="F62" s="75">
        <f t="shared" si="8"/>
        <v>0</v>
      </c>
      <c r="G62" s="71">
        <f t="shared" si="8"/>
        <v>0</v>
      </c>
      <c r="H62" s="117">
        <f t="shared" si="8"/>
        <v>0</v>
      </c>
      <c r="I62" s="75">
        <f t="shared" si="8"/>
        <v>0</v>
      </c>
      <c r="J62" s="71">
        <f t="shared" si="8"/>
        <v>0</v>
      </c>
      <c r="K62" s="117">
        <f t="shared" si="8"/>
        <v>0</v>
      </c>
      <c r="L62" s="2126"/>
      <c r="AB62" s="2369"/>
      <c r="AC62" s="2365"/>
      <c r="AD62" s="2365"/>
    </row>
    <row r="63" spans="1:30" s="377" customFormat="1" ht="13.5" x14ac:dyDescent="0.25">
      <c r="A63" s="2125" t="s">
        <v>2271</v>
      </c>
      <c r="B63" s="144"/>
      <c r="C63" s="712">
        <f>SUMIFS(Sheet1!S71_PPPYearAmount,Sheet1!S71_SA34eCode,$AC:$AC,Sheet1!S71_A5CapexCode,$AD:$AD)</f>
        <v>0</v>
      </c>
      <c r="D63" s="712">
        <f>SUMIFS(Sheet1!S71_PPYearAmount,Sheet1!S71_SA34eCode,$AC:$AC,Sheet1!S71_A5CapexCode,$AD:$AD)</f>
        <v>0</v>
      </c>
      <c r="E63" s="715">
        <f>SUMIFS(Sheet1!S71_PYearAmount,Sheet1!S71_SA34eCode,$AC:$AC,Sheet1!S71_A5CapexCode,$AD:$AD)</f>
        <v>0</v>
      </c>
      <c r="F63" s="725">
        <f>SUMIFS(Sheet1!S71_OriginalBudAmnt,Sheet1!S71_SA34eCode,$AC:$AC,Sheet1!S71_A5CapexCode,$AD:$AD)</f>
        <v>0</v>
      </c>
      <c r="G63" s="712">
        <f>SUMIFS(Sheet1!S71_AdjustmentBudAmnt,Sheet1!S71_SA34eCode,$AC:$AC,Sheet1!S71_A5CapexCode,$AD:$AD)</f>
        <v>0</v>
      </c>
      <c r="H63" s="713">
        <f>SUMIFS(Sheet1!S71_AdjustmentBudAmnt,Sheet1!S71_SA34eCode,$AC:$AC,Sheet1!S71_A5CapexCode,$AD:$AD)</f>
        <v>0</v>
      </c>
      <c r="I63" s="725">
        <f>SUMIFS(Sheet1!S71_ASBudgetAmount,Sheet1!S71_SA34eCode,$AC:$AC,Sheet1!S71_A5CapexCode,$AD:$AD)</f>
        <v>0</v>
      </c>
      <c r="J63" s="712">
        <f>SUMIFS(Sheet1!S71_OY1BudgetAmount,Sheet1!S71_SA34eCode,$AC:$AC,Sheet1!S71_A5CapexCode,$AD:$AD)</f>
        <v>0</v>
      </c>
      <c r="K63" s="713">
        <f>SUMIFS(Sheet1!S71_OY2BudgetAmount,Sheet1!S71_SA34eCode,$AC:$AC,Sheet1!S71_A5CapexCode,$AD:$AD)</f>
        <v>0</v>
      </c>
      <c r="L63" s="2126"/>
      <c r="AB63" s="2369"/>
      <c r="AC63" s="2365" t="s">
        <v>2854</v>
      </c>
      <c r="AD63" s="2365" t="s">
        <v>2805</v>
      </c>
    </row>
    <row r="64" spans="1:30" s="377" customFormat="1" ht="13.5" x14ac:dyDescent="0.25">
      <c r="A64" s="2125" t="s">
        <v>2272</v>
      </c>
      <c r="B64" s="144"/>
      <c r="C64" s="712">
        <f>SUMIFS(Sheet1!S71_PPPYearAmount,Sheet1!S71_SA34eCode,$AC:$AC,Sheet1!S71_A5CapexCode,$AD:$AD)</f>
        <v>0</v>
      </c>
      <c r="D64" s="712">
        <f>SUMIFS(Sheet1!S71_PPYearAmount,Sheet1!S71_SA34eCode,$AC:$AC,Sheet1!S71_A5CapexCode,$AD:$AD)</f>
        <v>0</v>
      </c>
      <c r="E64" s="715">
        <f>SUMIFS(Sheet1!S71_PYearAmount,Sheet1!S71_SA34eCode,$AC:$AC,Sheet1!S71_A5CapexCode,$AD:$AD)</f>
        <v>0</v>
      </c>
      <c r="F64" s="725">
        <f>SUMIFS(Sheet1!S71_OriginalBudAmnt,Sheet1!S71_SA34eCode,$AC:$AC,Sheet1!S71_A5CapexCode,$AD:$AD)</f>
        <v>0</v>
      </c>
      <c r="G64" s="712">
        <f>SUMIFS(Sheet1!S71_AdjustmentBudAmnt,Sheet1!S71_SA34eCode,$AC:$AC,Sheet1!S71_A5CapexCode,$AD:$AD)</f>
        <v>0</v>
      </c>
      <c r="H64" s="713">
        <f>SUMIFS(Sheet1!S71_AdjustmentBudAmnt,Sheet1!S71_SA34eCode,$AC:$AC,Sheet1!S71_A5CapexCode,$AD:$AD)</f>
        <v>0</v>
      </c>
      <c r="I64" s="725">
        <f>SUMIFS(Sheet1!S71_ASBudgetAmount,Sheet1!S71_SA34eCode,$AC:$AC,Sheet1!S71_A5CapexCode,$AD:$AD)</f>
        <v>0</v>
      </c>
      <c r="J64" s="712">
        <f>SUMIFS(Sheet1!S71_OY1BudgetAmount,Sheet1!S71_SA34eCode,$AC:$AC,Sheet1!S71_A5CapexCode,$AD:$AD)</f>
        <v>0</v>
      </c>
      <c r="K64" s="713">
        <f>SUMIFS(Sheet1!S71_OY2BudgetAmount,Sheet1!S71_SA34eCode,$AC:$AC,Sheet1!S71_A5CapexCode,$AD:$AD)</f>
        <v>0</v>
      </c>
      <c r="L64" s="2126"/>
      <c r="AB64" s="2369"/>
      <c r="AC64" s="2365" t="s">
        <v>2855</v>
      </c>
      <c r="AD64" s="2365" t="s">
        <v>2805</v>
      </c>
    </row>
    <row r="65" spans="1:30" s="377" customFormat="1" ht="13.5" x14ac:dyDescent="0.25">
      <c r="A65" s="2125" t="s">
        <v>2273</v>
      </c>
      <c r="B65" s="144"/>
      <c r="C65" s="712">
        <f>SUMIFS(Sheet1!S71_PPPYearAmount,Sheet1!S71_SA34eCode,$AC:$AC,Sheet1!S71_A5CapexCode,$AD:$AD)</f>
        <v>0</v>
      </c>
      <c r="D65" s="712">
        <f>SUMIFS(Sheet1!S71_PPYearAmount,Sheet1!S71_SA34eCode,$AC:$AC,Sheet1!S71_A5CapexCode,$AD:$AD)</f>
        <v>0</v>
      </c>
      <c r="E65" s="715">
        <f>SUMIFS(Sheet1!S71_PYearAmount,Sheet1!S71_SA34eCode,$AC:$AC,Sheet1!S71_A5CapexCode,$AD:$AD)</f>
        <v>0</v>
      </c>
      <c r="F65" s="725">
        <f>SUMIFS(Sheet1!S71_OriginalBudAmnt,Sheet1!S71_SA34eCode,$AC:$AC,Sheet1!S71_A5CapexCode,$AD:$AD)</f>
        <v>0</v>
      </c>
      <c r="G65" s="712">
        <f>SUMIFS(Sheet1!S71_AdjustmentBudAmnt,Sheet1!S71_SA34eCode,$AC:$AC,Sheet1!S71_A5CapexCode,$AD:$AD)</f>
        <v>0</v>
      </c>
      <c r="H65" s="713">
        <f>SUMIFS(Sheet1!S71_AdjustmentBudAmnt,Sheet1!S71_SA34eCode,$AC:$AC,Sheet1!S71_A5CapexCode,$AD:$AD)</f>
        <v>0</v>
      </c>
      <c r="I65" s="725">
        <f>SUMIFS(Sheet1!S71_ASBudgetAmount,Sheet1!S71_SA34eCode,$AC:$AC,Sheet1!S71_A5CapexCode,$AD:$AD)</f>
        <v>0</v>
      </c>
      <c r="J65" s="712">
        <f>SUMIFS(Sheet1!S71_OY1BudgetAmount,Sheet1!S71_SA34eCode,$AC:$AC,Sheet1!S71_A5CapexCode,$AD:$AD)</f>
        <v>0</v>
      </c>
      <c r="K65" s="713">
        <f>SUMIFS(Sheet1!S71_OY2BudgetAmount,Sheet1!S71_SA34eCode,$AC:$AC,Sheet1!S71_A5CapexCode,$AD:$AD)</f>
        <v>0</v>
      </c>
      <c r="L65" s="2126"/>
      <c r="AB65" s="2369"/>
      <c r="AC65" s="2365" t="s">
        <v>2856</v>
      </c>
      <c r="AD65" s="2365" t="s">
        <v>2805</v>
      </c>
    </row>
    <row r="66" spans="1:30" s="377" customFormat="1" ht="13.5" x14ac:dyDescent="0.25">
      <c r="A66" s="2125" t="s">
        <v>2274</v>
      </c>
      <c r="B66" s="144"/>
      <c r="C66" s="712">
        <f>SUMIFS(Sheet1!S71_PPPYearAmount,Sheet1!S71_SA34eCode,$AC:$AC,Sheet1!S71_A5CapexCode,$AD:$AD)</f>
        <v>0</v>
      </c>
      <c r="D66" s="712">
        <f>SUMIFS(Sheet1!S71_PPYearAmount,Sheet1!S71_SA34eCode,$AC:$AC,Sheet1!S71_A5CapexCode,$AD:$AD)</f>
        <v>0</v>
      </c>
      <c r="E66" s="715">
        <f>SUMIFS(Sheet1!S71_PYearAmount,Sheet1!S71_SA34eCode,$AC:$AC,Sheet1!S71_A5CapexCode,$AD:$AD)</f>
        <v>0</v>
      </c>
      <c r="F66" s="725">
        <f>SUMIFS(Sheet1!S71_OriginalBudAmnt,Sheet1!S71_SA34eCode,$AC:$AC,Sheet1!S71_A5CapexCode,$AD:$AD)</f>
        <v>0</v>
      </c>
      <c r="G66" s="712">
        <f>SUMIFS(Sheet1!S71_AdjustmentBudAmnt,Sheet1!S71_SA34eCode,$AC:$AC,Sheet1!S71_A5CapexCode,$AD:$AD)</f>
        <v>0</v>
      </c>
      <c r="H66" s="713">
        <f>SUMIFS(Sheet1!S71_AdjustmentBudAmnt,Sheet1!S71_SA34eCode,$AC:$AC,Sheet1!S71_A5CapexCode,$AD:$AD)</f>
        <v>0</v>
      </c>
      <c r="I66" s="725">
        <f>SUMIFS(Sheet1!S71_ASBudgetAmount,Sheet1!S71_SA34eCode,$AC:$AC,Sheet1!S71_A5CapexCode,$AD:$AD)</f>
        <v>0</v>
      </c>
      <c r="J66" s="712">
        <f>SUMIFS(Sheet1!S71_OY1BudgetAmount,Sheet1!S71_SA34eCode,$AC:$AC,Sheet1!S71_A5CapexCode,$AD:$AD)</f>
        <v>0</v>
      </c>
      <c r="K66" s="713">
        <f>SUMIFS(Sheet1!S71_OY2BudgetAmount,Sheet1!S71_SA34eCode,$AC:$AC,Sheet1!S71_A5CapexCode,$AD:$AD)</f>
        <v>0</v>
      </c>
      <c r="L66" s="2126"/>
      <c r="AB66" s="2369"/>
      <c r="AC66" s="2365" t="s">
        <v>2857</v>
      </c>
      <c r="AD66" s="2365" t="s">
        <v>2805</v>
      </c>
    </row>
    <row r="67" spans="1:30" s="377" customFormat="1" ht="13.5" x14ac:dyDescent="0.25">
      <c r="A67" s="2125" t="s">
        <v>2233</v>
      </c>
      <c r="B67" s="144"/>
      <c r="C67" s="712">
        <f>SUMIFS(Sheet1!S71_PPPYearAmount,Sheet1!S71_SA34eCode,$AC:$AC,Sheet1!S71_A5CapexCode,$AD:$AD)</f>
        <v>0</v>
      </c>
      <c r="D67" s="712">
        <f>SUMIFS(Sheet1!S71_PPYearAmount,Sheet1!S71_SA34eCode,$AC:$AC,Sheet1!S71_A5CapexCode,$AD:$AD)</f>
        <v>0</v>
      </c>
      <c r="E67" s="715">
        <f>SUMIFS(Sheet1!S71_PYearAmount,Sheet1!S71_SA34eCode,$AC:$AC,Sheet1!S71_A5CapexCode,$AD:$AD)</f>
        <v>0</v>
      </c>
      <c r="F67" s="725">
        <f>SUMIFS(Sheet1!S71_OriginalBudAmnt,Sheet1!S71_SA34eCode,$AC:$AC,Sheet1!S71_A5CapexCode,$AD:$AD)</f>
        <v>0</v>
      </c>
      <c r="G67" s="712">
        <f>SUMIFS(Sheet1!S71_AdjustmentBudAmnt,Sheet1!S71_SA34eCode,$AC:$AC,Sheet1!S71_A5CapexCode,$AD:$AD)</f>
        <v>0</v>
      </c>
      <c r="H67" s="713">
        <f>SUMIFS(Sheet1!S71_AdjustmentBudAmnt,Sheet1!S71_SA34eCode,$AC:$AC,Sheet1!S71_A5CapexCode,$AD:$AD)</f>
        <v>0</v>
      </c>
      <c r="I67" s="725">
        <f>SUMIFS(Sheet1!S71_ASBudgetAmount,Sheet1!S71_SA34eCode,$AC:$AC,Sheet1!S71_A5CapexCode,$AD:$AD)</f>
        <v>0</v>
      </c>
      <c r="J67" s="712">
        <f>SUMIFS(Sheet1!S71_OY1BudgetAmount,Sheet1!S71_SA34eCode,$AC:$AC,Sheet1!S71_A5CapexCode,$AD:$AD)</f>
        <v>0</v>
      </c>
      <c r="K67" s="713">
        <f>SUMIFS(Sheet1!S71_OY2BudgetAmount,Sheet1!S71_SA34eCode,$AC:$AC,Sheet1!S71_A5CapexCode,$AD:$AD)</f>
        <v>0</v>
      </c>
      <c r="L67" s="2126"/>
      <c r="AB67" s="2369"/>
      <c r="AC67" s="2365" t="s">
        <v>2858</v>
      </c>
      <c r="AD67" s="2365" t="s">
        <v>2805</v>
      </c>
    </row>
    <row r="68" spans="1:30" s="377" customFormat="1" ht="13.5" x14ac:dyDescent="0.25">
      <c r="A68" s="104" t="s">
        <v>2266</v>
      </c>
      <c r="B68" s="144"/>
      <c r="C68" s="71">
        <f>SUM(C69:C72)</f>
        <v>0</v>
      </c>
      <c r="D68" s="71">
        <f t="shared" ref="D68:K68" si="9">SUM(D69:D72)</f>
        <v>0</v>
      </c>
      <c r="E68" s="305">
        <f t="shared" si="9"/>
        <v>0</v>
      </c>
      <c r="F68" s="75">
        <f t="shared" si="9"/>
        <v>0</v>
      </c>
      <c r="G68" s="71">
        <f t="shared" si="9"/>
        <v>0</v>
      </c>
      <c r="H68" s="117">
        <f t="shared" si="9"/>
        <v>0</v>
      </c>
      <c r="I68" s="75">
        <f t="shared" si="9"/>
        <v>0</v>
      </c>
      <c r="J68" s="71">
        <f t="shared" si="9"/>
        <v>0</v>
      </c>
      <c r="K68" s="117">
        <f t="shared" si="9"/>
        <v>0</v>
      </c>
      <c r="L68" s="2126"/>
      <c r="AB68" s="2369"/>
      <c r="AC68" s="2365"/>
      <c r="AD68" s="2365"/>
    </row>
    <row r="69" spans="1:30" s="377" customFormat="1" ht="13.5" x14ac:dyDescent="0.25">
      <c r="A69" s="2125" t="s">
        <v>2267</v>
      </c>
      <c r="B69" s="144"/>
      <c r="C69" s="712">
        <f>SUMIFS(Sheet1!S71_PPPYearAmount,Sheet1!S71_SA34eCode,$AC:$AC,Sheet1!S71_A5CapexCode,$AD:$AD)</f>
        <v>0</v>
      </c>
      <c r="D69" s="712">
        <f>SUMIFS(Sheet1!S71_PPYearAmount,Sheet1!S71_SA34eCode,$AC:$AC,Sheet1!S71_A5CapexCode,$AD:$AD)</f>
        <v>0</v>
      </c>
      <c r="E69" s="715">
        <f>SUMIFS(Sheet1!S71_PYearAmount,Sheet1!S71_SA34eCode,$AC:$AC,Sheet1!S71_A5CapexCode,$AD:$AD)</f>
        <v>0</v>
      </c>
      <c r="F69" s="725">
        <f>SUMIFS(Sheet1!S71_OriginalBudAmnt,Sheet1!S71_SA34eCode,$AC:$AC,Sheet1!S71_A5CapexCode,$AD:$AD)</f>
        <v>0</v>
      </c>
      <c r="G69" s="712">
        <f>SUMIFS(Sheet1!S71_AdjustmentBudAmnt,Sheet1!S71_SA34eCode,$AC:$AC,Sheet1!S71_A5CapexCode,$AD:$AD)</f>
        <v>0</v>
      </c>
      <c r="H69" s="713">
        <f>SUMIFS(Sheet1!S71_AdjustmentBudAmnt,Sheet1!S71_SA34eCode,$AC:$AC,Sheet1!S71_A5CapexCode,$AD:$AD)</f>
        <v>0</v>
      </c>
      <c r="I69" s="725">
        <f>SUMIFS(Sheet1!S71_ASBudgetAmount,Sheet1!S71_SA34eCode,$AC:$AC,Sheet1!S71_A5CapexCode,$AD:$AD)</f>
        <v>0</v>
      </c>
      <c r="J69" s="712">
        <f>SUMIFS(Sheet1!S71_OY1BudgetAmount,Sheet1!S71_SA34eCode,$AC:$AC,Sheet1!S71_A5CapexCode,$AD:$AD)</f>
        <v>0</v>
      </c>
      <c r="K69" s="713">
        <f>SUMIFS(Sheet1!S71_OY2BudgetAmount,Sheet1!S71_SA34eCode,$AC:$AC,Sheet1!S71_A5CapexCode,$AD:$AD)</f>
        <v>0</v>
      </c>
      <c r="L69" s="2124"/>
      <c r="AB69" s="2369"/>
      <c r="AC69" s="2365" t="s">
        <v>2859</v>
      </c>
      <c r="AD69" s="2365" t="s">
        <v>2805</v>
      </c>
    </row>
    <row r="70" spans="1:30" s="377" customFormat="1" ht="13.5" x14ac:dyDescent="0.25">
      <c r="A70" s="2125" t="s">
        <v>2268</v>
      </c>
      <c r="B70" s="144"/>
      <c r="C70" s="712">
        <f>SUMIFS(Sheet1!S71_PPPYearAmount,Sheet1!S71_SA34eCode,$AC:$AC,Sheet1!S71_A5CapexCode,$AD:$AD)</f>
        <v>0</v>
      </c>
      <c r="D70" s="712">
        <f>SUMIFS(Sheet1!S71_PPYearAmount,Sheet1!S71_SA34eCode,$AC:$AC,Sheet1!S71_A5CapexCode,$AD:$AD)</f>
        <v>0</v>
      </c>
      <c r="E70" s="715">
        <f>SUMIFS(Sheet1!S71_PYearAmount,Sheet1!S71_SA34eCode,$AC:$AC,Sheet1!S71_A5CapexCode,$AD:$AD)</f>
        <v>0</v>
      </c>
      <c r="F70" s="725">
        <f>SUMIFS(Sheet1!S71_OriginalBudAmnt,Sheet1!S71_SA34eCode,$AC:$AC,Sheet1!S71_A5CapexCode,$AD:$AD)</f>
        <v>0</v>
      </c>
      <c r="G70" s="712">
        <f>SUMIFS(Sheet1!S71_AdjustmentBudAmnt,Sheet1!S71_SA34eCode,$AC:$AC,Sheet1!S71_A5CapexCode,$AD:$AD)</f>
        <v>0</v>
      </c>
      <c r="H70" s="713">
        <f>SUMIFS(Sheet1!S71_AdjustmentBudAmnt,Sheet1!S71_SA34eCode,$AC:$AC,Sheet1!S71_A5CapexCode,$AD:$AD)</f>
        <v>0</v>
      </c>
      <c r="I70" s="725">
        <f>SUMIFS(Sheet1!S71_ASBudgetAmount,Sheet1!S71_SA34eCode,$AC:$AC,Sheet1!S71_A5CapexCode,$AD:$AD)</f>
        <v>0</v>
      </c>
      <c r="J70" s="712">
        <f>SUMIFS(Sheet1!S71_OY1BudgetAmount,Sheet1!S71_SA34eCode,$AC:$AC,Sheet1!S71_A5CapexCode,$AD:$AD)</f>
        <v>0</v>
      </c>
      <c r="K70" s="713">
        <f>SUMIFS(Sheet1!S71_OY2BudgetAmount,Sheet1!S71_SA34eCode,$AC:$AC,Sheet1!S71_A5CapexCode,$AD:$AD)</f>
        <v>0</v>
      </c>
      <c r="L70" s="2126"/>
      <c r="AB70" s="2369"/>
      <c r="AC70" s="2365" t="s">
        <v>2860</v>
      </c>
      <c r="AD70" s="2365" t="s">
        <v>2805</v>
      </c>
    </row>
    <row r="71" spans="1:30" s="377" customFormat="1" ht="13.5" x14ac:dyDescent="0.25">
      <c r="A71" s="2125" t="s">
        <v>2269</v>
      </c>
      <c r="B71" s="144"/>
      <c r="C71" s="712">
        <f>SUMIFS(Sheet1!S71_PPPYearAmount,Sheet1!S71_SA34eCode,$AC:$AC,Sheet1!S71_A5CapexCode,$AD:$AD)</f>
        <v>0</v>
      </c>
      <c r="D71" s="712">
        <f>SUMIFS(Sheet1!S71_PPYearAmount,Sheet1!S71_SA34eCode,$AC:$AC,Sheet1!S71_A5CapexCode,$AD:$AD)</f>
        <v>0</v>
      </c>
      <c r="E71" s="715">
        <f>SUMIFS(Sheet1!S71_PYearAmount,Sheet1!S71_SA34eCode,$AC:$AC,Sheet1!S71_A5CapexCode,$AD:$AD)</f>
        <v>0</v>
      </c>
      <c r="F71" s="725">
        <f>SUMIFS(Sheet1!S71_OriginalBudAmnt,Sheet1!S71_SA34eCode,$AC:$AC,Sheet1!S71_A5CapexCode,$AD:$AD)</f>
        <v>0</v>
      </c>
      <c r="G71" s="712">
        <f>SUMIFS(Sheet1!S71_AdjustmentBudAmnt,Sheet1!S71_SA34eCode,$AC:$AC,Sheet1!S71_A5CapexCode,$AD:$AD)</f>
        <v>0</v>
      </c>
      <c r="H71" s="713">
        <f>SUMIFS(Sheet1!S71_AdjustmentBudAmnt,Sheet1!S71_SA34eCode,$AC:$AC,Sheet1!S71_A5CapexCode,$AD:$AD)</f>
        <v>0</v>
      </c>
      <c r="I71" s="725">
        <f>SUMIFS(Sheet1!S71_ASBudgetAmount,Sheet1!S71_SA34eCode,$AC:$AC,Sheet1!S71_A5CapexCode,$AD:$AD)</f>
        <v>0</v>
      </c>
      <c r="J71" s="712">
        <f>SUMIFS(Sheet1!S71_OY1BudgetAmount,Sheet1!S71_SA34eCode,$AC:$AC,Sheet1!S71_A5CapexCode,$AD:$AD)</f>
        <v>0</v>
      </c>
      <c r="K71" s="713">
        <f>SUMIFS(Sheet1!S71_OY2BudgetAmount,Sheet1!S71_SA34eCode,$AC:$AC,Sheet1!S71_A5CapexCode,$AD:$AD)</f>
        <v>0</v>
      </c>
      <c r="L71" s="2126"/>
      <c r="AB71" s="2369"/>
      <c r="AC71" s="2365" t="s">
        <v>2861</v>
      </c>
      <c r="AD71" s="2365" t="s">
        <v>2805</v>
      </c>
    </row>
    <row r="72" spans="1:30" s="377" customFormat="1" ht="13.5" x14ac:dyDescent="0.25">
      <c r="A72" s="2125" t="s">
        <v>2233</v>
      </c>
      <c r="B72" s="144"/>
      <c r="C72" s="712">
        <f>SUMIFS(Sheet1!S71_PPPYearAmount,Sheet1!S71_SA34eCode,$AC:$AC,Sheet1!S71_A5CapexCode,$AD:$AD)</f>
        <v>0</v>
      </c>
      <c r="D72" s="712">
        <f>SUMIFS(Sheet1!S71_PPYearAmount,Sheet1!S71_SA34eCode,$AC:$AC,Sheet1!S71_A5CapexCode,$AD:$AD)</f>
        <v>0</v>
      </c>
      <c r="E72" s="715">
        <f>SUMIFS(Sheet1!S71_PYearAmount,Sheet1!S71_SA34eCode,$AC:$AC,Sheet1!S71_A5CapexCode,$AD:$AD)</f>
        <v>0</v>
      </c>
      <c r="F72" s="725">
        <f>SUMIFS(Sheet1!S71_OriginalBudAmnt,Sheet1!S71_SA34eCode,$AC:$AC,Sheet1!S71_A5CapexCode,$AD:$AD)</f>
        <v>0</v>
      </c>
      <c r="G72" s="712">
        <f>SUMIFS(Sheet1!S71_AdjustmentBudAmnt,Sheet1!S71_SA34eCode,$AC:$AC,Sheet1!S71_A5CapexCode,$AD:$AD)</f>
        <v>0</v>
      </c>
      <c r="H72" s="713">
        <f>SUMIFS(Sheet1!S71_AdjustmentBudAmnt,Sheet1!S71_SA34eCode,$AC:$AC,Sheet1!S71_A5CapexCode,$AD:$AD)</f>
        <v>0</v>
      </c>
      <c r="I72" s="725">
        <f>SUMIFS(Sheet1!S71_ASBudgetAmount,Sheet1!S71_SA34eCode,$AC:$AC,Sheet1!S71_A5CapexCode,$AD:$AD)</f>
        <v>0</v>
      </c>
      <c r="J72" s="712">
        <f>SUMIFS(Sheet1!S71_OY1BudgetAmount,Sheet1!S71_SA34eCode,$AC:$AC,Sheet1!S71_A5CapexCode,$AD:$AD)</f>
        <v>0</v>
      </c>
      <c r="K72" s="713">
        <f>SUMIFS(Sheet1!S71_OY2BudgetAmount,Sheet1!S71_SA34eCode,$AC:$AC,Sheet1!S71_A5CapexCode,$AD:$AD)</f>
        <v>0</v>
      </c>
      <c r="L72" s="2126"/>
      <c r="AB72" s="2369"/>
      <c r="AC72" s="2365" t="s">
        <v>2862</v>
      </c>
      <c r="AD72" s="2365" t="s">
        <v>2805</v>
      </c>
    </row>
    <row r="73" spans="1:30" ht="4.9000000000000004" customHeight="1" x14ac:dyDescent="0.25">
      <c r="A73" s="116"/>
      <c r="B73" s="144"/>
      <c r="C73" s="177"/>
      <c r="D73" s="177"/>
      <c r="E73" s="180"/>
      <c r="F73" s="179"/>
      <c r="G73" s="177"/>
      <c r="H73" s="178"/>
      <c r="I73" s="179"/>
      <c r="J73" s="177"/>
      <c r="K73" s="178"/>
      <c r="L73" s="322"/>
    </row>
    <row r="74" spans="1:30" ht="17.25" customHeight="1" x14ac:dyDescent="0.25">
      <c r="A74" s="96" t="s">
        <v>2282</v>
      </c>
      <c r="B74" s="144"/>
      <c r="C74" s="98">
        <f>C75+C98</f>
        <v>0</v>
      </c>
      <c r="D74" s="98">
        <f t="shared" ref="D74:K74" si="10">D75+D98</f>
        <v>0</v>
      </c>
      <c r="E74" s="101">
        <f t="shared" si="10"/>
        <v>0</v>
      </c>
      <c r="F74" s="100">
        <f t="shared" si="10"/>
        <v>0</v>
      </c>
      <c r="G74" s="98">
        <f t="shared" si="10"/>
        <v>0</v>
      </c>
      <c r="H74" s="99">
        <f t="shared" si="10"/>
        <v>0</v>
      </c>
      <c r="I74" s="100">
        <f t="shared" si="10"/>
        <v>5161000</v>
      </c>
      <c r="J74" s="98">
        <f t="shared" si="10"/>
        <v>0</v>
      </c>
      <c r="K74" s="99">
        <f t="shared" si="10"/>
        <v>0</v>
      </c>
      <c r="L74" s="322"/>
    </row>
    <row r="75" spans="1:30" s="377" customFormat="1" ht="13.5" x14ac:dyDescent="0.25">
      <c r="A75" s="104" t="s">
        <v>2283</v>
      </c>
      <c r="B75" s="144"/>
      <c r="C75" s="82">
        <f>SUM(C76:C97)</f>
        <v>0</v>
      </c>
      <c r="D75" s="82">
        <f t="shared" ref="D75:K75" si="11">SUM(D76:D97)</f>
        <v>0</v>
      </c>
      <c r="E75" s="304">
        <f t="shared" si="11"/>
        <v>0</v>
      </c>
      <c r="F75" s="83">
        <f t="shared" si="11"/>
        <v>0</v>
      </c>
      <c r="G75" s="82">
        <f t="shared" si="11"/>
        <v>0</v>
      </c>
      <c r="H75" s="115">
        <f t="shared" si="11"/>
        <v>0</v>
      </c>
      <c r="I75" s="83">
        <f t="shared" si="11"/>
        <v>0</v>
      </c>
      <c r="J75" s="82">
        <f t="shared" si="11"/>
        <v>0</v>
      </c>
      <c r="K75" s="115">
        <f t="shared" si="11"/>
        <v>0</v>
      </c>
      <c r="L75" s="2126"/>
      <c r="AB75" s="2369"/>
      <c r="AC75" s="2365"/>
      <c r="AD75" s="2365"/>
    </row>
    <row r="76" spans="1:30" ht="11.25" customHeight="1" x14ac:dyDescent="0.25">
      <c r="A76" s="2125" t="s">
        <v>2284</v>
      </c>
      <c r="B76" s="144"/>
      <c r="C76" s="712">
        <f>SUMIFS(Sheet1!S71_PPPYearAmount,Sheet1!S71_SA34eCode,$AC:$AC,Sheet1!S71_A5CapexCode,$AD:$AD)</f>
        <v>0</v>
      </c>
      <c r="D76" s="712">
        <f>SUMIFS(Sheet1!S71_PPYearAmount,Sheet1!S71_SA34eCode,$AC:$AC,Sheet1!S71_A5CapexCode,$AD:$AD)</f>
        <v>0</v>
      </c>
      <c r="E76" s="715">
        <f>SUMIFS(Sheet1!S71_PYearAmount,Sheet1!S71_SA34eCode,$AC:$AC,Sheet1!S71_A5CapexCode,$AD:$AD)</f>
        <v>0</v>
      </c>
      <c r="F76" s="725">
        <f>SUMIFS(Sheet1!S71_OriginalBudAmnt,Sheet1!S71_SA34eCode,$AC:$AC,Sheet1!S71_A5CapexCode,$AD:$AD)</f>
        <v>0</v>
      </c>
      <c r="G76" s="712">
        <f>SUMIFS(Sheet1!S71_AdjustmentBudAmnt,Sheet1!S71_SA34eCode,$AC:$AC,Sheet1!S71_A5CapexCode,$AD:$AD)</f>
        <v>0</v>
      </c>
      <c r="H76" s="713">
        <f>SUMIFS(Sheet1!S71_AdjustmentBudAmnt,Sheet1!S71_SA34eCode,$AC:$AC,Sheet1!S71_A5CapexCode,$AD:$AD)</f>
        <v>0</v>
      </c>
      <c r="I76" s="725">
        <f>SUMIFS(Sheet1!S71_ASBudgetAmount,Sheet1!S71_SA34eCode,$AC:$AC,Sheet1!S71_A5CapexCode,$AD:$AD)</f>
        <v>0</v>
      </c>
      <c r="J76" s="712">
        <f>SUMIFS(Sheet1!S71_OY1BudgetAmount,Sheet1!S71_SA34eCode,$AC:$AC,Sheet1!S71_A5CapexCode,$AD:$AD)</f>
        <v>0</v>
      </c>
      <c r="K76" s="713">
        <f>SUMIFS(Sheet1!S71_OY2BudgetAmount,Sheet1!S71_SA34eCode,$AC:$AC,Sheet1!S71_A5CapexCode,$AD:$AD)</f>
        <v>0</v>
      </c>
      <c r="L76" s="2126"/>
      <c r="AC76" s="2365" t="s">
        <v>2863</v>
      </c>
      <c r="AD76" s="2365" t="s">
        <v>2805</v>
      </c>
    </row>
    <row r="77" spans="1:30" ht="11.25" customHeight="1" x14ac:dyDescent="0.25">
      <c r="A77" s="2125" t="s">
        <v>2285</v>
      </c>
      <c r="B77" s="144"/>
      <c r="C77" s="712">
        <f>SUMIFS(Sheet1!S71_PPPYearAmount,Sheet1!S71_SA34eCode,$AC:$AC,Sheet1!S71_A5CapexCode,$AD:$AD)</f>
        <v>0</v>
      </c>
      <c r="D77" s="712">
        <f>SUMIFS(Sheet1!S71_PPYearAmount,Sheet1!S71_SA34eCode,$AC:$AC,Sheet1!S71_A5CapexCode,$AD:$AD)</f>
        <v>0</v>
      </c>
      <c r="E77" s="715">
        <f>SUMIFS(Sheet1!S71_PYearAmount,Sheet1!S71_SA34eCode,$AC:$AC,Sheet1!S71_A5CapexCode,$AD:$AD)</f>
        <v>0</v>
      </c>
      <c r="F77" s="725">
        <f>SUMIFS(Sheet1!S71_OriginalBudAmnt,Sheet1!S71_SA34eCode,$AC:$AC,Sheet1!S71_A5CapexCode,$AD:$AD)</f>
        <v>0</v>
      </c>
      <c r="G77" s="712">
        <f>SUMIFS(Sheet1!S71_AdjustmentBudAmnt,Sheet1!S71_SA34eCode,$AC:$AC,Sheet1!S71_A5CapexCode,$AD:$AD)</f>
        <v>0</v>
      </c>
      <c r="H77" s="713">
        <f>SUMIFS(Sheet1!S71_AdjustmentBudAmnt,Sheet1!S71_SA34eCode,$AC:$AC,Sheet1!S71_A5CapexCode,$AD:$AD)</f>
        <v>0</v>
      </c>
      <c r="I77" s="725">
        <f>SUMIFS(Sheet1!S71_ASBudgetAmount,Sheet1!S71_SA34eCode,$AC:$AC,Sheet1!S71_A5CapexCode,$AD:$AD)</f>
        <v>0</v>
      </c>
      <c r="J77" s="712">
        <f>SUMIFS(Sheet1!S71_OY1BudgetAmount,Sheet1!S71_SA34eCode,$AC:$AC,Sheet1!S71_A5CapexCode,$AD:$AD)</f>
        <v>0</v>
      </c>
      <c r="K77" s="713">
        <f>SUMIFS(Sheet1!S71_OY2BudgetAmount,Sheet1!S71_SA34eCode,$AC:$AC,Sheet1!S71_A5CapexCode,$AD:$AD)</f>
        <v>0</v>
      </c>
      <c r="L77" s="2126"/>
      <c r="AC77" s="2365" t="s">
        <v>2701</v>
      </c>
      <c r="AD77" s="2365" t="s">
        <v>2805</v>
      </c>
    </row>
    <row r="78" spans="1:30" ht="11.25" customHeight="1" x14ac:dyDescent="0.25">
      <c r="A78" s="2125" t="s">
        <v>2286</v>
      </c>
      <c r="B78" s="144"/>
      <c r="C78" s="712">
        <f>SUMIFS(Sheet1!S71_PPPYearAmount,Sheet1!S71_SA34eCode,$AC:$AC,Sheet1!S71_A5CapexCode,$AD:$AD)</f>
        <v>0</v>
      </c>
      <c r="D78" s="712">
        <f>SUMIFS(Sheet1!S71_PPYearAmount,Sheet1!S71_SA34eCode,$AC:$AC,Sheet1!S71_A5CapexCode,$AD:$AD)</f>
        <v>0</v>
      </c>
      <c r="E78" s="715">
        <f>SUMIFS(Sheet1!S71_PYearAmount,Sheet1!S71_SA34eCode,$AC:$AC,Sheet1!S71_A5CapexCode,$AD:$AD)</f>
        <v>0</v>
      </c>
      <c r="F78" s="725">
        <f>SUMIFS(Sheet1!S71_OriginalBudAmnt,Sheet1!S71_SA34eCode,$AC:$AC,Sheet1!S71_A5CapexCode,$AD:$AD)</f>
        <v>0</v>
      </c>
      <c r="G78" s="712">
        <f>SUMIFS(Sheet1!S71_AdjustmentBudAmnt,Sheet1!S71_SA34eCode,$AC:$AC,Sheet1!S71_A5CapexCode,$AD:$AD)</f>
        <v>0</v>
      </c>
      <c r="H78" s="713">
        <f>SUMIFS(Sheet1!S71_AdjustmentBudAmnt,Sheet1!S71_SA34eCode,$AC:$AC,Sheet1!S71_A5CapexCode,$AD:$AD)</f>
        <v>0</v>
      </c>
      <c r="I78" s="725">
        <f>SUMIFS(Sheet1!S71_ASBudgetAmount,Sheet1!S71_SA34eCode,$AC:$AC,Sheet1!S71_A5CapexCode,$AD:$AD)</f>
        <v>0</v>
      </c>
      <c r="J78" s="712">
        <f>SUMIFS(Sheet1!S71_OY1BudgetAmount,Sheet1!S71_SA34eCode,$AC:$AC,Sheet1!S71_A5CapexCode,$AD:$AD)</f>
        <v>0</v>
      </c>
      <c r="K78" s="713">
        <f>SUMIFS(Sheet1!S71_OY2BudgetAmount,Sheet1!S71_SA34eCode,$AC:$AC,Sheet1!S71_A5CapexCode,$AD:$AD)</f>
        <v>0</v>
      </c>
      <c r="L78" s="2126"/>
      <c r="AC78" s="2365" t="s">
        <v>2864</v>
      </c>
      <c r="AD78" s="2365" t="s">
        <v>2805</v>
      </c>
    </row>
    <row r="79" spans="1:30" ht="11.25" customHeight="1" x14ac:dyDescent="0.25">
      <c r="A79" s="2125" t="s">
        <v>2287</v>
      </c>
      <c r="B79" s="144"/>
      <c r="C79" s="712">
        <f>SUMIFS(Sheet1!S71_PPPYearAmount,Sheet1!S71_SA34eCode,$AC:$AC,Sheet1!S71_A5CapexCode,$AD:$AD)</f>
        <v>0</v>
      </c>
      <c r="D79" s="712">
        <f>SUMIFS(Sheet1!S71_PPYearAmount,Sheet1!S71_SA34eCode,$AC:$AC,Sheet1!S71_A5CapexCode,$AD:$AD)</f>
        <v>0</v>
      </c>
      <c r="E79" s="715">
        <f>SUMIFS(Sheet1!S71_PYearAmount,Sheet1!S71_SA34eCode,$AC:$AC,Sheet1!S71_A5CapexCode,$AD:$AD)</f>
        <v>0</v>
      </c>
      <c r="F79" s="725">
        <f>SUMIFS(Sheet1!S71_OriginalBudAmnt,Sheet1!S71_SA34eCode,$AC:$AC,Sheet1!S71_A5CapexCode,$AD:$AD)</f>
        <v>0</v>
      </c>
      <c r="G79" s="712">
        <f>SUMIFS(Sheet1!S71_AdjustmentBudAmnt,Sheet1!S71_SA34eCode,$AC:$AC,Sheet1!S71_A5CapexCode,$AD:$AD)</f>
        <v>0</v>
      </c>
      <c r="H79" s="713">
        <f>SUMIFS(Sheet1!S71_AdjustmentBudAmnt,Sheet1!S71_SA34eCode,$AC:$AC,Sheet1!S71_A5CapexCode,$AD:$AD)</f>
        <v>0</v>
      </c>
      <c r="I79" s="725">
        <f>SUMIFS(Sheet1!S71_ASBudgetAmount,Sheet1!S71_SA34eCode,$AC:$AC,Sheet1!S71_A5CapexCode,$AD:$AD)</f>
        <v>0</v>
      </c>
      <c r="J79" s="712">
        <f>SUMIFS(Sheet1!S71_OY1BudgetAmount,Sheet1!S71_SA34eCode,$AC:$AC,Sheet1!S71_A5CapexCode,$AD:$AD)</f>
        <v>0</v>
      </c>
      <c r="K79" s="713">
        <f>SUMIFS(Sheet1!S71_OY2BudgetAmount,Sheet1!S71_SA34eCode,$AC:$AC,Sheet1!S71_A5CapexCode,$AD:$AD)</f>
        <v>0</v>
      </c>
      <c r="L79" s="2126"/>
      <c r="AC79" s="2365" t="s">
        <v>2865</v>
      </c>
      <c r="AD79" s="2365" t="s">
        <v>2805</v>
      </c>
    </row>
    <row r="80" spans="1:30" ht="11.25" customHeight="1" x14ac:dyDescent="0.25">
      <c r="A80" s="2125" t="s">
        <v>2288</v>
      </c>
      <c r="B80" s="144"/>
      <c r="C80" s="712">
        <f>SUMIFS(Sheet1!S71_PPPYearAmount,Sheet1!S71_SA34eCode,$AC:$AC,Sheet1!S71_A5CapexCode,$AD:$AD)</f>
        <v>0</v>
      </c>
      <c r="D80" s="712">
        <f>SUMIFS(Sheet1!S71_PPYearAmount,Sheet1!S71_SA34eCode,$AC:$AC,Sheet1!S71_A5CapexCode,$AD:$AD)</f>
        <v>0</v>
      </c>
      <c r="E80" s="715">
        <f>SUMIFS(Sheet1!S71_PYearAmount,Sheet1!S71_SA34eCode,$AC:$AC,Sheet1!S71_A5CapexCode,$AD:$AD)</f>
        <v>0</v>
      </c>
      <c r="F80" s="725">
        <f>SUMIFS(Sheet1!S71_OriginalBudAmnt,Sheet1!S71_SA34eCode,$AC:$AC,Sheet1!S71_A5CapexCode,$AD:$AD)</f>
        <v>0</v>
      </c>
      <c r="G80" s="712">
        <f>SUMIFS(Sheet1!S71_AdjustmentBudAmnt,Sheet1!S71_SA34eCode,$AC:$AC,Sheet1!S71_A5CapexCode,$AD:$AD)</f>
        <v>0</v>
      </c>
      <c r="H80" s="713">
        <f>SUMIFS(Sheet1!S71_AdjustmentBudAmnt,Sheet1!S71_SA34eCode,$AC:$AC,Sheet1!S71_A5CapexCode,$AD:$AD)</f>
        <v>0</v>
      </c>
      <c r="I80" s="725">
        <f>SUMIFS(Sheet1!S71_ASBudgetAmount,Sheet1!S71_SA34eCode,$AC:$AC,Sheet1!S71_A5CapexCode,$AD:$AD)</f>
        <v>0</v>
      </c>
      <c r="J80" s="712">
        <f>SUMIFS(Sheet1!S71_OY1BudgetAmount,Sheet1!S71_SA34eCode,$AC:$AC,Sheet1!S71_A5CapexCode,$AD:$AD)</f>
        <v>0</v>
      </c>
      <c r="K80" s="713">
        <f>SUMIFS(Sheet1!S71_OY2BudgetAmount,Sheet1!S71_SA34eCode,$AC:$AC,Sheet1!S71_A5CapexCode,$AD:$AD)</f>
        <v>0</v>
      </c>
      <c r="L80" s="2126"/>
      <c r="AC80" s="2365" t="s">
        <v>2866</v>
      </c>
      <c r="AD80" s="2365" t="s">
        <v>2805</v>
      </c>
    </row>
    <row r="81" spans="1:30" ht="11.25" customHeight="1" x14ac:dyDescent="0.25">
      <c r="A81" s="2125" t="s">
        <v>2289</v>
      </c>
      <c r="B81" s="144"/>
      <c r="C81" s="712">
        <f>SUMIFS(Sheet1!S71_PPPYearAmount,Sheet1!S71_SA34eCode,$AC:$AC,Sheet1!S71_A5CapexCode,$AD:$AD)</f>
        <v>0</v>
      </c>
      <c r="D81" s="712">
        <f>SUMIFS(Sheet1!S71_PPYearAmount,Sheet1!S71_SA34eCode,$AC:$AC,Sheet1!S71_A5CapexCode,$AD:$AD)</f>
        <v>0</v>
      </c>
      <c r="E81" s="715">
        <f>SUMIFS(Sheet1!S71_PYearAmount,Sheet1!S71_SA34eCode,$AC:$AC,Sheet1!S71_A5CapexCode,$AD:$AD)</f>
        <v>0</v>
      </c>
      <c r="F81" s="725">
        <f>SUMIFS(Sheet1!S71_OriginalBudAmnt,Sheet1!S71_SA34eCode,$AC:$AC,Sheet1!S71_A5CapexCode,$AD:$AD)</f>
        <v>0</v>
      </c>
      <c r="G81" s="712">
        <f>SUMIFS(Sheet1!S71_AdjustmentBudAmnt,Sheet1!S71_SA34eCode,$AC:$AC,Sheet1!S71_A5CapexCode,$AD:$AD)</f>
        <v>0</v>
      </c>
      <c r="H81" s="713">
        <f>SUMIFS(Sheet1!S71_AdjustmentBudAmnt,Sheet1!S71_SA34eCode,$AC:$AC,Sheet1!S71_A5CapexCode,$AD:$AD)</f>
        <v>0</v>
      </c>
      <c r="I81" s="725">
        <f>SUMIFS(Sheet1!S71_ASBudgetAmount,Sheet1!S71_SA34eCode,$AC:$AC,Sheet1!S71_A5CapexCode,$AD:$AD)</f>
        <v>0</v>
      </c>
      <c r="J81" s="712">
        <f>SUMIFS(Sheet1!S71_OY1BudgetAmount,Sheet1!S71_SA34eCode,$AC:$AC,Sheet1!S71_A5CapexCode,$AD:$AD)</f>
        <v>0</v>
      </c>
      <c r="K81" s="713">
        <f>SUMIFS(Sheet1!S71_OY2BudgetAmount,Sheet1!S71_SA34eCode,$AC:$AC,Sheet1!S71_A5CapexCode,$AD:$AD)</f>
        <v>0</v>
      </c>
      <c r="L81" s="2126"/>
      <c r="AC81" s="2365" t="s">
        <v>2867</v>
      </c>
      <c r="AD81" s="2365" t="s">
        <v>2805</v>
      </c>
    </row>
    <row r="82" spans="1:30" ht="11.25" customHeight="1" x14ac:dyDescent="0.25">
      <c r="A82" s="2125" t="s">
        <v>2290</v>
      </c>
      <c r="B82" s="144"/>
      <c r="C82" s="712">
        <f>SUMIFS(Sheet1!S71_PPPYearAmount,Sheet1!S71_SA34eCode,$AC:$AC,Sheet1!S71_A5CapexCode,$AD:$AD)</f>
        <v>0</v>
      </c>
      <c r="D82" s="712">
        <f>SUMIFS(Sheet1!S71_PPYearAmount,Sheet1!S71_SA34eCode,$AC:$AC,Sheet1!S71_A5CapexCode,$AD:$AD)</f>
        <v>0</v>
      </c>
      <c r="E82" s="715">
        <f>SUMIFS(Sheet1!S71_PYearAmount,Sheet1!S71_SA34eCode,$AC:$AC,Sheet1!S71_A5CapexCode,$AD:$AD)</f>
        <v>0</v>
      </c>
      <c r="F82" s="725">
        <f>SUMIFS(Sheet1!S71_OriginalBudAmnt,Sheet1!S71_SA34eCode,$AC:$AC,Sheet1!S71_A5CapexCode,$AD:$AD)</f>
        <v>0</v>
      </c>
      <c r="G82" s="712">
        <f>SUMIFS(Sheet1!S71_AdjustmentBudAmnt,Sheet1!S71_SA34eCode,$AC:$AC,Sheet1!S71_A5CapexCode,$AD:$AD)</f>
        <v>0</v>
      </c>
      <c r="H82" s="713">
        <f>SUMIFS(Sheet1!S71_AdjustmentBudAmnt,Sheet1!S71_SA34eCode,$AC:$AC,Sheet1!S71_A5CapexCode,$AD:$AD)</f>
        <v>0</v>
      </c>
      <c r="I82" s="725">
        <f>SUMIFS(Sheet1!S71_ASBudgetAmount,Sheet1!S71_SA34eCode,$AC:$AC,Sheet1!S71_A5CapexCode,$AD:$AD)</f>
        <v>0</v>
      </c>
      <c r="J82" s="712">
        <f>SUMIFS(Sheet1!S71_OY1BudgetAmount,Sheet1!S71_SA34eCode,$AC:$AC,Sheet1!S71_A5CapexCode,$AD:$AD)</f>
        <v>0</v>
      </c>
      <c r="K82" s="713">
        <f>SUMIFS(Sheet1!S71_OY2BudgetAmount,Sheet1!S71_SA34eCode,$AC:$AC,Sheet1!S71_A5CapexCode,$AD:$AD)</f>
        <v>0</v>
      </c>
      <c r="L82" s="2126"/>
      <c r="AC82" s="2365" t="s">
        <v>2868</v>
      </c>
      <c r="AD82" s="2365" t="s">
        <v>2805</v>
      </c>
    </row>
    <row r="83" spans="1:30" ht="11.25" customHeight="1" x14ac:dyDescent="0.25">
      <c r="A83" s="2125" t="s">
        <v>2291</v>
      </c>
      <c r="B83" s="144"/>
      <c r="C83" s="712">
        <f>SUMIFS(Sheet1!S71_PPPYearAmount,Sheet1!S71_SA34eCode,$AC:$AC,Sheet1!S71_A5CapexCode,$AD:$AD)</f>
        <v>0</v>
      </c>
      <c r="D83" s="712">
        <f>SUMIFS(Sheet1!S71_PPYearAmount,Sheet1!S71_SA34eCode,$AC:$AC,Sheet1!S71_A5CapexCode,$AD:$AD)</f>
        <v>0</v>
      </c>
      <c r="E83" s="715">
        <f>SUMIFS(Sheet1!S71_PYearAmount,Sheet1!S71_SA34eCode,$AC:$AC,Sheet1!S71_A5CapexCode,$AD:$AD)</f>
        <v>0</v>
      </c>
      <c r="F83" s="725">
        <f>SUMIFS(Sheet1!S71_OriginalBudAmnt,Sheet1!S71_SA34eCode,$AC:$AC,Sheet1!S71_A5CapexCode,$AD:$AD)</f>
        <v>0</v>
      </c>
      <c r="G83" s="712">
        <f>SUMIFS(Sheet1!S71_AdjustmentBudAmnt,Sheet1!S71_SA34eCode,$AC:$AC,Sheet1!S71_A5CapexCode,$AD:$AD)</f>
        <v>0</v>
      </c>
      <c r="H83" s="713">
        <f>SUMIFS(Sheet1!S71_AdjustmentBudAmnt,Sheet1!S71_SA34eCode,$AC:$AC,Sheet1!S71_A5CapexCode,$AD:$AD)</f>
        <v>0</v>
      </c>
      <c r="I83" s="725">
        <f>SUMIFS(Sheet1!S71_ASBudgetAmount,Sheet1!S71_SA34eCode,$AC:$AC,Sheet1!S71_A5CapexCode,$AD:$AD)</f>
        <v>0</v>
      </c>
      <c r="J83" s="712">
        <f>SUMIFS(Sheet1!S71_OY1BudgetAmount,Sheet1!S71_SA34eCode,$AC:$AC,Sheet1!S71_A5CapexCode,$AD:$AD)</f>
        <v>0</v>
      </c>
      <c r="K83" s="713">
        <f>SUMIFS(Sheet1!S71_OY2BudgetAmount,Sheet1!S71_SA34eCode,$AC:$AC,Sheet1!S71_A5CapexCode,$AD:$AD)</f>
        <v>0</v>
      </c>
      <c r="L83" s="2126"/>
      <c r="AC83" s="2365" t="s">
        <v>2869</v>
      </c>
      <c r="AD83" s="2365" t="s">
        <v>2805</v>
      </c>
    </row>
    <row r="84" spans="1:30" ht="11.25" customHeight="1" x14ac:dyDescent="0.25">
      <c r="A84" s="2125" t="s">
        <v>2292</v>
      </c>
      <c r="B84" s="144"/>
      <c r="C84" s="712">
        <f>SUMIFS(Sheet1!S71_PPPYearAmount,Sheet1!S71_SA34eCode,$AC:$AC,Sheet1!S71_A5CapexCode,$AD:$AD)</f>
        <v>0</v>
      </c>
      <c r="D84" s="712">
        <f>SUMIFS(Sheet1!S71_PPYearAmount,Sheet1!S71_SA34eCode,$AC:$AC,Sheet1!S71_A5CapexCode,$AD:$AD)</f>
        <v>0</v>
      </c>
      <c r="E84" s="715">
        <f>SUMIFS(Sheet1!S71_PYearAmount,Sheet1!S71_SA34eCode,$AC:$AC,Sheet1!S71_A5CapexCode,$AD:$AD)</f>
        <v>0</v>
      </c>
      <c r="F84" s="725">
        <f>SUMIFS(Sheet1!S71_OriginalBudAmnt,Sheet1!S71_SA34eCode,$AC:$AC,Sheet1!S71_A5CapexCode,$AD:$AD)</f>
        <v>0</v>
      </c>
      <c r="G84" s="712">
        <f>SUMIFS(Sheet1!S71_AdjustmentBudAmnt,Sheet1!S71_SA34eCode,$AC:$AC,Sheet1!S71_A5CapexCode,$AD:$AD)</f>
        <v>0</v>
      </c>
      <c r="H84" s="713">
        <f>SUMIFS(Sheet1!S71_AdjustmentBudAmnt,Sheet1!S71_SA34eCode,$AC:$AC,Sheet1!S71_A5CapexCode,$AD:$AD)</f>
        <v>0</v>
      </c>
      <c r="I84" s="725">
        <f>SUMIFS(Sheet1!S71_ASBudgetAmount,Sheet1!S71_SA34eCode,$AC:$AC,Sheet1!S71_A5CapexCode,$AD:$AD)</f>
        <v>0</v>
      </c>
      <c r="J84" s="712">
        <f>SUMIFS(Sheet1!S71_OY1BudgetAmount,Sheet1!S71_SA34eCode,$AC:$AC,Sheet1!S71_A5CapexCode,$AD:$AD)</f>
        <v>0</v>
      </c>
      <c r="K84" s="713">
        <f>SUMIFS(Sheet1!S71_OY2BudgetAmount,Sheet1!S71_SA34eCode,$AC:$AC,Sheet1!S71_A5CapexCode,$AD:$AD)</f>
        <v>0</v>
      </c>
      <c r="L84" s="2126"/>
      <c r="AC84" s="2365" t="s">
        <v>2870</v>
      </c>
      <c r="AD84" s="2365" t="s">
        <v>2805</v>
      </c>
    </row>
    <row r="85" spans="1:30" ht="11.25" customHeight="1" x14ac:dyDescent="0.25">
      <c r="A85" s="2125" t="s">
        <v>288</v>
      </c>
      <c r="B85" s="144"/>
      <c r="C85" s="712">
        <f>SUMIFS(Sheet1!S71_PPPYearAmount,Sheet1!S71_SA34eCode,$AC:$AC,Sheet1!S71_A5CapexCode,$AD:$AD)</f>
        <v>0</v>
      </c>
      <c r="D85" s="712">
        <f>SUMIFS(Sheet1!S71_PPYearAmount,Sheet1!S71_SA34eCode,$AC:$AC,Sheet1!S71_A5CapexCode,$AD:$AD)</f>
        <v>0</v>
      </c>
      <c r="E85" s="715">
        <f>SUMIFS(Sheet1!S71_PYearAmount,Sheet1!S71_SA34eCode,$AC:$AC,Sheet1!S71_A5CapexCode,$AD:$AD)</f>
        <v>0</v>
      </c>
      <c r="F85" s="725">
        <f>SUMIFS(Sheet1!S71_OriginalBudAmnt,Sheet1!S71_SA34eCode,$AC:$AC,Sheet1!S71_A5CapexCode,$AD:$AD)</f>
        <v>0</v>
      </c>
      <c r="G85" s="712">
        <f>SUMIFS(Sheet1!S71_AdjustmentBudAmnt,Sheet1!S71_SA34eCode,$AC:$AC,Sheet1!S71_A5CapexCode,$AD:$AD)</f>
        <v>0</v>
      </c>
      <c r="H85" s="713">
        <f>SUMIFS(Sheet1!S71_AdjustmentBudAmnt,Sheet1!S71_SA34eCode,$AC:$AC,Sheet1!S71_A5CapexCode,$AD:$AD)</f>
        <v>0</v>
      </c>
      <c r="I85" s="725">
        <f>SUMIFS(Sheet1!S71_ASBudgetAmount,Sheet1!S71_SA34eCode,$AC:$AC,Sheet1!S71_A5CapexCode,$AD:$AD)</f>
        <v>0</v>
      </c>
      <c r="J85" s="712">
        <f>SUMIFS(Sheet1!S71_OY1BudgetAmount,Sheet1!S71_SA34eCode,$AC:$AC,Sheet1!S71_A5CapexCode,$AD:$AD)</f>
        <v>0</v>
      </c>
      <c r="K85" s="713">
        <f>SUMIFS(Sheet1!S71_OY2BudgetAmount,Sheet1!S71_SA34eCode,$AC:$AC,Sheet1!S71_A5CapexCode,$AD:$AD)</f>
        <v>0</v>
      </c>
      <c r="L85" s="2126"/>
      <c r="AC85" s="2365" t="s">
        <v>2871</v>
      </c>
      <c r="AD85" s="2365" t="s">
        <v>2805</v>
      </c>
    </row>
    <row r="86" spans="1:30" ht="11.25" customHeight="1" x14ac:dyDescent="0.25">
      <c r="A86" s="2125" t="s">
        <v>2293</v>
      </c>
      <c r="B86" s="144"/>
      <c r="C86" s="712">
        <f>SUMIFS(Sheet1!S71_PPPYearAmount,Sheet1!S71_SA34eCode,$AC:$AC,Sheet1!S71_A5CapexCode,$AD:$AD)</f>
        <v>0</v>
      </c>
      <c r="D86" s="712">
        <f>SUMIFS(Sheet1!S71_PPYearAmount,Sheet1!S71_SA34eCode,$AC:$AC,Sheet1!S71_A5CapexCode,$AD:$AD)</f>
        <v>0</v>
      </c>
      <c r="E86" s="715">
        <f>SUMIFS(Sheet1!S71_PYearAmount,Sheet1!S71_SA34eCode,$AC:$AC,Sheet1!S71_A5CapexCode,$AD:$AD)</f>
        <v>0</v>
      </c>
      <c r="F86" s="725">
        <f>SUMIFS(Sheet1!S71_OriginalBudAmnt,Sheet1!S71_SA34eCode,$AC:$AC,Sheet1!S71_A5CapexCode,$AD:$AD)</f>
        <v>0</v>
      </c>
      <c r="G86" s="712">
        <f>SUMIFS(Sheet1!S71_AdjustmentBudAmnt,Sheet1!S71_SA34eCode,$AC:$AC,Sheet1!S71_A5CapexCode,$AD:$AD)</f>
        <v>0</v>
      </c>
      <c r="H86" s="713">
        <f>SUMIFS(Sheet1!S71_AdjustmentBudAmnt,Sheet1!S71_SA34eCode,$AC:$AC,Sheet1!S71_A5CapexCode,$AD:$AD)</f>
        <v>0</v>
      </c>
      <c r="I86" s="725">
        <f>SUMIFS(Sheet1!S71_ASBudgetAmount,Sheet1!S71_SA34eCode,$AC:$AC,Sheet1!S71_A5CapexCode,$AD:$AD)</f>
        <v>0</v>
      </c>
      <c r="J86" s="712">
        <f>SUMIFS(Sheet1!S71_OY1BudgetAmount,Sheet1!S71_SA34eCode,$AC:$AC,Sheet1!S71_A5CapexCode,$AD:$AD)</f>
        <v>0</v>
      </c>
      <c r="K86" s="713">
        <f>SUMIFS(Sheet1!S71_OY2BudgetAmount,Sheet1!S71_SA34eCode,$AC:$AC,Sheet1!S71_A5CapexCode,$AD:$AD)</f>
        <v>0</v>
      </c>
      <c r="L86" s="2126"/>
      <c r="AC86" s="2365" t="s">
        <v>2872</v>
      </c>
      <c r="AD86" s="2365" t="s">
        <v>2805</v>
      </c>
    </row>
    <row r="87" spans="1:30" ht="11.25" customHeight="1" x14ac:dyDescent="0.25">
      <c r="A87" s="2125" t="s">
        <v>1446</v>
      </c>
      <c r="B87" s="144"/>
      <c r="C87" s="712">
        <f>SUMIFS(Sheet1!S71_PPPYearAmount,Sheet1!S71_SA34eCode,$AC:$AC,Sheet1!S71_A5CapexCode,$AD:$AD)</f>
        <v>0</v>
      </c>
      <c r="D87" s="712">
        <f>SUMIFS(Sheet1!S71_PPYearAmount,Sheet1!S71_SA34eCode,$AC:$AC,Sheet1!S71_A5CapexCode,$AD:$AD)</f>
        <v>0</v>
      </c>
      <c r="E87" s="715">
        <f>SUMIFS(Sheet1!S71_PYearAmount,Sheet1!S71_SA34eCode,$AC:$AC,Sheet1!S71_A5CapexCode,$AD:$AD)</f>
        <v>0</v>
      </c>
      <c r="F87" s="725">
        <f>SUMIFS(Sheet1!S71_OriginalBudAmnt,Sheet1!S71_SA34eCode,$AC:$AC,Sheet1!S71_A5CapexCode,$AD:$AD)</f>
        <v>0</v>
      </c>
      <c r="G87" s="712">
        <f>SUMIFS(Sheet1!S71_AdjustmentBudAmnt,Sheet1!S71_SA34eCode,$AC:$AC,Sheet1!S71_A5CapexCode,$AD:$AD)</f>
        <v>0</v>
      </c>
      <c r="H87" s="713">
        <f>SUMIFS(Sheet1!S71_AdjustmentBudAmnt,Sheet1!S71_SA34eCode,$AC:$AC,Sheet1!S71_A5CapexCode,$AD:$AD)</f>
        <v>0</v>
      </c>
      <c r="I87" s="725">
        <f>SUMIFS(Sheet1!S71_ASBudgetAmount,Sheet1!S71_SA34eCode,$AC:$AC,Sheet1!S71_A5CapexCode,$AD:$AD)</f>
        <v>0</v>
      </c>
      <c r="J87" s="712">
        <f>SUMIFS(Sheet1!S71_OY1BudgetAmount,Sheet1!S71_SA34eCode,$AC:$AC,Sheet1!S71_A5CapexCode,$AD:$AD)</f>
        <v>0</v>
      </c>
      <c r="K87" s="713">
        <f>SUMIFS(Sheet1!S71_OY2BudgetAmount,Sheet1!S71_SA34eCode,$AC:$AC,Sheet1!S71_A5CapexCode,$AD:$AD)</f>
        <v>0</v>
      </c>
      <c r="L87" s="2126"/>
      <c r="AC87" s="2365" t="s">
        <v>2702</v>
      </c>
      <c r="AD87" s="2365" t="s">
        <v>2805</v>
      </c>
    </row>
    <row r="88" spans="1:30" ht="11.25" customHeight="1" x14ac:dyDescent="0.25">
      <c r="A88" s="2125" t="s">
        <v>2468</v>
      </c>
      <c r="B88" s="144"/>
      <c r="C88" s="712">
        <f>SUMIFS(Sheet1!S71_PPPYearAmount,Sheet1!S71_SA34eCode,$AC:$AC,Sheet1!S71_A5CapexCode,$AD:$AD)</f>
        <v>0</v>
      </c>
      <c r="D88" s="712">
        <f>SUMIFS(Sheet1!S71_PPYearAmount,Sheet1!S71_SA34eCode,$AC:$AC,Sheet1!S71_A5CapexCode,$AD:$AD)</f>
        <v>0</v>
      </c>
      <c r="E88" s="715">
        <f>SUMIFS(Sheet1!S71_PYearAmount,Sheet1!S71_SA34eCode,$AC:$AC,Sheet1!S71_A5CapexCode,$AD:$AD)</f>
        <v>0</v>
      </c>
      <c r="F88" s="725">
        <f>SUMIFS(Sheet1!S71_OriginalBudAmnt,Sheet1!S71_SA34eCode,$AC:$AC,Sheet1!S71_A5CapexCode,$AD:$AD)</f>
        <v>0</v>
      </c>
      <c r="G88" s="712">
        <f>SUMIFS(Sheet1!S71_AdjustmentBudAmnt,Sheet1!S71_SA34eCode,$AC:$AC,Sheet1!S71_A5CapexCode,$AD:$AD)</f>
        <v>0</v>
      </c>
      <c r="H88" s="713">
        <f>SUMIFS(Sheet1!S71_AdjustmentBudAmnt,Sheet1!S71_SA34eCode,$AC:$AC,Sheet1!S71_A5CapexCode,$AD:$AD)</f>
        <v>0</v>
      </c>
      <c r="I88" s="725">
        <f>SUMIFS(Sheet1!S71_ASBudgetAmount,Sheet1!S71_SA34eCode,$AC:$AC,Sheet1!S71_A5CapexCode,$AD:$AD)</f>
        <v>0</v>
      </c>
      <c r="J88" s="712">
        <f>SUMIFS(Sheet1!S71_OY1BudgetAmount,Sheet1!S71_SA34eCode,$AC:$AC,Sheet1!S71_A5CapexCode,$AD:$AD)</f>
        <v>0</v>
      </c>
      <c r="K88" s="713">
        <f>SUMIFS(Sheet1!S71_OY2BudgetAmount,Sheet1!S71_SA34eCode,$AC:$AC,Sheet1!S71_A5CapexCode,$AD:$AD)</f>
        <v>0</v>
      </c>
      <c r="L88" s="2126"/>
      <c r="AC88" s="2365" t="s">
        <v>2873</v>
      </c>
      <c r="AD88" s="2365" t="s">
        <v>2805</v>
      </c>
    </row>
    <row r="89" spans="1:30" ht="11.25" customHeight="1" x14ac:dyDescent="0.25">
      <c r="A89" s="2125" t="s">
        <v>2295</v>
      </c>
      <c r="B89" s="144"/>
      <c r="C89" s="712">
        <f>SUMIFS(Sheet1!S71_PPPYearAmount,Sheet1!S71_SA34eCode,$AC:$AC,Sheet1!S71_A5CapexCode,$AD:$AD)</f>
        <v>0</v>
      </c>
      <c r="D89" s="712">
        <f>SUMIFS(Sheet1!S71_PPYearAmount,Sheet1!S71_SA34eCode,$AC:$AC,Sheet1!S71_A5CapexCode,$AD:$AD)</f>
        <v>0</v>
      </c>
      <c r="E89" s="715">
        <f>SUMIFS(Sheet1!S71_PYearAmount,Sheet1!S71_SA34eCode,$AC:$AC,Sheet1!S71_A5CapexCode,$AD:$AD)</f>
        <v>0</v>
      </c>
      <c r="F89" s="725">
        <f>SUMIFS(Sheet1!S71_OriginalBudAmnt,Sheet1!S71_SA34eCode,$AC:$AC,Sheet1!S71_A5CapexCode,$AD:$AD)</f>
        <v>0</v>
      </c>
      <c r="G89" s="712">
        <f>SUMIFS(Sheet1!S71_AdjustmentBudAmnt,Sheet1!S71_SA34eCode,$AC:$AC,Sheet1!S71_A5CapexCode,$AD:$AD)</f>
        <v>0</v>
      </c>
      <c r="H89" s="713">
        <f>SUMIFS(Sheet1!S71_AdjustmentBudAmnt,Sheet1!S71_SA34eCode,$AC:$AC,Sheet1!S71_A5CapexCode,$AD:$AD)</f>
        <v>0</v>
      </c>
      <c r="I89" s="725">
        <f>SUMIFS(Sheet1!S71_ASBudgetAmount,Sheet1!S71_SA34eCode,$AC:$AC,Sheet1!S71_A5CapexCode,$AD:$AD)</f>
        <v>0</v>
      </c>
      <c r="J89" s="712">
        <f>SUMIFS(Sheet1!S71_OY1BudgetAmount,Sheet1!S71_SA34eCode,$AC:$AC,Sheet1!S71_A5CapexCode,$AD:$AD)</f>
        <v>0</v>
      </c>
      <c r="K89" s="713">
        <f>SUMIFS(Sheet1!S71_OY2BudgetAmount,Sheet1!S71_SA34eCode,$AC:$AC,Sheet1!S71_A5CapexCode,$AD:$AD)</f>
        <v>0</v>
      </c>
      <c r="L89" s="2126"/>
      <c r="AC89" s="2365" t="s">
        <v>2874</v>
      </c>
      <c r="AD89" s="2365" t="s">
        <v>2805</v>
      </c>
    </row>
    <row r="90" spans="1:30" ht="11.25" customHeight="1" x14ac:dyDescent="0.25">
      <c r="A90" s="2125" t="s">
        <v>2296</v>
      </c>
      <c r="B90" s="144"/>
      <c r="C90" s="712">
        <f>SUMIFS(Sheet1!S71_PPPYearAmount,Sheet1!S71_SA34eCode,$AC:$AC,Sheet1!S71_A5CapexCode,$AD:$AD)</f>
        <v>0</v>
      </c>
      <c r="D90" s="712">
        <f>SUMIFS(Sheet1!S71_PPYearAmount,Sheet1!S71_SA34eCode,$AC:$AC,Sheet1!S71_A5CapexCode,$AD:$AD)</f>
        <v>0</v>
      </c>
      <c r="E90" s="715">
        <f>SUMIFS(Sheet1!S71_PYearAmount,Sheet1!S71_SA34eCode,$AC:$AC,Sheet1!S71_A5CapexCode,$AD:$AD)</f>
        <v>0</v>
      </c>
      <c r="F90" s="725">
        <f>SUMIFS(Sheet1!S71_OriginalBudAmnt,Sheet1!S71_SA34eCode,$AC:$AC,Sheet1!S71_A5CapexCode,$AD:$AD)</f>
        <v>0</v>
      </c>
      <c r="G90" s="712">
        <f>SUMIFS(Sheet1!S71_AdjustmentBudAmnt,Sheet1!S71_SA34eCode,$AC:$AC,Sheet1!S71_A5CapexCode,$AD:$AD)</f>
        <v>0</v>
      </c>
      <c r="H90" s="713">
        <f>SUMIFS(Sheet1!S71_AdjustmentBudAmnt,Sheet1!S71_SA34eCode,$AC:$AC,Sheet1!S71_A5CapexCode,$AD:$AD)</f>
        <v>0</v>
      </c>
      <c r="I90" s="725">
        <f>SUMIFS(Sheet1!S71_ASBudgetAmount,Sheet1!S71_SA34eCode,$AC:$AC,Sheet1!S71_A5CapexCode,$AD:$AD)</f>
        <v>0</v>
      </c>
      <c r="J90" s="712">
        <f>SUMIFS(Sheet1!S71_OY1BudgetAmount,Sheet1!S71_SA34eCode,$AC:$AC,Sheet1!S71_A5CapexCode,$AD:$AD)</f>
        <v>0</v>
      </c>
      <c r="K90" s="713">
        <f>SUMIFS(Sheet1!S71_OY2BudgetAmount,Sheet1!S71_SA34eCode,$AC:$AC,Sheet1!S71_A5CapexCode,$AD:$AD)</f>
        <v>0</v>
      </c>
      <c r="L90" s="2126"/>
      <c r="AC90" s="2365" t="s">
        <v>2875</v>
      </c>
      <c r="AD90" s="2365" t="s">
        <v>2805</v>
      </c>
    </row>
    <row r="91" spans="1:30" ht="11.25" customHeight="1" x14ac:dyDescent="0.25">
      <c r="A91" s="2125" t="s">
        <v>2297</v>
      </c>
      <c r="B91" s="144"/>
      <c r="C91" s="712">
        <f>SUMIFS(Sheet1!S71_PPPYearAmount,Sheet1!S71_SA34eCode,$AC:$AC,Sheet1!S71_A5CapexCode,$AD:$AD)</f>
        <v>0</v>
      </c>
      <c r="D91" s="712">
        <f>SUMIFS(Sheet1!S71_PPYearAmount,Sheet1!S71_SA34eCode,$AC:$AC,Sheet1!S71_A5CapexCode,$AD:$AD)</f>
        <v>0</v>
      </c>
      <c r="E91" s="715">
        <f>SUMIFS(Sheet1!S71_PYearAmount,Sheet1!S71_SA34eCode,$AC:$AC,Sheet1!S71_A5CapexCode,$AD:$AD)</f>
        <v>0</v>
      </c>
      <c r="F91" s="725">
        <f>SUMIFS(Sheet1!S71_OriginalBudAmnt,Sheet1!S71_SA34eCode,$AC:$AC,Sheet1!S71_A5CapexCode,$AD:$AD)</f>
        <v>0</v>
      </c>
      <c r="G91" s="712">
        <f>SUMIFS(Sheet1!S71_AdjustmentBudAmnt,Sheet1!S71_SA34eCode,$AC:$AC,Sheet1!S71_A5CapexCode,$AD:$AD)</f>
        <v>0</v>
      </c>
      <c r="H91" s="713">
        <f>SUMIFS(Sheet1!S71_AdjustmentBudAmnt,Sheet1!S71_SA34eCode,$AC:$AC,Sheet1!S71_A5CapexCode,$AD:$AD)</f>
        <v>0</v>
      </c>
      <c r="I91" s="725">
        <f>SUMIFS(Sheet1!S71_ASBudgetAmount,Sheet1!S71_SA34eCode,$AC:$AC,Sheet1!S71_A5CapexCode,$AD:$AD)</f>
        <v>0</v>
      </c>
      <c r="J91" s="712">
        <f>SUMIFS(Sheet1!S71_OY1BudgetAmount,Sheet1!S71_SA34eCode,$AC:$AC,Sheet1!S71_A5CapexCode,$AD:$AD)</f>
        <v>0</v>
      </c>
      <c r="K91" s="713">
        <f>SUMIFS(Sheet1!S71_OY2BudgetAmount,Sheet1!S71_SA34eCode,$AC:$AC,Sheet1!S71_A5CapexCode,$AD:$AD)</f>
        <v>0</v>
      </c>
      <c r="L91" s="2126"/>
      <c r="AC91" s="2365" t="s">
        <v>2876</v>
      </c>
      <c r="AD91" s="2365" t="s">
        <v>2805</v>
      </c>
    </row>
    <row r="92" spans="1:30" ht="11.25" customHeight="1" x14ac:dyDescent="0.25">
      <c r="A92" s="2125" t="s">
        <v>1080</v>
      </c>
      <c r="B92" s="144"/>
      <c r="C92" s="712">
        <f>SUMIFS(Sheet1!S71_PPPYearAmount,Sheet1!S71_SA34eCode,$AC:$AC,Sheet1!S71_A5CapexCode,$AD:$AD)</f>
        <v>0</v>
      </c>
      <c r="D92" s="712">
        <f>SUMIFS(Sheet1!S71_PPYearAmount,Sheet1!S71_SA34eCode,$AC:$AC,Sheet1!S71_A5CapexCode,$AD:$AD)</f>
        <v>0</v>
      </c>
      <c r="E92" s="715">
        <f>SUMIFS(Sheet1!S71_PYearAmount,Sheet1!S71_SA34eCode,$AC:$AC,Sheet1!S71_A5CapexCode,$AD:$AD)</f>
        <v>0</v>
      </c>
      <c r="F92" s="725">
        <f>SUMIFS(Sheet1!S71_OriginalBudAmnt,Sheet1!S71_SA34eCode,$AC:$AC,Sheet1!S71_A5CapexCode,$AD:$AD)</f>
        <v>0</v>
      </c>
      <c r="G92" s="712">
        <f>SUMIFS(Sheet1!S71_AdjustmentBudAmnt,Sheet1!S71_SA34eCode,$AC:$AC,Sheet1!S71_A5CapexCode,$AD:$AD)</f>
        <v>0</v>
      </c>
      <c r="H92" s="713">
        <f>SUMIFS(Sheet1!S71_AdjustmentBudAmnt,Sheet1!S71_SA34eCode,$AC:$AC,Sheet1!S71_A5CapexCode,$AD:$AD)</f>
        <v>0</v>
      </c>
      <c r="I92" s="725">
        <f>SUMIFS(Sheet1!S71_ASBudgetAmount,Sheet1!S71_SA34eCode,$AC:$AC,Sheet1!S71_A5CapexCode,$AD:$AD)</f>
        <v>0</v>
      </c>
      <c r="J92" s="712">
        <f>SUMIFS(Sheet1!S71_OY1BudgetAmount,Sheet1!S71_SA34eCode,$AC:$AC,Sheet1!S71_A5CapexCode,$AD:$AD)</f>
        <v>0</v>
      </c>
      <c r="K92" s="713">
        <f>SUMIFS(Sheet1!S71_OY2BudgetAmount,Sheet1!S71_SA34eCode,$AC:$AC,Sheet1!S71_A5CapexCode,$AD:$AD)</f>
        <v>0</v>
      </c>
      <c r="L92" s="2126"/>
      <c r="AC92" s="2365" t="s">
        <v>2877</v>
      </c>
      <c r="AD92" s="2365" t="s">
        <v>2805</v>
      </c>
    </row>
    <row r="93" spans="1:30" ht="11.25" customHeight="1" x14ac:dyDescent="0.25">
      <c r="A93" s="2125" t="s">
        <v>2298</v>
      </c>
      <c r="B93" s="144"/>
      <c r="C93" s="712">
        <f>SUMIFS(Sheet1!S71_PPPYearAmount,Sheet1!S71_SA34eCode,$AC:$AC,Sheet1!S71_A5CapexCode,$AD:$AD)</f>
        <v>0</v>
      </c>
      <c r="D93" s="712">
        <f>SUMIFS(Sheet1!S71_PPYearAmount,Sheet1!S71_SA34eCode,$AC:$AC,Sheet1!S71_A5CapexCode,$AD:$AD)</f>
        <v>0</v>
      </c>
      <c r="E93" s="715">
        <f>SUMIFS(Sheet1!S71_PYearAmount,Sheet1!S71_SA34eCode,$AC:$AC,Sheet1!S71_A5CapexCode,$AD:$AD)</f>
        <v>0</v>
      </c>
      <c r="F93" s="725">
        <f>SUMIFS(Sheet1!S71_OriginalBudAmnt,Sheet1!S71_SA34eCode,$AC:$AC,Sheet1!S71_A5CapexCode,$AD:$AD)</f>
        <v>0</v>
      </c>
      <c r="G93" s="712">
        <f>SUMIFS(Sheet1!S71_AdjustmentBudAmnt,Sheet1!S71_SA34eCode,$AC:$AC,Sheet1!S71_A5CapexCode,$AD:$AD)</f>
        <v>0</v>
      </c>
      <c r="H93" s="713">
        <f>SUMIFS(Sheet1!S71_AdjustmentBudAmnt,Sheet1!S71_SA34eCode,$AC:$AC,Sheet1!S71_A5CapexCode,$AD:$AD)</f>
        <v>0</v>
      </c>
      <c r="I93" s="725">
        <f>SUMIFS(Sheet1!S71_ASBudgetAmount,Sheet1!S71_SA34eCode,$AC:$AC,Sheet1!S71_A5CapexCode,$AD:$AD)</f>
        <v>0</v>
      </c>
      <c r="J93" s="712">
        <f>SUMIFS(Sheet1!S71_OY1BudgetAmount,Sheet1!S71_SA34eCode,$AC:$AC,Sheet1!S71_A5CapexCode,$AD:$AD)</f>
        <v>0</v>
      </c>
      <c r="K93" s="713">
        <f>SUMIFS(Sheet1!S71_OY2BudgetAmount,Sheet1!S71_SA34eCode,$AC:$AC,Sheet1!S71_A5CapexCode,$AD:$AD)</f>
        <v>0</v>
      </c>
      <c r="L93" s="2126"/>
      <c r="O93" s="322"/>
      <c r="AC93" s="2365" t="s">
        <v>2878</v>
      </c>
      <c r="AD93" s="2365" t="s">
        <v>2805</v>
      </c>
    </row>
    <row r="94" spans="1:30" ht="11.25" customHeight="1" x14ac:dyDescent="0.25">
      <c r="A94" s="2125" t="s">
        <v>1079</v>
      </c>
      <c r="B94" s="144"/>
      <c r="C94" s="712">
        <f>SUMIFS(Sheet1!S71_PPPYearAmount,Sheet1!S71_SA34eCode,$AC:$AC,Sheet1!S71_A5CapexCode,$AD:$AD)</f>
        <v>0</v>
      </c>
      <c r="D94" s="712">
        <f>SUMIFS(Sheet1!S71_PPYearAmount,Sheet1!S71_SA34eCode,$AC:$AC,Sheet1!S71_A5CapexCode,$AD:$AD)</f>
        <v>0</v>
      </c>
      <c r="E94" s="715">
        <f>SUMIFS(Sheet1!S71_PYearAmount,Sheet1!S71_SA34eCode,$AC:$AC,Sheet1!S71_A5CapexCode,$AD:$AD)</f>
        <v>0</v>
      </c>
      <c r="F94" s="725">
        <f>SUMIFS(Sheet1!S71_OriginalBudAmnt,Sheet1!S71_SA34eCode,$AC:$AC,Sheet1!S71_A5CapexCode,$AD:$AD)</f>
        <v>0</v>
      </c>
      <c r="G94" s="712">
        <f>SUMIFS(Sheet1!S71_AdjustmentBudAmnt,Sheet1!S71_SA34eCode,$AC:$AC,Sheet1!S71_A5CapexCode,$AD:$AD)</f>
        <v>0</v>
      </c>
      <c r="H94" s="713">
        <f>SUMIFS(Sheet1!S71_AdjustmentBudAmnt,Sheet1!S71_SA34eCode,$AC:$AC,Sheet1!S71_A5CapexCode,$AD:$AD)</f>
        <v>0</v>
      </c>
      <c r="I94" s="725">
        <f>SUMIFS(Sheet1!S71_ASBudgetAmount,Sheet1!S71_SA34eCode,$AC:$AC,Sheet1!S71_A5CapexCode,$AD:$AD)</f>
        <v>0</v>
      </c>
      <c r="J94" s="712">
        <f>SUMIFS(Sheet1!S71_OY1BudgetAmount,Sheet1!S71_SA34eCode,$AC:$AC,Sheet1!S71_A5CapexCode,$AD:$AD)</f>
        <v>0</v>
      </c>
      <c r="K94" s="713">
        <f>SUMIFS(Sheet1!S71_OY2BudgetAmount,Sheet1!S71_SA34eCode,$AC:$AC,Sheet1!S71_A5CapexCode,$AD:$AD)</f>
        <v>0</v>
      </c>
      <c r="L94" s="2126"/>
      <c r="AC94" s="2365" t="s">
        <v>2879</v>
      </c>
      <c r="AD94" s="2365" t="s">
        <v>2805</v>
      </c>
    </row>
    <row r="95" spans="1:30" ht="11.25" customHeight="1" x14ac:dyDescent="0.25">
      <c r="A95" s="2125" t="s">
        <v>2299</v>
      </c>
      <c r="B95" s="144"/>
      <c r="C95" s="712">
        <f>SUMIFS(Sheet1!S71_PPPYearAmount,Sheet1!S71_SA34eCode,$AC:$AC,Sheet1!S71_A5CapexCode,$AD:$AD)</f>
        <v>0</v>
      </c>
      <c r="D95" s="712">
        <f>SUMIFS(Sheet1!S71_PPYearAmount,Sheet1!S71_SA34eCode,$AC:$AC,Sheet1!S71_A5CapexCode,$AD:$AD)</f>
        <v>0</v>
      </c>
      <c r="E95" s="715">
        <f>SUMIFS(Sheet1!S71_PYearAmount,Sheet1!S71_SA34eCode,$AC:$AC,Sheet1!S71_A5CapexCode,$AD:$AD)</f>
        <v>0</v>
      </c>
      <c r="F95" s="725">
        <f>SUMIFS(Sheet1!S71_OriginalBudAmnt,Sheet1!S71_SA34eCode,$AC:$AC,Sheet1!S71_A5CapexCode,$AD:$AD)</f>
        <v>0</v>
      </c>
      <c r="G95" s="712">
        <f>SUMIFS(Sheet1!S71_AdjustmentBudAmnt,Sheet1!S71_SA34eCode,$AC:$AC,Sheet1!S71_A5CapexCode,$AD:$AD)</f>
        <v>0</v>
      </c>
      <c r="H95" s="713">
        <f>SUMIFS(Sheet1!S71_AdjustmentBudAmnt,Sheet1!S71_SA34eCode,$AC:$AC,Sheet1!S71_A5CapexCode,$AD:$AD)</f>
        <v>0</v>
      </c>
      <c r="I95" s="725">
        <f>SUMIFS(Sheet1!S71_ASBudgetAmount,Sheet1!S71_SA34eCode,$AC:$AC,Sheet1!S71_A5CapexCode,$AD:$AD)</f>
        <v>0</v>
      </c>
      <c r="J95" s="712">
        <f>SUMIFS(Sheet1!S71_OY1BudgetAmount,Sheet1!S71_SA34eCode,$AC:$AC,Sheet1!S71_A5CapexCode,$AD:$AD)</f>
        <v>0</v>
      </c>
      <c r="K95" s="713">
        <f>SUMIFS(Sheet1!S71_OY2BudgetAmount,Sheet1!S71_SA34eCode,$AC:$AC,Sheet1!S71_A5CapexCode,$AD:$AD)</f>
        <v>0</v>
      </c>
      <c r="L95" s="2126"/>
      <c r="AC95" s="2365" t="s">
        <v>2880</v>
      </c>
      <c r="AD95" s="2365" t="s">
        <v>2805</v>
      </c>
    </row>
    <row r="96" spans="1:30" ht="11.25" customHeight="1" x14ac:dyDescent="0.25">
      <c r="A96" s="2125" t="s">
        <v>2300</v>
      </c>
      <c r="B96" s="144"/>
      <c r="C96" s="712">
        <f>SUMIFS(Sheet1!S71_PPPYearAmount,Sheet1!S71_SA34eCode,$AC:$AC,Sheet1!S71_A5CapexCode,$AD:$AD)</f>
        <v>0</v>
      </c>
      <c r="D96" s="712">
        <f>SUMIFS(Sheet1!S71_PPYearAmount,Sheet1!S71_SA34eCode,$AC:$AC,Sheet1!S71_A5CapexCode,$AD:$AD)</f>
        <v>0</v>
      </c>
      <c r="E96" s="715">
        <f>SUMIFS(Sheet1!S71_PYearAmount,Sheet1!S71_SA34eCode,$AC:$AC,Sheet1!S71_A5CapexCode,$AD:$AD)</f>
        <v>0</v>
      </c>
      <c r="F96" s="725">
        <f>SUMIFS(Sheet1!S71_OriginalBudAmnt,Sheet1!S71_SA34eCode,$AC:$AC,Sheet1!S71_A5CapexCode,$AD:$AD)</f>
        <v>0</v>
      </c>
      <c r="G96" s="712">
        <f>SUMIFS(Sheet1!S71_AdjustmentBudAmnt,Sheet1!S71_SA34eCode,$AC:$AC,Sheet1!S71_A5CapexCode,$AD:$AD)</f>
        <v>0</v>
      </c>
      <c r="H96" s="713">
        <f>SUMIFS(Sheet1!S71_AdjustmentBudAmnt,Sheet1!S71_SA34eCode,$AC:$AC,Sheet1!S71_A5CapexCode,$AD:$AD)</f>
        <v>0</v>
      </c>
      <c r="I96" s="725">
        <f>SUMIFS(Sheet1!S71_ASBudgetAmount,Sheet1!S71_SA34eCode,$AC:$AC,Sheet1!S71_A5CapexCode,$AD:$AD)</f>
        <v>0</v>
      </c>
      <c r="J96" s="712">
        <f>SUMIFS(Sheet1!S71_OY1BudgetAmount,Sheet1!S71_SA34eCode,$AC:$AC,Sheet1!S71_A5CapexCode,$AD:$AD)</f>
        <v>0</v>
      </c>
      <c r="K96" s="713">
        <f>SUMIFS(Sheet1!S71_OY2BudgetAmount,Sheet1!S71_SA34eCode,$AC:$AC,Sheet1!S71_A5CapexCode,$AD:$AD)</f>
        <v>0</v>
      </c>
      <c r="L96" s="322"/>
      <c r="AC96" s="2365" t="s">
        <v>2881</v>
      </c>
      <c r="AD96" s="2365" t="s">
        <v>2805</v>
      </c>
    </row>
    <row r="97" spans="1:30" ht="11.25" customHeight="1" x14ac:dyDescent="0.25">
      <c r="A97" s="2125" t="s">
        <v>2233</v>
      </c>
      <c r="B97" s="144"/>
      <c r="C97" s="712">
        <f>SUMIFS(Sheet1!S71_PPPYearAmount,Sheet1!S71_SA34eCode,$AC:$AC,Sheet1!S71_A5CapexCode,$AD:$AD)</f>
        <v>0</v>
      </c>
      <c r="D97" s="712">
        <f>SUMIFS(Sheet1!S71_PPYearAmount,Sheet1!S71_SA34eCode,$AC:$AC,Sheet1!S71_A5CapexCode,$AD:$AD)</f>
        <v>0</v>
      </c>
      <c r="E97" s="715">
        <f>SUMIFS(Sheet1!S71_PYearAmount,Sheet1!S71_SA34eCode,$AC:$AC,Sheet1!S71_A5CapexCode,$AD:$AD)</f>
        <v>0</v>
      </c>
      <c r="F97" s="725">
        <f>SUMIFS(Sheet1!S71_OriginalBudAmnt,Sheet1!S71_SA34eCode,$AC:$AC,Sheet1!S71_A5CapexCode,$AD:$AD)</f>
        <v>0</v>
      </c>
      <c r="G97" s="712">
        <f>SUMIFS(Sheet1!S71_AdjustmentBudAmnt,Sheet1!S71_SA34eCode,$AC:$AC,Sheet1!S71_A5CapexCode,$AD:$AD)</f>
        <v>0</v>
      </c>
      <c r="H97" s="713">
        <f>SUMIFS(Sheet1!S71_AdjustmentBudAmnt,Sheet1!S71_SA34eCode,$AC:$AC,Sheet1!S71_A5CapexCode,$AD:$AD)</f>
        <v>0</v>
      </c>
      <c r="I97" s="725">
        <f>SUMIFS(Sheet1!S71_ASBudgetAmount,Sheet1!S71_SA34eCode,$AC:$AC,Sheet1!S71_A5CapexCode,$AD:$AD)</f>
        <v>0</v>
      </c>
      <c r="J97" s="712">
        <f>SUMIFS(Sheet1!S71_OY1BudgetAmount,Sheet1!S71_SA34eCode,$AC:$AC,Sheet1!S71_A5CapexCode,$AD:$AD)</f>
        <v>0</v>
      </c>
      <c r="K97" s="713">
        <f>SUMIFS(Sheet1!S71_OY2BudgetAmount,Sheet1!S71_SA34eCode,$AC:$AC,Sheet1!S71_A5CapexCode,$AD:$AD)</f>
        <v>0</v>
      </c>
      <c r="L97" s="2126"/>
      <c r="AC97" s="2365" t="s">
        <v>2046</v>
      </c>
      <c r="AD97" s="2365" t="s">
        <v>2805</v>
      </c>
    </row>
    <row r="98" spans="1:30" s="377" customFormat="1" ht="13.5" x14ac:dyDescent="0.25">
      <c r="A98" s="104" t="s">
        <v>2301</v>
      </c>
      <c r="B98" s="144"/>
      <c r="C98" s="71">
        <f>SUM(C99:C101)</f>
        <v>0</v>
      </c>
      <c r="D98" s="71">
        <f t="shared" ref="D98:K98" si="12">SUM(D99:D101)</f>
        <v>0</v>
      </c>
      <c r="E98" s="305">
        <f t="shared" si="12"/>
        <v>0</v>
      </c>
      <c r="F98" s="75">
        <f t="shared" si="12"/>
        <v>0</v>
      </c>
      <c r="G98" s="71">
        <f t="shared" si="12"/>
        <v>0</v>
      </c>
      <c r="H98" s="117">
        <f t="shared" si="12"/>
        <v>0</v>
      </c>
      <c r="I98" s="75">
        <f t="shared" si="12"/>
        <v>5161000</v>
      </c>
      <c r="J98" s="71">
        <f t="shared" si="12"/>
        <v>0</v>
      </c>
      <c r="K98" s="117">
        <f t="shared" si="12"/>
        <v>0</v>
      </c>
      <c r="L98" s="2126"/>
      <c r="AB98" s="2369"/>
      <c r="AC98" s="2365"/>
      <c r="AD98" s="2365"/>
    </row>
    <row r="99" spans="1:30" s="377" customFormat="1" ht="13.5" x14ac:dyDescent="0.25">
      <c r="A99" s="2125" t="s">
        <v>2302</v>
      </c>
      <c r="B99" s="144"/>
      <c r="C99" s="712">
        <f>SUMIFS(Sheet1!S71_PPPYearAmount,Sheet1!S71_SA34eCode,$AC:$AC,Sheet1!S71_A5CapexCode,$AD:$AD)</f>
        <v>0</v>
      </c>
      <c r="D99" s="712">
        <f>SUMIFS(Sheet1!S71_PPYearAmount,Sheet1!S71_SA34eCode,$AC:$AC,Sheet1!S71_A5CapexCode,$AD:$AD)</f>
        <v>0</v>
      </c>
      <c r="E99" s="715">
        <f>SUMIFS(Sheet1!S71_PYearAmount,Sheet1!S71_SA34eCode,$AC:$AC,Sheet1!S71_A5CapexCode,$AD:$AD)</f>
        <v>0</v>
      </c>
      <c r="F99" s="725">
        <f>SUMIFS(Sheet1!S71_OriginalBudAmnt,Sheet1!S71_SA34eCode,$AC:$AC,Sheet1!S71_A5CapexCode,$AD:$AD)</f>
        <v>0</v>
      </c>
      <c r="G99" s="712">
        <f>SUMIFS(Sheet1!S71_AdjustmentBudAmnt,Sheet1!S71_SA34eCode,$AC:$AC,Sheet1!S71_A5CapexCode,$AD:$AD)</f>
        <v>0</v>
      </c>
      <c r="H99" s="713">
        <f>SUMIFS(Sheet1!S71_AdjustmentBudAmnt,Sheet1!S71_SA34eCode,$AC:$AC,Sheet1!S71_A5CapexCode,$AD:$AD)</f>
        <v>0</v>
      </c>
      <c r="I99" s="725">
        <f>SUMIFS(Sheet1!S71_ASBudgetAmount,Sheet1!S71_SA34eCode,$AC:$AC,Sheet1!S71_A5CapexCode,$AD:$AD)</f>
        <v>0</v>
      </c>
      <c r="J99" s="712">
        <f>SUMIFS(Sheet1!S71_OY1BudgetAmount,Sheet1!S71_SA34eCode,$AC:$AC,Sheet1!S71_A5CapexCode,$AD:$AD)</f>
        <v>0</v>
      </c>
      <c r="K99" s="713">
        <f>SUMIFS(Sheet1!S71_OY2BudgetAmount,Sheet1!S71_SA34eCode,$AC:$AC,Sheet1!S71_A5CapexCode,$AD:$AD)</f>
        <v>0</v>
      </c>
      <c r="L99" s="2124"/>
      <c r="AB99" s="2369"/>
      <c r="AC99" s="2365" t="s">
        <v>2882</v>
      </c>
      <c r="AD99" s="2365" t="s">
        <v>2805</v>
      </c>
    </row>
    <row r="100" spans="1:30" s="377" customFormat="1" ht="13.5" x14ac:dyDescent="0.25">
      <c r="A100" s="2125" t="s">
        <v>2303</v>
      </c>
      <c r="B100" s="144"/>
      <c r="C100" s="712">
        <f>SUMIFS(Sheet1!S71_PPPYearAmount,Sheet1!S71_SA34eCode,$AC:$AC,Sheet1!S71_A5CapexCode,$AD:$AD)</f>
        <v>0</v>
      </c>
      <c r="D100" s="712">
        <f>SUMIFS(Sheet1!S71_PPYearAmount,Sheet1!S71_SA34eCode,$AC:$AC,Sheet1!S71_A5CapexCode,$AD:$AD)</f>
        <v>0</v>
      </c>
      <c r="E100" s="715">
        <f>SUMIFS(Sheet1!S71_PYearAmount,Sheet1!S71_SA34eCode,$AC:$AC,Sheet1!S71_A5CapexCode,$AD:$AD)</f>
        <v>0</v>
      </c>
      <c r="F100" s="725">
        <f>SUMIFS(Sheet1!S71_OriginalBudAmnt,Sheet1!S71_SA34eCode,$AC:$AC,Sheet1!S71_A5CapexCode,$AD:$AD)</f>
        <v>0</v>
      </c>
      <c r="G100" s="712">
        <f>SUMIFS(Sheet1!S71_AdjustmentBudAmnt,Sheet1!S71_SA34eCode,$AC:$AC,Sheet1!S71_A5CapexCode,$AD:$AD)</f>
        <v>0</v>
      </c>
      <c r="H100" s="713">
        <f>SUMIFS(Sheet1!S71_AdjustmentBudAmnt,Sheet1!S71_SA34eCode,$AC:$AC,Sheet1!S71_A5CapexCode,$AD:$AD)</f>
        <v>0</v>
      </c>
      <c r="I100" s="725">
        <f>SUMIFS(Sheet1!S71_ASBudgetAmount,Sheet1!S71_SA34eCode,$AC:$AC,Sheet1!S71_A5CapexCode,$AD:$AD)</f>
        <v>5161000</v>
      </c>
      <c r="J100" s="712">
        <f>SUMIFS(Sheet1!S71_OY1BudgetAmount,Sheet1!S71_SA34eCode,$AC:$AC,Sheet1!S71_A5CapexCode,$AD:$AD)</f>
        <v>0</v>
      </c>
      <c r="K100" s="713">
        <f>SUMIFS(Sheet1!S71_OY2BudgetAmount,Sheet1!S71_SA34eCode,$AC:$AC,Sheet1!S71_A5CapexCode,$AD:$AD)</f>
        <v>0</v>
      </c>
      <c r="L100" s="2126"/>
      <c r="AB100" s="2369"/>
      <c r="AC100" s="2365" t="s">
        <v>2883</v>
      </c>
      <c r="AD100" s="2365" t="s">
        <v>2805</v>
      </c>
    </row>
    <row r="101" spans="1:30" s="377" customFormat="1" ht="13.5" x14ac:dyDescent="0.25">
      <c r="A101" s="2125" t="s">
        <v>2233</v>
      </c>
      <c r="B101" s="144"/>
      <c r="C101" s="712">
        <f>SUMIFS(Sheet1!S71_PPPYearAmount,Sheet1!S71_SA34eCode,$AC:$AC,Sheet1!S71_A5CapexCode,$AD:$AD)</f>
        <v>0</v>
      </c>
      <c r="D101" s="712">
        <f>SUMIFS(Sheet1!S71_PPYearAmount,Sheet1!S71_SA34eCode,$AC:$AC,Sheet1!S71_A5CapexCode,$AD:$AD)</f>
        <v>0</v>
      </c>
      <c r="E101" s="715">
        <f>SUMIFS(Sheet1!S71_PYearAmount,Sheet1!S71_SA34eCode,$AC:$AC,Sheet1!S71_A5CapexCode,$AD:$AD)</f>
        <v>0</v>
      </c>
      <c r="F101" s="725">
        <f>SUMIFS(Sheet1!S71_OriginalBudAmnt,Sheet1!S71_SA34eCode,$AC:$AC,Sheet1!S71_A5CapexCode,$AD:$AD)</f>
        <v>0</v>
      </c>
      <c r="G101" s="712">
        <f>SUMIFS(Sheet1!S71_AdjustmentBudAmnt,Sheet1!S71_SA34eCode,$AC:$AC,Sheet1!S71_A5CapexCode,$AD:$AD)</f>
        <v>0</v>
      </c>
      <c r="H101" s="713">
        <f>SUMIFS(Sheet1!S71_AdjustmentBudAmnt,Sheet1!S71_SA34eCode,$AC:$AC,Sheet1!S71_A5CapexCode,$AD:$AD)</f>
        <v>0</v>
      </c>
      <c r="I101" s="725">
        <f>SUMIFS(Sheet1!S71_ASBudgetAmount,Sheet1!S71_SA34eCode,$AC:$AC,Sheet1!S71_A5CapexCode,$AD:$AD)</f>
        <v>0</v>
      </c>
      <c r="J101" s="712">
        <f>SUMIFS(Sheet1!S71_OY1BudgetAmount,Sheet1!S71_SA34eCode,$AC:$AC,Sheet1!S71_A5CapexCode,$AD:$AD)</f>
        <v>0</v>
      </c>
      <c r="K101" s="713">
        <f>SUMIFS(Sheet1!S71_OY2BudgetAmount,Sheet1!S71_SA34eCode,$AC:$AC,Sheet1!S71_A5CapexCode,$AD:$AD)</f>
        <v>0</v>
      </c>
      <c r="L101" s="2126"/>
      <c r="AB101" s="2369"/>
      <c r="AC101" s="2365" t="s">
        <v>2884</v>
      </c>
      <c r="AD101" s="2365" t="s">
        <v>2805</v>
      </c>
    </row>
    <row r="102" spans="1:30" ht="4.9000000000000004" customHeight="1" x14ac:dyDescent="0.25">
      <c r="A102" s="116"/>
      <c r="B102" s="144"/>
      <c r="C102" s="177"/>
      <c r="D102" s="177"/>
      <c r="E102" s="180"/>
      <c r="F102" s="179"/>
      <c r="G102" s="177"/>
      <c r="H102" s="178"/>
      <c r="I102" s="179"/>
      <c r="J102" s="177"/>
      <c r="K102" s="178"/>
      <c r="L102" s="322"/>
    </row>
    <row r="103" spans="1:30" ht="17.25" customHeight="1" x14ac:dyDescent="0.25">
      <c r="A103" s="96" t="s">
        <v>828</v>
      </c>
      <c r="B103" s="144"/>
      <c r="C103" s="177">
        <f>SUM(C104:C108)</f>
        <v>0</v>
      </c>
      <c r="D103" s="177">
        <f t="shared" ref="D103:K103" si="13">SUM(D104:D108)</f>
        <v>0</v>
      </c>
      <c r="E103" s="180">
        <f t="shared" si="13"/>
        <v>0</v>
      </c>
      <c r="F103" s="179">
        <f t="shared" si="13"/>
        <v>0</v>
      </c>
      <c r="G103" s="177">
        <f t="shared" si="13"/>
        <v>0</v>
      </c>
      <c r="H103" s="178">
        <f t="shared" si="13"/>
        <v>0</v>
      </c>
      <c r="I103" s="179">
        <f t="shared" si="13"/>
        <v>0</v>
      </c>
      <c r="J103" s="177">
        <f t="shared" si="13"/>
        <v>0</v>
      </c>
      <c r="K103" s="178">
        <f t="shared" si="13"/>
        <v>0</v>
      </c>
      <c r="L103" s="322"/>
    </row>
    <row r="104" spans="1:30" ht="11.25" customHeight="1" x14ac:dyDescent="0.25">
      <c r="A104" s="104" t="s">
        <v>2304</v>
      </c>
      <c r="B104" s="144"/>
      <c r="C104" s="712">
        <f>SUMIFS(Sheet1!S71_PPPYearAmount,Sheet1!S71_SA34eCode,$AC:$AC,Sheet1!S71_A5CapexCode,$AD:$AD)</f>
        <v>0</v>
      </c>
      <c r="D104" s="712">
        <f>SUMIFS(Sheet1!S71_PPYearAmount,Sheet1!S71_SA34eCode,$AC:$AC,Sheet1!S71_A5CapexCode,$AD:$AD)</f>
        <v>0</v>
      </c>
      <c r="E104" s="715">
        <f>SUMIFS(Sheet1!S71_PYearAmount,Sheet1!S71_SA34eCode,$AC:$AC,Sheet1!S71_A5CapexCode,$AD:$AD)</f>
        <v>0</v>
      </c>
      <c r="F104" s="725">
        <f>SUMIFS(Sheet1!S71_OriginalBudAmnt,Sheet1!S71_SA34eCode,$AC:$AC,Sheet1!S71_A5CapexCode,$AD:$AD)</f>
        <v>0</v>
      </c>
      <c r="G104" s="712">
        <f>SUMIFS(Sheet1!S71_AdjustmentBudAmnt,Sheet1!S71_SA34eCode,$AC:$AC,Sheet1!S71_A5CapexCode,$AD:$AD)</f>
        <v>0</v>
      </c>
      <c r="H104" s="713">
        <f>SUMIFS(Sheet1!S71_AdjustmentBudAmnt,Sheet1!S71_SA34eCode,$AC:$AC,Sheet1!S71_A5CapexCode,$AD:$AD)</f>
        <v>0</v>
      </c>
      <c r="I104" s="725">
        <f>SUMIFS(Sheet1!S71_ASBudgetAmount,Sheet1!S71_SA34eCode,$AC:$AC,Sheet1!S71_A5CapexCode,$AD:$AD)</f>
        <v>0</v>
      </c>
      <c r="J104" s="712">
        <f>SUMIFS(Sheet1!S71_OY1BudgetAmount,Sheet1!S71_SA34eCode,$AC:$AC,Sheet1!S71_A5CapexCode,$AD:$AD)</f>
        <v>0</v>
      </c>
      <c r="K104" s="713">
        <f>SUMIFS(Sheet1!S71_OY2BudgetAmount,Sheet1!S71_SA34eCode,$AC:$AC,Sheet1!S71_A5CapexCode,$AD:$AD)</f>
        <v>0</v>
      </c>
      <c r="L104" s="322"/>
      <c r="AC104" s="2365" t="s">
        <v>2885</v>
      </c>
      <c r="AD104" s="2365" t="s">
        <v>2805</v>
      </c>
    </row>
    <row r="105" spans="1:30" ht="11.25" customHeight="1" x14ac:dyDescent="0.25">
      <c r="A105" s="137" t="s">
        <v>2305</v>
      </c>
      <c r="B105" s="144"/>
      <c r="C105" s="712">
        <f>SUMIFS(Sheet1!S71_PPPYearAmount,Sheet1!S71_SA34eCode,$AC:$AC,Sheet1!S71_A5CapexCode,$AD:$AD)</f>
        <v>0</v>
      </c>
      <c r="D105" s="712">
        <f>SUMIFS(Sheet1!S71_PPYearAmount,Sheet1!S71_SA34eCode,$AC:$AC,Sheet1!S71_A5CapexCode,$AD:$AD)</f>
        <v>0</v>
      </c>
      <c r="E105" s="715">
        <f>SUMIFS(Sheet1!S71_PYearAmount,Sheet1!S71_SA34eCode,$AC:$AC,Sheet1!S71_A5CapexCode,$AD:$AD)</f>
        <v>0</v>
      </c>
      <c r="F105" s="725">
        <f>SUMIFS(Sheet1!S71_OriginalBudAmnt,Sheet1!S71_SA34eCode,$AC:$AC,Sheet1!S71_A5CapexCode,$AD:$AD)</f>
        <v>0</v>
      </c>
      <c r="G105" s="712">
        <f>SUMIFS(Sheet1!S71_AdjustmentBudAmnt,Sheet1!S71_SA34eCode,$AC:$AC,Sheet1!S71_A5CapexCode,$AD:$AD)</f>
        <v>0</v>
      </c>
      <c r="H105" s="713">
        <f>SUMIFS(Sheet1!S71_AdjustmentBudAmnt,Sheet1!S71_SA34eCode,$AC:$AC,Sheet1!S71_A5CapexCode,$AD:$AD)</f>
        <v>0</v>
      </c>
      <c r="I105" s="725">
        <f>SUMIFS(Sheet1!S71_ASBudgetAmount,Sheet1!S71_SA34eCode,$AC:$AC,Sheet1!S71_A5CapexCode,$AD:$AD)</f>
        <v>0</v>
      </c>
      <c r="J105" s="712">
        <f>SUMIFS(Sheet1!S71_OY1BudgetAmount,Sheet1!S71_SA34eCode,$AC:$AC,Sheet1!S71_A5CapexCode,$AD:$AD)</f>
        <v>0</v>
      </c>
      <c r="K105" s="713">
        <f>SUMIFS(Sheet1!S71_OY2BudgetAmount,Sheet1!S71_SA34eCode,$AC:$AC,Sheet1!S71_A5CapexCode,$AD:$AD)</f>
        <v>0</v>
      </c>
      <c r="L105" s="322"/>
      <c r="AC105" s="2365" t="s">
        <v>2886</v>
      </c>
      <c r="AD105" s="2365" t="s">
        <v>2805</v>
      </c>
    </row>
    <row r="106" spans="1:30" ht="11.25" customHeight="1" x14ac:dyDescent="0.25">
      <c r="A106" s="104" t="s">
        <v>2306</v>
      </c>
      <c r="B106" s="144"/>
      <c r="C106" s="712">
        <f>SUMIFS(Sheet1!S71_PPPYearAmount,Sheet1!S71_SA34eCode,$AC:$AC,Sheet1!S71_A5CapexCode,$AD:$AD)</f>
        <v>0</v>
      </c>
      <c r="D106" s="712">
        <f>SUMIFS(Sheet1!S71_PPYearAmount,Sheet1!S71_SA34eCode,$AC:$AC,Sheet1!S71_A5CapexCode,$AD:$AD)</f>
        <v>0</v>
      </c>
      <c r="E106" s="715">
        <f>SUMIFS(Sheet1!S71_PYearAmount,Sheet1!S71_SA34eCode,$AC:$AC,Sheet1!S71_A5CapexCode,$AD:$AD)</f>
        <v>0</v>
      </c>
      <c r="F106" s="725">
        <f>SUMIFS(Sheet1!S71_OriginalBudAmnt,Sheet1!S71_SA34eCode,$AC:$AC,Sheet1!S71_A5CapexCode,$AD:$AD)</f>
        <v>0</v>
      </c>
      <c r="G106" s="712">
        <f>SUMIFS(Sheet1!S71_AdjustmentBudAmnt,Sheet1!S71_SA34eCode,$AC:$AC,Sheet1!S71_A5CapexCode,$AD:$AD)</f>
        <v>0</v>
      </c>
      <c r="H106" s="713">
        <f>SUMIFS(Sheet1!S71_AdjustmentBudAmnt,Sheet1!S71_SA34eCode,$AC:$AC,Sheet1!S71_A5CapexCode,$AD:$AD)</f>
        <v>0</v>
      </c>
      <c r="I106" s="725">
        <f>SUMIFS(Sheet1!S71_ASBudgetAmount,Sheet1!S71_SA34eCode,$AC:$AC,Sheet1!S71_A5CapexCode,$AD:$AD)</f>
        <v>0</v>
      </c>
      <c r="J106" s="712">
        <f>SUMIFS(Sheet1!S71_OY1BudgetAmount,Sheet1!S71_SA34eCode,$AC:$AC,Sheet1!S71_A5CapexCode,$AD:$AD)</f>
        <v>0</v>
      </c>
      <c r="K106" s="713">
        <f>SUMIFS(Sheet1!S71_OY2BudgetAmount,Sheet1!S71_SA34eCode,$AC:$AC,Sheet1!S71_A5CapexCode,$AD:$AD)</f>
        <v>0</v>
      </c>
      <c r="L106" s="322"/>
      <c r="AC106" s="2365" t="s">
        <v>2887</v>
      </c>
      <c r="AD106" s="2365" t="s">
        <v>2805</v>
      </c>
    </row>
    <row r="107" spans="1:30" ht="11.25" customHeight="1" x14ac:dyDescent="0.25">
      <c r="A107" s="104" t="s">
        <v>2307</v>
      </c>
      <c r="B107" s="144"/>
      <c r="C107" s="712">
        <f>SUMIFS(Sheet1!S71_PPPYearAmount,Sheet1!S71_SA34eCode,$AC:$AC,Sheet1!S71_A5CapexCode,$AD:$AD)</f>
        <v>0</v>
      </c>
      <c r="D107" s="712">
        <f>SUMIFS(Sheet1!S71_PPYearAmount,Sheet1!S71_SA34eCode,$AC:$AC,Sheet1!S71_A5CapexCode,$AD:$AD)</f>
        <v>0</v>
      </c>
      <c r="E107" s="715">
        <f>SUMIFS(Sheet1!S71_PYearAmount,Sheet1!S71_SA34eCode,$AC:$AC,Sheet1!S71_A5CapexCode,$AD:$AD)</f>
        <v>0</v>
      </c>
      <c r="F107" s="725">
        <f>SUMIFS(Sheet1!S71_OriginalBudAmnt,Sheet1!S71_SA34eCode,$AC:$AC,Sheet1!S71_A5CapexCode,$AD:$AD)</f>
        <v>0</v>
      </c>
      <c r="G107" s="712">
        <f>SUMIFS(Sheet1!S71_AdjustmentBudAmnt,Sheet1!S71_SA34eCode,$AC:$AC,Sheet1!S71_A5CapexCode,$AD:$AD)</f>
        <v>0</v>
      </c>
      <c r="H107" s="713">
        <f>SUMIFS(Sheet1!S71_AdjustmentBudAmnt,Sheet1!S71_SA34eCode,$AC:$AC,Sheet1!S71_A5CapexCode,$AD:$AD)</f>
        <v>0</v>
      </c>
      <c r="I107" s="725">
        <f>SUMIFS(Sheet1!S71_ASBudgetAmount,Sheet1!S71_SA34eCode,$AC:$AC,Sheet1!S71_A5CapexCode,$AD:$AD)</f>
        <v>0</v>
      </c>
      <c r="J107" s="712">
        <f>SUMIFS(Sheet1!S71_OY1BudgetAmount,Sheet1!S71_SA34eCode,$AC:$AC,Sheet1!S71_A5CapexCode,$AD:$AD)</f>
        <v>0</v>
      </c>
      <c r="K107" s="713">
        <f>SUMIFS(Sheet1!S71_OY2BudgetAmount,Sheet1!S71_SA34eCode,$AC:$AC,Sheet1!S71_A5CapexCode,$AD:$AD)</f>
        <v>0</v>
      </c>
      <c r="L107" s="322"/>
      <c r="AC107" s="2365" t="s">
        <v>2888</v>
      </c>
      <c r="AD107" s="2365" t="s">
        <v>2805</v>
      </c>
    </row>
    <row r="108" spans="1:30" ht="11.25" customHeight="1" x14ac:dyDescent="0.25">
      <c r="A108" s="137" t="s">
        <v>2308</v>
      </c>
      <c r="B108" s="144"/>
      <c r="C108" s="712">
        <f>SUMIFS(Sheet1!S71_PPPYearAmount,Sheet1!S71_SA34eCode,$AC:$AC,Sheet1!S71_A5CapexCode,$AD:$AD)</f>
        <v>0</v>
      </c>
      <c r="D108" s="712">
        <f>SUMIFS(Sheet1!S71_PPYearAmount,Sheet1!S71_SA34eCode,$AC:$AC,Sheet1!S71_A5CapexCode,$AD:$AD)</f>
        <v>0</v>
      </c>
      <c r="E108" s="715">
        <f>SUMIFS(Sheet1!S71_PYearAmount,Sheet1!S71_SA34eCode,$AC:$AC,Sheet1!S71_A5CapexCode,$AD:$AD)</f>
        <v>0</v>
      </c>
      <c r="F108" s="725">
        <f>SUMIFS(Sheet1!S71_OriginalBudAmnt,Sheet1!S71_SA34eCode,$AC:$AC,Sheet1!S71_A5CapexCode,$AD:$AD)</f>
        <v>0</v>
      </c>
      <c r="G108" s="712">
        <f>SUMIFS(Sheet1!S71_AdjustmentBudAmnt,Sheet1!S71_SA34eCode,$AC:$AC,Sheet1!S71_A5CapexCode,$AD:$AD)</f>
        <v>0</v>
      </c>
      <c r="H108" s="713">
        <f>SUMIFS(Sheet1!S71_AdjustmentBudAmnt,Sheet1!S71_SA34eCode,$AC:$AC,Sheet1!S71_A5CapexCode,$AD:$AD)</f>
        <v>0</v>
      </c>
      <c r="I108" s="725">
        <f>SUMIFS(Sheet1!S71_ASBudgetAmount,Sheet1!S71_SA34eCode,$AC:$AC,Sheet1!S71_A5CapexCode,$AD:$AD)</f>
        <v>0</v>
      </c>
      <c r="J108" s="712">
        <f>SUMIFS(Sheet1!S71_OY1BudgetAmount,Sheet1!S71_SA34eCode,$AC:$AC,Sheet1!S71_A5CapexCode,$AD:$AD)</f>
        <v>0</v>
      </c>
      <c r="K108" s="713">
        <f>SUMIFS(Sheet1!S71_OY2BudgetAmount,Sheet1!S71_SA34eCode,$AC:$AC,Sheet1!S71_A5CapexCode,$AD:$AD)</f>
        <v>0</v>
      </c>
      <c r="L108" s="322"/>
      <c r="AC108" s="2365" t="s">
        <v>2048</v>
      </c>
      <c r="AD108" s="2365" t="s">
        <v>2805</v>
      </c>
    </row>
    <row r="109" spans="1:30" ht="4.9000000000000004" customHeight="1" x14ac:dyDescent="0.25">
      <c r="A109" s="448"/>
      <c r="B109" s="144"/>
      <c r="C109" s="177"/>
      <c r="D109" s="177"/>
      <c r="E109" s="180"/>
      <c r="F109" s="179"/>
      <c r="G109" s="177"/>
      <c r="H109" s="178"/>
      <c r="I109" s="179"/>
      <c r="J109" s="177"/>
      <c r="K109" s="178"/>
      <c r="L109" s="322"/>
    </row>
    <row r="110" spans="1:30" ht="17.25" customHeight="1" x14ac:dyDescent="0.25">
      <c r="A110" s="574" t="s">
        <v>829</v>
      </c>
      <c r="B110" s="144"/>
      <c r="C110" s="545">
        <f>+C111+C114</f>
        <v>0</v>
      </c>
      <c r="D110" s="545">
        <f t="shared" ref="D110:K110" si="14">+D111+D114</f>
        <v>0</v>
      </c>
      <c r="E110" s="831">
        <f t="shared" si="14"/>
        <v>0</v>
      </c>
      <c r="F110" s="743">
        <f t="shared" si="14"/>
        <v>0</v>
      </c>
      <c r="G110" s="545">
        <f t="shared" si="14"/>
        <v>0</v>
      </c>
      <c r="H110" s="742">
        <f t="shared" si="14"/>
        <v>0</v>
      </c>
      <c r="I110" s="743">
        <f t="shared" si="14"/>
        <v>0</v>
      </c>
      <c r="J110" s="545">
        <f t="shared" si="14"/>
        <v>0</v>
      </c>
      <c r="K110" s="742">
        <f t="shared" si="14"/>
        <v>0</v>
      </c>
      <c r="L110" s="322"/>
    </row>
    <row r="111" spans="1:30" s="377" customFormat="1" ht="13.5" x14ac:dyDescent="0.25">
      <c r="A111" s="104" t="s">
        <v>2338</v>
      </c>
      <c r="B111" s="144"/>
      <c r="C111" s="82">
        <f t="shared" ref="C111:K111" si="15">SUM(C112:C113)</f>
        <v>0</v>
      </c>
      <c r="D111" s="82">
        <f t="shared" si="15"/>
        <v>0</v>
      </c>
      <c r="E111" s="304">
        <f t="shared" si="15"/>
        <v>0</v>
      </c>
      <c r="F111" s="83">
        <f t="shared" si="15"/>
        <v>0</v>
      </c>
      <c r="G111" s="82">
        <f t="shared" si="15"/>
        <v>0</v>
      </c>
      <c r="H111" s="115">
        <f t="shared" si="15"/>
        <v>0</v>
      </c>
      <c r="I111" s="83">
        <f t="shared" si="15"/>
        <v>0</v>
      </c>
      <c r="J111" s="82">
        <f t="shared" si="15"/>
        <v>0</v>
      </c>
      <c r="K111" s="115">
        <f t="shared" si="15"/>
        <v>0</v>
      </c>
      <c r="L111" s="2126"/>
      <c r="AB111" s="2369"/>
      <c r="AC111" s="2365"/>
      <c r="AD111" s="2365"/>
    </row>
    <row r="112" spans="1:30" s="377" customFormat="1" ht="13.5" x14ac:dyDescent="0.25">
      <c r="A112" s="2125" t="s">
        <v>2339</v>
      </c>
      <c r="B112" s="144"/>
      <c r="C112" s="712">
        <f>SUMIFS(Sheet1!S71_PPPYearAmount,Sheet1!S71_SA34eCode,$AC:$AC,Sheet1!S71_A5CapexCode,$AD:$AD)</f>
        <v>0</v>
      </c>
      <c r="D112" s="712">
        <f>SUMIFS(Sheet1!S71_PPYearAmount,Sheet1!S71_SA34eCode,$AC:$AC,Sheet1!S71_A5CapexCode,$AD:$AD)</f>
        <v>0</v>
      </c>
      <c r="E112" s="715">
        <f>SUMIFS(Sheet1!S71_PYearAmount,Sheet1!S71_SA34eCode,$AC:$AC,Sheet1!S71_A5CapexCode,$AD:$AD)</f>
        <v>0</v>
      </c>
      <c r="F112" s="725">
        <f>SUMIFS(Sheet1!S71_OriginalBudAmnt,Sheet1!S71_SA34eCode,$AC:$AC,Sheet1!S71_A5CapexCode,$AD:$AD)</f>
        <v>0</v>
      </c>
      <c r="G112" s="712">
        <f>SUMIFS(Sheet1!S71_AdjustmentBudAmnt,Sheet1!S71_SA34eCode,$AC:$AC,Sheet1!S71_A5CapexCode,$AD:$AD)</f>
        <v>0</v>
      </c>
      <c r="H112" s="713">
        <f>SUMIFS(Sheet1!S71_AdjustmentBudAmnt,Sheet1!S71_SA34eCode,$AC:$AC,Sheet1!S71_A5CapexCode,$AD:$AD)</f>
        <v>0</v>
      </c>
      <c r="I112" s="725">
        <f>SUMIFS(Sheet1!S71_ASBudgetAmount,Sheet1!S71_SA34eCode,$AC:$AC,Sheet1!S71_A5CapexCode,$AD:$AD)</f>
        <v>0</v>
      </c>
      <c r="J112" s="712">
        <f>SUMIFS(Sheet1!S71_OY1BudgetAmount,Sheet1!S71_SA34eCode,$AC:$AC,Sheet1!S71_A5CapexCode,$AD:$AD)</f>
        <v>0</v>
      </c>
      <c r="K112" s="713">
        <f>SUMIFS(Sheet1!S71_OY2BudgetAmount,Sheet1!S71_SA34eCode,$AC:$AC,Sheet1!S71_A5CapexCode,$AD:$AD)</f>
        <v>0</v>
      </c>
      <c r="L112" s="2124"/>
      <c r="AB112" s="2369"/>
      <c r="AC112" s="2365" t="s">
        <v>2889</v>
      </c>
      <c r="AD112" s="2365" t="s">
        <v>2805</v>
      </c>
    </row>
    <row r="113" spans="1:30" s="377" customFormat="1" ht="13.5" x14ac:dyDescent="0.25">
      <c r="A113" s="2125" t="s">
        <v>2340</v>
      </c>
      <c r="B113" s="144"/>
      <c r="C113" s="712">
        <f>SUMIFS(Sheet1!S71_PPPYearAmount,Sheet1!S71_SA34eCode,$AC:$AC,Sheet1!S71_A5CapexCode,$AD:$AD)</f>
        <v>0</v>
      </c>
      <c r="D113" s="712">
        <f>SUMIFS(Sheet1!S71_PPYearAmount,Sheet1!S71_SA34eCode,$AC:$AC,Sheet1!S71_A5CapexCode,$AD:$AD)</f>
        <v>0</v>
      </c>
      <c r="E113" s="715">
        <f>SUMIFS(Sheet1!S71_PYearAmount,Sheet1!S71_SA34eCode,$AC:$AC,Sheet1!S71_A5CapexCode,$AD:$AD)</f>
        <v>0</v>
      </c>
      <c r="F113" s="725">
        <f>SUMIFS(Sheet1!S71_OriginalBudAmnt,Sheet1!S71_SA34eCode,$AC:$AC,Sheet1!S71_A5CapexCode,$AD:$AD)</f>
        <v>0</v>
      </c>
      <c r="G113" s="712">
        <f>SUMIFS(Sheet1!S71_AdjustmentBudAmnt,Sheet1!S71_SA34eCode,$AC:$AC,Sheet1!S71_A5CapexCode,$AD:$AD)</f>
        <v>0</v>
      </c>
      <c r="H113" s="713">
        <f>SUMIFS(Sheet1!S71_AdjustmentBudAmnt,Sheet1!S71_SA34eCode,$AC:$AC,Sheet1!S71_A5CapexCode,$AD:$AD)</f>
        <v>0</v>
      </c>
      <c r="I113" s="725">
        <f>SUMIFS(Sheet1!S71_ASBudgetAmount,Sheet1!S71_SA34eCode,$AC:$AC,Sheet1!S71_A5CapexCode,$AD:$AD)</f>
        <v>0</v>
      </c>
      <c r="J113" s="712">
        <f>SUMIFS(Sheet1!S71_OY1BudgetAmount,Sheet1!S71_SA34eCode,$AC:$AC,Sheet1!S71_A5CapexCode,$AD:$AD)</f>
        <v>0</v>
      </c>
      <c r="K113" s="713">
        <f>SUMIFS(Sheet1!S71_OY2BudgetAmount,Sheet1!S71_SA34eCode,$AC:$AC,Sheet1!S71_A5CapexCode,$AD:$AD)</f>
        <v>0</v>
      </c>
      <c r="L113" s="2126"/>
      <c r="AB113" s="2369"/>
      <c r="AC113" s="2365" t="s">
        <v>2890</v>
      </c>
      <c r="AD113" s="2365" t="s">
        <v>2805</v>
      </c>
    </row>
    <row r="114" spans="1:30" s="377" customFormat="1" ht="13.5" x14ac:dyDescent="0.25">
      <c r="A114" s="104" t="s">
        <v>2341</v>
      </c>
      <c r="B114" s="144"/>
      <c r="C114" s="71">
        <f>SUM(C115:C116)</f>
        <v>0</v>
      </c>
      <c r="D114" s="71">
        <f t="shared" ref="D114:K114" si="16">SUM(D115:D116)</f>
        <v>0</v>
      </c>
      <c r="E114" s="305">
        <f t="shared" si="16"/>
        <v>0</v>
      </c>
      <c r="F114" s="75">
        <f t="shared" si="16"/>
        <v>0</v>
      </c>
      <c r="G114" s="71">
        <f t="shared" si="16"/>
        <v>0</v>
      </c>
      <c r="H114" s="117">
        <f t="shared" si="16"/>
        <v>0</v>
      </c>
      <c r="I114" s="75">
        <f t="shared" si="16"/>
        <v>0</v>
      </c>
      <c r="J114" s="71">
        <f t="shared" si="16"/>
        <v>0</v>
      </c>
      <c r="K114" s="117">
        <f t="shared" si="16"/>
        <v>0</v>
      </c>
      <c r="L114" s="2126"/>
      <c r="AB114" s="2369"/>
      <c r="AC114" s="2365"/>
      <c r="AD114" s="2365" t="s">
        <v>2805</v>
      </c>
    </row>
    <row r="115" spans="1:30" s="377" customFormat="1" ht="13.5" x14ac:dyDescent="0.25">
      <c r="A115" s="2125" t="s">
        <v>2339</v>
      </c>
      <c r="B115" s="144"/>
      <c r="C115" s="712">
        <f>SUMIFS(Sheet1!S71_PPPYearAmount,Sheet1!S71_SA34eCode,$AC:$AC,Sheet1!S71_A5CapexCode,$AD:$AD)</f>
        <v>0</v>
      </c>
      <c r="D115" s="712">
        <f>SUMIFS(Sheet1!S71_PPYearAmount,Sheet1!S71_SA34eCode,$AC:$AC,Sheet1!S71_A5CapexCode,$AD:$AD)</f>
        <v>0</v>
      </c>
      <c r="E115" s="715">
        <f>SUMIFS(Sheet1!S71_PYearAmount,Sheet1!S71_SA34eCode,$AC:$AC,Sheet1!S71_A5CapexCode,$AD:$AD)</f>
        <v>0</v>
      </c>
      <c r="F115" s="725">
        <f>SUMIFS(Sheet1!S71_OriginalBudAmnt,Sheet1!S71_SA34eCode,$AC:$AC,Sheet1!S71_A5CapexCode,$AD:$AD)</f>
        <v>0</v>
      </c>
      <c r="G115" s="712">
        <f>SUMIFS(Sheet1!S71_AdjustmentBudAmnt,Sheet1!S71_SA34eCode,$AC:$AC,Sheet1!S71_A5CapexCode,$AD:$AD)</f>
        <v>0</v>
      </c>
      <c r="H115" s="713">
        <f>SUMIFS(Sheet1!S71_AdjustmentBudAmnt,Sheet1!S71_SA34eCode,$AC:$AC,Sheet1!S71_A5CapexCode,$AD:$AD)</f>
        <v>0</v>
      </c>
      <c r="I115" s="725">
        <f>SUMIFS(Sheet1!S71_ASBudgetAmount,Sheet1!S71_SA34eCode,$AC:$AC,Sheet1!S71_A5CapexCode,$AD:$AD)</f>
        <v>0</v>
      </c>
      <c r="J115" s="712">
        <f>SUMIFS(Sheet1!S71_OY1BudgetAmount,Sheet1!S71_SA34eCode,$AC:$AC,Sheet1!S71_A5CapexCode,$AD:$AD)</f>
        <v>0</v>
      </c>
      <c r="K115" s="713">
        <f>SUMIFS(Sheet1!S71_OY2BudgetAmount,Sheet1!S71_SA34eCode,$AC:$AC,Sheet1!S71_A5CapexCode,$AD:$AD)</f>
        <v>0</v>
      </c>
      <c r="L115" s="2124"/>
      <c r="AB115" s="2369"/>
      <c r="AC115" s="2365" t="s">
        <v>2892</v>
      </c>
      <c r="AD115" s="2365" t="s">
        <v>2805</v>
      </c>
    </row>
    <row r="116" spans="1:30" s="377" customFormat="1" ht="13.5" x14ac:dyDescent="0.25">
      <c r="A116" s="2125" t="s">
        <v>2340</v>
      </c>
      <c r="B116" s="144"/>
      <c r="C116" s="712">
        <f>SUMIFS(Sheet1!S71_PPPYearAmount,Sheet1!S71_SA34eCode,$AC:$AC,Sheet1!S71_A5CapexCode,$AD:$AD)</f>
        <v>0</v>
      </c>
      <c r="D116" s="712">
        <f>SUMIFS(Sheet1!S71_PPYearAmount,Sheet1!S71_SA34eCode,$AC:$AC,Sheet1!S71_A5CapexCode,$AD:$AD)</f>
        <v>0</v>
      </c>
      <c r="E116" s="715">
        <f>SUMIFS(Sheet1!S71_PYearAmount,Sheet1!S71_SA34eCode,$AC:$AC,Sheet1!S71_A5CapexCode,$AD:$AD)</f>
        <v>0</v>
      </c>
      <c r="F116" s="725">
        <f>SUMIFS(Sheet1!S71_OriginalBudAmnt,Sheet1!S71_SA34eCode,$AC:$AC,Sheet1!S71_A5CapexCode,$AD:$AD)</f>
        <v>0</v>
      </c>
      <c r="G116" s="712">
        <f>SUMIFS(Sheet1!S71_AdjustmentBudAmnt,Sheet1!S71_SA34eCode,$AC:$AC,Sheet1!S71_A5CapexCode,$AD:$AD)</f>
        <v>0</v>
      </c>
      <c r="H116" s="713">
        <f>SUMIFS(Sheet1!S71_AdjustmentBudAmnt,Sheet1!S71_SA34eCode,$AC:$AC,Sheet1!S71_A5CapexCode,$AD:$AD)</f>
        <v>0</v>
      </c>
      <c r="I116" s="725">
        <f>SUMIFS(Sheet1!S71_ASBudgetAmount,Sheet1!S71_SA34eCode,$AC:$AC,Sheet1!S71_A5CapexCode,$AD:$AD)</f>
        <v>0</v>
      </c>
      <c r="J116" s="712">
        <f>SUMIFS(Sheet1!S71_OY1BudgetAmount,Sheet1!S71_SA34eCode,$AC:$AC,Sheet1!S71_A5CapexCode,$AD:$AD)</f>
        <v>0</v>
      </c>
      <c r="K116" s="713">
        <f>SUMIFS(Sheet1!S71_OY2BudgetAmount,Sheet1!S71_SA34eCode,$AC:$AC,Sheet1!S71_A5CapexCode,$AD:$AD)</f>
        <v>0</v>
      </c>
      <c r="L116" s="2126"/>
      <c r="AB116" s="2369"/>
      <c r="AC116" s="2365" t="s">
        <v>2893</v>
      </c>
      <c r="AD116" s="2365" t="s">
        <v>2805</v>
      </c>
    </row>
    <row r="117" spans="1:30" ht="4.9000000000000004" customHeight="1" x14ac:dyDescent="0.25">
      <c r="A117" s="448"/>
      <c r="B117" s="144"/>
      <c r="C117" s="177"/>
      <c r="D117" s="177"/>
      <c r="E117" s="180"/>
      <c r="F117" s="179"/>
      <c r="G117" s="177"/>
      <c r="H117" s="178"/>
      <c r="I117" s="179"/>
      <c r="J117" s="177"/>
      <c r="K117" s="178"/>
      <c r="L117" s="322"/>
    </row>
    <row r="118" spans="1:30" ht="17.25" customHeight="1" x14ac:dyDescent="0.25">
      <c r="A118" s="574" t="s">
        <v>830</v>
      </c>
      <c r="B118" s="144"/>
      <c r="C118" s="545">
        <f>+C119+C131</f>
        <v>0</v>
      </c>
      <c r="D118" s="545">
        <f t="shared" ref="D118:K118" si="17">+D119+D131</f>
        <v>0</v>
      </c>
      <c r="E118" s="831">
        <f t="shared" si="17"/>
        <v>0</v>
      </c>
      <c r="F118" s="743">
        <f t="shared" si="17"/>
        <v>1000000</v>
      </c>
      <c r="G118" s="545">
        <f t="shared" si="17"/>
        <v>1000000</v>
      </c>
      <c r="H118" s="742">
        <f t="shared" si="17"/>
        <v>1000000</v>
      </c>
      <c r="I118" s="743">
        <f t="shared" si="17"/>
        <v>0</v>
      </c>
      <c r="J118" s="545">
        <f t="shared" si="17"/>
        <v>0</v>
      </c>
      <c r="K118" s="742">
        <f t="shared" si="17"/>
        <v>0</v>
      </c>
      <c r="L118" s="322"/>
    </row>
    <row r="119" spans="1:30" s="377" customFormat="1" ht="13.5" x14ac:dyDescent="0.25">
      <c r="A119" s="104" t="s">
        <v>2309</v>
      </c>
      <c r="B119" s="144"/>
      <c r="C119" s="82">
        <f>SUM(C120:C130)</f>
        <v>0</v>
      </c>
      <c r="D119" s="82">
        <f t="shared" ref="D119:K119" si="18">SUM(D120:D130)</f>
        <v>0</v>
      </c>
      <c r="E119" s="304">
        <f t="shared" si="18"/>
        <v>0</v>
      </c>
      <c r="F119" s="83">
        <f t="shared" si="18"/>
        <v>1000000</v>
      </c>
      <c r="G119" s="82">
        <f t="shared" si="18"/>
        <v>1000000</v>
      </c>
      <c r="H119" s="115">
        <f t="shared" si="18"/>
        <v>1000000</v>
      </c>
      <c r="I119" s="83">
        <f t="shared" si="18"/>
        <v>0</v>
      </c>
      <c r="J119" s="82">
        <f t="shared" si="18"/>
        <v>0</v>
      </c>
      <c r="K119" s="115">
        <f t="shared" si="18"/>
        <v>0</v>
      </c>
      <c r="L119" s="2126"/>
      <c r="AB119" s="2369"/>
      <c r="AC119" s="2365"/>
      <c r="AD119" s="2365"/>
    </row>
    <row r="120" spans="1:30" s="377" customFormat="1" ht="13.5" x14ac:dyDescent="0.25">
      <c r="A120" s="2125" t="s">
        <v>2310</v>
      </c>
      <c r="B120" s="144"/>
      <c r="C120" s="712">
        <f>SUMIFS(Sheet1!S71_PPPYearAmount,Sheet1!S71_SA34eCode,$AC:$AC,Sheet1!S71_A5CapexCode,$AD:$AD)</f>
        <v>0</v>
      </c>
      <c r="D120" s="712">
        <f>SUMIFS(Sheet1!S71_PPYearAmount,Sheet1!S71_SA34eCode,$AC:$AC,Sheet1!S71_A5CapexCode,$AD:$AD)</f>
        <v>0</v>
      </c>
      <c r="E120" s="715">
        <f>SUMIFS(Sheet1!S71_PYearAmount,Sheet1!S71_SA34eCode,$AC:$AC,Sheet1!S71_A5CapexCode,$AD:$AD)</f>
        <v>0</v>
      </c>
      <c r="F120" s="725">
        <f>SUMIFS(Sheet1!S71_OriginalBudAmnt,Sheet1!S71_SA34eCode,$AC:$AC,Sheet1!S71_A5CapexCode,$AD:$AD)</f>
        <v>1000000</v>
      </c>
      <c r="G120" s="712">
        <f>SUMIFS(Sheet1!S71_AdjustmentBudAmnt,Sheet1!S71_SA34eCode,$AC:$AC,Sheet1!S71_A5CapexCode,$AD:$AD)</f>
        <v>1000000</v>
      </c>
      <c r="H120" s="713">
        <f>SUMIFS(Sheet1!S71_AdjustmentBudAmnt,Sheet1!S71_SA34eCode,$AC:$AC,Sheet1!S71_A5CapexCode,$AD:$AD)</f>
        <v>1000000</v>
      </c>
      <c r="I120" s="725">
        <f>SUMIFS(Sheet1!S71_ASBudgetAmount,Sheet1!S71_SA34eCode,$AC:$AC,Sheet1!S71_A5CapexCode,$AD:$AD)</f>
        <v>0</v>
      </c>
      <c r="J120" s="712">
        <f>SUMIFS(Sheet1!S71_OY1BudgetAmount,Sheet1!S71_SA34eCode,$AC:$AC,Sheet1!S71_A5CapexCode,$AD:$AD)</f>
        <v>0</v>
      </c>
      <c r="K120" s="713">
        <f>SUMIFS(Sheet1!S71_OY2BudgetAmount,Sheet1!S71_SA34eCode,$AC:$AC,Sheet1!S71_A5CapexCode,$AD:$AD)</f>
        <v>0</v>
      </c>
      <c r="L120" s="2124"/>
      <c r="AB120" s="2369"/>
      <c r="AC120" s="2365" t="s">
        <v>2059</v>
      </c>
      <c r="AD120" s="2365" t="s">
        <v>2805</v>
      </c>
    </row>
    <row r="121" spans="1:30" s="377" customFormat="1" ht="13.5" x14ac:dyDescent="0.25">
      <c r="A121" s="2125" t="s">
        <v>2311</v>
      </c>
      <c r="B121" s="144"/>
      <c r="C121" s="712">
        <f>SUMIFS(Sheet1!S71_PPPYearAmount,Sheet1!S71_SA34eCode,$AC:$AC,Sheet1!S71_A5CapexCode,$AD:$AD)</f>
        <v>0</v>
      </c>
      <c r="D121" s="712">
        <f>SUMIFS(Sheet1!S71_PPYearAmount,Sheet1!S71_SA34eCode,$AC:$AC,Sheet1!S71_A5CapexCode,$AD:$AD)</f>
        <v>0</v>
      </c>
      <c r="E121" s="715">
        <f>SUMIFS(Sheet1!S71_PYearAmount,Sheet1!S71_SA34eCode,$AC:$AC,Sheet1!S71_A5CapexCode,$AD:$AD)</f>
        <v>0</v>
      </c>
      <c r="F121" s="725">
        <f>SUMIFS(Sheet1!S71_OriginalBudAmnt,Sheet1!S71_SA34eCode,$AC:$AC,Sheet1!S71_A5CapexCode,$AD:$AD)</f>
        <v>0</v>
      </c>
      <c r="G121" s="712">
        <f>SUMIFS(Sheet1!S71_AdjustmentBudAmnt,Sheet1!S71_SA34eCode,$AC:$AC,Sheet1!S71_A5CapexCode,$AD:$AD)</f>
        <v>0</v>
      </c>
      <c r="H121" s="713">
        <f>SUMIFS(Sheet1!S71_AdjustmentBudAmnt,Sheet1!S71_SA34eCode,$AC:$AC,Sheet1!S71_A5CapexCode,$AD:$AD)</f>
        <v>0</v>
      </c>
      <c r="I121" s="725">
        <f>SUMIFS(Sheet1!S71_ASBudgetAmount,Sheet1!S71_SA34eCode,$AC:$AC,Sheet1!S71_A5CapexCode,$AD:$AD)</f>
        <v>0</v>
      </c>
      <c r="J121" s="712">
        <f>SUMIFS(Sheet1!S71_OY1BudgetAmount,Sheet1!S71_SA34eCode,$AC:$AC,Sheet1!S71_A5CapexCode,$AD:$AD)</f>
        <v>0</v>
      </c>
      <c r="K121" s="713">
        <f>SUMIFS(Sheet1!S71_OY2BudgetAmount,Sheet1!S71_SA34eCode,$AC:$AC,Sheet1!S71_A5CapexCode,$AD:$AD)</f>
        <v>0</v>
      </c>
      <c r="L121" s="2124"/>
      <c r="AB121" s="2369"/>
      <c r="AC121" s="2365" t="s">
        <v>2069</v>
      </c>
      <c r="AD121" s="2365" t="s">
        <v>2805</v>
      </c>
    </row>
    <row r="122" spans="1:30" s="377" customFormat="1" ht="13.5" x14ac:dyDescent="0.25">
      <c r="A122" s="2125" t="s">
        <v>2312</v>
      </c>
      <c r="B122" s="144"/>
      <c r="C122" s="712">
        <f>SUMIFS(Sheet1!S71_PPPYearAmount,Sheet1!S71_SA34eCode,$AC:$AC,Sheet1!S71_A5CapexCode,$AD:$AD)</f>
        <v>0</v>
      </c>
      <c r="D122" s="712">
        <f>SUMIFS(Sheet1!S71_PPYearAmount,Sheet1!S71_SA34eCode,$AC:$AC,Sheet1!S71_A5CapexCode,$AD:$AD)</f>
        <v>0</v>
      </c>
      <c r="E122" s="715">
        <f>SUMIFS(Sheet1!S71_PYearAmount,Sheet1!S71_SA34eCode,$AC:$AC,Sheet1!S71_A5CapexCode,$AD:$AD)</f>
        <v>0</v>
      </c>
      <c r="F122" s="725">
        <f>SUMIFS(Sheet1!S71_OriginalBudAmnt,Sheet1!S71_SA34eCode,$AC:$AC,Sheet1!S71_A5CapexCode,$AD:$AD)</f>
        <v>0</v>
      </c>
      <c r="G122" s="712">
        <f>SUMIFS(Sheet1!S71_AdjustmentBudAmnt,Sheet1!S71_SA34eCode,$AC:$AC,Sheet1!S71_A5CapexCode,$AD:$AD)</f>
        <v>0</v>
      </c>
      <c r="H122" s="713">
        <f>SUMIFS(Sheet1!S71_AdjustmentBudAmnt,Sheet1!S71_SA34eCode,$AC:$AC,Sheet1!S71_A5CapexCode,$AD:$AD)</f>
        <v>0</v>
      </c>
      <c r="I122" s="725">
        <f>SUMIFS(Sheet1!S71_ASBudgetAmount,Sheet1!S71_SA34eCode,$AC:$AC,Sheet1!S71_A5CapexCode,$AD:$AD)</f>
        <v>0</v>
      </c>
      <c r="J122" s="712">
        <f>SUMIFS(Sheet1!S71_OY1BudgetAmount,Sheet1!S71_SA34eCode,$AC:$AC,Sheet1!S71_A5CapexCode,$AD:$AD)</f>
        <v>0</v>
      </c>
      <c r="K122" s="713">
        <f>SUMIFS(Sheet1!S71_OY2BudgetAmount,Sheet1!S71_SA34eCode,$AC:$AC,Sheet1!S71_A5CapexCode,$AD:$AD)</f>
        <v>0</v>
      </c>
      <c r="L122" s="2124"/>
      <c r="AB122" s="2369"/>
      <c r="AC122" s="2365" t="s">
        <v>2894</v>
      </c>
      <c r="AD122" s="2365" t="s">
        <v>2805</v>
      </c>
    </row>
    <row r="123" spans="1:30" s="377" customFormat="1" ht="13.5" x14ac:dyDescent="0.25">
      <c r="A123" s="2125" t="s">
        <v>2313</v>
      </c>
      <c r="B123" s="144"/>
      <c r="C123" s="712">
        <f>SUMIFS(Sheet1!S71_PPPYearAmount,Sheet1!S71_SA34eCode,$AC:$AC,Sheet1!S71_A5CapexCode,$AD:$AD)</f>
        <v>0</v>
      </c>
      <c r="D123" s="712">
        <f>SUMIFS(Sheet1!S71_PPYearAmount,Sheet1!S71_SA34eCode,$AC:$AC,Sheet1!S71_A5CapexCode,$AD:$AD)</f>
        <v>0</v>
      </c>
      <c r="E123" s="715">
        <f>SUMIFS(Sheet1!S71_PYearAmount,Sheet1!S71_SA34eCode,$AC:$AC,Sheet1!S71_A5CapexCode,$AD:$AD)</f>
        <v>0</v>
      </c>
      <c r="F123" s="725">
        <f>SUMIFS(Sheet1!S71_OriginalBudAmnt,Sheet1!S71_SA34eCode,$AC:$AC,Sheet1!S71_A5CapexCode,$AD:$AD)</f>
        <v>0</v>
      </c>
      <c r="G123" s="712">
        <f>SUMIFS(Sheet1!S71_AdjustmentBudAmnt,Sheet1!S71_SA34eCode,$AC:$AC,Sheet1!S71_A5CapexCode,$AD:$AD)</f>
        <v>0</v>
      </c>
      <c r="H123" s="713">
        <f>SUMIFS(Sheet1!S71_AdjustmentBudAmnt,Sheet1!S71_SA34eCode,$AC:$AC,Sheet1!S71_A5CapexCode,$AD:$AD)</f>
        <v>0</v>
      </c>
      <c r="I123" s="725">
        <f>SUMIFS(Sheet1!S71_ASBudgetAmount,Sheet1!S71_SA34eCode,$AC:$AC,Sheet1!S71_A5CapexCode,$AD:$AD)</f>
        <v>0</v>
      </c>
      <c r="J123" s="712">
        <f>SUMIFS(Sheet1!S71_OY1BudgetAmount,Sheet1!S71_SA34eCode,$AC:$AC,Sheet1!S71_A5CapexCode,$AD:$AD)</f>
        <v>0</v>
      </c>
      <c r="K123" s="713">
        <f>SUMIFS(Sheet1!S71_OY2BudgetAmount,Sheet1!S71_SA34eCode,$AC:$AC,Sheet1!S71_A5CapexCode,$AD:$AD)</f>
        <v>0</v>
      </c>
      <c r="L123" s="2124"/>
      <c r="AB123" s="2369"/>
      <c r="AC123" s="2365" t="s">
        <v>2895</v>
      </c>
      <c r="AD123" s="2365" t="s">
        <v>2805</v>
      </c>
    </row>
    <row r="124" spans="1:30" s="377" customFormat="1" ht="13.5" x14ac:dyDescent="0.25">
      <c r="A124" s="2125" t="s">
        <v>2314</v>
      </c>
      <c r="B124" s="144"/>
      <c r="C124" s="712">
        <f>SUMIFS(Sheet1!S71_PPPYearAmount,Sheet1!S71_SA34eCode,$AC:$AC,Sheet1!S71_A5CapexCode,$AD:$AD)</f>
        <v>0</v>
      </c>
      <c r="D124" s="712">
        <f>SUMIFS(Sheet1!S71_PPYearAmount,Sheet1!S71_SA34eCode,$AC:$AC,Sheet1!S71_A5CapexCode,$AD:$AD)</f>
        <v>0</v>
      </c>
      <c r="E124" s="715">
        <f>SUMIFS(Sheet1!S71_PYearAmount,Sheet1!S71_SA34eCode,$AC:$AC,Sheet1!S71_A5CapexCode,$AD:$AD)</f>
        <v>0</v>
      </c>
      <c r="F124" s="725">
        <f>SUMIFS(Sheet1!S71_OriginalBudAmnt,Sheet1!S71_SA34eCode,$AC:$AC,Sheet1!S71_A5CapexCode,$AD:$AD)</f>
        <v>0</v>
      </c>
      <c r="G124" s="712">
        <f>SUMIFS(Sheet1!S71_AdjustmentBudAmnt,Sheet1!S71_SA34eCode,$AC:$AC,Sheet1!S71_A5CapexCode,$AD:$AD)</f>
        <v>0</v>
      </c>
      <c r="H124" s="713">
        <f>SUMIFS(Sheet1!S71_AdjustmentBudAmnt,Sheet1!S71_SA34eCode,$AC:$AC,Sheet1!S71_A5CapexCode,$AD:$AD)</f>
        <v>0</v>
      </c>
      <c r="I124" s="725">
        <f>SUMIFS(Sheet1!S71_ASBudgetAmount,Sheet1!S71_SA34eCode,$AC:$AC,Sheet1!S71_A5CapexCode,$AD:$AD)</f>
        <v>0</v>
      </c>
      <c r="J124" s="712">
        <f>SUMIFS(Sheet1!S71_OY1BudgetAmount,Sheet1!S71_SA34eCode,$AC:$AC,Sheet1!S71_A5CapexCode,$AD:$AD)</f>
        <v>0</v>
      </c>
      <c r="K124" s="713">
        <f>SUMIFS(Sheet1!S71_OY2BudgetAmount,Sheet1!S71_SA34eCode,$AC:$AC,Sheet1!S71_A5CapexCode,$AD:$AD)</f>
        <v>0</v>
      </c>
      <c r="L124" s="2124"/>
      <c r="AB124" s="2369"/>
      <c r="AC124" s="2365" t="s">
        <v>2896</v>
      </c>
      <c r="AD124" s="2365" t="s">
        <v>2805</v>
      </c>
    </row>
    <row r="125" spans="1:30" s="377" customFormat="1" ht="13.5" x14ac:dyDescent="0.25">
      <c r="A125" s="2125" t="s">
        <v>2315</v>
      </c>
      <c r="B125" s="144"/>
      <c r="C125" s="712">
        <f>SUMIFS(Sheet1!S71_PPPYearAmount,Sheet1!S71_SA34eCode,$AC:$AC,Sheet1!S71_A5CapexCode,$AD:$AD)</f>
        <v>0</v>
      </c>
      <c r="D125" s="712">
        <f>SUMIFS(Sheet1!S71_PPYearAmount,Sheet1!S71_SA34eCode,$AC:$AC,Sheet1!S71_A5CapexCode,$AD:$AD)</f>
        <v>0</v>
      </c>
      <c r="E125" s="715">
        <f>SUMIFS(Sheet1!S71_PYearAmount,Sheet1!S71_SA34eCode,$AC:$AC,Sheet1!S71_A5CapexCode,$AD:$AD)</f>
        <v>0</v>
      </c>
      <c r="F125" s="725">
        <f>SUMIFS(Sheet1!S71_OriginalBudAmnt,Sheet1!S71_SA34eCode,$AC:$AC,Sheet1!S71_A5CapexCode,$AD:$AD)</f>
        <v>0</v>
      </c>
      <c r="G125" s="712">
        <f>SUMIFS(Sheet1!S71_AdjustmentBudAmnt,Sheet1!S71_SA34eCode,$AC:$AC,Sheet1!S71_A5CapexCode,$AD:$AD)</f>
        <v>0</v>
      </c>
      <c r="H125" s="713">
        <f>SUMIFS(Sheet1!S71_AdjustmentBudAmnt,Sheet1!S71_SA34eCode,$AC:$AC,Sheet1!S71_A5CapexCode,$AD:$AD)</f>
        <v>0</v>
      </c>
      <c r="I125" s="725">
        <f>SUMIFS(Sheet1!S71_ASBudgetAmount,Sheet1!S71_SA34eCode,$AC:$AC,Sheet1!S71_A5CapexCode,$AD:$AD)</f>
        <v>0</v>
      </c>
      <c r="J125" s="712">
        <f>SUMIFS(Sheet1!S71_OY1BudgetAmount,Sheet1!S71_SA34eCode,$AC:$AC,Sheet1!S71_A5CapexCode,$AD:$AD)</f>
        <v>0</v>
      </c>
      <c r="K125" s="713">
        <f>SUMIFS(Sheet1!S71_OY2BudgetAmount,Sheet1!S71_SA34eCode,$AC:$AC,Sheet1!S71_A5CapexCode,$AD:$AD)</f>
        <v>0</v>
      </c>
      <c r="L125" s="2124"/>
      <c r="AB125" s="2369"/>
      <c r="AC125" s="2365" t="s">
        <v>2897</v>
      </c>
      <c r="AD125" s="2365" t="s">
        <v>2805</v>
      </c>
    </row>
    <row r="126" spans="1:30" s="377" customFormat="1" ht="13.5" x14ac:dyDescent="0.25">
      <c r="A126" s="2125" t="s">
        <v>2316</v>
      </c>
      <c r="B126" s="144"/>
      <c r="C126" s="712">
        <f>SUMIFS(Sheet1!S71_PPPYearAmount,Sheet1!S71_SA34eCode,$AC:$AC,Sheet1!S71_A5CapexCode,$AD:$AD)</f>
        <v>0</v>
      </c>
      <c r="D126" s="712">
        <f>SUMIFS(Sheet1!S71_PPYearAmount,Sheet1!S71_SA34eCode,$AC:$AC,Sheet1!S71_A5CapexCode,$AD:$AD)</f>
        <v>0</v>
      </c>
      <c r="E126" s="715">
        <f>SUMIFS(Sheet1!S71_PYearAmount,Sheet1!S71_SA34eCode,$AC:$AC,Sheet1!S71_A5CapexCode,$AD:$AD)</f>
        <v>0</v>
      </c>
      <c r="F126" s="725">
        <f>SUMIFS(Sheet1!S71_OriginalBudAmnt,Sheet1!S71_SA34eCode,$AC:$AC,Sheet1!S71_A5CapexCode,$AD:$AD)</f>
        <v>0</v>
      </c>
      <c r="G126" s="712">
        <f>SUMIFS(Sheet1!S71_AdjustmentBudAmnt,Sheet1!S71_SA34eCode,$AC:$AC,Sheet1!S71_A5CapexCode,$AD:$AD)</f>
        <v>0</v>
      </c>
      <c r="H126" s="713">
        <f>SUMIFS(Sheet1!S71_AdjustmentBudAmnt,Sheet1!S71_SA34eCode,$AC:$AC,Sheet1!S71_A5CapexCode,$AD:$AD)</f>
        <v>0</v>
      </c>
      <c r="I126" s="725">
        <f>SUMIFS(Sheet1!S71_ASBudgetAmount,Sheet1!S71_SA34eCode,$AC:$AC,Sheet1!S71_A5CapexCode,$AD:$AD)</f>
        <v>0</v>
      </c>
      <c r="J126" s="712">
        <f>SUMIFS(Sheet1!S71_OY1BudgetAmount,Sheet1!S71_SA34eCode,$AC:$AC,Sheet1!S71_A5CapexCode,$AD:$AD)</f>
        <v>0</v>
      </c>
      <c r="K126" s="713">
        <f>SUMIFS(Sheet1!S71_OY2BudgetAmount,Sheet1!S71_SA34eCode,$AC:$AC,Sheet1!S71_A5CapexCode,$AD:$AD)</f>
        <v>0</v>
      </c>
      <c r="L126" s="2124"/>
      <c r="AB126" s="2369"/>
      <c r="AC126" s="2365" t="s">
        <v>2898</v>
      </c>
      <c r="AD126" s="2365" t="s">
        <v>2805</v>
      </c>
    </row>
    <row r="127" spans="1:30" s="377" customFormat="1" ht="13.5" x14ac:dyDescent="0.25">
      <c r="A127" s="2125" t="s">
        <v>2317</v>
      </c>
      <c r="B127" s="144"/>
      <c r="C127" s="712">
        <f>SUMIFS(Sheet1!S71_PPPYearAmount,Sheet1!S71_SA34eCode,$AC:$AC,Sheet1!S71_A5CapexCode,$AD:$AD)</f>
        <v>0</v>
      </c>
      <c r="D127" s="712">
        <f>SUMIFS(Sheet1!S71_PPYearAmount,Sheet1!S71_SA34eCode,$AC:$AC,Sheet1!S71_A5CapexCode,$AD:$AD)</f>
        <v>0</v>
      </c>
      <c r="E127" s="715">
        <f>SUMIFS(Sheet1!S71_PYearAmount,Sheet1!S71_SA34eCode,$AC:$AC,Sheet1!S71_A5CapexCode,$AD:$AD)</f>
        <v>0</v>
      </c>
      <c r="F127" s="725">
        <f>SUMIFS(Sheet1!S71_OriginalBudAmnt,Sheet1!S71_SA34eCode,$AC:$AC,Sheet1!S71_A5CapexCode,$AD:$AD)</f>
        <v>0</v>
      </c>
      <c r="G127" s="712">
        <f>SUMIFS(Sheet1!S71_AdjustmentBudAmnt,Sheet1!S71_SA34eCode,$AC:$AC,Sheet1!S71_A5CapexCode,$AD:$AD)</f>
        <v>0</v>
      </c>
      <c r="H127" s="713">
        <f>SUMIFS(Sheet1!S71_AdjustmentBudAmnt,Sheet1!S71_SA34eCode,$AC:$AC,Sheet1!S71_A5CapexCode,$AD:$AD)</f>
        <v>0</v>
      </c>
      <c r="I127" s="725">
        <f>SUMIFS(Sheet1!S71_ASBudgetAmount,Sheet1!S71_SA34eCode,$AC:$AC,Sheet1!S71_A5CapexCode,$AD:$AD)</f>
        <v>0</v>
      </c>
      <c r="J127" s="712">
        <f>SUMIFS(Sheet1!S71_OY1BudgetAmount,Sheet1!S71_SA34eCode,$AC:$AC,Sheet1!S71_A5CapexCode,$AD:$AD)</f>
        <v>0</v>
      </c>
      <c r="K127" s="713">
        <f>SUMIFS(Sheet1!S71_OY2BudgetAmount,Sheet1!S71_SA34eCode,$AC:$AC,Sheet1!S71_A5CapexCode,$AD:$AD)</f>
        <v>0</v>
      </c>
      <c r="L127" s="2124"/>
      <c r="AB127" s="2369"/>
      <c r="AC127" s="2365" t="s">
        <v>2899</v>
      </c>
      <c r="AD127" s="2365" t="s">
        <v>2805</v>
      </c>
    </row>
    <row r="128" spans="1:30" s="377" customFormat="1" ht="13.5" x14ac:dyDescent="0.25">
      <c r="A128" s="2125" t="s">
        <v>2318</v>
      </c>
      <c r="B128" s="144"/>
      <c r="C128" s="712">
        <f>SUMIFS(Sheet1!S71_PPPYearAmount,Sheet1!S71_SA34eCode,$AC:$AC,Sheet1!S71_A5CapexCode,$AD:$AD)</f>
        <v>0</v>
      </c>
      <c r="D128" s="712">
        <f>SUMIFS(Sheet1!S71_PPYearAmount,Sheet1!S71_SA34eCode,$AC:$AC,Sheet1!S71_A5CapexCode,$AD:$AD)</f>
        <v>0</v>
      </c>
      <c r="E128" s="715">
        <f>SUMIFS(Sheet1!S71_PYearAmount,Sheet1!S71_SA34eCode,$AC:$AC,Sheet1!S71_A5CapexCode,$AD:$AD)</f>
        <v>0</v>
      </c>
      <c r="F128" s="725">
        <f>SUMIFS(Sheet1!S71_OriginalBudAmnt,Sheet1!S71_SA34eCode,$AC:$AC,Sheet1!S71_A5CapexCode,$AD:$AD)</f>
        <v>0</v>
      </c>
      <c r="G128" s="712">
        <f>SUMIFS(Sheet1!S71_AdjustmentBudAmnt,Sheet1!S71_SA34eCode,$AC:$AC,Sheet1!S71_A5CapexCode,$AD:$AD)</f>
        <v>0</v>
      </c>
      <c r="H128" s="713">
        <f>SUMIFS(Sheet1!S71_AdjustmentBudAmnt,Sheet1!S71_SA34eCode,$AC:$AC,Sheet1!S71_A5CapexCode,$AD:$AD)</f>
        <v>0</v>
      </c>
      <c r="I128" s="725">
        <f>SUMIFS(Sheet1!S71_ASBudgetAmount,Sheet1!S71_SA34eCode,$AC:$AC,Sheet1!S71_A5CapexCode,$AD:$AD)</f>
        <v>0</v>
      </c>
      <c r="J128" s="712">
        <f>SUMIFS(Sheet1!S71_OY1BudgetAmount,Sheet1!S71_SA34eCode,$AC:$AC,Sheet1!S71_A5CapexCode,$AD:$AD)</f>
        <v>0</v>
      </c>
      <c r="K128" s="713">
        <f>SUMIFS(Sheet1!S71_OY2BudgetAmount,Sheet1!S71_SA34eCode,$AC:$AC,Sheet1!S71_A5CapexCode,$AD:$AD)</f>
        <v>0</v>
      </c>
      <c r="L128" s="2124"/>
      <c r="AB128" s="2369"/>
      <c r="AC128" s="2365" t="s">
        <v>2900</v>
      </c>
      <c r="AD128" s="2365" t="s">
        <v>2805</v>
      </c>
    </row>
    <row r="129" spans="1:30" s="377" customFormat="1" ht="13.5" x14ac:dyDescent="0.25">
      <c r="A129" s="2125" t="s">
        <v>2319</v>
      </c>
      <c r="B129" s="144"/>
      <c r="C129" s="712">
        <f>SUMIFS(Sheet1!S71_PPPYearAmount,Sheet1!S71_SA34eCode,$AC:$AC,Sheet1!S71_A5CapexCode,$AD:$AD)</f>
        <v>0</v>
      </c>
      <c r="D129" s="712">
        <f>SUMIFS(Sheet1!S71_PPYearAmount,Sheet1!S71_SA34eCode,$AC:$AC,Sheet1!S71_A5CapexCode,$AD:$AD)</f>
        <v>0</v>
      </c>
      <c r="E129" s="715">
        <f>SUMIFS(Sheet1!S71_PYearAmount,Sheet1!S71_SA34eCode,$AC:$AC,Sheet1!S71_A5CapexCode,$AD:$AD)</f>
        <v>0</v>
      </c>
      <c r="F129" s="725">
        <f>SUMIFS(Sheet1!S71_OriginalBudAmnt,Sheet1!S71_SA34eCode,$AC:$AC,Sheet1!S71_A5CapexCode,$AD:$AD)</f>
        <v>0</v>
      </c>
      <c r="G129" s="712">
        <f>SUMIFS(Sheet1!S71_AdjustmentBudAmnt,Sheet1!S71_SA34eCode,$AC:$AC,Sheet1!S71_A5CapexCode,$AD:$AD)</f>
        <v>0</v>
      </c>
      <c r="H129" s="713">
        <f>SUMIFS(Sheet1!S71_AdjustmentBudAmnt,Sheet1!S71_SA34eCode,$AC:$AC,Sheet1!S71_A5CapexCode,$AD:$AD)</f>
        <v>0</v>
      </c>
      <c r="I129" s="725">
        <f>SUMIFS(Sheet1!S71_ASBudgetAmount,Sheet1!S71_SA34eCode,$AC:$AC,Sheet1!S71_A5CapexCode,$AD:$AD)</f>
        <v>0</v>
      </c>
      <c r="J129" s="712">
        <f>SUMIFS(Sheet1!S71_OY1BudgetAmount,Sheet1!S71_SA34eCode,$AC:$AC,Sheet1!S71_A5CapexCode,$AD:$AD)</f>
        <v>0</v>
      </c>
      <c r="K129" s="713">
        <f>SUMIFS(Sheet1!S71_OY2BudgetAmount,Sheet1!S71_SA34eCode,$AC:$AC,Sheet1!S71_A5CapexCode,$AD:$AD)</f>
        <v>0</v>
      </c>
      <c r="L129" s="2124"/>
      <c r="AB129" s="2369"/>
      <c r="AC129" s="2365" t="s">
        <v>2901</v>
      </c>
      <c r="AD129" s="2365" t="s">
        <v>2805</v>
      </c>
    </row>
    <row r="130" spans="1:30" s="377" customFormat="1" ht="13.5" x14ac:dyDescent="0.25">
      <c r="A130" s="2125" t="s">
        <v>2233</v>
      </c>
      <c r="B130" s="144"/>
      <c r="C130" s="712">
        <f>SUMIFS(Sheet1!S71_PPPYearAmount,Sheet1!S71_SA34eCode,$AC:$AC,Sheet1!S71_A5CapexCode,$AD:$AD)</f>
        <v>0</v>
      </c>
      <c r="D130" s="712">
        <f>SUMIFS(Sheet1!S71_PPYearAmount,Sheet1!S71_SA34eCode,$AC:$AC,Sheet1!S71_A5CapexCode,$AD:$AD)</f>
        <v>0</v>
      </c>
      <c r="E130" s="715">
        <f>SUMIFS(Sheet1!S71_PYearAmount,Sheet1!S71_SA34eCode,$AC:$AC,Sheet1!S71_A5CapexCode,$AD:$AD)</f>
        <v>0</v>
      </c>
      <c r="F130" s="725">
        <f>SUMIFS(Sheet1!S71_OriginalBudAmnt,Sheet1!S71_SA34eCode,$AC:$AC,Sheet1!S71_A5CapexCode,$AD:$AD)</f>
        <v>0</v>
      </c>
      <c r="G130" s="712">
        <f>SUMIFS(Sheet1!S71_AdjustmentBudAmnt,Sheet1!S71_SA34eCode,$AC:$AC,Sheet1!S71_A5CapexCode,$AD:$AD)</f>
        <v>0</v>
      </c>
      <c r="H130" s="713">
        <f>SUMIFS(Sheet1!S71_AdjustmentBudAmnt,Sheet1!S71_SA34eCode,$AC:$AC,Sheet1!S71_A5CapexCode,$AD:$AD)</f>
        <v>0</v>
      </c>
      <c r="I130" s="725">
        <f>SUMIFS(Sheet1!S71_ASBudgetAmount,Sheet1!S71_SA34eCode,$AC:$AC,Sheet1!S71_A5CapexCode,$AD:$AD)</f>
        <v>0</v>
      </c>
      <c r="J130" s="712">
        <f>SUMIFS(Sheet1!S71_OY1BudgetAmount,Sheet1!S71_SA34eCode,$AC:$AC,Sheet1!S71_A5CapexCode,$AD:$AD)</f>
        <v>0</v>
      </c>
      <c r="K130" s="713">
        <f>SUMIFS(Sheet1!S71_OY2BudgetAmount,Sheet1!S71_SA34eCode,$AC:$AC,Sheet1!S71_A5CapexCode,$AD:$AD)</f>
        <v>0</v>
      </c>
      <c r="L130" s="2124"/>
      <c r="AB130" s="2369"/>
      <c r="AC130" s="2365" t="s">
        <v>2071</v>
      </c>
      <c r="AD130" s="2365" t="s">
        <v>2805</v>
      </c>
    </row>
    <row r="131" spans="1:30" s="377" customFormat="1" ht="13.5" x14ac:dyDescent="0.25">
      <c r="A131" s="104" t="s">
        <v>1487</v>
      </c>
      <c r="B131" s="144"/>
      <c r="C131" s="71">
        <f>SUM(C132:C134)</f>
        <v>0</v>
      </c>
      <c r="D131" s="71">
        <f t="shared" ref="D131:K131" si="19">SUM(D132:D134)</f>
        <v>0</v>
      </c>
      <c r="E131" s="305">
        <f t="shared" si="19"/>
        <v>0</v>
      </c>
      <c r="F131" s="75">
        <f t="shared" si="19"/>
        <v>0</v>
      </c>
      <c r="G131" s="71">
        <f t="shared" si="19"/>
        <v>0</v>
      </c>
      <c r="H131" s="117">
        <f t="shared" si="19"/>
        <v>0</v>
      </c>
      <c r="I131" s="75">
        <f t="shared" si="19"/>
        <v>0</v>
      </c>
      <c r="J131" s="71">
        <f t="shared" si="19"/>
        <v>0</v>
      </c>
      <c r="K131" s="117">
        <f t="shared" si="19"/>
        <v>0</v>
      </c>
      <c r="L131" s="2124"/>
      <c r="AB131" s="2369"/>
      <c r="AC131" s="2365"/>
      <c r="AD131" s="2365"/>
    </row>
    <row r="132" spans="1:30" s="377" customFormat="1" ht="13.5" x14ac:dyDescent="0.25">
      <c r="A132" s="2125" t="s">
        <v>2320</v>
      </c>
      <c r="B132" s="144"/>
      <c r="C132" s="712">
        <f>SUMIFS(Sheet1!S71_PPPYearAmount,Sheet1!S71_SA34eCode,$AC:$AC,Sheet1!S71_A5CapexCode,$AD:$AD)</f>
        <v>0</v>
      </c>
      <c r="D132" s="712">
        <f>SUMIFS(Sheet1!S71_PPYearAmount,Sheet1!S71_SA34eCode,$AC:$AC,Sheet1!S71_A5CapexCode,$AD:$AD)</f>
        <v>0</v>
      </c>
      <c r="E132" s="715">
        <f>SUMIFS(Sheet1!S71_PYearAmount,Sheet1!S71_SA34eCode,$AC:$AC,Sheet1!S71_A5CapexCode,$AD:$AD)</f>
        <v>0</v>
      </c>
      <c r="F132" s="725">
        <f>SUMIFS(Sheet1!S71_OriginalBudAmnt,Sheet1!S71_SA34eCode,$AC:$AC,Sheet1!S71_A5CapexCode,$AD:$AD)</f>
        <v>0</v>
      </c>
      <c r="G132" s="712">
        <f>SUMIFS(Sheet1!S71_AdjustmentBudAmnt,Sheet1!S71_SA34eCode,$AC:$AC,Sheet1!S71_A5CapexCode,$AD:$AD)</f>
        <v>0</v>
      </c>
      <c r="H132" s="713">
        <f>SUMIFS(Sheet1!S71_AdjustmentBudAmnt,Sheet1!S71_SA34eCode,$AC:$AC,Sheet1!S71_A5CapexCode,$AD:$AD)</f>
        <v>0</v>
      </c>
      <c r="I132" s="725">
        <f>SUMIFS(Sheet1!S71_ASBudgetAmount,Sheet1!S71_SA34eCode,$AC:$AC,Sheet1!S71_A5CapexCode,$AD:$AD)</f>
        <v>0</v>
      </c>
      <c r="J132" s="712">
        <f>SUMIFS(Sheet1!S71_OY1BudgetAmount,Sheet1!S71_SA34eCode,$AC:$AC,Sheet1!S71_A5CapexCode,$AD:$AD)</f>
        <v>0</v>
      </c>
      <c r="K132" s="713">
        <f>SUMIFS(Sheet1!S71_OY2BudgetAmount,Sheet1!S71_SA34eCode,$AC:$AC,Sheet1!S71_A5CapexCode,$AD:$AD)</f>
        <v>0</v>
      </c>
      <c r="L132" s="2124"/>
      <c r="AB132" s="2369"/>
      <c r="AC132" s="2365" t="s">
        <v>2902</v>
      </c>
      <c r="AD132" s="2365" t="s">
        <v>2805</v>
      </c>
    </row>
    <row r="133" spans="1:30" s="377" customFormat="1" ht="13.5" x14ac:dyDescent="0.25">
      <c r="A133" s="2125" t="s">
        <v>2321</v>
      </c>
      <c r="B133" s="144"/>
      <c r="C133" s="712">
        <f>SUMIFS(Sheet1!S71_PPPYearAmount,Sheet1!S71_SA34eCode,$AC:$AC,Sheet1!S71_A5CapexCode,$AD:$AD)</f>
        <v>0</v>
      </c>
      <c r="D133" s="712">
        <f>SUMIFS(Sheet1!S71_PPYearAmount,Sheet1!S71_SA34eCode,$AC:$AC,Sheet1!S71_A5CapexCode,$AD:$AD)</f>
        <v>0</v>
      </c>
      <c r="E133" s="715">
        <f>SUMIFS(Sheet1!S71_PYearAmount,Sheet1!S71_SA34eCode,$AC:$AC,Sheet1!S71_A5CapexCode,$AD:$AD)</f>
        <v>0</v>
      </c>
      <c r="F133" s="725">
        <f>SUMIFS(Sheet1!S71_OriginalBudAmnt,Sheet1!S71_SA34eCode,$AC:$AC,Sheet1!S71_A5CapexCode,$AD:$AD)</f>
        <v>0</v>
      </c>
      <c r="G133" s="712">
        <f>SUMIFS(Sheet1!S71_AdjustmentBudAmnt,Sheet1!S71_SA34eCode,$AC:$AC,Sheet1!S71_A5CapexCode,$AD:$AD)</f>
        <v>0</v>
      </c>
      <c r="H133" s="713">
        <f>SUMIFS(Sheet1!S71_AdjustmentBudAmnt,Sheet1!S71_SA34eCode,$AC:$AC,Sheet1!S71_A5CapexCode,$AD:$AD)</f>
        <v>0</v>
      </c>
      <c r="I133" s="725">
        <f>SUMIFS(Sheet1!S71_ASBudgetAmount,Sheet1!S71_SA34eCode,$AC:$AC,Sheet1!S71_A5CapexCode,$AD:$AD)</f>
        <v>0</v>
      </c>
      <c r="J133" s="712">
        <f>SUMIFS(Sheet1!S71_OY1BudgetAmount,Sheet1!S71_SA34eCode,$AC:$AC,Sheet1!S71_A5CapexCode,$AD:$AD)</f>
        <v>0</v>
      </c>
      <c r="K133" s="713">
        <f>SUMIFS(Sheet1!S71_OY2BudgetAmount,Sheet1!S71_SA34eCode,$AC:$AC,Sheet1!S71_A5CapexCode,$AD:$AD)</f>
        <v>0</v>
      </c>
      <c r="L133" s="2124"/>
      <c r="AB133" s="2369"/>
      <c r="AC133" s="2365" t="s">
        <v>2903</v>
      </c>
      <c r="AD133" s="2365" t="s">
        <v>2805</v>
      </c>
    </row>
    <row r="134" spans="1:30" s="377" customFormat="1" ht="13.5" x14ac:dyDescent="0.25">
      <c r="A134" s="2125" t="s">
        <v>2233</v>
      </c>
      <c r="B134" s="144"/>
      <c r="C134" s="712">
        <f>SUMIFS(Sheet1!S71_PPPYearAmount,Sheet1!S71_SA34eCode,$AC:$AC,Sheet1!S71_A5CapexCode,$AD:$AD)</f>
        <v>0</v>
      </c>
      <c r="D134" s="712">
        <f>SUMIFS(Sheet1!S71_PPYearAmount,Sheet1!S71_SA34eCode,$AC:$AC,Sheet1!S71_A5CapexCode,$AD:$AD)</f>
        <v>0</v>
      </c>
      <c r="E134" s="715">
        <f>SUMIFS(Sheet1!S71_PYearAmount,Sheet1!S71_SA34eCode,$AC:$AC,Sheet1!S71_A5CapexCode,$AD:$AD)</f>
        <v>0</v>
      </c>
      <c r="F134" s="725">
        <f>SUMIFS(Sheet1!S71_OriginalBudAmnt,Sheet1!S71_SA34eCode,$AC:$AC,Sheet1!S71_A5CapexCode,$AD:$AD)</f>
        <v>0</v>
      </c>
      <c r="G134" s="712">
        <f>SUMIFS(Sheet1!S71_AdjustmentBudAmnt,Sheet1!S71_SA34eCode,$AC:$AC,Sheet1!S71_A5CapexCode,$AD:$AD)</f>
        <v>0</v>
      </c>
      <c r="H134" s="713">
        <f>SUMIFS(Sheet1!S71_AdjustmentBudAmnt,Sheet1!S71_SA34eCode,$AC:$AC,Sheet1!S71_A5CapexCode,$AD:$AD)</f>
        <v>0</v>
      </c>
      <c r="I134" s="725">
        <f>SUMIFS(Sheet1!S71_ASBudgetAmount,Sheet1!S71_SA34eCode,$AC:$AC,Sheet1!S71_A5CapexCode,$AD:$AD)</f>
        <v>0</v>
      </c>
      <c r="J134" s="712">
        <f>SUMIFS(Sheet1!S71_OY1BudgetAmount,Sheet1!S71_SA34eCode,$AC:$AC,Sheet1!S71_A5CapexCode,$AD:$AD)</f>
        <v>0</v>
      </c>
      <c r="K134" s="713">
        <f>SUMIFS(Sheet1!S71_OY2BudgetAmount,Sheet1!S71_SA34eCode,$AC:$AC,Sheet1!S71_A5CapexCode,$AD:$AD)</f>
        <v>0</v>
      </c>
      <c r="L134" s="2124"/>
      <c r="AB134" s="2369"/>
      <c r="AC134" s="2365" t="s">
        <v>2904</v>
      </c>
      <c r="AD134" s="2365" t="s">
        <v>2805</v>
      </c>
    </row>
    <row r="135" spans="1:30" ht="4.9000000000000004" customHeight="1" x14ac:dyDescent="0.25">
      <c r="A135" s="2127"/>
      <c r="B135" s="144"/>
      <c r="C135" s="177"/>
      <c r="D135" s="177"/>
      <c r="E135" s="180"/>
      <c r="F135" s="179"/>
      <c r="G135" s="177"/>
      <c r="H135" s="178"/>
      <c r="I135" s="179"/>
      <c r="J135" s="177"/>
      <c r="K135" s="178"/>
      <c r="L135" s="322"/>
    </row>
    <row r="136" spans="1:30" ht="13.5" customHeight="1" x14ac:dyDescent="0.25">
      <c r="A136" s="96" t="s">
        <v>2322</v>
      </c>
      <c r="B136" s="144"/>
      <c r="C136" s="177">
        <f t="shared" ref="C136:K136" si="20">SUM(C137:C137)</f>
        <v>0</v>
      </c>
      <c r="D136" s="177">
        <f t="shared" si="20"/>
        <v>0</v>
      </c>
      <c r="E136" s="180">
        <f t="shared" si="20"/>
        <v>0</v>
      </c>
      <c r="F136" s="179">
        <f t="shared" si="20"/>
        <v>0</v>
      </c>
      <c r="G136" s="177">
        <f t="shared" si="20"/>
        <v>0</v>
      </c>
      <c r="H136" s="178">
        <f t="shared" si="20"/>
        <v>0</v>
      </c>
      <c r="I136" s="179">
        <f t="shared" si="20"/>
        <v>0</v>
      </c>
      <c r="J136" s="177">
        <f t="shared" si="20"/>
        <v>0</v>
      </c>
      <c r="K136" s="178">
        <f t="shared" si="20"/>
        <v>0</v>
      </c>
      <c r="L136" s="322"/>
    </row>
    <row r="137" spans="1:30" ht="11.25" customHeight="1" x14ac:dyDescent="0.25">
      <c r="A137" s="104" t="s">
        <v>2322</v>
      </c>
      <c r="B137" s="144"/>
      <c r="C137" s="712">
        <f>SUMIFS(Sheet1!S71_PPPYearAmount,Sheet1!S71_SA34eCode,$AC:$AC,Sheet1!S71_A5CapexCode,$AD:$AD)</f>
        <v>0</v>
      </c>
      <c r="D137" s="712">
        <f>SUMIFS(Sheet1!S71_PPYearAmount,Sheet1!S71_SA34eCode,$AC:$AC,Sheet1!S71_A5CapexCode,$AD:$AD)</f>
        <v>0</v>
      </c>
      <c r="E137" s="715">
        <f>SUMIFS(Sheet1!S71_PYearAmount,Sheet1!S71_SA34eCode,$AC:$AC,Sheet1!S71_A5CapexCode,$AD:$AD)</f>
        <v>0</v>
      </c>
      <c r="F137" s="725">
        <f>SUMIFS(Sheet1!S71_OriginalBudAmnt,Sheet1!S71_SA34eCode,$AC:$AC,Sheet1!S71_A5CapexCode,$AD:$AD)</f>
        <v>0</v>
      </c>
      <c r="G137" s="712">
        <f>SUMIFS(Sheet1!S71_AdjustmentBudAmnt,Sheet1!S71_SA34eCode,$AC:$AC,Sheet1!S71_A5CapexCode,$AD:$AD)</f>
        <v>0</v>
      </c>
      <c r="H137" s="713">
        <f>SUMIFS(Sheet1!S71_AdjustmentBudAmnt,Sheet1!S71_SA34eCode,$AC:$AC,Sheet1!S71_A5CapexCode,$AD:$AD)</f>
        <v>0</v>
      </c>
      <c r="I137" s="725">
        <f>SUMIFS(Sheet1!S71_ASBudgetAmount,Sheet1!S71_SA34eCode,$AC:$AC,Sheet1!S71_A5CapexCode,$AD:$AD)</f>
        <v>0</v>
      </c>
      <c r="J137" s="712">
        <f>SUMIFS(Sheet1!S71_OY1BudgetAmount,Sheet1!S71_SA34eCode,$AC:$AC,Sheet1!S71_A5CapexCode,$AD:$AD)</f>
        <v>0</v>
      </c>
      <c r="K137" s="713">
        <f>SUMIFS(Sheet1!S71_OY2BudgetAmount,Sheet1!S71_SA34eCode,$AC:$AC,Sheet1!S71_A5CapexCode,$AD:$AD)</f>
        <v>0</v>
      </c>
      <c r="L137" s="322"/>
      <c r="AC137" s="2365" t="s">
        <v>2797</v>
      </c>
      <c r="AD137" s="2365" t="s">
        <v>2805</v>
      </c>
    </row>
    <row r="138" spans="1:30" ht="4.9000000000000004" customHeight="1" x14ac:dyDescent="0.25">
      <c r="A138" s="116"/>
      <c r="B138" s="144"/>
      <c r="C138" s="177"/>
      <c r="D138" s="177"/>
      <c r="E138" s="180"/>
      <c r="F138" s="179"/>
      <c r="G138" s="177"/>
      <c r="H138" s="178"/>
      <c r="I138" s="179"/>
      <c r="J138" s="177"/>
      <c r="K138" s="178"/>
      <c r="L138" s="322"/>
    </row>
    <row r="139" spans="1:30" ht="17.25" customHeight="1" x14ac:dyDescent="0.25">
      <c r="A139" s="96" t="s">
        <v>2325</v>
      </c>
      <c r="B139" s="144"/>
      <c r="C139" s="177">
        <f>+C140+C141</f>
        <v>0</v>
      </c>
      <c r="D139" s="177">
        <f t="shared" ref="D139:K139" si="21">+D140+D141</f>
        <v>0</v>
      </c>
      <c r="E139" s="180">
        <f t="shared" si="21"/>
        <v>0</v>
      </c>
      <c r="F139" s="179">
        <f t="shared" si="21"/>
        <v>0</v>
      </c>
      <c r="G139" s="177">
        <f t="shared" si="21"/>
        <v>0</v>
      </c>
      <c r="H139" s="178">
        <f t="shared" si="21"/>
        <v>0</v>
      </c>
      <c r="I139" s="179">
        <f t="shared" si="21"/>
        <v>0</v>
      </c>
      <c r="J139" s="177">
        <f t="shared" si="21"/>
        <v>0</v>
      </c>
      <c r="K139" s="178">
        <f t="shared" si="21"/>
        <v>0</v>
      </c>
      <c r="L139" s="322"/>
    </row>
    <row r="140" spans="1:30" ht="11.25" customHeight="1" x14ac:dyDescent="0.25">
      <c r="A140" s="137" t="s">
        <v>2323</v>
      </c>
      <c r="B140" s="144"/>
      <c r="C140" s="712">
        <f>SUMIFS(Sheet1!S71_PPPYearAmount,Sheet1!S71_SA34eCode,$AC:$AC,Sheet1!S71_A5CapexCode,$AD:$AD)</f>
        <v>0</v>
      </c>
      <c r="D140" s="712">
        <f>SUMIFS(Sheet1!S71_PPYearAmount,Sheet1!S71_SA34eCode,$AC:$AC,Sheet1!S71_A5CapexCode,$AD:$AD)</f>
        <v>0</v>
      </c>
      <c r="E140" s="715">
        <f>SUMIFS(Sheet1!S71_PYearAmount,Sheet1!S71_SA34eCode,$AC:$AC,Sheet1!S71_A5CapexCode,$AD:$AD)</f>
        <v>0</v>
      </c>
      <c r="F140" s="725">
        <f>SUMIFS(Sheet1!S71_OriginalBudAmnt,Sheet1!S71_SA34eCode,$AC:$AC,Sheet1!S71_A5CapexCode,$AD:$AD)</f>
        <v>0</v>
      </c>
      <c r="G140" s="712">
        <f>SUMIFS(Sheet1!S71_AdjustmentBudAmnt,Sheet1!S71_SA34eCode,$AC:$AC,Sheet1!S71_A5CapexCode,$AD:$AD)</f>
        <v>0</v>
      </c>
      <c r="H140" s="713">
        <f>SUMIFS(Sheet1!S71_AdjustmentBudAmnt,Sheet1!S71_SA34eCode,$AC:$AC,Sheet1!S71_A5CapexCode,$AD:$AD)</f>
        <v>0</v>
      </c>
      <c r="I140" s="725">
        <f>SUMIFS(Sheet1!S71_ASBudgetAmount,Sheet1!S71_SA34eCode,$AC:$AC,Sheet1!S71_A5CapexCode,$AD:$AD)</f>
        <v>0</v>
      </c>
      <c r="J140" s="712">
        <f>SUMIFS(Sheet1!S71_OY1BudgetAmount,Sheet1!S71_SA34eCode,$AC:$AC,Sheet1!S71_A5CapexCode,$AD:$AD)</f>
        <v>0</v>
      </c>
      <c r="K140" s="713">
        <f>SUMIFS(Sheet1!S71_OY2BudgetAmount,Sheet1!S71_SA34eCode,$AC:$AC,Sheet1!S71_A5CapexCode,$AD:$AD)</f>
        <v>0</v>
      </c>
      <c r="L140" s="322"/>
      <c r="AC140" s="2365" t="s">
        <v>2905</v>
      </c>
      <c r="AD140" s="2365" t="s">
        <v>2805</v>
      </c>
    </row>
    <row r="141" spans="1:30" ht="11.25" customHeight="1" x14ac:dyDescent="0.25">
      <c r="A141" s="137" t="s">
        <v>2324</v>
      </c>
      <c r="B141" s="144"/>
      <c r="C141" s="71">
        <f>SUM(C142:C147)</f>
        <v>0</v>
      </c>
      <c r="D141" s="71">
        <f t="shared" ref="D141:K141" si="22">SUM(D142:D147)</f>
        <v>0</v>
      </c>
      <c r="E141" s="305">
        <f t="shared" si="22"/>
        <v>0</v>
      </c>
      <c r="F141" s="75">
        <f t="shared" si="22"/>
        <v>0</v>
      </c>
      <c r="G141" s="71">
        <f t="shared" si="22"/>
        <v>0</v>
      </c>
      <c r="H141" s="117">
        <f t="shared" si="22"/>
        <v>0</v>
      </c>
      <c r="I141" s="75">
        <f t="shared" si="22"/>
        <v>0</v>
      </c>
      <c r="J141" s="71">
        <f t="shared" si="22"/>
        <v>0</v>
      </c>
      <c r="K141" s="117">
        <f t="shared" si="22"/>
        <v>0</v>
      </c>
      <c r="L141" s="322"/>
    </row>
    <row r="142" spans="1:30" s="377" customFormat="1" ht="13.5" x14ac:dyDescent="0.25">
      <c r="A142" s="2125" t="s">
        <v>2326</v>
      </c>
      <c r="B142" s="144"/>
      <c r="C142" s="712">
        <f>SUMIFS(Sheet1!S71_PPPYearAmount,Sheet1!S71_SA34eCode,$AC:$AC,Sheet1!S71_A5CapexCode,$AD:$AD)</f>
        <v>0</v>
      </c>
      <c r="D142" s="712">
        <f>SUMIFS(Sheet1!S71_PPYearAmount,Sheet1!S71_SA34eCode,$AC:$AC,Sheet1!S71_A5CapexCode,$AD:$AD)</f>
        <v>0</v>
      </c>
      <c r="E142" s="715">
        <f>SUMIFS(Sheet1!S71_PYearAmount,Sheet1!S71_SA34eCode,$AC:$AC,Sheet1!S71_A5CapexCode,$AD:$AD)</f>
        <v>0</v>
      </c>
      <c r="F142" s="725">
        <f>SUMIFS(Sheet1!S71_OriginalBudAmnt,Sheet1!S71_SA34eCode,$AC:$AC,Sheet1!S71_A5CapexCode,$AD:$AD)</f>
        <v>0</v>
      </c>
      <c r="G142" s="712">
        <f>SUMIFS(Sheet1!S71_AdjustmentBudAmnt,Sheet1!S71_SA34eCode,$AC:$AC,Sheet1!S71_A5CapexCode,$AD:$AD)</f>
        <v>0</v>
      </c>
      <c r="H142" s="713">
        <f>SUMIFS(Sheet1!S71_AdjustmentBudAmnt,Sheet1!S71_SA34eCode,$AC:$AC,Sheet1!S71_A5CapexCode,$AD:$AD)</f>
        <v>0</v>
      </c>
      <c r="I142" s="725">
        <f>SUMIFS(Sheet1!S71_ASBudgetAmount,Sheet1!S71_SA34eCode,$AC:$AC,Sheet1!S71_A5CapexCode,$AD:$AD)</f>
        <v>0</v>
      </c>
      <c r="J142" s="712">
        <f>SUMIFS(Sheet1!S71_OY1BudgetAmount,Sheet1!S71_SA34eCode,$AC:$AC,Sheet1!S71_A5CapexCode,$AD:$AD)</f>
        <v>0</v>
      </c>
      <c r="K142" s="713">
        <f>SUMIFS(Sheet1!S71_OY2BudgetAmount,Sheet1!S71_SA34eCode,$AC:$AC,Sheet1!S71_A5CapexCode,$AD:$AD)</f>
        <v>0</v>
      </c>
      <c r="L142" s="2124"/>
      <c r="AB142" s="2369"/>
      <c r="AC142" s="2365" t="s">
        <v>2080</v>
      </c>
      <c r="AD142" s="2365" t="s">
        <v>2805</v>
      </c>
    </row>
    <row r="143" spans="1:30" s="377" customFormat="1" ht="13.5" x14ac:dyDescent="0.25">
      <c r="A143" s="2125" t="s">
        <v>2327</v>
      </c>
      <c r="B143" s="144"/>
      <c r="C143" s="712">
        <f>SUMIFS(Sheet1!S71_PPPYearAmount,Sheet1!S71_SA34eCode,$AC:$AC,Sheet1!S71_A5CapexCode,$AD:$AD)</f>
        <v>0</v>
      </c>
      <c r="D143" s="712">
        <f>SUMIFS(Sheet1!S71_PPYearAmount,Sheet1!S71_SA34eCode,$AC:$AC,Sheet1!S71_A5CapexCode,$AD:$AD)</f>
        <v>0</v>
      </c>
      <c r="E143" s="715">
        <f>SUMIFS(Sheet1!S71_PYearAmount,Sheet1!S71_SA34eCode,$AC:$AC,Sheet1!S71_A5CapexCode,$AD:$AD)</f>
        <v>0</v>
      </c>
      <c r="F143" s="725">
        <f>SUMIFS(Sheet1!S71_OriginalBudAmnt,Sheet1!S71_SA34eCode,$AC:$AC,Sheet1!S71_A5CapexCode,$AD:$AD)</f>
        <v>0</v>
      </c>
      <c r="G143" s="712">
        <f>SUMIFS(Sheet1!S71_AdjustmentBudAmnt,Sheet1!S71_SA34eCode,$AC:$AC,Sheet1!S71_A5CapexCode,$AD:$AD)</f>
        <v>0</v>
      </c>
      <c r="H143" s="713">
        <f>SUMIFS(Sheet1!S71_AdjustmentBudAmnt,Sheet1!S71_SA34eCode,$AC:$AC,Sheet1!S71_A5CapexCode,$AD:$AD)</f>
        <v>0</v>
      </c>
      <c r="I143" s="725">
        <f>SUMIFS(Sheet1!S71_ASBudgetAmount,Sheet1!S71_SA34eCode,$AC:$AC,Sheet1!S71_A5CapexCode,$AD:$AD)</f>
        <v>0</v>
      </c>
      <c r="J143" s="712">
        <f>SUMIFS(Sheet1!S71_OY1BudgetAmount,Sheet1!S71_SA34eCode,$AC:$AC,Sheet1!S71_A5CapexCode,$AD:$AD)</f>
        <v>0</v>
      </c>
      <c r="K143" s="713">
        <f>SUMIFS(Sheet1!S71_OY2BudgetAmount,Sheet1!S71_SA34eCode,$AC:$AC,Sheet1!S71_A5CapexCode,$AD:$AD)</f>
        <v>0</v>
      </c>
      <c r="L143" s="2124"/>
      <c r="AB143" s="2369"/>
      <c r="AC143" s="2365" t="s">
        <v>2906</v>
      </c>
      <c r="AD143" s="2365" t="s">
        <v>2805</v>
      </c>
    </row>
    <row r="144" spans="1:30" s="377" customFormat="1" ht="13.5" x14ac:dyDescent="0.25">
      <c r="A144" s="2125" t="s">
        <v>2328</v>
      </c>
      <c r="B144" s="144"/>
      <c r="C144" s="712">
        <f>SUMIFS(Sheet1!S71_PPPYearAmount,Sheet1!S71_SA34eCode,$AC:$AC,Sheet1!S71_A5CapexCode,$AD:$AD)</f>
        <v>0</v>
      </c>
      <c r="D144" s="712">
        <f>SUMIFS(Sheet1!S71_PPYearAmount,Sheet1!S71_SA34eCode,$AC:$AC,Sheet1!S71_A5CapexCode,$AD:$AD)</f>
        <v>0</v>
      </c>
      <c r="E144" s="715">
        <f>SUMIFS(Sheet1!S71_PYearAmount,Sheet1!S71_SA34eCode,$AC:$AC,Sheet1!S71_A5CapexCode,$AD:$AD)</f>
        <v>0</v>
      </c>
      <c r="F144" s="725">
        <f>SUMIFS(Sheet1!S71_OriginalBudAmnt,Sheet1!S71_SA34eCode,$AC:$AC,Sheet1!S71_A5CapexCode,$AD:$AD)</f>
        <v>0</v>
      </c>
      <c r="G144" s="712">
        <f>SUMIFS(Sheet1!S71_AdjustmentBudAmnt,Sheet1!S71_SA34eCode,$AC:$AC,Sheet1!S71_A5CapexCode,$AD:$AD)</f>
        <v>0</v>
      </c>
      <c r="H144" s="713">
        <f>SUMIFS(Sheet1!S71_AdjustmentBudAmnt,Sheet1!S71_SA34eCode,$AC:$AC,Sheet1!S71_A5CapexCode,$AD:$AD)</f>
        <v>0</v>
      </c>
      <c r="I144" s="725">
        <f>SUMIFS(Sheet1!S71_ASBudgetAmount,Sheet1!S71_SA34eCode,$AC:$AC,Sheet1!S71_A5CapexCode,$AD:$AD)</f>
        <v>0</v>
      </c>
      <c r="J144" s="712">
        <f>SUMIFS(Sheet1!S71_OY1BudgetAmount,Sheet1!S71_SA34eCode,$AC:$AC,Sheet1!S71_A5CapexCode,$AD:$AD)</f>
        <v>0</v>
      </c>
      <c r="K144" s="713">
        <f>SUMIFS(Sheet1!S71_OY2BudgetAmount,Sheet1!S71_SA34eCode,$AC:$AC,Sheet1!S71_A5CapexCode,$AD:$AD)</f>
        <v>0</v>
      </c>
      <c r="L144" s="2124"/>
      <c r="AB144" s="2369"/>
      <c r="AC144" s="2365" t="s">
        <v>2907</v>
      </c>
      <c r="AD144" s="2365" t="s">
        <v>2805</v>
      </c>
    </row>
    <row r="145" spans="1:30" s="377" customFormat="1" ht="13.5" x14ac:dyDescent="0.25">
      <c r="A145" s="2125" t="s">
        <v>2329</v>
      </c>
      <c r="B145" s="144"/>
      <c r="C145" s="712">
        <f>SUMIFS(Sheet1!S71_PPPYearAmount,Sheet1!S71_SA34eCode,$AC:$AC,Sheet1!S71_A5CapexCode,$AD:$AD)</f>
        <v>0</v>
      </c>
      <c r="D145" s="712">
        <f>SUMIFS(Sheet1!S71_PPYearAmount,Sheet1!S71_SA34eCode,$AC:$AC,Sheet1!S71_A5CapexCode,$AD:$AD)</f>
        <v>0</v>
      </c>
      <c r="E145" s="715">
        <f>SUMIFS(Sheet1!S71_PYearAmount,Sheet1!S71_SA34eCode,$AC:$AC,Sheet1!S71_A5CapexCode,$AD:$AD)</f>
        <v>0</v>
      </c>
      <c r="F145" s="725">
        <f>SUMIFS(Sheet1!S71_OriginalBudAmnt,Sheet1!S71_SA34eCode,$AC:$AC,Sheet1!S71_A5CapexCode,$AD:$AD)</f>
        <v>0</v>
      </c>
      <c r="G145" s="712">
        <f>SUMIFS(Sheet1!S71_AdjustmentBudAmnt,Sheet1!S71_SA34eCode,$AC:$AC,Sheet1!S71_A5CapexCode,$AD:$AD)</f>
        <v>0</v>
      </c>
      <c r="H145" s="713">
        <f>SUMIFS(Sheet1!S71_AdjustmentBudAmnt,Sheet1!S71_SA34eCode,$AC:$AC,Sheet1!S71_A5CapexCode,$AD:$AD)</f>
        <v>0</v>
      </c>
      <c r="I145" s="725">
        <f>SUMIFS(Sheet1!S71_ASBudgetAmount,Sheet1!S71_SA34eCode,$AC:$AC,Sheet1!S71_A5CapexCode,$AD:$AD)</f>
        <v>0</v>
      </c>
      <c r="J145" s="712">
        <f>SUMIFS(Sheet1!S71_OY1BudgetAmount,Sheet1!S71_SA34eCode,$AC:$AC,Sheet1!S71_A5CapexCode,$AD:$AD)</f>
        <v>0</v>
      </c>
      <c r="K145" s="713">
        <f>SUMIFS(Sheet1!S71_OY2BudgetAmount,Sheet1!S71_SA34eCode,$AC:$AC,Sheet1!S71_A5CapexCode,$AD:$AD)</f>
        <v>0</v>
      </c>
      <c r="L145" s="2124"/>
      <c r="AB145" s="2369"/>
      <c r="AC145" s="2365" t="s">
        <v>2908</v>
      </c>
      <c r="AD145" s="2365" t="s">
        <v>2805</v>
      </c>
    </row>
    <row r="146" spans="1:30" s="377" customFormat="1" ht="13.5" x14ac:dyDescent="0.25">
      <c r="A146" s="2125" t="s">
        <v>2330</v>
      </c>
      <c r="B146" s="144"/>
      <c r="C146" s="712">
        <f>SUMIFS(Sheet1!S71_PPPYearAmount,Sheet1!S71_SA34eCode,$AC:$AC,Sheet1!S71_A5CapexCode,$AD:$AD)</f>
        <v>0</v>
      </c>
      <c r="D146" s="712">
        <f>SUMIFS(Sheet1!S71_PPYearAmount,Sheet1!S71_SA34eCode,$AC:$AC,Sheet1!S71_A5CapexCode,$AD:$AD)</f>
        <v>0</v>
      </c>
      <c r="E146" s="715">
        <f>SUMIFS(Sheet1!S71_PYearAmount,Sheet1!S71_SA34eCode,$AC:$AC,Sheet1!S71_A5CapexCode,$AD:$AD)</f>
        <v>0</v>
      </c>
      <c r="F146" s="725">
        <f>SUMIFS(Sheet1!S71_OriginalBudAmnt,Sheet1!S71_SA34eCode,$AC:$AC,Sheet1!S71_A5CapexCode,$AD:$AD)</f>
        <v>0</v>
      </c>
      <c r="G146" s="712">
        <f>SUMIFS(Sheet1!S71_AdjustmentBudAmnt,Sheet1!S71_SA34eCode,$AC:$AC,Sheet1!S71_A5CapexCode,$AD:$AD)</f>
        <v>0</v>
      </c>
      <c r="H146" s="713">
        <f>SUMIFS(Sheet1!S71_AdjustmentBudAmnt,Sheet1!S71_SA34eCode,$AC:$AC,Sheet1!S71_A5CapexCode,$AD:$AD)</f>
        <v>0</v>
      </c>
      <c r="I146" s="725">
        <f>SUMIFS(Sheet1!S71_ASBudgetAmount,Sheet1!S71_SA34eCode,$AC:$AC,Sheet1!S71_A5CapexCode,$AD:$AD)</f>
        <v>0</v>
      </c>
      <c r="J146" s="712">
        <f>SUMIFS(Sheet1!S71_OY1BudgetAmount,Sheet1!S71_SA34eCode,$AC:$AC,Sheet1!S71_A5CapexCode,$AD:$AD)</f>
        <v>0</v>
      </c>
      <c r="K146" s="713">
        <f>SUMIFS(Sheet1!S71_OY2BudgetAmount,Sheet1!S71_SA34eCode,$AC:$AC,Sheet1!S71_A5CapexCode,$AD:$AD)</f>
        <v>0</v>
      </c>
      <c r="L146" s="2124"/>
      <c r="AB146" s="2369"/>
      <c r="AC146" s="2365" t="s">
        <v>2909</v>
      </c>
      <c r="AD146" s="2365" t="s">
        <v>2805</v>
      </c>
    </row>
    <row r="147" spans="1:30" s="377" customFormat="1" ht="13.5" x14ac:dyDescent="0.25">
      <c r="A147" s="2125" t="s">
        <v>2331</v>
      </c>
      <c r="B147" s="144"/>
      <c r="C147" s="712">
        <f>SUMIFS(Sheet1!S71_PPPYearAmount,Sheet1!S71_SA34eCode,$AC:$AC,Sheet1!S71_A5CapexCode,$AD:$AD)</f>
        <v>0</v>
      </c>
      <c r="D147" s="712">
        <f>SUMIFS(Sheet1!S71_PPYearAmount,Sheet1!S71_SA34eCode,$AC:$AC,Sheet1!S71_A5CapexCode,$AD:$AD)</f>
        <v>0</v>
      </c>
      <c r="E147" s="715">
        <f>SUMIFS(Sheet1!S71_PYearAmount,Sheet1!S71_SA34eCode,$AC:$AC,Sheet1!S71_A5CapexCode,$AD:$AD)</f>
        <v>0</v>
      </c>
      <c r="F147" s="725">
        <f>SUMIFS(Sheet1!S71_OriginalBudAmnt,Sheet1!S71_SA34eCode,$AC:$AC,Sheet1!S71_A5CapexCode,$AD:$AD)</f>
        <v>0</v>
      </c>
      <c r="G147" s="712">
        <f>SUMIFS(Sheet1!S71_AdjustmentBudAmnt,Sheet1!S71_SA34eCode,$AC:$AC,Sheet1!S71_A5CapexCode,$AD:$AD)</f>
        <v>0</v>
      </c>
      <c r="H147" s="713">
        <f>SUMIFS(Sheet1!S71_AdjustmentBudAmnt,Sheet1!S71_SA34eCode,$AC:$AC,Sheet1!S71_A5CapexCode,$AD:$AD)</f>
        <v>0</v>
      </c>
      <c r="I147" s="725">
        <f>SUMIFS(Sheet1!S71_ASBudgetAmount,Sheet1!S71_SA34eCode,$AC:$AC,Sheet1!S71_A5CapexCode,$AD:$AD)</f>
        <v>0</v>
      </c>
      <c r="J147" s="712">
        <f>SUMIFS(Sheet1!S71_OY1BudgetAmount,Sheet1!S71_SA34eCode,$AC:$AC,Sheet1!S71_A5CapexCode,$AD:$AD)</f>
        <v>0</v>
      </c>
      <c r="K147" s="713">
        <f>SUMIFS(Sheet1!S71_OY2BudgetAmount,Sheet1!S71_SA34eCode,$AC:$AC,Sheet1!S71_A5CapexCode,$AD:$AD)</f>
        <v>0</v>
      </c>
      <c r="L147" s="2124"/>
      <c r="AB147" s="2369"/>
      <c r="AC147" s="2365" t="s">
        <v>2910</v>
      </c>
      <c r="AD147" s="2365" t="s">
        <v>2805</v>
      </c>
    </row>
    <row r="148" spans="1:30" ht="4.9000000000000004" customHeight="1" x14ac:dyDescent="0.25">
      <c r="A148" s="116"/>
      <c r="B148" s="144"/>
      <c r="C148" s="545"/>
      <c r="D148" s="545"/>
      <c r="E148" s="831"/>
      <c r="F148" s="743"/>
      <c r="G148" s="545"/>
      <c r="H148" s="742"/>
      <c r="I148" s="743"/>
      <c r="J148" s="545"/>
      <c r="K148" s="742"/>
      <c r="L148" s="322"/>
    </row>
    <row r="149" spans="1:30" ht="13.5" customHeight="1" x14ac:dyDescent="0.25">
      <c r="A149" s="96" t="s">
        <v>2332</v>
      </c>
      <c r="B149" s="144"/>
      <c r="C149" s="177">
        <f t="shared" ref="C149:K149" si="23">SUM(C150:C150)</f>
        <v>0</v>
      </c>
      <c r="D149" s="177">
        <f t="shared" si="23"/>
        <v>0</v>
      </c>
      <c r="E149" s="180">
        <f t="shared" si="23"/>
        <v>0</v>
      </c>
      <c r="F149" s="179">
        <f t="shared" si="23"/>
        <v>0</v>
      </c>
      <c r="G149" s="177">
        <f t="shared" si="23"/>
        <v>0</v>
      </c>
      <c r="H149" s="178">
        <f t="shared" si="23"/>
        <v>0</v>
      </c>
      <c r="I149" s="179">
        <f t="shared" si="23"/>
        <v>0</v>
      </c>
      <c r="J149" s="177">
        <f t="shared" si="23"/>
        <v>0</v>
      </c>
      <c r="K149" s="178">
        <f t="shared" si="23"/>
        <v>0</v>
      </c>
      <c r="L149" s="322"/>
    </row>
    <row r="150" spans="1:30" ht="11.25" customHeight="1" x14ac:dyDescent="0.25">
      <c r="A150" s="104" t="s">
        <v>2332</v>
      </c>
      <c r="B150" s="144"/>
      <c r="C150" s="712">
        <f>SUMIFS(Sheet1!S71_PPPYearAmount,Sheet1!S71_SA34eCode,$AC:$AC,Sheet1!S71_A5CapexCode,$AD:$AD)</f>
        <v>0</v>
      </c>
      <c r="D150" s="712">
        <f>SUMIFS(Sheet1!S71_PPYearAmount,Sheet1!S71_SA34eCode,$AC:$AC,Sheet1!S71_A5CapexCode,$AD:$AD)</f>
        <v>0</v>
      </c>
      <c r="E150" s="715">
        <f>SUMIFS(Sheet1!S71_PYearAmount,Sheet1!S71_SA34eCode,$AC:$AC,Sheet1!S71_A5CapexCode,$AD:$AD)</f>
        <v>0</v>
      </c>
      <c r="F150" s="725">
        <f>SUMIFS(Sheet1!S71_OriginalBudAmnt,Sheet1!S71_SA34eCode,$AC:$AC,Sheet1!S71_A5CapexCode,$AD:$AD)</f>
        <v>0</v>
      </c>
      <c r="G150" s="712">
        <f>SUMIFS(Sheet1!S71_AdjustmentBudAmnt,Sheet1!S71_SA34eCode,$AC:$AC,Sheet1!S71_A5CapexCode,$AD:$AD)</f>
        <v>0</v>
      </c>
      <c r="H150" s="713">
        <f>SUMIFS(Sheet1!S71_AdjustmentBudAmnt,Sheet1!S71_SA34eCode,$AC:$AC,Sheet1!S71_A5CapexCode,$AD:$AD)</f>
        <v>0</v>
      </c>
      <c r="I150" s="725">
        <f>SUMIFS(Sheet1!S71_ASBudgetAmount,Sheet1!S71_SA34eCode,$AC:$AC,Sheet1!S71_A5CapexCode,$AD:$AD)</f>
        <v>0</v>
      </c>
      <c r="J150" s="712">
        <f>SUMIFS(Sheet1!S71_OY1BudgetAmount,Sheet1!S71_SA34eCode,$AC:$AC,Sheet1!S71_A5CapexCode,$AD:$AD)</f>
        <v>0</v>
      </c>
      <c r="K150" s="713">
        <f>SUMIFS(Sheet1!S71_OY2BudgetAmount,Sheet1!S71_SA34eCode,$AC:$AC,Sheet1!S71_A5CapexCode,$AD:$AD)</f>
        <v>0</v>
      </c>
      <c r="L150" s="322"/>
      <c r="AC150" s="2365" t="s">
        <v>2799</v>
      </c>
      <c r="AD150" s="2365" t="s">
        <v>2805</v>
      </c>
    </row>
    <row r="151" spans="1:30" ht="4.9000000000000004" customHeight="1" x14ac:dyDescent="0.25">
      <c r="A151" s="116"/>
      <c r="B151" s="144"/>
      <c r="C151" s="177"/>
      <c r="D151" s="177"/>
      <c r="E151" s="180"/>
      <c r="F151" s="179"/>
      <c r="G151" s="177"/>
      <c r="H151" s="178"/>
      <c r="I151" s="179"/>
      <c r="J151" s="177"/>
      <c r="K151" s="178"/>
      <c r="L151" s="322"/>
    </row>
    <row r="152" spans="1:30" ht="13.5" customHeight="1" x14ac:dyDescent="0.25">
      <c r="A152" s="96" t="s">
        <v>2333</v>
      </c>
      <c r="B152" s="144"/>
      <c r="C152" s="177">
        <f t="shared" ref="C152:K152" si="24">SUM(C153:C153)</f>
        <v>0</v>
      </c>
      <c r="D152" s="177">
        <f t="shared" si="24"/>
        <v>0</v>
      </c>
      <c r="E152" s="180">
        <f t="shared" si="24"/>
        <v>0</v>
      </c>
      <c r="F152" s="179">
        <f t="shared" si="24"/>
        <v>0</v>
      </c>
      <c r="G152" s="177">
        <f t="shared" si="24"/>
        <v>0</v>
      </c>
      <c r="H152" s="178">
        <f t="shared" si="24"/>
        <v>0</v>
      </c>
      <c r="I152" s="179">
        <f t="shared" si="24"/>
        <v>0</v>
      </c>
      <c r="J152" s="177">
        <f t="shared" si="24"/>
        <v>0</v>
      </c>
      <c r="K152" s="178">
        <f t="shared" si="24"/>
        <v>0</v>
      </c>
      <c r="L152" s="322"/>
    </row>
    <row r="153" spans="1:30" ht="11.25" customHeight="1" x14ac:dyDescent="0.25">
      <c r="A153" s="104" t="s">
        <v>2333</v>
      </c>
      <c r="B153" s="144"/>
      <c r="C153" s="712">
        <f>SUMIFS(Sheet1!S71_PPPYearAmount,Sheet1!S71_SA34eCode,$AC:$AC,Sheet1!S71_A5CapexCode,$AD:$AD)</f>
        <v>0</v>
      </c>
      <c r="D153" s="712">
        <f>SUMIFS(Sheet1!S71_PPYearAmount,Sheet1!S71_SA34eCode,$AC:$AC,Sheet1!S71_A5CapexCode,$AD:$AD)</f>
        <v>0</v>
      </c>
      <c r="E153" s="715">
        <f>SUMIFS(Sheet1!S71_PYearAmount,Sheet1!S71_SA34eCode,$AC:$AC,Sheet1!S71_A5CapexCode,$AD:$AD)</f>
        <v>0</v>
      </c>
      <c r="F153" s="725">
        <f>SUMIFS(Sheet1!S71_OriginalBudAmnt,Sheet1!S71_SA34eCode,$AC:$AC,Sheet1!S71_A5CapexCode,$AD:$AD)</f>
        <v>0</v>
      </c>
      <c r="G153" s="712">
        <f>SUMIFS(Sheet1!S71_AdjustmentBudAmnt,Sheet1!S71_SA34eCode,$AC:$AC,Sheet1!S71_A5CapexCode,$AD:$AD)</f>
        <v>0</v>
      </c>
      <c r="H153" s="713">
        <f>SUMIFS(Sheet1!S71_AdjustmentBudAmnt,Sheet1!S71_SA34eCode,$AC:$AC,Sheet1!S71_A5CapexCode,$AD:$AD)</f>
        <v>0</v>
      </c>
      <c r="I153" s="725">
        <f>SUMIFS(Sheet1!S71_ASBudgetAmount,Sheet1!S71_SA34eCode,$AC:$AC,Sheet1!S71_A5CapexCode,$AD:$AD)</f>
        <v>0</v>
      </c>
      <c r="J153" s="712">
        <f>SUMIFS(Sheet1!S71_OY1BudgetAmount,Sheet1!S71_SA34eCode,$AC:$AC,Sheet1!S71_A5CapexCode,$AD:$AD)</f>
        <v>0</v>
      </c>
      <c r="K153" s="713">
        <f>SUMIFS(Sheet1!S71_OY2BudgetAmount,Sheet1!S71_SA34eCode,$AC:$AC,Sheet1!S71_A5CapexCode,$AD:$AD)</f>
        <v>0</v>
      </c>
      <c r="L153" s="322"/>
      <c r="AC153" s="2365" t="s">
        <v>2800</v>
      </c>
      <c r="AD153" s="2365" t="s">
        <v>2805</v>
      </c>
    </row>
    <row r="154" spans="1:30" ht="4.9000000000000004" customHeight="1" x14ac:dyDescent="0.25">
      <c r="A154" s="116"/>
      <c r="B154" s="144"/>
      <c r="C154" s="177"/>
      <c r="D154" s="177"/>
      <c r="E154" s="180"/>
      <c r="F154" s="179"/>
      <c r="G154" s="177"/>
      <c r="H154" s="178"/>
      <c r="I154" s="179"/>
      <c r="J154" s="177"/>
      <c r="K154" s="178"/>
      <c r="L154" s="322"/>
    </row>
    <row r="155" spans="1:30" ht="13.5" customHeight="1" x14ac:dyDescent="0.25">
      <c r="A155" s="96" t="s">
        <v>2334</v>
      </c>
      <c r="B155" s="144"/>
      <c r="C155" s="177">
        <f t="shared" ref="C155:K155" si="25">SUM(C156:C156)</f>
        <v>0</v>
      </c>
      <c r="D155" s="177">
        <f t="shared" si="25"/>
        <v>0</v>
      </c>
      <c r="E155" s="180">
        <f t="shared" si="25"/>
        <v>0</v>
      </c>
      <c r="F155" s="179">
        <f t="shared" si="25"/>
        <v>0</v>
      </c>
      <c r="G155" s="177">
        <f t="shared" si="25"/>
        <v>0</v>
      </c>
      <c r="H155" s="178">
        <f t="shared" si="25"/>
        <v>0</v>
      </c>
      <c r="I155" s="179">
        <f t="shared" si="25"/>
        <v>0</v>
      </c>
      <c r="J155" s="177">
        <f t="shared" si="25"/>
        <v>0</v>
      </c>
      <c r="K155" s="178">
        <f t="shared" si="25"/>
        <v>0</v>
      </c>
      <c r="L155" s="322"/>
    </row>
    <row r="156" spans="1:30" ht="11.25" customHeight="1" x14ac:dyDescent="0.25">
      <c r="A156" s="104" t="s">
        <v>2334</v>
      </c>
      <c r="B156" s="144"/>
      <c r="C156" s="712">
        <f>SUMIFS(Sheet1!S71_PPPYearAmount,Sheet1!S71_SA34eCode,$AC:$AC,Sheet1!S71_A5CapexCode,$AD:$AD)</f>
        <v>0</v>
      </c>
      <c r="D156" s="712">
        <f>SUMIFS(Sheet1!S71_PPYearAmount,Sheet1!S71_SA34eCode,$AC:$AC,Sheet1!S71_A5CapexCode,$AD:$AD)</f>
        <v>0</v>
      </c>
      <c r="E156" s="715">
        <f>SUMIFS(Sheet1!S71_PYearAmount,Sheet1!S71_SA34eCode,$AC:$AC,Sheet1!S71_A5CapexCode,$AD:$AD)</f>
        <v>0</v>
      </c>
      <c r="F156" s="725">
        <f>SUMIFS(Sheet1!S71_OriginalBudAmnt,Sheet1!S71_SA34eCode,$AC:$AC,Sheet1!S71_A5CapexCode,$AD:$AD)</f>
        <v>0</v>
      </c>
      <c r="G156" s="712">
        <f>SUMIFS(Sheet1!S71_AdjustmentBudAmnt,Sheet1!S71_SA34eCode,$AC:$AC,Sheet1!S71_A5CapexCode,$AD:$AD)</f>
        <v>0</v>
      </c>
      <c r="H156" s="713">
        <f>SUMIFS(Sheet1!S71_AdjustmentBudAmnt,Sheet1!S71_SA34eCode,$AC:$AC,Sheet1!S71_A5CapexCode,$AD:$AD)</f>
        <v>0</v>
      </c>
      <c r="I156" s="725">
        <f>SUMIFS(Sheet1!S71_ASBudgetAmount,Sheet1!S71_SA34eCode,$AC:$AC,Sheet1!S71_A5CapexCode,$AD:$AD)</f>
        <v>0</v>
      </c>
      <c r="J156" s="712">
        <f>SUMIFS(Sheet1!S71_OY1BudgetAmount,Sheet1!S71_SA34eCode,$AC:$AC,Sheet1!S71_A5CapexCode,$AD:$AD)</f>
        <v>0</v>
      </c>
      <c r="K156" s="713">
        <f>SUMIFS(Sheet1!S71_OY2BudgetAmount,Sheet1!S71_SA34eCode,$AC:$AC,Sheet1!S71_A5CapexCode,$AD:$AD)</f>
        <v>0</v>
      </c>
      <c r="L156" s="322"/>
      <c r="AC156" s="2365" t="s">
        <v>2801</v>
      </c>
      <c r="AD156" s="2365" t="s">
        <v>2805</v>
      </c>
    </row>
    <row r="157" spans="1:30" ht="4.9000000000000004" customHeight="1" x14ac:dyDescent="0.25">
      <c r="A157" s="116"/>
      <c r="B157" s="144"/>
      <c r="C157" s="177"/>
      <c r="D157" s="177"/>
      <c r="E157" s="180"/>
      <c r="F157" s="179"/>
      <c r="G157" s="177"/>
      <c r="H157" s="178"/>
      <c r="I157" s="179"/>
      <c r="J157" s="177"/>
      <c r="K157" s="178"/>
      <c r="L157" s="322"/>
    </row>
    <row r="158" spans="1:30" ht="13.5" customHeight="1" x14ac:dyDescent="0.25">
      <c r="A158" s="96" t="s">
        <v>2335</v>
      </c>
      <c r="B158" s="144"/>
      <c r="C158" s="177">
        <f t="shared" ref="C158:K158" si="26">SUM(C159:C159)</f>
        <v>0</v>
      </c>
      <c r="D158" s="177">
        <f t="shared" si="26"/>
        <v>0</v>
      </c>
      <c r="E158" s="180">
        <f t="shared" si="26"/>
        <v>0</v>
      </c>
      <c r="F158" s="179">
        <f t="shared" si="26"/>
        <v>0</v>
      </c>
      <c r="G158" s="177">
        <f t="shared" si="26"/>
        <v>0</v>
      </c>
      <c r="H158" s="178">
        <f t="shared" si="26"/>
        <v>0</v>
      </c>
      <c r="I158" s="179">
        <f t="shared" si="26"/>
        <v>0</v>
      </c>
      <c r="J158" s="177">
        <f t="shared" si="26"/>
        <v>0</v>
      </c>
      <c r="K158" s="178">
        <f t="shared" si="26"/>
        <v>0</v>
      </c>
      <c r="L158" s="322"/>
    </row>
    <row r="159" spans="1:30" ht="11.25" customHeight="1" x14ac:dyDescent="0.25">
      <c r="A159" s="104" t="s">
        <v>2335</v>
      </c>
      <c r="B159" s="144"/>
      <c r="C159" s="712">
        <f>SUMIFS(Sheet1!S71_PPPYearAmount,Sheet1!S71_SA34eCode,$AC:$AC,Sheet1!S71_A5CapexCode,$AD:$AD)</f>
        <v>0</v>
      </c>
      <c r="D159" s="712">
        <f>SUMIFS(Sheet1!S71_PPYearAmount,Sheet1!S71_SA34eCode,$AC:$AC,Sheet1!S71_A5CapexCode,$AD:$AD)</f>
        <v>0</v>
      </c>
      <c r="E159" s="715">
        <f>SUMIFS(Sheet1!S71_PYearAmount,Sheet1!S71_SA34eCode,$AC:$AC,Sheet1!S71_A5CapexCode,$AD:$AD)</f>
        <v>0</v>
      </c>
      <c r="F159" s="725">
        <f>SUMIFS(Sheet1!S71_OriginalBudAmnt,Sheet1!S71_SA34eCode,$AC:$AC,Sheet1!S71_A5CapexCode,$AD:$AD)</f>
        <v>0</v>
      </c>
      <c r="G159" s="712">
        <f>SUMIFS(Sheet1!S71_AdjustmentBudAmnt,Sheet1!S71_SA34eCode,$AC:$AC,Sheet1!S71_A5CapexCode,$AD:$AD)</f>
        <v>0</v>
      </c>
      <c r="H159" s="713">
        <f>SUMIFS(Sheet1!S71_AdjustmentBudAmnt,Sheet1!S71_SA34eCode,$AC:$AC,Sheet1!S71_A5CapexCode,$AD:$AD)</f>
        <v>0</v>
      </c>
      <c r="I159" s="725">
        <f>SUMIFS(Sheet1!S71_ASBudgetAmount,Sheet1!S71_SA34eCode,$AC:$AC,Sheet1!S71_A5CapexCode,$AD:$AD)</f>
        <v>0</v>
      </c>
      <c r="J159" s="712">
        <f>SUMIFS(Sheet1!S71_OY1BudgetAmount,Sheet1!S71_SA34eCode,$AC:$AC,Sheet1!S71_A5CapexCode,$AD:$AD)</f>
        <v>0</v>
      </c>
      <c r="K159" s="713">
        <f>SUMIFS(Sheet1!S71_OY2BudgetAmount,Sheet1!S71_SA34eCode,$AC:$AC,Sheet1!S71_A5CapexCode,$AD:$AD)</f>
        <v>0</v>
      </c>
      <c r="L159" s="322"/>
      <c r="AC159" s="2365" t="s">
        <v>2802</v>
      </c>
      <c r="AD159" s="2365" t="s">
        <v>2805</v>
      </c>
    </row>
    <row r="160" spans="1:30" ht="4.9000000000000004" customHeight="1" x14ac:dyDescent="0.25">
      <c r="A160" s="116"/>
      <c r="B160" s="144"/>
      <c r="C160" s="177"/>
      <c r="D160" s="177"/>
      <c r="E160" s="180"/>
      <c r="F160" s="179"/>
      <c r="G160" s="177"/>
      <c r="H160" s="178"/>
      <c r="I160" s="179"/>
      <c r="J160" s="177"/>
      <c r="K160" s="178"/>
      <c r="L160" s="322"/>
    </row>
    <row r="161" spans="1:30" ht="13.5" customHeight="1" x14ac:dyDescent="0.25">
      <c r="A161" s="96" t="s">
        <v>2470</v>
      </c>
      <c r="B161" s="144"/>
      <c r="C161" s="177">
        <f t="shared" ref="C161:K161" si="27">SUM(C162:C162)</f>
        <v>0</v>
      </c>
      <c r="D161" s="177">
        <f t="shared" si="27"/>
        <v>0</v>
      </c>
      <c r="E161" s="180">
        <f t="shared" si="27"/>
        <v>0</v>
      </c>
      <c r="F161" s="179">
        <f t="shared" si="27"/>
        <v>0</v>
      </c>
      <c r="G161" s="177">
        <f t="shared" si="27"/>
        <v>0</v>
      </c>
      <c r="H161" s="178">
        <f t="shared" si="27"/>
        <v>0</v>
      </c>
      <c r="I161" s="179">
        <f t="shared" si="27"/>
        <v>0</v>
      </c>
      <c r="J161" s="177">
        <f t="shared" si="27"/>
        <v>0</v>
      </c>
      <c r="K161" s="178">
        <f t="shared" si="27"/>
        <v>0</v>
      </c>
      <c r="L161" s="322"/>
    </row>
    <row r="162" spans="1:30" ht="11.25" customHeight="1" x14ac:dyDescent="0.25">
      <c r="A162" s="104" t="s">
        <v>2470</v>
      </c>
      <c r="B162" s="144"/>
      <c r="C162" s="712">
        <f>SUMIFS(Sheet1!S71_PPPYearAmount,Sheet1!S71_SA34eCode,$AC:$AC,Sheet1!S71_A5CapexCode,$AD:$AD)</f>
        <v>0</v>
      </c>
      <c r="D162" s="712">
        <f>SUMIFS(Sheet1!S71_PPYearAmount,Sheet1!S71_SA34eCode,$AC:$AC,Sheet1!S71_A5CapexCode,$AD:$AD)</f>
        <v>0</v>
      </c>
      <c r="E162" s="715">
        <f>SUMIFS(Sheet1!S71_PYearAmount,Sheet1!S71_SA34eCode,$AC:$AC,Sheet1!S71_A5CapexCode,$AD:$AD)</f>
        <v>0</v>
      </c>
      <c r="F162" s="725">
        <f>SUMIFS(Sheet1!S71_OriginalBudAmnt,Sheet1!S71_SA34eCode,$AC:$AC,Sheet1!S71_A5CapexCode,$AD:$AD)</f>
        <v>0</v>
      </c>
      <c r="G162" s="712">
        <f>SUMIFS(Sheet1!S71_AdjustmentBudAmnt,Sheet1!S71_SA34eCode,$AC:$AC,Sheet1!S71_A5CapexCode,$AD:$AD)</f>
        <v>0</v>
      </c>
      <c r="H162" s="713">
        <f>SUMIFS(Sheet1!S71_AdjustmentBudAmnt,Sheet1!S71_SA34eCode,$AC:$AC,Sheet1!S71_A5CapexCode,$AD:$AD)</f>
        <v>0</v>
      </c>
      <c r="I162" s="725">
        <f>SUMIFS(Sheet1!S71_ASBudgetAmount,Sheet1!S71_SA34eCode,$AC:$AC,Sheet1!S71_A5CapexCode,$AD:$AD)</f>
        <v>0</v>
      </c>
      <c r="J162" s="712">
        <f>SUMIFS(Sheet1!S71_OY1BudgetAmount,Sheet1!S71_SA34eCode,$AC:$AC,Sheet1!S71_A5CapexCode,$AD:$AD)</f>
        <v>0</v>
      </c>
      <c r="K162" s="713">
        <f>SUMIFS(Sheet1!S71_OY2BudgetAmount,Sheet1!S71_SA34eCode,$AC:$AC,Sheet1!S71_A5CapexCode,$AD:$AD)</f>
        <v>0</v>
      </c>
      <c r="L162" s="322"/>
      <c r="AC162" s="2365" t="s">
        <v>2803</v>
      </c>
      <c r="AD162" s="2365" t="s">
        <v>2805</v>
      </c>
    </row>
    <row r="163" spans="1:30" ht="4.9000000000000004" customHeight="1" x14ac:dyDescent="0.25">
      <c r="A163" s="116"/>
      <c r="B163" s="144"/>
      <c r="C163" s="177"/>
      <c r="D163" s="177"/>
      <c r="E163" s="180"/>
      <c r="F163" s="179"/>
      <c r="G163" s="177"/>
      <c r="H163" s="178"/>
      <c r="I163" s="179"/>
      <c r="J163" s="177"/>
      <c r="K163" s="178"/>
      <c r="L163" s="322"/>
    </row>
    <row r="164" spans="1:30" ht="13.5" customHeight="1" x14ac:dyDescent="0.25">
      <c r="A164" s="96" t="s">
        <v>2336</v>
      </c>
      <c r="B164" s="144"/>
      <c r="C164" s="177">
        <f t="shared" ref="C164:K164" si="28">SUM(C165:C165)</f>
        <v>0</v>
      </c>
      <c r="D164" s="177">
        <f t="shared" si="28"/>
        <v>0</v>
      </c>
      <c r="E164" s="180">
        <f t="shared" si="28"/>
        <v>0</v>
      </c>
      <c r="F164" s="179">
        <f t="shared" si="28"/>
        <v>0</v>
      </c>
      <c r="G164" s="177">
        <f t="shared" si="28"/>
        <v>0</v>
      </c>
      <c r="H164" s="178">
        <f t="shared" si="28"/>
        <v>0</v>
      </c>
      <c r="I164" s="179">
        <f t="shared" si="28"/>
        <v>0</v>
      </c>
      <c r="J164" s="177">
        <f t="shared" si="28"/>
        <v>0</v>
      </c>
      <c r="K164" s="178">
        <f t="shared" si="28"/>
        <v>0</v>
      </c>
      <c r="L164" s="322"/>
    </row>
    <row r="165" spans="1:30" ht="11.25" customHeight="1" x14ac:dyDescent="0.25">
      <c r="A165" s="104" t="s">
        <v>2336</v>
      </c>
      <c r="B165" s="144"/>
      <c r="C165" s="712">
        <f>SUMIFS(Sheet1!S71_PPPYearAmount,Sheet1!S71_SA34eCode,$AC:$AC,Sheet1!S71_A5CapexCode,$AD:$AD)</f>
        <v>0</v>
      </c>
      <c r="D165" s="712">
        <f>SUMIFS(Sheet1!S71_PPYearAmount,Sheet1!S71_SA34eCode,$AC:$AC,Sheet1!S71_A5CapexCode,$AD:$AD)</f>
        <v>0</v>
      </c>
      <c r="E165" s="715">
        <f>SUMIFS(Sheet1!S71_PYearAmount,Sheet1!S71_SA34eCode,$AC:$AC,Sheet1!S71_A5CapexCode,$AD:$AD)</f>
        <v>0</v>
      </c>
      <c r="F165" s="725">
        <f>SUMIFS(Sheet1!S71_OriginalBudAmnt,Sheet1!S71_SA34eCode,$AC:$AC,Sheet1!S71_A5CapexCode,$AD:$AD)</f>
        <v>0</v>
      </c>
      <c r="G165" s="712">
        <f>SUMIFS(Sheet1!S71_AdjustmentBudAmnt,Sheet1!S71_SA34eCode,$AC:$AC,Sheet1!S71_A5CapexCode,$AD:$AD)</f>
        <v>0</v>
      </c>
      <c r="H165" s="713">
        <f>SUMIFS(Sheet1!S71_AdjustmentBudAmnt,Sheet1!S71_SA34eCode,$AC:$AC,Sheet1!S71_A5CapexCode,$AD:$AD)</f>
        <v>0</v>
      </c>
      <c r="I165" s="725">
        <f>SUMIFS(Sheet1!S71_ASBudgetAmount,Sheet1!S71_SA34eCode,$AC:$AC,Sheet1!S71_A5CapexCode,$AD:$AD)</f>
        <v>0</v>
      </c>
      <c r="J165" s="712">
        <f>SUMIFS(Sheet1!S71_OY1BudgetAmount,Sheet1!S71_SA34eCode,$AC:$AC,Sheet1!S71_A5CapexCode,$AD:$AD)</f>
        <v>0</v>
      </c>
      <c r="K165" s="713">
        <f>SUMIFS(Sheet1!S71_OY2BudgetAmount,Sheet1!S71_SA34eCode,$AC:$AC,Sheet1!S71_A5CapexCode,$AD:$AD)</f>
        <v>0</v>
      </c>
      <c r="L165" s="322"/>
      <c r="AC165" s="2365" t="s">
        <v>2804</v>
      </c>
      <c r="AD165" s="2365" t="s">
        <v>2805</v>
      </c>
    </row>
    <row r="166" spans="1:30" ht="4.9000000000000004" customHeight="1" x14ac:dyDescent="0.25">
      <c r="A166" s="116"/>
      <c r="B166" s="144"/>
      <c r="C166" s="177"/>
      <c r="D166" s="177"/>
      <c r="E166" s="180"/>
      <c r="F166" s="179"/>
      <c r="G166" s="177"/>
      <c r="H166" s="178"/>
      <c r="I166" s="179"/>
      <c r="J166" s="177"/>
      <c r="K166" s="178"/>
      <c r="L166" s="322"/>
    </row>
    <row r="167" spans="1:30" x14ac:dyDescent="0.25">
      <c r="A167" s="147" t="s">
        <v>2349</v>
      </c>
      <c r="B167" s="148">
        <v>1</v>
      </c>
      <c r="C167" s="185">
        <f>C6+C74+C103+C110+C118+C136+C139+C149+C152+C155+C158+C161+C164</f>
        <v>603370</v>
      </c>
      <c r="D167" s="185">
        <f t="shared" ref="D167:K167" si="29">D6+D74+D103+D110+D118+D136+D139+D149+D152+D155+D158+D161+D164</f>
        <v>2214341</v>
      </c>
      <c r="E167" s="186">
        <f t="shared" si="29"/>
        <v>0</v>
      </c>
      <c r="F167" s="184">
        <f t="shared" si="29"/>
        <v>1000000</v>
      </c>
      <c r="G167" s="185">
        <f t="shared" si="29"/>
        <v>1000000</v>
      </c>
      <c r="H167" s="183">
        <f t="shared" si="29"/>
        <v>1000000</v>
      </c>
      <c r="I167" s="184">
        <f t="shared" si="29"/>
        <v>5161000</v>
      </c>
      <c r="J167" s="185">
        <f t="shared" si="29"/>
        <v>0</v>
      </c>
      <c r="K167" s="183">
        <f t="shared" si="29"/>
        <v>0</v>
      </c>
      <c r="L167" s="322"/>
    </row>
    <row r="168" spans="1:30" s="126" customFormat="1" ht="3.75" customHeight="1" x14ac:dyDescent="0.25">
      <c r="A168" s="136"/>
      <c r="B168" s="670"/>
      <c r="C168" s="74"/>
      <c r="D168" s="74"/>
      <c r="E168" s="74"/>
      <c r="F168" s="73"/>
      <c r="G168" s="74"/>
      <c r="H168" s="72"/>
      <c r="I168" s="73"/>
      <c r="J168" s="74"/>
      <c r="K168" s="72"/>
      <c r="AB168" s="2370"/>
      <c r="AC168" s="2365"/>
      <c r="AD168" s="2365"/>
    </row>
    <row r="169" spans="1:30" x14ac:dyDescent="0.25">
      <c r="A169" s="2128" t="s">
        <v>2350</v>
      </c>
      <c r="B169" s="2129"/>
      <c r="C169" s="2130">
        <f>IF(ISERROR(C167/'A9-Asset'!C67),0,(C167/'A9-Asset'!C67))</f>
        <v>0</v>
      </c>
      <c r="D169" s="2130">
        <f>IF(ISERROR(D167/'A9-Asset'!D132),0,(D167/'A9-Asset'!D132))</f>
        <v>1.1398042467878247E-2</v>
      </c>
      <c r="E169" s="2131">
        <f>IF(ISERROR(E167/'A9-Asset'!E132),0,(E167/'A9-Asset'!E132))</f>
        <v>0</v>
      </c>
      <c r="F169" s="2132">
        <f>IF(ISERROR(F167/'A9-Asset'!F132),0,(F167/'A9-Asset'!F132))</f>
        <v>3.891540130320674E-2</v>
      </c>
      <c r="G169" s="2130">
        <f>IF(ISERROR(G167/'A9-Asset'!G132),0,(G167/'A9-Asset'!G132))</f>
        <v>2.2850620376062714E-2</v>
      </c>
      <c r="H169" s="2133">
        <f>IF(ISERROR(H167/'A9-Asset'!H132),0,(H167/'A9-Asset'!H132))</f>
        <v>2.2850620376062714E-2</v>
      </c>
      <c r="I169" s="2134">
        <f>IF(ISERROR(I167/'A9-Asset'!I132),0,(I167/'A9-Asset'!I132))</f>
        <v>0.16321431959773569</v>
      </c>
      <c r="J169" s="2130">
        <f>IF(ISERROR(J167/'A9-Asset'!J132),0,(J167/'A9-Asset'!J132))</f>
        <v>0</v>
      </c>
      <c r="K169" s="2133">
        <f>IF(ISERROR(K167/'A9-Asset'!K132),0,(K167/'A9-Asset'!K132))</f>
        <v>0</v>
      </c>
      <c r="L169" s="674"/>
    </row>
    <row r="170" spans="1:30" ht="11.25" customHeight="1" x14ac:dyDescent="0.25">
      <c r="A170" s="2135" t="s">
        <v>2351</v>
      </c>
      <c r="B170" s="2136"/>
      <c r="C170" s="2137">
        <f>IF(ISERROR(C167/'A9-Asset'!C168),0,(C167/'A9-Asset'!C168))</f>
        <v>6.8636654023122398E-2</v>
      </c>
      <c r="D170" s="2137">
        <f>IF(ISERROR(D167/'A9-Asset'!D168),0,(D167/'A9-Asset'!D168))</f>
        <v>0.25386668617187635</v>
      </c>
      <c r="E170" s="2138">
        <f>IF(ISERROR(E167/'A9-Asset'!E168),0,(E167/'A9-Asset'!E168))</f>
        <v>0</v>
      </c>
      <c r="F170" s="2139">
        <f>IF(ISERROR(F167/'A9-Asset'!F168),0,(F167/'A9-Asset'!F168))</f>
        <v>8.9498761292394327E-2</v>
      </c>
      <c r="G170" s="2137">
        <f>IF(ISERROR(G167/'A9-Asset'!G168),0,(G167/'A9-Asset'!G168))</f>
        <v>8.9498761292394327E-2</v>
      </c>
      <c r="H170" s="2140">
        <f>IF(ISERROR(H167/'A9-Asset'!H168),0,(H167/'A9-Asset'!H168))</f>
        <v>8.9498761292394327E-2</v>
      </c>
      <c r="I170" s="2141">
        <f>IF(ISERROR(I167/'A9-Asset'!I168),0,(I167/'A9-Asset'!I168))</f>
        <v>0.44456515437850164</v>
      </c>
      <c r="J170" s="2137">
        <f>IF(ISERROR(J167/'A9-Asset'!J168),0,(J167/'A9-Asset'!J168))</f>
        <v>0</v>
      </c>
      <c r="K170" s="2140">
        <f>IF(ISERROR(K167/'A9-Asset'!K168),0,(K167/'A9-Asset'!K168))</f>
        <v>0</v>
      </c>
      <c r="L170" s="322"/>
    </row>
    <row r="171" spans="1:30" ht="11.25" customHeight="1" x14ac:dyDescent="0.25">
      <c r="A171" s="217" t="str">
        <f>head27a</f>
        <v>References</v>
      </c>
      <c r="B171" s="189"/>
      <c r="C171" s="193"/>
      <c r="D171" s="193"/>
      <c r="E171" s="193"/>
      <c r="F171" s="193"/>
      <c r="G171" s="193"/>
      <c r="H171" s="193"/>
      <c r="I171" s="193"/>
      <c r="J171" s="193"/>
      <c r="K171" s="193"/>
    </row>
    <row r="172" spans="1:30" ht="16.149999999999999" customHeight="1" x14ac:dyDescent="0.25">
      <c r="A172" s="218" t="s">
        <v>2352</v>
      </c>
      <c r="B172" s="189"/>
      <c r="C172" s="192"/>
      <c r="D172" s="192"/>
      <c r="E172" s="193"/>
      <c r="F172" s="193"/>
      <c r="G172" s="193"/>
      <c r="H172" s="193"/>
      <c r="I172" s="193"/>
      <c r="J172" s="193"/>
      <c r="K172" s="193"/>
    </row>
    <row r="173" spans="1:30" ht="11.25" customHeight="1" x14ac:dyDescent="0.25">
      <c r="A173" s="218"/>
      <c r="B173" s="189"/>
      <c r="C173" s="192"/>
      <c r="D173" s="192"/>
      <c r="E173" s="193"/>
      <c r="F173" s="193"/>
      <c r="G173" s="193"/>
      <c r="H173" s="193"/>
      <c r="I173" s="193"/>
      <c r="J173" s="193"/>
      <c r="K173" s="193"/>
    </row>
    <row r="174" spans="1:30" ht="11.25" customHeight="1" x14ac:dyDescent="0.25">
      <c r="A174" s="220"/>
      <c r="B174" s="189"/>
      <c r="C174" s="192"/>
      <c r="D174" s="192"/>
      <c r="E174" s="193"/>
      <c r="F174" s="193"/>
      <c r="G174" s="193"/>
      <c r="H174" s="193"/>
      <c r="I174" s="193"/>
      <c r="J174" s="193"/>
      <c r="K174" s="193"/>
    </row>
    <row r="175" spans="1:30" ht="11.25" customHeight="1" x14ac:dyDescent="0.25">
      <c r="A175" s="219" t="s">
        <v>248</v>
      </c>
      <c r="B175" s="150"/>
      <c r="C175" s="1028">
        <f>SUM(C167+SA34a!C167++SA34b!C167)-'A5-Capex'!C40</f>
        <v>0</v>
      </c>
      <c r="D175" s="1028">
        <f>SUM(D167+SA34a!D167++SA34b!D167)-'A5-Capex'!D40</f>
        <v>0</v>
      </c>
      <c r="E175" s="1028">
        <f>SUM(E167+SA34a!E167++SA34b!E167)-'A5-Capex'!E40</f>
        <v>0</v>
      </c>
      <c r="F175" s="1028">
        <f>SUM(F167+SA34a!F167++SA34b!F167)-'A5-Capex'!F40</f>
        <v>0</v>
      </c>
      <c r="G175" s="1028">
        <f>SUM(G167+SA34a!G167++SA34b!G167)-'A5-Capex'!G40</f>
        <v>0</v>
      </c>
      <c r="H175" s="1028">
        <f>SUM(H167+SA34a!H167++SA34b!H167)-'A5-Capex'!H40</f>
        <v>0</v>
      </c>
      <c r="I175" s="1028">
        <f>SUM(I167+SA34a!I167++SA34b!I167)-'A5-Capex'!J40</f>
        <v>0</v>
      </c>
      <c r="J175" s="1028">
        <f>SUM(J167+SA34a!J167++SA34b!J167)-'A5-Capex'!K40</f>
        <v>0</v>
      </c>
      <c r="K175" s="1028">
        <f>SUM(K167+SA34a!K167++SA34b!K167)-'A5-Capex'!L40</f>
        <v>0</v>
      </c>
    </row>
    <row r="176" spans="1:30" ht="11.25" customHeight="1" x14ac:dyDescent="0.25"/>
    <row r="177" ht="11.25" customHeight="1" x14ac:dyDescent="0.25"/>
    <row r="178" ht="11.25" customHeight="1" x14ac:dyDescent="0.25"/>
    <row r="179" ht="11.25" customHeight="1" x14ac:dyDescent="0.25"/>
    <row r="180" ht="11.25" customHeight="1" x14ac:dyDescent="0.25"/>
    <row r="181" ht="11.25" customHeight="1" x14ac:dyDescent="0.25"/>
    <row r="182" ht="11.25" customHeight="1" x14ac:dyDescent="0.25"/>
    <row r="183" ht="11.25" customHeight="1" x14ac:dyDescent="0.25"/>
    <row r="184" ht="11.25" customHeight="1" x14ac:dyDescent="0.25"/>
    <row r="185" ht="11.25" customHeight="1" x14ac:dyDescent="0.25"/>
    <row r="186" ht="11.25" customHeight="1" x14ac:dyDescent="0.25"/>
    <row r="187" ht="11.25" customHeight="1" x14ac:dyDescent="0.25"/>
    <row r="188" ht="11.25" customHeight="1" x14ac:dyDescent="0.25"/>
    <row r="189" ht="11.25" customHeight="1" x14ac:dyDescent="0.25"/>
    <row r="190" ht="11.25" customHeight="1" x14ac:dyDescent="0.25"/>
    <row r="191" ht="11.25" customHeight="1" x14ac:dyDescent="0.25"/>
    <row r="192" ht="11.25" customHeight="1" x14ac:dyDescent="0.25"/>
    <row r="193" ht="11.25" customHeight="1" x14ac:dyDescent="0.25"/>
    <row r="194" ht="11.25" customHeight="1" x14ac:dyDescent="0.25"/>
    <row r="195" ht="11.25" customHeight="1" x14ac:dyDescent="0.25"/>
    <row r="196" ht="11.25" customHeight="1" x14ac:dyDescent="0.25"/>
    <row r="197" ht="11.25" customHeight="1" x14ac:dyDescent="0.25"/>
    <row r="198" ht="11.25" customHeight="1" x14ac:dyDescent="0.25"/>
    <row r="199" ht="11.25" customHeight="1" x14ac:dyDescent="0.25"/>
    <row r="200" ht="11.25" customHeight="1" x14ac:dyDescent="0.25"/>
    <row r="201" ht="11.25" customHeight="1" x14ac:dyDescent="0.25"/>
    <row r="202" ht="11.25" customHeight="1" x14ac:dyDescent="0.25"/>
    <row r="203" ht="11.25" customHeight="1" x14ac:dyDescent="0.25"/>
    <row r="204" ht="11.25" customHeight="1" x14ac:dyDescent="0.25"/>
    <row r="205" ht="11.25" customHeight="1" x14ac:dyDescent="0.25"/>
    <row r="206" ht="11.25" customHeight="1" x14ac:dyDescent="0.25"/>
    <row r="207" ht="11.25" customHeight="1" x14ac:dyDescent="0.25"/>
    <row r="208" ht="11.25" customHeight="1" x14ac:dyDescent="0.25"/>
  </sheetData>
  <mergeCells count="2">
    <mergeCell ref="F2:H2"/>
    <mergeCell ref="I2:K2"/>
  </mergeCells>
  <pageMargins left="0.75" right="0.75" top="1" bottom="1" header="0.5" footer="0.5"/>
  <pageSetup paperSize="9" scale="60" orientation="portrait" r:id="rId1"/>
  <headerFooter alignWithMargins="0"/>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Sheet56">
    <pageSetUpPr fitToPage="1"/>
  </sheetPr>
  <dimension ref="A1:O146"/>
  <sheetViews>
    <sheetView showGridLines="0" zoomScaleNormal="100" workbookViewId="0">
      <pane xSplit="2" ySplit="3" topLeftCell="C4" activePane="bottomRight" state="frozen"/>
      <selection pane="topRight"/>
      <selection pane="bottomLeft"/>
      <selection pane="bottomRight" activeCell="G12" sqref="G12"/>
    </sheetView>
  </sheetViews>
  <sheetFormatPr defaultColWidth="9.140625" defaultRowHeight="12.75" x14ac:dyDescent="0.25"/>
  <cols>
    <col min="1" max="1" width="30.7109375" style="58" customWidth="1"/>
    <col min="2" max="2" width="3" style="55" customWidth="1"/>
    <col min="3" max="9" width="9.28515625" style="58" customWidth="1"/>
    <col min="10" max="10" width="9.42578125" style="58" customWidth="1"/>
    <col min="11" max="11" width="9.7109375" style="58" customWidth="1"/>
    <col min="12" max="14" width="9.42578125" style="58" customWidth="1"/>
    <col min="15" max="15" width="9.7109375" style="58" customWidth="1"/>
    <col min="16" max="18" width="9.42578125" style="58" customWidth="1"/>
    <col min="19" max="20" width="9.7109375" style="58" customWidth="1"/>
    <col min="21" max="16384" width="9.140625" style="58"/>
  </cols>
  <sheetData>
    <row r="1" spans="1:10" ht="13.5" customHeight="1" x14ac:dyDescent="0.25">
      <c r="A1" s="671" t="str">
        <f>muni&amp;" - "&amp;TableA35</f>
        <v>KZN226 Mkhambathini - Supporting Table SA35 Future financial implications of the capital budget</v>
      </c>
      <c r="B1" s="671"/>
      <c r="C1" s="671"/>
      <c r="D1" s="671"/>
      <c r="E1" s="671"/>
      <c r="F1" s="671"/>
      <c r="G1" s="671"/>
      <c r="H1" s="671"/>
      <c r="I1" s="671"/>
    </row>
    <row r="2" spans="1:10" ht="33.75" customHeight="1" x14ac:dyDescent="0.25">
      <c r="A2" s="1829" t="str">
        <f>Vdesc</f>
        <v>Vote Description</v>
      </c>
      <c r="B2" s="155" t="str">
        <f>head27</f>
        <v>Ref</v>
      </c>
      <c r="C2" s="2508" t="str">
        <f>Head3</f>
        <v>2021/22 Medium Term Revenue &amp; Expenditure Framework</v>
      </c>
      <c r="D2" s="2451"/>
      <c r="E2" s="2451"/>
      <c r="F2" s="2480" t="s">
        <v>751</v>
      </c>
      <c r="G2" s="2515"/>
      <c r="H2" s="2515"/>
      <c r="I2" s="2516"/>
    </row>
    <row r="3" spans="1:10" ht="25.5" x14ac:dyDescent="0.25">
      <c r="A3" s="156" t="s">
        <v>568</v>
      </c>
      <c r="B3" s="157"/>
      <c r="C3" s="1786" t="str">
        <f>Head9</f>
        <v>Budget Year 2021/22</v>
      </c>
      <c r="D3" s="698" t="str">
        <f>Head10</f>
        <v>Budget Year +1 2022/23</v>
      </c>
      <c r="E3" s="702" t="str">
        <f>Head11</f>
        <v>Budget Year +2 2023/24</v>
      </c>
      <c r="F3" s="1201" t="str">
        <f>Head12</f>
        <v>Forecast 2024/25</v>
      </c>
      <c r="G3" s="1202" t="str">
        <f>Head13</f>
        <v>Forecast 2025/26</v>
      </c>
      <c r="H3" s="1202" t="str">
        <f>Head14</f>
        <v>Forecast 2026/27</v>
      </c>
      <c r="I3" s="2142" t="str">
        <f>Head48</f>
        <v>Present value</v>
      </c>
    </row>
    <row r="4" spans="1:10" x14ac:dyDescent="0.25">
      <c r="A4" s="96" t="s">
        <v>1318</v>
      </c>
      <c r="B4" s="205">
        <v>1</v>
      </c>
      <c r="C4" s="2143"/>
      <c r="D4" s="2143"/>
      <c r="E4" s="2144"/>
      <c r="F4" s="757"/>
      <c r="G4" s="81"/>
      <c r="H4" s="81"/>
      <c r="I4" s="758"/>
      <c r="J4" s="322"/>
    </row>
    <row r="5" spans="1:10" ht="11.25" customHeight="1" x14ac:dyDescent="0.25">
      <c r="A5" s="137" t="str">
        <f>'A5-Capex'!A6</f>
        <v>Vote 1 - Finance and Administration</v>
      </c>
      <c r="B5" s="144"/>
      <c r="C5" s="328">
        <f>'A5-Capex'!J6+'A5-Capex'!J24</f>
        <v>905000</v>
      </c>
      <c r="D5" s="328">
        <f>'A5-Capex'!K6+'A5-Capex'!K24</f>
        <v>756392</v>
      </c>
      <c r="E5" s="329">
        <f>'A5-Capex'!L6+'A5-Capex'!L24</f>
        <v>786648</v>
      </c>
      <c r="F5" s="776"/>
      <c r="G5" s="775"/>
      <c r="H5" s="775"/>
      <c r="I5" s="777"/>
      <c r="J5" s="322"/>
    </row>
    <row r="6" spans="1:10" ht="11.25" customHeight="1" x14ac:dyDescent="0.25">
      <c r="A6" s="137" t="str">
        <f>'A5-Capex'!A7</f>
        <v>Vote 2 - Finance and Administration2</v>
      </c>
      <c r="B6" s="144"/>
      <c r="C6" s="328">
        <f>'A5-Capex'!J7+'A5-Capex'!J25</f>
        <v>0</v>
      </c>
      <c r="D6" s="328">
        <f>'A5-Capex'!K7+'A5-Capex'!K25</f>
        <v>0</v>
      </c>
      <c r="E6" s="329">
        <f>'A5-Capex'!L7+'A5-Capex'!L25</f>
        <v>0</v>
      </c>
      <c r="F6" s="776"/>
      <c r="G6" s="775"/>
      <c r="H6" s="775"/>
      <c r="I6" s="777"/>
      <c r="J6" s="322"/>
    </row>
    <row r="7" spans="1:10" ht="11.25" customHeight="1" x14ac:dyDescent="0.25">
      <c r="A7" s="137" t="str">
        <f>'A5-Capex'!A8</f>
        <v>Vote 3 - Executive and Council</v>
      </c>
      <c r="B7" s="144"/>
      <c r="C7" s="328">
        <f>'A5-Capex'!J8+'A5-Capex'!J26</f>
        <v>0</v>
      </c>
      <c r="D7" s="328">
        <f>'A5-Capex'!K8+'A5-Capex'!K26</f>
        <v>0</v>
      </c>
      <c r="E7" s="329">
        <f>'A5-Capex'!L8+'A5-Capex'!L26</f>
        <v>0</v>
      </c>
      <c r="F7" s="776"/>
      <c r="G7" s="775"/>
      <c r="H7" s="775"/>
      <c r="I7" s="777"/>
      <c r="J7" s="322"/>
    </row>
    <row r="8" spans="1:10" ht="11.25" customHeight="1" x14ac:dyDescent="0.25">
      <c r="A8" s="137" t="str">
        <f>'A5-Capex'!A9</f>
        <v>Vote 4 - Community and Social Services</v>
      </c>
      <c r="B8" s="144"/>
      <c r="C8" s="328">
        <f>'A5-Capex'!J9+'A5-Capex'!J27</f>
        <v>0</v>
      </c>
      <c r="D8" s="328">
        <f>'A5-Capex'!K9+'A5-Capex'!K27</f>
        <v>0</v>
      </c>
      <c r="E8" s="329">
        <f>'A5-Capex'!L9+'A5-Capex'!L27</f>
        <v>0</v>
      </c>
      <c r="F8" s="776"/>
      <c r="G8" s="775"/>
      <c r="H8" s="775"/>
      <c r="I8" s="777"/>
      <c r="J8" s="322"/>
    </row>
    <row r="9" spans="1:10" ht="11.25" customHeight="1" x14ac:dyDescent="0.25">
      <c r="A9" s="137" t="str">
        <f>'A5-Capex'!A10</f>
        <v>Vote 5 - Community and Social Services2</v>
      </c>
      <c r="B9" s="144"/>
      <c r="C9" s="328">
        <f>'A5-Capex'!J10+'A5-Capex'!J28</f>
        <v>2964575</v>
      </c>
      <c r="D9" s="328">
        <f>'A5-Capex'!K10+'A5-Capex'!K28</f>
        <v>3000000</v>
      </c>
      <c r="E9" s="329">
        <f>'A5-Capex'!L10+'A5-Capex'!L28</f>
        <v>3200000</v>
      </c>
      <c r="F9" s="776"/>
      <c r="G9" s="775"/>
      <c r="H9" s="775"/>
      <c r="I9" s="777"/>
      <c r="J9" s="322"/>
    </row>
    <row r="10" spans="1:10" ht="11.25" customHeight="1" x14ac:dyDescent="0.25">
      <c r="A10" s="137" t="str">
        <f>'A5-Capex'!A11</f>
        <v>Vote 6 - Energy Sources</v>
      </c>
      <c r="B10" s="144"/>
      <c r="C10" s="328">
        <f>'A5-Capex'!J11+'A5-Capex'!J29</f>
        <v>0</v>
      </c>
      <c r="D10" s="328">
        <f>'A5-Capex'!K11+'A5-Capex'!K29</f>
        <v>0</v>
      </c>
      <c r="E10" s="329">
        <f>'A5-Capex'!L11+'A5-Capex'!L29</f>
        <v>0</v>
      </c>
      <c r="F10" s="776"/>
      <c r="G10" s="775"/>
      <c r="H10" s="775"/>
      <c r="I10" s="777"/>
      <c r="J10" s="322"/>
    </row>
    <row r="11" spans="1:10" ht="11.25" customHeight="1" x14ac:dyDescent="0.25">
      <c r="A11" s="137" t="str">
        <f>'A5-Capex'!A12</f>
        <v>Vote 7 - Road Transport</v>
      </c>
      <c r="B11" s="144"/>
      <c r="C11" s="328">
        <f>'A5-Capex'!J12+'A5-Capex'!J30</f>
        <v>14590425</v>
      </c>
      <c r="D11" s="328">
        <f>'A5-Capex'!K12+'A5-Capex'!K30</f>
        <v>0</v>
      </c>
      <c r="E11" s="329">
        <f>'A5-Capex'!L12+'A5-Capex'!L30</f>
        <v>0</v>
      </c>
      <c r="F11" s="776"/>
      <c r="G11" s="775"/>
      <c r="H11" s="775"/>
      <c r="I11" s="777"/>
      <c r="J11" s="322"/>
    </row>
    <row r="12" spans="1:10" ht="11.25" customHeight="1" x14ac:dyDescent="0.25">
      <c r="A12" s="137" t="str">
        <f>'A5-Capex'!A13</f>
        <v>Vote 8 - Planning and Development</v>
      </c>
      <c r="B12" s="144"/>
      <c r="C12" s="328">
        <f>'A5-Capex'!J13+'A5-Capex'!J31</f>
        <v>0</v>
      </c>
      <c r="D12" s="328">
        <f>'A5-Capex'!K13+'A5-Capex'!K31</f>
        <v>0</v>
      </c>
      <c r="E12" s="329">
        <f>'A5-Capex'!L13+'A5-Capex'!L31</f>
        <v>0</v>
      </c>
      <c r="F12" s="776"/>
      <c r="G12" s="775"/>
      <c r="H12" s="775"/>
      <c r="I12" s="777"/>
      <c r="J12" s="322"/>
    </row>
    <row r="13" spans="1:10" ht="11.25" customHeight="1" x14ac:dyDescent="0.25">
      <c r="A13" s="137" t="str">
        <f>'A5-Capex'!A14</f>
        <v>Vote 9 - Sport and Recreation</v>
      </c>
      <c r="B13" s="144"/>
      <c r="C13" s="328">
        <f>'A5-Capex'!J14+'A5-Capex'!J32</f>
        <v>13161000</v>
      </c>
      <c r="D13" s="328">
        <f>'A5-Capex'!K14+'A5-Capex'!K32</f>
        <v>0</v>
      </c>
      <c r="E13" s="329">
        <f>'A5-Capex'!L14+'A5-Capex'!L32</f>
        <v>0</v>
      </c>
      <c r="F13" s="776"/>
      <c r="G13" s="775"/>
      <c r="H13" s="775"/>
      <c r="I13" s="777"/>
      <c r="J13" s="322"/>
    </row>
    <row r="14" spans="1:10" ht="11.25" customHeight="1" x14ac:dyDescent="0.25">
      <c r="A14" s="137" t="str">
        <f>'A5-Capex'!A15</f>
        <v>Vote 10 - Public Safety</v>
      </c>
      <c r="B14" s="144"/>
      <c r="C14" s="328">
        <f>'A5-Capex'!J15+'A5-Capex'!J33</f>
        <v>0</v>
      </c>
      <c r="D14" s="328">
        <f>'A5-Capex'!K15+'A5-Capex'!K33</f>
        <v>0</v>
      </c>
      <c r="E14" s="329">
        <f>'A5-Capex'!L15+'A5-Capex'!L33</f>
        <v>0</v>
      </c>
      <c r="F14" s="776"/>
      <c r="G14" s="775"/>
      <c r="H14" s="775"/>
      <c r="I14" s="777"/>
      <c r="J14" s="322"/>
    </row>
    <row r="15" spans="1:10" ht="11.25" customHeight="1" x14ac:dyDescent="0.25">
      <c r="A15" s="137" t="str">
        <f>'A5-Capex'!A16</f>
        <v>Vote 11 - Other</v>
      </c>
      <c r="B15" s="144"/>
      <c r="C15" s="328">
        <f>'A5-Capex'!J16+'A5-Capex'!J34</f>
        <v>0</v>
      </c>
      <c r="D15" s="328">
        <f>'A5-Capex'!K16+'A5-Capex'!K34</f>
        <v>0</v>
      </c>
      <c r="E15" s="329">
        <f>'A5-Capex'!L16+'A5-Capex'!L34</f>
        <v>0</v>
      </c>
      <c r="F15" s="776"/>
      <c r="G15" s="775"/>
      <c r="H15" s="775"/>
      <c r="I15" s="777"/>
      <c r="J15" s="322"/>
    </row>
    <row r="16" spans="1:10" ht="11.25" customHeight="1" x14ac:dyDescent="0.25">
      <c r="A16" s="137" t="str">
        <f>'A5-Capex'!A17</f>
        <v>Vote 12 - Waste Management</v>
      </c>
      <c r="B16" s="144"/>
      <c r="C16" s="328">
        <f>'A5-Capex'!J17+'A5-Capex'!J35</f>
        <v>0</v>
      </c>
      <c r="D16" s="328">
        <f>'A5-Capex'!K17+'A5-Capex'!K35</f>
        <v>0</v>
      </c>
      <c r="E16" s="329">
        <f>'A5-Capex'!L17+'A5-Capex'!L35</f>
        <v>0</v>
      </c>
      <c r="F16" s="776"/>
      <c r="G16" s="775"/>
      <c r="H16" s="775"/>
      <c r="I16" s="777"/>
      <c r="J16" s="322"/>
    </row>
    <row r="17" spans="1:10" ht="11.25" customHeight="1" x14ac:dyDescent="0.25">
      <c r="A17" s="137" t="str">
        <f>'A5-Capex'!A18</f>
        <v>Vote 13 - Housing</v>
      </c>
      <c r="B17" s="144"/>
      <c r="C17" s="328">
        <f>'A5-Capex'!J18+'A5-Capex'!J36</f>
        <v>0</v>
      </c>
      <c r="D17" s="328">
        <f>'A5-Capex'!K18+'A5-Capex'!K36</f>
        <v>0</v>
      </c>
      <c r="E17" s="329">
        <f>'A5-Capex'!L18+'A5-Capex'!L36</f>
        <v>0</v>
      </c>
      <c r="F17" s="776"/>
      <c r="G17" s="775"/>
      <c r="H17" s="775"/>
      <c r="I17" s="777"/>
      <c r="J17" s="322"/>
    </row>
    <row r="18" spans="1:10" ht="11.25" customHeight="1" x14ac:dyDescent="0.25">
      <c r="A18" s="137" t="str">
        <f>'A5-Capex'!A19</f>
        <v>Vote 14 - Waste Water Management</v>
      </c>
      <c r="B18" s="144"/>
      <c r="C18" s="328">
        <f>'A5-Capex'!J19+'A5-Capex'!J37</f>
        <v>0</v>
      </c>
      <c r="D18" s="328">
        <f>'A5-Capex'!K19+'A5-Capex'!K37</f>
        <v>0</v>
      </c>
      <c r="E18" s="329">
        <f>'A5-Capex'!L19+'A5-Capex'!L37</f>
        <v>0</v>
      </c>
      <c r="F18" s="776"/>
      <c r="G18" s="775"/>
      <c r="H18" s="775"/>
      <c r="I18" s="777"/>
      <c r="J18" s="322"/>
    </row>
    <row r="19" spans="1:10" ht="11.25" customHeight="1" x14ac:dyDescent="0.25">
      <c r="A19" s="137" t="str">
        <f>'A5-Capex'!A20</f>
        <v>Vote 15 - Health</v>
      </c>
      <c r="B19" s="144"/>
      <c r="C19" s="328">
        <f>'A5-Capex'!J20+'A5-Capex'!J38</f>
        <v>0</v>
      </c>
      <c r="D19" s="328">
        <f>'A5-Capex'!K20+'A5-Capex'!K38</f>
        <v>0</v>
      </c>
      <c r="E19" s="329">
        <f>'A5-Capex'!L20+'A5-Capex'!L38</f>
        <v>0</v>
      </c>
      <c r="F19" s="776"/>
      <c r="G19" s="775"/>
      <c r="H19" s="775"/>
      <c r="I19" s="777"/>
      <c r="J19" s="322"/>
    </row>
    <row r="20" spans="1:10" ht="11.25" customHeight="1" x14ac:dyDescent="0.25">
      <c r="A20" s="1917" t="s">
        <v>1298</v>
      </c>
      <c r="B20" s="144"/>
      <c r="C20" s="775"/>
      <c r="D20" s="775"/>
      <c r="E20" s="778"/>
      <c r="F20" s="776"/>
      <c r="G20" s="775"/>
      <c r="H20" s="775"/>
      <c r="I20" s="777"/>
      <c r="J20" s="322"/>
    </row>
    <row r="21" spans="1:10" ht="11.25" customHeight="1" x14ac:dyDescent="0.25">
      <c r="A21" s="2145" t="s">
        <v>31</v>
      </c>
      <c r="B21" s="144"/>
      <c r="C21" s="792">
        <f>SUM(C5:C20)</f>
        <v>31621000</v>
      </c>
      <c r="D21" s="792">
        <f t="shared" ref="D21:I21" si="0">SUM(D5:D20)</f>
        <v>3756392</v>
      </c>
      <c r="E21" s="2146">
        <f t="shared" si="0"/>
        <v>3986648</v>
      </c>
      <c r="F21" s="2147">
        <f t="shared" si="0"/>
        <v>0</v>
      </c>
      <c r="G21" s="792">
        <f t="shared" si="0"/>
        <v>0</v>
      </c>
      <c r="H21" s="792">
        <f t="shared" si="0"/>
        <v>0</v>
      </c>
      <c r="I21" s="2148">
        <f t="shared" si="0"/>
        <v>0</v>
      </c>
      <c r="J21" s="322"/>
    </row>
    <row r="22" spans="1:10" ht="4.5" customHeight="1" x14ac:dyDescent="0.25">
      <c r="A22" s="116"/>
      <c r="B22" s="144"/>
      <c r="C22" s="780"/>
      <c r="D22" s="780"/>
      <c r="E22" s="770"/>
      <c r="F22" s="2149"/>
      <c r="G22" s="780"/>
      <c r="H22" s="780"/>
      <c r="I22" s="2150"/>
      <c r="J22" s="322"/>
    </row>
    <row r="23" spans="1:10" ht="11.25" customHeight="1" x14ac:dyDescent="0.25">
      <c r="A23" s="96" t="s">
        <v>752</v>
      </c>
      <c r="B23" s="144">
        <v>2</v>
      </c>
      <c r="C23" s="328"/>
      <c r="D23" s="328"/>
      <c r="E23" s="329"/>
      <c r="F23" s="362"/>
      <c r="G23" s="328"/>
      <c r="H23" s="328"/>
      <c r="I23" s="361"/>
      <c r="J23" s="322"/>
    </row>
    <row r="24" spans="1:10" ht="11.25" customHeight="1" x14ac:dyDescent="0.25">
      <c r="A24" s="137" t="str">
        <f>A5</f>
        <v>Vote 1 - Finance and Administration</v>
      </c>
      <c r="B24" s="144"/>
      <c r="C24" s="775"/>
      <c r="D24" s="775"/>
      <c r="E24" s="778"/>
      <c r="F24" s="776"/>
      <c r="G24" s="775"/>
      <c r="H24" s="775"/>
      <c r="I24" s="777"/>
      <c r="J24" s="322"/>
    </row>
    <row r="25" spans="1:10" ht="11.25" customHeight="1" x14ac:dyDescent="0.25">
      <c r="A25" s="137" t="str">
        <f t="shared" ref="A25:A38" si="1">A6</f>
        <v>Vote 2 - Finance and Administration2</v>
      </c>
      <c r="B25" s="144"/>
      <c r="C25" s="775"/>
      <c r="D25" s="775"/>
      <c r="E25" s="778"/>
      <c r="F25" s="776"/>
      <c r="G25" s="775"/>
      <c r="H25" s="775"/>
      <c r="I25" s="777"/>
      <c r="J25" s="322"/>
    </row>
    <row r="26" spans="1:10" ht="11.25" customHeight="1" x14ac:dyDescent="0.25">
      <c r="A26" s="137" t="str">
        <f t="shared" si="1"/>
        <v>Vote 3 - Executive and Council</v>
      </c>
      <c r="B26" s="144"/>
      <c r="C26" s="775"/>
      <c r="D26" s="775"/>
      <c r="E26" s="778"/>
      <c r="F26" s="776"/>
      <c r="G26" s="775"/>
      <c r="H26" s="775"/>
      <c r="I26" s="777"/>
      <c r="J26" s="322"/>
    </row>
    <row r="27" spans="1:10" ht="11.25" customHeight="1" x14ac:dyDescent="0.25">
      <c r="A27" s="137" t="str">
        <f t="shared" si="1"/>
        <v>Vote 4 - Community and Social Services</v>
      </c>
      <c r="B27" s="144"/>
      <c r="C27" s="775"/>
      <c r="D27" s="775"/>
      <c r="E27" s="778"/>
      <c r="F27" s="776"/>
      <c r="G27" s="775"/>
      <c r="H27" s="775"/>
      <c r="I27" s="777"/>
      <c r="J27" s="322"/>
    </row>
    <row r="28" spans="1:10" ht="11.25" customHeight="1" x14ac:dyDescent="0.25">
      <c r="A28" s="137" t="str">
        <f t="shared" si="1"/>
        <v>Vote 5 - Community and Social Services2</v>
      </c>
      <c r="B28" s="144"/>
      <c r="C28" s="775"/>
      <c r="D28" s="775"/>
      <c r="E28" s="778"/>
      <c r="F28" s="776"/>
      <c r="G28" s="775"/>
      <c r="H28" s="775"/>
      <c r="I28" s="777"/>
      <c r="J28" s="322"/>
    </row>
    <row r="29" spans="1:10" ht="11.25" customHeight="1" x14ac:dyDescent="0.25">
      <c r="A29" s="137" t="str">
        <f t="shared" si="1"/>
        <v>Vote 6 - Energy Sources</v>
      </c>
      <c r="B29" s="144"/>
      <c r="C29" s="775"/>
      <c r="D29" s="775"/>
      <c r="E29" s="778"/>
      <c r="F29" s="776"/>
      <c r="G29" s="775"/>
      <c r="H29" s="775"/>
      <c r="I29" s="777"/>
      <c r="J29" s="322"/>
    </row>
    <row r="30" spans="1:10" ht="11.25" customHeight="1" x14ac:dyDescent="0.25">
      <c r="A30" s="137" t="str">
        <f t="shared" si="1"/>
        <v>Vote 7 - Road Transport</v>
      </c>
      <c r="B30" s="144"/>
      <c r="C30" s="775"/>
      <c r="D30" s="775"/>
      <c r="E30" s="778"/>
      <c r="F30" s="776"/>
      <c r="G30" s="775"/>
      <c r="H30" s="775"/>
      <c r="I30" s="777"/>
      <c r="J30" s="322"/>
    </row>
    <row r="31" spans="1:10" ht="11.25" customHeight="1" x14ac:dyDescent="0.25">
      <c r="A31" s="137" t="str">
        <f t="shared" si="1"/>
        <v>Vote 8 - Planning and Development</v>
      </c>
      <c r="B31" s="144"/>
      <c r="C31" s="775"/>
      <c r="D31" s="775"/>
      <c r="E31" s="778"/>
      <c r="F31" s="776"/>
      <c r="G31" s="775"/>
      <c r="H31" s="775"/>
      <c r="I31" s="777"/>
      <c r="J31" s="322"/>
    </row>
    <row r="32" spans="1:10" ht="11.25" customHeight="1" x14ac:dyDescent="0.25">
      <c r="A32" s="137" t="str">
        <f t="shared" si="1"/>
        <v>Vote 9 - Sport and Recreation</v>
      </c>
      <c r="B32" s="144"/>
      <c r="C32" s="775"/>
      <c r="D32" s="775"/>
      <c r="E32" s="778"/>
      <c r="F32" s="776"/>
      <c r="G32" s="775"/>
      <c r="H32" s="775"/>
      <c r="I32" s="777"/>
      <c r="J32" s="322"/>
    </row>
    <row r="33" spans="1:15" ht="11.25" customHeight="1" x14ac:dyDescent="0.25">
      <c r="A33" s="137" t="str">
        <f t="shared" si="1"/>
        <v>Vote 10 - Public Safety</v>
      </c>
      <c r="B33" s="144"/>
      <c r="C33" s="775"/>
      <c r="D33" s="775"/>
      <c r="E33" s="778"/>
      <c r="F33" s="776"/>
      <c r="G33" s="775"/>
      <c r="H33" s="775"/>
      <c r="I33" s="777"/>
      <c r="J33" s="322"/>
    </row>
    <row r="34" spans="1:15" ht="11.25" customHeight="1" x14ac:dyDescent="0.25">
      <c r="A34" s="137" t="str">
        <f t="shared" si="1"/>
        <v>Vote 11 - Other</v>
      </c>
      <c r="B34" s="144"/>
      <c r="C34" s="775"/>
      <c r="D34" s="775"/>
      <c r="E34" s="778"/>
      <c r="F34" s="776"/>
      <c r="G34" s="775"/>
      <c r="H34" s="775"/>
      <c r="I34" s="777"/>
      <c r="J34" s="322"/>
    </row>
    <row r="35" spans="1:15" ht="11.25" customHeight="1" x14ac:dyDescent="0.25">
      <c r="A35" s="137" t="str">
        <f t="shared" si="1"/>
        <v>Vote 12 - Waste Management</v>
      </c>
      <c r="B35" s="144"/>
      <c r="C35" s="775"/>
      <c r="D35" s="775"/>
      <c r="E35" s="778"/>
      <c r="F35" s="776"/>
      <c r="G35" s="775"/>
      <c r="H35" s="775"/>
      <c r="I35" s="777"/>
      <c r="J35" s="322"/>
    </row>
    <row r="36" spans="1:15" ht="11.25" customHeight="1" x14ac:dyDescent="0.25">
      <c r="A36" s="137" t="str">
        <f t="shared" si="1"/>
        <v>Vote 13 - Housing</v>
      </c>
      <c r="B36" s="144"/>
      <c r="C36" s="775"/>
      <c r="D36" s="775"/>
      <c r="E36" s="778"/>
      <c r="F36" s="776"/>
      <c r="G36" s="775"/>
      <c r="H36" s="775"/>
      <c r="I36" s="777"/>
      <c r="J36" s="322"/>
    </row>
    <row r="37" spans="1:15" ht="11.25" customHeight="1" x14ac:dyDescent="0.25">
      <c r="A37" s="137" t="str">
        <f t="shared" si="1"/>
        <v>Vote 14 - Waste Water Management</v>
      </c>
      <c r="B37" s="144"/>
      <c r="C37" s="775"/>
      <c r="D37" s="775"/>
      <c r="E37" s="778"/>
      <c r="F37" s="776"/>
      <c r="G37" s="775"/>
      <c r="H37" s="775"/>
      <c r="I37" s="777"/>
      <c r="J37" s="322"/>
      <c r="O37" s="322"/>
    </row>
    <row r="38" spans="1:15" ht="11.25" customHeight="1" x14ac:dyDescent="0.25">
      <c r="A38" s="137" t="str">
        <f t="shared" si="1"/>
        <v>Vote 15 - Health</v>
      </c>
      <c r="B38" s="144"/>
      <c r="C38" s="775"/>
      <c r="D38" s="775"/>
      <c r="E38" s="778"/>
      <c r="F38" s="776"/>
      <c r="G38" s="775"/>
      <c r="H38" s="775"/>
      <c r="I38" s="777"/>
      <c r="J38" s="322"/>
    </row>
    <row r="39" spans="1:15" ht="11.25" customHeight="1" x14ac:dyDescent="0.25">
      <c r="A39" s="1917" t="s">
        <v>1298</v>
      </c>
      <c r="B39" s="144"/>
      <c r="C39" s="775"/>
      <c r="D39" s="775"/>
      <c r="E39" s="778"/>
      <c r="F39" s="776"/>
      <c r="G39" s="775"/>
      <c r="H39" s="775"/>
      <c r="I39" s="777"/>
      <c r="J39" s="322"/>
    </row>
    <row r="40" spans="1:15" x14ac:dyDescent="0.25">
      <c r="A40" s="145" t="s">
        <v>14</v>
      </c>
      <c r="B40" s="144"/>
      <c r="C40" s="2151">
        <f>SUM(C24:C39)</f>
        <v>0</v>
      </c>
      <c r="D40" s="2151">
        <f t="shared" ref="D40:I40" si="2">SUM(D24:D39)</f>
        <v>0</v>
      </c>
      <c r="E40" s="2152">
        <f t="shared" si="2"/>
        <v>0</v>
      </c>
      <c r="F40" s="2153">
        <f t="shared" si="2"/>
        <v>0</v>
      </c>
      <c r="G40" s="2151">
        <f t="shared" si="2"/>
        <v>0</v>
      </c>
      <c r="H40" s="2151">
        <f t="shared" si="2"/>
        <v>0</v>
      </c>
      <c r="I40" s="2154">
        <f t="shared" si="2"/>
        <v>0</v>
      </c>
      <c r="J40" s="322"/>
    </row>
    <row r="41" spans="1:15" ht="4.5" customHeight="1" x14ac:dyDescent="0.25">
      <c r="A41" s="116"/>
      <c r="B41" s="144"/>
      <c r="C41" s="328"/>
      <c r="D41" s="328"/>
      <c r="E41" s="329"/>
      <c r="F41" s="362"/>
      <c r="G41" s="328"/>
      <c r="H41" s="328"/>
      <c r="I41" s="361"/>
      <c r="J41" s="322"/>
    </row>
    <row r="42" spans="1:15" ht="11.25" customHeight="1" x14ac:dyDescent="0.25">
      <c r="A42" s="96" t="s">
        <v>753</v>
      </c>
      <c r="B42" s="144">
        <v>3</v>
      </c>
      <c r="C42" s="328"/>
      <c r="D42" s="328"/>
      <c r="E42" s="329"/>
      <c r="F42" s="362"/>
      <c r="G42" s="328"/>
      <c r="H42" s="328"/>
      <c r="I42" s="361"/>
      <c r="J42" s="322"/>
    </row>
    <row r="43" spans="1:15" ht="11.25" customHeight="1" x14ac:dyDescent="0.25">
      <c r="A43" s="137" t="str">
        <f>'A4-FinPerf RE'!A5</f>
        <v>Property rates</v>
      </c>
      <c r="B43" s="144"/>
      <c r="C43" s="775"/>
      <c r="D43" s="775"/>
      <c r="E43" s="778"/>
      <c r="F43" s="776"/>
      <c r="G43" s="775"/>
      <c r="H43" s="775"/>
      <c r="I43" s="777"/>
      <c r="J43" s="322"/>
    </row>
    <row r="44" spans="1:15" ht="11.25" customHeight="1" x14ac:dyDescent="0.25">
      <c r="A44" s="137" t="str">
        <f>'A4-FinPerf RE'!A6</f>
        <v>Service charges - electricity revenue</v>
      </c>
      <c r="B44" s="144"/>
      <c r="C44" s="775"/>
      <c r="D44" s="775"/>
      <c r="E44" s="778"/>
      <c r="F44" s="776"/>
      <c r="G44" s="775"/>
      <c r="H44" s="775"/>
      <c r="I44" s="777"/>
      <c r="J44" s="322"/>
    </row>
    <row r="45" spans="1:15" ht="11.25" customHeight="1" x14ac:dyDescent="0.25">
      <c r="A45" s="137" t="str">
        <f>'A4-FinPerf RE'!A7</f>
        <v>Service charges - water revenue</v>
      </c>
      <c r="B45" s="144"/>
      <c r="C45" s="775"/>
      <c r="D45" s="775"/>
      <c r="E45" s="778"/>
      <c r="F45" s="776"/>
      <c r="G45" s="775"/>
      <c r="H45" s="775"/>
      <c r="I45" s="777"/>
      <c r="J45" s="322"/>
    </row>
    <row r="46" spans="1:15" ht="11.25" customHeight="1" x14ac:dyDescent="0.25">
      <c r="A46" s="137" t="str">
        <f>'A4-FinPerf RE'!A8</f>
        <v>Service charges - sanitation revenue</v>
      </c>
      <c r="B46" s="144"/>
      <c r="C46" s="775"/>
      <c r="D46" s="775"/>
      <c r="E46" s="778"/>
      <c r="F46" s="776"/>
      <c r="G46" s="775"/>
      <c r="H46" s="775"/>
      <c r="I46" s="777"/>
      <c r="J46" s="322"/>
    </row>
    <row r="47" spans="1:15" ht="11.25" customHeight="1" x14ac:dyDescent="0.25">
      <c r="A47" s="137" t="str">
        <f>'A4-FinPerf RE'!A9</f>
        <v>Service charges - refuse revenue</v>
      </c>
      <c r="B47" s="144"/>
      <c r="C47" s="775"/>
      <c r="D47" s="775"/>
      <c r="E47" s="778"/>
      <c r="F47" s="776"/>
      <c r="G47" s="775"/>
      <c r="H47" s="775"/>
      <c r="I47" s="777"/>
      <c r="J47" s="322"/>
    </row>
    <row r="48" spans="1:15" ht="1.9" customHeight="1" x14ac:dyDescent="0.25">
      <c r="A48" s="137"/>
      <c r="B48" s="144"/>
      <c r="C48" s="328"/>
      <c r="D48" s="328"/>
      <c r="E48" s="329"/>
      <c r="F48" s="362"/>
      <c r="G48" s="328"/>
      <c r="H48" s="328"/>
      <c r="I48" s="361"/>
      <c r="J48" s="322"/>
    </row>
    <row r="49" spans="1:10" ht="11.25" customHeight="1" x14ac:dyDescent="0.25">
      <c r="A49" s="137" t="str">
        <f>'A4-FinPerf RE'!A11</f>
        <v>Rental of facilities and equipment</v>
      </c>
      <c r="B49" s="144"/>
      <c r="C49" s="775"/>
      <c r="D49" s="775"/>
      <c r="E49" s="778"/>
      <c r="F49" s="776"/>
      <c r="G49" s="775"/>
      <c r="H49" s="775"/>
      <c r="I49" s="777"/>
      <c r="J49" s="322"/>
    </row>
    <row r="50" spans="1:10" ht="11.25" customHeight="1" x14ac:dyDescent="0.25">
      <c r="A50" s="1917" t="s">
        <v>251</v>
      </c>
      <c r="B50" s="144"/>
      <c r="C50" s="775"/>
      <c r="D50" s="775"/>
      <c r="E50" s="778"/>
      <c r="F50" s="776"/>
      <c r="G50" s="775"/>
      <c r="H50" s="775"/>
      <c r="I50" s="777"/>
      <c r="J50" s="322"/>
    </row>
    <row r="51" spans="1:10" ht="11.25" customHeight="1" x14ac:dyDescent="0.25">
      <c r="A51" s="1917" t="s">
        <v>1298</v>
      </c>
      <c r="B51" s="144"/>
      <c r="C51" s="775"/>
      <c r="D51" s="775"/>
      <c r="E51" s="778"/>
      <c r="F51" s="776"/>
      <c r="G51" s="775"/>
      <c r="H51" s="775"/>
      <c r="I51" s="777"/>
      <c r="J51" s="322"/>
    </row>
    <row r="52" spans="1:10" x14ac:dyDescent="0.25">
      <c r="A52" s="145" t="s">
        <v>104</v>
      </c>
      <c r="B52" s="144"/>
      <c r="C52" s="2151">
        <f>SUM(C43:C47)+SUM(C49:C51)</f>
        <v>0</v>
      </c>
      <c r="D52" s="2151">
        <f t="shared" ref="D52:I52" si="3">SUM(D43:D47)+SUM(D49:D51)</f>
        <v>0</v>
      </c>
      <c r="E52" s="2152">
        <f t="shared" si="3"/>
        <v>0</v>
      </c>
      <c r="F52" s="2153">
        <f t="shared" si="3"/>
        <v>0</v>
      </c>
      <c r="G52" s="2151">
        <f t="shared" si="3"/>
        <v>0</v>
      </c>
      <c r="H52" s="2151">
        <f t="shared" si="3"/>
        <v>0</v>
      </c>
      <c r="I52" s="2154">
        <f t="shared" si="3"/>
        <v>0</v>
      </c>
      <c r="J52" s="322"/>
    </row>
    <row r="53" spans="1:10" x14ac:dyDescent="0.25">
      <c r="A53" s="147" t="s">
        <v>754</v>
      </c>
      <c r="B53" s="148"/>
      <c r="C53" s="119">
        <f t="shared" ref="C53:I53" si="4">C21+C40-C52</f>
        <v>31621000</v>
      </c>
      <c r="D53" s="119">
        <f t="shared" si="4"/>
        <v>3756392</v>
      </c>
      <c r="E53" s="122">
        <f t="shared" si="4"/>
        <v>3986648</v>
      </c>
      <c r="F53" s="121">
        <f t="shared" si="4"/>
        <v>0</v>
      </c>
      <c r="G53" s="119">
        <f t="shared" si="4"/>
        <v>0</v>
      </c>
      <c r="H53" s="119">
        <f t="shared" si="4"/>
        <v>0</v>
      </c>
      <c r="I53" s="120">
        <f t="shared" si="4"/>
        <v>0</v>
      </c>
      <c r="J53" s="322"/>
    </row>
    <row r="54" spans="1:10" ht="11.25" customHeight="1" x14ac:dyDescent="0.25">
      <c r="A54" s="217" t="str">
        <f>head27a</f>
        <v>References</v>
      </c>
      <c r="B54" s="299"/>
      <c r="C54" s="296"/>
      <c r="D54" s="296"/>
      <c r="E54" s="296"/>
      <c r="F54" s="296"/>
      <c r="G54" s="296"/>
      <c r="H54" s="296"/>
      <c r="I54" s="296"/>
    </row>
    <row r="55" spans="1:10" ht="11.25" customHeight="1" x14ac:dyDescent="0.25">
      <c r="A55" s="218" t="s">
        <v>19</v>
      </c>
      <c r="B55" s="296"/>
      <c r="C55" s="296"/>
      <c r="D55" s="296"/>
      <c r="E55" s="296"/>
      <c r="F55" s="296"/>
      <c r="G55" s="296"/>
      <c r="H55" s="296"/>
      <c r="I55" s="296"/>
    </row>
    <row r="56" spans="1:10" ht="11.25" customHeight="1" x14ac:dyDescent="0.25">
      <c r="A56" s="218" t="s">
        <v>20</v>
      </c>
      <c r="B56" s="296"/>
      <c r="C56" s="296"/>
      <c r="D56" s="296"/>
      <c r="E56" s="296"/>
      <c r="F56" s="296"/>
      <c r="G56" s="296"/>
      <c r="H56" s="296"/>
      <c r="I56" s="296"/>
    </row>
    <row r="57" spans="1:10" ht="11.25" customHeight="1" x14ac:dyDescent="0.25">
      <c r="A57" s="306" t="s">
        <v>1297</v>
      </c>
      <c r="B57" s="2155"/>
      <c r="C57" s="2155"/>
      <c r="D57" s="2155"/>
      <c r="E57" s="2155"/>
      <c r="F57" s="2155"/>
      <c r="G57" s="2155"/>
      <c r="H57" s="2155"/>
      <c r="I57" s="2155"/>
    </row>
    <row r="58" spans="1:10" ht="11.25" customHeight="1" x14ac:dyDescent="0.25">
      <c r="B58" s="58"/>
    </row>
    <row r="59" spans="1:10" x14ac:dyDescent="0.25">
      <c r="A59" s="1815" t="s">
        <v>1330</v>
      </c>
      <c r="B59" s="58"/>
      <c r="C59" s="329">
        <f>C21-('A5-Capex'!J21+'A5-Capex'!J39)</f>
        <v>0</v>
      </c>
      <c r="D59" s="329">
        <f>D21-('A5-Capex'!K21+'A5-Capex'!K39)</f>
        <v>0</v>
      </c>
      <c r="E59" s="329">
        <f>E21-('A5-Capex'!L21+'A5-Capex'!L39)</f>
        <v>0</v>
      </c>
      <c r="F59" s="322"/>
    </row>
    <row r="60" spans="1:10" ht="11.25" customHeight="1" x14ac:dyDescent="0.25">
      <c r="B60" s="58"/>
    </row>
    <row r="61" spans="1:10" ht="11.25" customHeight="1" x14ac:dyDescent="0.25">
      <c r="B61" s="58"/>
    </row>
    <row r="62" spans="1:10" ht="11.25" customHeight="1" x14ac:dyDescent="0.25">
      <c r="B62" s="58"/>
    </row>
    <row r="63" spans="1:10" ht="11.25" customHeight="1" x14ac:dyDescent="0.25">
      <c r="B63" s="58"/>
    </row>
    <row r="64" spans="1:10" ht="11.25" customHeight="1" x14ac:dyDescent="0.25">
      <c r="B64" s="58"/>
    </row>
    <row r="65" spans="2:2" ht="11.25" customHeight="1" x14ac:dyDescent="0.25">
      <c r="B65" s="58"/>
    </row>
    <row r="66" spans="2:2" ht="11.25" customHeight="1" x14ac:dyDescent="0.25">
      <c r="B66" s="58"/>
    </row>
    <row r="67" spans="2:2" ht="11.25" customHeight="1" x14ac:dyDescent="0.25">
      <c r="B67" s="58"/>
    </row>
    <row r="68" spans="2:2" ht="11.25" customHeight="1" x14ac:dyDescent="0.25">
      <c r="B68" s="58"/>
    </row>
    <row r="69" spans="2:2" ht="11.25" customHeight="1" x14ac:dyDescent="0.25">
      <c r="B69" s="58"/>
    </row>
    <row r="70" spans="2:2" ht="11.25" customHeight="1" x14ac:dyDescent="0.25">
      <c r="B70" s="58"/>
    </row>
    <row r="71" spans="2:2" ht="11.25" customHeight="1" x14ac:dyDescent="0.25">
      <c r="B71" s="58"/>
    </row>
    <row r="72" spans="2:2" ht="11.25" customHeight="1" x14ac:dyDescent="0.25">
      <c r="B72" s="58"/>
    </row>
    <row r="73" spans="2:2" ht="11.25" customHeight="1" x14ac:dyDescent="0.25">
      <c r="B73" s="58"/>
    </row>
    <row r="74" spans="2:2" ht="11.25" customHeight="1" x14ac:dyDescent="0.25">
      <c r="B74" s="58"/>
    </row>
    <row r="75" spans="2:2" ht="11.25" customHeight="1" x14ac:dyDescent="0.25">
      <c r="B75" s="58"/>
    </row>
    <row r="76" spans="2:2" ht="11.25" customHeight="1" x14ac:dyDescent="0.25">
      <c r="B76" s="58"/>
    </row>
    <row r="77" spans="2:2" x14ac:dyDescent="0.25">
      <c r="B77" s="58"/>
    </row>
    <row r="78" spans="2:2" ht="11.25" customHeight="1" x14ac:dyDescent="0.25">
      <c r="B78" s="58"/>
    </row>
    <row r="79" spans="2:2" ht="11.25" customHeight="1" x14ac:dyDescent="0.25">
      <c r="B79" s="58"/>
    </row>
    <row r="80" spans="2:2" ht="11.25" customHeight="1" x14ac:dyDescent="0.25">
      <c r="B80" s="58"/>
    </row>
    <row r="81" spans="2:9" ht="11.25" customHeight="1" x14ac:dyDescent="0.25">
      <c r="B81" s="58"/>
    </row>
    <row r="82" spans="2:9" ht="11.25" customHeight="1" x14ac:dyDescent="0.25">
      <c r="B82" s="58"/>
    </row>
    <row r="83" spans="2:9" ht="11.25" customHeight="1" x14ac:dyDescent="0.25">
      <c r="B83" s="58"/>
    </row>
    <row r="84" spans="2:9" ht="6" customHeight="1" x14ac:dyDescent="0.25">
      <c r="B84" s="58"/>
    </row>
    <row r="85" spans="2:9" ht="11.25" customHeight="1" x14ac:dyDescent="0.25">
      <c r="B85" s="58"/>
    </row>
    <row r="86" spans="2:9" ht="11.25" customHeight="1" x14ac:dyDescent="0.25">
      <c r="B86" s="58"/>
    </row>
    <row r="87" spans="2:9" ht="11.25" customHeight="1" x14ac:dyDescent="0.25">
      <c r="B87" s="58"/>
    </row>
    <row r="88" spans="2:9" ht="11.25" customHeight="1" x14ac:dyDescent="0.25">
      <c r="B88" s="58"/>
    </row>
    <row r="89" spans="2:9" ht="11.25" customHeight="1" x14ac:dyDescent="0.25">
      <c r="B89" s="58"/>
    </row>
    <row r="90" spans="2:9" ht="11.25" customHeight="1" x14ac:dyDescent="0.25">
      <c r="B90" s="58"/>
    </row>
    <row r="91" spans="2:9" ht="11.25" customHeight="1" x14ac:dyDescent="0.25">
      <c r="B91" s="58"/>
    </row>
    <row r="92" spans="2:9" ht="11.25" customHeight="1" x14ac:dyDescent="0.25">
      <c r="B92" s="58"/>
    </row>
    <row r="93" spans="2:9" ht="11.25" customHeight="1" x14ac:dyDescent="0.25">
      <c r="B93" s="58"/>
    </row>
    <row r="94" spans="2:9" ht="11.25" customHeight="1" x14ac:dyDescent="0.25">
      <c r="B94" s="58"/>
    </row>
    <row r="95" spans="2:9" ht="11.25" customHeight="1" x14ac:dyDescent="0.25">
      <c r="B95" s="58"/>
      <c r="I95" s="2156"/>
    </row>
    <row r="96" spans="2:9" ht="11.25" customHeight="1" x14ac:dyDescent="0.25">
      <c r="B96" s="58"/>
    </row>
    <row r="97" spans="1:8" ht="11.25" customHeight="1" x14ac:dyDescent="0.25">
      <c r="B97" s="58"/>
    </row>
    <row r="98" spans="1:8" ht="11.25" customHeight="1" x14ac:dyDescent="0.25">
      <c r="B98" s="58"/>
    </row>
    <row r="99" spans="1:8" x14ac:dyDescent="0.25">
      <c r="B99" s="58"/>
    </row>
    <row r="100" spans="1:8" x14ac:dyDescent="0.25">
      <c r="B100" s="58"/>
    </row>
    <row r="101" spans="1:8" ht="11.25" customHeight="1" x14ac:dyDescent="0.25">
      <c r="B101" s="58"/>
    </row>
    <row r="102" spans="1:8" x14ac:dyDescent="0.25">
      <c r="B102" s="58"/>
    </row>
    <row r="103" spans="1:8" x14ac:dyDescent="0.25">
      <c r="B103" s="58"/>
    </row>
    <row r="104" spans="1:8" x14ac:dyDescent="0.25">
      <c r="B104" s="58"/>
    </row>
    <row r="105" spans="1:8" x14ac:dyDescent="0.25">
      <c r="B105" s="58"/>
    </row>
    <row r="106" spans="1:8" ht="11.25" customHeight="1" x14ac:dyDescent="0.25">
      <c r="B106" s="58"/>
    </row>
    <row r="107" spans="1:8" s="800" customFormat="1" ht="11.25" customHeight="1" x14ac:dyDescent="0.25">
      <c r="A107" s="58"/>
      <c r="B107" s="58"/>
      <c r="C107" s="58"/>
      <c r="D107" s="58"/>
      <c r="E107" s="58"/>
      <c r="F107" s="58"/>
      <c r="G107" s="58"/>
      <c r="H107" s="58"/>
    </row>
    <row r="108" spans="1:8" ht="11.25" customHeight="1" x14ac:dyDescent="0.25">
      <c r="B108" s="58"/>
    </row>
    <row r="109" spans="1:8" ht="11.25" customHeight="1" x14ac:dyDescent="0.25">
      <c r="B109" s="58"/>
    </row>
    <row r="110" spans="1:8" ht="11.25" customHeight="1" x14ac:dyDescent="0.25">
      <c r="B110" s="58"/>
    </row>
    <row r="111" spans="1:8" ht="11.25" customHeight="1" x14ac:dyDescent="0.25">
      <c r="B111" s="58"/>
    </row>
    <row r="112" spans="1:8" ht="11.25" customHeight="1" x14ac:dyDescent="0.25">
      <c r="B112" s="58"/>
    </row>
    <row r="113" spans="2:2" ht="11.25" customHeight="1" x14ac:dyDescent="0.25">
      <c r="B113" s="58"/>
    </row>
    <row r="114" spans="2:2" ht="11.25" customHeight="1" x14ac:dyDescent="0.25">
      <c r="B114" s="58"/>
    </row>
    <row r="115" spans="2:2" ht="11.25" customHeight="1" x14ac:dyDescent="0.25">
      <c r="B115" s="58"/>
    </row>
    <row r="116" spans="2:2" ht="11.25" customHeight="1" x14ac:dyDescent="0.25">
      <c r="B116" s="58"/>
    </row>
    <row r="117" spans="2:2" ht="11.25" customHeight="1" x14ac:dyDescent="0.25">
      <c r="B117" s="58"/>
    </row>
    <row r="118" spans="2:2" ht="11.25" customHeight="1" x14ac:dyDescent="0.25">
      <c r="B118" s="58"/>
    </row>
    <row r="119" spans="2:2" ht="11.25" customHeight="1" x14ac:dyDescent="0.25">
      <c r="B119" s="58"/>
    </row>
    <row r="120" spans="2:2" ht="11.25" customHeight="1" x14ac:dyDescent="0.25">
      <c r="B120" s="58"/>
    </row>
    <row r="121" spans="2:2" ht="11.25" customHeight="1" x14ac:dyDescent="0.25">
      <c r="B121" s="58"/>
    </row>
    <row r="122" spans="2:2" ht="11.25" customHeight="1" x14ac:dyDescent="0.25">
      <c r="B122" s="58"/>
    </row>
    <row r="123" spans="2:2" ht="11.25" customHeight="1" x14ac:dyDescent="0.25"/>
    <row r="124" spans="2:2" ht="11.25" customHeight="1" x14ac:dyDescent="0.25"/>
    <row r="125" spans="2:2" ht="11.25" customHeight="1" x14ac:dyDescent="0.25"/>
    <row r="126" spans="2:2" ht="11.25" customHeight="1" x14ac:dyDescent="0.25"/>
    <row r="127" spans="2:2" ht="11.25" customHeight="1" x14ac:dyDescent="0.25"/>
    <row r="128" spans="2:2" ht="11.25" customHeight="1" x14ac:dyDescent="0.25"/>
    <row r="129" ht="11.25" customHeight="1" x14ac:dyDescent="0.25"/>
    <row r="130" ht="11.25" customHeight="1" x14ac:dyDescent="0.25"/>
    <row r="131" ht="11.25" customHeight="1" x14ac:dyDescent="0.25"/>
    <row r="132" ht="11.25" customHeight="1" x14ac:dyDescent="0.25"/>
    <row r="133" ht="11.25" customHeight="1" x14ac:dyDescent="0.25"/>
    <row r="134" ht="11.25" customHeight="1" x14ac:dyDescent="0.25"/>
    <row r="135" ht="11.25" customHeight="1" x14ac:dyDescent="0.25"/>
    <row r="136" ht="11.25" customHeight="1" x14ac:dyDescent="0.25"/>
    <row r="137" ht="11.25" customHeight="1" x14ac:dyDescent="0.25"/>
    <row r="138" ht="11.25" customHeight="1" x14ac:dyDescent="0.25"/>
    <row r="139" ht="11.25" customHeight="1" x14ac:dyDescent="0.25"/>
    <row r="140" ht="11.25" customHeight="1" x14ac:dyDescent="0.25"/>
    <row r="141" ht="11.25" customHeight="1" x14ac:dyDescent="0.25"/>
    <row r="142" ht="11.25" customHeight="1" x14ac:dyDescent="0.25"/>
    <row r="143" ht="11.25" customHeight="1" x14ac:dyDescent="0.25"/>
    <row r="144" ht="11.25" customHeight="1" x14ac:dyDescent="0.25"/>
    <row r="145" ht="11.25" customHeight="1" x14ac:dyDescent="0.25"/>
    <row r="146" ht="11.25" customHeight="1" x14ac:dyDescent="0.25"/>
  </sheetData>
  <sheetProtection sheet="1" objects="1" scenarios="1"/>
  <mergeCells count="2">
    <mergeCell ref="F2:I2"/>
    <mergeCell ref="C2:E2"/>
  </mergeCells>
  <phoneticPr fontId="7" type="noConversion"/>
  <printOptions horizontalCentered="1"/>
  <pageMargins left="0" right="0" top="0.78740157480314965" bottom="0.59055118110236227" header="0.51181102362204722" footer="0.39370078740157483"/>
  <pageSetup paperSize="9" orientation="portrait" r:id="rId1"/>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Sheet57">
    <pageSetUpPr fitToPage="1"/>
  </sheetPr>
  <dimension ref="A1:Q136"/>
  <sheetViews>
    <sheetView showGridLines="0" zoomScaleNormal="100" workbookViewId="0">
      <pane xSplit="2" ySplit="3" topLeftCell="C4" activePane="bottomRight" state="frozen"/>
      <selection pane="topRight"/>
      <selection pane="bottomLeft"/>
      <selection pane="bottomRight" activeCell="A7" sqref="A7:Q46"/>
    </sheetView>
  </sheetViews>
  <sheetFormatPr defaultColWidth="9.140625" defaultRowHeight="12.75" x14ac:dyDescent="0.25"/>
  <cols>
    <col min="1" max="2" width="23.42578125" style="58" customWidth="1"/>
    <col min="3" max="3" width="11.7109375" style="58" customWidth="1"/>
    <col min="4" max="4" width="8.28515625" style="58" customWidth="1"/>
    <col min="5" max="5" width="24.7109375" style="58" customWidth="1"/>
    <col min="6" max="7" width="20.42578125" style="58" customWidth="1"/>
    <col min="8" max="11" width="23.42578125" style="58" customWidth="1"/>
    <col min="12" max="12" width="17.7109375" style="58" customWidth="1"/>
    <col min="13" max="17" width="9.28515625" style="58" customWidth="1"/>
    <col min="18" max="18" width="9.7109375" style="58" customWidth="1"/>
    <col min="19" max="19" width="9.42578125" style="58" customWidth="1"/>
    <col min="20" max="20" width="9.7109375" style="58" customWidth="1"/>
    <col min="21" max="23" width="9.42578125" style="58" customWidth="1"/>
    <col min="24" max="24" width="9.7109375" style="58" customWidth="1"/>
    <col min="25" max="27" width="9.42578125" style="58" customWidth="1"/>
    <col min="28" max="29" width="9.7109375" style="58" customWidth="1"/>
    <col min="30" max="16384" width="9.140625" style="58"/>
  </cols>
  <sheetData>
    <row r="1" spans="1:17" ht="13.5" customHeight="1" x14ac:dyDescent="0.25">
      <c r="A1" s="92" t="str">
        <f>muni&amp;" - "&amp;TableA36</f>
        <v>KZN226 Mkhambathini - Supporting Table SA36 Detailed capital budget</v>
      </c>
      <c r="B1" s="92"/>
      <c r="C1" s="92"/>
      <c r="D1" s="92"/>
      <c r="E1" s="92"/>
      <c r="F1" s="92"/>
      <c r="G1" s="92"/>
      <c r="H1" s="92"/>
      <c r="I1" s="92"/>
      <c r="J1" s="92"/>
      <c r="K1" s="92"/>
      <c r="L1" s="92"/>
      <c r="M1" s="92"/>
      <c r="N1" s="92"/>
      <c r="O1" s="92"/>
      <c r="P1" s="92"/>
      <c r="Q1" s="92"/>
    </row>
    <row r="2" spans="1:17" ht="22.15" customHeight="1" x14ac:dyDescent="0.25">
      <c r="A2" s="2157" t="s">
        <v>568</v>
      </c>
      <c r="B2" s="697"/>
      <c r="C2" s="697"/>
      <c r="D2" s="697"/>
      <c r="E2" s="2158"/>
      <c r="F2" s="2158"/>
      <c r="G2" s="2158"/>
      <c r="H2" s="2158"/>
      <c r="I2" s="2158"/>
      <c r="J2" s="2158"/>
      <c r="K2" s="2158"/>
      <c r="L2" s="2159"/>
      <c r="M2" s="2517"/>
      <c r="N2" s="2478"/>
      <c r="O2" s="2450" t="str">
        <f>Head3</f>
        <v>2021/22 Medium Term Revenue &amp; Expenditure Framework</v>
      </c>
      <c r="P2" s="2451"/>
      <c r="Q2" s="2452"/>
    </row>
    <row r="3" spans="1:17" s="2161" customFormat="1" ht="50.25" customHeight="1" x14ac:dyDescent="0.2">
      <c r="A3" s="2160" t="s">
        <v>2471</v>
      </c>
      <c r="B3" s="698" t="s">
        <v>2472</v>
      </c>
      <c r="C3" s="698" t="s">
        <v>2473</v>
      </c>
      <c r="D3" s="698" t="s">
        <v>2474</v>
      </c>
      <c r="E3" s="698" t="s">
        <v>2476</v>
      </c>
      <c r="F3" s="698" t="s">
        <v>2477</v>
      </c>
      <c r="G3" s="698" t="s">
        <v>2478</v>
      </c>
      <c r="H3" s="698" t="s">
        <v>1731</v>
      </c>
      <c r="I3" s="698" t="s">
        <v>2482</v>
      </c>
      <c r="J3" s="698" t="s">
        <v>2479</v>
      </c>
      <c r="K3" s="698" t="s">
        <v>2480</v>
      </c>
      <c r="L3" s="1786" t="s">
        <v>2481</v>
      </c>
      <c r="M3" s="825" t="str">
        <f>Head5&amp;"    "&amp;Head1</f>
        <v>Audited Outcome    2019/20</v>
      </c>
      <c r="N3" s="826" t="str">
        <f>Head2 &amp; "        "&amp;Head8</f>
        <v>Current Year 2020/21        Full Year Forecast</v>
      </c>
      <c r="O3" s="95" t="str">
        <f>Head9</f>
        <v>Budget Year 2021/22</v>
      </c>
      <c r="P3" s="698" t="str">
        <f>Head10</f>
        <v>Budget Year +1 2022/23</v>
      </c>
      <c r="Q3" s="94" t="str">
        <f>Head11</f>
        <v>Budget Year +2 2023/24</v>
      </c>
    </row>
    <row r="4" spans="1:17" x14ac:dyDescent="0.25">
      <c r="A4" s="2162" t="s">
        <v>1299</v>
      </c>
      <c r="B4" s="2163"/>
      <c r="C4" s="2164"/>
      <c r="D4" s="2164"/>
      <c r="E4" s="2164"/>
      <c r="F4" s="2164"/>
      <c r="G4" s="2164"/>
      <c r="H4" s="2165"/>
      <c r="I4" s="2166"/>
      <c r="J4" s="2166"/>
      <c r="K4" s="2167"/>
      <c r="L4" s="2168"/>
      <c r="M4" s="81"/>
      <c r="N4" s="756"/>
      <c r="O4" s="757"/>
      <c r="P4" s="81"/>
      <c r="Q4" s="758"/>
    </row>
    <row r="5" spans="1:17" x14ac:dyDescent="0.25">
      <c r="A5" s="307" t="s">
        <v>2475</v>
      </c>
      <c r="B5" s="860"/>
      <c r="C5" s="2169"/>
      <c r="D5" s="2169"/>
      <c r="E5" s="2169"/>
      <c r="F5" s="2169"/>
      <c r="G5" s="2169"/>
      <c r="H5" s="308"/>
      <c r="I5" s="309"/>
      <c r="J5" s="309"/>
      <c r="K5" s="655"/>
      <c r="L5" s="402"/>
      <c r="M5" s="762"/>
      <c r="N5" s="763"/>
      <c r="O5" s="764"/>
      <c r="P5" s="762"/>
      <c r="Q5" s="765"/>
    </row>
    <row r="6" spans="1:17" ht="4.9000000000000004" customHeight="1" x14ac:dyDescent="0.25">
      <c r="A6" s="1975"/>
      <c r="B6" s="860"/>
      <c r="C6" s="2169"/>
      <c r="D6" s="2169"/>
      <c r="E6" s="2169"/>
      <c r="F6" s="2169"/>
      <c r="G6" s="2169"/>
      <c r="H6" s="308"/>
      <c r="I6" s="309"/>
      <c r="J6" s="309"/>
      <c r="K6" s="655"/>
      <c r="L6" s="402"/>
      <c r="M6" s="177"/>
      <c r="N6" s="180"/>
      <c r="O6" s="179"/>
      <c r="P6" s="177"/>
      <c r="Q6" s="178"/>
    </row>
    <row r="7" spans="1:17" ht="12.75" customHeight="1" x14ac:dyDescent="0.25">
      <c r="A7" s="2170" t="s">
        <v>3113</v>
      </c>
      <c r="B7" s="1537" t="s">
        <v>3161</v>
      </c>
      <c r="C7" s="2004" t="s">
        <v>3162</v>
      </c>
      <c r="D7" s="2004" t="s">
        <v>3108</v>
      </c>
      <c r="E7" s="2171" t="s">
        <v>2503</v>
      </c>
      <c r="F7" s="2171" t="s">
        <v>2489</v>
      </c>
      <c r="G7" s="1537" t="s">
        <v>3149</v>
      </c>
      <c r="H7" s="2171" t="s">
        <v>2332</v>
      </c>
      <c r="I7" s="2172" t="s">
        <v>2332</v>
      </c>
      <c r="J7" s="1537" t="s">
        <v>3110</v>
      </c>
      <c r="K7" s="2173">
        <v>-29.727584838867188</v>
      </c>
      <c r="L7" s="2174">
        <v>30.539083480834961</v>
      </c>
      <c r="M7" s="712">
        <v>1955992.16</v>
      </c>
      <c r="N7" s="719">
        <v>1110000</v>
      </c>
      <c r="O7" s="718">
        <v>648336</v>
      </c>
      <c r="P7" s="712">
        <v>674270</v>
      </c>
      <c r="Q7" s="717">
        <v>600000</v>
      </c>
    </row>
    <row r="8" spans="1:17" ht="12.75" customHeight="1" x14ac:dyDescent="0.25">
      <c r="A8" s="2170" t="s">
        <v>3113</v>
      </c>
      <c r="B8" s="1537" t="s">
        <v>3126</v>
      </c>
      <c r="C8" s="2004" t="s">
        <v>3153</v>
      </c>
      <c r="D8" s="2004" t="s">
        <v>3108</v>
      </c>
      <c r="E8" s="2171" t="s">
        <v>2503</v>
      </c>
      <c r="F8" s="2171" t="s">
        <v>2487</v>
      </c>
      <c r="G8" s="1537" t="s">
        <v>3127</v>
      </c>
      <c r="H8" s="2171" t="s">
        <v>2470</v>
      </c>
      <c r="I8" s="2172" t="s">
        <v>2470</v>
      </c>
      <c r="J8" s="1537" t="s">
        <v>3111</v>
      </c>
      <c r="K8" s="2173">
        <v>31</v>
      </c>
      <c r="L8" s="2174">
        <v>-30</v>
      </c>
      <c r="M8" s="712">
        <v>20810000</v>
      </c>
      <c r="N8" s="719">
        <v>0</v>
      </c>
      <c r="O8" s="718">
        <v>0</v>
      </c>
      <c r="P8" s="712">
        <v>0</v>
      </c>
      <c r="Q8" s="717">
        <v>0</v>
      </c>
    </row>
    <row r="9" spans="1:17" ht="12.75" customHeight="1" x14ac:dyDescent="0.25">
      <c r="A9" s="2170" t="s">
        <v>3113</v>
      </c>
      <c r="B9" s="1537" t="s">
        <v>3126</v>
      </c>
      <c r="C9" s="2004" t="s">
        <v>3167</v>
      </c>
      <c r="D9" s="2004" t="s">
        <v>3108</v>
      </c>
      <c r="E9" s="2171" t="s">
        <v>2503</v>
      </c>
      <c r="F9" s="2171" t="s">
        <v>2489</v>
      </c>
      <c r="G9" s="1537" t="s">
        <v>3127</v>
      </c>
      <c r="H9" s="2171" t="s">
        <v>2309</v>
      </c>
      <c r="I9" s="2172" t="s">
        <v>2310</v>
      </c>
      <c r="J9" s="1537" t="s">
        <v>3111</v>
      </c>
      <c r="K9" s="2173">
        <v>31</v>
      </c>
      <c r="L9" s="2174">
        <v>-30</v>
      </c>
      <c r="M9" s="712">
        <v>25419618.379999999</v>
      </c>
      <c r="N9" s="719">
        <v>0</v>
      </c>
      <c r="O9" s="718">
        <v>0</v>
      </c>
      <c r="P9" s="712">
        <v>0</v>
      </c>
      <c r="Q9" s="717">
        <v>0</v>
      </c>
    </row>
    <row r="10" spans="1:17" ht="12.75" customHeight="1" x14ac:dyDescent="0.25">
      <c r="A10" s="2170" t="s">
        <v>3113</v>
      </c>
      <c r="B10" s="1537" t="s">
        <v>3126</v>
      </c>
      <c r="C10" s="2004" t="s">
        <v>3169</v>
      </c>
      <c r="D10" s="2004" t="s">
        <v>3108</v>
      </c>
      <c r="E10" s="2171" t="s">
        <v>2503</v>
      </c>
      <c r="F10" s="2171" t="s">
        <v>2489</v>
      </c>
      <c r="G10" s="1537" t="s">
        <v>3127</v>
      </c>
      <c r="H10" s="2171" t="s">
        <v>2333</v>
      </c>
      <c r="I10" s="2172" t="s">
        <v>2333</v>
      </c>
      <c r="J10" s="1537" t="s">
        <v>3110</v>
      </c>
      <c r="K10" s="2173">
        <v>31</v>
      </c>
      <c r="L10" s="2174">
        <v>-30</v>
      </c>
      <c r="M10" s="712">
        <v>9542131.7599999998</v>
      </c>
      <c r="N10" s="719">
        <v>0</v>
      </c>
      <c r="O10" s="718">
        <v>0</v>
      </c>
      <c r="P10" s="712">
        <v>0</v>
      </c>
      <c r="Q10" s="717">
        <v>0</v>
      </c>
    </row>
    <row r="11" spans="1:17" ht="12.75" customHeight="1" x14ac:dyDescent="0.25">
      <c r="A11" s="2170" t="s">
        <v>3113</v>
      </c>
      <c r="B11" s="1537" t="s">
        <v>3126</v>
      </c>
      <c r="C11" s="2004" t="s">
        <v>3171</v>
      </c>
      <c r="D11" s="2004" t="s">
        <v>3108</v>
      </c>
      <c r="E11" s="2171" t="s">
        <v>2503</v>
      </c>
      <c r="F11" s="2171" t="s">
        <v>2489</v>
      </c>
      <c r="G11" s="1537" t="s">
        <v>3127</v>
      </c>
      <c r="H11" s="2171" t="s">
        <v>2324</v>
      </c>
      <c r="I11" s="2172" t="s">
        <v>2329</v>
      </c>
      <c r="J11" s="1537" t="s">
        <v>3110</v>
      </c>
      <c r="K11" s="2173">
        <v>31</v>
      </c>
      <c r="L11" s="2174">
        <v>-30</v>
      </c>
      <c r="M11" s="712">
        <v>2766898.68</v>
      </c>
      <c r="N11" s="719">
        <v>0</v>
      </c>
      <c r="O11" s="718">
        <v>0</v>
      </c>
      <c r="P11" s="712">
        <v>0</v>
      </c>
      <c r="Q11" s="717">
        <v>0</v>
      </c>
    </row>
    <row r="12" spans="1:17" ht="12.75" customHeight="1" x14ac:dyDescent="0.25">
      <c r="A12" s="2170" t="s">
        <v>3115</v>
      </c>
      <c r="B12" s="1537" t="s">
        <v>3159</v>
      </c>
      <c r="C12" s="2004" t="s">
        <v>3172</v>
      </c>
      <c r="D12" s="2004" t="s">
        <v>3108</v>
      </c>
      <c r="E12" s="2171" t="s">
        <v>2503</v>
      </c>
      <c r="F12" s="2171" t="s">
        <v>2489</v>
      </c>
      <c r="G12" s="1537" t="s">
        <v>3119</v>
      </c>
      <c r="H12" s="2171" t="s">
        <v>2333</v>
      </c>
      <c r="I12" s="2172" t="s">
        <v>2333</v>
      </c>
      <c r="J12" s="1537" t="s">
        <v>3111</v>
      </c>
      <c r="K12" s="2173">
        <v>-29.727584838867188</v>
      </c>
      <c r="L12" s="2174">
        <v>30.539083480834961</v>
      </c>
      <c r="M12" s="712">
        <v>0</v>
      </c>
      <c r="N12" s="719">
        <v>700000</v>
      </c>
      <c r="O12" s="718">
        <v>864448</v>
      </c>
      <c r="P12" s="712">
        <v>899026</v>
      </c>
      <c r="Q12" s="717">
        <v>800000</v>
      </c>
    </row>
    <row r="13" spans="1:17" ht="12.75" customHeight="1" x14ac:dyDescent="0.25">
      <c r="A13" s="2170" t="s">
        <v>3115</v>
      </c>
      <c r="B13" s="1537" t="s">
        <v>3173</v>
      </c>
      <c r="C13" s="2004" t="s">
        <v>3174</v>
      </c>
      <c r="D13" s="2004" t="s">
        <v>3108</v>
      </c>
      <c r="E13" s="2171" t="s">
        <v>2503</v>
      </c>
      <c r="F13" s="2171" t="s">
        <v>2490</v>
      </c>
      <c r="G13" s="1537" t="s">
        <v>3119</v>
      </c>
      <c r="H13" s="2171" t="s">
        <v>2309</v>
      </c>
      <c r="I13" s="2172" t="s">
        <v>2310</v>
      </c>
      <c r="J13" s="1537" t="s">
        <v>3111</v>
      </c>
      <c r="K13" s="2173">
        <v>31</v>
      </c>
      <c r="L13" s="2174">
        <v>-30</v>
      </c>
      <c r="M13" s="712">
        <v>0</v>
      </c>
      <c r="N13" s="719">
        <v>0</v>
      </c>
      <c r="O13" s="718">
        <v>0</v>
      </c>
      <c r="P13" s="712">
        <v>0</v>
      </c>
      <c r="Q13" s="717">
        <v>2000000</v>
      </c>
    </row>
    <row r="14" spans="1:17" ht="12.75" customHeight="1" x14ac:dyDescent="0.25">
      <c r="A14" s="2170" t="s">
        <v>3118</v>
      </c>
      <c r="B14" s="1537" t="s">
        <v>3175</v>
      </c>
      <c r="C14" s="2004" t="s">
        <v>3176</v>
      </c>
      <c r="D14" s="2004" t="s">
        <v>3108</v>
      </c>
      <c r="E14" s="2171" t="s">
        <v>2503</v>
      </c>
      <c r="F14" s="2171" t="s">
        <v>2489</v>
      </c>
      <c r="G14" s="1537" t="s">
        <v>3119</v>
      </c>
      <c r="H14" s="2171" t="s">
        <v>2283</v>
      </c>
      <c r="I14" s="2172" t="s">
        <v>2284</v>
      </c>
      <c r="J14" s="1537" t="s">
        <v>3138</v>
      </c>
      <c r="K14" s="2173">
        <v>31</v>
      </c>
      <c r="L14" s="2174">
        <v>-30</v>
      </c>
      <c r="M14" s="712">
        <v>10779314.18</v>
      </c>
      <c r="N14" s="719">
        <v>0</v>
      </c>
      <c r="O14" s="718">
        <v>0</v>
      </c>
      <c r="P14" s="712">
        <v>0</v>
      </c>
      <c r="Q14" s="717">
        <v>3058786</v>
      </c>
    </row>
    <row r="15" spans="1:17" ht="12.75" customHeight="1" x14ac:dyDescent="0.25">
      <c r="A15" s="2170" t="s">
        <v>3118</v>
      </c>
      <c r="B15" s="1537" t="s">
        <v>3177</v>
      </c>
      <c r="C15" s="2004" t="s">
        <v>3178</v>
      </c>
      <c r="D15" s="2004" t="s">
        <v>3108</v>
      </c>
      <c r="E15" s="2171" t="s">
        <v>2503</v>
      </c>
      <c r="F15" s="2171" t="s">
        <v>2489</v>
      </c>
      <c r="G15" s="1537" t="s">
        <v>3119</v>
      </c>
      <c r="H15" s="2171" t="s">
        <v>2283</v>
      </c>
      <c r="I15" s="2172" t="s">
        <v>2284</v>
      </c>
      <c r="J15" s="1537" t="s">
        <v>3179</v>
      </c>
      <c r="K15" s="2173">
        <v>31</v>
      </c>
      <c r="L15" s="2174">
        <v>-30</v>
      </c>
      <c r="M15" s="712">
        <v>8231615.3200000003</v>
      </c>
      <c r="N15" s="719">
        <v>0</v>
      </c>
      <c r="O15" s="718">
        <v>0</v>
      </c>
      <c r="P15" s="712">
        <v>0</v>
      </c>
      <c r="Q15" s="717">
        <v>0</v>
      </c>
    </row>
    <row r="16" spans="1:17" ht="12.75" customHeight="1" x14ac:dyDescent="0.25">
      <c r="A16" s="2170" t="s">
        <v>3118</v>
      </c>
      <c r="B16" s="1537" t="s">
        <v>3180</v>
      </c>
      <c r="C16" s="2004" t="s">
        <v>3181</v>
      </c>
      <c r="D16" s="2004" t="s">
        <v>3108</v>
      </c>
      <c r="E16" s="2171" t="s">
        <v>2503</v>
      </c>
      <c r="F16" s="2171" t="s">
        <v>2489</v>
      </c>
      <c r="G16" s="1537" t="s">
        <v>3119</v>
      </c>
      <c r="H16" s="2171" t="s">
        <v>2283</v>
      </c>
      <c r="I16" s="2172" t="s">
        <v>2284</v>
      </c>
      <c r="J16" s="1537" t="s">
        <v>3182</v>
      </c>
      <c r="K16" s="2173">
        <v>30</v>
      </c>
      <c r="L16" s="2174">
        <v>-31</v>
      </c>
      <c r="M16" s="712">
        <v>0</v>
      </c>
      <c r="N16" s="719">
        <v>5929150</v>
      </c>
      <c r="O16" s="718">
        <v>6000000</v>
      </c>
      <c r="P16" s="712">
        <v>6400000</v>
      </c>
      <c r="Q16" s="717">
        <v>8964736</v>
      </c>
    </row>
    <row r="17" spans="1:17" ht="12.75" customHeight="1" x14ac:dyDescent="0.25">
      <c r="A17" s="2170" t="s">
        <v>3118</v>
      </c>
      <c r="B17" s="1537" t="s">
        <v>3183</v>
      </c>
      <c r="C17" s="2004" t="s">
        <v>3184</v>
      </c>
      <c r="D17" s="2004" t="s">
        <v>3108</v>
      </c>
      <c r="E17" s="2171" t="s">
        <v>2503</v>
      </c>
      <c r="F17" s="2171" t="s">
        <v>2489</v>
      </c>
      <c r="G17" s="1537" t="s">
        <v>3133</v>
      </c>
      <c r="H17" s="2171" t="s">
        <v>2283</v>
      </c>
      <c r="I17" s="2172" t="s">
        <v>2284</v>
      </c>
      <c r="J17" s="1537" t="s">
        <v>3138</v>
      </c>
      <c r="K17" s="2173">
        <v>31</v>
      </c>
      <c r="L17" s="2174">
        <v>-30</v>
      </c>
      <c r="M17" s="712">
        <v>0</v>
      </c>
      <c r="N17" s="719">
        <v>0</v>
      </c>
      <c r="O17" s="718">
        <v>0</v>
      </c>
      <c r="P17" s="712">
        <v>0</v>
      </c>
      <c r="Q17" s="717">
        <v>1497178</v>
      </c>
    </row>
    <row r="18" spans="1:17" ht="12.75" customHeight="1" x14ac:dyDescent="0.25">
      <c r="A18" s="2170" t="s">
        <v>3118</v>
      </c>
      <c r="B18" s="1537" t="s">
        <v>3183</v>
      </c>
      <c r="C18" s="2004" t="s">
        <v>3185</v>
      </c>
      <c r="D18" s="2004" t="s">
        <v>3108</v>
      </c>
      <c r="E18" s="2171" t="s">
        <v>2503</v>
      </c>
      <c r="F18" s="2171" t="s">
        <v>2489</v>
      </c>
      <c r="G18" s="1537" t="s">
        <v>3133</v>
      </c>
      <c r="H18" s="2171" t="s">
        <v>2283</v>
      </c>
      <c r="I18" s="2172" t="s">
        <v>2284</v>
      </c>
      <c r="J18" s="1537" t="s">
        <v>3138</v>
      </c>
      <c r="K18" s="2173">
        <v>31</v>
      </c>
      <c r="L18" s="2174">
        <v>-30</v>
      </c>
      <c r="M18" s="712">
        <v>0</v>
      </c>
      <c r="N18" s="719">
        <v>0</v>
      </c>
      <c r="O18" s="718">
        <v>0</v>
      </c>
      <c r="P18" s="712">
        <v>0</v>
      </c>
      <c r="Q18" s="717">
        <v>10265170</v>
      </c>
    </row>
    <row r="19" spans="1:17" ht="12.75" customHeight="1" x14ac:dyDescent="0.25">
      <c r="A19" s="2170" t="s">
        <v>3122</v>
      </c>
      <c r="B19" s="1537" t="s">
        <v>3186</v>
      </c>
      <c r="C19" s="2004" t="s">
        <v>3187</v>
      </c>
      <c r="D19" s="2004" t="s">
        <v>3108</v>
      </c>
      <c r="E19" s="2171" t="s">
        <v>2493</v>
      </c>
      <c r="F19" s="2171" t="s">
        <v>2489</v>
      </c>
      <c r="G19" s="1537" t="s">
        <v>3121</v>
      </c>
      <c r="H19" s="2171" t="s">
        <v>2301</v>
      </c>
      <c r="I19" s="2172" t="s">
        <v>2303</v>
      </c>
      <c r="J19" s="1537" t="s">
        <v>3182</v>
      </c>
      <c r="K19" s="2173">
        <v>30.573999404907227</v>
      </c>
      <c r="L19" s="2174">
        <v>29.996400833129883</v>
      </c>
      <c r="M19" s="712">
        <v>0</v>
      </c>
      <c r="N19" s="719">
        <v>16000000</v>
      </c>
      <c r="O19" s="718">
        <v>0</v>
      </c>
      <c r="P19" s="712">
        <v>0</v>
      </c>
      <c r="Q19" s="717">
        <v>0</v>
      </c>
    </row>
    <row r="20" spans="1:17" ht="12.75" customHeight="1" x14ac:dyDescent="0.25">
      <c r="A20" s="2170" t="s">
        <v>3122</v>
      </c>
      <c r="B20" s="1537" t="s">
        <v>3188</v>
      </c>
      <c r="C20" s="2004" t="s">
        <v>3189</v>
      </c>
      <c r="D20" s="2004" t="s">
        <v>3108</v>
      </c>
      <c r="E20" s="2171" t="s">
        <v>2493</v>
      </c>
      <c r="F20" s="2171" t="s">
        <v>2488</v>
      </c>
      <c r="G20" s="1537" t="s">
        <v>3121</v>
      </c>
      <c r="H20" s="2171" t="s">
        <v>2301</v>
      </c>
      <c r="I20" s="2172" t="s">
        <v>2303</v>
      </c>
      <c r="J20" s="1537" t="s">
        <v>3144</v>
      </c>
      <c r="K20" s="2173">
        <v>0</v>
      </c>
      <c r="L20" s="2174">
        <v>0</v>
      </c>
      <c r="M20" s="712">
        <v>0</v>
      </c>
      <c r="N20" s="719">
        <v>10322000</v>
      </c>
      <c r="O20" s="718">
        <v>0</v>
      </c>
      <c r="P20" s="712">
        <v>0</v>
      </c>
      <c r="Q20" s="717">
        <v>0</v>
      </c>
    </row>
    <row r="21" spans="1:17" ht="12.75" customHeight="1" x14ac:dyDescent="0.25">
      <c r="A21" s="2170" t="s">
        <v>3190</v>
      </c>
      <c r="B21" s="1537" t="s">
        <v>3191</v>
      </c>
      <c r="C21" s="2004" t="s">
        <v>3192</v>
      </c>
      <c r="D21" s="2004" t="s">
        <v>3108</v>
      </c>
      <c r="E21" s="2171" t="s">
        <v>2503</v>
      </c>
      <c r="F21" s="2171" t="s">
        <v>2489</v>
      </c>
      <c r="G21" s="1537" t="s">
        <v>3121</v>
      </c>
      <c r="H21" s="2171" t="s">
        <v>2283</v>
      </c>
      <c r="I21" s="2172" t="s">
        <v>2284</v>
      </c>
      <c r="J21" s="1537" t="s">
        <v>3131</v>
      </c>
      <c r="K21" s="2173">
        <v>31</v>
      </c>
      <c r="L21" s="2174">
        <v>-30</v>
      </c>
      <c r="M21" s="712">
        <v>0</v>
      </c>
      <c r="N21" s="719">
        <v>0</v>
      </c>
      <c r="O21" s="718">
        <v>0</v>
      </c>
      <c r="P21" s="712">
        <v>0</v>
      </c>
      <c r="Q21" s="717">
        <v>1014164</v>
      </c>
    </row>
    <row r="22" spans="1:17" ht="12.75" customHeight="1" x14ac:dyDescent="0.25">
      <c r="A22" s="2170" t="s">
        <v>3125</v>
      </c>
      <c r="B22" s="1537" t="s">
        <v>3197</v>
      </c>
      <c r="C22" s="2004" t="s">
        <v>3167</v>
      </c>
      <c r="D22" s="2004" t="s">
        <v>3108</v>
      </c>
      <c r="E22" s="2171" t="s">
        <v>2503</v>
      </c>
      <c r="F22" s="2171" t="s">
        <v>2489</v>
      </c>
      <c r="G22" s="1537" t="s">
        <v>3109</v>
      </c>
      <c r="H22" s="2171" t="s">
        <v>2309</v>
      </c>
      <c r="I22" s="2172" t="s">
        <v>2310</v>
      </c>
      <c r="J22" s="1537" t="s">
        <v>3110</v>
      </c>
      <c r="K22" s="2173">
        <v>31</v>
      </c>
      <c r="L22" s="2174">
        <v>-30</v>
      </c>
      <c r="M22" s="712">
        <v>944549.6</v>
      </c>
      <c r="N22" s="719">
        <v>0</v>
      </c>
      <c r="O22" s="718">
        <v>0</v>
      </c>
      <c r="P22" s="712">
        <v>0</v>
      </c>
      <c r="Q22" s="717">
        <v>3043902</v>
      </c>
    </row>
    <row r="23" spans="1:17" ht="12.75" customHeight="1" x14ac:dyDescent="0.25">
      <c r="A23" s="2170" t="s">
        <v>3129</v>
      </c>
      <c r="B23" s="1537" t="s">
        <v>3198</v>
      </c>
      <c r="C23" s="2004" t="s">
        <v>3199</v>
      </c>
      <c r="D23" s="2004" t="s">
        <v>3108</v>
      </c>
      <c r="E23" s="2171" t="s">
        <v>2503</v>
      </c>
      <c r="F23" s="2171" t="s">
        <v>2489</v>
      </c>
      <c r="G23" s="1537" t="s">
        <v>3121</v>
      </c>
      <c r="H23" s="2171" t="s">
        <v>2283</v>
      </c>
      <c r="I23" s="2172" t="s">
        <v>2284</v>
      </c>
      <c r="J23" s="1537" t="s">
        <v>3111</v>
      </c>
      <c r="K23" s="2173">
        <v>31</v>
      </c>
      <c r="L23" s="2174">
        <v>-30</v>
      </c>
      <c r="M23" s="712">
        <v>-339920.6</v>
      </c>
      <c r="N23" s="719">
        <v>0</v>
      </c>
      <c r="O23" s="718">
        <v>0</v>
      </c>
      <c r="P23" s="712">
        <v>0</v>
      </c>
      <c r="Q23" s="717">
        <v>0</v>
      </c>
    </row>
    <row r="24" spans="1:17" ht="12.75" customHeight="1" x14ac:dyDescent="0.25">
      <c r="A24" s="2170" t="s">
        <v>3129</v>
      </c>
      <c r="B24" s="1537" t="s">
        <v>3159</v>
      </c>
      <c r="C24" s="2004" t="s">
        <v>3160</v>
      </c>
      <c r="D24" s="2004" t="s">
        <v>3108</v>
      </c>
      <c r="E24" s="2171" t="s">
        <v>2503</v>
      </c>
      <c r="F24" s="2171" t="s">
        <v>2489</v>
      </c>
      <c r="G24" s="1537" t="s">
        <v>3119</v>
      </c>
      <c r="H24" s="2171" t="s">
        <v>2333</v>
      </c>
      <c r="I24" s="2172" t="s">
        <v>2333</v>
      </c>
      <c r="J24" s="1537" t="s">
        <v>3110</v>
      </c>
      <c r="K24" s="2173">
        <v>-29.727584838867188</v>
      </c>
      <c r="L24" s="2174">
        <v>30.539083480834961</v>
      </c>
      <c r="M24" s="712">
        <v>1235864.96</v>
      </c>
      <c r="N24" s="719">
        <v>0</v>
      </c>
      <c r="O24" s="718">
        <v>0</v>
      </c>
      <c r="P24" s="712">
        <v>0</v>
      </c>
      <c r="Q24" s="717">
        <v>0</v>
      </c>
    </row>
    <row r="25" spans="1:17" ht="12.75" customHeight="1" x14ac:dyDescent="0.25">
      <c r="A25" s="2170" t="s">
        <v>3132</v>
      </c>
      <c r="B25" s="1537" t="s">
        <v>3193</v>
      </c>
      <c r="C25" s="2004" t="s">
        <v>3194</v>
      </c>
      <c r="D25" s="2004" t="s">
        <v>3108</v>
      </c>
      <c r="E25" s="2171" t="s">
        <v>2492</v>
      </c>
      <c r="F25" s="2171" t="s">
        <v>2489</v>
      </c>
      <c r="G25" s="1537" t="s">
        <v>3133</v>
      </c>
      <c r="H25" s="2171" t="s">
        <v>2283</v>
      </c>
      <c r="I25" s="2172" t="s">
        <v>2286</v>
      </c>
      <c r="J25" s="1537" t="s">
        <v>3144</v>
      </c>
      <c r="K25" s="2173">
        <v>31</v>
      </c>
      <c r="L25" s="2174">
        <v>-30</v>
      </c>
      <c r="M25" s="712">
        <v>0</v>
      </c>
      <c r="N25" s="719">
        <v>0</v>
      </c>
      <c r="O25" s="718">
        <v>0</v>
      </c>
      <c r="P25" s="712">
        <v>0</v>
      </c>
      <c r="Q25" s="717">
        <v>3077032</v>
      </c>
    </row>
    <row r="26" spans="1:17" ht="12.75" customHeight="1" x14ac:dyDescent="0.25">
      <c r="A26" s="2170" t="s">
        <v>3136</v>
      </c>
      <c r="B26" s="1537" t="s">
        <v>3200</v>
      </c>
      <c r="C26" s="2004" t="s">
        <v>3201</v>
      </c>
      <c r="D26" s="2004" t="s">
        <v>3108</v>
      </c>
      <c r="E26" s="2171" t="s">
        <v>2497</v>
      </c>
      <c r="F26" s="2171" t="s">
        <v>2489</v>
      </c>
      <c r="G26" s="1537" t="s">
        <v>3109</v>
      </c>
      <c r="H26" s="2171" t="s">
        <v>2230</v>
      </c>
      <c r="I26" s="2172" t="s">
        <v>629</v>
      </c>
      <c r="J26" s="1537" t="s">
        <v>3138</v>
      </c>
      <c r="K26" s="2173">
        <v>30</v>
      </c>
      <c r="L26" s="2174">
        <v>-31</v>
      </c>
      <c r="M26" s="712">
        <v>0</v>
      </c>
      <c r="N26" s="719">
        <v>0</v>
      </c>
      <c r="O26" s="718">
        <v>0</v>
      </c>
      <c r="P26" s="712">
        <v>0</v>
      </c>
      <c r="Q26" s="717">
        <v>5340194</v>
      </c>
    </row>
    <row r="27" spans="1:17" ht="12.75" customHeight="1" x14ac:dyDescent="0.25">
      <c r="A27" s="2170" t="s">
        <v>3136</v>
      </c>
      <c r="B27" s="1537" t="s">
        <v>3202</v>
      </c>
      <c r="C27" s="2004" t="s">
        <v>3203</v>
      </c>
      <c r="D27" s="2004" t="s">
        <v>3108</v>
      </c>
      <c r="E27" s="2171" t="s">
        <v>2497</v>
      </c>
      <c r="F27" s="2171" t="s">
        <v>2489</v>
      </c>
      <c r="G27" s="1537" t="s">
        <v>3119</v>
      </c>
      <c r="H27" s="2171" t="s">
        <v>2230</v>
      </c>
      <c r="I27" s="2172" t="s">
        <v>629</v>
      </c>
      <c r="J27" s="1537" t="s">
        <v>3182</v>
      </c>
      <c r="K27" s="2173">
        <v>-31</v>
      </c>
      <c r="L27" s="2174">
        <v>30</v>
      </c>
      <c r="M27" s="712">
        <v>5195384.72</v>
      </c>
      <c r="N27" s="719">
        <v>0</v>
      </c>
      <c r="O27" s="718">
        <v>0</v>
      </c>
      <c r="P27" s="712">
        <v>0</v>
      </c>
      <c r="Q27" s="717">
        <v>12379800</v>
      </c>
    </row>
    <row r="28" spans="1:17" ht="12.75" customHeight="1" x14ac:dyDescent="0.25">
      <c r="A28" s="2170" t="s">
        <v>3136</v>
      </c>
      <c r="B28" s="1537" t="s">
        <v>3204</v>
      </c>
      <c r="C28" s="2004" t="s">
        <v>3205</v>
      </c>
      <c r="D28" s="2004" t="s">
        <v>3108</v>
      </c>
      <c r="E28" s="2171" t="s">
        <v>2497</v>
      </c>
      <c r="F28" s="2171" t="s">
        <v>2489</v>
      </c>
      <c r="G28" s="1537" t="s">
        <v>3206</v>
      </c>
      <c r="H28" s="2171" t="s">
        <v>2230</v>
      </c>
      <c r="I28" s="2172" t="s">
        <v>629</v>
      </c>
      <c r="J28" s="1537" t="s">
        <v>3179</v>
      </c>
      <c r="K28" s="2173">
        <v>0</v>
      </c>
      <c r="L28" s="2174">
        <v>0</v>
      </c>
      <c r="M28" s="712">
        <v>0</v>
      </c>
      <c r="N28" s="719">
        <v>16000000</v>
      </c>
      <c r="O28" s="718">
        <v>0</v>
      </c>
      <c r="P28" s="712">
        <v>0</v>
      </c>
      <c r="Q28" s="717">
        <v>0</v>
      </c>
    </row>
    <row r="29" spans="1:17" ht="12.75" customHeight="1" x14ac:dyDescent="0.25">
      <c r="A29" s="2170" t="s">
        <v>3136</v>
      </c>
      <c r="B29" s="1537" t="s">
        <v>3207</v>
      </c>
      <c r="C29" s="2004" t="s">
        <v>3208</v>
      </c>
      <c r="D29" s="2004" t="s">
        <v>3108</v>
      </c>
      <c r="E29" s="2171" t="s">
        <v>2497</v>
      </c>
      <c r="F29" s="2171" t="s">
        <v>2488</v>
      </c>
      <c r="G29" s="1537" t="s">
        <v>3119</v>
      </c>
      <c r="H29" s="2171" t="s">
        <v>2230</v>
      </c>
      <c r="I29" s="2172" t="s">
        <v>629</v>
      </c>
      <c r="J29" s="1537" t="s">
        <v>3209</v>
      </c>
      <c r="K29" s="2173">
        <v>31</v>
      </c>
      <c r="L29" s="2174">
        <v>-30</v>
      </c>
      <c r="M29" s="712">
        <v>2</v>
      </c>
      <c r="N29" s="719">
        <v>0</v>
      </c>
      <c r="O29" s="718">
        <v>0</v>
      </c>
      <c r="P29" s="712">
        <v>0</v>
      </c>
      <c r="Q29" s="717">
        <v>0</v>
      </c>
    </row>
    <row r="30" spans="1:17" ht="12.75" customHeight="1" x14ac:dyDescent="0.25">
      <c r="A30" s="2170" t="s">
        <v>3136</v>
      </c>
      <c r="B30" s="1537" t="s">
        <v>3210</v>
      </c>
      <c r="C30" s="2004" t="s">
        <v>3211</v>
      </c>
      <c r="D30" s="2004" t="s">
        <v>3108</v>
      </c>
      <c r="E30" s="2171" t="s">
        <v>2497</v>
      </c>
      <c r="F30" s="2171" t="s">
        <v>2488</v>
      </c>
      <c r="G30" s="1537" t="s">
        <v>3119</v>
      </c>
      <c r="H30" s="2171" t="s">
        <v>2230</v>
      </c>
      <c r="I30" s="2172" t="s">
        <v>629</v>
      </c>
      <c r="J30" s="1537" t="s">
        <v>3138</v>
      </c>
      <c r="K30" s="2173">
        <v>31</v>
      </c>
      <c r="L30" s="2174">
        <v>-30</v>
      </c>
      <c r="M30" s="712">
        <v>-0.04</v>
      </c>
      <c r="N30" s="719">
        <v>0</v>
      </c>
      <c r="O30" s="718">
        <v>0</v>
      </c>
      <c r="P30" s="712">
        <v>0</v>
      </c>
      <c r="Q30" s="717">
        <v>0</v>
      </c>
    </row>
    <row r="31" spans="1:17" ht="12.75" customHeight="1" x14ac:dyDescent="0.25">
      <c r="A31" s="2170" t="s">
        <v>3136</v>
      </c>
      <c r="B31" s="1537" t="s">
        <v>3212</v>
      </c>
      <c r="C31" s="2004" t="s">
        <v>3213</v>
      </c>
      <c r="D31" s="2004" t="s">
        <v>3108</v>
      </c>
      <c r="E31" s="2171" t="s">
        <v>2497</v>
      </c>
      <c r="F31" s="2171" t="s">
        <v>2488</v>
      </c>
      <c r="G31" s="1537" t="s">
        <v>3119</v>
      </c>
      <c r="H31" s="2171" t="s">
        <v>2230</v>
      </c>
      <c r="I31" s="2172" t="s">
        <v>629</v>
      </c>
      <c r="J31" s="1537" t="s">
        <v>3209</v>
      </c>
      <c r="K31" s="2173">
        <v>31</v>
      </c>
      <c r="L31" s="2174">
        <v>-30</v>
      </c>
      <c r="M31" s="712">
        <v>0.02</v>
      </c>
      <c r="N31" s="719">
        <v>0</v>
      </c>
      <c r="O31" s="718">
        <v>0</v>
      </c>
      <c r="P31" s="712">
        <v>0</v>
      </c>
      <c r="Q31" s="717">
        <v>0</v>
      </c>
    </row>
    <row r="32" spans="1:17" ht="12.75" customHeight="1" x14ac:dyDescent="0.25">
      <c r="A32" s="2170" t="s">
        <v>3136</v>
      </c>
      <c r="B32" s="1537" t="s">
        <v>3214</v>
      </c>
      <c r="C32" s="2004" t="s">
        <v>3215</v>
      </c>
      <c r="D32" s="2004" t="s">
        <v>3108</v>
      </c>
      <c r="E32" s="2171" t="s">
        <v>2503</v>
      </c>
      <c r="F32" s="2171" t="s">
        <v>2489</v>
      </c>
      <c r="G32" s="1537" t="s">
        <v>3135</v>
      </c>
      <c r="H32" s="2171" t="s">
        <v>2335</v>
      </c>
      <c r="I32" s="2172" t="s">
        <v>2335</v>
      </c>
      <c r="J32" s="1537" t="s">
        <v>3111</v>
      </c>
      <c r="K32" s="2173">
        <v>31</v>
      </c>
      <c r="L32" s="2174">
        <v>-30</v>
      </c>
      <c r="M32" s="712">
        <v>3867358.02</v>
      </c>
      <c r="N32" s="719">
        <v>1600000</v>
      </c>
      <c r="O32" s="718">
        <v>0</v>
      </c>
      <c r="P32" s="712">
        <v>0</v>
      </c>
      <c r="Q32" s="717">
        <v>0</v>
      </c>
    </row>
    <row r="33" spans="1:17" ht="12.75" customHeight="1" x14ac:dyDescent="0.25">
      <c r="A33" s="2170" t="s">
        <v>3136</v>
      </c>
      <c r="B33" s="1537" t="s">
        <v>3216</v>
      </c>
      <c r="C33" s="2004" t="s">
        <v>3217</v>
      </c>
      <c r="D33" s="2004" t="s">
        <v>3108</v>
      </c>
      <c r="E33" s="2171" t="s">
        <v>2503</v>
      </c>
      <c r="F33" s="2171" t="s">
        <v>2490</v>
      </c>
      <c r="G33" s="1537" t="s">
        <v>3143</v>
      </c>
      <c r="H33" s="2171" t="s">
        <v>2309</v>
      </c>
      <c r="I33" s="2172" t="s">
        <v>2314</v>
      </c>
      <c r="J33" s="1537" t="s">
        <v>3110</v>
      </c>
      <c r="K33" s="2173">
        <v>31</v>
      </c>
      <c r="L33" s="2174">
        <v>-30</v>
      </c>
      <c r="M33" s="712">
        <v>0</v>
      </c>
      <c r="N33" s="719">
        <v>0</v>
      </c>
      <c r="O33" s="718">
        <v>0</v>
      </c>
      <c r="P33" s="712">
        <v>0</v>
      </c>
      <c r="Q33" s="717">
        <v>1100000</v>
      </c>
    </row>
    <row r="34" spans="1:17" ht="12.75" customHeight="1" x14ac:dyDescent="0.25">
      <c r="A34" s="2170" t="s">
        <v>3136</v>
      </c>
      <c r="B34" s="1537" t="s">
        <v>3218</v>
      </c>
      <c r="C34" s="2004" t="s">
        <v>3219</v>
      </c>
      <c r="D34" s="2004" t="s">
        <v>3108</v>
      </c>
      <c r="E34" s="2171" t="s">
        <v>2497</v>
      </c>
      <c r="F34" s="2171" t="s">
        <v>2489</v>
      </c>
      <c r="G34" s="1537" t="s">
        <v>3206</v>
      </c>
      <c r="H34" s="2171" t="s">
        <v>2230</v>
      </c>
      <c r="I34" s="2172" t="s">
        <v>2232</v>
      </c>
      <c r="J34" s="1537" t="s">
        <v>3138</v>
      </c>
      <c r="K34" s="2173">
        <v>0</v>
      </c>
      <c r="L34" s="2174">
        <v>0</v>
      </c>
      <c r="M34" s="712">
        <v>0</v>
      </c>
      <c r="N34" s="719">
        <v>11580850</v>
      </c>
      <c r="O34" s="718">
        <v>0</v>
      </c>
      <c r="P34" s="712">
        <v>0</v>
      </c>
      <c r="Q34" s="717">
        <v>0</v>
      </c>
    </row>
    <row r="35" spans="1:17" ht="12.75" customHeight="1" x14ac:dyDescent="0.25">
      <c r="A35" s="1794" t="s">
        <v>3136</v>
      </c>
      <c r="B35" s="2173" t="s">
        <v>3220</v>
      </c>
      <c r="C35" s="1967" t="s">
        <v>3221</v>
      </c>
      <c r="D35" s="2004" t="s">
        <v>3108</v>
      </c>
      <c r="E35" s="2171" t="s">
        <v>2497</v>
      </c>
      <c r="F35" s="2171" t="s">
        <v>2489</v>
      </c>
      <c r="G35" s="1537" t="s">
        <v>3119</v>
      </c>
      <c r="H35" s="2171" t="s">
        <v>2230</v>
      </c>
      <c r="I35" s="2172" t="s">
        <v>629</v>
      </c>
      <c r="J35" s="1537" t="s">
        <v>3209</v>
      </c>
      <c r="K35" s="2173">
        <v>31</v>
      </c>
      <c r="L35" s="2174">
        <v>-30</v>
      </c>
      <c r="M35" s="712">
        <v>0</v>
      </c>
      <c r="N35" s="719">
        <v>0</v>
      </c>
      <c r="O35" s="718">
        <v>0</v>
      </c>
      <c r="P35" s="712">
        <v>0</v>
      </c>
      <c r="Q35" s="717">
        <v>6554236</v>
      </c>
    </row>
    <row r="36" spans="1:17" ht="12.75" customHeight="1" x14ac:dyDescent="0.25">
      <c r="A36" s="1794" t="s">
        <v>3136</v>
      </c>
      <c r="B36" s="2173" t="s">
        <v>3222</v>
      </c>
      <c r="C36" s="1967" t="s">
        <v>3223</v>
      </c>
      <c r="D36" s="2004" t="s">
        <v>3108</v>
      </c>
      <c r="E36" s="2171" t="s">
        <v>2503</v>
      </c>
      <c r="F36" s="2171" t="s">
        <v>2489</v>
      </c>
      <c r="G36" s="1537" t="s">
        <v>3119</v>
      </c>
      <c r="H36" s="2171" t="s">
        <v>2283</v>
      </c>
      <c r="I36" s="2172" t="s">
        <v>2284</v>
      </c>
      <c r="J36" s="1537" t="s">
        <v>3209</v>
      </c>
      <c r="K36" s="2173">
        <v>30</v>
      </c>
      <c r="L36" s="2174">
        <v>-31</v>
      </c>
      <c r="M36" s="712">
        <v>0</v>
      </c>
      <c r="N36" s="719">
        <v>0</v>
      </c>
      <c r="O36" s="718">
        <v>0</v>
      </c>
      <c r="P36" s="712">
        <v>0</v>
      </c>
      <c r="Q36" s="717">
        <v>8282546</v>
      </c>
    </row>
    <row r="37" spans="1:17" ht="12.75" customHeight="1" x14ac:dyDescent="0.25">
      <c r="A37" s="2175" t="s">
        <v>3136</v>
      </c>
      <c r="B37" s="2173" t="s">
        <v>3224</v>
      </c>
      <c r="C37" s="1967" t="s">
        <v>3225</v>
      </c>
      <c r="D37" s="2004" t="s">
        <v>3108</v>
      </c>
      <c r="E37" s="2171" t="s">
        <v>2497</v>
      </c>
      <c r="F37" s="2171" t="s">
        <v>2489</v>
      </c>
      <c r="G37" s="1537" t="s">
        <v>3119</v>
      </c>
      <c r="H37" s="2171" t="s">
        <v>2230</v>
      </c>
      <c r="I37" s="2172" t="s">
        <v>629</v>
      </c>
      <c r="J37" s="1537" t="s">
        <v>3226</v>
      </c>
      <c r="K37" s="2173">
        <v>30</v>
      </c>
      <c r="L37" s="2174">
        <v>-30</v>
      </c>
      <c r="M37" s="712">
        <v>0</v>
      </c>
      <c r="N37" s="719">
        <v>0</v>
      </c>
      <c r="O37" s="718">
        <v>0</v>
      </c>
      <c r="P37" s="712">
        <v>0</v>
      </c>
      <c r="Q37" s="717">
        <v>6771526</v>
      </c>
    </row>
    <row r="38" spans="1:17" ht="12.75" customHeight="1" x14ac:dyDescent="0.25">
      <c r="A38" s="2176" t="s">
        <v>3136</v>
      </c>
      <c r="B38" s="2173" t="s">
        <v>3227</v>
      </c>
      <c r="C38" s="1967" t="s">
        <v>3228</v>
      </c>
      <c r="D38" s="2004" t="s">
        <v>3108</v>
      </c>
      <c r="E38" s="2171" t="s">
        <v>2497</v>
      </c>
      <c r="F38" s="2171" t="s">
        <v>2489</v>
      </c>
      <c r="G38" s="1537" t="s">
        <v>3229</v>
      </c>
      <c r="H38" s="2171" t="s">
        <v>2230</v>
      </c>
      <c r="I38" s="2172" t="s">
        <v>629</v>
      </c>
      <c r="J38" s="1537" t="s">
        <v>3138</v>
      </c>
      <c r="K38" s="2173">
        <v>30.538200378417969</v>
      </c>
      <c r="L38" s="2174">
        <v>-29.726800918579102</v>
      </c>
      <c r="M38" s="712">
        <v>0</v>
      </c>
      <c r="N38" s="719">
        <v>0</v>
      </c>
      <c r="O38" s="718">
        <v>0</v>
      </c>
      <c r="P38" s="712">
        <v>0</v>
      </c>
      <c r="Q38" s="717">
        <v>1823064</v>
      </c>
    </row>
    <row r="39" spans="1:17" ht="12.75" customHeight="1" x14ac:dyDescent="0.25">
      <c r="A39" s="1794" t="s">
        <v>3136</v>
      </c>
      <c r="B39" s="2173" t="s">
        <v>3230</v>
      </c>
      <c r="C39" s="1967" t="s">
        <v>3231</v>
      </c>
      <c r="D39" s="2004" t="s">
        <v>3108</v>
      </c>
      <c r="E39" s="2171" t="s">
        <v>2497</v>
      </c>
      <c r="F39" s="2171" t="s">
        <v>2489</v>
      </c>
      <c r="G39" s="1537" t="s">
        <v>3229</v>
      </c>
      <c r="H39" s="2171" t="s">
        <v>2230</v>
      </c>
      <c r="I39" s="2172" t="s">
        <v>629</v>
      </c>
      <c r="J39" s="1537" t="s">
        <v>3111</v>
      </c>
      <c r="K39" s="2173">
        <v>30.538200378417969</v>
      </c>
      <c r="L39" s="2174">
        <v>-29.726800918579102</v>
      </c>
      <c r="M39" s="712">
        <v>0</v>
      </c>
      <c r="N39" s="719">
        <v>0</v>
      </c>
      <c r="O39" s="718">
        <v>0</v>
      </c>
      <c r="P39" s="712">
        <v>0</v>
      </c>
      <c r="Q39" s="717">
        <v>1491964</v>
      </c>
    </row>
    <row r="40" spans="1:17" ht="12.75" customHeight="1" x14ac:dyDescent="0.25">
      <c r="A40" s="1794" t="s">
        <v>3136</v>
      </c>
      <c r="B40" s="2173" t="s">
        <v>3232</v>
      </c>
      <c r="C40" s="1967" t="s">
        <v>3233</v>
      </c>
      <c r="D40" s="2004" t="s">
        <v>3108</v>
      </c>
      <c r="E40" s="2171" t="s">
        <v>2497</v>
      </c>
      <c r="F40" s="2171" t="s">
        <v>2489</v>
      </c>
      <c r="G40" s="1537" t="s">
        <v>3229</v>
      </c>
      <c r="H40" s="2171" t="s">
        <v>2230</v>
      </c>
      <c r="I40" s="2172" t="s">
        <v>629</v>
      </c>
      <c r="J40" s="1537" t="s">
        <v>3138</v>
      </c>
      <c r="K40" s="2173">
        <v>30.528999328613281</v>
      </c>
      <c r="L40" s="2174">
        <v>-29.729099273681641</v>
      </c>
      <c r="M40" s="712">
        <v>0</v>
      </c>
      <c r="N40" s="719">
        <v>0</v>
      </c>
      <c r="O40" s="718">
        <v>0</v>
      </c>
      <c r="P40" s="712">
        <v>0</v>
      </c>
      <c r="Q40" s="717">
        <v>1902464</v>
      </c>
    </row>
    <row r="41" spans="1:17" ht="12.75" customHeight="1" x14ac:dyDescent="0.25">
      <c r="A41" s="1794" t="s">
        <v>3136</v>
      </c>
      <c r="B41" s="2173" t="s">
        <v>3234</v>
      </c>
      <c r="C41" s="1967" t="s">
        <v>3235</v>
      </c>
      <c r="D41" s="2004" t="s">
        <v>3108</v>
      </c>
      <c r="E41" s="2171" t="s">
        <v>2497</v>
      </c>
      <c r="F41" s="2171" t="s">
        <v>2489</v>
      </c>
      <c r="G41" s="1537" t="s">
        <v>3229</v>
      </c>
      <c r="H41" s="2171" t="s">
        <v>2230</v>
      </c>
      <c r="I41" s="2172" t="s">
        <v>629</v>
      </c>
      <c r="J41" s="1537" t="s">
        <v>3138</v>
      </c>
      <c r="K41" s="2173">
        <v>30.528999328613281</v>
      </c>
      <c r="L41" s="2174">
        <v>-29.729099273681641</v>
      </c>
      <c r="M41" s="712">
        <v>0</v>
      </c>
      <c r="N41" s="719">
        <v>0</v>
      </c>
      <c r="O41" s="718">
        <v>0</v>
      </c>
      <c r="P41" s="712">
        <v>0</v>
      </c>
      <c r="Q41" s="717">
        <v>1601364</v>
      </c>
    </row>
    <row r="42" spans="1:17" ht="12.75" customHeight="1" x14ac:dyDescent="0.25">
      <c r="A42" s="2175" t="s">
        <v>3136</v>
      </c>
      <c r="B42" s="2173" t="s">
        <v>3236</v>
      </c>
      <c r="C42" s="1967" t="s">
        <v>3237</v>
      </c>
      <c r="D42" s="2004" t="s">
        <v>3108</v>
      </c>
      <c r="E42" s="2171" t="s">
        <v>2497</v>
      </c>
      <c r="F42" s="2171" t="s">
        <v>2489</v>
      </c>
      <c r="G42" s="1537" t="s">
        <v>3229</v>
      </c>
      <c r="H42" s="2171" t="s">
        <v>2230</v>
      </c>
      <c r="I42" s="2172" t="s">
        <v>629</v>
      </c>
      <c r="J42" s="1537" t="s">
        <v>3138</v>
      </c>
      <c r="K42" s="2173">
        <v>30.528999328613281</v>
      </c>
      <c r="L42" s="2174">
        <v>-29.729099273681641</v>
      </c>
      <c r="M42" s="712">
        <v>0</v>
      </c>
      <c r="N42" s="719">
        <v>0</v>
      </c>
      <c r="O42" s="718">
        <v>0</v>
      </c>
      <c r="P42" s="712">
        <v>0</v>
      </c>
      <c r="Q42" s="717">
        <v>1877350</v>
      </c>
    </row>
    <row r="43" spans="1:17" ht="12.75" customHeight="1" x14ac:dyDescent="0.25">
      <c r="A43" s="2176" t="s">
        <v>3136</v>
      </c>
      <c r="B43" s="2173" t="s">
        <v>3238</v>
      </c>
      <c r="C43" s="1967" t="s">
        <v>3239</v>
      </c>
      <c r="D43" s="2004" t="s">
        <v>3108</v>
      </c>
      <c r="E43" s="2171" t="s">
        <v>2497</v>
      </c>
      <c r="F43" s="2171" t="s">
        <v>2489</v>
      </c>
      <c r="G43" s="1537" t="s">
        <v>3109</v>
      </c>
      <c r="H43" s="2171" t="s">
        <v>2230</v>
      </c>
      <c r="I43" s="2172" t="s">
        <v>629</v>
      </c>
      <c r="J43" s="1537" t="s">
        <v>3138</v>
      </c>
      <c r="K43" s="2173">
        <v>-36</v>
      </c>
      <c r="L43" s="2174">
        <v>30</v>
      </c>
      <c r="M43" s="712">
        <v>0</v>
      </c>
      <c r="N43" s="719">
        <v>0</v>
      </c>
      <c r="O43" s="718">
        <v>0</v>
      </c>
      <c r="P43" s="712">
        <v>0</v>
      </c>
      <c r="Q43" s="717">
        <v>4079500</v>
      </c>
    </row>
    <row r="44" spans="1:17" ht="12.75" customHeight="1" x14ac:dyDescent="0.25">
      <c r="A44" s="1794" t="s">
        <v>3136</v>
      </c>
      <c r="B44" s="2173" t="s">
        <v>3126</v>
      </c>
      <c r="C44" s="1967" t="s">
        <v>3203</v>
      </c>
      <c r="D44" s="2004" t="s">
        <v>3108</v>
      </c>
      <c r="E44" s="2171" t="s">
        <v>2497</v>
      </c>
      <c r="F44" s="2171" t="s">
        <v>2489</v>
      </c>
      <c r="G44" s="1537" t="s">
        <v>3127</v>
      </c>
      <c r="H44" s="2171" t="s">
        <v>2230</v>
      </c>
      <c r="I44" s="2172" t="s">
        <v>629</v>
      </c>
      <c r="J44" s="1537" t="s">
        <v>3111</v>
      </c>
      <c r="K44" s="2173">
        <v>31</v>
      </c>
      <c r="L44" s="2174">
        <v>-30</v>
      </c>
      <c r="M44" s="712">
        <v>137971953.41999999</v>
      </c>
      <c r="N44" s="719">
        <v>0</v>
      </c>
      <c r="O44" s="718">
        <v>0</v>
      </c>
      <c r="P44" s="712">
        <v>0</v>
      </c>
      <c r="Q44" s="717">
        <v>0</v>
      </c>
    </row>
    <row r="45" spans="1:17" ht="12.75" customHeight="1" x14ac:dyDescent="0.25">
      <c r="A45" s="2175" t="s">
        <v>3139</v>
      </c>
      <c r="B45" s="2173" t="s">
        <v>3240</v>
      </c>
      <c r="C45" s="1967" t="s">
        <v>3241</v>
      </c>
      <c r="D45" s="2004" t="s">
        <v>3108</v>
      </c>
      <c r="E45" s="2171" t="s">
        <v>2503</v>
      </c>
      <c r="F45" s="2171" t="s">
        <v>2489</v>
      </c>
      <c r="G45" s="1537" t="s">
        <v>3114</v>
      </c>
      <c r="H45" s="2171" t="s">
        <v>2335</v>
      </c>
      <c r="I45" s="2172" t="s">
        <v>2335</v>
      </c>
      <c r="J45" s="1537" t="s">
        <v>3110</v>
      </c>
      <c r="K45" s="2173">
        <v>-29.727584838867188</v>
      </c>
      <c r="L45" s="2174">
        <v>30.539083480834961</v>
      </c>
      <c r="M45" s="712">
        <v>5690962.9199999999</v>
      </c>
      <c r="N45" s="719">
        <v>0</v>
      </c>
      <c r="O45" s="718">
        <v>0</v>
      </c>
      <c r="P45" s="712">
        <v>0</v>
      </c>
      <c r="Q45" s="717">
        <v>0</v>
      </c>
    </row>
    <row r="46" spans="1:17" ht="12.75" customHeight="1" x14ac:dyDescent="0.25">
      <c r="A46" s="2176" t="s">
        <v>3148</v>
      </c>
      <c r="B46" s="2173" t="s">
        <v>3126</v>
      </c>
      <c r="C46" s="1967" t="s">
        <v>3243</v>
      </c>
      <c r="D46" s="2004" t="s">
        <v>3108</v>
      </c>
      <c r="E46" s="2171" t="s">
        <v>2492</v>
      </c>
      <c r="F46" s="2171" t="s">
        <v>2489</v>
      </c>
      <c r="G46" s="1537" t="s">
        <v>3127</v>
      </c>
      <c r="H46" s="2171" t="s">
        <v>2283</v>
      </c>
      <c r="I46" s="2172" t="s">
        <v>2286</v>
      </c>
      <c r="J46" s="1537" t="s">
        <v>3111</v>
      </c>
      <c r="K46" s="2173">
        <v>31</v>
      </c>
      <c r="L46" s="2174">
        <v>-30</v>
      </c>
      <c r="M46" s="712">
        <v>193212604.40000001</v>
      </c>
      <c r="N46" s="719">
        <v>0</v>
      </c>
      <c r="O46" s="718">
        <v>0</v>
      </c>
      <c r="P46" s="712">
        <v>0</v>
      </c>
      <c r="Q46" s="717">
        <v>0</v>
      </c>
    </row>
    <row r="47" spans="1:17" ht="12.75" customHeight="1" x14ac:dyDescent="0.25">
      <c r="A47" s="1794"/>
      <c r="B47" s="2173"/>
      <c r="C47" s="1967"/>
      <c r="D47" s="2004"/>
      <c r="E47" s="2171"/>
      <c r="F47" s="2171"/>
      <c r="G47" s="1537"/>
      <c r="H47" s="2171"/>
      <c r="I47" s="2172"/>
      <c r="J47" s="1537"/>
      <c r="K47" s="2173"/>
      <c r="L47" s="2174"/>
      <c r="M47" s="712"/>
      <c r="N47" s="719"/>
      <c r="O47" s="718"/>
      <c r="P47" s="712"/>
      <c r="Q47" s="717"/>
    </row>
    <row r="48" spans="1:17" ht="12.75" customHeight="1" x14ac:dyDescent="0.25">
      <c r="A48" s="2175"/>
      <c r="B48" s="2173"/>
      <c r="C48" s="1967"/>
      <c r="D48" s="2004"/>
      <c r="E48" s="2171"/>
      <c r="F48" s="2171"/>
      <c r="G48" s="1537"/>
      <c r="H48" s="2171"/>
      <c r="I48" s="2172"/>
      <c r="J48" s="1537"/>
      <c r="K48" s="2173"/>
      <c r="L48" s="2174"/>
      <c r="M48" s="712"/>
      <c r="N48" s="719"/>
      <c r="O48" s="718"/>
      <c r="P48" s="712"/>
      <c r="Q48" s="717"/>
    </row>
    <row r="49" spans="1:17" ht="12.75" customHeight="1" x14ac:dyDescent="0.25">
      <c r="A49" s="2175"/>
      <c r="B49" s="2173"/>
      <c r="C49" s="891"/>
      <c r="D49" s="2004"/>
      <c r="E49" s="2171"/>
      <c r="F49" s="2171"/>
      <c r="G49" s="1537"/>
      <c r="H49" s="2171"/>
      <c r="I49" s="2172"/>
      <c r="J49" s="1537"/>
      <c r="K49" s="2173"/>
      <c r="L49" s="2174"/>
      <c r="M49" s="712"/>
      <c r="N49" s="719"/>
      <c r="O49" s="718"/>
      <c r="P49" s="712"/>
      <c r="Q49" s="717"/>
    </row>
    <row r="50" spans="1:17" x14ac:dyDescent="0.25">
      <c r="A50" s="256" t="s">
        <v>1741</v>
      </c>
      <c r="B50" s="2177"/>
      <c r="C50" s="2178"/>
      <c r="D50" s="2178"/>
      <c r="E50" s="2178"/>
      <c r="F50" s="2178"/>
      <c r="G50" s="2178"/>
      <c r="H50" s="2179"/>
      <c r="I50" s="2180"/>
      <c r="J50" s="2180"/>
      <c r="K50" s="2181"/>
      <c r="L50" s="2182"/>
      <c r="M50" s="264">
        <f>SUM(M7:M49)</f>
        <v>427284329.89999998</v>
      </c>
      <c r="N50" s="267">
        <f>SUM(N7:N49)</f>
        <v>63242000</v>
      </c>
      <c r="O50" s="268">
        <f>SUM(O7:O49)</f>
        <v>7512784</v>
      </c>
      <c r="P50" s="264">
        <f>SUM(P7:P49)</f>
        <v>7973296</v>
      </c>
      <c r="Q50" s="384">
        <f>SUM(Q7:Q49)</f>
        <v>87524976</v>
      </c>
    </row>
    <row r="51" spans="1:17" x14ac:dyDescent="0.25">
      <c r="A51" s="1975"/>
      <c r="B51" s="860"/>
      <c r="C51" s="2169"/>
      <c r="D51" s="2169"/>
      <c r="E51" s="2169"/>
      <c r="F51" s="2169"/>
      <c r="G51" s="2169"/>
      <c r="H51" s="308"/>
      <c r="I51" s="309"/>
      <c r="J51" s="2183"/>
      <c r="K51" s="655"/>
      <c r="L51" s="402"/>
      <c r="M51" s="177"/>
      <c r="N51" s="180"/>
      <c r="O51" s="179"/>
      <c r="P51" s="177"/>
      <c r="Q51" s="178"/>
    </row>
    <row r="52" spans="1:17" x14ac:dyDescent="0.25">
      <c r="A52" s="475" t="s">
        <v>16</v>
      </c>
      <c r="B52" s="860"/>
      <c r="C52" s="2169"/>
      <c r="D52" s="2169"/>
      <c r="E52" s="2169"/>
      <c r="F52" s="2169"/>
      <c r="G52" s="2169"/>
      <c r="H52" s="308"/>
      <c r="I52" s="309"/>
      <c r="J52" s="308"/>
      <c r="K52" s="655"/>
      <c r="L52" s="402"/>
      <c r="M52" s="177"/>
      <c r="N52" s="180"/>
      <c r="O52" s="179"/>
      <c r="P52" s="177"/>
      <c r="Q52" s="178"/>
    </row>
    <row r="53" spans="1:17" ht="11.25" customHeight="1" x14ac:dyDescent="0.25">
      <c r="A53" s="307" t="s">
        <v>1300</v>
      </c>
      <c r="B53" s="860"/>
      <c r="C53" s="2169"/>
      <c r="D53" s="2169"/>
      <c r="E53" s="2169"/>
      <c r="F53" s="2169"/>
      <c r="G53" s="2169"/>
      <c r="H53" s="308"/>
      <c r="I53" s="309"/>
      <c r="J53" s="308"/>
      <c r="K53" s="655"/>
      <c r="L53" s="402"/>
      <c r="M53" s="762"/>
      <c r="N53" s="763"/>
      <c r="O53" s="764"/>
      <c r="P53" s="762"/>
      <c r="Q53" s="765"/>
    </row>
    <row r="54" spans="1:17" ht="4.9000000000000004" customHeight="1" x14ac:dyDescent="0.25">
      <c r="A54" s="1975"/>
      <c r="B54" s="860"/>
      <c r="C54" s="2169"/>
      <c r="D54" s="2169"/>
      <c r="E54" s="2169"/>
      <c r="F54" s="2169"/>
      <c r="G54" s="2169"/>
      <c r="H54" s="308"/>
      <c r="I54" s="309"/>
      <c r="J54" s="308"/>
      <c r="K54" s="655"/>
      <c r="L54" s="402"/>
      <c r="M54" s="177"/>
      <c r="N54" s="180"/>
      <c r="O54" s="179"/>
      <c r="P54" s="177"/>
      <c r="Q54" s="178"/>
    </row>
    <row r="55" spans="1:17" ht="11.25" customHeight="1" x14ac:dyDescent="0.25">
      <c r="A55" s="2176" t="s">
        <v>1301</v>
      </c>
      <c r="B55" s="1537"/>
      <c r="C55" s="2004"/>
      <c r="D55" s="2004"/>
      <c r="E55" s="2171"/>
      <c r="F55" s="2171"/>
      <c r="G55" s="1537"/>
      <c r="H55" s="2171"/>
      <c r="I55" s="2172"/>
      <c r="J55" s="1537"/>
      <c r="K55" s="2173"/>
      <c r="L55" s="2174"/>
      <c r="M55" s="712"/>
      <c r="N55" s="719"/>
      <c r="O55" s="718"/>
      <c r="P55" s="712"/>
      <c r="Q55" s="717"/>
    </row>
    <row r="56" spans="1:17" ht="11.25" customHeight="1" x14ac:dyDescent="0.25">
      <c r="A56" s="1794" t="s">
        <v>1302</v>
      </c>
      <c r="B56" s="2173"/>
      <c r="C56" s="1967"/>
      <c r="D56" s="2004"/>
      <c r="E56" s="2171"/>
      <c r="F56" s="2171"/>
      <c r="G56" s="1537"/>
      <c r="H56" s="2171"/>
      <c r="I56" s="2172"/>
      <c r="J56" s="1537"/>
      <c r="K56" s="2173"/>
      <c r="L56" s="2174"/>
      <c r="M56" s="712"/>
      <c r="N56" s="719"/>
      <c r="O56" s="718"/>
      <c r="P56" s="712"/>
      <c r="Q56" s="717"/>
    </row>
    <row r="57" spans="1:17" ht="4.9000000000000004" customHeight="1" x14ac:dyDescent="0.25">
      <c r="A57" s="2175"/>
      <c r="B57" s="2173"/>
      <c r="C57" s="1967"/>
      <c r="D57" s="2004"/>
      <c r="E57" s="2171"/>
      <c r="F57" s="2171"/>
      <c r="G57" s="1537"/>
      <c r="H57" s="2171"/>
      <c r="I57" s="2172"/>
      <c r="J57" s="1537"/>
      <c r="K57" s="2173"/>
      <c r="L57" s="2174"/>
      <c r="M57" s="712"/>
      <c r="N57" s="719"/>
      <c r="O57" s="718"/>
      <c r="P57" s="712"/>
      <c r="Q57" s="717"/>
    </row>
    <row r="58" spans="1:17" ht="11.25" customHeight="1" x14ac:dyDescent="0.25">
      <c r="A58" s="2176" t="s">
        <v>1303</v>
      </c>
      <c r="B58" s="2173"/>
      <c r="C58" s="1967"/>
      <c r="D58" s="2004"/>
      <c r="E58" s="2171"/>
      <c r="F58" s="2171"/>
      <c r="G58" s="1537"/>
      <c r="H58" s="2171"/>
      <c r="I58" s="2172"/>
      <c r="J58" s="1537"/>
      <c r="K58" s="2173"/>
      <c r="L58" s="2174"/>
      <c r="M58" s="712"/>
      <c r="N58" s="719"/>
      <c r="O58" s="718"/>
      <c r="P58" s="712"/>
      <c r="Q58" s="717"/>
    </row>
    <row r="59" spans="1:17" ht="11.25" customHeight="1" x14ac:dyDescent="0.25">
      <c r="A59" s="1794" t="s">
        <v>1304</v>
      </c>
      <c r="B59" s="2173"/>
      <c r="C59" s="1967"/>
      <c r="D59" s="2004"/>
      <c r="E59" s="2171"/>
      <c r="F59" s="2171"/>
      <c r="G59" s="1537"/>
      <c r="H59" s="2171"/>
      <c r="I59" s="2172"/>
      <c r="J59" s="1537"/>
      <c r="K59" s="2173"/>
      <c r="L59" s="2174"/>
      <c r="M59" s="712"/>
      <c r="N59" s="719"/>
      <c r="O59" s="718"/>
      <c r="P59" s="712"/>
      <c r="Q59" s="717"/>
    </row>
    <row r="60" spans="1:17" ht="11.25" customHeight="1" x14ac:dyDescent="0.25">
      <c r="A60" s="1794"/>
      <c r="B60" s="2173"/>
      <c r="C60" s="1967"/>
      <c r="D60" s="2004"/>
      <c r="E60" s="2171"/>
      <c r="F60" s="2171"/>
      <c r="G60" s="1537"/>
      <c r="H60" s="2171"/>
      <c r="I60" s="2172"/>
      <c r="J60" s="1537"/>
      <c r="K60" s="2173"/>
      <c r="L60" s="2174"/>
      <c r="M60" s="712"/>
      <c r="N60" s="719"/>
      <c r="O60" s="718"/>
      <c r="P60" s="712"/>
      <c r="Q60" s="717"/>
    </row>
    <row r="61" spans="1:17" ht="11.25" customHeight="1" x14ac:dyDescent="0.25">
      <c r="A61" s="1794"/>
      <c r="B61" s="2173"/>
      <c r="C61" s="891"/>
      <c r="D61" s="2004"/>
      <c r="E61" s="2171"/>
      <c r="F61" s="2171"/>
      <c r="G61" s="1537"/>
      <c r="H61" s="2171"/>
      <c r="I61" s="2172"/>
      <c r="J61" s="1537"/>
      <c r="K61" s="2173"/>
      <c r="L61" s="2174"/>
      <c r="M61" s="712"/>
      <c r="N61" s="719"/>
      <c r="O61" s="718"/>
      <c r="P61" s="712"/>
      <c r="Q61" s="717"/>
    </row>
    <row r="62" spans="1:17" ht="11.25" customHeight="1" x14ac:dyDescent="0.25">
      <c r="A62" s="2175"/>
      <c r="B62" s="2173"/>
      <c r="C62" s="891"/>
      <c r="D62" s="2004"/>
      <c r="E62" s="2171"/>
      <c r="F62" s="2171"/>
      <c r="G62" s="1537"/>
      <c r="H62" s="2171"/>
      <c r="I62" s="2172"/>
      <c r="J62" s="1537"/>
      <c r="K62" s="2173"/>
      <c r="L62" s="2174"/>
      <c r="M62" s="712"/>
      <c r="N62" s="719"/>
      <c r="O62" s="718"/>
      <c r="P62" s="712"/>
      <c r="Q62" s="717"/>
    </row>
    <row r="63" spans="1:17" x14ac:dyDescent="0.25">
      <c r="A63" s="2179" t="s">
        <v>1740</v>
      </c>
      <c r="B63" s="2184"/>
      <c r="C63" s="2181"/>
      <c r="D63" s="2181"/>
      <c r="E63" s="2181"/>
      <c r="F63" s="2181"/>
      <c r="G63" s="2181"/>
      <c r="H63" s="2181"/>
      <c r="I63" s="2181"/>
      <c r="J63" s="2181"/>
      <c r="K63" s="2181"/>
      <c r="L63" s="2185"/>
      <c r="M63" s="264">
        <f>SUM(M55:M62)</f>
        <v>0</v>
      </c>
      <c r="N63" s="384">
        <f>SUM(N55:N62)</f>
        <v>0</v>
      </c>
      <c r="O63" s="268">
        <f>SUM(O55:O62)</f>
        <v>0</v>
      </c>
      <c r="P63" s="264">
        <f>SUM(P55:P62)</f>
        <v>0</v>
      </c>
      <c r="Q63" s="384">
        <f>SUM(Q55:Q62)</f>
        <v>0</v>
      </c>
    </row>
    <row r="64" spans="1:17" x14ac:dyDescent="0.25">
      <c r="A64" s="2179" t="s">
        <v>795</v>
      </c>
      <c r="B64" s="2184"/>
      <c r="C64" s="2181"/>
      <c r="D64" s="2181"/>
      <c r="E64" s="2181"/>
      <c r="F64" s="2181"/>
      <c r="G64" s="2181"/>
      <c r="H64" s="2181"/>
      <c r="I64" s="2181"/>
      <c r="J64" s="2181"/>
      <c r="K64" s="2181"/>
      <c r="L64" s="2185"/>
      <c r="M64" s="185">
        <f>SUM(M7:M49)+SUM(M55:M62)</f>
        <v>427284329.89999998</v>
      </c>
      <c r="N64" s="390">
        <f>SUM(N7:N49)+SUM(N55:N62)</f>
        <v>63242000</v>
      </c>
      <c r="O64" s="187">
        <f>SUM(O7:O49)+SUM(O55:O62)</f>
        <v>7512784</v>
      </c>
      <c r="P64" s="185">
        <f>SUM(P7:P49)+SUM(P55:P62)</f>
        <v>7973296</v>
      </c>
      <c r="Q64" s="390">
        <f>SUM(Q7:Q49)+SUM(Q55:Q62)</f>
        <v>87524976</v>
      </c>
    </row>
    <row r="65" spans="1:17" ht="11.25" customHeight="1" x14ac:dyDescent="0.25">
      <c r="A65" s="188" t="str">
        <f>head27a</f>
        <v>References</v>
      </c>
      <c r="B65" s="220"/>
    </row>
    <row r="66" spans="1:17" ht="11.25" customHeight="1" x14ac:dyDescent="0.25">
      <c r="A66" s="151" t="s">
        <v>2483</v>
      </c>
    </row>
    <row r="67" spans="1:17" ht="11.25" customHeight="1" x14ac:dyDescent="0.25">
      <c r="A67" s="58" t="s">
        <v>2484</v>
      </c>
    </row>
    <row r="68" spans="1:17" ht="11.25" customHeight="1" x14ac:dyDescent="0.25">
      <c r="A68" s="58" t="s">
        <v>2509</v>
      </c>
    </row>
    <row r="69" spans="1:17" ht="11.25" customHeight="1" x14ac:dyDescent="0.25">
      <c r="A69" s="58" t="s">
        <v>2485</v>
      </c>
    </row>
    <row r="70" spans="1:17" x14ac:dyDescent="0.25">
      <c r="A70" s="58" t="s">
        <v>2486</v>
      </c>
      <c r="L70" s="58" t="s">
        <v>1330</v>
      </c>
      <c r="M70" s="982">
        <f>SUM(SA34a!E167+SA34b!E167+SA34e!E167)-'SA36'!M64</f>
        <v>-213642165.89999998</v>
      </c>
      <c r="N70" s="982">
        <f>SUM(SA34a!H167+SA34b!H167+SA34e!H167)-'SA36'!N64</f>
        <v>-19479512</v>
      </c>
      <c r="O70" s="982">
        <f>SUM(SA34a!I167+SA34b!I167+SA34e!I167)-'SA36'!O64</f>
        <v>24108216</v>
      </c>
      <c r="P70" s="982">
        <f>SUM(SA34a!J167+SA34b!J167+SA34e!J167)-'SA36'!P64</f>
        <v>-4216904</v>
      </c>
      <c r="Q70" s="982">
        <f>SUM(SA34a!K167+SA34b!K167+SA34e!K167)-'SA36'!Q64</f>
        <v>-83538328</v>
      </c>
    </row>
    <row r="71" spans="1:17" ht="11.25" customHeight="1" x14ac:dyDescent="0.25">
      <c r="A71" s="58" t="s">
        <v>2511</v>
      </c>
    </row>
    <row r="72" spans="1:17" ht="11.25" customHeight="1" x14ac:dyDescent="0.25"/>
    <row r="73" spans="1:17" ht="11.25" customHeight="1" x14ac:dyDescent="0.25"/>
    <row r="74" spans="1:17" ht="11.25" customHeight="1" x14ac:dyDescent="0.25"/>
    <row r="75" spans="1:17" ht="11.25" customHeight="1" x14ac:dyDescent="0.25"/>
    <row r="76" spans="1:17" ht="11.25" customHeight="1" x14ac:dyDescent="0.25"/>
    <row r="77" spans="1:17" ht="11.25" customHeight="1" x14ac:dyDescent="0.25"/>
    <row r="78" spans="1:17" ht="11.25" customHeight="1" x14ac:dyDescent="0.25"/>
    <row r="79" spans="1:17" ht="11.25" customHeight="1" x14ac:dyDescent="0.25"/>
    <row r="80" spans="1:17" ht="11.25" customHeight="1" x14ac:dyDescent="0.25"/>
    <row r="81" ht="11.25" customHeight="1" x14ac:dyDescent="0.25"/>
    <row r="82" ht="11.25" customHeight="1" x14ac:dyDescent="0.25"/>
    <row r="83" ht="11.25" customHeight="1" x14ac:dyDescent="0.25"/>
    <row r="84" ht="11.25" customHeight="1" x14ac:dyDescent="0.25"/>
    <row r="85" ht="11.25" customHeight="1" x14ac:dyDescent="0.25"/>
    <row r="86" ht="11.25" customHeight="1" x14ac:dyDescent="0.25"/>
    <row r="87" ht="11.25" customHeight="1" x14ac:dyDescent="0.25"/>
    <row r="88" ht="11.25" customHeight="1" x14ac:dyDescent="0.25"/>
    <row r="89" ht="11.25" customHeight="1" x14ac:dyDescent="0.25"/>
    <row r="90" ht="11.25" customHeight="1" x14ac:dyDescent="0.25"/>
    <row r="91" ht="11.25" customHeight="1" x14ac:dyDescent="0.25"/>
    <row r="92" ht="11.25" customHeight="1" x14ac:dyDescent="0.25"/>
    <row r="93" ht="11.25" customHeight="1" x14ac:dyDescent="0.25"/>
    <row r="96" ht="11.25" customHeight="1" x14ac:dyDescent="0.25"/>
    <row r="97" ht="22.5" customHeight="1" x14ac:dyDescent="0.25"/>
    <row r="100" ht="11.25" customHeight="1" x14ac:dyDescent="0.25"/>
    <row r="101" ht="11.25" customHeight="1" x14ac:dyDescent="0.25"/>
    <row r="102" ht="11.25" customHeight="1" x14ac:dyDescent="0.25"/>
    <row r="103" ht="11.25" customHeight="1" x14ac:dyDescent="0.25"/>
    <row r="104" ht="11.25" customHeight="1" x14ac:dyDescent="0.25"/>
    <row r="105" ht="11.25" customHeight="1" x14ac:dyDescent="0.25"/>
    <row r="106" ht="11.25" customHeight="1" x14ac:dyDescent="0.25"/>
    <row r="107" ht="11.25" customHeight="1" x14ac:dyDescent="0.25"/>
    <row r="108" ht="11.25" customHeight="1" x14ac:dyDescent="0.25"/>
    <row r="109" ht="11.25" customHeight="1" x14ac:dyDescent="0.25"/>
    <row r="110" ht="11.25" customHeight="1" x14ac:dyDescent="0.25"/>
    <row r="111" ht="11.25" customHeight="1" x14ac:dyDescent="0.25"/>
    <row r="112" ht="11.25" customHeight="1" x14ac:dyDescent="0.25"/>
    <row r="113" ht="11.25" customHeight="1" x14ac:dyDescent="0.25"/>
    <row r="114" ht="11.25" customHeight="1" x14ac:dyDescent="0.25"/>
    <row r="115" ht="11.25" customHeight="1" x14ac:dyDescent="0.25"/>
    <row r="116" ht="11.25" customHeight="1" x14ac:dyDescent="0.25"/>
    <row r="117" ht="11.25" customHeight="1" x14ac:dyDescent="0.25"/>
    <row r="118" ht="11.25" customHeight="1" x14ac:dyDescent="0.25"/>
    <row r="119" ht="11.25" customHeight="1" x14ac:dyDescent="0.25"/>
    <row r="120" ht="11.25" customHeight="1" x14ac:dyDescent="0.25"/>
    <row r="121" ht="11.25" customHeight="1" x14ac:dyDescent="0.25"/>
    <row r="122" ht="11.25" customHeight="1" x14ac:dyDescent="0.25"/>
    <row r="123" ht="11.25" customHeight="1" x14ac:dyDescent="0.25"/>
    <row r="124" ht="11.25" customHeight="1" x14ac:dyDescent="0.25"/>
    <row r="125" ht="11.25" customHeight="1" x14ac:dyDescent="0.25"/>
    <row r="126" ht="11.25" customHeight="1" x14ac:dyDescent="0.25"/>
    <row r="127" ht="11.25" customHeight="1" x14ac:dyDescent="0.25"/>
    <row r="128" ht="11.25" customHeight="1" x14ac:dyDescent="0.25"/>
    <row r="129" ht="11.25" customHeight="1" x14ac:dyDescent="0.25"/>
    <row r="130" ht="11.25" customHeight="1" x14ac:dyDescent="0.25"/>
    <row r="131" ht="11.25" customHeight="1" x14ac:dyDescent="0.25"/>
    <row r="132" ht="11.25" customHeight="1" x14ac:dyDescent="0.25"/>
    <row r="133" ht="11.25" customHeight="1" x14ac:dyDescent="0.25"/>
    <row r="134" ht="11.25" customHeight="1" x14ac:dyDescent="0.25"/>
    <row r="135" ht="11.25" customHeight="1" x14ac:dyDescent="0.25"/>
    <row r="136" ht="11.25" customHeight="1" x14ac:dyDescent="0.25"/>
  </sheetData>
  <sheetProtection sheet="1" objects="1" scenarios="1"/>
  <mergeCells count="2">
    <mergeCell ref="M2:N2"/>
    <mergeCell ref="O2:Q2"/>
  </mergeCells>
  <phoneticPr fontId="7" type="noConversion"/>
  <dataValidations xWindow="526" yWindow="412" count="5">
    <dataValidation type="list" allowBlank="1" showInputMessage="1" showErrorMessage="1" promptTitle="Select Asset Class" prompt="Select asset class from list" sqref="H55:H62 H7:H49" xr:uid="{00000000-0002-0000-3D00-000000000000}">
      <formula1>asset_class1</formula1>
    </dataValidation>
    <dataValidation type="list" allowBlank="1" showInputMessage="1" showErrorMessage="1" promptTitle="Select Asset Sub-Class" prompt="Select asset sub class from list" sqref="I55:I62 I7:I49" xr:uid="{00000000-0002-0000-3D00-000001000000}">
      <formula1>asset_subclass1</formula1>
    </dataValidation>
    <dataValidation type="list" allowBlank="1" showInputMessage="1" showErrorMessage="1" sqref="D55:D62 D7:D49" xr:uid="{00000000-0002-0000-3D00-000002000000}">
      <formula1>"New,Renewal,Upgrading"</formula1>
    </dataValidation>
    <dataValidation type="list" allowBlank="1" showInputMessage="1" showErrorMessage="1" promptTitle="Select IUDF" prompt="Select IUDF from list" sqref="F7:F49 F55:F62" xr:uid="{00000000-0002-0000-3D00-000003000000}">
      <formula1>IUDF</formula1>
    </dataValidation>
    <dataValidation type="list" allowBlank="1" showInputMessage="1" showErrorMessage="1" promptTitle="Select MTSF Service Outcome" prompt="Select MTSF from list" sqref="E55:E62 E7:E49" xr:uid="{00000000-0002-0000-3D00-000004000000}">
      <formula1>MTSF</formula1>
    </dataValidation>
  </dataValidations>
  <printOptions horizontalCentered="1"/>
  <pageMargins left="0" right="0" top="0.78740157480314965" bottom="0.59055118110236227" header="0.51181102362204722" footer="0.39370078740157483"/>
  <pageSetup paperSize="9" scale="52" orientation="landscape" r:id="rId1"/>
  <headerFooter alignWithMargins="0"/>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Sheet58">
    <pageSetUpPr fitToPage="1"/>
  </sheetPr>
  <dimension ref="A1:R133"/>
  <sheetViews>
    <sheetView showGridLines="0" zoomScaleNormal="100" workbookViewId="0">
      <pane xSplit="2" ySplit="3" topLeftCell="O4" activePane="bottomRight" state="frozen"/>
      <selection pane="topRight"/>
      <selection pane="bottomLeft"/>
      <selection pane="bottomRight" activeCell="A2" sqref="A2:M5"/>
    </sheetView>
  </sheetViews>
  <sheetFormatPr defaultColWidth="9.140625" defaultRowHeight="12.75" x14ac:dyDescent="0.25"/>
  <cols>
    <col min="1" max="2" width="26.42578125" style="58" customWidth="1"/>
    <col min="3" max="7" width="10.7109375" style="58" customWidth="1"/>
    <col min="8" max="10" width="26.42578125" style="58" customWidth="1"/>
    <col min="11" max="12" width="17.7109375" style="58" customWidth="1"/>
    <col min="13" max="18" width="9.28515625" style="58" customWidth="1"/>
    <col min="19" max="19" width="7.42578125" style="58" bestFit="1" customWidth="1"/>
    <col min="20" max="20" width="9.7109375" style="58" customWidth="1"/>
    <col min="21" max="21" width="9.42578125" style="58" customWidth="1"/>
    <col min="22" max="22" width="9.7109375" style="58" customWidth="1"/>
    <col min="23" max="25" width="9.42578125" style="58" customWidth="1"/>
    <col min="26" max="26" width="9.7109375" style="58" customWidth="1"/>
    <col min="27" max="29" width="9.42578125" style="58" customWidth="1"/>
    <col min="30" max="31" width="9.7109375" style="58" customWidth="1"/>
    <col min="32" max="16384" width="9.140625" style="58"/>
  </cols>
  <sheetData>
    <row r="1" spans="1:18" ht="13.5" customHeight="1" x14ac:dyDescent="0.25">
      <c r="A1" s="92" t="str">
        <f>muni&amp;" - "&amp;TableA37</f>
        <v>KZN226 Mkhambathini - Supporting Table SA37 Projects delayed from previous financial year/s</v>
      </c>
      <c r="B1" s="92"/>
      <c r="C1" s="92"/>
      <c r="D1" s="92"/>
      <c r="E1" s="92"/>
      <c r="F1" s="92"/>
      <c r="G1" s="92"/>
      <c r="H1" s="92"/>
      <c r="I1" s="92"/>
      <c r="J1" s="92"/>
      <c r="K1" s="92"/>
      <c r="L1" s="92"/>
      <c r="M1" s="92"/>
      <c r="N1" s="92"/>
      <c r="O1" s="92"/>
      <c r="P1" s="92"/>
      <c r="Q1" s="92"/>
      <c r="R1" s="92"/>
    </row>
    <row r="2" spans="1:18" ht="23.25" customHeight="1" x14ac:dyDescent="0.25">
      <c r="A2" s="2157" t="s">
        <v>568</v>
      </c>
      <c r="D2" s="697"/>
      <c r="E2" s="697"/>
      <c r="F2" s="697"/>
      <c r="G2" s="697"/>
      <c r="H2" s="697"/>
      <c r="I2" s="1823"/>
      <c r="J2" s="697"/>
      <c r="K2" s="697"/>
      <c r="L2" s="2106"/>
      <c r="M2" s="2515" t="str">
        <f>Head47</f>
        <v>Previous target year to complete</v>
      </c>
      <c r="N2" s="2508" t="str">
        <f>Head2</f>
        <v>Current Year 2020/21</v>
      </c>
      <c r="O2" s="2451"/>
      <c r="P2" s="2450" t="str">
        <f>Head3</f>
        <v>2021/22 Medium Term Revenue &amp; Expenditure Framework</v>
      </c>
      <c r="Q2" s="2451"/>
      <c r="R2" s="2452"/>
    </row>
    <row r="3" spans="1:18" ht="25.5" x14ac:dyDescent="0.25">
      <c r="A3" s="2160" t="s">
        <v>2471</v>
      </c>
      <c r="B3" s="421" t="s">
        <v>1185</v>
      </c>
      <c r="C3" s="421" t="s">
        <v>1186</v>
      </c>
      <c r="D3" s="698" t="s">
        <v>2474</v>
      </c>
      <c r="E3" s="698" t="s">
        <v>2476</v>
      </c>
      <c r="F3" s="698" t="s">
        <v>2477</v>
      </c>
      <c r="G3" s="698" t="s">
        <v>2478</v>
      </c>
      <c r="H3" s="698" t="s">
        <v>1731</v>
      </c>
      <c r="I3" s="1786" t="s">
        <v>2482</v>
      </c>
      <c r="J3" s="698" t="s">
        <v>2479</v>
      </c>
      <c r="K3" s="698" t="s">
        <v>2480</v>
      </c>
      <c r="L3" s="699" t="s">
        <v>2481</v>
      </c>
      <c r="M3" s="2504"/>
      <c r="N3" s="486" t="str">
        <f>Head6</f>
        <v>Original Budget</v>
      </c>
      <c r="O3" s="2186" t="str">
        <f>Head8</f>
        <v>Full Year Forecast</v>
      </c>
      <c r="P3" s="423" t="str">
        <f>Head9</f>
        <v>Budget Year 2021/22</v>
      </c>
      <c r="Q3" s="421" t="str">
        <f>Head10</f>
        <v>Budget Year +1 2022/23</v>
      </c>
      <c r="R3" s="422" t="str">
        <f>Head11</f>
        <v>Budget Year +2 2023/24</v>
      </c>
    </row>
    <row r="4" spans="1:18" ht="11.25" customHeight="1" x14ac:dyDescent="0.25">
      <c r="A4" s="2162" t="s">
        <v>1299</v>
      </c>
      <c r="B4" s="2187"/>
      <c r="C4" s="2164"/>
      <c r="D4" s="2164"/>
      <c r="E4" s="2164"/>
      <c r="F4" s="2164"/>
      <c r="G4" s="2164"/>
      <c r="H4" s="2165"/>
      <c r="I4" s="2166"/>
      <c r="J4" s="2165"/>
      <c r="K4" s="2165"/>
      <c r="L4" s="2168"/>
      <c r="M4" s="2188"/>
      <c r="N4" s="2143"/>
      <c r="O4" s="2189"/>
      <c r="P4" s="2190"/>
      <c r="Q4" s="2143"/>
      <c r="R4" s="2191"/>
    </row>
    <row r="5" spans="1:18" ht="11.25" customHeight="1" x14ac:dyDescent="0.25">
      <c r="A5" s="307" t="s">
        <v>2475</v>
      </c>
      <c r="B5" s="2192"/>
      <c r="C5" s="2169"/>
      <c r="D5" s="2169"/>
      <c r="E5" s="2169"/>
      <c r="F5" s="2169"/>
      <c r="G5" s="2169"/>
      <c r="H5" s="308"/>
      <c r="I5" s="309"/>
      <c r="J5" s="308"/>
      <c r="K5" s="308"/>
      <c r="L5" s="402"/>
      <c r="M5" s="2193"/>
      <c r="N5" s="2194"/>
      <c r="O5" s="2195"/>
      <c r="P5" s="2196"/>
      <c r="Q5" s="2194"/>
      <c r="R5" s="2197"/>
    </row>
    <row r="6" spans="1:18" ht="5.65" customHeight="1" x14ac:dyDescent="0.25">
      <c r="A6" s="307"/>
      <c r="B6" s="2192"/>
      <c r="C6" s="2169"/>
      <c r="D6" s="2169"/>
      <c r="E6" s="2169"/>
      <c r="F6" s="2169"/>
      <c r="G6" s="2169"/>
      <c r="H6" s="308"/>
      <c r="I6" s="309"/>
      <c r="J6" s="308"/>
      <c r="K6" s="308"/>
      <c r="L6" s="402"/>
      <c r="M6" s="2193"/>
      <c r="N6" s="2194"/>
      <c r="O6" s="2195"/>
      <c r="P6" s="2196"/>
      <c r="Q6" s="2194"/>
      <c r="R6" s="2197"/>
    </row>
    <row r="7" spans="1:18" ht="11.25" customHeight="1" x14ac:dyDescent="0.25">
      <c r="A7" s="2176" t="s">
        <v>3113</v>
      </c>
      <c r="B7" s="1537" t="s">
        <v>3150</v>
      </c>
      <c r="C7" s="2004" t="s">
        <v>3151</v>
      </c>
      <c r="D7" s="2004" t="s">
        <v>3108</v>
      </c>
      <c r="E7" s="2171" t="s">
        <v>2497</v>
      </c>
      <c r="F7" s="2171" t="s">
        <v>2488</v>
      </c>
      <c r="G7" s="2004" t="s">
        <v>3152</v>
      </c>
      <c r="H7" s="2171" t="s">
        <v>2230</v>
      </c>
      <c r="I7" s="2172" t="s">
        <v>629</v>
      </c>
      <c r="J7" s="2171" t="s">
        <v>3111</v>
      </c>
      <c r="K7" s="2171">
        <v>31</v>
      </c>
      <c r="L7" s="2174">
        <v>-30</v>
      </c>
      <c r="M7" s="2198">
        <v>0</v>
      </c>
      <c r="N7" s="2118">
        <v>551886424</v>
      </c>
      <c r="O7" s="2199">
        <v>676560552</v>
      </c>
      <c r="P7" s="2120">
        <v>596346392</v>
      </c>
      <c r="Q7" s="2118">
        <v>620200248</v>
      </c>
      <c r="R7" s="2121"/>
    </row>
    <row r="8" spans="1:18" ht="11.25" customHeight="1" x14ac:dyDescent="0.25">
      <c r="A8" s="2176" t="s">
        <v>3113</v>
      </c>
      <c r="B8" s="1537" t="s">
        <v>3150</v>
      </c>
      <c r="C8" s="2004" t="s">
        <v>3153</v>
      </c>
      <c r="D8" s="2004" t="s">
        <v>3108</v>
      </c>
      <c r="E8" s="2171" t="s">
        <v>2503</v>
      </c>
      <c r="F8" s="2171" t="s">
        <v>2487</v>
      </c>
      <c r="G8" s="2004" t="s">
        <v>3152</v>
      </c>
      <c r="H8" s="2171" t="s">
        <v>2470</v>
      </c>
      <c r="I8" s="2172" t="s">
        <v>2470</v>
      </c>
      <c r="J8" s="2171" t="s">
        <v>3111</v>
      </c>
      <c r="K8" s="2171">
        <v>31</v>
      </c>
      <c r="L8" s="2174">
        <v>-30</v>
      </c>
      <c r="M8" s="2198">
        <v>0</v>
      </c>
      <c r="N8" s="2118">
        <v>107502472</v>
      </c>
      <c r="O8" s="2199">
        <v>5824000</v>
      </c>
      <c r="P8" s="2120">
        <v>6293184</v>
      </c>
      <c r="Q8" s="2118">
        <v>6544912</v>
      </c>
      <c r="R8" s="2121"/>
    </row>
    <row r="9" spans="1:18" ht="11.25" customHeight="1" x14ac:dyDescent="0.25">
      <c r="A9" s="2176" t="s">
        <v>3113</v>
      </c>
      <c r="B9" s="1537" t="s">
        <v>3150</v>
      </c>
      <c r="C9" s="2004" t="s">
        <v>3154</v>
      </c>
      <c r="D9" s="2004" t="s">
        <v>3108</v>
      </c>
      <c r="E9" s="2171" t="s">
        <v>2503</v>
      </c>
      <c r="F9" s="2171" t="s">
        <v>2488</v>
      </c>
      <c r="G9" s="2004" t="s">
        <v>3152</v>
      </c>
      <c r="H9" s="2171" t="s">
        <v>2283</v>
      </c>
      <c r="I9" s="2172" t="s">
        <v>2284</v>
      </c>
      <c r="J9" s="2171" t="s">
        <v>3111</v>
      </c>
      <c r="K9" s="2171">
        <v>31</v>
      </c>
      <c r="L9" s="2174">
        <v>-30</v>
      </c>
      <c r="M9" s="2198">
        <v>0</v>
      </c>
      <c r="N9" s="2118">
        <v>773044816</v>
      </c>
      <c r="O9" s="2199">
        <v>874723288</v>
      </c>
      <c r="P9" s="2120">
        <v>835321304</v>
      </c>
      <c r="Q9" s="2118">
        <v>868734160</v>
      </c>
      <c r="R9" s="2121"/>
    </row>
    <row r="10" spans="1:18" ht="11.25" customHeight="1" x14ac:dyDescent="0.25">
      <c r="A10" s="2176" t="s">
        <v>3113</v>
      </c>
      <c r="B10" s="1537" t="s">
        <v>3150</v>
      </c>
      <c r="C10" s="2004" t="s">
        <v>3155</v>
      </c>
      <c r="D10" s="2004" t="s">
        <v>3108</v>
      </c>
      <c r="E10" s="2171" t="s">
        <v>2503</v>
      </c>
      <c r="F10" s="2171" t="s">
        <v>2490</v>
      </c>
      <c r="G10" s="2004" t="s">
        <v>3152</v>
      </c>
      <c r="H10" s="2171" t="s">
        <v>2332</v>
      </c>
      <c r="I10" s="2172" t="s">
        <v>2332</v>
      </c>
      <c r="J10" s="2171" t="s">
        <v>3111</v>
      </c>
      <c r="K10" s="2171">
        <v>31</v>
      </c>
      <c r="L10" s="2174">
        <v>-30</v>
      </c>
      <c r="M10" s="2198">
        <v>0</v>
      </c>
      <c r="N10" s="2118">
        <v>26944776</v>
      </c>
      <c r="O10" s="2199">
        <v>8162776</v>
      </c>
      <c r="P10" s="2120">
        <v>8820368</v>
      </c>
      <c r="Q10" s="2118">
        <v>9173184</v>
      </c>
      <c r="R10" s="2121"/>
    </row>
    <row r="11" spans="1:18" ht="11.25" customHeight="1" x14ac:dyDescent="0.25">
      <c r="A11" s="2176" t="s">
        <v>3113</v>
      </c>
      <c r="B11" s="1537" t="s">
        <v>3150</v>
      </c>
      <c r="C11" s="2004" t="s">
        <v>3156</v>
      </c>
      <c r="D11" s="2004" t="s">
        <v>3108</v>
      </c>
      <c r="E11" s="2171" t="s">
        <v>2503</v>
      </c>
      <c r="F11" s="2171" t="s">
        <v>2490</v>
      </c>
      <c r="G11" s="2004" t="s">
        <v>3152</v>
      </c>
      <c r="H11" s="2171" t="s">
        <v>2333</v>
      </c>
      <c r="I11" s="2172" t="s">
        <v>2333</v>
      </c>
      <c r="J11" s="2171" t="s">
        <v>3111</v>
      </c>
      <c r="K11" s="2171">
        <v>31</v>
      </c>
      <c r="L11" s="2174">
        <v>-30</v>
      </c>
      <c r="M11" s="2198">
        <v>0</v>
      </c>
      <c r="N11" s="2118">
        <v>45992496</v>
      </c>
      <c r="O11" s="2199">
        <v>45992496</v>
      </c>
      <c r="P11" s="2120">
        <v>49697648</v>
      </c>
      <c r="Q11" s="2118">
        <v>51685560</v>
      </c>
      <c r="R11" s="2121"/>
    </row>
    <row r="12" spans="1:18" ht="11.25" customHeight="1" x14ac:dyDescent="0.25">
      <c r="A12" s="2176" t="s">
        <v>3113</v>
      </c>
      <c r="B12" s="1537" t="s">
        <v>3150</v>
      </c>
      <c r="C12" s="2004" t="s">
        <v>3157</v>
      </c>
      <c r="D12" s="2004" t="s">
        <v>3108</v>
      </c>
      <c r="E12" s="2171" t="s">
        <v>2503</v>
      </c>
      <c r="F12" s="2171" t="s">
        <v>2487</v>
      </c>
      <c r="G12" s="2004" t="s">
        <v>3152</v>
      </c>
      <c r="H12" s="2171" t="s">
        <v>2341</v>
      </c>
      <c r="I12" s="2172" t="s">
        <v>2339</v>
      </c>
      <c r="J12" s="2171" t="s">
        <v>3111</v>
      </c>
      <c r="K12" s="2171">
        <v>31</v>
      </c>
      <c r="L12" s="2174">
        <v>-30</v>
      </c>
      <c r="M12" s="2198">
        <v>0</v>
      </c>
      <c r="N12" s="2118">
        <v>83240000</v>
      </c>
      <c r="O12" s="2199">
        <v>83240000</v>
      </c>
      <c r="P12" s="2120">
        <v>89945816</v>
      </c>
      <c r="Q12" s="2118">
        <v>93543648</v>
      </c>
      <c r="R12" s="2121"/>
    </row>
    <row r="13" spans="1:18" ht="11.25" customHeight="1" x14ac:dyDescent="0.25">
      <c r="A13" s="2176" t="s">
        <v>3113</v>
      </c>
      <c r="B13" s="1537" t="s">
        <v>3150</v>
      </c>
      <c r="C13" s="2004" t="s">
        <v>3158</v>
      </c>
      <c r="D13" s="2004" t="s">
        <v>3108</v>
      </c>
      <c r="E13" s="2171" t="s">
        <v>2503</v>
      </c>
      <c r="F13" s="2171" t="s">
        <v>2490</v>
      </c>
      <c r="G13" s="2004" t="s">
        <v>3152</v>
      </c>
      <c r="H13" s="2171" t="s">
        <v>2335</v>
      </c>
      <c r="I13" s="2172" t="s">
        <v>2335</v>
      </c>
      <c r="J13" s="2171" t="s">
        <v>3111</v>
      </c>
      <c r="K13" s="2171">
        <v>31</v>
      </c>
      <c r="L13" s="2174">
        <v>-30</v>
      </c>
      <c r="M13" s="2198">
        <v>0</v>
      </c>
      <c r="N13" s="2118">
        <v>38233280</v>
      </c>
      <c r="O13" s="2199">
        <v>38233280</v>
      </c>
      <c r="P13" s="2120">
        <v>41313352</v>
      </c>
      <c r="Q13" s="2118">
        <v>42965888</v>
      </c>
      <c r="R13" s="2121"/>
    </row>
    <row r="14" spans="1:18" ht="11.25" customHeight="1" x14ac:dyDescent="0.25">
      <c r="A14" s="2176" t="s">
        <v>3113</v>
      </c>
      <c r="B14" s="1537" t="s">
        <v>3159</v>
      </c>
      <c r="C14" s="2004" t="s">
        <v>3160</v>
      </c>
      <c r="D14" s="2004" t="s">
        <v>3108</v>
      </c>
      <c r="E14" s="2171" t="s">
        <v>2503</v>
      </c>
      <c r="F14" s="2171" t="s">
        <v>2489</v>
      </c>
      <c r="G14" s="2004" t="s">
        <v>3119</v>
      </c>
      <c r="H14" s="2171" t="s">
        <v>2333</v>
      </c>
      <c r="I14" s="2172" t="s">
        <v>2333</v>
      </c>
      <c r="J14" s="2171" t="s">
        <v>3110</v>
      </c>
      <c r="K14" s="2171">
        <v>-29.727584838867188</v>
      </c>
      <c r="L14" s="2174">
        <v>30.539083480834961</v>
      </c>
      <c r="M14" s="2198">
        <v>1235864.96</v>
      </c>
      <c r="N14" s="2118">
        <v>0</v>
      </c>
      <c r="O14" s="2199">
        <v>0</v>
      </c>
      <c r="P14" s="2120">
        <v>0</v>
      </c>
      <c r="Q14" s="2118">
        <v>0</v>
      </c>
      <c r="R14" s="2121"/>
    </row>
    <row r="15" spans="1:18" ht="11.25" customHeight="1" x14ac:dyDescent="0.25">
      <c r="A15" s="2176" t="s">
        <v>3113</v>
      </c>
      <c r="B15" s="1537" t="s">
        <v>3161</v>
      </c>
      <c r="C15" s="2004" t="s">
        <v>3162</v>
      </c>
      <c r="D15" s="2004" t="s">
        <v>3108</v>
      </c>
      <c r="E15" s="2171" t="s">
        <v>2503</v>
      </c>
      <c r="F15" s="2171" t="s">
        <v>2489</v>
      </c>
      <c r="G15" s="2004" t="s">
        <v>3149</v>
      </c>
      <c r="H15" s="2171" t="s">
        <v>2332</v>
      </c>
      <c r="I15" s="2172" t="s">
        <v>2332</v>
      </c>
      <c r="J15" s="2171" t="s">
        <v>3110</v>
      </c>
      <c r="K15" s="2171">
        <v>-29.727584838867188</v>
      </c>
      <c r="L15" s="2174">
        <v>30.539083480834961</v>
      </c>
      <c r="M15" s="2198">
        <v>9779960.7999999989</v>
      </c>
      <c r="N15" s="2118">
        <v>5550000</v>
      </c>
      <c r="O15" s="2199">
        <v>3000000</v>
      </c>
      <c r="P15" s="2120">
        <v>3241680</v>
      </c>
      <c r="Q15" s="2118">
        <v>3371350</v>
      </c>
      <c r="R15" s="2121"/>
    </row>
    <row r="16" spans="1:18" ht="11.25" customHeight="1" x14ac:dyDescent="0.25">
      <c r="A16" s="2176" t="s">
        <v>3113</v>
      </c>
      <c r="B16" s="1537" t="s">
        <v>3126</v>
      </c>
      <c r="C16" s="2004" t="s">
        <v>3153</v>
      </c>
      <c r="D16" s="2004" t="s">
        <v>3108</v>
      </c>
      <c r="E16" s="2171" t="s">
        <v>2503</v>
      </c>
      <c r="F16" s="2171" t="s">
        <v>2487</v>
      </c>
      <c r="G16" s="2004" t="s">
        <v>3127</v>
      </c>
      <c r="H16" s="2171" t="s">
        <v>2470</v>
      </c>
      <c r="I16" s="2172" t="s">
        <v>2470</v>
      </c>
      <c r="J16" s="2171" t="s">
        <v>3111</v>
      </c>
      <c r="K16" s="2171">
        <v>31</v>
      </c>
      <c r="L16" s="2174">
        <v>-30</v>
      </c>
      <c r="M16" s="2198">
        <v>104050000</v>
      </c>
      <c r="N16" s="2118">
        <v>0</v>
      </c>
      <c r="O16" s="2199">
        <v>0</v>
      </c>
      <c r="P16" s="2120">
        <v>0</v>
      </c>
      <c r="Q16" s="2118">
        <v>0</v>
      </c>
      <c r="R16" s="2121"/>
    </row>
    <row r="17" spans="1:18" ht="11.25" customHeight="1" x14ac:dyDescent="0.25">
      <c r="A17" s="2176" t="s">
        <v>3113</v>
      </c>
      <c r="B17" s="1537" t="s">
        <v>3126</v>
      </c>
      <c r="C17" s="2004" t="s">
        <v>3163</v>
      </c>
      <c r="D17" s="2004" t="s">
        <v>3108</v>
      </c>
      <c r="E17" s="2171" t="s">
        <v>2492</v>
      </c>
      <c r="F17" s="2171" t="s">
        <v>2488</v>
      </c>
      <c r="G17" s="2004" t="s">
        <v>3127</v>
      </c>
      <c r="H17" s="2171" t="s">
        <v>2283</v>
      </c>
      <c r="I17" s="2172" t="s">
        <v>2286</v>
      </c>
      <c r="J17" s="2171" t="s">
        <v>3110</v>
      </c>
      <c r="K17" s="2171">
        <v>31</v>
      </c>
      <c r="L17" s="2174">
        <v>-30</v>
      </c>
      <c r="M17" s="2198">
        <v>-9715799.6999999993</v>
      </c>
      <c r="N17" s="2118">
        <v>0</v>
      </c>
      <c r="O17" s="2199">
        <v>0</v>
      </c>
      <c r="P17" s="2120">
        <v>0</v>
      </c>
      <c r="Q17" s="2118">
        <v>0</v>
      </c>
      <c r="R17" s="2121"/>
    </row>
    <row r="18" spans="1:18" ht="11.25" customHeight="1" x14ac:dyDescent="0.25">
      <c r="A18" s="2176" t="s">
        <v>3113</v>
      </c>
      <c r="B18" s="1537" t="s">
        <v>3126</v>
      </c>
      <c r="C18" s="2004" t="s">
        <v>3164</v>
      </c>
      <c r="D18" s="2004" t="s">
        <v>3108</v>
      </c>
      <c r="E18" s="2171" t="s">
        <v>2493</v>
      </c>
      <c r="F18" s="2171" t="s">
        <v>2488</v>
      </c>
      <c r="G18" s="2004" t="s">
        <v>3127</v>
      </c>
      <c r="H18" s="2171" t="s">
        <v>2301</v>
      </c>
      <c r="I18" s="2172" t="s">
        <v>2303</v>
      </c>
      <c r="J18" s="2171" t="s">
        <v>3110</v>
      </c>
      <c r="K18" s="2171">
        <v>31</v>
      </c>
      <c r="L18" s="2174">
        <v>-30</v>
      </c>
      <c r="M18" s="2198">
        <v>-24572391.600000001</v>
      </c>
      <c r="N18" s="2118">
        <v>0</v>
      </c>
      <c r="O18" s="2199">
        <v>0</v>
      </c>
      <c r="P18" s="2120">
        <v>0</v>
      </c>
      <c r="Q18" s="2118">
        <v>0</v>
      </c>
      <c r="R18" s="2121"/>
    </row>
    <row r="19" spans="1:18" ht="11.25" customHeight="1" x14ac:dyDescent="0.25">
      <c r="A19" s="2176" t="s">
        <v>3113</v>
      </c>
      <c r="B19" s="1537" t="s">
        <v>3126</v>
      </c>
      <c r="C19" s="2004" t="s">
        <v>3156</v>
      </c>
      <c r="D19" s="2004" t="s">
        <v>3108</v>
      </c>
      <c r="E19" s="2171" t="s">
        <v>2503</v>
      </c>
      <c r="F19" s="2171" t="s">
        <v>2490</v>
      </c>
      <c r="G19" s="2004" t="s">
        <v>3127</v>
      </c>
      <c r="H19" s="2171" t="s">
        <v>2333</v>
      </c>
      <c r="I19" s="2172" t="s">
        <v>2333</v>
      </c>
      <c r="J19" s="2171" t="s">
        <v>3110</v>
      </c>
      <c r="K19" s="2171">
        <v>31</v>
      </c>
      <c r="L19" s="2174">
        <v>-30</v>
      </c>
      <c r="M19" s="2198">
        <v>-6728743.8999999994</v>
      </c>
      <c r="N19" s="2118">
        <v>0</v>
      </c>
      <c r="O19" s="2199">
        <v>0</v>
      </c>
      <c r="P19" s="2120">
        <v>0</v>
      </c>
      <c r="Q19" s="2118">
        <v>0</v>
      </c>
      <c r="R19" s="2121"/>
    </row>
    <row r="20" spans="1:18" ht="11.25" customHeight="1" x14ac:dyDescent="0.25">
      <c r="A20" s="2176" t="s">
        <v>3113</v>
      </c>
      <c r="B20" s="1537" t="s">
        <v>3126</v>
      </c>
      <c r="C20" s="2004" t="s">
        <v>3165</v>
      </c>
      <c r="D20" s="2004" t="s">
        <v>3108</v>
      </c>
      <c r="E20" s="2171" t="s">
        <v>2503</v>
      </c>
      <c r="F20" s="2171" t="s">
        <v>2490</v>
      </c>
      <c r="G20" s="2004" t="s">
        <v>3127</v>
      </c>
      <c r="H20" s="2171" t="s">
        <v>2324</v>
      </c>
      <c r="I20" s="2172" t="s">
        <v>2329</v>
      </c>
      <c r="J20" s="2171" t="s">
        <v>3111</v>
      </c>
      <c r="K20" s="2171">
        <v>31</v>
      </c>
      <c r="L20" s="2174">
        <v>-30</v>
      </c>
      <c r="M20" s="2198">
        <v>0</v>
      </c>
      <c r="N20" s="2118">
        <v>-5904456</v>
      </c>
      <c r="O20" s="2199">
        <v>0</v>
      </c>
      <c r="P20" s="2120">
        <v>-6251106</v>
      </c>
      <c r="Q20" s="2118">
        <v>-6876216</v>
      </c>
      <c r="R20" s="2121"/>
    </row>
    <row r="21" spans="1:18" ht="11.25" customHeight="1" x14ac:dyDescent="0.25">
      <c r="A21" s="2176" t="s">
        <v>3113</v>
      </c>
      <c r="B21" s="1537" t="s">
        <v>3126</v>
      </c>
      <c r="C21" s="2004" t="s">
        <v>3166</v>
      </c>
      <c r="D21" s="2004" t="s">
        <v>3108</v>
      </c>
      <c r="E21" s="2171" t="s">
        <v>2503</v>
      </c>
      <c r="F21" s="2171" t="s">
        <v>2490</v>
      </c>
      <c r="G21" s="2004" t="s">
        <v>3127</v>
      </c>
      <c r="H21" s="2171" t="s">
        <v>2334</v>
      </c>
      <c r="I21" s="2172" t="s">
        <v>2334</v>
      </c>
      <c r="J21" s="2171" t="s">
        <v>3110</v>
      </c>
      <c r="K21" s="2171">
        <v>31</v>
      </c>
      <c r="L21" s="2174">
        <v>-30</v>
      </c>
      <c r="M21" s="2198">
        <v>-7639897.5</v>
      </c>
      <c r="N21" s="2118">
        <v>0</v>
      </c>
      <c r="O21" s="2199">
        <v>0</v>
      </c>
      <c r="P21" s="2120">
        <v>0</v>
      </c>
      <c r="Q21" s="2118">
        <v>0</v>
      </c>
      <c r="R21" s="2121"/>
    </row>
    <row r="22" spans="1:18" ht="11.25" customHeight="1" x14ac:dyDescent="0.25">
      <c r="A22" s="2176" t="s">
        <v>3113</v>
      </c>
      <c r="B22" s="1537" t="s">
        <v>3126</v>
      </c>
      <c r="C22" s="2004" t="s">
        <v>3158</v>
      </c>
      <c r="D22" s="2004" t="s">
        <v>3108</v>
      </c>
      <c r="E22" s="2171" t="s">
        <v>2503</v>
      </c>
      <c r="F22" s="2171" t="s">
        <v>2490</v>
      </c>
      <c r="G22" s="2004" t="s">
        <v>3127</v>
      </c>
      <c r="H22" s="2171" t="s">
        <v>2335</v>
      </c>
      <c r="I22" s="2172" t="s">
        <v>2335</v>
      </c>
      <c r="J22" s="2171" t="s">
        <v>3110</v>
      </c>
      <c r="K22" s="2171">
        <v>31</v>
      </c>
      <c r="L22" s="2174">
        <v>-30</v>
      </c>
      <c r="M22" s="2198">
        <v>-25204438.999999996</v>
      </c>
      <c r="N22" s="2118">
        <v>-9630760</v>
      </c>
      <c r="O22" s="2199">
        <v>0</v>
      </c>
      <c r="P22" s="2120">
        <v>-10196190</v>
      </c>
      <c r="Q22" s="2118">
        <v>-11215800</v>
      </c>
      <c r="R22" s="2121"/>
    </row>
    <row r="23" spans="1:18" ht="11.25" customHeight="1" x14ac:dyDescent="0.25">
      <c r="A23" s="2176" t="s">
        <v>3113</v>
      </c>
      <c r="B23" s="1537" t="s">
        <v>3126</v>
      </c>
      <c r="C23" s="2004" t="s">
        <v>3167</v>
      </c>
      <c r="D23" s="2004" t="s">
        <v>3108</v>
      </c>
      <c r="E23" s="2171" t="s">
        <v>2503</v>
      </c>
      <c r="F23" s="2171" t="s">
        <v>2489</v>
      </c>
      <c r="G23" s="2004" t="s">
        <v>3127</v>
      </c>
      <c r="H23" s="2171" t="s">
        <v>2309</v>
      </c>
      <c r="I23" s="2172" t="s">
        <v>2310</v>
      </c>
      <c r="J23" s="2171" t="s">
        <v>3111</v>
      </c>
      <c r="K23" s="2171">
        <v>31</v>
      </c>
      <c r="L23" s="2174">
        <v>-30</v>
      </c>
      <c r="M23" s="2198">
        <v>89295553.299999997</v>
      </c>
      <c r="N23" s="2118">
        <v>-5670300</v>
      </c>
      <c r="O23" s="2199">
        <v>0</v>
      </c>
      <c r="P23" s="2120">
        <v>-6003210</v>
      </c>
      <c r="Q23" s="2118">
        <v>-6603530</v>
      </c>
      <c r="R23" s="2121"/>
    </row>
    <row r="24" spans="1:18" ht="11.25" customHeight="1" x14ac:dyDescent="0.25">
      <c r="A24" s="2176" t="s">
        <v>3113</v>
      </c>
      <c r="B24" s="1537" t="s">
        <v>3126</v>
      </c>
      <c r="C24" s="2004" t="s">
        <v>3168</v>
      </c>
      <c r="D24" s="2004" t="s">
        <v>3108</v>
      </c>
      <c r="E24" s="2171" t="s">
        <v>2503</v>
      </c>
      <c r="F24" s="2171" t="s">
        <v>2489</v>
      </c>
      <c r="G24" s="2004" t="s">
        <v>3127</v>
      </c>
      <c r="H24" s="2171" t="s">
        <v>2333</v>
      </c>
      <c r="I24" s="2172" t="s">
        <v>2333</v>
      </c>
      <c r="J24" s="2171" t="s">
        <v>3110</v>
      </c>
      <c r="K24" s="2171">
        <v>31</v>
      </c>
      <c r="L24" s="2174">
        <v>-30</v>
      </c>
      <c r="M24" s="2198">
        <v>0</v>
      </c>
      <c r="N24" s="2118">
        <v>-12242840</v>
      </c>
      <c r="O24" s="2199">
        <v>0</v>
      </c>
      <c r="P24" s="2120">
        <v>-12961620</v>
      </c>
      <c r="Q24" s="2118">
        <v>-14257780</v>
      </c>
      <c r="R24" s="2121"/>
    </row>
    <row r="25" spans="1:18" ht="11.25" customHeight="1" x14ac:dyDescent="0.25">
      <c r="A25" s="2176" t="s">
        <v>3113</v>
      </c>
      <c r="B25" s="1537" t="s">
        <v>3126</v>
      </c>
      <c r="C25" s="2004" t="s">
        <v>3169</v>
      </c>
      <c r="D25" s="2004" t="s">
        <v>3108</v>
      </c>
      <c r="E25" s="2171" t="s">
        <v>2503</v>
      </c>
      <c r="F25" s="2171" t="s">
        <v>2489</v>
      </c>
      <c r="G25" s="2004" t="s">
        <v>3127</v>
      </c>
      <c r="H25" s="2171" t="s">
        <v>2333</v>
      </c>
      <c r="I25" s="2172" t="s">
        <v>2333</v>
      </c>
      <c r="J25" s="2171" t="s">
        <v>3110</v>
      </c>
      <c r="K25" s="2171">
        <v>31</v>
      </c>
      <c r="L25" s="2174">
        <v>-30</v>
      </c>
      <c r="M25" s="2198">
        <v>40373151.299999997</v>
      </c>
      <c r="N25" s="2118">
        <v>0</v>
      </c>
      <c r="O25" s="2199">
        <v>0</v>
      </c>
      <c r="P25" s="2120">
        <v>0</v>
      </c>
      <c r="Q25" s="2118">
        <v>0</v>
      </c>
      <c r="R25" s="2121"/>
    </row>
    <row r="26" spans="1:18" ht="11.25" customHeight="1" x14ac:dyDescent="0.25">
      <c r="A26" s="2176" t="s">
        <v>3113</v>
      </c>
      <c r="B26" s="1537" t="s">
        <v>3126</v>
      </c>
      <c r="C26" s="2004" t="s">
        <v>3170</v>
      </c>
      <c r="D26" s="2004" t="s">
        <v>3108</v>
      </c>
      <c r="E26" s="2171" t="s">
        <v>2503</v>
      </c>
      <c r="F26" s="2171" t="s">
        <v>2489</v>
      </c>
      <c r="G26" s="2004" t="s">
        <v>3127</v>
      </c>
      <c r="H26" s="2171" t="s">
        <v>2324</v>
      </c>
      <c r="I26" s="2172" t="s">
        <v>2329</v>
      </c>
      <c r="J26" s="2171" t="s">
        <v>3110</v>
      </c>
      <c r="K26" s="2171">
        <v>31</v>
      </c>
      <c r="L26" s="2174">
        <v>-30</v>
      </c>
      <c r="M26" s="2198">
        <v>-8950187.1999999993</v>
      </c>
      <c r="N26" s="2118">
        <v>0</v>
      </c>
      <c r="O26" s="2199">
        <v>0</v>
      </c>
      <c r="P26" s="2120">
        <v>0</v>
      </c>
      <c r="Q26" s="2118">
        <v>0</v>
      </c>
      <c r="R26" s="2121"/>
    </row>
    <row r="27" spans="1:18" ht="11.25" customHeight="1" x14ac:dyDescent="0.25">
      <c r="A27" s="2176" t="s">
        <v>3113</v>
      </c>
      <c r="B27" s="1537" t="s">
        <v>3126</v>
      </c>
      <c r="C27" s="2004" t="s">
        <v>3171</v>
      </c>
      <c r="D27" s="2004" t="s">
        <v>3108</v>
      </c>
      <c r="E27" s="2171" t="s">
        <v>2503</v>
      </c>
      <c r="F27" s="2171" t="s">
        <v>2489</v>
      </c>
      <c r="G27" s="2004" t="s">
        <v>3127</v>
      </c>
      <c r="H27" s="2171" t="s">
        <v>2324</v>
      </c>
      <c r="I27" s="2172" t="s">
        <v>2329</v>
      </c>
      <c r="J27" s="2171" t="s">
        <v>3110</v>
      </c>
      <c r="K27" s="2171">
        <v>31</v>
      </c>
      <c r="L27" s="2174">
        <v>-30</v>
      </c>
      <c r="M27" s="2198">
        <v>13834493.4</v>
      </c>
      <c r="N27" s="2118">
        <v>0</v>
      </c>
      <c r="O27" s="2199">
        <v>0</v>
      </c>
      <c r="P27" s="2120">
        <v>0</v>
      </c>
      <c r="Q27" s="2118">
        <v>0</v>
      </c>
      <c r="R27" s="2121"/>
    </row>
    <row r="28" spans="1:18" ht="11.25" customHeight="1" x14ac:dyDescent="0.25">
      <c r="A28" s="2176" t="s">
        <v>3115</v>
      </c>
      <c r="B28" s="1537" t="s">
        <v>3159</v>
      </c>
      <c r="C28" s="2004" t="s">
        <v>3172</v>
      </c>
      <c r="D28" s="2004" t="s">
        <v>3108</v>
      </c>
      <c r="E28" s="2171" t="s">
        <v>2503</v>
      </c>
      <c r="F28" s="2171" t="s">
        <v>2489</v>
      </c>
      <c r="G28" s="2004" t="s">
        <v>3119</v>
      </c>
      <c r="H28" s="2171" t="s">
        <v>2333</v>
      </c>
      <c r="I28" s="2172" t="s">
        <v>2333</v>
      </c>
      <c r="J28" s="2171" t="s">
        <v>3111</v>
      </c>
      <c r="K28" s="2171">
        <v>-29.727584838867188</v>
      </c>
      <c r="L28" s="2174">
        <v>30.539083480834961</v>
      </c>
      <c r="M28" s="2198">
        <v>0</v>
      </c>
      <c r="N28" s="2118">
        <v>3500000</v>
      </c>
      <c r="O28" s="2199">
        <v>4000000</v>
      </c>
      <c r="P28" s="2120">
        <v>4322240</v>
      </c>
      <c r="Q28" s="2118">
        <v>4495130</v>
      </c>
      <c r="R28" s="2121"/>
    </row>
    <row r="29" spans="1:18" ht="11.25" customHeight="1" x14ac:dyDescent="0.25">
      <c r="A29" s="2176" t="s">
        <v>3115</v>
      </c>
      <c r="B29" s="1537" t="s">
        <v>3173</v>
      </c>
      <c r="C29" s="2004" t="s">
        <v>3174</v>
      </c>
      <c r="D29" s="2004" t="s">
        <v>3108</v>
      </c>
      <c r="E29" s="2171" t="s">
        <v>2503</v>
      </c>
      <c r="F29" s="2171" t="s">
        <v>2490</v>
      </c>
      <c r="G29" s="2004" t="s">
        <v>3119</v>
      </c>
      <c r="H29" s="2171" t="s">
        <v>2309</v>
      </c>
      <c r="I29" s="2172" t="s">
        <v>2310</v>
      </c>
      <c r="J29" s="2171" t="s">
        <v>3110</v>
      </c>
      <c r="K29" s="2171">
        <v>31</v>
      </c>
      <c r="L29" s="2174">
        <v>-30</v>
      </c>
      <c r="M29" s="2198">
        <v>0</v>
      </c>
      <c r="N29" s="2118">
        <v>0</v>
      </c>
      <c r="O29" s="2199">
        <v>2000000</v>
      </c>
      <c r="P29" s="2120">
        <v>0</v>
      </c>
      <c r="Q29" s="2118">
        <v>0</v>
      </c>
      <c r="R29" s="2121"/>
    </row>
    <row r="30" spans="1:18" ht="11.25" customHeight="1" x14ac:dyDescent="0.25">
      <c r="A30" s="2176" t="s">
        <v>3115</v>
      </c>
      <c r="B30" s="1537" t="s">
        <v>3173</v>
      </c>
      <c r="C30" s="2004" t="s">
        <v>3174</v>
      </c>
      <c r="D30" s="2004" t="s">
        <v>3108</v>
      </c>
      <c r="E30" s="2171" t="s">
        <v>2503</v>
      </c>
      <c r="F30" s="2171" t="s">
        <v>2490</v>
      </c>
      <c r="G30" s="2004" t="s">
        <v>3119</v>
      </c>
      <c r="H30" s="2171" t="s">
        <v>2309</v>
      </c>
      <c r="I30" s="2172" t="s">
        <v>2310</v>
      </c>
      <c r="J30" s="2171" t="s">
        <v>3111</v>
      </c>
      <c r="K30" s="2171">
        <v>31</v>
      </c>
      <c r="L30" s="2174">
        <v>-30</v>
      </c>
      <c r="M30" s="2198">
        <v>0</v>
      </c>
      <c r="N30" s="2118">
        <v>0</v>
      </c>
      <c r="O30" s="2199">
        <v>8000000</v>
      </c>
      <c r="P30" s="2120">
        <v>0</v>
      </c>
      <c r="Q30" s="2118">
        <v>0</v>
      </c>
      <c r="R30" s="2121"/>
    </row>
    <row r="31" spans="1:18" ht="11.25" customHeight="1" x14ac:dyDescent="0.25">
      <c r="A31" s="2176" t="s">
        <v>3118</v>
      </c>
      <c r="B31" s="1537" t="s">
        <v>3175</v>
      </c>
      <c r="C31" s="2004" t="s">
        <v>3176</v>
      </c>
      <c r="D31" s="2004" t="s">
        <v>3108</v>
      </c>
      <c r="E31" s="2171" t="s">
        <v>2503</v>
      </c>
      <c r="F31" s="2171" t="s">
        <v>2489</v>
      </c>
      <c r="G31" s="2004" t="s">
        <v>3119</v>
      </c>
      <c r="H31" s="2171" t="s">
        <v>2283</v>
      </c>
      <c r="I31" s="2172" t="s">
        <v>2284</v>
      </c>
      <c r="J31" s="2171" t="s">
        <v>3138</v>
      </c>
      <c r="K31" s="2171">
        <v>31</v>
      </c>
      <c r="L31" s="2174">
        <v>-30</v>
      </c>
      <c r="M31" s="2198">
        <v>21558628.359999999</v>
      </c>
      <c r="N31" s="2118">
        <v>0</v>
      </c>
      <c r="O31" s="2199">
        <v>6117572</v>
      </c>
      <c r="P31" s="2120">
        <v>0</v>
      </c>
      <c r="Q31" s="2118">
        <v>0</v>
      </c>
      <c r="R31" s="2121"/>
    </row>
    <row r="32" spans="1:18" ht="11.25" customHeight="1" x14ac:dyDescent="0.25">
      <c r="A32" s="2176" t="s">
        <v>3118</v>
      </c>
      <c r="B32" s="1537" t="s">
        <v>3177</v>
      </c>
      <c r="C32" s="2004" t="s">
        <v>3178</v>
      </c>
      <c r="D32" s="2004" t="s">
        <v>3108</v>
      </c>
      <c r="E32" s="2171" t="s">
        <v>2503</v>
      </c>
      <c r="F32" s="2171" t="s">
        <v>2489</v>
      </c>
      <c r="G32" s="2004" t="s">
        <v>3119</v>
      </c>
      <c r="H32" s="2171" t="s">
        <v>2283</v>
      </c>
      <c r="I32" s="2172" t="s">
        <v>2284</v>
      </c>
      <c r="J32" s="2171" t="s">
        <v>3179</v>
      </c>
      <c r="K32" s="2171">
        <v>31</v>
      </c>
      <c r="L32" s="2174">
        <v>-30</v>
      </c>
      <c r="M32" s="2198">
        <v>16463230.640000001</v>
      </c>
      <c r="N32" s="2118">
        <v>0</v>
      </c>
      <c r="O32" s="2199">
        <v>0</v>
      </c>
      <c r="P32" s="2120">
        <v>0</v>
      </c>
      <c r="Q32" s="2118">
        <v>0</v>
      </c>
      <c r="R32" s="2121"/>
    </row>
    <row r="33" spans="1:18" ht="11.25" customHeight="1" x14ac:dyDescent="0.25">
      <c r="A33" s="2176" t="s">
        <v>3118</v>
      </c>
      <c r="B33" s="1537" t="s">
        <v>3180</v>
      </c>
      <c r="C33" s="2004" t="s">
        <v>3181</v>
      </c>
      <c r="D33" s="2004" t="s">
        <v>3108</v>
      </c>
      <c r="E33" s="2171" t="s">
        <v>2503</v>
      </c>
      <c r="F33" s="2171" t="s">
        <v>2489</v>
      </c>
      <c r="G33" s="2004" t="s">
        <v>3119</v>
      </c>
      <c r="H33" s="2171" t="s">
        <v>2283</v>
      </c>
      <c r="I33" s="2172" t="s">
        <v>2284</v>
      </c>
      <c r="J33" s="2171" t="s">
        <v>3182</v>
      </c>
      <c r="K33" s="2171">
        <v>30</v>
      </c>
      <c r="L33" s="2174">
        <v>-31</v>
      </c>
      <c r="M33" s="2198">
        <v>0</v>
      </c>
      <c r="N33" s="2118">
        <v>11858300</v>
      </c>
      <c r="O33" s="2199">
        <v>17929472</v>
      </c>
      <c r="P33" s="2120">
        <v>12000000</v>
      </c>
      <c r="Q33" s="2118">
        <v>12800000</v>
      </c>
      <c r="R33" s="2121"/>
    </row>
    <row r="34" spans="1:18" ht="11.25" customHeight="1" x14ac:dyDescent="0.25">
      <c r="A34" s="2176" t="s">
        <v>3118</v>
      </c>
      <c r="B34" s="1537" t="s">
        <v>3183</v>
      </c>
      <c r="C34" s="2004" t="s">
        <v>3184</v>
      </c>
      <c r="D34" s="2004" t="s">
        <v>3108</v>
      </c>
      <c r="E34" s="2171" t="s">
        <v>2503</v>
      </c>
      <c r="F34" s="2171" t="s">
        <v>2489</v>
      </c>
      <c r="G34" s="2004" t="s">
        <v>3133</v>
      </c>
      <c r="H34" s="2171" t="s">
        <v>2283</v>
      </c>
      <c r="I34" s="2172" t="s">
        <v>2284</v>
      </c>
      <c r="J34" s="2171" t="s">
        <v>3138</v>
      </c>
      <c r="K34" s="2171">
        <v>31</v>
      </c>
      <c r="L34" s="2174">
        <v>-30</v>
      </c>
      <c r="M34" s="2198">
        <v>0</v>
      </c>
      <c r="N34" s="2118">
        <v>0</v>
      </c>
      <c r="O34" s="2199">
        <v>2994356</v>
      </c>
      <c r="P34" s="2120">
        <v>0</v>
      </c>
      <c r="Q34" s="2118">
        <v>0</v>
      </c>
      <c r="R34" s="2121"/>
    </row>
    <row r="35" spans="1:18" ht="11.25" customHeight="1" x14ac:dyDescent="0.25">
      <c r="A35" s="2176" t="s">
        <v>3118</v>
      </c>
      <c r="B35" s="1537" t="s">
        <v>3183</v>
      </c>
      <c r="C35" s="2004" t="s">
        <v>3185</v>
      </c>
      <c r="D35" s="2004" t="s">
        <v>3108</v>
      </c>
      <c r="E35" s="2171" t="s">
        <v>2503</v>
      </c>
      <c r="F35" s="2171" t="s">
        <v>2489</v>
      </c>
      <c r="G35" s="2004" t="s">
        <v>3133</v>
      </c>
      <c r="H35" s="2171" t="s">
        <v>2283</v>
      </c>
      <c r="I35" s="2172" t="s">
        <v>2284</v>
      </c>
      <c r="J35" s="2171" t="s">
        <v>3138</v>
      </c>
      <c r="K35" s="2171">
        <v>31</v>
      </c>
      <c r="L35" s="2174">
        <v>-30</v>
      </c>
      <c r="M35" s="2198">
        <v>0</v>
      </c>
      <c r="N35" s="2118">
        <v>0</v>
      </c>
      <c r="O35" s="2199">
        <v>20530340</v>
      </c>
      <c r="P35" s="2120">
        <v>0</v>
      </c>
      <c r="Q35" s="2118">
        <v>0</v>
      </c>
      <c r="R35" s="2121"/>
    </row>
    <row r="36" spans="1:18" ht="11.25" customHeight="1" x14ac:dyDescent="0.25">
      <c r="A36" s="2176" t="s">
        <v>3122</v>
      </c>
      <c r="B36" s="1537" t="s">
        <v>3186</v>
      </c>
      <c r="C36" s="2004" t="s">
        <v>3187</v>
      </c>
      <c r="D36" s="2004" t="s">
        <v>3108</v>
      </c>
      <c r="E36" s="2171" t="s">
        <v>2493</v>
      </c>
      <c r="F36" s="2171" t="s">
        <v>2489</v>
      </c>
      <c r="G36" s="2004" t="s">
        <v>3121</v>
      </c>
      <c r="H36" s="2171" t="s">
        <v>2301</v>
      </c>
      <c r="I36" s="2172" t="s">
        <v>2303</v>
      </c>
      <c r="J36" s="2171" t="s">
        <v>3182</v>
      </c>
      <c r="K36" s="2171">
        <v>30.573999404907227</v>
      </c>
      <c r="L36" s="2174">
        <v>29.996400833129883</v>
      </c>
      <c r="M36" s="2198">
        <v>0</v>
      </c>
      <c r="N36" s="2118">
        <v>16000000</v>
      </c>
      <c r="O36" s="2199">
        <v>0</v>
      </c>
      <c r="P36" s="2120">
        <v>0</v>
      </c>
      <c r="Q36" s="2118">
        <v>0</v>
      </c>
      <c r="R36" s="2121"/>
    </row>
    <row r="37" spans="1:18" ht="11.25" customHeight="1" x14ac:dyDescent="0.25">
      <c r="A37" s="2176" t="s">
        <v>3122</v>
      </c>
      <c r="B37" s="1537" t="s">
        <v>3188</v>
      </c>
      <c r="C37" s="2004" t="s">
        <v>3189</v>
      </c>
      <c r="D37" s="2004" t="s">
        <v>3108</v>
      </c>
      <c r="E37" s="2171" t="s">
        <v>2493</v>
      </c>
      <c r="F37" s="2171" t="s">
        <v>2488</v>
      </c>
      <c r="G37" s="2004" t="s">
        <v>3121</v>
      </c>
      <c r="H37" s="2171" t="s">
        <v>2301</v>
      </c>
      <c r="I37" s="2172" t="s">
        <v>2303</v>
      </c>
      <c r="J37" s="2171" t="s">
        <v>3144</v>
      </c>
      <c r="K37" s="2171">
        <v>0</v>
      </c>
      <c r="L37" s="2174">
        <v>0</v>
      </c>
      <c r="M37" s="2198">
        <v>0</v>
      </c>
      <c r="N37" s="2118">
        <v>10322000</v>
      </c>
      <c r="O37" s="2199">
        <v>0</v>
      </c>
      <c r="P37" s="2120">
        <v>0</v>
      </c>
      <c r="Q37" s="2118">
        <v>0</v>
      </c>
      <c r="R37" s="2121"/>
    </row>
    <row r="38" spans="1:18" ht="11.25" customHeight="1" x14ac:dyDescent="0.25">
      <c r="A38" s="2176" t="s">
        <v>3190</v>
      </c>
      <c r="B38" s="1537" t="s">
        <v>3191</v>
      </c>
      <c r="C38" s="2004" t="s">
        <v>3192</v>
      </c>
      <c r="D38" s="2004" t="s">
        <v>3108</v>
      </c>
      <c r="E38" s="2171" t="s">
        <v>2503</v>
      </c>
      <c r="F38" s="2171" t="s">
        <v>2489</v>
      </c>
      <c r="G38" s="2004" t="s">
        <v>3121</v>
      </c>
      <c r="H38" s="2171" t="s">
        <v>2283</v>
      </c>
      <c r="I38" s="2172" t="s">
        <v>2284</v>
      </c>
      <c r="J38" s="2171" t="s">
        <v>3131</v>
      </c>
      <c r="K38" s="2171">
        <v>31</v>
      </c>
      <c r="L38" s="2174">
        <v>-30</v>
      </c>
      <c r="M38" s="2198">
        <v>0</v>
      </c>
      <c r="N38" s="2118">
        <v>0</v>
      </c>
      <c r="O38" s="2199">
        <v>4056656</v>
      </c>
      <c r="P38" s="2120">
        <v>0</v>
      </c>
      <c r="Q38" s="2118">
        <v>0</v>
      </c>
      <c r="R38" s="2121"/>
    </row>
    <row r="39" spans="1:18" ht="11.25" customHeight="1" x14ac:dyDescent="0.25">
      <c r="A39" s="2176" t="s">
        <v>3190</v>
      </c>
      <c r="B39" s="1537" t="s">
        <v>3193</v>
      </c>
      <c r="C39" s="2004" t="s">
        <v>3194</v>
      </c>
      <c r="D39" s="2004" t="s">
        <v>3108</v>
      </c>
      <c r="E39" s="2171" t="s">
        <v>2492</v>
      </c>
      <c r="F39" s="2171" t="s">
        <v>2489</v>
      </c>
      <c r="G39" s="2004" t="s">
        <v>3133</v>
      </c>
      <c r="H39" s="2171" t="s">
        <v>2283</v>
      </c>
      <c r="I39" s="2172" t="s">
        <v>2286</v>
      </c>
      <c r="J39" s="2171" t="s">
        <v>3144</v>
      </c>
      <c r="K39" s="2171">
        <v>31</v>
      </c>
      <c r="L39" s="2174">
        <v>-30</v>
      </c>
      <c r="M39" s="2198">
        <v>6066270.5599999996</v>
      </c>
      <c r="N39" s="2118">
        <v>0</v>
      </c>
      <c r="O39" s="2199">
        <v>3077032</v>
      </c>
      <c r="P39" s="2120">
        <v>0</v>
      </c>
      <c r="Q39" s="2118">
        <v>0</v>
      </c>
      <c r="R39" s="2121"/>
    </row>
    <row r="40" spans="1:18" ht="11.25" customHeight="1" x14ac:dyDescent="0.25">
      <c r="A40" s="2176" t="s">
        <v>3125</v>
      </c>
      <c r="B40" s="1537" t="s">
        <v>3195</v>
      </c>
      <c r="C40" s="2004" t="s">
        <v>3196</v>
      </c>
      <c r="D40" s="2004" t="s">
        <v>3108</v>
      </c>
      <c r="E40" s="2171" t="s">
        <v>2497</v>
      </c>
      <c r="F40" s="2171" t="s">
        <v>2488</v>
      </c>
      <c r="G40" s="2004" t="s">
        <v>3127</v>
      </c>
      <c r="H40" s="2171" t="s">
        <v>2230</v>
      </c>
      <c r="I40" s="2172" t="s">
        <v>629</v>
      </c>
      <c r="J40" s="2171" t="s">
        <v>3111</v>
      </c>
      <c r="K40" s="2171">
        <v>30</v>
      </c>
      <c r="L40" s="2174">
        <v>-29</v>
      </c>
      <c r="M40" s="2198">
        <v>0</v>
      </c>
      <c r="N40" s="2118">
        <v>-126484000</v>
      </c>
      <c r="O40" s="2199">
        <v>-175049952</v>
      </c>
      <c r="P40" s="2120">
        <v>-71484000</v>
      </c>
      <c r="Q40" s="2118">
        <v>-73576000</v>
      </c>
      <c r="R40" s="2121"/>
    </row>
    <row r="41" spans="1:18" ht="11.25" customHeight="1" x14ac:dyDescent="0.25">
      <c r="A41" s="2176" t="s">
        <v>3125</v>
      </c>
      <c r="B41" s="1537" t="s">
        <v>3197</v>
      </c>
      <c r="C41" s="2004" t="s">
        <v>3167</v>
      </c>
      <c r="D41" s="2004" t="s">
        <v>3108</v>
      </c>
      <c r="E41" s="2171" t="s">
        <v>2503</v>
      </c>
      <c r="F41" s="2171" t="s">
        <v>2489</v>
      </c>
      <c r="G41" s="2004" t="s">
        <v>3109</v>
      </c>
      <c r="H41" s="2171" t="s">
        <v>2309</v>
      </c>
      <c r="I41" s="2172" t="s">
        <v>2310</v>
      </c>
      <c r="J41" s="2171" t="s">
        <v>3110</v>
      </c>
      <c r="K41" s="2171">
        <v>31</v>
      </c>
      <c r="L41" s="2174">
        <v>-30</v>
      </c>
      <c r="M41" s="2198">
        <v>2833648.8</v>
      </c>
      <c r="N41" s="2118">
        <v>0</v>
      </c>
      <c r="O41" s="2199">
        <v>9131706</v>
      </c>
      <c r="P41" s="2120">
        <v>0</v>
      </c>
      <c r="Q41" s="2118">
        <v>0</v>
      </c>
      <c r="R41" s="2121"/>
    </row>
    <row r="42" spans="1:18" ht="11.25" customHeight="1" x14ac:dyDescent="0.25">
      <c r="A42" s="2176" t="s">
        <v>3129</v>
      </c>
      <c r="B42" s="1537" t="s">
        <v>3186</v>
      </c>
      <c r="C42" s="2004" t="s">
        <v>3187</v>
      </c>
      <c r="D42" s="2004" t="s">
        <v>3108</v>
      </c>
      <c r="E42" s="2171" t="s">
        <v>2493</v>
      </c>
      <c r="F42" s="2171" t="s">
        <v>2489</v>
      </c>
      <c r="G42" s="2004" t="s">
        <v>3121</v>
      </c>
      <c r="H42" s="2171" t="s">
        <v>2301</v>
      </c>
      <c r="I42" s="2172" t="s">
        <v>2303</v>
      </c>
      <c r="J42" s="2171" t="s">
        <v>3182</v>
      </c>
      <c r="K42" s="2171">
        <v>30.573999404907227</v>
      </c>
      <c r="L42" s="2174">
        <v>29.996400833129883</v>
      </c>
      <c r="M42" s="2198">
        <v>0</v>
      </c>
      <c r="N42" s="2118">
        <v>16000000</v>
      </c>
      <c r="O42" s="2199">
        <v>0</v>
      </c>
      <c r="P42" s="2120">
        <v>0</v>
      </c>
      <c r="Q42" s="2118">
        <v>0</v>
      </c>
      <c r="R42" s="2121"/>
    </row>
    <row r="43" spans="1:18" ht="11.25" customHeight="1" x14ac:dyDescent="0.25">
      <c r="A43" s="2176" t="s">
        <v>3129</v>
      </c>
      <c r="B43" s="1537" t="s">
        <v>3175</v>
      </c>
      <c r="C43" s="2004" t="s">
        <v>3176</v>
      </c>
      <c r="D43" s="2004" t="s">
        <v>3108</v>
      </c>
      <c r="E43" s="2171" t="s">
        <v>2503</v>
      </c>
      <c r="F43" s="2171" t="s">
        <v>2489</v>
      </c>
      <c r="G43" s="2004" t="s">
        <v>3119</v>
      </c>
      <c r="H43" s="2171" t="s">
        <v>2283</v>
      </c>
      <c r="I43" s="2172" t="s">
        <v>2284</v>
      </c>
      <c r="J43" s="2171" t="s">
        <v>3138</v>
      </c>
      <c r="K43" s="2171">
        <v>31</v>
      </c>
      <c r="L43" s="2174">
        <v>-30</v>
      </c>
      <c r="M43" s="2198">
        <v>21558628.359999999</v>
      </c>
      <c r="N43" s="2118">
        <v>0</v>
      </c>
      <c r="O43" s="2199">
        <v>6117572</v>
      </c>
      <c r="P43" s="2120">
        <v>0</v>
      </c>
      <c r="Q43" s="2118">
        <v>0</v>
      </c>
      <c r="R43" s="2121"/>
    </row>
    <row r="44" spans="1:18" ht="11.25" customHeight="1" x14ac:dyDescent="0.25">
      <c r="A44" s="2176" t="s">
        <v>3129</v>
      </c>
      <c r="B44" s="1537" t="s">
        <v>3177</v>
      </c>
      <c r="C44" s="2004" t="s">
        <v>3178</v>
      </c>
      <c r="D44" s="2004" t="s">
        <v>3108</v>
      </c>
      <c r="E44" s="2171" t="s">
        <v>2503</v>
      </c>
      <c r="F44" s="2171" t="s">
        <v>2489</v>
      </c>
      <c r="G44" s="2004" t="s">
        <v>3119</v>
      </c>
      <c r="H44" s="2171" t="s">
        <v>2283</v>
      </c>
      <c r="I44" s="2172" t="s">
        <v>2284</v>
      </c>
      <c r="J44" s="2171" t="s">
        <v>3179</v>
      </c>
      <c r="K44" s="2171">
        <v>31</v>
      </c>
      <c r="L44" s="2174">
        <v>-30</v>
      </c>
      <c r="M44" s="2198">
        <v>16463230.640000001</v>
      </c>
      <c r="N44" s="2118">
        <v>0</v>
      </c>
      <c r="O44" s="2199">
        <v>0</v>
      </c>
      <c r="P44" s="2120">
        <v>0</v>
      </c>
      <c r="Q44" s="2118">
        <v>0</v>
      </c>
      <c r="R44" s="2121"/>
    </row>
    <row r="45" spans="1:18" ht="11.25" customHeight="1" x14ac:dyDescent="0.25">
      <c r="A45" s="2176" t="s">
        <v>3129</v>
      </c>
      <c r="B45" s="1537" t="s">
        <v>3183</v>
      </c>
      <c r="C45" s="2004" t="s">
        <v>3184</v>
      </c>
      <c r="D45" s="2004" t="s">
        <v>3108</v>
      </c>
      <c r="E45" s="2171" t="s">
        <v>2503</v>
      </c>
      <c r="F45" s="2171" t="s">
        <v>2489</v>
      </c>
      <c r="G45" s="2004" t="s">
        <v>3133</v>
      </c>
      <c r="H45" s="2171" t="s">
        <v>2283</v>
      </c>
      <c r="I45" s="2172" t="s">
        <v>2284</v>
      </c>
      <c r="J45" s="2171" t="s">
        <v>3138</v>
      </c>
      <c r="K45" s="2171">
        <v>31</v>
      </c>
      <c r="L45" s="2174">
        <v>-30</v>
      </c>
      <c r="M45" s="2198">
        <v>0</v>
      </c>
      <c r="N45" s="2118">
        <v>0</v>
      </c>
      <c r="O45" s="2199">
        <v>4491534</v>
      </c>
      <c r="P45" s="2120">
        <v>0</v>
      </c>
      <c r="Q45" s="2118">
        <v>0</v>
      </c>
      <c r="R45" s="2121"/>
    </row>
    <row r="46" spans="1:18" ht="11.25" customHeight="1" x14ac:dyDescent="0.25">
      <c r="A46" s="2176" t="s">
        <v>3129</v>
      </c>
      <c r="B46" s="1537" t="s">
        <v>3183</v>
      </c>
      <c r="C46" s="2004" t="s">
        <v>3185</v>
      </c>
      <c r="D46" s="2004" t="s">
        <v>3108</v>
      </c>
      <c r="E46" s="2171" t="s">
        <v>2503</v>
      </c>
      <c r="F46" s="2171" t="s">
        <v>2489</v>
      </c>
      <c r="G46" s="2004" t="s">
        <v>3133</v>
      </c>
      <c r="H46" s="2171" t="s">
        <v>2283</v>
      </c>
      <c r="I46" s="2172" t="s">
        <v>2284</v>
      </c>
      <c r="J46" s="2171" t="s">
        <v>3138</v>
      </c>
      <c r="K46" s="2171">
        <v>31</v>
      </c>
      <c r="L46" s="2174">
        <v>-30</v>
      </c>
      <c r="M46" s="2198">
        <v>0</v>
      </c>
      <c r="N46" s="2118">
        <v>0</v>
      </c>
      <c r="O46" s="2199">
        <v>20530340</v>
      </c>
      <c r="P46" s="2120">
        <v>0</v>
      </c>
      <c r="Q46" s="2118">
        <v>0</v>
      </c>
      <c r="R46" s="2121"/>
    </row>
    <row r="47" spans="1:18" ht="11.25" customHeight="1" x14ac:dyDescent="0.25">
      <c r="A47" s="2176" t="s">
        <v>3129</v>
      </c>
      <c r="B47" s="1537" t="s">
        <v>3198</v>
      </c>
      <c r="C47" s="2004"/>
      <c r="D47" s="2004" t="s">
        <v>3108</v>
      </c>
      <c r="E47" s="2171"/>
      <c r="F47" s="2171"/>
      <c r="G47" s="2004" t="s">
        <v>3121</v>
      </c>
      <c r="H47" s="2171"/>
      <c r="I47" s="2172"/>
      <c r="J47" s="2171" t="s">
        <v>3182</v>
      </c>
      <c r="K47" s="2171">
        <v>31</v>
      </c>
      <c r="L47" s="2174">
        <v>-30</v>
      </c>
      <c r="M47" s="2198">
        <v>-169960.3</v>
      </c>
      <c r="N47" s="2118">
        <v>0</v>
      </c>
      <c r="O47" s="2199">
        <v>0</v>
      </c>
      <c r="P47" s="2120">
        <v>0</v>
      </c>
      <c r="Q47" s="2118">
        <v>0</v>
      </c>
      <c r="R47" s="2121"/>
    </row>
    <row r="48" spans="1:18" ht="11.25" customHeight="1" x14ac:dyDescent="0.25">
      <c r="A48" s="2176" t="s">
        <v>3129</v>
      </c>
      <c r="B48" s="1537" t="s">
        <v>3198</v>
      </c>
      <c r="C48" s="2004" t="s">
        <v>3199</v>
      </c>
      <c r="D48" s="2004" t="s">
        <v>3108</v>
      </c>
      <c r="E48" s="2171" t="s">
        <v>2503</v>
      </c>
      <c r="F48" s="2171" t="s">
        <v>2489</v>
      </c>
      <c r="G48" s="2004" t="s">
        <v>3121</v>
      </c>
      <c r="H48" s="2171" t="s">
        <v>2283</v>
      </c>
      <c r="I48" s="2172" t="s">
        <v>2284</v>
      </c>
      <c r="J48" s="2171" t="s">
        <v>3111</v>
      </c>
      <c r="K48" s="2171">
        <v>31</v>
      </c>
      <c r="L48" s="2174">
        <v>-30</v>
      </c>
      <c r="M48" s="2198">
        <v>-1359682.4000000001</v>
      </c>
      <c r="N48" s="2118">
        <v>0</v>
      </c>
      <c r="O48" s="2199">
        <v>0</v>
      </c>
      <c r="P48" s="2120">
        <v>0</v>
      </c>
      <c r="Q48" s="2118">
        <v>0</v>
      </c>
      <c r="R48" s="2121"/>
    </row>
    <row r="49" spans="1:18" ht="11.25" customHeight="1" x14ac:dyDescent="0.25">
      <c r="A49" s="2176" t="s">
        <v>3129</v>
      </c>
      <c r="B49" s="1537" t="s">
        <v>3159</v>
      </c>
      <c r="C49" s="2004" t="s">
        <v>3160</v>
      </c>
      <c r="D49" s="2004" t="s">
        <v>3108</v>
      </c>
      <c r="E49" s="2171" t="s">
        <v>2503</v>
      </c>
      <c r="F49" s="2171" t="s">
        <v>2489</v>
      </c>
      <c r="G49" s="2004" t="s">
        <v>3119</v>
      </c>
      <c r="H49" s="2171" t="s">
        <v>2333</v>
      </c>
      <c r="I49" s="2172" t="s">
        <v>2333</v>
      </c>
      <c r="J49" s="2171" t="s">
        <v>3110</v>
      </c>
      <c r="K49" s="2171">
        <v>-29.727584838867188</v>
      </c>
      <c r="L49" s="2174">
        <v>30.539083480834961</v>
      </c>
      <c r="M49" s="2198">
        <v>4943459.84</v>
      </c>
      <c r="N49" s="2118">
        <v>0</v>
      </c>
      <c r="O49" s="2199">
        <v>0</v>
      </c>
      <c r="P49" s="2120">
        <v>0</v>
      </c>
      <c r="Q49" s="2118">
        <v>0</v>
      </c>
      <c r="R49" s="2121"/>
    </row>
    <row r="50" spans="1:18" ht="11.25" customHeight="1" x14ac:dyDescent="0.25">
      <c r="A50" s="2176" t="s">
        <v>3132</v>
      </c>
      <c r="B50" s="1537" t="s">
        <v>3191</v>
      </c>
      <c r="C50" s="2004" t="s">
        <v>3192</v>
      </c>
      <c r="D50" s="2004" t="s">
        <v>3108</v>
      </c>
      <c r="E50" s="2171" t="s">
        <v>2503</v>
      </c>
      <c r="F50" s="2171" t="s">
        <v>2489</v>
      </c>
      <c r="G50" s="2004" t="s">
        <v>3121</v>
      </c>
      <c r="H50" s="2171" t="s">
        <v>2283</v>
      </c>
      <c r="I50" s="2172" t="s">
        <v>2284</v>
      </c>
      <c r="J50" s="2171" t="s">
        <v>3131</v>
      </c>
      <c r="K50" s="2171">
        <v>31</v>
      </c>
      <c r="L50" s="2174">
        <v>-30</v>
      </c>
      <c r="M50" s="2198">
        <v>0</v>
      </c>
      <c r="N50" s="2118">
        <v>0</v>
      </c>
      <c r="O50" s="2199">
        <v>1014164</v>
      </c>
      <c r="P50" s="2120">
        <v>0</v>
      </c>
      <c r="Q50" s="2118">
        <v>0</v>
      </c>
      <c r="R50" s="2121"/>
    </row>
    <row r="51" spans="1:18" ht="11.25" customHeight="1" x14ac:dyDescent="0.25">
      <c r="A51" s="2176" t="s">
        <v>3132</v>
      </c>
      <c r="B51" s="1537" t="s">
        <v>3193</v>
      </c>
      <c r="C51" s="2004" t="s">
        <v>3194</v>
      </c>
      <c r="D51" s="2004" t="s">
        <v>3108</v>
      </c>
      <c r="E51" s="2171" t="s">
        <v>2492</v>
      </c>
      <c r="F51" s="2171" t="s">
        <v>2489</v>
      </c>
      <c r="G51" s="2004" t="s">
        <v>3133</v>
      </c>
      <c r="H51" s="2171" t="s">
        <v>2283</v>
      </c>
      <c r="I51" s="2172" t="s">
        <v>2286</v>
      </c>
      <c r="J51" s="2171" t="s">
        <v>3144</v>
      </c>
      <c r="K51" s="2171">
        <v>31</v>
      </c>
      <c r="L51" s="2174">
        <v>-30</v>
      </c>
      <c r="M51" s="2198">
        <v>18198811.68</v>
      </c>
      <c r="N51" s="2118">
        <v>0</v>
      </c>
      <c r="O51" s="2199">
        <v>12308128</v>
      </c>
      <c r="P51" s="2120">
        <v>0</v>
      </c>
      <c r="Q51" s="2118">
        <v>0</v>
      </c>
      <c r="R51" s="2121"/>
    </row>
    <row r="52" spans="1:18" ht="11.25" customHeight="1" x14ac:dyDescent="0.25">
      <c r="A52" s="2176" t="s">
        <v>3136</v>
      </c>
      <c r="B52" s="1537" t="s">
        <v>3200</v>
      </c>
      <c r="C52" s="2004" t="s">
        <v>3201</v>
      </c>
      <c r="D52" s="2004" t="s">
        <v>3108</v>
      </c>
      <c r="E52" s="2171" t="s">
        <v>2497</v>
      </c>
      <c r="F52" s="2171" t="s">
        <v>2489</v>
      </c>
      <c r="G52" s="2004" t="s">
        <v>3109</v>
      </c>
      <c r="H52" s="2171" t="s">
        <v>2230</v>
      </c>
      <c r="I52" s="2172" t="s">
        <v>629</v>
      </c>
      <c r="J52" s="2171" t="s">
        <v>3138</v>
      </c>
      <c r="K52" s="2171">
        <v>30</v>
      </c>
      <c r="L52" s="2174">
        <v>-31</v>
      </c>
      <c r="M52" s="2198">
        <v>0</v>
      </c>
      <c r="N52" s="2118">
        <v>0</v>
      </c>
      <c r="O52" s="2199">
        <v>10680388</v>
      </c>
      <c r="P52" s="2120">
        <v>0</v>
      </c>
      <c r="Q52" s="2118">
        <v>0</v>
      </c>
      <c r="R52" s="2121"/>
    </row>
    <row r="53" spans="1:18" ht="11.25" customHeight="1" x14ac:dyDescent="0.25">
      <c r="A53" s="2176" t="s">
        <v>3136</v>
      </c>
      <c r="B53" s="1537" t="s">
        <v>3202</v>
      </c>
      <c r="C53" s="2004" t="s">
        <v>3203</v>
      </c>
      <c r="D53" s="2004" t="s">
        <v>3108</v>
      </c>
      <c r="E53" s="2171" t="s">
        <v>2497</v>
      </c>
      <c r="F53" s="2171" t="s">
        <v>2489</v>
      </c>
      <c r="G53" s="2004" t="s">
        <v>3119</v>
      </c>
      <c r="H53" s="2171" t="s">
        <v>2230</v>
      </c>
      <c r="I53" s="2172" t="s">
        <v>629</v>
      </c>
      <c r="J53" s="2171" t="s">
        <v>3182</v>
      </c>
      <c r="K53" s="2171">
        <v>-31</v>
      </c>
      <c r="L53" s="2174">
        <v>30</v>
      </c>
      <c r="M53" s="2198">
        <v>15586154.159999998</v>
      </c>
      <c r="N53" s="2118">
        <v>-23611896</v>
      </c>
      <c r="O53" s="2199">
        <v>37139400</v>
      </c>
      <c r="P53" s="2120">
        <v>-24998160</v>
      </c>
      <c r="Q53" s="2118">
        <v>-27497976</v>
      </c>
      <c r="R53" s="2121"/>
    </row>
    <row r="54" spans="1:18" ht="11.25" customHeight="1" x14ac:dyDescent="0.25">
      <c r="A54" s="2176" t="s">
        <v>3136</v>
      </c>
      <c r="B54" s="1537" t="s">
        <v>3204</v>
      </c>
      <c r="C54" s="2004" t="s">
        <v>3205</v>
      </c>
      <c r="D54" s="2004" t="s">
        <v>3108</v>
      </c>
      <c r="E54" s="2171" t="s">
        <v>2497</v>
      </c>
      <c r="F54" s="2171" t="s">
        <v>2489</v>
      </c>
      <c r="G54" s="2004" t="s">
        <v>3206</v>
      </c>
      <c r="H54" s="2171" t="s">
        <v>2230</v>
      </c>
      <c r="I54" s="2172" t="s">
        <v>629</v>
      </c>
      <c r="J54" s="2171" t="s">
        <v>3179</v>
      </c>
      <c r="K54" s="2171">
        <v>0</v>
      </c>
      <c r="L54" s="2174">
        <v>0</v>
      </c>
      <c r="M54" s="2198">
        <v>0</v>
      </c>
      <c r="N54" s="2118">
        <v>16000000</v>
      </c>
      <c r="O54" s="2199">
        <v>0</v>
      </c>
      <c r="P54" s="2120">
        <v>0</v>
      </c>
      <c r="Q54" s="2118">
        <v>0</v>
      </c>
      <c r="R54" s="2121"/>
    </row>
    <row r="55" spans="1:18" ht="11.25" customHeight="1" x14ac:dyDescent="0.25">
      <c r="A55" s="2176" t="s">
        <v>3136</v>
      </c>
      <c r="B55" s="1537" t="s">
        <v>3207</v>
      </c>
      <c r="C55" s="2004" t="s">
        <v>3208</v>
      </c>
      <c r="D55" s="2004" t="s">
        <v>3108</v>
      </c>
      <c r="E55" s="2171" t="s">
        <v>2497</v>
      </c>
      <c r="F55" s="2171" t="s">
        <v>2488</v>
      </c>
      <c r="G55" s="2004" t="s">
        <v>3119</v>
      </c>
      <c r="H55" s="2171" t="s">
        <v>2230</v>
      </c>
      <c r="I55" s="2172" t="s">
        <v>629</v>
      </c>
      <c r="J55" s="2171" t="s">
        <v>3209</v>
      </c>
      <c r="K55" s="2171">
        <v>31</v>
      </c>
      <c r="L55" s="2174">
        <v>-30</v>
      </c>
      <c r="M55" s="2198">
        <v>10</v>
      </c>
      <c r="N55" s="2118">
        <v>0</v>
      </c>
      <c r="O55" s="2199">
        <v>0</v>
      </c>
      <c r="P55" s="2120">
        <v>0</v>
      </c>
      <c r="Q55" s="2118">
        <v>0</v>
      </c>
      <c r="R55" s="2121"/>
    </row>
    <row r="56" spans="1:18" ht="11.25" customHeight="1" x14ac:dyDescent="0.25">
      <c r="A56" s="2176" t="s">
        <v>3136</v>
      </c>
      <c r="B56" s="1537" t="s">
        <v>3210</v>
      </c>
      <c r="C56" s="2004" t="s">
        <v>3211</v>
      </c>
      <c r="D56" s="2004" t="s">
        <v>3108</v>
      </c>
      <c r="E56" s="2171" t="s">
        <v>2497</v>
      </c>
      <c r="F56" s="2171" t="s">
        <v>2488</v>
      </c>
      <c r="G56" s="2004" t="s">
        <v>3119</v>
      </c>
      <c r="H56" s="2171" t="s">
        <v>2230</v>
      </c>
      <c r="I56" s="2172" t="s">
        <v>629</v>
      </c>
      <c r="J56" s="2171" t="s">
        <v>3138</v>
      </c>
      <c r="K56" s="2171">
        <v>31</v>
      </c>
      <c r="L56" s="2174">
        <v>-30</v>
      </c>
      <c r="M56" s="2198">
        <v>-0.19999999999999998</v>
      </c>
      <c r="N56" s="2118">
        <v>0</v>
      </c>
      <c r="O56" s="2199">
        <v>0</v>
      </c>
      <c r="P56" s="2120">
        <v>0</v>
      </c>
      <c r="Q56" s="2118">
        <v>0</v>
      </c>
      <c r="R56" s="2121"/>
    </row>
    <row r="57" spans="1:18" ht="11.25" customHeight="1" x14ac:dyDescent="0.25">
      <c r="A57" s="2176" t="s">
        <v>3136</v>
      </c>
      <c r="B57" s="1537" t="s">
        <v>3212</v>
      </c>
      <c r="C57" s="2004" t="s">
        <v>3213</v>
      </c>
      <c r="D57" s="2004" t="s">
        <v>3108</v>
      </c>
      <c r="E57" s="2171" t="s">
        <v>2497</v>
      </c>
      <c r="F57" s="2171" t="s">
        <v>2488</v>
      </c>
      <c r="G57" s="2004" t="s">
        <v>3119</v>
      </c>
      <c r="H57" s="2171" t="s">
        <v>2230</v>
      </c>
      <c r="I57" s="2172" t="s">
        <v>629</v>
      </c>
      <c r="J57" s="2171" t="s">
        <v>3209</v>
      </c>
      <c r="K57" s="2171">
        <v>31</v>
      </c>
      <c r="L57" s="2174">
        <v>-30</v>
      </c>
      <c r="M57" s="2198">
        <v>9.9999999999999992E-2</v>
      </c>
      <c r="N57" s="2118">
        <v>0</v>
      </c>
      <c r="O57" s="2199">
        <v>0</v>
      </c>
      <c r="P57" s="2120">
        <v>0</v>
      </c>
      <c r="Q57" s="2118">
        <v>0</v>
      </c>
      <c r="R57" s="2121"/>
    </row>
    <row r="58" spans="1:18" ht="11.25" customHeight="1" x14ac:dyDescent="0.25">
      <c r="A58" s="2176" t="s">
        <v>3136</v>
      </c>
      <c r="B58" s="1537" t="s">
        <v>3214</v>
      </c>
      <c r="C58" s="2004" t="s">
        <v>3215</v>
      </c>
      <c r="D58" s="2004" t="s">
        <v>3108</v>
      </c>
      <c r="E58" s="2171" t="s">
        <v>2503</v>
      </c>
      <c r="F58" s="2171" t="s">
        <v>2489</v>
      </c>
      <c r="G58" s="2004" t="s">
        <v>3135</v>
      </c>
      <c r="H58" s="2171" t="s">
        <v>2335</v>
      </c>
      <c r="I58" s="2172" t="s">
        <v>2335</v>
      </c>
      <c r="J58" s="2171" t="s">
        <v>3110</v>
      </c>
      <c r="K58" s="2171">
        <v>31</v>
      </c>
      <c r="L58" s="2174">
        <v>-30</v>
      </c>
      <c r="M58" s="2198">
        <v>3867358.02</v>
      </c>
      <c r="N58" s="2118">
        <v>1600000</v>
      </c>
      <c r="O58" s="2199">
        <v>0</v>
      </c>
      <c r="P58" s="2120">
        <v>0</v>
      </c>
      <c r="Q58" s="2118">
        <v>0</v>
      </c>
      <c r="R58" s="2121"/>
    </row>
    <row r="59" spans="1:18" ht="11.25" customHeight="1" x14ac:dyDescent="0.25">
      <c r="A59" s="2176" t="s">
        <v>3136</v>
      </c>
      <c r="B59" s="1537" t="s">
        <v>3214</v>
      </c>
      <c r="C59" s="2004" t="s">
        <v>3215</v>
      </c>
      <c r="D59" s="2004" t="s">
        <v>3108</v>
      </c>
      <c r="E59" s="2171" t="s">
        <v>2503</v>
      </c>
      <c r="F59" s="2171" t="s">
        <v>2489</v>
      </c>
      <c r="G59" s="2004" t="s">
        <v>3135</v>
      </c>
      <c r="H59" s="2171" t="s">
        <v>2335</v>
      </c>
      <c r="I59" s="2172" t="s">
        <v>2335</v>
      </c>
      <c r="J59" s="2171" t="s">
        <v>3111</v>
      </c>
      <c r="K59" s="2171">
        <v>31</v>
      </c>
      <c r="L59" s="2174">
        <v>-30</v>
      </c>
      <c r="M59" s="2198">
        <v>15469432.08</v>
      </c>
      <c r="N59" s="2118">
        <v>6400000</v>
      </c>
      <c r="O59" s="2199">
        <v>0</v>
      </c>
      <c r="P59" s="2120">
        <v>0</v>
      </c>
      <c r="Q59" s="2118">
        <v>0</v>
      </c>
      <c r="R59" s="2121"/>
    </row>
    <row r="60" spans="1:18" ht="11.25" customHeight="1" x14ac:dyDescent="0.25">
      <c r="A60" s="2176" t="s">
        <v>3136</v>
      </c>
      <c r="B60" s="1537" t="s">
        <v>3216</v>
      </c>
      <c r="C60" s="2004" t="s">
        <v>3217</v>
      </c>
      <c r="D60" s="2004" t="s">
        <v>3108</v>
      </c>
      <c r="E60" s="2171" t="s">
        <v>2503</v>
      </c>
      <c r="F60" s="2171" t="s">
        <v>2490</v>
      </c>
      <c r="G60" s="2004" t="s">
        <v>3143</v>
      </c>
      <c r="H60" s="2171" t="s">
        <v>2309</v>
      </c>
      <c r="I60" s="2172" t="s">
        <v>2314</v>
      </c>
      <c r="J60" s="2171" t="s">
        <v>3110</v>
      </c>
      <c r="K60" s="2171">
        <v>31</v>
      </c>
      <c r="L60" s="2174">
        <v>-30</v>
      </c>
      <c r="M60" s="2198">
        <v>0</v>
      </c>
      <c r="N60" s="2118">
        <v>0</v>
      </c>
      <c r="O60" s="2199">
        <v>5500000</v>
      </c>
      <c r="P60" s="2120">
        <v>0</v>
      </c>
      <c r="Q60" s="2118">
        <v>0</v>
      </c>
      <c r="R60" s="2121"/>
    </row>
    <row r="61" spans="1:18" ht="11.25" customHeight="1" x14ac:dyDescent="0.25">
      <c r="A61" s="2176" t="s">
        <v>3136</v>
      </c>
      <c r="B61" s="1537" t="s">
        <v>3218</v>
      </c>
      <c r="C61" s="2004" t="s">
        <v>3219</v>
      </c>
      <c r="D61" s="2004" t="s">
        <v>3108</v>
      </c>
      <c r="E61" s="2171" t="s">
        <v>2497</v>
      </c>
      <c r="F61" s="2171" t="s">
        <v>2489</v>
      </c>
      <c r="G61" s="2004" t="s">
        <v>3206</v>
      </c>
      <c r="H61" s="2171" t="s">
        <v>2230</v>
      </c>
      <c r="I61" s="2172" t="s">
        <v>2232</v>
      </c>
      <c r="J61" s="2171" t="s">
        <v>3138</v>
      </c>
      <c r="K61" s="2171">
        <v>0</v>
      </c>
      <c r="L61" s="2174">
        <v>0</v>
      </c>
      <c r="M61" s="2198">
        <v>0</v>
      </c>
      <c r="N61" s="2118">
        <v>23161700</v>
      </c>
      <c r="O61" s="2199">
        <v>0</v>
      </c>
      <c r="P61" s="2120">
        <v>0</v>
      </c>
      <c r="Q61" s="2118">
        <v>0</v>
      </c>
      <c r="R61" s="2121"/>
    </row>
    <row r="62" spans="1:18" ht="11.25" customHeight="1" x14ac:dyDescent="0.25">
      <c r="A62" s="2176" t="s">
        <v>3136</v>
      </c>
      <c r="B62" s="1537" t="s">
        <v>3220</v>
      </c>
      <c r="C62" s="2004" t="s">
        <v>3221</v>
      </c>
      <c r="D62" s="2004" t="s">
        <v>3108</v>
      </c>
      <c r="E62" s="2171" t="s">
        <v>2497</v>
      </c>
      <c r="F62" s="2171" t="s">
        <v>2489</v>
      </c>
      <c r="G62" s="2004" t="s">
        <v>3119</v>
      </c>
      <c r="H62" s="2171" t="s">
        <v>2230</v>
      </c>
      <c r="I62" s="2172" t="s">
        <v>629</v>
      </c>
      <c r="J62" s="2171" t="s">
        <v>3209</v>
      </c>
      <c r="K62" s="2171">
        <v>31</v>
      </c>
      <c r="L62" s="2174">
        <v>-30</v>
      </c>
      <c r="M62" s="2198">
        <v>0</v>
      </c>
      <c r="N62" s="2118">
        <v>62337064</v>
      </c>
      <c r="O62" s="2199">
        <v>13108472</v>
      </c>
      <c r="P62" s="2120">
        <v>67358940</v>
      </c>
      <c r="Q62" s="2118">
        <v>70053296</v>
      </c>
      <c r="R62" s="2121"/>
    </row>
    <row r="63" spans="1:18" ht="11.25" customHeight="1" x14ac:dyDescent="0.25">
      <c r="A63" s="1794" t="s">
        <v>3136</v>
      </c>
      <c r="B63" s="2173" t="s">
        <v>3222</v>
      </c>
      <c r="C63" s="1967" t="s">
        <v>3223</v>
      </c>
      <c r="D63" s="2004" t="s">
        <v>3108</v>
      </c>
      <c r="E63" s="2171" t="s">
        <v>2503</v>
      </c>
      <c r="F63" s="2171" t="s">
        <v>2489</v>
      </c>
      <c r="G63" s="1967" t="s">
        <v>3119</v>
      </c>
      <c r="H63" s="2171" t="s">
        <v>2283</v>
      </c>
      <c r="I63" s="2172" t="s">
        <v>2284</v>
      </c>
      <c r="J63" s="2171" t="s">
        <v>3209</v>
      </c>
      <c r="K63" s="2171">
        <v>30</v>
      </c>
      <c r="L63" s="2174">
        <v>-31</v>
      </c>
      <c r="M63" s="1613">
        <v>0</v>
      </c>
      <c r="N63" s="712">
        <v>0</v>
      </c>
      <c r="O63" s="715">
        <v>16565092</v>
      </c>
      <c r="P63" s="718">
        <v>0</v>
      </c>
      <c r="Q63" s="712">
        <v>0</v>
      </c>
      <c r="R63" s="717"/>
    </row>
    <row r="64" spans="1:18" ht="11.25" customHeight="1" x14ac:dyDescent="0.25">
      <c r="A64" s="1794" t="s">
        <v>3136</v>
      </c>
      <c r="B64" s="2173" t="s">
        <v>3224</v>
      </c>
      <c r="C64" s="1967" t="s">
        <v>3225</v>
      </c>
      <c r="D64" s="2004" t="s">
        <v>3108</v>
      </c>
      <c r="E64" s="2171" t="s">
        <v>2497</v>
      </c>
      <c r="F64" s="2171" t="s">
        <v>2489</v>
      </c>
      <c r="G64" s="1967" t="s">
        <v>3119</v>
      </c>
      <c r="H64" s="2171" t="s">
        <v>2230</v>
      </c>
      <c r="I64" s="2172" t="s">
        <v>629</v>
      </c>
      <c r="J64" s="2200" t="s">
        <v>3226</v>
      </c>
      <c r="K64" s="2200">
        <v>30</v>
      </c>
      <c r="L64" s="2201">
        <v>-30</v>
      </c>
      <c r="M64" s="1613">
        <v>0</v>
      </c>
      <c r="N64" s="712">
        <v>0</v>
      </c>
      <c r="O64" s="715">
        <v>13543052</v>
      </c>
      <c r="P64" s="718">
        <v>0</v>
      </c>
      <c r="Q64" s="712">
        <v>0</v>
      </c>
      <c r="R64" s="717"/>
    </row>
    <row r="65" spans="1:18" ht="11.25" customHeight="1" x14ac:dyDescent="0.25">
      <c r="A65" s="2176" t="s">
        <v>3136</v>
      </c>
      <c r="B65" s="2173" t="s">
        <v>3227</v>
      </c>
      <c r="C65" s="1967" t="s">
        <v>3228</v>
      </c>
      <c r="D65" s="2004" t="s">
        <v>3108</v>
      </c>
      <c r="E65" s="2171" t="s">
        <v>2497</v>
      </c>
      <c r="F65" s="2171" t="s">
        <v>2489</v>
      </c>
      <c r="G65" s="1967" t="s">
        <v>3229</v>
      </c>
      <c r="H65" s="2171" t="s">
        <v>2230</v>
      </c>
      <c r="I65" s="2172" t="s">
        <v>629</v>
      </c>
      <c r="J65" s="2171" t="s">
        <v>3138</v>
      </c>
      <c r="K65" s="2171">
        <v>30.538200378417969</v>
      </c>
      <c r="L65" s="2174">
        <v>-29.726800918579102</v>
      </c>
      <c r="M65" s="1613">
        <v>0</v>
      </c>
      <c r="N65" s="712">
        <v>0</v>
      </c>
      <c r="O65" s="715">
        <v>3646128</v>
      </c>
      <c r="P65" s="718">
        <v>0</v>
      </c>
      <c r="Q65" s="712">
        <v>0</v>
      </c>
      <c r="R65" s="717"/>
    </row>
    <row r="66" spans="1:18" ht="11.25" customHeight="1" x14ac:dyDescent="0.25">
      <c r="A66" s="1794" t="s">
        <v>3136</v>
      </c>
      <c r="B66" s="2173" t="s">
        <v>3230</v>
      </c>
      <c r="C66" s="1967" t="s">
        <v>3231</v>
      </c>
      <c r="D66" s="2004" t="s">
        <v>3108</v>
      </c>
      <c r="E66" s="2171" t="s">
        <v>2497</v>
      </c>
      <c r="F66" s="2171" t="s">
        <v>2489</v>
      </c>
      <c r="G66" s="1967" t="s">
        <v>3229</v>
      </c>
      <c r="H66" s="2171" t="s">
        <v>2230</v>
      </c>
      <c r="I66" s="2172" t="s">
        <v>629</v>
      </c>
      <c r="J66" s="2171" t="s">
        <v>3111</v>
      </c>
      <c r="K66" s="2171">
        <v>30.538200378417969</v>
      </c>
      <c r="L66" s="2174">
        <v>-29.726800918579102</v>
      </c>
      <c r="M66" s="1613">
        <v>0</v>
      </c>
      <c r="N66" s="712">
        <v>0</v>
      </c>
      <c r="O66" s="2202">
        <v>2983928</v>
      </c>
      <c r="P66" s="718">
        <v>0</v>
      </c>
      <c r="Q66" s="712">
        <v>0</v>
      </c>
      <c r="R66" s="717"/>
    </row>
    <row r="67" spans="1:18" ht="11.25" customHeight="1" x14ac:dyDescent="0.25">
      <c r="A67" s="1794" t="s">
        <v>3136</v>
      </c>
      <c r="B67" s="2173" t="s">
        <v>3232</v>
      </c>
      <c r="C67" s="1967" t="s">
        <v>3233</v>
      </c>
      <c r="D67" s="2004" t="s">
        <v>3108</v>
      </c>
      <c r="E67" s="2171" t="s">
        <v>2497</v>
      </c>
      <c r="F67" s="2171" t="s">
        <v>2489</v>
      </c>
      <c r="G67" s="1967" t="s">
        <v>3229</v>
      </c>
      <c r="H67" s="2171" t="s">
        <v>2230</v>
      </c>
      <c r="I67" s="2172" t="s">
        <v>629</v>
      </c>
      <c r="J67" s="2171" t="s">
        <v>3138</v>
      </c>
      <c r="K67" s="2171">
        <v>30.528999328613281</v>
      </c>
      <c r="L67" s="2174">
        <v>-29.729099273681641</v>
      </c>
      <c r="M67" s="1613">
        <v>0</v>
      </c>
      <c r="N67" s="712">
        <v>0</v>
      </c>
      <c r="O67" s="715">
        <v>3804928</v>
      </c>
      <c r="P67" s="718">
        <v>0</v>
      </c>
      <c r="Q67" s="712">
        <v>0</v>
      </c>
      <c r="R67" s="717"/>
    </row>
    <row r="68" spans="1:18" ht="11.25" customHeight="1" x14ac:dyDescent="0.25">
      <c r="A68" s="2203" t="s">
        <v>3136</v>
      </c>
      <c r="B68" s="2204" t="s">
        <v>3234</v>
      </c>
      <c r="C68" s="2205" t="s">
        <v>3235</v>
      </c>
      <c r="D68" s="2206" t="s">
        <v>3108</v>
      </c>
      <c r="E68" s="2207" t="s">
        <v>2497</v>
      </c>
      <c r="F68" s="2207" t="s">
        <v>2489</v>
      </c>
      <c r="G68" s="2205" t="s">
        <v>3229</v>
      </c>
      <c r="H68" s="2207" t="s">
        <v>2230</v>
      </c>
      <c r="I68" s="2207" t="s">
        <v>629</v>
      </c>
      <c r="J68" s="2207" t="s">
        <v>3138</v>
      </c>
      <c r="K68" s="2207">
        <v>30.528999328613281</v>
      </c>
      <c r="L68" s="2208">
        <v>-29.729099273681641</v>
      </c>
      <c r="M68" s="2209">
        <v>0</v>
      </c>
      <c r="N68" s="827">
        <v>0</v>
      </c>
      <c r="O68" s="2210">
        <v>3202728</v>
      </c>
      <c r="P68" s="953">
        <v>0</v>
      </c>
      <c r="Q68" s="827">
        <v>0</v>
      </c>
      <c r="R68" s="830"/>
    </row>
    <row r="69" spans="1:18" ht="11.25" customHeight="1" x14ac:dyDescent="0.25">
      <c r="A69" s="145" t="s">
        <v>3136</v>
      </c>
      <c r="B69" s="2211" t="s">
        <v>3236</v>
      </c>
      <c r="C69" s="1977" t="s">
        <v>3237</v>
      </c>
      <c r="D69" s="1977" t="s">
        <v>3108</v>
      </c>
      <c r="E69" s="1977" t="s">
        <v>2497</v>
      </c>
      <c r="F69" s="1977" t="s">
        <v>2489</v>
      </c>
      <c r="G69" s="1977" t="s">
        <v>3229</v>
      </c>
      <c r="H69" s="446" t="s">
        <v>2230</v>
      </c>
      <c r="I69" s="449" t="s">
        <v>629</v>
      </c>
      <c r="J69" s="446" t="s">
        <v>3138</v>
      </c>
      <c r="K69" s="446">
        <v>30.528999328613281</v>
      </c>
      <c r="L69" s="2212">
        <v>-29.729099273681641</v>
      </c>
      <c r="M69" s="1686">
        <v>0</v>
      </c>
      <c r="N69" s="71">
        <v>0</v>
      </c>
      <c r="O69" s="305">
        <v>3754700</v>
      </c>
      <c r="P69" s="73">
        <v>0</v>
      </c>
      <c r="Q69" s="71">
        <v>0</v>
      </c>
      <c r="R69" s="72"/>
    </row>
    <row r="70" spans="1:18" ht="11.25" customHeight="1" x14ac:dyDescent="0.25">
      <c r="A70" s="307" t="s">
        <v>3136</v>
      </c>
      <c r="B70" s="2211" t="s">
        <v>3238</v>
      </c>
      <c r="C70" s="1977" t="s">
        <v>3239</v>
      </c>
      <c r="D70" s="1977" t="s">
        <v>3108</v>
      </c>
      <c r="E70" s="1977" t="s">
        <v>2497</v>
      </c>
      <c r="F70" s="1977" t="s">
        <v>2489</v>
      </c>
      <c r="G70" s="1977" t="s">
        <v>3109</v>
      </c>
      <c r="H70" s="446" t="s">
        <v>2230</v>
      </c>
      <c r="I70" s="449" t="s">
        <v>629</v>
      </c>
      <c r="J70" s="446" t="s">
        <v>3138</v>
      </c>
      <c r="K70" s="446">
        <v>-36</v>
      </c>
      <c r="L70" s="2212">
        <v>30</v>
      </c>
      <c r="M70" s="1686">
        <v>0</v>
      </c>
      <c r="N70" s="71">
        <v>0</v>
      </c>
      <c r="O70" s="305">
        <v>8159000</v>
      </c>
      <c r="P70" s="73">
        <v>0</v>
      </c>
      <c r="Q70" s="71">
        <v>0</v>
      </c>
      <c r="R70" s="72"/>
    </row>
    <row r="71" spans="1:18" ht="6" customHeight="1" x14ac:dyDescent="0.25">
      <c r="A71" s="1994" t="s">
        <v>3136</v>
      </c>
      <c r="B71" s="2211" t="s">
        <v>3126</v>
      </c>
      <c r="C71" s="1977" t="s">
        <v>3203</v>
      </c>
      <c r="D71" s="1977" t="s">
        <v>3108</v>
      </c>
      <c r="E71" s="1977" t="s">
        <v>2497</v>
      </c>
      <c r="F71" s="1977" t="s">
        <v>2489</v>
      </c>
      <c r="G71" s="1977" t="s">
        <v>3127</v>
      </c>
      <c r="H71" s="446" t="s">
        <v>2230</v>
      </c>
      <c r="I71" s="449" t="s">
        <v>629</v>
      </c>
      <c r="J71" s="446" t="s">
        <v>3111</v>
      </c>
      <c r="K71" s="446">
        <v>31</v>
      </c>
      <c r="L71" s="2212">
        <v>-30</v>
      </c>
      <c r="M71" s="1686">
        <v>477365522.0999999</v>
      </c>
      <c r="N71" s="71">
        <v>0</v>
      </c>
      <c r="O71" s="305">
        <v>0</v>
      </c>
      <c r="P71" s="73">
        <v>0</v>
      </c>
      <c r="Q71" s="71">
        <v>0</v>
      </c>
      <c r="R71" s="72"/>
    </row>
    <row r="72" spans="1:18" ht="11.25" customHeight="1" x14ac:dyDescent="0.25">
      <c r="A72" s="2213" t="s">
        <v>3139</v>
      </c>
      <c r="B72" s="2173" t="s">
        <v>3240</v>
      </c>
      <c r="C72" s="1967" t="s">
        <v>3241</v>
      </c>
      <c r="D72" s="2004" t="s">
        <v>3108</v>
      </c>
      <c r="E72" s="2171" t="s">
        <v>2503</v>
      </c>
      <c r="F72" s="2171" t="s">
        <v>2489</v>
      </c>
      <c r="G72" s="1967" t="s">
        <v>3114</v>
      </c>
      <c r="H72" s="2171" t="s">
        <v>2335</v>
      </c>
      <c r="I72" s="2172" t="s">
        <v>2335</v>
      </c>
      <c r="J72" s="2171" t="s">
        <v>3110</v>
      </c>
      <c r="K72" s="2171">
        <v>-29.727584838867188</v>
      </c>
      <c r="L72" s="2174">
        <v>30.539083480834961</v>
      </c>
      <c r="M72" s="1613">
        <v>28454814.600000005</v>
      </c>
      <c r="N72" s="712">
        <v>0</v>
      </c>
      <c r="O72" s="715">
        <v>0</v>
      </c>
      <c r="P72" s="718">
        <v>0</v>
      </c>
      <c r="Q72" s="712">
        <v>0</v>
      </c>
      <c r="R72" s="717"/>
    </row>
    <row r="73" spans="1:18" ht="11.25" customHeight="1" x14ac:dyDescent="0.25">
      <c r="A73" s="1917" t="s">
        <v>3148</v>
      </c>
      <c r="B73" s="2173" t="s">
        <v>3126</v>
      </c>
      <c r="C73" s="1967" t="s">
        <v>3242</v>
      </c>
      <c r="D73" s="2004" t="s">
        <v>3108</v>
      </c>
      <c r="E73" s="2171" t="s">
        <v>2503</v>
      </c>
      <c r="F73" s="2171" t="s">
        <v>2489</v>
      </c>
      <c r="G73" s="1967" t="s">
        <v>3127</v>
      </c>
      <c r="H73" s="2171" t="s">
        <v>2283</v>
      </c>
      <c r="I73" s="2172" t="s">
        <v>2284</v>
      </c>
      <c r="J73" s="2171" t="s">
        <v>3111</v>
      </c>
      <c r="K73" s="2171">
        <v>31</v>
      </c>
      <c r="L73" s="2174">
        <v>-30</v>
      </c>
      <c r="M73" s="1613">
        <v>0</v>
      </c>
      <c r="N73" s="712">
        <v>-39353160</v>
      </c>
      <c r="O73" s="715">
        <v>0</v>
      </c>
      <c r="P73" s="718">
        <v>-41663600</v>
      </c>
      <c r="Q73" s="712">
        <v>-45829960</v>
      </c>
      <c r="R73" s="717"/>
    </row>
    <row r="74" spans="1:18" ht="11.25" customHeight="1" x14ac:dyDescent="0.25">
      <c r="A74" s="1918" t="s">
        <v>3148</v>
      </c>
      <c r="B74" s="2173" t="s">
        <v>3126</v>
      </c>
      <c r="C74" s="1967" t="s">
        <v>3243</v>
      </c>
      <c r="D74" s="2004" t="s">
        <v>3108</v>
      </c>
      <c r="E74" s="2171" t="s">
        <v>2492</v>
      </c>
      <c r="F74" s="2171" t="s">
        <v>2489</v>
      </c>
      <c r="G74" s="1967" t="s">
        <v>3127</v>
      </c>
      <c r="H74" s="2171" t="s">
        <v>2283</v>
      </c>
      <c r="I74" s="2172" t="s">
        <v>2286</v>
      </c>
      <c r="J74" s="2171" t="s">
        <v>3111</v>
      </c>
      <c r="K74" s="2171">
        <v>31</v>
      </c>
      <c r="L74" s="2174">
        <v>-30</v>
      </c>
      <c r="M74" s="1613">
        <v>721317835.9000001</v>
      </c>
      <c r="N74" s="712">
        <v>0</v>
      </c>
      <c r="O74" s="715">
        <v>0</v>
      </c>
      <c r="P74" s="718">
        <v>0</v>
      </c>
      <c r="Q74" s="712">
        <v>0</v>
      </c>
      <c r="R74" s="717"/>
    </row>
    <row r="75" spans="1:18" ht="11.25" customHeight="1" x14ac:dyDescent="0.25">
      <c r="A75" s="1794"/>
      <c r="B75" s="2173"/>
      <c r="C75" s="1967"/>
      <c r="D75" s="2004"/>
      <c r="E75" s="2171"/>
      <c r="F75" s="2171"/>
      <c r="G75" s="1967"/>
      <c r="H75" s="2171"/>
      <c r="I75" s="2172"/>
      <c r="J75" s="2171"/>
      <c r="K75" s="2171"/>
      <c r="L75" s="2174"/>
      <c r="M75" s="1613"/>
      <c r="N75" s="712"/>
      <c r="O75" s="715"/>
      <c r="P75" s="718"/>
      <c r="Q75" s="712"/>
      <c r="R75" s="717"/>
    </row>
    <row r="76" spans="1:18" ht="11.25" customHeight="1" x14ac:dyDescent="0.25">
      <c r="A76" s="1794"/>
      <c r="B76" s="2173"/>
      <c r="C76" s="1967"/>
      <c r="D76" s="2004"/>
      <c r="E76" s="2171"/>
      <c r="F76" s="2171"/>
      <c r="G76" s="1967"/>
      <c r="H76" s="2171"/>
      <c r="I76" s="2172"/>
      <c r="J76" s="2171"/>
      <c r="K76" s="2171"/>
      <c r="L76" s="2174"/>
      <c r="M76" s="1613"/>
      <c r="N76" s="712"/>
      <c r="O76" s="715"/>
      <c r="P76" s="718"/>
      <c r="Q76" s="712"/>
      <c r="R76" s="717"/>
    </row>
    <row r="77" spans="1:18" ht="11.25" customHeight="1" x14ac:dyDescent="0.25">
      <c r="A77" s="2214"/>
      <c r="B77" s="2204"/>
      <c r="C77" s="2205"/>
      <c r="D77" s="2206"/>
      <c r="E77" s="2207"/>
      <c r="F77" s="2207"/>
      <c r="G77" s="2205"/>
      <c r="H77" s="2207"/>
      <c r="I77" s="2207"/>
      <c r="J77" s="2207"/>
      <c r="K77" s="2207"/>
      <c r="L77" s="2208"/>
      <c r="M77" s="2209"/>
      <c r="N77" s="827"/>
      <c r="O77" s="2210"/>
      <c r="P77" s="953"/>
      <c r="Q77" s="827"/>
      <c r="R77" s="830"/>
    </row>
    <row r="78" spans="1:18" ht="11.25" customHeight="1" x14ac:dyDescent="0.25">
      <c r="A78" s="217" t="str">
        <f>head27a</f>
        <v>References</v>
      </c>
      <c r="H78" s="220"/>
      <c r="I78" s="220"/>
      <c r="J78" s="220"/>
      <c r="K78" s="220"/>
      <c r="L78" s="220"/>
      <c r="M78" s="220"/>
      <c r="N78" s="220"/>
      <c r="O78" s="220"/>
    </row>
    <row r="79" spans="1:18" ht="11.25" customHeight="1" x14ac:dyDescent="0.25">
      <c r="A79" s="218" t="s">
        <v>2510</v>
      </c>
    </row>
    <row r="80" spans="1:18" ht="11.25" customHeight="1" x14ac:dyDescent="0.25">
      <c r="A80" s="58" t="s">
        <v>2509</v>
      </c>
    </row>
    <row r="81" spans="1:1" ht="11.25" customHeight="1" x14ac:dyDescent="0.25">
      <c r="A81" s="58" t="s">
        <v>2485</v>
      </c>
    </row>
    <row r="82" spans="1:1" ht="11.25" customHeight="1" x14ac:dyDescent="0.25">
      <c r="A82" s="58" t="s">
        <v>2511</v>
      </c>
    </row>
    <row r="83" spans="1:1" ht="11.25" customHeight="1" x14ac:dyDescent="0.25"/>
    <row r="84" spans="1:1" ht="11.25" customHeight="1" x14ac:dyDescent="0.25"/>
    <row r="85" spans="1:1" ht="11.25" customHeight="1" x14ac:dyDescent="0.25"/>
    <row r="86" spans="1:1" ht="11.25" customHeight="1" x14ac:dyDescent="0.25"/>
    <row r="87" spans="1:1" ht="11.25" customHeight="1" x14ac:dyDescent="0.25"/>
    <row r="88" spans="1:1" ht="11.25" customHeight="1" x14ac:dyDescent="0.25"/>
    <row r="89" spans="1:1" ht="11.25" customHeight="1" x14ac:dyDescent="0.25"/>
    <row r="90" spans="1:1" ht="11.25" customHeight="1" x14ac:dyDescent="0.25"/>
    <row r="93" spans="1:1" ht="11.25" customHeight="1" x14ac:dyDescent="0.25"/>
    <row r="94" spans="1:1" ht="22.5" customHeight="1" x14ac:dyDescent="0.25"/>
    <row r="97" ht="11.25" customHeight="1" x14ac:dyDescent="0.25"/>
    <row r="98" ht="11.25" customHeight="1" x14ac:dyDescent="0.25"/>
    <row r="99" ht="11.25" customHeight="1" x14ac:dyDescent="0.25"/>
    <row r="100" ht="11.25" customHeight="1" x14ac:dyDescent="0.25"/>
    <row r="101" ht="11.25" customHeight="1" x14ac:dyDescent="0.25"/>
    <row r="102" ht="11.25" customHeight="1" x14ac:dyDescent="0.25"/>
    <row r="103" ht="11.25" customHeight="1" x14ac:dyDescent="0.25"/>
    <row r="104" ht="11.25" customHeight="1" x14ac:dyDescent="0.25"/>
    <row r="105" ht="11.25" customHeight="1" x14ac:dyDescent="0.25"/>
    <row r="106" ht="11.25" customHeight="1" x14ac:dyDescent="0.25"/>
    <row r="107" ht="11.25" customHeight="1" x14ac:dyDescent="0.25"/>
    <row r="108" ht="11.25" customHeight="1" x14ac:dyDescent="0.25"/>
    <row r="109" ht="11.25" customHeight="1" x14ac:dyDescent="0.25"/>
    <row r="110" ht="11.25" customHeight="1" x14ac:dyDescent="0.25"/>
    <row r="111" ht="11.25" customHeight="1" x14ac:dyDescent="0.25"/>
    <row r="112" ht="11.25" customHeight="1" x14ac:dyDescent="0.25"/>
    <row r="113" ht="11.25" customHeight="1" x14ac:dyDescent="0.25"/>
    <row r="114" ht="11.25" customHeight="1" x14ac:dyDescent="0.25"/>
    <row r="115" ht="11.25" customHeight="1" x14ac:dyDescent="0.25"/>
    <row r="116" ht="11.25" customHeight="1" x14ac:dyDescent="0.25"/>
    <row r="117" ht="11.25" customHeight="1" x14ac:dyDescent="0.25"/>
    <row r="118" ht="11.25" customHeight="1" x14ac:dyDescent="0.25"/>
    <row r="119" ht="11.25" customHeight="1" x14ac:dyDescent="0.25"/>
    <row r="120" ht="11.25" customHeight="1" x14ac:dyDescent="0.25"/>
    <row r="121" ht="11.25" customHeight="1" x14ac:dyDescent="0.25"/>
    <row r="122" ht="11.25" customHeight="1" x14ac:dyDescent="0.25"/>
    <row r="123" ht="11.25" customHeight="1" x14ac:dyDescent="0.25"/>
    <row r="124" ht="11.25" customHeight="1" x14ac:dyDescent="0.25"/>
    <row r="125" ht="11.25" customHeight="1" x14ac:dyDescent="0.25"/>
    <row r="126" ht="11.25" customHeight="1" x14ac:dyDescent="0.25"/>
    <row r="127" ht="11.25" customHeight="1" x14ac:dyDescent="0.25"/>
    <row r="128" ht="11.25" customHeight="1" x14ac:dyDescent="0.25"/>
    <row r="129" ht="11.25" customHeight="1" x14ac:dyDescent="0.25"/>
    <row r="130" ht="11.25" customHeight="1" x14ac:dyDescent="0.25"/>
    <row r="131" ht="11.25" customHeight="1" x14ac:dyDescent="0.25"/>
    <row r="132" ht="11.25" customHeight="1" x14ac:dyDescent="0.25"/>
    <row r="133" ht="11.25" customHeight="1" x14ac:dyDescent="0.25"/>
  </sheetData>
  <sheetProtection sheet="1" objects="1" scenarios="1"/>
  <mergeCells count="3">
    <mergeCell ref="M2:M3"/>
    <mergeCell ref="N2:O2"/>
    <mergeCell ref="P2:R2"/>
  </mergeCells>
  <phoneticPr fontId="7" type="noConversion"/>
  <dataValidations count="5">
    <dataValidation type="list" allowBlank="1" showInputMessage="1" showErrorMessage="1" promptTitle="Select Asset Class" prompt="Select asset class from list" sqref="H7:H68 H72:H77" xr:uid="{00000000-0002-0000-3E00-000000000000}">
      <formula1>asset_class1</formula1>
    </dataValidation>
    <dataValidation type="list" allowBlank="1" showInputMessage="1" showErrorMessage="1" promptTitle="Select Asset Sub-Class" prompt="Select asset sub class from list" sqref="I7:I68 I72:I77" xr:uid="{00000000-0002-0000-3E00-000001000000}">
      <formula1>asset_subclass1</formula1>
    </dataValidation>
    <dataValidation type="list" allowBlank="1" showInputMessage="1" showErrorMessage="1" promptTitle="Select MTSF Service Outcome" prompt="Select MTSF from list" sqref="E7:E68 E72:E77" xr:uid="{00000000-0002-0000-3E00-000002000000}">
      <formula1>MTSF</formula1>
    </dataValidation>
    <dataValidation type="list" allowBlank="1" showInputMessage="1" showErrorMessage="1" promptTitle="Select IUDF" prompt="Select IUDF from list" sqref="F7:F68 F72:F77" xr:uid="{00000000-0002-0000-3E00-000003000000}">
      <formula1>IUDF</formula1>
    </dataValidation>
    <dataValidation type="list" allowBlank="1" showInputMessage="1" showErrorMessage="1" sqref="D7:D68 D72:D77" xr:uid="{00000000-0002-0000-3E00-000004000000}">
      <formula1>"New,Renewal,Upgrading"</formula1>
    </dataValidation>
  </dataValidations>
  <printOptions horizontalCentered="1"/>
  <pageMargins left="0" right="0" top="0.78740157480314965" bottom="0.59055118110236227" header="0.51181102362204722" footer="0.39370078740157483"/>
  <pageSetup paperSize="9" scale="54" orientation="landscape" r:id="rId1"/>
  <headerFooter alignWithMargins="0"/>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Sheet68">
    <pageSetUpPr fitToPage="1"/>
  </sheetPr>
  <dimension ref="A1:Q110"/>
  <sheetViews>
    <sheetView showGridLines="0" zoomScaleNormal="100" workbookViewId="0">
      <pane xSplit="2" ySplit="6" topLeftCell="C7" activePane="bottomRight" state="frozen"/>
      <selection pane="topRight"/>
      <selection pane="bottomLeft"/>
      <selection pane="bottomRight" activeCell="B1" sqref="B1"/>
    </sheetView>
  </sheetViews>
  <sheetFormatPr defaultColWidth="9.140625" defaultRowHeight="12.75" x14ac:dyDescent="0.25"/>
  <cols>
    <col min="1" max="1" width="23.42578125" style="58" customWidth="1"/>
    <col min="2" max="2" width="45.28515625" style="58" customWidth="1"/>
    <col min="3" max="3" width="11.7109375" style="58" customWidth="1"/>
    <col min="4" max="4" width="16.42578125" style="58" customWidth="1"/>
    <col min="5" max="5" width="20.42578125" style="58" customWidth="1"/>
    <col min="6" max="7" width="23.42578125" style="58" customWidth="1"/>
    <col min="8" max="8" width="17.7109375" style="58" customWidth="1"/>
    <col min="9" max="14" width="9.28515625" style="58" customWidth="1"/>
    <col min="15" max="15" width="12.140625" style="58" customWidth="1"/>
    <col min="16" max="16" width="9.7109375" style="58" customWidth="1"/>
    <col min="17" max="17" width="9.42578125" style="58" customWidth="1"/>
    <col min="18" max="18" width="9.7109375" style="58" customWidth="1"/>
    <col min="19" max="21" width="9.42578125" style="58" customWidth="1"/>
    <col min="22" max="22" width="9.7109375" style="58" customWidth="1"/>
    <col min="23" max="25" width="9.42578125" style="58" customWidth="1"/>
    <col min="26" max="27" width="9.7109375" style="58" customWidth="1"/>
    <col min="28" max="16384" width="9.140625" style="58"/>
  </cols>
  <sheetData>
    <row r="1" spans="1:17" ht="13.5" customHeight="1" x14ac:dyDescent="0.25">
      <c r="A1" s="92" t="str">
        <f>muni&amp;" - "&amp;TableA38</f>
        <v>KZN226 Mkhambathini - Supporting Table SA38 Consolidated detailed operational projects</v>
      </c>
      <c r="B1" s="92"/>
      <c r="C1" s="92"/>
      <c r="D1" s="92"/>
      <c r="E1" s="92"/>
      <c r="F1" s="92"/>
      <c r="G1" s="92"/>
      <c r="H1" s="92"/>
      <c r="I1" s="92"/>
      <c r="J1" s="92"/>
      <c r="K1" s="92"/>
      <c r="L1" s="92"/>
      <c r="M1" s="92"/>
      <c r="N1" s="92"/>
      <c r="O1" s="92"/>
    </row>
    <row r="2" spans="1:17" ht="22.15" customHeight="1" x14ac:dyDescent="0.25">
      <c r="A2" s="2157" t="s">
        <v>568</v>
      </c>
      <c r="B2" s="697"/>
      <c r="C2" s="697"/>
      <c r="D2" s="697"/>
      <c r="E2" s="2158"/>
      <c r="F2" s="2158"/>
      <c r="G2" s="2158"/>
      <c r="H2" s="2158"/>
      <c r="I2" s="2158"/>
      <c r="J2" s="2158"/>
      <c r="K2" s="2158"/>
      <c r="L2" s="2158"/>
      <c r="M2" s="2497" t="s">
        <v>1187</v>
      </c>
      <c r="N2" s="2495"/>
      <c r="O2" s="2450" t="str">
        <f>Head3</f>
        <v>2021/22 Medium Term Revenue &amp; Expenditure Framework</v>
      </c>
      <c r="P2" s="2451"/>
      <c r="Q2" s="2452"/>
    </row>
    <row r="3" spans="1:17" s="2161" customFormat="1" ht="50.25" customHeight="1" x14ac:dyDescent="0.2">
      <c r="A3" s="2160" t="s">
        <v>2471</v>
      </c>
      <c r="B3" s="698" t="s">
        <v>2472</v>
      </c>
      <c r="C3" s="698" t="s">
        <v>2473</v>
      </c>
      <c r="D3" s="698" t="s">
        <v>2474</v>
      </c>
      <c r="E3" s="698" t="s">
        <v>2476</v>
      </c>
      <c r="F3" s="698" t="s">
        <v>2477</v>
      </c>
      <c r="G3" s="698" t="s">
        <v>2478</v>
      </c>
      <c r="H3" s="698" t="s">
        <v>1731</v>
      </c>
      <c r="I3" s="698" t="s">
        <v>2482</v>
      </c>
      <c r="J3" s="698" t="s">
        <v>2479</v>
      </c>
      <c r="K3" s="698" t="s">
        <v>2480</v>
      </c>
      <c r="L3" s="698" t="s">
        <v>2481</v>
      </c>
      <c r="M3" s="527" t="str">
        <f>Head5&amp;"    "&amp;Head1</f>
        <v>Audited Outcome    2019/20</v>
      </c>
      <c r="N3" s="826" t="str">
        <f>Head2 &amp; "        "&amp;Head8</f>
        <v>Current Year 2020/21        Full Year Forecast</v>
      </c>
      <c r="O3" s="95" t="str">
        <f>Head9</f>
        <v>Budget Year 2021/22</v>
      </c>
      <c r="P3" s="698" t="str">
        <f>Head10</f>
        <v>Budget Year +1 2022/23</v>
      </c>
      <c r="Q3" s="94" t="str">
        <f>Head11</f>
        <v>Budget Year +2 2023/24</v>
      </c>
    </row>
    <row r="4" spans="1:17" x14ac:dyDescent="0.25">
      <c r="A4" s="2162" t="s">
        <v>1299</v>
      </c>
      <c r="B4" s="2163"/>
      <c r="C4" s="2164"/>
      <c r="D4" s="2164"/>
      <c r="E4" s="2164"/>
      <c r="F4" s="2164"/>
      <c r="G4" s="2164"/>
      <c r="H4" s="2165"/>
      <c r="I4" s="2166"/>
      <c r="J4" s="2166"/>
      <c r="K4" s="2167"/>
      <c r="L4" s="2168"/>
      <c r="M4" s="81"/>
      <c r="N4" s="756"/>
      <c r="O4" s="757"/>
      <c r="P4" s="81"/>
      <c r="Q4" s="758"/>
    </row>
    <row r="5" spans="1:17" x14ac:dyDescent="0.25">
      <c r="A5" s="307" t="s">
        <v>2506</v>
      </c>
      <c r="B5" s="860"/>
      <c r="C5" s="2169"/>
      <c r="D5" s="2169"/>
      <c r="E5" s="2169"/>
      <c r="F5" s="2169"/>
      <c r="G5" s="2169"/>
      <c r="H5" s="308"/>
      <c r="I5" s="309"/>
      <c r="J5" s="309"/>
      <c r="K5" s="655"/>
      <c r="L5" s="402"/>
      <c r="M5" s="762"/>
      <c r="N5" s="763"/>
      <c r="O5" s="764"/>
      <c r="P5" s="762"/>
      <c r="Q5" s="765"/>
    </row>
    <row r="6" spans="1:17" ht="4.9000000000000004" customHeight="1" x14ac:dyDescent="0.25">
      <c r="A6" s="1975"/>
      <c r="B6" s="860"/>
      <c r="C6" s="2169"/>
      <c r="D6" s="2169"/>
      <c r="E6" s="2169"/>
      <c r="F6" s="2169"/>
      <c r="G6" s="2169"/>
      <c r="H6" s="308"/>
      <c r="I6" s="309"/>
      <c r="J6" s="309"/>
      <c r="K6" s="655"/>
      <c r="L6" s="402"/>
      <c r="M6" s="177"/>
      <c r="N6" s="180"/>
      <c r="O6" s="179"/>
      <c r="P6" s="177"/>
      <c r="Q6" s="178"/>
    </row>
    <row r="7" spans="1:17" ht="12.75" customHeight="1" x14ac:dyDescent="0.25">
      <c r="A7" s="2170" t="s">
        <v>568</v>
      </c>
      <c r="B7" s="1537"/>
      <c r="C7" s="2004"/>
      <c r="D7" s="2004"/>
      <c r="E7" s="2171"/>
      <c r="F7" s="2171"/>
      <c r="G7" s="1537"/>
      <c r="H7" s="2171"/>
      <c r="I7" s="2172"/>
      <c r="J7" s="1537"/>
      <c r="K7" s="2173"/>
      <c r="L7" s="2174"/>
      <c r="M7" s="712" t="s">
        <v>1443</v>
      </c>
      <c r="N7" s="719"/>
      <c r="O7" s="718"/>
      <c r="P7" s="712"/>
      <c r="Q7" s="717"/>
    </row>
    <row r="8" spans="1:17" ht="12.75" customHeight="1" x14ac:dyDescent="0.25">
      <c r="A8" s="1794" t="s">
        <v>2471</v>
      </c>
      <c r="B8" s="2173" t="s">
        <v>1185</v>
      </c>
      <c r="C8" s="1967" t="s">
        <v>1186</v>
      </c>
      <c r="D8" s="2004" t="s">
        <v>2474</v>
      </c>
      <c r="E8" s="2171" t="s">
        <v>2476</v>
      </c>
      <c r="F8" s="2171" t="s">
        <v>2477</v>
      </c>
      <c r="G8" s="1537" t="s">
        <v>2478</v>
      </c>
      <c r="H8" s="2171" t="s">
        <v>1731</v>
      </c>
      <c r="I8" s="2172" t="s">
        <v>2482</v>
      </c>
      <c r="J8" s="1537" t="s">
        <v>2479</v>
      </c>
      <c r="K8" s="2173" t="s">
        <v>2480</v>
      </c>
      <c r="L8" s="2174" t="s">
        <v>2481</v>
      </c>
      <c r="M8" s="712"/>
      <c r="N8" s="719"/>
      <c r="O8" s="718"/>
      <c r="P8" s="712"/>
      <c r="Q8" s="717"/>
    </row>
    <row r="9" spans="1:17" ht="12.75" customHeight="1" x14ac:dyDescent="0.25">
      <c r="A9" s="1794" t="s">
        <v>1299</v>
      </c>
      <c r="B9" s="2173"/>
      <c r="C9" s="1967"/>
      <c r="D9" s="2004"/>
      <c r="E9" s="2171"/>
      <c r="F9" s="2171"/>
      <c r="G9" s="1537"/>
      <c r="H9" s="2171"/>
      <c r="I9" s="2172"/>
      <c r="J9" s="1537"/>
      <c r="K9" s="2173"/>
      <c r="L9" s="2174"/>
      <c r="M9" s="712"/>
      <c r="N9" s="719"/>
      <c r="O9" s="718"/>
      <c r="P9" s="712"/>
      <c r="Q9" s="717"/>
    </row>
    <row r="10" spans="1:17" ht="12.75" customHeight="1" x14ac:dyDescent="0.25">
      <c r="A10" s="2175" t="s">
        <v>2475</v>
      </c>
      <c r="B10" s="2173"/>
      <c r="C10" s="1967"/>
      <c r="D10" s="2004"/>
      <c r="E10" s="2171"/>
      <c r="F10" s="2171"/>
      <c r="G10" s="1537"/>
      <c r="H10" s="2171"/>
      <c r="I10" s="2172"/>
      <c r="J10" s="1537"/>
      <c r="K10" s="2173"/>
      <c r="L10" s="2174"/>
      <c r="M10" s="712"/>
      <c r="N10" s="719"/>
      <c r="O10" s="718"/>
      <c r="P10" s="712"/>
      <c r="Q10" s="717"/>
    </row>
    <row r="11" spans="1:17" ht="12.75" customHeight="1" x14ac:dyDescent="0.25">
      <c r="A11" s="2176"/>
      <c r="B11" s="2173"/>
      <c r="C11" s="1967"/>
      <c r="D11" s="2004"/>
      <c r="E11" s="2171"/>
      <c r="F11" s="2171"/>
      <c r="G11" s="1537"/>
      <c r="H11" s="2171"/>
      <c r="I11" s="2172"/>
      <c r="J11" s="1537"/>
      <c r="K11" s="2173"/>
      <c r="L11" s="2174"/>
      <c r="M11" s="712"/>
      <c r="N11" s="719"/>
      <c r="O11" s="718"/>
      <c r="P11" s="712"/>
      <c r="Q11" s="717"/>
    </row>
    <row r="12" spans="1:17" ht="12.75" customHeight="1" x14ac:dyDescent="0.25">
      <c r="A12" s="1794"/>
      <c r="B12" s="2173"/>
      <c r="C12" s="1967"/>
      <c r="D12" s="2004"/>
      <c r="E12" s="2171"/>
      <c r="F12" s="2171"/>
      <c r="G12" s="1537"/>
      <c r="H12" s="2171"/>
      <c r="I12" s="2172"/>
      <c r="J12" s="1537"/>
      <c r="K12" s="2173"/>
      <c r="L12" s="2174"/>
      <c r="M12" s="712"/>
      <c r="N12" s="719"/>
      <c r="O12" s="718"/>
      <c r="P12" s="712"/>
      <c r="Q12" s="717"/>
    </row>
    <row r="13" spans="1:17" ht="12.75" customHeight="1" x14ac:dyDescent="0.25">
      <c r="A13" s="1794"/>
      <c r="B13" s="2173"/>
      <c r="C13" s="1967"/>
      <c r="D13" s="2004"/>
      <c r="E13" s="2171"/>
      <c r="F13" s="2171"/>
      <c r="G13" s="1537"/>
      <c r="H13" s="2171"/>
      <c r="I13" s="2172"/>
      <c r="J13" s="1537"/>
      <c r="K13" s="2173"/>
      <c r="L13" s="2174"/>
      <c r="M13" s="712"/>
      <c r="N13" s="719"/>
      <c r="O13" s="718"/>
      <c r="P13" s="712"/>
      <c r="Q13" s="717"/>
    </row>
    <row r="14" spans="1:17" ht="12.75" customHeight="1" x14ac:dyDescent="0.25">
      <c r="A14" s="1794"/>
      <c r="B14" s="2173"/>
      <c r="C14" s="1967"/>
      <c r="D14" s="2004"/>
      <c r="E14" s="2171"/>
      <c r="F14" s="2171"/>
      <c r="G14" s="1537"/>
      <c r="H14" s="2171"/>
      <c r="I14" s="2172"/>
      <c r="J14" s="1537"/>
      <c r="K14" s="2173"/>
      <c r="L14" s="2174"/>
      <c r="M14" s="712"/>
      <c r="N14" s="719"/>
      <c r="O14" s="718"/>
      <c r="P14" s="712"/>
      <c r="Q14" s="717"/>
    </row>
    <row r="15" spans="1:17" ht="12.75" customHeight="1" x14ac:dyDescent="0.25">
      <c r="A15" s="2175"/>
      <c r="B15" s="2173"/>
      <c r="C15" s="1967"/>
      <c r="D15" s="2004"/>
      <c r="E15" s="2171"/>
      <c r="F15" s="2171"/>
      <c r="G15" s="1537"/>
      <c r="H15" s="2171"/>
      <c r="I15" s="2172"/>
      <c r="J15" s="1537"/>
      <c r="K15" s="2173"/>
      <c r="L15" s="2174"/>
      <c r="M15" s="712"/>
      <c r="N15" s="719"/>
      <c r="O15" s="718"/>
      <c r="P15" s="712"/>
      <c r="Q15" s="717"/>
    </row>
    <row r="16" spans="1:17" ht="12.75" customHeight="1" x14ac:dyDescent="0.25">
      <c r="A16" s="2176"/>
      <c r="B16" s="2173"/>
      <c r="C16" s="1967"/>
      <c r="D16" s="2004"/>
      <c r="E16" s="2171"/>
      <c r="F16" s="2171"/>
      <c r="G16" s="1537"/>
      <c r="H16" s="2171"/>
      <c r="I16" s="2172"/>
      <c r="J16" s="1537"/>
      <c r="K16" s="2173"/>
      <c r="L16" s="2174"/>
      <c r="M16" s="712"/>
      <c r="N16" s="719"/>
      <c r="O16" s="718"/>
      <c r="P16" s="712"/>
      <c r="Q16" s="717"/>
    </row>
    <row r="17" spans="1:17" ht="12.75" customHeight="1" x14ac:dyDescent="0.25">
      <c r="A17" s="1794"/>
      <c r="B17" s="2173"/>
      <c r="C17" s="1967"/>
      <c r="D17" s="2004"/>
      <c r="E17" s="2171"/>
      <c r="F17" s="2171"/>
      <c r="G17" s="1537"/>
      <c r="H17" s="2171"/>
      <c r="I17" s="2172"/>
      <c r="J17" s="1537"/>
      <c r="K17" s="2173"/>
      <c r="L17" s="2174"/>
      <c r="M17" s="712"/>
      <c r="N17" s="719"/>
      <c r="O17" s="718"/>
      <c r="P17" s="712"/>
      <c r="Q17" s="717"/>
    </row>
    <row r="18" spans="1:17" ht="12.75" customHeight="1" x14ac:dyDescent="0.25">
      <c r="A18" s="2175"/>
      <c r="B18" s="2173"/>
      <c r="C18" s="1967"/>
      <c r="D18" s="2004"/>
      <c r="E18" s="2171"/>
      <c r="F18" s="2171"/>
      <c r="G18" s="1537"/>
      <c r="H18" s="2171"/>
      <c r="I18" s="2172"/>
      <c r="J18" s="1537"/>
      <c r="K18" s="2173"/>
      <c r="L18" s="2174"/>
      <c r="M18" s="712"/>
      <c r="N18" s="719"/>
      <c r="O18" s="718"/>
      <c r="P18" s="712"/>
      <c r="Q18" s="717"/>
    </row>
    <row r="19" spans="1:17" ht="12.75" customHeight="1" x14ac:dyDescent="0.25">
      <c r="A19" s="2176"/>
      <c r="B19" s="2173"/>
      <c r="C19" s="1967"/>
      <c r="D19" s="2004"/>
      <c r="E19" s="2171"/>
      <c r="F19" s="2171"/>
      <c r="G19" s="1537"/>
      <c r="H19" s="2171"/>
      <c r="I19" s="2172"/>
      <c r="J19" s="1537"/>
      <c r="K19" s="2173"/>
      <c r="L19" s="2174"/>
      <c r="M19" s="712"/>
      <c r="N19" s="719"/>
      <c r="O19" s="718"/>
      <c r="P19" s="712"/>
      <c r="Q19" s="717"/>
    </row>
    <row r="20" spans="1:17" ht="12.75" customHeight="1" x14ac:dyDescent="0.25">
      <c r="A20" s="1794"/>
      <c r="B20" s="2173"/>
      <c r="C20" s="1967"/>
      <c r="D20" s="2004"/>
      <c r="E20" s="2171"/>
      <c r="F20" s="2171"/>
      <c r="G20" s="1537"/>
      <c r="H20" s="2171"/>
      <c r="I20" s="2172"/>
      <c r="J20" s="1537"/>
      <c r="K20" s="2173"/>
      <c r="L20" s="2174"/>
      <c r="M20" s="712"/>
      <c r="N20" s="719"/>
      <c r="O20" s="718"/>
      <c r="P20" s="712"/>
      <c r="Q20" s="717"/>
    </row>
    <row r="21" spans="1:17" ht="12.75" customHeight="1" x14ac:dyDescent="0.25">
      <c r="A21" s="2175"/>
      <c r="B21" s="2173"/>
      <c r="C21" s="1967"/>
      <c r="D21" s="2004"/>
      <c r="E21" s="2171"/>
      <c r="F21" s="2171"/>
      <c r="G21" s="1537"/>
      <c r="H21" s="2171"/>
      <c r="I21" s="2172"/>
      <c r="J21" s="1537"/>
      <c r="K21" s="2173"/>
      <c r="L21" s="2174"/>
      <c r="M21" s="712"/>
      <c r="N21" s="719"/>
      <c r="O21" s="718"/>
      <c r="P21" s="712"/>
      <c r="Q21" s="717"/>
    </row>
    <row r="22" spans="1:17" ht="12.75" customHeight="1" x14ac:dyDescent="0.25">
      <c r="A22" s="2175"/>
      <c r="B22" s="2173"/>
      <c r="C22" s="891"/>
      <c r="D22" s="2004"/>
      <c r="E22" s="2171"/>
      <c r="F22" s="2171"/>
      <c r="G22" s="1537"/>
      <c r="H22" s="2171"/>
      <c r="I22" s="2172"/>
      <c r="J22" s="1537"/>
      <c r="K22" s="2173"/>
      <c r="L22" s="2174"/>
      <c r="M22" s="712"/>
      <c r="N22" s="719"/>
      <c r="O22" s="718"/>
      <c r="P22" s="712"/>
      <c r="Q22" s="717"/>
    </row>
    <row r="23" spans="1:17" x14ac:dyDescent="0.25">
      <c r="A23" s="256" t="s">
        <v>2507</v>
      </c>
      <c r="B23" s="2177"/>
      <c r="C23" s="2178"/>
      <c r="D23" s="2178"/>
      <c r="E23" s="2178"/>
      <c r="F23" s="2178"/>
      <c r="G23" s="2178"/>
      <c r="H23" s="2179"/>
      <c r="I23" s="2180"/>
      <c r="J23" s="2180"/>
      <c r="K23" s="2181"/>
      <c r="L23" s="2182"/>
      <c r="M23" s="264">
        <f>SUM(M7:M22)</f>
        <v>0</v>
      </c>
      <c r="N23" s="267">
        <f>SUM(N7:N22)</f>
        <v>0</v>
      </c>
      <c r="O23" s="268">
        <f>SUM(O7:O22)</f>
        <v>0</v>
      </c>
      <c r="P23" s="264">
        <f>SUM(P7:P22)</f>
        <v>0</v>
      </c>
      <c r="Q23" s="384">
        <f>SUM(Q7:Q22)</f>
        <v>0</v>
      </c>
    </row>
    <row r="24" spans="1:17" x14ac:dyDescent="0.25">
      <c r="A24" s="1975"/>
      <c r="B24" s="860"/>
      <c r="C24" s="2169"/>
      <c r="D24" s="2169"/>
      <c r="E24" s="2169"/>
      <c r="F24" s="2169"/>
      <c r="G24" s="2169"/>
      <c r="H24" s="308"/>
      <c r="I24" s="309"/>
      <c r="J24" s="2183"/>
      <c r="K24" s="655"/>
      <c r="L24" s="402"/>
      <c r="M24" s="177"/>
      <c r="N24" s="180"/>
      <c r="O24" s="179"/>
      <c r="P24" s="177"/>
      <c r="Q24" s="178"/>
    </row>
    <row r="25" spans="1:17" x14ac:dyDescent="0.25">
      <c r="A25" s="475" t="s">
        <v>16</v>
      </c>
      <c r="B25" s="860"/>
      <c r="C25" s="2169"/>
      <c r="D25" s="2169"/>
      <c r="E25" s="2169"/>
      <c r="F25" s="2169"/>
      <c r="G25" s="2169"/>
      <c r="H25" s="308"/>
      <c r="I25" s="309"/>
      <c r="J25" s="308"/>
      <c r="K25" s="655"/>
      <c r="L25" s="402"/>
      <c r="M25" s="177"/>
      <c r="N25" s="180"/>
      <c r="O25" s="179"/>
      <c r="P25" s="177"/>
      <c r="Q25" s="178"/>
    </row>
    <row r="26" spans="1:17" ht="11.25" customHeight="1" x14ac:dyDescent="0.25">
      <c r="A26" s="307" t="s">
        <v>2508</v>
      </c>
      <c r="B26" s="860"/>
      <c r="C26" s="2169"/>
      <c r="D26" s="2169"/>
      <c r="E26" s="2169"/>
      <c r="F26" s="2169"/>
      <c r="G26" s="2169"/>
      <c r="H26" s="308"/>
      <c r="I26" s="309"/>
      <c r="J26" s="308"/>
      <c r="K26" s="655"/>
      <c r="L26" s="402"/>
      <c r="M26" s="762"/>
      <c r="N26" s="763"/>
      <c r="O26" s="764"/>
      <c r="P26" s="762"/>
      <c r="Q26" s="765"/>
    </row>
    <row r="27" spans="1:17" ht="4.9000000000000004" customHeight="1" x14ac:dyDescent="0.25">
      <c r="A27" s="1975"/>
      <c r="B27" s="860"/>
      <c r="C27" s="2169"/>
      <c r="D27" s="2169"/>
      <c r="E27" s="2169"/>
      <c r="F27" s="2169"/>
      <c r="G27" s="2169"/>
      <c r="H27" s="308"/>
      <c r="I27" s="309"/>
      <c r="J27" s="308"/>
      <c r="K27" s="655"/>
      <c r="L27" s="402"/>
      <c r="M27" s="177"/>
      <c r="N27" s="180"/>
      <c r="O27" s="179"/>
      <c r="P27" s="177"/>
      <c r="Q27" s="178"/>
    </row>
    <row r="28" spans="1:17" ht="11.25" customHeight="1" x14ac:dyDescent="0.25">
      <c r="A28" s="2176" t="s">
        <v>1301</v>
      </c>
      <c r="B28" s="1537"/>
      <c r="C28" s="2004"/>
      <c r="D28" s="2004"/>
      <c r="E28" s="2171"/>
      <c r="F28" s="2171"/>
      <c r="G28" s="1537"/>
      <c r="H28" s="2171"/>
      <c r="I28" s="2172"/>
      <c r="J28" s="1537"/>
      <c r="K28" s="2173"/>
      <c r="L28" s="2174"/>
      <c r="M28" s="712"/>
      <c r="N28" s="719"/>
      <c r="O28" s="718"/>
      <c r="P28" s="712"/>
      <c r="Q28" s="717"/>
    </row>
    <row r="29" spans="1:17" ht="11.25" customHeight="1" x14ac:dyDescent="0.25">
      <c r="A29" s="1794" t="s">
        <v>1302</v>
      </c>
      <c r="B29" s="2173"/>
      <c r="C29" s="1967"/>
      <c r="D29" s="2004"/>
      <c r="E29" s="2171"/>
      <c r="F29" s="2171"/>
      <c r="G29" s="1537"/>
      <c r="H29" s="2171"/>
      <c r="I29" s="2172"/>
      <c r="J29" s="1537"/>
      <c r="K29" s="2173"/>
      <c r="L29" s="2174"/>
      <c r="M29" s="712"/>
      <c r="N29" s="719"/>
      <c r="O29" s="718"/>
      <c r="P29" s="712"/>
      <c r="Q29" s="717"/>
    </row>
    <row r="30" spans="1:17" ht="4.9000000000000004" customHeight="1" x14ac:dyDescent="0.25">
      <c r="A30" s="2175"/>
      <c r="B30" s="2173"/>
      <c r="C30" s="1967"/>
      <c r="D30" s="2004"/>
      <c r="E30" s="2171"/>
      <c r="F30" s="2171"/>
      <c r="G30" s="1537"/>
      <c r="H30" s="2171"/>
      <c r="I30" s="2172"/>
      <c r="J30" s="1537"/>
      <c r="K30" s="2173"/>
      <c r="L30" s="2174"/>
      <c r="M30" s="712"/>
      <c r="N30" s="719"/>
      <c r="O30" s="718"/>
      <c r="P30" s="712"/>
      <c r="Q30" s="717"/>
    </row>
    <row r="31" spans="1:17" ht="11.25" customHeight="1" x14ac:dyDescent="0.25">
      <c r="A31" s="2176" t="s">
        <v>1303</v>
      </c>
      <c r="B31" s="2173"/>
      <c r="C31" s="1967"/>
      <c r="D31" s="2004"/>
      <c r="E31" s="2171"/>
      <c r="F31" s="2171"/>
      <c r="G31" s="1537"/>
      <c r="H31" s="2171"/>
      <c r="I31" s="2172"/>
      <c r="J31" s="1537"/>
      <c r="K31" s="2173"/>
      <c r="L31" s="2174"/>
      <c r="M31" s="712"/>
      <c r="N31" s="719"/>
      <c r="O31" s="718"/>
      <c r="P31" s="712"/>
      <c r="Q31" s="717"/>
    </row>
    <row r="32" spans="1:17" ht="11.25" customHeight="1" x14ac:dyDescent="0.25">
      <c r="A32" s="1794" t="s">
        <v>1304</v>
      </c>
      <c r="B32" s="2173"/>
      <c r="C32" s="1967"/>
      <c r="D32" s="2004"/>
      <c r="E32" s="2171"/>
      <c r="F32" s="2171"/>
      <c r="G32" s="1537"/>
      <c r="H32" s="2171"/>
      <c r="I32" s="2172"/>
      <c r="J32" s="1537"/>
      <c r="K32" s="2173"/>
      <c r="L32" s="2174"/>
      <c r="M32" s="712"/>
      <c r="N32" s="719"/>
      <c r="O32" s="718"/>
      <c r="P32" s="712"/>
      <c r="Q32" s="717"/>
    </row>
    <row r="33" spans="1:17" ht="11.25" customHeight="1" x14ac:dyDescent="0.25">
      <c r="A33" s="1794"/>
      <c r="B33" s="2173"/>
      <c r="C33" s="1967"/>
      <c r="D33" s="2004"/>
      <c r="E33" s="2171"/>
      <c r="F33" s="2171"/>
      <c r="G33" s="1537"/>
      <c r="H33" s="2171"/>
      <c r="I33" s="2172"/>
      <c r="J33" s="1537"/>
      <c r="K33" s="2173"/>
      <c r="L33" s="2174"/>
      <c r="M33" s="712"/>
      <c r="N33" s="719"/>
      <c r="O33" s="718"/>
      <c r="P33" s="712"/>
      <c r="Q33" s="717"/>
    </row>
    <row r="34" spans="1:17" ht="11.25" customHeight="1" x14ac:dyDescent="0.25">
      <c r="A34" s="1794"/>
      <c r="B34" s="2173"/>
      <c r="C34" s="891"/>
      <c r="D34" s="2004"/>
      <c r="E34" s="2171"/>
      <c r="F34" s="2171"/>
      <c r="G34" s="1537"/>
      <c r="H34" s="2171"/>
      <c r="I34" s="2172"/>
      <c r="J34" s="1537"/>
      <c r="K34" s="2173"/>
      <c r="L34" s="2174"/>
      <c r="M34" s="712"/>
      <c r="N34" s="719"/>
      <c r="O34" s="718"/>
      <c r="P34" s="712"/>
      <c r="Q34" s="717"/>
    </row>
    <row r="35" spans="1:17" ht="11.25" customHeight="1" x14ac:dyDescent="0.25">
      <c r="A35" s="2175"/>
      <c r="B35" s="2173"/>
      <c r="C35" s="891"/>
      <c r="D35" s="2004"/>
      <c r="E35" s="2171"/>
      <c r="F35" s="2171"/>
      <c r="G35" s="1537"/>
      <c r="H35" s="2171"/>
      <c r="I35" s="2172"/>
      <c r="J35" s="1537"/>
      <c r="K35" s="2173"/>
      <c r="L35" s="2174"/>
      <c r="M35" s="712"/>
      <c r="N35" s="719"/>
      <c r="O35" s="718"/>
      <c r="P35" s="712"/>
      <c r="Q35" s="717"/>
    </row>
    <row r="36" spans="1:17" x14ac:dyDescent="0.25">
      <c r="A36" s="2179" t="s">
        <v>2458</v>
      </c>
      <c r="B36" s="2184"/>
      <c r="C36" s="2181"/>
      <c r="D36" s="2181"/>
      <c r="E36" s="2181"/>
      <c r="F36" s="2181"/>
      <c r="G36" s="2181"/>
      <c r="H36" s="2181"/>
      <c r="I36" s="2181"/>
      <c r="J36" s="2181"/>
      <c r="K36" s="2181"/>
      <c r="L36" s="2185"/>
      <c r="M36" s="264">
        <f>SUM(M28:M35)</f>
        <v>0</v>
      </c>
      <c r="N36" s="384">
        <f>SUM(N28:N35)</f>
        <v>0</v>
      </c>
      <c r="O36" s="268">
        <f>SUM(O28:O35)</f>
        <v>0</v>
      </c>
      <c r="P36" s="264">
        <f>SUM(P28:P35)</f>
        <v>0</v>
      </c>
      <c r="Q36" s="384">
        <f>SUM(Q28:Q35)</f>
        <v>0</v>
      </c>
    </row>
    <row r="37" spans="1:17" x14ac:dyDescent="0.25">
      <c r="A37" s="2179" t="s">
        <v>2459</v>
      </c>
      <c r="B37" s="2184"/>
      <c r="C37" s="2181"/>
      <c r="D37" s="2181"/>
      <c r="E37" s="2181"/>
      <c r="F37" s="2181"/>
      <c r="G37" s="2181"/>
      <c r="H37" s="2181"/>
      <c r="I37" s="2181"/>
      <c r="J37" s="2181"/>
      <c r="K37" s="2181"/>
      <c r="L37" s="2185"/>
      <c r="M37" s="185">
        <f>SUM(M7:M22)+SUM(M28:M35)</f>
        <v>0</v>
      </c>
      <c r="N37" s="390">
        <f>SUM(N7:N22)+SUM(N28:N35)</f>
        <v>0</v>
      </c>
      <c r="O37" s="187">
        <f>SUM(O7:O22)+SUM(O28:O35)</f>
        <v>0</v>
      </c>
      <c r="P37" s="185">
        <f>SUM(P7:P22)+SUM(P28:P35)</f>
        <v>0</v>
      </c>
      <c r="Q37" s="390">
        <f>SUM(Q7:Q22)+SUM(Q28:Q35)</f>
        <v>0</v>
      </c>
    </row>
    <row r="38" spans="1:17" ht="11.25" customHeight="1" x14ac:dyDescent="0.25">
      <c r="A38" s="188" t="str">
        <f>head27a</f>
        <v>References</v>
      </c>
      <c r="B38" s="220"/>
    </row>
    <row r="39" spans="1:17" ht="11.25" customHeight="1" x14ac:dyDescent="0.25">
      <c r="A39" s="151" t="s">
        <v>2513</v>
      </c>
      <c r="B39" s="220"/>
    </row>
    <row r="40" spans="1:17" ht="11.25" customHeight="1" x14ac:dyDescent="0.25">
      <c r="A40" s="58" t="s">
        <v>2509</v>
      </c>
    </row>
    <row r="41" spans="1:17" ht="11.25" customHeight="1" x14ac:dyDescent="0.25">
      <c r="A41" s="58" t="s">
        <v>2485</v>
      </c>
    </row>
    <row r="42" spans="1:17" ht="11.25" customHeight="1" x14ac:dyDescent="0.25">
      <c r="A42" s="58" t="s">
        <v>2512</v>
      </c>
      <c r="L42" s="58" t="s">
        <v>1330</v>
      </c>
      <c r="M42" s="982">
        <f>+'A4-FinPerf RE'!E35-'SA38'!M37</f>
        <v>93821279</v>
      </c>
      <c r="N42" s="982">
        <f>+'A4-FinPerf RE'!H35-'SA38'!N37</f>
        <v>142539969</v>
      </c>
      <c r="O42" s="982">
        <f>+'A4-FinPerf RE'!J35-'SA38'!O37</f>
        <v>142902464</v>
      </c>
      <c r="P42" s="982">
        <f>+'A4-FinPerf RE'!K35-'SA38'!P37</f>
        <v>135688050</v>
      </c>
      <c r="Q42" s="982">
        <f>+'A4-FinPerf RE'!L35-'SA38'!Q37</f>
        <v>146622609</v>
      </c>
    </row>
    <row r="43" spans="1:17" x14ac:dyDescent="0.25">
      <c r="J43" s="982"/>
    </row>
    <row r="45" spans="1:17" ht="11.25" customHeight="1" x14ac:dyDescent="0.25"/>
    <row r="46" spans="1:17" ht="11.25" customHeight="1" x14ac:dyDescent="0.25"/>
    <row r="47" spans="1:17" ht="11.25" customHeight="1" x14ac:dyDescent="0.25"/>
    <row r="48" spans="1:17" ht="11.25" customHeight="1" x14ac:dyDescent="0.25"/>
    <row r="49" ht="11.25" customHeight="1" x14ac:dyDescent="0.25"/>
    <row r="50" ht="11.25" customHeight="1" x14ac:dyDescent="0.25"/>
    <row r="51" ht="11.25" customHeight="1" x14ac:dyDescent="0.25"/>
    <row r="52" ht="11.25" customHeight="1" x14ac:dyDescent="0.25"/>
    <row r="53" ht="11.25" customHeight="1" x14ac:dyDescent="0.25"/>
    <row r="54" ht="11.25" customHeight="1" x14ac:dyDescent="0.25"/>
    <row r="55" ht="11.25" customHeight="1" x14ac:dyDescent="0.25"/>
    <row r="56" ht="11.25" customHeight="1" x14ac:dyDescent="0.25"/>
    <row r="57" ht="11.25" customHeight="1" x14ac:dyDescent="0.25"/>
    <row r="58" ht="11.25" customHeight="1" x14ac:dyDescent="0.25"/>
    <row r="59" ht="11.25" customHeight="1" x14ac:dyDescent="0.25"/>
    <row r="60" ht="11.25" customHeight="1" x14ac:dyDescent="0.25"/>
    <row r="61" ht="11.25" customHeight="1" x14ac:dyDescent="0.25"/>
    <row r="62" ht="11.25" customHeight="1" x14ac:dyDescent="0.25"/>
    <row r="63" ht="11.25" customHeight="1" x14ac:dyDescent="0.25"/>
    <row r="64" ht="11.25" customHeight="1" x14ac:dyDescent="0.25"/>
    <row r="65" ht="11.25" customHeight="1" x14ac:dyDescent="0.25"/>
    <row r="66" ht="11.25" customHeight="1" x14ac:dyDescent="0.25"/>
    <row r="67" ht="11.25" customHeight="1" x14ac:dyDescent="0.25"/>
    <row r="70" ht="11.25" customHeight="1" x14ac:dyDescent="0.25"/>
    <row r="71" ht="22.5" customHeight="1" x14ac:dyDescent="0.25"/>
    <row r="74" ht="11.25" customHeight="1" x14ac:dyDescent="0.25"/>
    <row r="75" ht="11.25" customHeight="1" x14ac:dyDescent="0.25"/>
    <row r="76" ht="11.25" customHeight="1" x14ac:dyDescent="0.25"/>
    <row r="77" ht="11.25" customHeight="1" x14ac:dyDescent="0.25"/>
    <row r="78" ht="11.25" customHeight="1" x14ac:dyDescent="0.25"/>
    <row r="79" ht="11.25" customHeight="1" x14ac:dyDescent="0.25"/>
    <row r="80" ht="11.25" customHeight="1" x14ac:dyDescent="0.25"/>
    <row r="81" ht="11.25" customHeight="1" x14ac:dyDescent="0.25"/>
    <row r="82" ht="11.25" customHeight="1" x14ac:dyDescent="0.25"/>
    <row r="83" ht="11.25" customHeight="1" x14ac:dyDescent="0.25"/>
    <row r="84" ht="11.25" customHeight="1" x14ac:dyDescent="0.25"/>
    <row r="85" ht="11.25" customHeight="1" x14ac:dyDescent="0.25"/>
    <row r="86" ht="11.25" customHeight="1" x14ac:dyDescent="0.25"/>
    <row r="87" ht="11.25" customHeight="1" x14ac:dyDescent="0.25"/>
    <row r="88" ht="11.25" customHeight="1" x14ac:dyDescent="0.25"/>
    <row r="89" ht="11.25" customHeight="1" x14ac:dyDescent="0.25"/>
    <row r="90" ht="11.25" customHeight="1" x14ac:dyDescent="0.25"/>
    <row r="91" ht="11.25" customHeight="1" x14ac:dyDescent="0.25"/>
    <row r="92" ht="11.25" customHeight="1" x14ac:dyDescent="0.25"/>
    <row r="93" ht="11.25" customHeight="1" x14ac:dyDescent="0.25"/>
    <row r="94" ht="11.25" customHeight="1" x14ac:dyDescent="0.25"/>
    <row r="95" ht="11.25" customHeight="1" x14ac:dyDescent="0.25"/>
    <row r="96" ht="11.25" customHeight="1" x14ac:dyDescent="0.25"/>
    <row r="97" ht="11.25" customHeight="1" x14ac:dyDescent="0.25"/>
    <row r="98" ht="11.25" customHeight="1" x14ac:dyDescent="0.25"/>
    <row r="99" ht="11.25" customHeight="1" x14ac:dyDescent="0.25"/>
    <row r="100" ht="11.25" customHeight="1" x14ac:dyDescent="0.25"/>
    <row r="101" ht="11.25" customHeight="1" x14ac:dyDescent="0.25"/>
    <row r="102" ht="11.25" customHeight="1" x14ac:dyDescent="0.25"/>
    <row r="103" ht="11.25" customHeight="1" x14ac:dyDescent="0.25"/>
    <row r="104" ht="11.25" customHeight="1" x14ac:dyDescent="0.25"/>
    <row r="105" ht="11.25" customHeight="1" x14ac:dyDescent="0.25"/>
    <row r="106" ht="11.25" customHeight="1" x14ac:dyDescent="0.25"/>
    <row r="107" ht="11.25" customHeight="1" x14ac:dyDescent="0.25"/>
    <row r="108" ht="11.25" customHeight="1" x14ac:dyDescent="0.25"/>
    <row r="109" ht="11.25" customHeight="1" x14ac:dyDescent="0.25"/>
    <row r="110" ht="11.25" customHeight="1" x14ac:dyDescent="0.25"/>
  </sheetData>
  <sheetProtection algorithmName="SHA-512" hashValue="Hx+23JCxO6uiYyHTOJP6aO3qEoUgY9q/jInSYZfag+XvG1GIKkjdp3ZrgmQiK3YwsSKkBs7hRSOGFrLXxOXW5Q==" saltValue="h8Ee0IQT0kUyvEC04kyO+g==" spinCount="100000" sheet="1" objects="1" scenarios="1"/>
  <mergeCells count="2">
    <mergeCell ref="M2:N2"/>
    <mergeCell ref="O2:Q2"/>
  </mergeCells>
  <dataValidations disablePrompts="1" count="5">
    <dataValidation type="list" allowBlank="1" showInputMessage="1" showErrorMessage="1" promptTitle="Select Asset Class" prompt="Select asset class from list" sqref="H28:H35 H7:H22" xr:uid="{00000000-0002-0000-3F00-000000000000}">
      <formula1>asset_class1</formula1>
    </dataValidation>
    <dataValidation type="list" allowBlank="1" showInputMessage="1" showErrorMessage="1" promptTitle="Select Asset Sub-Class" prompt="Select asset sub class from list" sqref="I28:I35 I7:I22" xr:uid="{00000000-0002-0000-3F00-000001000000}">
      <formula1>asset_subclass1</formula1>
    </dataValidation>
    <dataValidation type="list" allowBlank="1" showInputMessage="1" showErrorMessage="1" promptTitle="Select MTSF Service Outcome" prompt="Select MTSF from list" sqref="E28:E35 E7:E22" xr:uid="{00000000-0002-0000-3F00-000002000000}">
      <formula1>MTSF</formula1>
    </dataValidation>
    <dataValidation type="list" allowBlank="1" showInputMessage="1" showErrorMessage="1" promptTitle="Select IUDF" prompt="Select IUDF from list" sqref="F7:F22 F28:F35" xr:uid="{00000000-0002-0000-3F00-000003000000}">
      <formula1>IUDF</formula1>
    </dataValidation>
    <dataValidation type="list" allowBlank="1" showInputMessage="1" showErrorMessage="1" sqref="D7:D22 D28:D35" xr:uid="{00000000-0002-0000-3F00-000004000000}">
      <formula1>"Corrective Maintenance,Preventative Maintenance,Work streams,New,Renewal,Upgrading"</formula1>
    </dataValidation>
  </dataValidations>
  <printOptions horizontalCentered="1"/>
  <pageMargins left="0" right="0" top="0.78740157480314965" bottom="0.59055118110236227" header="0.51181102362204722" footer="0.39370078740157483"/>
  <pageSetup paperSize="9" scale="60" orientation="landscape" r:id="rId1"/>
  <headerFooter alignWithMargins="0"/>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Sheet2"/>
  <dimension ref="A1:W2876"/>
  <sheetViews>
    <sheetView view="pageBreakPreview" topLeftCell="A2843" zoomScale="90" zoomScaleNormal="100" zoomScaleSheetLayoutView="90" workbookViewId="0"/>
  </sheetViews>
  <sheetFormatPr defaultColWidth="8.7109375" defaultRowHeight="12.75" x14ac:dyDescent="0.2"/>
  <cols>
    <col min="1" max="5" width="8.7109375" customWidth="1"/>
    <col min="6" max="6" width="62.28515625" customWidth="1"/>
    <col min="7" max="22" width="13.7109375" customWidth="1"/>
  </cols>
  <sheetData>
    <row r="1" spans="1:23" x14ac:dyDescent="0.2">
      <c r="A1" s="2" t="s">
        <v>2207</v>
      </c>
      <c r="B1" s="2" t="s">
        <v>2208</v>
      </c>
      <c r="C1" s="2" t="s">
        <v>2209</v>
      </c>
      <c r="D1" s="2" t="s">
        <v>2210</v>
      </c>
      <c r="E1" s="2" t="s">
        <v>2211</v>
      </c>
      <c r="F1" s="2" t="s">
        <v>2212</v>
      </c>
      <c r="G1" s="2"/>
      <c r="H1" s="2"/>
      <c r="I1" s="2"/>
      <c r="J1" s="2"/>
      <c r="K1" s="2"/>
      <c r="L1" s="2"/>
      <c r="M1" s="2"/>
      <c r="N1" s="2"/>
      <c r="O1" s="2"/>
      <c r="P1" s="2"/>
      <c r="Q1" s="2"/>
      <c r="R1" s="2"/>
      <c r="S1" s="2"/>
      <c r="T1" s="2"/>
      <c r="U1" s="2"/>
      <c r="V1" s="2"/>
      <c r="W1" t="s">
        <v>2047</v>
      </c>
    </row>
    <row r="2" spans="1:23" ht="13.15" customHeight="1" x14ac:dyDescent="0.2">
      <c r="A2" s="2" t="s">
        <v>2045</v>
      </c>
      <c r="B2" s="2">
        <f t="shared" ref="B2:B65" si="0">+MTREF</f>
        <v>2022</v>
      </c>
      <c r="C2" s="2" t="str">
        <f t="shared" ref="C2:C65" si="1">LEFT(muni,(FIND(" ",muni,1)-1))</f>
        <v>KZN226</v>
      </c>
      <c r="D2" s="588" t="s">
        <v>2046</v>
      </c>
      <c r="E2" s="2">
        <v>1</v>
      </c>
      <c r="F2" s="2" t="s">
        <v>172</v>
      </c>
      <c r="G2" s="589"/>
      <c r="H2" s="589"/>
      <c r="I2" s="589"/>
      <c r="J2" s="589"/>
      <c r="K2" s="589"/>
      <c r="L2" s="589"/>
      <c r="M2" s="589"/>
      <c r="N2" s="589"/>
      <c r="O2" s="589"/>
      <c r="P2" s="2"/>
      <c r="W2" t="s">
        <v>2047</v>
      </c>
    </row>
    <row r="3" spans="1:23" ht="13.15" customHeight="1" x14ac:dyDescent="0.2">
      <c r="A3" s="2" t="s">
        <v>2045</v>
      </c>
      <c r="B3" s="2">
        <f t="shared" si="0"/>
        <v>2022</v>
      </c>
      <c r="C3" s="2" t="str">
        <f t="shared" si="1"/>
        <v>KZN226</v>
      </c>
      <c r="D3" s="588" t="s">
        <v>2048</v>
      </c>
      <c r="E3" s="2">
        <v>2</v>
      </c>
      <c r="F3" s="2" t="s">
        <v>1609</v>
      </c>
      <c r="G3" s="589"/>
      <c r="H3" s="589"/>
      <c r="I3" s="589"/>
      <c r="J3" s="589"/>
      <c r="K3" s="589"/>
      <c r="L3" s="589"/>
      <c r="M3" s="589"/>
      <c r="N3" s="589"/>
      <c r="O3" s="589"/>
      <c r="P3" s="2"/>
      <c r="W3" t="s">
        <v>2047</v>
      </c>
    </row>
    <row r="4" spans="1:23" ht="13.15" customHeight="1" x14ac:dyDescent="0.2">
      <c r="A4" s="2" t="s">
        <v>2045</v>
      </c>
      <c r="B4" s="2">
        <f t="shared" si="0"/>
        <v>2022</v>
      </c>
      <c r="C4" s="2" t="str">
        <f t="shared" si="1"/>
        <v>KZN226</v>
      </c>
      <c r="D4" s="588" t="s">
        <v>2049</v>
      </c>
      <c r="E4" s="2">
        <v>3</v>
      </c>
      <c r="F4" s="2" t="s">
        <v>1442</v>
      </c>
      <c r="G4" s="589"/>
      <c r="H4" s="589"/>
      <c r="I4" s="589"/>
      <c r="J4" s="589"/>
      <c r="K4" s="589"/>
      <c r="L4" s="589"/>
      <c r="M4" s="589"/>
      <c r="N4" s="589"/>
      <c r="O4" s="589"/>
      <c r="P4" s="2"/>
      <c r="W4" t="s">
        <v>2047</v>
      </c>
    </row>
    <row r="5" spans="1:23" ht="13.15" customHeight="1" x14ac:dyDescent="0.2">
      <c r="A5" s="2" t="s">
        <v>2045</v>
      </c>
      <c r="B5" s="2">
        <f t="shared" si="0"/>
        <v>2022</v>
      </c>
      <c r="C5" s="2" t="str">
        <f t="shared" si="1"/>
        <v>KZN226</v>
      </c>
      <c r="D5" s="588" t="s">
        <v>2050</v>
      </c>
      <c r="E5" s="2">
        <v>4</v>
      </c>
      <c r="F5" s="2" t="s">
        <v>1608</v>
      </c>
      <c r="G5" s="589"/>
      <c r="H5" s="589"/>
      <c r="I5" s="589"/>
      <c r="J5" s="589"/>
      <c r="K5" s="589"/>
      <c r="L5" s="589"/>
      <c r="M5" s="589"/>
      <c r="N5" s="589"/>
      <c r="O5" s="589"/>
      <c r="P5" s="2"/>
      <c r="W5" t="s">
        <v>2047</v>
      </c>
    </row>
    <row r="6" spans="1:23" ht="13.15" customHeight="1" x14ac:dyDescent="0.2">
      <c r="A6" s="2" t="s">
        <v>2045</v>
      </c>
      <c r="B6" s="2">
        <f t="shared" si="0"/>
        <v>2022</v>
      </c>
      <c r="C6" s="2" t="str">
        <f t="shared" si="1"/>
        <v>KZN226</v>
      </c>
      <c r="D6" s="588" t="s">
        <v>2051</v>
      </c>
      <c r="E6" s="2">
        <v>5</v>
      </c>
      <c r="F6" s="2" t="s">
        <v>111</v>
      </c>
      <c r="G6" s="589"/>
      <c r="H6" s="589"/>
      <c r="I6" s="589"/>
      <c r="J6" s="589"/>
      <c r="K6" s="589"/>
      <c r="L6" s="589"/>
      <c r="M6" s="589"/>
      <c r="N6" s="589"/>
      <c r="O6" s="589"/>
      <c r="P6" s="2"/>
      <c r="W6" t="s">
        <v>2047</v>
      </c>
    </row>
    <row r="7" spans="1:23" ht="13.15" customHeight="1" x14ac:dyDescent="0.2">
      <c r="A7" s="2" t="s">
        <v>2045</v>
      </c>
      <c r="B7" s="2">
        <f t="shared" si="0"/>
        <v>2022</v>
      </c>
      <c r="C7" s="2" t="str">
        <f t="shared" si="1"/>
        <v>KZN226</v>
      </c>
      <c r="D7" s="588" t="s">
        <v>2052</v>
      </c>
      <c r="E7" s="2">
        <v>6</v>
      </c>
      <c r="F7" s="2" t="s">
        <v>112</v>
      </c>
      <c r="G7" s="589"/>
      <c r="H7" s="589"/>
      <c r="I7" s="589"/>
      <c r="J7" s="589"/>
      <c r="K7" s="589"/>
      <c r="L7" s="589"/>
      <c r="M7" s="589"/>
      <c r="N7" s="589"/>
      <c r="O7" s="589"/>
      <c r="P7" s="2"/>
      <c r="W7" t="s">
        <v>2047</v>
      </c>
    </row>
    <row r="8" spans="1:23" ht="13.15" customHeight="1" x14ac:dyDescent="0.2">
      <c r="A8" s="2" t="s">
        <v>2045</v>
      </c>
      <c r="B8" s="2">
        <f t="shared" si="0"/>
        <v>2022</v>
      </c>
      <c r="C8" s="2" t="str">
        <f t="shared" si="1"/>
        <v>KZN226</v>
      </c>
      <c r="D8" s="588" t="s">
        <v>2053</v>
      </c>
      <c r="E8" s="2">
        <v>7</v>
      </c>
      <c r="F8" s="2" t="s">
        <v>323</v>
      </c>
      <c r="G8" s="589"/>
      <c r="H8" s="589"/>
      <c r="I8" s="589"/>
      <c r="J8" s="589"/>
      <c r="K8" s="589"/>
      <c r="L8" s="589"/>
      <c r="M8" s="589"/>
      <c r="N8" s="589"/>
      <c r="O8" s="589"/>
      <c r="P8" s="2"/>
      <c r="W8" t="s">
        <v>2047</v>
      </c>
    </row>
    <row r="9" spans="1:23" ht="13.15" customHeight="1" x14ac:dyDescent="0.2">
      <c r="A9" s="2" t="s">
        <v>2045</v>
      </c>
      <c r="B9" s="2">
        <f t="shared" si="0"/>
        <v>2022</v>
      </c>
      <c r="C9" s="2" t="str">
        <f t="shared" si="1"/>
        <v>KZN226</v>
      </c>
      <c r="D9" s="588" t="s">
        <v>2054</v>
      </c>
      <c r="E9" s="2">
        <v>8</v>
      </c>
      <c r="F9" s="2" t="s">
        <v>434</v>
      </c>
      <c r="G9" s="589"/>
      <c r="H9" s="589"/>
      <c r="I9" s="589"/>
      <c r="J9" s="589"/>
      <c r="K9" s="589"/>
      <c r="L9" s="589"/>
      <c r="M9" s="589"/>
      <c r="N9" s="589"/>
      <c r="O9" s="589"/>
      <c r="P9" s="2"/>
      <c r="W9" t="s">
        <v>2047</v>
      </c>
    </row>
    <row r="10" spans="1:23" ht="13.15" customHeight="1" x14ac:dyDescent="0.2">
      <c r="A10" s="2" t="s">
        <v>2045</v>
      </c>
      <c r="B10" s="2">
        <f t="shared" si="0"/>
        <v>2022</v>
      </c>
      <c r="C10" s="2" t="str">
        <f t="shared" si="1"/>
        <v>KZN226</v>
      </c>
      <c r="D10" s="588" t="s">
        <v>2055</v>
      </c>
      <c r="E10" s="2">
        <v>9</v>
      </c>
      <c r="F10" s="2" t="s">
        <v>435</v>
      </c>
      <c r="G10" s="589"/>
      <c r="H10" s="589"/>
      <c r="I10" s="589"/>
      <c r="J10" s="589"/>
      <c r="K10" s="589"/>
      <c r="L10" s="589"/>
      <c r="M10" s="589"/>
      <c r="N10" s="589"/>
      <c r="O10" s="589"/>
      <c r="P10" s="2"/>
      <c r="W10" t="s">
        <v>2047</v>
      </c>
    </row>
    <row r="11" spans="1:23" ht="13.15" customHeight="1" x14ac:dyDescent="0.2">
      <c r="A11" s="2" t="s">
        <v>2045</v>
      </c>
      <c r="B11" s="2">
        <f t="shared" si="0"/>
        <v>2022</v>
      </c>
      <c r="C11" s="2" t="str">
        <f t="shared" si="1"/>
        <v>KZN226</v>
      </c>
      <c r="D11" s="588" t="s">
        <v>2056</v>
      </c>
      <c r="E11" s="2">
        <v>10</v>
      </c>
      <c r="F11" s="2" t="s">
        <v>835</v>
      </c>
      <c r="G11" s="589"/>
      <c r="H11" s="589"/>
      <c r="I11" s="589"/>
      <c r="J11" s="589"/>
      <c r="K11" s="589"/>
      <c r="L11" s="589"/>
      <c r="M11" s="589"/>
      <c r="N11" s="589"/>
      <c r="O11" s="589"/>
      <c r="P11" s="2"/>
      <c r="W11" t="s">
        <v>2047</v>
      </c>
    </row>
    <row r="12" spans="1:23" ht="13.15" customHeight="1" x14ac:dyDescent="0.2">
      <c r="A12" s="2" t="s">
        <v>2045</v>
      </c>
      <c r="B12" s="2">
        <f t="shared" si="0"/>
        <v>2022</v>
      </c>
      <c r="C12" s="2" t="str">
        <f t="shared" si="1"/>
        <v>KZN226</v>
      </c>
      <c r="D12" s="588" t="s">
        <v>2057</v>
      </c>
      <c r="E12" s="2">
        <v>11</v>
      </c>
      <c r="F12" s="2" t="s">
        <v>1124</v>
      </c>
      <c r="G12" s="589"/>
      <c r="H12" s="589"/>
      <c r="I12" s="589"/>
      <c r="J12" s="589"/>
      <c r="K12" s="589"/>
      <c r="L12" s="589"/>
      <c r="M12" s="589"/>
      <c r="N12" s="589"/>
      <c r="O12" s="589"/>
      <c r="P12" s="2"/>
      <c r="W12" t="s">
        <v>2047</v>
      </c>
    </row>
    <row r="13" spans="1:23" ht="13.15" customHeight="1" x14ac:dyDescent="0.2">
      <c r="A13" s="2" t="s">
        <v>2045</v>
      </c>
      <c r="B13" s="2">
        <f t="shared" si="0"/>
        <v>2022</v>
      </c>
      <c r="C13" s="2" t="str">
        <f t="shared" si="1"/>
        <v>KZN226</v>
      </c>
      <c r="D13" s="588" t="s">
        <v>2058</v>
      </c>
      <c r="E13" s="2">
        <v>12</v>
      </c>
      <c r="F13" s="2" t="s">
        <v>1160</v>
      </c>
      <c r="G13" s="589"/>
      <c r="H13" s="589"/>
      <c r="I13" s="589"/>
      <c r="J13" s="589"/>
      <c r="K13" s="589"/>
      <c r="L13" s="589"/>
      <c r="M13" s="589"/>
      <c r="N13" s="589"/>
      <c r="O13" s="589"/>
      <c r="P13" s="2"/>
      <c r="W13" t="s">
        <v>2047</v>
      </c>
    </row>
    <row r="14" spans="1:23" ht="13.15" customHeight="1" x14ac:dyDescent="0.2">
      <c r="A14" s="2" t="s">
        <v>2045</v>
      </c>
      <c r="B14" s="2">
        <f t="shared" si="0"/>
        <v>2022</v>
      </c>
      <c r="C14" s="2" t="str">
        <f t="shared" si="1"/>
        <v>KZN226</v>
      </c>
      <c r="D14" s="588" t="s">
        <v>2059</v>
      </c>
      <c r="E14" s="2">
        <v>13</v>
      </c>
      <c r="F14" s="2" t="s">
        <v>1161</v>
      </c>
      <c r="G14" s="589"/>
      <c r="H14" s="589"/>
      <c r="I14" s="589"/>
      <c r="J14" s="589"/>
      <c r="K14" s="589"/>
      <c r="L14" s="589"/>
      <c r="M14" s="589"/>
      <c r="N14" s="589"/>
      <c r="O14" s="589"/>
      <c r="P14" s="2"/>
      <c r="W14" t="s">
        <v>2047</v>
      </c>
    </row>
    <row r="15" spans="1:23" ht="13.15" customHeight="1" x14ac:dyDescent="0.2">
      <c r="A15" s="2" t="s">
        <v>2045</v>
      </c>
      <c r="B15" s="2">
        <f t="shared" si="0"/>
        <v>2022</v>
      </c>
      <c r="C15" s="2" t="str">
        <f t="shared" si="1"/>
        <v>KZN226</v>
      </c>
      <c r="D15" s="588" t="s">
        <v>2060</v>
      </c>
      <c r="E15" s="2">
        <v>14</v>
      </c>
      <c r="F15" s="2" t="s">
        <v>1162</v>
      </c>
      <c r="G15" s="589"/>
      <c r="H15" s="589"/>
      <c r="I15" s="589"/>
      <c r="J15" s="589"/>
      <c r="K15" s="589"/>
      <c r="L15" s="589"/>
      <c r="M15" s="589"/>
      <c r="N15" s="589"/>
      <c r="O15" s="589"/>
      <c r="P15" s="2"/>
      <c r="W15" t="s">
        <v>2047</v>
      </c>
    </row>
    <row r="16" spans="1:23" ht="13.15" customHeight="1" x14ac:dyDescent="0.2">
      <c r="A16" s="2" t="s">
        <v>2045</v>
      </c>
      <c r="B16" s="2">
        <f t="shared" si="0"/>
        <v>2022</v>
      </c>
      <c r="C16" s="2" t="str">
        <f t="shared" si="1"/>
        <v>KZN226</v>
      </c>
      <c r="D16" s="588" t="s">
        <v>2061</v>
      </c>
      <c r="E16" s="2">
        <v>15</v>
      </c>
      <c r="F16" s="2" t="s">
        <v>1163</v>
      </c>
      <c r="G16" s="589"/>
      <c r="H16" s="589"/>
      <c r="I16" s="589"/>
      <c r="J16" s="589"/>
      <c r="K16" s="589"/>
      <c r="L16" s="589"/>
      <c r="M16" s="589"/>
      <c r="N16" s="589"/>
      <c r="O16" s="589"/>
      <c r="P16" s="2"/>
      <c r="W16" t="s">
        <v>2047</v>
      </c>
    </row>
    <row r="17" spans="1:23" ht="13.15" customHeight="1" x14ac:dyDescent="0.2">
      <c r="A17" s="2" t="s">
        <v>2045</v>
      </c>
      <c r="B17" s="2">
        <f t="shared" si="0"/>
        <v>2022</v>
      </c>
      <c r="C17" s="2" t="str">
        <f t="shared" si="1"/>
        <v>KZN226</v>
      </c>
      <c r="D17" s="588" t="s">
        <v>2062</v>
      </c>
      <c r="E17" s="2">
        <v>16</v>
      </c>
      <c r="F17" s="2" t="s">
        <v>1228</v>
      </c>
      <c r="G17" s="589"/>
      <c r="H17" s="589"/>
      <c r="I17" s="589"/>
      <c r="J17" s="589"/>
      <c r="K17" s="589"/>
      <c r="L17" s="589"/>
      <c r="M17" s="589"/>
      <c r="N17" s="589"/>
      <c r="O17" s="589"/>
      <c r="P17" s="2"/>
      <c r="W17" t="s">
        <v>2047</v>
      </c>
    </row>
    <row r="18" spans="1:23" ht="13.15" customHeight="1" x14ac:dyDescent="0.2">
      <c r="A18" s="2" t="s">
        <v>2045</v>
      </c>
      <c r="B18" s="2">
        <f t="shared" si="0"/>
        <v>2022</v>
      </c>
      <c r="C18" s="2" t="str">
        <f t="shared" si="1"/>
        <v>KZN226</v>
      </c>
      <c r="D18" s="588" t="s">
        <v>2063</v>
      </c>
      <c r="E18" s="2">
        <v>17</v>
      </c>
      <c r="F18" s="2" t="s">
        <v>211</v>
      </c>
      <c r="G18" s="589"/>
      <c r="H18" s="589"/>
      <c r="I18" s="589"/>
      <c r="J18" s="589"/>
      <c r="K18" s="589"/>
      <c r="L18" s="589"/>
      <c r="M18" s="589"/>
      <c r="N18" s="589"/>
      <c r="O18" s="589"/>
      <c r="P18" s="2"/>
      <c r="W18" t="s">
        <v>2047</v>
      </c>
    </row>
    <row r="19" spans="1:23" ht="13.15" customHeight="1" x14ac:dyDescent="0.2">
      <c r="A19" s="2" t="s">
        <v>2045</v>
      </c>
      <c r="B19" s="2">
        <f t="shared" si="0"/>
        <v>2022</v>
      </c>
      <c r="C19" s="2" t="str">
        <f t="shared" si="1"/>
        <v>KZN226</v>
      </c>
      <c r="D19" s="588" t="s">
        <v>2064</v>
      </c>
      <c r="E19" s="2">
        <v>18</v>
      </c>
      <c r="F19" s="2" t="s">
        <v>213</v>
      </c>
      <c r="G19" s="589"/>
      <c r="H19" s="589"/>
      <c r="I19" s="589"/>
      <c r="J19" s="589"/>
      <c r="K19" s="589"/>
      <c r="L19" s="589"/>
      <c r="M19" s="589"/>
      <c r="N19" s="589"/>
      <c r="O19" s="589"/>
      <c r="P19" s="2"/>
      <c r="W19" t="s">
        <v>2047</v>
      </c>
    </row>
    <row r="20" spans="1:23" ht="13.15" customHeight="1" x14ac:dyDescent="0.2">
      <c r="A20" s="2" t="s">
        <v>2045</v>
      </c>
      <c r="B20" s="2">
        <f t="shared" si="0"/>
        <v>2022</v>
      </c>
      <c r="C20" s="2" t="str">
        <f t="shared" si="1"/>
        <v>KZN226</v>
      </c>
      <c r="D20" s="588" t="s">
        <v>2065</v>
      </c>
      <c r="E20" s="2">
        <v>19</v>
      </c>
      <c r="F20" s="2" t="s">
        <v>323</v>
      </c>
      <c r="G20" s="589"/>
      <c r="H20" s="589"/>
      <c r="I20" s="589"/>
      <c r="J20" s="589"/>
      <c r="K20" s="589"/>
      <c r="L20" s="589"/>
      <c r="M20" s="589"/>
      <c r="N20" s="589"/>
      <c r="O20" s="589"/>
      <c r="P20" s="2"/>
      <c r="W20" t="s">
        <v>2047</v>
      </c>
    </row>
    <row r="21" spans="1:23" ht="13.15" customHeight="1" x14ac:dyDescent="0.2">
      <c r="A21" s="2" t="s">
        <v>2045</v>
      </c>
      <c r="B21" s="2">
        <f t="shared" si="0"/>
        <v>2022</v>
      </c>
      <c r="C21" s="2" t="str">
        <f t="shared" si="1"/>
        <v>KZN226</v>
      </c>
      <c r="D21" s="588" t="s">
        <v>2066</v>
      </c>
      <c r="E21" s="2">
        <v>20</v>
      </c>
      <c r="F21" s="2" t="s">
        <v>212</v>
      </c>
      <c r="G21" s="589"/>
      <c r="H21" s="589"/>
      <c r="I21" s="589"/>
      <c r="J21" s="589"/>
      <c r="K21" s="589"/>
      <c r="L21" s="589"/>
      <c r="M21" s="589"/>
      <c r="N21" s="589"/>
      <c r="O21" s="589"/>
      <c r="P21" s="2"/>
      <c r="W21" t="s">
        <v>2047</v>
      </c>
    </row>
    <row r="22" spans="1:23" ht="13.15" customHeight="1" x14ac:dyDescent="0.2">
      <c r="A22" s="2" t="s">
        <v>2045</v>
      </c>
      <c r="B22" s="2">
        <f t="shared" si="0"/>
        <v>2022</v>
      </c>
      <c r="C22" s="2" t="str">
        <f t="shared" si="1"/>
        <v>KZN226</v>
      </c>
      <c r="D22" s="588" t="s">
        <v>2067</v>
      </c>
      <c r="E22" s="2">
        <v>21</v>
      </c>
      <c r="F22" s="2" t="s">
        <v>1071</v>
      </c>
      <c r="G22" s="589"/>
      <c r="H22" s="589"/>
      <c r="I22" s="589"/>
      <c r="J22" s="589"/>
      <c r="K22" s="589"/>
      <c r="L22" s="589"/>
      <c r="M22" s="589"/>
      <c r="N22" s="589"/>
      <c r="O22" s="589"/>
      <c r="P22" s="2"/>
      <c r="W22" t="s">
        <v>2047</v>
      </c>
    </row>
    <row r="23" spans="1:23" ht="13.15" customHeight="1" x14ac:dyDescent="0.2">
      <c r="A23" s="2" t="s">
        <v>2045</v>
      </c>
      <c r="B23" s="2">
        <f t="shared" si="0"/>
        <v>2022</v>
      </c>
      <c r="C23" s="2" t="str">
        <f t="shared" si="1"/>
        <v>KZN226</v>
      </c>
      <c r="D23" s="588" t="s">
        <v>2068</v>
      </c>
      <c r="E23" s="2">
        <v>22</v>
      </c>
      <c r="F23" s="2" t="s">
        <v>1230</v>
      </c>
      <c r="G23" s="589"/>
      <c r="H23" s="589"/>
      <c r="I23" s="589"/>
      <c r="J23" s="589"/>
      <c r="K23" s="589"/>
      <c r="L23" s="589"/>
      <c r="M23" s="589"/>
      <c r="N23" s="589"/>
      <c r="O23" s="589"/>
      <c r="P23" s="2"/>
      <c r="W23" t="s">
        <v>2047</v>
      </c>
    </row>
    <row r="24" spans="1:23" ht="13.15" customHeight="1" x14ac:dyDescent="0.2">
      <c r="A24" s="2" t="s">
        <v>2045</v>
      </c>
      <c r="B24" s="2">
        <f t="shared" si="0"/>
        <v>2022</v>
      </c>
      <c r="C24" s="2" t="str">
        <f t="shared" si="1"/>
        <v>KZN226</v>
      </c>
      <c r="D24" s="588" t="s">
        <v>2069</v>
      </c>
      <c r="E24" s="2">
        <v>23</v>
      </c>
      <c r="F24" s="2" t="s">
        <v>1124</v>
      </c>
      <c r="G24" s="589"/>
      <c r="H24" s="589"/>
      <c r="I24" s="589"/>
      <c r="J24" s="589"/>
      <c r="K24" s="589"/>
      <c r="L24" s="589"/>
      <c r="M24" s="589"/>
      <c r="N24" s="589"/>
      <c r="O24" s="589"/>
      <c r="P24" s="2"/>
      <c r="W24" t="s">
        <v>2047</v>
      </c>
    </row>
    <row r="25" spans="1:23" ht="13.15" customHeight="1" x14ac:dyDescent="0.2">
      <c r="A25" s="2" t="s">
        <v>2045</v>
      </c>
      <c r="B25" s="2">
        <f t="shared" si="0"/>
        <v>2022</v>
      </c>
      <c r="C25" s="2" t="str">
        <f t="shared" si="1"/>
        <v>KZN226</v>
      </c>
      <c r="D25" s="588" t="s">
        <v>2070</v>
      </c>
      <c r="E25" s="2">
        <v>24</v>
      </c>
      <c r="F25" s="2" t="s">
        <v>1160</v>
      </c>
      <c r="G25" s="589"/>
      <c r="H25" s="589"/>
      <c r="I25" s="589"/>
      <c r="J25" s="589"/>
      <c r="K25" s="589"/>
      <c r="L25" s="589"/>
      <c r="M25" s="589"/>
      <c r="N25" s="589"/>
      <c r="O25" s="589"/>
      <c r="P25" s="2"/>
      <c r="W25" t="s">
        <v>2047</v>
      </c>
    </row>
    <row r="26" spans="1:23" ht="13.15" customHeight="1" x14ac:dyDescent="0.2">
      <c r="A26" s="2" t="s">
        <v>2045</v>
      </c>
      <c r="B26" s="2">
        <f t="shared" si="0"/>
        <v>2022</v>
      </c>
      <c r="C26" s="2" t="str">
        <f t="shared" si="1"/>
        <v>KZN226</v>
      </c>
      <c r="D26" s="588" t="s">
        <v>2071</v>
      </c>
      <c r="E26" s="2">
        <v>25</v>
      </c>
      <c r="F26" s="2" t="s">
        <v>589</v>
      </c>
      <c r="G26" s="589"/>
      <c r="H26" s="589"/>
      <c r="I26" s="589"/>
      <c r="J26" s="589"/>
      <c r="K26" s="589"/>
      <c r="L26" s="589"/>
      <c r="M26" s="589"/>
      <c r="N26" s="589"/>
      <c r="O26" s="589"/>
      <c r="P26" s="2"/>
      <c r="W26" t="s">
        <v>2047</v>
      </c>
    </row>
    <row r="27" spans="1:23" ht="13.15" customHeight="1" x14ac:dyDescent="0.2">
      <c r="A27" s="2" t="s">
        <v>2045</v>
      </c>
      <c r="B27" s="2">
        <f t="shared" si="0"/>
        <v>2022</v>
      </c>
      <c r="C27" s="2" t="str">
        <f t="shared" si="1"/>
        <v>KZN226</v>
      </c>
      <c r="D27" s="588" t="s">
        <v>2072</v>
      </c>
      <c r="E27" s="2">
        <v>26</v>
      </c>
      <c r="F27" s="2" t="s">
        <v>1072</v>
      </c>
      <c r="G27" s="589"/>
      <c r="H27" s="589"/>
      <c r="I27" s="589"/>
      <c r="J27" s="589"/>
      <c r="K27" s="589"/>
      <c r="L27" s="589"/>
      <c r="M27" s="589"/>
      <c r="N27" s="589"/>
      <c r="O27" s="589"/>
      <c r="P27" s="2"/>
      <c r="W27" t="s">
        <v>2047</v>
      </c>
    </row>
    <row r="28" spans="1:23" ht="13.15" customHeight="1" x14ac:dyDescent="0.2">
      <c r="A28" s="2" t="s">
        <v>2045</v>
      </c>
      <c r="B28" s="2">
        <f t="shared" si="0"/>
        <v>2022</v>
      </c>
      <c r="C28" s="2" t="str">
        <f t="shared" si="1"/>
        <v>KZN226</v>
      </c>
      <c r="D28" s="588" t="s">
        <v>2073</v>
      </c>
      <c r="E28" s="2">
        <v>27</v>
      </c>
      <c r="F28" s="2" t="s">
        <v>436</v>
      </c>
      <c r="G28" s="589"/>
      <c r="H28" s="589"/>
      <c r="I28" s="589"/>
      <c r="J28" s="589"/>
      <c r="K28" s="589"/>
      <c r="L28" s="589"/>
      <c r="M28" s="589"/>
      <c r="N28" s="589"/>
      <c r="O28" s="589"/>
      <c r="P28" s="2"/>
      <c r="W28" t="s">
        <v>2047</v>
      </c>
    </row>
    <row r="29" spans="1:23" ht="13.15" customHeight="1" x14ac:dyDescent="0.2">
      <c r="A29" s="2" t="s">
        <v>2045</v>
      </c>
      <c r="B29" s="2">
        <f t="shared" si="0"/>
        <v>2022</v>
      </c>
      <c r="C29" s="2" t="str">
        <f t="shared" si="1"/>
        <v>KZN226</v>
      </c>
      <c r="D29" s="588" t="s">
        <v>2074</v>
      </c>
      <c r="E29" s="2">
        <v>28</v>
      </c>
      <c r="F29" s="2" t="s">
        <v>323</v>
      </c>
      <c r="G29" s="589"/>
      <c r="H29" s="589"/>
      <c r="I29" s="589"/>
      <c r="J29" s="589"/>
      <c r="K29" s="589"/>
      <c r="L29" s="589"/>
      <c r="M29" s="589"/>
      <c r="N29" s="589"/>
      <c r="O29" s="589"/>
      <c r="P29" s="2"/>
      <c r="W29" t="s">
        <v>2047</v>
      </c>
    </row>
    <row r="30" spans="1:23" ht="13.15" customHeight="1" x14ac:dyDescent="0.2">
      <c r="A30" s="2" t="s">
        <v>2045</v>
      </c>
      <c r="B30" s="2">
        <f t="shared" si="0"/>
        <v>2022</v>
      </c>
      <c r="C30" s="2" t="str">
        <f t="shared" si="1"/>
        <v>KZN226</v>
      </c>
      <c r="D30" s="588" t="s">
        <v>2075</v>
      </c>
      <c r="E30" s="2">
        <v>29</v>
      </c>
      <c r="F30" s="2" t="s">
        <v>437</v>
      </c>
      <c r="G30" s="589"/>
      <c r="H30" s="589"/>
      <c r="I30" s="589"/>
      <c r="J30" s="589"/>
      <c r="K30" s="589"/>
      <c r="L30" s="589"/>
      <c r="M30" s="589"/>
      <c r="N30" s="589"/>
      <c r="O30" s="589"/>
      <c r="P30" s="2"/>
      <c r="W30" t="s">
        <v>2047</v>
      </c>
    </row>
    <row r="31" spans="1:23" ht="13.15" customHeight="1" x14ac:dyDescent="0.2">
      <c r="A31" s="2" t="s">
        <v>2045</v>
      </c>
      <c r="B31" s="2">
        <f t="shared" si="0"/>
        <v>2022</v>
      </c>
      <c r="C31" s="2" t="str">
        <f t="shared" si="1"/>
        <v>KZN226</v>
      </c>
      <c r="D31" s="588" t="s">
        <v>2076</v>
      </c>
      <c r="E31" s="2">
        <v>30</v>
      </c>
      <c r="F31" s="2" t="s">
        <v>438</v>
      </c>
      <c r="G31" s="589"/>
      <c r="H31" s="589"/>
      <c r="I31" s="589"/>
      <c r="J31" s="589"/>
      <c r="K31" s="589"/>
      <c r="L31" s="589"/>
      <c r="M31" s="589"/>
      <c r="N31" s="589"/>
      <c r="O31" s="589"/>
      <c r="P31" s="2"/>
      <c r="W31" t="s">
        <v>2047</v>
      </c>
    </row>
    <row r="32" spans="1:23" ht="13.15" customHeight="1" x14ac:dyDescent="0.2">
      <c r="A32" s="2" t="s">
        <v>2045</v>
      </c>
      <c r="B32" s="2">
        <f t="shared" si="0"/>
        <v>2022</v>
      </c>
      <c r="C32" s="2" t="str">
        <f t="shared" si="1"/>
        <v>KZN226</v>
      </c>
      <c r="D32" s="588" t="s">
        <v>2077</v>
      </c>
      <c r="E32" s="2">
        <v>31</v>
      </c>
      <c r="F32" s="2" t="s">
        <v>590</v>
      </c>
      <c r="G32" s="589"/>
      <c r="H32" s="589"/>
      <c r="I32" s="589"/>
      <c r="J32" s="589"/>
      <c r="K32" s="589"/>
      <c r="L32" s="589"/>
      <c r="M32" s="589"/>
      <c r="N32" s="589"/>
      <c r="O32" s="589"/>
      <c r="P32" s="2"/>
      <c r="W32" t="s">
        <v>2047</v>
      </c>
    </row>
    <row r="33" spans="1:23" ht="13.15" customHeight="1" x14ac:dyDescent="0.2">
      <c r="A33" s="2" t="s">
        <v>2045</v>
      </c>
      <c r="B33" s="2">
        <f t="shared" si="0"/>
        <v>2022</v>
      </c>
      <c r="C33" s="2" t="str">
        <f t="shared" si="1"/>
        <v>KZN226</v>
      </c>
      <c r="D33" s="588" t="s">
        <v>2078</v>
      </c>
      <c r="E33" s="2">
        <v>32</v>
      </c>
      <c r="F33" s="2" t="s">
        <v>1124</v>
      </c>
      <c r="G33" s="589"/>
      <c r="H33" s="589"/>
      <c r="I33" s="589"/>
      <c r="J33" s="589"/>
      <c r="K33" s="589"/>
      <c r="L33" s="589"/>
      <c r="M33" s="589"/>
      <c r="N33" s="589"/>
      <c r="O33" s="589"/>
      <c r="P33" s="2"/>
      <c r="W33" t="s">
        <v>2047</v>
      </c>
    </row>
    <row r="34" spans="1:23" ht="13.15" customHeight="1" x14ac:dyDescent="0.2">
      <c r="A34" s="2" t="s">
        <v>2045</v>
      </c>
      <c r="B34" s="2">
        <f t="shared" si="0"/>
        <v>2022</v>
      </c>
      <c r="C34" s="2" t="str">
        <f t="shared" si="1"/>
        <v>KZN226</v>
      </c>
      <c r="D34" s="588" t="s">
        <v>2079</v>
      </c>
      <c r="E34" s="2">
        <v>33</v>
      </c>
      <c r="F34" s="2" t="s">
        <v>1160</v>
      </c>
      <c r="G34" s="589"/>
      <c r="H34" s="589"/>
      <c r="I34" s="589"/>
      <c r="J34" s="589"/>
      <c r="K34" s="589"/>
      <c r="L34" s="589"/>
      <c r="M34" s="589"/>
      <c r="N34" s="589"/>
      <c r="O34" s="589"/>
      <c r="P34" s="2"/>
      <c r="W34" t="s">
        <v>2047</v>
      </c>
    </row>
    <row r="35" spans="1:23" ht="13.15" customHeight="1" x14ac:dyDescent="0.2">
      <c r="A35" s="2" t="s">
        <v>2045</v>
      </c>
      <c r="B35" s="2">
        <f t="shared" si="0"/>
        <v>2022</v>
      </c>
      <c r="C35" s="2" t="str">
        <f t="shared" si="1"/>
        <v>KZN226</v>
      </c>
      <c r="D35" s="588" t="s">
        <v>2080</v>
      </c>
      <c r="E35" s="2">
        <v>34</v>
      </c>
      <c r="F35" s="2" t="s">
        <v>592</v>
      </c>
      <c r="G35" s="589"/>
      <c r="H35" s="589"/>
      <c r="I35" s="589"/>
      <c r="J35" s="589"/>
      <c r="K35" s="589"/>
      <c r="L35" s="589"/>
      <c r="M35" s="589"/>
      <c r="N35" s="589"/>
      <c r="O35" s="589"/>
      <c r="P35" s="2"/>
      <c r="W35" t="s">
        <v>2047</v>
      </c>
    </row>
    <row r="36" spans="1:23" ht="13.15" customHeight="1" x14ac:dyDescent="0.2">
      <c r="A36" s="2" t="s">
        <v>2045</v>
      </c>
      <c r="B36" s="2">
        <f t="shared" si="0"/>
        <v>2022</v>
      </c>
      <c r="C36" s="2" t="str">
        <f t="shared" si="1"/>
        <v>KZN226</v>
      </c>
      <c r="D36" s="588" t="s">
        <v>2081</v>
      </c>
      <c r="E36" s="2">
        <v>35</v>
      </c>
      <c r="F36" s="2" t="s">
        <v>633</v>
      </c>
      <c r="G36" s="589"/>
      <c r="H36" s="589"/>
      <c r="I36" s="589"/>
      <c r="J36" s="589"/>
      <c r="K36" s="589"/>
      <c r="L36" s="589"/>
      <c r="M36" s="589"/>
      <c r="N36" s="589"/>
      <c r="O36" s="589"/>
      <c r="P36" s="2"/>
      <c r="W36" t="s">
        <v>2047</v>
      </c>
    </row>
    <row r="37" spans="1:23" ht="13.15" customHeight="1" x14ac:dyDescent="0.2">
      <c r="A37" s="2" t="s">
        <v>2045</v>
      </c>
      <c r="B37" s="2">
        <f t="shared" si="0"/>
        <v>2022</v>
      </c>
      <c r="C37" s="2" t="str">
        <f t="shared" si="1"/>
        <v>KZN226</v>
      </c>
      <c r="D37" s="588" t="s">
        <v>2082</v>
      </c>
      <c r="E37" s="2">
        <v>36</v>
      </c>
      <c r="F37" s="2" t="s">
        <v>323</v>
      </c>
      <c r="G37" s="589"/>
      <c r="H37" s="589"/>
      <c r="I37" s="589"/>
      <c r="J37" s="589"/>
      <c r="K37" s="589"/>
      <c r="L37" s="589"/>
      <c r="M37" s="589"/>
      <c r="N37" s="589"/>
      <c r="O37" s="589"/>
      <c r="P37" s="2"/>
      <c r="W37" t="s">
        <v>2047</v>
      </c>
    </row>
    <row r="38" spans="1:23" ht="13.15" customHeight="1" x14ac:dyDescent="0.2">
      <c r="A38" s="2" t="s">
        <v>2045</v>
      </c>
      <c r="B38" s="2">
        <f t="shared" si="0"/>
        <v>2022</v>
      </c>
      <c r="C38" s="2" t="str">
        <f t="shared" si="1"/>
        <v>KZN226</v>
      </c>
      <c r="D38" s="588" t="s">
        <v>2083</v>
      </c>
      <c r="E38" s="2">
        <v>37</v>
      </c>
      <c r="F38" s="2" t="s">
        <v>593</v>
      </c>
      <c r="G38" s="589"/>
      <c r="H38" s="589"/>
      <c r="I38" s="589"/>
      <c r="J38" s="589"/>
      <c r="K38" s="589"/>
      <c r="L38" s="589"/>
      <c r="M38" s="589"/>
      <c r="N38" s="589"/>
      <c r="O38" s="589"/>
      <c r="P38" s="2"/>
      <c r="W38" t="s">
        <v>2047</v>
      </c>
    </row>
    <row r="39" spans="1:23" ht="13.15" customHeight="1" x14ac:dyDescent="0.2">
      <c r="A39" s="2" t="s">
        <v>2045</v>
      </c>
      <c r="B39" s="2">
        <f t="shared" si="0"/>
        <v>2022</v>
      </c>
      <c r="C39" s="2" t="str">
        <f t="shared" si="1"/>
        <v>KZN226</v>
      </c>
      <c r="D39" s="588" t="s">
        <v>2084</v>
      </c>
      <c r="E39" s="2">
        <v>38</v>
      </c>
      <c r="F39" s="2" t="s">
        <v>594</v>
      </c>
      <c r="G39" s="589"/>
      <c r="H39" s="589"/>
      <c r="I39" s="589"/>
      <c r="J39" s="589"/>
      <c r="K39" s="589"/>
      <c r="L39" s="589"/>
      <c r="M39" s="589"/>
      <c r="N39" s="589"/>
      <c r="O39" s="589"/>
      <c r="P39" s="2"/>
      <c r="W39" t="s">
        <v>2047</v>
      </c>
    </row>
    <row r="40" spans="1:23" ht="13.15" customHeight="1" x14ac:dyDescent="0.2">
      <c r="A40" s="2" t="s">
        <v>2045</v>
      </c>
      <c r="B40" s="2">
        <f t="shared" si="0"/>
        <v>2022</v>
      </c>
      <c r="C40" s="2" t="str">
        <f t="shared" si="1"/>
        <v>KZN226</v>
      </c>
      <c r="D40" s="588" t="s">
        <v>2085</v>
      </c>
      <c r="E40" s="2">
        <v>39</v>
      </c>
      <c r="F40" s="2" t="s">
        <v>755</v>
      </c>
      <c r="G40" s="589"/>
      <c r="H40" s="589"/>
      <c r="I40" s="589"/>
      <c r="J40" s="589"/>
      <c r="K40" s="589"/>
      <c r="L40" s="589"/>
      <c r="M40" s="589"/>
      <c r="N40" s="589"/>
      <c r="O40" s="589"/>
      <c r="P40" s="2"/>
      <c r="W40" t="s">
        <v>2047</v>
      </c>
    </row>
    <row r="41" spans="1:23" ht="13.15" customHeight="1" x14ac:dyDescent="0.2">
      <c r="A41" s="2" t="s">
        <v>2045</v>
      </c>
      <c r="B41" s="2">
        <f t="shared" si="0"/>
        <v>2022</v>
      </c>
      <c r="C41" s="2" t="str">
        <f t="shared" si="1"/>
        <v>KZN226</v>
      </c>
      <c r="D41" s="588" t="s">
        <v>2086</v>
      </c>
      <c r="E41" s="2">
        <v>40</v>
      </c>
      <c r="F41" s="2" t="s">
        <v>756</v>
      </c>
      <c r="G41" s="589"/>
      <c r="H41" s="589"/>
      <c r="I41" s="589"/>
      <c r="J41" s="589"/>
      <c r="K41" s="589"/>
      <c r="L41" s="589"/>
      <c r="M41" s="589"/>
      <c r="N41" s="589"/>
      <c r="O41" s="589"/>
      <c r="P41" s="2"/>
      <c r="W41" t="s">
        <v>2047</v>
      </c>
    </row>
    <row r="42" spans="1:23" ht="13.15" customHeight="1" x14ac:dyDescent="0.2">
      <c r="A42" s="2" t="s">
        <v>2045</v>
      </c>
      <c r="B42" s="2">
        <f t="shared" si="0"/>
        <v>2022</v>
      </c>
      <c r="C42" s="2" t="str">
        <f t="shared" si="1"/>
        <v>KZN226</v>
      </c>
      <c r="D42" s="588" t="s">
        <v>2087</v>
      </c>
      <c r="E42" s="2">
        <v>41</v>
      </c>
      <c r="F42" s="2" t="s">
        <v>170</v>
      </c>
      <c r="G42" s="589"/>
      <c r="H42" s="589"/>
      <c r="I42" s="589"/>
      <c r="J42" s="589"/>
      <c r="K42" s="589"/>
      <c r="L42" s="589"/>
      <c r="M42" s="589"/>
      <c r="N42" s="589"/>
      <c r="O42" s="589"/>
      <c r="P42" s="2"/>
      <c r="W42" t="s">
        <v>2047</v>
      </c>
    </row>
    <row r="43" spans="1:23" ht="13.15" customHeight="1" x14ac:dyDescent="0.2">
      <c r="A43" s="2" t="s">
        <v>2045</v>
      </c>
      <c r="B43" s="2">
        <f t="shared" si="0"/>
        <v>2022</v>
      </c>
      <c r="C43" s="2" t="str">
        <f t="shared" si="1"/>
        <v>KZN226</v>
      </c>
      <c r="D43" s="588" t="s">
        <v>2088</v>
      </c>
      <c r="E43" s="2">
        <v>42</v>
      </c>
      <c r="F43" s="2" t="s">
        <v>1124</v>
      </c>
      <c r="G43" s="589"/>
      <c r="H43" s="589"/>
      <c r="I43" s="589"/>
      <c r="J43" s="589"/>
      <c r="K43" s="589"/>
      <c r="L43" s="589"/>
      <c r="M43" s="589"/>
      <c r="N43" s="589"/>
      <c r="O43" s="589"/>
      <c r="P43" s="2"/>
      <c r="W43" t="s">
        <v>2047</v>
      </c>
    </row>
    <row r="44" spans="1:23" ht="13.15" customHeight="1" x14ac:dyDescent="0.2">
      <c r="A44" s="2" t="s">
        <v>2045</v>
      </c>
      <c r="B44" s="2">
        <f t="shared" si="0"/>
        <v>2022</v>
      </c>
      <c r="C44" s="2" t="str">
        <f t="shared" si="1"/>
        <v>KZN226</v>
      </c>
      <c r="D44" s="588" t="s">
        <v>2089</v>
      </c>
      <c r="E44" s="2">
        <v>43</v>
      </c>
      <c r="F44" s="2" t="s">
        <v>1160</v>
      </c>
      <c r="G44" s="589"/>
      <c r="H44" s="589"/>
      <c r="I44" s="589"/>
      <c r="J44" s="589"/>
      <c r="K44" s="589"/>
      <c r="L44" s="589"/>
      <c r="M44" s="589"/>
      <c r="N44" s="589"/>
      <c r="O44" s="589"/>
      <c r="P44" s="2"/>
      <c r="W44" t="s">
        <v>2047</v>
      </c>
    </row>
    <row r="45" spans="1:23" ht="13.15" customHeight="1" x14ac:dyDescent="0.2">
      <c r="A45" s="2" t="s">
        <v>2045</v>
      </c>
      <c r="B45" s="2">
        <f t="shared" si="0"/>
        <v>2022</v>
      </c>
      <c r="C45" s="2" t="str">
        <f t="shared" si="1"/>
        <v>KZN226</v>
      </c>
      <c r="D45" s="588"/>
      <c r="E45" s="2"/>
      <c r="F45" s="2"/>
      <c r="G45" s="589"/>
      <c r="H45" s="589"/>
      <c r="I45" s="589"/>
      <c r="J45" s="589"/>
      <c r="K45" s="589"/>
      <c r="L45" s="589"/>
      <c r="M45" s="589"/>
      <c r="N45" s="589"/>
      <c r="O45" s="589"/>
      <c r="P45" s="2"/>
      <c r="W45" t="s">
        <v>2047</v>
      </c>
    </row>
    <row r="46" spans="1:23" ht="13.15" customHeight="1" x14ac:dyDescent="0.2">
      <c r="A46" s="2" t="s">
        <v>2045</v>
      </c>
      <c r="B46" s="2">
        <f t="shared" si="0"/>
        <v>2022</v>
      </c>
      <c r="C46" s="2" t="str">
        <f t="shared" si="1"/>
        <v>KZN226</v>
      </c>
      <c r="D46" s="588" t="s">
        <v>2090</v>
      </c>
      <c r="E46" s="2">
        <v>45</v>
      </c>
      <c r="F46" s="2" t="s">
        <v>171</v>
      </c>
      <c r="G46" s="589"/>
      <c r="H46" s="589"/>
      <c r="I46" s="589"/>
      <c r="J46" s="589"/>
      <c r="K46" s="589"/>
      <c r="L46" s="589"/>
      <c r="M46" s="589"/>
      <c r="N46" s="589"/>
      <c r="O46" s="589"/>
      <c r="P46" s="2"/>
      <c r="W46" t="s">
        <v>2047</v>
      </c>
    </row>
    <row r="47" spans="1:23" ht="13.15" customHeight="1" x14ac:dyDescent="0.2">
      <c r="A47" s="2" t="s">
        <v>2045</v>
      </c>
      <c r="B47" s="2">
        <f t="shared" si="0"/>
        <v>2022</v>
      </c>
      <c r="C47" s="2" t="str">
        <f t="shared" si="1"/>
        <v>KZN226</v>
      </c>
      <c r="D47" s="588" t="s">
        <v>2091</v>
      </c>
      <c r="E47" s="2">
        <v>46</v>
      </c>
      <c r="F47" s="2" t="s">
        <v>1145</v>
      </c>
      <c r="G47" s="589"/>
      <c r="H47" s="589"/>
      <c r="I47" s="589"/>
      <c r="J47" s="589"/>
      <c r="K47" s="589"/>
      <c r="L47" s="589"/>
      <c r="M47" s="589"/>
      <c r="N47" s="589"/>
      <c r="O47" s="589"/>
      <c r="P47" s="2"/>
      <c r="W47" t="s">
        <v>2047</v>
      </c>
    </row>
    <row r="48" spans="1:23" ht="13.15" customHeight="1" x14ac:dyDescent="0.2">
      <c r="A48" s="2" t="s">
        <v>2045</v>
      </c>
      <c r="B48" s="2">
        <f t="shared" si="0"/>
        <v>2022</v>
      </c>
      <c r="C48" s="2" t="str">
        <f t="shared" si="1"/>
        <v>KZN226</v>
      </c>
      <c r="D48" s="588" t="s">
        <v>2092</v>
      </c>
      <c r="E48" s="2">
        <v>47</v>
      </c>
      <c r="F48" s="2" t="s">
        <v>324</v>
      </c>
      <c r="G48" s="589"/>
      <c r="H48" s="589"/>
      <c r="I48" s="589"/>
      <c r="J48" s="589"/>
      <c r="K48" s="589"/>
      <c r="L48" s="589"/>
      <c r="M48" s="589"/>
      <c r="N48" s="589"/>
      <c r="O48" s="589"/>
      <c r="P48" s="2"/>
      <c r="W48" t="s">
        <v>2047</v>
      </c>
    </row>
    <row r="49" spans="1:23" ht="13.15" customHeight="1" x14ac:dyDescent="0.2">
      <c r="A49" s="2" t="s">
        <v>2045</v>
      </c>
      <c r="B49" s="2">
        <f t="shared" si="0"/>
        <v>2022</v>
      </c>
      <c r="C49" s="2" t="str">
        <f t="shared" si="1"/>
        <v>KZN226</v>
      </c>
      <c r="D49" s="588" t="s">
        <v>2093</v>
      </c>
      <c r="E49" s="2">
        <v>48</v>
      </c>
      <c r="F49" s="2" t="s">
        <v>1146</v>
      </c>
      <c r="G49" s="589"/>
      <c r="H49" s="589"/>
      <c r="I49" s="589"/>
      <c r="J49" s="589"/>
      <c r="K49" s="589"/>
      <c r="L49" s="589"/>
      <c r="M49" s="589"/>
      <c r="N49" s="589"/>
      <c r="O49" s="589"/>
      <c r="P49" s="2"/>
      <c r="W49" t="s">
        <v>2047</v>
      </c>
    </row>
    <row r="50" spans="1:23" ht="13.15" customHeight="1" x14ac:dyDescent="0.2">
      <c r="A50" s="2" t="s">
        <v>2045</v>
      </c>
      <c r="B50" s="2">
        <f t="shared" si="0"/>
        <v>2022</v>
      </c>
      <c r="C50" s="2" t="str">
        <f t="shared" si="1"/>
        <v>KZN226</v>
      </c>
      <c r="D50" s="588" t="s">
        <v>2094</v>
      </c>
      <c r="E50" s="2">
        <v>49</v>
      </c>
      <c r="F50" s="2" t="s">
        <v>325</v>
      </c>
      <c r="G50" s="589"/>
      <c r="H50" s="589"/>
      <c r="I50" s="589"/>
      <c r="J50" s="589"/>
      <c r="K50" s="589"/>
      <c r="L50" s="589"/>
      <c r="M50" s="589"/>
      <c r="N50" s="589"/>
      <c r="O50" s="589"/>
      <c r="P50" s="2"/>
      <c r="W50" t="s">
        <v>2047</v>
      </c>
    </row>
    <row r="51" spans="1:23" ht="13.15" customHeight="1" x14ac:dyDescent="0.2">
      <c r="A51" s="2" t="s">
        <v>2045</v>
      </c>
      <c r="B51" s="2">
        <f t="shared" si="0"/>
        <v>2022</v>
      </c>
      <c r="C51" s="2" t="str">
        <f t="shared" si="1"/>
        <v>KZN226</v>
      </c>
      <c r="D51" s="588"/>
      <c r="E51" s="2"/>
      <c r="F51" s="2"/>
      <c r="G51" s="589"/>
      <c r="H51" s="589"/>
      <c r="I51" s="589"/>
      <c r="J51" s="589"/>
      <c r="K51" s="589"/>
      <c r="L51" s="589"/>
      <c r="M51" s="589"/>
      <c r="N51" s="589"/>
      <c r="O51" s="589"/>
      <c r="P51" s="2"/>
      <c r="W51" t="s">
        <v>2047</v>
      </c>
    </row>
    <row r="52" spans="1:23" ht="13.15" customHeight="1" x14ac:dyDescent="0.2">
      <c r="A52" s="2" t="s">
        <v>2045</v>
      </c>
      <c r="B52" s="2">
        <f t="shared" si="0"/>
        <v>2022</v>
      </c>
      <c r="C52" s="2" t="str">
        <f t="shared" si="1"/>
        <v>KZN226</v>
      </c>
      <c r="D52" s="588" t="s">
        <v>2095</v>
      </c>
      <c r="E52" s="2">
        <v>51</v>
      </c>
      <c r="F52" s="2" t="s">
        <v>2031</v>
      </c>
      <c r="G52" s="589"/>
      <c r="H52" s="589"/>
      <c r="I52" s="589"/>
      <c r="J52" s="589"/>
      <c r="K52" s="589"/>
      <c r="L52" s="589"/>
      <c r="M52" s="589"/>
      <c r="N52" s="589"/>
      <c r="O52" s="589"/>
      <c r="P52" s="2"/>
      <c r="W52" t="s">
        <v>2047</v>
      </c>
    </row>
    <row r="53" spans="1:23" ht="13.15" customHeight="1" x14ac:dyDescent="0.2">
      <c r="A53" s="2" t="s">
        <v>2045</v>
      </c>
      <c r="B53" s="2">
        <f t="shared" si="0"/>
        <v>2022</v>
      </c>
      <c r="C53" s="2" t="str">
        <f t="shared" si="1"/>
        <v>KZN226</v>
      </c>
      <c r="D53" s="588" t="s">
        <v>2096</v>
      </c>
      <c r="E53" s="2">
        <v>52</v>
      </c>
      <c r="F53" s="2" t="s">
        <v>2097</v>
      </c>
      <c r="G53" s="589"/>
      <c r="H53" s="589"/>
      <c r="I53" s="589"/>
      <c r="J53" s="589"/>
      <c r="K53" s="589"/>
      <c r="L53" s="589"/>
      <c r="M53" s="589"/>
      <c r="N53" s="589"/>
      <c r="O53" s="589"/>
      <c r="P53" s="2"/>
      <c r="W53" t="s">
        <v>2047</v>
      </c>
    </row>
    <row r="54" spans="1:23" ht="13.15" customHeight="1" x14ac:dyDescent="0.2">
      <c r="A54" s="2" t="s">
        <v>2045</v>
      </c>
      <c r="B54" s="2">
        <f t="shared" si="0"/>
        <v>2022</v>
      </c>
      <c r="C54" s="2" t="str">
        <f t="shared" si="1"/>
        <v>KZN226</v>
      </c>
      <c r="D54" s="588" t="s">
        <v>2098</v>
      </c>
      <c r="E54" s="2">
        <v>53</v>
      </c>
      <c r="F54" s="2" t="s">
        <v>2099</v>
      </c>
      <c r="G54" s="589"/>
      <c r="H54" s="589"/>
      <c r="I54" s="589"/>
      <c r="J54" s="589"/>
      <c r="K54" s="589"/>
      <c r="L54" s="589"/>
      <c r="M54" s="589"/>
      <c r="N54" s="589"/>
      <c r="O54" s="589"/>
      <c r="P54" s="2"/>
      <c r="W54" t="s">
        <v>2047</v>
      </c>
    </row>
    <row r="55" spans="1:23" ht="13.15" customHeight="1" x14ac:dyDescent="0.2">
      <c r="A55" s="2" t="s">
        <v>2045</v>
      </c>
      <c r="B55" s="2">
        <f t="shared" si="0"/>
        <v>2022</v>
      </c>
      <c r="C55" s="2" t="str">
        <f t="shared" si="1"/>
        <v>KZN226</v>
      </c>
      <c r="D55" s="588" t="s">
        <v>2100</v>
      </c>
      <c r="E55" s="2">
        <v>54</v>
      </c>
      <c r="F55" s="2" t="s">
        <v>2101</v>
      </c>
      <c r="G55" s="589"/>
      <c r="H55" s="589"/>
      <c r="I55" s="589"/>
      <c r="J55" s="589"/>
      <c r="K55" s="589"/>
      <c r="L55" s="589"/>
      <c r="M55" s="589"/>
      <c r="N55" s="589"/>
      <c r="O55" s="589"/>
      <c r="P55" s="2"/>
      <c r="W55" t="s">
        <v>2047</v>
      </c>
    </row>
    <row r="56" spans="1:23" ht="13.15" customHeight="1" x14ac:dyDescent="0.2">
      <c r="A56" s="2" t="s">
        <v>2045</v>
      </c>
      <c r="B56" s="2">
        <f t="shared" si="0"/>
        <v>2022</v>
      </c>
      <c r="C56" s="2" t="str">
        <f t="shared" si="1"/>
        <v>KZN226</v>
      </c>
      <c r="D56" s="588" t="s">
        <v>2102</v>
      </c>
      <c r="E56" s="2">
        <v>55</v>
      </c>
      <c r="F56" s="2" t="s">
        <v>2103</v>
      </c>
      <c r="G56" s="589"/>
      <c r="H56" s="589"/>
      <c r="I56" s="589"/>
      <c r="J56" s="589"/>
      <c r="K56" s="589"/>
      <c r="L56" s="589"/>
      <c r="M56" s="589"/>
      <c r="N56" s="589"/>
      <c r="O56" s="589"/>
      <c r="P56" s="2"/>
      <c r="W56" t="s">
        <v>2047</v>
      </c>
    </row>
    <row r="57" spans="1:23" ht="13.15" customHeight="1" x14ac:dyDescent="0.2">
      <c r="A57" s="2" t="s">
        <v>2045</v>
      </c>
      <c r="B57" s="2">
        <f t="shared" si="0"/>
        <v>2022</v>
      </c>
      <c r="C57" s="2" t="str">
        <f t="shared" si="1"/>
        <v>KZN226</v>
      </c>
      <c r="D57" s="588">
        <v>1606</v>
      </c>
      <c r="E57" s="2">
        <v>56</v>
      </c>
      <c r="F57" s="2" t="s">
        <v>2022</v>
      </c>
      <c r="G57" s="589"/>
      <c r="H57" s="589"/>
      <c r="I57" s="589"/>
      <c r="J57" s="589"/>
      <c r="K57" s="589"/>
      <c r="L57" s="589"/>
      <c r="M57" s="589"/>
      <c r="N57" s="589"/>
      <c r="O57" s="589"/>
      <c r="P57" s="2"/>
      <c r="W57" t="s">
        <v>2047</v>
      </c>
    </row>
    <row r="58" spans="1:23" ht="13.15" customHeight="1" x14ac:dyDescent="0.2">
      <c r="A58" s="2" t="s">
        <v>2045</v>
      </c>
      <c r="B58" s="2">
        <f t="shared" si="0"/>
        <v>2022</v>
      </c>
      <c r="C58" s="2" t="str">
        <f t="shared" si="1"/>
        <v>KZN226</v>
      </c>
      <c r="D58" s="588">
        <v>1607</v>
      </c>
      <c r="E58" s="2">
        <v>57</v>
      </c>
      <c r="F58" s="2" t="s">
        <v>2104</v>
      </c>
      <c r="G58" s="589"/>
      <c r="H58" s="589"/>
      <c r="I58" s="589"/>
      <c r="J58" s="589"/>
      <c r="K58" s="589"/>
      <c r="L58" s="589"/>
      <c r="M58" s="589"/>
      <c r="N58" s="589"/>
      <c r="O58" s="589"/>
      <c r="P58" s="2"/>
      <c r="W58" t="s">
        <v>2047</v>
      </c>
    </row>
    <row r="59" spans="1:23" ht="13.15" customHeight="1" x14ac:dyDescent="0.2">
      <c r="A59" s="2" t="s">
        <v>2045</v>
      </c>
      <c r="B59" s="2">
        <f t="shared" si="0"/>
        <v>2022</v>
      </c>
      <c r="C59" s="2" t="str">
        <f t="shared" si="1"/>
        <v>KZN226</v>
      </c>
      <c r="D59" s="588"/>
      <c r="E59" s="2"/>
      <c r="F59" s="2"/>
      <c r="G59" s="589"/>
      <c r="H59" s="589"/>
      <c r="I59" s="589"/>
      <c r="J59" s="589"/>
      <c r="K59" s="589"/>
      <c r="L59" s="589"/>
      <c r="M59" s="589"/>
      <c r="N59" s="589"/>
      <c r="O59" s="589"/>
      <c r="P59" s="2"/>
      <c r="W59" t="s">
        <v>2047</v>
      </c>
    </row>
    <row r="60" spans="1:23" ht="13.15" customHeight="1" x14ac:dyDescent="0.2">
      <c r="A60" s="2" t="s">
        <v>2045</v>
      </c>
      <c r="B60" s="2">
        <f t="shared" si="0"/>
        <v>2022</v>
      </c>
      <c r="C60" s="2" t="str">
        <f t="shared" si="1"/>
        <v>KZN226</v>
      </c>
      <c r="D60" s="588" t="s">
        <v>2105</v>
      </c>
      <c r="E60" s="2">
        <v>58</v>
      </c>
      <c r="F60" s="2" t="s">
        <v>2030</v>
      </c>
      <c r="G60" s="589"/>
      <c r="H60" s="589"/>
      <c r="I60" s="589"/>
      <c r="J60" s="589"/>
      <c r="K60" s="589"/>
      <c r="L60" s="589"/>
      <c r="M60" s="589"/>
      <c r="N60" s="589"/>
      <c r="O60" s="589"/>
      <c r="P60" s="2"/>
      <c r="W60" t="s">
        <v>2047</v>
      </c>
    </row>
    <row r="61" spans="1:23" ht="13.15" customHeight="1" x14ac:dyDescent="0.2">
      <c r="A61" s="2" t="s">
        <v>2045</v>
      </c>
      <c r="B61" s="2">
        <f t="shared" si="0"/>
        <v>2022</v>
      </c>
      <c r="C61" s="2" t="str">
        <f t="shared" si="1"/>
        <v>KZN226</v>
      </c>
      <c r="D61" s="588" t="s">
        <v>2106</v>
      </c>
      <c r="E61" s="2">
        <v>59</v>
      </c>
      <c r="F61" s="2" t="s">
        <v>1657</v>
      </c>
      <c r="G61" s="589"/>
      <c r="H61" s="589"/>
      <c r="I61" s="589"/>
      <c r="J61" s="589"/>
      <c r="K61" s="589"/>
      <c r="L61" s="589"/>
      <c r="M61" s="589"/>
      <c r="N61" s="589"/>
      <c r="O61" s="589"/>
      <c r="P61" s="2"/>
      <c r="W61" t="s">
        <v>2047</v>
      </c>
    </row>
    <row r="62" spans="1:23" ht="13.15" customHeight="1" x14ac:dyDescent="0.2">
      <c r="A62" s="2" t="s">
        <v>2045</v>
      </c>
      <c r="B62" s="2">
        <f t="shared" si="0"/>
        <v>2022</v>
      </c>
      <c r="C62" s="2" t="str">
        <f t="shared" si="1"/>
        <v>KZN226</v>
      </c>
      <c r="D62" s="588" t="s">
        <v>2107</v>
      </c>
      <c r="E62" s="2">
        <v>60</v>
      </c>
      <c r="F62" s="2" t="s">
        <v>1231</v>
      </c>
      <c r="G62" s="589"/>
      <c r="H62" s="589"/>
      <c r="I62" s="589"/>
      <c r="J62" s="589"/>
      <c r="K62" s="589"/>
      <c r="L62" s="589"/>
      <c r="M62" s="589"/>
      <c r="N62" s="589"/>
      <c r="O62" s="589"/>
      <c r="P62" s="2"/>
      <c r="W62" t="s">
        <v>2047</v>
      </c>
    </row>
    <row r="63" spans="1:23" ht="13.15" customHeight="1" x14ac:dyDescent="0.2">
      <c r="A63" s="2" t="s">
        <v>2045</v>
      </c>
      <c r="B63" s="2">
        <f t="shared" si="0"/>
        <v>2022</v>
      </c>
      <c r="C63" s="2" t="str">
        <f t="shared" si="1"/>
        <v>KZN226</v>
      </c>
      <c r="D63" s="588" t="s">
        <v>2108</v>
      </c>
      <c r="E63" s="2">
        <v>61</v>
      </c>
      <c r="F63" s="2" t="s">
        <v>1232</v>
      </c>
      <c r="G63" s="589"/>
      <c r="H63" s="589"/>
      <c r="I63" s="589"/>
      <c r="J63" s="589"/>
      <c r="K63" s="589"/>
      <c r="L63" s="589"/>
      <c r="M63" s="589"/>
      <c r="N63" s="589"/>
      <c r="O63" s="589"/>
      <c r="P63" s="2"/>
      <c r="W63" t="s">
        <v>2047</v>
      </c>
    </row>
    <row r="64" spans="1:23" ht="13.15" customHeight="1" x14ac:dyDescent="0.2">
      <c r="A64" s="2" t="s">
        <v>2045</v>
      </c>
      <c r="B64" s="2">
        <f t="shared" si="0"/>
        <v>2022</v>
      </c>
      <c r="C64" s="2" t="str">
        <f t="shared" si="1"/>
        <v>KZN226</v>
      </c>
      <c r="D64" s="588" t="s">
        <v>2109</v>
      </c>
      <c r="E64" s="2">
        <v>62</v>
      </c>
      <c r="F64" s="2" t="s">
        <v>588</v>
      </c>
      <c r="G64" s="589"/>
      <c r="H64" s="589"/>
      <c r="I64" s="589"/>
      <c r="J64" s="589"/>
      <c r="K64" s="589"/>
      <c r="L64" s="589"/>
      <c r="M64" s="589"/>
      <c r="N64" s="589"/>
      <c r="O64" s="589"/>
      <c r="P64" s="2"/>
      <c r="W64" t="s">
        <v>2047</v>
      </c>
    </row>
    <row r="65" spans="1:23" ht="13.15" customHeight="1" x14ac:dyDescent="0.2">
      <c r="A65" s="2" t="s">
        <v>2045</v>
      </c>
      <c r="B65" s="2">
        <f t="shared" si="0"/>
        <v>2022</v>
      </c>
      <c r="C65" s="2" t="str">
        <f t="shared" si="1"/>
        <v>KZN226</v>
      </c>
      <c r="D65" s="588" t="s">
        <v>2110</v>
      </c>
      <c r="E65" s="2">
        <v>63</v>
      </c>
      <c r="F65" s="2" t="s">
        <v>326</v>
      </c>
      <c r="G65" s="589"/>
      <c r="H65" s="589"/>
      <c r="I65" s="589"/>
      <c r="J65" s="589"/>
      <c r="K65" s="589"/>
      <c r="L65" s="589"/>
      <c r="M65" s="589"/>
      <c r="N65" s="589"/>
      <c r="O65" s="589"/>
      <c r="P65" s="2"/>
      <c r="W65" t="s">
        <v>2047</v>
      </c>
    </row>
    <row r="66" spans="1:23" ht="13.15" customHeight="1" x14ac:dyDescent="0.2">
      <c r="A66" s="2" t="s">
        <v>2045</v>
      </c>
      <c r="B66" s="2">
        <f t="shared" ref="B66:B129" si="2">+MTREF</f>
        <v>2022</v>
      </c>
      <c r="C66" s="2" t="str">
        <f t="shared" ref="C66:C129" si="3">LEFT(muni,(FIND(" ",muni,1)-1))</f>
        <v>KZN226</v>
      </c>
      <c r="D66" s="588" t="s">
        <v>2111</v>
      </c>
      <c r="E66" s="2">
        <v>64</v>
      </c>
      <c r="F66" s="2" t="s">
        <v>591</v>
      </c>
      <c r="G66" s="589"/>
      <c r="H66" s="589"/>
      <c r="I66" s="589"/>
      <c r="J66" s="589"/>
      <c r="K66" s="589"/>
      <c r="L66" s="589"/>
      <c r="M66" s="589"/>
      <c r="N66" s="589"/>
      <c r="O66" s="589"/>
      <c r="P66" s="2"/>
      <c r="W66" t="s">
        <v>2047</v>
      </c>
    </row>
    <row r="67" spans="1:23" ht="13.15" customHeight="1" x14ac:dyDescent="0.2">
      <c r="A67" s="2" t="s">
        <v>2045</v>
      </c>
      <c r="B67" s="2">
        <f t="shared" si="2"/>
        <v>2022</v>
      </c>
      <c r="C67" s="2" t="str">
        <f t="shared" si="3"/>
        <v>KZN226</v>
      </c>
      <c r="D67" s="588" t="s">
        <v>2112</v>
      </c>
      <c r="E67" s="5">
        <v>65</v>
      </c>
      <c r="F67" s="590" t="s">
        <v>2037</v>
      </c>
      <c r="G67" s="589"/>
      <c r="H67" s="589"/>
      <c r="I67" s="589"/>
      <c r="J67" s="589"/>
      <c r="K67" s="589"/>
      <c r="L67" s="589"/>
      <c r="M67" s="589"/>
      <c r="N67" s="589"/>
      <c r="O67" s="589"/>
      <c r="P67" s="2"/>
      <c r="W67" t="s">
        <v>2047</v>
      </c>
    </row>
    <row r="68" spans="1:23" ht="13.15" customHeight="1" x14ac:dyDescent="0.2">
      <c r="A68" s="2" t="s">
        <v>2045</v>
      </c>
      <c r="B68" s="2">
        <f t="shared" si="2"/>
        <v>2022</v>
      </c>
      <c r="C68" s="2" t="str">
        <f t="shared" si="3"/>
        <v>KZN226</v>
      </c>
      <c r="D68" s="588" t="s">
        <v>2113</v>
      </c>
      <c r="E68" s="5">
        <v>66</v>
      </c>
      <c r="F68" s="590" t="s">
        <v>2114</v>
      </c>
      <c r="G68" s="589"/>
      <c r="H68" s="589"/>
      <c r="I68" s="589"/>
      <c r="J68" s="589"/>
      <c r="K68" s="589"/>
      <c r="L68" s="589"/>
      <c r="M68" s="589"/>
      <c r="N68" s="589"/>
      <c r="O68" s="589"/>
      <c r="P68" s="2"/>
      <c r="W68" t="s">
        <v>2047</v>
      </c>
    </row>
    <row r="69" spans="1:23" ht="13.15" customHeight="1" x14ac:dyDescent="0.2">
      <c r="A69" s="2" t="s">
        <v>2045</v>
      </c>
      <c r="B69" s="2">
        <f t="shared" si="2"/>
        <v>2022</v>
      </c>
      <c r="C69" s="2" t="str">
        <f t="shared" si="3"/>
        <v>KZN226</v>
      </c>
      <c r="D69" s="588" t="s">
        <v>2115</v>
      </c>
      <c r="E69" s="5">
        <v>67</v>
      </c>
      <c r="F69" s="590" t="s">
        <v>2116</v>
      </c>
      <c r="G69" s="589"/>
      <c r="H69" s="589"/>
      <c r="I69" s="589"/>
      <c r="J69" s="589"/>
      <c r="K69" s="589"/>
      <c r="L69" s="589"/>
      <c r="M69" s="589"/>
      <c r="N69" s="589"/>
      <c r="O69" s="589"/>
      <c r="P69" s="2"/>
      <c r="W69" t="s">
        <v>2047</v>
      </c>
    </row>
    <row r="70" spans="1:23" ht="13.15" customHeight="1" x14ac:dyDescent="0.2">
      <c r="A70" s="2" t="s">
        <v>2045</v>
      </c>
      <c r="B70" s="2">
        <f t="shared" si="2"/>
        <v>2022</v>
      </c>
      <c r="C70" s="2" t="str">
        <f t="shared" si="3"/>
        <v>KZN226</v>
      </c>
      <c r="D70" s="588" t="s">
        <v>2117</v>
      </c>
      <c r="E70" s="5">
        <v>68</v>
      </c>
      <c r="F70" s="590" t="s">
        <v>2118</v>
      </c>
      <c r="G70" s="589"/>
      <c r="H70" s="589"/>
      <c r="I70" s="589"/>
      <c r="J70" s="589"/>
      <c r="K70" s="589"/>
      <c r="L70" s="589"/>
      <c r="M70" s="589"/>
      <c r="N70" s="589"/>
      <c r="O70" s="589"/>
      <c r="P70" s="2"/>
      <c r="W70" t="s">
        <v>2047</v>
      </c>
    </row>
    <row r="71" spans="1:23" ht="13.15" customHeight="1" x14ac:dyDescent="0.2">
      <c r="A71" s="2" t="s">
        <v>2045</v>
      </c>
      <c r="B71" s="2">
        <f t="shared" si="2"/>
        <v>2022</v>
      </c>
      <c r="C71" s="2" t="str">
        <f t="shared" si="3"/>
        <v>KZN226</v>
      </c>
      <c r="D71" s="588" t="s">
        <v>2119</v>
      </c>
      <c r="E71" s="5">
        <v>69</v>
      </c>
      <c r="F71" s="590" t="s">
        <v>2120</v>
      </c>
      <c r="G71" s="589"/>
      <c r="H71" s="589"/>
      <c r="I71" s="589"/>
      <c r="J71" s="589"/>
      <c r="K71" s="589"/>
      <c r="L71" s="589"/>
      <c r="M71" s="589"/>
      <c r="N71" s="589"/>
      <c r="O71" s="589"/>
      <c r="P71" s="2"/>
      <c r="W71" t="s">
        <v>2047</v>
      </c>
    </row>
    <row r="72" spans="1:23" ht="13.15" customHeight="1" x14ac:dyDescent="0.2">
      <c r="A72" s="2" t="s">
        <v>2045</v>
      </c>
      <c r="B72" s="2">
        <f t="shared" si="2"/>
        <v>2022</v>
      </c>
      <c r="C72" s="2" t="str">
        <f t="shared" si="3"/>
        <v>KZN226</v>
      </c>
      <c r="D72" s="588" t="s">
        <v>2121</v>
      </c>
      <c r="E72" s="5">
        <v>70</v>
      </c>
      <c r="F72" s="590" t="s">
        <v>2122</v>
      </c>
      <c r="G72" s="589"/>
      <c r="H72" s="589"/>
      <c r="I72" s="589"/>
      <c r="J72" s="589"/>
      <c r="K72" s="589"/>
      <c r="L72" s="589"/>
      <c r="M72" s="589"/>
      <c r="N72" s="589"/>
      <c r="O72" s="589"/>
      <c r="P72" s="2"/>
      <c r="W72" t="s">
        <v>2047</v>
      </c>
    </row>
    <row r="73" spans="1:23" ht="13.15" customHeight="1" x14ac:dyDescent="0.2">
      <c r="A73" s="2" t="s">
        <v>2045</v>
      </c>
      <c r="B73" s="2">
        <f t="shared" si="2"/>
        <v>2022</v>
      </c>
      <c r="C73" s="2" t="str">
        <f t="shared" si="3"/>
        <v>KZN226</v>
      </c>
      <c r="D73" s="588" t="s">
        <v>2123</v>
      </c>
      <c r="E73" s="5">
        <v>71</v>
      </c>
      <c r="F73" s="590" t="s">
        <v>2124</v>
      </c>
      <c r="G73" s="589"/>
      <c r="H73" s="589"/>
      <c r="I73" s="589"/>
      <c r="J73" s="589"/>
      <c r="K73" s="589"/>
      <c r="L73" s="589"/>
      <c r="M73" s="589"/>
      <c r="N73" s="589"/>
      <c r="O73" s="589"/>
      <c r="P73" s="2"/>
      <c r="W73" t="s">
        <v>2047</v>
      </c>
    </row>
    <row r="74" spans="1:23" ht="13.15" customHeight="1" x14ac:dyDescent="0.2">
      <c r="A74" s="2" t="s">
        <v>2045</v>
      </c>
      <c r="B74" s="2">
        <f t="shared" si="2"/>
        <v>2022</v>
      </c>
      <c r="C74" s="2" t="str">
        <f t="shared" si="3"/>
        <v>KZN226</v>
      </c>
      <c r="D74" s="588" t="s">
        <v>2125</v>
      </c>
      <c r="E74" s="5">
        <v>72</v>
      </c>
      <c r="F74" s="590" t="s">
        <v>327</v>
      </c>
      <c r="G74" s="589"/>
      <c r="H74" s="589"/>
      <c r="I74" s="589"/>
      <c r="J74" s="589"/>
      <c r="K74" s="589"/>
      <c r="L74" s="589"/>
      <c r="M74" s="589"/>
      <c r="N74" s="589"/>
      <c r="O74" s="589"/>
      <c r="P74" s="2"/>
      <c r="W74" t="s">
        <v>2047</v>
      </c>
    </row>
    <row r="75" spans="1:23" ht="13.15" customHeight="1" x14ac:dyDescent="0.2">
      <c r="A75" s="2" t="s">
        <v>2045</v>
      </c>
      <c r="B75" s="2">
        <f t="shared" si="2"/>
        <v>2022</v>
      </c>
      <c r="C75" s="2" t="str">
        <f t="shared" si="3"/>
        <v>KZN226</v>
      </c>
      <c r="D75" s="588" t="s">
        <v>2126</v>
      </c>
      <c r="E75" s="5">
        <v>73</v>
      </c>
      <c r="F75" s="590" t="s">
        <v>328</v>
      </c>
      <c r="G75" s="589"/>
      <c r="H75" s="589"/>
      <c r="I75" s="589"/>
      <c r="J75" s="589"/>
      <c r="K75" s="589"/>
      <c r="L75" s="589"/>
      <c r="M75" s="589"/>
      <c r="N75" s="589"/>
      <c r="O75" s="589"/>
      <c r="P75" s="2"/>
      <c r="W75" t="s">
        <v>2047</v>
      </c>
    </row>
    <row r="76" spans="1:23" ht="13.15" customHeight="1" x14ac:dyDescent="0.2">
      <c r="A76" s="2" t="s">
        <v>2045</v>
      </c>
      <c r="B76" s="2">
        <f t="shared" si="2"/>
        <v>2022</v>
      </c>
      <c r="C76" s="2" t="str">
        <f t="shared" si="3"/>
        <v>KZN226</v>
      </c>
      <c r="D76" s="588" t="s">
        <v>2127</v>
      </c>
      <c r="E76" s="5">
        <v>74</v>
      </c>
      <c r="F76" s="590" t="s">
        <v>245</v>
      </c>
      <c r="G76" s="589"/>
      <c r="H76" s="589"/>
      <c r="I76" s="589"/>
      <c r="J76" s="589"/>
      <c r="K76" s="589"/>
      <c r="L76" s="589"/>
      <c r="M76" s="589"/>
      <c r="N76" s="589"/>
      <c r="O76" s="589"/>
      <c r="P76" s="2"/>
      <c r="W76" t="s">
        <v>2047</v>
      </c>
    </row>
    <row r="77" spans="1:23" ht="13.15" customHeight="1" x14ac:dyDescent="0.2">
      <c r="A77" s="2" t="s">
        <v>2045</v>
      </c>
      <c r="B77" s="2">
        <f t="shared" si="2"/>
        <v>2022</v>
      </c>
      <c r="C77" s="2" t="str">
        <f t="shared" si="3"/>
        <v>KZN226</v>
      </c>
      <c r="D77" s="588" t="s">
        <v>2128</v>
      </c>
      <c r="E77" s="5">
        <v>75</v>
      </c>
      <c r="F77" s="590" t="s">
        <v>2044</v>
      </c>
      <c r="G77" s="589"/>
      <c r="H77" s="589"/>
      <c r="I77" s="589"/>
      <c r="J77" s="589"/>
      <c r="K77" s="589"/>
      <c r="L77" s="589"/>
      <c r="M77" s="589"/>
      <c r="N77" s="589"/>
      <c r="O77" s="589"/>
      <c r="P77" s="2"/>
      <c r="W77" t="s">
        <v>2047</v>
      </c>
    </row>
    <row r="78" spans="1:23" ht="13.15" customHeight="1" x14ac:dyDescent="0.2">
      <c r="A78" s="2" t="s">
        <v>2129</v>
      </c>
      <c r="B78" s="2">
        <f t="shared" si="2"/>
        <v>2022</v>
      </c>
      <c r="C78" s="2" t="str">
        <f t="shared" si="3"/>
        <v>KZN226</v>
      </c>
      <c r="D78" s="591">
        <v>1000</v>
      </c>
      <c r="E78" s="5" t="s">
        <v>2130</v>
      </c>
      <c r="F78" s="592" t="s">
        <v>644</v>
      </c>
      <c r="G78" s="589"/>
      <c r="H78" s="589"/>
      <c r="I78" s="589"/>
      <c r="J78" s="589"/>
      <c r="K78" s="589"/>
      <c r="L78" s="589"/>
      <c r="M78" s="589"/>
      <c r="N78" s="2"/>
      <c r="O78" s="2"/>
      <c r="P78" s="2"/>
      <c r="W78" t="s">
        <v>2047</v>
      </c>
    </row>
    <row r="79" spans="1:23" ht="13.15" customHeight="1" x14ac:dyDescent="0.2">
      <c r="A79" s="2" t="s">
        <v>2129</v>
      </c>
      <c r="B79" s="2">
        <f t="shared" si="2"/>
        <v>2022</v>
      </c>
      <c r="C79" s="2" t="str">
        <f t="shared" si="3"/>
        <v>KZN226</v>
      </c>
      <c r="D79" s="591">
        <v>1001</v>
      </c>
      <c r="E79" s="5" t="s">
        <v>2130</v>
      </c>
      <c r="F79" s="593" t="s">
        <v>643</v>
      </c>
      <c r="G79" s="594"/>
      <c r="H79" s="594"/>
      <c r="I79" s="594"/>
      <c r="J79" s="594"/>
      <c r="K79" s="594"/>
      <c r="L79" s="594"/>
      <c r="M79" s="594"/>
      <c r="N79" s="594"/>
      <c r="O79" s="594"/>
      <c r="P79" s="2"/>
      <c r="W79" t="s">
        <v>2047</v>
      </c>
    </row>
    <row r="80" spans="1:23" ht="13.15" customHeight="1" x14ac:dyDescent="0.2">
      <c r="A80" s="2" t="s">
        <v>2129</v>
      </c>
      <c r="B80" s="2">
        <f t="shared" si="2"/>
        <v>2022</v>
      </c>
      <c r="C80" s="2" t="str">
        <f t="shared" si="3"/>
        <v>KZN226</v>
      </c>
      <c r="D80" s="591">
        <v>1002</v>
      </c>
      <c r="E80" s="5" t="s">
        <v>2130</v>
      </c>
      <c r="F80" s="593" t="s">
        <v>562</v>
      </c>
      <c r="G80" s="595"/>
      <c r="H80" s="595"/>
      <c r="I80" s="595"/>
      <c r="J80" s="595"/>
      <c r="K80" s="595"/>
      <c r="L80" s="595"/>
      <c r="M80" s="595"/>
      <c r="N80" s="595"/>
      <c r="O80" s="595"/>
      <c r="P80" s="2"/>
      <c r="W80" t="s">
        <v>2047</v>
      </c>
    </row>
    <row r="81" spans="1:23" ht="13.15" customHeight="1" x14ac:dyDescent="0.2">
      <c r="A81" s="2" t="s">
        <v>2129</v>
      </c>
      <c r="B81" s="2">
        <f t="shared" si="2"/>
        <v>2022</v>
      </c>
      <c r="C81" s="2" t="str">
        <f t="shared" si="3"/>
        <v>KZN226</v>
      </c>
      <c r="D81" s="591">
        <v>1003</v>
      </c>
      <c r="E81" s="5" t="s">
        <v>2130</v>
      </c>
      <c r="F81" s="593" t="s">
        <v>348</v>
      </c>
      <c r="G81" s="596"/>
      <c r="H81" s="596"/>
      <c r="I81" s="596"/>
      <c r="J81" s="596"/>
      <c r="K81" s="596"/>
      <c r="L81" s="596"/>
      <c r="M81" s="596"/>
      <c r="N81" s="596"/>
      <c r="O81" s="596"/>
      <c r="P81" s="2"/>
      <c r="W81" t="s">
        <v>2047</v>
      </c>
    </row>
    <row r="82" spans="1:23" ht="13.15" customHeight="1" x14ac:dyDescent="0.2">
      <c r="A82" s="2" t="s">
        <v>2129</v>
      </c>
      <c r="B82" s="2">
        <f t="shared" si="2"/>
        <v>2022</v>
      </c>
      <c r="C82" s="2" t="str">
        <f t="shared" si="3"/>
        <v>KZN226</v>
      </c>
      <c r="D82" s="591">
        <v>1004</v>
      </c>
      <c r="E82" s="5" t="s">
        <v>2130</v>
      </c>
      <c r="F82" s="593" t="s">
        <v>1099</v>
      </c>
      <c r="G82" s="596"/>
      <c r="H82" s="596"/>
      <c r="I82" s="596"/>
      <c r="J82" s="596"/>
      <c r="K82" s="596"/>
      <c r="L82" s="596"/>
      <c r="M82" s="596"/>
      <c r="N82" s="596"/>
      <c r="O82" s="596"/>
      <c r="P82" s="2"/>
      <c r="W82" t="s">
        <v>2047</v>
      </c>
    </row>
    <row r="83" spans="1:23" ht="13.15" customHeight="1" x14ac:dyDescent="0.2">
      <c r="A83" s="2" t="s">
        <v>2129</v>
      </c>
      <c r="B83" s="2">
        <f t="shared" si="2"/>
        <v>2022</v>
      </c>
      <c r="C83" s="2" t="str">
        <f t="shared" si="3"/>
        <v>KZN226</v>
      </c>
      <c r="D83" s="591">
        <v>1005</v>
      </c>
      <c r="E83" s="5" t="s">
        <v>2130</v>
      </c>
      <c r="F83" s="593" t="s">
        <v>645</v>
      </c>
      <c r="G83" s="596"/>
      <c r="H83" s="596"/>
      <c r="I83" s="596"/>
      <c r="J83" s="596"/>
      <c r="K83" s="596"/>
      <c r="L83" s="596"/>
      <c r="M83" s="596"/>
      <c r="N83" s="596"/>
      <c r="O83" s="596"/>
      <c r="P83" s="2"/>
      <c r="W83" t="s">
        <v>2047</v>
      </c>
    </row>
    <row r="84" spans="1:23" ht="13.15" customHeight="1" x14ac:dyDescent="0.2">
      <c r="A84" s="2" t="s">
        <v>2129</v>
      </c>
      <c r="B84" s="2">
        <f t="shared" si="2"/>
        <v>2022</v>
      </c>
      <c r="C84" s="2" t="str">
        <f t="shared" si="3"/>
        <v>KZN226</v>
      </c>
      <c r="D84" s="591">
        <v>1006</v>
      </c>
      <c r="E84" s="5" t="s">
        <v>2131</v>
      </c>
      <c r="F84" s="593" t="s">
        <v>1100</v>
      </c>
      <c r="G84" s="597"/>
      <c r="H84" s="597"/>
      <c r="I84" s="597"/>
      <c r="J84" s="597"/>
      <c r="K84" s="597"/>
      <c r="L84" s="597"/>
      <c r="M84" s="597"/>
      <c r="N84" s="597"/>
      <c r="O84" s="597"/>
      <c r="P84" s="2"/>
      <c r="W84" t="s">
        <v>2047</v>
      </c>
    </row>
    <row r="85" spans="1:23" ht="13.15" customHeight="1" x14ac:dyDescent="0.2">
      <c r="A85" s="2" t="s">
        <v>2129</v>
      </c>
      <c r="B85" s="2">
        <f t="shared" si="2"/>
        <v>2022</v>
      </c>
      <c r="C85" s="2" t="str">
        <f t="shared" si="3"/>
        <v>KZN226</v>
      </c>
      <c r="D85" s="591">
        <v>1007</v>
      </c>
      <c r="E85" s="5" t="s">
        <v>2131</v>
      </c>
      <c r="F85" s="598" t="s">
        <v>1101</v>
      </c>
      <c r="G85" s="597"/>
      <c r="H85" s="597"/>
      <c r="I85" s="597"/>
      <c r="J85" s="597"/>
      <c r="K85" s="597"/>
      <c r="L85" s="597"/>
      <c r="M85" s="597"/>
      <c r="N85" s="597"/>
      <c r="O85" s="597"/>
      <c r="P85" s="2"/>
      <c r="W85" t="s">
        <v>2047</v>
      </c>
    </row>
    <row r="86" spans="1:23" ht="13.15" customHeight="1" x14ac:dyDescent="0.2">
      <c r="A86" s="2" t="s">
        <v>2129</v>
      </c>
      <c r="B86" s="2">
        <f t="shared" si="2"/>
        <v>2022</v>
      </c>
      <c r="C86" s="2" t="str">
        <f t="shared" si="3"/>
        <v>KZN226</v>
      </c>
      <c r="D86" s="591">
        <v>1008</v>
      </c>
      <c r="E86" s="5" t="s">
        <v>2131</v>
      </c>
      <c r="F86" s="598" t="s">
        <v>1102</v>
      </c>
      <c r="G86" s="597"/>
      <c r="H86" s="597"/>
      <c r="I86" s="597"/>
      <c r="J86" s="597"/>
      <c r="K86" s="597"/>
      <c r="L86" s="597"/>
      <c r="M86" s="597"/>
      <c r="N86" s="597"/>
      <c r="O86" s="597"/>
      <c r="P86" s="2"/>
      <c r="W86" t="s">
        <v>2047</v>
      </c>
    </row>
    <row r="87" spans="1:23" ht="13.15" customHeight="1" x14ac:dyDescent="0.2">
      <c r="A87" s="2" t="s">
        <v>2129</v>
      </c>
      <c r="B87" s="2">
        <f t="shared" si="2"/>
        <v>2022</v>
      </c>
      <c r="C87" s="2" t="str">
        <f t="shared" si="3"/>
        <v>KZN226</v>
      </c>
      <c r="D87" s="591">
        <v>1009</v>
      </c>
      <c r="E87" s="5" t="s">
        <v>2131</v>
      </c>
      <c r="F87" s="598" t="s">
        <v>1103</v>
      </c>
      <c r="G87" s="597"/>
      <c r="H87" s="597"/>
      <c r="I87" s="597"/>
      <c r="J87" s="597"/>
      <c r="K87" s="597"/>
      <c r="L87" s="597"/>
      <c r="M87" s="597"/>
      <c r="N87" s="597"/>
      <c r="O87" s="597"/>
      <c r="P87" s="2"/>
      <c r="W87" t="s">
        <v>2047</v>
      </c>
    </row>
    <row r="88" spans="1:23" ht="13.15" customHeight="1" x14ac:dyDescent="0.2">
      <c r="A88" s="2" t="s">
        <v>2129</v>
      </c>
      <c r="B88" s="2">
        <f t="shared" si="2"/>
        <v>2022</v>
      </c>
      <c r="C88" s="2" t="str">
        <f t="shared" si="3"/>
        <v>KZN226</v>
      </c>
      <c r="D88" s="591">
        <v>1010</v>
      </c>
      <c r="E88" s="5" t="s">
        <v>2131</v>
      </c>
      <c r="F88" s="598" t="s">
        <v>1384</v>
      </c>
      <c r="G88" s="597"/>
      <c r="H88" s="597"/>
      <c r="I88" s="597"/>
      <c r="J88" s="597"/>
      <c r="K88" s="597"/>
      <c r="L88" s="597"/>
      <c r="M88" s="597"/>
      <c r="N88" s="597"/>
      <c r="O88" s="597"/>
      <c r="P88" s="2"/>
      <c r="W88" t="s">
        <v>2047</v>
      </c>
    </row>
    <row r="89" spans="1:23" ht="13.15" customHeight="1" x14ac:dyDescent="0.2">
      <c r="A89" s="2" t="s">
        <v>2129</v>
      </c>
      <c r="B89" s="2">
        <f t="shared" si="2"/>
        <v>2022</v>
      </c>
      <c r="C89" s="2" t="str">
        <f t="shared" si="3"/>
        <v>KZN226</v>
      </c>
      <c r="D89" s="591">
        <v>1011</v>
      </c>
      <c r="E89" s="5" t="s">
        <v>2130</v>
      </c>
      <c r="F89" s="593" t="s">
        <v>563</v>
      </c>
      <c r="G89" s="596"/>
      <c r="H89" s="596"/>
      <c r="I89" s="596"/>
      <c r="J89" s="596"/>
      <c r="K89" s="596"/>
      <c r="L89" s="596"/>
      <c r="M89" s="596"/>
      <c r="N89" s="596"/>
      <c r="O89" s="596"/>
      <c r="P89" s="2"/>
      <c r="W89" t="s">
        <v>2047</v>
      </c>
    </row>
    <row r="90" spans="1:23" ht="13.15" customHeight="1" x14ac:dyDescent="0.2">
      <c r="A90" s="2" t="s">
        <v>2129</v>
      </c>
      <c r="B90" s="2">
        <f t="shared" si="2"/>
        <v>2022</v>
      </c>
      <c r="C90" s="2" t="str">
        <f t="shared" si="3"/>
        <v>KZN226</v>
      </c>
      <c r="D90" s="591">
        <v>1012</v>
      </c>
      <c r="E90" s="5" t="s">
        <v>2131</v>
      </c>
      <c r="F90" s="593" t="s">
        <v>346</v>
      </c>
      <c r="G90" s="589"/>
      <c r="H90" s="589"/>
      <c r="I90" s="589"/>
      <c r="J90" s="589"/>
      <c r="K90" s="589"/>
      <c r="L90" s="589"/>
      <c r="M90" s="589"/>
      <c r="N90" s="589"/>
      <c r="O90" s="589"/>
      <c r="P90" s="2"/>
      <c r="W90" t="s">
        <v>2047</v>
      </c>
    </row>
    <row r="91" spans="1:23" ht="13.15" customHeight="1" x14ac:dyDescent="0.2">
      <c r="A91" s="2" t="s">
        <v>2129</v>
      </c>
      <c r="B91" s="2">
        <f t="shared" si="2"/>
        <v>2022</v>
      </c>
      <c r="C91" s="2" t="str">
        <f t="shared" si="3"/>
        <v>KZN226</v>
      </c>
      <c r="D91" s="591">
        <v>1020</v>
      </c>
      <c r="E91" s="5" t="s">
        <v>2131</v>
      </c>
      <c r="F91" s="593" t="s">
        <v>349</v>
      </c>
      <c r="G91" s="589"/>
      <c r="H91" s="589"/>
      <c r="I91" s="589"/>
      <c r="J91" s="589"/>
      <c r="K91" s="589"/>
      <c r="L91" s="589"/>
      <c r="M91" s="589"/>
      <c r="N91" s="589"/>
      <c r="O91" s="589"/>
      <c r="P91" s="2"/>
      <c r="W91" t="s">
        <v>2047</v>
      </c>
    </row>
    <row r="92" spans="1:23" ht="13.15" customHeight="1" x14ac:dyDescent="0.2">
      <c r="A92" s="2" t="s">
        <v>2129</v>
      </c>
      <c r="B92" s="2">
        <f t="shared" si="2"/>
        <v>2022</v>
      </c>
      <c r="C92" s="2" t="str">
        <f t="shared" si="3"/>
        <v>KZN226</v>
      </c>
      <c r="D92" s="591">
        <v>1021</v>
      </c>
      <c r="E92" s="5" t="s">
        <v>2131</v>
      </c>
      <c r="F92" s="593" t="s">
        <v>350</v>
      </c>
      <c r="G92" s="589"/>
      <c r="H92" s="589"/>
      <c r="I92" s="589"/>
      <c r="J92" s="589"/>
      <c r="K92" s="589"/>
      <c r="L92" s="589"/>
      <c r="M92" s="589"/>
      <c r="N92" s="589"/>
      <c r="O92" s="589"/>
      <c r="P92" s="2"/>
      <c r="W92" t="s">
        <v>2047</v>
      </c>
    </row>
    <row r="93" spans="1:23" ht="13.15" customHeight="1" x14ac:dyDescent="0.2">
      <c r="A93" s="2" t="s">
        <v>2129</v>
      </c>
      <c r="B93" s="2">
        <f t="shared" si="2"/>
        <v>2022</v>
      </c>
      <c r="C93" s="2" t="str">
        <f t="shared" si="3"/>
        <v>KZN226</v>
      </c>
      <c r="D93" s="591">
        <v>1022</v>
      </c>
      <c r="E93" s="5" t="s">
        <v>2131</v>
      </c>
      <c r="F93" s="593" t="s">
        <v>351</v>
      </c>
      <c r="G93" s="589"/>
      <c r="H93" s="589"/>
      <c r="I93" s="589"/>
      <c r="J93" s="589"/>
      <c r="K93" s="589"/>
      <c r="L93" s="589"/>
      <c r="M93" s="589"/>
      <c r="N93" s="589"/>
      <c r="O93" s="589"/>
      <c r="P93" s="2"/>
      <c r="W93" t="s">
        <v>2047</v>
      </c>
    </row>
    <row r="94" spans="1:23" ht="13.15" customHeight="1" x14ac:dyDescent="0.2">
      <c r="A94" s="2" t="s">
        <v>2129</v>
      </c>
      <c r="B94" s="2">
        <f t="shared" si="2"/>
        <v>2022</v>
      </c>
      <c r="C94" s="2" t="str">
        <f t="shared" si="3"/>
        <v>KZN226</v>
      </c>
      <c r="D94" s="591">
        <v>1023</v>
      </c>
      <c r="E94" s="5" t="s">
        <v>2131</v>
      </c>
      <c r="F94" s="593" t="s">
        <v>636</v>
      </c>
      <c r="G94" s="589"/>
      <c r="H94" s="589"/>
      <c r="I94" s="589"/>
      <c r="J94" s="589"/>
      <c r="K94" s="589"/>
      <c r="L94" s="589"/>
      <c r="M94" s="589"/>
      <c r="N94" s="589"/>
      <c r="O94" s="589"/>
      <c r="P94" s="2"/>
      <c r="W94" t="s">
        <v>2047</v>
      </c>
    </row>
    <row r="95" spans="1:23" ht="13.15" customHeight="1" x14ac:dyDescent="0.2">
      <c r="A95" s="2" t="s">
        <v>2129</v>
      </c>
      <c r="B95" s="2">
        <f t="shared" si="2"/>
        <v>2022</v>
      </c>
      <c r="C95" s="2" t="str">
        <f t="shared" si="3"/>
        <v>KZN226</v>
      </c>
      <c r="D95" s="591">
        <v>1024</v>
      </c>
      <c r="E95" s="5" t="s">
        <v>2131</v>
      </c>
      <c r="F95" s="593" t="s">
        <v>637</v>
      </c>
      <c r="G95" s="589"/>
      <c r="H95" s="589"/>
      <c r="I95" s="589"/>
      <c r="J95" s="589"/>
      <c r="K95" s="589"/>
      <c r="L95" s="589"/>
      <c r="M95" s="589"/>
      <c r="N95" s="589"/>
      <c r="O95" s="589"/>
      <c r="P95" s="2"/>
      <c r="W95" t="s">
        <v>2047</v>
      </c>
    </row>
    <row r="96" spans="1:23" ht="13.15" customHeight="1" x14ac:dyDescent="0.2">
      <c r="A96" s="2" t="s">
        <v>2129</v>
      </c>
      <c r="B96" s="2">
        <f t="shared" si="2"/>
        <v>2022</v>
      </c>
      <c r="C96" s="2" t="str">
        <f t="shared" si="3"/>
        <v>KZN226</v>
      </c>
      <c r="D96" s="591">
        <v>1025</v>
      </c>
      <c r="E96" s="5" t="s">
        <v>2131</v>
      </c>
      <c r="F96" s="593" t="s">
        <v>318</v>
      </c>
      <c r="G96" s="589"/>
      <c r="H96" s="589"/>
      <c r="I96" s="589"/>
      <c r="J96" s="589"/>
      <c r="K96" s="589"/>
      <c r="L96" s="589"/>
      <c r="M96" s="589"/>
      <c r="N96" s="589"/>
      <c r="O96" s="589"/>
      <c r="P96" s="2"/>
      <c r="W96" t="s">
        <v>2047</v>
      </c>
    </row>
    <row r="97" spans="1:23" ht="13.15" customHeight="1" x14ac:dyDescent="0.2">
      <c r="A97" s="2" t="s">
        <v>2129</v>
      </c>
      <c r="B97" s="2">
        <f t="shared" si="2"/>
        <v>2022</v>
      </c>
      <c r="C97" s="2" t="str">
        <f t="shared" si="3"/>
        <v>KZN226</v>
      </c>
      <c r="D97" s="591">
        <v>1026</v>
      </c>
      <c r="E97" s="5" t="s">
        <v>2131</v>
      </c>
      <c r="F97" s="593" t="s">
        <v>319</v>
      </c>
      <c r="G97" s="589"/>
      <c r="H97" s="589"/>
      <c r="I97" s="589"/>
      <c r="J97" s="589"/>
      <c r="K97" s="589"/>
      <c r="L97" s="589"/>
      <c r="M97" s="589"/>
      <c r="N97" s="589"/>
      <c r="O97" s="589"/>
      <c r="P97" s="2"/>
      <c r="W97" t="s">
        <v>2047</v>
      </c>
    </row>
    <row r="98" spans="1:23" ht="13.15" customHeight="1" x14ac:dyDescent="0.2">
      <c r="A98" s="2" t="s">
        <v>2129</v>
      </c>
      <c r="B98" s="2">
        <f t="shared" si="2"/>
        <v>2022</v>
      </c>
      <c r="C98" s="2" t="str">
        <f t="shared" si="3"/>
        <v>KZN226</v>
      </c>
      <c r="D98" s="591">
        <v>1028</v>
      </c>
      <c r="E98" s="5" t="s">
        <v>2131</v>
      </c>
      <c r="F98" s="593" t="s">
        <v>646</v>
      </c>
      <c r="G98" s="589"/>
      <c r="H98" s="589"/>
      <c r="I98" s="589"/>
      <c r="J98" s="589"/>
      <c r="K98" s="589"/>
      <c r="L98" s="589"/>
      <c r="M98" s="589"/>
      <c r="N98" s="589"/>
      <c r="O98" s="589"/>
      <c r="P98" s="2"/>
      <c r="W98" t="s">
        <v>2047</v>
      </c>
    </row>
    <row r="99" spans="1:23" ht="13.15" customHeight="1" x14ac:dyDescent="0.2">
      <c r="A99" s="2" t="s">
        <v>2129</v>
      </c>
      <c r="B99" s="2">
        <f t="shared" si="2"/>
        <v>2022</v>
      </c>
      <c r="C99" s="2" t="str">
        <f t="shared" si="3"/>
        <v>KZN226</v>
      </c>
      <c r="D99" s="591">
        <v>1029</v>
      </c>
      <c r="E99" s="5" t="s">
        <v>2131</v>
      </c>
      <c r="F99" s="593" t="s">
        <v>635</v>
      </c>
      <c r="G99" s="589"/>
      <c r="H99" s="589"/>
      <c r="I99" s="589"/>
      <c r="J99" s="589"/>
      <c r="K99" s="589"/>
      <c r="L99" s="589"/>
      <c r="M99" s="589"/>
      <c r="N99" s="589"/>
      <c r="O99" s="589"/>
      <c r="P99" s="2"/>
      <c r="W99" t="s">
        <v>2047</v>
      </c>
    </row>
    <row r="100" spans="1:23" ht="13.15" customHeight="1" x14ac:dyDescent="0.2">
      <c r="A100" s="2" t="s">
        <v>2129</v>
      </c>
      <c r="B100" s="2">
        <f t="shared" si="2"/>
        <v>2022</v>
      </c>
      <c r="C100" s="2" t="str">
        <f t="shared" si="3"/>
        <v>KZN226</v>
      </c>
      <c r="D100" s="591">
        <v>1030</v>
      </c>
      <c r="E100" s="5" t="s">
        <v>2131</v>
      </c>
      <c r="F100" s="593" t="s">
        <v>1341</v>
      </c>
      <c r="G100" s="589"/>
      <c r="H100" s="589"/>
      <c r="I100" s="589"/>
      <c r="J100" s="589"/>
      <c r="K100" s="589"/>
      <c r="L100" s="589"/>
      <c r="M100" s="589"/>
      <c r="N100" s="589"/>
      <c r="O100" s="589"/>
      <c r="P100" s="2"/>
      <c r="W100" t="s">
        <v>2047</v>
      </c>
    </row>
    <row r="101" spans="1:23" ht="13.15" customHeight="1" x14ac:dyDescent="0.2">
      <c r="A101" s="2" t="s">
        <v>2129</v>
      </c>
      <c r="B101" s="2">
        <f t="shared" si="2"/>
        <v>2022</v>
      </c>
      <c r="C101" s="2" t="str">
        <f t="shared" si="3"/>
        <v>KZN226</v>
      </c>
      <c r="D101" s="591">
        <v>1031</v>
      </c>
      <c r="E101" s="5" t="s">
        <v>2131</v>
      </c>
      <c r="F101" s="593" t="s">
        <v>2132</v>
      </c>
      <c r="G101" s="589"/>
      <c r="H101" s="589"/>
      <c r="I101" s="589"/>
      <c r="J101" s="589"/>
      <c r="K101" s="589"/>
      <c r="L101" s="589"/>
      <c r="M101" s="589"/>
      <c r="N101" s="589"/>
      <c r="O101" s="589"/>
      <c r="P101" s="2"/>
      <c r="W101" t="s">
        <v>2047</v>
      </c>
    </row>
    <row r="102" spans="1:23" ht="13.15" customHeight="1" x14ac:dyDescent="0.2">
      <c r="A102" s="2" t="s">
        <v>2129</v>
      </c>
      <c r="B102" s="2">
        <f t="shared" si="2"/>
        <v>2022</v>
      </c>
      <c r="C102" s="2" t="str">
        <f t="shared" si="3"/>
        <v>KZN226</v>
      </c>
      <c r="D102" s="591">
        <v>1032</v>
      </c>
      <c r="E102" s="5" t="s">
        <v>2131</v>
      </c>
      <c r="F102" s="593" t="s">
        <v>2133</v>
      </c>
      <c r="G102" s="589"/>
      <c r="H102" s="589"/>
      <c r="I102" s="589"/>
      <c r="J102" s="589"/>
      <c r="K102" s="589"/>
      <c r="L102" s="589"/>
      <c r="M102" s="589"/>
      <c r="N102" s="589"/>
      <c r="O102" s="589"/>
      <c r="P102" s="2"/>
      <c r="W102" t="s">
        <v>2047</v>
      </c>
    </row>
    <row r="103" spans="1:23" ht="13.15" customHeight="1" x14ac:dyDescent="0.2">
      <c r="A103" s="2" t="s">
        <v>2129</v>
      </c>
      <c r="B103" s="2">
        <f t="shared" si="2"/>
        <v>2022</v>
      </c>
      <c r="C103" s="2" t="str">
        <f t="shared" si="3"/>
        <v>KZN226</v>
      </c>
      <c r="D103" s="591">
        <v>1100</v>
      </c>
      <c r="E103" s="599" t="s">
        <v>2130</v>
      </c>
      <c r="F103" s="592" t="s">
        <v>1342</v>
      </c>
      <c r="G103" s="589"/>
      <c r="H103" s="589"/>
      <c r="I103" s="589"/>
      <c r="J103" s="589"/>
      <c r="K103" s="589"/>
      <c r="L103" s="589"/>
      <c r="M103" s="589"/>
      <c r="N103" s="589"/>
      <c r="O103" s="589"/>
      <c r="P103" s="2"/>
      <c r="W103" t="s">
        <v>2047</v>
      </c>
    </row>
    <row r="104" spans="1:23" ht="13.15" customHeight="1" x14ac:dyDescent="0.2">
      <c r="A104" s="2" t="s">
        <v>2129</v>
      </c>
      <c r="B104" s="2">
        <f t="shared" si="2"/>
        <v>2022</v>
      </c>
      <c r="C104" s="2" t="str">
        <f t="shared" si="3"/>
        <v>KZN226</v>
      </c>
      <c r="D104" s="591">
        <v>1101</v>
      </c>
      <c r="E104" s="5" t="s">
        <v>2131</v>
      </c>
      <c r="F104" s="593" t="s">
        <v>2134</v>
      </c>
      <c r="G104" s="589"/>
      <c r="H104" s="589"/>
      <c r="I104" s="589"/>
      <c r="J104" s="589"/>
      <c r="K104" s="589"/>
      <c r="L104" s="589"/>
      <c r="M104" s="589"/>
      <c r="N104" s="589"/>
      <c r="O104" s="589"/>
      <c r="P104" s="2"/>
      <c r="W104" t="s">
        <v>2047</v>
      </c>
    </row>
    <row r="105" spans="1:23" ht="13.15" customHeight="1" x14ac:dyDescent="0.2">
      <c r="A105" s="2" t="s">
        <v>2129</v>
      </c>
      <c r="B105" s="2">
        <f t="shared" si="2"/>
        <v>2022</v>
      </c>
      <c r="C105" s="2" t="str">
        <f t="shared" si="3"/>
        <v>KZN226</v>
      </c>
      <c r="D105" s="591">
        <v>1102</v>
      </c>
      <c r="E105" s="5" t="s">
        <v>2131</v>
      </c>
      <c r="F105" s="593" t="s">
        <v>2135</v>
      </c>
      <c r="G105" s="589"/>
      <c r="H105" s="589"/>
      <c r="I105" s="589"/>
      <c r="J105" s="589"/>
      <c r="K105" s="589"/>
      <c r="L105" s="589"/>
      <c r="M105" s="589"/>
      <c r="N105" s="589"/>
      <c r="O105" s="589"/>
      <c r="P105" s="2"/>
      <c r="W105" t="s">
        <v>2047</v>
      </c>
    </row>
    <row r="106" spans="1:23" ht="13.15" customHeight="1" x14ac:dyDescent="0.2">
      <c r="A106" s="2" t="s">
        <v>2129</v>
      </c>
      <c r="B106" s="2">
        <f t="shared" si="2"/>
        <v>2022</v>
      </c>
      <c r="C106" s="2" t="str">
        <f t="shared" si="3"/>
        <v>KZN226</v>
      </c>
      <c r="D106" s="591">
        <v>1103</v>
      </c>
      <c r="E106" s="5" t="s">
        <v>2131</v>
      </c>
      <c r="F106" s="593" t="s">
        <v>2136</v>
      </c>
      <c r="G106" s="589"/>
      <c r="H106" s="589"/>
      <c r="I106" s="589"/>
      <c r="J106" s="589"/>
      <c r="K106" s="589"/>
      <c r="L106" s="589"/>
      <c r="M106" s="589"/>
      <c r="N106" s="589"/>
      <c r="O106" s="589"/>
      <c r="P106" s="2"/>
      <c r="W106" t="s">
        <v>2047</v>
      </c>
    </row>
    <row r="107" spans="1:23" ht="13.15" customHeight="1" x14ac:dyDescent="0.2">
      <c r="A107" s="2" t="s">
        <v>2129</v>
      </c>
      <c r="B107" s="2">
        <f t="shared" si="2"/>
        <v>2022</v>
      </c>
      <c r="C107" s="2" t="str">
        <f t="shared" si="3"/>
        <v>KZN226</v>
      </c>
      <c r="D107" s="591">
        <v>1104</v>
      </c>
      <c r="E107" s="5" t="s">
        <v>2131</v>
      </c>
      <c r="F107" s="593" t="s">
        <v>2137</v>
      </c>
      <c r="G107" s="589"/>
      <c r="H107" s="589"/>
      <c r="I107" s="589"/>
      <c r="J107" s="589"/>
      <c r="K107" s="589"/>
      <c r="L107" s="589"/>
      <c r="M107" s="589"/>
      <c r="N107" s="589"/>
      <c r="O107" s="589"/>
      <c r="P107" s="2"/>
      <c r="W107" t="s">
        <v>2047</v>
      </c>
    </row>
    <row r="108" spans="1:23" ht="13.15" customHeight="1" x14ac:dyDescent="0.2">
      <c r="A108" s="2" t="s">
        <v>2129</v>
      </c>
      <c r="B108" s="2">
        <f t="shared" si="2"/>
        <v>2022</v>
      </c>
      <c r="C108" s="2" t="str">
        <f t="shared" si="3"/>
        <v>KZN226</v>
      </c>
      <c r="D108" s="591">
        <v>1105</v>
      </c>
      <c r="E108" s="5" t="s">
        <v>2131</v>
      </c>
      <c r="F108" s="593" t="s">
        <v>2138</v>
      </c>
      <c r="G108" s="589"/>
      <c r="H108" s="589"/>
      <c r="I108" s="589"/>
      <c r="J108" s="589"/>
      <c r="K108" s="589"/>
      <c r="L108" s="589"/>
      <c r="M108" s="589"/>
      <c r="N108" s="589"/>
      <c r="O108" s="589"/>
      <c r="P108" s="2"/>
      <c r="W108" t="s">
        <v>2047</v>
      </c>
    </row>
    <row r="109" spans="1:23" ht="13.15" customHeight="1" x14ac:dyDescent="0.2">
      <c r="A109" s="2" t="s">
        <v>2129</v>
      </c>
      <c r="B109" s="2">
        <f t="shared" si="2"/>
        <v>2022</v>
      </c>
      <c r="C109" s="2" t="str">
        <f t="shared" si="3"/>
        <v>KZN226</v>
      </c>
      <c r="D109" s="591">
        <v>1106</v>
      </c>
      <c r="E109" s="5" t="s">
        <v>2131</v>
      </c>
      <c r="F109" s="593" t="s">
        <v>2139</v>
      </c>
      <c r="G109" s="589"/>
      <c r="H109" s="589"/>
      <c r="I109" s="589"/>
      <c r="J109" s="589"/>
      <c r="K109" s="589"/>
      <c r="L109" s="589"/>
      <c r="M109" s="589"/>
      <c r="N109" s="589"/>
      <c r="O109" s="589"/>
      <c r="P109" s="2"/>
      <c r="W109" t="s">
        <v>2047</v>
      </c>
    </row>
    <row r="110" spans="1:23" ht="13.15" customHeight="1" x14ac:dyDescent="0.2">
      <c r="A110" s="2" t="s">
        <v>2129</v>
      </c>
      <c r="B110" s="2">
        <f t="shared" si="2"/>
        <v>2022</v>
      </c>
      <c r="C110" s="2" t="str">
        <f t="shared" si="3"/>
        <v>KZN226</v>
      </c>
      <c r="D110" s="591">
        <v>1107</v>
      </c>
      <c r="E110" s="5" t="s">
        <v>2131</v>
      </c>
      <c r="F110" s="5" t="s">
        <v>1343</v>
      </c>
      <c r="G110" s="589"/>
      <c r="H110" s="589"/>
      <c r="I110" s="589"/>
      <c r="J110" s="589"/>
      <c r="K110" s="589"/>
      <c r="L110" s="589"/>
      <c r="M110" s="589"/>
      <c r="N110" s="589"/>
      <c r="O110" s="589"/>
      <c r="P110" s="2"/>
      <c r="W110" t="s">
        <v>2047</v>
      </c>
    </row>
    <row r="111" spans="1:23" ht="13.15" customHeight="1" x14ac:dyDescent="0.2">
      <c r="A111" s="2" t="s">
        <v>2129</v>
      </c>
      <c r="B111" s="2">
        <f t="shared" si="2"/>
        <v>2022</v>
      </c>
      <c r="C111" s="2" t="str">
        <f t="shared" si="3"/>
        <v>KZN226</v>
      </c>
      <c r="D111" s="591">
        <v>1108</v>
      </c>
      <c r="E111" s="5" t="s">
        <v>2131</v>
      </c>
      <c r="F111" s="593" t="s">
        <v>2140</v>
      </c>
      <c r="G111" s="589"/>
      <c r="H111" s="589"/>
      <c r="I111" s="589"/>
      <c r="J111" s="589"/>
      <c r="K111" s="589"/>
      <c r="L111" s="589"/>
      <c r="M111" s="589"/>
      <c r="N111" s="589"/>
      <c r="O111" s="589"/>
      <c r="P111" s="2"/>
      <c r="W111" t="s">
        <v>2047</v>
      </c>
    </row>
    <row r="112" spans="1:23" ht="13.15" customHeight="1" x14ac:dyDescent="0.2">
      <c r="A112" s="2" t="s">
        <v>2129</v>
      </c>
      <c r="B112" s="2">
        <f t="shared" si="2"/>
        <v>2022</v>
      </c>
      <c r="C112" s="2" t="str">
        <f t="shared" si="3"/>
        <v>KZN226</v>
      </c>
      <c r="D112" s="591">
        <v>1109</v>
      </c>
      <c r="E112" s="5" t="s">
        <v>2131</v>
      </c>
      <c r="F112" s="593" t="s">
        <v>2141</v>
      </c>
      <c r="G112" s="589"/>
      <c r="H112" s="589"/>
      <c r="I112" s="589"/>
      <c r="J112" s="589"/>
      <c r="K112" s="589"/>
      <c r="L112" s="589"/>
      <c r="M112" s="589"/>
      <c r="N112" s="589"/>
      <c r="O112" s="589"/>
      <c r="P112" s="2"/>
      <c r="W112" t="s">
        <v>2047</v>
      </c>
    </row>
    <row r="113" spans="1:23" ht="13.15" customHeight="1" x14ac:dyDescent="0.2">
      <c r="A113" s="2" t="s">
        <v>2129</v>
      </c>
      <c r="B113" s="2">
        <f t="shared" si="2"/>
        <v>2022</v>
      </c>
      <c r="C113" s="2" t="str">
        <f t="shared" si="3"/>
        <v>KZN226</v>
      </c>
      <c r="D113" s="591">
        <v>1110</v>
      </c>
      <c r="E113" s="5" t="s">
        <v>2131</v>
      </c>
      <c r="F113" s="598" t="s">
        <v>2142</v>
      </c>
      <c r="G113" s="589"/>
      <c r="H113" s="589"/>
      <c r="I113" s="589"/>
      <c r="J113" s="589"/>
      <c r="K113" s="589"/>
      <c r="L113" s="589"/>
      <c r="M113" s="589"/>
      <c r="N113" s="589"/>
      <c r="O113" s="589"/>
      <c r="P113" s="2"/>
      <c r="W113" t="s">
        <v>2047</v>
      </c>
    </row>
    <row r="114" spans="1:23" ht="13.15" customHeight="1" x14ac:dyDescent="0.2">
      <c r="A114" s="2" t="s">
        <v>2129</v>
      </c>
      <c r="B114" s="2">
        <f t="shared" si="2"/>
        <v>2022</v>
      </c>
      <c r="C114" s="2" t="str">
        <f t="shared" si="3"/>
        <v>KZN226</v>
      </c>
      <c r="D114" s="591">
        <v>1111</v>
      </c>
      <c r="E114" s="5" t="s">
        <v>2131</v>
      </c>
      <c r="F114" s="598" t="s">
        <v>2143</v>
      </c>
      <c r="G114" s="589"/>
      <c r="H114" s="589"/>
      <c r="I114" s="589"/>
      <c r="J114" s="589"/>
      <c r="K114" s="589"/>
      <c r="L114" s="589"/>
      <c r="M114" s="589"/>
      <c r="N114" s="589"/>
      <c r="O114" s="589"/>
      <c r="P114" s="2"/>
      <c r="W114" t="s">
        <v>2047</v>
      </c>
    </row>
    <row r="115" spans="1:23" ht="13.15" customHeight="1" x14ac:dyDescent="0.2">
      <c r="A115" s="2" t="s">
        <v>2129</v>
      </c>
      <c r="B115" s="2">
        <f t="shared" si="2"/>
        <v>2022</v>
      </c>
      <c r="C115" s="2" t="str">
        <f t="shared" si="3"/>
        <v>KZN226</v>
      </c>
      <c r="D115" s="591"/>
      <c r="E115" s="5"/>
      <c r="F115" s="598"/>
      <c r="G115" s="589"/>
      <c r="H115" s="589"/>
      <c r="I115" s="589"/>
      <c r="J115" s="589"/>
      <c r="K115" s="589"/>
      <c r="L115" s="589"/>
      <c r="M115" s="589"/>
      <c r="N115" s="589"/>
      <c r="O115" s="589"/>
      <c r="P115" s="2"/>
      <c r="W115" t="s">
        <v>2047</v>
      </c>
    </row>
    <row r="116" spans="1:23" ht="13.15" customHeight="1" x14ac:dyDescent="0.2">
      <c r="A116" s="2" t="s">
        <v>2129</v>
      </c>
      <c r="B116" s="2">
        <f t="shared" si="2"/>
        <v>2022</v>
      </c>
      <c r="C116" s="2" t="str">
        <f t="shared" si="3"/>
        <v>KZN226</v>
      </c>
      <c r="D116" s="591">
        <v>1200</v>
      </c>
      <c r="E116" s="599" t="s">
        <v>2130</v>
      </c>
      <c r="F116" s="592" t="s">
        <v>1344</v>
      </c>
      <c r="G116" s="596"/>
      <c r="H116" s="596"/>
      <c r="I116" s="596"/>
      <c r="J116" s="596"/>
      <c r="K116" s="596"/>
      <c r="L116" s="596"/>
      <c r="M116" s="596"/>
      <c r="N116" s="596"/>
      <c r="O116" s="596"/>
      <c r="P116" s="2"/>
      <c r="W116" t="s">
        <v>2047</v>
      </c>
    </row>
    <row r="117" spans="1:23" ht="13.15" customHeight="1" x14ac:dyDescent="0.2">
      <c r="A117" s="2" t="s">
        <v>2129</v>
      </c>
      <c r="B117" s="2">
        <f t="shared" si="2"/>
        <v>2022</v>
      </c>
      <c r="C117" s="2" t="str">
        <f t="shared" si="3"/>
        <v>KZN226</v>
      </c>
      <c r="D117" s="591">
        <v>1202</v>
      </c>
      <c r="E117" s="5" t="s">
        <v>2130</v>
      </c>
      <c r="F117" s="600" t="s">
        <v>1272</v>
      </c>
      <c r="G117" s="596"/>
      <c r="H117" s="596"/>
      <c r="I117" s="596"/>
      <c r="J117" s="596"/>
      <c r="K117" s="596"/>
      <c r="L117" s="596"/>
      <c r="M117" s="596"/>
      <c r="N117" s="596"/>
      <c r="O117" s="596"/>
      <c r="P117" s="2"/>
      <c r="W117" t="s">
        <v>2047</v>
      </c>
    </row>
    <row r="118" spans="1:23" ht="13.15" customHeight="1" x14ac:dyDescent="0.2">
      <c r="A118" s="2" t="s">
        <v>2129</v>
      </c>
      <c r="B118" s="2">
        <f t="shared" si="2"/>
        <v>2022</v>
      </c>
      <c r="C118" s="2" t="str">
        <f t="shared" si="3"/>
        <v>KZN226</v>
      </c>
      <c r="D118" s="591">
        <v>1203</v>
      </c>
      <c r="E118" s="5" t="s">
        <v>2130</v>
      </c>
      <c r="F118" s="593" t="s">
        <v>640</v>
      </c>
      <c r="G118" s="596"/>
      <c r="H118" s="596"/>
      <c r="I118" s="596"/>
      <c r="J118" s="596"/>
      <c r="K118" s="596"/>
      <c r="L118" s="596"/>
      <c r="M118" s="596"/>
      <c r="N118" s="596"/>
      <c r="O118" s="596"/>
      <c r="P118" s="2"/>
      <c r="W118" t="s">
        <v>2047</v>
      </c>
    </row>
    <row r="119" spans="1:23" ht="13.15" customHeight="1" x14ac:dyDescent="0.2">
      <c r="A119" s="2" t="s">
        <v>2129</v>
      </c>
      <c r="B119" s="2">
        <f t="shared" si="2"/>
        <v>2022</v>
      </c>
      <c r="C119" s="2" t="str">
        <f t="shared" si="3"/>
        <v>KZN226</v>
      </c>
      <c r="D119" s="591">
        <v>1204</v>
      </c>
      <c r="E119" s="5" t="s">
        <v>2130</v>
      </c>
      <c r="F119" s="593" t="s">
        <v>641</v>
      </c>
      <c r="G119" s="596"/>
      <c r="H119" s="596"/>
      <c r="I119" s="596"/>
      <c r="J119" s="596"/>
      <c r="K119" s="596"/>
      <c r="L119" s="596"/>
      <c r="M119" s="596"/>
      <c r="N119" s="596"/>
      <c r="O119" s="596"/>
      <c r="P119" s="2"/>
      <c r="W119" t="s">
        <v>2047</v>
      </c>
    </row>
    <row r="120" spans="1:23" ht="13.15" customHeight="1" x14ac:dyDescent="0.2">
      <c r="A120" s="2" t="s">
        <v>2129</v>
      </c>
      <c r="B120" s="2">
        <f t="shared" si="2"/>
        <v>2022</v>
      </c>
      <c r="C120" s="2" t="str">
        <f t="shared" si="3"/>
        <v>KZN226</v>
      </c>
      <c r="D120" s="591">
        <v>1205</v>
      </c>
      <c r="E120" s="5" t="s">
        <v>2130</v>
      </c>
      <c r="F120" s="593" t="s">
        <v>642</v>
      </c>
      <c r="G120" s="596"/>
      <c r="H120" s="596"/>
      <c r="I120" s="596"/>
      <c r="J120" s="596"/>
      <c r="K120" s="596"/>
      <c r="L120" s="596"/>
      <c r="M120" s="596"/>
      <c r="N120" s="596"/>
      <c r="O120" s="596"/>
      <c r="P120" s="2"/>
      <c r="W120" t="s">
        <v>2047</v>
      </c>
    </row>
    <row r="121" spans="1:23" ht="13.15" customHeight="1" x14ac:dyDescent="0.2">
      <c r="A121" s="2" t="s">
        <v>2129</v>
      </c>
      <c r="B121" s="2">
        <f t="shared" si="2"/>
        <v>2022</v>
      </c>
      <c r="C121" s="2" t="str">
        <f t="shared" si="3"/>
        <v>KZN226</v>
      </c>
      <c r="D121" s="591">
        <v>1206</v>
      </c>
      <c r="E121" s="5" t="s">
        <v>2131</v>
      </c>
      <c r="F121" s="593" t="s">
        <v>140</v>
      </c>
      <c r="G121" s="589"/>
      <c r="H121" s="589"/>
      <c r="I121" s="589"/>
      <c r="J121" s="589"/>
      <c r="K121" s="589"/>
      <c r="L121" s="589"/>
      <c r="M121" s="589"/>
      <c r="N121" s="589"/>
      <c r="O121" s="589"/>
      <c r="P121" s="2"/>
      <c r="W121" t="s">
        <v>2047</v>
      </c>
    </row>
    <row r="122" spans="1:23" ht="13.15" customHeight="1" x14ac:dyDescent="0.2">
      <c r="A122" s="2" t="s">
        <v>2129</v>
      </c>
      <c r="B122" s="2">
        <f t="shared" si="2"/>
        <v>2022</v>
      </c>
      <c r="C122" s="2" t="str">
        <f t="shared" si="3"/>
        <v>KZN226</v>
      </c>
      <c r="D122" s="591">
        <v>1207</v>
      </c>
      <c r="E122" s="5" t="s">
        <v>2130</v>
      </c>
      <c r="F122" s="593" t="s">
        <v>347</v>
      </c>
      <c r="G122" s="596"/>
      <c r="H122" s="596"/>
      <c r="I122" s="596"/>
      <c r="J122" s="596"/>
      <c r="K122" s="596"/>
      <c r="L122" s="596"/>
      <c r="M122" s="596"/>
      <c r="N122" s="596"/>
      <c r="O122" s="596"/>
      <c r="P122" s="2"/>
      <c r="W122" t="s">
        <v>2047</v>
      </c>
    </row>
    <row r="123" spans="1:23" ht="13.15" customHeight="1" x14ac:dyDescent="0.2">
      <c r="A123" s="2" t="s">
        <v>2129</v>
      </c>
      <c r="B123" s="2">
        <f t="shared" si="2"/>
        <v>2022</v>
      </c>
      <c r="C123" s="2" t="str">
        <f t="shared" si="3"/>
        <v>KZN226</v>
      </c>
      <c r="D123" s="591">
        <v>1208</v>
      </c>
      <c r="E123" s="5" t="s">
        <v>2131</v>
      </c>
      <c r="F123" s="593" t="s">
        <v>2144</v>
      </c>
      <c r="G123" s="589"/>
      <c r="H123" s="589"/>
      <c r="I123" s="589"/>
      <c r="J123" s="589"/>
      <c r="K123" s="589"/>
      <c r="L123" s="589"/>
      <c r="M123" s="589"/>
      <c r="N123" s="589"/>
      <c r="O123" s="589"/>
      <c r="P123" s="2"/>
      <c r="W123" t="s">
        <v>2047</v>
      </c>
    </row>
    <row r="124" spans="1:23" ht="13.15" customHeight="1" x14ac:dyDescent="0.2">
      <c r="A124" s="2" t="s">
        <v>2129</v>
      </c>
      <c r="B124" s="2">
        <f t="shared" si="2"/>
        <v>2022</v>
      </c>
      <c r="C124" s="2" t="str">
        <f t="shared" si="3"/>
        <v>KZN226</v>
      </c>
      <c r="D124" s="591">
        <v>1209</v>
      </c>
      <c r="E124" s="5" t="s">
        <v>811</v>
      </c>
      <c r="F124" s="593" t="s">
        <v>457</v>
      </c>
      <c r="G124" s="601"/>
      <c r="H124" s="601"/>
      <c r="I124" s="601"/>
      <c r="J124" s="601"/>
      <c r="K124" s="601"/>
      <c r="L124" s="601"/>
      <c r="M124" s="601"/>
      <c r="N124" s="601"/>
      <c r="O124" s="601"/>
      <c r="P124" s="2"/>
      <c r="W124" t="s">
        <v>2047</v>
      </c>
    </row>
    <row r="125" spans="1:23" ht="13.15" customHeight="1" x14ac:dyDescent="0.2">
      <c r="A125" s="2" t="s">
        <v>2129</v>
      </c>
      <c r="B125" s="2">
        <f t="shared" si="2"/>
        <v>2022</v>
      </c>
      <c r="C125" s="2" t="str">
        <f t="shared" si="3"/>
        <v>KZN226</v>
      </c>
      <c r="D125" s="591"/>
      <c r="E125" s="5"/>
      <c r="F125" s="593"/>
      <c r="G125" s="589"/>
      <c r="H125" s="589"/>
      <c r="I125" s="589"/>
      <c r="J125" s="589"/>
      <c r="K125" s="589"/>
      <c r="L125" s="589"/>
      <c r="M125" s="589"/>
      <c r="N125" s="2"/>
      <c r="O125" s="2"/>
      <c r="P125" s="2"/>
      <c r="W125" t="s">
        <v>2047</v>
      </c>
    </row>
    <row r="126" spans="1:23" ht="13.15" customHeight="1" x14ac:dyDescent="0.2">
      <c r="A126" s="2" t="s">
        <v>2129</v>
      </c>
      <c r="B126" s="2">
        <f t="shared" si="2"/>
        <v>2022</v>
      </c>
      <c r="C126" s="2" t="str">
        <f t="shared" si="3"/>
        <v>KZN226</v>
      </c>
      <c r="D126" s="591">
        <v>1300</v>
      </c>
      <c r="E126" s="599" t="s">
        <v>2130</v>
      </c>
      <c r="F126" s="592" t="s">
        <v>566</v>
      </c>
      <c r="G126" s="589"/>
      <c r="H126" s="589"/>
      <c r="I126" s="589"/>
      <c r="J126" s="589"/>
      <c r="K126" s="589"/>
      <c r="L126" s="589"/>
      <c r="M126" s="589"/>
      <c r="N126" s="589"/>
      <c r="O126" s="589"/>
      <c r="P126" s="2"/>
      <c r="W126" t="s">
        <v>2047</v>
      </c>
    </row>
    <row r="127" spans="1:23" ht="13.15" customHeight="1" x14ac:dyDescent="0.2">
      <c r="A127" s="2" t="s">
        <v>2129</v>
      </c>
      <c r="B127" s="2">
        <f t="shared" si="2"/>
        <v>2022</v>
      </c>
      <c r="C127" s="2" t="str">
        <f t="shared" si="3"/>
        <v>KZN226</v>
      </c>
      <c r="D127" s="591">
        <v>1301</v>
      </c>
      <c r="E127" s="5" t="s">
        <v>2131</v>
      </c>
      <c r="F127" s="598" t="s">
        <v>2145</v>
      </c>
      <c r="G127" s="589"/>
      <c r="H127" s="589"/>
      <c r="I127" s="589"/>
      <c r="J127" s="589"/>
      <c r="K127" s="589"/>
      <c r="L127" s="589"/>
      <c r="M127" s="589"/>
      <c r="N127" s="589"/>
      <c r="O127" s="589"/>
      <c r="P127" s="2"/>
      <c r="W127" t="s">
        <v>2047</v>
      </c>
    </row>
    <row r="128" spans="1:23" ht="13.15" customHeight="1" x14ac:dyDescent="0.2">
      <c r="A128" s="2" t="s">
        <v>2129</v>
      </c>
      <c r="B128" s="2">
        <f t="shared" si="2"/>
        <v>2022</v>
      </c>
      <c r="C128" s="2" t="str">
        <f t="shared" si="3"/>
        <v>KZN226</v>
      </c>
      <c r="D128" s="591">
        <v>1302</v>
      </c>
      <c r="E128" s="5" t="s">
        <v>2131</v>
      </c>
      <c r="F128" s="598" t="s">
        <v>2146</v>
      </c>
      <c r="G128" s="589"/>
      <c r="H128" s="589"/>
      <c r="I128" s="589"/>
      <c r="J128" s="589"/>
      <c r="K128" s="589"/>
      <c r="L128" s="589"/>
      <c r="M128" s="589"/>
      <c r="N128" s="589"/>
      <c r="O128" s="589"/>
      <c r="P128" s="2"/>
      <c r="W128" t="s">
        <v>2047</v>
      </c>
    </row>
    <row r="129" spans="1:23" ht="13.15" customHeight="1" x14ac:dyDescent="0.2">
      <c r="A129" s="2" t="s">
        <v>2129</v>
      </c>
      <c r="B129" s="2">
        <f t="shared" si="2"/>
        <v>2022</v>
      </c>
      <c r="C129" s="2" t="str">
        <f t="shared" si="3"/>
        <v>KZN226</v>
      </c>
      <c r="D129" s="591">
        <v>1303</v>
      </c>
      <c r="E129" s="5" t="s">
        <v>811</v>
      </c>
      <c r="F129" s="593" t="s">
        <v>1380</v>
      </c>
      <c r="G129" s="601"/>
      <c r="H129" s="601"/>
      <c r="I129" s="601"/>
      <c r="J129" s="601"/>
      <c r="K129" s="601"/>
      <c r="L129" s="601"/>
      <c r="M129" s="601"/>
      <c r="N129" s="601"/>
      <c r="O129" s="601"/>
      <c r="P129" s="2"/>
      <c r="W129" t="s">
        <v>2047</v>
      </c>
    </row>
    <row r="130" spans="1:23" ht="13.15" customHeight="1" x14ac:dyDescent="0.2">
      <c r="A130" s="2" t="s">
        <v>2129</v>
      </c>
      <c r="B130" s="2">
        <f t="shared" ref="B130:B193" si="4">+MTREF</f>
        <v>2022</v>
      </c>
      <c r="C130" s="2" t="str">
        <f t="shared" ref="C130:C193" si="5">LEFT(muni,(FIND(" ",muni,1)-1))</f>
        <v>KZN226</v>
      </c>
      <c r="D130" s="591">
        <v>1304</v>
      </c>
      <c r="E130" s="5" t="s">
        <v>2131</v>
      </c>
      <c r="F130" s="593" t="s">
        <v>2147</v>
      </c>
      <c r="G130" s="589"/>
      <c r="H130" s="589"/>
      <c r="I130" s="589"/>
      <c r="J130" s="589"/>
      <c r="K130" s="589"/>
      <c r="L130" s="589"/>
      <c r="M130" s="589"/>
      <c r="N130" s="589"/>
      <c r="O130" s="589"/>
      <c r="P130" s="2"/>
      <c r="W130" t="s">
        <v>2047</v>
      </c>
    </row>
    <row r="131" spans="1:23" ht="13.15" customHeight="1" x14ac:dyDescent="0.2">
      <c r="A131" s="2" t="s">
        <v>2129</v>
      </c>
      <c r="B131" s="2">
        <f t="shared" si="4"/>
        <v>2022</v>
      </c>
      <c r="C131" s="2" t="str">
        <f t="shared" si="5"/>
        <v>KZN226</v>
      </c>
      <c r="D131" s="591">
        <v>1305</v>
      </c>
      <c r="E131" s="5" t="s">
        <v>2131</v>
      </c>
      <c r="F131" s="593" t="s">
        <v>2148</v>
      </c>
      <c r="G131" s="589"/>
      <c r="H131" s="589"/>
      <c r="I131" s="589"/>
      <c r="J131" s="589"/>
      <c r="K131" s="589"/>
      <c r="L131" s="589"/>
      <c r="M131" s="589"/>
      <c r="N131" s="589"/>
      <c r="O131" s="589"/>
      <c r="P131" s="2"/>
      <c r="W131" t="s">
        <v>2047</v>
      </c>
    </row>
    <row r="132" spans="1:23" ht="13.15" customHeight="1" x14ac:dyDescent="0.2">
      <c r="A132" s="2" t="s">
        <v>2129</v>
      </c>
      <c r="B132" s="2">
        <f t="shared" si="4"/>
        <v>2022</v>
      </c>
      <c r="C132" s="2" t="str">
        <f t="shared" si="5"/>
        <v>KZN226</v>
      </c>
      <c r="D132" s="591">
        <v>1306</v>
      </c>
      <c r="E132" s="5" t="s">
        <v>2131</v>
      </c>
      <c r="F132" s="593" t="s">
        <v>2149</v>
      </c>
      <c r="G132" s="589"/>
      <c r="H132" s="589"/>
      <c r="I132" s="589"/>
      <c r="J132" s="589"/>
      <c r="K132" s="589"/>
      <c r="L132" s="589"/>
      <c r="M132" s="589"/>
      <c r="N132" s="589"/>
      <c r="O132" s="589"/>
      <c r="P132" s="2"/>
      <c r="W132" t="s">
        <v>2047</v>
      </c>
    </row>
    <row r="133" spans="1:23" ht="13.15" customHeight="1" x14ac:dyDescent="0.2">
      <c r="A133" s="2" t="s">
        <v>2129</v>
      </c>
      <c r="B133" s="2">
        <f t="shared" si="4"/>
        <v>2022</v>
      </c>
      <c r="C133" s="2" t="str">
        <f t="shared" si="5"/>
        <v>KZN226</v>
      </c>
      <c r="D133" s="591">
        <v>1307</v>
      </c>
      <c r="E133" s="5" t="s">
        <v>2131</v>
      </c>
      <c r="F133" s="593" t="s">
        <v>2150</v>
      </c>
      <c r="G133" s="589"/>
      <c r="H133" s="589"/>
      <c r="I133" s="589"/>
      <c r="J133" s="589"/>
      <c r="K133" s="589"/>
      <c r="L133" s="589"/>
      <c r="M133" s="589"/>
      <c r="N133" s="589"/>
      <c r="O133" s="589"/>
      <c r="P133" s="2"/>
      <c r="W133" t="s">
        <v>2047</v>
      </c>
    </row>
    <row r="134" spans="1:23" ht="13.15" customHeight="1" x14ac:dyDescent="0.2">
      <c r="A134" s="2" t="s">
        <v>2129</v>
      </c>
      <c r="B134" s="2">
        <f t="shared" si="4"/>
        <v>2022</v>
      </c>
      <c r="C134" s="2" t="str">
        <f t="shared" si="5"/>
        <v>KZN226</v>
      </c>
      <c r="D134" s="591">
        <v>1308</v>
      </c>
      <c r="E134" s="5" t="s">
        <v>2131</v>
      </c>
      <c r="F134" s="593" t="s">
        <v>2151</v>
      </c>
      <c r="G134" s="589"/>
      <c r="H134" s="589"/>
      <c r="I134" s="589"/>
      <c r="J134" s="589"/>
      <c r="K134" s="589"/>
      <c r="L134" s="589"/>
      <c r="M134" s="589"/>
      <c r="N134" s="589"/>
      <c r="O134" s="589"/>
      <c r="P134" s="2"/>
      <c r="W134" t="s">
        <v>2047</v>
      </c>
    </row>
    <row r="135" spans="1:23" ht="13.15" customHeight="1" x14ac:dyDescent="0.2">
      <c r="A135" s="2" t="s">
        <v>2129</v>
      </c>
      <c r="B135" s="2">
        <f t="shared" si="4"/>
        <v>2022</v>
      </c>
      <c r="C135" s="2" t="str">
        <f t="shared" si="5"/>
        <v>KZN226</v>
      </c>
      <c r="D135" s="591">
        <v>1309</v>
      </c>
      <c r="E135" s="5" t="s">
        <v>2131</v>
      </c>
      <c r="F135" s="593" t="s">
        <v>2152</v>
      </c>
      <c r="G135" s="589"/>
      <c r="H135" s="589"/>
      <c r="I135" s="589"/>
      <c r="J135" s="589"/>
      <c r="K135" s="589"/>
      <c r="L135" s="589"/>
      <c r="M135" s="589"/>
      <c r="N135" s="589"/>
      <c r="O135" s="589"/>
      <c r="P135" s="2"/>
      <c r="W135" t="s">
        <v>2047</v>
      </c>
    </row>
    <row r="136" spans="1:23" ht="13.15" customHeight="1" x14ac:dyDescent="0.2">
      <c r="A136" s="2" t="s">
        <v>2129</v>
      </c>
      <c r="B136" s="2">
        <f t="shared" si="4"/>
        <v>2022</v>
      </c>
      <c r="C136" s="2" t="str">
        <f t="shared" si="5"/>
        <v>KZN226</v>
      </c>
      <c r="D136" s="591">
        <v>1310</v>
      </c>
      <c r="E136" s="5" t="s">
        <v>2131</v>
      </c>
      <c r="F136" s="5" t="s">
        <v>2153</v>
      </c>
      <c r="G136" s="589"/>
      <c r="H136" s="589"/>
      <c r="I136" s="589"/>
      <c r="J136" s="589"/>
      <c r="K136" s="589"/>
      <c r="L136" s="589"/>
      <c r="M136" s="589"/>
      <c r="N136" s="589"/>
      <c r="O136" s="589"/>
      <c r="P136" s="2"/>
      <c r="W136" t="s">
        <v>2047</v>
      </c>
    </row>
    <row r="137" spans="1:23" ht="13.15" customHeight="1" x14ac:dyDescent="0.2">
      <c r="A137" s="2" t="s">
        <v>2154</v>
      </c>
      <c r="B137" s="2">
        <f t="shared" si="4"/>
        <v>2022</v>
      </c>
      <c r="C137" s="2" t="str">
        <f t="shared" si="5"/>
        <v>KZN226</v>
      </c>
      <c r="D137" s="591">
        <v>1000</v>
      </c>
      <c r="E137" s="2" t="s">
        <v>2130</v>
      </c>
      <c r="F137" s="602" t="s">
        <v>644</v>
      </c>
      <c r="G137" s="589"/>
      <c r="H137" s="589"/>
      <c r="I137" s="589"/>
      <c r="J137" s="589"/>
      <c r="K137" s="589"/>
      <c r="L137" s="589"/>
      <c r="M137" s="589"/>
      <c r="N137" s="589"/>
      <c r="O137" s="589"/>
      <c r="P137" s="2"/>
      <c r="Q137" s="2"/>
      <c r="R137" s="2"/>
      <c r="S137" s="2"/>
      <c r="T137" s="2"/>
      <c r="U137" s="2"/>
      <c r="V137" s="2"/>
      <c r="W137" t="s">
        <v>2047</v>
      </c>
    </row>
    <row r="138" spans="1:23" ht="13.15" customHeight="1" x14ac:dyDescent="0.2">
      <c r="A138" s="2" t="s">
        <v>2154</v>
      </c>
      <c r="B138" s="2">
        <f t="shared" si="4"/>
        <v>2022</v>
      </c>
      <c r="C138" s="2" t="str">
        <f t="shared" si="5"/>
        <v>KZN226</v>
      </c>
      <c r="D138" s="591">
        <v>1020</v>
      </c>
      <c r="E138" s="5" t="s">
        <v>2131</v>
      </c>
      <c r="F138" s="603" t="s">
        <v>349</v>
      </c>
      <c r="G138" s="589"/>
      <c r="H138" s="589"/>
      <c r="I138" s="589"/>
      <c r="J138" s="589"/>
      <c r="K138" s="589"/>
      <c r="L138" s="589"/>
      <c r="M138" s="589"/>
      <c r="N138" s="589"/>
      <c r="O138" s="589"/>
      <c r="P138" s="589"/>
      <c r="Q138" s="589"/>
      <c r="R138" s="589"/>
      <c r="S138" s="589"/>
      <c r="T138" s="589"/>
      <c r="U138" s="589"/>
      <c r="V138" s="589"/>
      <c r="W138" t="s">
        <v>2047</v>
      </c>
    </row>
    <row r="139" spans="1:23" ht="13.15" customHeight="1" x14ac:dyDescent="0.2">
      <c r="A139" s="2" t="s">
        <v>2154</v>
      </c>
      <c r="B139" s="2">
        <f t="shared" si="4"/>
        <v>2022</v>
      </c>
      <c r="C139" s="2" t="str">
        <f t="shared" si="5"/>
        <v>KZN226</v>
      </c>
      <c r="D139" s="591">
        <v>1021</v>
      </c>
      <c r="E139" s="5" t="s">
        <v>2131</v>
      </c>
      <c r="F139" s="603" t="s">
        <v>1222</v>
      </c>
      <c r="G139" s="589"/>
      <c r="H139" s="589"/>
      <c r="I139" s="589"/>
      <c r="J139" s="589"/>
      <c r="K139" s="589"/>
      <c r="L139" s="589"/>
      <c r="M139" s="589"/>
      <c r="N139" s="589"/>
      <c r="O139" s="589"/>
      <c r="P139" s="589"/>
      <c r="Q139" s="589"/>
      <c r="R139" s="589"/>
      <c r="S139" s="589"/>
      <c r="T139" s="589"/>
      <c r="U139" s="589"/>
      <c r="V139" s="589"/>
      <c r="W139" t="s">
        <v>2047</v>
      </c>
    </row>
    <row r="140" spans="1:23" ht="13.15" customHeight="1" x14ac:dyDescent="0.2">
      <c r="A140" s="2" t="s">
        <v>2154</v>
      </c>
      <c r="B140" s="2">
        <f t="shared" si="4"/>
        <v>2022</v>
      </c>
      <c r="C140" s="2" t="str">
        <f t="shared" si="5"/>
        <v>KZN226</v>
      </c>
      <c r="D140" s="591">
        <v>1022</v>
      </c>
      <c r="E140" s="5" t="s">
        <v>2131</v>
      </c>
      <c r="F140" s="603" t="s">
        <v>351</v>
      </c>
      <c r="G140" s="589"/>
      <c r="H140" s="589"/>
      <c r="I140" s="589"/>
      <c r="J140" s="589"/>
      <c r="K140" s="589"/>
      <c r="L140" s="589"/>
      <c r="M140" s="589"/>
      <c r="N140" s="589"/>
      <c r="O140" s="589"/>
      <c r="P140" s="589"/>
      <c r="Q140" s="589"/>
      <c r="R140" s="589"/>
      <c r="S140" s="589"/>
      <c r="T140" s="589"/>
      <c r="U140" s="589"/>
      <c r="V140" s="589"/>
      <c r="W140" t="s">
        <v>2047</v>
      </c>
    </row>
    <row r="141" spans="1:23" ht="13.15" customHeight="1" x14ac:dyDescent="0.2">
      <c r="A141" s="2" t="s">
        <v>2154</v>
      </c>
      <c r="B141" s="2">
        <f t="shared" si="4"/>
        <v>2022</v>
      </c>
      <c r="C141" s="2" t="str">
        <f t="shared" si="5"/>
        <v>KZN226</v>
      </c>
      <c r="D141" s="591">
        <v>1023</v>
      </c>
      <c r="E141" s="5" t="s">
        <v>2131</v>
      </c>
      <c r="F141" s="603" t="s">
        <v>636</v>
      </c>
      <c r="G141" s="589"/>
      <c r="H141" s="589"/>
      <c r="I141" s="589"/>
      <c r="J141" s="589"/>
      <c r="K141" s="589"/>
      <c r="L141" s="589"/>
      <c r="M141" s="589"/>
      <c r="N141" s="589"/>
      <c r="O141" s="589"/>
      <c r="P141" s="589"/>
      <c r="Q141" s="589"/>
      <c r="R141" s="589"/>
      <c r="S141" s="589"/>
      <c r="T141" s="589"/>
      <c r="U141" s="589"/>
      <c r="V141" s="589"/>
      <c r="W141" t="s">
        <v>2047</v>
      </c>
    </row>
    <row r="142" spans="1:23" ht="13.15" customHeight="1" x14ac:dyDescent="0.2">
      <c r="A142" s="2" t="s">
        <v>2154</v>
      </c>
      <c r="B142" s="2">
        <f t="shared" si="4"/>
        <v>2022</v>
      </c>
      <c r="C142" s="2" t="str">
        <f t="shared" si="5"/>
        <v>KZN226</v>
      </c>
      <c r="D142" s="591">
        <v>1030</v>
      </c>
      <c r="E142" s="599" t="s">
        <v>2131</v>
      </c>
      <c r="F142" s="603" t="s">
        <v>2155</v>
      </c>
      <c r="G142" s="589"/>
      <c r="H142" s="589"/>
      <c r="I142" s="589"/>
      <c r="J142" s="589"/>
      <c r="K142" s="589"/>
      <c r="L142" s="589"/>
      <c r="M142" s="589"/>
      <c r="N142" s="589"/>
      <c r="O142" s="589"/>
      <c r="P142" s="589"/>
      <c r="Q142" s="589"/>
      <c r="R142" s="589"/>
      <c r="S142" s="589"/>
      <c r="T142" s="589"/>
      <c r="U142" s="589"/>
      <c r="V142" s="589"/>
      <c r="W142" t="s">
        <v>2047</v>
      </c>
    </row>
    <row r="143" spans="1:23" ht="13.15" customHeight="1" x14ac:dyDescent="0.2">
      <c r="A143" s="2" t="s">
        <v>2154</v>
      </c>
      <c r="B143" s="2">
        <f t="shared" si="4"/>
        <v>2022</v>
      </c>
      <c r="C143" s="2" t="str">
        <f t="shared" si="5"/>
        <v>KZN226</v>
      </c>
      <c r="D143" s="591">
        <v>1024</v>
      </c>
      <c r="E143" s="5" t="s">
        <v>2131</v>
      </c>
      <c r="F143" s="603" t="s">
        <v>637</v>
      </c>
      <c r="G143" s="589"/>
      <c r="H143" s="589"/>
      <c r="I143" s="589"/>
      <c r="J143" s="589"/>
      <c r="K143" s="589"/>
      <c r="L143" s="589"/>
      <c r="M143" s="589"/>
      <c r="N143" s="589"/>
      <c r="O143" s="589"/>
      <c r="P143" s="589"/>
      <c r="Q143" s="589"/>
      <c r="R143" s="589"/>
      <c r="S143" s="589"/>
      <c r="T143" s="589"/>
      <c r="U143" s="589"/>
      <c r="V143" s="589"/>
      <c r="W143" t="s">
        <v>2047</v>
      </c>
    </row>
    <row r="144" spans="1:23" ht="13.15" customHeight="1" x14ac:dyDescent="0.2">
      <c r="A144" s="2" t="s">
        <v>2154</v>
      </c>
      <c r="B144" s="2">
        <f t="shared" si="4"/>
        <v>2022</v>
      </c>
      <c r="C144" s="2" t="str">
        <f t="shared" si="5"/>
        <v>KZN226</v>
      </c>
      <c r="D144" s="591">
        <v>1025</v>
      </c>
      <c r="E144" s="5" t="s">
        <v>2131</v>
      </c>
      <c r="F144" s="603" t="s">
        <v>315</v>
      </c>
      <c r="G144" s="589"/>
      <c r="H144" s="589"/>
      <c r="I144" s="589"/>
      <c r="J144" s="589"/>
      <c r="K144" s="589"/>
      <c r="L144" s="589"/>
      <c r="M144" s="589"/>
      <c r="N144" s="589"/>
      <c r="O144" s="589"/>
      <c r="P144" s="589"/>
      <c r="Q144" s="589"/>
      <c r="R144" s="589"/>
      <c r="S144" s="589"/>
      <c r="T144" s="589"/>
      <c r="U144" s="589"/>
      <c r="V144" s="589"/>
      <c r="W144" t="s">
        <v>2047</v>
      </c>
    </row>
    <row r="145" spans="1:23" ht="13.15" customHeight="1" x14ac:dyDescent="0.2">
      <c r="A145" s="2" t="s">
        <v>2154</v>
      </c>
      <c r="B145" s="2">
        <f t="shared" si="4"/>
        <v>2022</v>
      </c>
      <c r="C145" s="2" t="str">
        <f t="shared" si="5"/>
        <v>KZN226</v>
      </c>
      <c r="D145" s="591">
        <v>1026</v>
      </c>
      <c r="E145" s="5" t="s">
        <v>2131</v>
      </c>
      <c r="F145" s="603" t="s">
        <v>316</v>
      </c>
      <c r="G145" s="589"/>
      <c r="H145" s="589"/>
      <c r="I145" s="589"/>
      <c r="J145" s="589"/>
      <c r="K145" s="589"/>
      <c r="L145" s="589"/>
      <c r="M145" s="589"/>
      <c r="N145" s="589"/>
      <c r="O145" s="589"/>
      <c r="P145" s="589"/>
      <c r="Q145" s="589"/>
      <c r="R145" s="589"/>
      <c r="S145" s="589"/>
      <c r="T145" s="589"/>
      <c r="U145" s="589"/>
      <c r="V145" s="589"/>
      <c r="W145" t="s">
        <v>2047</v>
      </c>
    </row>
    <row r="146" spans="1:23" ht="13.15" customHeight="1" x14ac:dyDescent="0.2">
      <c r="A146" s="2" t="s">
        <v>2154</v>
      </c>
      <c r="B146" s="2">
        <f t="shared" si="4"/>
        <v>2022</v>
      </c>
      <c r="C146" s="2" t="str">
        <f t="shared" si="5"/>
        <v>KZN226</v>
      </c>
      <c r="D146" s="591">
        <v>1027</v>
      </c>
      <c r="E146" s="5" t="s">
        <v>2131</v>
      </c>
      <c r="F146" s="603" t="s">
        <v>317</v>
      </c>
      <c r="G146" s="589"/>
      <c r="H146" s="589"/>
      <c r="I146" s="589"/>
      <c r="J146" s="589"/>
      <c r="K146" s="589"/>
      <c r="L146" s="589"/>
      <c r="M146" s="589"/>
      <c r="N146" s="589"/>
      <c r="O146" s="589"/>
      <c r="P146" s="589"/>
      <c r="Q146" s="589"/>
      <c r="R146" s="589"/>
      <c r="S146" s="589"/>
      <c r="T146" s="589"/>
      <c r="U146" s="589"/>
      <c r="V146" s="589"/>
      <c r="W146" t="s">
        <v>2047</v>
      </c>
    </row>
    <row r="147" spans="1:23" ht="13.15" customHeight="1" x14ac:dyDescent="0.2">
      <c r="A147" s="2" t="s">
        <v>2154</v>
      </c>
      <c r="B147" s="2">
        <f t="shared" si="4"/>
        <v>2022</v>
      </c>
      <c r="C147" s="2" t="str">
        <f t="shared" si="5"/>
        <v>KZN226</v>
      </c>
      <c r="D147" s="591">
        <v>1028</v>
      </c>
      <c r="E147" s="5" t="s">
        <v>2131</v>
      </c>
      <c r="F147" s="603" t="s">
        <v>646</v>
      </c>
      <c r="G147" s="589"/>
      <c r="H147" s="589"/>
      <c r="I147" s="589"/>
      <c r="J147" s="589"/>
      <c r="K147" s="589"/>
      <c r="L147" s="589"/>
      <c r="M147" s="589"/>
      <c r="N147" s="589"/>
      <c r="O147" s="589"/>
      <c r="P147" s="589"/>
      <c r="Q147" s="589"/>
      <c r="R147" s="589"/>
      <c r="S147" s="589"/>
      <c r="T147" s="589"/>
      <c r="U147" s="589"/>
      <c r="V147" s="589"/>
      <c r="W147" t="s">
        <v>2047</v>
      </c>
    </row>
    <row r="148" spans="1:23" ht="13.15" customHeight="1" x14ac:dyDescent="0.2">
      <c r="A148" s="2" t="s">
        <v>2154</v>
      </c>
      <c r="B148" s="2">
        <f t="shared" si="4"/>
        <v>2022</v>
      </c>
      <c r="C148" s="2" t="str">
        <f t="shared" si="5"/>
        <v>KZN226</v>
      </c>
      <c r="D148" s="591">
        <v>1029</v>
      </c>
      <c r="E148" s="5" t="s">
        <v>2131</v>
      </c>
      <c r="F148" s="603" t="s">
        <v>635</v>
      </c>
      <c r="G148" s="589"/>
      <c r="H148" s="589"/>
      <c r="I148" s="589"/>
      <c r="J148" s="589"/>
      <c r="K148" s="589"/>
      <c r="L148" s="589"/>
      <c r="M148" s="589"/>
      <c r="N148" s="589"/>
      <c r="O148" s="589"/>
      <c r="P148" s="589"/>
      <c r="Q148" s="589"/>
      <c r="R148" s="589"/>
      <c r="S148" s="589"/>
      <c r="T148" s="589"/>
      <c r="U148" s="589"/>
      <c r="V148" s="589"/>
      <c r="W148" t="s">
        <v>2047</v>
      </c>
    </row>
    <row r="149" spans="1:23" ht="13.15" customHeight="1" x14ac:dyDescent="0.2">
      <c r="A149" s="2" t="s">
        <v>2154</v>
      </c>
      <c r="B149" s="2">
        <f t="shared" si="4"/>
        <v>2022</v>
      </c>
      <c r="C149" s="2" t="str">
        <f t="shared" si="5"/>
        <v>KZN226</v>
      </c>
      <c r="D149" s="591">
        <v>1040</v>
      </c>
      <c r="E149" s="5" t="s">
        <v>2131</v>
      </c>
      <c r="F149" s="604" t="s">
        <v>1224</v>
      </c>
      <c r="G149" s="589"/>
      <c r="H149" s="589"/>
      <c r="I149" s="589"/>
      <c r="J149" s="589"/>
      <c r="K149" s="589"/>
      <c r="L149" s="589"/>
      <c r="M149" s="589"/>
      <c r="N149" s="589"/>
      <c r="O149" s="589"/>
      <c r="P149" s="589"/>
      <c r="Q149" s="589"/>
      <c r="R149" s="589"/>
      <c r="S149" s="589"/>
      <c r="T149" s="589"/>
      <c r="U149" s="589"/>
      <c r="V149" s="589"/>
      <c r="W149" t="s">
        <v>2047</v>
      </c>
    </row>
    <row r="150" spans="1:23" ht="13.15" customHeight="1" x14ac:dyDescent="0.2">
      <c r="A150" s="2" t="s">
        <v>2154</v>
      </c>
      <c r="B150" s="2">
        <f t="shared" si="4"/>
        <v>2022</v>
      </c>
      <c r="C150" s="2" t="str">
        <f t="shared" si="5"/>
        <v>KZN226</v>
      </c>
      <c r="D150" s="591">
        <v>1041</v>
      </c>
      <c r="E150" s="5" t="s">
        <v>2130</v>
      </c>
      <c r="F150" s="603" t="s">
        <v>2156</v>
      </c>
      <c r="G150" s="595"/>
      <c r="H150" s="595"/>
      <c r="I150" s="595"/>
      <c r="J150" s="595"/>
      <c r="K150" s="595"/>
      <c r="L150" s="595"/>
      <c r="M150" s="595"/>
      <c r="N150" s="595"/>
      <c r="O150" s="595"/>
      <c r="P150" s="595"/>
      <c r="Q150" s="595"/>
      <c r="R150" s="595"/>
      <c r="S150" s="595"/>
      <c r="T150" s="595"/>
      <c r="U150" s="595"/>
      <c r="V150" s="595"/>
      <c r="W150" t="s">
        <v>2047</v>
      </c>
    </row>
    <row r="151" spans="1:23" ht="13.15" customHeight="1" x14ac:dyDescent="0.2">
      <c r="A151" s="2" t="s">
        <v>2154</v>
      </c>
      <c r="B151" s="2">
        <f t="shared" si="4"/>
        <v>2022</v>
      </c>
      <c r="C151" s="2" t="str">
        <f t="shared" si="5"/>
        <v>KZN226</v>
      </c>
      <c r="D151" s="591">
        <v>1042</v>
      </c>
      <c r="E151" s="5" t="s">
        <v>2130</v>
      </c>
      <c r="F151" s="603" t="s">
        <v>2157</v>
      </c>
      <c r="G151" s="595"/>
      <c r="H151" s="595"/>
      <c r="I151" s="595"/>
      <c r="J151" s="595"/>
      <c r="K151" s="595"/>
      <c r="L151" s="595"/>
      <c r="M151" s="595"/>
      <c r="N151" s="595"/>
      <c r="O151" s="595"/>
      <c r="P151" s="595"/>
      <c r="Q151" s="595"/>
      <c r="R151" s="595"/>
      <c r="S151" s="595"/>
      <c r="T151" s="595"/>
      <c r="U151" s="595"/>
      <c r="V151" s="595"/>
      <c r="W151" t="s">
        <v>2047</v>
      </c>
    </row>
    <row r="152" spans="1:23" ht="13.15" customHeight="1" x14ac:dyDescent="0.2">
      <c r="A152" s="2" t="s">
        <v>2154</v>
      </c>
      <c r="B152" s="2">
        <f t="shared" si="4"/>
        <v>2022</v>
      </c>
      <c r="C152" s="2" t="str">
        <f t="shared" si="5"/>
        <v>KZN226</v>
      </c>
      <c r="D152" s="591">
        <v>1043</v>
      </c>
      <c r="E152" s="5" t="s">
        <v>2130</v>
      </c>
      <c r="F152" s="603" t="s">
        <v>2158</v>
      </c>
      <c r="G152" s="595"/>
      <c r="H152" s="595"/>
      <c r="I152" s="595"/>
      <c r="J152" s="595"/>
      <c r="K152" s="595"/>
      <c r="L152" s="595"/>
      <c r="M152" s="595"/>
      <c r="N152" s="595"/>
      <c r="O152" s="595"/>
      <c r="P152" s="595"/>
      <c r="Q152" s="595"/>
      <c r="R152" s="595"/>
      <c r="S152" s="595"/>
      <c r="T152" s="595"/>
      <c r="U152" s="595"/>
      <c r="V152" s="595"/>
      <c r="W152" t="s">
        <v>2047</v>
      </c>
    </row>
    <row r="153" spans="1:23" ht="13.15" customHeight="1" x14ac:dyDescent="0.2">
      <c r="A153" s="2" t="s">
        <v>2154</v>
      </c>
      <c r="B153" s="2">
        <f t="shared" si="4"/>
        <v>2022</v>
      </c>
      <c r="C153" s="2" t="str">
        <f t="shared" si="5"/>
        <v>KZN226</v>
      </c>
      <c r="D153" s="591">
        <v>1044</v>
      </c>
      <c r="E153" s="5" t="s">
        <v>2130</v>
      </c>
      <c r="F153" s="603" t="s">
        <v>2159</v>
      </c>
      <c r="G153" s="595"/>
      <c r="H153" s="595"/>
      <c r="I153" s="595"/>
      <c r="J153" s="595"/>
      <c r="K153" s="595"/>
      <c r="L153" s="595"/>
      <c r="M153" s="595"/>
      <c r="N153" s="595"/>
      <c r="O153" s="595"/>
      <c r="P153" s="595"/>
      <c r="Q153" s="595"/>
      <c r="R153" s="595"/>
      <c r="S153" s="595"/>
      <c r="T153" s="595"/>
      <c r="U153" s="595"/>
      <c r="V153" s="595"/>
      <c r="W153" t="s">
        <v>2047</v>
      </c>
    </row>
    <row r="154" spans="1:23" ht="13.15" customHeight="1" x14ac:dyDescent="0.2">
      <c r="A154" s="2" t="s">
        <v>2154</v>
      </c>
      <c r="B154" s="2">
        <f t="shared" si="4"/>
        <v>2022</v>
      </c>
      <c r="C154" s="2" t="str">
        <f t="shared" si="5"/>
        <v>KZN226</v>
      </c>
      <c r="D154" s="591">
        <v>1206</v>
      </c>
      <c r="E154" s="599" t="s">
        <v>2131</v>
      </c>
      <c r="F154" s="603" t="s">
        <v>140</v>
      </c>
      <c r="G154" s="589"/>
      <c r="H154" s="589"/>
      <c r="I154" s="589"/>
      <c r="J154" s="589"/>
      <c r="K154" s="589"/>
      <c r="L154" s="589"/>
      <c r="M154" s="589"/>
      <c r="N154" s="589"/>
      <c r="O154" s="589"/>
      <c r="P154" s="589"/>
      <c r="Q154" s="589"/>
      <c r="R154" s="589"/>
      <c r="S154" s="589"/>
      <c r="T154" s="589"/>
      <c r="U154" s="589"/>
      <c r="V154" s="589"/>
      <c r="W154" t="s">
        <v>2047</v>
      </c>
    </row>
    <row r="155" spans="1:23" ht="13.15" customHeight="1" x14ac:dyDescent="0.2">
      <c r="A155" s="2" t="s">
        <v>2154</v>
      </c>
      <c r="B155" s="2">
        <f t="shared" si="4"/>
        <v>2022</v>
      </c>
      <c r="C155" s="2" t="str">
        <f t="shared" si="5"/>
        <v>KZN226</v>
      </c>
      <c r="D155" s="591">
        <v>1046</v>
      </c>
      <c r="E155" s="5" t="s">
        <v>2130</v>
      </c>
      <c r="F155" s="603" t="s">
        <v>578</v>
      </c>
      <c r="G155" s="595"/>
      <c r="H155" s="595"/>
      <c r="I155" s="595"/>
      <c r="J155" s="595"/>
      <c r="K155" s="595"/>
      <c r="L155" s="595"/>
      <c r="M155" s="595"/>
      <c r="N155" s="595"/>
      <c r="O155" s="595"/>
      <c r="P155" s="595"/>
      <c r="Q155" s="595"/>
      <c r="R155" s="595"/>
      <c r="S155" s="595"/>
      <c r="T155" s="595"/>
      <c r="U155" s="595"/>
      <c r="V155" s="595"/>
      <c r="W155" t="s">
        <v>2047</v>
      </c>
    </row>
    <row r="156" spans="1:23" ht="13.15" customHeight="1" x14ac:dyDescent="0.2">
      <c r="A156" s="2" t="s">
        <v>2154</v>
      </c>
      <c r="B156" s="2">
        <f t="shared" si="4"/>
        <v>2022</v>
      </c>
      <c r="C156" s="2" t="str">
        <f t="shared" si="5"/>
        <v>KZN226</v>
      </c>
      <c r="D156" s="591">
        <v>1047</v>
      </c>
      <c r="E156" s="5" t="s">
        <v>2130</v>
      </c>
      <c r="F156" s="603" t="s">
        <v>579</v>
      </c>
      <c r="G156" s="595"/>
      <c r="H156" s="595"/>
      <c r="I156" s="595"/>
      <c r="J156" s="595"/>
      <c r="K156" s="595"/>
      <c r="L156" s="595"/>
      <c r="M156" s="595"/>
      <c r="N156" s="595"/>
      <c r="O156" s="595"/>
      <c r="P156" s="595"/>
      <c r="Q156" s="595"/>
      <c r="R156" s="595"/>
      <c r="S156" s="595"/>
      <c r="T156" s="595"/>
      <c r="U156" s="595"/>
      <c r="V156" s="595"/>
      <c r="W156" t="s">
        <v>2047</v>
      </c>
    </row>
    <row r="157" spans="1:23" ht="13.15" customHeight="1" x14ac:dyDescent="0.2">
      <c r="A157" s="2" t="s">
        <v>2154</v>
      </c>
      <c r="B157" s="2">
        <f t="shared" si="4"/>
        <v>2022</v>
      </c>
      <c r="C157" s="2" t="str">
        <f t="shared" si="5"/>
        <v>KZN226</v>
      </c>
      <c r="D157" s="591">
        <v>1048</v>
      </c>
      <c r="E157" s="5" t="s">
        <v>2130</v>
      </c>
      <c r="F157" s="603" t="s">
        <v>264</v>
      </c>
      <c r="G157" s="595"/>
      <c r="H157" s="595"/>
      <c r="I157" s="595"/>
      <c r="J157" s="595"/>
      <c r="K157" s="595"/>
      <c r="L157" s="595"/>
      <c r="M157" s="595"/>
      <c r="N157" s="595"/>
      <c r="O157" s="595"/>
      <c r="P157" s="595"/>
      <c r="Q157" s="595"/>
      <c r="R157" s="595"/>
      <c r="S157" s="595"/>
      <c r="T157" s="595"/>
      <c r="U157" s="595"/>
      <c r="V157" s="595"/>
      <c r="W157" t="s">
        <v>2047</v>
      </c>
    </row>
    <row r="158" spans="1:23" ht="13.15" customHeight="1" x14ac:dyDescent="0.2">
      <c r="A158" s="2" t="s">
        <v>2154</v>
      </c>
      <c r="B158" s="2">
        <f t="shared" si="4"/>
        <v>2022</v>
      </c>
      <c r="C158" s="2" t="str">
        <f t="shared" si="5"/>
        <v>KZN226</v>
      </c>
      <c r="D158" s="591">
        <v>1100</v>
      </c>
      <c r="E158" s="5" t="s">
        <v>2130</v>
      </c>
      <c r="F158" s="602" t="s">
        <v>1342</v>
      </c>
      <c r="G158" s="605"/>
      <c r="H158" s="605"/>
      <c r="I158" s="605"/>
      <c r="J158" s="605"/>
      <c r="K158" s="605"/>
      <c r="L158" s="605"/>
      <c r="M158" s="605"/>
      <c r="N158" s="605"/>
      <c r="O158" s="605"/>
      <c r="P158" s="605"/>
      <c r="Q158" s="605"/>
      <c r="R158" s="605"/>
      <c r="S158" s="605"/>
      <c r="T158" s="605"/>
      <c r="U158" s="605"/>
      <c r="V158" s="605"/>
      <c r="W158" t="s">
        <v>2047</v>
      </c>
    </row>
    <row r="159" spans="1:23" ht="13.15" customHeight="1" x14ac:dyDescent="0.2">
      <c r="A159" s="2" t="s">
        <v>2154</v>
      </c>
      <c r="B159" s="2">
        <f t="shared" si="4"/>
        <v>2022</v>
      </c>
      <c r="C159" s="2" t="str">
        <f t="shared" si="5"/>
        <v>KZN226</v>
      </c>
      <c r="D159" s="591">
        <v>1101</v>
      </c>
      <c r="E159" s="5" t="s">
        <v>2131</v>
      </c>
      <c r="F159" s="603" t="s">
        <v>2134</v>
      </c>
      <c r="G159" s="589"/>
      <c r="H159" s="589"/>
      <c r="I159" s="589"/>
      <c r="J159" s="589"/>
      <c r="K159" s="589"/>
      <c r="L159" s="589"/>
      <c r="M159" s="589"/>
      <c r="N159" s="589"/>
      <c r="O159" s="589"/>
      <c r="P159" s="589"/>
      <c r="Q159" s="589"/>
      <c r="R159" s="589"/>
      <c r="S159" s="589"/>
      <c r="T159" s="589"/>
      <c r="U159" s="589"/>
      <c r="V159" s="589"/>
      <c r="W159" t="s">
        <v>2047</v>
      </c>
    </row>
    <row r="160" spans="1:23" ht="13.15" customHeight="1" x14ac:dyDescent="0.2">
      <c r="A160" s="2" t="s">
        <v>2154</v>
      </c>
      <c r="B160" s="2">
        <f t="shared" si="4"/>
        <v>2022</v>
      </c>
      <c r="C160" s="2" t="str">
        <f t="shared" si="5"/>
        <v>KZN226</v>
      </c>
      <c r="D160" s="591">
        <v>1102</v>
      </c>
      <c r="E160" s="5" t="s">
        <v>2131</v>
      </c>
      <c r="F160" s="603" t="s">
        <v>2135</v>
      </c>
      <c r="G160" s="589"/>
      <c r="H160" s="589"/>
      <c r="I160" s="589"/>
      <c r="J160" s="589"/>
      <c r="K160" s="589"/>
      <c r="L160" s="589"/>
      <c r="M160" s="589"/>
      <c r="N160" s="589"/>
      <c r="O160" s="589"/>
      <c r="P160" s="589"/>
      <c r="Q160" s="589"/>
      <c r="R160" s="589"/>
      <c r="S160" s="589"/>
      <c r="T160" s="589"/>
      <c r="U160" s="589"/>
      <c r="V160" s="589"/>
      <c r="W160" t="s">
        <v>2047</v>
      </c>
    </row>
    <row r="161" spans="1:23" ht="13.15" customHeight="1" x14ac:dyDescent="0.2">
      <c r="A161" s="2" t="s">
        <v>2154</v>
      </c>
      <c r="B161" s="2">
        <f t="shared" si="4"/>
        <v>2022</v>
      </c>
      <c r="C161" s="2" t="str">
        <f t="shared" si="5"/>
        <v>KZN226</v>
      </c>
      <c r="D161" s="591">
        <v>1103</v>
      </c>
      <c r="E161" s="5" t="s">
        <v>2131</v>
      </c>
      <c r="F161" s="603" t="s">
        <v>2136</v>
      </c>
      <c r="G161" s="589"/>
      <c r="H161" s="589"/>
      <c r="I161" s="589"/>
      <c r="J161" s="589"/>
      <c r="K161" s="589"/>
      <c r="L161" s="589"/>
      <c r="M161" s="589"/>
      <c r="N161" s="589"/>
      <c r="O161" s="589"/>
      <c r="P161" s="589"/>
      <c r="Q161" s="589"/>
      <c r="R161" s="589"/>
      <c r="S161" s="589"/>
      <c r="T161" s="589"/>
      <c r="U161" s="589"/>
      <c r="V161" s="589"/>
      <c r="W161" t="s">
        <v>2047</v>
      </c>
    </row>
    <row r="162" spans="1:23" ht="13.15" customHeight="1" x14ac:dyDescent="0.2">
      <c r="A162" s="2" t="s">
        <v>2154</v>
      </c>
      <c r="B162" s="2">
        <f t="shared" si="4"/>
        <v>2022</v>
      </c>
      <c r="C162" s="2" t="str">
        <f t="shared" si="5"/>
        <v>KZN226</v>
      </c>
      <c r="D162" s="591">
        <v>1104</v>
      </c>
      <c r="E162" s="5" t="s">
        <v>2131</v>
      </c>
      <c r="F162" s="603" t="s">
        <v>2160</v>
      </c>
      <c r="G162" s="589"/>
      <c r="H162" s="589"/>
      <c r="I162" s="589"/>
      <c r="J162" s="589"/>
      <c r="K162" s="589"/>
      <c r="L162" s="589"/>
      <c r="M162" s="589"/>
      <c r="N162" s="589"/>
      <c r="O162" s="589"/>
      <c r="P162" s="589"/>
      <c r="Q162" s="589"/>
      <c r="R162" s="589"/>
      <c r="S162" s="589"/>
      <c r="T162" s="589"/>
      <c r="U162" s="589"/>
      <c r="V162" s="589"/>
      <c r="W162" t="s">
        <v>2047</v>
      </c>
    </row>
    <row r="163" spans="1:23" ht="13.15" customHeight="1" x14ac:dyDescent="0.2">
      <c r="A163" s="2" t="s">
        <v>2154</v>
      </c>
      <c r="B163" s="2">
        <f t="shared" si="4"/>
        <v>2022</v>
      </c>
      <c r="C163" s="2" t="str">
        <f t="shared" si="5"/>
        <v>KZN226</v>
      </c>
      <c r="D163" s="591">
        <v>1105</v>
      </c>
      <c r="E163" s="5" t="s">
        <v>2131</v>
      </c>
      <c r="F163" s="603" t="s">
        <v>2161</v>
      </c>
      <c r="G163" s="589"/>
      <c r="H163" s="589"/>
      <c r="I163" s="589"/>
      <c r="J163" s="589"/>
      <c r="K163" s="589"/>
      <c r="L163" s="589"/>
      <c r="M163" s="589"/>
      <c r="N163" s="589"/>
      <c r="O163" s="589"/>
      <c r="P163" s="589"/>
      <c r="Q163" s="589"/>
      <c r="R163" s="589"/>
      <c r="S163" s="589"/>
      <c r="T163" s="589"/>
      <c r="U163" s="589"/>
      <c r="V163" s="589"/>
      <c r="W163" t="s">
        <v>2047</v>
      </c>
    </row>
    <row r="164" spans="1:23" ht="13.15" customHeight="1" x14ac:dyDescent="0.2">
      <c r="A164" s="2" t="s">
        <v>2154</v>
      </c>
      <c r="B164" s="2">
        <f t="shared" si="4"/>
        <v>2022</v>
      </c>
      <c r="C164" s="2" t="str">
        <f t="shared" si="5"/>
        <v>KZN226</v>
      </c>
      <c r="D164" s="591">
        <v>1106</v>
      </c>
      <c r="E164" s="5" t="s">
        <v>2131</v>
      </c>
      <c r="F164" s="603" t="s">
        <v>2139</v>
      </c>
      <c r="G164" s="589"/>
      <c r="H164" s="589"/>
      <c r="I164" s="589"/>
      <c r="J164" s="589"/>
      <c r="K164" s="589"/>
      <c r="L164" s="589"/>
      <c r="M164" s="589"/>
      <c r="N164" s="589"/>
      <c r="O164" s="589"/>
      <c r="P164" s="589"/>
      <c r="Q164" s="589"/>
      <c r="R164" s="589"/>
      <c r="S164" s="589"/>
      <c r="T164" s="589"/>
      <c r="U164" s="589"/>
      <c r="V164" s="589"/>
      <c r="W164" t="s">
        <v>2047</v>
      </c>
    </row>
    <row r="165" spans="1:23" ht="13.15" customHeight="1" x14ac:dyDescent="0.2">
      <c r="A165" s="2" t="s">
        <v>2154</v>
      </c>
      <c r="B165" s="2">
        <f t="shared" si="4"/>
        <v>2022</v>
      </c>
      <c r="C165" s="2" t="str">
        <f t="shared" si="5"/>
        <v>KZN226</v>
      </c>
      <c r="D165" s="591">
        <v>1107</v>
      </c>
      <c r="E165" s="5" t="s">
        <v>2131</v>
      </c>
      <c r="F165" s="606" t="s">
        <v>1343</v>
      </c>
      <c r="G165" s="589"/>
      <c r="H165" s="589"/>
      <c r="I165" s="589"/>
      <c r="J165" s="589"/>
      <c r="K165" s="589"/>
      <c r="L165" s="589"/>
      <c r="M165" s="589"/>
      <c r="N165" s="589"/>
      <c r="O165" s="589"/>
      <c r="P165" s="589"/>
      <c r="Q165" s="589"/>
      <c r="R165" s="589"/>
      <c r="S165" s="589"/>
      <c r="T165" s="589"/>
      <c r="U165" s="589"/>
      <c r="V165" s="589"/>
      <c r="W165" t="s">
        <v>2047</v>
      </c>
    </row>
    <row r="166" spans="1:23" ht="13.15" customHeight="1" x14ac:dyDescent="0.2">
      <c r="A166" s="2" t="s">
        <v>2154</v>
      </c>
      <c r="B166" s="2">
        <f t="shared" si="4"/>
        <v>2022</v>
      </c>
      <c r="C166" s="2" t="str">
        <f t="shared" si="5"/>
        <v>KZN226</v>
      </c>
      <c r="D166" s="591">
        <v>1108</v>
      </c>
      <c r="E166" s="5" t="s">
        <v>2131</v>
      </c>
      <c r="F166" s="603" t="s">
        <v>2140</v>
      </c>
      <c r="G166" s="589"/>
      <c r="H166" s="589"/>
      <c r="I166" s="589"/>
      <c r="J166" s="589"/>
      <c r="K166" s="589"/>
      <c r="L166" s="589"/>
      <c r="M166" s="589"/>
      <c r="N166" s="589"/>
      <c r="O166" s="589"/>
      <c r="P166" s="589"/>
      <c r="Q166" s="589"/>
      <c r="R166" s="589"/>
      <c r="S166" s="589"/>
      <c r="T166" s="589"/>
      <c r="U166" s="589"/>
      <c r="V166" s="589"/>
      <c r="W166" t="s">
        <v>2047</v>
      </c>
    </row>
    <row r="167" spans="1:23" ht="13.15" customHeight="1" x14ac:dyDescent="0.2">
      <c r="A167" s="2" t="s">
        <v>2154</v>
      </c>
      <c r="B167" s="2">
        <f t="shared" si="4"/>
        <v>2022</v>
      </c>
      <c r="C167" s="2" t="str">
        <f t="shared" si="5"/>
        <v>KZN226</v>
      </c>
      <c r="D167" s="591">
        <v>1109</v>
      </c>
      <c r="E167" s="5" t="s">
        <v>2131</v>
      </c>
      <c r="F167" s="603" t="s">
        <v>2141</v>
      </c>
      <c r="G167" s="589"/>
      <c r="H167" s="589"/>
      <c r="I167" s="589"/>
      <c r="J167" s="589"/>
      <c r="K167" s="589"/>
      <c r="L167" s="589"/>
      <c r="M167" s="589"/>
      <c r="N167" s="589"/>
      <c r="O167" s="589"/>
      <c r="P167" s="589"/>
      <c r="Q167" s="589"/>
      <c r="R167" s="589"/>
      <c r="S167" s="589"/>
      <c r="T167" s="589"/>
      <c r="U167" s="589"/>
      <c r="V167" s="589"/>
      <c r="W167" t="s">
        <v>2047</v>
      </c>
    </row>
    <row r="168" spans="1:23" ht="13.15" customHeight="1" x14ac:dyDescent="0.2">
      <c r="A168" s="2" t="s">
        <v>2154</v>
      </c>
      <c r="B168" s="2">
        <f t="shared" si="4"/>
        <v>2022</v>
      </c>
      <c r="C168" s="2" t="str">
        <f t="shared" si="5"/>
        <v>KZN226</v>
      </c>
      <c r="D168" s="591">
        <v>1110</v>
      </c>
      <c r="E168" s="5" t="s">
        <v>2131</v>
      </c>
      <c r="F168" s="603" t="s">
        <v>2142</v>
      </c>
      <c r="G168" s="589"/>
      <c r="H168" s="589"/>
      <c r="I168" s="589"/>
      <c r="J168" s="589"/>
      <c r="K168" s="589"/>
      <c r="L168" s="589"/>
      <c r="M168" s="589"/>
      <c r="N168" s="589"/>
      <c r="O168" s="589"/>
      <c r="P168" s="589"/>
      <c r="Q168" s="589"/>
      <c r="R168" s="589"/>
      <c r="S168" s="589"/>
      <c r="T168" s="589"/>
      <c r="U168" s="589"/>
      <c r="V168" s="589"/>
      <c r="W168" t="s">
        <v>2047</v>
      </c>
    </row>
    <row r="169" spans="1:23" ht="13.15" customHeight="1" x14ac:dyDescent="0.2">
      <c r="A169" s="2" t="s">
        <v>2154</v>
      </c>
      <c r="B169" s="2">
        <f t="shared" si="4"/>
        <v>2022</v>
      </c>
      <c r="C169" s="2" t="str">
        <f t="shared" si="5"/>
        <v>KZN226</v>
      </c>
      <c r="D169" s="591">
        <v>1111</v>
      </c>
      <c r="E169" s="5" t="s">
        <v>2131</v>
      </c>
      <c r="F169" s="603" t="s">
        <v>2162</v>
      </c>
      <c r="G169" s="589"/>
      <c r="H169" s="589"/>
      <c r="I169" s="589"/>
      <c r="J169" s="589"/>
      <c r="K169" s="589"/>
      <c r="L169" s="589"/>
      <c r="M169" s="589"/>
      <c r="N169" s="589"/>
      <c r="O169" s="589"/>
      <c r="P169" s="589"/>
      <c r="Q169" s="589"/>
      <c r="R169" s="589"/>
      <c r="S169" s="589"/>
      <c r="T169" s="589"/>
      <c r="U169" s="589"/>
      <c r="V169" s="589"/>
      <c r="W169" t="s">
        <v>2047</v>
      </c>
    </row>
    <row r="170" spans="1:23" ht="13.15" customHeight="1" x14ac:dyDescent="0.2">
      <c r="A170" s="2" t="s">
        <v>2154</v>
      </c>
      <c r="B170" s="2">
        <f t="shared" si="4"/>
        <v>2022</v>
      </c>
      <c r="C170" s="2" t="str">
        <f t="shared" si="5"/>
        <v>KZN226</v>
      </c>
      <c r="D170" s="591">
        <v>1200</v>
      </c>
      <c r="E170" s="5" t="s">
        <v>2130</v>
      </c>
      <c r="F170" s="602" t="s">
        <v>1344</v>
      </c>
      <c r="G170" s="589"/>
      <c r="H170" s="589"/>
      <c r="I170" s="589"/>
      <c r="J170" s="589"/>
      <c r="K170" s="589"/>
      <c r="L170" s="589"/>
      <c r="M170" s="589"/>
      <c r="N170" s="589"/>
      <c r="O170" s="589"/>
      <c r="P170" s="589"/>
      <c r="Q170" s="589"/>
      <c r="R170" s="589"/>
      <c r="S170" s="589"/>
      <c r="T170" s="589"/>
      <c r="U170" s="589"/>
      <c r="V170" s="589"/>
      <c r="W170" t="s">
        <v>2047</v>
      </c>
    </row>
    <row r="171" spans="1:23" ht="13.15" customHeight="1" x14ac:dyDescent="0.2">
      <c r="A171" s="2" t="s">
        <v>2154</v>
      </c>
      <c r="B171" s="2">
        <f t="shared" si="4"/>
        <v>2022</v>
      </c>
      <c r="C171" s="2" t="str">
        <f t="shared" si="5"/>
        <v>KZN226</v>
      </c>
      <c r="D171" s="591">
        <v>1201</v>
      </c>
      <c r="E171" s="5" t="s">
        <v>2131</v>
      </c>
      <c r="F171" s="604" t="s">
        <v>263</v>
      </c>
      <c r="G171" s="607"/>
      <c r="H171" s="607"/>
      <c r="I171" s="607"/>
      <c r="J171" s="607"/>
      <c r="K171" s="607"/>
      <c r="L171" s="607"/>
      <c r="M171" s="607"/>
      <c r="N171" s="607"/>
      <c r="O171" s="607"/>
      <c r="P171" s="607"/>
      <c r="Q171" s="607"/>
      <c r="R171" s="607"/>
      <c r="S171" s="607"/>
      <c r="T171" s="607"/>
      <c r="U171" s="607"/>
      <c r="V171" s="607"/>
      <c r="W171" t="s">
        <v>2047</v>
      </c>
    </row>
    <row r="172" spans="1:23" ht="13.15" customHeight="1" x14ac:dyDescent="0.2">
      <c r="A172" s="2" t="s">
        <v>2154</v>
      </c>
      <c r="B172" s="2">
        <f t="shared" si="4"/>
        <v>2022</v>
      </c>
      <c r="C172" s="2" t="str">
        <f t="shared" si="5"/>
        <v>KZN226</v>
      </c>
      <c r="D172" s="591">
        <v>1301</v>
      </c>
      <c r="E172" s="5" t="s">
        <v>2131</v>
      </c>
      <c r="F172" s="604" t="s">
        <v>2145</v>
      </c>
      <c r="G172" s="589"/>
      <c r="H172" s="589"/>
      <c r="I172" s="589"/>
      <c r="J172" s="589"/>
      <c r="K172" s="589"/>
      <c r="L172" s="589"/>
      <c r="M172" s="589"/>
      <c r="N172" s="589"/>
      <c r="O172" s="589"/>
      <c r="P172" s="589"/>
      <c r="Q172" s="589"/>
      <c r="R172" s="589"/>
      <c r="S172" s="589"/>
      <c r="T172" s="589"/>
      <c r="U172" s="589"/>
      <c r="V172" s="589"/>
      <c r="W172" t="s">
        <v>2047</v>
      </c>
    </row>
    <row r="173" spans="1:23" ht="13.15" customHeight="1" x14ac:dyDescent="0.2">
      <c r="A173" s="2" t="s">
        <v>2154</v>
      </c>
      <c r="B173" s="2">
        <f t="shared" si="4"/>
        <v>2022</v>
      </c>
      <c r="C173" s="2" t="str">
        <f t="shared" si="5"/>
        <v>KZN226</v>
      </c>
      <c r="D173" s="591">
        <v>1302</v>
      </c>
      <c r="E173" s="5" t="s">
        <v>2131</v>
      </c>
      <c r="F173" s="604" t="s">
        <v>2146</v>
      </c>
      <c r="G173" s="589"/>
      <c r="H173" s="589"/>
      <c r="I173" s="589"/>
      <c r="J173" s="589"/>
      <c r="K173" s="589"/>
      <c r="L173" s="589"/>
      <c r="M173" s="589"/>
      <c r="N173" s="589"/>
      <c r="O173" s="589"/>
      <c r="P173" s="589"/>
      <c r="Q173" s="589"/>
      <c r="R173" s="589"/>
      <c r="S173" s="589"/>
      <c r="T173" s="589"/>
      <c r="U173" s="589"/>
      <c r="V173" s="589"/>
      <c r="W173" t="s">
        <v>2047</v>
      </c>
    </row>
    <row r="174" spans="1:23" ht="13.15" customHeight="1" x14ac:dyDescent="0.2">
      <c r="A174" s="2" t="s">
        <v>2154</v>
      </c>
      <c r="B174" s="2">
        <f t="shared" si="4"/>
        <v>2022</v>
      </c>
      <c r="C174" s="2" t="str">
        <f t="shared" si="5"/>
        <v>KZN226</v>
      </c>
      <c r="D174" s="591">
        <v>1303</v>
      </c>
      <c r="E174" s="5" t="s">
        <v>811</v>
      </c>
      <c r="F174" s="604" t="s">
        <v>1380</v>
      </c>
      <c r="G174" s="601"/>
      <c r="H174" s="601"/>
      <c r="I174" s="601"/>
      <c r="J174" s="601"/>
      <c r="K174" s="601"/>
      <c r="L174" s="601"/>
      <c r="M174" s="601"/>
      <c r="N174" s="601"/>
      <c r="O174" s="601"/>
      <c r="P174" s="601"/>
      <c r="Q174" s="601"/>
      <c r="R174" s="601"/>
      <c r="S174" s="601"/>
      <c r="T174" s="601"/>
      <c r="U174" s="601"/>
      <c r="V174" s="601"/>
      <c r="W174" t="s">
        <v>2047</v>
      </c>
    </row>
    <row r="175" spans="1:23" ht="13.15" customHeight="1" x14ac:dyDescent="0.2">
      <c r="A175" s="2" t="s">
        <v>2154</v>
      </c>
      <c r="B175" s="2">
        <f t="shared" si="4"/>
        <v>2022</v>
      </c>
      <c r="C175" s="2" t="str">
        <f t="shared" si="5"/>
        <v>KZN226</v>
      </c>
      <c r="D175" s="591">
        <v>1304</v>
      </c>
      <c r="E175" s="5" t="s">
        <v>2131</v>
      </c>
      <c r="F175" s="604" t="s">
        <v>2147</v>
      </c>
      <c r="G175" s="589"/>
      <c r="H175" s="589"/>
      <c r="I175" s="589"/>
      <c r="J175" s="589"/>
      <c r="K175" s="589"/>
      <c r="L175" s="589"/>
      <c r="M175" s="589"/>
      <c r="N175" s="589"/>
      <c r="O175" s="589"/>
      <c r="P175" s="589"/>
      <c r="Q175" s="589"/>
      <c r="R175" s="589"/>
      <c r="S175" s="589"/>
      <c r="T175" s="589"/>
      <c r="U175" s="589"/>
      <c r="V175" s="589"/>
      <c r="W175" t="s">
        <v>2047</v>
      </c>
    </row>
    <row r="176" spans="1:23" ht="13.15" customHeight="1" x14ac:dyDescent="0.2">
      <c r="A176" s="2" t="s">
        <v>2154</v>
      </c>
      <c r="B176" s="2">
        <f t="shared" si="4"/>
        <v>2022</v>
      </c>
      <c r="C176" s="2" t="str">
        <f t="shared" si="5"/>
        <v>KZN226</v>
      </c>
      <c r="D176" s="591">
        <v>1305</v>
      </c>
      <c r="E176" s="5" t="s">
        <v>2131</v>
      </c>
      <c r="F176" s="604" t="s">
        <v>2148</v>
      </c>
      <c r="G176" s="589"/>
      <c r="H176" s="589"/>
      <c r="I176" s="589"/>
      <c r="J176" s="589"/>
      <c r="K176" s="589"/>
      <c r="L176" s="589"/>
      <c r="M176" s="589"/>
      <c r="N176" s="589"/>
      <c r="O176" s="589"/>
      <c r="P176" s="589"/>
      <c r="Q176" s="589"/>
      <c r="R176" s="589"/>
      <c r="S176" s="589"/>
      <c r="T176" s="589"/>
      <c r="U176" s="589"/>
      <c r="V176" s="589"/>
      <c r="W176" t="s">
        <v>2047</v>
      </c>
    </row>
    <row r="177" spans="1:23" ht="13.15" customHeight="1" x14ac:dyDescent="0.2">
      <c r="A177" s="2" t="s">
        <v>2154</v>
      </c>
      <c r="B177" s="2">
        <f t="shared" si="4"/>
        <v>2022</v>
      </c>
      <c r="C177" s="2" t="str">
        <f t="shared" si="5"/>
        <v>KZN226</v>
      </c>
      <c r="D177" s="591">
        <v>1306</v>
      </c>
      <c r="E177" s="5" t="s">
        <v>2131</v>
      </c>
      <c r="F177" s="604" t="s">
        <v>2149</v>
      </c>
      <c r="G177" s="589"/>
      <c r="H177" s="589"/>
      <c r="I177" s="589"/>
      <c r="J177" s="589"/>
      <c r="K177" s="589"/>
      <c r="L177" s="589"/>
      <c r="M177" s="589"/>
      <c r="N177" s="589"/>
      <c r="O177" s="589"/>
      <c r="P177" s="589"/>
      <c r="Q177" s="589"/>
      <c r="R177" s="589"/>
      <c r="S177" s="589"/>
      <c r="T177" s="589"/>
      <c r="U177" s="589"/>
      <c r="V177" s="589"/>
      <c r="W177" t="s">
        <v>2047</v>
      </c>
    </row>
    <row r="178" spans="1:23" ht="13.15" customHeight="1" x14ac:dyDescent="0.2">
      <c r="A178" s="2" t="s">
        <v>2154</v>
      </c>
      <c r="B178" s="2">
        <f t="shared" si="4"/>
        <v>2022</v>
      </c>
      <c r="C178" s="2" t="str">
        <f t="shared" si="5"/>
        <v>KZN226</v>
      </c>
      <c r="D178" s="591">
        <v>1307</v>
      </c>
      <c r="E178" s="5" t="s">
        <v>2131</v>
      </c>
      <c r="F178" s="604" t="s">
        <v>2163</v>
      </c>
      <c r="G178" s="589"/>
      <c r="H178" s="589"/>
      <c r="I178" s="589"/>
      <c r="J178" s="589"/>
      <c r="K178" s="589"/>
      <c r="L178" s="589"/>
      <c r="M178" s="589"/>
      <c r="N178" s="589"/>
      <c r="O178" s="589"/>
      <c r="P178" s="589"/>
      <c r="Q178" s="589"/>
      <c r="R178" s="589"/>
      <c r="S178" s="589"/>
      <c r="T178" s="589"/>
      <c r="U178" s="589"/>
      <c r="V178" s="589"/>
      <c r="W178" t="s">
        <v>2047</v>
      </c>
    </row>
    <row r="179" spans="1:23" ht="13.15" customHeight="1" x14ac:dyDescent="0.2">
      <c r="A179" s="2" t="s">
        <v>2154</v>
      </c>
      <c r="B179" s="2">
        <f t="shared" si="4"/>
        <v>2022</v>
      </c>
      <c r="C179" s="2" t="str">
        <f t="shared" si="5"/>
        <v>KZN226</v>
      </c>
      <c r="D179" s="591">
        <v>1308</v>
      </c>
      <c r="E179" s="5" t="s">
        <v>2131</v>
      </c>
      <c r="F179" s="604" t="s">
        <v>2164</v>
      </c>
      <c r="G179" s="589"/>
      <c r="H179" s="589"/>
      <c r="I179" s="589"/>
      <c r="J179" s="589"/>
      <c r="K179" s="589"/>
      <c r="L179" s="589"/>
      <c r="M179" s="589"/>
      <c r="N179" s="589"/>
      <c r="O179" s="589"/>
      <c r="P179" s="589"/>
      <c r="Q179" s="589"/>
      <c r="R179" s="589"/>
      <c r="S179" s="589"/>
      <c r="T179" s="589"/>
      <c r="U179" s="589"/>
      <c r="V179" s="589"/>
      <c r="W179" t="s">
        <v>2047</v>
      </c>
    </row>
    <row r="180" spans="1:23" ht="13.15" customHeight="1" x14ac:dyDescent="0.2">
      <c r="A180" s="2" t="s">
        <v>2154</v>
      </c>
      <c r="B180" s="2">
        <f t="shared" si="4"/>
        <v>2022</v>
      </c>
      <c r="C180" s="2" t="str">
        <f t="shared" si="5"/>
        <v>KZN226</v>
      </c>
      <c r="D180" s="591">
        <v>1309</v>
      </c>
      <c r="E180" s="5" t="s">
        <v>2131</v>
      </c>
      <c r="F180" s="604" t="s">
        <v>2165</v>
      </c>
      <c r="G180" s="589"/>
      <c r="H180" s="589"/>
      <c r="I180" s="589"/>
      <c r="J180" s="589"/>
      <c r="K180" s="589"/>
      <c r="L180" s="589"/>
      <c r="M180" s="589"/>
      <c r="N180" s="589"/>
      <c r="O180" s="589"/>
      <c r="P180" s="589"/>
      <c r="Q180" s="589"/>
      <c r="R180" s="589"/>
      <c r="S180" s="589"/>
      <c r="T180" s="589"/>
      <c r="U180" s="589"/>
      <c r="V180" s="589"/>
      <c r="W180" t="s">
        <v>2047</v>
      </c>
    </row>
    <row r="181" spans="1:23" ht="13.15" customHeight="1" x14ac:dyDescent="0.2">
      <c r="A181" s="2" t="s">
        <v>2154</v>
      </c>
      <c r="B181" s="2">
        <f t="shared" si="4"/>
        <v>2022</v>
      </c>
      <c r="C181" s="2" t="str">
        <f t="shared" si="5"/>
        <v>KZN226</v>
      </c>
      <c r="D181" s="591">
        <v>1310</v>
      </c>
      <c r="E181" s="5" t="s">
        <v>2131</v>
      </c>
      <c r="F181" s="608" t="s">
        <v>2153</v>
      </c>
      <c r="G181" s="589"/>
      <c r="H181" s="589"/>
      <c r="I181" s="589"/>
      <c r="J181" s="589"/>
      <c r="K181" s="589"/>
      <c r="L181" s="589"/>
      <c r="M181" s="589"/>
      <c r="N181" s="589"/>
      <c r="O181" s="589"/>
      <c r="P181" s="589"/>
      <c r="Q181" s="589"/>
      <c r="R181" s="589"/>
      <c r="S181" s="589"/>
      <c r="T181" s="589"/>
      <c r="U181" s="589"/>
      <c r="V181" s="589"/>
      <c r="W181" t="s">
        <v>2047</v>
      </c>
    </row>
    <row r="182" spans="1:23" ht="13.15" customHeight="1" x14ac:dyDescent="0.2">
      <c r="A182" s="2" t="s">
        <v>2154</v>
      </c>
      <c r="B182" s="2">
        <f t="shared" si="4"/>
        <v>2022</v>
      </c>
      <c r="C182" s="2" t="str">
        <f t="shared" si="5"/>
        <v>KZN226</v>
      </c>
      <c r="D182" s="591"/>
      <c r="E182" s="2"/>
      <c r="F182" s="5"/>
      <c r="G182" s="589"/>
      <c r="H182" s="589"/>
      <c r="I182" s="589"/>
      <c r="J182" s="589"/>
      <c r="K182" s="589"/>
      <c r="L182" s="589"/>
      <c r="M182" s="589"/>
      <c r="N182" s="589"/>
      <c r="O182" s="589"/>
      <c r="P182" s="2"/>
      <c r="Q182" s="2"/>
      <c r="R182" s="2"/>
      <c r="S182" s="2"/>
      <c r="T182" s="2"/>
      <c r="U182" s="2"/>
      <c r="V182" s="2"/>
      <c r="W182" t="s">
        <v>2047</v>
      </c>
    </row>
    <row r="183" spans="1:23" ht="13.15" customHeight="1" x14ac:dyDescent="0.2">
      <c r="A183" s="2" t="s">
        <v>2154</v>
      </c>
      <c r="B183" s="2">
        <f t="shared" si="4"/>
        <v>2022</v>
      </c>
      <c r="C183" s="2" t="str">
        <f t="shared" si="5"/>
        <v>KZN226</v>
      </c>
      <c r="D183" s="591"/>
      <c r="E183" s="2"/>
      <c r="F183" s="5"/>
      <c r="G183" s="589"/>
      <c r="H183" s="589"/>
      <c r="I183" s="589"/>
      <c r="J183" s="589"/>
      <c r="K183" s="589"/>
      <c r="L183" s="589"/>
      <c r="M183" s="589"/>
      <c r="N183" s="589"/>
      <c r="O183" s="589"/>
      <c r="P183" s="2"/>
      <c r="Q183" s="2"/>
      <c r="R183" s="2"/>
      <c r="S183" s="2"/>
      <c r="T183" s="2"/>
      <c r="U183" s="2"/>
      <c r="V183" s="2"/>
      <c r="W183" t="s">
        <v>2047</v>
      </c>
    </row>
    <row r="184" spans="1:23" ht="13.15" customHeight="1" x14ac:dyDescent="0.2">
      <c r="A184" s="2" t="s">
        <v>2154</v>
      </c>
      <c r="B184" s="2">
        <f t="shared" si="4"/>
        <v>2022</v>
      </c>
      <c r="C184" s="2" t="str">
        <f t="shared" si="5"/>
        <v>KZN226</v>
      </c>
      <c r="D184" s="591"/>
      <c r="E184" s="2"/>
      <c r="F184" s="5"/>
      <c r="G184" s="589"/>
      <c r="H184" s="589"/>
      <c r="I184" s="589"/>
      <c r="J184" s="589"/>
      <c r="K184" s="589"/>
      <c r="L184" s="589"/>
      <c r="M184" s="589"/>
      <c r="N184" s="589"/>
      <c r="O184" s="589"/>
      <c r="P184" s="2"/>
      <c r="Q184" s="2"/>
      <c r="R184" s="2"/>
      <c r="S184" s="2"/>
      <c r="T184" s="2"/>
      <c r="U184" s="2"/>
      <c r="V184" s="2"/>
      <c r="W184" t="s">
        <v>2047</v>
      </c>
    </row>
    <row r="185" spans="1:23" ht="13.15" customHeight="1" x14ac:dyDescent="0.2">
      <c r="A185" s="2" t="s">
        <v>2154</v>
      </c>
      <c r="B185" s="2">
        <f t="shared" si="4"/>
        <v>2022</v>
      </c>
      <c r="C185" s="2" t="str">
        <f t="shared" si="5"/>
        <v>KZN226</v>
      </c>
      <c r="D185" s="591"/>
      <c r="E185" s="2"/>
      <c r="F185" s="5"/>
      <c r="G185" s="589"/>
      <c r="H185" s="589"/>
      <c r="I185" s="589"/>
      <c r="J185" s="589"/>
      <c r="K185" s="589"/>
      <c r="L185" s="589"/>
      <c r="M185" s="589"/>
      <c r="N185" s="589"/>
      <c r="O185" s="589"/>
      <c r="P185" s="2"/>
      <c r="Q185" s="2"/>
      <c r="R185" s="2"/>
      <c r="S185" s="2"/>
      <c r="T185" s="2"/>
      <c r="U185" s="2"/>
      <c r="V185" s="2"/>
      <c r="W185" t="s">
        <v>2047</v>
      </c>
    </row>
    <row r="186" spans="1:23" ht="13.15" customHeight="1" x14ac:dyDescent="0.2">
      <c r="A186" s="2" t="s">
        <v>2154</v>
      </c>
      <c r="B186" s="2">
        <f t="shared" si="4"/>
        <v>2022</v>
      </c>
      <c r="C186" s="2" t="str">
        <f t="shared" si="5"/>
        <v>KZN226</v>
      </c>
      <c r="D186" s="591">
        <v>1000</v>
      </c>
      <c r="E186" s="2" t="s">
        <v>2130</v>
      </c>
      <c r="F186" s="602" t="s">
        <v>644</v>
      </c>
      <c r="G186" s="589"/>
      <c r="H186" s="589"/>
      <c r="I186" s="589"/>
      <c r="J186" s="589"/>
      <c r="K186" s="589"/>
      <c r="L186" s="589"/>
      <c r="M186" s="589"/>
      <c r="N186" s="589"/>
      <c r="O186" s="589"/>
      <c r="P186" s="2"/>
      <c r="Q186" s="2"/>
      <c r="R186" s="2"/>
      <c r="S186" s="2"/>
      <c r="T186" s="2"/>
      <c r="U186" s="2"/>
      <c r="V186" s="2"/>
      <c r="W186" t="s">
        <v>2047</v>
      </c>
    </row>
    <row r="187" spans="1:23" ht="13.15" customHeight="1" x14ac:dyDescent="0.2">
      <c r="A187" s="2" t="s">
        <v>2154</v>
      </c>
      <c r="B187" s="2">
        <f t="shared" si="4"/>
        <v>2022</v>
      </c>
      <c r="C187" s="2" t="str">
        <f t="shared" si="5"/>
        <v>KZN226</v>
      </c>
      <c r="D187" s="591">
        <v>1020</v>
      </c>
      <c r="E187" s="5" t="s">
        <v>2131</v>
      </c>
      <c r="F187" s="603" t="s">
        <v>349</v>
      </c>
      <c r="G187" s="589"/>
      <c r="H187" s="589"/>
      <c r="I187" s="589"/>
      <c r="J187" s="589"/>
      <c r="K187" s="589"/>
      <c r="L187" s="589"/>
      <c r="M187" s="589"/>
      <c r="N187" s="589"/>
      <c r="O187" s="589"/>
      <c r="P187" s="589"/>
      <c r="Q187" s="589"/>
      <c r="R187" s="589"/>
      <c r="S187" s="589"/>
      <c r="T187" s="589"/>
      <c r="U187" s="589"/>
      <c r="V187" s="589"/>
      <c r="W187" t="s">
        <v>2047</v>
      </c>
    </row>
    <row r="188" spans="1:23" ht="13.15" customHeight="1" x14ac:dyDescent="0.2">
      <c r="A188" s="2" t="s">
        <v>2154</v>
      </c>
      <c r="B188" s="2">
        <f t="shared" si="4"/>
        <v>2022</v>
      </c>
      <c r="C188" s="2" t="str">
        <f t="shared" si="5"/>
        <v>KZN226</v>
      </c>
      <c r="D188" s="591">
        <v>1021</v>
      </c>
      <c r="E188" s="5" t="s">
        <v>2131</v>
      </c>
      <c r="F188" s="603" t="s">
        <v>1222</v>
      </c>
      <c r="G188" s="589"/>
      <c r="H188" s="589"/>
      <c r="I188" s="589"/>
      <c r="J188" s="589"/>
      <c r="K188" s="589"/>
      <c r="L188" s="589"/>
      <c r="M188" s="589"/>
      <c r="N188" s="589"/>
      <c r="O188" s="589"/>
      <c r="P188" s="589"/>
      <c r="Q188" s="589"/>
      <c r="R188" s="589"/>
      <c r="S188" s="589"/>
      <c r="T188" s="589"/>
      <c r="U188" s="589"/>
      <c r="V188" s="589"/>
      <c r="W188" t="s">
        <v>2047</v>
      </c>
    </row>
    <row r="189" spans="1:23" ht="13.15" customHeight="1" x14ac:dyDescent="0.2">
      <c r="A189" s="2" t="s">
        <v>2154</v>
      </c>
      <c r="B189" s="2">
        <f t="shared" si="4"/>
        <v>2022</v>
      </c>
      <c r="C189" s="2" t="str">
        <f t="shared" si="5"/>
        <v>KZN226</v>
      </c>
      <c r="D189" s="591">
        <v>1022</v>
      </c>
      <c r="E189" s="5" t="s">
        <v>2131</v>
      </c>
      <c r="F189" s="603" t="s">
        <v>351</v>
      </c>
      <c r="G189" s="589"/>
      <c r="H189" s="589"/>
      <c r="I189" s="589"/>
      <c r="J189" s="589"/>
      <c r="K189" s="589"/>
      <c r="L189" s="589"/>
      <c r="M189" s="589"/>
      <c r="N189" s="589"/>
      <c r="O189" s="589"/>
      <c r="P189" s="589"/>
      <c r="Q189" s="589"/>
      <c r="R189" s="589"/>
      <c r="S189" s="589"/>
      <c r="T189" s="589"/>
      <c r="U189" s="589"/>
      <c r="V189" s="589"/>
      <c r="W189" t="s">
        <v>2047</v>
      </c>
    </row>
    <row r="190" spans="1:23" ht="13.15" customHeight="1" x14ac:dyDescent="0.2">
      <c r="A190" s="2" t="s">
        <v>2154</v>
      </c>
      <c r="B190" s="2">
        <f t="shared" si="4"/>
        <v>2022</v>
      </c>
      <c r="C190" s="2" t="str">
        <f t="shared" si="5"/>
        <v>KZN226</v>
      </c>
      <c r="D190" s="591">
        <v>1023</v>
      </c>
      <c r="E190" s="5" t="s">
        <v>2131</v>
      </c>
      <c r="F190" s="603" t="s">
        <v>636</v>
      </c>
      <c r="G190" s="589"/>
      <c r="H190" s="589"/>
      <c r="I190" s="589"/>
      <c r="J190" s="589"/>
      <c r="K190" s="589"/>
      <c r="L190" s="589"/>
      <c r="M190" s="589"/>
      <c r="N190" s="589"/>
      <c r="O190" s="589"/>
      <c r="P190" s="589"/>
      <c r="Q190" s="589"/>
      <c r="R190" s="589"/>
      <c r="S190" s="589"/>
      <c r="T190" s="589"/>
      <c r="U190" s="589"/>
      <c r="V190" s="589"/>
      <c r="W190" t="s">
        <v>2047</v>
      </c>
    </row>
    <row r="191" spans="1:23" ht="13.15" customHeight="1" x14ac:dyDescent="0.2">
      <c r="A191" s="2" t="s">
        <v>2154</v>
      </c>
      <c r="B191" s="2">
        <f t="shared" si="4"/>
        <v>2022</v>
      </c>
      <c r="C191" s="2" t="str">
        <f t="shared" si="5"/>
        <v>KZN226</v>
      </c>
      <c r="D191" s="591">
        <v>1030</v>
      </c>
      <c r="E191" s="599" t="s">
        <v>2131</v>
      </c>
      <c r="F191" s="603" t="s">
        <v>2155</v>
      </c>
      <c r="G191" s="589"/>
      <c r="H191" s="589"/>
      <c r="I191" s="589"/>
      <c r="J191" s="589"/>
      <c r="K191" s="589"/>
      <c r="L191" s="589"/>
      <c r="M191" s="589"/>
      <c r="N191" s="589"/>
      <c r="O191" s="589"/>
      <c r="P191" s="589"/>
      <c r="Q191" s="589"/>
      <c r="R191" s="589"/>
      <c r="S191" s="589"/>
      <c r="T191" s="589"/>
      <c r="U191" s="589"/>
      <c r="V191" s="589"/>
      <c r="W191" t="s">
        <v>2047</v>
      </c>
    </row>
    <row r="192" spans="1:23" ht="13.15" customHeight="1" x14ac:dyDescent="0.2">
      <c r="A192" s="2" t="s">
        <v>2154</v>
      </c>
      <c r="B192" s="2">
        <f t="shared" si="4"/>
        <v>2022</v>
      </c>
      <c r="C192" s="2" t="str">
        <f t="shared" si="5"/>
        <v>KZN226</v>
      </c>
      <c r="D192" s="591">
        <v>1024</v>
      </c>
      <c r="E192" s="5" t="s">
        <v>2131</v>
      </c>
      <c r="F192" s="603" t="s">
        <v>637</v>
      </c>
      <c r="G192" s="589"/>
      <c r="H192" s="589"/>
      <c r="I192" s="589"/>
      <c r="J192" s="589"/>
      <c r="K192" s="589"/>
      <c r="L192" s="589"/>
      <c r="M192" s="589"/>
      <c r="N192" s="589"/>
      <c r="O192" s="589"/>
      <c r="P192" s="589"/>
      <c r="Q192" s="589"/>
      <c r="R192" s="589"/>
      <c r="S192" s="589"/>
      <c r="T192" s="589"/>
      <c r="U192" s="589"/>
      <c r="V192" s="589"/>
      <c r="W192" t="s">
        <v>2047</v>
      </c>
    </row>
    <row r="193" spans="1:23" ht="13.15" customHeight="1" x14ac:dyDescent="0.2">
      <c r="A193" s="2" t="s">
        <v>2154</v>
      </c>
      <c r="B193" s="2">
        <f t="shared" si="4"/>
        <v>2022</v>
      </c>
      <c r="C193" s="2" t="str">
        <f t="shared" si="5"/>
        <v>KZN226</v>
      </c>
      <c r="D193" s="591">
        <v>1025</v>
      </c>
      <c r="E193" s="5" t="s">
        <v>2131</v>
      </c>
      <c r="F193" s="603" t="s">
        <v>315</v>
      </c>
      <c r="G193" s="589"/>
      <c r="H193" s="589"/>
      <c r="I193" s="589"/>
      <c r="J193" s="589"/>
      <c r="K193" s="589"/>
      <c r="L193" s="589"/>
      <c r="M193" s="589"/>
      <c r="N193" s="589"/>
      <c r="O193" s="589"/>
      <c r="P193" s="589"/>
      <c r="Q193" s="589"/>
      <c r="R193" s="589"/>
      <c r="S193" s="589"/>
      <c r="T193" s="589"/>
      <c r="U193" s="589"/>
      <c r="V193" s="589"/>
      <c r="W193" t="s">
        <v>2047</v>
      </c>
    </row>
    <row r="194" spans="1:23" ht="13.15" customHeight="1" x14ac:dyDescent="0.2">
      <c r="A194" s="2" t="s">
        <v>2154</v>
      </c>
      <c r="B194" s="2">
        <f t="shared" ref="B194:B257" si="6">+MTREF</f>
        <v>2022</v>
      </c>
      <c r="C194" s="2" t="str">
        <f t="shared" ref="C194:C257" si="7">LEFT(muni,(FIND(" ",muni,1)-1))</f>
        <v>KZN226</v>
      </c>
      <c r="D194" s="591">
        <v>1026</v>
      </c>
      <c r="E194" s="5" t="s">
        <v>2131</v>
      </c>
      <c r="F194" s="603" t="s">
        <v>316</v>
      </c>
      <c r="G194" s="589"/>
      <c r="H194" s="589"/>
      <c r="I194" s="589"/>
      <c r="J194" s="589"/>
      <c r="K194" s="589"/>
      <c r="L194" s="589"/>
      <c r="M194" s="589"/>
      <c r="N194" s="589"/>
      <c r="O194" s="589"/>
      <c r="P194" s="589"/>
      <c r="Q194" s="589"/>
      <c r="R194" s="589"/>
      <c r="S194" s="589"/>
      <c r="T194" s="589"/>
      <c r="U194" s="589"/>
      <c r="V194" s="589"/>
      <c r="W194" t="s">
        <v>2047</v>
      </c>
    </row>
    <row r="195" spans="1:23" ht="13.15" customHeight="1" x14ac:dyDescent="0.2">
      <c r="A195" s="2" t="s">
        <v>2154</v>
      </c>
      <c r="B195" s="2">
        <f t="shared" si="6"/>
        <v>2022</v>
      </c>
      <c r="C195" s="2" t="str">
        <f t="shared" si="7"/>
        <v>KZN226</v>
      </c>
      <c r="D195" s="591">
        <v>1027</v>
      </c>
      <c r="E195" s="5" t="s">
        <v>2131</v>
      </c>
      <c r="F195" s="603" t="s">
        <v>317</v>
      </c>
      <c r="G195" s="589"/>
      <c r="H195" s="589"/>
      <c r="I195" s="589"/>
      <c r="J195" s="589"/>
      <c r="K195" s="589"/>
      <c r="L195" s="589"/>
      <c r="M195" s="589"/>
      <c r="N195" s="589"/>
      <c r="O195" s="589"/>
      <c r="P195" s="589"/>
      <c r="Q195" s="589"/>
      <c r="R195" s="589"/>
      <c r="S195" s="589"/>
      <c r="T195" s="589"/>
      <c r="U195" s="589"/>
      <c r="V195" s="589"/>
      <c r="W195" t="s">
        <v>2047</v>
      </c>
    </row>
    <row r="196" spans="1:23" ht="13.15" customHeight="1" x14ac:dyDescent="0.2">
      <c r="A196" s="2" t="s">
        <v>2154</v>
      </c>
      <c r="B196" s="2">
        <f t="shared" si="6"/>
        <v>2022</v>
      </c>
      <c r="C196" s="2" t="str">
        <f t="shared" si="7"/>
        <v>KZN226</v>
      </c>
      <c r="D196" s="591">
        <v>1028</v>
      </c>
      <c r="E196" s="5" t="s">
        <v>2131</v>
      </c>
      <c r="F196" s="603" t="s">
        <v>646</v>
      </c>
      <c r="G196" s="589"/>
      <c r="H196" s="589"/>
      <c r="I196" s="589"/>
      <c r="J196" s="589"/>
      <c r="K196" s="589"/>
      <c r="L196" s="589"/>
      <c r="M196" s="589"/>
      <c r="N196" s="589"/>
      <c r="O196" s="589"/>
      <c r="P196" s="589"/>
      <c r="Q196" s="589"/>
      <c r="R196" s="589"/>
      <c r="S196" s="589"/>
      <c r="T196" s="589"/>
      <c r="U196" s="589"/>
      <c r="V196" s="589"/>
      <c r="W196" t="s">
        <v>2047</v>
      </c>
    </row>
    <row r="197" spans="1:23" ht="13.15" customHeight="1" x14ac:dyDescent="0.2">
      <c r="A197" s="2" t="s">
        <v>2154</v>
      </c>
      <c r="B197" s="2">
        <f t="shared" si="6"/>
        <v>2022</v>
      </c>
      <c r="C197" s="2" t="str">
        <f t="shared" si="7"/>
        <v>KZN226</v>
      </c>
      <c r="D197" s="591">
        <v>1029</v>
      </c>
      <c r="E197" s="5" t="s">
        <v>2131</v>
      </c>
      <c r="F197" s="603" t="s">
        <v>635</v>
      </c>
      <c r="G197" s="589"/>
      <c r="H197" s="589"/>
      <c r="I197" s="589"/>
      <c r="J197" s="589"/>
      <c r="K197" s="589"/>
      <c r="L197" s="589"/>
      <c r="M197" s="589"/>
      <c r="N197" s="589"/>
      <c r="O197" s="589"/>
      <c r="P197" s="589"/>
      <c r="Q197" s="589"/>
      <c r="R197" s="589"/>
      <c r="S197" s="589"/>
      <c r="T197" s="589"/>
      <c r="U197" s="589"/>
      <c r="V197" s="589"/>
      <c r="W197" t="s">
        <v>2047</v>
      </c>
    </row>
    <row r="198" spans="1:23" ht="13.15" customHeight="1" x14ac:dyDescent="0.2">
      <c r="A198" s="2" t="s">
        <v>2154</v>
      </c>
      <c r="B198" s="2">
        <f t="shared" si="6"/>
        <v>2022</v>
      </c>
      <c r="C198" s="2" t="str">
        <f t="shared" si="7"/>
        <v>KZN226</v>
      </c>
      <c r="D198" s="591">
        <v>1040</v>
      </c>
      <c r="E198" s="5" t="s">
        <v>2131</v>
      </c>
      <c r="F198" s="604" t="s">
        <v>1224</v>
      </c>
      <c r="G198" s="589"/>
      <c r="H198" s="589"/>
      <c r="I198" s="589"/>
      <c r="J198" s="589"/>
      <c r="K198" s="589"/>
      <c r="L198" s="589"/>
      <c r="M198" s="589"/>
      <c r="N198" s="589"/>
      <c r="O198" s="589"/>
      <c r="P198" s="589"/>
      <c r="Q198" s="589"/>
      <c r="R198" s="589"/>
      <c r="S198" s="589"/>
      <c r="T198" s="589"/>
      <c r="U198" s="589"/>
      <c r="V198" s="589"/>
      <c r="W198" t="s">
        <v>2047</v>
      </c>
    </row>
    <row r="199" spans="1:23" ht="13.15" customHeight="1" x14ac:dyDescent="0.2">
      <c r="A199" s="2" t="s">
        <v>2154</v>
      </c>
      <c r="B199" s="2">
        <f t="shared" si="6"/>
        <v>2022</v>
      </c>
      <c r="C199" s="2" t="str">
        <f t="shared" si="7"/>
        <v>KZN226</v>
      </c>
      <c r="D199" s="591">
        <v>1041</v>
      </c>
      <c r="E199" s="5" t="s">
        <v>2130</v>
      </c>
      <c r="F199" s="603" t="s">
        <v>2156</v>
      </c>
      <c r="G199" s="595"/>
      <c r="H199" s="595"/>
      <c r="I199" s="595"/>
      <c r="J199" s="595"/>
      <c r="K199" s="595"/>
      <c r="L199" s="595"/>
      <c r="M199" s="595"/>
      <c r="N199" s="595"/>
      <c r="O199" s="595"/>
      <c r="P199" s="595"/>
      <c r="Q199" s="595"/>
      <c r="R199" s="595"/>
      <c r="S199" s="595"/>
      <c r="T199" s="595"/>
      <c r="U199" s="595"/>
      <c r="V199" s="595"/>
      <c r="W199" t="s">
        <v>2047</v>
      </c>
    </row>
    <row r="200" spans="1:23" ht="13.15" customHeight="1" x14ac:dyDescent="0.2">
      <c r="A200" s="2" t="s">
        <v>2154</v>
      </c>
      <c r="B200" s="2">
        <f t="shared" si="6"/>
        <v>2022</v>
      </c>
      <c r="C200" s="2" t="str">
        <f t="shared" si="7"/>
        <v>KZN226</v>
      </c>
      <c r="D200" s="591">
        <v>1042</v>
      </c>
      <c r="E200" s="5" t="s">
        <v>2130</v>
      </c>
      <c r="F200" s="603" t="s">
        <v>2157</v>
      </c>
      <c r="G200" s="595"/>
      <c r="H200" s="595"/>
      <c r="I200" s="595"/>
      <c r="J200" s="595"/>
      <c r="K200" s="595"/>
      <c r="L200" s="595"/>
      <c r="M200" s="595"/>
      <c r="N200" s="595"/>
      <c r="O200" s="595"/>
      <c r="P200" s="595"/>
      <c r="Q200" s="595"/>
      <c r="R200" s="595"/>
      <c r="S200" s="595"/>
      <c r="T200" s="595"/>
      <c r="U200" s="595"/>
      <c r="V200" s="595"/>
      <c r="W200" t="s">
        <v>2047</v>
      </c>
    </row>
    <row r="201" spans="1:23" ht="13.15" customHeight="1" x14ac:dyDescent="0.2">
      <c r="A201" s="2" t="s">
        <v>2154</v>
      </c>
      <c r="B201" s="2">
        <f t="shared" si="6"/>
        <v>2022</v>
      </c>
      <c r="C201" s="2" t="str">
        <f t="shared" si="7"/>
        <v>KZN226</v>
      </c>
      <c r="D201" s="591">
        <v>1043</v>
      </c>
      <c r="E201" s="5" t="s">
        <v>2130</v>
      </c>
      <c r="F201" s="603" t="s">
        <v>2158</v>
      </c>
      <c r="G201" s="595"/>
      <c r="H201" s="595"/>
      <c r="I201" s="595"/>
      <c r="J201" s="595"/>
      <c r="K201" s="595"/>
      <c r="L201" s="595"/>
      <c r="M201" s="595"/>
      <c r="N201" s="595"/>
      <c r="O201" s="595"/>
      <c r="P201" s="595"/>
      <c r="Q201" s="595"/>
      <c r="R201" s="595"/>
      <c r="S201" s="595"/>
      <c r="T201" s="595"/>
      <c r="U201" s="595"/>
      <c r="V201" s="595"/>
      <c r="W201" t="s">
        <v>2047</v>
      </c>
    </row>
    <row r="202" spans="1:23" ht="13.15" customHeight="1" x14ac:dyDescent="0.2">
      <c r="A202" s="2" t="s">
        <v>2154</v>
      </c>
      <c r="B202" s="2">
        <f t="shared" si="6"/>
        <v>2022</v>
      </c>
      <c r="C202" s="2" t="str">
        <f t="shared" si="7"/>
        <v>KZN226</v>
      </c>
      <c r="D202" s="591">
        <v>1044</v>
      </c>
      <c r="E202" s="5" t="s">
        <v>2130</v>
      </c>
      <c r="F202" s="603" t="s">
        <v>2159</v>
      </c>
      <c r="G202" s="595"/>
      <c r="H202" s="595"/>
      <c r="I202" s="595"/>
      <c r="J202" s="595"/>
      <c r="K202" s="595"/>
      <c r="L202" s="595"/>
      <c r="M202" s="595"/>
      <c r="N202" s="595"/>
      <c r="O202" s="595"/>
      <c r="P202" s="595"/>
      <c r="Q202" s="595"/>
      <c r="R202" s="595"/>
      <c r="S202" s="595"/>
      <c r="T202" s="595"/>
      <c r="U202" s="595"/>
      <c r="V202" s="595"/>
      <c r="W202" t="s">
        <v>2047</v>
      </c>
    </row>
    <row r="203" spans="1:23" ht="13.15" customHeight="1" x14ac:dyDescent="0.2">
      <c r="A203" s="2" t="s">
        <v>2154</v>
      </c>
      <c r="B203" s="2">
        <f t="shared" si="6"/>
        <v>2022</v>
      </c>
      <c r="C203" s="2" t="str">
        <f t="shared" si="7"/>
        <v>KZN226</v>
      </c>
      <c r="D203" s="591">
        <v>1206</v>
      </c>
      <c r="E203" s="599" t="s">
        <v>2131</v>
      </c>
      <c r="F203" s="603" t="s">
        <v>140</v>
      </c>
      <c r="G203" s="589"/>
      <c r="H203" s="589"/>
      <c r="I203" s="589"/>
      <c r="J203" s="589"/>
      <c r="K203" s="589"/>
      <c r="L203" s="589"/>
      <c r="M203" s="589"/>
      <c r="N203" s="589"/>
      <c r="O203" s="589"/>
      <c r="P203" s="589"/>
      <c r="Q203" s="589"/>
      <c r="R203" s="589"/>
      <c r="S203" s="589"/>
      <c r="T203" s="589"/>
      <c r="U203" s="589"/>
      <c r="V203" s="589"/>
      <c r="W203" t="s">
        <v>2047</v>
      </c>
    </row>
    <row r="204" spans="1:23" ht="13.15" customHeight="1" x14ac:dyDescent="0.2">
      <c r="A204" s="2" t="s">
        <v>2154</v>
      </c>
      <c r="B204" s="2">
        <f t="shared" si="6"/>
        <v>2022</v>
      </c>
      <c r="C204" s="2" t="str">
        <f t="shared" si="7"/>
        <v>KZN226</v>
      </c>
      <c r="D204" s="591">
        <v>1046</v>
      </c>
      <c r="E204" s="5" t="s">
        <v>2130</v>
      </c>
      <c r="F204" s="603" t="s">
        <v>578</v>
      </c>
      <c r="G204" s="595"/>
      <c r="H204" s="595"/>
      <c r="I204" s="595"/>
      <c r="J204" s="595"/>
      <c r="K204" s="595"/>
      <c r="L204" s="595"/>
      <c r="M204" s="595"/>
      <c r="N204" s="595"/>
      <c r="O204" s="595"/>
      <c r="P204" s="595"/>
      <c r="Q204" s="595"/>
      <c r="R204" s="595"/>
      <c r="S204" s="595"/>
      <c r="T204" s="595"/>
      <c r="U204" s="595"/>
      <c r="V204" s="595"/>
      <c r="W204" t="s">
        <v>2047</v>
      </c>
    </row>
    <row r="205" spans="1:23" ht="13.15" customHeight="1" x14ac:dyDescent="0.2">
      <c r="A205" s="2" t="s">
        <v>2154</v>
      </c>
      <c r="B205" s="2">
        <f t="shared" si="6"/>
        <v>2022</v>
      </c>
      <c r="C205" s="2" t="str">
        <f t="shared" si="7"/>
        <v>KZN226</v>
      </c>
      <c r="D205" s="591">
        <v>1047</v>
      </c>
      <c r="E205" s="5" t="s">
        <v>2130</v>
      </c>
      <c r="F205" s="603" t="s">
        <v>579</v>
      </c>
      <c r="G205" s="595"/>
      <c r="H205" s="595"/>
      <c r="I205" s="595"/>
      <c r="J205" s="595"/>
      <c r="K205" s="595"/>
      <c r="L205" s="595"/>
      <c r="M205" s="595"/>
      <c r="N205" s="595"/>
      <c r="O205" s="595"/>
      <c r="P205" s="595"/>
      <c r="Q205" s="595"/>
      <c r="R205" s="595"/>
      <c r="S205" s="595"/>
      <c r="T205" s="595"/>
      <c r="U205" s="595"/>
      <c r="V205" s="595"/>
      <c r="W205" t="s">
        <v>2047</v>
      </c>
    </row>
    <row r="206" spans="1:23" ht="13.15" customHeight="1" x14ac:dyDescent="0.2">
      <c r="A206" s="2" t="s">
        <v>2154</v>
      </c>
      <c r="B206" s="2">
        <f t="shared" si="6"/>
        <v>2022</v>
      </c>
      <c r="C206" s="2" t="str">
        <f t="shared" si="7"/>
        <v>KZN226</v>
      </c>
      <c r="D206" s="591">
        <v>1048</v>
      </c>
      <c r="E206" s="5" t="s">
        <v>2130</v>
      </c>
      <c r="F206" s="603" t="s">
        <v>264</v>
      </c>
      <c r="G206" s="595"/>
      <c r="H206" s="595"/>
      <c r="I206" s="595"/>
      <c r="J206" s="595"/>
      <c r="K206" s="595"/>
      <c r="L206" s="595"/>
      <c r="M206" s="595"/>
      <c r="N206" s="595"/>
      <c r="O206" s="595"/>
      <c r="P206" s="595"/>
      <c r="Q206" s="595"/>
      <c r="R206" s="595"/>
      <c r="S206" s="595"/>
      <c r="T206" s="595"/>
      <c r="U206" s="595"/>
      <c r="V206" s="595"/>
      <c r="W206" t="s">
        <v>2047</v>
      </c>
    </row>
    <row r="207" spans="1:23" ht="13.15" customHeight="1" x14ac:dyDescent="0.2">
      <c r="A207" s="2" t="s">
        <v>2154</v>
      </c>
      <c r="B207" s="2">
        <f t="shared" si="6"/>
        <v>2022</v>
      </c>
      <c r="C207" s="2" t="str">
        <f t="shared" si="7"/>
        <v>KZN226</v>
      </c>
      <c r="D207" s="591">
        <v>1100</v>
      </c>
      <c r="E207" s="5" t="s">
        <v>2130</v>
      </c>
      <c r="F207" s="602" t="s">
        <v>1342</v>
      </c>
      <c r="G207" s="605"/>
      <c r="H207" s="605"/>
      <c r="I207" s="605"/>
      <c r="J207" s="605"/>
      <c r="K207" s="605"/>
      <c r="L207" s="605"/>
      <c r="M207" s="605"/>
      <c r="N207" s="605"/>
      <c r="O207" s="605"/>
      <c r="P207" s="605"/>
      <c r="Q207" s="605"/>
      <c r="R207" s="605"/>
      <c r="S207" s="605"/>
      <c r="T207" s="605"/>
      <c r="U207" s="605"/>
      <c r="V207" s="605"/>
      <c r="W207" t="s">
        <v>2047</v>
      </c>
    </row>
    <row r="208" spans="1:23" ht="13.15" customHeight="1" x14ac:dyDescent="0.2">
      <c r="A208" s="2" t="s">
        <v>2154</v>
      </c>
      <c r="B208" s="2">
        <f t="shared" si="6"/>
        <v>2022</v>
      </c>
      <c r="C208" s="2" t="str">
        <f t="shared" si="7"/>
        <v>KZN226</v>
      </c>
      <c r="D208" s="591">
        <v>1101</v>
      </c>
      <c r="E208" s="5" t="s">
        <v>2131</v>
      </c>
      <c r="F208" s="603" t="s">
        <v>2134</v>
      </c>
      <c r="G208" s="589"/>
      <c r="H208" s="589"/>
      <c r="I208" s="589"/>
      <c r="J208" s="589"/>
      <c r="K208" s="589"/>
      <c r="L208" s="589"/>
      <c r="M208" s="589"/>
      <c r="N208" s="589"/>
      <c r="O208" s="589"/>
      <c r="P208" s="589"/>
      <c r="Q208" s="589"/>
      <c r="R208" s="589"/>
      <c r="S208" s="589"/>
      <c r="T208" s="589"/>
      <c r="U208" s="589"/>
      <c r="V208" s="589"/>
      <c r="W208" t="s">
        <v>2047</v>
      </c>
    </row>
    <row r="209" spans="1:23" ht="13.15" customHeight="1" x14ac:dyDescent="0.2">
      <c r="A209" s="2" t="s">
        <v>2154</v>
      </c>
      <c r="B209" s="2">
        <f t="shared" si="6"/>
        <v>2022</v>
      </c>
      <c r="C209" s="2" t="str">
        <f t="shared" si="7"/>
        <v>KZN226</v>
      </c>
      <c r="D209" s="591">
        <v>1102</v>
      </c>
      <c r="E209" s="5" t="s">
        <v>2131</v>
      </c>
      <c r="F209" s="603" t="s">
        <v>2135</v>
      </c>
      <c r="G209" s="589"/>
      <c r="H209" s="589"/>
      <c r="I209" s="589"/>
      <c r="J209" s="589"/>
      <c r="K209" s="589"/>
      <c r="L209" s="589"/>
      <c r="M209" s="589"/>
      <c r="N209" s="589"/>
      <c r="O209" s="589"/>
      <c r="P209" s="589"/>
      <c r="Q209" s="589"/>
      <c r="R209" s="589"/>
      <c r="S209" s="589"/>
      <c r="T209" s="589"/>
      <c r="U209" s="589"/>
      <c r="V209" s="589"/>
      <c r="W209" t="s">
        <v>2047</v>
      </c>
    </row>
    <row r="210" spans="1:23" ht="13.15" customHeight="1" x14ac:dyDescent="0.2">
      <c r="A210" s="2" t="s">
        <v>2154</v>
      </c>
      <c r="B210" s="2">
        <f t="shared" si="6"/>
        <v>2022</v>
      </c>
      <c r="C210" s="2" t="str">
        <f t="shared" si="7"/>
        <v>KZN226</v>
      </c>
      <c r="D210" s="591">
        <v>1103</v>
      </c>
      <c r="E210" s="5" t="s">
        <v>2131</v>
      </c>
      <c r="F210" s="603" t="s">
        <v>2136</v>
      </c>
      <c r="G210" s="589"/>
      <c r="H210" s="589"/>
      <c r="I210" s="589"/>
      <c r="J210" s="589"/>
      <c r="K210" s="589"/>
      <c r="L210" s="589"/>
      <c r="M210" s="589"/>
      <c r="N210" s="589"/>
      <c r="O210" s="589"/>
      <c r="P210" s="589"/>
      <c r="Q210" s="589"/>
      <c r="R210" s="589"/>
      <c r="S210" s="589"/>
      <c r="T210" s="589"/>
      <c r="U210" s="589"/>
      <c r="V210" s="589"/>
      <c r="W210" t="s">
        <v>2047</v>
      </c>
    </row>
    <row r="211" spans="1:23" ht="13.15" customHeight="1" x14ac:dyDescent="0.2">
      <c r="A211" s="2" t="s">
        <v>2154</v>
      </c>
      <c r="B211" s="2">
        <f t="shared" si="6"/>
        <v>2022</v>
      </c>
      <c r="C211" s="2" t="str">
        <f t="shared" si="7"/>
        <v>KZN226</v>
      </c>
      <c r="D211" s="591">
        <v>1104</v>
      </c>
      <c r="E211" s="5" t="s">
        <v>2131</v>
      </c>
      <c r="F211" s="603" t="s">
        <v>2160</v>
      </c>
      <c r="G211" s="589"/>
      <c r="H211" s="589"/>
      <c r="I211" s="589"/>
      <c r="J211" s="589"/>
      <c r="K211" s="589"/>
      <c r="L211" s="589"/>
      <c r="M211" s="589"/>
      <c r="N211" s="589"/>
      <c r="O211" s="589"/>
      <c r="P211" s="589"/>
      <c r="Q211" s="589"/>
      <c r="R211" s="589"/>
      <c r="S211" s="589"/>
      <c r="T211" s="589"/>
      <c r="U211" s="589"/>
      <c r="V211" s="589"/>
      <c r="W211" t="s">
        <v>2047</v>
      </c>
    </row>
    <row r="212" spans="1:23" ht="13.15" customHeight="1" x14ac:dyDescent="0.2">
      <c r="A212" s="2" t="s">
        <v>2154</v>
      </c>
      <c r="B212" s="2">
        <f t="shared" si="6"/>
        <v>2022</v>
      </c>
      <c r="C212" s="2" t="str">
        <f t="shared" si="7"/>
        <v>KZN226</v>
      </c>
      <c r="D212" s="591">
        <v>1105</v>
      </c>
      <c r="E212" s="5" t="s">
        <v>2131</v>
      </c>
      <c r="F212" s="603" t="s">
        <v>2161</v>
      </c>
      <c r="G212" s="589"/>
      <c r="H212" s="589"/>
      <c r="I212" s="589"/>
      <c r="J212" s="589"/>
      <c r="K212" s="589"/>
      <c r="L212" s="589"/>
      <c r="M212" s="589"/>
      <c r="N212" s="589"/>
      <c r="O212" s="589"/>
      <c r="P212" s="589"/>
      <c r="Q212" s="589"/>
      <c r="R212" s="589"/>
      <c r="S212" s="589"/>
      <c r="T212" s="589"/>
      <c r="U212" s="589"/>
      <c r="V212" s="589"/>
      <c r="W212" t="s">
        <v>2047</v>
      </c>
    </row>
    <row r="213" spans="1:23" ht="13.15" customHeight="1" x14ac:dyDescent="0.2">
      <c r="A213" s="2" t="s">
        <v>2154</v>
      </c>
      <c r="B213" s="2">
        <f t="shared" si="6"/>
        <v>2022</v>
      </c>
      <c r="C213" s="2" t="str">
        <f t="shared" si="7"/>
        <v>KZN226</v>
      </c>
      <c r="D213" s="591">
        <v>1106</v>
      </c>
      <c r="E213" s="5" t="s">
        <v>2131</v>
      </c>
      <c r="F213" s="603" t="s">
        <v>2139</v>
      </c>
      <c r="G213" s="589"/>
      <c r="H213" s="589"/>
      <c r="I213" s="589"/>
      <c r="J213" s="589"/>
      <c r="K213" s="589"/>
      <c r="L213" s="589"/>
      <c r="M213" s="589"/>
      <c r="N213" s="589"/>
      <c r="O213" s="589"/>
      <c r="P213" s="589"/>
      <c r="Q213" s="589"/>
      <c r="R213" s="589"/>
      <c r="S213" s="589"/>
      <c r="T213" s="589"/>
      <c r="U213" s="589"/>
      <c r="V213" s="589"/>
      <c r="W213" t="s">
        <v>2047</v>
      </c>
    </row>
    <row r="214" spans="1:23" ht="13.15" customHeight="1" x14ac:dyDescent="0.2">
      <c r="A214" s="2" t="s">
        <v>2154</v>
      </c>
      <c r="B214" s="2">
        <f t="shared" si="6"/>
        <v>2022</v>
      </c>
      <c r="C214" s="2" t="str">
        <f t="shared" si="7"/>
        <v>KZN226</v>
      </c>
      <c r="D214" s="591">
        <v>1107</v>
      </c>
      <c r="E214" s="5" t="s">
        <v>2131</v>
      </c>
      <c r="F214" s="606" t="s">
        <v>1343</v>
      </c>
      <c r="G214" s="589"/>
      <c r="H214" s="589"/>
      <c r="I214" s="589"/>
      <c r="J214" s="589"/>
      <c r="K214" s="589"/>
      <c r="L214" s="589"/>
      <c r="M214" s="589"/>
      <c r="N214" s="589"/>
      <c r="O214" s="589"/>
      <c r="P214" s="589"/>
      <c r="Q214" s="589"/>
      <c r="R214" s="589"/>
      <c r="S214" s="589"/>
      <c r="T214" s="589"/>
      <c r="U214" s="589"/>
      <c r="V214" s="589"/>
      <c r="W214" t="s">
        <v>2047</v>
      </c>
    </row>
    <row r="215" spans="1:23" ht="13.15" customHeight="1" x14ac:dyDescent="0.2">
      <c r="A215" s="2" t="s">
        <v>2154</v>
      </c>
      <c r="B215" s="2">
        <f t="shared" si="6"/>
        <v>2022</v>
      </c>
      <c r="C215" s="2" t="str">
        <f t="shared" si="7"/>
        <v>KZN226</v>
      </c>
      <c r="D215" s="591">
        <v>1108</v>
      </c>
      <c r="E215" s="5" t="s">
        <v>2131</v>
      </c>
      <c r="F215" s="603" t="s">
        <v>2140</v>
      </c>
      <c r="G215" s="589"/>
      <c r="H215" s="589"/>
      <c r="I215" s="589"/>
      <c r="J215" s="589"/>
      <c r="K215" s="589"/>
      <c r="L215" s="589"/>
      <c r="M215" s="589"/>
      <c r="N215" s="589"/>
      <c r="O215" s="589"/>
      <c r="P215" s="589"/>
      <c r="Q215" s="589"/>
      <c r="R215" s="589"/>
      <c r="S215" s="589"/>
      <c r="T215" s="589"/>
      <c r="U215" s="589"/>
      <c r="V215" s="589"/>
      <c r="W215" t="s">
        <v>2047</v>
      </c>
    </row>
    <row r="216" spans="1:23" ht="13.15" customHeight="1" x14ac:dyDescent="0.2">
      <c r="A216" s="2" t="s">
        <v>2154</v>
      </c>
      <c r="B216" s="2">
        <f t="shared" si="6"/>
        <v>2022</v>
      </c>
      <c r="C216" s="2" t="str">
        <f t="shared" si="7"/>
        <v>KZN226</v>
      </c>
      <c r="D216" s="591">
        <v>1109</v>
      </c>
      <c r="E216" s="5" t="s">
        <v>2131</v>
      </c>
      <c r="F216" s="603" t="s">
        <v>2141</v>
      </c>
      <c r="G216" s="589"/>
      <c r="H216" s="589"/>
      <c r="I216" s="589"/>
      <c r="J216" s="589"/>
      <c r="K216" s="589"/>
      <c r="L216" s="589"/>
      <c r="M216" s="589"/>
      <c r="N216" s="589"/>
      <c r="O216" s="589"/>
      <c r="P216" s="589"/>
      <c r="Q216" s="589"/>
      <c r="R216" s="589"/>
      <c r="S216" s="589"/>
      <c r="T216" s="589"/>
      <c r="U216" s="589"/>
      <c r="V216" s="589"/>
      <c r="W216" t="s">
        <v>2047</v>
      </c>
    </row>
    <row r="217" spans="1:23" ht="13.15" customHeight="1" x14ac:dyDescent="0.2">
      <c r="A217" s="2" t="s">
        <v>2154</v>
      </c>
      <c r="B217" s="2">
        <f t="shared" si="6"/>
        <v>2022</v>
      </c>
      <c r="C217" s="2" t="str">
        <f t="shared" si="7"/>
        <v>KZN226</v>
      </c>
      <c r="D217" s="591">
        <v>1110</v>
      </c>
      <c r="E217" s="5" t="s">
        <v>2131</v>
      </c>
      <c r="F217" s="603" t="s">
        <v>2142</v>
      </c>
      <c r="G217" s="589"/>
      <c r="H217" s="589"/>
      <c r="I217" s="589"/>
      <c r="J217" s="589"/>
      <c r="K217" s="589"/>
      <c r="L217" s="589"/>
      <c r="M217" s="589"/>
      <c r="N217" s="589"/>
      <c r="O217" s="589"/>
      <c r="P217" s="589"/>
      <c r="Q217" s="589"/>
      <c r="R217" s="589"/>
      <c r="S217" s="589"/>
      <c r="T217" s="589"/>
      <c r="U217" s="589"/>
      <c r="V217" s="589"/>
      <c r="W217" t="s">
        <v>2047</v>
      </c>
    </row>
    <row r="218" spans="1:23" ht="13.15" customHeight="1" x14ac:dyDescent="0.2">
      <c r="A218" s="2" t="s">
        <v>2154</v>
      </c>
      <c r="B218" s="2">
        <f t="shared" si="6"/>
        <v>2022</v>
      </c>
      <c r="C218" s="2" t="str">
        <f t="shared" si="7"/>
        <v>KZN226</v>
      </c>
      <c r="D218" s="591">
        <v>1111</v>
      </c>
      <c r="E218" s="5" t="s">
        <v>2131</v>
      </c>
      <c r="F218" s="603" t="s">
        <v>2162</v>
      </c>
      <c r="G218" s="589"/>
      <c r="H218" s="589"/>
      <c r="I218" s="589"/>
      <c r="J218" s="589"/>
      <c r="K218" s="589"/>
      <c r="L218" s="589"/>
      <c r="M218" s="589"/>
      <c r="N218" s="589"/>
      <c r="O218" s="589"/>
      <c r="P218" s="589"/>
      <c r="Q218" s="589"/>
      <c r="R218" s="589"/>
      <c r="S218" s="589"/>
      <c r="T218" s="589"/>
      <c r="U218" s="589"/>
      <c r="V218" s="589"/>
      <c r="W218" t="s">
        <v>2047</v>
      </c>
    </row>
    <row r="219" spans="1:23" ht="13.15" customHeight="1" x14ac:dyDescent="0.2">
      <c r="A219" s="2" t="s">
        <v>2154</v>
      </c>
      <c r="B219" s="2">
        <f t="shared" si="6"/>
        <v>2022</v>
      </c>
      <c r="C219" s="2" t="str">
        <f t="shared" si="7"/>
        <v>KZN226</v>
      </c>
      <c r="D219" s="591">
        <v>1200</v>
      </c>
      <c r="E219" s="5" t="s">
        <v>2130</v>
      </c>
      <c r="F219" s="602" t="s">
        <v>1344</v>
      </c>
      <c r="G219" s="589"/>
      <c r="H219" s="589"/>
      <c r="I219" s="589"/>
      <c r="J219" s="589"/>
      <c r="K219" s="589"/>
      <c r="L219" s="589"/>
      <c r="M219" s="589"/>
      <c r="N219" s="589"/>
      <c r="O219" s="589"/>
      <c r="P219" s="589"/>
      <c r="Q219" s="589"/>
      <c r="R219" s="589"/>
      <c r="S219" s="589"/>
      <c r="T219" s="589"/>
      <c r="U219" s="589"/>
      <c r="V219" s="589"/>
      <c r="W219" t="s">
        <v>2047</v>
      </c>
    </row>
    <row r="220" spans="1:23" ht="13.15" customHeight="1" x14ac:dyDescent="0.2">
      <c r="A220" s="2" t="s">
        <v>2154</v>
      </c>
      <c r="B220" s="2">
        <f t="shared" si="6"/>
        <v>2022</v>
      </c>
      <c r="C220" s="2" t="str">
        <f t="shared" si="7"/>
        <v>KZN226</v>
      </c>
      <c r="D220" s="591">
        <v>1201</v>
      </c>
      <c r="E220" s="5" t="s">
        <v>2131</v>
      </c>
      <c r="F220" s="604" t="s">
        <v>263</v>
      </c>
      <c r="G220" s="607"/>
      <c r="H220" s="607"/>
      <c r="I220" s="607"/>
      <c r="J220" s="607"/>
      <c r="K220" s="607"/>
      <c r="L220" s="607"/>
      <c r="M220" s="607"/>
      <c r="N220" s="607"/>
      <c r="O220" s="607"/>
      <c r="P220" s="607"/>
      <c r="Q220" s="607"/>
      <c r="R220" s="607"/>
      <c r="S220" s="607"/>
      <c r="T220" s="607"/>
      <c r="U220" s="607"/>
      <c r="V220" s="607"/>
      <c r="W220" t="s">
        <v>2047</v>
      </c>
    </row>
    <row r="221" spans="1:23" ht="13.15" customHeight="1" x14ac:dyDescent="0.2">
      <c r="A221" s="2" t="s">
        <v>2154</v>
      </c>
      <c r="B221" s="2">
        <f t="shared" si="6"/>
        <v>2022</v>
      </c>
      <c r="C221" s="2" t="str">
        <f t="shared" si="7"/>
        <v>KZN226</v>
      </c>
      <c r="D221" s="591">
        <v>1301</v>
      </c>
      <c r="E221" s="5" t="s">
        <v>2131</v>
      </c>
      <c r="F221" s="604" t="s">
        <v>2145</v>
      </c>
      <c r="G221" s="589"/>
      <c r="H221" s="589"/>
      <c r="I221" s="589"/>
      <c r="J221" s="589"/>
      <c r="K221" s="589"/>
      <c r="L221" s="589"/>
      <c r="M221" s="589"/>
      <c r="N221" s="589"/>
      <c r="O221" s="589"/>
      <c r="P221" s="589"/>
      <c r="Q221" s="589"/>
      <c r="R221" s="589"/>
      <c r="S221" s="589"/>
      <c r="T221" s="589"/>
      <c r="U221" s="589"/>
      <c r="V221" s="589"/>
      <c r="W221" t="s">
        <v>2047</v>
      </c>
    </row>
    <row r="222" spans="1:23" ht="13.15" customHeight="1" x14ac:dyDescent="0.2">
      <c r="A222" s="2" t="s">
        <v>2154</v>
      </c>
      <c r="B222" s="2">
        <f t="shared" si="6"/>
        <v>2022</v>
      </c>
      <c r="C222" s="2" t="str">
        <f t="shared" si="7"/>
        <v>KZN226</v>
      </c>
      <c r="D222" s="591">
        <v>1302</v>
      </c>
      <c r="E222" s="5" t="s">
        <v>2131</v>
      </c>
      <c r="F222" s="604" t="s">
        <v>2146</v>
      </c>
      <c r="G222" s="589"/>
      <c r="H222" s="589"/>
      <c r="I222" s="589"/>
      <c r="J222" s="589"/>
      <c r="K222" s="589"/>
      <c r="L222" s="589"/>
      <c r="M222" s="589"/>
      <c r="N222" s="589"/>
      <c r="O222" s="589"/>
      <c r="P222" s="589"/>
      <c r="Q222" s="589"/>
      <c r="R222" s="589"/>
      <c r="S222" s="589"/>
      <c r="T222" s="589"/>
      <c r="U222" s="589"/>
      <c r="V222" s="589"/>
      <c r="W222" t="s">
        <v>2047</v>
      </c>
    </row>
    <row r="223" spans="1:23" ht="13.15" customHeight="1" x14ac:dyDescent="0.2">
      <c r="A223" s="2" t="s">
        <v>2154</v>
      </c>
      <c r="B223" s="2">
        <f t="shared" si="6"/>
        <v>2022</v>
      </c>
      <c r="C223" s="2" t="str">
        <f t="shared" si="7"/>
        <v>KZN226</v>
      </c>
      <c r="D223" s="591">
        <v>1303</v>
      </c>
      <c r="E223" s="5" t="s">
        <v>811</v>
      </c>
      <c r="F223" s="604" t="s">
        <v>1380</v>
      </c>
      <c r="G223" s="601"/>
      <c r="H223" s="601"/>
      <c r="I223" s="601"/>
      <c r="J223" s="601"/>
      <c r="K223" s="601"/>
      <c r="L223" s="601"/>
      <c r="M223" s="601"/>
      <c r="N223" s="601"/>
      <c r="O223" s="601"/>
      <c r="P223" s="601"/>
      <c r="Q223" s="601"/>
      <c r="R223" s="601"/>
      <c r="S223" s="601"/>
      <c r="T223" s="601"/>
      <c r="U223" s="601"/>
      <c r="V223" s="601"/>
      <c r="W223" t="s">
        <v>2047</v>
      </c>
    </row>
    <row r="224" spans="1:23" ht="13.15" customHeight="1" x14ac:dyDescent="0.2">
      <c r="A224" s="2" t="s">
        <v>2154</v>
      </c>
      <c r="B224" s="2">
        <f t="shared" si="6"/>
        <v>2022</v>
      </c>
      <c r="C224" s="2" t="str">
        <f t="shared" si="7"/>
        <v>KZN226</v>
      </c>
      <c r="D224" s="591">
        <v>1304</v>
      </c>
      <c r="E224" s="5" t="s">
        <v>2131</v>
      </c>
      <c r="F224" s="604" t="s">
        <v>2147</v>
      </c>
      <c r="G224" s="589"/>
      <c r="H224" s="589"/>
      <c r="I224" s="589"/>
      <c r="J224" s="589"/>
      <c r="K224" s="589"/>
      <c r="L224" s="589"/>
      <c r="M224" s="589"/>
      <c r="N224" s="589"/>
      <c r="O224" s="589"/>
      <c r="P224" s="589"/>
      <c r="Q224" s="589"/>
      <c r="R224" s="589"/>
      <c r="S224" s="589"/>
      <c r="T224" s="589"/>
      <c r="U224" s="589"/>
      <c r="V224" s="589"/>
      <c r="W224" t="s">
        <v>2047</v>
      </c>
    </row>
    <row r="225" spans="1:23" ht="13.15" customHeight="1" x14ac:dyDescent="0.2">
      <c r="A225" s="2" t="s">
        <v>2154</v>
      </c>
      <c r="B225" s="2">
        <f t="shared" si="6"/>
        <v>2022</v>
      </c>
      <c r="C225" s="2" t="str">
        <f t="shared" si="7"/>
        <v>KZN226</v>
      </c>
      <c r="D225" s="591">
        <v>1305</v>
      </c>
      <c r="E225" s="5" t="s">
        <v>2131</v>
      </c>
      <c r="F225" s="604" t="s">
        <v>2148</v>
      </c>
      <c r="G225" s="589"/>
      <c r="H225" s="589"/>
      <c r="I225" s="589"/>
      <c r="J225" s="589"/>
      <c r="K225" s="589"/>
      <c r="L225" s="589"/>
      <c r="M225" s="589"/>
      <c r="N225" s="589"/>
      <c r="O225" s="589"/>
      <c r="P225" s="589"/>
      <c r="Q225" s="589"/>
      <c r="R225" s="589"/>
      <c r="S225" s="589"/>
      <c r="T225" s="589"/>
      <c r="U225" s="589"/>
      <c r="V225" s="589"/>
      <c r="W225" t="s">
        <v>2047</v>
      </c>
    </row>
    <row r="226" spans="1:23" ht="13.15" customHeight="1" x14ac:dyDescent="0.2">
      <c r="A226" s="2" t="s">
        <v>2154</v>
      </c>
      <c r="B226" s="2">
        <f t="shared" si="6"/>
        <v>2022</v>
      </c>
      <c r="C226" s="2" t="str">
        <f t="shared" si="7"/>
        <v>KZN226</v>
      </c>
      <c r="D226" s="591">
        <v>1306</v>
      </c>
      <c r="E226" s="5" t="s">
        <v>2131</v>
      </c>
      <c r="F226" s="604" t="s">
        <v>2149</v>
      </c>
      <c r="G226" s="589"/>
      <c r="H226" s="589"/>
      <c r="I226" s="589"/>
      <c r="J226" s="589"/>
      <c r="K226" s="589"/>
      <c r="L226" s="589"/>
      <c r="M226" s="589"/>
      <c r="N226" s="589"/>
      <c r="O226" s="589"/>
      <c r="P226" s="589"/>
      <c r="Q226" s="589"/>
      <c r="R226" s="589"/>
      <c r="S226" s="589"/>
      <c r="T226" s="589"/>
      <c r="U226" s="589"/>
      <c r="V226" s="589"/>
      <c r="W226" t="s">
        <v>2047</v>
      </c>
    </row>
    <row r="227" spans="1:23" ht="13.15" customHeight="1" x14ac:dyDescent="0.2">
      <c r="A227" s="2" t="s">
        <v>2154</v>
      </c>
      <c r="B227" s="2">
        <f t="shared" si="6"/>
        <v>2022</v>
      </c>
      <c r="C227" s="2" t="str">
        <f t="shared" si="7"/>
        <v>KZN226</v>
      </c>
      <c r="D227" s="591">
        <v>1307</v>
      </c>
      <c r="E227" s="5" t="s">
        <v>2131</v>
      </c>
      <c r="F227" s="604" t="s">
        <v>2163</v>
      </c>
      <c r="G227" s="589"/>
      <c r="H227" s="589"/>
      <c r="I227" s="589"/>
      <c r="J227" s="589"/>
      <c r="K227" s="589"/>
      <c r="L227" s="589"/>
      <c r="M227" s="589"/>
      <c r="N227" s="589"/>
      <c r="O227" s="589"/>
      <c r="P227" s="589"/>
      <c r="Q227" s="589"/>
      <c r="R227" s="589"/>
      <c r="S227" s="589"/>
      <c r="T227" s="589"/>
      <c r="U227" s="589"/>
      <c r="V227" s="589"/>
      <c r="W227" t="s">
        <v>2047</v>
      </c>
    </row>
    <row r="228" spans="1:23" ht="13.15" customHeight="1" x14ac:dyDescent="0.2">
      <c r="A228" s="2" t="s">
        <v>2154</v>
      </c>
      <c r="B228" s="2">
        <f t="shared" si="6"/>
        <v>2022</v>
      </c>
      <c r="C228" s="2" t="str">
        <f t="shared" si="7"/>
        <v>KZN226</v>
      </c>
      <c r="D228" s="591">
        <v>1308</v>
      </c>
      <c r="E228" s="5" t="s">
        <v>2131</v>
      </c>
      <c r="F228" s="604" t="s">
        <v>2164</v>
      </c>
      <c r="G228" s="589"/>
      <c r="H228" s="589"/>
      <c r="I228" s="589"/>
      <c r="J228" s="589"/>
      <c r="K228" s="589"/>
      <c r="L228" s="589"/>
      <c r="M228" s="589"/>
      <c r="N228" s="589"/>
      <c r="O228" s="589"/>
      <c r="P228" s="589"/>
      <c r="Q228" s="589"/>
      <c r="R228" s="589"/>
      <c r="S228" s="589"/>
      <c r="T228" s="589"/>
      <c r="U228" s="589"/>
      <c r="V228" s="589"/>
      <c r="W228" t="s">
        <v>2047</v>
      </c>
    </row>
    <row r="229" spans="1:23" ht="13.15" customHeight="1" x14ac:dyDescent="0.2">
      <c r="A229" s="2" t="s">
        <v>2154</v>
      </c>
      <c r="B229" s="2">
        <f t="shared" si="6"/>
        <v>2022</v>
      </c>
      <c r="C229" s="2" t="str">
        <f t="shared" si="7"/>
        <v>KZN226</v>
      </c>
      <c r="D229" s="591">
        <v>1309</v>
      </c>
      <c r="E229" s="5" t="s">
        <v>2131</v>
      </c>
      <c r="F229" s="604" t="s">
        <v>2165</v>
      </c>
      <c r="G229" s="589"/>
      <c r="H229" s="589"/>
      <c r="I229" s="589"/>
      <c r="J229" s="589"/>
      <c r="K229" s="589"/>
      <c r="L229" s="589"/>
      <c r="M229" s="589"/>
      <c r="N229" s="589"/>
      <c r="O229" s="589"/>
      <c r="P229" s="589"/>
      <c r="Q229" s="589"/>
      <c r="R229" s="589"/>
      <c r="S229" s="589"/>
      <c r="T229" s="589"/>
      <c r="U229" s="589"/>
      <c r="V229" s="589"/>
      <c r="W229" t="s">
        <v>2047</v>
      </c>
    </row>
    <row r="230" spans="1:23" ht="13.15" customHeight="1" x14ac:dyDescent="0.2">
      <c r="A230" s="2" t="s">
        <v>2154</v>
      </c>
      <c r="B230" s="2">
        <f t="shared" si="6"/>
        <v>2022</v>
      </c>
      <c r="C230" s="2" t="str">
        <f t="shared" si="7"/>
        <v>KZN226</v>
      </c>
      <c r="D230" s="591">
        <v>1310</v>
      </c>
      <c r="E230" s="5" t="s">
        <v>2131</v>
      </c>
      <c r="F230" s="608" t="s">
        <v>2153</v>
      </c>
      <c r="G230" s="589"/>
      <c r="H230" s="589"/>
      <c r="I230" s="589"/>
      <c r="J230" s="589"/>
      <c r="K230" s="589"/>
      <c r="L230" s="589"/>
      <c r="M230" s="589"/>
      <c r="N230" s="589"/>
      <c r="O230" s="589"/>
      <c r="P230" s="589"/>
      <c r="Q230" s="589"/>
      <c r="R230" s="589"/>
      <c r="S230" s="589"/>
      <c r="T230" s="589"/>
      <c r="U230" s="589"/>
      <c r="V230" s="589"/>
      <c r="W230" t="s">
        <v>2047</v>
      </c>
    </row>
    <row r="231" spans="1:23" ht="13.15" customHeight="1" x14ac:dyDescent="0.2">
      <c r="A231" s="2" t="s">
        <v>2166</v>
      </c>
      <c r="B231" s="2">
        <f t="shared" si="6"/>
        <v>2022</v>
      </c>
      <c r="C231" s="2" t="str">
        <f t="shared" si="7"/>
        <v>KZN226</v>
      </c>
      <c r="D231" s="588">
        <v>1000</v>
      </c>
      <c r="E231" s="2">
        <v>1</v>
      </c>
      <c r="F231" s="609" t="s">
        <v>2167</v>
      </c>
      <c r="G231" s="607"/>
      <c r="H231" s="607"/>
      <c r="I231" s="607"/>
      <c r="J231" s="607"/>
      <c r="K231" s="607"/>
      <c r="L231" s="607"/>
      <c r="M231" s="607"/>
      <c r="N231" s="2"/>
      <c r="W231" t="s">
        <v>2047</v>
      </c>
    </row>
    <row r="232" spans="1:23" ht="13.15" customHeight="1" x14ac:dyDescent="0.2">
      <c r="A232" s="2" t="s">
        <v>2166</v>
      </c>
      <c r="B232" s="2">
        <f t="shared" si="6"/>
        <v>2022</v>
      </c>
      <c r="C232" s="2" t="str">
        <f t="shared" si="7"/>
        <v>KZN226</v>
      </c>
      <c r="D232" s="591">
        <v>1001</v>
      </c>
      <c r="E232" s="2">
        <v>2</v>
      </c>
      <c r="F232" s="610" t="s">
        <v>1830</v>
      </c>
      <c r="G232" s="607"/>
      <c r="H232" s="607"/>
      <c r="I232" s="607"/>
      <c r="J232" s="607"/>
      <c r="K232" s="607"/>
      <c r="L232" s="607"/>
      <c r="M232" s="607"/>
      <c r="N232" s="2"/>
      <c r="W232" t="s">
        <v>2047</v>
      </c>
    </row>
    <row r="233" spans="1:23" ht="13.15" customHeight="1" x14ac:dyDescent="0.2">
      <c r="A233" s="2" t="s">
        <v>2166</v>
      </c>
      <c r="B233" s="2">
        <f t="shared" si="6"/>
        <v>2022</v>
      </c>
      <c r="C233" s="2" t="str">
        <f t="shared" si="7"/>
        <v>KZN226</v>
      </c>
      <c r="D233" s="591">
        <v>1002</v>
      </c>
      <c r="E233" s="2">
        <v>3</v>
      </c>
      <c r="F233" s="610" t="s">
        <v>1831</v>
      </c>
      <c r="G233" s="607"/>
      <c r="H233" s="607"/>
      <c r="I233" s="607"/>
      <c r="J233" s="607"/>
      <c r="K233" s="607"/>
      <c r="L233" s="607"/>
      <c r="M233" s="607"/>
      <c r="N233" s="2"/>
      <c r="W233" t="s">
        <v>2047</v>
      </c>
    </row>
    <row r="234" spans="1:23" ht="13.15" customHeight="1" x14ac:dyDescent="0.2">
      <c r="A234" s="2" t="s">
        <v>2166</v>
      </c>
      <c r="B234" s="2">
        <f t="shared" si="6"/>
        <v>2022</v>
      </c>
      <c r="C234" s="2" t="str">
        <f t="shared" si="7"/>
        <v>KZN226</v>
      </c>
      <c r="D234" s="591">
        <v>1003</v>
      </c>
      <c r="E234" s="2">
        <v>4</v>
      </c>
      <c r="F234" s="610" t="s">
        <v>1832</v>
      </c>
      <c r="G234" s="607"/>
      <c r="H234" s="607"/>
      <c r="I234" s="607"/>
      <c r="J234" s="607"/>
      <c r="K234" s="607"/>
      <c r="L234" s="607"/>
      <c r="M234" s="607"/>
      <c r="N234" s="2"/>
      <c r="W234" t="s">
        <v>2047</v>
      </c>
    </row>
    <row r="235" spans="1:23" ht="13.15" customHeight="1" x14ac:dyDescent="0.2">
      <c r="A235" s="2" t="s">
        <v>2166</v>
      </c>
      <c r="B235" s="2">
        <f t="shared" si="6"/>
        <v>2022</v>
      </c>
      <c r="C235" s="2" t="str">
        <f t="shared" si="7"/>
        <v>KZN226</v>
      </c>
      <c r="D235" s="591">
        <v>1004</v>
      </c>
      <c r="E235" s="2">
        <v>5</v>
      </c>
      <c r="F235" s="610" t="s">
        <v>1833</v>
      </c>
      <c r="G235" s="607"/>
      <c r="H235" s="607"/>
      <c r="I235" s="607"/>
      <c r="J235" s="607"/>
      <c r="K235" s="607"/>
      <c r="L235" s="607"/>
      <c r="M235" s="607"/>
      <c r="N235" s="2"/>
      <c r="W235" t="s">
        <v>2047</v>
      </c>
    </row>
    <row r="236" spans="1:23" ht="13.15" customHeight="1" x14ac:dyDescent="0.2">
      <c r="A236" s="2" t="s">
        <v>2166</v>
      </c>
      <c r="B236" s="2">
        <f t="shared" si="6"/>
        <v>2022</v>
      </c>
      <c r="C236" s="2" t="str">
        <f t="shared" si="7"/>
        <v>KZN226</v>
      </c>
      <c r="D236" s="591">
        <v>1005</v>
      </c>
      <c r="E236" s="2">
        <v>6</v>
      </c>
      <c r="F236" s="610" t="s">
        <v>1834</v>
      </c>
      <c r="G236" s="607"/>
      <c r="H236" s="607"/>
      <c r="I236" s="607"/>
      <c r="J236" s="607"/>
      <c r="K236" s="607"/>
      <c r="L236" s="607"/>
      <c r="M236" s="607"/>
      <c r="N236" s="2"/>
      <c r="W236" t="s">
        <v>2047</v>
      </c>
    </row>
    <row r="237" spans="1:23" ht="13.15" customHeight="1" x14ac:dyDescent="0.2">
      <c r="A237" s="2" t="s">
        <v>2166</v>
      </c>
      <c r="B237" s="2">
        <f t="shared" si="6"/>
        <v>2022</v>
      </c>
      <c r="C237" s="2" t="str">
        <f t="shared" si="7"/>
        <v>KZN226</v>
      </c>
      <c r="D237" s="591">
        <v>1006</v>
      </c>
      <c r="E237" s="2">
        <v>7</v>
      </c>
      <c r="F237" s="610" t="s">
        <v>1835</v>
      </c>
      <c r="G237" s="607"/>
      <c r="H237" s="607"/>
      <c r="I237" s="607"/>
      <c r="J237" s="607"/>
      <c r="K237" s="607"/>
      <c r="L237" s="607"/>
      <c r="M237" s="607"/>
      <c r="N237" s="2"/>
      <c r="W237" t="s">
        <v>2047</v>
      </c>
    </row>
    <row r="238" spans="1:23" ht="13.15" customHeight="1" x14ac:dyDescent="0.2">
      <c r="A238" s="2" t="s">
        <v>2166</v>
      </c>
      <c r="B238" s="2">
        <f t="shared" si="6"/>
        <v>2022</v>
      </c>
      <c r="C238" s="2" t="str">
        <f t="shared" si="7"/>
        <v>KZN226</v>
      </c>
      <c r="D238" s="591">
        <v>1007</v>
      </c>
      <c r="E238" s="2">
        <v>8</v>
      </c>
      <c r="F238" s="610" t="s">
        <v>1836</v>
      </c>
      <c r="G238" s="607"/>
      <c r="H238" s="607"/>
      <c r="I238" s="607"/>
      <c r="J238" s="607"/>
      <c r="K238" s="607"/>
      <c r="L238" s="607"/>
      <c r="M238" s="607"/>
      <c r="N238" s="2"/>
      <c r="W238" t="s">
        <v>2047</v>
      </c>
    </row>
    <row r="239" spans="1:23" ht="13.15" customHeight="1" x14ac:dyDescent="0.2">
      <c r="A239" s="2" t="s">
        <v>2166</v>
      </c>
      <c r="B239" s="2">
        <f t="shared" si="6"/>
        <v>2022</v>
      </c>
      <c r="C239" s="2" t="str">
        <f t="shared" si="7"/>
        <v>KZN226</v>
      </c>
      <c r="D239" s="591">
        <v>1008</v>
      </c>
      <c r="E239" s="2">
        <v>9</v>
      </c>
      <c r="F239" s="610" t="s">
        <v>1837</v>
      </c>
      <c r="G239" s="607"/>
      <c r="H239" s="607"/>
      <c r="I239" s="607"/>
      <c r="J239" s="607"/>
      <c r="K239" s="607"/>
      <c r="L239" s="607"/>
      <c r="M239" s="607"/>
      <c r="N239" s="2"/>
      <c r="W239" t="s">
        <v>2047</v>
      </c>
    </row>
    <row r="240" spans="1:23" ht="13.15" customHeight="1" x14ac:dyDescent="0.2">
      <c r="A240" s="2" t="s">
        <v>2166</v>
      </c>
      <c r="B240" s="2">
        <f t="shared" si="6"/>
        <v>2022</v>
      </c>
      <c r="C240" s="2" t="str">
        <f t="shared" si="7"/>
        <v>KZN226</v>
      </c>
      <c r="D240" s="591">
        <v>1009</v>
      </c>
      <c r="E240" s="2">
        <v>10</v>
      </c>
      <c r="F240" s="610" t="s">
        <v>1838</v>
      </c>
      <c r="G240" s="607"/>
      <c r="H240" s="607"/>
      <c r="I240" s="607"/>
      <c r="J240" s="607"/>
      <c r="K240" s="607"/>
      <c r="L240" s="607"/>
      <c r="M240" s="607"/>
      <c r="N240" s="2"/>
      <c r="W240" t="s">
        <v>2047</v>
      </c>
    </row>
    <row r="241" spans="1:23" ht="13.15" customHeight="1" x14ac:dyDescent="0.2">
      <c r="A241" s="2" t="s">
        <v>2166</v>
      </c>
      <c r="B241" s="2">
        <f t="shared" si="6"/>
        <v>2022</v>
      </c>
      <c r="C241" s="2" t="str">
        <f t="shared" si="7"/>
        <v>KZN226</v>
      </c>
      <c r="D241" s="591">
        <v>1010</v>
      </c>
      <c r="E241" s="2">
        <v>11</v>
      </c>
      <c r="F241" s="610" t="s">
        <v>1839</v>
      </c>
      <c r="G241" s="607"/>
      <c r="H241" s="607"/>
      <c r="I241" s="607"/>
      <c r="J241" s="607"/>
      <c r="K241" s="607"/>
      <c r="L241" s="607"/>
      <c r="M241" s="607"/>
      <c r="N241" s="2"/>
      <c r="W241" t="s">
        <v>2047</v>
      </c>
    </row>
    <row r="242" spans="1:23" ht="13.15" customHeight="1" x14ac:dyDescent="0.2">
      <c r="A242" s="2" t="s">
        <v>2166</v>
      </c>
      <c r="B242" s="2">
        <f t="shared" si="6"/>
        <v>2022</v>
      </c>
      <c r="C242" s="2" t="str">
        <f t="shared" si="7"/>
        <v>KZN226</v>
      </c>
      <c r="D242" s="591">
        <v>1011</v>
      </c>
      <c r="E242" s="2">
        <v>12</v>
      </c>
      <c r="F242" s="610" t="s">
        <v>1840</v>
      </c>
      <c r="G242" s="607"/>
      <c r="H242" s="607"/>
      <c r="I242" s="607"/>
      <c r="J242" s="607"/>
      <c r="K242" s="607"/>
      <c r="L242" s="607"/>
      <c r="M242" s="607"/>
      <c r="N242" s="2"/>
      <c r="W242" t="s">
        <v>2047</v>
      </c>
    </row>
    <row r="243" spans="1:23" ht="13.15" customHeight="1" x14ac:dyDescent="0.2">
      <c r="A243" s="2" t="s">
        <v>2166</v>
      </c>
      <c r="B243" s="2">
        <f t="shared" si="6"/>
        <v>2022</v>
      </c>
      <c r="C243" s="2" t="str">
        <f t="shared" si="7"/>
        <v>KZN226</v>
      </c>
      <c r="D243" s="591">
        <v>1012</v>
      </c>
      <c r="E243" s="599">
        <v>13</v>
      </c>
      <c r="F243" s="610" t="s">
        <v>1841</v>
      </c>
      <c r="G243" s="607"/>
      <c r="H243" s="607"/>
      <c r="I243" s="607"/>
      <c r="J243" s="607"/>
      <c r="K243" s="607"/>
      <c r="L243" s="607"/>
      <c r="M243" s="607"/>
      <c r="N243" s="2"/>
      <c r="W243" t="s">
        <v>2047</v>
      </c>
    </row>
    <row r="244" spans="1:23" ht="13.15" customHeight="1" x14ac:dyDescent="0.2">
      <c r="A244" s="2" t="s">
        <v>2166</v>
      </c>
      <c r="B244" s="2">
        <f t="shared" si="6"/>
        <v>2022</v>
      </c>
      <c r="C244" s="2" t="str">
        <f t="shared" si="7"/>
        <v>KZN226</v>
      </c>
      <c r="D244" s="591">
        <v>1013</v>
      </c>
      <c r="E244" s="599">
        <v>14</v>
      </c>
      <c r="F244" s="610" t="s">
        <v>1842</v>
      </c>
      <c r="G244" s="607"/>
      <c r="H244" s="607"/>
      <c r="I244" s="607"/>
      <c r="J244" s="607"/>
      <c r="K244" s="607"/>
      <c r="L244" s="607"/>
      <c r="M244" s="607"/>
      <c r="N244" s="2"/>
      <c r="W244" t="s">
        <v>2047</v>
      </c>
    </row>
    <row r="245" spans="1:23" ht="13.15" customHeight="1" x14ac:dyDescent="0.2">
      <c r="A245" s="2" t="s">
        <v>2166</v>
      </c>
      <c r="B245" s="2">
        <f t="shared" si="6"/>
        <v>2022</v>
      </c>
      <c r="C245" s="2" t="str">
        <f t="shared" si="7"/>
        <v>KZN226</v>
      </c>
      <c r="D245" s="591">
        <v>1014</v>
      </c>
      <c r="E245" s="5">
        <v>15</v>
      </c>
      <c r="F245" s="610" t="s">
        <v>1843</v>
      </c>
      <c r="G245" s="607"/>
      <c r="H245" s="607"/>
      <c r="I245" s="607"/>
      <c r="J245" s="607"/>
      <c r="K245" s="607"/>
      <c r="L245" s="607"/>
      <c r="M245" s="607"/>
      <c r="N245" s="2"/>
      <c r="W245" t="s">
        <v>2047</v>
      </c>
    </row>
    <row r="246" spans="1:23" ht="13.15" customHeight="1" x14ac:dyDescent="0.2">
      <c r="A246" s="2" t="s">
        <v>2166</v>
      </c>
      <c r="B246" s="2">
        <f t="shared" si="6"/>
        <v>2022</v>
      </c>
      <c r="C246" s="2" t="str">
        <f t="shared" si="7"/>
        <v>KZN226</v>
      </c>
      <c r="D246" s="591">
        <v>1015</v>
      </c>
      <c r="E246" s="2">
        <v>16</v>
      </c>
      <c r="F246" s="610" t="s">
        <v>1844</v>
      </c>
      <c r="G246" s="607"/>
      <c r="H246" s="607"/>
      <c r="I246" s="607"/>
      <c r="J246" s="607"/>
      <c r="K246" s="607"/>
      <c r="L246" s="607"/>
      <c r="M246" s="607"/>
      <c r="N246" s="2"/>
      <c r="W246" t="s">
        <v>2047</v>
      </c>
    </row>
    <row r="247" spans="1:23" ht="13.15" customHeight="1" x14ac:dyDescent="0.2">
      <c r="A247" s="2" t="s">
        <v>2166</v>
      </c>
      <c r="B247" s="2">
        <f t="shared" si="6"/>
        <v>2022</v>
      </c>
      <c r="C247" s="2" t="str">
        <f t="shared" si="7"/>
        <v>KZN226</v>
      </c>
      <c r="D247" s="591">
        <v>1016</v>
      </c>
      <c r="E247" s="2">
        <v>17</v>
      </c>
      <c r="F247" s="610" t="s">
        <v>1845</v>
      </c>
      <c r="G247" s="607"/>
      <c r="H247" s="607"/>
      <c r="I247" s="607"/>
      <c r="J247" s="607"/>
      <c r="K247" s="607"/>
      <c r="L247" s="607"/>
      <c r="M247" s="607"/>
      <c r="N247" s="2"/>
      <c r="W247" t="s">
        <v>2047</v>
      </c>
    </row>
    <row r="248" spans="1:23" ht="13.15" customHeight="1" x14ac:dyDescent="0.2">
      <c r="A248" s="2" t="s">
        <v>2166</v>
      </c>
      <c r="B248" s="2">
        <f t="shared" si="6"/>
        <v>2022</v>
      </c>
      <c r="C248" s="2" t="str">
        <f t="shared" si="7"/>
        <v>KZN226</v>
      </c>
      <c r="D248" s="591">
        <v>1017</v>
      </c>
      <c r="E248" s="2">
        <v>18</v>
      </c>
      <c r="F248" s="610" t="s">
        <v>1846</v>
      </c>
      <c r="G248" s="607"/>
      <c r="H248" s="607"/>
      <c r="I248" s="607"/>
      <c r="J248" s="607"/>
      <c r="K248" s="607"/>
      <c r="L248" s="607"/>
      <c r="M248" s="607"/>
      <c r="N248" s="2"/>
      <c r="W248" t="s">
        <v>2047</v>
      </c>
    </row>
    <row r="249" spans="1:23" ht="13.15" customHeight="1" x14ac:dyDescent="0.2">
      <c r="A249" s="2" t="s">
        <v>2166</v>
      </c>
      <c r="B249" s="2">
        <f t="shared" si="6"/>
        <v>2022</v>
      </c>
      <c r="C249" s="2" t="str">
        <f t="shared" si="7"/>
        <v>KZN226</v>
      </c>
      <c r="D249" s="591">
        <v>1018</v>
      </c>
      <c r="E249" s="2">
        <v>19</v>
      </c>
      <c r="F249" s="610" t="s">
        <v>353</v>
      </c>
      <c r="G249" s="607"/>
      <c r="H249" s="607"/>
      <c r="I249" s="607"/>
      <c r="J249" s="607"/>
      <c r="K249" s="607"/>
      <c r="L249" s="607"/>
      <c r="M249" s="607"/>
      <c r="N249" s="2"/>
      <c r="W249" t="s">
        <v>2047</v>
      </c>
    </row>
    <row r="250" spans="1:23" ht="13.15" customHeight="1" x14ac:dyDescent="0.2">
      <c r="A250" s="2" t="s">
        <v>2166</v>
      </c>
      <c r="B250" s="2">
        <f t="shared" si="6"/>
        <v>2022</v>
      </c>
      <c r="C250" s="2" t="str">
        <f t="shared" si="7"/>
        <v>KZN226</v>
      </c>
      <c r="D250" s="591">
        <v>1019</v>
      </c>
      <c r="E250" s="2">
        <v>20</v>
      </c>
      <c r="F250" s="610" t="s">
        <v>1847</v>
      </c>
      <c r="G250" s="607"/>
      <c r="H250" s="607"/>
      <c r="I250" s="607"/>
      <c r="J250" s="607"/>
      <c r="K250" s="607"/>
      <c r="L250" s="607"/>
      <c r="M250" s="607"/>
      <c r="N250" s="2"/>
      <c r="W250" t="s">
        <v>2047</v>
      </c>
    </row>
    <row r="251" spans="1:23" ht="13.15" customHeight="1" x14ac:dyDescent="0.2">
      <c r="A251" s="2" t="s">
        <v>2166</v>
      </c>
      <c r="B251" s="2">
        <f t="shared" si="6"/>
        <v>2022</v>
      </c>
      <c r="C251" s="2" t="str">
        <f t="shared" si="7"/>
        <v>KZN226</v>
      </c>
      <c r="D251" s="591">
        <v>1020</v>
      </c>
      <c r="E251" s="2">
        <v>21</v>
      </c>
      <c r="F251" s="610" t="s">
        <v>1848</v>
      </c>
      <c r="G251" s="607"/>
      <c r="H251" s="607"/>
      <c r="I251" s="607"/>
      <c r="J251" s="607"/>
      <c r="K251" s="607"/>
      <c r="L251" s="607"/>
      <c r="M251" s="607"/>
      <c r="N251" s="2"/>
      <c r="W251" t="s">
        <v>2047</v>
      </c>
    </row>
    <row r="252" spans="1:23" ht="13.15" customHeight="1" x14ac:dyDescent="0.2">
      <c r="A252" s="2" t="s">
        <v>2166</v>
      </c>
      <c r="B252" s="2">
        <f t="shared" si="6"/>
        <v>2022</v>
      </c>
      <c r="C252" s="2" t="str">
        <f t="shared" si="7"/>
        <v>KZN226</v>
      </c>
      <c r="D252" s="591">
        <v>1021</v>
      </c>
      <c r="E252" s="2">
        <v>22</v>
      </c>
      <c r="F252" s="610" t="s">
        <v>1849</v>
      </c>
      <c r="G252" s="607"/>
      <c r="H252" s="607"/>
      <c r="I252" s="607"/>
      <c r="J252" s="607"/>
      <c r="K252" s="607"/>
      <c r="L252" s="607"/>
      <c r="M252" s="607"/>
      <c r="N252" s="2"/>
      <c r="W252" t="s">
        <v>2047</v>
      </c>
    </row>
    <row r="253" spans="1:23" ht="13.15" customHeight="1" x14ac:dyDescent="0.2">
      <c r="A253" s="2" t="s">
        <v>2166</v>
      </c>
      <c r="B253" s="2">
        <f t="shared" si="6"/>
        <v>2022</v>
      </c>
      <c r="C253" s="2" t="str">
        <f t="shared" si="7"/>
        <v>KZN226</v>
      </c>
      <c r="D253" s="591"/>
      <c r="E253" s="2"/>
      <c r="F253" s="610"/>
      <c r="G253" s="611"/>
      <c r="H253" s="611"/>
      <c r="I253" s="611"/>
      <c r="J253" s="611"/>
      <c r="K253" s="611"/>
      <c r="L253" s="611"/>
      <c r="M253" s="611"/>
      <c r="N253" s="2"/>
      <c r="W253" t="s">
        <v>2047</v>
      </c>
    </row>
    <row r="254" spans="1:23" ht="13.15" customHeight="1" x14ac:dyDescent="0.2">
      <c r="A254" s="2" t="s">
        <v>2166</v>
      </c>
      <c r="B254" s="2">
        <f t="shared" si="6"/>
        <v>2022</v>
      </c>
      <c r="C254" s="2" t="str">
        <f t="shared" si="7"/>
        <v>KZN226</v>
      </c>
      <c r="D254" s="591">
        <v>1030</v>
      </c>
      <c r="E254" s="2">
        <v>23</v>
      </c>
      <c r="F254" s="609" t="s">
        <v>2168</v>
      </c>
      <c r="G254" s="611"/>
      <c r="H254" s="611"/>
      <c r="I254" s="611"/>
      <c r="J254" s="611"/>
      <c r="K254" s="611"/>
      <c r="L254" s="611"/>
      <c r="M254" s="611"/>
      <c r="N254" s="2"/>
      <c r="W254" t="s">
        <v>2047</v>
      </c>
    </row>
    <row r="255" spans="1:23" ht="13.15" customHeight="1" x14ac:dyDescent="0.2">
      <c r="A255" s="2" t="s">
        <v>2166</v>
      </c>
      <c r="B255" s="2">
        <f t="shared" si="6"/>
        <v>2022</v>
      </c>
      <c r="C255" s="2" t="str">
        <f t="shared" si="7"/>
        <v>KZN226</v>
      </c>
      <c r="D255" s="612">
        <v>1031</v>
      </c>
      <c r="E255" s="2">
        <v>24</v>
      </c>
      <c r="F255" s="613" t="s">
        <v>1830</v>
      </c>
      <c r="G255" s="611"/>
      <c r="H255" s="611"/>
      <c r="I255" s="611"/>
      <c r="J255" s="611"/>
      <c r="K255" s="611"/>
      <c r="L255" s="611"/>
      <c r="M255" s="611"/>
      <c r="N255" s="2"/>
      <c r="W255" t="s">
        <v>2047</v>
      </c>
    </row>
    <row r="256" spans="1:23" ht="13.15" customHeight="1" x14ac:dyDescent="0.2">
      <c r="A256" s="2" t="s">
        <v>2166</v>
      </c>
      <c r="B256" s="2">
        <f t="shared" si="6"/>
        <v>2022</v>
      </c>
      <c r="C256" s="2" t="str">
        <f t="shared" si="7"/>
        <v>KZN226</v>
      </c>
      <c r="D256" s="612">
        <v>1032</v>
      </c>
      <c r="E256" s="2">
        <v>25</v>
      </c>
      <c r="F256" s="610" t="s">
        <v>1885</v>
      </c>
      <c r="G256" s="611"/>
      <c r="H256" s="611"/>
      <c r="I256" s="611"/>
      <c r="J256" s="611"/>
      <c r="K256" s="611"/>
      <c r="L256" s="611"/>
      <c r="M256" s="611"/>
      <c r="N256" s="2"/>
      <c r="W256" t="s">
        <v>2047</v>
      </c>
    </row>
    <row r="257" spans="1:23" ht="13.15" customHeight="1" x14ac:dyDescent="0.2">
      <c r="A257" s="2" t="s">
        <v>2166</v>
      </c>
      <c r="B257" s="2">
        <f t="shared" si="6"/>
        <v>2022</v>
      </c>
      <c r="C257" s="2" t="str">
        <f t="shared" si="7"/>
        <v>KZN226</v>
      </c>
      <c r="D257" s="612">
        <v>1033</v>
      </c>
      <c r="E257" s="2">
        <v>26</v>
      </c>
      <c r="F257" s="614" t="s">
        <v>1851</v>
      </c>
      <c r="G257" s="611"/>
      <c r="H257" s="611"/>
      <c r="I257" s="611"/>
      <c r="J257" s="611"/>
      <c r="K257" s="611"/>
      <c r="L257" s="611"/>
      <c r="M257" s="611"/>
      <c r="N257" s="2"/>
      <c r="W257" t="s">
        <v>2047</v>
      </c>
    </row>
    <row r="258" spans="1:23" ht="13.15" customHeight="1" x14ac:dyDescent="0.2">
      <c r="A258" s="2" t="s">
        <v>2166</v>
      </c>
      <c r="B258" s="2">
        <f t="shared" ref="B258:B321" si="8">+MTREF</f>
        <v>2022</v>
      </c>
      <c r="C258" s="2" t="str">
        <f t="shared" ref="C258:C321" si="9">LEFT(muni,(FIND(" ",muni,1)-1))</f>
        <v>KZN226</v>
      </c>
      <c r="D258" s="615">
        <v>1034</v>
      </c>
      <c r="E258" s="2">
        <v>27</v>
      </c>
      <c r="F258" s="616" t="s">
        <v>1852</v>
      </c>
      <c r="G258" s="611"/>
      <c r="H258" s="611"/>
      <c r="I258" s="611"/>
      <c r="J258" s="611"/>
      <c r="K258" s="611"/>
      <c r="L258" s="611"/>
      <c r="M258" s="611"/>
      <c r="N258" s="2"/>
      <c r="W258" t="s">
        <v>2047</v>
      </c>
    </row>
    <row r="259" spans="1:23" ht="13.15" customHeight="1" x14ac:dyDescent="0.2">
      <c r="A259" s="2" t="s">
        <v>2166</v>
      </c>
      <c r="B259" s="2">
        <f t="shared" si="8"/>
        <v>2022</v>
      </c>
      <c r="C259" s="2" t="str">
        <f t="shared" si="9"/>
        <v>KZN226</v>
      </c>
      <c r="D259" s="615">
        <v>1035</v>
      </c>
      <c r="E259" s="2">
        <v>28</v>
      </c>
      <c r="F259" s="616" t="s">
        <v>1853</v>
      </c>
      <c r="G259" s="611"/>
      <c r="H259" s="611"/>
      <c r="I259" s="611"/>
      <c r="J259" s="611"/>
      <c r="K259" s="611"/>
      <c r="L259" s="611"/>
      <c r="M259" s="611"/>
      <c r="N259" s="2"/>
      <c r="W259" t="s">
        <v>2047</v>
      </c>
    </row>
    <row r="260" spans="1:23" ht="13.15" customHeight="1" x14ac:dyDescent="0.2">
      <c r="A260" s="2" t="s">
        <v>2166</v>
      </c>
      <c r="B260" s="2">
        <f t="shared" si="8"/>
        <v>2022</v>
      </c>
      <c r="C260" s="2" t="str">
        <f t="shared" si="9"/>
        <v>KZN226</v>
      </c>
      <c r="D260" s="615">
        <v>1036</v>
      </c>
      <c r="E260" s="2">
        <v>29</v>
      </c>
      <c r="F260" s="616" t="s">
        <v>1854</v>
      </c>
      <c r="G260" s="611"/>
      <c r="H260" s="611"/>
      <c r="I260" s="611"/>
      <c r="J260" s="611"/>
      <c r="K260" s="611"/>
      <c r="L260" s="611"/>
      <c r="M260" s="611"/>
      <c r="N260" s="2"/>
      <c r="W260" t="s">
        <v>2047</v>
      </c>
    </row>
    <row r="261" spans="1:23" ht="13.15" customHeight="1" x14ac:dyDescent="0.2">
      <c r="A261" s="2" t="s">
        <v>2166</v>
      </c>
      <c r="B261" s="2">
        <f t="shared" si="8"/>
        <v>2022</v>
      </c>
      <c r="C261" s="2" t="str">
        <f t="shared" si="9"/>
        <v>KZN226</v>
      </c>
      <c r="D261" s="615">
        <v>1037</v>
      </c>
      <c r="E261" s="2">
        <v>30</v>
      </c>
      <c r="F261" s="616" t="s">
        <v>1855</v>
      </c>
      <c r="G261" s="611"/>
      <c r="H261" s="611"/>
      <c r="I261" s="611"/>
      <c r="J261" s="611"/>
      <c r="K261" s="611"/>
      <c r="L261" s="611"/>
      <c r="M261" s="611"/>
      <c r="N261" s="2"/>
      <c r="W261" t="s">
        <v>2047</v>
      </c>
    </row>
    <row r="262" spans="1:23" ht="13.15" customHeight="1" x14ac:dyDescent="0.2">
      <c r="A262" s="2" t="s">
        <v>2166</v>
      </c>
      <c r="B262" s="2">
        <f t="shared" si="8"/>
        <v>2022</v>
      </c>
      <c r="C262" s="2" t="str">
        <f t="shared" si="9"/>
        <v>KZN226</v>
      </c>
      <c r="D262" s="615">
        <v>1038</v>
      </c>
      <c r="E262" s="2">
        <v>31</v>
      </c>
      <c r="F262" s="617" t="s">
        <v>1990</v>
      </c>
      <c r="G262" s="611"/>
      <c r="H262" s="611"/>
      <c r="I262" s="611"/>
      <c r="J262" s="611"/>
      <c r="K262" s="611"/>
      <c r="L262" s="611"/>
      <c r="M262" s="611"/>
      <c r="N262" s="2"/>
      <c r="W262" t="s">
        <v>2047</v>
      </c>
    </row>
    <row r="263" spans="1:23" ht="13.15" customHeight="1" x14ac:dyDescent="0.2">
      <c r="A263" s="2" t="s">
        <v>2166</v>
      </c>
      <c r="B263" s="2">
        <f t="shared" si="8"/>
        <v>2022</v>
      </c>
      <c r="C263" s="2" t="str">
        <f t="shared" si="9"/>
        <v>KZN226</v>
      </c>
      <c r="D263" s="591"/>
      <c r="E263" s="2"/>
      <c r="F263" s="618"/>
      <c r="G263" s="611"/>
      <c r="H263" s="611"/>
      <c r="I263" s="611"/>
      <c r="J263" s="611"/>
      <c r="K263" s="611"/>
      <c r="L263" s="611"/>
      <c r="M263" s="611"/>
      <c r="N263" s="2"/>
      <c r="W263" t="s">
        <v>2047</v>
      </c>
    </row>
    <row r="264" spans="1:23" ht="13.15" customHeight="1" x14ac:dyDescent="0.2">
      <c r="A264" s="2" t="s">
        <v>2166</v>
      </c>
      <c r="B264" s="2">
        <f t="shared" si="8"/>
        <v>2022</v>
      </c>
      <c r="C264" s="2" t="str">
        <f t="shared" si="9"/>
        <v>KZN226</v>
      </c>
      <c r="D264" s="591">
        <v>1100</v>
      </c>
      <c r="E264" s="2">
        <v>32</v>
      </c>
      <c r="F264" s="609" t="s">
        <v>1856</v>
      </c>
      <c r="G264" s="611"/>
      <c r="H264" s="611"/>
      <c r="I264" s="611"/>
      <c r="J264" s="611"/>
      <c r="K264" s="611"/>
      <c r="L264" s="611"/>
      <c r="M264" s="611"/>
      <c r="N264" s="2"/>
      <c r="W264" t="s">
        <v>2047</v>
      </c>
    </row>
    <row r="265" spans="1:23" ht="13.15" customHeight="1" x14ac:dyDescent="0.2">
      <c r="A265" s="2" t="s">
        <v>2166</v>
      </c>
      <c r="B265" s="2">
        <f t="shared" si="8"/>
        <v>2022</v>
      </c>
      <c r="C265" s="2" t="str">
        <f t="shared" si="9"/>
        <v>KZN226</v>
      </c>
      <c r="D265" s="591">
        <v>1101</v>
      </c>
      <c r="E265" s="2">
        <v>33</v>
      </c>
      <c r="F265" s="613" t="s">
        <v>1857</v>
      </c>
      <c r="G265" s="611"/>
      <c r="H265" s="611"/>
      <c r="I265" s="611"/>
      <c r="J265" s="611"/>
      <c r="K265" s="611"/>
      <c r="L265" s="611"/>
      <c r="M265" s="611"/>
      <c r="N265" s="2"/>
      <c r="W265" t="s">
        <v>2047</v>
      </c>
    </row>
    <row r="266" spans="1:23" ht="13.15" customHeight="1" x14ac:dyDescent="0.2">
      <c r="A266" s="2" t="s">
        <v>2166</v>
      </c>
      <c r="B266" s="2">
        <f t="shared" si="8"/>
        <v>2022</v>
      </c>
      <c r="C266" s="2" t="str">
        <f t="shared" si="9"/>
        <v>KZN226</v>
      </c>
      <c r="D266" s="591">
        <v>1102</v>
      </c>
      <c r="E266" s="2">
        <v>34</v>
      </c>
      <c r="F266" s="610" t="s">
        <v>2169</v>
      </c>
      <c r="G266" s="611"/>
      <c r="H266" s="611"/>
      <c r="I266" s="611"/>
      <c r="J266" s="611"/>
      <c r="K266" s="611"/>
      <c r="L266" s="611"/>
      <c r="M266" s="611"/>
      <c r="N266" s="2"/>
      <c r="W266" t="s">
        <v>2047</v>
      </c>
    </row>
    <row r="267" spans="1:23" ht="13.15" customHeight="1" x14ac:dyDescent="0.2">
      <c r="A267" s="2" t="s">
        <v>2166</v>
      </c>
      <c r="B267" s="2">
        <f t="shared" si="8"/>
        <v>2022</v>
      </c>
      <c r="C267" s="2" t="str">
        <f t="shared" si="9"/>
        <v>KZN226</v>
      </c>
      <c r="D267" s="591">
        <v>1103</v>
      </c>
      <c r="E267" s="2">
        <v>35</v>
      </c>
      <c r="F267" s="610" t="s">
        <v>2170</v>
      </c>
      <c r="G267" s="611"/>
      <c r="H267" s="611"/>
      <c r="I267" s="611"/>
      <c r="J267" s="611"/>
      <c r="K267" s="611"/>
      <c r="L267" s="611"/>
      <c r="M267" s="611"/>
      <c r="N267" s="2"/>
      <c r="W267" t="s">
        <v>2047</v>
      </c>
    </row>
    <row r="268" spans="1:23" ht="13.15" customHeight="1" x14ac:dyDescent="0.2">
      <c r="A268" s="2" t="s">
        <v>2166</v>
      </c>
      <c r="B268" s="2">
        <f t="shared" si="8"/>
        <v>2022</v>
      </c>
      <c r="C268" s="2" t="str">
        <f t="shared" si="9"/>
        <v>KZN226</v>
      </c>
      <c r="D268" s="591">
        <v>1104</v>
      </c>
      <c r="E268" s="2">
        <v>36</v>
      </c>
      <c r="F268" s="610" t="s">
        <v>2171</v>
      </c>
      <c r="G268" s="611"/>
      <c r="H268" s="611"/>
      <c r="I268" s="611"/>
      <c r="J268" s="611"/>
      <c r="K268" s="611"/>
      <c r="L268" s="611"/>
      <c r="M268" s="611"/>
      <c r="N268" s="2"/>
      <c r="W268" t="s">
        <v>2047</v>
      </c>
    </row>
    <row r="269" spans="1:23" ht="13.15" customHeight="1" x14ac:dyDescent="0.2">
      <c r="A269" s="2" t="s">
        <v>2166</v>
      </c>
      <c r="B269" s="2">
        <f t="shared" si="8"/>
        <v>2022</v>
      </c>
      <c r="C269" s="2" t="str">
        <f t="shared" si="9"/>
        <v>KZN226</v>
      </c>
      <c r="D269" s="591">
        <v>1105</v>
      </c>
      <c r="E269" s="2">
        <v>37</v>
      </c>
      <c r="F269" s="616" t="s">
        <v>1861</v>
      </c>
      <c r="G269" s="611"/>
      <c r="H269" s="611"/>
      <c r="I269" s="611"/>
      <c r="J269" s="611"/>
      <c r="K269" s="611"/>
      <c r="L269" s="611"/>
      <c r="M269" s="611"/>
      <c r="N269" s="2"/>
      <c r="W269" t="s">
        <v>2047</v>
      </c>
    </row>
    <row r="270" spans="1:23" ht="13.15" customHeight="1" x14ac:dyDescent="0.2">
      <c r="A270" s="2" t="s">
        <v>2166</v>
      </c>
      <c r="B270" s="2">
        <f t="shared" si="8"/>
        <v>2022</v>
      </c>
      <c r="C270" s="2" t="str">
        <f t="shared" si="9"/>
        <v>KZN226</v>
      </c>
      <c r="D270" s="591">
        <v>1106</v>
      </c>
      <c r="E270" s="2">
        <v>38</v>
      </c>
      <c r="F270" s="616" t="s">
        <v>1863</v>
      </c>
      <c r="G270" s="611"/>
      <c r="H270" s="611"/>
      <c r="I270" s="611"/>
      <c r="J270" s="611"/>
      <c r="K270" s="611"/>
      <c r="L270" s="611"/>
      <c r="M270" s="611"/>
      <c r="N270" s="2"/>
      <c r="W270" t="s">
        <v>2047</v>
      </c>
    </row>
    <row r="271" spans="1:23" ht="13.15" customHeight="1" x14ac:dyDescent="0.2">
      <c r="A271" s="2" t="s">
        <v>2166</v>
      </c>
      <c r="B271" s="2">
        <f t="shared" si="8"/>
        <v>2022</v>
      </c>
      <c r="C271" s="2" t="str">
        <f t="shared" si="9"/>
        <v>KZN226</v>
      </c>
      <c r="D271" s="591">
        <v>1107</v>
      </c>
      <c r="E271" s="2">
        <v>39</v>
      </c>
      <c r="F271" s="616" t="s">
        <v>1865</v>
      </c>
      <c r="G271" s="611"/>
      <c r="H271" s="611"/>
      <c r="I271" s="611"/>
      <c r="J271" s="611"/>
      <c r="K271" s="611"/>
      <c r="L271" s="611"/>
      <c r="M271" s="611"/>
      <c r="N271" s="2"/>
      <c r="W271" t="s">
        <v>2047</v>
      </c>
    </row>
    <row r="272" spans="1:23" ht="13.15" customHeight="1" x14ac:dyDescent="0.2">
      <c r="A272" s="2" t="s">
        <v>2166</v>
      </c>
      <c r="B272" s="2">
        <f t="shared" si="8"/>
        <v>2022</v>
      </c>
      <c r="C272" s="2" t="str">
        <f t="shared" si="9"/>
        <v>KZN226</v>
      </c>
      <c r="D272" s="591">
        <v>1108</v>
      </c>
      <c r="E272" s="2">
        <v>40</v>
      </c>
      <c r="F272" s="616" t="s">
        <v>1866</v>
      </c>
      <c r="G272" s="611"/>
      <c r="H272" s="611"/>
      <c r="I272" s="611"/>
      <c r="J272" s="611"/>
      <c r="K272" s="611"/>
      <c r="L272" s="611"/>
      <c r="M272" s="611"/>
      <c r="N272" s="2"/>
      <c r="W272" t="s">
        <v>2047</v>
      </c>
    </row>
    <row r="273" spans="1:23" ht="13.15" customHeight="1" x14ac:dyDescent="0.2">
      <c r="A273" s="2" t="s">
        <v>2166</v>
      </c>
      <c r="B273" s="2">
        <f t="shared" si="8"/>
        <v>2022</v>
      </c>
      <c r="C273" s="2" t="str">
        <f t="shared" si="9"/>
        <v>KZN226</v>
      </c>
      <c r="D273" s="591">
        <v>1109</v>
      </c>
      <c r="E273" s="599">
        <v>41</v>
      </c>
      <c r="F273" s="616" t="s">
        <v>1867</v>
      </c>
      <c r="G273" s="611"/>
      <c r="H273" s="611"/>
      <c r="I273" s="611"/>
      <c r="J273" s="611"/>
      <c r="K273" s="611"/>
      <c r="L273" s="611"/>
      <c r="M273" s="611"/>
      <c r="N273" s="2"/>
      <c r="W273" t="s">
        <v>2047</v>
      </c>
    </row>
    <row r="274" spans="1:23" ht="13.15" customHeight="1" x14ac:dyDescent="0.2">
      <c r="A274" s="2" t="s">
        <v>2166</v>
      </c>
      <c r="B274" s="2">
        <f t="shared" si="8"/>
        <v>2022</v>
      </c>
      <c r="C274" s="2" t="str">
        <f t="shared" si="9"/>
        <v>KZN226</v>
      </c>
      <c r="D274" s="591">
        <v>1110</v>
      </c>
      <c r="E274" s="599">
        <v>42</v>
      </c>
      <c r="F274" s="617" t="s">
        <v>245</v>
      </c>
      <c r="G274" s="611"/>
      <c r="H274" s="611"/>
      <c r="I274" s="611"/>
      <c r="J274" s="611"/>
      <c r="K274" s="611"/>
      <c r="L274" s="611"/>
      <c r="M274" s="611"/>
      <c r="N274" s="2"/>
      <c r="W274" t="s">
        <v>2047</v>
      </c>
    </row>
    <row r="275" spans="1:23" ht="13.15" customHeight="1" x14ac:dyDescent="0.2">
      <c r="A275" s="2" t="s">
        <v>2166</v>
      </c>
      <c r="B275" s="2">
        <f t="shared" si="8"/>
        <v>2022</v>
      </c>
      <c r="C275" s="2" t="str">
        <f t="shared" si="9"/>
        <v>KZN226</v>
      </c>
      <c r="D275" s="591"/>
      <c r="E275" s="2"/>
      <c r="F275" s="331"/>
      <c r="G275" s="611"/>
      <c r="H275" s="611"/>
      <c r="I275" s="611"/>
      <c r="J275" s="611"/>
      <c r="K275" s="611"/>
      <c r="L275" s="611"/>
      <c r="M275" s="611"/>
      <c r="N275" s="2"/>
      <c r="W275" t="s">
        <v>2047</v>
      </c>
    </row>
    <row r="276" spans="1:23" ht="13.15" customHeight="1" x14ac:dyDescent="0.2">
      <c r="A276" s="2" t="s">
        <v>2166</v>
      </c>
      <c r="B276" s="2">
        <f t="shared" si="8"/>
        <v>2022</v>
      </c>
      <c r="C276" s="2" t="str">
        <f t="shared" si="9"/>
        <v>KZN226</v>
      </c>
      <c r="D276" s="591">
        <v>1200</v>
      </c>
      <c r="E276" s="2">
        <v>43</v>
      </c>
      <c r="F276" s="609" t="s">
        <v>1868</v>
      </c>
      <c r="G276" s="611"/>
      <c r="H276" s="611"/>
      <c r="I276" s="611"/>
      <c r="J276" s="611"/>
      <c r="K276" s="611"/>
      <c r="L276" s="611"/>
      <c r="M276" s="611"/>
      <c r="N276" s="2"/>
      <c r="W276" t="s">
        <v>2047</v>
      </c>
    </row>
    <row r="277" spans="1:23" ht="13.15" customHeight="1" x14ac:dyDescent="0.2">
      <c r="A277" s="2" t="s">
        <v>2166</v>
      </c>
      <c r="B277" s="2">
        <f t="shared" si="8"/>
        <v>2022</v>
      </c>
      <c r="C277" s="2" t="str">
        <f t="shared" si="9"/>
        <v>KZN226</v>
      </c>
      <c r="D277" s="591">
        <v>1201</v>
      </c>
      <c r="E277" s="2">
        <v>44</v>
      </c>
      <c r="F277" s="613" t="s">
        <v>1857</v>
      </c>
      <c r="G277" s="611"/>
      <c r="H277" s="611"/>
      <c r="I277" s="611"/>
      <c r="J277" s="611"/>
      <c r="K277" s="611"/>
      <c r="L277" s="611"/>
      <c r="M277" s="611"/>
      <c r="N277" s="2"/>
      <c r="W277" t="s">
        <v>2047</v>
      </c>
    </row>
    <row r="278" spans="1:23" ht="13.15" customHeight="1" x14ac:dyDescent="0.2">
      <c r="A278" s="2" t="s">
        <v>2166</v>
      </c>
      <c r="B278" s="2">
        <f t="shared" si="8"/>
        <v>2022</v>
      </c>
      <c r="C278" s="2" t="str">
        <f t="shared" si="9"/>
        <v>KZN226</v>
      </c>
      <c r="D278" s="591">
        <v>1202</v>
      </c>
      <c r="E278" s="2">
        <v>45</v>
      </c>
      <c r="F278" s="610" t="s">
        <v>2169</v>
      </c>
      <c r="G278" s="611"/>
      <c r="H278" s="611"/>
      <c r="I278" s="611"/>
      <c r="J278" s="611"/>
      <c r="K278" s="611"/>
      <c r="L278" s="611"/>
      <c r="M278" s="611"/>
      <c r="N278" s="2"/>
      <c r="W278" t="s">
        <v>2047</v>
      </c>
    </row>
    <row r="279" spans="1:23" ht="13.15" customHeight="1" x14ac:dyDescent="0.2">
      <c r="A279" s="2" t="s">
        <v>2166</v>
      </c>
      <c r="B279" s="2">
        <f t="shared" si="8"/>
        <v>2022</v>
      </c>
      <c r="C279" s="2" t="str">
        <f t="shared" si="9"/>
        <v>KZN226</v>
      </c>
      <c r="D279" s="591">
        <v>1203</v>
      </c>
      <c r="E279" s="2">
        <v>46</v>
      </c>
      <c r="F279" s="610" t="s">
        <v>2170</v>
      </c>
      <c r="G279" s="611"/>
      <c r="H279" s="611"/>
      <c r="I279" s="611"/>
      <c r="J279" s="611"/>
      <c r="K279" s="611"/>
      <c r="L279" s="611"/>
      <c r="M279" s="611"/>
      <c r="N279" s="2"/>
      <c r="W279" t="s">
        <v>2047</v>
      </c>
    </row>
    <row r="280" spans="1:23" ht="13.15" customHeight="1" x14ac:dyDescent="0.2">
      <c r="A280" s="2" t="s">
        <v>2166</v>
      </c>
      <c r="B280" s="2">
        <f t="shared" si="8"/>
        <v>2022</v>
      </c>
      <c r="C280" s="2" t="str">
        <f t="shared" si="9"/>
        <v>KZN226</v>
      </c>
      <c r="D280" s="591">
        <v>1204</v>
      </c>
      <c r="E280" s="2">
        <v>47</v>
      </c>
      <c r="F280" s="610" t="s">
        <v>2172</v>
      </c>
      <c r="G280" s="611"/>
      <c r="H280" s="611"/>
      <c r="I280" s="611"/>
      <c r="J280" s="611"/>
      <c r="K280" s="611"/>
      <c r="L280" s="611"/>
      <c r="M280" s="611"/>
      <c r="N280" s="2"/>
      <c r="W280" t="s">
        <v>2047</v>
      </c>
    </row>
    <row r="281" spans="1:23" ht="13.15" customHeight="1" x14ac:dyDescent="0.2">
      <c r="A281" s="2" t="s">
        <v>2166</v>
      </c>
      <c r="B281" s="2">
        <f t="shared" si="8"/>
        <v>2022</v>
      </c>
      <c r="C281" s="2" t="str">
        <f t="shared" si="9"/>
        <v>KZN226</v>
      </c>
      <c r="D281" s="591">
        <v>1205</v>
      </c>
      <c r="E281" s="2">
        <v>48</v>
      </c>
      <c r="F281" s="610" t="s">
        <v>1870</v>
      </c>
      <c r="G281" s="611"/>
      <c r="H281" s="611"/>
      <c r="I281" s="611"/>
      <c r="J281" s="611"/>
      <c r="K281" s="611"/>
      <c r="L281" s="611"/>
      <c r="M281" s="611"/>
      <c r="N281" s="2"/>
      <c r="W281" t="s">
        <v>2047</v>
      </c>
    </row>
    <row r="282" spans="1:23" ht="13.15" customHeight="1" x14ac:dyDescent="0.2">
      <c r="A282" s="2" t="s">
        <v>2166</v>
      </c>
      <c r="B282" s="2">
        <f t="shared" si="8"/>
        <v>2022</v>
      </c>
      <c r="C282" s="2" t="str">
        <f t="shared" si="9"/>
        <v>KZN226</v>
      </c>
      <c r="D282" s="591">
        <v>1206</v>
      </c>
      <c r="E282" s="2">
        <v>49</v>
      </c>
      <c r="F282" s="610" t="s">
        <v>1872</v>
      </c>
      <c r="G282" s="611"/>
      <c r="H282" s="611"/>
      <c r="I282" s="611"/>
      <c r="J282" s="611"/>
      <c r="K282" s="611"/>
      <c r="L282" s="611"/>
      <c r="M282" s="611"/>
      <c r="N282" s="2"/>
      <c r="W282" t="s">
        <v>2047</v>
      </c>
    </row>
    <row r="283" spans="1:23" ht="13.15" customHeight="1" x14ac:dyDescent="0.2">
      <c r="A283" s="2" t="s">
        <v>2166</v>
      </c>
      <c r="B283" s="2">
        <f t="shared" si="8"/>
        <v>2022</v>
      </c>
      <c r="C283" s="2" t="str">
        <f t="shared" si="9"/>
        <v>KZN226</v>
      </c>
      <c r="D283" s="591">
        <v>1207</v>
      </c>
      <c r="E283" s="2">
        <v>50</v>
      </c>
      <c r="F283" s="610" t="s">
        <v>1873</v>
      </c>
      <c r="G283" s="611"/>
      <c r="H283" s="611"/>
      <c r="I283" s="611"/>
      <c r="J283" s="611"/>
      <c r="K283" s="611"/>
      <c r="L283" s="611"/>
      <c r="M283" s="611"/>
      <c r="N283" s="2"/>
      <c r="W283" t="s">
        <v>2047</v>
      </c>
    </row>
    <row r="284" spans="1:23" ht="13.15" customHeight="1" x14ac:dyDescent="0.2">
      <c r="A284" s="2" t="s">
        <v>2166</v>
      </c>
      <c r="B284" s="2">
        <f t="shared" si="8"/>
        <v>2022</v>
      </c>
      <c r="C284" s="2" t="str">
        <f t="shared" si="9"/>
        <v>KZN226</v>
      </c>
      <c r="D284" s="591">
        <v>1208</v>
      </c>
      <c r="E284" s="2">
        <v>51</v>
      </c>
      <c r="F284" s="610" t="s">
        <v>1874</v>
      </c>
      <c r="G284" s="611"/>
      <c r="H284" s="611"/>
      <c r="I284" s="611"/>
      <c r="J284" s="611"/>
      <c r="K284" s="611"/>
      <c r="L284" s="611"/>
      <c r="M284" s="611"/>
      <c r="N284" s="2"/>
      <c r="W284" t="s">
        <v>2047</v>
      </c>
    </row>
    <row r="285" spans="1:23" ht="13.15" customHeight="1" x14ac:dyDescent="0.2">
      <c r="A285" s="2" t="s">
        <v>2166</v>
      </c>
      <c r="B285" s="2">
        <f t="shared" si="8"/>
        <v>2022</v>
      </c>
      <c r="C285" s="2" t="str">
        <f t="shared" si="9"/>
        <v>KZN226</v>
      </c>
      <c r="D285" s="591">
        <v>1209</v>
      </c>
      <c r="E285" s="2">
        <v>52</v>
      </c>
      <c r="F285" s="617" t="s">
        <v>245</v>
      </c>
      <c r="G285" s="611"/>
      <c r="H285" s="611"/>
      <c r="I285" s="611"/>
      <c r="J285" s="611"/>
      <c r="K285" s="611"/>
      <c r="L285" s="611"/>
      <c r="M285" s="611"/>
      <c r="N285" s="2"/>
      <c r="W285" t="s">
        <v>2047</v>
      </c>
    </row>
    <row r="286" spans="1:23" ht="13.15" customHeight="1" x14ac:dyDescent="0.2">
      <c r="A286" s="2" t="s">
        <v>2166</v>
      </c>
      <c r="B286" s="2">
        <f t="shared" si="8"/>
        <v>2022</v>
      </c>
      <c r="C286" s="2" t="str">
        <f t="shared" si="9"/>
        <v>KZN226</v>
      </c>
      <c r="D286" s="591"/>
      <c r="E286" s="2"/>
      <c r="F286" s="619"/>
      <c r="G286" s="611"/>
      <c r="H286" s="611"/>
      <c r="I286" s="611"/>
      <c r="J286" s="611"/>
      <c r="K286" s="611"/>
      <c r="L286" s="611"/>
      <c r="M286" s="611"/>
      <c r="N286" s="2"/>
      <c r="W286" t="s">
        <v>2047</v>
      </c>
    </row>
    <row r="287" spans="1:23" ht="13.15" customHeight="1" x14ac:dyDescent="0.2">
      <c r="A287" s="2" t="s">
        <v>2166</v>
      </c>
      <c r="B287" s="2">
        <f t="shared" si="8"/>
        <v>2022</v>
      </c>
      <c r="C287" s="2" t="str">
        <f t="shared" si="9"/>
        <v>KZN226</v>
      </c>
      <c r="D287" s="591">
        <v>1300</v>
      </c>
      <c r="E287" s="2">
        <v>53</v>
      </c>
      <c r="F287" s="609" t="s">
        <v>1875</v>
      </c>
      <c r="G287" s="611"/>
      <c r="H287" s="611"/>
      <c r="I287" s="611"/>
      <c r="J287" s="611"/>
      <c r="K287" s="611"/>
      <c r="L287" s="611"/>
      <c r="M287" s="611"/>
      <c r="N287" s="2"/>
      <c r="W287" t="s">
        <v>2047</v>
      </c>
    </row>
    <row r="288" spans="1:23" ht="13.15" customHeight="1" x14ac:dyDescent="0.2">
      <c r="A288" s="2" t="s">
        <v>2166</v>
      </c>
      <c r="B288" s="2">
        <f t="shared" si="8"/>
        <v>2022</v>
      </c>
      <c r="C288" s="2" t="str">
        <f t="shared" si="9"/>
        <v>KZN226</v>
      </c>
      <c r="D288" s="591">
        <v>1301</v>
      </c>
      <c r="E288" s="2">
        <v>54</v>
      </c>
      <c r="F288" s="613" t="s">
        <v>1857</v>
      </c>
      <c r="G288" s="611"/>
      <c r="H288" s="611"/>
      <c r="I288" s="611"/>
      <c r="J288" s="611"/>
      <c r="K288" s="611"/>
      <c r="L288" s="611"/>
      <c r="M288" s="611"/>
      <c r="N288" s="2"/>
      <c r="W288" t="s">
        <v>2047</v>
      </c>
    </row>
    <row r="289" spans="1:23" ht="13.15" customHeight="1" x14ac:dyDescent="0.2">
      <c r="A289" s="2" t="s">
        <v>2166</v>
      </c>
      <c r="B289" s="2">
        <f t="shared" si="8"/>
        <v>2022</v>
      </c>
      <c r="C289" s="2" t="str">
        <f t="shared" si="9"/>
        <v>KZN226</v>
      </c>
      <c r="D289" s="591">
        <v>1302</v>
      </c>
      <c r="E289" s="2">
        <v>55</v>
      </c>
      <c r="F289" s="610" t="s">
        <v>2169</v>
      </c>
      <c r="G289" s="611"/>
      <c r="H289" s="611"/>
      <c r="I289" s="611"/>
      <c r="J289" s="611"/>
      <c r="K289" s="611"/>
      <c r="L289" s="611"/>
      <c r="M289" s="611"/>
      <c r="N289" s="2"/>
      <c r="W289" t="s">
        <v>2047</v>
      </c>
    </row>
    <row r="290" spans="1:23" ht="13.15" customHeight="1" x14ac:dyDescent="0.2">
      <c r="A290" s="2" t="s">
        <v>2166</v>
      </c>
      <c r="B290" s="2">
        <f t="shared" si="8"/>
        <v>2022</v>
      </c>
      <c r="C290" s="2" t="str">
        <f t="shared" si="9"/>
        <v>KZN226</v>
      </c>
      <c r="D290" s="591">
        <v>1303</v>
      </c>
      <c r="E290" s="2">
        <v>56</v>
      </c>
      <c r="F290" s="610" t="s">
        <v>2170</v>
      </c>
      <c r="G290" s="611"/>
      <c r="H290" s="611"/>
      <c r="I290" s="611"/>
      <c r="J290" s="611"/>
      <c r="K290" s="611"/>
      <c r="L290" s="611"/>
      <c r="M290" s="611"/>
      <c r="N290" s="2"/>
      <c r="W290" t="s">
        <v>2047</v>
      </c>
    </row>
    <row r="291" spans="1:23" ht="13.15" customHeight="1" x14ac:dyDescent="0.2">
      <c r="A291" s="2" t="s">
        <v>2166</v>
      </c>
      <c r="B291" s="2">
        <f t="shared" si="8"/>
        <v>2022</v>
      </c>
      <c r="C291" s="2" t="str">
        <f t="shared" si="9"/>
        <v>KZN226</v>
      </c>
      <c r="D291" s="591">
        <v>1304</v>
      </c>
      <c r="E291" s="2">
        <v>57</v>
      </c>
      <c r="F291" s="620" t="s">
        <v>1877</v>
      </c>
      <c r="G291" s="611"/>
      <c r="H291" s="611"/>
      <c r="I291" s="611"/>
      <c r="J291" s="611"/>
      <c r="K291" s="611"/>
      <c r="L291" s="611"/>
      <c r="M291" s="611"/>
      <c r="N291" s="2"/>
      <c r="W291" t="s">
        <v>2047</v>
      </c>
    </row>
    <row r="292" spans="1:23" ht="13.15" customHeight="1" x14ac:dyDescent="0.2">
      <c r="A292" s="2" t="s">
        <v>2166</v>
      </c>
      <c r="B292" s="2">
        <f t="shared" si="8"/>
        <v>2022</v>
      </c>
      <c r="C292" s="2" t="str">
        <f t="shared" si="9"/>
        <v>KZN226</v>
      </c>
      <c r="D292" s="591">
        <v>1305</v>
      </c>
      <c r="E292" s="2">
        <v>58</v>
      </c>
      <c r="F292" s="610" t="s">
        <v>1898</v>
      </c>
      <c r="G292" s="611"/>
      <c r="H292" s="611"/>
      <c r="I292" s="611"/>
      <c r="J292" s="611"/>
      <c r="K292" s="611"/>
      <c r="L292" s="611"/>
      <c r="M292" s="611"/>
      <c r="N292" s="2"/>
      <c r="W292" t="s">
        <v>2047</v>
      </c>
    </row>
    <row r="293" spans="1:23" ht="13.15" customHeight="1" x14ac:dyDescent="0.2">
      <c r="A293" s="2" t="s">
        <v>2166</v>
      </c>
      <c r="B293" s="2">
        <f t="shared" si="8"/>
        <v>2022</v>
      </c>
      <c r="C293" s="2" t="str">
        <f t="shared" si="9"/>
        <v>KZN226</v>
      </c>
      <c r="D293" s="591">
        <v>1306</v>
      </c>
      <c r="E293" s="2">
        <v>59</v>
      </c>
      <c r="F293" s="610" t="s">
        <v>1899</v>
      </c>
      <c r="G293" s="611"/>
      <c r="H293" s="611"/>
      <c r="I293" s="611"/>
      <c r="J293" s="611"/>
      <c r="K293" s="611"/>
      <c r="L293" s="611"/>
      <c r="M293" s="611"/>
      <c r="N293" s="2"/>
      <c r="W293" t="s">
        <v>2047</v>
      </c>
    </row>
    <row r="294" spans="1:23" ht="13.15" customHeight="1" x14ac:dyDescent="0.2">
      <c r="A294" s="2" t="s">
        <v>2166</v>
      </c>
      <c r="B294" s="2">
        <f t="shared" si="8"/>
        <v>2022</v>
      </c>
      <c r="C294" s="2" t="str">
        <f t="shared" si="9"/>
        <v>KZN226</v>
      </c>
      <c r="D294" s="591">
        <v>1307</v>
      </c>
      <c r="E294" s="2">
        <v>60</v>
      </c>
      <c r="F294" s="610" t="s">
        <v>2173</v>
      </c>
      <c r="G294" s="611"/>
      <c r="H294" s="611"/>
      <c r="I294" s="611"/>
      <c r="J294" s="611"/>
      <c r="K294" s="611"/>
      <c r="L294" s="611"/>
      <c r="M294" s="611"/>
      <c r="N294" s="2"/>
      <c r="W294" t="s">
        <v>2047</v>
      </c>
    </row>
    <row r="295" spans="1:23" ht="13.15" customHeight="1" x14ac:dyDescent="0.2">
      <c r="A295" s="2" t="s">
        <v>2166</v>
      </c>
      <c r="B295" s="2">
        <f t="shared" si="8"/>
        <v>2022</v>
      </c>
      <c r="C295" s="2" t="str">
        <f t="shared" si="9"/>
        <v>KZN226</v>
      </c>
      <c r="D295" s="591">
        <v>1308</v>
      </c>
      <c r="E295" s="2">
        <v>61</v>
      </c>
      <c r="F295" s="610" t="s">
        <v>2174</v>
      </c>
      <c r="G295" s="611"/>
      <c r="H295" s="611"/>
      <c r="I295" s="611"/>
      <c r="J295" s="611"/>
      <c r="K295" s="611"/>
      <c r="L295" s="611"/>
      <c r="M295" s="611"/>
      <c r="N295" s="2"/>
      <c r="W295" t="s">
        <v>2047</v>
      </c>
    </row>
    <row r="296" spans="1:23" ht="13.15" customHeight="1" x14ac:dyDescent="0.2">
      <c r="A296" s="2" t="s">
        <v>2166</v>
      </c>
      <c r="B296" s="2">
        <f t="shared" si="8"/>
        <v>2022</v>
      </c>
      <c r="C296" s="2" t="str">
        <f t="shared" si="9"/>
        <v>KZN226</v>
      </c>
      <c r="D296" s="591">
        <v>1309</v>
      </c>
      <c r="E296" s="2">
        <v>62</v>
      </c>
      <c r="F296" s="610" t="s">
        <v>1902</v>
      </c>
      <c r="G296" s="611"/>
      <c r="H296" s="611"/>
      <c r="I296" s="611"/>
      <c r="J296" s="611"/>
      <c r="K296" s="611"/>
      <c r="L296" s="611"/>
      <c r="M296" s="611"/>
      <c r="N296" s="2"/>
      <c r="W296" t="s">
        <v>2047</v>
      </c>
    </row>
    <row r="297" spans="1:23" ht="13.15" customHeight="1" x14ac:dyDescent="0.2">
      <c r="A297" s="2" t="s">
        <v>2166</v>
      </c>
      <c r="B297" s="2">
        <f t="shared" si="8"/>
        <v>2022</v>
      </c>
      <c r="C297" s="2" t="str">
        <f t="shared" si="9"/>
        <v>KZN226</v>
      </c>
      <c r="D297" s="591">
        <v>1310</v>
      </c>
      <c r="E297" s="2">
        <v>63</v>
      </c>
      <c r="F297" s="610" t="s">
        <v>1903</v>
      </c>
      <c r="G297" s="611"/>
      <c r="H297" s="611"/>
      <c r="I297" s="611"/>
      <c r="J297" s="611"/>
      <c r="K297" s="611"/>
      <c r="L297" s="611"/>
      <c r="M297" s="611"/>
      <c r="N297" s="2"/>
      <c r="W297" t="s">
        <v>2047</v>
      </c>
    </row>
    <row r="298" spans="1:23" ht="13.15" customHeight="1" x14ac:dyDescent="0.2">
      <c r="A298" s="2" t="s">
        <v>2166</v>
      </c>
      <c r="B298" s="2">
        <f t="shared" si="8"/>
        <v>2022</v>
      </c>
      <c r="C298" s="2" t="str">
        <f t="shared" si="9"/>
        <v>KZN226</v>
      </c>
      <c r="D298" s="591">
        <v>1311</v>
      </c>
      <c r="E298" s="2">
        <v>64</v>
      </c>
      <c r="F298" s="610" t="s">
        <v>1904</v>
      </c>
      <c r="G298" s="611"/>
      <c r="H298" s="611"/>
      <c r="I298" s="611"/>
      <c r="J298" s="611"/>
      <c r="K298" s="611"/>
      <c r="L298" s="611"/>
      <c r="M298" s="611"/>
      <c r="N298" s="2"/>
      <c r="W298" t="s">
        <v>2047</v>
      </c>
    </row>
    <row r="299" spans="1:23" ht="13.15" customHeight="1" x14ac:dyDescent="0.2">
      <c r="A299" s="2" t="s">
        <v>2166</v>
      </c>
      <c r="B299" s="2">
        <f t="shared" si="8"/>
        <v>2022</v>
      </c>
      <c r="C299" s="2" t="str">
        <f t="shared" si="9"/>
        <v>KZN226</v>
      </c>
      <c r="D299" s="591">
        <v>1312</v>
      </c>
      <c r="E299" s="2">
        <v>65</v>
      </c>
      <c r="F299" s="610" t="s">
        <v>1905</v>
      </c>
      <c r="G299" s="611"/>
      <c r="H299" s="611"/>
      <c r="I299" s="611"/>
      <c r="J299" s="611"/>
      <c r="K299" s="611"/>
      <c r="L299" s="611"/>
      <c r="M299" s="611"/>
      <c r="N299" s="2"/>
      <c r="W299" t="s">
        <v>2047</v>
      </c>
    </row>
    <row r="300" spans="1:23" ht="13.15" customHeight="1" x14ac:dyDescent="0.2">
      <c r="A300" s="2" t="s">
        <v>2166</v>
      </c>
      <c r="B300" s="2">
        <f t="shared" si="8"/>
        <v>2022</v>
      </c>
      <c r="C300" s="2" t="str">
        <f t="shared" si="9"/>
        <v>KZN226</v>
      </c>
      <c r="D300" s="591">
        <v>1313</v>
      </c>
      <c r="E300" s="2">
        <v>66</v>
      </c>
      <c r="F300" s="610" t="s">
        <v>1906</v>
      </c>
      <c r="G300" s="611"/>
      <c r="H300" s="611"/>
      <c r="I300" s="611"/>
      <c r="J300" s="611"/>
      <c r="K300" s="611"/>
      <c r="L300" s="611"/>
      <c r="M300" s="611"/>
      <c r="N300" s="2"/>
      <c r="W300" t="s">
        <v>2047</v>
      </c>
    </row>
    <row r="301" spans="1:23" ht="13.15" customHeight="1" x14ac:dyDescent="0.2">
      <c r="A301" s="2" t="s">
        <v>2166</v>
      </c>
      <c r="B301" s="2">
        <f t="shared" si="8"/>
        <v>2022</v>
      </c>
      <c r="C301" s="2" t="str">
        <f t="shared" si="9"/>
        <v>KZN226</v>
      </c>
      <c r="D301" s="591">
        <v>1314</v>
      </c>
      <c r="E301" s="2">
        <v>67</v>
      </c>
      <c r="F301" s="610" t="s">
        <v>1907</v>
      </c>
      <c r="G301" s="611"/>
      <c r="H301" s="611"/>
      <c r="I301" s="611"/>
      <c r="J301" s="611"/>
      <c r="K301" s="611"/>
      <c r="L301" s="611"/>
      <c r="M301" s="611"/>
      <c r="N301" s="2"/>
      <c r="W301" t="s">
        <v>2047</v>
      </c>
    </row>
    <row r="302" spans="1:23" ht="13.15" customHeight="1" x14ac:dyDescent="0.2">
      <c r="A302" s="2" t="s">
        <v>2166</v>
      </c>
      <c r="B302" s="2">
        <f t="shared" si="8"/>
        <v>2022</v>
      </c>
      <c r="C302" s="2" t="str">
        <f t="shared" si="9"/>
        <v>KZN226</v>
      </c>
      <c r="D302" s="591">
        <v>1315</v>
      </c>
      <c r="E302" s="2">
        <v>68</v>
      </c>
      <c r="F302" s="610" t="s">
        <v>1908</v>
      </c>
      <c r="G302" s="611"/>
      <c r="H302" s="611"/>
      <c r="I302" s="611"/>
      <c r="J302" s="611"/>
      <c r="K302" s="611"/>
      <c r="L302" s="611"/>
      <c r="M302" s="611"/>
      <c r="N302" s="2"/>
      <c r="W302" t="s">
        <v>2047</v>
      </c>
    </row>
    <row r="303" spans="1:23" ht="13.15" customHeight="1" x14ac:dyDescent="0.2">
      <c r="A303" s="2" t="s">
        <v>2166</v>
      </c>
      <c r="B303" s="2">
        <f t="shared" si="8"/>
        <v>2022</v>
      </c>
      <c r="C303" s="2" t="str">
        <f t="shared" si="9"/>
        <v>KZN226</v>
      </c>
      <c r="D303" s="591">
        <v>1316</v>
      </c>
      <c r="E303" s="2">
        <v>69</v>
      </c>
      <c r="F303" s="610" t="s">
        <v>1909</v>
      </c>
      <c r="G303" s="611"/>
      <c r="H303" s="611"/>
      <c r="I303" s="611"/>
      <c r="J303" s="611"/>
      <c r="K303" s="611"/>
      <c r="L303" s="611"/>
      <c r="M303" s="611"/>
      <c r="N303" s="2"/>
      <c r="W303" t="s">
        <v>2047</v>
      </c>
    </row>
    <row r="304" spans="1:23" ht="13.15" customHeight="1" x14ac:dyDescent="0.2">
      <c r="A304" s="2" t="s">
        <v>2166</v>
      </c>
      <c r="B304" s="2">
        <f t="shared" si="8"/>
        <v>2022</v>
      </c>
      <c r="C304" s="2" t="str">
        <f t="shared" si="9"/>
        <v>KZN226</v>
      </c>
      <c r="D304" s="591">
        <v>1317</v>
      </c>
      <c r="E304" s="2">
        <v>70</v>
      </c>
      <c r="F304" s="610" t="s">
        <v>1910</v>
      </c>
      <c r="G304" s="611"/>
      <c r="H304" s="611"/>
      <c r="I304" s="611"/>
      <c r="J304" s="611"/>
      <c r="K304" s="611"/>
      <c r="L304" s="611"/>
      <c r="M304" s="611"/>
      <c r="N304" s="2"/>
      <c r="W304" t="s">
        <v>2047</v>
      </c>
    </row>
    <row r="305" spans="1:23" ht="13.15" customHeight="1" x14ac:dyDescent="0.2">
      <c r="A305" s="2" t="s">
        <v>2166</v>
      </c>
      <c r="B305" s="2">
        <f t="shared" si="8"/>
        <v>2022</v>
      </c>
      <c r="C305" s="2" t="str">
        <f t="shared" si="9"/>
        <v>KZN226</v>
      </c>
      <c r="D305" s="591">
        <v>1318</v>
      </c>
      <c r="E305" s="2">
        <v>71</v>
      </c>
      <c r="F305" s="610" t="s">
        <v>1911</v>
      </c>
      <c r="G305" s="611"/>
      <c r="H305" s="611"/>
      <c r="I305" s="611"/>
      <c r="J305" s="611"/>
      <c r="K305" s="611"/>
      <c r="L305" s="611"/>
      <c r="M305" s="611"/>
      <c r="N305" s="2"/>
      <c r="W305" t="s">
        <v>2047</v>
      </c>
    </row>
    <row r="306" spans="1:23" ht="13.15" customHeight="1" x14ac:dyDescent="0.2">
      <c r="A306" s="2" t="s">
        <v>2166</v>
      </c>
      <c r="B306" s="2">
        <f t="shared" si="8"/>
        <v>2022</v>
      </c>
      <c r="C306" s="2" t="str">
        <f t="shared" si="9"/>
        <v>KZN226</v>
      </c>
      <c r="D306" s="591">
        <v>1319</v>
      </c>
      <c r="E306" s="2">
        <v>72</v>
      </c>
      <c r="F306" s="617" t="s">
        <v>245</v>
      </c>
      <c r="G306" s="611"/>
      <c r="H306" s="611"/>
      <c r="I306" s="611"/>
      <c r="J306" s="611"/>
      <c r="K306" s="611"/>
      <c r="L306" s="611"/>
      <c r="M306" s="611"/>
      <c r="N306" s="2"/>
      <c r="W306" t="s">
        <v>2047</v>
      </c>
    </row>
    <row r="307" spans="1:23" ht="13.15" customHeight="1" x14ac:dyDescent="0.2">
      <c r="A307" s="2" t="s">
        <v>2166</v>
      </c>
      <c r="B307" s="2">
        <f t="shared" si="8"/>
        <v>2022</v>
      </c>
      <c r="C307" s="2" t="str">
        <f t="shared" si="9"/>
        <v>KZN226</v>
      </c>
      <c r="D307" s="591"/>
      <c r="E307" s="2"/>
      <c r="F307" s="613"/>
      <c r="G307" s="611"/>
      <c r="H307" s="611"/>
      <c r="I307" s="611"/>
      <c r="J307" s="611"/>
      <c r="K307" s="611"/>
      <c r="L307" s="611"/>
      <c r="M307" s="611"/>
      <c r="N307" s="2"/>
      <c r="W307" t="s">
        <v>2047</v>
      </c>
    </row>
    <row r="308" spans="1:23" ht="13.15" customHeight="1" x14ac:dyDescent="0.2">
      <c r="A308" s="2" t="s">
        <v>2166</v>
      </c>
      <c r="B308" s="2">
        <f t="shared" si="8"/>
        <v>2022</v>
      </c>
      <c r="C308" s="2" t="str">
        <f t="shared" si="9"/>
        <v>KZN226</v>
      </c>
      <c r="D308" s="591">
        <v>1400</v>
      </c>
      <c r="E308" s="2">
        <v>73</v>
      </c>
      <c r="F308" s="609" t="s">
        <v>1880</v>
      </c>
      <c r="G308" s="611"/>
      <c r="H308" s="611"/>
      <c r="I308" s="611"/>
      <c r="J308" s="611"/>
      <c r="K308" s="611"/>
      <c r="L308" s="611"/>
      <c r="M308" s="611"/>
      <c r="N308" s="2"/>
      <c r="W308" t="s">
        <v>2047</v>
      </c>
    </row>
    <row r="309" spans="1:23" ht="13.15" customHeight="1" x14ac:dyDescent="0.2">
      <c r="A309" s="2" t="s">
        <v>2166</v>
      </c>
      <c r="B309" s="2">
        <f t="shared" si="8"/>
        <v>2022</v>
      </c>
      <c r="C309" s="2" t="str">
        <f t="shared" si="9"/>
        <v>KZN226</v>
      </c>
      <c r="D309" s="591">
        <v>1401</v>
      </c>
      <c r="E309" s="2">
        <v>74</v>
      </c>
      <c r="F309" s="613" t="s">
        <v>1857</v>
      </c>
      <c r="G309" s="611"/>
      <c r="H309" s="611"/>
      <c r="I309" s="611"/>
      <c r="J309" s="611"/>
      <c r="K309" s="611"/>
      <c r="L309" s="611"/>
      <c r="M309" s="611"/>
      <c r="N309" s="2"/>
      <c r="W309" t="s">
        <v>2047</v>
      </c>
    </row>
    <row r="310" spans="1:23" ht="13.15" customHeight="1" x14ac:dyDescent="0.2">
      <c r="A310" s="2" t="s">
        <v>2166</v>
      </c>
      <c r="B310" s="2">
        <f t="shared" si="8"/>
        <v>2022</v>
      </c>
      <c r="C310" s="2" t="str">
        <f t="shared" si="9"/>
        <v>KZN226</v>
      </c>
      <c r="D310" s="591">
        <v>1402</v>
      </c>
      <c r="E310" s="2">
        <v>75</v>
      </c>
      <c r="F310" s="610" t="s">
        <v>1881</v>
      </c>
      <c r="G310" s="611"/>
      <c r="H310" s="611"/>
      <c r="I310" s="611"/>
      <c r="J310" s="611"/>
      <c r="K310" s="611"/>
      <c r="L310" s="611"/>
      <c r="M310" s="611"/>
      <c r="N310" s="2"/>
      <c r="W310" t="s">
        <v>2047</v>
      </c>
    </row>
    <row r="311" spans="1:23" ht="13.15" customHeight="1" x14ac:dyDescent="0.2">
      <c r="A311" s="2" t="s">
        <v>2166</v>
      </c>
      <c r="B311" s="2">
        <f t="shared" si="8"/>
        <v>2022</v>
      </c>
      <c r="C311" s="2" t="str">
        <f t="shared" si="9"/>
        <v>KZN226</v>
      </c>
      <c r="D311" s="591">
        <v>1403</v>
      </c>
      <c r="E311" s="2">
        <v>76</v>
      </c>
      <c r="F311" s="610" t="s">
        <v>1882</v>
      </c>
      <c r="G311" s="611"/>
      <c r="H311" s="611"/>
      <c r="I311" s="611"/>
      <c r="J311" s="611"/>
      <c r="K311" s="611"/>
      <c r="L311" s="611"/>
      <c r="M311" s="611"/>
      <c r="N311" s="2"/>
      <c r="W311" t="s">
        <v>2047</v>
      </c>
    </row>
    <row r="312" spans="1:23" ht="13.15" customHeight="1" x14ac:dyDescent="0.2">
      <c r="A312" s="2" t="s">
        <v>2166</v>
      </c>
      <c r="B312" s="2">
        <f t="shared" si="8"/>
        <v>2022</v>
      </c>
      <c r="C312" s="2" t="str">
        <f t="shared" si="9"/>
        <v>KZN226</v>
      </c>
      <c r="D312" s="591">
        <v>1404</v>
      </c>
      <c r="E312" s="2">
        <v>77</v>
      </c>
      <c r="F312" s="610" t="s">
        <v>1883</v>
      </c>
      <c r="G312" s="611"/>
      <c r="H312" s="611"/>
      <c r="I312" s="611"/>
      <c r="J312" s="611"/>
      <c r="K312" s="611"/>
      <c r="L312" s="611"/>
      <c r="M312" s="611"/>
      <c r="N312" s="2"/>
      <c r="W312" t="s">
        <v>2047</v>
      </c>
    </row>
    <row r="313" spans="1:23" ht="13.15" customHeight="1" x14ac:dyDescent="0.2">
      <c r="A313" s="2" t="s">
        <v>2166</v>
      </c>
      <c r="B313" s="2">
        <f t="shared" si="8"/>
        <v>2022</v>
      </c>
      <c r="C313" s="2" t="str">
        <f t="shared" si="9"/>
        <v>KZN226</v>
      </c>
      <c r="D313" s="591">
        <v>1405</v>
      </c>
      <c r="E313" s="2">
        <v>78</v>
      </c>
      <c r="F313" s="610" t="s">
        <v>1884</v>
      </c>
      <c r="G313" s="611"/>
      <c r="H313" s="611"/>
      <c r="I313" s="611"/>
      <c r="J313" s="611"/>
      <c r="K313" s="611"/>
      <c r="L313" s="611"/>
      <c r="M313" s="611"/>
      <c r="N313" s="2"/>
      <c r="W313" t="s">
        <v>2047</v>
      </c>
    </row>
    <row r="314" spans="1:23" ht="13.15" customHeight="1" x14ac:dyDescent="0.2">
      <c r="A314" s="2" t="s">
        <v>2175</v>
      </c>
      <c r="B314" s="2">
        <f t="shared" si="8"/>
        <v>2022</v>
      </c>
      <c r="C314" s="2" t="str">
        <f t="shared" si="9"/>
        <v>KZN226</v>
      </c>
      <c r="D314" s="591">
        <v>1000</v>
      </c>
      <c r="E314" s="2">
        <v>1</v>
      </c>
      <c r="F314" s="2" t="s">
        <v>1926</v>
      </c>
      <c r="G314" s="611"/>
      <c r="H314" s="611"/>
      <c r="I314" s="611"/>
      <c r="J314" s="611"/>
      <c r="K314" s="611"/>
      <c r="L314" s="611"/>
      <c r="M314" s="611"/>
      <c r="N314" s="611"/>
      <c r="O314" s="611"/>
      <c r="P314" s="611"/>
      <c r="Q314" s="2"/>
      <c r="R314" s="2"/>
      <c r="S314" s="2"/>
      <c r="T314" s="2"/>
      <c r="U314" s="2"/>
      <c r="V314" s="2"/>
      <c r="W314" t="s">
        <v>2047</v>
      </c>
    </row>
    <row r="315" spans="1:23" ht="13.15" customHeight="1" x14ac:dyDescent="0.2">
      <c r="A315" s="2" t="s">
        <v>2175</v>
      </c>
      <c r="B315" s="2">
        <f t="shared" si="8"/>
        <v>2022</v>
      </c>
      <c r="C315" s="2" t="str">
        <f t="shared" si="9"/>
        <v>KZN226</v>
      </c>
      <c r="D315" s="591">
        <v>1001</v>
      </c>
      <c r="E315" s="2">
        <v>2</v>
      </c>
      <c r="F315" s="2" t="s">
        <v>682</v>
      </c>
      <c r="G315" s="611"/>
      <c r="H315" s="611"/>
      <c r="I315" s="611"/>
      <c r="J315" s="611"/>
      <c r="K315" s="611"/>
      <c r="L315" s="611"/>
      <c r="M315" s="611"/>
      <c r="N315" s="611"/>
      <c r="O315" s="611"/>
      <c r="P315" s="611"/>
      <c r="Q315" s="2"/>
      <c r="R315" s="2"/>
      <c r="S315" s="2"/>
      <c r="T315" s="2"/>
      <c r="U315" s="2"/>
      <c r="V315" s="2"/>
      <c r="W315" t="s">
        <v>2047</v>
      </c>
    </row>
    <row r="316" spans="1:23" ht="13.15" customHeight="1" x14ac:dyDescent="0.2">
      <c r="A316" s="2" t="s">
        <v>2175</v>
      </c>
      <c r="B316" s="2">
        <f t="shared" si="8"/>
        <v>2022</v>
      </c>
      <c r="C316" s="2" t="str">
        <f t="shared" si="9"/>
        <v>KZN226</v>
      </c>
      <c r="D316" s="591">
        <v>1002</v>
      </c>
      <c r="E316" s="2">
        <v>3</v>
      </c>
      <c r="F316" s="2" t="s">
        <v>467</v>
      </c>
      <c r="G316" s="611"/>
      <c r="H316" s="611"/>
      <c r="I316" s="611"/>
      <c r="J316" s="611"/>
      <c r="K316" s="611"/>
      <c r="L316" s="611"/>
      <c r="M316" s="611"/>
      <c r="N316" s="611"/>
      <c r="O316" s="611"/>
      <c r="P316" s="611"/>
      <c r="Q316" s="2"/>
      <c r="R316" s="2"/>
      <c r="S316" s="2"/>
      <c r="T316" s="2"/>
      <c r="U316" s="2"/>
      <c r="V316" s="2"/>
      <c r="W316" t="s">
        <v>2047</v>
      </c>
    </row>
    <row r="317" spans="1:23" ht="13.15" customHeight="1" x14ac:dyDescent="0.2">
      <c r="A317" s="2" t="s">
        <v>2175</v>
      </c>
      <c r="B317" s="2">
        <f t="shared" si="8"/>
        <v>2022</v>
      </c>
      <c r="C317" s="2" t="str">
        <f t="shared" si="9"/>
        <v>KZN226</v>
      </c>
      <c r="D317" s="591">
        <v>1003</v>
      </c>
      <c r="E317" s="2">
        <v>4</v>
      </c>
      <c r="F317" s="2" t="s">
        <v>1361</v>
      </c>
      <c r="G317" s="611"/>
      <c r="H317" s="611"/>
      <c r="I317" s="611"/>
      <c r="J317" s="611"/>
      <c r="K317" s="611"/>
      <c r="L317" s="611"/>
      <c r="M317" s="611"/>
      <c r="N317" s="611"/>
      <c r="O317" s="611"/>
      <c r="P317" s="611"/>
      <c r="Q317" s="2"/>
      <c r="R317" s="2"/>
      <c r="S317" s="2"/>
      <c r="T317" s="2"/>
      <c r="U317" s="2"/>
      <c r="V317" s="2"/>
      <c r="W317" t="s">
        <v>2047</v>
      </c>
    </row>
    <row r="318" spans="1:23" ht="13.15" customHeight="1" x14ac:dyDescent="0.2">
      <c r="A318" s="2" t="s">
        <v>2175</v>
      </c>
      <c r="B318" s="2">
        <f t="shared" si="8"/>
        <v>2022</v>
      </c>
      <c r="C318" s="2" t="str">
        <f t="shared" si="9"/>
        <v>KZN226</v>
      </c>
      <c r="D318" s="591">
        <v>1004</v>
      </c>
      <c r="E318" s="2">
        <v>5</v>
      </c>
      <c r="F318" s="2" t="s">
        <v>1362</v>
      </c>
      <c r="G318" s="611"/>
      <c r="H318" s="611"/>
      <c r="I318" s="611"/>
      <c r="J318" s="611"/>
      <c r="K318" s="611"/>
      <c r="L318" s="611"/>
      <c r="M318" s="611"/>
      <c r="N318" s="611"/>
      <c r="O318" s="611"/>
      <c r="P318" s="611"/>
      <c r="Q318" s="2"/>
      <c r="R318" s="2"/>
      <c r="S318" s="2"/>
      <c r="T318" s="2"/>
      <c r="U318" s="2"/>
      <c r="V318" s="2"/>
      <c r="W318" t="s">
        <v>2047</v>
      </c>
    </row>
    <row r="319" spans="1:23" ht="13.15" customHeight="1" x14ac:dyDescent="0.2">
      <c r="A319" s="2" t="s">
        <v>2175</v>
      </c>
      <c r="B319" s="2">
        <f t="shared" si="8"/>
        <v>2022</v>
      </c>
      <c r="C319" s="2" t="str">
        <f t="shared" si="9"/>
        <v>KZN226</v>
      </c>
      <c r="D319" s="591">
        <v>1005</v>
      </c>
      <c r="E319" s="2">
        <v>6</v>
      </c>
      <c r="F319" s="2" t="s">
        <v>1363</v>
      </c>
      <c r="G319" s="611"/>
      <c r="H319" s="611"/>
      <c r="I319" s="611"/>
      <c r="J319" s="611"/>
      <c r="K319" s="611"/>
      <c r="L319" s="611"/>
      <c r="M319" s="611"/>
      <c r="N319" s="611"/>
      <c r="O319" s="611"/>
      <c r="P319" s="611"/>
      <c r="Q319" s="2"/>
      <c r="R319" s="2"/>
      <c r="S319" s="2"/>
      <c r="T319" s="2"/>
      <c r="U319" s="2"/>
      <c r="V319" s="2"/>
      <c r="W319" t="s">
        <v>2047</v>
      </c>
    </row>
    <row r="320" spans="1:23" ht="13.15" customHeight="1" x14ac:dyDescent="0.2">
      <c r="A320" s="2" t="s">
        <v>2175</v>
      </c>
      <c r="B320" s="2">
        <f t="shared" si="8"/>
        <v>2022</v>
      </c>
      <c r="C320" s="2" t="str">
        <f t="shared" si="9"/>
        <v>KZN226</v>
      </c>
      <c r="D320" s="591">
        <v>1006</v>
      </c>
      <c r="E320" s="2">
        <v>7</v>
      </c>
      <c r="F320" s="2" t="s">
        <v>702</v>
      </c>
      <c r="G320" s="611"/>
      <c r="H320" s="611"/>
      <c r="I320" s="611"/>
      <c r="J320" s="611"/>
      <c r="K320" s="611"/>
      <c r="L320" s="611"/>
      <c r="M320" s="611"/>
      <c r="N320" s="611"/>
      <c r="O320" s="611"/>
      <c r="P320" s="611"/>
      <c r="Q320" s="2"/>
      <c r="R320" s="2"/>
      <c r="S320" s="2"/>
      <c r="T320" s="2"/>
      <c r="U320" s="2"/>
      <c r="V320" s="2"/>
      <c r="W320" t="s">
        <v>2047</v>
      </c>
    </row>
    <row r="321" spans="1:23" ht="13.15" customHeight="1" x14ac:dyDescent="0.2">
      <c r="A321" s="2" t="s">
        <v>2175</v>
      </c>
      <c r="B321" s="2">
        <f t="shared" si="8"/>
        <v>2022</v>
      </c>
      <c r="C321" s="2" t="str">
        <f t="shared" si="9"/>
        <v>KZN226</v>
      </c>
      <c r="D321" s="591">
        <v>1007</v>
      </c>
      <c r="E321" s="2">
        <v>8</v>
      </c>
      <c r="F321" s="2" t="s">
        <v>821</v>
      </c>
      <c r="G321" s="611"/>
      <c r="H321" s="611"/>
      <c r="I321" s="611"/>
      <c r="J321" s="611"/>
      <c r="K321" s="611"/>
      <c r="L321" s="611"/>
      <c r="M321" s="611"/>
      <c r="N321" s="611"/>
      <c r="O321" s="611"/>
      <c r="P321" s="611"/>
      <c r="Q321" s="2"/>
      <c r="R321" s="2"/>
      <c r="S321" s="2"/>
      <c r="T321" s="2"/>
      <c r="U321" s="2"/>
      <c r="V321" s="2"/>
      <c r="W321" t="s">
        <v>2047</v>
      </c>
    </row>
    <row r="322" spans="1:23" ht="13.15" customHeight="1" x14ac:dyDescent="0.2">
      <c r="A322" s="2" t="s">
        <v>2175</v>
      </c>
      <c r="B322" s="2">
        <f t="shared" ref="B322:B385" si="10">+MTREF</f>
        <v>2022</v>
      </c>
      <c r="C322" s="2" t="str">
        <f t="shared" ref="C322:C385" si="11">LEFT(muni,(FIND(" ",muni,1)-1))</f>
        <v>KZN226</v>
      </c>
      <c r="D322" s="591">
        <v>1008</v>
      </c>
      <c r="E322" s="2">
        <v>9</v>
      </c>
      <c r="F322" s="2" t="s">
        <v>569</v>
      </c>
      <c r="G322" s="611"/>
      <c r="H322" s="611"/>
      <c r="I322" s="611"/>
      <c r="J322" s="611"/>
      <c r="K322" s="611"/>
      <c r="L322" s="611"/>
      <c r="M322" s="611"/>
      <c r="N322" s="611"/>
      <c r="O322" s="611"/>
      <c r="P322" s="611"/>
      <c r="Q322" s="2"/>
      <c r="R322" s="2"/>
      <c r="S322" s="2"/>
      <c r="T322" s="2"/>
      <c r="U322" s="2"/>
      <c r="V322" s="2"/>
      <c r="W322" t="s">
        <v>2047</v>
      </c>
    </row>
    <row r="323" spans="1:23" ht="13.15" customHeight="1" x14ac:dyDescent="0.2">
      <c r="A323" s="2" t="s">
        <v>2175</v>
      </c>
      <c r="B323" s="2">
        <f t="shared" si="10"/>
        <v>2022</v>
      </c>
      <c r="C323" s="2" t="str">
        <f t="shared" si="11"/>
        <v>KZN226</v>
      </c>
      <c r="D323" s="591">
        <v>1009</v>
      </c>
      <c r="E323" s="2">
        <v>10</v>
      </c>
      <c r="F323" s="2" t="s">
        <v>245</v>
      </c>
      <c r="G323" s="611"/>
      <c r="H323" s="611"/>
      <c r="I323" s="611"/>
      <c r="J323" s="611"/>
      <c r="K323" s="611"/>
      <c r="L323" s="611"/>
      <c r="M323" s="611"/>
      <c r="N323" s="611"/>
      <c r="O323" s="611"/>
      <c r="P323" s="611"/>
      <c r="Q323" s="2"/>
      <c r="R323" s="2"/>
      <c r="S323" s="2"/>
      <c r="T323" s="2"/>
      <c r="U323" s="2"/>
      <c r="V323" s="2"/>
      <c r="W323" t="s">
        <v>2047</v>
      </c>
    </row>
    <row r="324" spans="1:23" ht="13.15" customHeight="1" x14ac:dyDescent="0.2">
      <c r="A324" s="2" t="s">
        <v>2175</v>
      </c>
      <c r="B324" s="2">
        <f t="shared" si="10"/>
        <v>2022</v>
      </c>
      <c r="C324" s="2" t="str">
        <f t="shared" si="11"/>
        <v>KZN226</v>
      </c>
      <c r="D324" s="591">
        <v>1090</v>
      </c>
      <c r="E324" s="2">
        <v>11</v>
      </c>
      <c r="F324" s="2" t="s">
        <v>117</v>
      </c>
      <c r="G324" s="611"/>
      <c r="H324" s="611"/>
      <c r="I324" s="611"/>
      <c r="J324" s="611"/>
      <c r="K324" s="611"/>
      <c r="L324" s="611"/>
      <c r="M324" s="611"/>
      <c r="N324" s="611"/>
      <c r="O324" s="611"/>
      <c r="P324" s="611"/>
      <c r="Q324" s="2"/>
      <c r="R324" s="611"/>
      <c r="S324" s="611"/>
      <c r="T324" s="611"/>
      <c r="U324" s="611"/>
      <c r="V324" s="611"/>
      <c r="W324" t="s">
        <v>2047</v>
      </c>
    </row>
    <row r="325" spans="1:23" ht="13.15" customHeight="1" x14ac:dyDescent="0.2">
      <c r="A325" s="2" t="s">
        <v>2175</v>
      </c>
      <c r="B325" s="2">
        <f t="shared" si="10"/>
        <v>2022</v>
      </c>
      <c r="C325" s="2" t="str">
        <f t="shared" si="11"/>
        <v>KZN226</v>
      </c>
      <c r="D325" s="591">
        <v>1091</v>
      </c>
      <c r="E325" s="2">
        <v>12</v>
      </c>
      <c r="F325" s="2" t="s">
        <v>681</v>
      </c>
      <c r="G325" s="611"/>
      <c r="H325" s="611"/>
      <c r="I325" s="611"/>
      <c r="J325" s="611"/>
      <c r="K325" s="611"/>
      <c r="L325" s="611"/>
      <c r="M325" s="611"/>
      <c r="N325" s="611"/>
      <c r="O325" s="611"/>
      <c r="P325" s="611"/>
      <c r="Q325" s="2"/>
      <c r="R325" s="2"/>
      <c r="S325" s="2"/>
      <c r="T325" s="2"/>
      <c r="U325" s="2"/>
      <c r="V325" s="2"/>
      <c r="W325" t="s">
        <v>2047</v>
      </c>
    </row>
    <row r="326" spans="1:23" ht="13.15" customHeight="1" x14ac:dyDescent="0.2">
      <c r="A326" s="2" t="s">
        <v>2175</v>
      </c>
      <c r="B326" s="2">
        <f t="shared" si="10"/>
        <v>2022</v>
      </c>
      <c r="C326" s="2" t="str">
        <f t="shared" si="11"/>
        <v>KZN226</v>
      </c>
      <c r="D326" s="591">
        <v>1095</v>
      </c>
      <c r="E326" s="599">
        <v>13</v>
      </c>
      <c r="F326" s="2" t="s">
        <v>703</v>
      </c>
      <c r="G326" s="611"/>
      <c r="H326" s="611"/>
      <c r="I326" s="611"/>
      <c r="J326" s="611"/>
      <c r="K326" s="611"/>
      <c r="L326" s="611"/>
      <c r="M326" s="611"/>
      <c r="N326" s="611"/>
      <c r="O326" s="611"/>
      <c r="P326" s="611"/>
      <c r="Q326" s="2"/>
      <c r="R326" s="611"/>
      <c r="S326" s="611"/>
      <c r="T326" s="611"/>
      <c r="U326" s="611"/>
      <c r="V326" s="611"/>
      <c r="W326" t="s">
        <v>2047</v>
      </c>
    </row>
    <row r="327" spans="1:23" ht="13.15" customHeight="1" x14ac:dyDescent="0.2">
      <c r="A327" s="2" t="s">
        <v>2175</v>
      </c>
      <c r="B327" s="2">
        <f t="shared" si="10"/>
        <v>2022</v>
      </c>
      <c r="C327" s="2" t="str">
        <f t="shared" si="11"/>
        <v>KZN226</v>
      </c>
      <c r="D327" s="591">
        <v>1096</v>
      </c>
      <c r="E327" s="599">
        <v>14</v>
      </c>
      <c r="F327" s="2" t="s">
        <v>113</v>
      </c>
      <c r="G327" s="611"/>
      <c r="H327" s="611"/>
      <c r="I327" s="611"/>
      <c r="J327" s="611"/>
      <c r="K327" s="611"/>
      <c r="L327" s="611"/>
      <c r="M327" s="611"/>
      <c r="N327" s="611"/>
      <c r="O327" s="611"/>
      <c r="P327" s="611"/>
      <c r="Q327" s="2"/>
      <c r="R327" s="611"/>
      <c r="S327" s="611"/>
      <c r="T327" s="611"/>
      <c r="U327" s="611"/>
      <c r="V327" s="611"/>
      <c r="W327" t="s">
        <v>2047</v>
      </c>
    </row>
    <row r="328" spans="1:23" ht="13.15" customHeight="1" x14ac:dyDescent="0.2">
      <c r="A328" s="2" t="s">
        <v>2175</v>
      </c>
      <c r="B328" s="2">
        <f t="shared" si="10"/>
        <v>2022</v>
      </c>
      <c r="C328" s="2" t="str">
        <f t="shared" si="11"/>
        <v>KZN226</v>
      </c>
      <c r="D328" s="591"/>
      <c r="E328" s="2"/>
      <c r="F328" s="2"/>
      <c r="G328" s="611"/>
      <c r="H328" s="611"/>
      <c r="I328" s="611"/>
      <c r="J328" s="611"/>
      <c r="K328" s="611"/>
      <c r="L328" s="611"/>
      <c r="M328" s="611"/>
      <c r="N328" s="611"/>
      <c r="O328" s="611"/>
      <c r="P328" s="611"/>
      <c r="Q328" s="2"/>
      <c r="R328" s="2"/>
      <c r="S328" s="2"/>
      <c r="T328" s="2"/>
      <c r="U328" s="2"/>
      <c r="V328" s="2"/>
      <c r="W328" t="s">
        <v>2047</v>
      </c>
    </row>
    <row r="329" spans="1:23" ht="13.15" customHeight="1" x14ac:dyDescent="0.2">
      <c r="A329" s="2" t="s">
        <v>2175</v>
      </c>
      <c r="B329" s="2">
        <f t="shared" si="10"/>
        <v>2022</v>
      </c>
      <c r="C329" s="2" t="str">
        <f t="shared" si="11"/>
        <v>KZN226</v>
      </c>
      <c r="D329" s="591">
        <v>1100</v>
      </c>
      <c r="E329" s="5">
        <v>15</v>
      </c>
      <c r="F329" s="2" t="s">
        <v>1927</v>
      </c>
      <c r="G329" s="611"/>
      <c r="H329" s="611"/>
      <c r="I329" s="611"/>
      <c r="J329" s="611"/>
      <c r="K329" s="611"/>
      <c r="L329" s="611"/>
      <c r="M329" s="611"/>
      <c r="N329" s="611"/>
      <c r="O329" s="611"/>
      <c r="P329" s="611"/>
      <c r="Q329" s="2"/>
      <c r="R329" s="2"/>
      <c r="S329" s="2"/>
      <c r="T329" s="2"/>
      <c r="U329" s="2"/>
      <c r="V329" s="2"/>
      <c r="W329" t="s">
        <v>2047</v>
      </c>
    </row>
    <row r="330" spans="1:23" ht="13.15" customHeight="1" x14ac:dyDescent="0.2">
      <c r="A330" s="2" t="s">
        <v>2175</v>
      </c>
      <c r="B330" s="2">
        <f t="shared" si="10"/>
        <v>2022</v>
      </c>
      <c r="C330" s="2" t="str">
        <f t="shared" si="11"/>
        <v>KZN226</v>
      </c>
      <c r="D330" s="591">
        <v>1101</v>
      </c>
      <c r="E330" s="2">
        <v>16</v>
      </c>
      <c r="F330" s="2" t="s">
        <v>682</v>
      </c>
      <c r="G330" s="611"/>
      <c r="H330" s="611"/>
      <c r="I330" s="611"/>
      <c r="J330" s="611"/>
      <c r="K330" s="611"/>
      <c r="L330" s="611"/>
      <c r="M330" s="611"/>
      <c r="N330" s="611"/>
      <c r="O330" s="611"/>
      <c r="P330" s="611"/>
      <c r="Q330" s="2"/>
      <c r="R330" s="2"/>
      <c r="S330" s="2"/>
      <c r="T330" s="2"/>
      <c r="U330" s="2"/>
      <c r="V330" s="2"/>
      <c r="W330" t="s">
        <v>2047</v>
      </c>
    </row>
    <row r="331" spans="1:23" ht="13.15" customHeight="1" x14ac:dyDescent="0.2">
      <c r="A331" s="2" t="s">
        <v>2175</v>
      </c>
      <c r="B331" s="2">
        <f t="shared" si="10"/>
        <v>2022</v>
      </c>
      <c r="C331" s="2" t="str">
        <f t="shared" si="11"/>
        <v>KZN226</v>
      </c>
      <c r="D331" s="591">
        <v>1102</v>
      </c>
      <c r="E331" s="2">
        <v>17</v>
      </c>
      <c r="F331" s="2" t="s">
        <v>467</v>
      </c>
      <c r="G331" s="611"/>
      <c r="H331" s="611"/>
      <c r="I331" s="611"/>
      <c r="J331" s="611"/>
      <c r="K331" s="611"/>
      <c r="L331" s="611"/>
      <c r="M331" s="611"/>
      <c r="N331" s="611"/>
      <c r="O331" s="611"/>
      <c r="P331" s="611"/>
      <c r="Q331" s="2"/>
      <c r="R331" s="2"/>
      <c r="S331" s="2"/>
      <c r="T331" s="2"/>
      <c r="U331" s="2"/>
      <c r="V331" s="2"/>
      <c r="W331" t="s">
        <v>2047</v>
      </c>
    </row>
    <row r="332" spans="1:23" ht="13.15" customHeight="1" x14ac:dyDescent="0.2">
      <c r="A332" s="2" t="s">
        <v>2175</v>
      </c>
      <c r="B332" s="2">
        <f t="shared" si="10"/>
        <v>2022</v>
      </c>
      <c r="C332" s="2" t="str">
        <f t="shared" si="11"/>
        <v>KZN226</v>
      </c>
      <c r="D332" s="591">
        <v>1103</v>
      </c>
      <c r="E332" s="2">
        <v>18</v>
      </c>
      <c r="F332" s="2" t="s">
        <v>1361</v>
      </c>
      <c r="G332" s="611"/>
      <c r="H332" s="611"/>
      <c r="I332" s="611"/>
      <c r="J332" s="611"/>
      <c r="K332" s="611"/>
      <c r="L332" s="611"/>
      <c r="M332" s="611"/>
      <c r="N332" s="611"/>
      <c r="O332" s="611"/>
      <c r="P332" s="611"/>
      <c r="Q332" s="2"/>
      <c r="R332" s="2"/>
      <c r="S332" s="2"/>
      <c r="T332" s="2"/>
      <c r="U332" s="2"/>
      <c r="V332" s="2"/>
      <c r="W332" t="s">
        <v>2047</v>
      </c>
    </row>
    <row r="333" spans="1:23" ht="13.15" customHeight="1" x14ac:dyDescent="0.2">
      <c r="A333" s="2" t="s">
        <v>2175</v>
      </c>
      <c r="B333" s="2">
        <f t="shared" si="10"/>
        <v>2022</v>
      </c>
      <c r="C333" s="2" t="str">
        <f t="shared" si="11"/>
        <v>KZN226</v>
      </c>
      <c r="D333" s="591">
        <v>1110</v>
      </c>
      <c r="E333" s="2">
        <v>19</v>
      </c>
      <c r="F333" s="2" t="s">
        <v>1362</v>
      </c>
      <c r="G333" s="611"/>
      <c r="H333" s="611"/>
      <c r="I333" s="611"/>
      <c r="J333" s="611"/>
      <c r="K333" s="611"/>
      <c r="L333" s="611"/>
      <c r="M333" s="611"/>
      <c r="N333" s="611"/>
      <c r="O333" s="611"/>
      <c r="P333" s="611"/>
      <c r="Q333" s="2"/>
      <c r="R333" s="2"/>
      <c r="S333" s="2"/>
      <c r="T333" s="2"/>
      <c r="U333" s="2"/>
      <c r="V333" s="2"/>
      <c r="W333" t="s">
        <v>2047</v>
      </c>
    </row>
    <row r="334" spans="1:23" ht="13.15" customHeight="1" x14ac:dyDescent="0.2">
      <c r="A334" s="2" t="s">
        <v>2175</v>
      </c>
      <c r="B334" s="2">
        <f t="shared" si="10"/>
        <v>2022</v>
      </c>
      <c r="C334" s="2" t="str">
        <f t="shared" si="11"/>
        <v>KZN226</v>
      </c>
      <c r="D334" s="591">
        <v>1107</v>
      </c>
      <c r="E334" s="2">
        <v>20</v>
      </c>
      <c r="F334" s="2" t="s">
        <v>1363</v>
      </c>
      <c r="G334" s="611"/>
      <c r="H334" s="611"/>
      <c r="I334" s="611"/>
      <c r="J334" s="611"/>
      <c r="K334" s="611"/>
      <c r="L334" s="611"/>
      <c r="M334" s="611"/>
      <c r="N334" s="611"/>
      <c r="O334" s="611"/>
      <c r="P334" s="611"/>
      <c r="Q334" s="2"/>
      <c r="R334" s="2"/>
      <c r="S334" s="2"/>
      <c r="T334" s="2"/>
      <c r="U334" s="2"/>
      <c r="V334" s="2"/>
      <c r="W334" t="s">
        <v>2047</v>
      </c>
    </row>
    <row r="335" spans="1:23" ht="13.15" customHeight="1" x14ac:dyDescent="0.2">
      <c r="A335" s="2" t="s">
        <v>2175</v>
      </c>
      <c r="B335" s="2">
        <f t="shared" si="10"/>
        <v>2022</v>
      </c>
      <c r="C335" s="2" t="str">
        <f t="shared" si="11"/>
        <v>KZN226</v>
      </c>
      <c r="D335" s="591">
        <v>1104</v>
      </c>
      <c r="E335" s="2">
        <v>21</v>
      </c>
      <c r="F335" s="2" t="s">
        <v>702</v>
      </c>
      <c r="G335" s="611"/>
      <c r="H335" s="611"/>
      <c r="I335" s="611"/>
      <c r="J335" s="611"/>
      <c r="K335" s="611"/>
      <c r="L335" s="611"/>
      <c r="M335" s="611"/>
      <c r="N335" s="611"/>
      <c r="O335" s="611"/>
      <c r="P335" s="611"/>
      <c r="Q335" s="2"/>
      <c r="R335" s="2"/>
      <c r="S335" s="2"/>
      <c r="T335" s="2"/>
      <c r="U335" s="2"/>
      <c r="V335" s="2"/>
      <c r="W335" t="s">
        <v>2047</v>
      </c>
    </row>
    <row r="336" spans="1:23" ht="13.15" customHeight="1" x14ac:dyDescent="0.2">
      <c r="A336" s="2" t="s">
        <v>2175</v>
      </c>
      <c r="B336" s="2">
        <f t="shared" si="10"/>
        <v>2022</v>
      </c>
      <c r="C336" s="2" t="str">
        <f t="shared" si="11"/>
        <v>KZN226</v>
      </c>
      <c r="D336" s="591">
        <v>1105</v>
      </c>
      <c r="E336" s="2">
        <v>22</v>
      </c>
      <c r="F336" s="2" t="s">
        <v>821</v>
      </c>
      <c r="G336" s="611"/>
      <c r="H336" s="611"/>
      <c r="I336" s="611"/>
      <c r="J336" s="611"/>
      <c r="K336" s="611"/>
      <c r="L336" s="611"/>
      <c r="M336" s="611"/>
      <c r="N336" s="611"/>
      <c r="O336" s="611"/>
      <c r="P336" s="611"/>
      <c r="Q336" s="2"/>
      <c r="R336" s="2"/>
      <c r="S336" s="2"/>
      <c r="T336" s="2"/>
      <c r="U336" s="2"/>
      <c r="V336" s="2"/>
      <c r="W336" t="s">
        <v>2047</v>
      </c>
    </row>
    <row r="337" spans="1:23" ht="13.15" customHeight="1" x14ac:dyDescent="0.2">
      <c r="A337" s="2" t="s">
        <v>2175</v>
      </c>
      <c r="B337" s="2">
        <f t="shared" si="10"/>
        <v>2022</v>
      </c>
      <c r="C337" s="2" t="str">
        <f t="shared" si="11"/>
        <v>KZN226</v>
      </c>
      <c r="D337" s="591">
        <v>1106</v>
      </c>
      <c r="E337" s="2">
        <v>23</v>
      </c>
      <c r="F337" s="2" t="s">
        <v>569</v>
      </c>
      <c r="G337" s="611"/>
      <c r="H337" s="611"/>
      <c r="I337" s="611"/>
      <c r="J337" s="611"/>
      <c r="K337" s="611"/>
      <c r="L337" s="611"/>
      <c r="M337" s="611"/>
      <c r="N337" s="611"/>
      <c r="O337" s="611"/>
      <c r="P337" s="611"/>
      <c r="Q337" s="2"/>
      <c r="R337" s="2"/>
      <c r="S337" s="2"/>
      <c r="T337" s="2"/>
      <c r="U337" s="2"/>
      <c r="V337" s="2"/>
      <c r="W337" t="s">
        <v>2047</v>
      </c>
    </row>
    <row r="338" spans="1:23" ht="13.15" customHeight="1" x14ac:dyDescent="0.2">
      <c r="A338" s="2" t="s">
        <v>2175</v>
      </c>
      <c r="B338" s="2">
        <f t="shared" si="10"/>
        <v>2022</v>
      </c>
      <c r="C338" s="2" t="str">
        <f t="shared" si="11"/>
        <v>KZN226</v>
      </c>
      <c r="D338" s="591">
        <v>1108</v>
      </c>
      <c r="E338" s="2">
        <v>24</v>
      </c>
      <c r="F338" s="2" t="s">
        <v>245</v>
      </c>
      <c r="G338" s="611"/>
      <c r="H338" s="611"/>
      <c r="I338" s="611"/>
      <c r="J338" s="611"/>
      <c r="K338" s="611"/>
      <c r="L338" s="611"/>
      <c r="M338" s="611"/>
      <c r="N338" s="611"/>
      <c r="O338" s="611"/>
      <c r="P338" s="611"/>
      <c r="Q338" s="2"/>
      <c r="R338" s="2"/>
      <c r="S338" s="2"/>
      <c r="T338" s="2"/>
      <c r="U338" s="2"/>
      <c r="V338" s="2"/>
      <c r="W338" t="s">
        <v>2047</v>
      </c>
    </row>
    <row r="339" spans="1:23" ht="13.15" customHeight="1" x14ac:dyDescent="0.2">
      <c r="A339" s="2" t="s">
        <v>2175</v>
      </c>
      <c r="B339" s="2">
        <f t="shared" si="10"/>
        <v>2022</v>
      </c>
      <c r="C339" s="2" t="str">
        <f t="shared" si="11"/>
        <v>KZN226</v>
      </c>
      <c r="D339" s="591">
        <v>1190</v>
      </c>
      <c r="E339" s="2">
        <v>25</v>
      </c>
      <c r="F339" s="2" t="s">
        <v>117</v>
      </c>
      <c r="G339" s="611"/>
      <c r="H339" s="611"/>
      <c r="I339" s="611"/>
      <c r="J339" s="611"/>
      <c r="K339" s="611"/>
      <c r="L339" s="611"/>
      <c r="M339" s="611"/>
      <c r="N339" s="611"/>
      <c r="O339" s="611"/>
      <c r="P339" s="611"/>
      <c r="Q339" s="2"/>
      <c r="R339" s="611"/>
      <c r="S339" s="611"/>
      <c r="T339" s="611"/>
      <c r="U339" s="611"/>
      <c r="V339" s="611"/>
      <c r="W339" t="s">
        <v>2047</v>
      </c>
    </row>
    <row r="340" spans="1:23" ht="13.15" customHeight="1" x14ac:dyDescent="0.2">
      <c r="A340" s="2" t="s">
        <v>2175</v>
      </c>
      <c r="B340" s="2">
        <f t="shared" si="10"/>
        <v>2022</v>
      </c>
      <c r="C340" s="2" t="str">
        <f t="shared" si="11"/>
        <v>KZN226</v>
      </c>
      <c r="D340" s="591">
        <v>1191</v>
      </c>
      <c r="E340" s="2">
        <v>26</v>
      </c>
      <c r="F340" s="2" t="s">
        <v>681</v>
      </c>
      <c r="G340" s="611"/>
      <c r="H340" s="611"/>
      <c r="I340" s="611"/>
      <c r="J340" s="611"/>
      <c r="K340" s="611"/>
      <c r="L340" s="611"/>
      <c r="M340" s="611"/>
      <c r="N340" s="611"/>
      <c r="O340" s="611"/>
      <c r="P340" s="611"/>
      <c r="Q340" s="2"/>
      <c r="R340" s="2"/>
      <c r="S340" s="2"/>
      <c r="T340" s="2"/>
      <c r="U340" s="2"/>
      <c r="V340" s="2"/>
      <c r="W340" t="s">
        <v>2047</v>
      </c>
    </row>
    <row r="341" spans="1:23" ht="13.15" customHeight="1" x14ac:dyDescent="0.2">
      <c r="A341" s="2" t="s">
        <v>2175</v>
      </c>
      <c r="B341" s="2">
        <f t="shared" si="10"/>
        <v>2022</v>
      </c>
      <c r="C341" s="2" t="str">
        <f t="shared" si="11"/>
        <v>KZN226</v>
      </c>
      <c r="D341" s="591">
        <v>1195</v>
      </c>
      <c r="E341" s="2">
        <v>27</v>
      </c>
      <c r="F341" s="2" t="s">
        <v>704</v>
      </c>
      <c r="G341" s="611"/>
      <c r="H341" s="611"/>
      <c r="I341" s="611"/>
      <c r="J341" s="611"/>
      <c r="K341" s="611"/>
      <c r="L341" s="611"/>
      <c r="M341" s="611"/>
      <c r="N341" s="611"/>
      <c r="O341" s="611"/>
      <c r="P341" s="611"/>
      <c r="Q341" s="2"/>
      <c r="R341" s="611"/>
      <c r="S341" s="611"/>
      <c r="T341" s="611"/>
      <c r="U341" s="611"/>
      <c r="V341" s="611"/>
      <c r="W341" t="s">
        <v>2047</v>
      </c>
    </row>
    <row r="342" spans="1:23" ht="13.15" customHeight="1" x14ac:dyDescent="0.2">
      <c r="A342" s="2" t="s">
        <v>2175</v>
      </c>
      <c r="B342" s="2">
        <f t="shared" si="10"/>
        <v>2022</v>
      </c>
      <c r="C342" s="2" t="str">
        <f t="shared" si="11"/>
        <v>KZN226</v>
      </c>
      <c r="D342" s="591">
        <v>1196</v>
      </c>
      <c r="E342" s="2">
        <v>28</v>
      </c>
      <c r="F342" s="2" t="s">
        <v>113</v>
      </c>
      <c r="G342" s="611"/>
      <c r="H342" s="611"/>
      <c r="I342" s="611"/>
      <c r="J342" s="611"/>
      <c r="K342" s="611"/>
      <c r="L342" s="611"/>
      <c r="M342" s="611"/>
      <c r="N342" s="611"/>
      <c r="O342" s="611"/>
      <c r="P342" s="611"/>
      <c r="Q342" s="2"/>
      <c r="R342" s="611"/>
      <c r="S342" s="611"/>
      <c r="T342" s="611"/>
      <c r="U342" s="611"/>
      <c r="V342" s="611"/>
      <c r="W342" t="s">
        <v>2047</v>
      </c>
    </row>
    <row r="343" spans="1:23" ht="13.15" customHeight="1" x14ac:dyDescent="0.2">
      <c r="A343" s="2" t="s">
        <v>2175</v>
      </c>
      <c r="B343" s="2">
        <f t="shared" si="10"/>
        <v>2022</v>
      </c>
      <c r="C343" s="2" t="str">
        <f t="shared" si="11"/>
        <v>KZN226</v>
      </c>
      <c r="D343" s="591"/>
      <c r="E343" s="2"/>
      <c r="F343" s="2"/>
      <c r="G343" s="611"/>
      <c r="H343" s="611"/>
      <c r="I343" s="611"/>
      <c r="J343" s="611"/>
      <c r="K343" s="611"/>
      <c r="L343" s="611"/>
      <c r="M343" s="611"/>
      <c r="N343" s="611"/>
      <c r="O343" s="611"/>
      <c r="P343" s="611"/>
      <c r="Q343" s="2"/>
      <c r="R343" s="2"/>
      <c r="S343" s="2"/>
      <c r="T343" s="2"/>
      <c r="U343" s="2"/>
      <c r="V343" s="2"/>
      <c r="W343" t="s">
        <v>2047</v>
      </c>
    </row>
    <row r="344" spans="1:23" ht="13.15" customHeight="1" x14ac:dyDescent="0.2">
      <c r="A344" s="2" t="s">
        <v>2175</v>
      </c>
      <c r="B344" s="2">
        <f t="shared" si="10"/>
        <v>2022</v>
      </c>
      <c r="C344" s="2" t="str">
        <f t="shared" si="11"/>
        <v>KZN226</v>
      </c>
      <c r="D344" s="591">
        <v>1200</v>
      </c>
      <c r="E344" s="2">
        <v>29</v>
      </c>
      <c r="F344" s="2" t="s">
        <v>2176</v>
      </c>
      <c r="G344" s="611"/>
      <c r="H344" s="611"/>
      <c r="I344" s="611"/>
      <c r="J344" s="611"/>
      <c r="K344" s="611"/>
      <c r="L344" s="611"/>
      <c r="M344" s="611"/>
      <c r="N344" s="611"/>
      <c r="O344" s="611"/>
      <c r="P344" s="611"/>
      <c r="Q344" s="2"/>
      <c r="R344" s="2"/>
      <c r="S344" s="2"/>
      <c r="T344" s="2"/>
      <c r="U344" s="2"/>
      <c r="V344" s="2"/>
      <c r="W344" t="s">
        <v>2047</v>
      </c>
    </row>
    <row r="345" spans="1:23" ht="13.15" customHeight="1" x14ac:dyDescent="0.2">
      <c r="A345" s="2" t="s">
        <v>2175</v>
      </c>
      <c r="B345" s="2">
        <f t="shared" si="10"/>
        <v>2022</v>
      </c>
      <c r="C345" s="2" t="str">
        <f t="shared" si="11"/>
        <v>KZN226</v>
      </c>
      <c r="D345" s="591">
        <v>1201</v>
      </c>
      <c r="E345" s="2">
        <v>30</v>
      </c>
      <c r="F345" s="2" t="s">
        <v>682</v>
      </c>
      <c r="G345" s="611"/>
      <c r="H345" s="611"/>
      <c r="I345" s="611"/>
      <c r="J345" s="611"/>
      <c r="K345" s="611"/>
      <c r="L345" s="611"/>
      <c r="M345" s="611"/>
      <c r="N345" s="611"/>
      <c r="O345" s="611"/>
      <c r="P345" s="611"/>
      <c r="Q345" s="2"/>
      <c r="R345" s="2"/>
      <c r="S345" s="2"/>
      <c r="T345" s="2"/>
      <c r="U345" s="2"/>
      <c r="V345" s="2"/>
      <c r="W345" t="s">
        <v>2047</v>
      </c>
    </row>
    <row r="346" spans="1:23" ht="13.15" customHeight="1" x14ac:dyDescent="0.2">
      <c r="A346" s="2" t="s">
        <v>2175</v>
      </c>
      <c r="B346" s="2">
        <f t="shared" si="10"/>
        <v>2022</v>
      </c>
      <c r="C346" s="2" t="str">
        <f t="shared" si="11"/>
        <v>KZN226</v>
      </c>
      <c r="D346" s="591">
        <v>1202</v>
      </c>
      <c r="E346" s="2">
        <v>31</v>
      </c>
      <c r="F346" s="2" t="s">
        <v>467</v>
      </c>
      <c r="G346" s="611"/>
      <c r="H346" s="611"/>
      <c r="I346" s="611"/>
      <c r="J346" s="611"/>
      <c r="K346" s="611"/>
      <c r="L346" s="611"/>
      <c r="M346" s="611"/>
      <c r="N346" s="611"/>
      <c r="O346" s="611"/>
      <c r="P346" s="611"/>
      <c r="Q346" s="2"/>
      <c r="R346" s="2"/>
      <c r="S346" s="2"/>
      <c r="T346" s="2"/>
      <c r="U346" s="2"/>
      <c r="V346" s="2"/>
      <c r="W346" t="s">
        <v>2047</v>
      </c>
    </row>
    <row r="347" spans="1:23" ht="13.15" customHeight="1" x14ac:dyDescent="0.2">
      <c r="A347" s="2" t="s">
        <v>2175</v>
      </c>
      <c r="B347" s="2">
        <f t="shared" si="10"/>
        <v>2022</v>
      </c>
      <c r="C347" s="2" t="str">
        <f t="shared" si="11"/>
        <v>KZN226</v>
      </c>
      <c r="D347" s="591">
        <v>1203</v>
      </c>
      <c r="E347" s="2">
        <v>32</v>
      </c>
      <c r="F347" s="2" t="s">
        <v>1361</v>
      </c>
      <c r="G347" s="611"/>
      <c r="H347" s="611"/>
      <c r="I347" s="611"/>
      <c r="J347" s="611"/>
      <c r="K347" s="611"/>
      <c r="L347" s="611"/>
      <c r="M347" s="611"/>
      <c r="N347" s="611"/>
      <c r="O347" s="611"/>
      <c r="P347" s="611"/>
      <c r="Q347" s="2"/>
      <c r="R347" s="2"/>
      <c r="S347" s="2"/>
      <c r="T347" s="2"/>
      <c r="U347" s="2"/>
      <c r="V347" s="2"/>
      <c r="W347" t="s">
        <v>2047</v>
      </c>
    </row>
    <row r="348" spans="1:23" ht="13.15" customHeight="1" x14ac:dyDescent="0.2">
      <c r="A348" s="2" t="s">
        <v>2175</v>
      </c>
      <c r="B348" s="2">
        <f t="shared" si="10"/>
        <v>2022</v>
      </c>
      <c r="C348" s="2" t="str">
        <f t="shared" si="11"/>
        <v>KZN226</v>
      </c>
      <c r="D348" s="591">
        <v>1207</v>
      </c>
      <c r="E348" s="2">
        <v>33</v>
      </c>
      <c r="F348" s="2" t="s">
        <v>1362</v>
      </c>
      <c r="G348" s="611"/>
      <c r="H348" s="611"/>
      <c r="I348" s="611"/>
      <c r="J348" s="611"/>
      <c r="K348" s="611"/>
      <c r="L348" s="611"/>
      <c r="M348" s="611"/>
      <c r="N348" s="611"/>
      <c r="O348" s="611"/>
      <c r="P348" s="611"/>
      <c r="Q348" s="2"/>
      <c r="R348" s="2"/>
      <c r="S348" s="2"/>
      <c r="T348" s="2"/>
      <c r="U348" s="2"/>
      <c r="V348" s="2"/>
      <c r="W348" t="s">
        <v>2047</v>
      </c>
    </row>
    <row r="349" spans="1:23" ht="13.15" customHeight="1" x14ac:dyDescent="0.2">
      <c r="A349" s="2" t="s">
        <v>2175</v>
      </c>
      <c r="B349" s="2">
        <f t="shared" si="10"/>
        <v>2022</v>
      </c>
      <c r="C349" s="2" t="str">
        <f t="shared" si="11"/>
        <v>KZN226</v>
      </c>
      <c r="D349" s="591">
        <v>1208</v>
      </c>
      <c r="E349" s="2">
        <v>34</v>
      </c>
      <c r="F349" s="2" t="s">
        <v>1363</v>
      </c>
      <c r="G349" s="611"/>
      <c r="H349" s="611"/>
      <c r="I349" s="611"/>
      <c r="J349" s="611"/>
      <c r="K349" s="611"/>
      <c r="L349" s="611"/>
      <c r="M349" s="611"/>
      <c r="N349" s="611"/>
      <c r="O349" s="611"/>
      <c r="P349" s="611"/>
      <c r="Q349" s="2"/>
      <c r="R349" s="2"/>
      <c r="S349" s="2"/>
      <c r="T349" s="2"/>
      <c r="U349" s="2"/>
      <c r="V349" s="2"/>
      <c r="W349" t="s">
        <v>2047</v>
      </c>
    </row>
    <row r="350" spans="1:23" ht="13.15" customHeight="1" x14ac:dyDescent="0.2">
      <c r="A350" s="2" t="s">
        <v>2175</v>
      </c>
      <c r="B350" s="2">
        <f t="shared" si="10"/>
        <v>2022</v>
      </c>
      <c r="C350" s="2" t="str">
        <f t="shared" si="11"/>
        <v>KZN226</v>
      </c>
      <c r="D350" s="591">
        <v>1204</v>
      </c>
      <c r="E350" s="2">
        <v>35</v>
      </c>
      <c r="F350" s="2" t="s">
        <v>702</v>
      </c>
      <c r="G350" s="611"/>
      <c r="H350" s="611"/>
      <c r="I350" s="611"/>
      <c r="J350" s="611"/>
      <c r="K350" s="611"/>
      <c r="L350" s="611"/>
      <c r="M350" s="611"/>
      <c r="N350" s="611"/>
      <c r="O350" s="611"/>
      <c r="P350" s="611"/>
      <c r="Q350" s="2"/>
      <c r="R350" s="2"/>
      <c r="S350" s="2"/>
      <c r="T350" s="2"/>
      <c r="U350" s="2"/>
      <c r="V350" s="2"/>
      <c r="W350" t="s">
        <v>2047</v>
      </c>
    </row>
    <row r="351" spans="1:23" ht="13.15" customHeight="1" x14ac:dyDescent="0.2">
      <c r="A351" s="2" t="s">
        <v>2175</v>
      </c>
      <c r="B351" s="2">
        <f t="shared" si="10"/>
        <v>2022</v>
      </c>
      <c r="C351" s="2" t="str">
        <f t="shared" si="11"/>
        <v>KZN226</v>
      </c>
      <c r="D351" s="591">
        <v>1205</v>
      </c>
      <c r="E351" s="2">
        <v>36</v>
      </c>
      <c r="F351" s="2" t="s">
        <v>821</v>
      </c>
      <c r="G351" s="611"/>
      <c r="H351" s="611"/>
      <c r="I351" s="611"/>
      <c r="J351" s="611"/>
      <c r="K351" s="611"/>
      <c r="L351" s="611"/>
      <c r="M351" s="611"/>
      <c r="N351" s="611"/>
      <c r="O351" s="611"/>
      <c r="P351" s="611"/>
      <c r="Q351" s="2"/>
      <c r="R351" s="2"/>
      <c r="S351" s="2"/>
      <c r="T351" s="2"/>
      <c r="U351" s="2"/>
      <c r="V351" s="2"/>
      <c r="W351" t="s">
        <v>2047</v>
      </c>
    </row>
    <row r="352" spans="1:23" ht="13.15" customHeight="1" x14ac:dyDescent="0.2">
      <c r="A352" s="2" t="s">
        <v>2175</v>
      </c>
      <c r="B352" s="2">
        <f t="shared" si="10"/>
        <v>2022</v>
      </c>
      <c r="C352" s="2" t="str">
        <f t="shared" si="11"/>
        <v>KZN226</v>
      </c>
      <c r="D352" s="591">
        <v>1206</v>
      </c>
      <c r="E352" s="2">
        <v>37</v>
      </c>
      <c r="F352" s="2" t="s">
        <v>569</v>
      </c>
      <c r="G352" s="611"/>
      <c r="H352" s="611"/>
      <c r="I352" s="611"/>
      <c r="J352" s="611"/>
      <c r="K352" s="611"/>
      <c r="L352" s="611"/>
      <c r="M352" s="611"/>
      <c r="N352" s="611"/>
      <c r="O352" s="611"/>
      <c r="P352" s="611"/>
      <c r="Q352" s="2"/>
      <c r="R352" s="2"/>
      <c r="S352" s="2"/>
      <c r="T352" s="2"/>
      <c r="U352" s="2"/>
      <c r="V352" s="2"/>
      <c r="W352" t="s">
        <v>2047</v>
      </c>
    </row>
    <row r="353" spans="1:23" ht="13.15" customHeight="1" x14ac:dyDescent="0.2">
      <c r="A353" s="2" t="s">
        <v>2175</v>
      </c>
      <c r="B353" s="2">
        <f t="shared" si="10"/>
        <v>2022</v>
      </c>
      <c r="C353" s="2" t="str">
        <f t="shared" si="11"/>
        <v>KZN226</v>
      </c>
      <c r="D353" s="591">
        <v>1209</v>
      </c>
      <c r="E353" s="2">
        <v>38</v>
      </c>
      <c r="F353" s="2" t="s">
        <v>245</v>
      </c>
      <c r="G353" s="611"/>
      <c r="H353" s="611"/>
      <c r="I353" s="611"/>
      <c r="J353" s="611"/>
      <c r="K353" s="611"/>
      <c r="L353" s="611"/>
      <c r="M353" s="611"/>
      <c r="N353" s="611"/>
      <c r="O353" s="611"/>
      <c r="P353" s="611"/>
      <c r="Q353" s="2"/>
      <c r="R353" s="2"/>
      <c r="S353" s="2"/>
      <c r="T353" s="2"/>
      <c r="U353" s="2"/>
      <c r="V353" s="2"/>
      <c r="W353" t="s">
        <v>2047</v>
      </c>
    </row>
    <row r="354" spans="1:23" ht="13.15" customHeight="1" x14ac:dyDescent="0.2">
      <c r="A354" s="2" t="s">
        <v>2175</v>
      </c>
      <c r="B354" s="2">
        <f t="shared" si="10"/>
        <v>2022</v>
      </c>
      <c r="C354" s="2" t="str">
        <f t="shared" si="11"/>
        <v>KZN226</v>
      </c>
      <c r="D354" s="591">
        <v>1290</v>
      </c>
      <c r="E354" s="2">
        <v>39</v>
      </c>
      <c r="F354" s="2" t="s">
        <v>117</v>
      </c>
      <c r="G354" s="611"/>
      <c r="H354" s="611"/>
      <c r="I354" s="611"/>
      <c r="J354" s="611"/>
      <c r="K354" s="611"/>
      <c r="L354" s="611"/>
      <c r="M354" s="611"/>
      <c r="N354" s="611"/>
      <c r="O354" s="611"/>
      <c r="P354" s="611"/>
      <c r="Q354" s="2"/>
      <c r="R354" s="611"/>
      <c r="S354" s="611"/>
      <c r="T354" s="611"/>
      <c r="U354" s="611"/>
      <c r="V354" s="611"/>
      <c r="W354" t="s">
        <v>2047</v>
      </c>
    </row>
    <row r="355" spans="1:23" ht="13.15" customHeight="1" x14ac:dyDescent="0.2">
      <c r="A355" s="2" t="s">
        <v>2175</v>
      </c>
      <c r="B355" s="2">
        <f t="shared" si="10"/>
        <v>2022</v>
      </c>
      <c r="C355" s="2" t="str">
        <f t="shared" si="11"/>
        <v>KZN226</v>
      </c>
      <c r="D355" s="591">
        <v>1291</v>
      </c>
      <c r="E355" s="2">
        <v>40</v>
      </c>
      <c r="F355" s="2" t="s">
        <v>681</v>
      </c>
      <c r="G355" s="611"/>
      <c r="H355" s="611"/>
      <c r="I355" s="611"/>
      <c r="J355" s="611"/>
      <c r="K355" s="611"/>
      <c r="L355" s="611"/>
      <c r="M355" s="611"/>
      <c r="N355" s="611"/>
      <c r="O355" s="611"/>
      <c r="P355" s="611"/>
      <c r="Q355" s="2"/>
      <c r="R355" s="2"/>
      <c r="S355" s="2"/>
      <c r="T355" s="2"/>
      <c r="U355" s="2"/>
      <c r="V355" s="2"/>
      <c r="W355" t="s">
        <v>2047</v>
      </c>
    </row>
    <row r="356" spans="1:23" ht="13.15" customHeight="1" x14ac:dyDescent="0.2">
      <c r="A356" s="2" t="s">
        <v>2175</v>
      </c>
      <c r="B356" s="2">
        <f t="shared" si="10"/>
        <v>2022</v>
      </c>
      <c r="C356" s="2" t="str">
        <f t="shared" si="11"/>
        <v>KZN226</v>
      </c>
      <c r="D356" s="591">
        <v>1295</v>
      </c>
      <c r="E356" s="599">
        <v>41</v>
      </c>
      <c r="F356" s="2" t="s">
        <v>704</v>
      </c>
      <c r="G356" s="611"/>
      <c r="H356" s="611"/>
      <c r="I356" s="611"/>
      <c r="J356" s="611"/>
      <c r="K356" s="611"/>
      <c r="L356" s="611"/>
      <c r="M356" s="611"/>
      <c r="N356" s="611"/>
      <c r="O356" s="611"/>
      <c r="P356" s="611"/>
      <c r="Q356" s="2"/>
      <c r="R356" s="611"/>
      <c r="S356" s="611"/>
      <c r="T356" s="611"/>
      <c r="U356" s="611"/>
      <c r="V356" s="611"/>
      <c r="W356" t="s">
        <v>2047</v>
      </c>
    </row>
    <row r="357" spans="1:23" ht="13.15" customHeight="1" x14ac:dyDescent="0.2">
      <c r="A357" s="2" t="s">
        <v>2175</v>
      </c>
      <c r="B357" s="2">
        <f t="shared" si="10"/>
        <v>2022</v>
      </c>
      <c r="C357" s="2" t="str">
        <f t="shared" si="11"/>
        <v>KZN226</v>
      </c>
      <c r="D357" s="591">
        <v>1296</v>
      </c>
      <c r="E357" s="599">
        <v>42</v>
      </c>
      <c r="F357" s="2" t="s">
        <v>113</v>
      </c>
      <c r="G357" s="611"/>
      <c r="H357" s="611"/>
      <c r="I357" s="611"/>
      <c r="J357" s="611"/>
      <c r="K357" s="611"/>
      <c r="L357" s="611"/>
      <c r="M357" s="611"/>
      <c r="N357" s="611"/>
      <c r="O357" s="611"/>
      <c r="P357" s="611"/>
      <c r="Q357" s="2"/>
      <c r="R357" s="611"/>
      <c r="S357" s="611"/>
      <c r="T357" s="611"/>
      <c r="U357" s="611"/>
      <c r="V357" s="611"/>
      <c r="W357" t="s">
        <v>2047</v>
      </c>
    </row>
    <row r="358" spans="1:23" ht="13.15" customHeight="1" x14ac:dyDescent="0.2">
      <c r="A358" s="2" t="s">
        <v>2177</v>
      </c>
      <c r="B358" s="2">
        <f t="shared" si="10"/>
        <v>2022</v>
      </c>
      <c r="C358" s="2" t="str">
        <f t="shared" si="11"/>
        <v>KZN226</v>
      </c>
      <c r="D358" s="591">
        <v>1000</v>
      </c>
      <c r="E358" s="2">
        <v>1</v>
      </c>
      <c r="F358" s="2" t="s">
        <v>649</v>
      </c>
      <c r="G358" s="589"/>
      <c r="H358" s="589"/>
      <c r="I358" s="589"/>
      <c r="J358" s="589"/>
      <c r="K358" s="589"/>
      <c r="L358" s="589"/>
      <c r="M358" s="589"/>
      <c r="N358" s="589"/>
      <c r="O358" s="589"/>
      <c r="P358" s="2"/>
      <c r="Q358" s="589"/>
      <c r="R358" s="589"/>
      <c r="S358" s="589"/>
      <c r="T358" s="589"/>
      <c r="U358" s="589"/>
      <c r="V358" s="589"/>
      <c r="W358" t="s">
        <v>2047</v>
      </c>
    </row>
    <row r="359" spans="1:23" ht="13.15" customHeight="1" x14ac:dyDescent="0.2">
      <c r="A359" s="2" t="s">
        <v>2177</v>
      </c>
      <c r="B359" s="2">
        <f t="shared" si="10"/>
        <v>2022</v>
      </c>
      <c r="C359" s="2" t="str">
        <f t="shared" si="11"/>
        <v>KZN226</v>
      </c>
      <c r="D359" s="591">
        <v>1001</v>
      </c>
      <c r="E359" s="2">
        <v>2</v>
      </c>
      <c r="F359" s="2" t="s">
        <v>1135</v>
      </c>
      <c r="G359" s="589"/>
      <c r="H359" s="589"/>
      <c r="I359" s="589"/>
      <c r="J359" s="589"/>
      <c r="K359" s="589"/>
      <c r="L359" s="589"/>
      <c r="M359" s="589"/>
      <c r="N359" s="589"/>
      <c r="O359" s="589"/>
      <c r="P359" s="2"/>
      <c r="Q359" s="589"/>
      <c r="R359" s="589"/>
      <c r="S359" s="589"/>
      <c r="T359" s="589"/>
      <c r="U359" s="589"/>
      <c r="V359" s="589"/>
      <c r="W359" t="s">
        <v>2047</v>
      </c>
    </row>
    <row r="360" spans="1:23" ht="13.15" customHeight="1" x14ac:dyDescent="0.2">
      <c r="A360" s="2" t="s">
        <v>2177</v>
      </c>
      <c r="B360" s="2">
        <f t="shared" si="10"/>
        <v>2022</v>
      </c>
      <c r="C360" s="2" t="str">
        <f t="shared" si="11"/>
        <v>KZN226</v>
      </c>
      <c r="D360" s="591">
        <v>1002</v>
      </c>
      <c r="E360" s="2">
        <v>3</v>
      </c>
      <c r="F360" s="2" t="s">
        <v>1792</v>
      </c>
      <c r="G360" s="589"/>
      <c r="H360" s="589"/>
      <c r="I360" s="589"/>
      <c r="J360" s="589"/>
      <c r="K360" s="589"/>
      <c r="L360" s="589"/>
      <c r="M360" s="589"/>
      <c r="N360" s="589"/>
      <c r="O360" s="589"/>
      <c r="P360" s="2"/>
      <c r="Q360" s="589"/>
      <c r="R360" s="589"/>
      <c r="S360" s="589"/>
      <c r="T360" s="589"/>
      <c r="U360" s="589"/>
      <c r="V360" s="589"/>
      <c r="W360" t="s">
        <v>2047</v>
      </c>
    </row>
    <row r="361" spans="1:23" ht="13.15" customHeight="1" x14ac:dyDescent="0.2">
      <c r="A361" s="2" t="s">
        <v>2177</v>
      </c>
      <c r="B361" s="2">
        <f t="shared" si="10"/>
        <v>2022</v>
      </c>
      <c r="C361" s="2" t="str">
        <f t="shared" si="11"/>
        <v>KZN226</v>
      </c>
      <c r="D361" s="591">
        <v>1003</v>
      </c>
      <c r="E361" s="2">
        <v>4</v>
      </c>
      <c r="F361" s="2" t="s">
        <v>650</v>
      </c>
      <c r="G361" s="589"/>
      <c r="H361" s="589"/>
      <c r="I361" s="589"/>
      <c r="J361" s="589"/>
      <c r="K361" s="589"/>
      <c r="L361" s="589"/>
      <c r="M361" s="589"/>
      <c r="N361" s="589"/>
      <c r="O361" s="589"/>
      <c r="P361" s="2"/>
      <c r="Q361" s="589"/>
      <c r="R361" s="589"/>
      <c r="S361" s="589"/>
      <c r="T361" s="589"/>
      <c r="U361" s="589"/>
      <c r="V361" s="589"/>
      <c r="W361" t="s">
        <v>2047</v>
      </c>
    </row>
    <row r="362" spans="1:23" ht="13.15" customHeight="1" x14ac:dyDescent="0.2">
      <c r="A362" s="2" t="s">
        <v>2177</v>
      </c>
      <c r="B362" s="2">
        <f t="shared" si="10"/>
        <v>2022</v>
      </c>
      <c r="C362" s="2" t="str">
        <f t="shared" si="11"/>
        <v>KZN226</v>
      </c>
      <c r="D362" s="591">
        <v>1004</v>
      </c>
      <c r="E362" s="2">
        <v>5</v>
      </c>
      <c r="F362" s="2" t="s">
        <v>1940</v>
      </c>
      <c r="G362" s="589"/>
      <c r="H362" s="589"/>
      <c r="I362" s="589"/>
      <c r="J362" s="589"/>
      <c r="K362" s="589"/>
      <c r="L362" s="589"/>
      <c r="M362" s="589"/>
      <c r="N362" s="589"/>
      <c r="O362" s="589"/>
      <c r="P362" s="2"/>
      <c r="Q362" s="589"/>
      <c r="R362" s="589"/>
      <c r="S362" s="589"/>
      <c r="T362" s="589"/>
      <c r="U362" s="589"/>
      <c r="V362" s="589"/>
      <c r="W362" t="s">
        <v>2047</v>
      </c>
    </row>
    <row r="363" spans="1:23" ht="13.15" customHeight="1" x14ac:dyDescent="0.2">
      <c r="A363" s="2" t="s">
        <v>2177</v>
      </c>
      <c r="B363" s="2">
        <f t="shared" si="10"/>
        <v>2022</v>
      </c>
      <c r="C363" s="2" t="str">
        <f t="shared" si="11"/>
        <v>KZN226</v>
      </c>
      <c r="D363" s="591">
        <v>1005</v>
      </c>
      <c r="E363" s="2">
        <v>6</v>
      </c>
      <c r="F363" s="2" t="s">
        <v>1793</v>
      </c>
      <c r="G363" s="589"/>
      <c r="H363" s="589"/>
      <c r="I363" s="589"/>
      <c r="J363" s="589"/>
      <c r="K363" s="589"/>
      <c r="L363" s="589"/>
      <c r="M363" s="589"/>
      <c r="N363" s="589"/>
      <c r="O363" s="589"/>
      <c r="P363" s="2"/>
      <c r="Q363" s="589"/>
      <c r="R363" s="589"/>
      <c r="S363" s="589"/>
      <c r="T363" s="589"/>
      <c r="U363" s="589"/>
      <c r="V363" s="589"/>
      <c r="W363" t="s">
        <v>2047</v>
      </c>
    </row>
    <row r="364" spans="1:23" ht="13.15" customHeight="1" x14ac:dyDescent="0.2">
      <c r="A364" s="2" t="s">
        <v>2177</v>
      </c>
      <c r="B364" s="2">
        <f t="shared" si="10"/>
        <v>2022</v>
      </c>
      <c r="C364" s="2" t="str">
        <f t="shared" si="11"/>
        <v>KZN226</v>
      </c>
      <c r="D364" s="591">
        <v>1006</v>
      </c>
      <c r="E364" s="2">
        <v>7</v>
      </c>
      <c r="F364" s="2" t="s">
        <v>1941</v>
      </c>
      <c r="G364" s="589"/>
      <c r="H364" s="589"/>
      <c r="I364" s="589"/>
      <c r="J364" s="589"/>
      <c r="K364" s="589"/>
      <c r="L364" s="589"/>
      <c r="M364" s="589"/>
      <c r="N364" s="589"/>
      <c r="O364" s="589"/>
      <c r="P364" s="2"/>
      <c r="Q364" s="589"/>
      <c r="R364" s="589"/>
      <c r="S364" s="589"/>
      <c r="T364" s="589"/>
      <c r="U364" s="589"/>
      <c r="V364" s="589"/>
      <c r="W364" t="s">
        <v>2047</v>
      </c>
    </row>
    <row r="365" spans="1:23" ht="13.15" customHeight="1" x14ac:dyDescent="0.2">
      <c r="A365" s="2" t="s">
        <v>2177</v>
      </c>
      <c r="B365" s="2">
        <f t="shared" si="10"/>
        <v>2022</v>
      </c>
      <c r="C365" s="2" t="str">
        <f t="shared" si="11"/>
        <v>KZN226</v>
      </c>
      <c r="D365" s="591">
        <v>1007</v>
      </c>
      <c r="E365" s="2">
        <v>8</v>
      </c>
      <c r="F365" s="2" t="s">
        <v>1340</v>
      </c>
      <c r="G365" s="589"/>
      <c r="H365" s="589"/>
      <c r="I365" s="589"/>
      <c r="J365" s="589"/>
      <c r="K365" s="589"/>
      <c r="L365" s="589"/>
      <c r="M365" s="589"/>
      <c r="N365" s="589"/>
      <c r="O365" s="589"/>
      <c r="P365" s="2"/>
      <c r="Q365" s="589"/>
      <c r="R365" s="589"/>
      <c r="S365" s="589"/>
      <c r="T365" s="589"/>
      <c r="U365" s="589"/>
      <c r="V365" s="589"/>
      <c r="W365" t="s">
        <v>2047</v>
      </c>
    </row>
    <row r="366" spans="1:23" ht="13.15" customHeight="1" x14ac:dyDescent="0.2">
      <c r="A366" s="2" t="s">
        <v>2177</v>
      </c>
      <c r="B366" s="2">
        <f t="shared" si="10"/>
        <v>2022</v>
      </c>
      <c r="C366" s="2" t="str">
        <f t="shared" si="11"/>
        <v>KZN226</v>
      </c>
      <c r="D366" s="591">
        <v>1090</v>
      </c>
      <c r="E366" s="2">
        <v>9</v>
      </c>
      <c r="F366" s="2" t="s">
        <v>651</v>
      </c>
      <c r="G366" s="589"/>
      <c r="H366" s="589"/>
      <c r="I366" s="589"/>
      <c r="J366" s="589"/>
      <c r="K366" s="589"/>
      <c r="L366" s="589"/>
      <c r="M366" s="589"/>
      <c r="N366" s="589"/>
      <c r="O366" s="589"/>
      <c r="P366" s="2"/>
      <c r="Q366" s="589"/>
      <c r="R366" s="589"/>
      <c r="S366" s="589"/>
      <c r="T366" s="589"/>
      <c r="U366" s="589"/>
      <c r="V366" s="589"/>
      <c r="W366" t="s">
        <v>2047</v>
      </c>
    </row>
    <row r="367" spans="1:23" ht="13.15" customHeight="1" x14ac:dyDescent="0.2">
      <c r="A367" s="2" t="s">
        <v>2177</v>
      </c>
      <c r="B367" s="2">
        <f t="shared" si="10"/>
        <v>2022</v>
      </c>
      <c r="C367" s="2" t="str">
        <f t="shared" si="11"/>
        <v>KZN226</v>
      </c>
      <c r="D367" s="591">
        <v>1091</v>
      </c>
      <c r="E367" s="2">
        <v>10</v>
      </c>
      <c r="F367" s="2" t="s">
        <v>797</v>
      </c>
      <c r="G367" s="621"/>
      <c r="H367" s="621"/>
      <c r="I367" s="621"/>
      <c r="J367" s="621"/>
      <c r="K367" s="621"/>
      <c r="L367" s="621"/>
      <c r="M367" s="621"/>
      <c r="N367" s="621"/>
      <c r="O367" s="621"/>
      <c r="P367" s="2"/>
      <c r="Q367" s="589"/>
      <c r="R367" s="589"/>
      <c r="S367" s="589"/>
      <c r="T367" s="589"/>
      <c r="U367" s="589"/>
      <c r="V367" s="589"/>
      <c r="W367" t="s">
        <v>2047</v>
      </c>
    </row>
    <row r="368" spans="1:23" ht="13.15" customHeight="1" x14ac:dyDescent="0.2">
      <c r="A368" s="2" t="s">
        <v>2177</v>
      </c>
      <c r="B368" s="2">
        <f t="shared" si="10"/>
        <v>2022</v>
      </c>
      <c r="C368" s="2" t="str">
        <f t="shared" si="11"/>
        <v>KZN226</v>
      </c>
      <c r="D368" s="591"/>
      <c r="E368" s="2"/>
      <c r="F368" s="2"/>
      <c r="G368" s="589"/>
      <c r="H368" s="589"/>
      <c r="I368" s="589"/>
      <c r="J368" s="589"/>
      <c r="K368" s="589"/>
      <c r="L368" s="589"/>
      <c r="M368" s="589"/>
      <c r="N368" s="589"/>
      <c r="O368" s="589"/>
      <c r="P368" s="2"/>
      <c r="Q368" s="589"/>
      <c r="R368" s="589"/>
      <c r="S368" s="589"/>
      <c r="T368" s="589"/>
      <c r="U368" s="589"/>
      <c r="V368" s="589"/>
      <c r="W368" t="s">
        <v>2047</v>
      </c>
    </row>
    <row r="369" spans="1:23" ht="13.15" customHeight="1" x14ac:dyDescent="0.2">
      <c r="A369" s="2" t="s">
        <v>2177</v>
      </c>
      <c r="B369" s="2">
        <f t="shared" si="10"/>
        <v>2022</v>
      </c>
      <c r="C369" s="2" t="str">
        <f t="shared" si="11"/>
        <v>KZN226</v>
      </c>
      <c r="D369" s="591">
        <v>1100</v>
      </c>
      <c r="E369" s="2">
        <v>11</v>
      </c>
      <c r="F369" s="2" t="s">
        <v>1134</v>
      </c>
      <c r="G369" s="589"/>
      <c r="H369" s="589"/>
      <c r="I369" s="589"/>
      <c r="J369" s="589"/>
      <c r="K369" s="589"/>
      <c r="L369" s="589"/>
      <c r="M369" s="589"/>
      <c r="N369" s="589"/>
      <c r="O369" s="589"/>
      <c r="P369" s="2"/>
      <c r="Q369" s="589"/>
      <c r="R369" s="589"/>
      <c r="S369" s="589"/>
      <c r="T369" s="589"/>
      <c r="U369" s="589"/>
      <c r="V369" s="589"/>
      <c r="W369" t="s">
        <v>2047</v>
      </c>
    </row>
    <row r="370" spans="1:23" ht="13.15" customHeight="1" x14ac:dyDescent="0.2">
      <c r="A370" s="2" t="s">
        <v>2177</v>
      </c>
      <c r="B370" s="2">
        <f t="shared" si="10"/>
        <v>2022</v>
      </c>
      <c r="C370" s="2" t="str">
        <f t="shared" si="11"/>
        <v>KZN226</v>
      </c>
      <c r="D370" s="591">
        <v>1101</v>
      </c>
      <c r="E370" s="2">
        <v>12</v>
      </c>
      <c r="F370" s="2" t="s">
        <v>1135</v>
      </c>
      <c r="G370" s="589"/>
      <c r="H370" s="589"/>
      <c r="I370" s="589"/>
      <c r="J370" s="589"/>
      <c r="K370" s="589"/>
      <c r="L370" s="589"/>
      <c r="M370" s="589"/>
      <c r="N370" s="589"/>
      <c r="O370" s="589"/>
      <c r="P370" s="2"/>
      <c r="Q370" s="589"/>
      <c r="R370" s="589"/>
      <c r="S370" s="589"/>
      <c r="T370" s="589"/>
      <c r="U370" s="589"/>
      <c r="V370" s="589"/>
      <c r="W370" t="s">
        <v>2047</v>
      </c>
    </row>
    <row r="371" spans="1:23" ht="13.15" customHeight="1" x14ac:dyDescent="0.2">
      <c r="A371" s="2" t="s">
        <v>2177</v>
      </c>
      <c r="B371" s="2">
        <f t="shared" si="10"/>
        <v>2022</v>
      </c>
      <c r="C371" s="2" t="str">
        <f t="shared" si="11"/>
        <v>KZN226</v>
      </c>
      <c r="D371" s="591">
        <v>1102</v>
      </c>
      <c r="E371" s="2">
        <v>13</v>
      </c>
      <c r="F371" s="2" t="s">
        <v>1792</v>
      </c>
      <c r="G371" s="589"/>
      <c r="H371" s="589"/>
      <c r="I371" s="589"/>
      <c r="J371" s="589"/>
      <c r="K371" s="589"/>
      <c r="L371" s="589"/>
      <c r="M371" s="589"/>
      <c r="N371" s="589"/>
      <c r="O371" s="589"/>
      <c r="P371" s="2"/>
      <c r="Q371" s="589"/>
      <c r="R371" s="589"/>
      <c r="S371" s="589"/>
      <c r="T371" s="589"/>
      <c r="U371" s="589"/>
      <c r="V371" s="589"/>
      <c r="W371" t="s">
        <v>2047</v>
      </c>
    </row>
    <row r="372" spans="1:23" ht="13.15" customHeight="1" x14ac:dyDescent="0.2">
      <c r="A372" s="2" t="s">
        <v>2177</v>
      </c>
      <c r="B372" s="2">
        <f t="shared" si="10"/>
        <v>2022</v>
      </c>
      <c r="C372" s="2" t="str">
        <f t="shared" si="11"/>
        <v>KZN226</v>
      </c>
      <c r="D372" s="591">
        <v>1103</v>
      </c>
      <c r="E372" s="2">
        <v>14</v>
      </c>
      <c r="F372" s="2" t="s">
        <v>650</v>
      </c>
      <c r="G372" s="589"/>
      <c r="H372" s="589"/>
      <c r="I372" s="589"/>
      <c r="J372" s="589"/>
      <c r="K372" s="589"/>
      <c r="L372" s="589"/>
      <c r="M372" s="589"/>
      <c r="N372" s="589"/>
      <c r="O372" s="589"/>
      <c r="P372" s="2"/>
      <c r="Q372" s="589"/>
      <c r="R372" s="589"/>
      <c r="S372" s="589"/>
      <c r="T372" s="589"/>
      <c r="U372" s="589"/>
      <c r="V372" s="589"/>
      <c r="W372" t="s">
        <v>2047</v>
      </c>
    </row>
    <row r="373" spans="1:23" ht="13.15" customHeight="1" x14ac:dyDescent="0.2">
      <c r="A373" s="2" t="s">
        <v>2177</v>
      </c>
      <c r="B373" s="2">
        <f t="shared" si="10"/>
        <v>2022</v>
      </c>
      <c r="C373" s="2" t="str">
        <f t="shared" si="11"/>
        <v>KZN226</v>
      </c>
      <c r="D373" s="591">
        <v>1110</v>
      </c>
      <c r="E373" s="2">
        <v>15</v>
      </c>
      <c r="F373" s="2" t="s">
        <v>946</v>
      </c>
      <c r="G373" s="589"/>
      <c r="H373" s="589"/>
      <c r="I373" s="589"/>
      <c r="J373" s="589"/>
      <c r="K373" s="589"/>
      <c r="L373" s="589"/>
      <c r="M373" s="589"/>
      <c r="N373" s="589"/>
      <c r="O373" s="589"/>
      <c r="P373" s="2"/>
      <c r="Q373" s="589"/>
      <c r="R373" s="589"/>
      <c r="S373" s="589"/>
      <c r="T373" s="589"/>
      <c r="U373" s="589"/>
      <c r="V373" s="589"/>
      <c r="W373" t="s">
        <v>2047</v>
      </c>
    </row>
    <row r="374" spans="1:23" ht="13.15" customHeight="1" x14ac:dyDescent="0.2">
      <c r="A374" s="2" t="s">
        <v>2177</v>
      </c>
      <c r="B374" s="2">
        <f t="shared" si="10"/>
        <v>2022</v>
      </c>
      <c r="C374" s="2" t="str">
        <f t="shared" si="11"/>
        <v>KZN226</v>
      </c>
      <c r="D374" s="591">
        <v>1107</v>
      </c>
      <c r="E374" s="2">
        <v>16</v>
      </c>
      <c r="F374" s="2" t="s">
        <v>652</v>
      </c>
      <c r="G374" s="589"/>
      <c r="H374" s="589"/>
      <c r="I374" s="589"/>
      <c r="J374" s="589"/>
      <c r="K374" s="589"/>
      <c r="L374" s="589"/>
      <c r="M374" s="589"/>
      <c r="N374" s="589"/>
      <c r="O374" s="589"/>
      <c r="P374" s="2"/>
      <c r="Q374" s="589"/>
      <c r="R374" s="589"/>
      <c r="S374" s="589"/>
      <c r="T374" s="589"/>
      <c r="U374" s="589"/>
      <c r="V374" s="589"/>
      <c r="W374" t="s">
        <v>2047</v>
      </c>
    </row>
    <row r="375" spans="1:23" ht="13.15" customHeight="1" x14ac:dyDescent="0.2">
      <c r="A375" s="2" t="s">
        <v>2177</v>
      </c>
      <c r="B375" s="2">
        <f t="shared" si="10"/>
        <v>2022</v>
      </c>
      <c r="C375" s="2" t="str">
        <f t="shared" si="11"/>
        <v>KZN226</v>
      </c>
      <c r="D375" s="591">
        <v>1104</v>
      </c>
      <c r="E375" s="2">
        <v>17</v>
      </c>
      <c r="F375" s="2" t="s">
        <v>1940</v>
      </c>
      <c r="G375" s="589"/>
      <c r="H375" s="589"/>
      <c r="I375" s="589"/>
      <c r="J375" s="589"/>
      <c r="K375" s="589"/>
      <c r="L375" s="589"/>
      <c r="M375" s="589"/>
      <c r="N375" s="589"/>
      <c r="O375" s="589"/>
      <c r="P375" s="2"/>
      <c r="Q375" s="589"/>
      <c r="R375" s="589"/>
      <c r="S375" s="589"/>
      <c r="T375" s="589"/>
      <c r="U375" s="589"/>
      <c r="V375" s="589"/>
      <c r="W375" t="s">
        <v>2047</v>
      </c>
    </row>
    <row r="376" spans="1:23" ht="13.15" customHeight="1" x14ac:dyDescent="0.2">
      <c r="A376" s="2" t="s">
        <v>2177</v>
      </c>
      <c r="B376" s="2">
        <f t="shared" si="10"/>
        <v>2022</v>
      </c>
      <c r="C376" s="2" t="str">
        <f t="shared" si="11"/>
        <v>KZN226</v>
      </c>
      <c r="D376" s="591">
        <v>1105</v>
      </c>
      <c r="E376" s="2">
        <v>18</v>
      </c>
      <c r="F376" s="2" t="s">
        <v>1793</v>
      </c>
      <c r="G376" s="589"/>
      <c r="H376" s="589"/>
      <c r="I376" s="589"/>
      <c r="J376" s="589"/>
      <c r="K376" s="589"/>
      <c r="L376" s="589"/>
      <c r="M376" s="589"/>
      <c r="N376" s="589"/>
      <c r="O376" s="589"/>
      <c r="P376" s="2"/>
      <c r="Q376" s="589"/>
      <c r="R376" s="589"/>
      <c r="S376" s="589"/>
      <c r="T376" s="589"/>
      <c r="U376" s="589"/>
      <c r="V376" s="589"/>
      <c r="W376" t="s">
        <v>2047</v>
      </c>
    </row>
    <row r="377" spans="1:23" ht="13.15" customHeight="1" x14ac:dyDescent="0.2">
      <c r="A377" s="2" t="s">
        <v>2177</v>
      </c>
      <c r="B377" s="2">
        <f t="shared" si="10"/>
        <v>2022</v>
      </c>
      <c r="C377" s="2" t="str">
        <f t="shared" si="11"/>
        <v>KZN226</v>
      </c>
      <c r="D377" s="591">
        <v>1106</v>
      </c>
      <c r="E377" s="2">
        <v>19</v>
      </c>
      <c r="F377" s="2" t="s">
        <v>1941</v>
      </c>
      <c r="G377" s="589"/>
      <c r="H377" s="589"/>
      <c r="I377" s="589"/>
      <c r="J377" s="589"/>
      <c r="K377" s="589"/>
      <c r="L377" s="589"/>
      <c r="M377" s="589"/>
      <c r="N377" s="589"/>
      <c r="O377" s="589"/>
      <c r="P377" s="2"/>
      <c r="Q377" s="589"/>
      <c r="R377" s="589"/>
      <c r="S377" s="589"/>
      <c r="T377" s="589"/>
      <c r="U377" s="589"/>
      <c r="V377" s="589"/>
      <c r="W377" t="s">
        <v>2047</v>
      </c>
    </row>
    <row r="378" spans="1:23" ht="13.15" customHeight="1" x14ac:dyDescent="0.2">
      <c r="A378" s="2" t="s">
        <v>2177</v>
      </c>
      <c r="B378" s="2">
        <f t="shared" si="10"/>
        <v>2022</v>
      </c>
      <c r="C378" s="2" t="str">
        <f t="shared" si="11"/>
        <v>KZN226</v>
      </c>
      <c r="D378" s="591">
        <v>1108</v>
      </c>
      <c r="E378" s="2">
        <v>20</v>
      </c>
      <c r="F378" s="2" t="s">
        <v>1340</v>
      </c>
      <c r="G378" s="589"/>
      <c r="H378" s="589"/>
      <c r="I378" s="589"/>
      <c r="J378" s="589"/>
      <c r="K378" s="589"/>
      <c r="L378" s="589"/>
      <c r="M378" s="589"/>
      <c r="N378" s="589"/>
      <c r="O378" s="589"/>
      <c r="P378" s="2"/>
      <c r="Q378" s="589"/>
      <c r="R378" s="589"/>
      <c r="S378" s="589"/>
      <c r="T378" s="589"/>
      <c r="U378" s="589"/>
      <c r="V378" s="589"/>
      <c r="W378" t="s">
        <v>2047</v>
      </c>
    </row>
    <row r="379" spans="1:23" ht="13.15" customHeight="1" x14ac:dyDescent="0.2">
      <c r="A379" s="2" t="s">
        <v>2177</v>
      </c>
      <c r="B379" s="2">
        <f t="shared" si="10"/>
        <v>2022</v>
      </c>
      <c r="C379" s="2" t="str">
        <f t="shared" si="11"/>
        <v>KZN226</v>
      </c>
      <c r="D379" s="591">
        <v>1111</v>
      </c>
      <c r="E379" s="2">
        <v>21</v>
      </c>
      <c r="F379" s="2" t="s">
        <v>1453</v>
      </c>
      <c r="G379" s="589"/>
      <c r="H379" s="589"/>
      <c r="I379" s="589"/>
      <c r="J379" s="589"/>
      <c r="K379" s="589"/>
      <c r="L379" s="589"/>
      <c r="M379" s="589"/>
      <c r="N379" s="589"/>
      <c r="O379" s="589"/>
      <c r="P379" s="2"/>
      <c r="Q379" s="589"/>
      <c r="R379" s="589"/>
      <c r="S379" s="589"/>
      <c r="T379" s="589"/>
      <c r="U379" s="589"/>
      <c r="V379" s="589"/>
      <c r="W379" t="s">
        <v>2047</v>
      </c>
    </row>
    <row r="380" spans="1:23" ht="13.15" customHeight="1" x14ac:dyDescent="0.2">
      <c r="A380" s="2" t="s">
        <v>2177</v>
      </c>
      <c r="B380" s="2">
        <f t="shared" si="10"/>
        <v>2022</v>
      </c>
      <c r="C380" s="2" t="str">
        <f t="shared" si="11"/>
        <v>KZN226</v>
      </c>
      <c r="D380" s="591">
        <v>1112</v>
      </c>
      <c r="E380" s="2">
        <v>22</v>
      </c>
      <c r="F380" s="2" t="s">
        <v>947</v>
      </c>
      <c r="G380" s="589"/>
      <c r="H380" s="589"/>
      <c r="I380" s="589"/>
      <c r="J380" s="589"/>
      <c r="K380" s="589"/>
      <c r="L380" s="589"/>
      <c r="M380" s="589"/>
      <c r="N380" s="589"/>
      <c r="O380" s="589"/>
      <c r="P380" s="2"/>
      <c r="Q380" s="589"/>
      <c r="R380" s="589"/>
      <c r="S380" s="589"/>
      <c r="T380" s="589"/>
      <c r="U380" s="589"/>
      <c r="V380" s="589"/>
      <c r="W380" t="s">
        <v>2047</v>
      </c>
    </row>
    <row r="381" spans="1:23" ht="13.15" customHeight="1" x14ac:dyDescent="0.2">
      <c r="A381" s="2" t="s">
        <v>2177</v>
      </c>
      <c r="B381" s="2">
        <f t="shared" si="10"/>
        <v>2022</v>
      </c>
      <c r="C381" s="2" t="str">
        <f t="shared" si="11"/>
        <v>KZN226</v>
      </c>
      <c r="D381" s="591">
        <v>1113</v>
      </c>
      <c r="E381" s="2">
        <v>23</v>
      </c>
      <c r="F381" s="2" t="s">
        <v>1454</v>
      </c>
      <c r="G381" s="589"/>
      <c r="H381" s="589"/>
      <c r="I381" s="589"/>
      <c r="J381" s="589"/>
      <c r="K381" s="589"/>
      <c r="L381" s="589"/>
      <c r="M381" s="589"/>
      <c r="N381" s="589"/>
      <c r="O381" s="589"/>
      <c r="P381" s="2"/>
      <c r="Q381" s="589"/>
      <c r="R381" s="589"/>
      <c r="S381" s="589"/>
      <c r="T381" s="589"/>
      <c r="U381" s="589"/>
      <c r="V381" s="589"/>
      <c r="W381" t="s">
        <v>2047</v>
      </c>
    </row>
    <row r="382" spans="1:23" ht="13.15" customHeight="1" x14ac:dyDescent="0.2">
      <c r="A382" s="2" t="s">
        <v>2177</v>
      </c>
      <c r="B382" s="2">
        <f t="shared" si="10"/>
        <v>2022</v>
      </c>
      <c r="C382" s="2" t="str">
        <f t="shared" si="11"/>
        <v>KZN226</v>
      </c>
      <c r="D382" s="591">
        <v>1190</v>
      </c>
      <c r="E382" s="2">
        <v>24</v>
      </c>
      <c r="F382" s="2" t="s">
        <v>653</v>
      </c>
      <c r="G382" s="589"/>
      <c r="H382" s="589"/>
      <c r="I382" s="589"/>
      <c r="J382" s="589"/>
      <c r="K382" s="589"/>
      <c r="L382" s="589"/>
      <c r="M382" s="589"/>
      <c r="N382" s="589"/>
      <c r="O382" s="589"/>
      <c r="P382" s="2"/>
      <c r="Q382" s="589"/>
      <c r="R382" s="589"/>
      <c r="S382" s="589"/>
      <c r="T382" s="589"/>
      <c r="U382" s="589"/>
      <c r="V382" s="589"/>
      <c r="W382" t="s">
        <v>2047</v>
      </c>
    </row>
    <row r="383" spans="1:23" ht="13.15" customHeight="1" x14ac:dyDescent="0.2">
      <c r="A383" s="2" t="s">
        <v>2177</v>
      </c>
      <c r="B383" s="2">
        <f t="shared" si="10"/>
        <v>2022</v>
      </c>
      <c r="C383" s="2" t="str">
        <f t="shared" si="11"/>
        <v>KZN226</v>
      </c>
      <c r="D383" s="591">
        <v>1191</v>
      </c>
      <c r="E383" s="2">
        <v>25</v>
      </c>
      <c r="F383" s="2" t="s">
        <v>797</v>
      </c>
      <c r="G383" s="621"/>
      <c r="H383" s="621"/>
      <c r="I383" s="621"/>
      <c r="J383" s="621"/>
      <c r="K383" s="621"/>
      <c r="L383" s="621"/>
      <c r="M383" s="621"/>
      <c r="N383" s="621"/>
      <c r="O383" s="621"/>
      <c r="P383" s="2"/>
      <c r="Q383" s="589"/>
      <c r="R383" s="589"/>
      <c r="S383" s="589"/>
      <c r="T383" s="589"/>
      <c r="U383" s="589"/>
      <c r="V383" s="589"/>
      <c r="W383" t="s">
        <v>2047</v>
      </c>
    </row>
    <row r="384" spans="1:23" ht="13.15" customHeight="1" x14ac:dyDescent="0.2">
      <c r="A384" s="2" t="s">
        <v>2177</v>
      </c>
      <c r="B384" s="2">
        <f t="shared" si="10"/>
        <v>2022</v>
      </c>
      <c r="C384" s="2" t="str">
        <f t="shared" si="11"/>
        <v>KZN226</v>
      </c>
      <c r="D384" s="591"/>
      <c r="E384" s="2"/>
      <c r="F384" s="2"/>
      <c r="G384" s="589"/>
      <c r="H384" s="589"/>
      <c r="I384" s="589"/>
      <c r="J384" s="589"/>
      <c r="K384" s="589"/>
      <c r="L384" s="589"/>
      <c r="M384" s="589"/>
      <c r="N384" s="589"/>
      <c r="O384" s="589"/>
      <c r="P384" s="2"/>
      <c r="Q384" s="589"/>
      <c r="R384" s="589"/>
      <c r="S384" s="589"/>
      <c r="T384" s="589"/>
      <c r="U384" s="589"/>
      <c r="V384" s="589"/>
      <c r="W384" t="s">
        <v>2047</v>
      </c>
    </row>
    <row r="385" spans="1:23" ht="13.15" customHeight="1" x14ac:dyDescent="0.2">
      <c r="A385" s="2" t="s">
        <v>2177</v>
      </c>
      <c r="B385" s="2">
        <f t="shared" si="10"/>
        <v>2022</v>
      </c>
      <c r="C385" s="2" t="str">
        <f t="shared" si="11"/>
        <v>KZN226</v>
      </c>
      <c r="D385" s="591">
        <v>1200</v>
      </c>
      <c r="E385" s="2">
        <v>26</v>
      </c>
      <c r="F385" s="2" t="s">
        <v>654</v>
      </c>
      <c r="G385" s="589"/>
      <c r="H385" s="589"/>
      <c r="I385" s="589"/>
      <c r="J385" s="589"/>
      <c r="K385" s="589"/>
      <c r="L385" s="589"/>
      <c r="M385" s="589"/>
      <c r="N385" s="589"/>
      <c r="O385" s="589"/>
      <c r="P385" s="2"/>
      <c r="Q385" s="589"/>
      <c r="R385" s="589"/>
      <c r="S385" s="589"/>
      <c r="T385" s="589"/>
      <c r="U385" s="589"/>
      <c r="V385" s="589"/>
      <c r="W385" t="s">
        <v>2047</v>
      </c>
    </row>
    <row r="386" spans="1:23" ht="13.15" customHeight="1" x14ac:dyDescent="0.2">
      <c r="A386" s="2" t="s">
        <v>2177</v>
      </c>
      <c r="B386" s="2">
        <f t="shared" ref="B386:B449" si="12">+MTREF</f>
        <v>2022</v>
      </c>
      <c r="C386" s="2" t="str">
        <f t="shared" ref="C386:C449" si="13">LEFT(muni,(FIND(" ",muni,1)-1))</f>
        <v>KZN226</v>
      </c>
      <c r="D386" s="591">
        <v>1201</v>
      </c>
      <c r="E386" s="2">
        <v>27</v>
      </c>
      <c r="F386" s="2" t="s">
        <v>1135</v>
      </c>
      <c r="G386" s="589"/>
      <c r="H386" s="589"/>
      <c r="I386" s="589"/>
      <c r="J386" s="589"/>
      <c r="K386" s="589"/>
      <c r="L386" s="589"/>
      <c r="M386" s="589"/>
      <c r="N386" s="589"/>
      <c r="O386" s="589"/>
      <c r="P386" s="2"/>
      <c r="Q386" s="589"/>
      <c r="R386" s="589"/>
      <c r="S386" s="589"/>
      <c r="T386" s="589"/>
      <c r="U386" s="589"/>
      <c r="V386" s="589"/>
      <c r="W386" t="s">
        <v>2047</v>
      </c>
    </row>
    <row r="387" spans="1:23" ht="13.15" customHeight="1" x14ac:dyDescent="0.2">
      <c r="A387" s="2" t="s">
        <v>2177</v>
      </c>
      <c r="B387" s="2">
        <f t="shared" si="12"/>
        <v>2022</v>
      </c>
      <c r="C387" s="2" t="str">
        <f t="shared" si="13"/>
        <v>KZN226</v>
      </c>
      <c r="D387" s="591">
        <v>1202</v>
      </c>
      <c r="E387" s="2">
        <v>28</v>
      </c>
      <c r="F387" s="2" t="s">
        <v>1792</v>
      </c>
      <c r="G387" s="589"/>
      <c r="H387" s="589"/>
      <c r="I387" s="589"/>
      <c r="J387" s="589"/>
      <c r="K387" s="589"/>
      <c r="L387" s="589"/>
      <c r="M387" s="589"/>
      <c r="N387" s="589"/>
      <c r="O387" s="589"/>
      <c r="P387" s="2"/>
      <c r="Q387" s="589"/>
      <c r="R387" s="589"/>
      <c r="S387" s="589"/>
      <c r="T387" s="589"/>
      <c r="U387" s="589"/>
      <c r="V387" s="589"/>
      <c r="W387" t="s">
        <v>2047</v>
      </c>
    </row>
    <row r="388" spans="1:23" ht="13.15" customHeight="1" x14ac:dyDescent="0.2">
      <c r="A388" s="2" t="s">
        <v>2177</v>
      </c>
      <c r="B388" s="2">
        <f t="shared" si="12"/>
        <v>2022</v>
      </c>
      <c r="C388" s="2" t="str">
        <f t="shared" si="13"/>
        <v>KZN226</v>
      </c>
      <c r="D388" s="591">
        <v>1203</v>
      </c>
      <c r="E388" s="2">
        <v>29</v>
      </c>
      <c r="F388" s="2" t="s">
        <v>650</v>
      </c>
      <c r="G388" s="589"/>
      <c r="H388" s="589"/>
      <c r="I388" s="589"/>
      <c r="J388" s="589"/>
      <c r="K388" s="589"/>
      <c r="L388" s="589"/>
      <c r="M388" s="589"/>
      <c r="N388" s="589"/>
      <c r="O388" s="589"/>
      <c r="P388" s="2"/>
      <c r="Q388" s="589"/>
      <c r="R388" s="589"/>
      <c r="S388" s="589"/>
      <c r="T388" s="589"/>
      <c r="U388" s="589"/>
      <c r="V388" s="589"/>
      <c r="W388" t="s">
        <v>2047</v>
      </c>
    </row>
    <row r="389" spans="1:23" ht="13.15" customHeight="1" x14ac:dyDescent="0.2">
      <c r="A389" s="2" t="s">
        <v>2177</v>
      </c>
      <c r="B389" s="2">
        <f t="shared" si="12"/>
        <v>2022</v>
      </c>
      <c r="C389" s="2" t="str">
        <f t="shared" si="13"/>
        <v>KZN226</v>
      </c>
      <c r="D389" s="591">
        <v>1207</v>
      </c>
      <c r="E389" s="2">
        <v>30</v>
      </c>
      <c r="F389" s="2" t="s">
        <v>946</v>
      </c>
      <c r="G389" s="589"/>
      <c r="H389" s="589"/>
      <c r="I389" s="589"/>
      <c r="J389" s="589"/>
      <c r="K389" s="589"/>
      <c r="L389" s="589"/>
      <c r="M389" s="589"/>
      <c r="N389" s="589"/>
      <c r="O389" s="589"/>
      <c r="P389" s="2"/>
      <c r="Q389" s="589"/>
      <c r="R389" s="589"/>
      <c r="S389" s="589"/>
      <c r="T389" s="589"/>
      <c r="U389" s="589"/>
      <c r="V389" s="589"/>
      <c r="W389" t="s">
        <v>2047</v>
      </c>
    </row>
    <row r="390" spans="1:23" ht="13.15" customHeight="1" x14ac:dyDescent="0.2">
      <c r="A390" s="2" t="s">
        <v>2177</v>
      </c>
      <c r="B390" s="2">
        <f t="shared" si="12"/>
        <v>2022</v>
      </c>
      <c r="C390" s="2" t="str">
        <f t="shared" si="13"/>
        <v>KZN226</v>
      </c>
      <c r="D390" s="591">
        <v>1208</v>
      </c>
      <c r="E390" s="2">
        <v>31</v>
      </c>
      <c r="F390" s="2" t="s">
        <v>652</v>
      </c>
      <c r="G390" s="589"/>
      <c r="H390" s="589"/>
      <c r="I390" s="589"/>
      <c r="J390" s="589"/>
      <c r="K390" s="589"/>
      <c r="L390" s="589"/>
      <c r="M390" s="589"/>
      <c r="N390" s="589"/>
      <c r="O390" s="589"/>
      <c r="P390" s="2"/>
      <c r="Q390" s="589"/>
      <c r="R390" s="589"/>
      <c r="S390" s="589"/>
      <c r="T390" s="589"/>
      <c r="U390" s="589"/>
      <c r="V390" s="589"/>
      <c r="W390" t="s">
        <v>2047</v>
      </c>
    </row>
    <row r="391" spans="1:23" ht="13.15" customHeight="1" x14ac:dyDescent="0.2">
      <c r="A391" s="2" t="s">
        <v>2177</v>
      </c>
      <c r="B391" s="2">
        <f t="shared" si="12"/>
        <v>2022</v>
      </c>
      <c r="C391" s="2" t="str">
        <f t="shared" si="13"/>
        <v>KZN226</v>
      </c>
      <c r="D391" s="591">
        <v>1204</v>
      </c>
      <c r="E391" s="2">
        <v>32</v>
      </c>
      <c r="F391" s="2" t="s">
        <v>1940</v>
      </c>
      <c r="G391" s="589"/>
      <c r="H391" s="589"/>
      <c r="I391" s="589"/>
      <c r="J391" s="589"/>
      <c r="K391" s="589"/>
      <c r="L391" s="589"/>
      <c r="M391" s="589"/>
      <c r="N391" s="589"/>
      <c r="O391" s="589"/>
      <c r="P391" s="2"/>
      <c r="Q391" s="589"/>
      <c r="R391" s="589"/>
      <c r="S391" s="589"/>
      <c r="T391" s="589"/>
      <c r="U391" s="589"/>
      <c r="V391" s="589"/>
      <c r="W391" t="s">
        <v>2047</v>
      </c>
    </row>
    <row r="392" spans="1:23" ht="13.15" customHeight="1" x14ac:dyDescent="0.2">
      <c r="A392" s="2" t="s">
        <v>2177</v>
      </c>
      <c r="B392" s="2">
        <f t="shared" si="12"/>
        <v>2022</v>
      </c>
      <c r="C392" s="2" t="str">
        <f t="shared" si="13"/>
        <v>KZN226</v>
      </c>
      <c r="D392" s="591">
        <v>1205</v>
      </c>
      <c r="E392" s="2">
        <v>33</v>
      </c>
      <c r="F392" s="2" t="s">
        <v>1793</v>
      </c>
      <c r="G392" s="589"/>
      <c r="H392" s="589"/>
      <c r="I392" s="589"/>
      <c r="J392" s="589"/>
      <c r="K392" s="589"/>
      <c r="L392" s="589"/>
      <c r="M392" s="589"/>
      <c r="N392" s="589"/>
      <c r="O392" s="589"/>
      <c r="P392" s="2"/>
      <c r="Q392" s="589"/>
      <c r="R392" s="589"/>
      <c r="S392" s="589"/>
      <c r="T392" s="589"/>
      <c r="U392" s="589"/>
      <c r="V392" s="589"/>
      <c r="W392" t="s">
        <v>2047</v>
      </c>
    </row>
    <row r="393" spans="1:23" ht="13.15" customHeight="1" x14ac:dyDescent="0.2">
      <c r="A393" s="2" t="s">
        <v>2177</v>
      </c>
      <c r="B393" s="2">
        <f t="shared" si="12"/>
        <v>2022</v>
      </c>
      <c r="C393" s="2" t="str">
        <f t="shared" si="13"/>
        <v>KZN226</v>
      </c>
      <c r="D393" s="591">
        <v>1206</v>
      </c>
      <c r="E393" s="2">
        <v>34</v>
      </c>
      <c r="F393" s="2" t="s">
        <v>1941</v>
      </c>
      <c r="G393" s="589"/>
      <c r="H393" s="589"/>
      <c r="I393" s="589"/>
      <c r="J393" s="589"/>
      <c r="K393" s="589"/>
      <c r="L393" s="589"/>
      <c r="M393" s="589"/>
      <c r="N393" s="589"/>
      <c r="O393" s="589"/>
      <c r="P393" s="2"/>
      <c r="Q393" s="589"/>
      <c r="R393" s="589"/>
      <c r="S393" s="589"/>
      <c r="T393" s="589"/>
      <c r="U393" s="589"/>
      <c r="V393" s="589"/>
      <c r="W393" t="s">
        <v>2047</v>
      </c>
    </row>
    <row r="394" spans="1:23" ht="13.15" customHeight="1" x14ac:dyDescent="0.2">
      <c r="A394" s="2" t="s">
        <v>2177</v>
      </c>
      <c r="B394" s="2">
        <f t="shared" si="12"/>
        <v>2022</v>
      </c>
      <c r="C394" s="2" t="str">
        <f t="shared" si="13"/>
        <v>KZN226</v>
      </c>
      <c r="D394" s="591">
        <v>1209</v>
      </c>
      <c r="E394" s="2">
        <v>35</v>
      </c>
      <c r="F394" s="2" t="s">
        <v>1340</v>
      </c>
      <c r="G394" s="589"/>
      <c r="H394" s="589"/>
      <c r="I394" s="589"/>
      <c r="J394" s="589"/>
      <c r="K394" s="589"/>
      <c r="L394" s="589"/>
      <c r="M394" s="589"/>
      <c r="N394" s="589"/>
      <c r="O394" s="589"/>
      <c r="P394" s="2"/>
      <c r="Q394" s="589"/>
      <c r="R394" s="589"/>
      <c r="S394" s="589"/>
      <c r="T394" s="589"/>
      <c r="U394" s="589"/>
      <c r="V394" s="589"/>
      <c r="W394" t="s">
        <v>2047</v>
      </c>
    </row>
    <row r="395" spans="1:23" ht="13.15" customHeight="1" x14ac:dyDescent="0.2">
      <c r="A395" s="2" t="s">
        <v>2177</v>
      </c>
      <c r="B395" s="2">
        <f t="shared" si="12"/>
        <v>2022</v>
      </c>
      <c r="C395" s="2" t="str">
        <f t="shared" si="13"/>
        <v>KZN226</v>
      </c>
      <c r="D395" s="591">
        <v>1211</v>
      </c>
      <c r="E395" s="2">
        <v>36</v>
      </c>
      <c r="F395" s="2" t="s">
        <v>1453</v>
      </c>
      <c r="G395" s="589"/>
      <c r="H395" s="589"/>
      <c r="I395" s="589"/>
      <c r="J395" s="589"/>
      <c r="K395" s="589"/>
      <c r="L395" s="589"/>
      <c r="M395" s="589"/>
      <c r="N395" s="589"/>
      <c r="O395" s="589"/>
      <c r="P395" s="2"/>
      <c r="Q395" s="589"/>
      <c r="R395" s="589"/>
      <c r="S395" s="589"/>
      <c r="T395" s="589"/>
      <c r="U395" s="589"/>
      <c r="V395" s="589"/>
      <c r="W395" t="s">
        <v>2047</v>
      </c>
    </row>
    <row r="396" spans="1:23" ht="13.15" customHeight="1" x14ac:dyDescent="0.2">
      <c r="A396" s="2" t="s">
        <v>2177</v>
      </c>
      <c r="B396" s="2">
        <f t="shared" si="12"/>
        <v>2022</v>
      </c>
      <c r="C396" s="2" t="str">
        <f t="shared" si="13"/>
        <v>KZN226</v>
      </c>
      <c r="D396" s="591">
        <v>1212</v>
      </c>
      <c r="E396" s="2">
        <v>37</v>
      </c>
      <c r="F396" s="2" t="s">
        <v>947</v>
      </c>
      <c r="G396" s="589"/>
      <c r="H396" s="589"/>
      <c r="I396" s="589"/>
      <c r="J396" s="589"/>
      <c r="K396" s="589"/>
      <c r="L396" s="589"/>
      <c r="M396" s="589"/>
      <c r="N396" s="589"/>
      <c r="O396" s="589"/>
      <c r="P396" s="2"/>
      <c r="Q396" s="589"/>
      <c r="R396" s="589"/>
      <c r="S396" s="589"/>
      <c r="T396" s="589"/>
      <c r="U396" s="589"/>
      <c r="V396" s="589"/>
      <c r="W396" t="s">
        <v>2047</v>
      </c>
    </row>
    <row r="397" spans="1:23" ht="13.15" customHeight="1" x14ac:dyDescent="0.2">
      <c r="A397" s="2" t="s">
        <v>2177</v>
      </c>
      <c r="B397" s="2">
        <f t="shared" si="12"/>
        <v>2022</v>
      </c>
      <c r="C397" s="2" t="str">
        <f t="shared" si="13"/>
        <v>KZN226</v>
      </c>
      <c r="D397" s="591">
        <v>1213</v>
      </c>
      <c r="E397" s="2">
        <v>38</v>
      </c>
      <c r="F397" s="2" t="s">
        <v>1454</v>
      </c>
      <c r="G397" s="589"/>
      <c r="H397" s="589"/>
      <c r="I397" s="589"/>
      <c r="J397" s="589"/>
      <c r="K397" s="589"/>
      <c r="L397" s="589"/>
      <c r="M397" s="589"/>
      <c r="N397" s="589"/>
      <c r="O397" s="589"/>
      <c r="P397" s="2"/>
      <c r="Q397" s="589"/>
      <c r="R397" s="589"/>
      <c r="S397" s="589"/>
      <c r="T397" s="589"/>
      <c r="U397" s="589"/>
      <c r="V397" s="589"/>
      <c r="W397" t="s">
        <v>2047</v>
      </c>
    </row>
    <row r="398" spans="1:23" ht="13.15" customHeight="1" x14ac:dyDescent="0.2">
      <c r="A398" s="2" t="s">
        <v>2177</v>
      </c>
      <c r="B398" s="2">
        <f t="shared" si="12"/>
        <v>2022</v>
      </c>
      <c r="C398" s="2" t="str">
        <f t="shared" si="13"/>
        <v>KZN226</v>
      </c>
      <c r="D398" s="591">
        <v>1290</v>
      </c>
      <c r="E398" s="2">
        <v>39</v>
      </c>
      <c r="F398" s="2" t="s">
        <v>1563</v>
      </c>
      <c r="G398" s="589"/>
      <c r="H398" s="589"/>
      <c r="I398" s="589"/>
      <c r="J398" s="589"/>
      <c r="K398" s="589"/>
      <c r="L398" s="589"/>
      <c r="M398" s="589"/>
      <c r="N398" s="589"/>
      <c r="O398" s="589"/>
      <c r="P398" s="2"/>
      <c r="Q398" s="589"/>
      <c r="R398" s="589"/>
      <c r="S398" s="589"/>
      <c r="T398" s="589"/>
      <c r="U398" s="589"/>
      <c r="V398" s="589"/>
      <c r="W398" t="s">
        <v>2047</v>
      </c>
    </row>
    <row r="399" spans="1:23" ht="13.15" customHeight="1" x14ac:dyDescent="0.2">
      <c r="A399" s="2" t="s">
        <v>2177</v>
      </c>
      <c r="B399" s="2">
        <f t="shared" si="12"/>
        <v>2022</v>
      </c>
      <c r="C399" s="2" t="str">
        <f t="shared" si="13"/>
        <v>KZN226</v>
      </c>
      <c r="D399" s="591">
        <v>1291</v>
      </c>
      <c r="E399" s="2">
        <v>40</v>
      </c>
      <c r="F399" s="2" t="s">
        <v>797</v>
      </c>
      <c r="G399" s="621"/>
      <c r="H399" s="621"/>
      <c r="I399" s="621"/>
      <c r="J399" s="621"/>
      <c r="K399" s="621"/>
      <c r="L399" s="621"/>
      <c r="M399" s="621"/>
      <c r="N399" s="621"/>
      <c r="O399" s="621"/>
      <c r="P399" s="2"/>
      <c r="Q399" s="589"/>
      <c r="R399" s="589"/>
      <c r="S399" s="589"/>
      <c r="T399" s="589"/>
      <c r="U399" s="589"/>
      <c r="V399" s="589"/>
      <c r="W399" t="s">
        <v>2047</v>
      </c>
    </row>
    <row r="400" spans="1:23" ht="13.15" customHeight="1" x14ac:dyDescent="0.2">
      <c r="A400" s="2" t="s">
        <v>2177</v>
      </c>
      <c r="B400" s="2">
        <f t="shared" si="12"/>
        <v>2022</v>
      </c>
      <c r="C400" s="2" t="str">
        <f t="shared" si="13"/>
        <v>KZN226</v>
      </c>
      <c r="D400" s="591"/>
      <c r="E400" s="2"/>
      <c r="F400" s="2"/>
      <c r="G400" s="589"/>
      <c r="H400" s="589"/>
      <c r="I400" s="589"/>
      <c r="J400" s="589"/>
      <c r="K400" s="589"/>
      <c r="L400" s="589"/>
      <c r="M400" s="589"/>
      <c r="N400" s="589"/>
      <c r="O400" s="589"/>
      <c r="P400" s="2"/>
      <c r="Q400" s="589"/>
      <c r="R400" s="589"/>
      <c r="S400" s="589"/>
      <c r="T400" s="589"/>
      <c r="U400" s="589"/>
      <c r="V400" s="589"/>
      <c r="W400" t="s">
        <v>2047</v>
      </c>
    </row>
    <row r="401" spans="1:23" ht="13.15" customHeight="1" x14ac:dyDescent="0.2">
      <c r="A401" s="2" t="s">
        <v>2177</v>
      </c>
      <c r="B401" s="2">
        <f t="shared" si="12"/>
        <v>2022</v>
      </c>
      <c r="C401" s="2" t="str">
        <f t="shared" si="13"/>
        <v>KZN226</v>
      </c>
      <c r="D401" s="591">
        <v>1295</v>
      </c>
      <c r="E401" s="2">
        <v>41</v>
      </c>
      <c r="F401" s="2" t="s">
        <v>1357</v>
      </c>
      <c r="G401" s="589"/>
      <c r="H401" s="589"/>
      <c r="I401" s="589"/>
      <c r="J401" s="589"/>
      <c r="K401" s="589"/>
      <c r="L401" s="589"/>
      <c r="M401" s="589"/>
      <c r="N401" s="589"/>
      <c r="O401" s="589"/>
      <c r="P401" s="2"/>
      <c r="Q401" s="589"/>
      <c r="R401" s="589"/>
      <c r="S401" s="589"/>
      <c r="T401" s="589"/>
      <c r="U401" s="589"/>
      <c r="V401" s="589"/>
      <c r="W401" t="s">
        <v>2047</v>
      </c>
    </row>
    <row r="402" spans="1:23" ht="13.15" customHeight="1" x14ac:dyDescent="0.2">
      <c r="A402" s="2" t="s">
        <v>2177</v>
      </c>
      <c r="B402" s="2">
        <f t="shared" si="12"/>
        <v>2022</v>
      </c>
      <c r="C402" s="2" t="str">
        <f t="shared" si="13"/>
        <v>KZN226</v>
      </c>
      <c r="D402" s="591">
        <v>1297</v>
      </c>
      <c r="E402" s="2">
        <v>42</v>
      </c>
      <c r="F402" s="2" t="s">
        <v>797</v>
      </c>
      <c r="G402" s="621"/>
      <c r="H402" s="621"/>
      <c r="I402" s="621"/>
      <c r="J402" s="621"/>
      <c r="K402" s="621"/>
      <c r="L402" s="621"/>
      <c r="M402" s="621"/>
      <c r="N402" s="621"/>
      <c r="O402" s="621"/>
      <c r="P402" s="2"/>
      <c r="Q402" s="589"/>
      <c r="R402" s="589"/>
      <c r="S402" s="589"/>
      <c r="T402" s="589"/>
      <c r="U402" s="589"/>
      <c r="V402" s="589"/>
      <c r="W402" t="s">
        <v>2047</v>
      </c>
    </row>
    <row r="403" spans="1:23" ht="13.15" customHeight="1" x14ac:dyDescent="0.2">
      <c r="A403" s="2" t="s">
        <v>2177</v>
      </c>
      <c r="B403" s="2">
        <f t="shared" si="12"/>
        <v>2022</v>
      </c>
      <c r="C403" s="2" t="str">
        <f t="shared" si="13"/>
        <v>KZN226</v>
      </c>
      <c r="D403" s="591"/>
      <c r="E403" s="2"/>
      <c r="F403" s="2"/>
      <c r="G403" s="589"/>
      <c r="H403" s="589"/>
      <c r="I403" s="589"/>
      <c r="J403" s="589"/>
      <c r="K403" s="589"/>
      <c r="L403" s="589"/>
      <c r="M403" s="589"/>
      <c r="N403" s="589"/>
      <c r="O403" s="589"/>
      <c r="P403" s="2"/>
      <c r="Q403" s="589"/>
      <c r="R403" s="589"/>
      <c r="S403" s="589"/>
      <c r="T403" s="589"/>
      <c r="U403" s="589"/>
      <c r="V403" s="589"/>
      <c r="W403" t="s">
        <v>2047</v>
      </c>
    </row>
    <row r="404" spans="1:23" ht="13.15" customHeight="1" x14ac:dyDescent="0.2">
      <c r="A404" s="2" t="s">
        <v>2177</v>
      </c>
      <c r="B404" s="2">
        <f t="shared" si="12"/>
        <v>2022</v>
      </c>
      <c r="C404" s="2" t="str">
        <f t="shared" si="13"/>
        <v>KZN226</v>
      </c>
      <c r="D404" s="591">
        <v>2000</v>
      </c>
      <c r="E404" s="2">
        <v>43</v>
      </c>
      <c r="F404" s="2" t="s">
        <v>785</v>
      </c>
      <c r="G404" s="589"/>
      <c r="H404" s="589"/>
      <c r="I404" s="589"/>
      <c r="J404" s="589"/>
      <c r="K404" s="589"/>
      <c r="L404" s="589"/>
      <c r="M404" s="589"/>
      <c r="N404" s="589"/>
      <c r="O404" s="589"/>
      <c r="P404" s="2"/>
      <c r="Q404" s="589"/>
      <c r="R404" s="589"/>
      <c r="S404" s="589"/>
      <c r="T404" s="589"/>
      <c r="U404" s="589"/>
      <c r="V404" s="589"/>
      <c r="W404" t="s">
        <v>2047</v>
      </c>
    </row>
    <row r="405" spans="1:23" ht="13.15" customHeight="1" x14ac:dyDescent="0.2">
      <c r="A405" s="2" t="s">
        <v>2177</v>
      </c>
      <c r="B405" s="2">
        <f t="shared" si="12"/>
        <v>2022</v>
      </c>
      <c r="C405" s="2" t="str">
        <f t="shared" si="13"/>
        <v>KZN226</v>
      </c>
      <c r="D405" s="591">
        <v>2001</v>
      </c>
      <c r="E405" s="2">
        <v>44</v>
      </c>
      <c r="F405" s="2" t="s">
        <v>1135</v>
      </c>
      <c r="G405" s="589"/>
      <c r="H405" s="589"/>
      <c r="I405" s="589"/>
      <c r="J405" s="589"/>
      <c r="K405" s="589"/>
      <c r="L405" s="589"/>
      <c r="M405" s="589"/>
      <c r="N405" s="589"/>
      <c r="O405" s="589"/>
      <c r="P405" s="2"/>
      <c r="Q405" s="589"/>
      <c r="R405" s="589"/>
      <c r="S405" s="589"/>
      <c r="T405" s="589"/>
      <c r="U405" s="589"/>
      <c r="V405" s="589"/>
      <c r="W405" t="s">
        <v>2047</v>
      </c>
    </row>
    <row r="406" spans="1:23" ht="13.15" customHeight="1" x14ac:dyDescent="0.2">
      <c r="A406" s="2" t="s">
        <v>2177</v>
      </c>
      <c r="B406" s="2">
        <f t="shared" si="12"/>
        <v>2022</v>
      </c>
      <c r="C406" s="2" t="str">
        <f t="shared" si="13"/>
        <v>KZN226</v>
      </c>
      <c r="D406" s="591">
        <v>2002</v>
      </c>
      <c r="E406" s="2">
        <v>45</v>
      </c>
      <c r="F406" s="2" t="s">
        <v>1792</v>
      </c>
      <c r="G406" s="589"/>
      <c r="H406" s="589"/>
      <c r="I406" s="589"/>
      <c r="J406" s="589"/>
      <c r="K406" s="589"/>
      <c r="L406" s="589"/>
      <c r="M406" s="589"/>
      <c r="N406" s="589"/>
      <c r="O406" s="589"/>
      <c r="P406" s="2"/>
      <c r="Q406" s="589"/>
      <c r="R406" s="589"/>
      <c r="S406" s="589"/>
      <c r="T406" s="589"/>
      <c r="U406" s="589"/>
      <c r="V406" s="589"/>
      <c r="W406" t="s">
        <v>2047</v>
      </c>
    </row>
    <row r="407" spans="1:23" ht="13.15" customHeight="1" x14ac:dyDescent="0.2">
      <c r="A407" s="2" t="s">
        <v>2177</v>
      </c>
      <c r="B407" s="2">
        <f t="shared" si="12"/>
        <v>2022</v>
      </c>
      <c r="C407" s="2" t="str">
        <f t="shared" si="13"/>
        <v>KZN226</v>
      </c>
      <c r="D407" s="591">
        <v>2003</v>
      </c>
      <c r="E407" s="2">
        <v>46</v>
      </c>
      <c r="F407" s="2" t="s">
        <v>650</v>
      </c>
      <c r="G407" s="589"/>
      <c r="H407" s="589"/>
      <c r="I407" s="589"/>
      <c r="J407" s="589"/>
      <c r="K407" s="589"/>
      <c r="L407" s="589"/>
      <c r="M407" s="589"/>
      <c r="N407" s="589"/>
      <c r="O407" s="589"/>
      <c r="P407" s="2"/>
      <c r="Q407" s="589"/>
      <c r="R407" s="589"/>
      <c r="S407" s="589"/>
      <c r="T407" s="589"/>
      <c r="U407" s="589"/>
      <c r="V407" s="589"/>
      <c r="W407" t="s">
        <v>2047</v>
      </c>
    </row>
    <row r="408" spans="1:23" ht="13.15" customHeight="1" x14ac:dyDescent="0.2">
      <c r="A408" s="2" t="s">
        <v>2177</v>
      </c>
      <c r="B408" s="2">
        <f t="shared" si="12"/>
        <v>2022</v>
      </c>
      <c r="C408" s="2" t="str">
        <f t="shared" si="13"/>
        <v>KZN226</v>
      </c>
      <c r="D408" s="591">
        <v>2010</v>
      </c>
      <c r="E408" s="2">
        <v>47</v>
      </c>
      <c r="F408" s="2" t="s">
        <v>946</v>
      </c>
      <c r="G408" s="589"/>
      <c r="H408" s="589"/>
      <c r="I408" s="589"/>
      <c r="J408" s="589"/>
      <c r="K408" s="589"/>
      <c r="L408" s="589"/>
      <c r="M408" s="589"/>
      <c r="N408" s="589"/>
      <c r="O408" s="589"/>
      <c r="P408" s="2"/>
      <c r="Q408" s="589"/>
      <c r="R408" s="589"/>
      <c r="S408" s="589"/>
      <c r="T408" s="589"/>
      <c r="U408" s="589"/>
      <c r="V408" s="589"/>
      <c r="W408" t="s">
        <v>2047</v>
      </c>
    </row>
    <row r="409" spans="1:23" ht="13.15" customHeight="1" x14ac:dyDescent="0.2">
      <c r="A409" s="2" t="s">
        <v>2177</v>
      </c>
      <c r="B409" s="2">
        <f t="shared" si="12"/>
        <v>2022</v>
      </c>
      <c r="C409" s="2" t="str">
        <f t="shared" si="13"/>
        <v>KZN226</v>
      </c>
      <c r="D409" s="591">
        <v>2011</v>
      </c>
      <c r="E409" s="2">
        <v>48</v>
      </c>
      <c r="F409" s="2" t="s">
        <v>652</v>
      </c>
      <c r="G409" s="589"/>
      <c r="H409" s="589"/>
      <c r="I409" s="589"/>
      <c r="J409" s="589"/>
      <c r="K409" s="589"/>
      <c r="L409" s="589"/>
      <c r="M409" s="589"/>
      <c r="N409" s="589"/>
      <c r="O409" s="589"/>
      <c r="P409" s="2"/>
      <c r="Q409" s="589"/>
      <c r="R409" s="589"/>
      <c r="S409" s="589"/>
      <c r="T409" s="589"/>
      <c r="U409" s="589"/>
      <c r="V409" s="589"/>
      <c r="W409" t="s">
        <v>2047</v>
      </c>
    </row>
    <row r="410" spans="1:23" ht="13.15" customHeight="1" x14ac:dyDescent="0.2">
      <c r="A410" s="2" t="s">
        <v>2177</v>
      </c>
      <c r="B410" s="2">
        <f t="shared" si="12"/>
        <v>2022</v>
      </c>
      <c r="C410" s="2" t="str">
        <f t="shared" si="13"/>
        <v>KZN226</v>
      </c>
      <c r="D410" s="591">
        <v>2004</v>
      </c>
      <c r="E410" s="2">
        <v>49</v>
      </c>
      <c r="F410" s="2" t="s">
        <v>1940</v>
      </c>
      <c r="G410" s="589"/>
      <c r="H410" s="589"/>
      <c r="I410" s="589"/>
      <c r="J410" s="589"/>
      <c r="K410" s="589"/>
      <c r="L410" s="589"/>
      <c r="M410" s="589"/>
      <c r="N410" s="589"/>
      <c r="O410" s="589"/>
      <c r="P410" s="2"/>
      <c r="Q410" s="589"/>
      <c r="R410" s="589"/>
      <c r="S410" s="589"/>
      <c r="T410" s="589"/>
      <c r="U410" s="589"/>
      <c r="V410" s="589"/>
      <c r="W410" t="s">
        <v>2047</v>
      </c>
    </row>
    <row r="411" spans="1:23" ht="13.15" customHeight="1" x14ac:dyDescent="0.2">
      <c r="A411" s="2" t="s">
        <v>2177</v>
      </c>
      <c r="B411" s="2">
        <f t="shared" si="12"/>
        <v>2022</v>
      </c>
      <c r="C411" s="2" t="str">
        <f t="shared" si="13"/>
        <v>KZN226</v>
      </c>
      <c r="D411" s="591">
        <v>2005</v>
      </c>
      <c r="E411" s="2">
        <v>50</v>
      </c>
      <c r="F411" s="2" t="s">
        <v>1793</v>
      </c>
      <c r="G411" s="589"/>
      <c r="H411" s="589"/>
      <c r="I411" s="589"/>
      <c r="J411" s="589"/>
      <c r="K411" s="589"/>
      <c r="L411" s="589"/>
      <c r="M411" s="589"/>
      <c r="N411" s="589"/>
      <c r="O411" s="589"/>
      <c r="P411" s="2"/>
      <c r="Q411" s="589"/>
      <c r="R411" s="589"/>
      <c r="S411" s="589"/>
      <c r="T411" s="589"/>
      <c r="U411" s="589"/>
      <c r="V411" s="589"/>
      <c r="W411" t="s">
        <v>2047</v>
      </c>
    </row>
    <row r="412" spans="1:23" ht="13.15" customHeight="1" x14ac:dyDescent="0.2">
      <c r="A412" s="2" t="s">
        <v>2177</v>
      </c>
      <c r="B412" s="2">
        <f t="shared" si="12"/>
        <v>2022</v>
      </c>
      <c r="C412" s="2" t="str">
        <f t="shared" si="13"/>
        <v>KZN226</v>
      </c>
      <c r="D412" s="591">
        <v>2006</v>
      </c>
      <c r="E412" s="2">
        <v>51</v>
      </c>
      <c r="F412" s="2" t="s">
        <v>1941</v>
      </c>
      <c r="G412" s="589"/>
      <c r="H412" s="589"/>
      <c r="I412" s="589"/>
      <c r="J412" s="589"/>
      <c r="K412" s="589"/>
      <c r="L412" s="589"/>
      <c r="M412" s="589"/>
      <c r="N412" s="589"/>
      <c r="O412" s="589"/>
      <c r="P412" s="2"/>
      <c r="Q412" s="589"/>
      <c r="R412" s="589"/>
      <c r="S412" s="589"/>
      <c r="T412" s="589"/>
      <c r="U412" s="589"/>
      <c r="V412" s="589"/>
      <c r="W412" t="s">
        <v>2047</v>
      </c>
    </row>
    <row r="413" spans="1:23" ht="13.15" customHeight="1" x14ac:dyDescent="0.2">
      <c r="A413" s="2" t="s">
        <v>2177</v>
      </c>
      <c r="B413" s="2">
        <f t="shared" si="12"/>
        <v>2022</v>
      </c>
      <c r="C413" s="2" t="str">
        <f t="shared" si="13"/>
        <v>KZN226</v>
      </c>
      <c r="D413" s="591">
        <v>2008</v>
      </c>
      <c r="E413" s="2">
        <v>52</v>
      </c>
      <c r="F413" s="2" t="s">
        <v>1340</v>
      </c>
      <c r="G413" s="589"/>
      <c r="H413" s="589"/>
      <c r="I413" s="589"/>
      <c r="J413" s="589"/>
      <c r="K413" s="589"/>
      <c r="L413" s="589"/>
      <c r="M413" s="589"/>
      <c r="N413" s="589"/>
      <c r="O413" s="589"/>
      <c r="P413" s="2"/>
      <c r="Q413" s="589"/>
      <c r="R413" s="589"/>
      <c r="S413" s="589"/>
      <c r="T413" s="589"/>
      <c r="U413" s="589"/>
      <c r="V413" s="589"/>
      <c r="W413" t="s">
        <v>2047</v>
      </c>
    </row>
    <row r="414" spans="1:23" ht="13.15" customHeight="1" x14ac:dyDescent="0.2">
      <c r="A414" s="2" t="s">
        <v>2177</v>
      </c>
      <c r="B414" s="2">
        <f t="shared" si="12"/>
        <v>2022</v>
      </c>
      <c r="C414" s="2" t="str">
        <f t="shared" si="13"/>
        <v>KZN226</v>
      </c>
      <c r="D414" s="591">
        <v>2007</v>
      </c>
      <c r="E414" s="2">
        <v>53</v>
      </c>
      <c r="F414" s="2" t="s">
        <v>1944</v>
      </c>
      <c r="G414" s="589"/>
      <c r="H414" s="589"/>
      <c r="I414" s="589"/>
      <c r="J414" s="589"/>
      <c r="K414" s="589"/>
      <c r="L414" s="589"/>
      <c r="M414" s="589"/>
      <c r="N414" s="589"/>
      <c r="O414" s="589"/>
      <c r="P414" s="2"/>
      <c r="Q414" s="589"/>
      <c r="R414" s="589"/>
      <c r="S414" s="589"/>
      <c r="T414" s="589"/>
      <c r="U414" s="589"/>
      <c r="V414" s="589"/>
      <c r="W414" t="s">
        <v>2047</v>
      </c>
    </row>
    <row r="415" spans="1:23" ht="13.15" customHeight="1" x14ac:dyDescent="0.2">
      <c r="A415" s="2" t="s">
        <v>2177</v>
      </c>
      <c r="B415" s="2">
        <f t="shared" si="12"/>
        <v>2022</v>
      </c>
      <c r="C415" s="2" t="str">
        <f t="shared" si="13"/>
        <v>KZN226</v>
      </c>
      <c r="D415" s="591">
        <v>2012</v>
      </c>
      <c r="E415" s="2">
        <v>54</v>
      </c>
      <c r="F415" s="2" t="s">
        <v>1453</v>
      </c>
      <c r="G415" s="589"/>
      <c r="H415" s="589"/>
      <c r="I415" s="589"/>
      <c r="J415" s="589"/>
      <c r="K415" s="589"/>
      <c r="L415" s="589"/>
      <c r="M415" s="589"/>
      <c r="N415" s="589"/>
      <c r="O415" s="589"/>
      <c r="P415" s="2"/>
      <c r="Q415" s="589"/>
      <c r="R415" s="589"/>
      <c r="S415" s="589"/>
      <c r="T415" s="589"/>
      <c r="U415" s="589"/>
      <c r="V415" s="589"/>
      <c r="W415" t="s">
        <v>2047</v>
      </c>
    </row>
    <row r="416" spans="1:23" ht="13.15" customHeight="1" x14ac:dyDescent="0.2">
      <c r="A416" s="2" t="s">
        <v>2177</v>
      </c>
      <c r="B416" s="2">
        <f t="shared" si="12"/>
        <v>2022</v>
      </c>
      <c r="C416" s="2" t="str">
        <f t="shared" si="13"/>
        <v>KZN226</v>
      </c>
      <c r="D416" s="591">
        <v>2013</v>
      </c>
      <c r="E416" s="2">
        <v>55</v>
      </c>
      <c r="F416" s="2" t="s">
        <v>947</v>
      </c>
      <c r="G416" s="589"/>
      <c r="H416" s="589"/>
      <c r="I416" s="589"/>
      <c r="J416" s="589"/>
      <c r="K416" s="589"/>
      <c r="L416" s="589"/>
      <c r="M416" s="589"/>
      <c r="N416" s="589"/>
      <c r="O416" s="589"/>
      <c r="P416" s="2"/>
      <c r="Q416" s="589"/>
      <c r="R416" s="589"/>
      <c r="S416" s="589"/>
      <c r="T416" s="589"/>
      <c r="U416" s="589"/>
      <c r="V416" s="589"/>
      <c r="W416" t="s">
        <v>2047</v>
      </c>
    </row>
    <row r="417" spans="1:23" ht="13.15" customHeight="1" x14ac:dyDescent="0.2">
      <c r="A417" s="2" t="s">
        <v>2177</v>
      </c>
      <c r="B417" s="2">
        <f t="shared" si="12"/>
        <v>2022</v>
      </c>
      <c r="C417" s="2" t="str">
        <f t="shared" si="13"/>
        <v>KZN226</v>
      </c>
      <c r="D417" s="591">
        <v>2014</v>
      </c>
      <c r="E417" s="2">
        <v>56</v>
      </c>
      <c r="F417" s="2" t="s">
        <v>1454</v>
      </c>
      <c r="G417" s="589"/>
      <c r="H417" s="589"/>
      <c r="I417" s="589"/>
      <c r="J417" s="589"/>
      <c r="K417" s="589"/>
      <c r="L417" s="589"/>
      <c r="M417" s="589"/>
      <c r="N417" s="589"/>
      <c r="O417" s="589"/>
      <c r="P417" s="2"/>
      <c r="Q417" s="589"/>
      <c r="R417" s="589"/>
      <c r="S417" s="589"/>
      <c r="T417" s="589"/>
      <c r="U417" s="589"/>
      <c r="V417" s="589"/>
      <c r="W417" t="s">
        <v>2047</v>
      </c>
    </row>
    <row r="418" spans="1:23" ht="13.15" customHeight="1" x14ac:dyDescent="0.2">
      <c r="A418" s="2" t="s">
        <v>2177</v>
      </c>
      <c r="B418" s="2">
        <f t="shared" si="12"/>
        <v>2022</v>
      </c>
      <c r="C418" s="2" t="str">
        <f t="shared" si="13"/>
        <v>KZN226</v>
      </c>
      <c r="D418" s="591">
        <v>2090</v>
      </c>
      <c r="E418" s="2">
        <v>57</v>
      </c>
      <c r="F418" s="2" t="s">
        <v>1159</v>
      </c>
      <c r="G418" s="589"/>
      <c r="H418" s="589"/>
      <c r="I418" s="589"/>
      <c r="J418" s="589"/>
      <c r="K418" s="589"/>
      <c r="L418" s="589"/>
      <c r="M418" s="589"/>
      <c r="N418" s="589"/>
      <c r="O418" s="589"/>
      <c r="P418" s="2"/>
      <c r="Q418" s="589"/>
      <c r="R418" s="589"/>
      <c r="S418" s="589"/>
      <c r="T418" s="589"/>
      <c r="U418" s="589"/>
      <c r="V418" s="589"/>
      <c r="W418" t="s">
        <v>2047</v>
      </c>
    </row>
    <row r="419" spans="1:23" ht="13.15" customHeight="1" x14ac:dyDescent="0.2">
      <c r="A419" s="2" t="s">
        <v>2177</v>
      </c>
      <c r="B419" s="2">
        <f t="shared" si="12"/>
        <v>2022</v>
      </c>
      <c r="C419" s="2" t="str">
        <f t="shared" si="13"/>
        <v>KZN226</v>
      </c>
      <c r="D419" s="591">
        <v>2091</v>
      </c>
      <c r="E419" s="2">
        <v>58</v>
      </c>
      <c r="F419" s="2" t="s">
        <v>797</v>
      </c>
      <c r="G419" s="621"/>
      <c r="H419" s="621"/>
      <c r="I419" s="621"/>
      <c r="J419" s="621"/>
      <c r="K419" s="621"/>
      <c r="L419" s="621"/>
      <c r="M419" s="621"/>
      <c r="N419" s="621"/>
      <c r="O419" s="621"/>
      <c r="P419" s="2"/>
      <c r="Q419" s="589"/>
      <c r="R419" s="589"/>
      <c r="S419" s="589"/>
      <c r="T419" s="589"/>
      <c r="U419" s="589"/>
      <c r="V419" s="589"/>
      <c r="W419" t="s">
        <v>2047</v>
      </c>
    </row>
    <row r="420" spans="1:23" ht="13.15" customHeight="1" x14ac:dyDescent="0.2">
      <c r="A420" s="2" t="s">
        <v>2177</v>
      </c>
      <c r="B420" s="2">
        <f t="shared" si="12"/>
        <v>2022</v>
      </c>
      <c r="C420" s="2" t="str">
        <f t="shared" si="13"/>
        <v>KZN226</v>
      </c>
      <c r="D420" s="591"/>
      <c r="E420" s="2"/>
      <c r="F420" s="2"/>
      <c r="G420" s="589"/>
      <c r="H420" s="589"/>
      <c r="I420" s="589"/>
      <c r="J420" s="589"/>
      <c r="K420" s="589"/>
      <c r="L420" s="589"/>
      <c r="M420" s="589"/>
      <c r="N420" s="589"/>
      <c r="O420" s="589"/>
      <c r="P420" s="2"/>
      <c r="Q420" s="589"/>
      <c r="R420" s="589"/>
      <c r="S420" s="589"/>
      <c r="T420" s="589"/>
      <c r="U420" s="589"/>
      <c r="V420" s="589"/>
      <c r="W420" t="s">
        <v>2047</v>
      </c>
    </row>
    <row r="421" spans="1:23" ht="13.15" customHeight="1" x14ac:dyDescent="0.2">
      <c r="A421" s="2" t="s">
        <v>2177</v>
      </c>
      <c r="B421" s="2">
        <f t="shared" si="12"/>
        <v>2022</v>
      </c>
      <c r="C421" s="2" t="str">
        <f t="shared" si="13"/>
        <v>KZN226</v>
      </c>
      <c r="D421" s="591">
        <v>2100</v>
      </c>
      <c r="E421" s="2">
        <v>59</v>
      </c>
      <c r="F421" s="2" t="s">
        <v>238</v>
      </c>
      <c r="G421" s="589"/>
      <c r="H421" s="589"/>
      <c r="I421" s="589"/>
      <c r="J421" s="589"/>
      <c r="K421" s="589"/>
      <c r="L421" s="589"/>
      <c r="M421" s="589"/>
      <c r="N421" s="589"/>
      <c r="O421" s="589"/>
      <c r="P421" s="2"/>
      <c r="Q421" s="589"/>
      <c r="R421" s="589"/>
      <c r="S421" s="589"/>
      <c r="T421" s="589"/>
      <c r="U421" s="589"/>
      <c r="V421" s="589"/>
      <c r="W421" t="s">
        <v>2047</v>
      </c>
    </row>
    <row r="422" spans="1:23" ht="13.15" customHeight="1" x14ac:dyDescent="0.2">
      <c r="A422" s="2" t="s">
        <v>2177</v>
      </c>
      <c r="B422" s="2">
        <f t="shared" si="12"/>
        <v>2022</v>
      </c>
      <c r="C422" s="2" t="str">
        <f t="shared" si="13"/>
        <v>KZN226</v>
      </c>
      <c r="D422" s="591">
        <v>2101</v>
      </c>
      <c r="E422" s="2">
        <v>60</v>
      </c>
      <c r="F422" s="2" t="s">
        <v>1135</v>
      </c>
      <c r="G422" s="589"/>
      <c r="H422" s="589"/>
      <c r="I422" s="589"/>
      <c r="J422" s="589"/>
      <c r="K422" s="589"/>
      <c r="L422" s="589"/>
      <c r="M422" s="589"/>
      <c r="N422" s="589"/>
      <c r="O422" s="589"/>
      <c r="P422" s="2"/>
      <c r="Q422" s="589"/>
      <c r="R422" s="589"/>
      <c r="S422" s="589"/>
      <c r="T422" s="589"/>
      <c r="U422" s="589"/>
      <c r="V422" s="589"/>
      <c r="W422" t="s">
        <v>2047</v>
      </c>
    </row>
    <row r="423" spans="1:23" ht="13.15" customHeight="1" x14ac:dyDescent="0.2">
      <c r="A423" s="2" t="s">
        <v>2177</v>
      </c>
      <c r="B423" s="2">
        <f t="shared" si="12"/>
        <v>2022</v>
      </c>
      <c r="C423" s="2" t="str">
        <f t="shared" si="13"/>
        <v>KZN226</v>
      </c>
      <c r="D423" s="591">
        <v>2102</v>
      </c>
      <c r="E423" s="2">
        <v>61</v>
      </c>
      <c r="F423" s="2" t="s">
        <v>1792</v>
      </c>
      <c r="G423" s="589"/>
      <c r="H423" s="589"/>
      <c r="I423" s="589"/>
      <c r="J423" s="589"/>
      <c r="K423" s="589"/>
      <c r="L423" s="589"/>
      <c r="M423" s="589"/>
      <c r="N423" s="589"/>
      <c r="O423" s="589"/>
      <c r="P423" s="2"/>
      <c r="Q423" s="589"/>
      <c r="R423" s="589"/>
      <c r="S423" s="589"/>
      <c r="T423" s="589"/>
      <c r="U423" s="589"/>
      <c r="V423" s="589"/>
      <c r="W423" t="s">
        <v>2047</v>
      </c>
    </row>
    <row r="424" spans="1:23" ht="13.15" customHeight="1" x14ac:dyDescent="0.2">
      <c r="A424" s="2" t="s">
        <v>2177</v>
      </c>
      <c r="B424" s="2">
        <f t="shared" si="12"/>
        <v>2022</v>
      </c>
      <c r="C424" s="2" t="str">
        <f t="shared" si="13"/>
        <v>KZN226</v>
      </c>
      <c r="D424" s="591">
        <v>2103</v>
      </c>
      <c r="E424" s="2">
        <v>62</v>
      </c>
      <c r="F424" s="2" t="s">
        <v>650</v>
      </c>
      <c r="G424" s="589"/>
      <c r="H424" s="589"/>
      <c r="I424" s="589"/>
      <c r="J424" s="589"/>
      <c r="K424" s="589"/>
      <c r="L424" s="589"/>
      <c r="M424" s="589"/>
      <c r="N424" s="589"/>
      <c r="O424" s="589"/>
      <c r="P424" s="2"/>
      <c r="Q424" s="589"/>
      <c r="R424" s="589"/>
      <c r="S424" s="589"/>
      <c r="T424" s="589"/>
      <c r="U424" s="589"/>
      <c r="V424" s="589"/>
      <c r="W424" t="s">
        <v>2047</v>
      </c>
    </row>
    <row r="425" spans="1:23" ht="13.15" customHeight="1" x14ac:dyDescent="0.2">
      <c r="A425" s="2" t="s">
        <v>2177</v>
      </c>
      <c r="B425" s="2">
        <f t="shared" si="12"/>
        <v>2022</v>
      </c>
      <c r="C425" s="2" t="str">
        <f t="shared" si="13"/>
        <v>KZN226</v>
      </c>
      <c r="D425" s="591">
        <v>2110</v>
      </c>
      <c r="E425" s="2">
        <v>63</v>
      </c>
      <c r="F425" s="2" t="s">
        <v>946</v>
      </c>
      <c r="G425" s="589"/>
      <c r="H425" s="589"/>
      <c r="I425" s="589"/>
      <c r="J425" s="589"/>
      <c r="K425" s="589"/>
      <c r="L425" s="589"/>
      <c r="M425" s="589"/>
      <c r="N425" s="589"/>
      <c r="O425" s="589"/>
      <c r="P425" s="2"/>
      <c r="Q425" s="589"/>
      <c r="R425" s="589"/>
      <c r="S425" s="589"/>
      <c r="T425" s="589"/>
      <c r="U425" s="589"/>
      <c r="V425" s="589"/>
      <c r="W425" t="s">
        <v>2047</v>
      </c>
    </row>
    <row r="426" spans="1:23" ht="13.15" customHeight="1" x14ac:dyDescent="0.2">
      <c r="A426" s="2" t="s">
        <v>2177</v>
      </c>
      <c r="B426" s="2">
        <f t="shared" si="12"/>
        <v>2022</v>
      </c>
      <c r="C426" s="2" t="str">
        <f t="shared" si="13"/>
        <v>KZN226</v>
      </c>
      <c r="D426" s="591">
        <v>2107</v>
      </c>
      <c r="E426" s="2">
        <v>64</v>
      </c>
      <c r="F426" s="2" t="s">
        <v>652</v>
      </c>
      <c r="G426" s="589"/>
      <c r="H426" s="589"/>
      <c r="I426" s="589"/>
      <c r="J426" s="589"/>
      <c r="K426" s="589"/>
      <c r="L426" s="589"/>
      <c r="M426" s="589"/>
      <c r="N426" s="589"/>
      <c r="O426" s="589"/>
      <c r="P426" s="2"/>
      <c r="Q426" s="589"/>
      <c r="R426" s="589"/>
      <c r="S426" s="589"/>
      <c r="T426" s="589"/>
      <c r="U426" s="589"/>
      <c r="V426" s="589"/>
      <c r="W426" t="s">
        <v>2047</v>
      </c>
    </row>
    <row r="427" spans="1:23" ht="13.15" customHeight="1" x14ac:dyDescent="0.2">
      <c r="A427" s="2" t="s">
        <v>2177</v>
      </c>
      <c r="B427" s="2">
        <f t="shared" si="12"/>
        <v>2022</v>
      </c>
      <c r="C427" s="2" t="str">
        <f t="shared" si="13"/>
        <v>KZN226</v>
      </c>
      <c r="D427" s="591">
        <v>2104</v>
      </c>
      <c r="E427" s="2">
        <v>65</v>
      </c>
      <c r="F427" s="2" t="s">
        <v>1940</v>
      </c>
      <c r="G427" s="589"/>
      <c r="H427" s="589"/>
      <c r="I427" s="589"/>
      <c r="J427" s="589"/>
      <c r="K427" s="589"/>
      <c r="L427" s="589"/>
      <c r="M427" s="589"/>
      <c r="N427" s="589"/>
      <c r="O427" s="589"/>
      <c r="P427" s="2"/>
      <c r="Q427" s="589"/>
      <c r="R427" s="589"/>
      <c r="S427" s="589"/>
      <c r="T427" s="589"/>
      <c r="U427" s="589"/>
      <c r="V427" s="589"/>
      <c r="W427" t="s">
        <v>2047</v>
      </c>
    </row>
    <row r="428" spans="1:23" ht="13.15" customHeight="1" x14ac:dyDescent="0.2">
      <c r="A428" s="2" t="s">
        <v>2177</v>
      </c>
      <c r="B428" s="2">
        <f t="shared" si="12"/>
        <v>2022</v>
      </c>
      <c r="C428" s="2" t="str">
        <f t="shared" si="13"/>
        <v>KZN226</v>
      </c>
      <c r="D428" s="591">
        <v>2105</v>
      </c>
      <c r="E428" s="2">
        <v>66</v>
      </c>
      <c r="F428" s="2" t="s">
        <v>1793</v>
      </c>
      <c r="G428" s="589"/>
      <c r="H428" s="589"/>
      <c r="I428" s="589"/>
      <c r="J428" s="589"/>
      <c r="K428" s="589"/>
      <c r="L428" s="589"/>
      <c r="M428" s="589"/>
      <c r="N428" s="589"/>
      <c r="O428" s="589"/>
      <c r="P428" s="2"/>
      <c r="Q428" s="589"/>
      <c r="R428" s="589"/>
      <c r="S428" s="589"/>
      <c r="T428" s="589"/>
      <c r="U428" s="589"/>
      <c r="V428" s="589"/>
      <c r="W428" t="s">
        <v>2047</v>
      </c>
    </row>
    <row r="429" spans="1:23" ht="13.15" customHeight="1" x14ac:dyDescent="0.2">
      <c r="A429" s="2" t="s">
        <v>2177</v>
      </c>
      <c r="B429" s="2">
        <f t="shared" si="12"/>
        <v>2022</v>
      </c>
      <c r="C429" s="2" t="str">
        <f t="shared" si="13"/>
        <v>KZN226</v>
      </c>
      <c r="D429" s="591">
        <v>2106</v>
      </c>
      <c r="E429" s="2">
        <v>67</v>
      </c>
      <c r="F429" s="2" t="s">
        <v>1941</v>
      </c>
      <c r="G429" s="589"/>
      <c r="H429" s="589"/>
      <c r="I429" s="589"/>
      <c r="J429" s="589"/>
      <c r="K429" s="589"/>
      <c r="L429" s="589"/>
      <c r="M429" s="589"/>
      <c r="N429" s="589"/>
      <c r="O429" s="589"/>
      <c r="P429" s="2"/>
      <c r="Q429" s="589"/>
      <c r="R429" s="589"/>
      <c r="S429" s="589"/>
      <c r="T429" s="589"/>
      <c r="U429" s="589"/>
      <c r="V429" s="589"/>
      <c r="W429" t="s">
        <v>2047</v>
      </c>
    </row>
    <row r="430" spans="1:23" ht="13.15" customHeight="1" x14ac:dyDescent="0.2">
      <c r="A430" s="2" t="s">
        <v>2177</v>
      </c>
      <c r="B430" s="2">
        <f t="shared" si="12"/>
        <v>2022</v>
      </c>
      <c r="C430" s="2" t="str">
        <f t="shared" si="13"/>
        <v>KZN226</v>
      </c>
      <c r="D430" s="591">
        <v>2108</v>
      </c>
      <c r="E430" s="2">
        <v>68</v>
      </c>
      <c r="F430" s="2" t="s">
        <v>1340</v>
      </c>
      <c r="G430" s="589"/>
      <c r="H430" s="589"/>
      <c r="I430" s="589"/>
      <c r="J430" s="589"/>
      <c r="K430" s="589"/>
      <c r="L430" s="589"/>
      <c r="M430" s="589"/>
      <c r="N430" s="589"/>
      <c r="O430" s="589"/>
      <c r="P430" s="2"/>
      <c r="Q430" s="589"/>
      <c r="R430" s="589"/>
      <c r="S430" s="589"/>
      <c r="T430" s="589"/>
      <c r="U430" s="589"/>
      <c r="V430" s="589"/>
      <c r="W430" t="s">
        <v>2047</v>
      </c>
    </row>
    <row r="431" spans="1:23" ht="13.15" customHeight="1" x14ac:dyDescent="0.2">
      <c r="A431" s="2" t="s">
        <v>2177</v>
      </c>
      <c r="B431" s="2">
        <f t="shared" si="12"/>
        <v>2022</v>
      </c>
      <c r="C431" s="2" t="str">
        <f t="shared" si="13"/>
        <v>KZN226</v>
      </c>
      <c r="D431" s="591">
        <v>2111</v>
      </c>
      <c r="E431" s="2">
        <v>69</v>
      </c>
      <c r="F431" s="2" t="s">
        <v>1453</v>
      </c>
      <c r="G431" s="589"/>
      <c r="H431" s="589"/>
      <c r="I431" s="589"/>
      <c r="J431" s="589"/>
      <c r="K431" s="589"/>
      <c r="L431" s="589"/>
      <c r="M431" s="589"/>
      <c r="N431" s="589"/>
      <c r="O431" s="589"/>
      <c r="P431" s="2"/>
      <c r="Q431" s="589"/>
      <c r="R431" s="589"/>
      <c r="S431" s="589"/>
      <c r="T431" s="589"/>
      <c r="U431" s="589"/>
      <c r="V431" s="589"/>
      <c r="W431" t="s">
        <v>2047</v>
      </c>
    </row>
    <row r="432" spans="1:23" ht="13.15" customHeight="1" x14ac:dyDescent="0.2">
      <c r="A432" s="2" t="s">
        <v>2177</v>
      </c>
      <c r="B432" s="2">
        <f t="shared" si="12"/>
        <v>2022</v>
      </c>
      <c r="C432" s="2" t="str">
        <f t="shared" si="13"/>
        <v>KZN226</v>
      </c>
      <c r="D432" s="591">
        <v>2112</v>
      </c>
      <c r="E432" s="2">
        <v>70</v>
      </c>
      <c r="F432" s="2" t="s">
        <v>947</v>
      </c>
      <c r="G432" s="589"/>
      <c r="H432" s="589"/>
      <c r="I432" s="589"/>
      <c r="J432" s="589"/>
      <c r="K432" s="589"/>
      <c r="L432" s="589"/>
      <c r="M432" s="589"/>
      <c r="N432" s="589"/>
      <c r="O432" s="589"/>
      <c r="P432" s="2"/>
      <c r="Q432" s="589"/>
      <c r="R432" s="589"/>
      <c r="S432" s="589"/>
      <c r="T432" s="589"/>
      <c r="U432" s="589"/>
      <c r="V432" s="589"/>
      <c r="W432" t="s">
        <v>2047</v>
      </c>
    </row>
    <row r="433" spans="1:23" ht="13.15" customHeight="1" x14ac:dyDescent="0.2">
      <c r="A433" s="2" t="s">
        <v>2177</v>
      </c>
      <c r="B433" s="2">
        <f t="shared" si="12"/>
        <v>2022</v>
      </c>
      <c r="C433" s="2" t="str">
        <f t="shared" si="13"/>
        <v>KZN226</v>
      </c>
      <c r="D433" s="591">
        <v>2113</v>
      </c>
      <c r="E433" s="2">
        <v>71</v>
      </c>
      <c r="F433" s="2" t="s">
        <v>1454</v>
      </c>
      <c r="G433" s="589"/>
      <c r="H433" s="589"/>
      <c r="I433" s="589"/>
      <c r="J433" s="589"/>
      <c r="K433" s="589"/>
      <c r="L433" s="589"/>
      <c r="M433" s="589"/>
      <c r="N433" s="589"/>
      <c r="O433" s="589"/>
      <c r="P433" s="2"/>
      <c r="Q433" s="589"/>
      <c r="R433" s="589"/>
      <c r="S433" s="589"/>
      <c r="T433" s="589"/>
      <c r="U433" s="589"/>
      <c r="V433" s="589"/>
      <c r="W433" t="s">
        <v>2047</v>
      </c>
    </row>
    <row r="434" spans="1:23" ht="13.15" customHeight="1" x14ac:dyDescent="0.2">
      <c r="A434" s="2" t="s">
        <v>2177</v>
      </c>
      <c r="B434" s="2">
        <f t="shared" si="12"/>
        <v>2022</v>
      </c>
      <c r="C434" s="2" t="str">
        <f t="shared" si="13"/>
        <v>KZN226</v>
      </c>
      <c r="D434" s="591">
        <v>2190</v>
      </c>
      <c r="E434" s="2">
        <v>72</v>
      </c>
      <c r="F434" s="2" t="s">
        <v>239</v>
      </c>
      <c r="G434" s="589"/>
      <c r="H434" s="589"/>
      <c r="I434" s="589"/>
      <c r="J434" s="589"/>
      <c r="K434" s="589"/>
      <c r="L434" s="589"/>
      <c r="M434" s="589"/>
      <c r="N434" s="589"/>
      <c r="O434" s="589"/>
      <c r="P434" s="2"/>
      <c r="Q434" s="589"/>
      <c r="R434" s="589"/>
      <c r="S434" s="589"/>
      <c r="T434" s="589"/>
      <c r="U434" s="589"/>
      <c r="V434" s="589"/>
      <c r="W434" t="s">
        <v>2047</v>
      </c>
    </row>
    <row r="435" spans="1:23" ht="13.15" customHeight="1" x14ac:dyDescent="0.2">
      <c r="A435" s="2" t="s">
        <v>2177</v>
      </c>
      <c r="B435" s="2">
        <f t="shared" si="12"/>
        <v>2022</v>
      </c>
      <c r="C435" s="2" t="str">
        <f t="shared" si="13"/>
        <v>KZN226</v>
      </c>
      <c r="D435" s="591">
        <v>2191</v>
      </c>
      <c r="E435" s="2">
        <v>73</v>
      </c>
      <c r="F435" s="2" t="s">
        <v>797</v>
      </c>
      <c r="G435" s="621"/>
      <c r="H435" s="621"/>
      <c r="I435" s="621"/>
      <c r="J435" s="621"/>
      <c r="K435" s="621"/>
      <c r="L435" s="621"/>
      <c r="M435" s="621"/>
      <c r="N435" s="621"/>
      <c r="O435" s="621"/>
      <c r="P435" s="2"/>
      <c r="Q435" s="589"/>
      <c r="R435" s="589"/>
      <c r="S435" s="589"/>
      <c r="T435" s="589"/>
      <c r="U435" s="589"/>
      <c r="V435" s="589"/>
      <c r="W435" t="s">
        <v>2047</v>
      </c>
    </row>
    <row r="436" spans="1:23" ht="13.15" customHeight="1" x14ac:dyDescent="0.2">
      <c r="A436" s="2" t="s">
        <v>2177</v>
      </c>
      <c r="B436" s="2">
        <f t="shared" si="12"/>
        <v>2022</v>
      </c>
      <c r="C436" s="2" t="str">
        <f t="shared" si="13"/>
        <v>KZN226</v>
      </c>
      <c r="D436" s="591"/>
      <c r="E436" s="2"/>
      <c r="F436" s="2"/>
      <c r="G436" s="589"/>
      <c r="H436" s="589"/>
      <c r="I436" s="589"/>
      <c r="J436" s="589"/>
      <c r="K436" s="589"/>
      <c r="L436" s="589"/>
      <c r="M436" s="589"/>
      <c r="N436" s="589"/>
      <c r="O436" s="589"/>
      <c r="P436" s="2"/>
      <c r="Q436" s="589"/>
      <c r="R436" s="589"/>
      <c r="S436" s="589"/>
      <c r="T436" s="589"/>
      <c r="U436" s="589"/>
      <c r="V436" s="589"/>
      <c r="W436" t="s">
        <v>2047</v>
      </c>
    </row>
    <row r="437" spans="1:23" ht="13.15" customHeight="1" x14ac:dyDescent="0.2">
      <c r="A437" s="2" t="s">
        <v>2177</v>
      </c>
      <c r="B437" s="2">
        <f t="shared" si="12"/>
        <v>2022</v>
      </c>
      <c r="C437" s="2" t="str">
        <f t="shared" si="13"/>
        <v>KZN226</v>
      </c>
      <c r="D437" s="591">
        <v>2200</v>
      </c>
      <c r="E437" s="2">
        <v>74</v>
      </c>
      <c r="F437" s="2" t="s">
        <v>240</v>
      </c>
      <c r="G437" s="589"/>
      <c r="H437" s="589"/>
      <c r="I437" s="589"/>
      <c r="J437" s="589"/>
      <c r="K437" s="589"/>
      <c r="L437" s="589"/>
      <c r="M437" s="589"/>
      <c r="N437" s="589"/>
      <c r="O437" s="589"/>
      <c r="P437" s="2"/>
      <c r="Q437" s="589"/>
      <c r="R437" s="589"/>
      <c r="S437" s="589"/>
      <c r="T437" s="589"/>
      <c r="U437" s="589"/>
      <c r="V437" s="589"/>
      <c r="W437" t="s">
        <v>2047</v>
      </c>
    </row>
    <row r="438" spans="1:23" ht="13.15" customHeight="1" x14ac:dyDescent="0.2">
      <c r="A438" s="2" t="s">
        <v>2177</v>
      </c>
      <c r="B438" s="2">
        <f t="shared" si="12"/>
        <v>2022</v>
      </c>
      <c r="C438" s="2" t="str">
        <f t="shared" si="13"/>
        <v>KZN226</v>
      </c>
      <c r="D438" s="591">
        <v>2201</v>
      </c>
      <c r="E438" s="2">
        <v>75</v>
      </c>
      <c r="F438" s="2" t="s">
        <v>1135</v>
      </c>
      <c r="G438" s="589"/>
      <c r="H438" s="589"/>
      <c r="I438" s="589"/>
      <c r="J438" s="589"/>
      <c r="K438" s="589"/>
      <c r="L438" s="589"/>
      <c r="M438" s="589"/>
      <c r="N438" s="589"/>
      <c r="O438" s="589"/>
      <c r="P438" s="2"/>
      <c r="Q438" s="589"/>
      <c r="R438" s="589"/>
      <c r="S438" s="589"/>
      <c r="T438" s="589"/>
      <c r="U438" s="589"/>
      <c r="V438" s="589"/>
      <c r="W438" t="s">
        <v>2047</v>
      </c>
    </row>
    <row r="439" spans="1:23" ht="13.15" customHeight="1" x14ac:dyDescent="0.2">
      <c r="A439" s="2" t="s">
        <v>2177</v>
      </c>
      <c r="B439" s="2">
        <f t="shared" si="12"/>
        <v>2022</v>
      </c>
      <c r="C439" s="2" t="str">
        <f t="shared" si="13"/>
        <v>KZN226</v>
      </c>
      <c r="D439" s="591">
        <v>2202</v>
      </c>
      <c r="E439" s="2">
        <v>76</v>
      </c>
      <c r="F439" s="2" t="s">
        <v>1792</v>
      </c>
      <c r="G439" s="589"/>
      <c r="H439" s="589"/>
      <c r="I439" s="589"/>
      <c r="J439" s="589"/>
      <c r="K439" s="589"/>
      <c r="L439" s="589"/>
      <c r="M439" s="589"/>
      <c r="N439" s="589"/>
      <c r="O439" s="589"/>
      <c r="P439" s="2"/>
      <c r="Q439" s="589"/>
      <c r="R439" s="589"/>
      <c r="S439" s="589"/>
      <c r="T439" s="589"/>
      <c r="U439" s="589"/>
      <c r="V439" s="589"/>
      <c r="W439" t="s">
        <v>2047</v>
      </c>
    </row>
    <row r="440" spans="1:23" ht="13.15" customHeight="1" x14ac:dyDescent="0.2">
      <c r="A440" s="2" t="s">
        <v>2177</v>
      </c>
      <c r="B440" s="2">
        <f t="shared" si="12"/>
        <v>2022</v>
      </c>
      <c r="C440" s="2" t="str">
        <f t="shared" si="13"/>
        <v>KZN226</v>
      </c>
      <c r="D440" s="591">
        <v>2203</v>
      </c>
      <c r="E440" s="2">
        <v>77</v>
      </c>
      <c r="F440" s="2" t="s">
        <v>650</v>
      </c>
      <c r="G440" s="589"/>
      <c r="H440" s="589"/>
      <c r="I440" s="589"/>
      <c r="J440" s="589"/>
      <c r="K440" s="589"/>
      <c r="L440" s="589"/>
      <c r="M440" s="589"/>
      <c r="N440" s="589"/>
      <c r="O440" s="589"/>
      <c r="P440" s="2"/>
      <c r="Q440" s="589"/>
      <c r="R440" s="589"/>
      <c r="S440" s="589"/>
      <c r="T440" s="589"/>
      <c r="U440" s="589"/>
      <c r="V440" s="589"/>
      <c r="W440" t="s">
        <v>2047</v>
      </c>
    </row>
    <row r="441" spans="1:23" ht="13.15" customHeight="1" x14ac:dyDescent="0.2">
      <c r="A441" s="2" t="s">
        <v>2177</v>
      </c>
      <c r="B441" s="2">
        <f t="shared" si="12"/>
        <v>2022</v>
      </c>
      <c r="C441" s="2" t="str">
        <f t="shared" si="13"/>
        <v>KZN226</v>
      </c>
      <c r="D441" s="591">
        <v>2207</v>
      </c>
      <c r="E441" s="2">
        <v>78</v>
      </c>
      <c r="F441" s="2" t="s">
        <v>946</v>
      </c>
      <c r="G441" s="589"/>
      <c r="H441" s="589"/>
      <c r="I441" s="589"/>
      <c r="J441" s="589"/>
      <c r="K441" s="589"/>
      <c r="L441" s="589"/>
      <c r="M441" s="589"/>
      <c r="N441" s="589"/>
      <c r="O441" s="589"/>
      <c r="P441" s="2"/>
      <c r="Q441" s="589"/>
      <c r="R441" s="589"/>
      <c r="S441" s="589"/>
      <c r="T441" s="589"/>
      <c r="U441" s="589"/>
      <c r="V441" s="589"/>
      <c r="W441" t="s">
        <v>2047</v>
      </c>
    </row>
    <row r="442" spans="1:23" ht="13.15" customHeight="1" x14ac:dyDescent="0.2">
      <c r="A442" s="2" t="s">
        <v>2177</v>
      </c>
      <c r="B442" s="2">
        <f t="shared" si="12"/>
        <v>2022</v>
      </c>
      <c r="C442" s="2" t="str">
        <f t="shared" si="13"/>
        <v>KZN226</v>
      </c>
      <c r="D442" s="591">
        <v>2208</v>
      </c>
      <c r="E442" s="2">
        <v>79</v>
      </c>
      <c r="F442" s="2" t="s">
        <v>652</v>
      </c>
      <c r="G442" s="589"/>
      <c r="H442" s="589"/>
      <c r="I442" s="589"/>
      <c r="J442" s="589"/>
      <c r="K442" s="589"/>
      <c r="L442" s="589"/>
      <c r="M442" s="589"/>
      <c r="N442" s="589"/>
      <c r="O442" s="589"/>
      <c r="P442" s="2"/>
      <c r="Q442" s="589"/>
      <c r="R442" s="589"/>
      <c r="S442" s="589"/>
      <c r="T442" s="589"/>
      <c r="U442" s="589"/>
      <c r="V442" s="589"/>
      <c r="W442" t="s">
        <v>2047</v>
      </c>
    </row>
    <row r="443" spans="1:23" ht="13.15" customHeight="1" x14ac:dyDescent="0.2">
      <c r="A443" s="2" t="s">
        <v>2177</v>
      </c>
      <c r="B443" s="2">
        <f t="shared" si="12"/>
        <v>2022</v>
      </c>
      <c r="C443" s="2" t="str">
        <f t="shared" si="13"/>
        <v>KZN226</v>
      </c>
      <c r="D443" s="591">
        <v>2204</v>
      </c>
      <c r="E443" s="2">
        <v>80</v>
      </c>
      <c r="F443" s="2" t="s">
        <v>1940</v>
      </c>
      <c r="G443" s="589"/>
      <c r="H443" s="589"/>
      <c r="I443" s="589"/>
      <c r="J443" s="589"/>
      <c r="K443" s="589"/>
      <c r="L443" s="589"/>
      <c r="M443" s="589"/>
      <c r="N443" s="589"/>
      <c r="O443" s="589"/>
      <c r="P443" s="2"/>
      <c r="Q443" s="589"/>
      <c r="R443" s="589"/>
      <c r="S443" s="589"/>
      <c r="T443" s="589"/>
      <c r="U443" s="589"/>
      <c r="V443" s="589"/>
      <c r="W443" t="s">
        <v>2047</v>
      </c>
    </row>
    <row r="444" spans="1:23" ht="13.15" customHeight="1" x14ac:dyDescent="0.2">
      <c r="A444" s="2" t="s">
        <v>2177</v>
      </c>
      <c r="B444" s="2">
        <f t="shared" si="12"/>
        <v>2022</v>
      </c>
      <c r="C444" s="2" t="str">
        <f t="shared" si="13"/>
        <v>KZN226</v>
      </c>
      <c r="D444" s="591">
        <v>2205</v>
      </c>
      <c r="E444" s="2">
        <v>81</v>
      </c>
      <c r="F444" s="2" t="s">
        <v>1793</v>
      </c>
      <c r="G444" s="589"/>
      <c r="H444" s="589"/>
      <c r="I444" s="589"/>
      <c r="J444" s="589"/>
      <c r="K444" s="589"/>
      <c r="L444" s="589"/>
      <c r="M444" s="589"/>
      <c r="N444" s="589"/>
      <c r="O444" s="589"/>
      <c r="P444" s="2"/>
      <c r="Q444" s="589"/>
      <c r="R444" s="589"/>
      <c r="S444" s="589"/>
      <c r="T444" s="589"/>
      <c r="U444" s="589"/>
      <c r="V444" s="589"/>
      <c r="W444" t="s">
        <v>2047</v>
      </c>
    </row>
    <row r="445" spans="1:23" ht="13.15" customHeight="1" x14ac:dyDescent="0.2">
      <c r="A445" s="2" t="s">
        <v>2177</v>
      </c>
      <c r="B445" s="2">
        <f t="shared" si="12"/>
        <v>2022</v>
      </c>
      <c r="C445" s="2" t="str">
        <f t="shared" si="13"/>
        <v>KZN226</v>
      </c>
      <c r="D445" s="591">
        <v>2206</v>
      </c>
      <c r="E445" s="2">
        <v>82</v>
      </c>
      <c r="F445" s="2" t="s">
        <v>1941</v>
      </c>
      <c r="G445" s="589"/>
      <c r="H445" s="589"/>
      <c r="I445" s="589"/>
      <c r="J445" s="589"/>
      <c r="K445" s="589"/>
      <c r="L445" s="589"/>
      <c r="M445" s="589"/>
      <c r="N445" s="589"/>
      <c r="O445" s="589"/>
      <c r="P445" s="2"/>
      <c r="Q445" s="589"/>
      <c r="R445" s="589"/>
      <c r="S445" s="589"/>
      <c r="T445" s="589"/>
      <c r="U445" s="589"/>
      <c r="V445" s="589"/>
      <c r="W445" t="s">
        <v>2047</v>
      </c>
    </row>
    <row r="446" spans="1:23" ht="13.15" customHeight="1" x14ac:dyDescent="0.2">
      <c r="A446" s="2" t="s">
        <v>2177</v>
      </c>
      <c r="B446" s="2">
        <f t="shared" si="12"/>
        <v>2022</v>
      </c>
      <c r="C446" s="2" t="str">
        <f t="shared" si="13"/>
        <v>KZN226</v>
      </c>
      <c r="D446" s="591">
        <v>2209</v>
      </c>
      <c r="E446" s="2">
        <v>83</v>
      </c>
      <c r="F446" s="2" t="s">
        <v>1340</v>
      </c>
      <c r="G446" s="589"/>
      <c r="H446" s="589"/>
      <c r="I446" s="589"/>
      <c r="J446" s="589"/>
      <c r="K446" s="589"/>
      <c r="L446" s="589"/>
      <c r="M446" s="589"/>
      <c r="N446" s="589"/>
      <c r="O446" s="589"/>
      <c r="P446" s="2"/>
      <c r="Q446" s="589"/>
      <c r="R446" s="589"/>
      <c r="S446" s="589"/>
      <c r="T446" s="589"/>
      <c r="U446" s="589"/>
      <c r="V446" s="589"/>
      <c r="W446" t="s">
        <v>2047</v>
      </c>
    </row>
    <row r="447" spans="1:23" ht="13.15" customHeight="1" x14ac:dyDescent="0.2">
      <c r="A447" s="2" t="s">
        <v>2177</v>
      </c>
      <c r="B447" s="2">
        <f t="shared" si="12"/>
        <v>2022</v>
      </c>
      <c r="C447" s="2" t="str">
        <f t="shared" si="13"/>
        <v>KZN226</v>
      </c>
      <c r="D447" s="591">
        <v>2211</v>
      </c>
      <c r="E447" s="2">
        <v>84</v>
      </c>
      <c r="F447" s="2" t="s">
        <v>1453</v>
      </c>
      <c r="G447" s="589"/>
      <c r="H447" s="589"/>
      <c r="I447" s="589"/>
      <c r="J447" s="589"/>
      <c r="K447" s="589"/>
      <c r="L447" s="589"/>
      <c r="M447" s="589"/>
      <c r="N447" s="589"/>
      <c r="O447" s="589"/>
      <c r="P447" s="2"/>
      <c r="Q447" s="589"/>
      <c r="R447" s="589"/>
      <c r="S447" s="589"/>
      <c r="T447" s="589"/>
      <c r="U447" s="589"/>
      <c r="V447" s="589"/>
      <c r="W447" t="s">
        <v>2047</v>
      </c>
    </row>
    <row r="448" spans="1:23" ht="13.15" customHeight="1" x14ac:dyDescent="0.2">
      <c r="A448" s="2" t="s">
        <v>2177</v>
      </c>
      <c r="B448" s="2">
        <f t="shared" si="12"/>
        <v>2022</v>
      </c>
      <c r="C448" s="2" t="str">
        <f t="shared" si="13"/>
        <v>KZN226</v>
      </c>
      <c r="D448" s="591">
        <v>2212</v>
      </c>
      <c r="E448" s="2">
        <v>85</v>
      </c>
      <c r="F448" s="2" t="s">
        <v>947</v>
      </c>
      <c r="G448" s="589"/>
      <c r="H448" s="589"/>
      <c r="I448" s="589"/>
      <c r="J448" s="589"/>
      <c r="K448" s="589"/>
      <c r="L448" s="589"/>
      <c r="M448" s="589"/>
      <c r="N448" s="589"/>
      <c r="O448" s="589"/>
      <c r="P448" s="2"/>
      <c r="Q448" s="589"/>
      <c r="R448" s="589"/>
      <c r="S448" s="589"/>
      <c r="T448" s="589"/>
      <c r="U448" s="589"/>
      <c r="V448" s="589"/>
      <c r="W448" t="s">
        <v>2047</v>
      </c>
    </row>
    <row r="449" spans="1:23" ht="13.15" customHeight="1" x14ac:dyDescent="0.2">
      <c r="A449" s="2" t="s">
        <v>2177</v>
      </c>
      <c r="B449" s="2">
        <f t="shared" si="12"/>
        <v>2022</v>
      </c>
      <c r="C449" s="2" t="str">
        <f t="shared" si="13"/>
        <v>KZN226</v>
      </c>
      <c r="D449" s="591">
        <v>2213</v>
      </c>
      <c r="E449" s="2">
        <v>86</v>
      </c>
      <c r="F449" s="2" t="s">
        <v>1454</v>
      </c>
      <c r="G449" s="589"/>
      <c r="H449" s="589"/>
      <c r="I449" s="589"/>
      <c r="J449" s="589"/>
      <c r="K449" s="589"/>
      <c r="L449" s="589"/>
      <c r="M449" s="589"/>
      <c r="N449" s="589"/>
      <c r="O449" s="589"/>
      <c r="P449" s="2"/>
      <c r="Q449" s="589"/>
      <c r="R449" s="589"/>
      <c r="S449" s="589"/>
      <c r="T449" s="589"/>
      <c r="U449" s="589"/>
      <c r="V449" s="589"/>
      <c r="W449" t="s">
        <v>2047</v>
      </c>
    </row>
    <row r="450" spans="1:23" ht="13.15" customHeight="1" x14ac:dyDescent="0.2">
      <c r="A450" s="2" t="s">
        <v>2177</v>
      </c>
      <c r="B450" s="2">
        <f t="shared" ref="B450:B513" si="14">+MTREF</f>
        <v>2022</v>
      </c>
      <c r="C450" s="2" t="str">
        <f t="shared" ref="C450:C513" si="15">LEFT(muni,(FIND(" ",muni,1)-1))</f>
        <v>KZN226</v>
      </c>
      <c r="D450" s="591">
        <v>2290</v>
      </c>
      <c r="E450" s="2">
        <v>87</v>
      </c>
      <c r="F450" s="2" t="s">
        <v>1133</v>
      </c>
      <c r="G450" s="589"/>
      <c r="H450" s="589"/>
      <c r="I450" s="589"/>
      <c r="J450" s="589"/>
      <c r="K450" s="589"/>
      <c r="L450" s="589"/>
      <c r="M450" s="589"/>
      <c r="N450" s="589"/>
      <c r="O450" s="589"/>
      <c r="P450" s="2"/>
      <c r="Q450" s="589"/>
      <c r="R450" s="589"/>
      <c r="S450" s="589"/>
      <c r="T450" s="589"/>
      <c r="U450" s="589"/>
      <c r="V450" s="589"/>
      <c r="W450" t="s">
        <v>2047</v>
      </c>
    </row>
    <row r="451" spans="1:23" ht="13.15" customHeight="1" x14ac:dyDescent="0.2">
      <c r="A451" s="2" t="s">
        <v>2177</v>
      </c>
      <c r="B451" s="2">
        <f t="shared" si="14"/>
        <v>2022</v>
      </c>
      <c r="C451" s="2" t="str">
        <f t="shared" si="15"/>
        <v>KZN226</v>
      </c>
      <c r="D451" s="591">
        <v>2291</v>
      </c>
      <c r="E451" s="2">
        <v>89</v>
      </c>
      <c r="F451" s="2" t="s">
        <v>797</v>
      </c>
      <c r="G451" s="621"/>
      <c r="H451" s="621"/>
      <c r="I451" s="621"/>
      <c r="J451" s="621"/>
      <c r="K451" s="621"/>
      <c r="L451" s="621"/>
      <c r="M451" s="621"/>
      <c r="N451" s="621"/>
      <c r="O451" s="621"/>
      <c r="P451" s="2"/>
      <c r="Q451" s="589"/>
      <c r="R451" s="589"/>
      <c r="S451" s="589"/>
      <c r="T451" s="589"/>
      <c r="U451" s="589"/>
      <c r="V451" s="589"/>
      <c r="W451" t="s">
        <v>2047</v>
      </c>
    </row>
    <row r="452" spans="1:23" ht="13.15" customHeight="1" x14ac:dyDescent="0.2">
      <c r="A452" s="2" t="s">
        <v>2177</v>
      </c>
      <c r="B452" s="2">
        <f t="shared" si="14"/>
        <v>2022</v>
      </c>
      <c r="C452" s="2" t="str">
        <f t="shared" si="15"/>
        <v>KZN226</v>
      </c>
      <c r="D452" s="591"/>
      <c r="E452" s="2"/>
      <c r="F452" s="2"/>
      <c r="G452" s="589"/>
      <c r="H452" s="589"/>
      <c r="I452" s="589"/>
      <c r="J452" s="589"/>
      <c r="K452" s="589"/>
      <c r="L452" s="589"/>
      <c r="M452" s="589"/>
      <c r="N452" s="589"/>
      <c r="O452" s="589"/>
      <c r="P452" s="2"/>
      <c r="Q452" s="589"/>
      <c r="R452" s="589"/>
      <c r="S452" s="589"/>
      <c r="T452" s="589"/>
      <c r="U452" s="589"/>
      <c r="V452" s="589"/>
      <c r="W452" t="s">
        <v>2047</v>
      </c>
    </row>
    <row r="453" spans="1:23" ht="13.15" customHeight="1" x14ac:dyDescent="0.2">
      <c r="A453" s="2" t="s">
        <v>2177</v>
      </c>
      <c r="B453" s="2">
        <f t="shared" si="14"/>
        <v>2022</v>
      </c>
      <c r="C453" s="2" t="str">
        <f t="shared" si="15"/>
        <v>KZN226</v>
      </c>
      <c r="D453" s="591">
        <v>2295</v>
      </c>
      <c r="E453" s="2">
        <v>90</v>
      </c>
      <c r="F453" s="2" t="s">
        <v>1358</v>
      </c>
      <c r="G453" s="589"/>
      <c r="H453" s="589"/>
      <c r="I453" s="589"/>
      <c r="J453" s="589"/>
      <c r="K453" s="589"/>
      <c r="L453" s="589"/>
      <c r="M453" s="589"/>
      <c r="N453" s="589"/>
      <c r="O453" s="589"/>
      <c r="P453" s="2"/>
      <c r="Q453" s="589"/>
      <c r="R453" s="589"/>
      <c r="S453" s="589"/>
      <c r="T453" s="589"/>
      <c r="U453" s="589"/>
      <c r="V453" s="589"/>
      <c r="W453" t="s">
        <v>2047</v>
      </c>
    </row>
    <row r="454" spans="1:23" ht="13.15" customHeight="1" x14ac:dyDescent="0.2">
      <c r="A454" s="2" t="s">
        <v>2177</v>
      </c>
      <c r="B454" s="2">
        <f t="shared" si="14"/>
        <v>2022</v>
      </c>
      <c r="C454" s="2" t="str">
        <f t="shared" si="15"/>
        <v>KZN226</v>
      </c>
      <c r="D454" s="591"/>
      <c r="E454" s="2"/>
      <c r="F454" s="2"/>
      <c r="G454" s="589"/>
      <c r="H454" s="589"/>
      <c r="I454" s="589"/>
      <c r="J454" s="589"/>
      <c r="K454" s="589"/>
      <c r="L454" s="589"/>
      <c r="M454" s="589"/>
      <c r="N454" s="589"/>
      <c r="O454" s="589"/>
      <c r="P454" s="2"/>
      <c r="Q454" s="589"/>
      <c r="R454" s="589"/>
      <c r="S454" s="589"/>
      <c r="T454" s="589"/>
      <c r="U454" s="589"/>
      <c r="V454" s="589"/>
      <c r="W454" t="s">
        <v>2047</v>
      </c>
    </row>
    <row r="455" spans="1:23" ht="13.15" customHeight="1" x14ac:dyDescent="0.2">
      <c r="A455" s="2" t="s">
        <v>2177</v>
      </c>
      <c r="B455" s="2">
        <f t="shared" si="14"/>
        <v>2022</v>
      </c>
      <c r="C455" s="2" t="str">
        <f t="shared" si="15"/>
        <v>KZN226</v>
      </c>
      <c r="D455" s="591">
        <v>2296</v>
      </c>
      <c r="E455" s="2">
        <v>91</v>
      </c>
      <c r="F455" s="2" t="s">
        <v>491</v>
      </c>
      <c r="G455" s="589"/>
      <c r="H455" s="589"/>
      <c r="I455" s="589"/>
      <c r="J455" s="589"/>
      <c r="K455" s="589"/>
      <c r="L455" s="589"/>
      <c r="M455" s="589"/>
      <c r="N455" s="589"/>
      <c r="O455" s="589"/>
      <c r="P455" s="2"/>
      <c r="Q455" s="589"/>
      <c r="R455" s="589"/>
      <c r="S455" s="589"/>
      <c r="T455" s="589"/>
      <c r="U455" s="589"/>
      <c r="V455" s="589"/>
      <c r="W455" t="s">
        <v>2047</v>
      </c>
    </row>
    <row r="456" spans="1:23" ht="13.15" customHeight="1" x14ac:dyDescent="0.2">
      <c r="A456" s="2" t="s">
        <v>2177</v>
      </c>
      <c r="B456" s="2">
        <f t="shared" si="14"/>
        <v>2022</v>
      </c>
      <c r="C456" s="2" t="str">
        <f t="shared" si="15"/>
        <v>KZN226</v>
      </c>
      <c r="D456" s="591">
        <v>2297</v>
      </c>
      <c r="E456" s="2">
        <v>92</v>
      </c>
      <c r="F456" s="2" t="s">
        <v>797</v>
      </c>
      <c r="G456" s="621"/>
      <c r="H456" s="621"/>
      <c r="I456" s="621"/>
      <c r="J456" s="621"/>
      <c r="K456" s="621"/>
      <c r="L456" s="621"/>
      <c r="M456" s="621"/>
      <c r="N456" s="621"/>
      <c r="O456" s="621"/>
      <c r="P456" s="2"/>
      <c r="Q456" s="589"/>
      <c r="R456" s="589"/>
      <c r="S456" s="589"/>
      <c r="T456" s="589"/>
      <c r="U456" s="589"/>
      <c r="V456" s="589"/>
      <c r="W456" t="s">
        <v>2047</v>
      </c>
    </row>
    <row r="457" spans="1:23" ht="13.15" customHeight="1" x14ac:dyDescent="0.2">
      <c r="A457" s="2" t="s">
        <v>2177</v>
      </c>
      <c r="B457" s="2">
        <f t="shared" si="14"/>
        <v>2022</v>
      </c>
      <c r="C457" s="2" t="str">
        <f t="shared" si="15"/>
        <v>KZN226</v>
      </c>
      <c r="D457" s="591">
        <v>2298</v>
      </c>
      <c r="E457" s="2">
        <v>93</v>
      </c>
      <c r="F457" s="2" t="s">
        <v>1259</v>
      </c>
      <c r="G457" s="589"/>
      <c r="H457" s="589"/>
      <c r="I457" s="589"/>
      <c r="J457" s="589"/>
      <c r="K457" s="589"/>
      <c r="L457" s="589"/>
      <c r="M457" s="589"/>
      <c r="N457" s="589"/>
      <c r="O457" s="589"/>
      <c r="P457" s="2"/>
      <c r="Q457" s="589"/>
      <c r="R457" s="589"/>
      <c r="S457" s="589"/>
      <c r="T457" s="589"/>
      <c r="U457" s="589"/>
      <c r="V457" s="589"/>
      <c r="W457" t="s">
        <v>2047</v>
      </c>
    </row>
    <row r="458" spans="1:23" ht="13.15" customHeight="1" x14ac:dyDescent="0.2">
      <c r="A458" s="2" t="s">
        <v>2178</v>
      </c>
      <c r="B458" s="2">
        <f t="shared" si="14"/>
        <v>2022</v>
      </c>
      <c r="C458" s="2" t="str">
        <f t="shared" si="15"/>
        <v>KZN226</v>
      </c>
      <c r="D458" s="591">
        <v>1000</v>
      </c>
      <c r="E458" s="2">
        <v>1</v>
      </c>
      <c r="F458" s="622"/>
      <c r="G458" s="589"/>
      <c r="H458" s="589"/>
      <c r="I458" s="589"/>
      <c r="J458" s="589"/>
      <c r="K458" s="589"/>
      <c r="L458" s="589"/>
      <c r="M458" s="589"/>
      <c r="N458" s="2"/>
      <c r="W458" t="s">
        <v>2047</v>
      </c>
    </row>
    <row r="459" spans="1:23" ht="13.15" customHeight="1" x14ac:dyDescent="0.2">
      <c r="A459" s="2" t="s">
        <v>2178</v>
      </c>
      <c r="B459" s="2">
        <f t="shared" si="14"/>
        <v>2022</v>
      </c>
      <c r="C459" s="2" t="str">
        <f t="shared" si="15"/>
        <v>KZN226</v>
      </c>
      <c r="D459" s="591">
        <v>1001</v>
      </c>
      <c r="E459" s="2">
        <v>2</v>
      </c>
      <c r="F459" s="622"/>
      <c r="G459" s="589"/>
      <c r="H459" s="589"/>
      <c r="I459" s="589"/>
      <c r="J459" s="589"/>
      <c r="K459" s="589"/>
      <c r="L459" s="589"/>
      <c r="M459" s="589"/>
      <c r="N459" s="2"/>
      <c r="W459" t="s">
        <v>2047</v>
      </c>
    </row>
    <row r="460" spans="1:23" ht="13.15" customHeight="1" x14ac:dyDescent="0.2">
      <c r="A460" s="2" t="s">
        <v>2178</v>
      </c>
      <c r="B460" s="2">
        <f t="shared" si="14"/>
        <v>2022</v>
      </c>
      <c r="C460" s="2" t="str">
        <f t="shared" si="15"/>
        <v>KZN226</v>
      </c>
      <c r="D460" s="591">
        <v>1002</v>
      </c>
      <c r="E460" s="2">
        <v>3</v>
      </c>
      <c r="F460" s="622"/>
      <c r="G460" s="589"/>
      <c r="H460" s="589"/>
      <c r="I460" s="589"/>
      <c r="J460" s="589"/>
      <c r="K460" s="589"/>
      <c r="L460" s="589"/>
      <c r="M460" s="589"/>
      <c r="N460" s="2"/>
      <c r="W460" t="s">
        <v>2047</v>
      </c>
    </row>
    <row r="461" spans="1:23" ht="13.15" customHeight="1" x14ac:dyDescent="0.2">
      <c r="A461" s="2" t="s">
        <v>2178</v>
      </c>
      <c r="B461" s="2">
        <f t="shared" si="14"/>
        <v>2022</v>
      </c>
      <c r="C461" s="2" t="str">
        <f t="shared" si="15"/>
        <v>KZN226</v>
      </c>
      <c r="D461" s="591">
        <v>1003</v>
      </c>
      <c r="E461" s="2">
        <v>4</v>
      </c>
      <c r="F461" s="622"/>
      <c r="G461" s="589"/>
      <c r="H461" s="589"/>
      <c r="I461" s="589"/>
      <c r="J461" s="589"/>
      <c r="K461" s="589"/>
      <c r="L461" s="589"/>
      <c r="M461" s="589"/>
      <c r="N461" s="2"/>
      <c r="W461" t="s">
        <v>2047</v>
      </c>
    </row>
    <row r="462" spans="1:23" ht="13.15" customHeight="1" x14ac:dyDescent="0.2">
      <c r="A462" s="2" t="s">
        <v>2178</v>
      </c>
      <c r="B462" s="2">
        <f t="shared" si="14"/>
        <v>2022</v>
      </c>
      <c r="C462" s="2" t="str">
        <f t="shared" si="15"/>
        <v>KZN226</v>
      </c>
      <c r="D462" s="591">
        <v>1004</v>
      </c>
      <c r="E462" s="2">
        <v>5</v>
      </c>
      <c r="F462" s="622"/>
      <c r="G462" s="589"/>
      <c r="H462" s="589"/>
      <c r="I462" s="589"/>
      <c r="J462" s="589"/>
      <c r="K462" s="589"/>
      <c r="L462" s="589"/>
      <c r="M462" s="589"/>
      <c r="N462" s="2"/>
      <c r="W462" t="s">
        <v>2047</v>
      </c>
    </row>
    <row r="463" spans="1:23" ht="13.15" customHeight="1" x14ac:dyDescent="0.2">
      <c r="A463" s="2" t="s">
        <v>2178</v>
      </c>
      <c r="B463" s="2">
        <f t="shared" si="14"/>
        <v>2022</v>
      </c>
      <c r="C463" s="2" t="str">
        <f t="shared" si="15"/>
        <v>KZN226</v>
      </c>
      <c r="D463" s="591">
        <v>1005</v>
      </c>
      <c r="E463" s="2">
        <v>6</v>
      </c>
      <c r="F463" s="622"/>
      <c r="G463" s="589"/>
      <c r="H463" s="589"/>
      <c r="I463" s="589"/>
      <c r="J463" s="589"/>
      <c r="K463" s="589"/>
      <c r="L463" s="589"/>
      <c r="M463" s="589"/>
      <c r="N463" s="2"/>
      <c r="W463" t="s">
        <v>2047</v>
      </c>
    </row>
    <row r="464" spans="1:23" ht="13.15" customHeight="1" x14ac:dyDescent="0.2">
      <c r="A464" s="2" t="s">
        <v>2178</v>
      </c>
      <c r="B464" s="2">
        <f t="shared" si="14"/>
        <v>2022</v>
      </c>
      <c r="C464" s="2" t="str">
        <f t="shared" si="15"/>
        <v>KZN226</v>
      </c>
      <c r="D464" s="591">
        <v>1006</v>
      </c>
      <c r="E464" s="2">
        <v>7</v>
      </c>
      <c r="F464" s="622"/>
      <c r="G464" s="589"/>
      <c r="H464" s="589"/>
      <c r="I464" s="589"/>
      <c r="J464" s="589"/>
      <c r="K464" s="589"/>
      <c r="L464" s="589"/>
      <c r="M464" s="589"/>
      <c r="N464" s="2"/>
      <c r="W464" t="s">
        <v>2047</v>
      </c>
    </row>
    <row r="465" spans="1:23" ht="13.15" customHeight="1" x14ac:dyDescent="0.2">
      <c r="A465" s="2" t="s">
        <v>2178</v>
      </c>
      <c r="B465" s="2">
        <f t="shared" si="14"/>
        <v>2022</v>
      </c>
      <c r="C465" s="2" t="str">
        <f t="shared" si="15"/>
        <v>KZN226</v>
      </c>
      <c r="D465" s="591">
        <v>1090</v>
      </c>
      <c r="E465" s="2">
        <v>8</v>
      </c>
      <c r="F465" s="622"/>
      <c r="G465" s="589"/>
      <c r="H465" s="589"/>
      <c r="I465" s="589"/>
      <c r="J465" s="589"/>
      <c r="K465" s="589"/>
      <c r="L465" s="589"/>
      <c r="M465" s="589"/>
      <c r="N465" s="2"/>
      <c r="W465" t="s">
        <v>2047</v>
      </c>
    </row>
    <row r="466" spans="1:23" ht="13.15" customHeight="1" x14ac:dyDescent="0.2">
      <c r="A466" s="2" t="s">
        <v>2178</v>
      </c>
      <c r="B466" s="2">
        <f t="shared" si="14"/>
        <v>2022</v>
      </c>
      <c r="C466" s="2" t="str">
        <f t="shared" si="15"/>
        <v>KZN226</v>
      </c>
      <c r="D466" s="591"/>
      <c r="E466" s="2"/>
      <c r="F466" s="622"/>
      <c r="G466" s="589"/>
      <c r="H466" s="589"/>
      <c r="I466" s="589"/>
      <c r="J466" s="589"/>
      <c r="K466" s="589"/>
      <c r="L466" s="589"/>
      <c r="M466" s="589"/>
      <c r="N466" s="2"/>
      <c r="W466" t="s">
        <v>2047</v>
      </c>
    </row>
    <row r="467" spans="1:23" ht="13.15" customHeight="1" x14ac:dyDescent="0.2">
      <c r="A467" s="2" t="s">
        <v>2178</v>
      </c>
      <c r="B467" s="2">
        <f t="shared" si="14"/>
        <v>2022</v>
      </c>
      <c r="C467" s="2" t="str">
        <f t="shared" si="15"/>
        <v>KZN226</v>
      </c>
      <c r="D467" s="591"/>
      <c r="E467" s="2"/>
      <c r="F467" s="622"/>
      <c r="G467" s="589"/>
      <c r="H467" s="589"/>
      <c r="I467" s="589"/>
      <c r="J467" s="589"/>
      <c r="K467" s="589"/>
      <c r="L467" s="589"/>
      <c r="M467" s="589"/>
      <c r="N467" s="2"/>
      <c r="W467" t="s">
        <v>2047</v>
      </c>
    </row>
    <row r="468" spans="1:23" ht="13.15" customHeight="1" x14ac:dyDescent="0.2">
      <c r="A468" s="2" t="s">
        <v>2178</v>
      </c>
      <c r="B468" s="2">
        <f t="shared" si="14"/>
        <v>2022</v>
      </c>
      <c r="C468" s="2" t="str">
        <f t="shared" si="15"/>
        <v>KZN226</v>
      </c>
      <c r="D468" s="591"/>
      <c r="E468" s="2"/>
      <c r="F468" s="622"/>
      <c r="G468" s="589"/>
      <c r="H468" s="589"/>
      <c r="I468" s="589"/>
      <c r="J468" s="589"/>
      <c r="K468" s="589"/>
      <c r="L468" s="589"/>
      <c r="M468" s="589"/>
      <c r="N468" s="2"/>
      <c r="W468" t="s">
        <v>2047</v>
      </c>
    </row>
    <row r="469" spans="1:23" ht="13.15" customHeight="1" x14ac:dyDescent="0.2">
      <c r="A469" s="2" t="s">
        <v>2178</v>
      </c>
      <c r="B469" s="2">
        <f t="shared" si="14"/>
        <v>2022</v>
      </c>
      <c r="C469" s="2" t="str">
        <f t="shared" si="15"/>
        <v>KZN226</v>
      </c>
      <c r="D469" s="591"/>
      <c r="E469" s="2"/>
      <c r="F469" s="622"/>
      <c r="G469" s="589"/>
      <c r="H469" s="589"/>
      <c r="I469" s="589"/>
      <c r="J469" s="589"/>
      <c r="K469" s="589"/>
      <c r="L469" s="589"/>
      <c r="M469" s="589"/>
      <c r="N469" s="2"/>
      <c r="W469" t="s">
        <v>2047</v>
      </c>
    </row>
    <row r="470" spans="1:23" ht="13.15" customHeight="1" x14ac:dyDescent="0.2">
      <c r="A470" s="2" t="s">
        <v>2178</v>
      </c>
      <c r="B470" s="2">
        <f t="shared" si="14"/>
        <v>2022</v>
      </c>
      <c r="C470" s="2" t="str">
        <f t="shared" si="15"/>
        <v>KZN226</v>
      </c>
      <c r="D470" s="591"/>
      <c r="E470" s="2"/>
      <c r="F470" s="622"/>
      <c r="G470" s="589"/>
      <c r="H470" s="589"/>
      <c r="I470" s="589"/>
      <c r="J470" s="589"/>
      <c r="K470" s="589"/>
      <c r="L470" s="589"/>
      <c r="M470" s="589"/>
      <c r="N470" s="2"/>
      <c r="W470" t="s">
        <v>2047</v>
      </c>
    </row>
    <row r="471" spans="1:23" ht="13.15" customHeight="1" x14ac:dyDescent="0.2">
      <c r="A471" s="2" t="s">
        <v>2178</v>
      </c>
      <c r="B471" s="2">
        <f t="shared" si="14"/>
        <v>2022</v>
      </c>
      <c r="C471" s="2" t="str">
        <f t="shared" si="15"/>
        <v>KZN226</v>
      </c>
      <c r="D471" s="591"/>
      <c r="E471" s="2"/>
      <c r="F471" s="622"/>
      <c r="G471" s="589"/>
      <c r="H471" s="589"/>
      <c r="I471" s="589"/>
      <c r="J471" s="589"/>
      <c r="K471" s="589"/>
      <c r="L471" s="589"/>
      <c r="M471" s="589"/>
      <c r="N471" s="2"/>
      <c r="W471" t="s">
        <v>2047</v>
      </c>
    </row>
    <row r="472" spans="1:23" ht="13.15" customHeight="1" x14ac:dyDescent="0.2">
      <c r="A472" s="2" t="s">
        <v>2178</v>
      </c>
      <c r="B472" s="2">
        <f t="shared" si="14"/>
        <v>2022</v>
      </c>
      <c r="C472" s="2" t="str">
        <f t="shared" si="15"/>
        <v>KZN226</v>
      </c>
      <c r="D472" s="591"/>
      <c r="E472" s="2"/>
      <c r="F472" s="622"/>
      <c r="G472" s="589"/>
      <c r="H472" s="589"/>
      <c r="I472" s="589"/>
      <c r="J472" s="589"/>
      <c r="K472" s="589"/>
      <c r="L472" s="589"/>
      <c r="M472" s="589"/>
      <c r="N472" s="2"/>
      <c r="W472" t="s">
        <v>2047</v>
      </c>
    </row>
    <row r="473" spans="1:23" ht="13.15" customHeight="1" x14ac:dyDescent="0.2">
      <c r="A473" s="2" t="s">
        <v>2178</v>
      </c>
      <c r="B473" s="2">
        <f t="shared" si="14"/>
        <v>2022</v>
      </c>
      <c r="C473" s="2" t="str">
        <f t="shared" si="15"/>
        <v>KZN226</v>
      </c>
      <c r="D473" s="591"/>
      <c r="E473" s="2"/>
      <c r="F473" s="622"/>
      <c r="G473" s="589"/>
      <c r="H473" s="589"/>
      <c r="I473" s="589"/>
      <c r="J473" s="589"/>
      <c r="K473" s="589"/>
      <c r="L473" s="589"/>
      <c r="M473" s="589"/>
      <c r="N473" s="2"/>
      <c r="W473" t="s">
        <v>2047</v>
      </c>
    </row>
    <row r="474" spans="1:23" ht="13.15" customHeight="1" x14ac:dyDescent="0.2">
      <c r="A474" s="2" t="s">
        <v>2178</v>
      </c>
      <c r="B474" s="2">
        <f t="shared" si="14"/>
        <v>2022</v>
      </c>
      <c r="C474" s="2" t="str">
        <f t="shared" si="15"/>
        <v>KZN226</v>
      </c>
      <c r="D474" s="591"/>
      <c r="E474" s="2"/>
      <c r="F474" s="622"/>
      <c r="G474" s="589"/>
      <c r="H474" s="589"/>
      <c r="I474" s="589"/>
      <c r="J474" s="589"/>
      <c r="K474" s="589"/>
      <c r="L474" s="589"/>
      <c r="M474" s="589"/>
      <c r="N474" s="2"/>
      <c r="W474" t="s">
        <v>2047</v>
      </c>
    </row>
    <row r="475" spans="1:23" ht="13.15" customHeight="1" x14ac:dyDescent="0.2">
      <c r="A475" s="2" t="s">
        <v>2178</v>
      </c>
      <c r="B475" s="2">
        <f t="shared" si="14"/>
        <v>2022</v>
      </c>
      <c r="C475" s="2" t="str">
        <f t="shared" si="15"/>
        <v>KZN226</v>
      </c>
      <c r="D475" s="591"/>
      <c r="E475" s="2"/>
      <c r="F475" s="623"/>
      <c r="G475" s="589"/>
      <c r="H475" s="589"/>
      <c r="I475" s="589"/>
      <c r="J475" s="589"/>
      <c r="K475" s="589"/>
      <c r="L475" s="589"/>
      <c r="M475" s="589"/>
      <c r="N475" s="2"/>
      <c r="W475" t="s">
        <v>2047</v>
      </c>
    </row>
    <row r="476" spans="1:23" ht="13.15" customHeight="1" x14ac:dyDescent="0.2">
      <c r="A476" s="2" t="s">
        <v>2178</v>
      </c>
      <c r="B476" s="2">
        <f t="shared" si="14"/>
        <v>2022</v>
      </c>
      <c r="C476" s="2" t="str">
        <f t="shared" si="15"/>
        <v>KZN226</v>
      </c>
      <c r="D476" s="591"/>
      <c r="E476" s="2"/>
      <c r="F476" s="623"/>
      <c r="G476" s="589"/>
      <c r="H476" s="589"/>
      <c r="I476" s="589"/>
      <c r="J476" s="589"/>
      <c r="K476" s="589"/>
      <c r="L476" s="589"/>
      <c r="M476" s="589"/>
      <c r="N476" s="2"/>
      <c r="W476" t="s">
        <v>2047</v>
      </c>
    </row>
    <row r="477" spans="1:23" ht="13.15" customHeight="1" x14ac:dyDescent="0.2">
      <c r="A477" s="2" t="s">
        <v>2178</v>
      </c>
      <c r="B477" s="2">
        <f t="shared" si="14"/>
        <v>2022</v>
      </c>
      <c r="C477" s="2" t="str">
        <f t="shared" si="15"/>
        <v>KZN226</v>
      </c>
      <c r="D477" s="591"/>
      <c r="E477" s="2"/>
      <c r="F477" s="623"/>
      <c r="G477" s="589"/>
      <c r="H477" s="589"/>
      <c r="I477" s="589"/>
      <c r="J477" s="589"/>
      <c r="K477" s="589"/>
      <c r="L477" s="589"/>
      <c r="M477" s="589"/>
      <c r="N477" s="2"/>
      <c r="W477" t="s">
        <v>2047</v>
      </c>
    </row>
    <row r="478" spans="1:23" ht="13.15" customHeight="1" x14ac:dyDescent="0.2">
      <c r="A478" s="2" t="s">
        <v>2178</v>
      </c>
      <c r="B478" s="2">
        <f t="shared" si="14"/>
        <v>2022</v>
      </c>
      <c r="C478" s="2" t="str">
        <f t="shared" si="15"/>
        <v>KZN226</v>
      </c>
      <c r="D478" s="591"/>
      <c r="E478" s="2"/>
      <c r="F478" s="623"/>
      <c r="G478" s="589"/>
      <c r="H478" s="589"/>
      <c r="I478" s="589"/>
      <c r="J478" s="589"/>
      <c r="K478" s="589"/>
      <c r="L478" s="589"/>
      <c r="M478" s="589"/>
      <c r="N478" s="2"/>
      <c r="W478" t="s">
        <v>2047</v>
      </c>
    </row>
    <row r="479" spans="1:23" ht="13.15" customHeight="1" x14ac:dyDescent="0.2">
      <c r="A479" s="2" t="s">
        <v>2178</v>
      </c>
      <c r="B479" s="2">
        <f t="shared" si="14"/>
        <v>2022</v>
      </c>
      <c r="C479" s="2" t="str">
        <f t="shared" si="15"/>
        <v>KZN226</v>
      </c>
      <c r="D479" s="591"/>
      <c r="E479" s="2"/>
      <c r="F479" s="623"/>
      <c r="G479" s="589"/>
      <c r="H479" s="589"/>
      <c r="I479" s="589"/>
      <c r="J479" s="589"/>
      <c r="K479" s="589"/>
      <c r="L479" s="589"/>
      <c r="M479" s="589"/>
      <c r="N479" s="2"/>
      <c r="W479" t="s">
        <v>2047</v>
      </c>
    </row>
    <row r="480" spans="1:23" ht="13.15" customHeight="1" x14ac:dyDescent="0.2">
      <c r="A480" s="2" t="s">
        <v>2178</v>
      </c>
      <c r="B480" s="2">
        <f t="shared" si="14"/>
        <v>2022</v>
      </c>
      <c r="C480" s="2" t="str">
        <f t="shared" si="15"/>
        <v>KZN226</v>
      </c>
      <c r="D480" s="591"/>
      <c r="E480" s="2"/>
      <c r="F480" s="623"/>
      <c r="G480" s="589"/>
      <c r="H480" s="589"/>
      <c r="I480" s="589"/>
      <c r="J480" s="589"/>
      <c r="K480" s="589"/>
      <c r="L480" s="589"/>
      <c r="M480" s="589"/>
      <c r="N480" s="2"/>
      <c r="W480" t="s">
        <v>2047</v>
      </c>
    </row>
    <row r="481" spans="1:23" ht="13.15" customHeight="1" x14ac:dyDescent="0.2">
      <c r="A481" s="2" t="s">
        <v>2178</v>
      </c>
      <c r="B481" s="2">
        <f t="shared" si="14"/>
        <v>2022</v>
      </c>
      <c r="C481" s="2" t="str">
        <f t="shared" si="15"/>
        <v>KZN226</v>
      </c>
      <c r="D481" s="591"/>
      <c r="E481" s="2"/>
      <c r="F481" s="623"/>
      <c r="G481" s="589"/>
      <c r="H481" s="589"/>
      <c r="I481" s="589"/>
      <c r="J481" s="589"/>
      <c r="K481" s="589"/>
      <c r="L481" s="589"/>
      <c r="M481" s="589"/>
      <c r="N481" s="2"/>
      <c r="W481" t="s">
        <v>2047</v>
      </c>
    </row>
    <row r="482" spans="1:23" ht="13.15" customHeight="1" x14ac:dyDescent="0.2">
      <c r="A482" s="2" t="s">
        <v>2178</v>
      </c>
      <c r="B482" s="2">
        <f t="shared" si="14"/>
        <v>2022</v>
      </c>
      <c r="C482" s="2" t="str">
        <f t="shared" si="15"/>
        <v>KZN226</v>
      </c>
      <c r="D482" s="591"/>
      <c r="E482" s="2"/>
      <c r="F482" s="623"/>
      <c r="G482" s="589"/>
      <c r="H482" s="589"/>
      <c r="I482" s="589"/>
      <c r="J482" s="589"/>
      <c r="K482" s="589"/>
      <c r="L482" s="589"/>
      <c r="M482" s="589"/>
      <c r="N482" s="2"/>
      <c r="W482" t="s">
        <v>2047</v>
      </c>
    </row>
    <row r="483" spans="1:23" ht="13.15" customHeight="1" x14ac:dyDescent="0.2">
      <c r="A483" s="2" t="s">
        <v>2178</v>
      </c>
      <c r="B483" s="2">
        <f t="shared" si="14"/>
        <v>2022</v>
      </c>
      <c r="C483" s="2" t="str">
        <f t="shared" si="15"/>
        <v>KZN226</v>
      </c>
      <c r="D483" s="591"/>
      <c r="E483" s="2"/>
      <c r="F483" s="623"/>
      <c r="G483" s="589"/>
      <c r="H483" s="589"/>
      <c r="I483" s="589"/>
      <c r="J483" s="589"/>
      <c r="K483" s="589"/>
      <c r="L483" s="589"/>
      <c r="M483" s="589"/>
      <c r="N483" s="2"/>
      <c r="W483" t="s">
        <v>2047</v>
      </c>
    </row>
    <row r="484" spans="1:23" ht="13.15" customHeight="1" x14ac:dyDescent="0.2">
      <c r="A484" s="2" t="s">
        <v>2178</v>
      </c>
      <c r="B484" s="2">
        <f t="shared" si="14"/>
        <v>2022</v>
      </c>
      <c r="C484" s="2" t="str">
        <f t="shared" si="15"/>
        <v>KZN226</v>
      </c>
      <c r="D484" s="591"/>
      <c r="E484" s="2"/>
      <c r="F484" s="623"/>
      <c r="G484" s="589"/>
      <c r="H484" s="589"/>
      <c r="I484" s="589"/>
      <c r="J484" s="589"/>
      <c r="K484" s="589"/>
      <c r="L484" s="589"/>
      <c r="M484" s="589"/>
      <c r="N484" s="2"/>
      <c r="W484" t="s">
        <v>2047</v>
      </c>
    </row>
    <row r="485" spans="1:23" ht="13.15" customHeight="1" x14ac:dyDescent="0.2">
      <c r="A485" s="2" t="s">
        <v>2178</v>
      </c>
      <c r="B485" s="2">
        <f t="shared" si="14"/>
        <v>2022</v>
      </c>
      <c r="C485" s="2" t="str">
        <f t="shared" si="15"/>
        <v>KZN226</v>
      </c>
      <c r="D485" s="591"/>
      <c r="E485" s="2"/>
      <c r="F485" s="623"/>
      <c r="G485" s="589"/>
      <c r="H485" s="589"/>
      <c r="I485" s="589"/>
      <c r="J485" s="589"/>
      <c r="K485" s="589"/>
      <c r="L485" s="589"/>
      <c r="M485" s="589"/>
      <c r="N485" s="2"/>
      <c r="W485" t="s">
        <v>2047</v>
      </c>
    </row>
    <row r="486" spans="1:23" ht="13.15" customHeight="1" x14ac:dyDescent="0.2">
      <c r="A486" s="2" t="s">
        <v>2178</v>
      </c>
      <c r="B486" s="2">
        <f t="shared" si="14"/>
        <v>2022</v>
      </c>
      <c r="C486" s="2" t="str">
        <f t="shared" si="15"/>
        <v>KZN226</v>
      </c>
      <c r="D486" s="591"/>
      <c r="E486" s="2"/>
      <c r="F486" s="623"/>
      <c r="G486" s="589"/>
      <c r="H486" s="589"/>
      <c r="I486" s="589"/>
      <c r="J486" s="589"/>
      <c r="K486" s="589"/>
      <c r="L486" s="589"/>
      <c r="M486" s="589"/>
      <c r="N486" s="2"/>
      <c r="W486" t="s">
        <v>2047</v>
      </c>
    </row>
    <row r="487" spans="1:23" ht="13.15" customHeight="1" x14ac:dyDescent="0.2">
      <c r="A487" s="2" t="s">
        <v>2178</v>
      </c>
      <c r="B487" s="2">
        <f t="shared" si="14"/>
        <v>2022</v>
      </c>
      <c r="C487" s="2" t="str">
        <f t="shared" si="15"/>
        <v>KZN226</v>
      </c>
      <c r="D487" s="591"/>
      <c r="E487" s="2"/>
      <c r="F487" s="623"/>
      <c r="G487" s="589"/>
      <c r="H487" s="589"/>
      <c r="I487" s="589"/>
      <c r="J487" s="589"/>
      <c r="K487" s="589"/>
      <c r="L487" s="589"/>
      <c r="M487" s="589"/>
      <c r="N487" s="2"/>
      <c r="W487" t="s">
        <v>2047</v>
      </c>
    </row>
    <row r="488" spans="1:23" ht="13.15" customHeight="1" x14ac:dyDescent="0.2">
      <c r="A488" s="2" t="s">
        <v>2178</v>
      </c>
      <c r="B488" s="2">
        <f t="shared" si="14"/>
        <v>2022</v>
      </c>
      <c r="C488" s="2" t="str">
        <f t="shared" si="15"/>
        <v>KZN226</v>
      </c>
      <c r="D488" s="591"/>
      <c r="E488" s="2"/>
      <c r="F488" s="622"/>
      <c r="G488" s="589"/>
      <c r="H488" s="589"/>
      <c r="I488" s="589"/>
      <c r="J488" s="589"/>
      <c r="K488" s="589"/>
      <c r="L488" s="589"/>
      <c r="M488" s="589"/>
      <c r="N488" s="2"/>
      <c r="W488" t="s">
        <v>2047</v>
      </c>
    </row>
    <row r="489" spans="1:23" ht="13.15" customHeight="1" x14ac:dyDescent="0.2">
      <c r="A489" s="2" t="s">
        <v>2178</v>
      </c>
      <c r="B489" s="2">
        <f t="shared" si="14"/>
        <v>2022</v>
      </c>
      <c r="C489" s="2" t="str">
        <f t="shared" si="15"/>
        <v>KZN226</v>
      </c>
      <c r="D489" s="591"/>
      <c r="E489" s="2"/>
      <c r="F489" s="622"/>
      <c r="G489" s="589"/>
      <c r="H489" s="589"/>
      <c r="I489" s="589"/>
      <c r="J489" s="589"/>
      <c r="K489" s="589"/>
      <c r="L489" s="589"/>
      <c r="M489" s="589"/>
      <c r="N489" s="2"/>
      <c r="W489" t="s">
        <v>2047</v>
      </c>
    </row>
    <row r="490" spans="1:23" ht="13.15" customHeight="1" x14ac:dyDescent="0.2">
      <c r="A490" s="2" t="s">
        <v>2178</v>
      </c>
      <c r="B490" s="2">
        <f t="shared" si="14"/>
        <v>2022</v>
      </c>
      <c r="C490" s="2" t="str">
        <f t="shared" si="15"/>
        <v>KZN226</v>
      </c>
      <c r="D490" s="591"/>
      <c r="E490" s="2"/>
      <c r="F490" s="622"/>
      <c r="G490" s="589"/>
      <c r="H490" s="589"/>
      <c r="I490" s="589"/>
      <c r="J490" s="589"/>
      <c r="K490" s="589"/>
      <c r="L490" s="589"/>
      <c r="M490" s="589"/>
      <c r="N490" s="2"/>
      <c r="W490" t="s">
        <v>2047</v>
      </c>
    </row>
    <row r="491" spans="1:23" ht="13.15" customHeight="1" x14ac:dyDescent="0.2">
      <c r="A491" s="2" t="s">
        <v>2178</v>
      </c>
      <c r="B491" s="2">
        <f t="shared" si="14"/>
        <v>2022</v>
      </c>
      <c r="C491" s="2" t="str">
        <f t="shared" si="15"/>
        <v>KZN226</v>
      </c>
      <c r="D491" s="591"/>
      <c r="E491" s="2"/>
      <c r="F491" s="622"/>
      <c r="G491" s="589"/>
      <c r="H491" s="589"/>
      <c r="I491" s="589"/>
      <c r="J491" s="589"/>
      <c r="K491" s="589"/>
      <c r="L491" s="589"/>
      <c r="M491" s="589"/>
      <c r="N491" s="2"/>
      <c r="W491" t="s">
        <v>2047</v>
      </c>
    </row>
    <row r="492" spans="1:23" ht="13.15" customHeight="1" x14ac:dyDescent="0.2">
      <c r="A492" s="2" t="s">
        <v>2178</v>
      </c>
      <c r="B492" s="2">
        <f t="shared" si="14"/>
        <v>2022</v>
      </c>
      <c r="C492" s="2" t="str">
        <f t="shared" si="15"/>
        <v>KZN226</v>
      </c>
      <c r="D492" s="591"/>
      <c r="E492" s="2"/>
      <c r="F492" s="622"/>
      <c r="G492" s="589"/>
      <c r="H492" s="589"/>
      <c r="I492" s="589"/>
      <c r="J492" s="589"/>
      <c r="K492" s="589"/>
      <c r="L492" s="589"/>
      <c r="M492" s="589"/>
      <c r="N492" s="2"/>
      <c r="W492" t="s">
        <v>2047</v>
      </c>
    </row>
    <row r="493" spans="1:23" ht="13.15" customHeight="1" x14ac:dyDescent="0.2">
      <c r="A493" s="2" t="s">
        <v>2178</v>
      </c>
      <c r="B493" s="2">
        <f t="shared" si="14"/>
        <v>2022</v>
      </c>
      <c r="C493" s="2" t="str">
        <f t="shared" si="15"/>
        <v>KZN226</v>
      </c>
      <c r="D493" s="591"/>
      <c r="E493" s="2"/>
      <c r="F493" s="622"/>
      <c r="G493" s="589"/>
      <c r="H493" s="589"/>
      <c r="I493" s="589"/>
      <c r="J493" s="589"/>
      <c r="K493" s="589"/>
      <c r="L493" s="589"/>
      <c r="M493" s="589"/>
      <c r="N493" s="2"/>
      <c r="W493" t="s">
        <v>2047</v>
      </c>
    </row>
    <row r="494" spans="1:23" ht="13.15" customHeight="1" x14ac:dyDescent="0.2">
      <c r="A494" s="2" t="s">
        <v>2178</v>
      </c>
      <c r="B494" s="2">
        <f t="shared" si="14"/>
        <v>2022</v>
      </c>
      <c r="C494" s="2" t="str">
        <f t="shared" si="15"/>
        <v>KZN226</v>
      </c>
      <c r="D494" s="591"/>
      <c r="E494" s="2"/>
      <c r="F494" s="623"/>
      <c r="G494" s="589"/>
      <c r="H494" s="589"/>
      <c r="I494" s="589"/>
      <c r="J494" s="589"/>
      <c r="K494" s="589"/>
      <c r="L494" s="589"/>
      <c r="M494" s="589"/>
      <c r="N494" s="2"/>
      <c r="W494" t="s">
        <v>2047</v>
      </c>
    </row>
    <row r="495" spans="1:23" ht="13.15" customHeight="1" x14ac:dyDescent="0.2">
      <c r="A495" s="2" t="s">
        <v>2178</v>
      </c>
      <c r="B495" s="2">
        <f t="shared" si="14"/>
        <v>2022</v>
      </c>
      <c r="C495" s="2" t="str">
        <f t="shared" si="15"/>
        <v>KZN226</v>
      </c>
      <c r="D495" s="591"/>
      <c r="E495" s="2"/>
      <c r="F495" s="623"/>
      <c r="G495" s="589"/>
      <c r="H495" s="589"/>
      <c r="I495" s="589"/>
      <c r="J495" s="589"/>
      <c r="K495" s="589"/>
      <c r="L495" s="589"/>
      <c r="M495" s="589"/>
      <c r="N495" s="2"/>
      <c r="W495" t="s">
        <v>2047</v>
      </c>
    </row>
    <row r="496" spans="1:23" ht="13.15" customHeight="1" x14ac:dyDescent="0.2">
      <c r="A496" s="2" t="s">
        <v>2178</v>
      </c>
      <c r="B496" s="2">
        <f t="shared" si="14"/>
        <v>2022</v>
      </c>
      <c r="C496" s="2" t="str">
        <f t="shared" si="15"/>
        <v>KZN226</v>
      </c>
      <c r="D496" s="591"/>
      <c r="E496" s="2"/>
      <c r="F496" s="623"/>
      <c r="G496" s="589"/>
      <c r="H496" s="589"/>
      <c r="I496" s="589"/>
      <c r="J496" s="589"/>
      <c r="K496" s="589"/>
      <c r="L496" s="589"/>
      <c r="M496" s="589"/>
      <c r="N496" s="2"/>
      <c r="W496" t="s">
        <v>2047</v>
      </c>
    </row>
    <row r="497" spans="1:23" ht="13.15" customHeight="1" x14ac:dyDescent="0.2">
      <c r="A497" s="2" t="s">
        <v>2178</v>
      </c>
      <c r="B497" s="2">
        <f t="shared" si="14"/>
        <v>2022</v>
      </c>
      <c r="C497" s="2" t="str">
        <f t="shared" si="15"/>
        <v>KZN226</v>
      </c>
      <c r="D497" s="591"/>
      <c r="E497" s="2"/>
      <c r="F497" s="623"/>
      <c r="G497" s="589"/>
      <c r="H497" s="589"/>
      <c r="I497" s="589"/>
      <c r="J497" s="589"/>
      <c r="K497" s="589"/>
      <c r="L497" s="589"/>
      <c r="M497" s="589"/>
      <c r="N497" s="2"/>
      <c r="W497" t="s">
        <v>2047</v>
      </c>
    </row>
    <row r="498" spans="1:23" ht="13.15" customHeight="1" x14ac:dyDescent="0.2">
      <c r="A498" s="2" t="s">
        <v>2178</v>
      </c>
      <c r="B498" s="2">
        <f t="shared" si="14"/>
        <v>2022</v>
      </c>
      <c r="C498" s="2" t="str">
        <f t="shared" si="15"/>
        <v>KZN226</v>
      </c>
      <c r="D498" s="591"/>
      <c r="E498" s="2"/>
      <c r="F498" s="623"/>
      <c r="G498" s="589"/>
      <c r="H498" s="589"/>
      <c r="I498" s="589"/>
      <c r="J498" s="589"/>
      <c r="K498" s="589"/>
      <c r="L498" s="589"/>
      <c r="M498" s="589"/>
      <c r="N498" s="2"/>
      <c r="W498" t="s">
        <v>2047</v>
      </c>
    </row>
    <row r="499" spans="1:23" ht="13.15" customHeight="1" x14ac:dyDescent="0.2">
      <c r="A499" s="2" t="s">
        <v>2178</v>
      </c>
      <c r="B499" s="2">
        <f t="shared" si="14"/>
        <v>2022</v>
      </c>
      <c r="C499" s="2" t="str">
        <f t="shared" si="15"/>
        <v>KZN226</v>
      </c>
      <c r="D499" s="591"/>
      <c r="E499" s="2"/>
      <c r="F499" s="623"/>
      <c r="G499" s="589"/>
      <c r="H499" s="589"/>
      <c r="I499" s="589"/>
      <c r="J499" s="589"/>
      <c r="K499" s="589"/>
      <c r="L499" s="589"/>
      <c r="M499" s="589"/>
      <c r="N499" s="2"/>
      <c r="W499" t="s">
        <v>2047</v>
      </c>
    </row>
    <row r="500" spans="1:23" ht="13.15" customHeight="1" x14ac:dyDescent="0.2">
      <c r="A500" s="2" t="s">
        <v>2178</v>
      </c>
      <c r="B500" s="2">
        <f t="shared" si="14"/>
        <v>2022</v>
      </c>
      <c r="C500" s="2" t="str">
        <f t="shared" si="15"/>
        <v>KZN226</v>
      </c>
      <c r="D500" s="591"/>
      <c r="E500" s="2"/>
      <c r="F500" s="623"/>
      <c r="G500" s="589"/>
      <c r="H500" s="589"/>
      <c r="I500" s="589"/>
      <c r="J500" s="589"/>
      <c r="K500" s="589"/>
      <c r="L500" s="589"/>
      <c r="M500" s="589"/>
      <c r="N500" s="2"/>
      <c r="W500" t="s">
        <v>2047</v>
      </c>
    </row>
    <row r="501" spans="1:23" ht="13.15" customHeight="1" x14ac:dyDescent="0.2">
      <c r="A501" s="2" t="s">
        <v>2178</v>
      </c>
      <c r="B501" s="2">
        <f t="shared" si="14"/>
        <v>2022</v>
      </c>
      <c r="C501" s="2" t="str">
        <f t="shared" si="15"/>
        <v>KZN226</v>
      </c>
      <c r="D501" s="591"/>
      <c r="E501" s="2"/>
      <c r="F501" s="623"/>
      <c r="G501" s="589"/>
      <c r="H501" s="589"/>
      <c r="I501" s="589"/>
      <c r="J501" s="589"/>
      <c r="K501" s="589"/>
      <c r="L501" s="589"/>
      <c r="M501" s="589"/>
      <c r="N501" s="2"/>
      <c r="W501" t="s">
        <v>2047</v>
      </c>
    </row>
    <row r="502" spans="1:23" ht="13.15" customHeight="1" x14ac:dyDescent="0.2">
      <c r="A502" s="2" t="s">
        <v>2178</v>
      </c>
      <c r="B502" s="2">
        <f t="shared" si="14"/>
        <v>2022</v>
      </c>
      <c r="C502" s="2" t="str">
        <f t="shared" si="15"/>
        <v>KZN226</v>
      </c>
      <c r="D502" s="591"/>
      <c r="E502" s="2"/>
      <c r="F502" s="623"/>
      <c r="G502" s="589"/>
      <c r="H502" s="589"/>
      <c r="I502" s="589"/>
      <c r="J502" s="589"/>
      <c r="K502" s="589"/>
      <c r="L502" s="589"/>
      <c r="M502" s="589"/>
      <c r="N502" s="2"/>
      <c r="W502" t="s">
        <v>2047</v>
      </c>
    </row>
    <row r="503" spans="1:23" ht="13.15" customHeight="1" x14ac:dyDescent="0.2">
      <c r="A503" s="2" t="s">
        <v>2178</v>
      </c>
      <c r="B503" s="2">
        <f t="shared" si="14"/>
        <v>2022</v>
      </c>
      <c r="C503" s="2" t="str">
        <f t="shared" si="15"/>
        <v>KZN226</v>
      </c>
      <c r="D503" s="591"/>
      <c r="E503" s="2"/>
      <c r="F503" s="623"/>
      <c r="G503" s="589"/>
      <c r="H503" s="589"/>
      <c r="I503" s="589"/>
      <c r="J503" s="589"/>
      <c r="K503" s="589"/>
      <c r="L503" s="589"/>
      <c r="M503" s="589"/>
      <c r="N503" s="2"/>
      <c r="W503" t="s">
        <v>2047</v>
      </c>
    </row>
    <row r="504" spans="1:23" ht="13.15" customHeight="1" x14ac:dyDescent="0.2">
      <c r="A504" s="2" t="s">
        <v>2178</v>
      </c>
      <c r="B504" s="2">
        <f t="shared" si="14"/>
        <v>2022</v>
      </c>
      <c r="C504" s="2" t="str">
        <f t="shared" si="15"/>
        <v>KZN226</v>
      </c>
      <c r="D504" s="591"/>
      <c r="E504" s="2"/>
      <c r="F504" s="623"/>
      <c r="G504" s="589"/>
      <c r="H504" s="589"/>
      <c r="I504" s="589"/>
      <c r="J504" s="589"/>
      <c r="K504" s="589"/>
      <c r="L504" s="589"/>
      <c r="M504" s="589"/>
      <c r="N504" s="2"/>
      <c r="W504" t="s">
        <v>2047</v>
      </c>
    </row>
    <row r="505" spans="1:23" ht="13.15" customHeight="1" x14ac:dyDescent="0.2">
      <c r="A505" s="2" t="s">
        <v>2178</v>
      </c>
      <c r="B505" s="2">
        <f t="shared" si="14"/>
        <v>2022</v>
      </c>
      <c r="C505" s="2" t="str">
        <f t="shared" si="15"/>
        <v>KZN226</v>
      </c>
      <c r="D505" s="591"/>
      <c r="E505" s="2"/>
      <c r="F505" s="623"/>
      <c r="G505" s="589"/>
      <c r="H505" s="589"/>
      <c r="I505" s="589"/>
      <c r="J505" s="589"/>
      <c r="K505" s="589"/>
      <c r="L505" s="589"/>
      <c r="M505" s="589"/>
      <c r="N505" s="2"/>
      <c r="W505" t="s">
        <v>2047</v>
      </c>
    </row>
    <row r="506" spans="1:23" ht="13.15" customHeight="1" x14ac:dyDescent="0.2">
      <c r="A506" s="2" t="s">
        <v>2178</v>
      </c>
      <c r="B506" s="2">
        <f t="shared" si="14"/>
        <v>2022</v>
      </c>
      <c r="C506" s="2" t="str">
        <f t="shared" si="15"/>
        <v>KZN226</v>
      </c>
      <c r="D506" s="591"/>
      <c r="E506" s="2"/>
      <c r="F506" s="623"/>
      <c r="G506" s="589"/>
      <c r="H506" s="589"/>
      <c r="I506" s="589"/>
      <c r="J506" s="589"/>
      <c r="K506" s="589"/>
      <c r="L506" s="589"/>
      <c r="M506" s="589"/>
      <c r="N506" s="2"/>
      <c r="W506" t="s">
        <v>2047</v>
      </c>
    </row>
    <row r="507" spans="1:23" ht="13.15" customHeight="1" x14ac:dyDescent="0.2">
      <c r="A507" s="2" t="s">
        <v>2178</v>
      </c>
      <c r="B507" s="2">
        <f t="shared" si="14"/>
        <v>2022</v>
      </c>
      <c r="C507" s="2" t="str">
        <f t="shared" si="15"/>
        <v>KZN226</v>
      </c>
      <c r="D507" s="591"/>
      <c r="E507" s="2"/>
      <c r="F507" s="623"/>
      <c r="G507" s="589"/>
      <c r="H507" s="589"/>
      <c r="I507" s="589"/>
      <c r="J507" s="589"/>
      <c r="K507" s="589"/>
      <c r="L507" s="589"/>
      <c r="M507" s="589"/>
      <c r="N507" s="2"/>
      <c r="W507" t="s">
        <v>2047</v>
      </c>
    </row>
    <row r="508" spans="1:23" ht="13.15" customHeight="1" x14ac:dyDescent="0.2">
      <c r="A508" s="2" t="s">
        <v>2178</v>
      </c>
      <c r="B508" s="2">
        <f t="shared" si="14"/>
        <v>2022</v>
      </c>
      <c r="C508" s="2" t="str">
        <f t="shared" si="15"/>
        <v>KZN226</v>
      </c>
      <c r="D508" s="591"/>
      <c r="E508" s="2"/>
      <c r="F508" s="623"/>
      <c r="G508" s="589"/>
      <c r="H508" s="589"/>
      <c r="I508" s="589"/>
      <c r="J508" s="589"/>
      <c r="K508" s="589"/>
      <c r="L508" s="589"/>
      <c r="M508" s="589"/>
      <c r="N508" s="2"/>
      <c r="W508" t="s">
        <v>2047</v>
      </c>
    </row>
    <row r="509" spans="1:23" ht="13.15" customHeight="1" x14ac:dyDescent="0.2">
      <c r="A509" s="2" t="s">
        <v>2178</v>
      </c>
      <c r="B509" s="2">
        <f t="shared" si="14"/>
        <v>2022</v>
      </c>
      <c r="C509" s="2" t="str">
        <f t="shared" si="15"/>
        <v>KZN226</v>
      </c>
      <c r="D509" s="591"/>
      <c r="E509" s="2"/>
      <c r="F509" s="623"/>
      <c r="G509" s="589"/>
      <c r="H509" s="589"/>
      <c r="I509" s="589"/>
      <c r="J509" s="589"/>
      <c r="K509" s="589"/>
      <c r="L509" s="589"/>
      <c r="M509" s="589"/>
      <c r="N509" s="2"/>
      <c r="W509" t="s">
        <v>2047</v>
      </c>
    </row>
    <row r="510" spans="1:23" ht="13.15" customHeight="1" x14ac:dyDescent="0.2">
      <c r="A510" s="2" t="s">
        <v>2178</v>
      </c>
      <c r="B510" s="2">
        <f t="shared" si="14"/>
        <v>2022</v>
      </c>
      <c r="C510" s="2" t="str">
        <f t="shared" si="15"/>
        <v>KZN226</v>
      </c>
      <c r="D510" s="591"/>
      <c r="E510" s="2"/>
      <c r="F510" s="623"/>
      <c r="G510" s="589"/>
      <c r="H510" s="589"/>
      <c r="I510" s="589"/>
      <c r="J510" s="589"/>
      <c r="K510" s="589"/>
      <c r="L510" s="589"/>
      <c r="M510" s="589"/>
      <c r="N510" s="2"/>
      <c r="W510" t="s">
        <v>2047</v>
      </c>
    </row>
    <row r="511" spans="1:23" ht="13.15" customHeight="1" x14ac:dyDescent="0.2">
      <c r="A511" s="2" t="s">
        <v>2178</v>
      </c>
      <c r="B511" s="2">
        <f t="shared" si="14"/>
        <v>2022</v>
      </c>
      <c r="C511" s="2" t="str">
        <f t="shared" si="15"/>
        <v>KZN226</v>
      </c>
      <c r="D511" s="591"/>
      <c r="E511" s="2"/>
      <c r="F511" s="622"/>
      <c r="G511" s="589"/>
      <c r="H511" s="589"/>
      <c r="I511" s="589"/>
      <c r="J511" s="589"/>
      <c r="K511" s="589"/>
      <c r="L511" s="589"/>
      <c r="M511" s="589"/>
      <c r="N511" s="2"/>
      <c r="W511" t="s">
        <v>2047</v>
      </c>
    </row>
    <row r="512" spans="1:23" ht="13.15" customHeight="1" x14ac:dyDescent="0.2">
      <c r="A512" s="2" t="s">
        <v>2178</v>
      </c>
      <c r="B512" s="2">
        <f t="shared" si="14"/>
        <v>2022</v>
      </c>
      <c r="C512" s="2" t="str">
        <f t="shared" si="15"/>
        <v>KZN226</v>
      </c>
      <c r="D512" s="591"/>
      <c r="E512" s="2"/>
      <c r="F512" s="622"/>
      <c r="G512" s="589"/>
      <c r="H512" s="589"/>
      <c r="I512" s="589"/>
      <c r="J512" s="589"/>
      <c r="K512" s="589"/>
      <c r="L512" s="589"/>
      <c r="M512" s="589"/>
      <c r="N512" s="2"/>
      <c r="W512" t="s">
        <v>2047</v>
      </c>
    </row>
    <row r="513" spans="1:23" ht="13.15" customHeight="1" x14ac:dyDescent="0.2">
      <c r="A513" s="2" t="s">
        <v>2178</v>
      </c>
      <c r="B513" s="2">
        <f t="shared" si="14"/>
        <v>2022</v>
      </c>
      <c r="C513" s="2" t="str">
        <f t="shared" si="15"/>
        <v>KZN226</v>
      </c>
      <c r="D513" s="591"/>
      <c r="E513" s="2"/>
      <c r="F513" s="622"/>
      <c r="G513" s="589"/>
      <c r="H513" s="589"/>
      <c r="I513" s="589"/>
      <c r="J513" s="589"/>
      <c r="K513" s="589"/>
      <c r="L513" s="589"/>
      <c r="M513" s="589"/>
      <c r="N513" s="2"/>
      <c r="W513" t="s">
        <v>2047</v>
      </c>
    </row>
    <row r="514" spans="1:23" ht="13.15" customHeight="1" x14ac:dyDescent="0.2">
      <c r="A514" s="2" t="s">
        <v>2178</v>
      </c>
      <c r="B514" s="2">
        <f t="shared" ref="B514:B577" si="16">+MTREF</f>
        <v>2022</v>
      </c>
      <c r="C514" s="2" t="str">
        <f t="shared" ref="C514:C577" si="17">LEFT(muni,(FIND(" ",muni,1)-1))</f>
        <v>KZN226</v>
      </c>
      <c r="D514" s="591"/>
      <c r="E514" s="2"/>
      <c r="F514" s="2"/>
      <c r="G514" s="589"/>
      <c r="H514" s="589"/>
      <c r="I514" s="589"/>
      <c r="J514" s="589"/>
      <c r="K514" s="589"/>
      <c r="L514" s="589"/>
      <c r="M514" s="589"/>
      <c r="N514" s="2"/>
      <c r="W514" t="s">
        <v>2047</v>
      </c>
    </row>
    <row r="515" spans="1:23" ht="13.15" customHeight="1" x14ac:dyDescent="0.2">
      <c r="A515" s="2" t="s">
        <v>2178</v>
      </c>
      <c r="B515" s="2">
        <f t="shared" si="16"/>
        <v>2022</v>
      </c>
      <c r="C515" s="2" t="str">
        <f t="shared" si="17"/>
        <v>KZN226</v>
      </c>
      <c r="D515" s="591"/>
      <c r="E515" s="2"/>
      <c r="F515" s="2"/>
      <c r="G515" s="589"/>
      <c r="H515" s="589"/>
      <c r="I515" s="589"/>
      <c r="J515" s="589"/>
      <c r="K515" s="589"/>
      <c r="L515" s="589"/>
      <c r="M515" s="589"/>
      <c r="N515" s="2"/>
      <c r="W515" t="s">
        <v>2047</v>
      </c>
    </row>
    <row r="516" spans="1:23" ht="13.15" customHeight="1" x14ac:dyDescent="0.2">
      <c r="A516" s="2" t="s">
        <v>2178</v>
      </c>
      <c r="B516" s="2">
        <f t="shared" si="16"/>
        <v>2022</v>
      </c>
      <c r="C516" s="2" t="str">
        <f t="shared" si="17"/>
        <v>KZN226</v>
      </c>
      <c r="D516" s="591"/>
      <c r="E516" s="2"/>
      <c r="F516" s="2"/>
      <c r="G516" s="589"/>
      <c r="H516" s="589"/>
      <c r="I516" s="589"/>
      <c r="J516" s="589"/>
      <c r="K516" s="589"/>
      <c r="L516" s="589"/>
      <c r="M516" s="589"/>
      <c r="N516" s="2"/>
      <c r="W516" t="s">
        <v>2047</v>
      </c>
    </row>
    <row r="517" spans="1:23" ht="13.15" customHeight="1" x14ac:dyDescent="0.2">
      <c r="A517" s="2" t="s">
        <v>2178</v>
      </c>
      <c r="B517" s="2">
        <f t="shared" si="16"/>
        <v>2022</v>
      </c>
      <c r="C517" s="2" t="str">
        <f t="shared" si="17"/>
        <v>KZN226</v>
      </c>
      <c r="D517" s="591"/>
      <c r="E517" s="2"/>
      <c r="F517" s="2"/>
      <c r="G517" s="589"/>
      <c r="H517" s="589"/>
      <c r="I517" s="589"/>
      <c r="J517" s="589"/>
      <c r="K517" s="589"/>
      <c r="L517" s="589"/>
      <c r="M517" s="589"/>
      <c r="N517" s="2"/>
      <c r="W517" t="s">
        <v>2047</v>
      </c>
    </row>
    <row r="518" spans="1:23" ht="13.15" customHeight="1" x14ac:dyDescent="0.2">
      <c r="A518" s="2" t="s">
        <v>2178</v>
      </c>
      <c r="B518" s="2">
        <f t="shared" si="16"/>
        <v>2022</v>
      </c>
      <c r="C518" s="2" t="str">
        <f t="shared" si="17"/>
        <v>KZN226</v>
      </c>
      <c r="D518" s="591"/>
      <c r="E518" s="2"/>
      <c r="F518" s="2"/>
      <c r="G518" s="589"/>
      <c r="H518" s="589"/>
      <c r="I518" s="589"/>
      <c r="J518" s="589"/>
      <c r="K518" s="589"/>
      <c r="L518" s="589"/>
      <c r="M518" s="589"/>
      <c r="N518" s="2"/>
      <c r="W518" t="s">
        <v>2047</v>
      </c>
    </row>
    <row r="519" spans="1:23" ht="13.15" customHeight="1" x14ac:dyDescent="0.2">
      <c r="A519" s="2" t="s">
        <v>2178</v>
      </c>
      <c r="B519" s="2">
        <f t="shared" si="16"/>
        <v>2022</v>
      </c>
      <c r="C519" s="2" t="str">
        <f t="shared" si="17"/>
        <v>KZN226</v>
      </c>
      <c r="D519" s="591"/>
      <c r="E519" s="2"/>
      <c r="F519" s="2"/>
      <c r="G519" s="589"/>
      <c r="H519" s="589"/>
      <c r="I519" s="589"/>
      <c r="J519" s="589"/>
      <c r="K519" s="589"/>
      <c r="L519" s="589"/>
      <c r="M519" s="589"/>
      <c r="N519" s="2"/>
      <c r="W519" t="s">
        <v>2047</v>
      </c>
    </row>
    <row r="520" spans="1:23" ht="13.15" customHeight="1" x14ac:dyDescent="0.2">
      <c r="A520" s="2" t="s">
        <v>2178</v>
      </c>
      <c r="B520" s="2">
        <f t="shared" si="16"/>
        <v>2022</v>
      </c>
      <c r="C520" s="2" t="str">
        <f t="shared" si="17"/>
        <v>KZN226</v>
      </c>
      <c r="D520" s="591"/>
      <c r="E520" s="2"/>
      <c r="F520" s="2"/>
      <c r="G520" s="589"/>
      <c r="H520" s="589"/>
      <c r="I520" s="589"/>
      <c r="J520" s="589"/>
      <c r="K520" s="589"/>
      <c r="L520" s="589"/>
      <c r="M520" s="589"/>
      <c r="N520" s="2"/>
      <c r="W520" t="s">
        <v>2047</v>
      </c>
    </row>
    <row r="521" spans="1:23" ht="13.15" customHeight="1" x14ac:dyDescent="0.2">
      <c r="A521" s="2" t="s">
        <v>2178</v>
      </c>
      <c r="B521" s="2">
        <f t="shared" si="16"/>
        <v>2022</v>
      </c>
      <c r="C521" s="2" t="str">
        <f t="shared" si="17"/>
        <v>KZN226</v>
      </c>
      <c r="D521" s="591"/>
      <c r="E521" s="2"/>
      <c r="F521" s="2"/>
      <c r="G521" s="589"/>
      <c r="H521" s="589"/>
      <c r="I521" s="589"/>
      <c r="J521" s="589"/>
      <c r="K521" s="589"/>
      <c r="L521" s="589"/>
      <c r="M521" s="589"/>
      <c r="N521" s="2"/>
      <c r="W521" t="s">
        <v>2047</v>
      </c>
    </row>
    <row r="522" spans="1:23" ht="13.15" customHeight="1" x14ac:dyDescent="0.2">
      <c r="A522" s="2" t="s">
        <v>2178</v>
      </c>
      <c r="B522" s="2">
        <f t="shared" si="16"/>
        <v>2022</v>
      </c>
      <c r="C522" s="2" t="str">
        <f t="shared" si="17"/>
        <v>KZN226</v>
      </c>
      <c r="D522" s="591"/>
      <c r="E522" s="2"/>
      <c r="F522" s="2"/>
      <c r="G522" s="589"/>
      <c r="H522" s="589"/>
      <c r="I522" s="589"/>
      <c r="J522" s="589"/>
      <c r="K522" s="589"/>
      <c r="L522" s="589"/>
      <c r="M522" s="589"/>
      <c r="N522" s="2"/>
      <c r="W522" t="s">
        <v>2047</v>
      </c>
    </row>
    <row r="523" spans="1:23" ht="13.15" customHeight="1" x14ac:dyDescent="0.2">
      <c r="A523" s="2" t="s">
        <v>2178</v>
      </c>
      <c r="B523" s="2">
        <f t="shared" si="16"/>
        <v>2022</v>
      </c>
      <c r="C523" s="2" t="str">
        <f t="shared" si="17"/>
        <v>KZN226</v>
      </c>
      <c r="D523" s="591"/>
      <c r="E523" s="2"/>
      <c r="F523" s="2"/>
      <c r="G523" s="589"/>
      <c r="H523" s="589"/>
      <c r="I523" s="589"/>
      <c r="J523" s="589"/>
      <c r="K523" s="589"/>
      <c r="L523" s="589"/>
      <c r="M523" s="589"/>
      <c r="N523" s="2"/>
      <c r="W523" t="s">
        <v>2047</v>
      </c>
    </row>
    <row r="524" spans="1:23" ht="13.15" customHeight="1" x14ac:dyDescent="0.2">
      <c r="A524" s="2" t="s">
        <v>2178</v>
      </c>
      <c r="B524" s="2">
        <f t="shared" si="16"/>
        <v>2022</v>
      </c>
      <c r="C524" s="2" t="str">
        <f t="shared" si="17"/>
        <v>KZN226</v>
      </c>
      <c r="D524" s="591"/>
      <c r="E524" s="2"/>
      <c r="F524" s="2"/>
      <c r="G524" s="589"/>
      <c r="H524" s="589"/>
      <c r="I524" s="589"/>
      <c r="J524" s="589"/>
      <c r="K524" s="589"/>
      <c r="L524" s="589"/>
      <c r="M524" s="589"/>
      <c r="N524" s="2"/>
      <c r="W524" t="s">
        <v>2047</v>
      </c>
    </row>
    <row r="525" spans="1:23" ht="13.15" customHeight="1" x14ac:dyDescent="0.2">
      <c r="A525" s="2" t="s">
        <v>2178</v>
      </c>
      <c r="B525" s="2">
        <f t="shared" si="16"/>
        <v>2022</v>
      </c>
      <c r="C525" s="2" t="str">
        <f t="shared" si="17"/>
        <v>KZN226</v>
      </c>
      <c r="D525" s="591"/>
      <c r="E525" s="2"/>
      <c r="F525" s="2"/>
      <c r="G525" s="589"/>
      <c r="H525" s="589"/>
      <c r="I525" s="589"/>
      <c r="J525" s="589"/>
      <c r="K525" s="589"/>
      <c r="L525" s="589"/>
      <c r="M525" s="589"/>
      <c r="N525" s="2"/>
      <c r="W525" t="s">
        <v>2047</v>
      </c>
    </row>
    <row r="526" spans="1:23" ht="13.15" customHeight="1" x14ac:dyDescent="0.2">
      <c r="A526" s="2" t="s">
        <v>2178</v>
      </c>
      <c r="B526" s="2">
        <f t="shared" si="16"/>
        <v>2022</v>
      </c>
      <c r="C526" s="2" t="str">
        <f t="shared" si="17"/>
        <v>KZN226</v>
      </c>
      <c r="D526" s="591"/>
      <c r="E526" s="2"/>
      <c r="F526" s="2"/>
      <c r="G526" s="589"/>
      <c r="H526" s="589"/>
      <c r="I526" s="589"/>
      <c r="J526" s="589"/>
      <c r="K526" s="589"/>
      <c r="L526" s="589"/>
      <c r="M526" s="589"/>
      <c r="N526" s="2"/>
      <c r="W526" t="s">
        <v>2047</v>
      </c>
    </row>
    <row r="527" spans="1:23" ht="13.15" customHeight="1" x14ac:dyDescent="0.2">
      <c r="A527" s="2" t="s">
        <v>2178</v>
      </c>
      <c r="B527" s="2">
        <f t="shared" si="16"/>
        <v>2022</v>
      </c>
      <c r="C527" s="2" t="str">
        <f t="shared" si="17"/>
        <v>KZN226</v>
      </c>
      <c r="D527" s="591"/>
      <c r="E527" s="2"/>
      <c r="F527" s="2"/>
      <c r="G527" s="589"/>
      <c r="H527" s="589"/>
      <c r="I527" s="589"/>
      <c r="J527" s="589"/>
      <c r="K527" s="589"/>
      <c r="L527" s="589"/>
      <c r="M527" s="589"/>
      <c r="N527" s="2"/>
      <c r="W527" t="s">
        <v>2047</v>
      </c>
    </row>
    <row r="528" spans="1:23" ht="13.15" customHeight="1" x14ac:dyDescent="0.2">
      <c r="A528" s="2" t="s">
        <v>2178</v>
      </c>
      <c r="B528" s="2">
        <f t="shared" si="16"/>
        <v>2022</v>
      </c>
      <c r="C528" s="2" t="str">
        <f t="shared" si="17"/>
        <v>KZN226</v>
      </c>
      <c r="D528" s="591"/>
      <c r="E528" s="2"/>
      <c r="F528" s="2"/>
      <c r="G528" s="589"/>
      <c r="H528" s="589"/>
      <c r="I528" s="589"/>
      <c r="J528" s="589"/>
      <c r="K528" s="589"/>
      <c r="L528" s="589"/>
      <c r="M528" s="589"/>
      <c r="N528" s="2"/>
      <c r="W528" t="s">
        <v>2047</v>
      </c>
    </row>
    <row r="529" spans="1:23" ht="13.15" customHeight="1" x14ac:dyDescent="0.2">
      <c r="A529" s="2" t="s">
        <v>2178</v>
      </c>
      <c r="B529" s="2">
        <f t="shared" si="16"/>
        <v>2022</v>
      </c>
      <c r="C529" s="2" t="str">
        <f t="shared" si="17"/>
        <v>KZN226</v>
      </c>
      <c r="D529" s="591"/>
      <c r="E529" s="2"/>
      <c r="F529" s="2"/>
      <c r="G529" s="589"/>
      <c r="H529" s="589"/>
      <c r="I529" s="589"/>
      <c r="J529" s="589"/>
      <c r="K529" s="589"/>
      <c r="L529" s="589"/>
      <c r="M529" s="589"/>
      <c r="N529" s="2"/>
      <c r="W529" t="s">
        <v>2047</v>
      </c>
    </row>
    <row r="530" spans="1:23" ht="13.15" customHeight="1" x14ac:dyDescent="0.2">
      <c r="A530" s="2" t="s">
        <v>2178</v>
      </c>
      <c r="B530" s="2">
        <f t="shared" si="16"/>
        <v>2022</v>
      </c>
      <c r="C530" s="2" t="str">
        <f t="shared" si="17"/>
        <v>KZN226</v>
      </c>
      <c r="D530" s="591"/>
      <c r="E530" s="2"/>
      <c r="F530" s="2"/>
      <c r="G530" s="589"/>
      <c r="H530" s="589"/>
      <c r="I530" s="589"/>
      <c r="J530" s="589"/>
      <c r="K530" s="589"/>
      <c r="L530" s="589"/>
      <c r="M530" s="589"/>
      <c r="N530" s="2"/>
      <c r="W530" t="s">
        <v>2047</v>
      </c>
    </row>
    <row r="531" spans="1:23" ht="13.15" customHeight="1" x14ac:dyDescent="0.2">
      <c r="A531" s="2" t="s">
        <v>2178</v>
      </c>
      <c r="B531" s="2">
        <f t="shared" si="16"/>
        <v>2022</v>
      </c>
      <c r="C531" s="2" t="str">
        <f t="shared" si="17"/>
        <v>KZN226</v>
      </c>
      <c r="D531" s="591"/>
      <c r="E531" s="2"/>
      <c r="F531" s="2"/>
      <c r="G531" s="589"/>
      <c r="H531" s="589"/>
      <c r="I531" s="589"/>
      <c r="J531" s="589"/>
      <c r="K531" s="589"/>
      <c r="L531" s="589"/>
      <c r="M531" s="589"/>
      <c r="N531" s="2"/>
      <c r="W531" t="s">
        <v>2047</v>
      </c>
    </row>
    <row r="532" spans="1:23" ht="13.15" customHeight="1" x14ac:dyDescent="0.2">
      <c r="A532" s="2" t="s">
        <v>2178</v>
      </c>
      <c r="B532" s="2">
        <f t="shared" si="16"/>
        <v>2022</v>
      </c>
      <c r="C532" s="2" t="str">
        <f t="shared" si="17"/>
        <v>KZN226</v>
      </c>
      <c r="D532" s="591"/>
      <c r="E532" s="2"/>
      <c r="F532" s="2"/>
      <c r="G532" s="589"/>
      <c r="H532" s="589"/>
      <c r="I532" s="589"/>
      <c r="J532" s="589"/>
      <c r="K532" s="589"/>
      <c r="L532" s="589"/>
      <c r="M532" s="589"/>
      <c r="N532" s="2"/>
      <c r="W532" t="s">
        <v>2047</v>
      </c>
    </row>
    <row r="533" spans="1:23" ht="13.15" customHeight="1" x14ac:dyDescent="0.2">
      <c r="A533" s="2" t="s">
        <v>2178</v>
      </c>
      <c r="B533" s="2">
        <f t="shared" si="16"/>
        <v>2022</v>
      </c>
      <c r="C533" s="2" t="str">
        <f t="shared" si="17"/>
        <v>KZN226</v>
      </c>
      <c r="D533" s="591"/>
      <c r="E533" s="2"/>
      <c r="F533" s="2"/>
      <c r="G533" s="589"/>
      <c r="H533" s="589"/>
      <c r="I533" s="589"/>
      <c r="J533" s="589"/>
      <c r="K533" s="589"/>
      <c r="L533" s="589"/>
      <c r="M533" s="589"/>
      <c r="N533" s="2"/>
      <c r="W533" t="s">
        <v>2047</v>
      </c>
    </row>
    <row r="534" spans="1:23" ht="13.15" customHeight="1" x14ac:dyDescent="0.2">
      <c r="A534" s="2" t="s">
        <v>2178</v>
      </c>
      <c r="B534" s="2">
        <f t="shared" si="16"/>
        <v>2022</v>
      </c>
      <c r="C534" s="2" t="str">
        <f t="shared" si="17"/>
        <v>KZN226</v>
      </c>
      <c r="D534" s="591"/>
      <c r="E534" s="2"/>
      <c r="F534" s="2"/>
      <c r="G534" s="589"/>
      <c r="H534" s="589"/>
      <c r="I534" s="589"/>
      <c r="J534" s="589"/>
      <c r="K534" s="589"/>
      <c r="L534" s="589"/>
      <c r="M534" s="589"/>
      <c r="N534" s="2"/>
      <c r="W534" t="s">
        <v>2047</v>
      </c>
    </row>
    <row r="535" spans="1:23" ht="13.15" customHeight="1" x14ac:dyDescent="0.2">
      <c r="A535" s="2" t="s">
        <v>2178</v>
      </c>
      <c r="B535" s="2">
        <f t="shared" si="16"/>
        <v>2022</v>
      </c>
      <c r="C535" s="2" t="str">
        <f t="shared" si="17"/>
        <v>KZN226</v>
      </c>
      <c r="D535" s="591"/>
      <c r="E535" s="2"/>
      <c r="F535" s="2"/>
      <c r="G535" s="589"/>
      <c r="H535" s="589"/>
      <c r="I535" s="589"/>
      <c r="J535" s="589"/>
      <c r="K535" s="589"/>
      <c r="L535" s="589"/>
      <c r="M535" s="589"/>
      <c r="N535" s="2"/>
      <c r="W535" t="s">
        <v>2047</v>
      </c>
    </row>
    <row r="536" spans="1:23" ht="13.15" customHeight="1" x14ac:dyDescent="0.2">
      <c r="A536" s="2" t="s">
        <v>2178</v>
      </c>
      <c r="B536" s="2">
        <f t="shared" si="16"/>
        <v>2022</v>
      </c>
      <c r="C536" s="2" t="str">
        <f t="shared" si="17"/>
        <v>KZN226</v>
      </c>
      <c r="D536" s="591"/>
      <c r="E536" s="2"/>
      <c r="F536" s="2"/>
      <c r="G536" s="589"/>
      <c r="H536" s="589"/>
      <c r="I536" s="589"/>
      <c r="J536" s="589"/>
      <c r="K536" s="589"/>
      <c r="L536" s="589"/>
      <c r="M536" s="589"/>
      <c r="N536" s="2"/>
      <c r="W536" t="s">
        <v>2047</v>
      </c>
    </row>
    <row r="537" spans="1:23" ht="13.15" customHeight="1" x14ac:dyDescent="0.2">
      <c r="A537" s="2" t="s">
        <v>2178</v>
      </c>
      <c r="B537" s="2">
        <f t="shared" si="16"/>
        <v>2022</v>
      </c>
      <c r="C537" s="2" t="str">
        <f t="shared" si="17"/>
        <v>KZN226</v>
      </c>
      <c r="D537" s="591"/>
      <c r="E537" s="2"/>
      <c r="F537" s="2"/>
      <c r="G537" s="589"/>
      <c r="H537" s="589"/>
      <c r="I537" s="589"/>
      <c r="J537" s="589"/>
      <c r="K537" s="589"/>
      <c r="L537" s="589"/>
      <c r="M537" s="589"/>
      <c r="N537" s="2"/>
      <c r="W537" t="s">
        <v>2047</v>
      </c>
    </row>
    <row r="538" spans="1:23" ht="13.15" customHeight="1" x14ac:dyDescent="0.2">
      <c r="A538" s="2" t="s">
        <v>2178</v>
      </c>
      <c r="B538" s="2">
        <f t="shared" si="16"/>
        <v>2022</v>
      </c>
      <c r="C538" s="2" t="str">
        <f t="shared" si="17"/>
        <v>KZN226</v>
      </c>
      <c r="D538" s="591"/>
      <c r="E538" s="2"/>
      <c r="F538" s="2"/>
      <c r="G538" s="589"/>
      <c r="H538" s="589"/>
      <c r="I538" s="589"/>
      <c r="J538" s="589"/>
      <c r="K538" s="589"/>
      <c r="L538" s="589"/>
      <c r="M538" s="589"/>
      <c r="N538" s="2"/>
      <c r="W538" t="s">
        <v>2047</v>
      </c>
    </row>
    <row r="539" spans="1:23" ht="13.15" customHeight="1" x14ac:dyDescent="0.2">
      <c r="A539" s="2" t="s">
        <v>2178</v>
      </c>
      <c r="B539" s="2">
        <f t="shared" si="16"/>
        <v>2022</v>
      </c>
      <c r="C539" s="2" t="str">
        <f t="shared" si="17"/>
        <v>KZN226</v>
      </c>
      <c r="D539" s="591"/>
      <c r="E539" s="2"/>
      <c r="F539" s="2"/>
      <c r="G539" s="589"/>
      <c r="H539" s="589"/>
      <c r="I539" s="589"/>
      <c r="J539" s="589"/>
      <c r="K539" s="589"/>
      <c r="L539" s="589"/>
      <c r="M539" s="589"/>
      <c r="N539" s="2"/>
      <c r="W539" t="s">
        <v>2047</v>
      </c>
    </row>
    <row r="540" spans="1:23" ht="13.15" customHeight="1" x14ac:dyDescent="0.2">
      <c r="A540" s="2" t="s">
        <v>2178</v>
      </c>
      <c r="B540" s="2">
        <f t="shared" si="16"/>
        <v>2022</v>
      </c>
      <c r="C540" s="2" t="str">
        <f t="shared" si="17"/>
        <v>KZN226</v>
      </c>
      <c r="D540" s="591"/>
      <c r="E540" s="2"/>
      <c r="F540" s="2"/>
      <c r="G540" s="589"/>
      <c r="H540" s="589"/>
      <c r="I540" s="589"/>
      <c r="J540" s="589"/>
      <c r="K540" s="589"/>
      <c r="L540" s="589"/>
      <c r="M540" s="589"/>
      <c r="N540" s="2"/>
      <c r="W540" t="s">
        <v>2047</v>
      </c>
    </row>
    <row r="541" spans="1:23" ht="13.15" customHeight="1" x14ac:dyDescent="0.2">
      <c r="A541" s="2" t="s">
        <v>2178</v>
      </c>
      <c r="B541" s="2">
        <f t="shared" si="16"/>
        <v>2022</v>
      </c>
      <c r="C541" s="2" t="str">
        <f t="shared" si="17"/>
        <v>KZN226</v>
      </c>
      <c r="D541" s="591"/>
      <c r="E541" s="2"/>
      <c r="F541" s="2"/>
      <c r="G541" s="589"/>
      <c r="H541" s="589"/>
      <c r="I541" s="589"/>
      <c r="J541" s="589"/>
      <c r="K541" s="589"/>
      <c r="L541" s="589"/>
      <c r="M541" s="589"/>
      <c r="N541" s="2"/>
      <c r="W541" t="s">
        <v>2047</v>
      </c>
    </row>
    <row r="542" spans="1:23" ht="13.15" customHeight="1" x14ac:dyDescent="0.2">
      <c r="A542" s="2" t="s">
        <v>2178</v>
      </c>
      <c r="B542" s="2">
        <f t="shared" si="16"/>
        <v>2022</v>
      </c>
      <c r="C542" s="2" t="str">
        <f t="shared" si="17"/>
        <v>KZN226</v>
      </c>
      <c r="D542" s="591"/>
      <c r="E542" s="2"/>
      <c r="F542" s="2"/>
      <c r="G542" s="589"/>
      <c r="H542" s="589"/>
      <c r="I542" s="589"/>
      <c r="J542" s="589"/>
      <c r="K542" s="589"/>
      <c r="L542" s="589"/>
      <c r="M542" s="589"/>
      <c r="N542" s="2"/>
      <c r="W542" t="s">
        <v>2047</v>
      </c>
    </row>
    <row r="543" spans="1:23" ht="13.15" customHeight="1" x14ac:dyDescent="0.2">
      <c r="A543" s="2" t="s">
        <v>2178</v>
      </c>
      <c r="B543" s="2">
        <f t="shared" si="16"/>
        <v>2022</v>
      </c>
      <c r="C543" s="2" t="str">
        <f t="shared" si="17"/>
        <v>KZN226</v>
      </c>
      <c r="D543" s="591"/>
      <c r="E543" s="2"/>
      <c r="F543" s="2"/>
      <c r="G543" s="589"/>
      <c r="H543" s="589"/>
      <c r="I543" s="589"/>
      <c r="J543" s="589"/>
      <c r="K543" s="589"/>
      <c r="L543" s="589"/>
      <c r="M543" s="589"/>
      <c r="N543" s="2"/>
      <c r="W543" t="s">
        <v>2047</v>
      </c>
    </row>
    <row r="544" spans="1:23" ht="13.15" customHeight="1" x14ac:dyDescent="0.2">
      <c r="A544" s="2" t="s">
        <v>2178</v>
      </c>
      <c r="B544" s="2">
        <f t="shared" si="16"/>
        <v>2022</v>
      </c>
      <c r="C544" s="2" t="str">
        <f t="shared" si="17"/>
        <v>KZN226</v>
      </c>
      <c r="D544" s="591"/>
      <c r="E544" s="2"/>
      <c r="F544" s="2"/>
      <c r="G544" s="589"/>
      <c r="H544" s="589"/>
      <c r="I544" s="589"/>
      <c r="J544" s="589"/>
      <c r="K544" s="589"/>
      <c r="L544" s="589"/>
      <c r="M544" s="589"/>
      <c r="N544" s="2"/>
      <c r="W544" t="s">
        <v>2047</v>
      </c>
    </row>
    <row r="545" spans="1:23" ht="13.15" customHeight="1" x14ac:dyDescent="0.2">
      <c r="A545" s="2" t="s">
        <v>2178</v>
      </c>
      <c r="B545" s="2">
        <f t="shared" si="16"/>
        <v>2022</v>
      </c>
      <c r="C545" s="2" t="str">
        <f t="shared" si="17"/>
        <v>KZN226</v>
      </c>
      <c r="D545" s="591"/>
      <c r="E545" s="2"/>
      <c r="F545" s="2"/>
      <c r="G545" s="589"/>
      <c r="H545" s="589"/>
      <c r="I545" s="589"/>
      <c r="J545" s="589"/>
      <c r="K545" s="589"/>
      <c r="L545" s="589"/>
      <c r="M545" s="589"/>
      <c r="N545" s="2"/>
      <c r="W545" t="s">
        <v>2047</v>
      </c>
    </row>
    <row r="546" spans="1:23" ht="13.15" customHeight="1" x14ac:dyDescent="0.2">
      <c r="A546" s="2" t="s">
        <v>2178</v>
      </c>
      <c r="B546" s="2">
        <f t="shared" si="16"/>
        <v>2022</v>
      </c>
      <c r="C546" s="2" t="str">
        <f t="shared" si="17"/>
        <v>KZN226</v>
      </c>
      <c r="D546" s="591"/>
      <c r="E546" s="2"/>
      <c r="F546" s="2"/>
      <c r="G546" s="589"/>
      <c r="H546" s="589"/>
      <c r="I546" s="589"/>
      <c r="J546" s="589"/>
      <c r="K546" s="589"/>
      <c r="L546" s="589"/>
      <c r="M546" s="589"/>
      <c r="N546" s="2"/>
      <c r="W546" t="s">
        <v>2047</v>
      </c>
    </row>
    <row r="547" spans="1:23" ht="13.15" customHeight="1" x14ac:dyDescent="0.2">
      <c r="A547" s="2" t="s">
        <v>2178</v>
      </c>
      <c r="B547" s="2">
        <f t="shared" si="16"/>
        <v>2022</v>
      </c>
      <c r="C547" s="2" t="str">
        <f t="shared" si="17"/>
        <v>KZN226</v>
      </c>
      <c r="D547" s="591"/>
      <c r="E547" s="2"/>
      <c r="F547" s="2"/>
      <c r="G547" s="589"/>
      <c r="H547" s="589"/>
      <c r="I547" s="589"/>
      <c r="J547" s="589"/>
      <c r="K547" s="589"/>
      <c r="L547" s="589"/>
      <c r="M547" s="589"/>
      <c r="N547" s="2"/>
      <c r="W547" t="s">
        <v>2047</v>
      </c>
    </row>
    <row r="548" spans="1:23" ht="13.15" customHeight="1" x14ac:dyDescent="0.2">
      <c r="A548" s="2" t="s">
        <v>2178</v>
      </c>
      <c r="B548" s="2">
        <f t="shared" si="16"/>
        <v>2022</v>
      </c>
      <c r="C548" s="2" t="str">
        <f t="shared" si="17"/>
        <v>KZN226</v>
      </c>
      <c r="D548" s="591"/>
      <c r="E548" s="2"/>
      <c r="F548" s="2"/>
      <c r="G548" s="589"/>
      <c r="H548" s="589"/>
      <c r="I548" s="589"/>
      <c r="J548" s="589"/>
      <c r="K548" s="589"/>
      <c r="L548" s="589"/>
      <c r="M548" s="589"/>
      <c r="N548" s="2"/>
      <c r="W548" t="s">
        <v>2047</v>
      </c>
    </row>
    <row r="549" spans="1:23" ht="13.15" customHeight="1" x14ac:dyDescent="0.2">
      <c r="A549" s="2" t="s">
        <v>2178</v>
      </c>
      <c r="B549" s="2">
        <f t="shared" si="16"/>
        <v>2022</v>
      </c>
      <c r="C549" s="2" t="str">
        <f t="shared" si="17"/>
        <v>KZN226</v>
      </c>
      <c r="D549" s="591"/>
      <c r="E549" s="2"/>
      <c r="F549" s="2"/>
      <c r="G549" s="589"/>
      <c r="H549" s="589"/>
      <c r="I549" s="589"/>
      <c r="J549" s="589"/>
      <c r="K549" s="589"/>
      <c r="L549" s="589"/>
      <c r="M549" s="589"/>
      <c r="N549" s="2"/>
      <c r="W549" t="s">
        <v>2047</v>
      </c>
    </row>
    <row r="550" spans="1:23" ht="13.15" customHeight="1" x14ac:dyDescent="0.2">
      <c r="A550" s="2" t="s">
        <v>2178</v>
      </c>
      <c r="B550" s="2">
        <f t="shared" si="16"/>
        <v>2022</v>
      </c>
      <c r="C550" s="2" t="str">
        <f t="shared" si="17"/>
        <v>KZN226</v>
      </c>
      <c r="D550" s="591"/>
      <c r="E550" s="2"/>
      <c r="F550" s="2"/>
      <c r="G550" s="589"/>
      <c r="H550" s="589"/>
      <c r="I550" s="589"/>
      <c r="J550" s="589"/>
      <c r="K550" s="589"/>
      <c r="L550" s="589"/>
      <c r="M550" s="589"/>
      <c r="N550" s="2"/>
      <c r="W550" t="s">
        <v>2047</v>
      </c>
    </row>
    <row r="551" spans="1:23" ht="13.15" customHeight="1" x14ac:dyDescent="0.2">
      <c r="A551" s="2" t="s">
        <v>2178</v>
      </c>
      <c r="B551" s="2">
        <f t="shared" si="16"/>
        <v>2022</v>
      </c>
      <c r="C551" s="2" t="str">
        <f t="shared" si="17"/>
        <v>KZN226</v>
      </c>
      <c r="D551" s="591"/>
      <c r="E551" s="2"/>
      <c r="F551" s="2"/>
      <c r="G551" s="589"/>
      <c r="H551" s="589"/>
      <c r="I551" s="589"/>
      <c r="J551" s="589"/>
      <c r="K551" s="589"/>
      <c r="L551" s="589"/>
      <c r="M551" s="589"/>
      <c r="N551" s="2"/>
      <c r="W551" t="s">
        <v>2047</v>
      </c>
    </row>
    <row r="552" spans="1:23" ht="13.15" customHeight="1" x14ac:dyDescent="0.2">
      <c r="A552" s="2" t="s">
        <v>2178</v>
      </c>
      <c r="B552" s="2">
        <f t="shared" si="16"/>
        <v>2022</v>
      </c>
      <c r="C552" s="2" t="str">
        <f t="shared" si="17"/>
        <v>KZN226</v>
      </c>
      <c r="D552" s="591"/>
      <c r="E552" s="2"/>
      <c r="F552" s="2"/>
      <c r="G552" s="589"/>
      <c r="H552" s="589"/>
      <c r="I552" s="589"/>
      <c r="J552" s="589"/>
      <c r="K552" s="589"/>
      <c r="L552" s="589"/>
      <c r="M552" s="589"/>
      <c r="N552" s="2"/>
      <c r="W552" t="s">
        <v>2047</v>
      </c>
    </row>
    <row r="553" spans="1:23" ht="13.15" customHeight="1" x14ac:dyDescent="0.2">
      <c r="A553" s="2" t="s">
        <v>2178</v>
      </c>
      <c r="B553" s="2">
        <f t="shared" si="16"/>
        <v>2022</v>
      </c>
      <c r="C553" s="2" t="str">
        <f t="shared" si="17"/>
        <v>KZN226</v>
      </c>
      <c r="D553" s="591"/>
      <c r="E553" s="2"/>
      <c r="F553" s="2"/>
      <c r="G553" s="589"/>
      <c r="H553" s="589"/>
      <c r="I553" s="589"/>
      <c r="J553" s="589"/>
      <c r="K553" s="589"/>
      <c r="L553" s="589"/>
      <c r="M553" s="589"/>
      <c r="N553" s="2"/>
      <c r="W553" t="s">
        <v>2047</v>
      </c>
    </row>
    <row r="554" spans="1:23" ht="13.15" customHeight="1" x14ac:dyDescent="0.2">
      <c r="A554" s="2" t="s">
        <v>2178</v>
      </c>
      <c r="B554" s="2">
        <f t="shared" si="16"/>
        <v>2022</v>
      </c>
      <c r="C554" s="2" t="str">
        <f t="shared" si="17"/>
        <v>KZN226</v>
      </c>
      <c r="D554" s="591"/>
      <c r="E554" s="2"/>
      <c r="F554" s="2"/>
      <c r="G554" s="589"/>
      <c r="H554" s="589"/>
      <c r="I554" s="589"/>
      <c r="J554" s="589"/>
      <c r="K554" s="589"/>
      <c r="L554" s="589"/>
      <c r="M554" s="589"/>
      <c r="N554" s="2"/>
      <c r="W554" t="s">
        <v>2047</v>
      </c>
    </row>
    <row r="555" spans="1:23" ht="13.15" customHeight="1" x14ac:dyDescent="0.2">
      <c r="A555" s="2" t="s">
        <v>2178</v>
      </c>
      <c r="B555" s="2">
        <f t="shared" si="16"/>
        <v>2022</v>
      </c>
      <c r="C555" s="2" t="str">
        <f t="shared" si="17"/>
        <v>KZN226</v>
      </c>
      <c r="D555" s="591"/>
      <c r="E555" s="2"/>
      <c r="F555" s="2"/>
      <c r="G555" s="589"/>
      <c r="H555" s="589"/>
      <c r="I555" s="589"/>
      <c r="J555" s="589"/>
      <c r="K555" s="589"/>
      <c r="L555" s="589"/>
      <c r="M555" s="589"/>
      <c r="N555" s="2"/>
      <c r="W555" t="s">
        <v>2047</v>
      </c>
    </row>
    <row r="556" spans="1:23" ht="13.15" customHeight="1" x14ac:dyDescent="0.2">
      <c r="A556" s="2" t="s">
        <v>2178</v>
      </c>
      <c r="B556" s="2">
        <f t="shared" si="16"/>
        <v>2022</v>
      </c>
      <c r="C556" s="2" t="str">
        <f t="shared" si="17"/>
        <v>KZN226</v>
      </c>
      <c r="D556" s="591"/>
      <c r="E556" s="2"/>
      <c r="F556" s="2"/>
      <c r="G556" s="589"/>
      <c r="H556" s="589"/>
      <c r="I556" s="589"/>
      <c r="J556" s="589"/>
      <c r="K556" s="589"/>
      <c r="L556" s="589"/>
      <c r="M556" s="589"/>
      <c r="N556" s="2"/>
      <c r="W556" t="s">
        <v>2047</v>
      </c>
    </row>
    <row r="557" spans="1:23" ht="13.15" customHeight="1" x14ac:dyDescent="0.2">
      <c r="A557" s="2" t="s">
        <v>2179</v>
      </c>
      <c r="B557" s="2">
        <f t="shared" si="16"/>
        <v>2022</v>
      </c>
      <c r="C557" s="2" t="str">
        <f t="shared" si="17"/>
        <v>KZN226</v>
      </c>
      <c r="D557" s="591">
        <v>1000</v>
      </c>
      <c r="E557" s="2">
        <v>1</v>
      </c>
      <c r="F557" s="622" t="s">
        <v>383</v>
      </c>
      <c r="G557" s="589"/>
      <c r="H557" s="589"/>
      <c r="I557" s="589"/>
      <c r="J557" s="589"/>
      <c r="K557" s="589"/>
      <c r="L557" s="589"/>
      <c r="M557" s="589"/>
      <c r="N557" s="589"/>
      <c r="O557" s="589"/>
      <c r="P557" s="2"/>
      <c r="Q557" s="2"/>
      <c r="T557" s="2"/>
      <c r="U557" s="2"/>
      <c r="V557" s="2"/>
      <c r="W557" t="s">
        <v>2047</v>
      </c>
    </row>
    <row r="558" spans="1:23" ht="13.15" customHeight="1" x14ac:dyDescent="0.2">
      <c r="A558" s="2" t="s">
        <v>2179</v>
      </c>
      <c r="B558" s="2">
        <f t="shared" si="16"/>
        <v>2022</v>
      </c>
      <c r="C558" s="2" t="str">
        <f t="shared" si="17"/>
        <v>KZN226</v>
      </c>
      <c r="D558" s="591">
        <v>1001</v>
      </c>
      <c r="E558" s="2">
        <v>2</v>
      </c>
      <c r="F558" s="624" t="s">
        <v>2180</v>
      </c>
      <c r="G558" s="589"/>
      <c r="H558" s="589"/>
      <c r="I558" s="589"/>
      <c r="J558" s="589"/>
      <c r="K558" s="589"/>
      <c r="L558" s="589"/>
      <c r="M558" s="589"/>
      <c r="N558" s="589"/>
      <c r="O558" s="589"/>
      <c r="P558" s="2"/>
      <c r="Q558" s="2"/>
      <c r="T558" s="2"/>
      <c r="U558" s="2"/>
      <c r="V558" s="2"/>
      <c r="W558" t="s">
        <v>2047</v>
      </c>
    </row>
    <row r="559" spans="1:23" ht="13.15" customHeight="1" x14ac:dyDescent="0.2">
      <c r="A559" s="2" t="s">
        <v>2179</v>
      </c>
      <c r="B559" s="2">
        <f t="shared" si="16"/>
        <v>2022</v>
      </c>
      <c r="C559" s="2" t="str">
        <f t="shared" si="17"/>
        <v>KZN226</v>
      </c>
      <c r="D559" s="591">
        <v>1002</v>
      </c>
      <c r="E559" s="2">
        <v>3</v>
      </c>
      <c r="F559" s="622" t="s">
        <v>1236</v>
      </c>
      <c r="G559" s="589"/>
      <c r="H559" s="589"/>
      <c r="I559" s="589"/>
      <c r="J559" s="589"/>
      <c r="K559" s="589"/>
      <c r="L559" s="589"/>
      <c r="M559" s="589"/>
      <c r="N559" s="589"/>
      <c r="O559" s="589"/>
      <c r="P559" s="2"/>
      <c r="Q559" s="2"/>
      <c r="T559" s="2"/>
      <c r="U559" s="2"/>
      <c r="V559" s="2"/>
      <c r="W559" t="s">
        <v>2047</v>
      </c>
    </row>
    <row r="560" spans="1:23" ht="13.15" customHeight="1" x14ac:dyDescent="0.2">
      <c r="A560" s="2" t="s">
        <v>2179</v>
      </c>
      <c r="B560" s="2">
        <f t="shared" si="16"/>
        <v>2022</v>
      </c>
      <c r="C560" s="2" t="str">
        <f t="shared" si="17"/>
        <v>KZN226</v>
      </c>
      <c r="D560" s="591">
        <v>1100</v>
      </c>
      <c r="E560" s="2">
        <v>4</v>
      </c>
      <c r="F560" s="622" t="s">
        <v>1237</v>
      </c>
      <c r="G560" s="589"/>
      <c r="H560" s="589"/>
      <c r="I560" s="589"/>
      <c r="J560" s="589"/>
      <c r="K560" s="589"/>
      <c r="L560" s="589"/>
      <c r="M560" s="589"/>
      <c r="N560" s="589"/>
      <c r="O560" s="589"/>
      <c r="P560" s="2"/>
      <c r="Q560" s="2"/>
      <c r="T560" s="2"/>
      <c r="U560" s="2"/>
      <c r="V560" s="2"/>
      <c r="W560" t="s">
        <v>2047</v>
      </c>
    </row>
    <row r="561" spans="1:23" ht="13.15" customHeight="1" x14ac:dyDescent="0.2">
      <c r="A561" s="2" t="s">
        <v>2179</v>
      </c>
      <c r="B561" s="2">
        <f t="shared" si="16"/>
        <v>2022</v>
      </c>
      <c r="C561" s="2" t="str">
        <f t="shared" si="17"/>
        <v>KZN226</v>
      </c>
      <c r="D561" s="591">
        <v>1101</v>
      </c>
      <c r="E561" s="2">
        <v>5</v>
      </c>
      <c r="F561" s="622" t="s">
        <v>1238</v>
      </c>
      <c r="G561" s="589"/>
      <c r="H561" s="589"/>
      <c r="I561" s="589"/>
      <c r="J561" s="589"/>
      <c r="K561" s="589"/>
      <c r="L561" s="589"/>
      <c r="M561" s="589"/>
      <c r="N561" s="589"/>
      <c r="O561" s="589"/>
      <c r="P561" s="2"/>
      <c r="Q561" s="2"/>
      <c r="T561" s="2"/>
      <c r="U561" s="2"/>
      <c r="V561" s="2"/>
      <c r="W561" t="s">
        <v>2047</v>
      </c>
    </row>
    <row r="562" spans="1:23" ht="13.15" customHeight="1" x14ac:dyDescent="0.2">
      <c r="A562" s="2" t="s">
        <v>2179</v>
      </c>
      <c r="B562" s="2">
        <f t="shared" si="16"/>
        <v>2022</v>
      </c>
      <c r="C562" s="2" t="str">
        <f t="shared" si="17"/>
        <v>KZN226</v>
      </c>
      <c r="D562" s="591">
        <v>1102</v>
      </c>
      <c r="E562" s="2">
        <v>6</v>
      </c>
      <c r="F562" s="622" t="s">
        <v>487</v>
      </c>
      <c r="G562" s="589"/>
      <c r="H562" s="589"/>
      <c r="I562" s="589"/>
      <c r="J562" s="589"/>
      <c r="K562" s="589"/>
      <c r="L562" s="589"/>
      <c r="M562" s="589"/>
      <c r="N562" s="589"/>
      <c r="O562" s="589"/>
      <c r="P562" s="2"/>
      <c r="Q562" s="2"/>
      <c r="T562" s="2"/>
      <c r="U562" s="2"/>
      <c r="V562" s="2"/>
      <c r="W562" t="s">
        <v>2047</v>
      </c>
    </row>
    <row r="563" spans="1:23" ht="13.15" customHeight="1" x14ac:dyDescent="0.2">
      <c r="A563" s="2" t="s">
        <v>2179</v>
      </c>
      <c r="B563" s="2">
        <f t="shared" si="16"/>
        <v>2022</v>
      </c>
      <c r="C563" s="2" t="str">
        <f t="shared" si="17"/>
        <v>KZN226</v>
      </c>
      <c r="D563" s="591">
        <v>1103</v>
      </c>
      <c r="E563" s="2">
        <v>7</v>
      </c>
      <c r="F563" s="622" t="s">
        <v>1239</v>
      </c>
      <c r="G563" s="589"/>
      <c r="H563" s="589"/>
      <c r="I563" s="589"/>
      <c r="J563" s="589"/>
      <c r="K563" s="589"/>
      <c r="L563" s="589"/>
      <c r="M563" s="589"/>
      <c r="N563" s="589"/>
      <c r="O563" s="589"/>
      <c r="P563" s="2"/>
      <c r="Q563" s="2"/>
      <c r="T563" s="2"/>
      <c r="U563" s="2"/>
      <c r="V563" s="2"/>
      <c r="W563" t="s">
        <v>2047</v>
      </c>
    </row>
    <row r="564" spans="1:23" ht="13.15" customHeight="1" x14ac:dyDescent="0.2">
      <c r="A564" s="2" t="s">
        <v>2179</v>
      </c>
      <c r="B564" s="2">
        <f t="shared" si="16"/>
        <v>2022</v>
      </c>
      <c r="C564" s="2" t="str">
        <f t="shared" si="17"/>
        <v>KZN226</v>
      </c>
      <c r="D564" s="591">
        <v>1104</v>
      </c>
      <c r="E564" s="2">
        <v>8</v>
      </c>
      <c r="F564" s="622" t="s">
        <v>1574</v>
      </c>
      <c r="G564" s="589"/>
      <c r="H564" s="589"/>
      <c r="I564" s="589"/>
      <c r="J564" s="589"/>
      <c r="K564" s="589"/>
      <c r="L564" s="589"/>
      <c r="M564" s="589"/>
      <c r="N564" s="589"/>
      <c r="O564" s="589"/>
      <c r="P564" s="2"/>
      <c r="Q564" s="2"/>
      <c r="T564" s="2"/>
      <c r="U564" s="2"/>
      <c r="V564" s="2"/>
      <c r="W564" t="s">
        <v>2047</v>
      </c>
    </row>
    <row r="565" spans="1:23" ht="13.15" customHeight="1" x14ac:dyDescent="0.2">
      <c r="A565" s="2" t="s">
        <v>2179</v>
      </c>
      <c r="B565" s="2">
        <f t="shared" si="16"/>
        <v>2022</v>
      </c>
      <c r="C565" s="2" t="str">
        <f t="shared" si="17"/>
        <v>KZN226</v>
      </c>
      <c r="D565" s="591">
        <v>1105</v>
      </c>
      <c r="E565" s="2">
        <v>9</v>
      </c>
      <c r="F565" s="622" t="s">
        <v>1240</v>
      </c>
      <c r="G565" s="589"/>
      <c r="H565" s="589"/>
      <c r="I565" s="589"/>
      <c r="J565" s="589"/>
      <c r="K565" s="589"/>
      <c r="L565" s="589"/>
      <c r="M565" s="589"/>
      <c r="N565" s="589"/>
      <c r="O565" s="589"/>
      <c r="P565" s="2"/>
      <c r="Q565" s="2"/>
      <c r="T565" s="2"/>
      <c r="U565" s="2"/>
      <c r="V565" s="2"/>
      <c r="W565" t="s">
        <v>2047</v>
      </c>
    </row>
    <row r="566" spans="1:23" ht="13.15" customHeight="1" x14ac:dyDescent="0.2">
      <c r="A566" s="2" t="s">
        <v>2179</v>
      </c>
      <c r="B566" s="2">
        <f t="shared" si="16"/>
        <v>2022</v>
      </c>
      <c r="C566" s="2" t="str">
        <f t="shared" si="17"/>
        <v>KZN226</v>
      </c>
      <c r="D566" s="591">
        <v>1106</v>
      </c>
      <c r="E566" s="2">
        <v>10</v>
      </c>
      <c r="F566" s="622" t="s">
        <v>286</v>
      </c>
      <c r="G566" s="589"/>
      <c r="H566" s="589"/>
      <c r="I566" s="589"/>
      <c r="J566" s="589"/>
      <c r="K566" s="589"/>
      <c r="L566" s="589"/>
      <c r="M566" s="589"/>
      <c r="N566" s="589"/>
      <c r="O566" s="589"/>
      <c r="P566" s="2"/>
      <c r="Q566" s="2"/>
      <c r="T566" s="2"/>
      <c r="U566" s="2"/>
      <c r="V566" s="2"/>
      <c r="W566" t="s">
        <v>2047</v>
      </c>
    </row>
    <row r="567" spans="1:23" ht="13.15" customHeight="1" x14ac:dyDescent="0.2">
      <c r="A567" s="2" t="s">
        <v>2179</v>
      </c>
      <c r="B567" s="2">
        <f t="shared" si="16"/>
        <v>2022</v>
      </c>
      <c r="C567" s="2" t="str">
        <f t="shared" si="17"/>
        <v>KZN226</v>
      </c>
      <c r="D567" s="591">
        <v>1107</v>
      </c>
      <c r="E567" s="2">
        <v>11</v>
      </c>
      <c r="F567" s="622" t="s">
        <v>629</v>
      </c>
      <c r="G567" s="589"/>
      <c r="H567" s="589"/>
      <c r="I567" s="589"/>
      <c r="J567" s="589"/>
      <c r="K567" s="589"/>
      <c r="L567" s="589"/>
      <c r="M567" s="589"/>
      <c r="N567" s="589"/>
      <c r="O567" s="589"/>
      <c r="P567" s="2"/>
      <c r="Q567" s="2"/>
      <c r="T567" s="2"/>
      <c r="U567" s="2"/>
      <c r="V567" s="2"/>
      <c r="W567" t="s">
        <v>2047</v>
      </c>
    </row>
    <row r="568" spans="1:23" ht="13.15" customHeight="1" x14ac:dyDescent="0.2">
      <c r="A568" s="2" t="s">
        <v>2179</v>
      </c>
      <c r="B568" s="2">
        <f t="shared" si="16"/>
        <v>2022</v>
      </c>
      <c r="C568" s="2" t="str">
        <f t="shared" si="17"/>
        <v>KZN226</v>
      </c>
      <c r="D568" s="591">
        <v>1108</v>
      </c>
      <c r="E568" s="2">
        <v>12</v>
      </c>
      <c r="F568" s="622" t="s">
        <v>555</v>
      </c>
      <c r="G568" s="589"/>
      <c r="H568" s="589"/>
      <c r="I568" s="589"/>
      <c r="J568" s="589"/>
      <c r="K568" s="589"/>
      <c r="L568" s="589"/>
      <c r="M568" s="589"/>
      <c r="N568" s="589"/>
      <c r="O568" s="589"/>
      <c r="P568" s="2"/>
      <c r="Q568" s="2"/>
      <c r="T568" s="2"/>
      <c r="U568" s="2"/>
      <c r="V568" s="2"/>
      <c r="W568" t="s">
        <v>2047</v>
      </c>
    </row>
    <row r="569" spans="1:23" ht="13.15" customHeight="1" x14ac:dyDescent="0.2">
      <c r="A569" s="2" t="s">
        <v>2179</v>
      </c>
      <c r="B569" s="2">
        <f t="shared" si="16"/>
        <v>2022</v>
      </c>
      <c r="C569" s="2" t="str">
        <f t="shared" si="17"/>
        <v>KZN226</v>
      </c>
      <c r="D569" s="591">
        <v>1109</v>
      </c>
      <c r="E569" s="2">
        <v>13</v>
      </c>
      <c r="F569" s="622" t="s">
        <v>820</v>
      </c>
      <c r="G569" s="589"/>
      <c r="H569" s="589"/>
      <c r="I569" s="589"/>
      <c r="J569" s="589"/>
      <c r="K569" s="589"/>
      <c r="L569" s="589"/>
      <c r="M569" s="589"/>
      <c r="N569" s="589"/>
      <c r="O569" s="589"/>
      <c r="P569" s="2"/>
      <c r="Q569" s="2"/>
      <c r="T569" s="2"/>
      <c r="U569" s="2"/>
      <c r="V569" s="2"/>
      <c r="W569" t="s">
        <v>2047</v>
      </c>
    </row>
    <row r="570" spans="1:23" ht="13.15" customHeight="1" x14ac:dyDescent="0.2">
      <c r="A570" s="2" t="s">
        <v>2179</v>
      </c>
      <c r="B570" s="2">
        <f t="shared" si="16"/>
        <v>2022</v>
      </c>
      <c r="C570" s="2" t="str">
        <f t="shared" si="17"/>
        <v>KZN226</v>
      </c>
      <c r="D570" s="591">
        <v>1110</v>
      </c>
      <c r="E570" s="2">
        <v>14</v>
      </c>
      <c r="F570" s="622" t="s">
        <v>821</v>
      </c>
      <c r="G570" s="589"/>
      <c r="H570" s="589"/>
      <c r="I570" s="589"/>
      <c r="J570" s="589"/>
      <c r="K570" s="589"/>
      <c r="L570" s="589"/>
      <c r="M570" s="589"/>
      <c r="N570" s="589"/>
      <c r="O570" s="589"/>
      <c r="P570" s="2"/>
      <c r="Q570" s="2"/>
      <c r="T570" s="2"/>
      <c r="U570" s="2"/>
      <c r="V570" s="2"/>
      <c r="W570" t="s">
        <v>2047</v>
      </c>
    </row>
    <row r="571" spans="1:23" ht="13.15" customHeight="1" x14ac:dyDescent="0.2">
      <c r="A571" s="2" t="s">
        <v>2179</v>
      </c>
      <c r="B571" s="2">
        <f t="shared" si="16"/>
        <v>2022</v>
      </c>
      <c r="C571" s="2" t="str">
        <f t="shared" si="17"/>
        <v>KZN226</v>
      </c>
      <c r="D571" s="591">
        <v>1111</v>
      </c>
      <c r="E571" s="2">
        <v>15</v>
      </c>
      <c r="F571" s="622" t="s">
        <v>1122</v>
      </c>
      <c r="G571" s="589"/>
      <c r="H571" s="589"/>
      <c r="I571" s="589"/>
      <c r="J571" s="589"/>
      <c r="K571" s="589"/>
      <c r="L571" s="589"/>
      <c r="M571" s="589"/>
      <c r="N571" s="589"/>
      <c r="O571" s="589"/>
      <c r="P571" s="2"/>
      <c r="Q571" s="2"/>
      <c r="T571" s="2"/>
      <c r="U571" s="2"/>
      <c r="V571" s="2"/>
      <c r="W571" t="s">
        <v>2047</v>
      </c>
    </row>
    <row r="572" spans="1:23" ht="13.15" customHeight="1" x14ac:dyDescent="0.2">
      <c r="A572" s="2" t="s">
        <v>2179</v>
      </c>
      <c r="B572" s="2">
        <f t="shared" si="16"/>
        <v>2022</v>
      </c>
      <c r="C572" s="2" t="str">
        <f t="shared" si="17"/>
        <v>KZN226</v>
      </c>
      <c r="D572" s="591">
        <v>1112</v>
      </c>
      <c r="E572" s="2">
        <v>16</v>
      </c>
      <c r="F572" s="622" t="s">
        <v>245</v>
      </c>
      <c r="G572" s="589"/>
      <c r="H572" s="589"/>
      <c r="I572" s="589"/>
      <c r="J572" s="589"/>
      <c r="K572" s="589"/>
      <c r="L572" s="589"/>
      <c r="M572" s="589"/>
      <c r="N572" s="589"/>
      <c r="O572" s="589"/>
      <c r="P572" s="2"/>
      <c r="Q572" s="2"/>
      <c r="T572" s="2"/>
      <c r="U572" s="2"/>
      <c r="V572" s="2"/>
      <c r="W572" t="s">
        <v>2047</v>
      </c>
    </row>
    <row r="573" spans="1:23" ht="13.15" customHeight="1" x14ac:dyDescent="0.2">
      <c r="A573" s="2" t="s">
        <v>2179</v>
      </c>
      <c r="B573" s="2">
        <f t="shared" si="16"/>
        <v>2022</v>
      </c>
      <c r="C573" s="2" t="str">
        <f t="shared" si="17"/>
        <v>KZN226</v>
      </c>
      <c r="D573" s="591">
        <v>1113</v>
      </c>
      <c r="E573" s="2">
        <v>17</v>
      </c>
      <c r="F573" s="622" t="s">
        <v>1241</v>
      </c>
      <c r="G573" s="589"/>
      <c r="H573" s="589"/>
      <c r="I573" s="589"/>
      <c r="J573" s="589"/>
      <c r="K573" s="589"/>
      <c r="L573" s="589"/>
      <c r="M573" s="589"/>
      <c r="N573" s="589"/>
      <c r="O573" s="589"/>
      <c r="P573" s="2"/>
      <c r="Q573" s="2"/>
      <c r="T573" s="2"/>
      <c r="U573" s="2"/>
      <c r="V573" s="2"/>
      <c r="W573" t="s">
        <v>2047</v>
      </c>
    </row>
    <row r="574" spans="1:23" ht="13.15" customHeight="1" x14ac:dyDescent="0.2">
      <c r="A574" s="2" t="s">
        <v>2179</v>
      </c>
      <c r="B574" s="2">
        <f t="shared" si="16"/>
        <v>2022</v>
      </c>
      <c r="C574" s="2" t="str">
        <f t="shared" si="17"/>
        <v>KZN226</v>
      </c>
      <c r="D574" s="591">
        <v>1114</v>
      </c>
      <c r="E574" s="2">
        <v>18</v>
      </c>
      <c r="F574" s="622" t="s">
        <v>1574</v>
      </c>
      <c r="G574" s="589"/>
      <c r="H574" s="589"/>
      <c r="I574" s="589"/>
      <c r="J574" s="589"/>
      <c r="K574" s="589"/>
      <c r="L574" s="589"/>
      <c r="M574" s="589"/>
      <c r="N574" s="589"/>
      <c r="O574" s="589"/>
      <c r="P574" s="2"/>
      <c r="Q574" s="2"/>
      <c r="T574" s="2"/>
      <c r="U574" s="2"/>
      <c r="V574" s="2"/>
      <c r="W574" t="s">
        <v>2047</v>
      </c>
    </row>
    <row r="575" spans="1:23" ht="13.15" customHeight="1" x14ac:dyDescent="0.2">
      <c r="A575" s="2" t="s">
        <v>2179</v>
      </c>
      <c r="B575" s="2">
        <f t="shared" si="16"/>
        <v>2022</v>
      </c>
      <c r="C575" s="2" t="str">
        <f t="shared" si="17"/>
        <v>KZN226</v>
      </c>
      <c r="D575" s="591">
        <v>1115</v>
      </c>
      <c r="E575" s="2">
        <v>19</v>
      </c>
      <c r="F575" s="622" t="s">
        <v>1240</v>
      </c>
      <c r="G575" s="589"/>
      <c r="H575" s="589"/>
      <c r="I575" s="589"/>
      <c r="J575" s="589"/>
      <c r="K575" s="589"/>
      <c r="L575" s="589"/>
      <c r="M575" s="589"/>
      <c r="N575" s="589"/>
      <c r="O575" s="589"/>
      <c r="P575" s="2"/>
      <c r="Q575" s="2"/>
      <c r="T575" s="2"/>
      <c r="U575" s="2"/>
      <c r="V575" s="2"/>
      <c r="W575" t="s">
        <v>2047</v>
      </c>
    </row>
    <row r="576" spans="1:23" ht="13.15" customHeight="1" x14ac:dyDescent="0.2">
      <c r="A576" s="2" t="s">
        <v>2179</v>
      </c>
      <c r="B576" s="2">
        <f t="shared" si="16"/>
        <v>2022</v>
      </c>
      <c r="C576" s="2" t="str">
        <f t="shared" si="17"/>
        <v>KZN226</v>
      </c>
      <c r="D576" s="591">
        <v>1116</v>
      </c>
      <c r="E576" s="2">
        <v>20</v>
      </c>
      <c r="F576" s="622" t="s">
        <v>286</v>
      </c>
      <c r="G576" s="589"/>
      <c r="H576" s="589"/>
      <c r="I576" s="589"/>
      <c r="J576" s="589"/>
      <c r="K576" s="589"/>
      <c r="L576" s="589"/>
      <c r="M576" s="589"/>
      <c r="N576" s="589"/>
      <c r="O576" s="589"/>
      <c r="P576" s="2"/>
      <c r="Q576" s="2"/>
      <c r="T576" s="2"/>
      <c r="U576" s="2"/>
      <c r="V576" s="2"/>
      <c r="W576" t="s">
        <v>2047</v>
      </c>
    </row>
    <row r="577" spans="1:23" ht="13.15" customHeight="1" x14ac:dyDescent="0.2">
      <c r="A577" s="2" t="s">
        <v>2179</v>
      </c>
      <c r="B577" s="2">
        <f t="shared" si="16"/>
        <v>2022</v>
      </c>
      <c r="C577" s="2" t="str">
        <f t="shared" si="17"/>
        <v>KZN226</v>
      </c>
      <c r="D577" s="591">
        <v>1117</v>
      </c>
      <c r="E577" s="2">
        <v>21</v>
      </c>
      <c r="F577" s="622" t="s">
        <v>629</v>
      </c>
      <c r="G577" s="589"/>
      <c r="H577" s="589"/>
      <c r="I577" s="589"/>
      <c r="J577" s="589"/>
      <c r="K577" s="589"/>
      <c r="L577" s="589"/>
      <c r="M577" s="589"/>
      <c r="N577" s="589"/>
      <c r="O577" s="589"/>
      <c r="P577" s="2"/>
      <c r="Q577" s="2"/>
      <c r="T577" s="2"/>
      <c r="U577" s="2"/>
      <c r="V577" s="2"/>
      <c r="W577" t="s">
        <v>2047</v>
      </c>
    </row>
    <row r="578" spans="1:23" ht="13.15" customHeight="1" x14ac:dyDescent="0.2">
      <c r="A578" s="2" t="s">
        <v>2179</v>
      </c>
      <c r="B578" s="2">
        <f t="shared" ref="B578:B641" si="18">+MTREF</f>
        <v>2022</v>
      </c>
      <c r="C578" s="2" t="str">
        <f t="shared" ref="C578:C641" si="19">LEFT(muni,(FIND(" ",muni,1)-1))</f>
        <v>KZN226</v>
      </c>
      <c r="D578" s="591">
        <v>1118</v>
      </c>
      <c r="E578" s="2">
        <v>22</v>
      </c>
      <c r="F578" s="622" t="s">
        <v>555</v>
      </c>
      <c r="G578" s="589"/>
      <c r="H578" s="589"/>
      <c r="I578" s="589"/>
      <c r="J578" s="589"/>
      <c r="K578" s="589"/>
      <c r="L578" s="589"/>
      <c r="M578" s="589"/>
      <c r="N578" s="589"/>
      <c r="O578" s="589"/>
      <c r="P578" s="2"/>
      <c r="Q578" s="2"/>
      <c r="T578" s="2"/>
      <c r="U578" s="2"/>
      <c r="V578" s="2"/>
      <c r="W578" t="s">
        <v>2047</v>
      </c>
    </row>
    <row r="579" spans="1:23" ht="13.15" customHeight="1" x14ac:dyDescent="0.2">
      <c r="A579" s="2" t="s">
        <v>2179</v>
      </c>
      <c r="B579" s="2">
        <f t="shared" si="18"/>
        <v>2022</v>
      </c>
      <c r="C579" s="2" t="str">
        <f t="shared" si="19"/>
        <v>KZN226</v>
      </c>
      <c r="D579" s="591">
        <v>1119</v>
      </c>
      <c r="E579" s="2">
        <v>23</v>
      </c>
      <c r="F579" s="622" t="s">
        <v>820</v>
      </c>
      <c r="G579" s="589"/>
      <c r="H579" s="589"/>
      <c r="I579" s="589"/>
      <c r="J579" s="589"/>
      <c r="K579" s="589"/>
      <c r="L579" s="589"/>
      <c r="M579" s="589"/>
      <c r="N579" s="589"/>
      <c r="O579" s="589"/>
      <c r="P579" s="2"/>
      <c r="Q579" s="2"/>
      <c r="T579" s="2"/>
      <c r="U579" s="2"/>
      <c r="V579" s="2"/>
      <c r="W579" t="s">
        <v>2047</v>
      </c>
    </row>
    <row r="580" spans="1:23" ht="13.15" customHeight="1" x14ac:dyDescent="0.2">
      <c r="A580" s="2" t="s">
        <v>2179</v>
      </c>
      <c r="B580" s="2">
        <f t="shared" si="18"/>
        <v>2022</v>
      </c>
      <c r="C580" s="2" t="str">
        <f t="shared" si="19"/>
        <v>KZN226</v>
      </c>
      <c r="D580" s="591">
        <v>1120</v>
      </c>
      <c r="E580" s="2">
        <v>24</v>
      </c>
      <c r="F580" s="622" t="s">
        <v>821</v>
      </c>
      <c r="G580" s="589"/>
      <c r="H580" s="589"/>
      <c r="I580" s="589"/>
      <c r="J580" s="589"/>
      <c r="K580" s="589"/>
      <c r="L580" s="589"/>
      <c r="M580" s="589"/>
      <c r="N580" s="589"/>
      <c r="O580" s="589"/>
      <c r="P580" s="2"/>
      <c r="Q580" s="2"/>
      <c r="T580" s="2"/>
      <c r="U580" s="2"/>
      <c r="V580" s="2"/>
      <c r="W580" t="s">
        <v>2047</v>
      </c>
    </row>
    <row r="581" spans="1:23" ht="13.15" customHeight="1" x14ac:dyDescent="0.2">
      <c r="A581" s="2" t="s">
        <v>2179</v>
      </c>
      <c r="B581" s="2">
        <f t="shared" si="18"/>
        <v>2022</v>
      </c>
      <c r="C581" s="2" t="str">
        <f t="shared" si="19"/>
        <v>KZN226</v>
      </c>
      <c r="D581" s="591">
        <v>1121</v>
      </c>
      <c r="E581" s="2">
        <v>25</v>
      </c>
      <c r="F581" s="622" t="s">
        <v>1122</v>
      </c>
      <c r="G581" s="589"/>
      <c r="H581" s="589"/>
      <c r="I581" s="589"/>
      <c r="J581" s="589"/>
      <c r="K581" s="589"/>
      <c r="L581" s="589"/>
      <c r="M581" s="589"/>
      <c r="N581" s="589"/>
      <c r="O581" s="589"/>
      <c r="P581" s="2"/>
      <c r="Q581" s="2"/>
      <c r="T581" s="2"/>
      <c r="U581" s="2"/>
      <c r="V581" s="2"/>
      <c r="W581" t="s">
        <v>2047</v>
      </c>
    </row>
    <row r="582" spans="1:23" ht="13.15" customHeight="1" x14ac:dyDescent="0.2">
      <c r="A582" s="2" t="s">
        <v>2179</v>
      </c>
      <c r="B582" s="2">
        <f t="shared" si="18"/>
        <v>2022</v>
      </c>
      <c r="C582" s="2" t="str">
        <f t="shared" si="19"/>
        <v>KZN226</v>
      </c>
      <c r="D582" s="591">
        <v>1122</v>
      </c>
      <c r="E582" s="2">
        <v>26</v>
      </c>
      <c r="F582" s="622" t="s">
        <v>245</v>
      </c>
      <c r="G582" s="589"/>
      <c r="H582" s="589"/>
      <c r="I582" s="589"/>
      <c r="J582" s="589"/>
      <c r="K582" s="589"/>
      <c r="L582" s="589"/>
      <c r="M582" s="589"/>
      <c r="N582" s="589"/>
      <c r="O582" s="589"/>
      <c r="P582" s="2"/>
      <c r="Q582" s="2"/>
      <c r="T582" s="2"/>
      <c r="U582" s="2"/>
      <c r="V582" s="2"/>
      <c r="W582" t="s">
        <v>2047</v>
      </c>
    </row>
    <row r="583" spans="1:23" ht="13.15" customHeight="1" x14ac:dyDescent="0.2">
      <c r="A583" s="2" t="s">
        <v>2179</v>
      </c>
      <c r="B583" s="2">
        <f t="shared" si="18"/>
        <v>2022</v>
      </c>
      <c r="C583" s="2" t="str">
        <f t="shared" si="19"/>
        <v>KZN226</v>
      </c>
      <c r="D583" s="591">
        <v>1123</v>
      </c>
      <c r="E583" s="2">
        <v>27</v>
      </c>
      <c r="F583" s="622" t="s">
        <v>1242</v>
      </c>
      <c r="G583" s="589"/>
      <c r="H583" s="589"/>
      <c r="I583" s="589"/>
      <c r="J583" s="589"/>
      <c r="K583" s="589"/>
      <c r="L583" s="589"/>
      <c r="M583" s="589"/>
      <c r="N583" s="589"/>
      <c r="O583" s="589"/>
      <c r="P583" s="2"/>
      <c r="Q583" s="2"/>
      <c r="T583" s="2"/>
      <c r="U583" s="2"/>
      <c r="V583" s="2"/>
      <c r="W583" t="s">
        <v>2047</v>
      </c>
    </row>
    <row r="584" spans="1:23" ht="13.15" customHeight="1" x14ac:dyDescent="0.2">
      <c r="A584" s="2" t="s">
        <v>2179</v>
      </c>
      <c r="B584" s="2">
        <f t="shared" si="18"/>
        <v>2022</v>
      </c>
      <c r="C584" s="2" t="str">
        <f t="shared" si="19"/>
        <v>KZN226</v>
      </c>
      <c r="D584" s="591">
        <v>1124</v>
      </c>
      <c r="E584" s="2">
        <v>28</v>
      </c>
      <c r="F584" s="622" t="s">
        <v>1243</v>
      </c>
      <c r="G584" s="589"/>
      <c r="H584" s="589"/>
      <c r="I584" s="589"/>
      <c r="J584" s="589"/>
      <c r="K584" s="589"/>
      <c r="L584" s="589"/>
      <c r="M584" s="589"/>
      <c r="N584" s="589"/>
      <c r="O584" s="589"/>
      <c r="P584" s="2"/>
      <c r="Q584" s="2"/>
      <c r="T584" s="2"/>
      <c r="U584" s="2"/>
      <c r="V584" s="2"/>
      <c r="W584" t="s">
        <v>2047</v>
      </c>
    </row>
    <row r="585" spans="1:23" ht="13.15" customHeight="1" x14ac:dyDescent="0.2">
      <c r="A585" s="2" t="s">
        <v>2179</v>
      </c>
      <c r="B585" s="2">
        <f t="shared" si="18"/>
        <v>2022</v>
      </c>
      <c r="C585" s="2" t="str">
        <f t="shared" si="19"/>
        <v>KZN226</v>
      </c>
      <c r="D585" s="591">
        <v>1125</v>
      </c>
      <c r="E585" s="2">
        <v>29</v>
      </c>
      <c r="F585" s="622" t="s">
        <v>698</v>
      </c>
      <c r="G585" s="589"/>
      <c r="H585" s="589"/>
      <c r="I585" s="589"/>
      <c r="J585" s="589"/>
      <c r="K585" s="589"/>
      <c r="L585" s="589"/>
      <c r="M585" s="589"/>
      <c r="N585" s="589"/>
      <c r="O585" s="589"/>
      <c r="P585" s="2"/>
      <c r="Q585" s="2"/>
      <c r="T585" s="2"/>
      <c r="U585" s="2"/>
      <c r="V585" s="2"/>
      <c r="W585" t="s">
        <v>2047</v>
      </c>
    </row>
    <row r="586" spans="1:23" ht="13.15" customHeight="1" x14ac:dyDescent="0.2">
      <c r="A586" s="2" t="s">
        <v>2179</v>
      </c>
      <c r="B586" s="2">
        <f t="shared" si="18"/>
        <v>2022</v>
      </c>
      <c r="C586" s="2" t="str">
        <f t="shared" si="19"/>
        <v>KZN226</v>
      </c>
      <c r="D586" s="591">
        <v>1126</v>
      </c>
      <c r="E586" s="2">
        <v>30</v>
      </c>
      <c r="F586" s="622" t="s">
        <v>1244</v>
      </c>
      <c r="G586" s="589"/>
      <c r="H586" s="589"/>
      <c r="I586" s="589"/>
      <c r="J586" s="589"/>
      <c r="K586" s="589"/>
      <c r="L586" s="589"/>
      <c r="M586" s="589"/>
      <c r="N586" s="589"/>
      <c r="O586" s="589"/>
      <c r="P586" s="2"/>
      <c r="Q586" s="2"/>
      <c r="T586" s="2"/>
      <c r="U586" s="2"/>
      <c r="V586" s="2"/>
      <c r="W586" t="s">
        <v>2047</v>
      </c>
    </row>
    <row r="587" spans="1:23" ht="13.15" customHeight="1" x14ac:dyDescent="0.2">
      <c r="A587" s="2" t="s">
        <v>2179</v>
      </c>
      <c r="B587" s="2">
        <f t="shared" si="18"/>
        <v>2022</v>
      </c>
      <c r="C587" s="2" t="str">
        <f t="shared" si="19"/>
        <v>KZN226</v>
      </c>
      <c r="D587" s="591">
        <v>1127</v>
      </c>
      <c r="E587" s="2">
        <v>31</v>
      </c>
      <c r="F587" s="622" t="s">
        <v>1245</v>
      </c>
      <c r="G587" s="589"/>
      <c r="H587" s="589"/>
      <c r="I587" s="589"/>
      <c r="J587" s="589"/>
      <c r="K587" s="589"/>
      <c r="L587" s="589"/>
      <c r="M587" s="589"/>
      <c r="N587" s="589"/>
      <c r="O587" s="589"/>
      <c r="P587" s="2"/>
      <c r="Q587" s="2"/>
      <c r="T587" s="2"/>
      <c r="U587" s="2"/>
      <c r="V587" s="2"/>
      <c r="W587" t="s">
        <v>2047</v>
      </c>
    </row>
    <row r="588" spans="1:23" ht="13.15" customHeight="1" x14ac:dyDescent="0.2">
      <c r="A588" s="2" t="s">
        <v>2179</v>
      </c>
      <c r="B588" s="2">
        <f t="shared" si="18"/>
        <v>2022</v>
      </c>
      <c r="C588" s="2" t="str">
        <f t="shared" si="19"/>
        <v>KZN226</v>
      </c>
      <c r="D588" s="591">
        <v>1128</v>
      </c>
      <c r="E588" s="2">
        <v>32</v>
      </c>
      <c r="F588" s="622" t="s">
        <v>1246</v>
      </c>
      <c r="G588" s="589"/>
      <c r="H588" s="589"/>
      <c r="I588" s="589"/>
      <c r="J588" s="589"/>
      <c r="K588" s="589"/>
      <c r="L588" s="589"/>
      <c r="M588" s="589"/>
      <c r="N588" s="589"/>
      <c r="O588" s="589"/>
      <c r="P588" s="2"/>
      <c r="Q588" s="2"/>
      <c r="T588" s="2"/>
      <c r="U588" s="2"/>
      <c r="V588" s="2"/>
      <c r="W588" t="s">
        <v>2047</v>
      </c>
    </row>
    <row r="589" spans="1:23" ht="13.15" customHeight="1" x14ac:dyDescent="0.2">
      <c r="A589" s="2" t="s">
        <v>2179</v>
      </c>
      <c r="B589" s="2">
        <f t="shared" si="18"/>
        <v>2022</v>
      </c>
      <c r="C589" s="2" t="str">
        <f t="shared" si="19"/>
        <v>KZN226</v>
      </c>
      <c r="D589" s="591">
        <v>1190</v>
      </c>
      <c r="E589" s="2">
        <v>33</v>
      </c>
      <c r="F589" s="622" t="s">
        <v>581</v>
      </c>
      <c r="G589" s="589"/>
      <c r="H589" s="589"/>
      <c r="I589" s="589"/>
      <c r="J589" s="589"/>
      <c r="K589" s="589"/>
      <c r="L589" s="589"/>
      <c r="M589" s="589"/>
      <c r="N589" s="589"/>
      <c r="O589" s="589"/>
      <c r="P589" s="2"/>
      <c r="Q589" s="2"/>
      <c r="T589" s="2"/>
      <c r="U589" s="2"/>
      <c r="V589" s="2"/>
      <c r="W589" t="s">
        <v>2047</v>
      </c>
    </row>
    <row r="590" spans="1:23" ht="13.15" customHeight="1" x14ac:dyDescent="0.2">
      <c r="A590" s="2" t="s">
        <v>2179</v>
      </c>
      <c r="B590" s="2">
        <f t="shared" si="18"/>
        <v>2022</v>
      </c>
      <c r="C590" s="2" t="str">
        <f t="shared" si="19"/>
        <v>KZN226</v>
      </c>
      <c r="D590" s="591">
        <v>1191</v>
      </c>
      <c r="E590" s="2">
        <v>34</v>
      </c>
      <c r="F590" s="622" t="s">
        <v>797</v>
      </c>
      <c r="G590" s="621"/>
      <c r="H590" s="621"/>
      <c r="I590" s="621"/>
      <c r="J590" s="621"/>
      <c r="K590" s="621"/>
      <c r="L590" s="621"/>
      <c r="M590" s="621"/>
      <c r="N590" s="621"/>
      <c r="O590" s="621"/>
      <c r="P590" s="2"/>
      <c r="Q590" s="589"/>
      <c r="T590" s="589"/>
      <c r="U590" s="589"/>
      <c r="V590" s="589"/>
      <c r="W590" t="s">
        <v>2047</v>
      </c>
    </row>
    <row r="591" spans="1:23" ht="13.15" customHeight="1" x14ac:dyDescent="0.2">
      <c r="A591" s="2" t="s">
        <v>2179</v>
      </c>
      <c r="B591" s="2">
        <f t="shared" si="18"/>
        <v>2022</v>
      </c>
      <c r="C591" s="2" t="str">
        <f t="shared" si="19"/>
        <v>KZN226</v>
      </c>
      <c r="D591" s="591"/>
      <c r="E591" s="2"/>
      <c r="F591" s="622"/>
      <c r="G591" s="589"/>
      <c r="H591" s="589"/>
      <c r="I591" s="589"/>
      <c r="J591" s="589"/>
      <c r="K591" s="589"/>
      <c r="L591" s="589"/>
      <c r="M591" s="589"/>
      <c r="N591" s="589"/>
      <c r="O591" s="589"/>
      <c r="P591" s="2"/>
      <c r="Q591" s="2"/>
      <c r="T591" s="2"/>
      <c r="U591" s="2"/>
      <c r="V591" s="2"/>
      <c r="W591" t="s">
        <v>2047</v>
      </c>
    </row>
    <row r="592" spans="1:23" ht="13.15" customHeight="1" x14ac:dyDescent="0.2">
      <c r="A592" s="2" t="s">
        <v>2179</v>
      </c>
      <c r="B592" s="2">
        <f t="shared" si="18"/>
        <v>2022</v>
      </c>
      <c r="C592" s="2" t="str">
        <f t="shared" si="19"/>
        <v>KZN226</v>
      </c>
      <c r="D592" s="591">
        <v>1200</v>
      </c>
      <c r="E592" s="2">
        <v>35</v>
      </c>
      <c r="F592" s="622" t="s">
        <v>1247</v>
      </c>
      <c r="G592" s="589"/>
      <c r="H592" s="589"/>
      <c r="I592" s="589"/>
      <c r="J592" s="589"/>
      <c r="K592" s="589"/>
      <c r="L592" s="589"/>
      <c r="M592" s="589"/>
      <c r="N592" s="589"/>
      <c r="O592" s="589"/>
      <c r="P592" s="2"/>
      <c r="Q592" s="2"/>
      <c r="T592" s="2"/>
      <c r="U592" s="2"/>
      <c r="V592" s="2"/>
      <c r="W592" t="s">
        <v>2047</v>
      </c>
    </row>
    <row r="593" spans="1:23" ht="13.15" customHeight="1" x14ac:dyDescent="0.2">
      <c r="A593" s="2" t="s">
        <v>2179</v>
      </c>
      <c r="B593" s="2">
        <f t="shared" si="18"/>
        <v>2022</v>
      </c>
      <c r="C593" s="2" t="str">
        <f t="shared" si="19"/>
        <v>KZN226</v>
      </c>
      <c r="D593" s="591">
        <v>1201</v>
      </c>
      <c r="E593" s="2">
        <v>36</v>
      </c>
      <c r="F593" s="624" t="s">
        <v>1248</v>
      </c>
      <c r="G593" s="589"/>
      <c r="H593" s="589"/>
      <c r="I593" s="589"/>
      <c r="J593" s="589"/>
      <c r="K593" s="589"/>
      <c r="L593" s="589"/>
      <c r="M593" s="589"/>
      <c r="N593" s="589"/>
      <c r="O593" s="589"/>
      <c r="P593" s="2"/>
      <c r="Q593" s="2"/>
      <c r="T593" s="2"/>
      <c r="U593" s="2"/>
      <c r="V593" s="2"/>
      <c r="W593" t="s">
        <v>2047</v>
      </c>
    </row>
    <row r="594" spans="1:23" ht="13.15" customHeight="1" x14ac:dyDescent="0.2">
      <c r="A594" s="2" t="s">
        <v>2179</v>
      </c>
      <c r="B594" s="2">
        <f t="shared" si="18"/>
        <v>2022</v>
      </c>
      <c r="C594" s="2" t="str">
        <f t="shared" si="19"/>
        <v>KZN226</v>
      </c>
      <c r="D594" s="591">
        <v>1202</v>
      </c>
      <c r="E594" s="2">
        <v>37</v>
      </c>
      <c r="F594" s="624" t="s">
        <v>1249</v>
      </c>
      <c r="G594" s="589"/>
      <c r="H594" s="589"/>
      <c r="I594" s="589"/>
      <c r="J594" s="589"/>
      <c r="K594" s="589"/>
      <c r="L594" s="589"/>
      <c r="M594" s="589"/>
      <c r="N594" s="589"/>
      <c r="O594" s="589"/>
      <c r="P594" s="2"/>
      <c r="Q594" s="2"/>
      <c r="T594" s="2"/>
      <c r="U594" s="2"/>
      <c r="V594" s="2"/>
      <c r="W594" t="s">
        <v>2047</v>
      </c>
    </row>
    <row r="595" spans="1:23" ht="13.15" customHeight="1" x14ac:dyDescent="0.2">
      <c r="A595" s="2" t="s">
        <v>2181</v>
      </c>
      <c r="B595" s="2">
        <f t="shared" si="18"/>
        <v>2022</v>
      </c>
      <c r="C595" s="2" t="str">
        <f t="shared" si="19"/>
        <v>KZN226</v>
      </c>
      <c r="D595" s="588" t="s">
        <v>2182</v>
      </c>
      <c r="E595" s="2">
        <v>1</v>
      </c>
      <c r="F595" s="2" t="s">
        <v>925</v>
      </c>
      <c r="G595" s="589"/>
      <c r="H595" s="589"/>
      <c r="I595" s="589"/>
      <c r="J595" s="589"/>
      <c r="K595" s="589"/>
      <c r="L595" s="589"/>
      <c r="M595" s="589"/>
      <c r="N595" s="589"/>
      <c r="O595" s="589"/>
      <c r="P595" s="589"/>
      <c r="Q595" s="2"/>
      <c r="W595" t="s">
        <v>2047</v>
      </c>
    </row>
    <row r="596" spans="1:23" ht="13.15" customHeight="1" x14ac:dyDescent="0.2">
      <c r="A596" s="2" t="s">
        <v>2181</v>
      </c>
      <c r="B596" s="2">
        <f t="shared" si="18"/>
        <v>2022</v>
      </c>
      <c r="C596" s="2" t="str">
        <f t="shared" si="19"/>
        <v>KZN226</v>
      </c>
      <c r="D596" s="588" t="s">
        <v>2183</v>
      </c>
      <c r="E596" s="2">
        <v>2</v>
      </c>
      <c r="F596" s="2" t="s">
        <v>132</v>
      </c>
      <c r="G596" s="589"/>
      <c r="H596" s="589"/>
      <c r="I596" s="589"/>
      <c r="J596" s="589"/>
      <c r="K596" s="589"/>
      <c r="L596" s="589"/>
      <c r="M596" s="589"/>
      <c r="N596" s="589"/>
      <c r="O596" s="589"/>
      <c r="P596" s="589"/>
      <c r="Q596" s="2"/>
      <c r="W596" t="s">
        <v>2047</v>
      </c>
    </row>
    <row r="597" spans="1:23" ht="13.15" customHeight="1" x14ac:dyDescent="0.2">
      <c r="A597" s="2" t="s">
        <v>2181</v>
      </c>
      <c r="B597" s="2">
        <f t="shared" si="18"/>
        <v>2022</v>
      </c>
      <c r="C597" s="2" t="str">
        <f t="shared" si="19"/>
        <v>KZN226</v>
      </c>
      <c r="D597" s="588" t="s">
        <v>2184</v>
      </c>
      <c r="E597" s="2">
        <v>3</v>
      </c>
      <c r="F597" s="2" t="s">
        <v>983</v>
      </c>
      <c r="G597" s="589"/>
      <c r="H597" s="589"/>
      <c r="I597" s="589"/>
      <c r="J597" s="589"/>
      <c r="K597" s="589"/>
      <c r="L597" s="589"/>
      <c r="M597" s="589"/>
      <c r="N597" s="589"/>
      <c r="O597" s="589"/>
      <c r="P597" s="589"/>
      <c r="Q597" s="2"/>
      <c r="W597" t="s">
        <v>2047</v>
      </c>
    </row>
    <row r="598" spans="1:23" ht="13.15" customHeight="1" x14ac:dyDescent="0.2">
      <c r="A598" s="2" t="s">
        <v>2181</v>
      </c>
      <c r="B598" s="2">
        <f t="shared" si="18"/>
        <v>2022</v>
      </c>
      <c r="C598" s="2" t="str">
        <f t="shared" si="19"/>
        <v>KZN226</v>
      </c>
      <c r="D598" s="588" t="s">
        <v>2185</v>
      </c>
      <c r="E598" s="2">
        <v>5</v>
      </c>
      <c r="F598" s="2" t="s">
        <v>507</v>
      </c>
      <c r="G598" s="589"/>
      <c r="H598" s="589"/>
      <c r="I598" s="589"/>
      <c r="J598" s="589"/>
      <c r="K598" s="589"/>
      <c r="L598" s="589"/>
      <c r="M598" s="589"/>
      <c r="N598" s="589"/>
      <c r="O598" s="589"/>
      <c r="P598" s="589"/>
      <c r="Q598" s="2"/>
      <c r="W598" t="s">
        <v>2047</v>
      </c>
    </row>
    <row r="599" spans="1:23" ht="13.15" customHeight="1" x14ac:dyDescent="0.2">
      <c r="A599" s="2" t="s">
        <v>2181</v>
      </c>
      <c r="B599" s="2">
        <f t="shared" si="18"/>
        <v>2022</v>
      </c>
      <c r="C599" s="2" t="str">
        <f t="shared" si="19"/>
        <v>KZN226</v>
      </c>
      <c r="D599" s="588" t="s">
        <v>2186</v>
      </c>
      <c r="E599" s="2">
        <v>6</v>
      </c>
      <c r="F599" s="2" t="s">
        <v>335</v>
      </c>
      <c r="G599" s="589"/>
      <c r="H599" s="589"/>
      <c r="I599" s="589"/>
      <c r="J599" s="589"/>
      <c r="K599" s="589"/>
      <c r="L599" s="589"/>
      <c r="M599" s="589"/>
      <c r="N599" s="589"/>
      <c r="O599" s="589"/>
      <c r="P599" s="589"/>
      <c r="Q599" s="2"/>
      <c r="W599" t="s">
        <v>2047</v>
      </c>
    </row>
    <row r="600" spans="1:23" ht="13.15" customHeight="1" x14ac:dyDescent="0.2">
      <c r="A600" s="2" t="s">
        <v>2181</v>
      </c>
      <c r="B600" s="2">
        <f t="shared" si="18"/>
        <v>2022</v>
      </c>
      <c r="C600" s="2" t="str">
        <f t="shared" si="19"/>
        <v>KZN226</v>
      </c>
      <c r="D600" s="588" t="s">
        <v>2187</v>
      </c>
      <c r="E600" s="2">
        <v>7</v>
      </c>
      <c r="F600" s="2" t="s">
        <v>1054</v>
      </c>
      <c r="G600" s="589"/>
      <c r="H600" s="589"/>
      <c r="I600" s="589"/>
      <c r="J600" s="589"/>
      <c r="K600" s="589"/>
      <c r="L600" s="589"/>
      <c r="M600" s="589"/>
      <c r="N600" s="589"/>
      <c r="O600" s="589"/>
      <c r="P600" s="589"/>
      <c r="Q600" s="2"/>
      <c r="W600" t="s">
        <v>2047</v>
      </c>
    </row>
    <row r="601" spans="1:23" ht="13.15" customHeight="1" x14ac:dyDescent="0.2">
      <c r="A601" s="2" t="s">
        <v>2181</v>
      </c>
      <c r="B601" s="2">
        <f t="shared" si="18"/>
        <v>2022</v>
      </c>
      <c r="C601" s="2" t="str">
        <f t="shared" si="19"/>
        <v>KZN226</v>
      </c>
      <c r="D601" s="588" t="s">
        <v>2188</v>
      </c>
      <c r="E601" s="2">
        <v>8</v>
      </c>
      <c r="F601" s="2" t="s">
        <v>2189</v>
      </c>
      <c r="G601" s="589"/>
      <c r="H601" s="589"/>
      <c r="I601" s="589"/>
      <c r="J601" s="589"/>
      <c r="K601" s="589"/>
      <c r="L601" s="589"/>
      <c r="M601" s="589"/>
      <c r="N601" s="589"/>
      <c r="O601" s="589"/>
      <c r="P601" s="589"/>
      <c r="Q601" s="2"/>
      <c r="W601" t="s">
        <v>2047</v>
      </c>
    </row>
    <row r="602" spans="1:23" ht="13.15" customHeight="1" x14ac:dyDescent="0.2">
      <c r="A602" s="2" t="s">
        <v>2181</v>
      </c>
      <c r="B602" s="2">
        <f t="shared" si="18"/>
        <v>2022</v>
      </c>
      <c r="C602" s="2" t="str">
        <f t="shared" si="19"/>
        <v>KZN226</v>
      </c>
      <c r="D602" s="591">
        <v>2001</v>
      </c>
      <c r="E602" s="2">
        <v>9</v>
      </c>
      <c r="F602" s="2" t="s">
        <v>699</v>
      </c>
      <c r="G602" s="589"/>
      <c r="H602" s="589"/>
      <c r="I602" s="589"/>
      <c r="J602" s="589"/>
      <c r="K602" s="589"/>
      <c r="L602" s="589"/>
      <c r="M602" s="589"/>
      <c r="N602" s="589"/>
      <c r="O602" s="589"/>
      <c r="P602" s="589"/>
      <c r="Q602" s="2"/>
      <c r="W602" t="s">
        <v>2047</v>
      </c>
    </row>
    <row r="603" spans="1:23" ht="13.15" customHeight="1" x14ac:dyDescent="0.2">
      <c r="A603" s="2" t="s">
        <v>2181</v>
      </c>
      <c r="B603" s="2">
        <f t="shared" si="18"/>
        <v>2022</v>
      </c>
      <c r="C603" s="2" t="str">
        <f t="shared" si="19"/>
        <v>KZN226</v>
      </c>
      <c r="D603" s="588" t="s">
        <v>2190</v>
      </c>
      <c r="E603" s="2">
        <v>10</v>
      </c>
      <c r="F603" s="2" t="s">
        <v>1165</v>
      </c>
      <c r="G603" s="589"/>
      <c r="H603" s="589"/>
      <c r="I603" s="589"/>
      <c r="J603" s="589"/>
      <c r="K603" s="589"/>
      <c r="L603" s="589"/>
      <c r="M603" s="589"/>
      <c r="N603" s="589"/>
      <c r="O603" s="589"/>
      <c r="P603" s="589"/>
      <c r="Q603" s="2"/>
      <c r="W603" t="s">
        <v>2047</v>
      </c>
    </row>
    <row r="604" spans="1:23" ht="13.15" customHeight="1" x14ac:dyDescent="0.2">
      <c r="A604" s="2" t="s">
        <v>2181</v>
      </c>
      <c r="B604" s="2">
        <f t="shared" si="18"/>
        <v>2022</v>
      </c>
      <c r="C604" s="2" t="str">
        <f t="shared" si="19"/>
        <v>KZN226</v>
      </c>
      <c r="D604" s="588" t="s">
        <v>2191</v>
      </c>
      <c r="E604" s="2">
        <v>11</v>
      </c>
      <c r="F604" s="2" t="s">
        <v>1268</v>
      </c>
      <c r="G604" s="621"/>
      <c r="H604" s="621"/>
      <c r="I604" s="621"/>
      <c r="J604" s="621"/>
      <c r="K604" s="621"/>
      <c r="L604" s="621"/>
      <c r="M604" s="621"/>
      <c r="N604" s="621"/>
      <c r="O604" s="621"/>
      <c r="P604" s="621"/>
      <c r="Q604" s="2"/>
      <c r="W604" t="s">
        <v>2047</v>
      </c>
    </row>
    <row r="605" spans="1:23" ht="13.15" customHeight="1" x14ac:dyDescent="0.2">
      <c r="A605" s="2" t="s">
        <v>2181</v>
      </c>
      <c r="B605" s="2">
        <f t="shared" si="18"/>
        <v>2022</v>
      </c>
      <c r="C605" s="2" t="str">
        <f t="shared" si="19"/>
        <v>KZN226</v>
      </c>
      <c r="D605" s="591">
        <v>5000</v>
      </c>
      <c r="E605" s="2">
        <v>50</v>
      </c>
      <c r="F605" s="2" t="s">
        <v>2192</v>
      </c>
      <c r="G605" s="589"/>
      <c r="H605" s="589"/>
      <c r="I605" s="589"/>
      <c r="J605" s="589"/>
      <c r="K605" s="589"/>
      <c r="L605" s="589"/>
      <c r="M605" s="589"/>
      <c r="N605" s="589"/>
      <c r="O605" s="589"/>
      <c r="P605" s="589"/>
      <c r="Q605" s="2"/>
      <c r="W605" t="s">
        <v>2047</v>
      </c>
    </row>
    <row r="606" spans="1:23" ht="13.15" customHeight="1" x14ac:dyDescent="0.2">
      <c r="A606" s="2" t="s">
        <v>2181</v>
      </c>
      <c r="B606" s="2">
        <f t="shared" si="18"/>
        <v>2022</v>
      </c>
      <c r="C606" s="2" t="str">
        <f t="shared" si="19"/>
        <v>KZN226</v>
      </c>
      <c r="D606" s="591">
        <v>5001</v>
      </c>
      <c r="E606" s="2">
        <v>51</v>
      </c>
      <c r="F606" s="2" t="s">
        <v>408</v>
      </c>
      <c r="G606" s="589"/>
      <c r="H606" s="589"/>
      <c r="I606" s="589"/>
      <c r="J606" s="589"/>
      <c r="K606" s="589"/>
      <c r="L606" s="589"/>
      <c r="M606" s="589"/>
      <c r="N606" s="589"/>
      <c r="O606" s="589"/>
      <c r="P606" s="589"/>
      <c r="Q606" s="2"/>
      <c r="W606" t="s">
        <v>2047</v>
      </c>
    </row>
    <row r="607" spans="1:23" ht="13.15" customHeight="1" x14ac:dyDescent="0.2">
      <c r="A607" s="2" t="s">
        <v>2181</v>
      </c>
      <c r="B607" s="2">
        <f t="shared" si="18"/>
        <v>2022</v>
      </c>
      <c r="C607" s="2" t="str">
        <f t="shared" si="19"/>
        <v>KZN226</v>
      </c>
      <c r="D607" s="591">
        <v>5002</v>
      </c>
      <c r="E607" s="2">
        <v>52</v>
      </c>
      <c r="F607" s="2" t="s">
        <v>1334</v>
      </c>
      <c r="G607" s="589"/>
      <c r="H607" s="589"/>
      <c r="I607" s="589"/>
      <c r="J607" s="589"/>
      <c r="K607" s="589"/>
      <c r="L607" s="589"/>
      <c r="M607" s="589"/>
      <c r="N607" s="589"/>
      <c r="O607" s="589"/>
      <c r="P607" s="589"/>
      <c r="Q607" s="2"/>
      <c r="W607" t="s">
        <v>2047</v>
      </c>
    </row>
    <row r="608" spans="1:23" ht="13.15" customHeight="1" x14ac:dyDescent="0.2">
      <c r="A608" s="2" t="s">
        <v>2181</v>
      </c>
      <c r="B608" s="2">
        <f t="shared" si="18"/>
        <v>2022</v>
      </c>
      <c r="C608" s="2" t="str">
        <f t="shared" si="19"/>
        <v>KZN226</v>
      </c>
      <c r="D608" s="591">
        <v>5003</v>
      </c>
      <c r="E608" s="2">
        <v>53</v>
      </c>
      <c r="F608" s="2" t="s">
        <v>1689</v>
      </c>
      <c r="G608" s="589"/>
      <c r="H608" s="589"/>
      <c r="I608" s="589"/>
      <c r="J608" s="589"/>
      <c r="K608" s="589"/>
      <c r="L608" s="589"/>
      <c r="M608" s="589"/>
      <c r="N608" s="589"/>
      <c r="O608" s="589"/>
      <c r="P608" s="589"/>
      <c r="Q608" s="589"/>
      <c r="W608" t="s">
        <v>2047</v>
      </c>
    </row>
    <row r="609" spans="1:23" ht="13.15" customHeight="1" x14ac:dyDescent="0.2">
      <c r="A609" s="2" t="s">
        <v>2181</v>
      </c>
      <c r="B609" s="2">
        <f t="shared" si="18"/>
        <v>2022</v>
      </c>
      <c r="C609" s="2" t="str">
        <f t="shared" si="19"/>
        <v>KZN226</v>
      </c>
      <c r="D609" s="591">
        <v>5004</v>
      </c>
      <c r="E609" s="2">
        <v>54</v>
      </c>
      <c r="F609" s="2" t="s">
        <v>1690</v>
      </c>
      <c r="G609" s="589"/>
      <c r="H609" s="589"/>
      <c r="I609" s="589"/>
      <c r="J609" s="589"/>
      <c r="K609" s="589"/>
      <c r="L609" s="589"/>
      <c r="M609" s="589"/>
      <c r="N609" s="589"/>
      <c r="O609" s="589"/>
      <c r="P609" s="589"/>
      <c r="Q609" s="2"/>
      <c r="W609" t="s">
        <v>2047</v>
      </c>
    </row>
    <row r="610" spans="1:23" ht="13.15" customHeight="1" x14ac:dyDescent="0.2">
      <c r="A610" s="2" t="s">
        <v>2181</v>
      </c>
      <c r="B610" s="2">
        <f t="shared" si="18"/>
        <v>2022</v>
      </c>
      <c r="C610" s="2" t="str">
        <f t="shared" si="19"/>
        <v>KZN226</v>
      </c>
      <c r="D610" s="591">
        <v>5005</v>
      </c>
      <c r="E610" s="2">
        <v>55</v>
      </c>
      <c r="F610" s="2" t="s">
        <v>1066</v>
      </c>
      <c r="G610" s="589"/>
      <c r="H610" s="589"/>
      <c r="I610" s="589"/>
      <c r="J610" s="589"/>
      <c r="K610" s="589"/>
      <c r="L610" s="589"/>
      <c r="M610" s="589"/>
      <c r="N610" s="589"/>
      <c r="O610" s="589"/>
      <c r="P610" s="589"/>
      <c r="Q610" s="2"/>
      <c r="W610" t="s">
        <v>2047</v>
      </c>
    </row>
    <row r="611" spans="1:23" ht="13.15" customHeight="1" x14ac:dyDescent="0.2">
      <c r="A611" s="2" t="s">
        <v>2181</v>
      </c>
      <c r="B611" s="2">
        <f t="shared" si="18"/>
        <v>2022</v>
      </c>
      <c r="C611" s="2" t="str">
        <f t="shared" si="19"/>
        <v>KZN226</v>
      </c>
      <c r="D611" s="591">
        <v>6001</v>
      </c>
      <c r="E611" s="2">
        <v>61</v>
      </c>
      <c r="F611" s="2" t="s">
        <v>2193</v>
      </c>
      <c r="G611" s="589"/>
      <c r="H611" s="589"/>
      <c r="I611" s="589"/>
      <c r="J611" s="589"/>
      <c r="K611" s="589"/>
      <c r="L611" s="589"/>
      <c r="M611" s="589"/>
      <c r="N611" s="589"/>
      <c r="O611" s="589"/>
      <c r="P611" s="589"/>
      <c r="Q611" s="2"/>
      <c r="W611" t="s">
        <v>2047</v>
      </c>
    </row>
    <row r="612" spans="1:23" ht="13.15" customHeight="1" x14ac:dyDescent="0.2">
      <c r="A612" s="2" t="s">
        <v>2181</v>
      </c>
      <c r="B612" s="2">
        <f t="shared" si="18"/>
        <v>2022</v>
      </c>
      <c r="C612" s="2" t="str">
        <f t="shared" si="19"/>
        <v>KZN226</v>
      </c>
      <c r="D612" s="591">
        <v>6002</v>
      </c>
      <c r="E612" s="2">
        <v>62</v>
      </c>
      <c r="F612" s="2" t="s">
        <v>2194</v>
      </c>
      <c r="G612" s="589"/>
      <c r="H612" s="589"/>
      <c r="I612" s="589"/>
      <c r="J612" s="589"/>
      <c r="K612" s="589"/>
      <c r="L612" s="589"/>
      <c r="M612" s="589"/>
      <c r="N612" s="589"/>
      <c r="O612" s="589"/>
      <c r="P612" s="589"/>
      <c r="Q612" s="2"/>
      <c r="W612" t="s">
        <v>2047</v>
      </c>
    </row>
    <row r="613" spans="1:23" ht="13.15" customHeight="1" x14ac:dyDescent="0.2">
      <c r="A613" s="2" t="s">
        <v>2181</v>
      </c>
      <c r="B613" s="2">
        <f t="shared" si="18"/>
        <v>2022</v>
      </c>
      <c r="C613" s="2" t="str">
        <f t="shared" si="19"/>
        <v>KZN226</v>
      </c>
      <c r="D613" s="591"/>
      <c r="E613" s="2"/>
      <c r="F613" s="2"/>
      <c r="G613" s="589"/>
      <c r="H613" s="589"/>
      <c r="I613" s="589"/>
      <c r="J613" s="589"/>
      <c r="K613" s="589"/>
      <c r="L613" s="589"/>
      <c r="M613" s="589"/>
      <c r="N613" s="589"/>
      <c r="O613" s="589"/>
      <c r="P613" s="589"/>
      <c r="Q613" s="2"/>
      <c r="W613" t="s">
        <v>2047</v>
      </c>
    </row>
    <row r="614" spans="1:23" ht="13.15" customHeight="1" x14ac:dyDescent="0.2">
      <c r="A614" s="2" t="s">
        <v>2181</v>
      </c>
      <c r="B614" s="2">
        <f t="shared" si="18"/>
        <v>2022</v>
      </c>
      <c r="C614" s="2" t="str">
        <f t="shared" si="19"/>
        <v>KZN226</v>
      </c>
      <c r="D614" s="591">
        <v>6003</v>
      </c>
      <c r="E614" s="2">
        <v>63</v>
      </c>
      <c r="F614" s="2" t="s">
        <v>2195</v>
      </c>
      <c r="G614" s="589"/>
      <c r="H614" s="589"/>
      <c r="I614" s="589"/>
      <c r="J614" s="589"/>
      <c r="K614" s="589"/>
      <c r="L614" s="589"/>
      <c r="M614" s="589"/>
      <c r="N614" s="589"/>
      <c r="O614" s="589"/>
      <c r="P614" s="589"/>
      <c r="Q614" s="2"/>
      <c r="W614" t="s">
        <v>2047</v>
      </c>
    </row>
    <row r="615" spans="1:23" ht="13.15" customHeight="1" x14ac:dyDescent="0.2">
      <c r="A615" s="2" t="s">
        <v>2181</v>
      </c>
      <c r="B615" s="2">
        <f t="shared" si="18"/>
        <v>2022</v>
      </c>
      <c r="C615" s="2" t="str">
        <f t="shared" si="19"/>
        <v>KZN226</v>
      </c>
      <c r="D615" s="591">
        <v>6004</v>
      </c>
      <c r="E615" s="2">
        <v>64</v>
      </c>
      <c r="F615" s="2" t="s">
        <v>2196</v>
      </c>
      <c r="G615" s="589"/>
      <c r="H615" s="589"/>
      <c r="I615" s="589"/>
      <c r="J615" s="589"/>
      <c r="K615" s="589"/>
      <c r="L615" s="589"/>
      <c r="M615" s="589"/>
      <c r="N615" s="589"/>
      <c r="O615" s="589"/>
      <c r="P615" s="589"/>
      <c r="Q615" s="2"/>
      <c r="W615" t="s">
        <v>2047</v>
      </c>
    </row>
    <row r="616" spans="1:23" ht="13.15" customHeight="1" x14ac:dyDescent="0.2">
      <c r="A616" s="2" t="s">
        <v>2181</v>
      </c>
      <c r="B616" s="2">
        <f t="shared" si="18"/>
        <v>2022</v>
      </c>
      <c r="C616" s="2" t="str">
        <f t="shared" si="19"/>
        <v>KZN226</v>
      </c>
      <c r="D616" s="591"/>
      <c r="E616" s="2"/>
      <c r="F616" s="2"/>
      <c r="G616" s="589"/>
      <c r="H616" s="589"/>
      <c r="I616" s="589"/>
      <c r="J616" s="589"/>
      <c r="K616" s="589"/>
      <c r="L616" s="589"/>
      <c r="M616" s="589"/>
      <c r="N616" s="589"/>
      <c r="O616" s="589"/>
      <c r="P616" s="589"/>
      <c r="Q616" s="2"/>
      <c r="W616" t="s">
        <v>2047</v>
      </c>
    </row>
    <row r="617" spans="1:23" ht="13.15" customHeight="1" x14ac:dyDescent="0.2">
      <c r="A617" s="2" t="s">
        <v>2181</v>
      </c>
      <c r="B617" s="2">
        <f t="shared" si="18"/>
        <v>2022</v>
      </c>
      <c r="C617" s="2" t="str">
        <f t="shared" si="19"/>
        <v>KZN226</v>
      </c>
      <c r="D617" s="591">
        <v>7001</v>
      </c>
      <c r="E617" s="2">
        <v>71</v>
      </c>
      <c r="F617" s="2" t="s">
        <v>2197</v>
      </c>
      <c r="G617" s="589"/>
      <c r="H617" s="589"/>
      <c r="I617" s="589"/>
      <c r="J617" s="589"/>
      <c r="K617" s="589"/>
      <c r="L617" s="589"/>
      <c r="M617" s="589"/>
      <c r="N617" s="589"/>
      <c r="O617" s="589"/>
      <c r="P617" s="589"/>
      <c r="Q617" s="2"/>
      <c r="W617" t="s">
        <v>2047</v>
      </c>
    </row>
    <row r="618" spans="1:23" ht="13.15" customHeight="1" x14ac:dyDescent="0.2">
      <c r="A618" s="2" t="s">
        <v>2181</v>
      </c>
      <c r="B618" s="2">
        <f t="shared" si="18"/>
        <v>2022</v>
      </c>
      <c r="C618" s="2" t="str">
        <f t="shared" si="19"/>
        <v>KZN226</v>
      </c>
      <c r="D618" s="591">
        <v>7002</v>
      </c>
      <c r="E618" s="2">
        <v>72</v>
      </c>
      <c r="F618" s="2" t="s">
        <v>2198</v>
      </c>
      <c r="G618" s="589"/>
      <c r="H618" s="589"/>
      <c r="I618" s="589"/>
      <c r="J618" s="589"/>
      <c r="K618" s="589"/>
      <c r="L618" s="589"/>
      <c r="M618" s="589"/>
      <c r="N618" s="589"/>
      <c r="O618" s="589"/>
      <c r="P618" s="589"/>
      <c r="Q618" s="2"/>
      <c r="W618" t="s">
        <v>2047</v>
      </c>
    </row>
    <row r="619" spans="1:23" ht="13.15" customHeight="1" x14ac:dyDescent="0.2">
      <c r="A619" s="2" t="s">
        <v>2199</v>
      </c>
      <c r="B619" s="2">
        <f t="shared" si="18"/>
        <v>2022</v>
      </c>
      <c r="C619" s="2" t="str">
        <f t="shared" si="19"/>
        <v>KZN226</v>
      </c>
      <c r="D619" s="2">
        <v>1</v>
      </c>
      <c r="F619" s="625"/>
      <c r="G619" s="625"/>
      <c r="H619" s="625"/>
      <c r="I619" s="625"/>
      <c r="J619" s="625"/>
      <c r="K619" s="625"/>
      <c r="L619" s="625"/>
      <c r="M619" s="626"/>
      <c r="N619" s="626"/>
      <c r="O619" s="626"/>
      <c r="P619" s="626"/>
      <c r="Q619" s="626"/>
      <c r="W619" t="s">
        <v>2047</v>
      </c>
    </row>
    <row r="620" spans="1:23" ht="13.15" customHeight="1" x14ac:dyDescent="0.2">
      <c r="A620" s="2" t="s">
        <v>2199</v>
      </c>
      <c r="B620" s="2">
        <f t="shared" si="18"/>
        <v>2022</v>
      </c>
      <c r="C620" s="2" t="str">
        <f t="shared" si="19"/>
        <v>KZN226</v>
      </c>
      <c r="D620" s="2">
        <v>2</v>
      </c>
      <c r="F620" s="625"/>
      <c r="G620" s="625"/>
      <c r="H620" s="625"/>
      <c r="I620" s="625"/>
      <c r="J620" s="625"/>
      <c r="K620" s="625"/>
      <c r="L620" s="625"/>
      <c r="M620" s="626"/>
      <c r="N620" s="626"/>
      <c r="O620" s="626"/>
      <c r="P620" s="626"/>
      <c r="Q620" s="626"/>
      <c r="W620" t="s">
        <v>2047</v>
      </c>
    </row>
    <row r="621" spans="1:23" ht="13.15" customHeight="1" x14ac:dyDescent="0.2">
      <c r="A621" s="2" t="s">
        <v>2199</v>
      </c>
      <c r="B621" s="2">
        <f t="shared" si="18"/>
        <v>2022</v>
      </c>
      <c r="C621" s="2" t="str">
        <f t="shared" si="19"/>
        <v>KZN226</v>
      </c>
      <c r="D621" s="2">
        <v>3</v>
      </c>
      <c r="F621" s="625"/>
      <c r="G621" s="625"/>
      <c r="H621" s="625"/>
      <c r="I621" s="625"/>
      <c r="J621" s="625"/>
      <c r="K621" s="625"/>
      <c r="L621" s="625"/>
      <c r="M621" s="626"/>
      <c r="N621" s="626"/>
      <c r="O621" s="626"/>
      <c r="P621" s="626"/>
      <c r="Q621" s="626"/>
      <c r="W621" t="s">
        <v>2047</v>
      </c>
    </row>
    <row r="622" spans="1:23" ht="13.15" customHeight="1" x14ac:dyDescent="0.2">
      <c r="A622" s="2" t="s">
        <v>2199</v>
      </c>
      <c r="B622" s="2">
        <f t="shared" si="18"/>
        <v>2022</v>
      </c>
      <c r="C622" s="2" t="str">
        <f t="shared" si="19"/>
        <v>KZN226</v>
      </c>
      <c r="D622" s="2">
        <v>4</v>
      </c>
      <c r="F622" s="625"/>
      <c r="G622" s="625"/>
      <c r="H622" s="625"/>
      <c r="I622" s="625"/>
      <c r="J622" s="625"/>
      <c r="K622" s="625"/>
      <c r="L622" s="625"/>
      <c r="M622" s="626"/>
      <c r="N622" s="626"/>
      <c r="O622" s="626"/>
      <c r="P622" s="626"/>
      <c r="Q622" s="626"/>
      <c r="W622" t="s">
        <v>2047</v>
      </c>
    </row>
    <row r="623" spans="1:23" ht="13.15" customHeight="1" x14ac:dyDescent="0.2">
      <c r="A623" s="2" t="s">
        <v>2199</v>
      </c>
      <c r="B623" s="2">
        <f t="shared" si="18"/>
        <v>2022</v>
      </c>
      <c r="C623" s="2" t="str">
        <f t="shared" si="19"/>
        <v>KZN226</v>
      </c>
      <c r="D623" s="2">
        <v>5</v>
      </c>
      <c r="F623" s="625"/>
      <c r="G623" s="625"/>
      <c r="H623" s="625"/>
      <c r="I623" s="625"/>
      <c r="J623" s="625"/>
      <c r="K623" s="625"/>
      <c r="L623" s="625"/>
      <c r="M623" s="626"/>
      <c r="N623" s="626"/>
      <c r="O623" s="626"/>
      <c r="P623" s="626"/>
      <c r="Q623" s="626"/>
      <c r="W623" t="s">
        <v>2047</v>
      </c>
    </row>
    <row r="624" spans="1:23" ht="13.15" customHeight="1" x14ac:dyDescent="0.2">
      <c r="A624" s="2" t="s">
        <v>2199</v>
      </c>
      <c r="B624" s="2">
        <f t="shared" si="18"/>
        <v>2022</v>
      </c>
      <c r="C624" s="2" t="str">
        <f t="shared" si="19"/>
        <v>KZN226</v>
      </c>
      <c r="D624" s="2">
        <v>6</v>
      </c>
      <c r="F624" s="625"/>
      <c r="G624" s="625"/>
      <c r="H624" s="625"/>
      <c r="I624" s="625"/>
      <c r="J624" s="625"/>
      <c r="K624" s="625"/>
      <c r="L624" s="625"/>
      <c r="M624" s="626"/>
      <c r="N624" s="626"/>
      <c r="O624" s="626"/>
      <c r="P624" s="626"/>
      <c r="Q624" s="626"/>
      <c r="W624" t="s">
        <v>2047</v>
      </c>
    </row>
    <row r="625" spans="1:23" ht="13.15" customHeight="1" x14ac:dyDescent="0.2">
      <c r="A625" s="2" t="s">
        <v>2199</v>
      </c>
      <c r="B625" s="2">
        <f t="shared" si="18"/>
        <v>2022</v>
      </c>
      <c r="C625" s="2" t="str">
        <f t="shared" si="19"/>
        <v>KZN226</v>
      </c>
      <c r="D625" s="2">
        <v>7</v>
      </c>
      <c r="F625" s="625"/>
      <c r="G625" s="625"/>
      <c r="H625" s="625"/>
      <c r="I625" s="625"/>
      <c r="J625" s="625"/>
      <c r="K625" s="625"/>
      <c r="L625" s="625"/>
      <c r="M625" s="626"/>
      <c r="N625" s="626"/>
      <c r="O625" s="626"/>
      <c r="P625" s="626"/>
      <c r="Q625" s="626"/>
      <c r="W625" t="s">
        <v>2047</v>
      </c>
    </row>
    <row r="626" spans="1:23" ht="13.15" customHeight="1" x14ac:dyDescent="0.2">
      <c r="A626" s="2" t="s">
        <v>2199</v>
      </c>
      <c r="B626" s="2">
        <f t="shared" si="18"/>
        <v>2022</v>
      </c>
      <c r="C626" s="2" t="str">
        <f t="shared" si="19"/>
        <v>KZN226</v>
      </c>
      <c r="D626" s="2">
        <v>8</v>
      </c>
      <c r="F626" s="625"/>
      <c r="G626" s="625"/>
      <c r="H626" s="625"/>
      <c r="I626" s="625"/>
      <c r="J626" s="625"/>
      <c r="K626" s="625"/>
      <c r="L626" s="625"/>
      <c r="M626" s="626"/>
      <c r="N626" s="626"/>
      <c r="O626" s="626"/>
      <c r="P626" s="626"/>
      <c r="Q626" s="626"/>
      <c r="W626" t="s">
        <v>2047</v>
      </c>
    </row>
    <row r="627" spans="1:23" ht="13.15" customHeight="1" x14ac:dyDescent="0.2">
      <c r="A627" s="2" t="s">
        <v>2199</v>
      </c>
      <c r="B627" s="2">
        <f t="shared" si="18"/>
        <v>2022</v>
      </c>
      <c r="C627" s="2" t="str">
        <f t="shared" si="19"/>
        <v>KZN226</v>
      </c>
      <c r="D627" s="2">
        <v>9</v>
      </c>
      <c r="F627" s="625"/>
      <c r="G627" s="625"/>
      <c r="H627" s="625"/>
      <c r="I627" s="625"/>
      <c r="J627" s="625"/>
      <c r="K627" s="625"/>
      <c r="L627" s="625"/>
      <c r="M627" s="626"/>
      <c r="N627" s="626"/>
      <c r="O627" s="626"/>
      <c r="P627" s="626"/>
      <c r="Q627" s="626"/>
      <c r="W627" t="s">
        <v>2047</v>
      </c>
    </row>
    <row r="628" spans="1:23" ht="13.15" customHeight="1" x14ac:dyDescent="0.2">
      <c r="A628" s="2" t="s">
        <v>2199</v>
      </c>
      <c r="B628" s="2">
        <f t="shared" si="18"/>
        <v>2022</v>
      </c>
      <c r="C628" s="2" t="str">
        <f t="shared" si="19"/>
        <v>KZN226</v>
      </c>
      <c r="D628" s="2">
        <v>10</v>
      </c>
      <c r="F628" s="625"/>
      <c r="G628" s="625"/>
      <c r="H628" s="625"/>
      <c r="I628" s="625"/>
      <c r="J628" s="625"/>
      <c r="K628" s="625"/>
      <c r="L628" s="625"/>
      <c r="M628" s="626"/>
      <c r="N628" s="626"/>
      <c r="O628" s="626"/>
      <c r="P628" s="626"/>
      <c r="Q628" s="626"/>
      <c r="W628" t="s">
        <v>2047</v>
      </c>
    </row>
    <row r="629" spans="1:23" ht="13.15" customHeight="1" x14ac:dyDescent="0.2">
      <c r="A629" s="2" t="s">
        <v>2199</v>
      </c>
      <c r="B629" s="2">
        <f t="shared" si="18"/>
        <v>2022</v>
      </c>
      <c r="C629" s="2" t="str">
        <f t="shared" si="19"/>
        <v>KZN226</v>
      </c>
      <c r="D629" s="2">
        <v>11</v>
      </c>
      <c r="F629" s="625"/>
      <c r="G629" s="625"/>
      <c r="H629" s="625"/>
      <c r="I629" s="625"/>
      <c r="J629" s="625"/>
      <c r="K629" s="625"/>
      <c r="L629" s="625"/>
      <c r="M629" s="626"/>
      <c r="N629" s="626"/>
      <c r="O629" s="626"/>
      <c r="P629" s="626"/>
      <c r="Q629" s="626"/>
      <c r="W629" t="s">
        <v>2047</v>
      </c>
    </row>
    <row r="630" spans="1:23" ht="13.15" customHeight="1" x14ac:dyDescent="0.2">
      <c r="A630" s="2" t="s">
        <v>2199</v>
      </c>
      <c r="B630" s="2">
        <f t="shared" si="18"/>
        <v>2022</v>
      </c>
      <c r="C630" s="2" t="str">
        <f t="shared" si="19"/>
        <v>KZN226</v>
      </c>
      <c r="D630" s="2">
        <v>12</v>
      </c>
      <c r="F630" s="625"/>
      <c r="G630" s="625"/>
      <c r="H630" s="625"/>
      <c r="I630" s="625"/>
      <c r="J630" s="625"/>
      <c r="K630" s="625"/>
      <c r="L630" s="625"/>
      <c r="M630" s="626"/>
      <c r="N630" s="626"/>
      <c r="O630" s="626"/>
      <c r="P630" s="626"/>
      <c r="Q630" s="626"/>
      <c r="W630" t="s">
        <v>2047</v>
      </c>
    </row>
    <row r="631" spans="1:23" ht="13.15" customHeight="1" x14ac:dyDescent="0.2">
      <c r="A631" s="2" t="s">
        <v>2199</v>
      </c>
      <c r="B631" s="2">
        <f t="shared" si="18"/>
        <v>2022</v>
      </c>
      <c r="C631" s="2" t="str">
        <f t="shared" si="19"/>
        <v>KZN226</v>
      </c>
      <c r="D631" s="2">
        <v>13</v>
      </c>
      <c r="F631" s="625"/>
      <c r="G631" s="625"/>
      <c r="H631" s="625"/>
      <c r="I631" s="625"/>
      <c r="J631" s="625"/>
      <c r="K631" s="625"/>
      <c r="L631" s="625"/>
      <c r="M631" s="626"/>
      <c r="N631" s="626"/>
      <c r="O631" s="626"/>
      <c r="P631" s="626"/>
      <c r="Q631" s="626"/>
      <c r="W631" t="s">
        <v>2047</v>
      </c>
    </row>
    <row r="632" spans="1:23" ht="13.15" customHeight="1" x14ac:dyDescent="0.2">
      <c r="A632" s="2" t="s">
        <v>2199</v>
      </c>
      <c r="B632" s="2">
        <f t="shared" si="18"/>
        <v>2022</v>
      </c>
      <c r="C632" s="2" t="str">
        <f t="shared" si="19"/>
        <v>KZN226</v>
      </c>
      <c r="D632" s="2">
        <v>14</v>
      </c>
      <c r="F632" s="625"/>
      <c r="G632" s="625"/>
      <c r="H632" s="625"/>
      <c r="I632" s="625"/>
      <c r="J632" s="625"/>
      <c r="K632" s="625"/>
      <c r="L632" s="625"/>
      <c r="M632" s="626"/>
      <c r="N632" s="626"/>
      <c r="O632" s="626"/>
      <c r="P632" s="626"/>
      <c r="Q632" s="626"/>
      <c r="W632" t="s">
        <v>2047</v>
      </c>
    </row>
    <row r="633" spans="1:23" ht="13.15" customHeight="1" x14ac:dyDescent="0.2">
      <c r="A633" s="2" t="s">
        <v>2199</v>
      </c>
      <c r="B633" s="2">
        <f t="shared" si="18"/>
        <v>2022</v>
      </c>
      <c r="C633" s="2" t="str">
        <f t="shared" si="19"/>
        <v>KZN226</v>
      </c>
      <c r="D633" s="2">
        <v>15</v>
      </c>
      <c r="F633" s="625"/>
      <c r="G633" s="625"/>
      <c r="H633" s="625"/>
      <c r="I633" s="625"/>
      <c r="J633" s="625"/>
      <c r="K633" s="625"/>
      <c r="L633" s="625"/>
      <c r="M633" s="626"/>
      <c r="N633" s="626"/>
      <c r="O633" s="626"/>
      <c r="P633" s="626"/>
      <c r="Q633" s="626"/>
      <c r="W633" t="s">
        <v>2047</v>
      </c>
    </row>
    <row r="634" spans="1:23" ht="13.15" customHeight="1" x14ac:dyDescent="0.2">
      <c r="A634" s="2" t="s">
        <v>2199</v>
      </c>
      <c r="B634" s="2">
        <f t="shared" si="18"/>
        <v>2022</v>
      </c>
      <c r="C634" s="2" t="str">
        <f t="shared" si="19"/>
        <v>KZN226</v>
      </c>
      <c r="D634" s="2">
        <v>16</v>
      </c>
      <c r="F634" s="625"/>
      <c r="G634" s="625"/>
      <c r="H634" s="625"/>
      <c r="I634" s="625"/>
      <c r="J634" s="625"/>
      <c r="K634" s="625"/>
      <c r="L634" s="625"/>
      <c r="M634" s="626"/>
      <c r="N634" s="626"/>
      <c r="O634" s="626"/>
      <c r="P634" s="626"/>
      <c r="Q634" s="626"/>
      <c r="W634" t="s">
        <v>2047</v>
      </c>
    </row>
    <row r="635" spans="1:23" ht="13.15" customHeight="1" x14ac:dyDescent="0.2">
      <c r="A635" s="2" t="s">
        <v>2199</v>
      </c>
      <c r="B635" s="2">
        <f t="shared" si="18"/>
        <v>2022</v>
      </c>
      <c r="C635" s="2" t="str">
        <f t="shared" si="19"/>
        <v>KZN226</v>
      </c>
      <c r="D635" s="2">
        <v>17</v>
      </c>
      <c r="F635" s="625"/>
      <c r="G635" s="625"/>
      <c r="H635" s="625"/>
      <c r="I635" s="625"/>
      <c r="J635" s="625"/>
      <c r="K635" s="625"/>
      <c r="L635" s="625"/>
      <c r="M635" s="626"/>
      <c r="N635" s="626"/>
      <c r="O635" s="626"/>
      <c r="P635" s="626">
        <v>0</v>
      </c>
      <c r="Q635" s="626">
        <v>0</v>
      </c>
      <c r="T635">
        <v>0</v>
      </c>
      <c r="W635" t="s">
        <v>2047</v>
      </c>
    </row>
    <row r="636" spans="1:23" ht="13.15" customHeight="1" x14ac:dyDescent="0.2">
      <c r="A636" s="2" t="s">
        <v>2199</v>
      </c>
      <c r="B636" s="2">
        <f t="shared" si="18"/>
        <v>2022</v>
      </c>
      <c r="C636" s="2" t="str">
        <f t="shared" si="19"/>
        <v>KZN226</v>
      </c>
      <c r="D636" s="2">
        <v>18</v>
      </c>
      <c r="F636" s="625"/>
      <c r="G636" s="625"/>
      <c r="H636" s="625"/>
      <c r="I636" s="625"/>
      <c r="J636" s="625"/>
      <c r="K636" s="625"/>
      <c r="L636" s="625"/>
      <c r="M636" s="626"/>
      <c r="N636" s="626"/>
      <c r="O636" s="626"/>
      <c r="P636" s="626"/>
      <c r="Q636" s="626"/>
      <c r="W636" t="s">
        <v>2047</v>
      </c>
    </row>
    <row r="637" spans="1:23" ht="13.15" customHeight="1" x14ac:dyDescent="0.2">
      <c r="A637" s="2" t="s">
        <v>2199</v>
      </c>
      <c r="B637" s="2">
        <f t="shared" si="18"/>
        <v>2022</v>
      </c>
      <c r="C637" s="2" t="str">
        <f t="shared" si="19"/>
        <v>KZN226</v>
      </c>
      <c r="D637" s="2">
        <v>19</v>
      </c>
      <c r="F637" s="625"/>
      <c r="G637" s="625"/>
      <c r="H637" s="625"/>
      <c r="I637" s="625"/>
      <c r="J637" s="625"/>
      <c r="K637" s="625"/>
      <c r="L637" s="625"/>
      <c r="M637" s="626"/>
      <c r="N637" s="626"/>
      <c r="O637" s="626"/>
      <c r="P637" s="626"/>
      <c r="Q637" s="626"/>
      <c r="W637" t="s">
        <v>2047</v>
      </c>
    </row>
    <row r="638" spans="1:23" ht="13.15" customHeight="1" x14ac:dyDescent="0.2">
      <c r="A638" s="2" t="s">
        <v>2199</v>
      </c>
      <c r="B638" s="2">
        <f t="shared" si="18"/>
        <v>2022</v>
      </c>
      <c r="C638" s="2" t="str">
        <f t="shared" si="19"/>
        <v>KZN226</v>
      </c>
      <c r="D638" s="2">
        <v>20</v>
      </c>
      <c r="F638" s="625"/>
      <c r="G638" s="625"/>
      <c r="H638" s="625"/>
      <c r="I638" s="625"/>
      <c r="J638" s="625"/>
      <c r="K638" s="625"/>
      <c r="L638" s="625"/>
      <c r="M638" s="626"/>
      <c r="N638" s="626"/>
      <c r="O638" s="626"/>
      <c r="P638" s="626"/>
      <c r="Q638" s="626"/>
      <c r="W638" t="s">
        <v>2047</v>
      </c>
    </row>
    <row r="639" spans="1:23" ht="13.15" customHeight="1" x14ac:dyDescent="0.2">
      <c r="A639" s="2" t="s">
        <v>2199</v>
      </c>
      <c r="B639" s="2">
        <f t="shared" si="18"/>
        <v>2022</v>
      </c>
      <c r="C639" s="2" t="str">
        <f t="shared" si="19"/>
        <v>KZN226</v>
      </c>
      <c r="D639" s="2">
        <v>21</v>
      </c>
      <c r="F639" s="625"/>
      <c r="G639" s="625"/>
      <c r="H639" s="625"/>
      <c r="I639" s="625"/>
      <c r="J639" s="625"/>
      <c r="K639" s="625"/>
      <c r="L639" s="625"/>
      <c r="M639" s="626"/>
      <c r="N639" s="626"/>
      <c r="O639" s="626"/>
      <c r="P639" s="626"/>
      <c r="Q639" s="626"/>
      <c r="W639" t="s">
        <v>2047</v>
      </c>
    </row>
    <row r="640" spans="1:23" ht="13.15" customHeight="1" x14ac:dyDescent="0.2">
      <c r="A640" s="2" t="s">
        <v>2199</v>
      </c>
      <c r="B640" s="2">
        <f t="shared" si="18"/>
        <v>2022</v>
      </c>
      <c r="C640" s="2" t="str">
        <f t="shared" si="19"/>
        <v>KZN226</v>
      </c>
      <c r="D640" s="2">
        <v>22</v>
      </c>
      <c r="F640" s="625"/>
      <c r="G640" s="625"/>
      <c r="H640" s="625"/>
      <c r="I640" s="625"/>
      <c r="J640" s="625"/>
      <c r="K640" s="625"/>
      <c r="L640" s="625"/>
      <c r="M640" s="626"/>
      <c r="N640" s="626"/>
      <c r="O640" s="626"/>
      <c r="P640" s="626"/>
      <c r="Q640" s="626"/>
      <c r="W640" t="s">
        <v>2047</v>
      </c>
    </row>
    <row r="641" spans="1:23" ht="13.15" customHeight="1" x14ac:dyDescent="0.2">
      <c r="A641" s="2" t="s">
        <v>2199</v>
      </c>
      <c r="B641" s="2">
        <f t="shared" si="18"/>
        <v>2022</v>
      </c>
      <c r="C641" s="2" t="str">
        <f t="shared" si="19"/>
        <v>KZN226</v>
      </c>
      <c r="D641" s="2">
        <v>23</v>
      </c>
      <c r="F641" s="625"/>
      <c r="G641" s="625"/>
      <c r="H641" s="625"/>
      <c r="I641" s="625"/>
      <c r="J641" s="625"/>
      <c r="K641" s="625"/>
      <c r="L641" s="625"/>
      <c r="M641" s="626"/>
      <c r="N641" s="626"/>
      <c r="O641" s="626"/>
      <c r="P641" s="626"/>
      <c r="Q641" s="626"/>
      <c r="W641" t="s">
        <v>2047</v>
      </c>
    </row>
    <row r="642" spans="1:23" ht="13.15" customHeight="1" x14ac:dyDescent="0.2">
      <c r="A642" s="2" t="s">
        <v>2199</v>
      </c>
      <c r="B642" s="2">
        <f t="shared" ref="B642:B705" si="20">+MTREF</f>
        <v>2022</v>
      </c>
      <c r="C642" s="2" t="str">
        <f t="shared" ref="C642:C705" si="21">LEFT(muni,(FIND(" ",muni,1)-1))</f>
        <v>KZN226</v>
      </c>
      <c r="D642" s="2">
        <v>24</v>
      </c>
      <c r="F642" s="625"/>
      <c r="G642" s="625"/>
      <c r="H642" s="625"/>
      <c r="I642" s="625"/>
      <c r="J642" s="625"/>
      <c r="K642" s="625"/>
      <c r="L642" s="625"/>
      <c r="M642" s="626"/>
      <c r="N642" s="626"/>
      <c r="O642" s="626"/>
      <c r="P642" s="626"/>
      <c r="Q642" s="626"/>
      <c r="W642" t="s">
        <v>2047</v>
      </c>
    </row>
    <row r="643" spans="1:23" ht="13.15" customHeight="1" x14ac:dyDescent="0.2">
      <c r="A643" s="2" t="s">
        <v>2199</v>
      </c>
      <c r="B643" s="2">
        <f t="shared" si="20"/>
        <v>2022</v>
      </c>
      <c r="C643" s="2" t="str">
        <f t="shared" si="21"/>
        <v>KZN226</v>
      </c>
      <c r="D643" s="2">
        <v>25</v>
      </c>
      <c r="F643" s="625"/>
      <c r="G643" s="625"/>
      <c r="H643" s="625"/>
      <c r="I643" s="625"/>
      <c r="J643" s="625"/>
      <c r="K643" s="625"/>
      <c r="L643" s="625"/>
      <c r="M643" s="626"/>
      <c r="N643" s="626"/>
      <c r="O643" s="626"/>
      <c r="P643" s="626"/>
      <c r="Q643" s="626"/>
      <c r="W643" t="s">
        <v>2047</v>
      </c>
    </row>
    <row r="644" spans="1:23" ht="13.15" customHeight="1" x14ac:dyDescent="0.2">
      <c r="A644" s="2" t="s">
        <v>2199</v>
      </c>
      <c r="B644" s="2">
        <f t="shared" si="20"/>
        <v>2022</v>
      </c>
      <c r="C644" s="2" t="str">
        <f t="shared" si="21"/>
        <v>KZN226</v>
      </c>
      <c r="D644" s="2">
        <v>26</v>
      </c>
      <c r="F644" s="625"/>
      <c r="G644" s="625"/>
      <c r="H644" s="625"/>
      <c r="I644" s="625"/>
      <c r="J644" s="625"/>
      <c r="K644" s="625"/>
      <c r="L644" s="625"/>
      <c r="M644" s="626"/>
      <c r="N644" s="626"/>
      <c r="O644" s="626"/>
      <c r="P644" s="626"/>
      <c r="Q644" s="626"/>
      <c r="W644" t="s">
        <v>2047</v>
      </c>
    </row>
    <row r="645" spans="1:23" ht="13.15" customHeight="1" x14ac:dyDescent="0.2">
      <c r="A645" s="2" t="s">
        <v>2199</v>
      </c>
      <c r="B645" s="2">
        <f t="shared" si="20"/>
        <v>2022</v>
      </c>
      <c r="C645" s="2" t="str">
        <f t="shared" si="21"/>
        <v>KZN226</v>
      </c>
      <c r="D645" s="2">
        <v>27</v>
      </c>
      <c r="F645" s="625"/>
      <c r="G645" s="625"/>
      <c r="H645" s="625"/>
      <c r="I645" s="625"/>
      <c r="J645" s="625"/>
      <c r="K645" s="625"/>
      <c r="L645" s="625"/>
      <c r="M645" s="626"/>
      <c r="N645" s="626"/>
      <c r="O645" s="626"/>
      <c r="P645" s="626"/>
      <c r="Q645" s="626"/>
      <c r="W645" t="s">
        <v>2047</v>
      </c>
    </row>
    <row r="646" spans="1:23" ht="13.15" customHeight="1" x14ac:dyDescent="0.2">
      <c r="A646" s="2" t="s">
        <v>2199</v>
      </c>
      <c r="B646" s="2">
        <f t="shared" si="20"/>
        <v>2022</v>
      </c>
      <c r="C646" s="2" t="str">
        <f t="shared" si="21"/>
        <v>KZN226</v>
      </c>
      <c r="D646" s="2">
        <v>28</v>
      </c>
      <c r="F646" s="625"/>
      <c r="G646" s="625"/>
      <c r="H646" s="625"/>
      <c r="I646" s="625"/>
      <c r="J646" s="625"/>
      <c r="K646" s="625"/>
      <c r="L646" s="625"/>
      <c r="M646" s="626"/>
      <c r="N646" s="626"/>
      <c r="O646" s="626"/>
      <c r="P646" s="626"/>
      <c r="Q646" s="626"/>
      <c r="W646" t="s">
        <v>2047</v>
      </c>
    </row>
    <row r="647" spans="1:23" ht="13.15" customHeight="1" x14ac:dyDescent="0.2">
      <c r="A647" s="2" t="s">
        <v>2199</v>
      </c>
      <c r="B647" s="2">
        <f t="shared" si="20"/>
        <v>2022</v>
      </c>
      <c r="C647" s="2" t="str">
        <f t="shared" si="21"/>
        <v>KZN226</v>
      </c>
      <c r="D647" s="2">
        <v>29</v>
      </c>
      <c r="F647" s="625"/>
      <c r="G647" s="625"/>
      <c r="H647" s="625"/>
      <c r="I647" s="625"/>
      <c r="J647" s="625"/>
      <c r="K647" s="625"/>
      <c r="L647" s="625"/>
      <c r="M647" s="626"/>
      <c r="N647" s="626"/>
      <c r="O647" s="626"/>
      <c r="P647" s="626"/>
      <c r="Q647" s="626"/>
      <c r="W647" t="s">
        <v>2047</v>
      </c>
    </row>
    <row r="648" spans="1:23" ht="13.15" customHeight="1" x14ac:dyDescent="0.2">
      <c r="A648" s="2" t="s">
        <v>2199</v>
      </c>
      <c r="B648" s="2">
        <f t="shared" si="20"/>
        <v>2022</v>
      </c>
      <c r="C648" s="2" t="str">
        <f t="shared" si="21"/>
        <v>KZN226</v>
      </c>
      <c r="D648" s="2">
        <v>30</v>
      </c>
      <c r="F648" s="625"/>
      <c r="G648" s="625"/>
      <c r="H648" s="625"/>
      <c r="I648" s="625"/>
      <c r="J648" s="625"/>
      <c r="K648" s="625"/>
      <c r="L648" s="625"/>
      <c r="M648" s="626"/>
      <c r="N648" s="626">
        <v>0</v>
      </c>
      <c r="O648" s="626">
        <v>0</v>
      </c>
      <c r="P648" s="626">
        <v>0</v>
      </c>
      <c r="Q648" s="626">
        <v>0</v>
      </c>
      <c r="W648" t="s">
        <v>2047</v>
      </c>
    </row>
    <row r="649" spans="1:23" ht="13.15" customHeight="1" x14ac:dyDescent="0.2">
      <c r="A649" s="2" t="s">
        <v>2199</v>
      </c>
      <c r="B649" s="2">
        <f t="shared" si="20"/>
        <v>2022</v>
      </c>
      <c r="C649" s="2" t="str">
        <f t="shared" si="21"/>
        <v>KZN226</v>
      </c>
      <c r="D649" s="2">
        <v>31</v>
      </c>
      <c r="F649" s="625"/>
      <c r="G649" s="625"/>
      <c r="H649" s="625"/>
      <c r="I649" s="625"/>
      <c r="J649" s="625"/>
      <c r="K649" s="625"/>
      <c r="L649" s="625"/>
      <c r="M649" s="626"/>
      <c r="N649" s="626">
        <v>0</v>
      </c>
      <c r="O649" s="626">
        <v>0</v>
      </c>
      <c r="P649" s="626">
        <v>0</v>
      </c>
      <c r="Q649" s="626">
        <v>0</v>
      </c>
      <c r="W649" t="s">
        <v>2047</v>
      </c>
    </row>
    <row r="650" spans="1:23" ht="13.15" customHeight="1" x14ac:dyDescent="0.2">
      <c r="A650" s="2" t="s">
        <v>2199</v>
      </c>
      <c r="B650" s="2">
        <f t="shared" si="20"/>
        <v>2022</v>
      </c>
      <c r="C650" s="2" t="str">
        <f t="shared" si="21"/>
        <v>KZN226</v>
      </c>
      <c r="D650" s="2">
        <v>32</v>
      </c>
      <c r="F650" s="625"/>
      <c r="G650" s="625"/>
      <c r="H650" s="625"/>
      <c r="I650" s="625"/>
      <c r="J650" s="625"/>
      <c r="K650" s="625"/>
      <c r="L650" s="625"/>
      <c r="M650" s="626"/>
      <c r="N650" s="626"/>
      <c r="O650" s="626"/>
      <c r="P650" s="626"/>
      <c r="Q650" s="626"/>
      <c r="W650" t="s">
        <v>2047</v>
      </c>
    </row>
    <row r="651" spans="1:23" ht="13.15" customHeight="1" x14ac:dyDescent="0.2">
      <c r="A651" s="2" t="s">
        <v>2199</v>
      </c>
      <c r="B651" s="2">
        <f t="shared" si="20"/>
        <v>2022</v>
      </c>
      <c r="C651" s="2" t="str">
        <f t="shared" si="21"/>
        <v>KZN226</v>
      </c>
      <c r="D651" s="2">
        <v>33</v>
      </c>
      <c r="F651" s="625"/>
      <c r="G651" s="625"/>
      <c r="H651" s="625"/>
      <c r="I651" s="625"/>
      <c r="J651" s="625"/>
      <c r="K651" s="625"/>
      <c r="L651" s="625"/>
      <c r="M651" s="626"/>
      <c r="N651" s="626"/>
      <c r="O651" s="626"/>
      <c r="P651" s="626"/>
      <c r="Q651" s="626"/>
      <c r="W651" t="s">
        <v>2047</v>
      </c>
    </row>
    <row r="652" spans="1:23" ht="13.15" customHeight="1" x14ac:dyDescent="0.2">
      <c r="A652" s="2" t="s">
        <v>2199</v>
      </c>
      <c r="B652" s="2">
        <f t="shared" si="20"/>
        <v>2022</v>
      </c>
      <c r="C652" s="2" t="str">
        <f t="shared" si="21"/>
        <v>KZN226</v>
      </c>
      <c r="D652" s="2">
        <v>34</v>
      </c>
      <c r="F652" s="625"/>
      <c r="G652" s="625"/>
      <c r="H652" s="625"/>
      <c r="I652" s="625"/>
      <c r="J652" s="625"/>
      <c r="K652" s="625"/>
      <c r="L652" s="625"/>
      <c r="M652" s="626"/>
      <c r="N652" s="626"/>
      <c r="O652" s="626"/>
      <c r="P652" s="626"/>
      <c r="Q652" s="626"/>
      <c r="W652" t="s">
        <v>2047</v>
      </c>
    </row>
    <row r="653" spans="1:23" ht="13.15" customHeight="1" x14ac:dyDescent="0.2">
      <c r="A653" s="2" t="s">
        <v>2199</v>
      </c>
      <c r="B653" s="2">
        <f t="shared" si="20"/>
        <v>2022</v>
      </c>
      <c r="C653" s="2" t="str">
        <f t="shared" si="21"/>
        <v>KZN226</v>
      </c>
      <c r="D653" s="2">
        <v>35</v>
      </c>
      <c r="F653" s="625"/>
      <c r="G653" s="625"/>
      <c r="H653" s="625"/>
      <c r="I653" s="625"/>
      <c r="J653" s="625"/>
      <c r="K653" s="625"/>
      <c r="L653" s="625"/>
      <c r="M653" s="626"/>
      <c r="N653" s="626"/>
      <c r="O653" s="626"/>
      <c r="P653" s="626"/>
      <c r="Q653" s="626"/>
      <c r="W653" t="s">
        <v>2047</v>
      </c>
    </row>
    <row r="654" spans="1:23" ht="13.15" customHeight="1" x14ac:dyDescent="0.2">
      <c r="A654" s="2" t="s">
        <v>2199</v>
      </c>
      <c r="B654" s="2">
        <f t="shared" si="20"/>
        <v>2022</v>
      </c>
      <c r="C654" s="2" t="str">
        <f t="shared" si="21"/>
        <v>KZN226</v>
      </c>
      <c r="D654" s="2">
        <v>36</v>
      </c>
      <c r="F654" s="625"/>
      <c r="G654" s="625"/>
      <c r="H654" s="625"/>
      <c r="I654" s="625"/>
      <c r="J654" s="625"/>
      <c r="K654" s="625"/>
      <c r="L654" s="625"/>
      <c r="M654" s="626"/>
      <c r="N654" s="626"/>
      <c r="O654" s="626"/>
      <c r="P654" s="626"/>
      <c r="Q654" s="626"/>
      <c r="W654" t="s">
        <v>2047</v>
      </c>
    </row>
    <row r="655" spans="1:23" ht="13.15" customHeight="1" x14ac:dyDescent="0.2">
      <c r="A655" s="2" t="s">
        <v>2199</v>
      </c>
      <c r="B655" s="2">
        <f t="shared" si="20"/>
        <v>2022</v>
      </c>
      <c r="C655" s="2" t="str">
        <f t="shared" si="21"/>
        <v>KZN226</v>
      </c>
      <c r="D655" s="2">
        <v>37</v>
      </c>
      <c r="F655" s="625"/>
      <c r="G655" s="625"/>
      <c r="H655" s="625"/>
      <c r="I655" s="625"/>
      <c r="J655" s="625"/>
      <c r="K655" s="625"/>
      <c r="L655" s="625"/>
      <c r="M655" s="626"/>
      <c r="N655" s="626"/>
      <c r="O655" s="626"/>
      <c r="P655" s="626"/>
      <c r="Q655" s="626"/>
      <c r="W655" t="s">
        <v>2047</v>
      </c>
    </row>
    <row r="656" spans="1:23" ht="13.15" customHeight="1" x14ac:dyDescent="0.2">
      <c r="A656" s="2" t="s">
        <v>2199</v>
      </c>
      <c r="B656" s="2">
        <f t="shared" si="20"/>
        <v>2022</v>
      </c>
      <c r="C656" s="2" t="str">
        <f t="shared" si="21"/>
        <v>KZN226</v>
      </c>
      <c r="D656" s="2">
        <v>38</v>
      </c>
      <c r="F656" s="625"/>
      <c r="G656" s="625"/>
      <c r="H656" s="625"/>
      <c r="I656" s="625"/>
      <c r="J656" s="625"/>
      <c r="K656" s="625"/>
      <c r="L656" s="625"/>
      <c r="M656" s="626" t="s">
        <v>474</v>
      </c>
      <c r="N656" s="626">
        <v>0</v>
      </c>
      <c r="O656" s="626"/>
      <c r="P656" s="626"/>
      <c r="Q656" s="626"/>
      <c r="W656" t="s">
        <v>2047</v>
      </c>
    </row>
    <row r="657" spans="1:23" ht="13.15" customHeight="1" x14ac:dyDescent="0.2">
      <c r="A657" s="2" t="s">
        <v>2199</v>
      </c>
      <c r="B657" s="2">
        <f t="shared" si="20"/>
        <v>2022</v>
      </c>
      <c r="C657" s="2" t="str">
        <f t="shared" si="21"/>
        <v>KZN226</v>
      </c>
      <c r="D657" s="2">
        <v>39</v>
      </c>
      <c r="F657" s="625"/>
      <c r="G657" s="625"/>
      <c r="H657" s="625"/>
      <c r="I657" s="625"/>
      <c r="J657" s="625"/>
      <c r="K657" s="625"/>
      <c r="L657" s="625"/>
      <c r="M657" s="626"/>
      <c r="N657" s="626"/>
      <c r="O657" s="626"/>
      <c r="P657" s="626"/>
      <c r="Q657" s="626"/>
      <c r="W657" t="s">
        <v>2047</v>
      </c>
    </row>
    <row r="658" spans="1:23" ht="13.15" customHeight="1" x14ac:dyDescent="0.2">
      <c r="A658" s="2" t="s">
        <v>2199</v>
      </c>
      <c r="B658" s="2">
        <f t="shared" si="20"/>
        <v>2022</v>
      </c>
      <c r="C658" s="2" t="str">
        <f t="shared" si="21"/>
        <v>KZN226</v>
      </c>
      <c r="D658" s="2">
        <v>40</v>
      </c>
      <c r="F658" s="625"/>
      <c r="G658" s="625"/>
      <c r="H658" s="625"/>
      <c r="I658" s="625"/>
      <c r="J658" s="625"/>
      <c r="K658" s="625"/>
      <c r="L658" s="625"/>
      <c r="M658" s="626"/>
      <c r="N658" s="626"/>
      <c r="O658" s="626"/>
      <c r="P658" s="626"/>
      <c r="Q658" s="626"/>
      <c r="W658" t="s">
        <v>2047</v>
      </c>
    </row>
    <row r="659" spans="1:23" ht="13.15" customHeight="1" x14ac:dyDescent="0.2">
      <c r="A659" s="2" t="s">
        <v>2199</v>
      </c>
      <c r="B659" s="2">
        <f t="shared" si="20"/>
        <v>2022</v>
      </c>
      <c r="C659" s="2" t="str">
        <f t="shared" si="21"/>
        <v>KZN226</v>
      </c>
      <c r="D659" s="2">
        <v>41</v>
      </c>
      <c r="F659" s="625"/>
      <c r="G659" s="625"/>
      <c r="H659" s="625"/>
      <c r="I659" s="625"/>
      <c r="J659" s="625"/>
      <c r="K659" s="625"/>
      <c r="L659" s="625"/>
      <c r="M659" s="626"/>
      <c r="N659" s="626"/>
      <c r="O659" s="626"/>
      <c r="P659" s="626"/>
      <c r="Q659" s="626"/>
      <c r="W659" t="s">
        <v>2047</v>
      </c>
    </row>
    <row r="660" spans="1:23" ht="13.15" customHeight="1" x14ac:dyDescent="0.2">
      <c r="A660" s="2" t="s">
        <v>2199</v>
      </c>
      <c r="B660" s="2">
        <f t="shared" si="20"/>
        <v>2022</v>
      </c>
      <c r="C660" s="2" t="str">
        <f t="shared" si="21"/>
        <v>KZN226</v>
      </c>
      <c r="D660" s="2">
        <v>42</v>
      </c>
      <c r="F660" s="625"/>
      <c r="G660" s="625"/>
      <c r="H660" s="625"/>
      <c r="I660" s="625"/>
      <c r="J660" s="625"/>
      <c r="K660" s="625"/>
      <c r="L660" s="625"/>
      <c r="M660" s="626"/>
      <c r="N660" s="626"/>
      <c r="O660" s="626"/>
      <c r="P660" s="626"/>
      <c r="Q660" s="626"/>
      <c r="W660" t="s">
        <v>2047</v>
      </c>
    </row>
    <row r="661" spans="1:23" ht="13.15" customHeight="1" x14ac:dyDescent="0.2">
      <c r="A661" s="2" t="s">
        <v>2199</v>
      </c>
      <c r="B661" s="2">
        <f t="shared" si="20"/>
        <v>2022</v>
      </c>
      <c r="C661" s="2" t="str">
        <f t="shared" si="21"/>
        <v>KZN226</v>
      </c>
      <c r="D661" s="2">
        <v>43</v>
      </c>
      <c r="F661" s="625"/>
      <c r="G661" s="625"/>
      <c r="H661" s="625"/>
      <c r="I661" s="625"/>
      <c r="J661" s="625"/>
      <c r="K661" s="625"/>
      <c r="L661" s="625"/>
      <c r="M661" s="626"/>
      <c r="N661" s="626"/>
      <c r="O661" s="626"/>
      <c r="P661" s="626"/>
      <c r="Q661" s="626"/>
      <c r="W661" t="s">
        <v>2047</v>
      </c>
    </row>
    <row r="662" spans="1:23" ht="13.15" customHeight="1" x14ac:dyDescent="0.2">
      <c r="A662" s="2" t="s">
        <v>2199</v>
      </c>
      <c r="B662" s="2">
        <f t="shared" si="20"/>
        <v>2022</v>
      </c>
      <c r="C662" s="2" t="str">
        <f t="shared" si="21"/>
        <v>KZN226</v>
      </c>
      <c r="D662" s="2">
        <v>44</v>
      </c>
      <c r="F662" s="625"/>
      <c r="G662" s="625"/>
      <c r="H662" s="625"/>
      <c r="I662" s="625"/>
      <c r="J662" s="625"/>
      <c r="K662" s="625"/>
      <c r="L662" s="625"/>
      <c r="M662" s="626"/>
      <c r="N662" s="626"/>
      <c r="O662" s="626"/>
      <c r="P662" s="626"/>
      <c r="Q662" s="626"/>
      <c r="W662" t="s">
        <v>2047</v>
      </c>
    </row>
    <row r="663" spans="1:23" ht="13.15" customHeight="1" x14ac:dyDescent="0.2">
      <c r="A663" s="2" t="s">
        <v>2199</v>
      </c>
      <c r="B663" s="2">
        <f t="shared" si="20"/>
        <v>2022</v>
      </c>
      <c r="C663" s="2" t="str">
        <f t="shared" si="21"/>
        <v>KZN226</v>
      </c>
      <c r="D663" s="2">
        <v>45</v>
      </c>
      <c r="F663" s="625"/>
      <c r="G663" s="625"/>
      <c r="H663" s="625"/>
      <c r="I663" s="625"/>
      <c r="J663" s="625"/>
      <c r="K663" s="625"/>
      <c r="L663" s="625"/>
      <c r="M663" s="626"/>
      <c r="N663" s="626"/>
      <c r="O663" s="626"/>
      <c r="P663" s="626"/>
      <c r="Q663" s="626"/>
      <c r="W663" t="s">
        <v>2047</v>
      </c>
    </row>
    <row r="664" spans="1:23" ht="13.15" customHeight="1" x14ac:dyDescent="0.2">
      <c r="A664" s="2" t="s">
        <v>2199</v>
      </c>
      <c r="B664" s="2">
        <f t="shared" si="20"/>
        <v>2022</v>
      </c>
      <c r="C664" s="2" t="str">
        <f t="shared" si="21"/>
        <v>KZN226</v>
      </c>
      <c r="D664" s="2">
        <v>46</v>
      </c>
      <c r="F664" s="625"/>
      <c r="G664" s="625"/>
      <c r="H664" s="625"/>
      <c r="I664" s="625"/>
      <c r="J664" s="625"/>
      <c r="K664" s="625"/>
      <c r="L664" s="625"/>
      <c r="M664" s="626"/>
      <c r="N664" s="626"/>
      <c r="O664" s="626"/>
      <c r="P664" s="626"/>
      <c r="Q664" s="626"/>
      <c r="W664" t="s">
        <v>2047</v>
      </c>
    </row>
    <row r="665" spans="1:23" ht="13.15" customHeight="1" x14ac:dyDescent="0.2">
      <c r="A665" s="2" t="s">
        <v>2199</v>
      </c>
      <c r="B665" s="2">
        <f t="shared" si="20"/>
        <v>2022</v>
      </c>
      <c r="C665" s="2" t="str">
        <f t="shared" si="21"/>
        <v>KZN226</v>
      </c>
      <c r="D665" s="2">
        <v>47</v>
      </c>
      <c r="F665" s="625"/>
      <c r="G665" s="625"/>
      <c r="H665" s="625"/>
      <c r="I665" s="625"/>
      <c r="J665" s="625"/>
      <c r="K665" s="625"/>
      <c r="L665" s="625"/>
      <c r="M665" s="626"/>
      <c r="N665" s="626"/>
      <c r="O665" s="626"/>
      <c r="P665" s="626"/>
      <c r="Q665" s="626"/>
      <c r="W665" t="s">
        <v>2047</v>
      </c>
    </row>
    <row r="666" spans="1:23" ht="13.15" customHeight="1" x14ac:dyDescent="0.2">
      <c r="A666" s="2" t="s">
        <v>2199</v>
      </c>
      <c r="B666" s="2">
        <f t="shared" si="20"/>
        <v>2022</v>
      </c>
      <c r="C666" s="2" t="str">
        <f t="shared" si="21"/>
        <v>KZN226</v>
      </c>
      <c r="D666" s="2">
        <v>48</v>
      </c>
      <c r="F666" s="625"/>
      <c r="G666" s="625"/>
      <c r="H666" s="625"/>
      <c r="I666" s="625"/>
      <c r="J666" s="625"/>
      <c r="K666" s="625"/>
      <c r="L666" s="625"/>
      <c r="M666" s="626"/>
      <c r="N666" s="626"/>
      <c r="O666" s="626"/>
      <c r="P666" s="626"/>
      <c r="Q666" s="626"/>
      <c r="W666" t="s">
        <v>2047</v>
      </c>
    </row>
    <row r="667" spans="1:23" ht="13.15" customHeight="1" x14ac:dyDescent="0.2">
      <c r="A667" s="2" t="s">
        <v>2199</v>
      </c>
      <c r="B667" s="2">
        <f t="shared" si="20"/>
        <v>2022</v>
      </c>
      <c r="C667" s="2" t="str">
        <f t="shared" si="21"/>
        <v>KZN226</v>
      </c>
      <c r="D667" s="2">
        <v>49</v>
      </c>
      <c r="F667" s="625"/>
      <c r="G667" s="625"/>
      <c r="H667" s="625"/>
      <c r="I667" s="625"/>
      <c r="J667" s="625"/>
      <c r="K667" s="625"/>
      <c r="L667" s="625"/>
      <c r="M667" s="626"/>
      <c r="N667" s="626"/>
      <c r="O667" s="626"/>
      <c r="P667" s="626"/>
      <c r="Q667" s="626"/>
      <c r="W667" t="s">
        <v>2047</v>
      </c>
    </row>
    <row r="668" spans="1:23" ht="13.15" customHeight="1" x14ac:dyDescent="0.2">
      <c r="A668" s="2" t="s">
        <v>2199</v>
      </c>
      <c r="B668" s="2">
        <f t="shared" si="20"/>
        <v>2022</v>
      </c>
      <c r="C668" s="2" t="str">
        <f t="shared" si="21"/>
        <v>KZN226</v>
      </c>
      <c r="D668" s="2">
        <v>50</v>
      </c>
      <c r="F668" s="625"/>
      <c r="G668" s="625"/>
      <c r="H668" s="625"/>
      <c r="I668" s="625"/>
      <c r="J668" s="625"/>
      <c r="K668" s="625"/>
      <c r="L668" s="625"/>
      <c r="M668" s="626"/>
      <c r="N668" s="626"/>
      <c r="O668" s="626"/>
      <c r="P668" s="626"/>
      <c r="Q668" s="626"/>
      <c r="W668" t="s">
        <v>2047</v>
      </c>
    </row>
    <row r="669" spans="1:23" ht="13.15" customHeight="1" x14ac:dyDescent="0.2">
      <c r="A669" s="2" t="s">
        <v>2199</v>
      </c>
      <c r="B669" s="2">
        <f t="shared" si="20"/>
        <v>2022</v>
      </c>
      <c r="C669" s="2" t="str">
        <f t="shared" si="21"/>
        <v>KZN226</v>
      </c>
      <c r="D669" s="2">
        <v>51</v>
      </c>
      <c r="F669" s="625"/>
      <c r="G669" s="625"/>
      <c r="H669" s="625"/>
      <c r="I669" s="625"/>
      <c r="J669" s="625"/>
      <c r="K669" s="625"/>
      <c r="L669" s="625"/>
      <c r="M669" s="626"/>
      <c r="N669" s="626"/>
      <c r="O669" s="626"/>
      <c r="P669" s="626"/>
      <c r="Q669" s="626"/>
      <c r="W669" t="s">
        <v>2047</v>
      </c>
    </row>
    <row r="670" spans="1:23" ht="13.15" customHeight="1" x14ac:dyDescent="0.2">
      <c r="A670" s="2" t="s">
        <v>2199</v>
      </c>
      <c r="B670" s="2">
        <f t="shared" si="20"/>
        <v>2022</v>
      </c>
      <c r="C670" s="2" t="str">
        <f t="shared" si="21"/>
        <v>KZN226</v>
      </c>
      <c r="D670" s="2">
        <v>52</v>
      </c>
      <c r="F670" s="625"/>
      <c r="G670" s="625"/>
      <c r="H670" s="625"/>
      <c r="I670" s="625"/>
      <c r="J670" s="625"/>
      <c r="K670" s="625"/>
      <c r="L670" s="625"/>
      <c r="M670" s="626"/>
      <c r="N670" s="626"/>
      <c r="O670" s="626"/>
      <c r="P670" s="626"/>
      <c r="Q670" s="626"/>
      <c r="W670" t="s">
        <v>2047</v>
      </c>
    </row>
    <row r="671" spans="1:23" ht="13.15" customHeight="1" x14ac:dyDescent="0.2">
      <c r="A671" s="2" t="s">
        <v>2199</v>
      </c>
      <c r="B671" s="2">
        <f t="shared" si="20"/>
        <v>2022</v>
      </c>
      <c r="C671" s="2" t="str">
        <f t="shared" si="21"/>
        <v>KZN226</v>
      </c>
      <c r="D671" s="2">
        <v>53</v>
      </c>
      <c r="F671" s="625"/>
      <c r="G671" s="625"/>
      <c r="H671" s="625"/>
      <c r="I671" s="625"/>
      <c r="J671" s="625"/>
      <c r="K671" s="625"/>
      <c r="L671" s="625"/>
      <c r="M671" s="626"/>
      <c r="N671" s="626"/>
      <c r="O671" s="626"/>
      <c r="P671" s="626"/>
      <c r="Q671" s="626"/>
      <c r="W671" t="s">
        <v>2047</v>
      </c>
    </row>
    <row r="672" spans="1:23" ht="13.15" customHeight="1" x14ac:dyDescent="0.2">
      <c r="A672" s="2" t="s">
        <v>2199</v>
      </c>
      <c r="B672" s="2">
        <f t="shared" si="20"/>
        <v>2022</v>
      </c>
      <c r="C672" s="2" t="str">
        <f t="shared" si="21"/>
        <v>KZN226</v>
      </c>
      <c r="D672" s="2">
        <v>54</v>
      </c>
      <c r="F672" s="625"/>
      <c r="G672" s="625"/>
      <c r="H672" s="625"/>
      <c r="I672" s="625"/>
      <c r="J672" s="625"/>
      <c r="K672" s="625"/>
      <c r="L672" s="625"/>
      <c r="M672" s="626"/>
      <c r="N672" s="626"/>
      <c r="O672" s="626"/>
      <c r="P672" s="626"/>
      <c r="Q672" s="626"/>
      <c r="W672" t="s">
        <v>2047</v>
      </c>
    </row>
    <row r="673" spans="1:23" ht="13.15" customHeight="1" x14ac:dyDescent="0.2">
      <c r="A673" s="2" t="s">
        <v>2199</v>
      </c>
      <c r="B673" s="2">
        <f t="shared" si="20"/>
        <v>2022</v>
      </c>
      <c r="C673" s="2" t="str">
        <f t="shared" si="21"/>
        <v>KZN226</v>
      </c>
      <c r="D673" s="2">
        <v>55</v>
      </c>
      <c r="F673" s="625"/>
      <c r="G673" s="625"/>
      <c r="H673" s="625"/>
      <c r="I673" s="625"/>
      <c r="J673" s="625"/>
      <c r="K673" s="625"/>
      <c r="L673" s="625"/>
      <c r="M673" s="626"/>
      <c r="N673" s="626"/>
      <c r="O673" s="626"/>
      <c r="P673" s="626"/>
      <c r="Q673" s="626"/>
      <c r="W673" t="s">
        <v>2047</v>
      </c>
    </row>
    <row r="674" spans="1:23" ht="13.15" customHeight="1" x14ac:dyDescent="0.2">
      <c r="A674" s="2" t="s">
        <v>2199</v>
      </c>
      <c r="B674" s="2">
        <f t="shared" si="20"/>
        <v>2022</v>
      </c>
      <c r="C674" s="2" t="str">
        <f t="shared" si="21"/>
        <v>KZN226</v>
      </c>
      <c r="D674" s="2">
        <v>56</v>
      </c>
      <c r="F674" s="625"/>
      <c r="G674" s="625"/>
      <c r="H674" s="625"/>
      <c r="I674" s="625"/>
      <c r="J674" s="625"/>
      <c r="K674" s="625"/>
      <c r="L674" s="625"/>
      <c r="M674" s="626"/>
      <c r="N674" s="626"/>
      <c r="O674" s="626"/>
      <c r="P674" s="626"/>
      <c r="Q674" s="626"/>
      <c r="W674" t="s">
        <v>2047</v>
      </c>
    </row>
    <row r="675" spans="1:23" ht="13.15" customHeight="1" x14ac:dyDescent="0.2">
      <c r="A675" s="2" t="s">
        <v>2199</v>
      </c>
      <c r="B675" s="2">
        <f t="shared" si="20"/>
        <v>2022</v>
      </c>
      <c r="C675" s="2" t="str">
        <f t="shared" si="21"/>
        <v>KZN226</v>
      </c>
      <c r="D675" s="2">
        <v>57</v>
      </c>
      <c r="F675" s="625"/>
      <c r="G675" s="625"/>
      <c r="H675" s="625"/>
      <c r="I675" s="625"/>
      <c r="J675" s="625"/>
      <c r="K675" s="625"/>
      <c r="L675" s="625"/>
      <c r="M675" s="626"/>
      <c r="N675" s="626"/>
      <c r="O675" s="626"/>
      <c r="P675" s="626"/>
      <c r="Q675" s="626"/>
      <c r="W675" t="s">
        <v>2047</v>
      </c>
    </row>
    <row r="676" spans="1:23" ht="13.15" customHeight="1" x14ac:dyDescent="0.2">
      <c r="A676" s="2" t="s">
        <v>2199</v>
      </c>
      <c r="B676" s="2">
        <f t="shared" si="20"/>
        <v>2022</v>
      </c>
      <c r="C676" s="2" t="str">
        <f t="shared" si="21"/>
        <v>KZN226</v>
      </c>
      <c r="D676" s="2">
        <v>58</v>
      </c>
      <c r="F676" s="625"/>
      <c r="G676" s="625"/>
      <c r="H676" s="625"/>
      <c r="I676" s="625"/>
      <c r="J676" s="625"/>
      <c r="K676" s="625"/>
      <c r="L676" s="625"/>
      <c r="M676" s="626"/>
      <c r="N676" s="626"/>
      <c r="O676" s="626"/>
      <c r="P676" s="626"/>
      <c r="Q676" s="626"/>
      <c r="W676" t="s">
        <v>2047</v>
      </c>
    </row>
    <row r="677" spans="1:23" ht="13.15" customHeight="1" x14ac:dyDescent="0.2">
      <c r="A677" s="2" t="s">
        <v>2199</v>
      </c>
      <c r="B677" s="2">
        <f t="shared" si="20"/>
        <v>2022</v>
      </c>
      <c r="C677" s="2" t="str">
        <f t="shared" si="21"/>
        <v>KZN226</v>
      </c>
      <c r="D677" s="2">
        <v>59</v>
      </c>
      <c r="F677" s="625"/>
      <c r="G677" s="625"/>
      <c r="H677" s="625"/>
      <c r="I677" s="625"/>
      <c r="J677" s="625"/>
      <c r="K677" s="625"/>
      <c r="L677" s="625"/>
      <c r="M677" s="626"/>
      <c r="N677" s="626"/>
      <c r="O677" s="626"/>
      <c r="P677" s="626"/>
      <c r="Q677" s="626"/>
      <c r="W677" t="s">
        <v>2047</v>
      </c>
    </row>
    <row r="678" spans="1:23" ht="13.15" customHeight="1" x14ac:dyDescent="0.2">
      <c r="A678" s="2" t="s">
        <v>2199</v>
      </c>
      <c r="B678" s="2">
        <f t="shared" si="20"/>
        <v>2022</v>
      </c>
      <c r="C678" s="2" t="str">
        <f t="shared" si="21"/>
        <v>KZN226</v>
      </c>
      <c r="D678" s="2">
        <v>60</v>
      </c>
      <c r="F678" s="625"/>
      <c r="G678" s="625"/>
      <c r="H678" s="625"/>
      <c r="I678" s="625"/>
      <c r="J678" s="625"/>
      <c r="K678" s="625"/>
      <c r="L678" s="625"/>
      <c r="M678" s="626"/>
      <c r="N678" s="626"/>
      <c r="O678" s="626"/>
      <c r="P678" s="626"/>
      <c r="Q678" s="626"/>
      <c r="W678" t="s">
        <v>2047</v>
      </c>
    </row>
    <row r="679" spans="1:23" ht="13.15" customHeight="1" x14ac:dyDescent="0.2">
      <c r="A679" s="2" t="s">
        <v>2199</v>
      </c>
      <c r="B679" s="2">
        <f t="shared" si="20"/>
        <v>2022</v>
      </c>
      <c r="C679" s="2" t="str">
        <f t="shared" si="21"/>
        <v>KZN226</v>
      </c>
      <c r="D679" s="2">
        <v>61</v>
      </c>
      <c r="F679" s="625"/>
      <c r="G679" s="625"/>
      <c r="H679" s="625"/>
      <c r="I679" s="625"/>
      <c r="J679" s="625"/>
      <c r="K679" s="625"/>
      <c r="L679" s="625"/>
      <c r="M679" s="626"/>
      <c r="N679" s="626"/>
      <c r="O679" s="626"/>
      <c r="P679" s="626"/>
      <c r="Q679" s="626"/>
      <c r="W679" t="s">
        <v>2047</v>
      </c>
    </row>
    <row r="680" spans="1:23" ht="13.15" customHeight="1" x14ac:dyDescent="0.2">
      <c r="A680" s="2" t="s">
        <v>2199</v>
      </c>
      <c r="B680" s="2">
        <f t="shared" si="20"/>
        <v>2022</v>
      </c>
      <c r="C680" s="2" t="str">
        <f t="shared" si="21"/>
        <v>KZN226</v>
      </c>
      <c r="D680" s="2">
        <v>62</v>
      </c>
      <c r="F680" s="625"/>
      <c r="G680" s="625"/>
      <c r="H680" s="625"/>
      <c r="I680" s="625"/>
      <c r="J680" s="625"/>
      <c r="K680" s="625"/>
      <c r="L680" s="625"/>
      <c r="M680" s="626"/>
      <c r="N680" s="626"/>
      <c r="O680" s="626"/>
      <c r="P680" s="626"/>
      <c r="Q680" s="626"/>
      <c r="W680" t="s">
        <v>2047</v>
      </c>
    </row>
    <row r="681" spans="1:23" ht="13.15" customHeight="1" x14ac:dyDescent="0.2">
      <c r="A681" s="2" t="s">
        <v>2199</v>
      </c>
      <c r="B681" s="2">
        <f t="shared" si="20"/>
        <v>2022</v>
      </c>
      <c r="C681" s="2" t="str">
        <f t="shared" si="21"/>
        <v>KZN226</v>
      </c>
      <c r="D681" s="2">
        <v>63</v>
      </c>
      <c r="F681" s="625"/>
      <c r="G681" s="625"/>
      <c r="H681" s="625"/>
      <c r="I681" s="625"/>
      <c r="J681" s="625"/>
      <c r="K681" s="625"/>
      <c r="L681" s="625"/>
      <c r="M681" s="626"/>
      <c r="N681" s="626"/>
      <c r="O681" s="626"/>
      <c r="P681" s="626"/>
      <c r="Q681" s="626"/>
      <c r="W681" t="s">
        <v>2047</v>
      </c>
    </row>
    <row r="682" spans="1:23" ht="13.15" customHeight="1" x14ac:dyDescent="0.2">
      <c r="A682" s="2" t="s">
        <v>2199</v>
      </c>
      <c r="B682" s="2">
        <f t="shared" si="20"/>
        <v>2022</v>
      </c>
      <c r="C682" s="2" t="str">
        <f t="shared" si="21"/>
        <v>KZN226</v>
      </c>
      <c r="D682" s="2">
        <v>64</v>
      </c>
      <c r="F682" s="625"/>
      <c r="G682" s="625"/>
      <c r="H682" s="625"/>
      <c r="I682" s="625"/>
      <c r="J682" s="625"/>
      <c r="K682" s="625"/>
      <c r="L682" s="625"/>
      <c r="M682" s="626"/>
      <c r="N682" s="626"/>
      <c r="O682" s="626"/>
      <c r="P682" s="626"/>
      <c r="Q682" s="626"/>
      <c r="W682" t="s">
        <v>2047</v>
      </c>
    </row>
    <row r="683" spans="1:23" ht="13.15" customHeight="1" x14ac:dyDescent="0.2">
      <c r="A683" s="2" t="s">
        <v>2199</v>
      </c>
      <c r="B683" s="2">
        <f t="shared" si="20"/>
        <v>2022</v>
      </c>
      <c r="C683" s="2" t="str">
        <f t="shared" si="21"/>
        <v>KZN226</v>
      </c>
      <c r="D683" s="2">
        <v>65</v>
      </c>
      <c r="F683" s="625"/>
      <c r="G683" s="625"/>
      <c r="H683" s="625"/>
      <c r="I683" s="625"/>
      <c r="J683" s="625"/>
      <c r="K683" s="625"/>
      <c r="L683" s="625"/>
      <c r="M683" s="626"/>
      <c r="N683" s="626"/>
      <c r="O683" s="626"/>
      <c r="P683" s="626"/>
      <c r="Q683" s="626"/>
      <c r="W683" t="s">
        <v>2047</v>
      </c>
    </row>
    <row r="684" spans="1:23" ht="13.15" customHeight="1" x14ac:dyDescent="0.2">
      <c r="A684" s="2" t="s">
        <v>2199</v>
      </c>
      <c r="B684" s="2">
        <f t="shared" si="20"/>
        <v>2022</v>
      </c>
      <c r="C684" s="2" t="str">
        <f t="shared" si="21"/>
        <v>KZN226</v>
      </c>
      <c r="D684" s="2">
        <v>66</v>
      </c>
      <c r="F684" s="625"/>
      <c r="G684" s="625"/>
      <c r="H684" s="625"/>
      <c r="I684" s="625"/>
      <c r="J684" s="625"/>
      <c r="K684" s="625"/>
      <c r="L684" s="625"/>
      <c r="M684" s="626"/>
      <c r="N684" s="626"/>
      <c r="O684" s="626"/>
      <c r="P684" s="626"/>
      <c r="Q684" s="626"/>
      <c r="W684" t="s">
        <v>2047</v>
      </c>
    </row>
    <row r="685" spans="1:23" ht="13.15" customHeight="1" x14ac:dyDescent="0.2">
      <c r="A685" s="2" t="s">
        <v>2199</v>
      </c>
      <c r="B685" s="2">
        <f t="shared" si="20"/>
        <v>2022</v>
      </c>
      <c r="C685" s="2" t="str">
        <f t="shared" si="21"/>
        <v>KZN226</v>
      </c>
      <c r="D685" s="2">
        <v>67</v>
      </c>
      <c r="F685" s="625"/>
      <c r="G685" s="625"/>
      <c r="H685" s="625"/>
      <c r="I685" s="625"/>
      <c r="J685" s="625"/>
      <c r="K685" s="625"/>
      <c r="L685" s="625"/>
      <c r="M685" s="626"/>
      <c r="N685" s="626"/>
      <c r="O685" s="626"/>
      <c r="P685" s="626"/>
      <c r="Q685" s="626"/>
      <c r="W685" t="s">
        <v>2047</v>
      </c>
    </row>
    <row r="686" spans="1:23" ht="13.15" customHeight="1" x14ac:dyDescent="0.2">
      <c r="A686" s="2" t="s">
        <v>2199</v>
      </c>
      <c r="B686" s="2">
        <f t="shared" si="20"/>
        <v>2022</v>
      </c>
      <c r="C686" s="2" t="str">
        <f t="shared" si="21"/>
        <v>KZN226</v>
      </c>
      <c r="D686" s="2">
        <v>68</v>
      </c>
      <c r="F686" s="625"/>
      <c r="G686" s="625"/>
      <c r="H686" s="625"/>
      <c r="I686" s="625"/>
      <c r="J686" s="625"/>
      <c r="K686" s="625"/>
      <c r="L686" s="625"/>
      <c r="M686" s="626"/>
      <c r="N686" s="626"/>
      <c r="O686" s="626"/>
      <c r="P686" s="626"/>
      <c r="Q686" s="626"/>
      <c r="W686" t="s">
        <v>2047</v>
      </c>
    </row>
    <row r="687" spans="1:23" ht="13.15" customHeight="1" x14ac:dyDescent="0.2">
      <c r="A687" s="2" t="s">
        <v>2199</v>
      </c>
      <c r="B687" s="2">
        <f t="shared" si="20"/>
        <v>2022</v>
      </c>
      <c r="C687" s="2" t="str">
        <f t="shared" si="21"/>
        <v>KZN226</v>
      </c>
      <c r="D687" s="2">
        <v>69</v>
      </c>
      <c r="F687" s="625"/>
      <c r="G687" s="625"/>
      <c r="H687" s="625"/>
      <c r="I687" s="625"/>
      <c r="J687" s="625"/>
      <c r="K687" s="625"/>
      <c r="L687" s="625"/>
      <c r="M687" s="626"/>
      <c r="N687" s="626"/>
      <c r="O687" s="626"/>
      <c r="P687" s="626"/>
      <c r="Q687" s="626"/>
      <c r="W687" t="s">
        <v>2047</v>
      </c>
    </row>
    <row r="688" spans="1:23" ht="13.15" customHeight="1" x14ac:dyDescent="0.2">
      <c r="A688" s="2" t="s">
        <v>2199</v>
      </c>
      <c r="B688" s="2">
        <f t="shared" si="20"/>
        <v>2022</v>
      </c>
      <c r="C688" s="2" t="str">
        <f t="shared" si="21"/>
        <v>KZN226</v>
      </c>
      <c r="D688" s="2">
        <v>70</v>
      </c>
      <c r="F688" s="625"/>
      <c r="G688" s="625"/>
      <c r="H688" s="625"/>
      <c r="I688" s="625"/>
      <c r="J688" s="625"/>
      <c r="K688" s="625"/>
      <c r="L688" s="625"/>
      <c r="M688" s="626"/>
      <c r="N688" s="626"/>
      <c r="O688" s="626"/>
      <c r="P688" s="626"/>
      <c r="Q688" s="626"/>
      <c r="W688" t="s">
        <v>2047</v>
      </c>
    </row>
    <row r="689" spans="1:23" ht="13.15" customHeight="1" x14ac:dyDescent="0.2">
      <c r="A689" s="2" t="s">
        <v>2199</v>
      </c>
      <c r="B689" s="2">
        <f t="shared" si="20"/>
        <v>2022</v>
      </c>
      <c r="C689" s="2" t="str">
        <f t="shared" si="21"/>
        <v>KZN226</v>
      </c>
      <c r="D689" s="2">
        <v>71</v>
      </c>
      <c r="F689" s="625"/>
      <c r="G689" s="625"/>
      <c r="H689" s="625"/>
      <c r="I689" s="625"/>
      <c r="J689" s="625"/>
      <c r="K689" s="625"/>
      <c r="L689" s="625"/>
      <c r="M689" s="626"/>
      <c r="N689" s="626"/>
      <c r="O689" s="626"/>
      <c r="P689" s="626"/>
      <c r="Q689" s="626"/>
      <c r="W689" t="s">
        <v>2047</v>
      </c>
    </row>
    <row r="690" spans="1:23" ht="13.15" customHeight="1" x14ac:dyDescent="0.2">
      <c r="A690" s="2" t="s">
        <v>2199</v>
      </c>
      <c r="B690" s="2">
        <f t="shared" si="20"/>
        <v>2022</v>
      </c>
      <c r="C690" s="2" t="str">
        <f t="shared" si="21"/>
        <v>KZN226</v>
      </c>
      <c r="D690" s="2">
        <v>72</v>
      </c>
      <c r="F690" s="625"/>
      <c r="G690" s="625"/>
      <c r="H690" s="625"/>
      <c r="I690" s="625"/>
      <c r="J690" s="625"/>
      <c r="K690" s="625"/>
      <c r="L690" s="625"/>
      <c r="M690" s="626"/>
      <c r="N690" s="626"/>
      <c r="O690" s="626"/>
      <c r="P690" s="626"/>
      <c r="Q690" s="626"/>
      <c r="W690" t="s">
        <v>2047</v>
      </c>
    </row>
    <row r="691" spans="1:23" ht="13.15" customHeight="1" x14ac:dyDescent="0.2">
      <c r="A691" s="2" t="s">
        <v>2199</v>
      </c>
      <c r="B691" s="2">
        <f t="shared" si="20"/>
        <v>2022</v>
      </c>
      <c r="C691" s="2" t="str">
        <f t="shared" si="21"/>
        <v>KZN226</v>
      </c>
      <c r="D691" s="2">
        <v>73</v>
      </c>
      <c r="F691" s="625"/>
      <c r="G691" s="625"/>
      <c r="H691" s="625"/>
      <c r="I691" s="625"/>
      <c r="J691" s="625"/>
      <c r="K691" s="625"/>
      <c r="L691" s="625"/>
      <c r="M691" s="626"/>
      <c r="N691" s="626"/>
      <c r="O691" s="626"/>
      <c r="P691" s="626"/>
      <c r="Q691" s="626"/>
      <c r="W691" t="s">
        <v>2047</v>
      </c>
    </row>
    <row r="692" spans="1:23" ht="13.15" customHeight="1" x14ac:dyDescent="0.2">
      <c r="A692" s="2" t="s">
        <v>2199</v>
      </c>
      <c r="B692" s="2">
        <f t="shared" si="20"/>
        <v>2022</v>
      </c>
      <c r="C692" s="2" t="str">
        <f t="shared" si="21"/>
        <v>KZN226</v>
      </c>
      <c r="D692" s="2">
        <v>74</v>
      </c>
      <c r="F692" s="625"/>
      <c r="G692" s="625"/>
      <c r="H692" s="625"/>
      <c r="I692" s="625"/>
      <c r="J692" s="625"/>
      <c r="K692" s="625"/>
      <c r="L692" s="625"/>
      <c r="M692" s="626"/>
      <c r="N692" s="626"/>
      <c r="O692" s="626"/>
      <c r="P692" s="626"/>
      <c r="Q692" s="626"/>
      <c r="W692" t="s">
        <v>2047</v>
      </c>
    </row>
    <row r="693" spans="1:23" ht="13.15" customHeight="1" x14ac:dyDescent="0.2">
      <c r="A693" s="2" t="s">
        <v>2199</v>
      </c>
      <c r="B693" s="2">
        <f t="shared" si="20"/>
        <v>2022</v>
      </c>
      <c r="C693" s="2" t="str">
        <f t="shared" si="21"/>
        <v>KZN226</v>
      </c>
      <c r="D693" s="2">
        <v>75</v>
      </c>
      <c r="F693" s="625"/>
      <c r="G693" s="625"/>
      <c r="H693" s="625"/>
      <c r="I693" s="625"/>
      <c r="J693" s="625"/>
      <c r="K693" s="625"/>
      <c r="L693" s="625"/>
      <c r="M693" s="626"/>
      <c r="N693" s="626"/>
      <c r="O693" s="626"/>
      <c r="P693" s="626"/>
      <c r="Q693" s="626"/>
      <c r="W693" t="s">
        <v>2047</v>
      </c>
    </row>
    <row r="694" spans="1:23" ht="13.15" customHeight="1" x14ac:dyDescent="0.2">
      <c r="A694" s="2" t="s">
        <v>2199</v>
      </c>
      <c r="B694" s="2">
        <f t="shared" si="20"/>
        <v>2022</v>
      </c>
      <c r="C694" s="2" t="str">
        <f t="shared" si="21"/>
        <v>KZN226</v>
      </c>
      <c r="D694" s="2">
        <v>76</v>
      </c>
      <c r="F694" s="625"/>
      <c r="G694" s="625"/>
      <c r="H694" s="625"/>
      <c r="I694" s="625"/>
      <c r="J694" s="625"/>
      <c r="K694" s="625"/>
      <c r="L694" s="625"/>
      <c r="M694" s="626"/>
      <c r="N694" s="626"/>
      <c r="O694" s="626"/>
      <c r="P694" s="626"/>
      <c r="Q694" s="626"/>
      <c r="W694" t="s">
        <v>2047</v>
      </c>
    </row>
    <row r="695" spans="1:23" ht="13.15" customHeight="1" x14ac:dyDescent="0.2">
      <c r="A695" s="2" t="s">
        <v>2199</v>
      </c>
      <c r="B695" s="2">
        <f t="shared" si="20"/>
        <v>2022</v>
      </c>
      <c r="C695" s="2" t="str">
        <f t="shared" si="21"/>
        <v>KZN226</v>
      </c>
      <c r="D695" s="2">
        <v>77</v>
      </c>
      <c r="F695" s="625"/>
      <c r="G695" s="625"/>
      <c r="H695" s="625"/>
      <c r="I695" s="625"/>
      <c r="J695" s="625"/>
      <c r="K695" s="625"/>
      <c r="L695" s="625"/>
      <c r="M695" s="626"/>
      <c r="N695" s="626"/>
      <c r="O695" s="626"/>
      <c r="P695" s="626"/>
      <c r="Q695" s="626"/>
      <c r="W695" t="s">
        <v>2047</v>
      </c>
    </row>
    <row r="696" spans="1:23" ht="13.15" customHeight="1" x14ac:dyDescent="0.2">
      <c r="A696" s="2" t="s">
        <v>2199</v>
      </c>
      <c r="B696" s="2">
        <f t="shared" si="20"/>
        <v>2022</v>
      </c>
      <c r="C696" s="2" t="str">
        <f t="shared" si="21"/>
        <v>KZN226</v>
      </c>
      <c r="D696" s="2">
        <v>78</v>
      </c>
      <c r="F696" s="625"/>
      <c r="G696" s="625"/>
      <c r="H696" s="625"/>
      <c r="I696" s="625"/>
      <c r="J696" s="625"/>
      <c r="K696" s="625"/>
      <c r="L696" s="625"/>
      <c r="M696" s="626"/>
      <c r="N696" s="626"/>
      <c r="O696" s="626"/>
      <c r="P696" s="626"/>
      <c r="Q696" s="626"/>
      <c r="W696" t="s">
        <v>2047</v>
      </c>
    </row>
    <row r="697" spans="1:23" ht="13.15" customHeight="1" x14ac:dyDescent="0.2">
      <c r="A697" s="2" t="s">
        <v>2199</v>
      </c>
      <c r="B697" s="2">
        <f t="shared" si="20"/>
        <v>2022</v>
      </c>
      <c r="C697" s="2" t="str">
        <f t="shared" si="21"/>
        <v>KZN226</v>
      </c>
      <c r="D697" s="2">
        <v>79</v>
      </c>
      <c r="F697" s="625"/>
      <c r="G697" s="625"/>
      <c r="H697" s="625"/>
      <c r="I697" s="625"/>
      <c r="J697" s="625"/>
      <c r="K697" s="625"/>
      <c r="L697" s="625"/>
      <c r="M697" s="626"/>
      <c r="N697" s="626"/>
      <c r="O697" s="626"/>
      <c r="P697" s="626"/>
      <c r="Q697" s="626"/>
      <c r="W697" t="s">
        <v>2047</v>
      </c>
    </row>
    <row r="698" spans="1:23" ht="13.15" customHeight="1" x14ac:dyDescent="0.2">
      <c r="A698" s="2" t="s">
        <v>2199</v>
      </c>
      <c r="B698" s="2">
        <f t="shared" si="20"/>
        <v>2022</v>
      </c>
      <c r="C698" s="2" t="str">
        <f t="shared" si="21"/>
        <v>KZN226</v>
      </c>
      <c r="D698" s="2">
        <v>80</v>
      </c>
      <c r="F698" s="625"/>
      <c r="G698" s="625"/>
      <c r="H698" s="625"/>
      <c r="I698" s="625"/>
      <c r="J698" s="625"/>
      <c r="K698" s="625"/>
      <c r="L698" s="625"/>
      <c r="M698" s="626"/>
      <c r="N698" s="626"/>
      <c r="O698" s="626"/>
      <c r="P698" s="626"/>
      <c r="Q698" s="626"/>
      <c r="W698" t="s">
        <v>2047</v>
      </c>
    </row>
    <row r="699" spans="1:23" ht="13.15" customHeight="1" x14ac:dyDescent="0.2">
      <c r="A699" s="2" t="s">
        <v>2199</v>
      </c>
      <c r="B699" s="2">
        <f t="shared" si="20"/>
        <v>2022</v>
      </c>
      <c r="C699" s="2" t="str">
        <f t="shared" si="21"/>
        <v>KZN226</v>
      </c>
      <c r="D699" s="2">
        <v>81</v>
      </c>
      <c r="F699" s="625"/>
      <c r="G699" s="625"/>
      <c r="H699" s="625"/>
      <c r="I699" s="625"/>
      <c r="J699" s="625"/>
      <c r="K699" s="625"/>
      <c r="L699" s="625"/>
      <c r="M699" s="626"/>
      <c r="N699" s="626"/>
      <c r="O699" s="626"/>
      <c r="P699" s="626"/>
      <c r="Q699" s="626"/>
      <c r="W699" t="s">
        <v>2047</v>
      </c>
    </row>
    <row r="700" spans="1:23" ht="13.15" customHeight="1" x14ac:dyDescent="0.2">
      <c r="A700" s="2" t="s">
        <v>2199</v>
      </c>
      <c r="B700" s="2">
        <f t="shared" si="20"/>
        <v>2022</v>
      </c>
      <c r="C700" s="2" t="str">
        <f t="shared" si="21"/>
        <v>KZN226</v>
      </c>
      <c r="D700" s="2">
        <v>82</v>
      </c>
      <c r="F700" s="625"/>
      <c r="G700" s="625"/>
      <c r="H700" s="625"/>
      <c r="I700" s="625"/>
      <c r="J700" s="625"/>
      <c r="K700" s="625"/>
      <c r="L700" s="625"/>
      <c r="M700" s="626"/>
      <c r="N700" s="626"/>
      <c r="O700" s="626"/>
      <c r="P700" s="626"/>
      <c r="Q700" s="626"/>
      <c r="W700" t="s">
        <v>2047</v>
      </c>
    </row>
    <row r="701" spans="1:23" ht="13.15" customHeight="1" x14ac:dyDescent="0.2">
      <c r="A701" s="2" t="s">
        <v>2199</v>
      </c>
      <c r="B701" s="2">
        <f t="shared" si="20"/>
        <v>2022</v>
      </c>
      <c r="C701" s="2" t="str">
        <f t="shared" si="21"/>
        <v>KZN226</v>
      </c>
      <c r="D701" s="2">
        <v>83</v>
      </c>
      <c r="F701" s="625"/>
      <c r="G701" s="625"/>
      <c r="H701" s="625"/>
      <c r="I701" s="625"/>
      <c r="J701" s="625"/>
      <c r="K701" s="625"/>
      <c r="L701" s="625"/>
      <c r="M701" s="626"/>
      <c r="N701" s="626"/>
      <c r="O701" s="626"/>
      <c r="P701" s="626"/>
      <c r="Q701" s="626"/>
      <c r="W701" t="s">
        <v>2047</v>
      </c>
    </row>
    <row r="702" spans="1:23" ht="13.15" customHeight="1" x14ac:dyDescent="0.2">
      <c r="A702" s="2" t="s">
        <v>2199</v>
      </c>
      <c r="B702" s="2">
        <f t="shared" si="20"/>
        <v>2022</v>
      </c>
      <c r="C702" s="2" t="str">
        <f t="shared" si="21"/>
        <v>KZN226</v>
      </c>
      <c r="D702" s="2">
        <v>84</v>
      </c>
      <c r="F702" s="625"/>
      <c r="G702" s="625"/>
      <c r="H702" s="625"/>
      <c r="I702" s="625"/>
      <c r="J702" s="625"/>
      <c r="K702" s="625"/>
      <c r="L702" s="625"/>
      <c r="M702" s="626"/>
      <c r="N702" s="626"/>
      <c r="O702" s="626"/>
      <c r="P702" s="626"/>
      <c r="Q702" s="626"/>
      <c r="W702" t="s">
        <v>2047</v>
      </c>
    </row>
    <row r="703" spans="1:23" ht="13.15" customHeight="1" x14ac:dyDescent="0.2">
      <c r="A703" s="2" t="s">
        <v>2199</v>
      </c>
      <c r="B703" s="2">
        <f t="shared" si="20"/>
        <v>2022</v>
      </c>
      <c r="C703" s="2" t="str">
        <f t="shared" si="21"/>
        <v>KZN226</v>
      </c>
      <c r="D703" s="2">
        <v>85</v>
      </c>
      <c r="F703" s="625"/>
      <c r="G703" s="625"/>
      <c r="H703" s="625"/>
      <c r="I703" s="625"/>
      <c r="J703" s="625"/>
      <c r="K703" s="625"/>
      <c r="L703" s="625"/>
      <c r="M703" s="626"/>
      <c r="N703" s="626"/>
      <c r="O703" s="626"/>
      <c r="P703" s="626"/>
      <c r="Q703" s="626"/>
      <c r="W703" t="s">
        <v>2047</v>
      </c>
    </row>
    <row r="704" spans="1:23" ht="13.15" customHeight="1" x14ac:dyDescent="0.2">
      <c r="A704" s="2" t="s">
        <v>2199</v>
      </c>
      <c r="B704" s="2">
        <f t="shared" si="20"/>
        <v>2022</v>
      </c>
      <c r="C704" s="2" t="str">
        <f t="shared" si="21"/>
        <v>KZN226</v>
      </c>
      <c r="D704" s="2">
        <v>86</v>
      </c>
      <c r="F704" s="625"/>
      <c r="G704" s="625"/>
      <c r="H704" s="625"/>
      <c r="I704" s="625"/>
      <c r="J704" s="625"/>
      <c r="K704" s="625"/>
      <c r="L704" s="625"/>
      <c r="M704" s="626"/>
      <c r="N704" s="626"/>
      <c r="O704" s="626"/>
      <c r="P704" s="626"/>
      <c r="Q704" s="626"/>
      <c r="W704" t="s">
        <v>2047</v>
      </c>
    </row>
    <row r="705" spans="1:23" ht="13.15" customHeight="1" x14ac:dyDescent="0.2">
      <c r="A705" s="2" t="s">
        <v>2199</v>
      </c>
      <c r="B705" s="2">
        <f t="shared" si="20"/>
        <v>2022</v>
      </c>
      <c r="C705" s="2" t="str">
        <f t="shared" si="21"/>
        <v>KZN226</v>
      </c>
      <c r="D705" s="2">
        <v>87</v>
      </c>
      <c r="F705" s="625"/>
      <c r="G705" s="625"/>
      <c r="H705" s="625"/>
      <c r="I705" s="625"/>
      <c r="J705" s="625"/>
      <c r="K705" s="625"/>
      <c r="L705" s="625"/>
      <c r="M705" s="626"/>
      <c r="N705" s="626"/>
      <c r="O705" s="626"/>
      <c r="P705" s="626"/>
      <c r="Q705" s="626"/>
      <c r="W705" t="s">
        <v>2047</v>
      </c>
    </row>
    <row r="706" spans="1:23" ht="13.15" customHeight="1" x14ac:dyDescent="0.2">
      <c r="A706" s="2" t="s">
        <v>2199</v>
      </c>
      <c r="B706" s="2">
        <f t="shared" ref="B706:B769" si="22">+MTREF</f>
        <v>2022</v>
      </c>
      <c r="C706" s="2" t="str">
        <f t="shared" ref="C706:C769" si="23">LEFT(muni,(FIND(" ",muni,1)-1))</f>
        <v>KZN226</v>
      </c>
      <c r="D706" s="2">
        <v>88</v>
      </c>
      <c r="F706" s="625"/>
      <c r="G706" s="625"/>
      <c r="H706" s="625"/>
      <c r="I706" s="625"/>
      <c r="J706" s="625"/>
      <c r="K706" s="625"/>
      <c r="L706" s="625"/>
      <c r="M706" s="626"/>
      <c r="N706" s="626"/>
      <c r="O706" s="626"/>
      <c r="P706" s="626"/>
      <c r="Q706" s="626"/>
      <c r="W706" t="s">
        <v>2047</v>
      </c>
    </row>
    <row r="707" spans="1:23" ht="13.15" customHeight="1" x14ac:dyDescent="0.2">
      <c r="A707" s="2" t="s">
        <v>2199</v>
      </c>
      <c r="B707" s="2">
        <f t="shared" si="22"/>
        <v>2022</v>
      </c>
      <c r="C707" s="2" t="str">
        <f t="shared" si="23"/>
        <v>KZN226</v>
      </c>
      <c r="D707" s="2">
        <v>89</v>
      </c>
      <c r="F707" s="625"/>
      <c r="G707" s="625"/>
      <c r="H707" s="625"/>
      <c r="I707" s="625"/>
      <c r="J707" s="625"/>
      <c r="K707" s="625"/>
      <c r="L707" s="625"/>
      <c r="M707" s="626"/>
      <c r="N707" s="626"/>
      <c r="O707" s="626"/>
      <c r="P707" s="626"/>
      <c r="Q707" s="626"/>
      <c r="W707" t="s">
        <v>2047</v>
      </c>
    </row>
    <row r="708" spans="1:23" ht="13.15" customHeight="1" x14ac:dyDescent="0.2">
      <c r="A708" s="2" t="s">
        <v>2199</v>
      </c>
      <c r="B708" s="2">
        <f t="shared" si="22"/>
        <v>2022</v>
      </c>
      <c r="C708" s="2" t="str">
        <f t="shared" si="23"/>
        <v>KZN226</v>
      </c>
      <c r="D708" s="2">
        <v>90</v>
      </c>
      <c r="F708" s="625"/>
      <c r="G708" s="625"/>
      <c r="H708" s="625"/>
      <c r="I708" s="625"/>
      <c r="J708" s="625"/>
      <c r="K708" s="625"/>
      <c r="L708" s="625"/>
      <c r="M708" s="626"/>
      <c r="N708" s="626"/>
      <c r="O708" s="626"/>
      <c r="P708" s="626"/>
      <c r="Q708" s="626"/>
      <c r="W708" t="s">
        <v>2047</v>
      </c>
    </row>
    <row r="709" spans="1:23" ht="13.15" customHeight="1" x14ac:dyDescent="0.2">
      <c r="A709" s="2" t="s">
        <v>2199</v>
      </c>
      <c r="B709" s="2">
        <f t="shared" si="22"/>
        <v>2022</v>
      </c>
      <c r="C709" s="2" t="str">
        <f t="shared" si="23"/>
        <v>KZN226</v>
      </c>
      <c r="D709" s="2">
        <v>91</v>
      </c>
      <c r="F709" s="625"/>
      <c r="G709" s="625"/>
      <c r="H709" s="625"/>
      <c r="I709" s="625"/>
      <c r="J709" s="625"/>
      <c r="K709" s="625"/>
      <c r="L709" s="625"/>
      <c r="M709" s="626"/>
      <c r="N709" s="626"/>
      <c r="O709" s="626"/>
      <c r="P709" s="626"/>
      <c r="Q709" s="626"/>
      <c r="W709" t="s">
        <v>2047</v>
      </c>
    </row>
    <row r="710" spans="1:23" ht="13.15" customHeight="1" x14ac:dyDescent="0.2">
      <c r="A710" s="2" t="s">
        <v>2199</v>
      </c>
      <c r="B710" s="2">
        <f t="shared" si="22"/>
        <v>2022</v>
      </c>
      <c r="C710" s="2" t="str">
        <f t="shared" si="23"/>
        <v>KZN226</v>
      </c>
      <c r="D710" s="2">
        <v>92</v>
      </c>
      <c r="F710" s="625"/>
      <c r="G710" s="625"/>
      <c r="H710" s="625"/>
      <c r="I710" s="625"/>
      <c r="J710" s="625"/>
      <c r="K710" s="625"/>
      <c r="L710" s="625"/>
      <c r="M710" s="626"/>
      <c r="N710" s="626"/>
      <c r="O710" s="626"/>
      <c r="P710" s="626"/>
      <c r="Q710" s="626"/>
      <c r="W710" t="s">
        <v>2047</v>
      </c>
    </row>
    <row r="711" spans="1:23" ht="13.15" customHeight="1" x14ac:dyDescent="0.2">
      <c r="A711" s="2" t="s">
        <v>2199</v>
      </c>
      <c r="B711" s="2">
        <f t="shared" si="22"/>
        <v>2022</v>
      </c>
      <c r="C711" s="2" t="str">
        <f t="shared" si="23"/>
        <v>KZN226</v>
      </c>
      <c r="D711" s="2">
        <v>93</v>
      </c>
      <c r="F711" s="625"/>
      <c r="G711" s="625"/>
      <c r="H711" s="625"/>
      <c r="I711" s="625"/>
      <c r="J711" s="625"/>
      <c r="K711" s="625"/>
      <c r="L711" s="625"/>
      <c r="M711" s="626"/>
      <c r="N711" s="626"/>
      <c r="O711" s="626"/>
      <c r="P711" s="626"/>
      <c r="Q711" s="626"/>
      <c r="W711" t="s">
        <v>2047</v>
      </c>
    </row>
    <row r="712" spans="1:23" ht="13.15" customHeight="1" x14ac:dyDescent="0.2">
      <c r="A712" s="2" t="s">
        <v>2199</v>
      </c>
      <c r="B712" s="2">
        <f t="shared" si="22"/>
        <v>2022</v>
      </c>
      <c r="C712" s="2" t="str">
        <f t="shared" si="23"/>
        <v>KZN226</v>
      </c>
      <c r="D712" s="2">
        <v>94</v>
      </c>
      <c r="F712" s="625"/>
      <c r="G712" s="625"/>
      <c r="H712" s="625"/>
      <c r="I712" s="625"/>
      <c r="J712" s="625"/>
      <c r="K712" s="625"/>
      <c r="L712" s="625"/>
      <c r="M712" s="626"/>
      <c r="N712" s="626"/>
      <c r="O712" s="626"/>
      <c r="P712" s="626"/>
      <c r="Q712" s="626"/>
      <c r="W712" t="s">
        <v>2047</v>
      </c>
    </row>
    <row r="713" spans="1:23" ht="13.15" customHeight="1" x14ac:dyDescent="0.2">
      <c r="A713" s="2" t="s">
        <v>2199</v>
      </c>
      <c r="B713" s="2">
        <f t="shared" si="22"/>
        <v>2022</v>
      </c>
      <c r="C713" s="2" t="str">
        <f t="shared" si="23"/>
        <v>KZN226</v>
      </c>
      <c r="D713" s="2">
        <v>95</v>
      </c>
      <c r="F713" s="625"/>
      <c r="G713" s="625"/>
      <c r="H713" s="625"/>
      <c r="I713" s="625"/>
      <c r="J713" s="625"/>
      <c r="K713" s="625"/>
      <c r="L713" s="625"/>
      <c r="M713" s="626"/>
      <c r="N713" s="626"/>
      <c r="O713" s="626"/>
      <c r="P713" s="626"/>
      <c r="Q713" s="626"/>
      <c r="W713" t="s">
        <v>2047</v>
      </c>
    </row>
    <row r="714" spans="1:23" ht="13.15" customHeight="1" x14ac:dyDescent="0.2">
      <c r="A714" s="2" t="s">
        <v>2199</v>
      </c>
      <c r="B714" s="2">
        <f t="shared" si="22"/>
        <v>2022</v>
      </c>
      <c r="C714" s="2" t="str">
        <f t="shared" si="23"/>
        <v>KZN226</v>
      </c>
      <c r="D714" s="2">
        <v>96</v>
      </c>
      <c r="F714" s="625"/>
      <c r="G714" s="625"/>
      <c r="H714" s="625"/>
      <c r="I714" s="625"/>
      <c r="J714" s="625"/>
      <c r="K714" s="625"/>
      <c r="L714" s="625"/>
      <c r="M714" s="626"/>
      <c r="N714" s="626"/>
      <c r="O714" s="626"/>
      <c r="P714" s="626"/>
      <c r="Q714" s="626"/>
      <c r="W714" t="s">
        <v>2047</v>
      </c>
    </row>
    <row r="715" spans="1:23" ht="13.15" customHeight="1" x14ac:dyDescent="0.2">
      <c r="A715" s="2" t="s">
        <v>2199</v>
      </c>
      <c r="B715" s="2">
        <f t="shared" si="22"/>
        <v>2022</v>
      </c>
      <c r="C715" s="2" t="str">
        <f t="shared" si="23"/>
        <v>KZN226</v>
      </c>
      <c r="D715" s="2">
        <v>97</v>
      </c>
      <c r="F715" s="625"/>
      <c r="G715" s="625"/>
      <c r="H715" s="625"/>
      <c r="I715" s="625"/>
      <c r="J715" s="625"/>
      <c r="K715" s="625"/>
      <c r="L715" s="625"/>
      <c r="M715" s="626"/>
      <c r="N715" s="626"/>
      <c r="O715" s="626"/>
      <c r="P715" s="626"/>
      <c r="Q715" s="626"/>
      <c r="W715" t="s">
        <v>2047</v>
      </c>
    </row>
    <row r="716" spans="1:23" ht="13.15" customHeight="1" x14ac:dyDescent="0.2">
      <c r="A716" s="2" t="s">
        <v>2199</v>
      </c>
      <c r="B716" s="2">
        <f t="shared" si="22"/>
        <v>2022</v>
      </c>
      <c r="C716" s="2" t="str">
        <f t="shared" si="23"/>
        <v>KZN226</v>
      </c>
      <c r="D716" s="2">
        <v>98</v>
      </c>
      <c r="F716" s="625"/>
      <c r="G716" s="625"/>
      <c r="H716" s="625"/>
      <c r="I716" s="625"/>
      <c r="J716" s="625"/>
      <c r="K716" s="625"/>
      <c r="L716" s="625"/>
      <c r="M716" s="626"/>
      <c r="N716" s="626"/>
      <c r="O716" s="626"/>
      <c r="P716" s="626"/>
      <c r="Q716" s="626"/>
      <c r="W716" t="s">
        <v>2047</v>
      </c>
    </row>
    <row r="717" spans="1:23" ht="13.15" customHeight="1" x14ac:dyDescent="0.2">
      <c r="A717" s="2" t="s">
        <v>2199</v>
      </c>
      <c r="B717" s="2">
        <f t="shared" si="22"/>
        <v>2022</v>
      </c>
      <c r="C717" s="2" t="str">
        <f t="shared" si="23"/>
        <v>KZN226</v>
      </c>
      <c r="D717" s="2">
        <v>99</v>
      </c>
      <c r="F717" s="625"/>
      <c r="G717" s="625"/>
      <c r="H717" s="625"/>
      <c r="I717" s="625"/>
      <c r="J717" s="625"/>
      <c r="K717" s="625"/>
      <c r="L717" s="625"/>
      <c r="M717" s="626"/>
      <c r="N717" s="626"/>
      <c r="O717" s="626"/>
      <c r="P717" s="626"/>
      <c r="Q717" s="626"/>
      <c r="W717" t="s">
        <v>2047</v>
      </c>
    </row>
    <row r="718" spans="1:23" ht="13.15" customHeight="1" x14ac:dyDescent="0.2">
      <c r="A718" s="2" t="s">
        <v>2199</v>
      </c>
      <c r="B718" s="2">
        <f t="shared" si="22"/>
        <v>2022</v>
      </c>
      <c r="C718" s="2" t="str">
        <f t="shared" si="23"/>
        <v>KZN226</v>
      </c>
      <c r="D718" s="2">
        <v>100</v>
      </c>
      <c r="F718" s="625"/>
      <c r="G718" s="625"/>
      <c r="H718" s="625"/>
      <c r="I718" s="625"/>
      <c r="J718" s="625"/>
      <c r="K718" s="625"/>
      <c r="L718" s="625"/>
      <c r="M718" s="626"/>
      <c r="N718" s="626"/>
      <c r="O718" s="626"/>
      <c r="P718" s="626"/>
      <c r="Q718" s="626"/>
      <c r="W718" t="s">
        <v>2047</v>
      </c>
    </row>
    <row r="719" spans="1:23" ht="13.15" customHeight="1" x14ac:dyDescent="0.2">
      <c r="A719" s="2" t="s">
        <v>2199</v>
      </c>
      <c r="B719" s="2">
        <f t="shared" si="22"/>
        <v>2022</v>
      </c>
      <c r="C719" s="2" t="str">
        <f t="shared" si="23"/>
        <v>KZN226</v>
      </c>
      <c r="D719" s="2">
        <v>101</v>
      </c>
      <c r="F719" s="625"/>
      <c r="G719" s="625"/>
      <c r="H719" s="625"/>
      <c r="I719" s="625"/>
      <c r="J719" s="625"/>
      <c r="K719" s="625"/>
      <c r="L719" s="625"/>
      <c r="M719" s="626"/>
      <c r="N719" s="626"/>
      <c r="O719" s="626"/>
      <c r="P719" s="626"/>
      <c r="Q719" s="626"/>
      <c r="W719" t="s">
        <v>2047</v>
      </c>
    </row>
    <row r="720" spans="1:23" ht="13.15" customHeight="1" x14ac:dyDescent="0.2">
      <c r="A720" s="2" t="s">
        <v>2199</v>
      </c>
      <c r="B720" s="2">
        <f t="shared" si="22"/>
        <v>2022</v>
      </c>
      <c r="C720" s="2" t="str">
        <f t="shared" si="23"/>
        <v>KZN226</v>
      </c>
      <c r="D720" s="2">
        <v>102</v>
      </c>
      <c r="F720" s="625"/>
      <c r="G720" s="625"/>
      <c r="H720" s="625"/>
      <c r="I720" s="625"/>
      <c r="J720" s="625"/>
      <c r="K720" s="625"/>
      <c r="L720" s="625"/>
      <c r="M720" s="626"/>
      <c r="N720" s="626"/>
      <c r="O720" s="626"/>
      <c r="P720" s="626"/>
      <c r="Q720" s="626"/>
      <c r="W720" t="s">
        <v>2047</v>
      </c>
    </row>
    <row r="721" spans="1:23" ht="13.15" customHeight="1" x14ac:dyDescent="0.2">
      <c r="A721" s="2" t="s">
        <v>2199</v>
      </c>
      <c r="B721" s="2">
        <f t="shared" si="22"/>
        <v>2022</v>
      </c>
      <c r="C721" s="2" t="str">
        <f t="shared" si="23"/>
        <v>KZN226</v>
      </c>
      <c r="D721" s="2">
        <v>103</v>
      </c>
      <c r="F721" s="625"/>
      <c r="G721" s="625"/>
      <c r="H721" s="625"/>
      <c r="I721" s="625"/>
      <c r="J721" s="625"/>
      <c r="K721" s="625"/>
      <c r="L721" s="625"/>
      <c r="M721" s="626"/>
      <c r="N721" s="626"/>
      <c r="O721" s="626"/>
      <c r="P721" s="626"/>
      <c r="Q721" s="626"/>
      <c r="W721" t="s">
        <v>2047</v>
      </c>
    </row>
    <row r="722" spans="1:23" ht="13.15" customHeight="1" x14ac:dyDescent="0.2">
      <c r="A722" s="2" t="s">
        <v>2199</v>
      </c>
      <c r="B722" s="2">
        <f t="shared" si="22"/>
        <v>2022</v>
      </c>
      <c r="C722" s="2" t="str">
        <f t="shared" si="23"/>
        <v>KZN226</v>
      </c>
      <c r="D722" s="2">
        <v>104</v>
      </c>
      <c r="F722" s="625"/>
      <c r="G722" s="625"/>
      <c r="H722" s="625"/>
      <c r="I722" s="625"/>
      <c r="J722" s="625"/>
      <c r="K722" s="625"/>
      <c r="L722" s="625"/>
      <c r="M722" s="626"/>
      <c r="N722" s="626"/>
      <c r="O722" s="626"/>
      <c r="P722" s="626"/>
      <c r="Q722" s="626"/>
      <c r="W722" t="s">
        <v>2047</v>
      </c>
    </row>
    <row r="723" spans="1:23" ht="13.15" customHeight="1" x14ac:dyDescent="0.2">
      <c r="A723" s="2" t="s">
        <v>2199</v>
      </c>
      <c r="B723" s="2">
        <f t="shared" si="22"/>
        <v>2022</v>
      </c>
      <c r="C723" s="2" t="str">
        <f t="shared" si="23"/>
        <v>KZN226</v>
      </c>
      <c r="D723" s="2">
        <v>105</v>
      </c>
      <c r="F723" s="625"/>
      <c r="G723" s="625"/>
      <c r="H723" s="625"/>
      <c r="I723" s="625"/>
      <c r="J723" s="625"/>
      <c r="K723" s="625"/>
      <c r="L723" s="625"/>
      <c r="M723" s="626"/>
      <c r="N723" s="626"/>
      <c r="O723" s="626"/>
      <c r="P723" s="626"/>
      <c r="Q723" s="626"/>
      <c r="W723" t="s">
        <v>2047</v>
      </c>
    </row>
    <row r="724" spans="1:23" ht="13.15" customHeight="1" x14ac:dyDescent="0.2">
      <c r="A724" s="2" t="s">
        <v>2199</v>
      </c>
      <c r="B724" s="2">
        <f t="shared" si="22"/>
        <v>2022</v>
      </c>
      <c r="C724" s="2" t="str">
        <f t="shared" si="23"/>
        <v>KZN226</v>
      </c>
      <c r="D724" s="2">
        <v>106</v>
      </c>
      <c r="F724" s="625"/>
      <c r="G724" s="625"/>
      <c r="H724" s="625"/>
      <c r="I724" s="625"/>
      <c r="J724" s="625"/>
      <c r="K724" s="625"/>
      <c r="L724" s="625"/>
      <c r="M724" s="626"/>
      <c r="N724" s="626"/>
      <c r="O724" s="626"/>
      <c r="P724" s="626"/>
      <c r="Q724" s="626"/>
      <c r="W724" t="s">
        <v>2047</v>
      </c>
    </row>
    <row r="725" spans="1:23" ht="13.15" customHeight="1" x14ac:dyDescent="0.2">
      <c r="A725" s="2" t="s">
        <v>2199</v>
      </c>
      <c r="B725" s="2">
        <f t="shared" si="22"/>
        <v>2022</v>
      </c>
      <c r="C725" s="2" t="str">
        <f t="shared" si="23"/>
        <v>KZN226</v>
      </c>
      <c r="D725" s="2">
        <v>107</v>
      </c>
      <c r="F725" s="625"/>
      <c r="G725" s="625"/>
      <c r="H725" s="625"/>
      <c r="I725" s="625"/>
      <c r="J725" s="625"/>
      <c r="K725" s="625"/>
      <c r="L725" s="625"/>
      <c r="M725" s="626"/>
      <c r="N725" s="626"/>
      <c r="O725" s="626"/>
      <c r="P725" s="626"/>
      <c r="Q725" s="626"/>
      <c r="W725" t="s">
        <v>2047</v>
      </c>
    </row>
    <row r="726" spans="1:23" ht="13.15" customHeight="1" x14ac:dyDescent="0.2">
      <c r="A726" s="2" t="s">
        <v>2199</v>
      </c>
      <c r="B726" s="2">
        <f t="shared" si="22"/>
        <v>2022</v>
      </c>
      <c r="C726" s="2" t="str">
        <f t="shared" si="23"/>
        <v>KZN226</v>
      </c>
      <c r="D726" s="2">
        <v>108</v>
      </c>
      <c r="F726" s="625"/>
      <c r="G726" s="625"/>
      <c r="H726" s="625"/>
      <c r="I726" s="625"/>
      <c r="J726" s="625"/>
      <c r="K726" s="625"/>
      <c r="L726" s="625"/>
      <c r="M726" s="626"/>
      <c r="N726" s="626"/>
      <c r="O726" s="626"/>
      <c r="P726" s="626"/>
      <c r="Q726" s="626"/>
      <c r="W726" t="s">
        <v>2047</v>
      </c>
    </row>
    <row r="727" spans="1:23" ht="13.15" customHeight="1" x14ac:dyDescent="0.2">
      <c r="A727" s="2" t="s">
        <v>2199</v>
      </c>
      <c r="B727" s="2">
        <f t="shared" si="22"/>
        <v>2022</v>
      </c>
      <c r="C727" s="2" t="str">
        <f t="shared" si="23"/>
        <v>KZN226</v>
      </c>
      <c r="D727" s="2">
        <v>109</v>
      </c>
      <c r="F727" s="625"/>
      <c r="G727" s="625"/>
      <c r="H727" s="625"/>
      <c r="I727" s="625"/>
      <c r="J727" s="625"/>
      <c r="K727" s="625"/>
      <c r="L727" s="625"/>
      <c r="M727" s="626"/>
      <c r="N727" s="626"/>
      <c r="O727" s="626"/>
      <c r="P727" s="626"/>
      <c r="Q727" s="626"/>
      <c r="W727" t="s">
        <v>2047</v>
      </c>
    </row>
    <row r="728" spans="1:23" ht="13.15" customHeight="1" x14ac:dyDescent="0.2">
      <c r="A728" s="2" t="s">
        <v>2199</v>
      </c>
      <c r="B728" s="2">
        <f t="shared" si="22"/>
        <v>2022</v>
      </c>
      <c r="C728" s="2" t="str">
        <f t="shared" si="23"/>
        <v>KZN226</v>
      </c>
      <c r="D728" s="2">
        <v>110</v>
      </c>
      <c r="F728" s="625"/>
      <c r="G728" s="625"/>
      <c r="H728" s="625"/>
      <c r="I728" s="625"/>
      <c r="J728" s="625"/>
      <c r="K728" s="625"/>
      <c r="L728" s="625"/>
      <c r="M728" s="626"/>
      <c r="N728" s="626"/>
      <c r="O728" s="626"/>
      <c r="P728" s="626"/>
      <c r="Q728" s="626"/>
      <c r="W728" t="s">
        <v>2047</v>
      </c>
    </row>
    <row r="729" spans="1:23" ht="13.15" customHeight="1" x14ac:dyDescent="0.2">
      <c r="A729" s="2" t="s">
        <v>2199</v>
      </c>
      <c r="B729" s="2">
        <f t="shared" si="22"/>
        <v>2022</v>
      </c>
      <c r="C729" s="2" t="str">
        <f t="shared" si="23"/>
        <v>KZN226</v>
      </c>
      <c r="D729" s="2">
        <v>111</v>
      </c>
      <c r="F729" s="625"/>
      <c r="G729" s="625"/>
      <c r="H729" s="625"/>
      <c r="I729" s="625"/>
      <c r="J729" s="625"/>
      <c r="K729" s="625"/>
      <c r="L729" s="625"/>
      <c r="M729" s="626"/>
      <c r="N729" s="626"/>
      <c r="O729" s="626"/>
      <c r="P729" s="626"/>
      <c r="Q729" s="626"/>
      <c r="W729" t="s">
        <v>2047</v>
      </c>
    </row>
    <row r="730" spans="1:23" ht="13.15" customHeight="1" x14ac:dyDescent="0.2">
      <c r="A730" s="2" t="s">
        <v>2199</v>
      </c>
      <c r="B730" s="2">
        <f t="shared" si="22"/>
        <v>2022</v>
      </c>
      <c r="C730" s="2" t="str">
        <f t="shared" si="23"/>
        <v>KZN226</v>
      </c>
      <c r="D730" s="2">
        <v>112</v>
      </c>
      <c r="F730" s="625"/>
      <c r="G730" s="625"/>
      <c r="H730" s="625"/>
      <c r="I730" s="625"/>
      <c r="J730" s="625"/>
      <c r="K730" s="625"/>
      <c r="L730" s="625"/>
      <c r="M730" s="626"/>
      <c r="N730" s="626"/>
      <c r="O730" s="626"/>
      <c r="P730" s="626"/>
      <c r="Q730" s="626"/>
      <c r="W730" t="s">
        <v>2047</v>
      </c>
    </row>
    <row r="731" spans="1:23" ht="13.15" customHeight="1" x14ac:dyDescent="0.2">
      <c r="A731" s="2" t="s">
        <v>2199</v>
      </c>
      <c r="B731" s="2">
        <f t="shared" si="22"/>
        <v>2022</v>
      </c>
      <c r="C731" s="2" t="str">
        <f t="shared" si="23"/>
        <v>KZN226</v>
      </c>
      <c r="D731" s="2">
        <v>113</v>
      </c>
      <c r="F731" s="625"/>
      <c r="G731" s="625"/>
      <c r="H731" s="625"/>
      <c r="I731" s="625"/>
      <c r="J731" s="625"/>
      <c r="K731" s="625"/>
      <c r="L731" s="625"/>
      <c r="M731" s="626"/>
      <c r="N731" s="626"/>
      <c r="O731" s="626"/>
      <c r="P731" s="626"/>
      <c r="Q731" s="626"/>
      <c r="W731" t="s">
        <v>2047</v>
      </c>
    </row>
    <row r="732" spans="1:23" ht="13.15" customHeight="1" x14ac:dyDescent="0.2">
      <c r="A732" s="2" t="s">
        <v>2199</v>
      </c>
      <c r="B732" s="2">
        <f t="shared" si="22"/>
        <v>2022</v>
      </c>
      <c r="C732" s="2" t="str">
        <f t="shared" si="23"/>
        <v>KZN226</v>
      </c>
      <c r="D732" s="2">
        <v>114</v>
      </c>
      <c r="F732" s="625"/>
      <c r="G732" s="625"/>
      <c r="H732" s="625"/>
      <c r="I732" s="625"/>
      <c r="J732" s="625"/>
      <c r="K732" s="625"/>
      <c r="L732" s="625"/>
      <c r="M732" s="626"/>
      <c r="N732" s="626"/>
      <c r="O732" s="626"/>
      <c r="P732" s="626"/>
      <c r="Q732" s="626"/>
      <c r="W732" t="s">
        <v>2047</v>
      </c>
    </row>
    <row r="733" spans="1:23" ht="13.15" customHeight="1" x14ac:dyDescent="0.2">
      <c r="A733" s="2" t="s">
        <v>2199</v>
      </c>
      <c r="B733" s="2">
        <f t="shared" si="22"/>
        <v>2022</v>
      </c>
      <c r="C733" s="2" t="str">
        <f t="shared" si="23"/>
        <v>KZN226</v>
      </c>
      <c r="D733" s="2">
        <v>115</v>
      </c>
      <c r="F733" s="625"/>
      <c r="G733" s="625"/>
      <c r="H733" s="625"/>
      <c r="I733" s="625"/>
      <c r="J733" s="625"/>
      <c r="K733" s="625"/>
      <c r="L733" s="625"/>
      <c r="M733" s="626"/>
      <c r="N733" s="626"/>
      <c r="O733" s="626"/>
      <c r="P733" s="626"/>
      <c r="Q733" s="626"/>
      <c r="W733" t="s">
        <v>2047</v>
      </c>
    </row>
    <row r="734" spans="1:23" ht="13.15" customHeight="1" x14ac:dyDescent="0.2">
      <c r="A734" s="2" t="s">
        <v>2199</v>
      </c>
      <c r="B734" s="2">
        <f t="shared" si="22"/>
        <v>2022</v>
      </c>
      <c r="C734" s="2" t="str">
        <f t="shared" si="23"/>
        <v>KZN226</v>
      </c>
      <c r="D734" s="2">
        <v>116</v>
      </c>
      <c r="F734" s="625"/>
      <c r="G734" s="625"/>
      <c r="H734" s="625"/>
      <c r="I734" s="625"/>
      <c r="J734" s="625"/>
      <c r="K734" s="625"/>
      <c r="L734" s="625"/>
      <c r="M734" s="626"/>
      <c r="N734" s="626"/>
      <c r="O734" s="626"/>
      <c r="P734" s="626"/>
      <c r="Q734" s="626"/>
      <c r="W734" t="s">
        <v>2047</v>
      </c>
    </row>
    <row r="735" spans="1:23" ht="13.15" customHeight="1" x14ac:dyDescent="0.2">
      <c r="A735" s="2" t="s">
        <v>2199</v>
      </c>
      <c r="B735" s="2">
        <f t="shared" si="22"/>
        <v>2022</v>
      </c>
      <c r="C735" s="2" t="str">
        <f t="shared" si="23"/>
        <v>KZN226</v>
      </c>
      <c r="D735" s="2">
        <v>117</v>
      </c>
      <c r="F735" s="625"/>
      <c r="G735" s="625"/>
      <c r="H735" s="625"/>
      <c r="I735" s="625"/>
      <c r="J735" s="625"/>
      <c r="K735" s="625"/>
      <c r="L735" s="625"/>
      <c r="M735" s="626"/>
      <c r="N735" s="626"/>
      <c r="O735" s="626"/>
      <c r="P735" s="626"/>
      <c r="Q735" s="626"/>
      <c r="W735" t="s">
        <v>2047</v>
      </c>
    </row>
    <row r="736" spans="1:23" ht="13.15" customHeight="1" x14ac:dyDescent="0.2">
      <c r="A736" s="2" t="s">
        <v>2199</v>
      </c>
      <c r="B736" s="2">
        <f t="shared" si="22"/>
        <v>2022</v>
      </c>
      <c r="C736" s="2" t="str">
        <f t="shared" si="23"/>
        <v>KZN226</v>
      </c>
      <c r="D736" s="2">
        <v>118</v>
      </c>
      <c r="F736" s="625"/>
      <c r="G736" s="625"/>
      <c r="H736" s="625"/>
      <c r="I736" s="625"/>
      <c r="J736" s="625"/>
      <c r="K736" s="625"/>
      <c r="L736" s="625"/>
      <c r="M736" s="626"/>
      <c r="N736" s="626"/>
      <c r="O736" s="626"/>
      <c r="P736" s="626"/>
      <c r="Q736" s="626"/>
      <c r="W736" t="s">
        <v>2047</v>
      </c>
    </row>
    <row r="737" spans="1:23" ht="13.15" customHeight="1" x14ac:dyDescent="0.2">
      <c r="A737" s="2" t="s">
        <v>2199</v>
      </c>
      <c r="B737" s="2">
        <f t="shared" si="22"/>
        <v>2022</v>
      </c>
      <c r="C737" s="2" t="str">
        <f t="shared" si="23"/>
        <v>KZN226</v>
      </c>
      <c r="D737" s="2">
        <v>119</v>
      </c>
      <c r="F737" s="625"/>
      <c r="G737" s="625"/>
      <c r="H737" s="625"/>
      <c r="I737" s="625"/>
      <c r="J737" s="625"/>
      <c r="K737" s="625"/>
      <c r="L737" s="625"/>
      <c r="M737" s="626"/>
      <c r="N737" s="626"/>
      <c r="O737" s="626"/>
      <c r="P737" s="626"/>
      <c r="Q737" s="626"/>
      <c r="W737" t="s">
        <v>2047</v>
      </c>
    </row>
    <row r="738" spans="1:23" ht="13.15" customHeight="1" x14ac:dyDescent="0.2">
      <c r="A738" s="2" t="s">
        <v>2199</v>
      </c>
      <c r="B738" s="2">
        <f t="shared" si="22"/>
        <v>2022</v>
      </c>
      <c r="C738" s="2" t="str">
        <f t="shared" si="23"/>
        <v>KZN226</v>
      </c>
      <c r="D738" s="2">
        <v>120</v>
      </c>
      <c r="F738" s="625"/>
      <c r="G738" s="625"/>
      <c r="H738" s="625"/>
      <c r="I738" s="625"/>
      <c r="J738" s="625"/>
      <c r="K738" s="625"/>
      <c r="L738" s="625"/>
      <c r="M738" s="626"/>
      <c r="N738" s="626"/>
      <c r="O738" s="626"/>
      <c r="P738" s="626"/>
      <c r="Q738" s="626"/>
      <c r="W738" t="s">
        <v>2047</v>
      </c>
    </row>
    <row r="739" spans="1:23" ht="13.15" customHeight="1" x14ac:dyDescent="0.2">
      <c r="A739" s="2" t="s">
        <v>2199</v>
      </c>
      <c r="B739" s="2">
        <f t="shared" si="22"/>
        <v>2022</v>
      </c>
      <c r="C739" s="2" t="str">
        <f t="shared" si="23"/>
        <v>KZN226</v>
      </c>
      <c r="D739" s="2">
        <v>121</v>
      </c>
      <c r="F739" s="625"/>
      <c r="G739" s="625"/>
      <c r="H739" s="625"/>
      <c r="I739" s="625"/>
      <c r="J739" s="625"/>
      <c r="K739" s="625"/>
      <c r="L739" s="625"/>
      <c r="M739" s="626"/>
      <c r="N739" s="626"/>
      <c r="O739" s="626"/>
      <c r="P739" s="626"/>
      <c r="Q739" s="626"/>
      <c r="W739" t="s">
        <v>2047</v>
      </c>
    </row>
    <row r="740" spans="1:23" ht="13.15" customHeight="1" x14ac:dyDescent="0.2">
      <c r="A740" s="2" t="s">
        <v>2199</v>
      </c>
      <c r="B740" s="2">
        <f t="shared" si="22"/>
        <v>2022</v>
      </c>
      <c r="C740" s="2" t="str">
        <f t="shared" si="23"/>
        <v>KZN226</v>
      </c>
      <c r="D740" s="2">
        <v>122</v>
      </c>
      <c r="F740" s="625"/>
      <c r="G740" s="625"/>
      <c r="H740" s="625"/>
      <c r="I740" s="625"/>
      <c r="J740" s="625"/>
      <c r="K740" s="625"/>
      <c r="L740" s="625"/>
      <c r="M740" s="626"/>
      <c r="N740" s="626"/>
      <c r="O740" s="626"/>
      <c r="P740" s="626"/>
      <c r="Q740" s="626"/>
      <c r="W740" t="s">
        <v>2047</v>
      </c>
    </row>
    <row r="741" spans="1:23" ht="13.15" customHeight="1" x14ac:dyDescent="0.2">
      <c r="A741" s="2" t="s">
        <v>2199</v>
      </c>
      <c r="B741" s="2">
        <f t="shared" si="22"/>
        <v>2022</v>
      </c>
      <c r="C741" s="2" t="str">
        <f t="shared" si="23"/>
        <v>KZN226</v>
      </c>
      <c r="D741" s="2">
        <v>123</v>
      </c>
      <c r="F741" s="625"/>
      <c r="G741" s="625"/>
      <c r="H741" s="625"/>
      <c r="I741" s="625"/>
      <c r="J741" s="625"/>
      <c r="K741" s="625"/>
      <c r="L741" s="625"/>
      <c r="M741" s="626"/>
      <c r="N741" s="626"/>
      <c r="O741" s="626"/>
      <c r="P741" s="626"/>
      <c r="Q741" s="626"/>
      <c r="W741" t="s">
        <v>2047</v>
      </c>
    </row>
    <row r="742" spans="1:23" ht="13.15" customHeight="1" x14ac:dyDescent="0.2">
      <c r="A742" s="2" t="s">
        <v>2199</v>
      </c>
      <c r="B742" s="2">
        <f t="shared" si="22"/>
        <v>2022</v>
      </c>
      <c r="C742" s="2" t="str">
        <f t="shared" si="23"/>
        <v>KZN226</v>
      </c>
      <c r="D742" s="2">
        <v>124</v>
      </c>
      <c r="F742" s="625"/>
      <c r="G742" s="625"/>
      <c r="H742" s="625"/>
      <c r="I742" s="625"/>
      <c r="J742" s="625"/>
      <c r="K742" s="625"/>
      <c r="L742" s="625"/>
      <c r="M742" s="626"/>
      <c r="N742" s="626"/>
      <c r="O742" s="626"/>
      <c r="P742" s="626"/>
      <c r="Q742" s="626"/>
      <c r="W742" t="s">
        <v>2047</v>
      </c>
    </row>
    <row r="743" spans="1:23" ht="13.15" customHeight="1" x14ac:dyDescent="0.2">
      <c r="A743" s="2" t="s">
        <v>2199</v>
      </c>
      <c r="B743" s="2">
        <f t="shared" si="22"/>
        <v>2022</v>
      </c>
      <c r="C743" s="2" t="str">
        <f t="shared" si="23"/>
        <v>KZN226</v>
      </c>
      <c r="D743" s="2">
        <v>125</v>
      </c>
      <c r="F743" s="625"/>
      <c r="G743" s="625"/>
      <c r="H743" s="625"/>
      <c r="I743" s="625"/>
      <c r="J743" s="625"/>
      <c r="K743" s="625"/>
      <c r="L743" s="625"/>
      <c r="M743" s="626"/>
      <c r="N743" s="626"/>
      <c r="O743" s="626"/>
      <c r="P743" s="626"/>
      <c r="Q743" s="626"/>
      <c r="W743" t="s">
        <v>2047</v>
      </c>
    </row>
    <row r="744" spans="1:23" ht="13.15" customHeight="1" x14ac:dyDescent="0.2">
      <c r="A744" s="2" t="s">
        <v>2199</v>
      </c>
      <c r="B744" s="2">
        <f t="shared" si="22"/>
        <v>2022</v>
      </c>
      <c r="C744" s="2" t="str">
        <f t="shared" si="23"/>
        <v>KZN226</v>
      </c>
      <c r="D744" s="2">
        <v>126</v>
      </c>
      <c r="F744" s="625"/>
      <c r="G744" s="625"/>
      <c r="H744" s="625"/>
      <c r="I744" s="625"/>
      <c r="J744" s="625"/>
      <c r="K744" s="625"/>
      <c r="L744" s="625"/>
      <c r="M744" s="626"/>
      <c r="N744" s="626"/>
      <c r="O744" s="626"/>
      <c r="P744" s="626"/>
      <c r="Q744" s="626"/>
      <c r="W744" t="s">
        <v>2047</v>
      </c>
    </row>
    <row r="745" spans="1:23" ht="13.15" customHeight="1" x14ac:dyDescent="0.2">
      <c r="A745" s="2" t="s">
        <v>2199</v>
      </c>
      <c r="B745" s="2">
        <f t="shared" si="22"/>
        <v>2022</v>
      </c>
      <c r="C745" s="2" t="str">
        <f t="shared" si="23"/>
        <v>KZN226</v>
      </c>
      <c r="D745" s="2">
        <v>127</v>
      </c>
      <c r="F745" s="625"/>
      <c r="G745" s="625"/>
      <c r="H745" s="625"/>
      <c r="I745" s="625"/>
      <c r="J745" s="625"/>
      <c r="K745" s="625"/>
      <c r="L745" s="625"/>
      <c r="M745" s="626"/>
      <c r="N745" s="626"/>
      <c r="O745" s="626"/>
      <c r="P745" s="626"/>
      <c r="Q745" s="626"/>
      <c r="W745" t="s">
        <v>2047</v>
      </c>
    </row>
    <row r="746" spans="1:23" ht="13.15" customHeight="1" x14ac:dyDescent="0.2">
      <c r="A746" s="2" t="s">
        <v>2199</v>
      </c>
      <c r="B746" s="2">
        <f t="shared" si="22"/>
        <v>2022</v>
      </c>
      <c r="C746" s="2" t="str">
        <f t="shared" si="23"/>
        <v>KZN226</v>
      </c>
      <c r="D746" s="2">
        <v>128</v>
      </c>
      <c r="F746" s="625"/>
      <c r="G746" s="625"/>
      <c r="H746" s="625"/>
      <c r="I746" s="625"/>
      <c r="J746" s="625"/>
      <c r="K746" s="625"/>
      <c r="L746" s="625"/>
      <c r="M746" s="626"/>
      <c r="N746" s="626"/>
      <c r="O746" s="626"/>
      <c r="P746" s="626"/>
      <c r="Q746" s="626"/>
      <c r="W746" t="s">
        <v>2047</v>
      </c>
    </row>
    <row r="747" spans="1:23" ht="13.15" customHeight="1" x14ac:dyDescent="0.2">
      <c r="A747" s="2" t="s">
        <v>2199</v>
      </c>
      <c r="B747" s="2">
        <f t="shared" si="22"/>
        <v>2022</v>
      </c>
      <c r="C747" s="2" t="str">
        <f t="shared" si="23"/>
        <v>KZN226</v>
      </c>
      <c r="D747" s="2">
        <v>129</v>
      </c>
      <c r="F747" s="625"/>
      <c r="G747" s="625"/>
      <c r="H747" s="625"/>
      <c r="I747" s="625"/>
      <c r="J747" s="625"/>
      <c r="K747" s="625"/>
      <c r="L747" s="625"/>
      <c r="M747" s="626"/>
      <c r="N747" s="626"/>
      <c r="O747" s="626"/>
      <c r="P747" s="626"/>
      <c r="Q747" s="626"/>
      <c r="W747" t="s">
        <v>2047</v>
      </c>
    </row>
    <row r="748" spans="1:23" ht="13.15" customHeight="1" x14ac:dyDescent="0.2">
      <c r="A748" s="2" t="s">
        <v>2199</v>
      </c>
      <c r="B748" s="2">
        <f t="shared" si="22"/>
        <v>2022</v>
      </c>
      <c r="C748" s="2" t="str">
        <f t="shared" si="23"/>
        <v>KZN226</v>
      </c>
      <c r="D748" s="2">
        <v>130</v>
      </c>
      <c r="F748" s="625"/>
      <c r="G748" s="625"/>
      <c r="H748" s="625"/>
      <c r="I748" s="625"/>
      <c r="J748" s="625"/>
      <c r="K748" s="625"/>
      <c r="L748" s="625"/>
      <c r="M748" s="626"/>
      <c r="N748" s="626"/>
      <c r="O748" s="626"/>
      <c r="P748" s="626"/>
      <c r="Q748" s="626"/>
      <c r="W748" t="s">
        <v>2047</v>
      </c>
    </row>
    <row r="749" spans="1:23" ht="13.15" customHeight="1" x14ac:dyDescent="0.2">
      <c r="A749" s="2" t="s">
        <v>2199</v>
      </c>
      <c r="B749" s="2">
        <f t="shared" si="22"/>
        <v>2022</v>
      </c>
      <c r="C749" s="2" t="str">
        <f t="shared" si="23"/>
        <v>KZN226</v>
      </c>
      <c r="D749" s="2">
        <v>131</v>
      </c>
      <c r="F749" s="625"/>
      <c r="G749" s="625"/>
      <c r="H749" s="625"/>
      <c r="I749" s="625"/>
      <c r="J749" s="625"/>
      <c r="K749" s="625"/>
      <c r="L749" s="625"/>
      <c r="M749" s="626"/>
      <c r="N749" s="626"/>
      <c r="O749" s="626"/>
      <c r="P749" s="626"/>
      <c r="Q749" s="626"/>
      <c r="W749" t="s">
        <v>2047</v>
      </c>
    </row>
    <row r="750" spans="1:23" ht="13.15" customHeight="1" x14ac:dyDescent="0.2">
      <c r="A750" s="2" t="s">
        <v>2199</v>
      </c>
      <c r="B750" s="2">
        <f t="shared" si="22"/>
        <v>2022</v>
      </c>
      <c r="C750" s="2" t="str">
        <f t="shared" si="23"/>
        <v>KZN226</v>
      </c>
      <c r="D750" s="2">
        <v>132</v>
      </c>
      <c r="F750" s="625"/>
      <c r="G750" s="625"/>
      <c r="H750" s="625"/>
      <c r="I750" s="625"/>
      <c r="J750" s="625"/>
      <c r="K750" s="625"/>
      <c r="L750" s="625"/>
      <c r="M750" s="626"/>
      <c r="N750" s="626"/>
      <c r="O750" s="626"/>
      <c r="P750" s="626"/>
      <c r="Q750" s="626"/>
      <c r="W750" t="s">
        <v>2047</v>
      </c>
    </row>
    <row r="751" spans="1:23" ht="13.15" customHeight="1" x14ac:dyDescent="0.2">
      <c r="A751" s="2" t="s">
        <v>2199</v>
      </c>
      <c r="B751" s="2">
        <f t="shared" si="22"/>
        <v>2022</v>
      </c>
      <c r="C751" s="2" t="str">
        <f t="shared" si="23"/>
        <v>KZN226</v>
      </c>
      <c r="D751" s="2">
        <v>133</v>
      </c>
      <c r="F751" s="625"/>
      <c r="G751" s="625"/>
      <c r="H751" s="625"/>
      <c r="I751" s="625"/>
      <c r="J751" s="625"/>
      <c r="K751" s="625"/>
      <c r="L751" s="625"/>
      <c r="M751" s="626"/>
      <c r="N751" s="626"/>
      <c r="O751" s="626"/>
      <c r="P751" s="626"/>
      <c r="Q751" s="626"/>
      <c r="W751" t="s">
        <v>2047</v>
      </c>
    </row>
    <row r="752" spans="1:23" ht="13.15" customHeight="1" x14ac:dyDescent="0.2">
      <c r="A752" s="2" t="s">
        <v>2199</v>
      </c>
      <c r="B752" s="2">
        <f t="shared" si="22"/>
        <v>2022</v>
      </c>
      <c r="C752" s="2" t="str">
        <f t="shared" si="23"/>
        <v>KZN226</v>
      </c>
      <c r="D752" s="2">
        <v>134</v>
      </c>
      <c r="F752" s="625"/>
      <c r="G752" s="625"/>
      <c r="H752" s="625"/>
      <c r="I752" s="625"/>
      <c r="J752" s="625"/>
      <c r="K752" s="625"/>
      <c r="L752" s="625"/>
      <c r="M752" s="626"/>
      <c r="N752" s="626"/>
      <c r="O752" s="626"/>
      <c r="P752" s="626"/>
      <c r="Q752" s="626"/>
      <c r="W752" t="s">
        <v>2047</v>
      </c>
    </row>
    <row r="753" spans="1:23" ht="13.15" customHeight="1" x14ac:dyDescent="0.2">
      <c r="A753" s="2" t="s">
        <v>2199</v>
      </c>
      <c r="B753" s="2">
        <f t="shared" si="22"/>
        <v>2022</v>
      </c>
      <c r="C753" s="2" t="str">
        <f t="shared" si="23"/>
        <v>KZN226</v>
      </c>
      <c r="D753" s="2">
        <v>135</v>
      </c>
      <c r="F753" s="625"/>
      <c r="G753" s="625"/>
      <c r="H753" s="625"/>
      <c r="I753" s="625"/>
      <c r="J753" s="625"/>
      <c r="K753" s="625"/>
      <c r="L753" s="625"/>
      <c r="M753" s="626"/>
      <c r="N753" s="626"/>
      <c r="O753" s="626"/>
      <c r="P753" s="626"/>
      <c r="Q753" s="626"/>
      <c r="W753" t="s">
        <v>2047</v>
      </c>
    </row>
    <row r="754" spans="1:23" ht="13.15" customHeight="1" x14ac:dyDescent="0.2">
      <c r="A754" s="2" t="s">
        <v>2199</v>
      </c>
      <c r="B754" s="2">
        <f t="shared" si="22"/>
        <v>2022</v>
      </c>
      <c r="C754" s="2" t="str">
        <f t="shared" si="23"/>
        <v>KZN226</v>
      </c>
      <c r="D754" s="2">
        <v>136</v>
      </c>
      <c r="F754" s="625"/>
      <c r="G754" s="625"/>
      <c r="H754" s="625"/>
      <c r="I754" s="625"/>
      <c r="J754" s="625"/>
      <c r="K754" s="625"/>
      <c r="L754" s="625"/>
      <c r="M754" s="626"/>
      <c r="N754" s="626"/>
      <c r="O754" s="626"/>
      <c r="P754" s="626"/>
      <c r="Q754" s="626"/>
      <c r="W754" t="s">
        <v>2047</v>
      </c>
    </row>
    <row r="755" spans="1:23" ht="13.15" customHeight="1" x14ac:dyDescent="0.2">
      <c r="A755" s="2" t="s">
        <v>2199</v>
      </c>
      <c r="B755" s="2">
        <f t="shared" si="22"/>
        <v>2022</v>
      </c>
      <c r="C755" s="2" t="str">
        <f t="shared" si="23"/>
        <v>KZN226</v>
      </c>
      <c r="D755" s="2">
        <v>137</v>
      </c>
      <c r="F755" s="625"/>
      <c r="G755" s="625"/>
      <c r="H755" s="625"/>
      <c r="I755" s="625"/>
      <c r="J755" s="625"/>
      <c r="K755" s="625"/>
      <c r="L755" s="625"/>
      <c r="M755" s="626"/>
      <c r="N755" s="626"/>
      <c r="O755" s="626"/>
      <c r="P755" s="626"/>
      <c r="Q755" s="626"/>
      <c r="W755" t="s">
        <v>2047</v>
      </c>
    </row>
    <row r="756" spans="1:23" ht="13.15" customHeight="1" x14ac:dyDescent="0.2">
      <c r="A756" s="2" t="s">
        <v>2199</v>
      </c>
      <c r="B756" s="2">
        <f t="shared" si="22"/>
        <v>2022</v>
      </c>
      <c r="C756" s="2" t="str">
        <f t="shared" si="23"/>
        <v>KZN226</v>
      </c>
      <c r="D756" s="2">
        <v>138</v>
      </c>
      <c r="F756" s="625"/>
      <c r="G756" s="625"/>
      <c r="H756" s="625"/>
      <c r="I756" s="625"/>
      <c r="J756" s="625"/>
      <c r="K756" s="625"/>
      <c r="L756" s="625"/>
      <c r="M756" s="626"/>
      <c r="N756" s="626"/>
      <c r="O756" s="626"/>
      <c r="P756" s="626"/>
      <c r="Q756" s="626"/>
      <c r="W756" t="s">
        <v>2047</v>
      </c>
    </row>
    <row r="757" spans="1:23" ht="13.15" customHeight="1" x14ac:dyDescent="0.2">
      <c r="A757" s="2" t="s">
        <v>2199</v>
      </c>
      <c r="B757" s="2">
        <f t="shared" si="22"/>
        <v>2022</v>
      </c>
      <c r="C757" s="2" t="str">
        <f t="shared" si="23"/>
        <v>KZN226</v>
      </c>
      <c r="D757" s="2">
        <v>139</v>
      </c>
      <c r="F757" s="625"/>
      <c r="G757" s="625"/>
      <c r="H757" s="625"/>
      <c r="I757" s="625"/>
      <c r="J757" s="625"/>
      <c r="K757" s="625"/>
      <c r="L757" s="625"/>
      <c r="M757" s="626"/>
      <c r="N757" s="626"/>
      <c r="O757" s="626"/>
      <c r="P757" s="626"/>
      <c r="Q757" s="626"/>
      <c r="W757" t="s">
        <v>2047</v>
      </c>
    </row>
    <row r="758" spans="1:23" ht="13.15" customHeight="1" x14ac:dyDescent="0.2">
      <c r="A758" s="2" t="s">
        <v>2199</v>
      </c>
      <c r="B758" s="2">
        <f t="shared" si="22"/>
        <v>2022</v>
      </c>
      <c r="C758" s="2" t="str">
        <f t="shared" si="23"/>
        <v>KZN226</v>
      </c>
      <c r="D758" s="2">
        <v>140</v>
      </c>
      <c r="F758" s="625"/>
      <c r="G758" s="625"/>
      <c r="H758" s="625"/>
      <c r="I758" s="625"/>
      <c r="J758" s="625"/>
      <c r="K758" s="625"/>
      <c r="L758" s="625"/>
      <c r="M758" s="626"/>
      <c r="N758" s="626"/>
      <c r="O758" s="626"/>
      <c r="P758" s="626"/>
      <c r="Q758" s="626"/>
      <c r="W758" t="s">
        <v>2047</v>
      </c>
    </row>
    <row r="759" spans="1:23" ht="13.15" customHeight="1" x14ac:dyDescent="0.2">
      <c r="A759" s="2" t="s">
        <v>2199</v>
      </c>
      <c r="B759" s="2">
        <f t="shared" si="22"/>
        <v>2022</v>
      </c>
      <c r="C759" s="2" t="str">
        <f t="shared" si="23"/>
        <v>KZN226</v>
      </c>
      <c r="D759" s="2">
        <v>141</v>
      </c>
      <c r="F759" s="625"/>
      <c r="G759" s="625"/>
      <c r="H759" s="625"/>
      <c r="I759" s="625"/>
      <c r="J759" s="625"/>
      <c r="K759" s="625"/>
      <c r="L759" s="625"/>
      <c r="M759" s="626"/>
      <c r="N759" s="626"/>
      <c r="O759" s="626"/>
      <c r="P759" s="626"/>
      <c r="Q759" s="626"/>
      <c r="W759" t="s">
        <v>2047</v>
      </c>
    </row>
    <row r="760" spans="1:23" ht="13.15" customHeight="1" x14ac:dyDescent="0.2">
      <c r="A760" s="2" t="s">
        <v>2199</v>
      </c>
      <c r="B760" s="2">
        <f t="shared" si="22"/>
        <v>2022</v>
      </c>
      <c r="C760" s="2" t="str">
        <f t="shared" si="23"/>
        <v>KZN226</v>
      </c>
      <c r="D760" s="2">
        <v>142</v>
      </c>
      <c r="F760" s="625"/>
      <c r="G760" s="625"/>
      <c r="H760" s="625"/>
      <c r="I760" s="625"/>
      <c r="J760" s="625"/>
      <c r="K760" s="625"/>
      <c r="L760" s="625"/>
      <c r="M760" s="626"/>
      <c r="N760" s="626"/>
      <c r="O760" s="626"/>
      <c r="P760" s="626"/>
      <c r="Q760" s="626"/>
      <c r="W760" t="s">
        <v>2047</v>
      </c>
    </row>
    <row r="761" spans="1:23" ht="13.15" customHeight="1" x14ac:dyDescent="0.2">
      <c r="A761" s="2" t="s">
        <v>2199</v>
      </c>
      <c r="B761" s="2">
        <f t="shared" si="22"/>
        <v>2022</v>
      </c>
      <c r="C761" s="2" t="str">
        <f t="shared" si="23"/>
        <v>KZN226</v>
      </c>
      <c r="D761" s="2">
        <v>143</v>
      </c>
      <c r="F761" s="625"/>
      <c r="G761" s="625"/>
      <c r="H761" s="625"/>
      <c r="I761" s="625"/>
      <c r="J761" s="625"/>
      <c r="K761" s="625"/>
      <c r="L761" s="625"/>
      <c r="M761" s="626"/>
      <c r="N761" s="626"/>
      <c r="O761" s="626"/>
      <c r="P761" s="626"/>
      <c r="Q761" s="626"/>
      <c r="W761" t="s">
        <v>2047</v>
      </c>
    </row>
    <row r="762" spans="1:23" ht="13.15" customHeight="1" x14ac:dyDescent="0.2">
      <c r="A762" s="2" t="s">
        <v>2199</v>
      </c>
      <c r="B762" s="2">
        <f t="shared" si="22"/>
        <v>2022</v>
      </c>
      <c r="C762" s="2" t="str">
        <f t="shared" si="23"/>
        <v>KZN226</v>
      </c>
      <c r="D762" s="2">
        <v>144</v>
      </c>
      <c r="F762" s="625"/>
      <c r="G762" s="625"/>
      <c r="H762" s="625"/>
      <c r="I762" s="625"/>
      <c r="J762" s="625"/>
      <c r="K762" s="625"/>
      <c r="L762" s="625"/>
      <c r="M762" s="626"/>
      <c r="N762" s="626"/>
      <c r="O762" s="626"/>
      <c r="P762" s="626"/>
      <c r="Q762" s="626"/>
      <c r="W762" t="s">
        <v>2047</v>
      </c>
    </row>
    <row r="763" spans="1:23" ht="13.15" customHeight="1" x14ac:dyDescent="0.2">
      <c r="A763" s="2" t="s">
        <v>2199</v>
      </c>
      <c r="B763" s="2">
        <f t="shared" si="22"/>
        <v>2022</v>
      </c>
      <c r="C763" s="2" t="str">
        <f t="shared" si="23"/>
        <v>KZN226</v>
      </c>
      <c r="D763" s="2">
        <v>145</v>
      </c>
      <c r="F763" s="625"/>
      <c r="G763" s="625"/>
      <c r="H763" s="625"/>
      <c r="I763" s="625"/>
      <c r="J763" s="625"/>
      <c r="K763" s="625"/>
      <c r="L763" s="625"/>
      <c r="M763" s="626"/>
      <c r="N763" s="626"/>
      <c r="O763" s="626"/>
      <c r="P763" s="626"/>
      <c r="Q763" s="626"/>
      <c r="W763" t="s">
        <v>2047</v>
      </c>
    </row>
    <row r="764" spans="1:23" ht="13.15" customHeight="1" x14ac:dyDescent="0.2">
      <c r="A764" s="2" t="s">
        <v>2199</v>
      </c>
      <c r="B764" s="2">
        <f t="shared" si="22"/>
        <v>2022</v>
      </c>
      <c r="C764" s="2" t="str">
        <f t="shared" si="23"/>
        <v>KZN226</v>
      </c>
      <c r="D764" s="2">
        <v>146</v>
      </c>
      <c r="F764" s="625"/>
      <c r="G764" s="625"/>
      <c r="H764" s="625"/>
      <c r="I764" s="625"/>
      <c r="J764" s="625"/>
      <c r="K764" s="625"/>
      <c r="L764" s="625"/>
      <c r="M764" s="626"/>
      <c r="N764" s="626"/>
      <c r="O764" s="626"/>
      <c r="P764" s="626"/>
      <c r="Q764" s="626"/>
      <c r="W764" t="s">
        <v>2047</v>
      </c>
    </row>
    <row r="765" spans="1:23" ht="13.15" customHeight="1" x14ac:dyDescent="0.2">
      <c r="A765" s="2" t="s">
        <v>2199</v>
      </c>
      <c r="B765" s="2">
        <f t="shared" si="22"/>
        <v>2022</v>
      </c>
      <c r="C765" s="2" t="str">
        <f t="shared" si="23"/>
        <v>KZN226</v>
      </c>
      <c r="D765" s="2">
        <v>147</v>
      </c>
      <c r="F765" s="625"/>
      <c r="G765" s="625"/>
      <c r="H765" s="625"/>
      <c r="I765" s="625"/>
      <c r="J765" s="625"/>
      <c r="K765" s="625"/>
      <c r="L765" s="625"/>
      <c r="M765" s="626"/>
      <c r="N765" s="626"/>
      <c r="O765" s="626"/>
      <c r="P765" s="626"/>
      <c r="Q765" s="626"/>
      <c r="W765" t="s">
        <v>2047</v>
      </c>
    </row>
    <row r="766" spans="1:23" ht="13.15" customHeight="1" x14ac:dyDescent="0.2">
      <c r="A766" s="2" t="s">
        <v>2199</v>
      </c>
      <c r="B766" s="2">
        <f t="shared" si="22"/>
        <v>2022</v>
      </c>
      <c r="C766" s="2" t="str">
        <f t="shared" si="23"/>
        <v>KZN226</v>
      </c>
      <c r="D766" s="2">
        <v>148</v>
      </c>
      <c r="F766" s="625"/>
      <c r="G766" s="625"/>
      <c r="H766" s="625"/>
      <c r="I766" s="625"/>
      <c r="J766" s="625"/>
      <c r="K766" s="625"/>
      <c r="L766" s="625"/>
      <c r="M766" s="626"/>
      <c r="N766" s="626"/>
      <c r="O766" s="626"/>
      <c r="P766" s="626"/>
      <c r="Q766" s="626"/>
      <c r="W766" t="s">
        <v>2047</v>
      </c>
    </row>
    <row r="767" spans="1:23" ht="13.15" customHeight="1" x14ac:dyDescent="0.2">
      <c r="A767" s="2" t="s">
        <v>2199</v>
      </c>
      <c r="B767" s="2">
        <f t="shared" si="22"/>
        <v>2022</v>
      </c>
      <c r="C767" s="2" t="str">
        <f t="shared" si="23"/>
        <v>KZN226</v>
      </c>
      <c r="D767" s="2">
        <v>149</v>
      </c>
      <c r="F767" s="625"/>
      <c r="G767" s="625"/>
      <c r="H767" s="625"/>
      <c r="I767" s="625"/>
      <c r="J767" s="625"/>
      <c r="K767" s="625"/>
      <c r="L767" s="625"/>
      <c r="M767" s="626"/>
      <c r="N767" s="626"/>
      <c r="O767" s="626"/>
      <c r="P767" s="626"/>
      <c r="Q767" s="626"/>
      <c r="W767" t="s">
        <v>2047</v>
      </c>
    </row>
    <row r="768" spans="1:23" ht="13.15" customHeight="1" x14ac:dyDescent="0.2">
      <c r="A768" s="2" t="s">
        <v>2199</v>
      </c>
      <c r="B768" s="2">
        <f t="shared" si="22"/>
        <v>2022</v>
      </c>
      <c r="C768" s="2" t="str">
        <f t="shared" si="23"/>
        <v>KZN226</v>
      </c>
      <c r="D768" s="2">
        <v>150</v>
      </c>
      <c r="F768" s="625"/>
      <c r="G768" s="625"/>
      <c r="H768" s="625"/>
      <c r="I768" s="625"/>
      <c r="J768" s="625"/>
      <c r="K768" s="625"/>
      <c r="L768" s="625"/>
      <c r="M768" s="626"/>
      <c r="N768" s="626"/>
      <c r="O768" s="626"/>
      <c r="P768" s="626"/>
      <c r="Q768" s="626"/>
      <c r="W768" t="s">
        <v>2047</v>
      </c>
    </row>
    <row r="769" spans="1:23" ht="13.15" customHeight="1" x14ac:dyDescent="0.2">
      <c r="A769" s="2" t="s">
        <v>2199</v>
      </c>
      <c r="B769" s="2">
        <f t="shared" si="22"/>
        <v>2022</v>
      </c>
      <c r="C769" s="2" t="str">
        <f t="shared" si="23"/>
        <v>KZN226</v>
      </c>
      <c r="D769" s="2">
        <v>151</v>
      </c>
      <c r="F769" s="625"/>
      <c r="G769" s="625"/>
      <c r="H769" s="625"/>
      <c r="I769" s="625"/>
      <c r="J769" s="625"/>
      <c r="K769" s="625"/>
      <c r="L769" s="625"/>
      <c r="M769" s="626"/>
      <c r="N769" s="626"/>
      <c r="O769" s="626"/>
      <c r="P769" s="626"/>
      <c r="Q769" s="626"/>
      <c r="W769" t="s">
        <v>2047</v>
      </c>
    </row>
    <row r="770" spans="1:23" ht="13.15" customHeight="1" x14ac:dyDescent="0.2">
      <c r="A770" s="2" t="s">
        <v>2199</v>
      </c>
      <c r="B770" s="2">
        <f t="shared" ref="B770:B833" si="24">+MTREF</f>
        <v>2022</v>
      </c>
      <c r="C770" s="2" t="str">
        <f t="shared" ref="C770:C833" si="25">LEFT(muni,(FIND(" ",muni,1)-1))</f>
        <v>KZN226</v>
      </c>
      <c r="D770" s="2">
        <v>152</v>
      </c>
      <c r="F770" s="625"/>
      <c r="G770" s="625"/>
      <c r="H770" s="625"/>
      <c r="I770" s="625"/>
      <c r="J770" s="625"/>
      <c r="K770" s="625"/>
      <c r="L770" s="625"/>
      <c r="M770" s="626"/>
      <c r="N770" s="626"/>
      <c r="O770" s="626"/>
      <c r="P770" s="626"/>
      <c r="Q770" s="626"/>
      <c r="W770" t="s">
        <v>2047</v>
      </c>
    </row>
    <row r="771" spans="1:23" ht="13.15" customHeight="1" x14ac:dyDescent="0.2">
      <c r="A771" s="2" t="s">
        <v>2199</v>
      </c>
      <c r="B771" s="2">
        <f t="shared" si="24"/>
        <v>2022</v>
      </c>
      <c r="C771" s="2" t="str">
        <f t="shared" si="25"/>
        <v>KZN226</v>
      </c>
      <c r="D771" s="2">
        <v>153</v>
      </c>
      <c r="F771" s="625"/>
      <c r="G771" s="625"/>
      <c r="H771" s="625"/>
      <c r="I771" s="625"/>
      <c r="J771" s="625"/>
      <c r="K771" s="625"/>
      <c r="L771" s="625"/>
      <c r="M771" s="626"/>
      <c r="N771" s="626"/>
      <c r="O771" s="626"/>
      <c r="P771" s="626"/>
      <c r="Q771" s="626"/>
      <c r="W771" t="s">
        <v>2047</v>
      </c>
    </row>
    <row r="772" spans="1:23" ht="13.15" customHeight="1" x14ac:dyDescent="0.2">
      <c r="A772" s="2" t="s">
        <v>2199</v>
      </c>
      <c r="B772" s="2">
        <f t="shared" si="24"/>
        <v>2022</v>
      </c>
      <c r="C772" s="2" t="str">
        <f t="shared" si="25"/>
        <v>KZN226</v>
      </c>
      <c r="D772" s="2">
        <v>154</v>
      </c>
      <c r="F772" s="625"/>
      <c r="G772" s="625"/>
      <c r="H772" s="625"/>
      <c r="I772" s="625"/>
      <c r="J772" s="625"/>
      <c r="K772" s="625"/>
      <c r="L772" s="625"/>
      <c r="M772" s="626"/>
      <c r="N772" s="626"/>
      <c r="O772" s="626"/>
      <c r="P772" s="626"/>
      <c r="Q772" s="626"/>
      <c r="W772" t="s">
        <v>2047</v>
      </c>
    </row>
    <row r="773" spans="1:23" ht="13.15" customHeight="1" x14ac:dyDescent="0.2">
      <c r="A773" s="2" t="s">
        <v>2199</v>
      </c>
      <c r="B773" s="2">
        <f t="shared" si="24"/>
        <v>2022</v>
      </c>
      <c r="C773" s="2" t="str">
        <f t="shared" si="25"/>
        <v>KZN226</v>
      </c>
      <c r="D773" s="2">
        <v>155</v>
      </c>
      <c r="F773" s="625"/>
      <c r="G773" s="625"/>
      <c r="H773" s="625"/>
      <c r="I773" s="625"/>
      <c r="J773" s="625"/>
      <c r="K773" s="625"/>
      <c r="L773" s="625"/>
      <c r="M773" s="626"/>
      <c r="N773" s="626"/>
      <c r="O773" s="626"/>
      <c r="P773" s="626"/>
      <c r="Q773" s="626"/>
      <c r="W773" t="s">
        <v>2047</v>
      </c>
    </row>
    <row r="774" spans="1:23" ht="13.15" customHeight="1" x14ac:dyDescent="0.2">
      <c r="A774" s="2" t="s">
        <v>2199</v>
      </c>
      <c r="B774" s="2">
        <f t="shared" si="24"/>
        <v>2022</v>
      </c>
      <c r="C774" s="2" t="str">
        <f t="shared" si="25"/>
        <v>KZN226</v>
      </c>
      <c r="D774" s="2">
        <v>156</v>
      </c>
      <c r="F774" s="625"/>
      <c r="G774" s="625"/>
      <c r="H774" s="625"/>
      <c r="I774" s="625"/>
      <c r="J774" s="625"/>
      <c r="K774" s="625"/>
      <c r="L774" s="625"/>
      <c r="M774" s="626"/>
      <c r="N774" s="626"/>
      <c r="O774" s="626"/>
      <c r="P774" s="626"/>
      <c r="Q774" s="626"/>
      <c r="W774" t="s">
        <v>2047</v>
      </c>
    </row>
    <row r="775" spans="1:23" ht="13.15" customHeight="1" x14ac:dyDescent="0.2">
      <c r="A775" s="2" t="s">
        <v>2199</v>
      </c>
      <c r="B775" s="2">
        <f t="shared" si="24"/>
        <v>2022</v>
      </c>
      <c r="C775" s="2" t="str">
        <f t="shared" si="25"/>
        <v>KZN226</v>
      </c>
      <c r="D775" s="2">
        <v>157</v>
      </c>
      <c r="F775" s="625"/>
      <c r="G775" s="625"/>
      <c r="H775" s="625"/>
      <c r="I775" s="625"/>
      <c r="J775" s="625"/>
      <c r="K775" s="625"/>
      <c r="L775" s="625"/>
      <c r="M775" s="626"/>
      <c r="N775" s="626"/>
      <c r="O775" s="626"/>
      <c r="P775" s="626"/>
      <c r="Q775" s="626"/>
      <c r="W775" t="s">
        <v>2047</v>
      </c>
    </row>
    <row r="776" spans="1:23" ht="13.15" customHeight="1" x14ac:dyDescent="0.2">
      <c r="A776" s="2" t="s">
        <v>2199</v>
      </c>
      <c r="B776" s="2">
        <f t="shared" si="24"/>
        <v>2022</v>
      </c>
      <c r="C776" s="2" t="str">
        <f t="shared" si="25"/>
        <v>KZN226</v>
      </c>
      <c r="D776" s="2">
        <v>158</v>
      </c>
      <c r="F776" s="625"/>
      <c r="G776" s="625"/>
      <c r="H776" s="625"/>
      <c r="I776" s="625"/>
      <c r="J776" s="625"/>
      <c r="K776" s="625"/>
      <c r="L776" s="625"/>
      <c r="M776" s="626"/>
      <c r="N776" s="626"/>
      <c r="O776" s="626"/>
      <c r="P776" s="626"/>
      <c r="Q776" s="626"/>
      <c r="W776" t="s">
        <v>2047</v>
      </c>
    </row>
    <row r="777" spans="1:23" ht="13.15" customHeight="1" x14ac:dyDescent="0.2">
      <c r="A777" s="2" t="s">
        <v>2199</v>
      </c>
      <c r="B777" s="2">
        <f t="shared" si="24"/>
        <v>2022</v>
      </c>
      <c r="C777" s="2" t="str">
        <f t="shared" si="25"/>
        <v>KZN226</v>
      </c>
      <c r="D777" s="2">
        <v>159</v>
      </c>
      <c r="F777" s="625"/>
      <c r="G777" s="625"/>
      <c r="H777" s="625"/>
      <c r="I777" s="625"/>
      <c r="J777" s="625"/>
      <c r="K777" s="625"/>
      <c r="L777" s="625"/>
      <c r="M777" s="626"/>
      <c r="N777" s="626"/>
      <c r="O777" s="626"/>
      <c r="P777" s="626"/>
      <c r="Q777" s="626"/>
      <c r="W777" t="s">
        <v>2047</v>
      </c>
    </row>
    <row r="778" spans="1:23" ht="13.15" customHeight="1" x14ac:dyDescent="0.2">
      <c r="A778" s="2" t="s">
        <v>2199</v>
      </c>
      <c r="B778" s="2">
        <f t="shared" si="24"/>
        <v>2022</v>
      </c>
      <c r="C778" s="2" t="str">
        <f t="shared" si="25"/>
        <v>KZN226</v>
      </c>
      <c r="D778" s="2">
        <v>160</v>
      </c>
      <c r="F778" s="625"/>
      <c r="G778" s="625"/>
      <c r="H778" s="625"/>
      <c r="I778" s="625"/>
      <c r="J778" s="625"/>
      <c r="K778" s="625"/>
      <c r="L778" s="625"/>
      <c r="M778" s="626"/>
      <c r="N778" s="626"/>
      <c r="O778" s="626"/>
      <c r="P778" s="626"/>
      <c r="Q778" s="626"/>
      <c r="W778" t="s">
        <v>2047</v>
      </c>
    </row>
    <row r="779" spans="1:23" ht="13.15" customHeight="1" x14ac:dyDescent="0.2">
      <c r="A779" s="2" t="s">
        <v>2199</v>
      </c>
      <c r="B779" s="2">
        <f t="shared" si="24"/>
        <v>2022</v>
      </c>
      <c r="C779" s="2" t="str">
        <f t="shared" si="25"/>
        <v>KZN226</v>
      </c>
      <c r="D779" s="2">
        <v>161</v>
      </c>
      <c r="F779" s="625"/>
      <c r="G779" s="625"/>
      <c r="H779" s="625"/>
      <c r="I779" s="625"/>
      <c r="J779" s="625"/>
      <c r="K779" s="625"/>
      <c r="L779" s="625"/>
      <c r="M779" s="626"/>
      <c r="N779" s="626"/>
      <c r="O779" s="626"/>
      <c r="P779" s="626"/>
      <c r="Q779" s="626"/>
      <c r="W779" t="s">
        <v>2047</v>
      </c>
    </row>
    <row r="780" spans="1:23" ht="13.15" customHeight="1" x14ac:dyDescent="0.2">
      <c r="A780" s="2" t="s">
        <v>2199</v>
      </c>
      <c r="B780" s="2">
        <f t="shared" si="24"/>
        <v>2022</v>
      </c>
      <c r="C780" s="2" t="str">
        <f t="shared" si="25"/>
        <v>KZN226</v>
      </c>
      <c r="D780" s="2">
        <v>162</v>
      </c>
      <c r="F780" s="625"/>
      <c r="G780" s="625"/>
      <c r="H780" s="625"/>
      <c r="I780" s="625"/>
      <c r="J780" s="625"/>
      <c r="K780" s="625"/>
      <c r="L780" s="625"/>
      <c r="M780" s="626"/>
      <c r="N780" s="626"/>
      <c r="O780" s="626"/>
      <c r="P780" s="626"/>
      <c r="Q780" s="626"/>
      <c r="W780" t="s">
        <v>2047</v>
      </c>
    </row>
    <row r="781" spans="1:23" ht="13.15" customHeight="1" x14ac:dyDescent="0.2">
      <c r="A781" s="2" t="s">
        <v>2199</v>
      </c>
      <c r="B781" s="2">
        <f t="shared" si="24"/>
        <v>2022</v>
      </c>
      <c r="C781" s="2" t="str">
        <f t="shared" si="25"/>
        <v>KZN226</v>
      </c>
      <c r="D781" s="2">
        <v>163</v>
      </c>
      <c r="F781" s="625"/>
      <c r="G781" s="625"/>
      <c r="H781" s="625"/>
      <c r="I781" s="625"/>
      <c r="J781" s="625"/>
      <c r="K781" s="625"/>
      <c r="L781" s="625"/>
      <c r="M781" s="626"/>
      <c r="N781" s="626"/>
      <c r="O781" s="626"/>
      <c r="P781" s="626"/>
      <c r="Q781" s="626"/>
      <c r="W781" t="s">
        <v>2047</v>
      </c>
    </row>
    <row r="782" spans="1:23" ht="13.15" customHeight="1" x14ac:dyDescent="0.2">
      <c r="A782" s="2" t="s">
        <v>2199</v>
      </c>
      <c r="B782" s="2">
        <f t="shared" si="24"/>
        <v>2022</v>
      </c>
      <c r="C782" s="2" t="str">
        <f t="shared" si="25"/>
        <v>KZN226</v>
      </c>
      <c r="D782" s="2">
        <v>164</v>
      </c>
      <c r="F782" s="625"/>
      <c r="G782" s="625"/>
      <c r="H782" s="625"/>
      <c r="I782" s="625"/>
      <c r="J782" s="625"/>
      <c r="K782" s="625"/>
      <c r="L782" s="625"/>
      <c r="M782" s="626"/>
      <c r="N782" s="626"/>
      <c r="O782" s="626"/>
      <c r="P782" s="626"/>
      <c r="Q782" s="626"/>
      <c r="W782" t="s">
        <v>2047</v>
      </c>
    </row>
    <row r="783" spans="1:23" ht="13.15" customHeight="1" x14ac:dyDescent="0.2">
      <c r="A783" s="2" t="s">
        <v>2199</v>
      </c>
      <c r="B783" s="2">
        <f t="shared" si="24"/>
        <v>2022</v>
      </c>
      <c r="C783" s="2" t="str">
        <f t="shared" si="25"/>
        <v>KZN226</v>
      </c>
      <c r="D783" s="2">
        <v>165</v>
      </c>
      <c r="F783" s="625"/>
      <c r="G783" s="625"/>
      <c r="H783" s="625"/>
      <c r="I783" s="625"/>
      <c r="J783" s="625"/>
      <c r="K783" s="625"/>
      <c r="L783" s="625"/>
      <c r="M783" s="626"/>
      <c r="N783" s="626"/>
      <c r="O783" s="626"/>
      <c r="P783" s="626"/>
      <c r="Q783" s="626"/>
      <c r="W783" t="s">
        <v>2047</v>
      </c>
    </row>
    <row r="784" spans="1:23" ht="13.15" customHeight="1" x14ac:dyDescent="0.2">
      <c r="A784" s="2" t="s">
        <v>2199</v>
      </c>
      <c r="B784" s="2">
        <f t="shared" si="24"/>
        <v>2022</v>
      </c>
      <c r="C784" s="2" t="str">
        <f t="shared" si="25"/>
        <v>KZN226</v>
      </c>
      <c r="D784" s="2">
        <v>166</v>
      </c>
      <c r="F784" s="625"/>
      <c r="G784" s="625"/>
      <c r="H784" s="625"/>
      <c r="I784" s="625"/>
      <c r="J784" s="625"/>
      <c r="K784" s="625"/>
      <c r="L784" s="625"/>
      <c r="M784" s="626"/>
      <c r="N784" s="626"/>
      <c r="O784" s="626"/>
      <c r="P784" s="626"/>
      <c r="Q784" s="626"/>
      <c r="W784" t="s">
        <v>2047</v>
      </c>
    </row>
    <row r="785" spans="1:23" ht="13.15" customHeight="1" x14ac:dyDescent="0.2">
      <c r="A785" s="2" t="s">
        <v>2199</v>
      </c>
      <c r="B785" s="2">
        <f t="shared" si="24"/>
        <v>2022</v>
      </c>
      <c r="C785" s="2" t="str">
        <f t="shared" si="25"/>
        <v>KZN226</v>
      </c>
      <c r="D785" s="2">
        <v>167</v>
      </c>
      <c r="F785" s="625"/>
      <c r="G785" s="625"/>
      <c r="H785" s="625"/>
      <c r="I785" s="625"/>
      <c r="J785" s="625"/>
      <c r="K785" s="625"/>
      <c r="L785" s="625"/>
      <c r="M785" s="626"/>
      <c r="N785" s="626"/>
      <c r="O785" s="626"/>
      <c r="P785" s="626"/>
      <c r="Q785" s="626"/>
      <c r="W785" t="s">
        <v>2047</v>
      </c>
    </row>
    <row r="786" spans="1:23" ht="13.15" customHeight="1" x14ac:dyDescent="0.2">
      <c r="A786" s="2" t="s">
        <v>2199</v>
      </c>
      <c r="B786" s="2">
        <f t="shared" si="24"/>
        <v>2022</v>
      </c>
      <c r="C786" s="2" t="str">
        <f t="shared" si="25"/>
        <v>KZN226</v>
      </c>
      <c r="D786" s="2">
        <v>168</v>
      </c>
      <c r="F786" s="625"/>
      <c r="G786" s="625"/>
      <c r="H786" s="625"/>
      <c r="I786" s="625"/>
      <c r="J786" s="625"/>
      <c r="K786" s="625"/>
      <c r="L786" s="625"/>
      <c r="M786" s="626"/>
      <c r="N786" s="626"/>
      <c r="O786" s="626"/>
      <c r="P786" s="626"/>
      <c r="Q786" s="626"/>
      <c r="W786" t="s">
        <v>2047</v>
      </c>
    </row>
    <row r="787" spans="1:23" ht="13.15" customHeight="1" x14ac:dyDescent="0.2">
      <c r="A787" s="2" t="s">
        <v>2199</v>
      </c>
      <c r="B787" s="2">
        <f t="shared" si="24"/>
        <v>2022</v>
      </c>
      <c r="C787" s="2" t="str">
        <f t="shared" si="25"/>
        <v>KZN226</v>
      </c>
      <c r="D787" s="2">
        <v>169</v>
      </c>
      <c r="F787" s="625"/>
      <c r="G787" s="625"/>
      <c r="H787" s="625"/>
      <c r="I787" s="625"/>
      <c r="J787" s="625"/>
      <c r="K787" s="625"/>
      <c r="L787" s="625"/>
      <c r="M787" s="626"/>
      <c r="N787" s="626"/>
      <c r="O787" s="626"/>
      <c r="P787" s="626"/>
      <c r="Q787" s="626"/>
      <c r="W787" t="s">
        <v>2047</v>
      </c>
    </row>
    <row r="788" spans="1:23" ht="13.15" customHeight="1" x14ac:dyDescent="0.2">
      <c r="A788" s="2" t="s">
        <v>2199</v>
      </c>
      <c r="B788" s="2">
        <f t="shared" si="24"/>
        <v>2022</v>
      </c>
      <c r="C788" s="2" t="str">
        <f t="shared" si="25"/>
        <v>KZN226</v>
      </c>
      <c r="D788" s="2">
        <v>170</v>
      </c>
      <c r="F788" s="625"/>
      <c r="G788" s="625"/>
      <c r="H788" s="625"/>
      <c r="I788" s="625"/>
      <c r="J788" s="625"/>
      <c r="K788" s="625"/>
      <c r="L788" s="625"/>
      <c r="M788" s="626"/>
      <c r="N788" s="626"/>
      <c r="O788" s="626"/>
      <c r="P788" s="626"/>
      <c r="Q788" s="626"/>
      <c r="W788" t="s">
        <v>2047</v>
      </c>
    </row>
    <row r="789" spans="1:23" ht="13.15" customHeight="1" x14ac:dyDescent="0.2">
      <c r="A789" s="2" t="s">
        <v>2199</v>
      </c>
      <c r="B789" s="2">
        <f t="shared" si="24"/>
        <v>2022</v>
      </c>
      <c r="C789" s="2" t="str">
        <f t="shared" si="25"/>
        <v>KZN226</v>
      </c>
      <c r="D789" s="2">
        <v>171</v>
      </c>
      <c r="F789" s="625"/>
      <c r="G789" s="625"/>
      <c r="H789" s="625"/>
      <c r="I789" s="625"/>
      <c r="J789" s="625"/>
      <c r="K789" s="625"/>
      <c r="L789" s="625"/>
      <c r="M789" s="626"/>
      <c r="N789" s="626"/>
      <c r="O789" s="626"/>
      <c r="P789" s="626"/>
      <c r="Q789" s="626"/>
      <c r="W789" t="s">
        <v>2047</v>
      </c>
    </row>
    <row r="790" spans="1:23" ht="13.15" customHeight="1" x14ac:dyDescent="0.2">
      <c r="A790" s="2" t="s">
        <v>2199</v>
      </c>
      <c r="B790" s="2">
        <f t="shared" si="24"/>
        <v>2022</v>
      </c>
      <c r="C790" s="2" t="str">
        <f t="shared" si="25"/>
        <v>KZN226</v>
      </c>
      <c r="D790" s="2">
        <v>172</v>
      </c>
      <c r="F790" s="625"/>
      <c r="G790" s="625"/>
      <c r="H790" s="625"/>
      <c r="I790" s="625"/>
      <c r="J790" s="625"/>
      <c r="K790" s="625"/>
      <c r="L790" s="625"/>
      <c r="M790" s="626"/>
      <c r="N790" s="626"/>
      <c r="O790" s="626"/>
      <c r="P790" s="626"/>
      <c r="Q790" s="626"/>
      <c r="W790" t="s">
        <v>2047</v>
      </c>
    </row>
    <row r="791" spans="1:23" ht="13.15" customHeight="1" x14ac:dyDescent="0.2">
      <c r="A791" s="2" t="s">
        <v>2199</v>
      </c>
      <c r="B791" s="2">
        <f t="shared" si="24"/>
        <v>2022</v>
      </c>
      <c r="C791" s="2" t="str">
        <f t="shared" si="25"/>
        <v>KZN226</v>
      </c>
      <c r="D791" s="2">
        <v>173</v>
      </c>
      <c r="F791" s="625"/>
      <c r="G791" s="625"/>
      <c r="H791" s="625"/>
      <c r="I791" s="625"/>
      <c r="J791" s="625"/>
      <c r="K791" s="625"/>
      <c r="L791" s="625"/>
      <c r="M791" s="626"/>
      <c r="N791" s="626"/>
      <c r="O791" s="626"/>
      <c r="P791" s="626"/>
      <c r="Q791" s="626"/>
      <c r="W791" t="s">
        <v>2047</v>
      </c>
    </row>
    <row r="792" spans="1:23" ht="13.15" customHeight="1" x14ac:dyDescent="0.2">
      <c r="A792" s="2" t="s">
        <v>2199</v>
      </c>
      <c r="B792" s="2">
        <f t="shared" si="24"/>
        <v>2022</v>
      </c>
      <c r="C792" s="2" t="str">
        <f t="shared" si="25"/>
        <v>KZN226</v>
      </c>
      <c r="D792" s="2">
        <v>174</v>
      </c>
      <c r="F792" s="625"/>
      <c r="G792" s="625"/>
      <c r="H792" s="625"/>
      <c r="I792" s="625"/>
      <c r="J792" s="625"/>
      <c r="K792" s="625"/>
      <c r="L792" s="625"/>
      <c r="M792" s="626"/>
      <c r="N792" s="626"/>
      <c r="O792" s="626"/>
      <c r="P792" s="626"/>
      <c r="Q792" s="626"/>
      <c r="W792" t="s">
        <v>2047</v>
      </c>
    </row>
    <row r="793" spans="1:23" ht="13.15" customHeight="1" x14ac:dyDescent="0.2">
      <c r="A793" s="2" t="s">
        <v>2199</v>
      </c>
      <c r="B793" s="2">
        <f t="shared" si="24"/>
        <v>2022</v>
      </c>
      <c r="C793" s="2" t="str">
        <f t="shared" si="25"/>
        <v>KZN226</v>
      </c>
      <c r="D793" s="2">
        <v>175</v>
      </c>
      <c r="F793" s="625"/>
      <c r="G793" s="625"/>
      <c r="H793" s="625"/>
      <c r="I793" s="625"/>
      <c r="J793" s="625"/>
      <c r="K793" s="625"/>
      <c r="L793" s="625"/>
      <c r="M793" s="626"/>
      <c r="N793" s="626"/>
      <c r="O793" s="626"/>
      <c r="P793" s="626"/>
      <c r="Q793" s="626"/>
      <c r="W793" t="s">
        <v>2047</v>
      </c>
    </row>
    <row r="794" spans="1:23" ht="13.15" customHeight="1" x14ac:dyDescent="0.2">
      <c r="A794" s="2" t="s">
        <v>2199</v>
      </c>
      <c r="B794" s="2">
        <f t="shared" si="24"/>
        <v>2022</v>
      </c>
      <c r="C794" s="2" t="str">
        <f t="shared" si="25"/>
        <v>KZN226</v>
      </c>
      <c r="D794" s="2">
        <v>176</v>
      </c>
      <c r="F794" s="625"/>
      <c r="G794" s="625"/>
      <c r="H794" s="625"/>
      <c r="I794" s="625"/>
      <c r="J794" s="625"/>
      <c r="K794" s="625"/>
      <c r="L794" s="625"/>
      <c r="M794" s="626"/>
      <c r="N794" s="626"/>
      <c r="O794" s="626"/>
      <c r="P794" s="626"/>
      <c r="Q794" s="626"/>
      <c r="W794" t="s">
        <v>2047</v>
      </c>
    </row>
    <row r="795" spans="1:23" ht="13.15" customHeight="1" x14ac:dyDescent="0.2">
      <c r="A795" s="2" t="s">
        <v>2199</v>
      </c>
      <c r="B795" s="2">
        <f t="shared" si="24"/>
        <v>2022</v>
      </c>
      <c r="C795" s="2" t="str">
        <f t="shared" si="25"/>
        <v>KZN226</v>
      </c>
      <c r="D795" s="2">
        <v>177</v>
      </c>
      <c r="F795" s="625"/>
      <c r="G795" s="625"/>
      <c r="H795" s="625"/>
      <c r="I795" s="625"/>
      <c r="J795" s="625"/>
      <c r="K795" s="625"/>
      <c r="L795" s="625"/>
      <c r="M795" s="626"/>
      <c r="N795" s="626"/>
      <c r="O795" s="626"/>
      <c r="P795" s="626"/>
      <c r="Q795" s="626"/>
      <c r="W795" t="s">
        <v>2047</v>
      </c>
    </row>
    <row r="796" spans="1:23" ht="13.15" customHeight="1" x14ac:dyDescent="0.2">
      <c r="A796" s="2" t="s">
        <v>2199</v>
      </c>
      <c r="B796" s="2">
        <f t="shared" si="24"/>
        <v>2022</v>
      </c>
      <c r="C796" s="2" t="str">
        <f t="shared" si="25"/>
        <v>KZN226</v>
      </c>
      <c r="D796" s="2">
        <v>178</v>
      </c>
      <c r="F796" s="625"/>
      <c r="G796" s="625"/>
      <c r="H796" s="625"/>
      <c r="I796" s="625"/>
      <c r="J796" s="625"/>
      <c r="K796" s="625"/>
      <c r="L796" s="625"/>
      <c r="M796" s="626"/>
      <c r="N796" s="626"/>
      <c r="O796" s="626"/>
      <c r="P796" s="626"/>
      <c r="Q796" s="626"/>
      <c r="W796" t="s">
        <v>2047</v>
      </c>
    </row>
    <row r="797" spans="1:23" ht="13.15" customHeight="1" x14ac:dyDescent="0.2">
      <c r="A797" s="2" t="s">
        <v>2199</v>
      </c>
      <c r="B797" s="2">
        <f t="shared" si="24"/>
        <v>2022</v>
      </c>
      <c r="C797" s="2" t="str">
        <f t="shared" si="25"/>
        <v>KZN226</v>
      </c>
      <c r="D797" s="2">
        <v>179</v>
      </c>
      <c r="F797" s="625"/>
      <c r="G797" s="625"/>
      <c r="H797" s="625"/>
      <c r="I797" s="625"/>
      <c r="J797" s="625"/>
      <c r="K797" s="625"/>
      <c r="L797" s="625"/>
      <c r="M797" s="626"/>
      <c r="N797" s="626"/>
      <c r="O797" s="626"/>
      <c r="P797" s="626"/>
      <c r="Q797" s="626"/>
      <c r="W797" t="s">
        <v>2047</v>
      </c>
    </row>
    <row r="798" spans="1:23" ht="13.15" customHeight="1" x14ac:dyDescent="0.2">
      <c r="A798" s="2" t="s">
        <v>2199</v>
      </c>
      <c r="B798" s="2">
        <f t="shared" si="24"/>
        <v>2022</v>
      </c>
      <c r="C798" s="2" t="str">
        <f t="shared" si="25"/>
        <v>KZN226</v>
      </c>
      <c r="D798" s="2">
        <v>180</v>
      </c>
      <c r="F798" s="625"/>
      <c r="G798" s="625"/>
      <c r="H798" s="625"/>
      <c r="I798" s="625"/>
      <c r="J798" s="625"/>
      <c r="K798" s="625"/>
      <c r="L798" s="625"/>
      <c r="M798" s="626"/>
      <c r="N798" s="626"/>
      <c r="O798" s="626"/>
      <c r="P798" s="626"/>
      <c r="Q798" s="626"/>
      <c r="W798" t="s">
        <v>2047</v>
      </c>
    </row>
    <row r="799" spans="1:23" ht="13.15" customHeight="1" x14ac:dyDescent="0.2">
      <c r="A799" s="2" t="s">
        <v>2199</v>
      </c>
      <c r="B799" s="2">
        <f t="shared" si="24"/>
        <v>2022</v>
      </c>
      <c r="C799" s="2" t="str">
        <f t="shared" si="25"/>
        <v>KZN226</v>
      </c>
      <c r="D799" s="2">
        <v>181</v>
      </c>
      <c r="F799" s="625"/>
      <c r="G799" s="625"/>
      <c r="H799" s="625"/>
      <c r="I799" s="625"/>
      <c r="J799" s="625"/>
      <c r="K799" s="625"/>
      <c r="L799" s="625"/>
      <c r="M799" s="626"/>
      <c r="N799" s="626"/>
      <c r="O799" s="626"/>
      <c r="P799" s="626"/>
      <c r="Q799" s="626"/>
      <c r="W799" t="s">
        <v>2047</v>
      </c>
    </row>
    <row r="800" spans="1:23" ht="13.15" customHeight="1" x14ac:dyDescent="0.2">
      <c r="A800" s="2" t="s">
        <v>2199</v>
      </c>
      <c r="B800" s="2">
        <f t="shared" si="24"/>
        <v>2022</v>
      </c>
      <c r="C800" s="2" t="str">
        <f t="shared" si="25"/>
        <v>KZN226</v>
      </c>
      <c r="D800" s="2">
        <v>182</v>
      </c>
      <c r="F800" s="625"/>
      <c r="G800" s="625"/>
      <c r="H800" s="625"/>
      <c r="I800" s="625"/>
      <c r="J800" s="625"/>
      <c r="K800" s="625"/>
      <c r="L800" s="625"/>
      <c r="M800" s="626"/>
      <c r="N800" s="626"/>
      <c r="O800" s="626"/>
      <c r="P800" s="626"/>
      <c r="Q800" s="626"/>
      <c r="W800" t="s">
        <v>2047</v>
      </c>
    </row>
    <row r="801" spans="1:23" ht="13.15" customHeight="1" x14ac:dyDescent="0.2">
      <c r="A801" s="2" t="s">
        <v>2199</v>
      </c>
      <c r="B801" s="2">
        <f t="shared" si="24"/>
        <v>2022</v>
      </c>
      <c r="C801" s="2" t="str">
        <f t="shared" si="25"/>
        <v>KZN226</v>
      </c>
      <c r="D801" s="2">
        <v>183</v>
      </c>
      <c r="F801" s="625"/>
      <c r="G801" s="625"/>
      <c r="H801" s="625"/>
      <c r="I801" s="625"/>
      <c r="J801" s="625"/>
      <c r="K801" s="625"/>
      <c r="L801" s="625"/>
      <c r="M801" s="626"/>
      <c r="N801" s="626"/>
      <c r="O801" s="626"/>
      <c r="P801" s="626"/>
      <c r="Q801" s="626"/>
      <c r="W801" t="s">
        <v>2047</v>
      </c>
    </row>
    <row r="802" spans="1:23" ht="13.15" customHeight="1" x14ac:dyDescent="0.2">
      <c r="A802" s="2" t="s">
        <v>2199</v>
      </c>
      <c r="B802" s="2">
        <f t="shared" si="24"/>
        <v>2022</v>
      </c>
      <c r="C802" s="2" t="str">
        <f t="shared" si="25"/>
        <v>KZN226</v>
      </c>
      <c r="D802" s="2">
        <v>184</v>
      </c>
      <c r="F802" s="625"/>
      <c r="G802" s="625"/>
      <c r="H802" s="625"/>
      <c r="I802" s="625"/>
      <c r="J802" s="625"/>
      <c r="K802" s="625"/>
      <c r="L802" s="625"/>
      <c r="M802" s="626"/>
      <c r="N802" s="626"/>
      <c r="O802" s="626"/>
      <c r="P802" s="626"/>
      <c r="Q802" s="626"/>
      <c r="W802" t="s">
        <v>2047</v>
      </c>
    </row>
    <row r="803" spans="1:23" ht="13.15" customHeight="1" x14ac:dyDescent="0.2">
      <c r="A803" s="2" t="s">
        <v>2199</v>
      </c>
      <c r="B803" s="2">
        <f t="shared" si="24"/>
        <v>2022</v>
      </c>
      <c r="C803" s="2" t="str">
        <f t="shared" si="25"/>
        <v>KZN226</v>
      </c>
      <c r="D803" s="2">
        <v>185</v>
      </c>
      <c r="F803" s="625"/>
      <c r="G803" s="625"/>
      <c r="H803" s="625"/>
      <c r="I803" s="625"/>
      <c r="J803" s="625"/>
      <c r="K803" s="625"/>
      <c r="L803" s="625"/>
      <c r="M803" s="626"/>
      <c r="N803" s="626"/>
      <c r="O803" s="626"/>
      <c r="P803" s="626"/>
      <c r="Q803" s="626"/>
      <c r="W803" t="s">
        <v>2047</v>
      </c>
    </row>
    <row r="804" spans="1:23" ht="13.15" customHeight="1" x14ac:dyDescent="0.2">
      <c r="A804" s="2" t="s">
        <v>2199</v>
      </c>
      <c r="B804" s="2">
        <f t="shared" si="24"/>
        <v>2022</v>
      </c>
      <c r="C804" s="2" t="str">
        <f t="shared" si="25"/>
        <v>KZN226</v>
      </c>
      <c r="D804" s="2">
        <v>186</v>
      </c>
      <c r="F804" s="625"/>
      <c r="G804" s="625"/>
      <c r="H804" s="625"/>
      <c r="I804" s="625"/>
      <c r="J804" s="625"/>
      <c r="K804" s="625"/>
      <c r="L804" s="625"/>
      <c r="M804" s="626"/>
      <c r="N804" s="626"/>
      <c r="O804" s="626"/>
      <c r="P804" s="626"/>
      <c r="Q804" s="626"/>
      <c r="W804" t="s">
        <v>2047</v>
      </c>
    </row>
    <row r="805" spans="1:23" ht="13.15" customHeight="1" x14ac:dyDescent="0.2">
      <c r="A805" s="2" t="s">
        <v>2199</v>
      </c>
      <c r="B805" s="2">
        <f t="shared" si="24"/>
        <v>2022</v>
      </c>
      <c r="C805" s="2" t="str">
        <f t="shared" si="25"/>
        <v>KZN226</v>
      </c>
      <c r="D805" s="2">
        <v>187</v>
      </c>
      <c r="F805" s="625"/>
      <c r="G805" s="625"/>
      <c r="H805" s="625"/>
      <c r="I805" s="625"/>
      <c r="J805" s="625"/>
      <c r="K805" s="625"/>
      <c r="L805" s="625"/>
      <c r="M805" s="626"/>
      <c r="N805" s="626"/>
      <c r="O805" s="626"/>
      <c r="P805" s="626"/>
      <c r="Q805" s="626"/>
      <c r="W805" t="s">
        <v>2047</v>
      </c>
    </row>
    <row r="806" spans="1:23" ht="13.15" customHeight="1" x14ac:dyDescent="0.2">
      <c r="A806" s="2" t="s">
        <v>2199</v>
      </c>
      <c r="B806" s="2">
        <f t="shared" si="24"/>
        <v>2022</v>
      </c>
      <c r="C806" s="2" t="str">
        <f t="shared" si="25"/>
        <v>KZN226</v>
      </c>
      <c r="D806" s="2">
        <v>188</v>
      </c>
      <c r="F806" s="625"/>
      <c r="G806" s="625"/>
      <c r="H806" s="625"/>
      <c r="I806" s="625"/>
      <c r="J806" s="625"/>
      <c r="K806" s="625"/>
      <c r="L806" s="625"/>
      <c r="M806" s="626"/>
      <c r="N806" s="626"/>
      <c r="O806" s="626"/>
      <c r="P806" s="626"/>
      <c r="Q806" s="626"/>
      <c r="W806" t="s">
        <v>2047</v>
      </c>
    </row>
    <row r="807" spans="1:23" ht="13.15" customHeight="1" x14ac:dyDescent="0.2">
      <c r="A807" s="2" t="s">
        <v>2199</v>
      </c>
      <c r="B807" s="2">
        <f t="shared" si="24"/>
        <v>2022</v>
      </c>
      <c r="C807" s="2" t="str">
        <f t="shared" si="25"/>
        <v>KZN226</v>
      </c>
      <c r="D807" s="2">
        <v>189</v>
      </c>
      <c r="F807" s="625"/>
      <c r="G807" s="625"/>
      <c r="H807" s="625"/>
      <c r="I807" s="625"/>
      <c r="J807" s="625"/>
      <c r="K807" s="625"/>
      <c r="L807" s="625"/>
      <c r="M807" s="626"/>
      <c r="N807" s="626"/>
      <c r="O807" s="626"/>
      <c r="P807" s="626"/>
      <c r="Q807" s="626"/>
      <c r="W807" t="s">
        <v>2047</v>
      </c>
    </row>
    <row r="808" spans="1:23" ht="13.15" customHeight="1" x14ac:dyDescent="0.2">
      <c r="A808" s="2" t="s">
        <v>2199</v>
      </c>
      <c r="B808" s="2">
        <f t="shared" si="24"/>
        <v>2022</v>
      </c>
      <c r="C808" s="2" t="str">
        <f t="shared" si="25"/>
        <v>KZN226</v>
      </c>
      <c r="D808" s="2">
        <v>190</v>
      </c>
      <c r="F808" s="625"/>
      <c r="G808" s="625"/>
      <c r="H808" s="625"/>
      <c r="I808" s="625"/>
      <c r="J808" s="625"/>
      <c r="K808" s="625"/>
      <c r="L808" s="625"/>
      <c r="M808" s="626"/>
      <c r="N808" s="626"/>
      <c r="O808" s="626"/>
      <c r="P808" s="626"/>
      <c r="Q808" s="626"/>
      <c r="W808" t="s">
        <v>2047</v>
      </c>
    </row>
    <row r="809" spans="1:23" ht="13.15" customHeight="1" x14ac:dyDescent="0.2">
      <c r="A809" s="2" t="s">
        <v>2199</v>
      </c>
      <c r="B809" s="2">
        <f t="shared" si="24"/>
        <v>2022</v>
      </c>
      <c r="C809" s="2" t="str">
        <f t="shared" si="25"/>
        <v>KZN226</v>
      </c>
      <c r="D809" s="2">
        <v>191</v>
      </c>
      <c r="F809" s="625"/>
      <c r="G809" s="625"/>
      <c r="H809" s="625"/>
      <c r="I809" s="625"/>
      <c r="J809" s="625"/>
      <c r="K809" s="625"/>
      <c r="L809" s="625"/>
      <c r="M809" s="626"/>
      <c r="N809" s="626"/>
      <c r="O809" s="626"/>
      <c r="P809" s="626"/>
      <c r="Q809" s="626"/>
      <c r="W809" t="s">
        <v>2047</v>
      </c>
    </row>
    <row r="810" spans="1:23" ht="13.15" customHeight="1" x14ac:dyDescent="0.2">
      <c r="A810" s="2" t="s">
        <v>2199</v>
      </c>
      <c r="B810" s="2">
        <f t="shared" si="24"/>
        <v>2022</v>
      </c>
      <c r="C810" s="2" t="str">
        <f t="shared" si="25"/>
        <v>KZN226</v>
      </c>
      <c r="D810" s="2">
        <v>192</v>
      </c>
      <c r="F810" s="625"/>
      <c r="G810" s="625"/>
      <c r="H810" s="625"/>
      <c r="I810" s="625"/>
      <c r="J810" s="625"/>
      <c r="K810" s="625"/>
      <c r="L810" s="625"/>
      <c r="M810" s="626"/>
      <c r="N810" s="626"/>
      <c r="O810" s="626"/>
      <c r="P810" s="626"/>
      <c r="Q810" s="626"/>
      <c r="W810" t="s">
        <v>2047</v>
      </c>
    </row>
    <row r="811" spans="1:23" ht="13.15" customHeight="1" x14ac:dyDescent="0.2">
      <c r="A811" s="2" t="s">
        <v>2199</v>
      </c>
      <c r="B811" s="2">
        <f t="shared" si="24"/>
        <v>2022</v>
      </c>
      <c r="C811" s="2" t="str">
        <f t="shared" si="25"/>
        <v>KZN226</v>
      </c>
      <c r="D811" s="2">
        <v>193</v>
      </c>
      <c r="F811" s="625"/>
      <c r="G811" s="625"/>
      <c r="H811" s="625"/>
      <c r="I811" s="625"/>
      <c r="J811" s="625"/>
      <c r="K811" s="625"/>
      <c r="L811" s="625"/>
      <c r="M811" s="626"/>
      <c r="N811" s="626"/>
      <c r="O811" s="626"/>
      <c r="P811" s="626"/>
      <c r="Q811" s="626"/>
      <c r="W811" t="s">
        <v>2047</v>
      </c>
    </row>
    <row r="812" spans="1:23" ht="13.15" customHeight="1" x14ac:dyDescent="0.2">
      <c r="A812" s="2" t="s">
        <v>2199</v>
      </c>
      <c r="B812" s="2">
        <f t="shared" si="24"/>
        <v>2022</v>
      </c>
      <c r="C812" s="2" t="str">
        <f t="shared" si="25"/>
        <v>KZN226</v>
      </c>
      <c r="D812" s="2">
        <v>194</v>
      </c>
      <c r="F812" s="625"/>
      <c r="G812" s="625"/>
      <c r="H812" s="625"/>
      <c r="I812" s="625"/>
      <c r="J812" s="625"/>
      <c r="K812" s="625"/>
      <c r="L812" s="625"/>
      <c r="M812" s="626"/>
      <c r="N812" s="626"/>
      <c r="O812" s="626"/>
      <c r="P812" s="626"/>
      <c r="Q812" s="626"/>
      <c r="W812" t="s">
        <v>2047</v>
      </c>
    </row>
    <row r="813" spans="1:23" ht="13.15" customHeight="1" x14ac:dyDescent="0.2">
      <c r="A813" s="2" t="s">
        <v>2199</v>
      </c>
      <c r="B813" s="2">
        <f t="shared" si="24"/>
        <v>2022</v>
      </c>
      <c r="C813" s="2" t="str">
        <f t="shared" si="25"/>
        <v>KZN226</v>
      </c>
      <c r="D813" s="2">
        <v>195</v>
      </c>
      <c r="F813" s="625"/>
      <c r="G813" s="625"/>
      <c r="H813" s="625"/>
      <c r="I813" s="625"/>
      <c r="J813" s="625"/>
      <c r="K813" s="625"/>
      <c r="L813" s="625"/>
      <c r="M813" s="626"/>
      <c r="N813" s="626"/>
      <c r="O813" s="626"/>
      <c r="P813" s="626"/>
      <c r="Q813" s="626"/>
      <c r="W813" t="s">
        <v>2047</v>
      </c>
    </row>
    <row r="814" spans="1:23" ht="13.15" customHeight="1" x14ac:dyDescent="0.2">
      <c r="A814" s="2" t="s">
        <v>2199</v>
      </c>
      <c r="B814" s="2">
        <f t="shared" si="24"/>
        <v>2022</v>
      </c>
      <c r="C814" s="2" t="str">
        <f t="shared" si="25"/>
        <v>KZN226</v>
      </c>
      <c r="D814" s="2">
        <v>196</v>
      </c>
      <c r="F814" s="625"/>
      <c r="G814" s="625"/>
      <c r="H814" s="625"/>
      <c r="I814" s="625"/>
      <c r="J814" s="625"/>
      <c r="K814" s="625"/>
      <c r="L814" s="625"/>
      <c r="M814" s="626"/>
      <c r="N814" s="626"/>
      <c r="O814" s="626"/>
      <c r="P814" s="626"/>
      <c r="Q814" s="626"/>
      <c r="W814" t="s">
        <v>2047</v>
      </c>
    </row>
    <row r="815" spans="1:23" ht="13.15" customHeight="1" x14ac:dyDescent="0.2">
      <c r="A815" s="2" t="s">
        <v>2199</v>
      </c>
      <c r="B815" s="2">
        <f t="shared" si="24"/>
        <v>2022</v>
      </c>
      <c r="C815" s="2" t="str">
        <f t="shared" si="25"/>
        <v>KZN226</v>
      </c>
      <c r="D815" s="2">
        <v>197</v>
      </c>
      <c r="F815" s="625"/>
      <c r="G815" s="625"/>
      <c r="H815" s="625"/>
      <c r="I815" s="625"/>
      <c r="J815" s="625"/>
      <c r="K815" s="625"/>
      <c r="L815" s="625"/>
      <c r="M815" s="626"/>
      <c r="N815" s="626"/>
      <c r="O815" s="626"/>
      <c r="P815" s="626"/>
      <c r="Q815" s="626"/>
      <c r="W815" t="s">
        <v>2047</v>
      </c>
    </row>
    <row r="816" spans="1:23" ht="13.15" customHeight="1" x14ac:dyDescent="0.2">
      <c r="A816" s="2" t="s">
        <v>2199</v>
      </c>
      <c r="B816" s="2">
        <f t="shared" si="24"/>
        <v>2022</v>
      </c>
      <c r="C816" s="2" t="str">
        <f t="shared" si="25"/>
        <v>KZN226</v>
      </c>
      <c r="D816" s="2">
        <v>198</v>
      </c>
      <c r="F816" s="625"/>
      <c r="G816" s="625"/>
      <c r="H816" s="625"/>
      <c r="I816" s="625"/>
      <c r="J816" s="625"/>
      <c r="K816" s="625"/>
      <c r="L816" s="625"/>
      <c r="M816" s="626"/>
      <c r="N816" s="626"/>
      <c r="O816" s="626"/>
      <c r="P816" s="626"/>
      <c r="Q816" s="626"/>
      <c r="W816" t="s">
        <v>2047</v>
      </c>
    </row>
    <row r="817" spans="1:23" ht="13.15" customHeight="1" x14ac:dyDescent="0.2">
      <c r="A817" s="2" t="s">
        <v>2199</v>
      </c>
      <c r="B817" s="2">
        <f t="shared" si="24"/>
        <v>2022</v>
      </c>
      <c r="C817" s="2" t="str">
        <f t="shared" si="25"/>
        <v>KZN226</v>
      </c>
      <c r="D817" s="2">
        <v>199</v>
      </c>
      <c r="F817" s="625"/>
      <c r="G817" s="625"/>
      <c r="H817" s="625"/>
      <c r="I817" s="625"/>
      <c r="J817" s="625"/>
      <c r="K817" s="625"/>
      <c r="L817" s="625"/>
      <c r="M817" s="626"/>
      <c r="N817" s="626"/>
      <c r="O817" s="626"/>
      <c r="P817" s="626"/>
      <c r="Q817" s="626"/>
      <c r="W817" t="s">
        <v>2047</v>
      </c>
    </row>
    <row r="818" spans="1:23" ht="13.15" customHeight="1" x14ac:dyDescent="0.2">
      <c r="A818" s="2" t="s">
        <v>2199</v>
      </c>
      <c r="B818" s="2">
        <f t="shared" si="24"/>
        <v>2022</v>
      </c>
      <c r="C818" s="2" t="str">
        <f t="shared" si="25"/>
        <v>KZN226</v>
      </c>
      <c r="D818" s="2">
        <v>200</v>
      </c>
      <c r="F818" s="625"/>
      <c r="G818" s="625"/>
      <c r="H818" s="625"/>
      <c r="I818" s="625"/>
      <c r="J818" s="625"/>
      <c r="K818" s="625"/>
      <c r="L818" s="625"/>
      <c r="M818" s="626"/>
      <c r="N818" s="626"/>
      <c r="O818" s="626"/>
      <c r="P818" s="626"/>
      <c r="Q818" s="626"/>
      <c r="W818" t="s">
        <v>2047</v>
      </c>
    </row>
    <row r="819" spans="1:23" ht="13.15" customHeight="1" x14ac:dyDescent="0.2">
      <c r="A819" s="2" t="s">
        <v>2199</v>
      </c>
      <c r="B819" s="2">
        <f t="shared" si="24"/>
        <v>2022</v>
      </c>
      <c r="C819" s="2" t="str">
        <f t="shared" si="25"/>
        <v>KZN226</v>
      </c>
      <c r="D819" s="2">
        <v>201</v>
      </c>
      <c r="F819" s="625"/>
      <c r="G819" s="625"/>
      <c r="H819" s="625"/>
      <c r="I819" s="625"/>
      <c r="J819" s="625"/>
      <c r="K819" s="625"/>
      <c r="L819" s="625"/>
      <c r="M819" s="626"/>
      <c r="N819" s="626"/>
      <c r="O819" s="626"/>
      <c r="P819" s="626"/>
      <c r="Q819" s="626"/>
      <c r="W819" t="s">
        <v>2047</v>
      </c>
    </row>
    <row r="820" spans="1:23" ht="13.15" customHeight="1" x14ac:dyDescent="0.2">
      <c r="A820" s="2" t="s">
        <v>2199</v>
      </c>
      <c r="B820" s="2">
        <f t="shared" si="24"/>
        <v>2022</v>
      </c>
      <c r="C820" s="2" t="str">
        <f t="shared" si="25"/>
        <v>KZN226</v>
      </c>
      <c r="D820" s="2">
        <v>202</v>
      </c>
      <c r="F820" s="625"/>
      <c r="G820" s="625"/>
      <c r="H820" s="625"/>
      <c r="I820" s="625"/>
      <c r="J820" s="625"/>
      <c r="K820" s="625"/>
      <c r="L820" s="625"/>
      <c r="M820" s="626"/>
      <c r="N820" s="626"/>
      <c r="O820" s="626"/>
      <c r="P820" s="626"/>
      <c r="Q820" s="626"/>
      <c r="W820" t="s">
        <v>2047</v>
      </c>
    </row>
    <row r="821" spans="1:23" ht="13.15" customHeight="1" x14ac:dyDescent="0.2">
      <c r="A821" s="2" t="s">
        <v>2199</v>
      </c>
      <c r="B821" s="2">
        <f t="shared" si="24"/>
        <v>2022</v>
      </c>
      <c r="C821" s="2" t="str">
        <f t="shared" si="25"/>
        <v>KZN226</v>
      </c>
      <c r="D821" s="2">
        <v>203</v>
      </c>
      <c r="F821" s="625"/>
      <c r="G821" s="625"/>
      <c r="H821" s="625"/>
      <c r="I821" s="625"/>
      <c r="J821" s="625"/>
      <c r="K821" s="625"/>
      <c r="L821" s="625"/>
      <c r="M821" s="626"/>
      <c r="N821" s="626"/>
      <c r="O821" s="626"/>
      <c r="P821" s="626"/>
      <c r="Q821" s="626"/>
      <c r="W821" t="s">
        <v>2047</v>
      </c>
    </row>
    <row r="822" spans="1:23" ht="13.15" customHeight="1" x14ac:dyDescent="0.2">
      <c r="A822" s="2" t="s">
        <v>2199</v>
      </c>
      <c r="B822" s="2">
        <f t="shared" si="24"/>
        <v>2022</v>
      </c>
      <c r="C822" s="2" t="str">
        <f t="shared" si="25"/>
        <v>KZN226</v>
      </c>
      <c r="D822" s="2">
        <v>204</v>
      </c>
      <c r="F822" s="625"/>
      <c r="G822" s="625"/>
      <c r="H822" s="625"/>
      <c r="I822" s="625"/>
      <c r="J822" s="625"/>
      <c r="K822" s="625"/>
      <c r="L822" s="625"/>
      <c r="M822" s="626"/>
      <c r="N822" s="626"/>
      <c r="O822" s="626"/>
      <c r="P822" s="626"/>
      <c r="Q822" s="626"/>
      <c r="W822" t="s">
        <v>2047</v>
      </c>
    </row>
    <row r="823" spans="1:23" ht="13.15" customHeight="1" x14ac:dyDescent="0.2">
      <c r="A823" s="2" t="s">
        <v>2199</v>
      </c>
      <c r="B823" s="2">
        <f t="shared" si="24"/>
        <v>2022</v>
      </c>
      <c r="C823" s="2" t="str">
        <f t="shared" si="25"/>
        <v>KZN226</v>
      </c>
      <c r="D823" s="2">
        <v>205</v>
      </c>
      <c r="F823" s="625"/>
      <c r="G823" s="625"/>
      <c r="H823" s="625"/>
      <c r="I823" s="625"/>
      <c r="J823" s="625"/>
      <c r="K823" s="625"/>
      <c r="L823" s="625"/>
      <c r="M823" s="626"/>
      <c r="N823" s="626"/>
      <c r="O823" s="626"/>
      <c r="P823" s="626"/>
      <c r="Q823" s="626"/>
      <c r="W823" t="s">
        <v>2047</v>
      </c>
    </row>
    <row r="824" spans="1:23" ht="13.15" customHeight="1" x14ac:dyDescent="0.2">
      <c r="A824" s="2" t="s">
        <v>2199</v>
      </c>
      <c r="B824" s="2">
        <f t="shared" si="24"/>
        <v>2022</v>
      </c>
      <c r="C824" s="2" t="str">
        <f t="shared" si="25"/>
        <v>KZN226</v>
      </c>
      <c r="D824" s="2">
        <v>206</v>
      </c>
      <c r="F824" s="625"/>
      <c r="G824" s="625"/>
      <c r="H824" s="625"/>
      <c r="I824" s="625"/>
      <c r="J824" s="625"/>
      <c r="K824" s="625"/>
      <c r="L824" s="625"/>
      <c r="M824" s="626"/>
      <c r="N824" s="626"/>
      <c r="O824" s="626"/>
      <c r="P824" s="626"/>
      <c r="Q824" s="626"/>
      <c r="W824" t="s">
        <v>2047</v>
      </c>
    </row>
    <row r="825" spans="1:23" ht="13.15" customHeight="1" x14ac:dyDescent="0.2">
      <c r="A825" s="2" t="s">
        <v>2199</v>
      </c>
      <c r="B825" s="2">
        <f t="shared" si="24"/>
        <v>2022</v>
      </c>
      <c r="C825" s="2" t="str">
        <f t="shared" si="25"/>
        <v>KZN226</v>
      </c>
      <c r="D825" s="2">
        <v>207</v>
      </c>
      <c r="F825" s="625"/>
      <c r="G825" s="625"/>
      <c r="H825" s="625"/>
      <c r="I825" s="625"/>
      <c r="J825" s="625"/>
      <c r="K825" s="625"/>
      <c r="L825" s="625"/>
      <c r="M825" s="626"/>
      <c r="N825" s="626"/>
      <c r="O825" s="626"/>
      <c r="P825" s="626"/>
      <c r="Q825" s="626"/>
      <c r="W825" t="s">
        <v>2047</v>
      </c>
    </row>
    <row r="826" spans="1:23" ht="13.15" customHeight="1" x14ac:dyDescent="0.2">
      <c r="A826" s="2" t="s">
        <v>2199</v>
      </c>
      <c r="B826" s="2">
        <f t="shared" si="24"/>
        <v>2022</v>
      </c>
      <c r="C826" s="2" t="str">
        <f t="shared" si="25"/>
        <v>KZN226</v>
      </c>
      <c r="D826" s="2">
        <v>208</v>
      </c>
      <c r="F826" s="625"/>
      <c r="G826" s="625"/>
      <c r="H826" s="625"/>
      <c r="I826" s="625"/>
      <c r="J826" s="625"/>
      <c r="K826" s="625"/>
      <c r="L826" s="625"/>
      <c r="M826" s="626"/>
      <c r="N826" s="626"/>
      <c r="O826" s="626"/>
      <c r="P826" s="626"/>
      <c r="Q826" s="626"/>
      <c r="W826" t="s">
        <v>2047</v>
      </c>
    </row>
    <row r="827" spans="1:23" ht="13.15" customHeight="1" x14ac:dyDescent="0.2">
      <c r="A827" s="2" t="s">
        <v>2199</v>
      </c>
      <c r="B827" s="2">
        <f t="shared" si="24"/>
        <v>2022</v>
      </c>
      <c r="C827" s="2" t="str">
        <f t="shared" si="25"/>
        <v>KZN226</v>
      </c>
      <c r="D827" s="2">
        <v>209</v>
      </c>
      <c r="F827" s="625"/>
      <c r="G827" s="625"/>
      <c r="H827" s="625"/>
      <c r="I827" s="625"/>
      <c r="J827" s="625"/>
      <c r="K827" s="625"/>
      <c r="L827" s="625"/>
      <c r="M827" s="626"/>
      <c r="N827" s="626"/>
      <c r="O827" s="626"/>
      <c r="P827" s="626"/>
      <c r="Q827" s="626"/>
      <c r="W827" t="s">
        <v>2047</v>
      </c>
    </row>
    <row r="828" spans="1:23" ht="13.15" customHeight="1" x14ac:dyDescent="0.2">
      <c r="A828" s="2" t="s">
        <v>2199</v>
      </c>
      <c r="B828" s="2">
        <f t="shared" si="24"/>
        <v>2022</v>
      </c>
      <c r="C828" s="2" t="str">
        <f t="shared" si="25"/>
        <v>KZN226</v>
      </c>
      <c r="D828" s="2">
        <v>210</v>
      </c>
      <c r="F828" s="625"/>
      <c r="G828" s="625"/>
      <c r="H828" s="625"/>
      <c r="I828" s="625"/>
      <c r="J828" s="625"/>
      <c r="K828" s="625"/>
      <c r="L828" s="625"/>
      <c r="M828" s="626"/>
      <c r="N828" s="626"/>
      <c r="O828" s="626"/>
      <c r="P828" s="626"/>
      <c r="Q828" s="626"/>
      <c r="W828" t="s">
        <v>2047</v>
      </c>
    </row>
    <row r="829" spans="1:23" ht="13.15" customHeight="1" x14ac:dyDescent="0.2">
      <c r="A829" s="2" t="s">
        <v>2199</v>
      </c>
      <c r="B829" s="2">
        <f t="shared" si="24"/>
        <v>2022</v>
      </c>
      <c r="C829" s="2" t="str">
        <f t="shared" si="25"/>
        <v>KZN226</v>
      </c>
      <c r="D829" s="2">
        <v>211</v>
      </c>
      <c r="F829" s="625"/>
      <c r="G829" s="625"/>
      <c r="H829" s="625"/>
      <c r="I829" s="625"/>
      <c r="J829" s="625"/>
      <c r="K829" s="625"/>
      <c r="L829" s="625"/>
      <c r="M829" s="626"/>
      <c r="N829" s="626"/>
      <c r="O829" s="626"/>
      <c r="P829" s="626"/>
      <c r="Q829" s="626"/>
      <c r="W829" t="s">
        <v>2047</v>
      </c>
    </row>
    <row r="830" spans="1:23" ht="13.15" customHeight="1" x14ac:dyDescent="0.2">
      <c r="A830" s="2" t="s">
        <v>2199</v>
      </c>
      <c r="B830" s="2">
        <f t="shared" si="24"/>
        <v>2022</v>
      </c>
      <c r="C830" s="2" t="str">
        <f t="shared" si="25"/>
        <v>KZN226</v>
      </c>
      <c r="D830" s="2">
        <v>212</v>
      </c>
      <c r="F830" s="625"/>
      <c r="G830" s="625"/>
      <c r="H830" s="625"/>
      <c r="I830" s="625"/>
      <c r="J830" s="625"/>
      <c r="K830" s="625"/>
      <c r="L830" s="625"/>
      <c r="M830" s="626"/>
      <c r="N830" s="626"/>
      <c r="O830" s="626"/>
      <c r="P830" s="626"/>
      <c r="Q830" s="626"/>
      <c r="W830" t="s">
        <v>2047</v>
      </c>
    </row>
    <row r="831" spans="1:23" ht="13.15" customHeight="1" x14ac:dyDescent="0.2">
      <c r="A831" s="2" t="s">
        <v>2199</v>
      </c>
      <c r="B831" s="2">
        <f t="shared" si="24"/>
        <v>2022</v>
      </c>
      <c r="C831" s="2" t="str">
        <f t="shared" si="25"/>
        <v>KZN226</v>
      </c>
      <c r="D831" s="2">
        <v>213</v>
      </c>
      <c r="F831" s="625"/>
      <c r="G831" s="625"/>
      <c r="H831" s="625"/>
      <c r="I831" s="625"/>
      <c r="J831" s="625"/>
      <c r="K831" s="625"/>
      <c r="L831" s="625"/>
      <c r="M831" s="626"/>
      <c r="N831" s="626"/>
      <c r="O831" s="626"/>
      <c r="P831" s="626"/>
      <c r="Q831" s="626"/>
      <c r="W831" t="s">
        <v>2047</v>
      </c>
    </row>
    <row r="832" spans="1:23" ht="13.15" customHeight="1" x14ac:dyDescent="0.2">
      <c r="A832" s="2" t="s">
        <v>2199</v>
      </c>
      <c r="B832" s="2">
        <f t="shared" si="24"/>
        <v>2022</v>
      </c>
      <c r="C832" s="2" t="str">
        <f t="shared" si="25"/>
        <v>KZN226</v>
      </c>
      <c r="D832" s="2">
        <v>214</v>
      </c>
      <c r="F832" s="625"/>
      <c r="G832" s="625"/>
      <c r="H832" s="625"/>
      <c r="I832" s="625"/>
      <c r="J832" s="625"/>
      <c r="K832" s="625"/>
      <c r="L832" s="625"/>
      <c r="M832" s="626"/>
      <c r="N832" s="626"/>
      <c r="O832" s="626"/>
      <c r="P832" s="626"/>
      <c r="Q832" s="626"/>
      <c r="W832" t="s">
        <v>2047</v>
      </c>
    </row>
    <row r="833" spans="1:23" ht="13.15" customHeight="1" x14ac:dyDescent="0.2">
      <c r="A833" s="2" t="s">
        <v>2199</v>
      </c>
      <c r="B833" s="2">
        <f t="shared" si="24"/>
        <v>2022</v>
      </c>
      <c r="C833" s="2" t="str">
        <f t="shared" si="25"/>
        <v>KZN226</v>
      </c>
      <c r="D833" s="2">
        <v>215</v>
      </c>
      <c r="F833" s="625"/>
      <c r="G833" s="625"/>
      <c r="H833" s="625"/>
      <c r="I833" s="625"/>
      <c r="J833" s="625"/>
      <c r="K833" s="625"/>
      <c r="L833" s="625"/>
      <c r="M833" s="626"/>
      <c r="N833" s="626"/>
      <c r="O833" s="626"/>
      <c r="P833" s="626"/>
      <c r="Q833" s="626"/>
      <c r="W833" t="s">
        <v>2047</v>
      </c>
    </row>
    <row r="834" spans="1:23" ht="13.15" customHeight="1" x14ac:dyDescent="0.2">
      <c r="A834" s="2" t="s">
        <v>2199</v>
      </c>
      <c r="B834" s="2">
        <f t="shared" ref="B834:B897" si="26">+MTREF</f>
        <v>2022</v>
      </c>
      <c r="C834" s="2" t="str">
        <f t="shared" ref="C834:C897" si="27">LEFT(muni,(FIND(" ",muni,1)-1))</f>
        <v>KZN226</v>
      </c>
      <c r="D834" s="2">
        <v>216</v>
      </c>
      <c r="F834" s="625"/>
      <c r="G834" s="625"/>
      <c r="H834" s="625"/>
      <c r="I834" s="625"/>
      <c r="J834" s="625"/>
      <c r="K834" s="625"/>
      <c r="L834" s="625"/>
      <c r="M834" s="626"/>
      <c r="N834" s="626"/>
      <c r="O834" s="626"/>
      <c r="P834" s="626"/>
      <c r="Q834" s="626"/>
      <c r="W834" t="s">
        <v>2047</v>
      </c>
    </row>
    <row r="835" spans="1:23" ht="13.15" customHeight="1" x14ac:dyDescent="0.2">
      <c r="A835" s="2" t="s">
        <v>2199</v>
      </c>
      <c r="B835" s="2">
        <f t="shared" si="26"/>
        <v>2022</v>
      </c>
      <c r="C835" s="2" t="str">
        <f t="shared" si="27"/>
        <v>KZN226</v>
      </c>
      <c r="D835" s="2">
        <v>217</v>
      </c>
      <c r="F835" s="625"/>
      <c r="G835" s="625"/>
      <c r="H835" s="625"/>
      <c r="I835" s="625"/>
      <c r="J835" s="625"/>
      <c r="K835" s="625"/>
      <c r="L835" s="625"/>
      <c r="M835" s="626"/>
      <c r="N835" s="626"/>
      <c r="O835" s="626"/>
      <c r="P835" s="626"/>
      <c r="Q835" s="626"/>
      <c r="W835" t="s">
        <v>2047</v>
      </c>
    </row>
    <row r="836" spans="1:23" ht="13.15" customHeight="1" x14ac:dyDescent="0.2">
      <c r="A836" s="2" t="s">
        <v>2199</v>
      </c>
      <c r="B836" s="2">
        <f t="shared" si="26"/>
        <v>2022</v>
      </c>
      <c r="C836" s="2" t="str">
        <f t="shared" si="27"/>
        <v>KZN226</v>
      </c>
      <c r="D836" s="2">
        <v>218</v>
      </c>
      <c r="F836" s="625"/>
      <c r="G836" s="625"/>
      <c r="H836" s="625"/>
      <c r="I836" s="625"/>
      <c r="J836" s="625"/>
      <c r="K836" s="625"/>
      <c r="L836" s="625"/>
      <c r="M836" s="626"/>
      <c r="N836" s="626"/>
      <c r="O836" s="626"/>
      <c r="P836" s="626"/>
      <c r="Q836" s="626"/>
      <c r="W836" t="s">
        <v>2047</v>
      </c>
    </row>
    <row r="837" spans="1:23" ht="13.15" customHeight="1" x14ac:dyDescent="0.2">
      <c r="A837" s="2" t="s">
        <v>2199</v>
      </c>
      <c r="B837" s="2">
        <f t="shared" si="26"/>
        <v>2022</v>
      </c>
      <c r="C837" s="2" t="str">
        <f t="shared" si="27"/>
        <v>KZN226</v>
      </c>
      <c r="D837" s="2">
        <v>219</v>
      </c>
      <c r="F837" s="625"/>
      <c r="G837" s="625"/>
      <c r="H837" s="625"/>
      <c r="I837" s="625"/>
      <c r="J837" s="625"/>
      <c r="K837" s="625"/>
      <c r="L837" s="625"/>
      <c r="M837" s="626"/>
      <c r="N837" s="626"/>
      <c r="O837" s="626"/>
      <c r="P837" s="626"/>
      <c r="Q837" s="626"/>
      <c r="W837" t="s">
        <v>2047</v>
      </c>
    </row>
    <row r="838" spans="1:23" ht="13.15" customHeight="1" x14ac:dyDescent="0.2">
      <c r="A838" s="2" t="s">
        <v>2199</v>
      </c>
      <c r="B838" s="2">
        <f t="shared" si="26"/>
        <v>2022</v>
      </c>
      <c r="C838" s="2" t="str">
        <f t="shared" si="27"/>
        <v>KZN226</v>
      </c>
      <c r="D838" s="2">
        <v>220</v>
      </c>
      <c r="F838" s="625"/>
      <c r="G838" s="625"/>
      <c r="H838" s="625"/>
      <c r="I838" s="625"/>
      <c r="J838" s="625"/>
      <c r="K838" s="625"/>
      <c r="L838" s="625"/>
      <c r="M838" s="626"/>
      <c r="N838" s="626"/>
      <c r="O838" s="626"/>
      <c r="P838" s="626"/>
      <c r="Q838" s="626"/>
      <c r="W838" t="s">
        <v>2047</v>
      </c>
    </row>
    <row r="839" spans="1:23" ht="13.15" customHeight="1" x14ac:dyDescent="0.2">
      <c r="A839" s="2" t="s">
        <v>2199</v>
      </c>
      <c r="B839" s="2">
        <f t="shared" si="26"/>
        <v>2022</v>
      </c>
      <c r="C839" s="2" t="str">
        <f t="shared" si="27"/>
        <v>KZN226</v>
      </c>
      <c r="D839" s="2">
        <v>221</v>
      </c>
      <c r="F839" s="625"/>
      <c r="G839" s="625"/>
      <c r="H839" s="625"/>
      <c r="I839" s="625"/>
      <c r="J839" s="625"/>
      <c r="K839" s="625"/>
      <c r="L839" s="625"/>
      <c r="M839" s="626"/>
      <c r="N839" s="626"/>
      <c r="O839" s="626"/>
      <c r="P839" s="626"/>
      <c r="Q839" s="626"/>
      <c r="W839" t="s">
        <v>2047</v>
      </c>
    </row>
    <row r="840" spans="1:23" ht="13.15" customHeight="1" x14ac:dyDescent="0.2">
      <c r="A840" s="2" t="s">
        <v>2199</v>
      </c>
      <c r="B840" s="2">
        <f t="shared" si="26"/>
        <v>2022</v>
      </c>
      <c r="C840" s="2" t="str">
        <f t="shared" si="27"/>
        <v>KZN226</v>
      </c>
      <c r="D840" s="2">
        <v>222</v>
      </c>
      <c r="F840" s="625"/>
      <c r="G840" s="625"/>
      <c r="H840" s="625"/>
      <c r="I840" s="625"/>
      <c r="J840" s="625"/>
      <c r="K840" s="625"/>
      <c r="L840" s="625"/>
      <c r="M840" s="626"/>
      <c r="N840" s="626"/>
      <c r="O840" s="626"/>
      <c r="P840" s="626"/>
      <c r="Q840" s="626"/>
      <c r="W840" t="s">
        <v>2047</v>
      </c>
    </row>
    <row r="841" spans="1:23" ht="13.15" customHeight="1" x14ac:dyDescent="0.2">
      <c r="A841" s="2" t="s">
        <v>2199</v>
      </c>
      <c r="B841" s="2">
        <f t="shared" si="26"/>
        <v>2022</v>
      </c>
      <c r="C841" s="2" t="str">
        <f t="shared" si="27"/>
        <v>KZN226</v>
      </c>
      <c r="D841" s="2">
        <v>223</v>
      </c>
      <c r="F841" s="625"/>
      <c r="G841" s="625"/>
      <c r="H841" s="625"/>
      <c r="I841" s="625"/>
      <c r="J841" s="625"/>
      <c r="K841" s="625"/>
      <c r="L841" s="625"/>
      <c r="M841" s="626"/>
      <c r="N841" s="626"/>
      <c r="O841" s="626"/>
      <c r="P841" s="626"/>
      <c r="Q841" s="626"/>
      <c r="W841" t="s">
        <v>2047</v>
      </c>
    </row>
    <row r="842" spans="1:23" ht="13.15" customHeight="1" x14ac:dyDescent="0.2">
      <c r="A842" s="2" t="s">
        <v>2199</v>
      </c>
      <c r="B842" s="2">
        <f t="shared" si="26"/>
        <v>2022</v>
      </c>
      <c r="C842" s="2" t="str">
        <f t="shared" si="27"/>
        <v>KZN226</v>
      </c>
      <c r="D842" s="2">
        <v>224</v>
      </c>
      <c r="F842" s="625"/>
      <c r="G842" s="625"/>
      <c r="H842" s="625"/>
      <c r="I842" s="625"/>
      <c r="J842" s="625"/>
      <c r="K842" s="625"/>
      <c r="L842" s="625"/>
      <c r="M842" s="626"/>
      <c r="N842" s="626"/>
      <c r="O842" s="626"/>
      <c r="P842" s="626"/>
      <c r="Q842" s="626"/>
      <c r="W842" t="s">
        <v>2047</v>
      </c>
    </row>
    <row r="843" spans="1:23" ht="13.15" customHeight="1" x14ac:dyDescent="0.2">
      <c r="A843" s="2" t="s">
        <v>2199</v>
      </c>
      <c r="B843" s="2">
        <f t="shared" si="26"/>
        <v>2022</v>
      </c>
      <c r="C843" s="2" t="str">
        <f t="shared" si="27"/>
        <v>KZN226</v>
      </c>
      <c r="D843" s="2">
        <v>225</v>
      </c>
      <c r="F843" s="625"/>
      <c r="G843" s="625"/>
      <c r="H843" s="625"/>
      <c r="I843" s="625"/>
      <c r="J843" s="625"/>
      <c r="K843" s="625"/>
      <c r="L843" s="625"/>
      <c r="M843" s="626"/>
      <c r="N843" s="626"/>
      <c r="O843" s="626"/>
      <c r="P843" s="626"/>
      <c r="Q843" s="626"/>
      <c r="W843" t="s">
        <v>2047</v>
      </c>
    </row>
    <row r="844" spans="1:23" ht="13.15" customHeight="1" x14ac:dyDescent="0.2">
      <c r="A844" s="2" t="s">
        <v>2199</v>
      </c>
      <c r="B844" s="2">
        <f t="shared" si="26"/>
        <v>2022</v>
      </c>
      <c r="C844" s="2" t="str">
        <f t="shared" si="27"/>
        <v>KZN226</v>
      </c>
      <c r="D844" s="2">
        <v>226</v>
      </c>
      <c r="F844" s="625"/>
      <c r="G844" s="625"/>
      <c r="H844" s="625"/>
      <c r="I844" s="625"/>
      <c r="J844" s="625"/>
      <c r="K844" s="625"/>
      <c r="L844" s="625"/>
      <c r="M844" s="626"/>
      <c r="N844" s="626"/>
      <c r="O844" s="626"/>
      <c r="P844" s="626"/>
      <c r="Q844" s="626"/>
      <c r="W844" t="s">
        <v>2047</v>
      </c>
    </row>
    <row r="845" spans="1:23" ht="13.15" customHeight="1" x14ac:dyDescent="0.2">
      <c r="A845" s="2" t="s">
        <v>2199</v>
      </c>
      <c r="B845" s="2">
        <f t="shared" si="26"/>
        <v>2022</v>
      </c>
      <c r="C845" s="2" t="str">
        <f t="shared" si="27"/>
        <v>KZN226</v>
      </c>
      <c r="D845" s="2">
        <v>227</v>
      </c>
      <c r="F845" s="625"/>
      <c r="G845" s="625"/>
      <c r="H845" s="625"/>
      <c r="I845" s="625"/>
      <c r="J845" s="625"/>
      <c r="K845" s="625"/>
      <c r="L845" s="625"/>
      <c r="M845" s="626"/>
      <c r="N845" s="626"/>
      <c r="O845" s="626"/>
      <c r="P845" s="626"/>
      <c r="Q845" s="626"/>
      <c r="W845" t="s">
        <v>2047</v>
      </c>
    </row>
    <row r="846" spans="1:23" ht="13.15" customHeight="1" x14ac:dyDescent="0.2">
      <c r="A846" s="2" t="s">
        <v>2199</v>
      </c>
      <c r="B846" s="2">
        <f t="shared" si="26"/>
        <v>2022</v>
      </c>
      <c r="C846" s="2" t="str">
        <f t="shared" si="27"/>
        <v>KZN226</v>
      </c>
      <c r="D846" s="2">
        <v>228</v>
      </c>
      <c r="F846" s="625"/>
      <c r="G846" s="625"/>
      <c r="H846" s="625"/>
      <c r="I846" s="625"/>
      <c r="J846" s="625"/>
      <c r="K846" s="625"/>
      <c r="L846" s="625"/>
      <c r="M846" s="626"/>
      <c r="N846" s="626"/>
      <c r="O846" s="626"/>
      <c r="P846" s="626"/>
      <c r="Q846" s="626"/>
      <c r="W846" t="s">
        <v>2047</v>
      </c>
    </row>
    <row r="847" spans="1:23" ht="13.15" customHeight="1" x14ac:dyDescent="0.2">
      <c r="A847" s="2" t="s">
        <v>2199</v>
      </c>
      <c r="B847" s="2">
        <f t="shared" si="26"/>
        <v>2022</v>
      </c>
      <c r="C847" s="2" t="str">
        <f t="shared" si="27"/>
        <v>KZN226</v>
      </c>
      <c r="D847" s="2">
        <v>229</v>
      </c>
      <c r="F847" s="625"/>
      <c r="G847" s="625"/>
      <c r="H847" s="625"/>
      <c r="I847" s="625"/>
      <c r="J847" s="625"/>
      <c r="K847" s="625"/>
      <c r="L847" s="625"/>
      <c r="M847" s="626"/>
      <c r="N847" s="626"/>
      <c r="O847" s="626"/>
      <c r="P847" s="626"/>
      <c r="Q847" s="626"/>
      <c r="W847" t="s">
        <v>2047</v>
      </c>
    </row>
    <row r="848" spans="1:23" ht="13.15" customHeight="1" x14ac:dyDescent="0.2">
      <c r="A848" s="2" t="s">
        <v>2199</v>
      </c>
      <c r="B848" s="2">
        <f t="shared" si="26"/>
        <v>2022</v>
      </c>
      <c r="C848" s="2" t="str">
        <f t="shared" si="27"/>
        <v>KZN226</v>
      </c>
      <c r="D848" s="2">
        <v>230</v>
      </c>
      <c r="F848" s="625"/>
      <c r="G848" s="625"/>
      <c r="H848" s="625"/>
      <c r="I848" s="625"/>
      <c r="J848" s="625"/>
      <c r="K848" s="625"/>
      <c r="L848" s="625"/>
      <c r="M848" s="626"/>
      <c r="N848" s="626"/>
      <c r="O848" s="626"/>
      <c r="P848" s="626"/>
      <c r="Q848" s="626"/>
      <c r="W848" t="s">
        <v>2047</v>
      </c>
    </row>
    <row r="849" spans="1:23" ht="13.15" customHeight="1" x14ac:dyDescent="0.2">
      <c r="A849" s="2" t="s">
        <v>2199</v>
      </c>
      <c r="B849" s="2">
        <f t="shared" si="26"/>
        <v>2022</v>
      </c>
      <c r="C849" s="2" t="str">
        <f t="shared" si="27"/>
        <v>KZN226</v>
      </c>
      <c r="D849" s="2">
        <v>231</v>
      </c>
      <c r="F849" s="625"/>
      <c r="G849" s="625"/>
      <c r="H849" s="625"/>
      <c r="I849" s="625"/>
      <c r="J849" s="625"/>
      <c r="K849" s="625"/>
      <c r="L849" s="625"/>
      <c r="M849" s="626"/>
      <c r="N849" s="626"/>
      <c r="O849" s="626"/>
      <c r="P849" s="626"/>
      <c r="Q849" s="626"/>
      <c r="W849" t="s">
        <v>2047</v>
      </c>
    </row>
    <row r="850" spans="1:23" ht="13.15" customHeight="1" x14ac:dyDescent="0.2">
      <c r="A850" s="2" t="s">
        <v>2199</v>
      </c>
      <c r="B850" s="2">
        <f t="shared" si="26"/>
        <v>2022</v>
      </c>
      <c r="C850" s="2" t="str">
        <f t="shared" si="27"/>
        <v>KZN226</v>
      </c>
      <c r="D850" s="2">
        <v>232</v>
      </c>
      <c r="F850" s="625"/>
      <c r="G850" s="625"/>
      <c r="H850" s="625"/>
      <c r="I850" s="625"/>
      <c r="J850" s="625"/>
      <c r="K850" s="625"/>
      <c r="L850" s="625"/>
      <c r="M850" s="626"/>
      <c r="N850" s="626"/>
      <c r="O850" s="626"/>
      <c r="P850" s="626"/>
      <c r="Q850" s="626"/>
      <c r="W850" t="s">
        <v>2047</v>
      </c>
    </row>
    <row r="851" spans="1:23" ht="13.15" customHeight="1" x14ac:dyDescent="0.2">
      <c r="A851" s="2" t="s">
        <v>2199</v>
      </c>
      <c r="B851" s="2">
        <f t="shared" si="26"/>
        <v>2022</v>
      </c>
      <c r="C851" s="2" t="str">
        <f t="shared" si="27"/>
        <v>KZN226</v>
      </c>
      <c r="D851" s="2">
        <v>233</v>
      </c>
      <c r="F851" s="625"/>
      <c r="G851" s="625"/>
      <c r="H851" s="625"/>
      <c r="I851" s="625"/>
      <c r="J851" s="625"/>
      <c r="K851" s="625"/>
      <c r="L851" s="625"/>
      <c r="M851" s="626"/>
      <c r="N851" s="626"/>
      <c r="O851" s="626"/>
      <c r="P851" s="626"/>
      <c r="Q851" s="626"/>
      <c r="W851" t="s">
        <v>2047</v>
      </c>
    </row>
    <row r="852" spans="1:23" ht="13.15" customHeight="1" x14ac:dyDescent="0.2">
      <c r="A852" s="2" t="s">
        <v>2199</v>
      </c>
      <c r="B852" s="2">
        <f t="shared" si="26"/>
        <v>2022</v>
      </c>
      <c r="C852" s="2" t="str">
        <f t="shared" si="27"/>
        <v>KZN226</v>
      </c>
      <c r="D852" s="2">
        <v>234</v>
      </c>
      <c r="F852" s="625"/>
      <c r="G852" s="625"/>
      <c r="H852" s="625"/>
      <c r="I852" s="625"/>
      <c r="J852" s="625"/>
      <c r="K852" s="625"/>
      <c r="L852" s="625"/>
      <c r="M852" s="626"/>
      <c r="N852" s="626"/>
      <c r="O852" s="626"/>
      <c r="P852" s="626"/>
      <c r="Q852" s="626"/>
      <c r="W852" t="s">
        <v>2047</v>
      </c>
    </row>
    <row r="853" spans="1:23" ht="13.15" customHeight="1" x14ac:dyDescent="0.2">
      <c r="A853" s="2" t="s">
        <v>2199</v>
      </c>
      <c r="B853" s="2">
        <f t="shared" si="26"/>
        <v>2022</v>
      </c>
      <c r="C853" s="2" t="str">
        <f t="shared" si="27"/>
        <v>KZN226</v>
      </c>
      <c r="D853" s="2">
        <v>235</v>
      </c>
      <c r="F853" s="625"/>
      <c r="G853" s="625"/>
      <c r="H853" s="625"/>
      <c r="I853" s="625"/>
      <c r="J853" s="625"/>
      <c r="K853" s="625"/>
      <c r="L853" s="625"/>
      <c r="M853" s="626"/>
      <c r="N853" s="626"/>
      <c r="O853" s="626"/>
      <c r="P853" s="626"/>
      <c r="Q853" s="626"/>
      <c r="W853" t="s">
        <v>2047</v>
      </c>
    </row>
    <row r="854" spans="1:23" ht="13.15" customHeight="1" x14ac:dyDescent="0.2">
      <c r="A854" s="2" t="s">
        <v>2199</v>
      </c>
      <c r="B854" s="2">
        <f t="shared" si="26"/>
        <v>2022</v>
      </c>
      <c r="C854" s="2" t="str">
        <f t="shared" si="27"/>
        <v>KZN226</v>
      </c>
      <c r="D854" s="2">
        <v>236</v>
      </c>
      <c r="F854" s="625"/>
      <c r="G854" s="625"/>
      <c r="H854" s="625"/>
      <c r="I854" s="625"/>
      <c r="J854" s="625"/>
      <c r="K854" s="625"/>
      <c r="L854" s="625"/>
      <c r="M854" s="626"/>
      <c r="N854" s="626"/>
      <c r="O854" s="626"/>
      <c r="P854" s="626"/>
      <c r="Q854" s="626"/>
      <c r="W854" t="s">
        <v>2047</v>
      </c>
    </row>
    <row r="855" spans="1:23" ht="13.15" customHeight="1" x14ac:dyDescent="0.2">
      <c r="A855" s="2" t="s">
        <v>2199</v>
      </c>
      <c r="B855" s="2">
        <f t="shared" si="26"/>
        <v>2022</v>
      </c>
      <c r="C855" s="2" t="str">
        <f t="shared" si="27"/>
        <v>KZN226</v>
      </c>
      <c r="D855" s="2">
        <v>237</v>
      </c>
      <c r="F855" s="625"/>
      <c r="G855" s="625"/>
      <c r="H855" s="625"/>
      <c r="I855" s="625"/>
      <c r="J855" s="625"/>
      <c r="K855" s="625"/>
      <c r="L855" s="625"/>
      <c r="M855" s="626"/>
      <c r="N855" s="626"/>
      <c r="O855" s="626"/>
      <c r="P855" s="626"/>
      <c r="Q855" s="626"/>
      <c r="W855" t="s">
        <v>2047</v>
      </c>
    </row>
    <row r="856" spans="1:23" ht="13.15" customHeight="1" x14ac:dyDescent="0.2">
      <c r="A856" s="2" t="s">
        <v>2199</v>
      </c>
      <c r="B856" s="2">
        <f t="shared" si="26"/>
        <v>2022</v>
      </c>
      <c r="C856" s="2" t="str">
        <f t="shared" si="27"/>
        <v>KZN226</v>
      </c>
      <c r="D856" s="2">
        <v>238</v>
      </c>
      <c r="F856" s="625"/>
      <c r="G856" s="625"/>
      <c r="H856" s="625"/>
      <c r="I856" s="625"/>
      <c r="J856" s="625"/>
      <c r="K856" s="625"/>
      <c r="L856" s="625"/>
      <c r="M856" s="626"/>
      <c r="N856" s="626"/>
      <c r="O856" s="626"/>
      <c r="P856" s="626"/>
      <c r="Q856" s="626"/>
      <c r="W856" t="s">
        <v>2047</v>
      </c>
    </row>
    <row r="857" spans="1:23" ht="13.15" customHeight="1" x14ac:dyDescent="0.2">
      <c r="A857" s="2" t="s">
        <v>2199</v>
      </c>
      <c r="B857" s="2">
        <f t="shared" si="26"/>
        <v>2022</v>
      </c>
      <c r="C857" s="2" t="str">
        <f t="shared" si="27"/>
        <v>KZN226</v>
      </c>
      <c r="D857" s="2">
        <v>239</v>
      </c>
      <c r="F857" s="625"/>
      <c r="G857" s="625"/>
      <c r="H857" s="625"/>
      <c r="I857" s="625"/>
      <c r="J857" s="625"/>
      <c r="K857" s="625"/>
      <c r="L857" s="625"/>
      <c r="M857" s="626"/>
      <c r="N857" s="626"/>
      <c r="O857" s="626"/>
      <c r="P857" s="626"/>
      <c r="Q857" s="626"/>
      <c r="W857" t="s">
        <v>2047</v>
      </c>
    </row>
    <row r="858" spans="1:23" ht="13.15" customHeight="1" x14ac:dyDescent="0.2">
      <c r="A858" s="2" t="s">
        <v>2199</v>
      </c>
      <c r="B858" s="2">
        <f t="shared" si="26"/>
        <v>2022</v>
      </c>
      <c r="C858" s="2" t="str">
        <f t="shared" si="27"/>
        <v>KZN226</v>
      </c>
      <c r="D858" s="2">
        <v>240</v>
      </c>
      <c r="F858" s="625"/>
      <c r="G858" s="625"/>
      <c r="H858" s="625"/>
      <c r="I858" s="625"/>
      <c r="J858" s="625"/>
      <c r="K858" s="625"/>
      <c r="L858" s="625"/>
      <c r="M858" s="626"/>
      <c r="N858" s="626"/>
      <c r="O858" s="626"/>
      <c r="P858" s="626"/>
      <c r="Q858" s="626"/>
      <c r="W858" t="s">
        <v>2047</v>
      </c>
    </row>
    <row r="859" spans="1:23" ht="13.15" customHeight="1" x14ac:dyDescent="0.2">
      <c r="A859" s="2" t="s">
        <v>2199</v>
      </c>
      <c r="B859" s="2">
        <f t="shared" si="26"/>
        <v>2022</v>
      </c>
      <c r="C859" s="2" t="str">
        <f t="shared" si="27"/>
        <v>KZN226</v>
      </c>
      <c r="D859" s="2">
        <v>241</v>
      </c>
      <c r="F859" s="625"/>
      <c r="G859" s="625"/>
      <c r="H859" s="625"/>
      <c r="I859" s="625"/>
      <c r="J859" s="625"/>
      <c r="K859" s="625"/>
      <c r="L859" s="625"/>
      <c r="M859" s="626"/>
      <c r="N859" s="626"/>
      <c r="O859" s="626"/>
      <c r="P859" s="626"/>
      <c r="Q859" s="626"/>
      <c r="W859" t="s">
        <v>2047</v>
      </c>
    </row>
    <row r="860" spans="1:23" ht="13.15" customHeight="1" x14ac:dyDescent="0.2">
      <c r="A860" s="2" t="s">
        <v>2199</v>
      </c>
      <c r="B860" s="2">
        <f t="shared" si="26"/>
        <v>2022</v>
      </c>
      <c r="C860" s="2" t="str">
        <f t="shared" si="27"/>
        <v>KZN226</v>
      </c>
      <c r="D860" s="2">
        <v>242</v>
      </c>
      <c r="F860" s="625"/>
      <c r="G860" s="625"/>
      <c r="H860" s="625"/>
      <c r="I860" s="625"/>
      <c r="J860" s="625"/>
      <c r="K860" s="625"/>
      <c r="L860" s="625"/>
      <c r="M860" s="626"/>
      <c r="N860" s="626"/>
      <c r="O860" s="626"/>
      <c r="P860" s="626"/>
      <c r="Q860" s="626"/>
      <c r="W860" t="s">
        <v>2047</v>
      </c>
    </row>
    <row r="861" spans="1:23" ht="13.15" customHeight="1" x14ac:dyDescent="0.2">
      <c r="A861" s="2" t="s">
        <v>2199</v>
      </c>
      <c r="B861" s="2">
        <f t="shared" si="26"/>
        <v>2022</v>
      </c>
      <c r="C861" s="2" t="str">
        <f t="shared" si="27"/>
        <v>KZN226</v>
      </c>
      <c r="D861" s="2">
        <v>243</v>
      </c>
      <c r="F861" s="625"/>
      <c r="G861" s="625"/>
      <c r="H861" s="625"/>
      <c r="I861" s="625"/>
      <c r="J861" s="625"/>
      <c r="K861" s="625"/>
      <c r="L861" s="625"/>
      <c r="M861" s="626"/>
      <c r="N861" s="626"/>
      <c r="O861" s="626"/>
      <c r="P861" s="626"/>
      <c r="Q861" s="626"/>
      <c r="W861" t="s">
        <v>2047</v>
      </c>
    </row>
    <row r="862" spans="1:23" ht="13.15" customHeight="1" x14ac:dyDescent="0.2">
      <c r="A862" s="2" t="s">
        <v>2199</v>
      </c>
      <c r="B862" s="2">
        <f t="shared" si="26"/>
        <v>2022</v>
      </c>
      <c r="C862" s="2" t="str">
        <f t="shared" si="27"/>
        <v>KZN226</v>
      </c>
      <c r="D862" s="2">
        <v>244</v>
      </c>
      <c r="F862" s="625"/>
      <c r="G862" s="625"/>
      <c r="H862" s="625"/>
      <c r="I862" s="625"/>
      <c r="J862" s="625"/>
      <c r="K862" s="625"/>
      <c r="L862" s="625"/>
      <c r="M862" s="626"/>
      <c r="N862" s="626"/>
      <c r="O862" s="626"/>
      <c r="P862" s="626"/>
      <c r="Q862" s="626"/>
      <c r="W862" t="s">
        <v>2047</v>
      </c>
    </row>
    <row r="863" spans="1:23" ht="13.15" customHeight="1" x14ac:dyDescent="0.2">
      <c r="A863" s="2" t="s">
        <v>2199</v>
      </c>
      <c r="B863" s="2">
        <f t="shared" si="26"/>
        <v>2022</v>
      </c>
      <c r="C863" s="2" t="str">
        <f t="shared" si="27"/>
        <v>KZN226</v>
      </c>
      <c r="D863" s="2">
        <v>245</v>
      </c>
      <c r="F863" s="625"/>
      <c r="G863" s="625"/>
      <c r="H863" s="625"/>
      <c r="I863" s="625"/>
      <c r="J863" s="625"/>
      <c r="K863" s="625"/>
      <c r="L863" s="625"/>
      <c r="M863" s="626"/>
      <c r="N863" s="626"/>
      <c r="O863" s="626"/>
      <c r="P863" s="626"/>
      <c r="Q863" s="626"/>
      <c r="W863" t="s">
        <v>2047</v>
      </c>
    </row>
    <row r="864" spans="1:23" ht="13.15" customHeight="1" x14ac:dyDescent="0.2">
      <c r="A864" s="2" t="s">
        <v>2199</v>
      </c>
      <c r="B864" s="2">
        <f t="shared" si="26"/>
        <v>2022</v>
      </c>
      <c r="C864" s="2" t="str">
        <f t="shared" si="27"/>
        <v>KZN226</v>
      </c>
      <c r="D864" s="2">
        <v>246</v>
      </c>
      <c r="F864" s="625"/>
      <c r="G864" s="625"/>
      <c r="H864" s="625"/>
      <c r="I864" s="625"/>
      <c r="J864" s="625"/>
      <c r="K864" s="625"/>
      <c r="L864" s="625"/>
      <c r="M864" s="626"/>
      <c r="N864" s="626"/>
      <c r="O864" s="626"/>
      <c r="P864" s="626"/>
      <c r="Q864" s="626"/>
      <c r="W864" t="s">
        <v>2047</v>
      </c>
    </row>
    <row r="865" spans="1:23" ht="13.15" customHeight="1" x14ac:dyDescent="0.2">
      <c r="A865" s="2" t="s">
        <v>2199</v>
      </c>
      <c r="B865" s="2">
        <f t="shared" si="26"/>
        <v>2022</v>
      </c>
      <c r="C865" s="2" t="str">
        <f t="shared" si="27"/>
        <v>KZN226</v>
      </c>
      <c r="D865" s="2">
        <v>247</v>
      </c>
      <c r="F865" s="625"/>
      <c r="G865" s="625"/>
      <c r="H865" s="625"/>
      <c r="I865" s="625"/>
      <c r="J865" s="625"/>
      <c r="K865" s="625"/>
      <c r="L865" s="625"/>
      <c r="M865" s="626"/>
      <c r="N865" s="626"/>
      <c r="O865" s="626"/>
      <c r="P865" s="626"/>
      <c r="Q865" s="626"/>
      <c r="W865" t="s">
        <v>2047</v>
      </c>
    </row>
    <row r="866" spans="1:23" ht="13.15" customHeight="1" x14ac:dyDescent="0.2">
      <c r="A866" s="2" t="s">
        <v>2199</v>
      </c>
      <c r="B866" s="2">
        <f t="shared" si="26"/>
        <v>2022</v>
      </c>
      <c r="C866" s="2" t="str">
        <f t="shared" si="27"/>
        <v>KZN226</v>
      </c>
      <c r="D866" s="2">
        <v>248</v>
      </c>
      <c r="F866" s="625"/>
      <c r="G866" s="625"/>
      <c r="H866" s="625"/>
      <c r="I866" s="625"/>
      <c r="J866" s="625"/>
      <c r="K866" s="625"/>
      <c r="L866" s="625"/>
      <c r="M866" s="626"/>
      <c r="N866" s="626"/>
      <c r="O866" s="626"/>
      <c r="P866" s="626"/>
      <c r="Q866" s="626"/>
      <c r="W866" t="s">
        <v>2047</v>
      </c>
    </row>
    <row r="867" spans="1:23" ht="13.15" customHeight="1" x14ac:dyDescent="0.2">
      <c r="A867" s="2" t="s">
        <v>2199</v>
      </c>
      <c r="B867" s="2">
        <f t="shared" si="26"/>
        <v>2022</v>
      </c>
      <c r="C867" s="2" t="str">
        <f t="shared" si="27"/>
        <v>KZN226</v>
      </c>
      <c r="D867" s="2">
        <v>249</v>
      </c>
      <c r="F867" s="625"/>
      <c r="G867" s="625"/>
      <c r="H867" s="625"/>
      <c r="I867" s="625"/>
      <c r="J867" s="625"/>
      <c r="K867" s="625"/>
      <c r="L867" s="625"/>
      <c r="M867" s="626"/>
      <c r="N867" s="626"/>
      <c r="O867" s="626"/>
      <c r="P867" s="626"/>
      <c r="Q867" s="626"/>
      <c r="W867" t="s">
        <v>2047</v>
      </c>
    </row>
    <row r="868" spans="1:23" ht="13.15" customHeight="1" x14ac:dyDescent="0.2">
      <c r="A868" s="2" t="s">
        <v>2199</v>
      </c>
      <c r="B868" s="2">
        <f t="shared" si="26"/>
        <v>2022</v>
      </c>
      <c r="C868" s="2" t="str">
        <f t="shared" si="27"/>
        <v>KZN226</v>
      </c>
      <c r="D868" s="2">
        <v>250</v>
      </c>
      <c r="F868" s="625"/>
      <c r="G868" s="625"/>
      <c r="H868" s="625"/>
      <c r="I868" s="625"/>
      <c r="J868" s="625"/>
      <c r="K868" s="625"/>
      <c r="L868" s="625"/>
      <c r="M868" s="626"/>
      <c r="N868" s="626"/>
      <c r="O868" s="626"/>
      <c r="P868" s="626"/>
      <c r="Q868" s="626"/>
      <c r="W868" t="s">
        <v>2047</v>
      </c>
    </row>
    <row r="869" spans="1:23" ht="13.15" customHeight="1" x14ac:dyDescent="0.2">
      <c r="A869" s="2" t="s">
        <v>2199</v>
      </c>
      <c r="B869" s="2">
        <f t="shared" si="26"/>
        <v>2022</v>
      </c>
      <c r="C869" s="2" t="str">
        <f t="shared" si="27"/>
        <v>KZN226</v>
      </c>
      <c r="D869" s="2">
        <v>251</v>
      </c>
      <c r="F869" s="625"/>
      <c r="G869" s="625"/>
      <c r="H869" s="625"/>
      <c r="I869" s="625"/>
      <c r="J869" s="625"/>
      <c r="K869" s="625"/>
      <c r="L869" s="625"/>
      <c r="M869" s="626"/>
      <c r="N869" s="626"/>
      <c r="O869" s="626"/>
      <c r="P869" s="626"/>
      <c r="Q869" s="626"/>
      <c r="W869" t="s">
        <v>2047</v>
      </c>
    </row>
    <row r="870" spans="1:23" ht="13.15" customHeight="1" x14ac:dyDescent="0.2">
      <c r="A870" s="2" t="s">
        <v>2199</v>
      </c>
      <c r="B870" s="2">
        <f t="shared" si="26"/>
        <v>2022</v>
      </c>
      <c r="C870" s="2" t="str">
        <f t="shared" si="27"/>
        <v>KZN226</v>
      </c>
      <c r="D870" s="2">
        <v>252</v>
      </c>
      <c r="F870" s="625"/>
      <c r="G870" s="625"/>
      <c r="H870" s="625"/>
      <c r="I870" s="625"/>
      <c r="J870" s="625"/>
      <c r="K870" s="625"/>
      <c r="L870" s="625"/>
      <c r="M870" s="626"/>
      <c r="N870" s="626"/>
      <c r="O870" s="626"/>
      <c r="P870" s="626"/>
      <c r="Q870" s="626"/>
      <c r="W870" t="s">
        <v>2047</v>
      </c>
    </row>
    <row r="871" spans="1:23" ht="13.15" customHeight="1" x14ac:dyDescent="0.2">
      <c r="A871" s="2" t="s">
        <v>2199</v>
      </c>
      <c r="B871" s="2">
        <f t="shared" si="26"/>
        <v>2022</v>
      </c>
      <c r="C871" s="2" t="str">
        <f t="shared" si="27"/>
        <v>KZN226</v>
      </c>
      <c r="D871" s="2">
        <v>253</v>
      </c>
      <c r="F871" s="625"/>
      <c r="G871" s="625"/>
      <c r="H871" s="625"/>
      <c r="I871" s="625"/>
      <c r="J871" s="625"/>
      <c r="K871" s="625"/>
      <c r="L871" s="625"/>
      <c r="M871" s="626"/>
      <c r="N871" s="626"/>
      <c r="O871" s="626"/>
      <c r="P871" s="626"/>
      <c r="Q871" s="626"/>
      <c r="W871" t="s">
        <v>2047</v>
      </c>
    </row>
    <row r="872" spans="1:23" ht="13.15" customHeight="1" x14ac:dyDescent="0.2">
      <c r="A872" s="2" t="s">
        <v>2199</v>
      </c>
      <c r="B872" s="2">
        <f t="shared" si="26"/>
        <v>2022</v>
      </c>
      <c r="C872" s="2" t="str">
        <f t="shared" si="27"/>
        <v>KZN226</v>
      </c>
      <c r="D872" s="2">
        <v>254</v>
      </c>
      <c r="F872" s="625"/>
      <c r="G872" s="625"/>
      <c r="H872" s="625"/>
      <c r="I872" s="625"/>
      <c r="J872" s="625"/>
      <c r="K872" s="625"/>
      <c r="L872" s="625"/>
      <c r="M872" s="626"/>
      <c r="N872" s="626"/>
      <c r="O872" s="626"/>
      <c r="P872" s="626"/>
      <c r="Q872" s="626"/>
      <c r="W872" t="s">
        <v>2047</v>
      </c>
    </row>
    <row r="873" spans="1:23" ht="13.15" customHeight="1" x14ac:dyDescent="0.2">
      <c r="A873" s="2" t="s">
        <v>2199</v>
      </c>
      <c r="B873" s="2">
        <f t="shared" si="26"/>
        <v>2022</v>
      </c>
      <c r="C873" s="2" t="str">
        <f t="shared" si="27"/>
        <v>KZN226</v>
      </c>
      <c r="D873" s="2">
        <v>255</v>
      </c>
      <c r="F873" s="625"/>
      <c r="G873" s="625"/>
      <c r="H873" s="625"/>
      <c r="I873" s="625"/>
      <c r="J873" s="625"/>
      <c r="K873" s="625"/>
      <c r="L873" s="625"/>
      <c r="M873" s="626"/>
      <c r="N873" s="626"/>
      <c r="O873" s="626"/>
      <c r="P873" s="626"/>
      <c r="Q873" s="626"/>
      <c r="W873" t="s">
        <v>2047</v>
      </c>
    </row>
    <row r="874" spans="1:23" ht="13.15" customHeight="1" x14ac:dyDescent="0.2">
      <c r="A874" s="2" t="s">
        <v>2199</v>
      </c>
      <c r="B874" s="2">
        <f t="shared" si="26"/>
        <v>2022</v>
      </c>
      <c r="C874" s="2" t="str">
        <f t="shared" si="27"/>
        <v>KZN226</v>
      </c>
      <c r="D874" s="2">
        <v>256</v>
      </c>
      <c r="F874" s="625"/>
      <c r="G874" s="625"/>
      <c r="H874" s="625"/>
      <c r="I874" s="625"/>
      <c r="J874" s="625"/>
      <c r="K874" s="625"/>
      <c r="L874" s="625"/>
      <c r="M874" s="626"/>
      <c r="N874" s="626"/>
      <c r="O874" s="626"/>
      <c r="P874" s="626"/>
      <c r="Q874" s="626"/>
      <c r="W874" t="s">
        <v>2047</v>
      </c>
    </row>
    <row r="875" spans="1:23" ht="13.15" customHeight="1" x14ac:dyDescent="0.2">
      <c r="A875" s="2" t="s">
        <v>2199</v>
      </c>
      <c r="B875" s="2">
        <f t="shared" si="26"/>
        <v>2022</v>
      </c>
      <c r="C875" s="2" t="str">
        <f t="shared" si="27"/>
        <v>KZN226</v>
      </c>
      <c r="D875" s="2">
        <v>257</v>
      </c>
      <c r="F875" s="625"/>
      <c r="G875" s="625"/>
      <c r="H875" s="625"/>
      <c r="I875" s="625"/>
      <c r="J875" s="625"/>
      <c r="K875" s="625"/>
      <c r="L875" s="625"/>
      <c r="M875" s="626"/>
      <c r="N875" s="626"/>
      <c r="O875" s="626"/>
      <c r="P875" s="626"/>
      <c r="Q875" s="626"/>
      <c r="W875" t="s">
        <v>2047</v>
      </c>
    </row>
    <row r="876" spans="1:23" ht="13.15" customHeight="1" x14ac:dyDescent="0.2">
      <c r="A876" s="2" t="s">
        <v>2199</v>
      </c>
      <c r="B876" s="2">
        <f t="shared" si="26"/>
        <v>2022</v>
      </c>
      <c r="C876" s="2" t="str">
        <f t="shared" si="27"/>
        <v>KZN226</v>
      </c>
      <c r="D876" s="2">
        <v>258</v>
      </c>
      <c r="F876" s="625"/>
      <c r="G876" s="625"/>
      <c r="H876" s="625"/>
      <c r="I876" s="625"/>
      <c r="J876" s="625"/>
      <c r="K876" s="625"/>
      <c r="L876" s="625"/>
      <c r="M876" s="626"/>
      <c r="N876" s="626"/>
      <c r="O876" s="626"/>
      <c r="P876" s="626"/>
      <c r="Q876" s="626"/>
      <c r="W876" t="s">
        <v>2047</v>
      </c>
    </row>
    <row r="877" spans="1:23" ht="13.15" customHeight="1" x14ac:dyDescent="0.2">
      <c r="A877" s="2" t="s">
        <v>2199</v>
      </c>
      <c r="B877" s="2">
        <f t="shared" si="26"/>
        <v>2022</v>
      </c>
      <c r="C877" s="2" t="str">
        <f t="shared" si="27"/>
        <v>KZN226</v>
      </c>
      <c r="D877" s="2">
        <v>259</v>
      </c>
      <c r="F877" s="625"/>
      <c r="G877" s="625"/>
      <c r="H877" s="625"/>
      <c r="I877" s="625"/>
      <c r="J877" s="625"/>
      <c r="K877" s="625"/>
      <c r="L877" s="625"/>
      <c r="M877" s="626"/>
      <c r="N877" s="626"/>
      <c r="O877" s="626"/>
      <c r="P877" s="626"/>
      <c r="Q877" s="626"/>
      <c r="W877" t="s">
        <v>2047</v>
      </c>
    </row>
    <row r="878" spans="1:23" ht="13.15" customHeight="1" x14ac:dyDescent="0.2">
      <c r="A878" s="2" t="s">
        <v>2199</v>
      </c>
      <c r="B878" s="2">
        <f t="shared" si="26"/>
        <v>2022</v>
      </c>
      <c r="C878" s="2" t="str">
        <f t="shared" si="27"/>
        <v>KZN226</v>
      </c>
      <c r="D878" s="2">
        <v>260</v>
      </c>
      <c r="F878" s="625"/>
      <c r="G878" s="625"/>
      <c r="H878" s="625"/>
      <c r="I878" s="625"/>
      <c r="J878" s="625"/>
      <c r="K878" s="625"/>
      <c r="L878" s="625"/>
      <c r="M878" s="626"/>
      <c r="N878" s="626"/>
      <c r="O878" s="626"/>
      <c r="P878" s="626"/>
      <c r="Q878" s="626"/>
      <c r="W878" t="s">
        <v>2047</v>
      </c>
    </row>
    <row r="879" spans="1:23" ht="13.15" customHeight="1" x14ac:dyDescent="0.2">
      <c r="A879" s="2" t="s">
        <v>2199</v>
      </c>
      <c r="B879" s="2">
        <f t="shared" si="26"/>
        <v>2022</v>
      </c>
      <c r="C879" s="2" t="str">
        <f t="shared" si="27"/>
        <v>KZN226</v>
      </c>
      <c r="D879" s="2">
        <v>261</v>
      </c>
      <c r="F879" s="625"/>
      <c r="G879" s="625"/>
      <c r="H879" s="625"/>
      <c r="I879" s="625"/>
      <c r="J879" s="625"/>
      <c r="K879" s="625"/>
      <c r="L879" s="625"/>
      <c r="M879" s="626"/>
      <c r="N879" s="626"/>
      <c r="O879" s="626"/>
      <c r="P879" s="626"/>
      <c r="Q879" s="626"/>
      <c r="W879" t="s">
        <v>2047</v>
      </c>
    </row>
    <row r="880" spans="1:23" ht="13.15" customHeight="1" x14ac:dyDescent="0.2">
      <c r="A880" s="2" t="s">
        <v>2199</v>
      </c>
      <c r="B880" s="2">
        <f t="shared" si="26"/>
        <v>2022</v>
      </c>
      <c r="C880" s="2" t="str">
        <f t="shared" si="27"/>
        <v>KZN226</v>
      </c>
      <c r="D880" s="2">
        <v>262</v>
      </c>
      <c r="F880" s="625"/>
      <c r="G880" s="625"/>
      <c r="H880" s="625"/>
      <c r="I880" s="625"/>
      <c r="J880" s="625"/>
      <c r="K880" s="625"/>
      <c r="L880" s="625"/>
      <c r="M880" s="626"/>
      <c r="N880" s="626"/>
      <c r="O880" s="626"/>
      <c r="P880" s="626"/>
      <c r="Q880" s="626"/>
      <c r="W880" t="s">
        <v>2047</v>
      </c>
    </row>
    <row r="881" spans="1:23" ht="13.15" customHeight="1" x14ac:dyDescent="0.2">
      <c r="A881" s="2" t="s">
        <v>2199</v>
      </c>
      <c r="B881" s="2">
        <f t="shared" si="26"/>
        <v>2022</v>
      </c>
      <c r="C881" s="2" t="str">
        <f t="shared" si="27"/>
        <v>KZN226</v>
      </c>
      <c r="D881" s="2">
        <v>263</v>
      </c>
      <c r="F881" s="625"/>
      <c r="G881" s="625"/>
      <c r="H881" s="625"/>
      <c r="I881" s="625"/>
      <c r="J881" s="625"/>
      <c r="K881" s="625"/>
      <c r="L881" s="625"/>
      <c r="M881" s="626"/>
      <c r="N881" s="626"/>
      <c r="O881" s="626"/>
      <c r="P881" s="626"/>
      <c r="Q881" s="626"/>
      <c r="W881" t="s">
        <v>2047</v>
      </c>
    </row>
    <row r="882" spans="1:23" ht="13.15" customHeight="1" x14ac:dyDescent="0.2">
      <c r="A882" s="2" t="s">
        <v>2199</v>
      </c>
      <c r="B882" s="2">
        <f t="shared" si="26"/>
        <v>2022</v>
      </c>
      <c r="C882" s="2" t="str">
        <f t="shared" si="27"/>
        <v>KZN226</v>
      </c>
      <c r="D882" s="2">
        <v>264</v>
      </c>
      <c r="F882" s="625"/>
      <c r="G882" s="625"/>
      <c r="H882" s="625"/>
      <c r="I882" s="625"/>
      <c r="J882" s="625"/>
      <c r="K882" s="625"/>
      <c r="L882" s="625"/>
      <c r="M882" s="626"/>
      <c r="N882" s="626"/>
      <c r="O882" s="626"/>
      <c r="P882" s="626"/>
      <c r="Q882" s="626"/>
      <c r="W882" t="s">
        <v>2047</v>
      </c>
    </row>
    <row r="883" spans="1:23" ht="13.15" customHeight="1" x14ac:dyDescent="0.2">
      <c r="A883" s="2" t="s">
        <v>2199</v>
      </c>
      <c r="B883" s="2">
        <f t="shared" si="26"/>
        <v>2022</v>
      </c>
      <c r="C883" s="2" t="str">
        <f t="shared" si="27"/>
        <v>KZN226</v>
      </c>
      <c r="D883" s="2">
        <v>265</v>
      </c>
      <c r="F883" s="625"/>
      <c r="G883" s="625"/>
      <c r="H883" s="625"/>
      <c r="I883" s="625"/>
      <c r="J883" s="625"/>
      <c r="K883" s="625"/>
      <c r="L883" s="625"/>
      <c r="M883" s="626"/>
      <c r="N883" s="626"/>
      <c r="O883" s="626"/>
      <c r="P883" s="626"/>
      <c r="Q883" s="626"/>
      <c r="W883" t="s">
        <v>2047</v>
      </c>
    </row>
    <row r="884" spans="1:23" ht="13.15" customHeight="1" x14ac:dyDescent="0.2">
      <c r="A884" s="2" t="s">
        <v>2199</v>
      </c>
      <c r="B884" s="2">
        <f t="shared" si="26"/>
        <v>2022</v>
      </c>
      <c r="C884" s="2" t="str">
        <f t="shared" si="27"/>
        <v>KZN226</v>
      </c>
      <c r="D884" s="2">
        <v>266</v>
      </c>
      <c r="F884" s="625"/>
      <c r="G884" s="625"/>
      <c r="H884" s="625"/>
      <c r="I884" s="625"/>
      <c r="J884" s="625"/>
      <c r="K884" s="625"/>
      <c r="L884" s="625"/>
      <c r="M884" s="626"/>
      <c r="N884" s="626"/>
      <c r="O884" s="626"/>
      <c r="P884" s="626"/>
      <c r="Q884" s="626"/>
      <c r="W884" t="s">
        <v>2047</v>
      </c>
    </row>
    <row r="885" spans="1:23" ht="13.15" customHeight="1" x14ac:dyDescent="0.2">
      <c r="A885" s="2" t="s">
        <v>2199</v>
      </c>
      <c r="B885" s="2">
        <f t="shared" si="26"/>
        <v>2022</v>
      </c>
      <c r="C885" s="2" t="str">
        <f t="shared" si="27"/>
        <v>KZN226</v>
      </c>
      <c r="D885" s="2">
        <v>267</v>
      </c>
      <c r="F885" s="625"/>
      <c r="G885" s="625"/>
      <c r="H885" s="625"/>
      <c r="I885" s="625"/>
      <c r="J885" s="625"/>
      <c r="K885" s="625"/>
      <c r="L885" s="625"/>
      <c r="M885" s="626"/>
      <c r="N885" s="626"/>
      <c r="O885" s="626"/>
      <c r="P885" s="626"/>
      <c r="Q885" s="626"/>
      <c r="W885" t="s">
        <v>2047</v>
      </c>
    </row>
    <row r="886" spans="1:23" ht="13.15" customHeight="1" x14ac:dyDescent="0.2">
      <c r="A886" s="2" t="s">
        <v>2199</v>
      </c>
      <c r="B886" s="2">
        <f t="shared" si="26"/>
        <v>2022</v>
      </c>
      <c r="C886" s="2" t="str">
        <f t="shared" si="27"/>
        <v>KZN226</v>
      </c>
      <c r="D886" s="2">
        <v>268</v>
      </c>
      <c r="F886" s="625"/>
      <c r="G886" s="625"/>
      <c r="H886" s="625"/>
      <c r="I886" s="625"/>
      <c r="J886" s="625"/>
      <c r="K886" s="625"/>
      <c r="L886" s="625"/>
      <c r="M886" s="626"/>
      <c r="N886" s="626"/>
      <c r="O886" s="626"/>
      <c r="P886" s="626"/>
      <c r="Q886" s="626"/>
      <c r="W886" t="s">
        <v>2047</v>
      </c>
    </row>
    <row r="887" spans="1:23" ht="13.15" customHeight="1" x14ac:dyDescent="0.2">
      <c r="A887" s="2" t="s">
        <v>2199</v>
      </c>
      <c r="B887" s="2">
        <f t="shared" si="26"/>
        <v>2022</v>
      </c>
      <c r="C887" s="2" t="str">
        <f t="shared" si="27"/>
        <v>KZN226</v>
      </c>
      <c r="D887" s="2">
        <v>269</v>
      </c>
      <c r="F887" s="625"/>
      <c r="G887" s="625"/>
      <c r="H887" s="625"/>
      <c r="I887" s="625"/>
      <c r="J887" s="625"/>
      <c r="K887" s="625"/>
      <c r="L887" s="625"/>
      <c r="M887" s="626"/>
      <c r="N887" s="626"/>
      <c r="O887" s="626"/>
      <c r="P887" s="626"/>
      <c r="Q887" s="626"/>
      <c r="W887" t="s">
        <v>2047</v>
      </c>
    </row>
    <row r="888" spans="1:23" ht="13.15" customHeight="1" x14ac:dyDescent="0.2">
      <c r="A888" s="2" t="s">
        <v>2199</v>
      </c>
      <c r="B888" s="2">
        <f t="shared" si="26"/>
        <v>2022</v>
      </c>
      <c r="C888" s="2" t="str">
        <f t="shared" si="27"/>
        <v>KZN226</v>
      </c>
      <c r="D888" s="2">
        <v>270</v>
      </c>
      <c r="F888" s="625"/>
      <c r="G888" s="625"/>
      <c r="H888" s="625"/>
      <c r="I888" s="625"/>
      <c r="J888" s="625"/>
      <c r="K888" s="625"/>
      <c r="L888" s="625"/>
      <c r="M888" s="626"/>
      <c r="N888" s="626"/>
      <c r="O888" s="626"/>
      <c r="P888" s="626"/>
      <c r="Q888" s="626"/>
      <c r="W888" t="s">
        <v>2047</v>
      </c>
    </row>
    <row r="889" spans="1:23" ht="13.15" customHeight="1" x14ac:dyDescent="0.2">
      <c r="A889" s="2" t="s">
        <v>2199</v>
      </c>
      <c r="B889" s="2">
        <f t="shared" si="26"/>
        <v>2022</v>
      </c>
      <c r="C889" s="2" t="str">
        <f t="shared" si="27"/>
        <v>KZN226</v>
      </c>
      <c r="D889" s="2">
        <v>271</v>
      </c>
      <c r="F889" s="625"/>
      <c r="G889" s="625"/>
      <c r="H889" s="625"/>
      <c r="I889" s="625"/>
      <c r="J889" s="625"/>
      <c r="K889" s="625"/>
      <c r="L889" s="625"/>
      <c r="M889" s="626"/>
      <c r="N889" s="626"/>
      <c r="O889" s="626"/>
      <c r="P889" s="626"/>
      <c r="Q889" s="626"/>
      <c r="W889" t="s">
        <v>2047</v>
      </c>
    </row>
    <row r="890" spans="1:23" ht="13.15" customHeight="1" x14ac:dyDescent="0.2">
      <c r="A890" s="2" t="s">
        <v>2199</v>
      </c>
      <c r="B890" s="2">
        <f t="shared" si="26"/>
        <v>2022</v>
      </c>
      <c r="C890" s="2" t="str">
        <f t="shared" si="27"/>
        <v>KZN226</v>
      </c>
      <c r="D890" s="2">
        <v>272</v>
      </c>
      <c r="F890" s="625"/>
      <c r="G890" s="625"/>
      <c r="H890" s="625"/>
      <c r="I890" s="625"/>
      <c r="J890" s="625"/>
      <c r="K890" s="625"/>
      <c r="L890" s="625"/>
      <c r="M890" s="626"/>
      <c r="N890" s="626"/>
      <c r="O890" s="626"/>
      <c r="P890" s="626"/>
      <c r="Q890" s="626"/>
      <c r="W890" t="s">
        <v>2047</v>
      </c>
    </row>
    <row r="891" spans="1:23" ht="13.15" customHeight="1" x14ac:dyDescent="0.2">
      <c r="A891" s="2" t="s">
        <v>2199</v>
      </c>
      <c r="B891" s="2">
        <f t="shared" si="26"/>
        <v>2022</v>
      </c>
      <c r="C891" s="2" t="str">
        <f t="shared" si="27"/>
        <v>KZN226</v>
      </c>
      <c r="D891" s="2">
        <v>273</v>
      </c>
      <c r="F891" s="625"/>
      <c r="G891" s="625"/>
      <c r="H891" s="625"/>
      <c r="I891" s="625"/>
      <c r="J891" s="625"/>
      <c r="K891" s="625"/>
      <c r="L891" s="625"/>
      <c r="M891" s="626"/>
      <c r="N891" s="626"/>
      <c r="O891" s="626"/>
      <c r="P891" s="626"/>
      <c r="Q891" s="626"/>
      <c r="W891" t="s">
        <v>2047</v>
      </c>
    </row>
    <row r="892" spans="1:23" ht="13.15" customHeight="1" x14ac:dyDescent="0.2">
      <c r="A892" s="2" t="s">
        <v>2199</v>
      </c>
      <c r="B892" s="2">
        <f t="shared" si="26"/>
        <v>2022</v>
      </c>
      <c r="C892" s="2" t="str">
        <f t="shared" si="27"/>
        <v>KZN226</v>
      </c>
      <c r="D892" s="2">
        <v>274</v>
      </c>
      <c r="F892" s="625"/>
      <c r="G892" s="625"/>
      <c r="H892" s="625"/>
      <c r="I892" s="625"/>
      <c r="J892" s="625"/>
      <c r="K892" s="625"/>
      <c r="L892" s="625"/>
      <c r="M892" s="626"/>
      <c r="N892" s="626"/>
      <c r="O892" s="626"/>
      <c r="P892" s="626"/>
      <c r="Q892" s="626"/>
      <c r="W892" t="s">
        <v>2047</v>
      </c>
    </row>
    <row r="893" spans="1:23" ht="13.15" customHeight="1" x14ac:dyDescent="0.2">
      <c r="A893" s="2" t="s">
        <v>2199</v>
      </c>
      <c r="B893" s="2">
        <f t="shared" si="26"/>
        <v>2022</v>
      </c>
      <c r="C893" s="2" t="str">
        <f t="shared" si="27"/>
        <v>KZN226</v>
      </c>
      <c r="D893" s="2">
        <v>275</v>
      </c>
      <c r="F893" s="625"/>
      <c r="G893" s="625"/>
      <c r="H893" s="625"/>
      <c r="I893" s="625"/>
      <c r="J893" s="625"/>
      <c r="K893" s="625"/>
      <c r="L893" s="625"/>
      <c r="M893" s="626"/>
      <c r="N893" s="626"/>
      <c r="O893" s="626"/>
      <c r="P893" s="626"/>
      <c r="Q893" s="626"/>
      <c r="W893" t="s">
        <v>2047</v>
      </c>
    </row>
    <row r="894" spans="1:23" ht="13.15" customHeight="1" x14ac:dyDescent="0.2">
      <c r="A894" s="2" t="s">
        <v>2199</v>
      </c>
      <c r="B894" s="2">
        <f t="shared" si="26"/>
        <v>2022</v>
      </c>
      <c r="C894" s="2" t="str">
        <f t="shared" si="27"/>
        <v>KZN226</v>
      </c>
      <c r="D894" s="2">
        <v>276</v>
      </c>
      <c r="F894" s="625"/>
      <c r="G894" s="625"/>
      <c r="H894" s="625"/>
      <c r="I894" s="625"/>
      <c r="J894" s="625"/>
      <c r="K894" s="625"/>
      <c r="L894" s="625"/>
      <c r="M894" s="626"/>
      <c r="N894" s="626"/>
      <c r="O894" s="626"/>
      <c r="P894" s="626"/>
      <c r="Q894" s="626"/>
      <c r="W894" t="s">
        <v>2047</v>
      </c>
    </row>
    <row r="895" spans="1:23" ht="13.15" customHeight="1" x14ac:dyDescent="0.2">
      <c r="A895" s="2" t="s">
        <v>2199</v>
      </c>
      <c r="B895" s="2">
        <f t="shared" si="26"/>
        <v>2022</v>
      </c>
      <c r="C895" s="2" t="str">
        <f t="shared" si="27"/>
        <v>KZN226</v>
      </c>
      <c r="D895" s="2">
        <v>277</v>
      </c>
      <c r="F895" s="625"/>
      <c r="G895" s="625"/>
      <c r="H895" s="625"/>
      <c r="I895" s="625"/>
      <c r="J895" s="625"/>
      <c r="K895" s="625"/>
      <c r="L895" s="625"/>
      <c r="M895" s="626"/>
      <c r="N895" s="626"/>
      <c r="O895" s="626"/>
      <c r="P895" s="626"/>
      <c r="Q895" s="626"/>
      <c r="W895" t="s">
        <v>2047</v>
      </c>
    </row>
    <row r="896" spans="1:23" ht="13.15" customHeight="1" x14ac:dyDescent="0.2">
      <c r="A896" s="2" t="s">
        <v>2199</v>
      </c>
      <c r="B896" s="2">
        <f t="shared" si="26"/>
        <v>2022</v>
      </c>
      <c r="C896" s="2" t="str">
        <f t="shared" si="27"/>
        <v>KZN226</v>
      </c>
      <c r="D896" s="2">
        <v>278</v>
      </c>
      <c r="F896" s="625"/>
      <c r="G896" s="625"/>
      <c r="H896" s="625"/>
      <c r="I896" s="625"/>
      <c r="J896" s="625"/>
      <c r="K896" s="625"/>
      <c r="L896" s="625"/>
      <c r="M896" s="626"/>
      <c r="N896" s="626"/>
      <c r="O896" s="626"/>
      <c r="P896" s="626"/>
      <c r="Q896" s="626"/>
      <c r="W896" t="s">
        <v>2047</v>
      </c>
    </row>
    <row r="897" spans="1:23" ht="13.15" customHeight="1" x14ac:dyDescent="0.2">
      <c r="A897" s="2" t="s">
        <v>2199</v>
      </c>
      <c r="B897" s="2">
        <f t="shared" si="26"/>
        <v>2022</v>
      </c>
      <c r="C897" s="2" t="str">
        <f t="shared" si="27"/>
        <v>KZN226</v>
      </c>
      <c r="D897" s="2">
        <v>279</v>
      </c>
      <c r="F897" s="625"/>
      <c r="G897" s="625"/>
      <c r="H897" s="625"/>
      <c r="I897" s="625"/>
      <c r="J897" s="625"/>
      <c r="K897" s="625"/>
      <c r="L897" s="625"/>
      <c r="M897" s="626"/>
      <c r="N897" s="626"/>
      <c r="O897" s="626"/>
      <c r="P897" s="626"/>
      <c r="Q897" s="626"/>
      <c r="W897" t="s">
        <v>2047</v>
      </c>
    </row>
    <row r="898" spans="1:23" ht="13.15" customHeight="1" x14ac:dyDescent="0.2">
      <c r="A898" s="2" t="s">
        <v>2199</v>
      </c>
      <c r="B898" s="2">
        <f t="shared" ref="B898:B961" si="28">+MTREF</f>
        <v>2022</v>
      </c>
      <c r="C898" s="2" t="str">
        <f t="shared" ref="C898:C961" si="29">LEFT(muni,(FIND(" ",muni,1)-1))</f>
        <v>KZN226</v>
      </c>
      <c r="D898" s="2">
        <v>280</v>
      </c>
      <c r="F898" s="625"/>
      <c r="G898" s="625"/>
      <c r="H898" s="625"/>
      <c r="I898" s="625"/>
      <c r="J898" s="625"/>
      <c r="K898" s="625"/>
      <c r="L898" s="625"/>
      <c r="M898" s="626"/>
      <c r="N898" s="626"/>
      <c r="O898" s="626"/>
      <c r="P898" s="626"/>
      <c r="Q898" s="626"/>
      <c r="W898" t="s">
        <v>2047</v>
      </c>
    </row>
    <row r="899" spans="1:23" ht="13.15" customHeight="1" x14ac:dyDescent="0.2">
      <c r="A899" s="2" t="s">
        <v>2199</v>
      </c>
      <c r="B899" s="2">
        <f t="shared" si="28"/>
        <v>2022</v>
      </c>
      <c r="C899" s="2" t="str">
        <f t="shared" si="29"/>
        <v>KZN226</v>
      </c>
      <c r="D899" s="2">
        <v>281</v>
      </c>
      <c r="F899" s="625"/>
      <c r="G899" s="625"/>
      <c r="H899" s="625"/>
      <c r="I899" s="625"/>
      <c r="J899" s="625"/>
      <c r="K899" s="625"/>
      <c r="L899" s="625"/>
      <c r="M899" s="626"/>
      <c r="N899" s="626"/>
      <c r="O899" s="626"/>
      <c r="P899" s="626"/>
      <c r="Q899" s="626"/>
      <c r="W899" t="s">
        <v>2047</v>
      </c>
    </row>
    <row r="900" spans="1:23" ht="13.15" customHeight="1" x14ac:dyDescent="0.2">
      <c r="A900" s="2" t="s">
        <v>2199</v>
      </c>
      <c r="B900" s="2">
        <f t="shared" si="28"/>
        <v>2022</v>
      </c>
      <c r="C900" s="2" t="str">
        <f t="shared" si="29"/>
        <v>KZN226</v>
      </c>
      <c r="D900" s="2">
        <v>282</v>
      </c>
      <c r="F900" s="625"/>
      <c r="G900" s="625"/>
      <c r="H900" s="625"/>
      <c r="I900" s="625"/>
      <c r="J900" s="625"/>
      <c r="K900" s="625"/>
      <c r="L900" s="625"/>
      <c r="M900" s="626"/>
      <c r="N900" s="626"/>
      <c r="O900" s="626"/>
      <c r="P900" s="626"/>
      <c r="Q900" s="626"/>
      <c r="W900" t="s">
        <v>2047</v>
      </c>
    </row>
    <row r="901" spans="1:23" ht="13.15" customHeight="1" x14ac:dyDescent="0.2">
      <c r="A901" s="2" t="s">
        <v>2199</v>
      </c>
      <c r="B901" s="2">
        <f t="shared" si="28"/>
        <v>2022</v>
      </c>
      <c r="C901" s="2" t="str">
        <f t="shared" si="29"/>
        <v>KZN226</v>
      </c>
      <c r="D901" s="2">
        <v>283</v>
      </c>
      <c r="F901" s="625"/>
      <c r="G901" s="625"/>
      <c r="H901" s="625"/>
      <c r="I901" s="625"/>
      <c r="J901" s="625"/>
      <c r="K901" s="625"/>
      <c r="L901" s="625"/>
      <c r="M901" s="626"/>
      <c r="N901" s="626"/>
      <c r="O901" s="626"/>
      <c r="P901" s="626"/>
      <c r="Q901" s="626"/>
      <c r="W901" t="s">
        <v>2047</v>
      </c>
    </row>
    <row r="902" spans="1:23" ht="13.15" customHeight="1" x14ac:dyDescent="0.2">
      <c r="A902" s="2" t="s">
        <v>2199</v>
      </c>
      <c r="B902" s="2">
        <f t="shared" si="28"/>
        <v>2022</v>
      </c>
      <c r="C902" s="2" t="str">
        <f t="shared" si="29"/>
        <v>KZN226</v>
      </c>
      <c r="D902" s="2">
        <v>284</v>
      </c>
      <c r="F902" s="625"/>
      <c r="G902" s="625"/>
      <c r="H902" s="625"/>
      <c r="I902" s="625"/>
      <c r="J902" s="625"/>
      <c r="K902" s="625"/>
      <c r="L902" s="625"/>
      <c r="M902" s="626"/>
      <c r="N902" s="626"/>
      <c r="O902" s="626"/>
      <c r="P902" s="626"/>
      <c r="Q902" s="626"/>
      <c r="W902" t="s">
        <v>2047</v>
      </c>
    </row>
    <row r="903" spans="1:23" ht="13.15" customHeight="1" x14ac:dyDescent="0.2">
      <c r="A903" s="2" t="s">
        <v>2199</v>
      </c>
      <c r="B903" s="2">
        <f t="shared" si="28"/>
        <v>2022</v>
      </c>
      <c r="C903" s="2" t="str">
        <f t="shared" si="29"/>
        <v>KZN226</v>
      </c>
      <c r="D903" s="2">
        <v>285</v>
      </c>
      <c r="F903" s="625"/>
      <c r="G903" s="625"/>
      <c r="H903" s="625"/>
      <c r="I903" s="625"/>
      <c r="J903" s="625"/>
      <c r="K903" s="625"/>
      <c r="L903" s="625"/>
      <c r="M903" s="626"/>
      <c r="N903" s="626"/>
      <c r="O903" s="626"/>
      <c r="P903" s="626"/>
      <c r="Q903" s="626"/>
      <c r="W903" t="s">
        <v>2047</v>
      </c>
    </row>
    <row r="904" spans="1:23" ht="13.15" customHeight="1" x14ac:dyDescent="0.2">
      <c r="A904" s="2" t="s">
        <v>2199</v>
      </c>
      <c r="B904" s="2">
        <f t="shared" si="28"/>
        <v>2022</v>
      </c>
      <c r="C904" s="2" t="str">
        <f t="shared" si="29"/>
        <v>KZN226</v>
      </c>
      <c r="D904" s="2">
        <v>286</v>
      </c>
      <c r="F904" s="625"/>
      <c r="G904" s="625"/>
      <c r="H904" s="625"/>
      <c r="I904" s="625"/>
      <c r="J904" s="625"/>
      <c r="K904" s="625"/>
      <c r="L904" s="625"/>
      <c r="M904" s="626"/>
      <c r="N904" s="626"/>
      <c r="O904" s="626"/>
      <c r="P904" s="626"/>
      <c r="Q904" s="626"/>
      <c r="W904" t="s">
        <v>2047</v>
      </c>
    </row>
    <row r="905" spans="1:23" ht="13.15" customHeight="1" x14ac:dyDescent="0.2">
      <c r="A905" s="2" t="s">
        <v>2199</v>
      </c>
      <c r="B905" s="2">
        <f t="shared" si="28"/>
        <v>2022</v>
      </c>
      <c r="C905" s="2" t="str">
        <f t="shared" si="29"/>
        <v>KZN226</v>
      </c>
      <c r="D905" s="2">
        <v>287</v>
      </c>
      <c r="F905" s="625"/>
      <c r="G905" s="625"/>
      <c r="H905" s="625"/>
      <c r="I905" s="625"/>
      <c r="J905" s="625"/>
      <c r="K905" s="625"/>
      <c r="L905" s="625"/>
      <c r="M905" s="626"/>
      <c r="N905" s="626"/>
      <c r="O905" s="626"/>
      <c r="P905" s="626"/>
      <c r="Q905" s="626"/>
      <c r="W905" t="s">
        <v>2047</v>
      </c>
    </row>
    <row r="906" spans="1:23" ht="13.15" customHeight="1" x14ac:dyDescent="0.2">
      <c r="A906" s="2" t="s">
        <v>2199</v>
      </c>
      <c r="B906" s="2">
        <f t="shared" si="28"/>
        <v>2022</v>
      </c>
      <c r="C906" s="2" t="str">
        <f t="shared" si="29"/>
        <v>KZN226</v>
      </c>
      <c r="D906" s="2">
        <v>288</v>
      </c>
      <c r="F906" s="625"/>
      <c r="G906" s="625"/>
      <c r="H906" s="625"/>
      <c r="I906" s="625"/>
      <c r="J906" s="625"/>
      <c r="K906" s="625"/>
      <c r="L906" s="625"/>
      <c r="M906" s="626"/>
      <c r="N906" s="626"/>
      <c r="O906" s="626"/>
      <c r="P906" s="626"/>
      <c r="Q906" s="626"/>
      <c r="W906" t="s">
        <v>2047</v>
      </c>
    </row>
    <row r="907" spans="1:23" ht="13.15" customHeight="1" x14ac:dyDescent="0.2">
      <c r="A907" s="2" t="s">
        <v>2199</v>
      </c>
      <c r="B907" s="2">
        <f t="shared" si="28"/>
        <v>2022</v>
      </c>
      <c r="C907" s="2" t="str">
        <f t="shared" si="29"/>
        <v>KZN226</v>
      </c>
      <c r="D907" s="2">
        <v>289</v>
      </c>
      <c r="F907" s="625"/>
      <c r="G907" s="625"/>
      <c r="H907" s="625"/>
      <c r="I907" s="625"/>
      <c r="J907" s="625"/>
      <c r="K907" s="625"/>
      <c r="L907" s="625"/>
      <c r="M907" s="626"/>
      <c r="N907" s="626"/>
      <c r="O907" s="626"/>
      <c r="P907" s="626"/>
      <c r="Q907" s="626"/>
      <c r="W907" t="s">
        <v>2047</v>
      </c>
    </row>
    <row r="908" spans="1:23" ht="13.15" customHeight="1" x14ac:dyDescent="0.2">
      <c r="A908" s="2" t="s">
        <v>2199</v>
      </c>
      <c r="B908" s="2">
        <f t="shared" si="28"/>
        <v>2022</v>
      </c>
      <c r="C908" s="2" t="str">
        <f t="shared" si="29"/>
        <v>KZN226</v>
      </c>
      <c r="D908" s="2">
        <v>290</v>
      </c>
      <c r="F908" s="625"/>
      <c r="G908" s="625"/>
      <c r="H908" s="625"/>
      <c r="I908" s="625"/>
      <c r="J908" s="625"/>
      <c r="K908" s="625"/>
      <c r="L908" s="625"/>
      <c r="M908" s="626"/>
      <c r="N908" s="626"/>
      <c r="O908" s="626"/>
      <c r="P908" s="626"/>
      <c r="Q908" s="626"/>
      <c r="W908" t="s">
        <v>2047</v>
      </c>
    </row>
    <row r="909" spans="1:23" ht="13.15" customHeight="1" x14ac:dyDescent="0.2">
      <c r="A909" s="2" t="s">
        <v>2199</v>
      </c>
      <c r="B909" s="2">
        <f t="shared" si="28"/>
        <v>2022</v>
      </c>
      <c r="C909" s="2" t="str">
        <f t="shared" si="29"/>
        <v>KZN226</v>
      </c>
      <c r="D909" s="2">
        <v>291</v>
      </c>
      <c r="F909" s="625"/>
      <c r="G909" s="625"/>
      <c r="H909" s="625"/>
      <c r="I909" s="625"/>
      <c r="J909" s="625"/>
      <c r="K909" s="625"/>
      <c r="L909" s="625"/>
      <c r="M909" s="626"/>
      <c r="N909" s="626"/>
      <c r="O909" s="626"/>
      <c r="P909" s="626"/>
      <c r="Q909" s="626"/>
      <c r="W909" t="s">
        <v>2047</v>
      </c>
    </row>
    <row r="910" spans="1:23" ht="13.15" customHeight="1" x14ac:dyDescent="0.2">
      <c r="A910" s="2" t="s">
        <v>2199</v>
      </c>
      <c r="B910" s="2">
        <f t="shared" si="28"/>
        <v>2022</v>
      </c>
      <c r="C910" s="2" t="str">
        <f t="shared" si="29"/>
        <v>KZN226</v>
      </c>
      <c r="D910" s="2">
        <v>292</v>
      </c>
      <c r="F910" s="625"/>
      <c r="G910" s="625"/>
      <c r="H910" s="625"/>
      <c r="I910" s="625"/>
      <c r="J910" s="625"/>
      <c r="K910" s="625"/>
      <c r="L910" s="625"/>
      <c r="M910" s="626"/>
      <c r="N910" s="626"/>
      <c r="O910" s="626"/>
      <c r="P910" s="626"/>
      <c r="Q910" s="626"/>
      <c r="W910" t="s">
        <v>2047</v>
      </c>
    </row>
    <row r="911" spans="1:23" ht="13.15" customHeight="1" x14ac:dyDescent="0.2">
      <c r="A911" s="2" t="s">
        <v>2199</v>
      </c>
      <c r="B911" s="2">
        <f t="shared" si="28"/>
        <v>2022</v>
      </c>
      <c r="C911" s="2" t="str">
        <f t="shared" si="29"/>
        <v>KZN226</v>
      </c>
      <c r="D911" s="2">
        <v>293</v>
      </c>
      <c r="F911" s="625"/>
      <c r="G911" s="625"/>
      <c r="H911" s="625"/>
      <c r="I911" s="625"/>
      <c r="J911" s="625"/>
      <c r="K911" s="625"/>
      <c r="L911" s="625"/>
      <c r="M911" s="626"/>
      <c r="N911" s="626"/>
      <c r="O911" s="626"/>
      <c r="P911" s="626"/>
      <c r="Q911" s="626"/>
      <c r="W911" t="s">
        <v>2047</v>
      </c>
    </row>
    <row r="912" spans="1:23" ht="13.15" customHeight="1" x14ac:dyDescent="0.2">
      <c r="A912" s="2" t="s">
        <v>2199</v>
      </c>
      <c r="B912" s="2">
        <f t="shared" si="28"/>
        <v>2022</v>
      </c>
      <c r="C912" s="2" t="str">
        <f t="shared" si="29"/>
        <v>KZN226</v>
      </c>
      <c r="D912" s="2">
        <v>294</v>
      </c>
      <c r="F912" s="625"/>
      <c r="G912" s="625"/>
      <c r="H912" s="625"/>
      <c r="I912" s="625"/>
      <c r="J912" s="625"/>
      <c r="K912" s="625"/>
      <c r="L912" s="625"/>
      <c r="M912" s="626"/>
      <c r="N912" s="626"/>
      <c r="O912" s="626"/>
      <c r="P912" s="626"/>
      <c r="Q912" s="626"/>
      <c r="W912" t="s">
        <v>2047</v>
      </c>
    </row>
    <row r="913" spans="1:23" ht="13.15" customHeight="1" x14ac:dyDescent="0.2">
      <c r="A913" s="2" t="s">
        <v>2199</v>
      </c>
      <c r="B913" s="2">
        <f t="shared" si="28"/>
        <v>2022</v>
      </c>
      <c r="C913" s="2" t="str">
        <f t="shared" si="29"/>
        <v>KZN226</v>
      </c>
      <c r="D913" s="2">
        <v>295</v>
      </c>
      <c r="F913" s="625"/>
      <c r="G913" s="625"/>
      <c r="H913" s="625"/>
      <c r="I913" s="625"/>
      <c r="J913" s="625"/>
      <c r="K913" s="625"/>
      <c r="L913" s="625"/>
      <c r="M913" s="626"/>
      <c r="N913" s="626"/>
      <c r="O913" s="626"/>
      <c r="P913" s="626"/>
      <c r="Q913" s="626"/>
      <c r="W913" t="s">
        <v>2047</v>
      </c>
    </row>
    <row r="914" spans="1:23" ht="13.15" customHeight="1" x14ac:dyDescent="0.2">
      <c r="A914" s="2" t="s">
        <v>2199</v>
      </c>
      <c r="B914" s="2">
        <f t="shared" si="28"/>
        <v>2022</v>
      </c>
      <c r="C914" s="2" t="str">
        <f t="shared" si="29"/>
        <v>KZN226</v>
      </c>
      <c r="D914" s="2">
        <v>296</v>
      </c>
      <c r="F914" s="625"/>
      <c r="G914" s="625"/>
      <c r="H914" s="625"/>
      <c r="I914" s="625"/>
      <c r="J914" s="625"/>
      <c r="K914" s="625"/>
      <c r="L914" s="625"/>
      <c r="M914" s="626"/>
      <c r="N914" s="626"/>
      <c r="O914" s="626"/>
      <c r="P914" s="626"/>
      <c r="Q914" s="626"/>
      <c r="W914" t="s">
        <v>2047</v>
      </c>
    </row>
    <row r="915" spans="1:23" ht="13.15" customHeight="1" x14ac:dyDescent="0.2">
      <c r="A915" s="2" t="s">
        <v>2199</v>
      </c>
      <c r="B915" s="2">
        <f t="shared" si="28"/>
        <v>2022</v>
      </c>
      <c r="C915" s="2" t="str">
        <f t="shared" si="29"/>
        <v>KZN226</v>
      </c>
      <c r="D915" s="2">
        <v>297</v>
      </c>
      <c r="F915" s="625"/>
      <c r="G915" s="625"/>
      <c r="H915" s="625"/>
      <c r="I915" s="625"/>
      <c r="J915" s="625"/>
      <c r="K915" s="625"/>
      <c r="L915" s="625"/>
      <c r="M915" s="626"/>
      <c r="N915" s="626"/>
      <c r="O915" s="626"/>
      <c r="P915" s="626"/>
      <c r="Q915" s="626"/>
      <c r="W915" t="s">
        <v>2047</v>
      </c>
    </row>
    <row r="916" spans="1:23" ht="13.15" customHeight="1" x14ac:dyDescent="0.2">
      <c r="A916" s="2" t="s">
        <v>2199</v>
      </c>
      <c r="B916" s="2">
        <f t="shared" si="28"/>
        <v>2022</v>
      </c>
      <c r="C916" s="2" t="str">
        <f t="shared" si="29"/>
        <v>KZN226</v>
      </c>
      <c r="D916" s="2">
        <v>298</v>
      </c>
      <c r="F916" s="625"/>
      <c r="G916" s="625"/>
      <c r="H916" s="625"/>
      <c r="I916" s="625"/>
      <c r="J916" s="625"/>
      <c r="K916" s="625"/>
      <c r="L916" s="625"/>
      <c r="M916" s="626"/>
      <c r="N916" s="626"/>
      <c r="O916" s="626"/>
      <c r="P916" s="626"/>
      <c r="Q916" s="626"/>
      <c r="W916" t="s">
        <v>2047</v>
      </c>
    </row>
    <row r="917" spans="1:23" ht="13.15" customHeight="1" x14ac:dyDescent="0.2">
      <c r="A917" s="2" t="s">
        <v>2199</v>
      </c>
      <c r="B917" s="2">
        <f t="shared" si="28"/>
        <v>2022</v>
      </c>
      <c r="C917" s="2" t="str">
        <f t="shared" si="29"/>
        <v>KZN226</v>
      </c>
      <c r="D917" s="2">
        <v>299</v>
      </c>
      <c r="F917" s="625"/>
      <c r="G917" s="625"/>
      <c r="H917" s="625"/>
      <c r="I917" s="625"/>
      <c r="J917" s="625"/>
      <c r="K917" s="625"/>
      <c r="L917" s="625"/>
      <c r="M917" s="626"/>
      <c r="N917" s="626"/>
      <c r="O917" s="626"/>
      <c r="P917" s="626"/>
      <c r="Q917" s="626"/>
      <c r="W917" t="s">
        <v>2047</v>
      </c>
    </row>
    <row r="918" spans="1:23" ht="13.15" customHeight="1" x14ac:dyDescent="0.2">
      <c r="A918" s="2" t="s">
        <v>2199</v>
      </c>
      <c r="B918" s="2">
        <f t="shared" si="28"/>
        <v>2022</v>
      </c>
      <c r="C918" s="2" t="str">
        <f t="shared" si="29"/>
        <v>KZN226</v>
      </c>
      <c r="D918" s="2">
        <v>300</v>
      </c>
      <c r="F918" s="625"/>
      <c r="G918" s="625"/>
      <c r="H918" s="625"/>
      <c r="I918" s="625"/>
      <c r="J918" s="625"/>
      <c r="K918" s="625"/>
      <c r="L918" s="625"/>
      <c r="M918" s="626"/>
      <c r="N918" s="626"/>
      <c r="O918" s="626"/>
      <c r="P918" s="626"/>
      <c r="Q918" s="626"/>
      <c r="W918" t="s">
        <v>2047</v>
      </c>
    </row>
    <row r="919" spans="1:23" ht="13.15" customHeight="1" x14ac:dyDescent="0.2">
      <c r="A919" s="2" t="s">
        <v>2199</v>
      </c>
      <c r="B919" s="2">
        <f t="shared" si="28"/>
        <v>2022</v>
      </c>
      <c r="C919" s="2" t="str">
        <f t="shared" si="29"/>
        <v>KZN226</v>
      </c>
      <c r="D919" s="2">
        <v>301</v>
      </c>
      <c r="F919" s="625"/>
      <c r="G919" s="625"/>
      <c r="H919" s="625"/>
      <c r="I919" s="625"/>
      <c r="J919" s="625"/>
      <c r="K919" s="625"/>
      <c r="L919" s="625"/>
      <c r="M919" s="626"/>
      <c r="N919" s="626"/>
      <c r="O919" s="626"/>
      <c r="P919" s="626"/>
      <c r="Q919" s="626"/>
      <c r="W919" t="s">
        <v>2047</v>
      </c>
    </row>
    <row r="920" spans="1:23" ht="13.15" customHeight="1" x14ac:dyDescent="0.2">
      <c r="A920" s="2" t="s">
        <v>2199</v>
      </c>
      <c r="B920" s="2">
        <f t="shared" si="28"/>
        <v>2022</v>
      </c>
      <c r="C920" s="2" t="str">
        <f t="shared" si="29"/>
        <v>KZN226</v>
      </c>
      <c r="D920" s="2">
        <v>302</v>
      </c>
      <c r="F920" s="625"/>
      <c r="G920" s="625"/>
      <c r="H920" s="625"/>
      <c r="I920" s="625"/>
      <c r="J920" s="625"/>
      <c r="K920" s="625"/>
      <c r="L920" s="625"/>
      <c r="M920" s="626"/>
      <c r="N920" s="626"/>
      <c r="O920" s="626"/>
      <c r="P920" s="626"/>
      <c r="Q920" s="626"/>
      <c r="W920" t="s">
        <v>2047</v>
      </c>
    </row>
    <row r="921" spans="1:23" ht="13.15" customHeight="1" x14ac:dyDescent="0.2">
      <c r="A921" s="2" t="s">
        <v>2199</v>
      </c>
      <c r="B921" s="2">
        <f t="shared" si="28"/>
        <v>2022</v>
      </c>
      <c r="C921" s="2" t="str">
        <f t="shared" si="29"/>
        <v>KZN226</v>
      </c>
      <c r="D921" s="2">
        <v>303</v>
      </c>
      <c r="F921" s="625"/>
      <c r="G921" s="625"/>
      <c r="H921" s="625"/>
      <c r="I921" s="625"/>
      <c r="J921" s="625"/>
      <c r="K921" s="625"/>
      <c r="L921" s="625"/>
      <c r="M921" s="626"/>
      <c r="N921" s="626"/>
      <c r="O921" s="626"/>
      <c r="P921" s="626"/>
      <c r="Q921" s="626"/>
      <c r="W921" t="s">
        <v>2047</v>
      </c>
    </row>
    <row r="922" spans="1:23" ht="13.15" customHeight="1" x14ac:dyDescent="0.2">
      <c r="A922" s="2" t="s">
        <v>2199</v>
      </c>
      <c r="B922" s="2">
        <f t="shared" si="28"/>
        <v>2022</v>
      </c>
      <c r="C922" s="2" t="str">
        <f t="shared" si="29"/>
        <v>KZN226</v>
      </c>
      <c r="D922" s="2">
        <v>304</v>
      </c>
      <c r="F922" s="625"/>
      <c r="G922" s="625"/>
      <c r="H922" s="625"/>
      <c r="I922" s="625"/>
      <c r="J922" s="625"/>
      <c r="K922" s="625"/>
      <c r="L922" s="625"/>
      <c r="M922" s="626"/>
      <c r="N922" s="626"/>
      <c r="O922" s="626"/>
      <c r="P922" s="626"/>
      <c r="Q922" s="626"/>
      <c r="W922" t="s">
        <v>2047</v>
      </c>
    </row>
    <row r="923" spans="1:23" ht="13.15" customHeight="1" x14ac:dyDescent="0.2">
      <c r="A923" s="2" t="s">
        <v>2199</v>
      </c>
      <c r="B923" s="2">
        <f t="shared" si="28"/>
        <v>2022</v>
      </c>
      <c r="C923" s="2" t="str">
        <f t="shared" si="29"/>
        <v>KZN226</v>
      </c>
      <c r="D923" s="2">
        <v>305</v>
      </c>
      <c r="F923" s="625"/>
      <c r="G923" s="625"/>
      <c r="H923" s="625"/>
      <c r="I923" s="625"/>
      <c r="J923" s="625"/>
      <c r="K923" s="625"/>
      <c r="L923" s="625"/>
      <c r="M923" s="626"/>
      <c r="N923" s="626"/>
      <c r="O923" s="626"/>
      <c r="P923" s="626"/>
      <c r="Q923" s="626"/>
      <c r="W923" t="s">
        <v>2047</v>
      </c>
    </row>
    <row r="924" spans="1:23" ht="13.15" customHeight="1" x14ac:dyDescent="0.2">
      <c r="A924" s="2" t="s">
        <v>2199</v>
      </c>
      <c r="B924" s="2">
        <f t="shared" si="28"/>
        <v>2022</v>
      </c>
      <c r="C924" s="2" t="str">
        <f t="shared" si="29"/>
        <v>KZN226</v>
      </c>
      <c r="D924" s="2">
        <v>306</v>
      </c>
      <c r="F924" s="625"/>
      <c r="G924" s="625"/>
      <c r="H924" s="625"/>
      <c r="I924" s="625"/>
      <c r="J924" s="625"/>
      <c r="K924" s="625"/>
      <c r="L924" s="625"/>
      <c r="M924" s="626"/>
      <c r="N924" s="626"/>
      <c r="O924" s="626"/>
      <c r="P924" s="626"/>
      <c r="Q924" s="626"/>
      <c r="W924" t="s">
        <v>2047</v>
      </c>
    </row>
    <row r="925" spans="1:23" ht="13.15" customHeight="1" x14ac:dyDescent="0.2">
      <c r="A925" s="2" t="s">
        <v>2199</v>
      </c>
      <c r="B925" s="2">
        <f t="shared" si="28"/>
        <v>2022</v>
      </c>
      <c r="C925" s="2" t="str">
        <f t="shared" si="29"/>
        <v>KZN226</v>
      </c>
      <c r="D925" s="2">
        <v>307</v>
      </c>
      <c r="F925" s="625"/>
      <c r="G925" s="625"/>
      <c r="H925" s="625"/>
      <c r="I925" s="625"/>
      <c r="J925" s="625"/>
      <c r="K925" s="625"/>
      <c r="L925" s="625"/>
      <c r="M925" s="626"/>
      <c r="N925" s="626"/>
      <c r="O925" s="626"/>
      <c r="P925" s="626"/>
      <c r="Q925" s="626"/>
      <c r="W925" t="s">
        <v>2047</v>
      </c>
    </row>
    <row r="926" spans="1:23" ht="13.15" customHeight="1" x14ac:dyDescent="0.2">
      <c r="A926" s="2" t="s">
        <v>2199</v>
      </c>
      <c r="B926" s="2">
        <f t="shared" si="28"/>
        <v>2022</v>
      </c>
      <c r="C926" s="2" t="str">
        <f t="shared" si="29"/>
        <v>KZN226</v>
      </c>
      <c r="D926" s="2">
        <v>308</v>
      </c>
      <c r="F926" s="625"/>
      <c r="G926" s="625"/>
      <c r="H926" s="625"/>
      <c r="I926" s="625"/>
      <c r="J926" s="625"/>
      <c r="K926" s="625"/>
      <c r="L926" s="625"/>
      <c r="M926" s="626"/>
      <c r="N926" s="626"/>
      <c r="O926" s="626"/>
      <c r="P926" s="626"/>
      <c r="Q926" s="626"/>
      <c r="W926" t="s">
        <v>2047</v>
      </c>
    </row>
    <row r="927" spans="1:23" ht="13.15" customHeight="1" x14ac:dyDescent="0.2">
      <c r="A927" s="2" t="s">
        <v>2199</v>
      </c>
      <c r="B927" s="2">
        <f t="shared" si="28"/>
        <v>2022</v>
      </c>
      <c r="C927" s="2" t="str">
        <f t="shared" si="29"/>
        <v>KZN226</v>
      </c>
      <c r="D927" s="2">
        <v>309</v>
      </c>
      <c r="F927" s="625"/>
      <c r="G927" s="625"/>
      <c r="H927" s="625"/>
      <c r="I927" s="625"/>
      <c r="J927" s="625"/>
      <c r="K927" s="625"/>
      <c r="L927" s="625"/>
      <c r="M927" s="626"/>
      <c r="N927" s="626"/>
      <c r="O927" s="626"/>
      <c r="P927" s="626"/>
      <c r="Q927" s="626"/>
      <c r="W927" t="s">
        <v>2047</v>
      </c>
    </row>
    <row r="928" spans="1:23" ht="13.15" customHeight="1" x14ac:dyDescent="0.2">
      <c r="A928" s="2" t="s">
        <v>2199</v>
      </c>
      <c r="B928" s="2">
        <f t="shared" si="28"/>
        <v>2022</v>
      </c>
      <c r="C928" s="2" t="str">
        <f t="shared" si="29"/>
        <v>KZN226</v>
      </c>
      <c r="D928" s="2">
        <v>310</v>
      </c>
      <c r="F928" s="625"/>
      <c r="G928" s="625"/>
      <c r="H928" s="625"/>
      <c r="I928" s="625"/>
      <c r="J928" s="625"/>
      <c r="K928" s="625"/>
      <c r="L928" s="625"/>
      <c r="M928" s="626"/>
      <c r="N928" s="626"/>
      <c r="O928" s="626"/>
      <c r="P928" s="626"/>
      <c r="Q928" s="626"/>
      <c r="W928" t="s">
        <v>2047</v>
      </c>
    </row>
    <row r="929" spans="1:23" ht="13.15" customHeight="1" x14ac:dyDescent="0.2">
      <c r="A929" s="2" t="s">
        <v>2199</v>
      </c>
      <c r="B929" s="2">
        <f t="shared" si="28"/>
        <v>2022</v>
      </c>
      <c r="C929" s="2" t="str">
        <f t="shared" si="29"/>
        <v>KZN226</v>
      </c>
      <c r="D929" s="2">
        <v>311</v>
      </c>
      <c r="F929" s="625"/>
      <c r="G929" s="625"/>
      <c r="H929" s="625"/>
      <c r="I929" s="625"/>
      <c r="J929" s="625"/>
      <c r="K929" s="625"/>
      <c r="L929" s="625"/>
      <c r="M929" s="626"/>
      <c r="N929" s="626"/>
      <c r="O929" s="626"/>
      <c r="P929" s="626"/>
      <c r="Q929" s="626"/>
      <c r="W929" t="s">
        <v>2047</v>
      </c>
    </row>
    <row r="930" spans="1:23" ht="13.15" customHeight="1" x14ac:dyDescent="0.2">
      <c r="A930" s="2" t="s">
        <v>2199</v>
      </c>
      <c r="B930" s="2">
        <f t="shared" si="28"/>
        <v>2022</v>
      </c>
      <c r="C930" s="2" t="str">
        <f t="shared" si="29"/>
        <v>KZN226</v>
      </c>
      <c r="D930" s="2">
        <v>312</v>
      </c>
      <c r="F930" s="625"/>
      <c r="G930" s="625"/>
      <c r="H930" s="625"/>
      <c r="I930" s="625"/>
      <c r="J930" s="625"/>
      <c r="K930" s="625"/>
      <c r="L930" s="625"/>
      <c r="M930" s="626"/>
      <c r="N930" s="626"/>
      <c r="O930" s="626"/>
      <c r="P930" s="626"/>
      <c r="Q930" s="626"/>
      <c r="W930" t="s">
        <v>2047</v>
      </c>
    </row>
    <row r="931" spans="1:23" ht="13.15" customHeight="1" x14ac:dyDescent="0.2">
      <c r="A931" s="2" t="s">
        <v>2199</v>
      </c>
      <c r="B931" s="2">
        <f t="shared" si="28"/>
        <v>2022</v>
      </c>
      <c r="C931" s="2" t="str">
        <f t="shared" si="29"/>
        <v>KZN226</v>
      </c>
      <c r="D931" s="2">
        <v>313</v>
      </c>
      <c r="F931" s="625"/>
      <c r="G931" s="625"/>
      <c r="H931" s="625"/>
      <c r="I931" s="625"/>
      <c r="J931" s="625"/>
      <c r="K931" s="625"/>
      <c r="L931" s="625"/>
      <c r="M931" s="626"/>
      <c r="N931" s="626"/>
      <c r="O931" s="626"/>
      <c r="P931" s="626"/>
      <c r="Q931" s="626"/>
      <c r="W931" t="s">
        <v>2047</v>
      </c>
    </row>
    <row r="932" spans="1:23" ht="13.15" customHeight="1" x14ac:dyDescent="0.2">
      <c r="A932" s="2" t="s">
        <v>2199</v>
      </c>
      <c r="B932" s="2">
        <f t="shared" si="28"/>
        <v>2022</v>
      </c>
      <c r="C932" s="2" t="str">
        <f t="shared" si="29"/>
        <v>KZN226</v>
      </c>
      <c r="D932" s="2">
        <v>314</v>
      </c>
      <c r="F932" s="625"/>
      <c r="G932" s="625"/>
      <c r="H932" s="625"/>
      <c r="I932" s="625"/>
      <c r="J932" s="625"/>
      <c r="K932" s="625"/>
      <c r="L932" s="625"/>
      <c r="M932" s="626"/>
      <c r="N932" s="626"/>
      <c r="O932" s="626"/>
      <c r="P932" s="626"/>
      <c r="Q932" s="626"/>
      <c r="W932" t="s">
        <v>2047</v>
      </c>
    </row>
    <row r="933" spans="1:23" ht="13.15" customHeight="1" x14ac:dyDescent="0.2">
      <c r="A933" s="2" t="s">
        <v>2199</v>
      </c>
      <c r="B933" s="2">
        <f t="shared" si="28"/>
        <v>2022</v>
      </c>
      <c r="C933" s="2" t="str">
        <f t="shared" si="29"/>
        <v>KZN226</v>
      </c>
      <c r="D933" s="2">
        <v>315</v>
      </c>
      <c r="F933" s="625"/>
      <c r="G933" s="625"/>
      <c r="H933" s="625"/>
      <c r="I933" s="625"/>
      <c r="J933" s="625"/>
      <c r="K933" s="625"/>
      <c r="L933" s="625"/>
      <c r="M933" s="626"/>
      <c r="N933" s="626"/>
      <c r="O933" s="626"/>
      <c r="P933" s="626"/>
      <c r="Q933" s="626"/>
      <c r="W933" t="s">
        <v>2047</v>
      </c>
    </row>
    <row r="934" spans="1:23" ht="13.15" customHeight="1" x14ac:dyDescent="0.2">
      <c r="A934" s="2" t="s">
        <v>2199</v>
      </c>
      <c r="B934" s="2">
        <f t="shared" si="28"/>
        <v>2022</v>
      </c>
      <c r="C934" s="2" t="str">
        <f t="shared" si="29"/>
        <v>KZN226</v>
      </c>
      <c r="D934" s="2">
        <v>316</v>
      </c>
      <c r="F934" s="625"/>
      <c r="G934" s="625"/>
      <c r="H934" s="625"/>
      <c r="I934" s="625"/>
      <c r="J934" s="625"/>
      <c r="K934" s="625"/>
      <c r="L934" s="625"/>
      <c r="M934" s="626"/>
      <c r="N934" s="626"/>
      <c r="O934" s="626"/>
      <c r="P934" s="626"/>
      <c r="Q934" s="626"/>
      <c r="W934" t="s">
        <v>2047</v>
      </c>
    </row>
    <row r="935" spans="1:23" ht="13.15" customHeight="1" x14ac:dyDescent="0.2">
      <c r="A935" s="2" t="s">
        <v>2199</v>
      </c>
      <c r="B935" s="2">
        <f t="shared" si="28"/>
        <v>2022</v>
      </c>
      <c r="C935" s="2" t="str">
        <f t="shared" si="29"/>
        <v>KZN226</v>
      </c>
      <c r="D935" s="2">
        <v>317</v>
      </c>
      <c r="F935" s="625"/>
      <c r="G935" s="625"/>
      <c r="H935" s="625"/>
      <c r="I935" s="625"/>
      <c r="J935" s="625"/>
      <c r="K935" s="625"/>
      <c r="L935" s="625"/>
      <c r="M935" s="626"/>
      <c r="N935" s="626"/>
      <c r="O935" s="626"/>
      <c r="P935" s="626"/>
      <c r="Q935" s="626"/>
      <c r="W935" t="s">
        <v>2047</v>
      </c>
    </row>
    <row r="936" spans="1:23" ht="13.15" customHeight="1" x14ac:dyDescent="0.2">
      <c r="A936" s="2" t="s">
        <v>2199</v>
      </c>
      <c r="B936" s="2">
        <f t="shared" si="28"/>
        <v>2022</v>
      </c>
      <c r="C936" s="2" t="str">
        <f t="shared" si="29"/>
        <v>KZN226</v>
      </c>
      <c r="D936" s="2">
        <v>318</v>
      </c>
      <c r="F936" s="625"/>
      <c r="G936" s="625"/>
      <c r="H936" s="625"/>
      <c r="I936" s="625"/>
      <c r="J936" s="625"/>
      <c r="K936" s="625"/>
      <c r="L936" s="625"/>
      <c r="M936" s="626"/>
      <c r="N936" s="626"/>
      <c r="O936" s="626"/>
      <c r="P936" s="626"/>
      <c r="Q936" s="626"/>
      <c r="W936" t="s">
        <v>2047</v>
      </c>
    </row>
    <row r="937" spans="1:23" ht="13.15" customHeight="1" x14ac:dyDescent="0.2">
      <c r="A937" s="2" t="s">
        <v>2199</v>
      </c>
      <c r="B937" s="2">
        <f t="shared" si="28"/>
        <v>2022</v>
      </c>
      <c r="C937" s="2" t="str">
        <f t="shared" si="29"/>
        <v>KZN226</v>
      </c>
      <c r="D937" s="2">
        <v>319</v>
      </c>
      <c r="F937" s="625"/>
      <c r="G937" s="625"/>
      <c r="H937" s="625"/>
      <c r="I937" s="625"/>
      <c r="J937" s="625"/>
      <c r="K937" s="625"/>
      <c r="L937" s="625"/>
      <c r="M937" s="626"/>
      <c r="N937" s="626"/>
      <c r="O937" s="626"/>
      <c r="P937" s="626"/>
      <c r="Q937" s="626"/>
      <c r="W937" t="s">
        <v>2047</v>
      </c>
    </row>
    <row r="938" spans="1:23" ht="13.15" customHeight="1" x14ac:dyDescent="0.2">
      <c r="A938" s="2" t="s">
        <v>2199</v>
      </c>
      <c r="B938" s="2">
        <f t="shared" si="28"/>
        <v>2022</v>
      </c>
      <c r="C938" s="2" t="str">
        <f t="shared" si="29"/>
        <v>KZN226</v>
      </c>
      <c r="D938" s="2">
        <v>320</v>
      </c>
      <c r="F938" s="625"/>
      <c r="G938" s="625"/>
      <c r="H938" s="625"/>
      <c r="I938" s="625"/>
      <c r="J938" s="625"/>
      <c r="K938" s="625"/>
      <c r="L938" s="625"/>
      <c r="M938" s="626"/>
      <c r="N938" s="626"/>
      <c r="O938" s="626"/>
      <c r="P938" s="626"/>
      <c r="Q938" s="626"/>
      <c r="W938" t="s">
        <v>2047</v>
      </c>
    </row>
    <row r="939" spans="1:23" ht="13.15" customHeight="1" x14ac:dyDescent="0.2">
      <c r="A939" s="2" t="s">
        <v>2199</v>
      </c>
      <c r="B939" s="2">
        <f t="shared" si="28"/>
        <v>2022</v>
      </c>
      <c r="C939" s="2" t="str">
        <f t="shared" si="29"/>
        <v>KZN226</v>
      </c>
      <c r="D939" s="2">
        <v>321</v>
      </c>
      <c r="F939" s="625"/>
      <c r="G939" s="625"/>
      <c r="H939" s="625"/>
      <c r="I939" s="625"/>
      <c r="J939" s="625"/>
      <c r="K939" s="625"/>
      <c r="L939" s="625"/>
      <c r="M939" s="626"/>
      <c r="N939" s="626"/>
      <c r="O939" s="626"/>
      <c r="P939" s="626"/>
      <c r="Q939" s="626"/>
      <c r="W939" t="s">
        <v>2047</v>
      </c>
    </row>
    <row r="940" spans="1:23" ht="13.15" customHeight="1" x14ac:dyDescent="0.2">
      <c r="A940" s="2" t="s">
        <v>2199</v>
      </c>
      <c r="B940" s="2">
        <f t="shared" si="28"/>
        <v>2022</v>
      </c>
      <c r="C940" s="2" t="str">
        <f t="shared" si="29"/>
        <v>KZN226</v>
      </c>
      <c r="D940" s="2">
        <v>322</v>
      </c>
      <c r="F940" s="625"/>
      <c r="G940" s="625"/>
      <c r="H940" s="625"/>
      <c r="I940" s="625"/>
      <c r="J940" s="625"/>
      <c r="K940" s="625"/>
      <c r="L940" s="625"/>
      <c r="M940" s="626"/>
      <c r="N940" s="626"/>
      <c r="O940" s="626"/>
      <c r="P940" s="626"/>
      <c r="Q940" s="626"/>
      <c r="W940" t="s">
        <v>2047</v>
      </c>
    </row>
    <row r="941" spans="1:23" ht="13.15" customHeight="1" x14ac:dyDescent="0.2">
      <c r="A941" s="2" t="s">
        <v>2199</v>
      </c>
      <c r="B941" s="2">
        <f t="shared" si="28"/>
        <v>2022</v>
      </c>
      <c r="C941" s="2" t="str">
        <f t="shared" si="29"/>
        <v>KZN226</v>
      </c>
      <c r="D941" s="2">
        <v>323</v>
      </c>
      <c r="F941" s="625"/>
      <c r="G941" s="625"/>
      <c r="H941" s="625"/>
      <c r="I941" s="625"/>
      <c r="J941" s="625"/>
      <c r="K941" s="625"/>
      <c r="L941" s="625"/>
      <c r="M941" s="626"/>
      <c r="N941" s="626"/>
      <c r="O941" s="626"/>
      <c r="P941" s="626"/>
      <c r="Q941" s="626"/>
      <c r="W941" t="s">
        <v>2047</v>
      </c>
    </row>
    <row r="942" spans="1:23" ht="13.15" customHeight="1" x14ac:dyDescent="0.2">
      <c r="A942" s="2" t="s">
        <v>2199</v>
      </c>
      <c r="B942" s="2">
        <f t="shared" si="28"/>
        <v>2022</v>
      </c>
      <c r="C942" s="2" t="str">
        <f t="shared" si="29"/>
        <v>KZN226</v>
      </c>
      <c r="D942" s="2">
        <v>324</v>
      </c>
      <c r="F942" s="625"/>
      <c r="G942" s="625"/>
      <c r="H942" s="625"/>
      <c r="I942" s="625"/>
      <c r="J942" s="625"/>
      <c r="K942" s="625"/>
      <c r="L942" s="625"/>
      <c r="M942" s="626"/>
      <c r="N942" s="626"/>
      <c r="O942" s="626"/>
      <c r="P942" s="626"/>
      <c r="Q942" s="626"/>
      <c r="W942" t="s">
        <v>2047</v>
      </c>
    </row>
    <row r="943" spans="1:23" ht="13.15" customHeight="1" x14ac:dyDescent="0.2">
      <c r="A943" s="2" t="s">
        <v>2199</v>
      </c>
      <c r="B943" s="2">
        <f t="shared" si="28"/>
        <v>2022</v>
      </c>
      <c r="C943" s="2" t="str">
        <f t="shared" si="29"/>
        <v>KZN226</v>
      </c>
      <c r="D943" s="2">
        <v>325</v>
      </c>
      <c r="F943" s="625"/>
      <c r="G943" s="625"/>
      <c r="H943" s="625"/>
      <c r="I943" s="625"/>
      <c r="J943" s="625"/>
      <c r="K943" s="625"/>
      <c r="L943" s="625"/>
      <c r="M943" s="626"/>
      <c r="N943" s="626"/>
      <c r="O943" s="626"/>
      <c r="P943" s="626"/>
      <c r="Q943" s="626"/>
      <c r="W943" t="s">
        <v>2047</v>
      </c>
    </row>
    <row r="944" spans="1:23" ht="13.15" customHeight="1" x14ac:dyDescent="0.2">
      <c r="A944" s="2" t="s">
        <v>2199</v>
      </c>
      <c r="B944" s="2">
        <f t="shared" si="28"/>
        <v>2022</v>
      </c>
      <c r="C944" s="2" t="str">
        <f t="shared" si="29"/>
        <v>KZN226</v>
      </c>
      <c r="D944" s="2">
        <v>326</v>
      </c>
      <c r="F944" s="625"/>
      <c r="G944" s="625"/>
      <c r="H944" s="625"/>
      <c r="I944" s="625"/>
      <c r="J944" s="625"/>
      <c r="K944" s="625"/>
      <c r="L944" s="625"/>
      <c r="M944" s="626"/>
      <c r="N944" s="626"/>
      <c r="O944" s="626"/>
      <c r="P944" s="626"/>
      <c r="Q944" s="626"/>
      <c r="W944" t="s">
        <v>2047</v>
      </c>
    </row>
    <row r="945" spans="1:23" ht="13.15" customHeight="1" x14ac:dyDescent="0.2">
      <c r="A945" s="2" t="s">
        <v>2199</v>
      </c>
      <c r="B945" s="2">
        <f t="shared" si="28"/>
        <v>2022</v>
      </c>
      <c r="C945" s="2" t="str">
        <f t="shared" si="29"/>
        <v>KZN226</v>
      </c>
      <c r="D945" s="2">
        <v>327</v>
      </c>
      <c r="F945" s="625"/>
      <c r="G945" s="625"/>
      <c r="H945" s="625"/>
      <c r="I945" s="625"/>
      <c r="J945" s="625"/>
      <c r="K945" s="625"/>
      <c r="L945" s="625"/>
      <c r="M945" s="626"/>
      <c r="N945" s="626"/>
      <c r="O945" s="626"/>
      <c r="P945" s="626"/>
      <c r="Q945" s="626"/>
      <c r="W945" t="s">
        <v>2047</v>
      </c>
    </row>
    <row r="946" spans="1:23" ht="13.15" customHeight="1" x14ac:dyDescent="0.2">
      <c r="A946" s="2" t="s">
        <v>2199</v>
      </c>
      <c r="B946" s="2">
        <f t="shared" si="28"/>
        <v>2022</v>
      </c>
      <c r="C946" s="2" t="str">
        <f t="shared" si="29"/>
        <v>KZN226</v>
      </c>
      <c r="D946" s="2">
        <v>328</v>
      </c>
      <c r="F946" s="625"/>
      <c r="G946" s="625"/>
      <c r="H946" s="625"/>
      <c r="I946" s="625"/>
      <c r="J946" s="625"/>
      <c r="K946" s="625"/>
      <c r="L946" s="625"/>
      <c r="M946" s="626"/>
      <c r="N946" s="626"/>
      <c r="O946" s="626"/>
      <c r="P946" s="626"/>
      <c r="Q946" s="626"/>
      <c r="W946" t="s">
        <v>2047</v>
      </c>
    </row>
    <row r="947" spans="1:23" ht="13.15" customHeight="1" x14ac:dyDescent="0.2">
      <c r="A947" s="2" t="s">
        <v>2199</v>
      </c>
      <c r="B947" s="2">
        <f t="shared" si="28"/>
        <v>2022</v>
      </c>
      <c r="C947" s="2" t="str">
        <f t="shared" si="29"/>
        <v>KZN226</v>
      </c>
      <c r="D947" s="2">
        <v>329</v>
      </c>
      <c r="F947" s="625"/>
      <c r="G947" s="625"/>
      <c r="H947" s="625"/>
      <c r="I947" s="625"/>
      <c r="J947" s="625"/>
      <c r="K947" s="625"/>
      <c r="L947" s="625"/>
      <c r="M947" s="626"/>
      <c r="N947" s="626"/>
      <c r="O947" s="626"/>
      <c r="P947" s="626"/>
      <c r="Q947" s="626"/>
      <c r="W947" t="s">
        <v>2047</v>
      </c>
    </row>
    <row r="948" spans="1:23" ht="13.15" customHeight="1" x14ac:dyDescent="0.2">
      <c r="A948" s="2" t="s">
        <v>2199</v>
      </c>
      <c r="B948" s="2">
        <f t="shared" si="28"/>
        <v>2022</v>
      </c>
      <c r="C948" s="2" t="str">
        <f t="shared" si="29"/>
        <v>KZN226</v>
      </c>
      <c r="D948" s="2">
        <v>330</v>
      </c>
      <c r="F948" s="625"/>
      <c r="G948" s="625"/>
      <c r="H948" s="625"/>
      <c r="I948" s="625"/>
      <c r="J948" s="625"/>
      <c r="K948" s="625"/>
      <c r="L948" s="625"/>
      <c r="M948" s="626"/>
      <c r="N948" s="626"/>
      <c r="O948" s="626"/>
      <c r="P948" s="626"/>
      <c r="Q948" s="626"/>
      <c r="W948" t="s">
        <v>2047</v>
      </c>
    </row>
    <row r="949" spans="1:23" ht="13.15" customHeight="1" x14ac:dyDescent="0.2">
      <c r="A949" s="2" t="s">
        <v>2199</v>
      </c>
      <c r="B949" s="2">
        <f t="shared" si="28"/>
        <v>2022</v>
      </c>
      <c r="C949" s="2" t="str">
        <f t="shared" si="29"/>
        <v>KZN226</v>
      </c>
      <c r="D949" s="2">
        <v>331</v>
      </c>
      <c r="F949" s="625"/>
      <c r="G949" s="625"/>
      <c r="H949" s="625"/>
      <c r="I949" s="625"/>
      <c r="J949" s="625"/>
      <c r="K949" s="625"/>
      <c r="L949" s="625"/>
      <c r="M949" s="626"/>
      <c r="N949" s="626"/>
      <c r="O949" s="626"/>
      <c r="P949" s="626"/>
      <c r="Q949" s="626"/>
      <c r="W949" t="s">
        <v>2047</v>
      </c>
    </row>
    <row r="950" spans="1:23" ht="13.15" customHeight="1" x14ac:dyDescent="0.2">
      <c r="A950" s="2" t="s">
        <v>2199</v>
      </c>
      <c r="B950" s="2">
        <f t="shared" si="28"/>
        <v>2022</v>
      </c>
      <c r="C950" s="2" t="str">
        <f t="shared" si="29"/>
        <v>KZN226</v>
      </c>
      <c r="D950" s="2">
        <v>332</v>
      </c>
      <c r="F950" s="625"/>
      <c r="G950" s="625"/>
      <c r="H950" s="625"/>
      <c r="I950" s="625"/>
      <c r="J950" s="625"/>
      <c r="K950" s="625"/>
      <c r="L950" s="625"/>
      <c r="M950" s="626"/>
      <c r="N950" s="626"/>
      <c r="O950" s="626"/>
      <c r="P950" s="626"/>
      <c r="Q950" s="626"/>
      <c r="W950" t="s">
        <v>2047</v>
      </c>
    </row>
    <row r="951" spans="1:23" ht="13.15" customHeight="1" x14ac:dyDescent="0.2">
      <c r="A951" s="2" t="s">
        <v>2199</v>
      </c>
      <c r="B951" s="2">
        <f t="shared" si="28"/>
        <v>2022</v>
      </c>
      <c r="C951" s="2" t="str">
        <f t="shared" si="29"/>
        <v>KZN226</v>
      </c>
      <c r="D951" s="2">
        <v>333</v>
      </c>
      <c r="F951" s="625"/>
      <c r="G951" s="625"/>
      <c r="H951" s="625"/>
      <c r="I951" s="625"/>
      <c r="J951" s="625"/>
      <c r="K951" s="625"/>
      <c r="L951" s="625"/>
      <c r="M951" s="626"/>
      <c r="N951" s="626"/>
      <c r="O951" s="626"/>
      <c r="P951" s="626"/>
      <c r="Q951" s="626"/>
      <c r="W951" t="s">
        <v>2047</v>
      </c>
    </row>
    <row r="952" spans="1:23" ht="13.15" customHeight="1" x14ac:dyDescent="0.2">
      <c r="A952" s="2" t="s">
        <v>2199</v>
      </c>
      <c r="B952" s="2">
        <f t="shared" si="28"/>
        <v>2022</v>
      </c>
      <c r="C952" s="2" t="str">
        <f t="shared" si="29"/>
        <v>KZN226</v>
      </c>
      <c r="D952" s="2">
        <v>334</v>
      </c>
      <c r="F952" s="625"/>
      <c r="G952" s="625"/>
      <c r="H952" s="625"/>
      <c r="I952" s="625"/>
      <c r="J952" s="625"/>
      <c r="K952" s="625"/>
      <c r="L952" s="625"/>
      <c r="M952" s="626"/>
      <c r="N952" s="626"/>
      <c r="O952" s="626"/>
      <c r="P952" s="626"/>
      <c r="Q952" s="626"/>
      <c r="W952" t="s">
        <v>2047</v>
      </c>
    </row>
    <row r="953" spans="1:23" ht="13.15" customHeight="1" x14ac:dyDescent="0.2">
      <c r="A953" s="2" t="s">
        <v>2199</v>
      </c>
      <c r="B953" s="2">
        <f t="shared" si="28"/>
        <v>2022</v>
      </c>
      <c r="C953" s="2" t="str">
        <f t="shared" si="29"/>
        <v>KZN226</v>
      </c>
      <c r="D953" s="2">
        <v>335</v>
      </c>
      <c r="F953" s="625"/>
      <c r="G953" s="625"/>
      <c r="H953" s="625"/>
      <c r="I953" s="625"/>
      <c r="J953" s="625"/>
      <c r="K953" s="625"/>
      <c r="L953" s="625"/>
      <c r="M953" s="626"/>
      <c r="N953" s="626"/>
      <c r="O953" s="626"/>
      <c r="P953" s="626"/>
      <c r="Q953" s="626"/>
      <c r="W953" t="s">
        <v>2047</v>
      </c>
    </row>
    <row r="954" spans="1:23" ht="13.15" customHeight="1" x14ac:dyDescent="0.2">
      <c r="A954" s="2" t="s">
        <v>2199</v>
      </c>
      <c r="B954" s="2">
        <f t="shared" si="28"/>
        <v>2022</v>
      </c>
      <c r="C954" s="2" t="str">
        <f t="shared" si="29"/>
        <v>KZN226</v>
      </c>
      <c r="D954" s="2">
        <v>336</v>
      </c>
      <c r="F954" s="625"/>
      <c r="G954" s="625"/>
      <c r="H954" s="625"/>
      <c r="I954" s="625"/>
      <c r="J954" s="625"/>
      <c r="K954" s="625"/>
      <c r="L954" s="625"/>
      <c r="M954" s="626"/>
      <c r="N954" s="626"/>
      <c r="O954" s="626"/>
      <c r="P954" s="626"/>
      <c r="Q954" s="626"/>
      <c r="W954" t="s">
        <v>2047</v>
      </c>
    </row>
    <row r="955" spans="1:23" ht="13.15" customHeight="1" x14ac:dyDescent="0.2">
      <c r="A955" s="2" t="s">
        <v>2199</v>
      </c>
      <c r="B955" s="2">
        <f t="shared" si="28"/>
        <v>2022</v>
      </c>
      <c r="C955" s="2" t="str">
        <f t="shared" si="29"/>
        <v>KZN226</v>
      </c>
      <c r="D955" s="2">
        <v>337</v>
      </c>
      <c r="F955" s="625"/>
      <c r="G955" s="625"/>
      <c r="H955" s="625"/>
      <c r="I955" s="625"/>
      <c r="J955" s="625"/>
      <c r="K955" s="625"/>
      <c r="L955" s="625"/>
      <c r="M955" s="626"/>
      <c r="N955" s="626"/>
      <c r="O955" s="626"/>
      <c r="P955" s="626"/>
      <c r="Q955" s="626"/>
      <c r="W955" t="s">
        <v>2047</v>
      </c>
    </row>
    <row r="956" spans="1:23" ht="13.15" customHeight="1" x14ac:dyDescent="0.2">
      <c r="A956" s="2" t="s">
        <v>2199</v>
      </c>
      <c r="B956" s="2">
        <f t="shared" si="28"/>
        <v>2022</v>
      </c>
      <c r="C956" s="2" t="str">
        <f t="shared" si="29"/>
        <v>KZN226</v>
      </c>
      <c r="D956" s="2">
        <v>338</v>
      </c>
      <c r="F956" s="625"/>
      <c r="G956" s="625"/>
      <c r="H956" s="625"/>
      <c r="I956" s="625"/>
      <c r="J956" s="625"/>
      <c r="K956" s="625"/>
      <c r="L956" s="625"/>
      <c r="M956" s="626"/>
      <c r="N956" s="626"/>
      <c r="O956" s="626"/>
      <c r="P956" s="626"/>
      <c r="Q956" s="626"/>
      <c r="W956" t="s">
        <v>2047</v>
      </c>
    </row>
    <row r="957" spans="1:23" ht="13.15" customHeight="1" x14ac:dyDescent="0.2">
      <c r="A957" s="2" t="s">
        <v>2199</v>
      </c>
      <c r="B957" s="2">
        <f t="shared" si="28"/>
        <v>2022</v>
      </c>
      <c r="C957" s="2" t="str">
        <f t="shared" si="29"/>
        <v>KZN226</v>
      </c>
      <c r="D957" s="2">
        <v>339</v>
      </c>
      <c r="F957" s="625"/>
      <c r="G957" s="625"/>
      <c r="H957" s="625"/>
      <c r="I957" s="625"/>
      <c r="J957" s="625"/>
      <c r="K957" s="625"/>
      <c r="L957" s="625"/>
      <c r="M957" s="626"/>
      <c r="N957" s="626"/>
      <c r="O957" s="626"/>
      <c r="P957" s="626"/>
      <c r="Q957" s="626"/>
      <c r="W957" t="s">
        <v>2047</v>
      </c>
    </row>
    <row r="958" spans="1:23" ht="13.15" customHeight="1" x14ac:dyDescent="0.2">
      <c r="A958" s="2" t="s">
        <v>2199</v>
      </c>
      <c r="B958" s="2">
        <f t="shared" si="28"/>
        <v>2022</v>
      </c>
      <c r="C958" s="2" t="str">
        <f t="shared" si="29"/>
        <v>KZN226</v>
      </c>
      <c r="D958" s="2">
        <v>340</v>
      </c>
      <c r="F958" s="625"/>
      <c r="G958" s="625"/>
      <c r="H958" s="625"/>
      <c r="I958" s="625"/>
      <c r="J958" s="625"/>
      <c r="K958" s="625"/>
      <c r="L958" s="625"/>
      <c r="M958" s="626"/>
      <c r="N958" s="626"/>
      <c r="O958" s="626"/>
      <c r="P958" s="626"/>
      <c r="Q958" s="626"/>
      <c r="W958" t="s">
        <v>2047</v>
      </c>
    </row>
    <row r="959" spans="1:23" ht="13.15" customHeight="1" x14ac:dyDescent="0.2">
      <c r="A959" s="2" t="s">
        <v>2199</v>
      </c>
      <c r="B959" s="2">
        <f t="shared" si="28"/>
        <v>2022</v>
      </c>
      <c r="C959" s="2" t="str">
        <f t="shared" si="29"/>
        <v>KZN226</v>
      </c>
      <c r="D959" s="2">
        <v>341</v>
      </c>
      <c r="F959" s="625"/>
      <c r="G959" s="625"/>
      <c r="H959" s="625"/>
      <c r="I959" s="625"/>
      <c r="J959" s="625"/>
      <c r="K959" s="625"/>
      <c r="L959" s="625"/>
      <c r="M959" s="626"/>
      <c r="N959" s="626"/>
      <c r="O959" s="626"/>
      <c r="P959" s="626"/>
      <c r="Q959" s="626"/>
      <c r="W959" t="s">
        <v>2047</v>
      </c>
    </row>
    <row r="960" spans="1:23" ht="13.15" customHeight="1" x14ac:dyDescent="0.2">
      <c r="A960" s="2" t="s">
        <v>2199</v>
      </c>
      <c r="B960" s="2">
        <f t="shared" si="28"/>
        <v>2022</v>
      </c>
      <c r="C960" s="2" t="str">
        <f t="shared" si="29"/>
        <v>KZN226</v>
      </c>
      <c r="D960" s="2">
        <v>342</v>
      </c>
      <c r="F960" s="625"/>
      <c r="G960" s="625"/>
      <c r="H960" s="625"/>
      <c r="I960" s="625"/>
      <c r="J960" s="625"/>
      <c r="K960" s="625"/>
      <c r="L960" s="625"/>
      <c r="M960" s="626"/>
      <c r="N960" s="626"/>
      <c r="O960" s="626"/>
      <c r="P960" s="626"/>
      <c r="Q960" s="626"/>
      <c r="W960" t="s">
        <v>2047</v>
      </c>
    </row>
    <row r="961" spans="1:23" ht="13.15" customHeight="1" x14ac:dyDescent="0.2">
      <c r="A961" s="2" t="s">
        <v>2199</v>
      </c>
      <c r="B961" s="2">
        <f t="shared" si="28"/>
        <v>2022</v>
      </c>
      <c r="C961" s="2" t="str">
        <f t="shared" si="29"/>
        <v>KZN226</v>
      </c>
      <c r="D961" s="2">
        <v>343</v>
      </c>
      <c r="F961" s="625"/>
      <c r="G961" s="625"/>
      <c r="H961" s="625"/>
      <c r="I961" s="625"/>
      <c r="J961" s="625"/>
      <c r="K961" s="625"/>
      <c r="L961" s="625"/>
      <c r="M961" s="626"/>
      <c r="N961" s="626"/>
      <c r="O961" s="626"/>
      <c r="P961" s="626"/>
      <c r="Q961" s="626"/>
      <c r="W961" t="s">
        <v>2047</v>
      </c>
    </row>
    <row r="962" spans="1:23" ht="13.15" customHeight="1" x14ac:dyDescent="0.2">
      <c r="A962" s="2" t="s">
        <v>2199</v>
      </c>
      <c r="B962" s="2">
        <f t="shared" ref="B962:B1025" si="30">+MTREF</f>
        <v>2022</v>
      </c>
      <c r="C962" s="2" t="str">
        <f t="shared" ref="C962:C1025" si="31">LEFT(muni,(FIND(" ",muni,1)-1))</f>
        <v>KZN226</v>
      </c>
      <c r="D962" s="2">
        <v>344</v>
      </c>
      <c r="F962" s="625"/>
      <c r="G962" s="625"/>
      <c r="H962" s="625"/>
      <c r="I962" s="625"/>
      <c r="J962" s="625"/>
      <c r="K962" s="625"/>
      <c r="L962" s="625"/>
      <c r="M962" s="626"/>
      <c r="N962" s="626"/>
      <c r="O962" s="626"/>
      <c r="P962" s="626"/>
      <c r="Q962" s="626"/>
      <c r="W962" t="s">
        <v>2047</v>
      </c>
    </row>
    <row r="963" spans="1:23" ht="13.15" customHeight="1" x14ac:dyDescent="0.2">
      <c r="A963" s="2" t="s">
        <v>2199</v>
      </c>
      <c r="B963" s="2">
        <f t="shared" si="30"/>
        <v>2022</v>
      </c>
      <c r="C963" s="2" t="str">
        <f t="shared" si="31"/>
        <v>KZN226</v>
      </c>
      <c r="D963" s="2">
        <v>345</v>
      </c>
      <c r="F963" s="625"/>
      <c r="G963" s="625"/>
      <c r="H963" s="625"/>
      <c r="I963" s="625"/>
      <c r="J963" s="625"/>
      <c r="K963" s="625"/>
      <c r="L963" s="625"/>
      <c r="M963" s="626"/>
      <c r="N963" s="626"/>
      <c r="O963" s="626"/>
      <c r="P963" s="626"/>
      <c r="Q963" s="626"/>
      <c r="W963" t="s">
        <v>2047</v>
      </c>
    </row>
    <row r="964" spans="1:23" ht="13.15" customHeight="1" x14ac:dyDescent="0.2">
      <c r="A964" s="2" t="s">
        <v>2199</v>
      </c>
      <c r="B964" s="2">
        <f t="shared" si="30"/>
        <v>2022</v>
      </c>
      <c r="C964" s="2" t="str">
        <f t="shared" si="31"/>
        <v>KZN226</v>
      </c>
      <c r="D964" s="2">
        <v>346</v>
      </c>
      <c r="F964" s="625"/>
      <c r="G964" s="625"/>
      <c r="H964" s="625"/>
      <c r="I964" s="625"/>
      <c r="J964" s="625"/>
      <c r="K964" s="625"/>
      <c r="L964" s="625"/>
      <c r="M964" s="626"/>
      <c r="N964" s="626"/>
      <c r="O964" s="626"/>
      <c r="P964" s="626"/>
      <c r="Q964" s="626"/>
      <c r="W964" t="s">
        <v>2047</v>
      </c>
    </row>
    <row r="965" spans="1:23" ht="13.15" customHeight="1" x14ac:dyDescent="0.2">
      <c r="A965" s="2" t="s">
        <v>2199</v>
      </c>
      <c r="B965" s="2">
        <f t="shared" si="30"/>
        <v>2022</v>
      </c>
      <c r="C965" s="2" t="str">
        <f t="shared" si="31"/>
        <v>KZN226</v>
      </c>
      <c r="D965" s="2">
        <v>347</v>
      </c>
      <c r="F965" s="625"/>
      <c r="G965" s="625"/>
      <c r="H965" s="625"/>
      <c r="I965" s="625"/>
      <c r="J965" s="625"/>
      <c r="K965" s="625"/>
      <c r="L965" s="625"/>
      <c r="M965" s="626"/>
      <c r="N965" s="626"/>
      <c r="O965" s="626"/>
      <c r="P965" s="626"/>
      <c r="Q965" s="626"/>
      <c r="W965" t="s">
        <v>2047</v>
      </c>
    </row>
    <row r="966" spans="1:23" ht="13.15" customHeight="1" x14ac:dyDescent="0.2">
      <c r="A966" s="2" t="s">
        <v>2199</v>
      </c>
      <c r="B966" s="2">
        <f t="shared" si="30"/>
        <v>2022</v>
      </c>
      <c r="C966" s="2" t="str">
        <f t="shared" si="31"/>
        <v>KZN226</v>
      </c>
      <c r="D966" s="2">
        <v>348</v>
      </c>
      <c r="F966" s="625"/>
      <c r="G966" s="625"/>
      <c r="H966" s="625"/>
      <c r="I966" s="625"/>
      <c r="J966" s="625"/>
      <c r="K966" s="625"/>
      <c r="L966" s="625"/>
      <c r="M966" s="626"/>
      <c r="N966" s="626"/>
      <c r="O966" s="626"/>
      <c r="P966" s="626"/>
      <c r="Q966" s="626"/>
      <c r="W966" t="s">
        <v>2047</v>
      </c>
    </row>
    <row r="967" spans="1:23" ht="13.15" customHeight="1" x14ac:dyDescent="0.2">
      <c r="A967" s="2" t="s">
        <v>2199</v>
      </c>
      <c r="B967" s="2">
        <f t="shared" si="30"/>
        <v>2022</v>
      </c>
      <c r="C967" s="2" t="str">
        <f t="shared" si="31"/>
        <v>KZN226</v>
      </c>
      <c r="D967" s="2">
        <v>349</v>
      </c>
      <c r="F967" s="625"/>
      <c r="G967" s="625"/>
      <c r="H967" s="625"/>
      <c r="I967" s="625"/>
      <c r="J967" s="625"/>
      <c r="K967" s="625"/>
      <c r="L967" s="625"/>
      <c r="M967" s="626"/>
      <c r="N967" s="626"/>
      <c r="O967" s="626"/>
      <c r="P967" s="626"/>
      <c r="Q967" s="626"/>
      <c r="W967" t="s">
        <v>2047</v>
      </c>
    </row>
    <row r="968" spans="1:23" ht="13.15" customHeight="1" x14ac:dyDescent="0.2">
      <c r="A968" s="2" t="s">
        <v>2199</v>
      </c>
      <c r="B968" s="2">
        <f t="shared" si="30"/>
        <v>2022</v>
      </c>
      <c r="C968" s="2" t="str">
        <f t="shared" si="31"/>
        <v>KZN226</v>
      </c>
      <c r="D968" s="2">
        <v>350</v>
      </c>
      <c r="F968" s="625"/>
      <c r="G968" s="625"/>
      <c r="H968" s="625"/>
      <c r="I968" s="625"/>
      <c r="J968" s="625"/>
      <c r="K968" s="625"/>
      <c r="L968" s="625"/>
      <c r="M968" s="626"/>
      <c r="N968" s="626"/>
      <c r="O968" s="626"/>
      <c r="P968" s="626"/>
      <c r="Q968" s="626"/>
      <c r="W968" t="s">
        <v>2047</v>
      </c>
    </row>
    <row r="969" spans="1:23" ht="13.15" customHeight="1" x14ac:dyDescent="0.2">
      <c r="A969" s="2" t="s">
        <v>2199</v>
      </c>
      <c r="B969" s="2">
        <f t="shared" si="30"/>
        <v>2022</v>
      </c>
      <c r="C969" s="2" t="str">
        <f t="shared" si="31"/>
        <v>KZN226</v>
      </c>
      <c r="D969" s="2">
        <v>351</v>
      </c>
      <c r="F969" s="625"/>
      <c r="G969" s="625"/>
      <c r="H969" s="625"/>
      <c r="I969" s="625"/>
      <c r="J969" s="625"/>
      <c r="K969" s="625"/>
      <c r="L969" s="625"/>
      <c r="M969" s="626"/>
      <c r="N969" s="626"/>
      <c r="O969" s="626"/>
      <c r="P969" s="626"/>
      <c r="Q969" s="626"/>
      <c r="W969" t="s">
        <v>2047</v>
      </c>
    </row>
    <row r="970" spans="1:23" ht="13.15" customHeight="1" x14ac:dyDescent="0.2">
      <c r="A970" s="2" t="s">
        <v>2199</v>
      </c>
      <c r="B970" s="2">
        <f t="shared" si="30"/>
        <v>2022</v>
      </c>
      <c r="C970" s="2" t="str">
        <f t="shared" si="31"/>
        <v>KZN226</v>
      </c>
      <c r="D970" s="2">
        <v>352</v>
      </c>
      <c r="F970" s="625"/>
      <c r="G970" s="625"/>
      <c r="H970" s="625"/>
      <c r="I970" s="625"/>
      <c r="J970" s="625"/>
      <c r="K970" s="625"/>
      <c r="L970" s="625"/>
      <c r="M970" s="626"/>
      <c r="N970" s="626"/>
      <c r="O970" s="626"/>
      <c r="P970" s="626"/>
      <c r="Q970" s="626"/>
      <c r="W970" t="s">
        <v>2047</v>
      </c>
    </row>
    <row r="971" spans="1:23" ht="13.15" customHeight="1" x14ac:dyDescent="0.2">
      <c r="A971" s="2" t="s">
        <v>2199</v>
      </c>
      <c r="B971" s="2">
        <f t="shared" si="30"/>
        <v>2022</v>
      </c>
      <c r="C971" s="2" t="str">
        <f t="shared" si="31"/>
        <v>KZN226</v>
      </c>
      <c r="D971" s="2">
        <v>353</v>
      </c>
      <c r="F971" s="625"/>
      <c r="G971" s="625"/>
      <c r="H971" s="625"/>
      <c r="I971" s="625"/>
      <c r="J971" s="625"/>
      <c r="K971" s="625"/>
      <c r="L971" s="625"/>
      <c r="M971" s="626"/>
      <c r="N971" s="626"/>
      <c r="O971" s="626"/>
      <c r="P971" s="626"/>
      <c r="Q971" s="626"/>
      <c r="W971" t="s">
        <v>2047</v>
      </c>
    </row>
    <row r="972" spans="1:23" ht="13.15" customHeight="1" x14ac:dyDescent="0.2">
      <c r="A972" s="2" t="s">
        <v>2199</v>
      </c>
      <c r="B972" s="2">
        <f t="shared" si="30"/>
        <v>2022</v>
      </c>
      <c r="C972" s="2" t="str">
        <f t="shared" si="31"/>
        <v>KZN226</v>
      </c>
      <c r="D972" s="2">
        <v>354</v>
      </c>
      <c r="F972" s="625"/>
      <c r="G972" s="625"/>
      <c r="H972" s="625"/>
      <c r="I972" s="625"/>
      <c r="J972" s="625"/>
      <c r="K972" s="625"/>
      <c r="L972" s="625"/>
      <c r="M972" s="626"/>
      <c r="N972" s="626"/>
      <c r="O972" s="626"/>
      <c r="P972" s="626"/>
      <c r="Q972" s="626"/>
      <c r="W972" t="s">
        <v>2047</v>
      </c>
    </row>
    <row r="973" spans="1:23" ht="13.15" customHeight="1" x14ac:dyDescent="0.2">
      <c r="A973" s="2" t="s">
        <v>2199</v>
      </c>
      <c r="B973" s="2">
        <f t="shared" si="30"/>
        <v>2022</v>
      </c>
      <c r="C973" s="2" t="str">
        <f t="shared" si="31"/>
        <v>KZN226</v>
      </c>
      <c r="D973" s="2">
        <v>355</v>
      </c>
      <c r="F973" s="625"/>
      <c r="G973" s="625"/>
      <c r="H973" s="625"/>
      <c r="I973" s="625"/>
      <c r="J973" s="625"/>
      <c r="K973" s="625"/>
      <c r="L973" s="625"/>
      <c r="M973" s="626"/>
      <c r="N973" s="626"/>
      <c r="O973" s="626"/>
      <c r="P973" s="626"/>
      <c r="Q973" s="626"/>
      <c r="W973" t="s">
        <v>2047</v>
      </c>
    </row>
    <row r="974" spans="1:23" ht="13.15" customHeight="1" x14ac:dyDescent="0.2">
      <c r="A974" s="2" t="s">
        <v>2199</v>
      </c>
      <c r="B974" s="2">
        <f t="shared" si="30"/>
        <v>2022</v>
      </c>
      <c r="C974" s="2" t="str">
        <f t="shared" si="31"/>
        <v>KZN226</v>
      </c>
      <c r="D974" s="2">
        <v>356</v>
      </c>
      <c r="F974" s="625"/>
      <c r="G974" s="625"/>
      <c r="H974" s="625"/>
      <c r="I974" s="625"/>
      <c r="J974" s="625"/>
      <c r="K974" s="625"/>
      <c r="L974" s="625"/>
      <c r="M974" s="626"/>
      <c r="N974" s="626"/>
      <c r="O974" s="626"/>
      <c r="P974" s="626"/>
      <c r="Q974" s="626"/>
      <c r="W974" t="s">
        <v>2047</v>
      </c>
    </row>
    <row r="975" spans="1:23" ht="13.15" customHeight="1" x14ac:dyDescent="0.2">
      <c r="A975" s="2" t="s">
        <v>2199</v>
      </c>
      <c r="B975" s="2">
        <f t="shared" si="30"/>
        <v>2022</v>
      </c>
      <c r="C975" s="2" t="str">
        <f t="shared" si="31"/>
        <v>KZN226</v>
      </c>
      <c r="D975" s="2">
        <v>357</v>
      </c>
      <c r="F975" s="625"/>
      <c r="G975" s="625"/>
      <c r="H975" s="625"/>
      <c r="I975" s="625"/>
      <c r="J975" s="625"/>
      <c r="K975" s="625"/>
      <c r="L975" s="625"/>
      <c r="M975" s="626"/>
      <c r="N975" s="626"/>
      <c r="O975" s="626"/>
      <c r="P975" s="626"/>
      <c r="Q975" s="626"/>
      <c r="W975" t="s">
        <v>2047</v>
      </c>
    </row>
    <row r="976" spans="1:23" ht="13.15" customHeight="1" x14ac:dyDescent="0.2">
      <c r="A976" s="2" t="s">
        <v>2199</v>
      </c>
      <c r="B976" s="2">
        <f t="shared" si="30"/>
        <v>2022</v>
      </c>
      <c r="C976" s="2" t="str">
        <f t="shared" si="31"/>
        <v>KZN226</v>
      </c>
      <c r="D976" s="2">
        <v>358</v>
      </c>
      <c r="F976" s="625"/>
      <c r="G976" s="625"/>
      <c r="H976" s="625"/>
      <c r="I976" s="625"/>
      <c r="J976" s="625"/>
      <c r="K976" s="625"/>
      <c r="L976" s="625"/>
      <c r="M976" s="626"/>
      <c r="N976" s="626"/>
      <c r="O976" s="626"/>
      <c r="P976" s="626"/>
      <c r="Q976" s="626"/>
      <c r="W976" t="s">
        <v>2047</v>
      </c>
    </row>
    <row r="977" spans="1:23" ht="13.15" customHeight="1" x14ac:dyDescent="0.2">
      <c r="A977" s="2" t="s">
        <v>2199</v>
      </c>
      <c r="B977" s="2">
        <f t="shared" si="30"/>
        <v>2022</v>
      </c>
      <c r="C977" s="2" t="str">
        <f t="shared" si="31"/>
        <v>KZN226</v>
      </c>
      <c r="D977" s="2">
        <v>359</v>
      </c>
      <c r="F977" s="625"/>
      <c r="G977" s="625"/>
      <c r="H977" s="625"/>
      <c r="I977" s="625"/>
      <c r="J977" s="625"/>
      <c r="K977" s="625"/>
      <c r="L977" s="625"/>
      <c r="M977" s="626"/>
      <c r="N977" s="626"/>
      <c r="O977" s="626"/>
      <c r="P977" s="626"/>
      <c r="Q977" s="626"/>
      <c r="W977" t="s">
        <v>2047</v>
      </c>
    </row>
    <row r="978" spans="1:23" ht="13.15" customHeight="1" x14ac:dyDescent="0.2">
      <c r="A978" s="2" t="s">
        <v>2199</v>
      </c>
      <c r="B978" s="2">
        <f t="shared" si="30"/>
        <v>2022</v>
      </c>
      <c r="C978" s="2" t="str">
        <f t="shared" si="31"/>
        <v>KZN226</v>
      </c>
      <c r="D978" s="2">
        <v>360</v>
      </c>
      <c r="F978" s="625"/>
      <c r="G978" s="625"/>
      <c r="H978" s="625"/>
      <c r="I978" s="625"/>
      <c r="J978" s="625"/>
      <c r="K978" s="625"/>
      <c r="L978" s="625"/>
      <c r="M978" s="626"/>
      <c r="N978" s="626"/>
      <c r="O978" s="626"/>
      <c r="P978" s="626"/>
      <c r="Q978" s="626"/>
      <c r="W978" t="s">
        <v>2047</v>
      </c>
    </row>
    <row r="979" spans="1:23" ht="13.15" customHeight="1" x14ac:dyDescent="0.2">
      <c r="A979" s="2" t="s">
        <v>2199</v>
      </c>
      <c r="B979" s="2">
        <f t="shared" si="30"/>
        <v>2022</v>
      </c>
      <c r="C979" s="2" t="str">
        <f t="shared" si="31"/>
        <v>KZN226</v>
      </c>
      <c r="D979" s="2">
        <v>361</v>
      </c>
      <c r="F979" s="625"/>
      <c r="G979" s="625"/>
      <c r="H979" s="625"/>
      <c r="I979" s="625"/>
      <c r="J979" s="625"/>
      <c r="K979" s="625"/>
      <c r="L979" s="625"/>
      <c r="M979" s="626"/>
      <c r="N979" s="626"/>
      <c r="O979" s="626"/>
      <c r="P979" s="626"/>
      <c r="Q979" s="626"/>
      <c r="W979" t="s">
        <v>2047</v>
      </c>
    </row>
    <row r="980" spans="1:23" ht="13.15" customHeight="1" x14ac:dyDescent="0.2">
      <c r="A980" s="2" t="s">
        <v>2199</v>
      </c>
      <c r="B980" s="2">
        <f t="shared" si="30"/>
        <v>2022</v>
      </c>
      <c r="C980" s="2" t="str">
        <f t="shared" si="31"/>
        <v>KZN226</v>
      </c>
      <c r="D980" s="2">
        <v>362</v>
      </c>
      <c r="F980" s="625"/>
      <c r="G980" s="625"/>
      <c r="H980" s="625"/>
      <c r="I980" s="625"/>
      <c r="J980" s="625"/>
      <c r="K980" s="625"/>
      <c r="L980" s="625"/>
      <c r="M980" s="626"/>
      <c r="N980" s="626"/>
      <c r="O980" s="626"/>
      <c r="P980" s="626"/>
      <c r="Q980" s="626"/>
      <c r="W980" t="s">
        <v>2047</v>
      </c>
    </row>
    <row r="981" spans="1:23" ht="13.15" customHeight="1" x14ac:dyDescent="0.2">
      <c r="A981" s="2" t="s">
        <v>2199</v>
      </c>
      <c r="B981" s="2">
        <f t="shared" si="30"/>
        <v>2022</v>
      </c>
      <c r="C981" s="2" t="str">
        <f t="shared" si="31"/>
        <v>KZN226</v>
      </c>
      <c r="D981" s="2">
        <v>363</v>
      </c>
      <c r="F981" s="625"/>
      <c r="G981" s="625"/>
      <c r="H981" s="625"/>
      <c r="I981" s="625"/>
      <c r="J981" s="625"/>
      <c r="K981" s="625"/>
      <c r="L981" s="625"/>
      <c r="M981" s="626"/>
      <c r="N981" s="626"/>
      <c r="O981" s="626"/>
      <c r="P981" s="626"/>
      <c r="Q981" s="626"/>
      <c r="W981" t="s">
        <v>2047</v>
      </c>
    </row>
    <row r="982" spans="1:23" ht="13.15" customHeight="1" x14ac:dyDescent="0.2">
      <c r="A982" s="2" t="s">
        <v>2199</v>
      </c>
      <c r="B982" s="2">
        <f t="shared" si="30"/>
        <v>2022</v>
      </c>
      <c r="C982" s="2" t="str">
        <f t="shared" si="31"/>
        <v>KZN226</v>
      </c>
      <c r="D982" s="2">
        <v>364</v>
      </c>
      <c r="F982" s="625"/>
      <c r="G982" s="625"/>
      <c r="H982" s="625"/>
      <c r="I982" s="625"/>
      <c r="J982" s="625"/>
      <c r="K982" s="625"/>
      <c r="L982" s="625"/>
      <c r="M982" s="626"/>
      <c r="N982" s="626"/>
      <c r="O982" s="626"/>
      <c r="P982" s="626"/>
      <c r="Q982" s="626"/>
      <c r="W982" t="s">
        <v>2047</v>
      </c>
    </row>
    <row r="983" spans="1:23" ht="13.15" customHeight="1" x14ac:dyDescent="0.2">
      <c r="A983" s="2" t="s">
        <v>2199</v>
      </c>
      <c r="B983" s="2">
        <f t="shared" si="30"/>
        <v>2022</v>
      </c>
      <c r="C983" s="2" t="str">
        <f t="shared" si="31"/>
        <v>KZN226</v>
      </c>
      <c r="D983" s="2">
        <v>365</v>
      </c>
      <c r="F983" s="625"/>
      <c r="G983" s="625"/>
      <c r="H983" s="625"/>
      <c r="I983" s="625"/>
      <c r="J983" s="625"/>
      <c r="K983" s="625"/>
      <c r="L983" s="625"/>
      <c r="M983" s="626"/>
      <c r="N983" s="626"/>
      <c r="O983" s="626"/>
      <c r="P983" s="626"/>
      <c r="Q983" s="626"/>
      <c r="W983" t="s">
        <v>2047</v>
      </c>
    </row>
    <row r="984" spans="1:23" ht="13.15" customHeight="1" x14ac:dyDescent="0.2">
      <c r="A984" s="2" t="s">
        <v>2199</v>
      </c>
      <c r="B984" s="2">
        <f t="shared" si="30"/>
        <v>2022</v>
      </c>
      <c r="C984" s="2" t="str">
        <f t="shared" si="31"/>
        <v>KZN226</v>
      </c>
      <c r="D984" s="2">
        <v>366</v>
      </c>
      <c r="F984" s="625"/>
      <c r="G984" s="625"/>
      <c r="H984" s="625"/>
      <c r="I984" s="625"/>
      <c r="J984" s="625"/>
      <c r="K984" s="625"/>
      <c r="L984" s="625"/>
      <c r="M984" s="626"/>
      <c r="N984" s="626"/>
      <c r="O984" s="626"/>
      <c r="P984" s="626"/>
      <c r="Q984" s="626"/>
      <c r="W984" t="s">
        <v>2047</v>
      </c>
    </row>
    <row r="985" spans="1:23" ht="13.15" customHeight="1" x14ac:dyDescent="0.2">
      <c r="A985" s="2" t="s">
        <v>2199</v>
      </c>
      <c r="B985" s="2">
        <f t="shared" si="30"/>
        <v>2022</v>
      </c>
      <c r="C985" s="2" t="str">
        <f t="shared" si="31"/>
        <v>KZN226</v>
      </c>
      <c r="D985" s="2">
        <v>367</v>
      </c>
      <c r="F985" s="625"/>
      <c r="G985" s="625"/>
      <c r="H985" s="625"/>
      <c r="I985" s="625"/>
      <c r="J985" s="625"/>
      <c r="K985" s="625"/>
      <c r="L985" s="625"/>
      <c r="M985" s="626"/>
      <c r="N985" s="626"/>
      <c r="O985" s="626"/>
      <c r="P985" s="626"/>
      <c r="Q985" s="626"/>
      <c r="W985" t="s">
        <v>2047</v>
      </c>
    </row>
    <row r="986" spans="1:23" ht="13.15" customHeight="1" x14ac:dyDescent="0.2">
      <c r="A986" s="2" t="s">
        <v>2199</v>
      </c>
      <c r="B986" s="2">
        <f t="shared" si="30"/>
        <v>2022</v>
      </c>
      <c r="C986" s="2" t="str">
        <f t="shared" si="31"/>
        <v>KZN226</v>
      </c>
      <c r="D986" s="2">
        <v>368</v>
      </c>
      <c r="F986" s="625"/>
      <c r="G986" s="625"/>
      <c r="H986" s="625"/>
      <c r="I986" s="625"/>
      <c r="J986" s="625"/>
      <c r="K986" s="625"/>
      <c r="L986" s="625"/>
      <c r="M986" s="626"/>
      <c r="N986" s="626"/>
      <c r="O986" s="626"/>
      <c r="P986" s="626"/>
      <c r="Q986" s="626"/>
      <c r="W986" t="s">
        <v>2047</v>
      </c>
    </row>
    <row r="987" spans="1:23" ht="13.15" customHeight="1" x14ac:dyDescent="0.2">
      <c r="A987" s="2" t="s">
        <v>2199</v>
      </c>
      <c r="B987" s="2">
        <f t="shared" si="30"/>
        <v>2022</v>
      </c>
      <c r="C987" s="2" t="str">
        <f t="shared" si="31"/>
        <v>KZN226</v>
      </c>
      <c r="D987" s="2">
        <v>369</v>
      </c>
      <c r="F987" s="625"/>
      <c r="G987" s="625"/>
      <c r="H987" s="625"/>
      <c r="I987" s="625"/>
      <c r="J987" s="625"/>
      <c r="K987" s="625"/>
      <c r="L987" s="625"/>
      <c r="M987" s="626"/>
      <c r="N987" s="626"/>
      <c r="O987" s="626"/>
      <c r="P987" s="626"/>
      <c r="Q987" s="626"/>
      <c r="W987" t="s">
        <v>2047</v>
      </c>
    </row>
    <row r="988" spans="1:23" ht="13.15" customHeight="1" x14ac:dyDescent="0.2">
      <c r="A988" s="2" t="s">
        <v>2199</v>
      </c>
      <c r="B988" s="2">
        <f t="shared" si="30"/>
        <v>2022</v>
      </c>
      <c r="C988" s="2" t="str">
        <f t="shared" si="31"/>
        <v>KZN226</v>
      </c>
      <c r="D988" s="2">
        <v>370</v>
      </c>
      <c r="F988" s="625"/>
      <c r="G988" s="625"/>
      <c r="H988" s="625"/>
      <c r="I988" s="625"/>
      <c r="J988" s="625"/>
      <c r="K988" s="625"/>
      <c r="L988" s="625"/>
      <c r="M988" s="626"/>
      <c r="N988" s="626"/>
      <c r="O988" s="626"/>
      <c r="P988" s="626"/>
      <c r="Q988" s="626"/>
      <c r="W988" t="s">
        <v>2047</v>
      </c>
    </row>
    <row r="989" spans="1:23" ht="13.15" customHeight="1" x14ac:dyDescent="0.2">
      <c r="A989" s="2" t="s">
        <v>2199</v>
      </c>
      <c r="B989" s="2">
        <f t="shared" si="30"/>
        <v>2022</v>
      </c>
      <c r="C989" s="2" t="str">
        <f t="shared" si="31"/>
        <v>KZN226</v>
      </c>
      <c r="D989" s="2">
        <v>371</v>
      </c>
      <c r="F989" s="625"/>
      <c r="G989" s="625"/>
      <c r="H989" s="625"/>
      <c r="I989" s="625"/>
      <c r="J989" s="625"/>
      <c r="K989" s="625"/>
      <c r="L989" s="625"/>
      <c r="M989" s="626"/>
      <c r="N989" s="626"/>
      <c r="O989" s="626"/>
      <c r="P989" s="626"/>
      <c r="Q989" s="626"/>
      <c r="W989" t="s">
        <v>2047</v>
      </c>
    </row>
    <row r="990" spans="1:23" ht="13.15" customHeight="1" x14ac:dyDescent="0.2">
      <c r="A990" s="2" t="s">
        <v>2199</v>
      </c>
      <c r="B990" s="2">
        <f t="shared" si="30"/>
        <v>2022</v>
      </c>
      <c r="C990" s="2" t="str">
        <f t="shared" si="31"/>
        <v>KZN226</v>
      </c>
      <c r="D990" s="2">
        <v>372</v>
      </c>
      <c r="F990" s="625"/>
      <c r="G990" s="625"/>
      <c r="H990" s="625"/>
      <c r="I990" s="625"/>
      <c r="J990" s="625"/>
      <c r="K990" s="625"/>
      <c r="L990" s="625"/>
      <c r="M990" s="626"/>
      <c r="N990" s="626"/>
      <c r="O990" s="626"/>
      <c r="P990" s="626"/>
      <c r="Q990" s="626"/>
      <c r="W990" t="s">
        <v>2047</v>
      </c>
    </row>
    <row r="991" spans="1:23" ht="13.15" customHeight="1" x14ac:dyDescent="0.2">
      <c r="A991" s="2" t="s">
        <v>2199</v>
      </c>
      <c r="B991" s="2">
        <f t="shared" si="30"/>
        <v>2022</v>
      </c>
      <c r="C991" s="2" t="str">
        <f t="shared" si="31"/>
        <v>KZN226</v>
      </c>
      <c r="D991" s="2">
        <v>373</v>
      </c>
      <c r="F991" s="625"/>
      <c r="G991" s="625"/>
      <c r="H991" s="625"/>
      <c r="I991" s="625"/>
      <c r="J991" s="625"/>
      <c r="K991" s="625"/>
      <c r="L991" s="625"/>
      <c r="M991" s="626"/>
      <c r="N991" s="626"/>
      <c r="O991" s="626"/>
      <c r="P991" s="626"/>
      <c r="Q991" s="626"/>
      <c r="W991" t="s">
        <v>2047</v>
      </c>
    </row>
    <row r="992" spans="1:23" ht="13.15" customHeight="1" x14ac:dyDescent="0.2">
      <c r="A992" s="2" t="s">
        <v>2199</v>
      </c>
      <c r="B992" s="2">
        <f t="shared" si="30"/>
        <v>2022</v>
      </c>
      <c r="C992" s="2" t="str">
        <f t="shared" si="31"/>
        <v>KZN226</v>
      </c>
      <c r="D992" s="2">
        <v>374</v>
      </c>
      <c r="F992" s="625"/>
      <c r="G992" s="625"/>
      <c r="H992" s="625"/>
      <c r="I992" s="625"/>
      <c r="J992" s="625"/>
      <c r="K992" s="625"/>
      <c r="L992" s="625"/>
      <c r="M992" s="626"/>
      <c r="N992" s="626"/>
      <c r="O992" s="626"/>
      <c r="P992" s="626"/>
      <c r="Q992" s="626"/>
      <c r="W992" t="s">
        <v>2047</v>
      </c>
    </row>
    <row r="993" spans="1:23" ht="13.15" customHeight="1" x14ac:dyDescent="0.2">
      <c r="A993" s="2" t="s">
        <v>2199</v>
      </c>
      <c r="B993" s="2">
        <f t="shared" si="30"/>
        <v>2022</v>
      </c>
      <c r="C993" s="2" t="str">
        <f t="shared" si="31"/>
        <v>KZN226</v>
      </c>
      <c r="D993" s="2">
        <v>375</v>
      </c>
      <c r="F993" s="625"/>
      <c r="G993" s="625"/>
      <c r="H993" s="625"/>
      <c r="I993" s="625"/>
      <c r="J993" s="625"/>
      <c r="K993" s="625"/>
      <c r="L993" s="625"/>
      <c r="M993" s="626"/>
      <c r="N993" s="626"/>
      <c r="O993" s="626"/>
      <c r="P993" s="626"/>
      <c r="Q993" s="626"/>
      <c r="W993" t="s">
        <v>2047</v>
      </c>
    </row>
    <row r="994" spans="1:23" ht="13.15" customHeight="1" x14ac:dyDescent="0.2">
      <c r="A994" s="2" t="s">
        <v>2199</v>
      </c>
      <c r="B994" s="2">
        <f t="shared" si="30"/>
        <v>2022</v>
      </c>
      <c r="C994" s="2" t="str">
        <f t="shared" si="31"/>
        <v>KZN226</v>
      </c>
      <c r="D994" s="2">
        <v>376</v>
      </c>
      <c r="F994" s="625"/>
      <c r="G994" s="625"/>
      <c r="H994" s="625"/>
      <c r="I994" s="625"/>
      <c r="J994" s="625"/>
      <c r="K994" s="625"/>
      <c r="L994" s="625"/>
      <c r="M994" s="626"/>
      <c r="N994" s="626"/>
      <c r="O994" s="626"/>
      <c r="P994" s="626"/>
      <c r="Q994" s="626"/>
      <c r="W994" t="s">
        <v>2047</v>
      </c>
    </row>
    <row r="995" spans="1:23" ht="13.15" customHeight="1" x14ac:dyDescent="0.2">
      <c r="A995" s="2" t="s">
        <v>2199</v>
      </c>
      <c r="B995" s="2">
        <f t="shared" si="30"/>
        <v>2022</v>
      </c>
      <c r="C995" s="2" t="str">
        <f t="shared" si="31"/>
        <v>KZN226</v>
      </c>
      <c r="D995" s="2">
        <v>377</v>
      </c>
      <c r="F995" s="625"/>
      <c r="G995" s="625"/>
      <c r="H995" s="625"/>
      <c r="I995" s="625"/>
      <c r="J995" s="625"/>
      <c r="K995" s="625"/>
      <c r="L995" s="625"/>
      <c r="M995" s="626"/>
      <c r="N995" s="626"/>
      <c r="O995" s="626"/>
      <c r="P995" s="626"/>
      <c r="Q995" s="626"/>
      <c r="W995" t="s">
        <v>2047</v>
      </c>
    </row>
    <row r="996" spans="1:23" ht="13.15" customHeight="1" x14ac:dyDescent="0.2">
      <c r="A996" s="2" t="s">
        <v>2199</v>
      </c>
      <c r="B996" s="2">
        <f t="shared" si="30"/>
        <v>2022</v>
      </c>
      <c r="C996" s="2" t="str">
        <f t="shared" si="31"/>
        <v>KZN226</v>
      </c>
      <c r="D996" s="2">
        <v>378</v>
      </c>
      <c r="F996" s="625"/>
      <c r="G996" s="625"/>
      <c r="H996" s="625"/>
      <c r="I996" s="625"/>
      <c r="J996" s="625"/>
      <c r="K996" s="625"/>
      <c r="L996" s="625"/>
      <c r="M996" s="626"/>
      <c r="N996" s="626"/>
      <c r="O996" s="626"/>
      <c r="P996" s="626"/>
      <c r="Q996" s="626"/>
      <c r="W996" t="s">
        <v>2047</v>
      </c>
    </row>
    <row r="997" spans="1:23" ht="13.15" customHeight="1" x14ac:dyDescent="0.2">
      <c r="A997" s="2" t="s">
        <v>2199</v>
      </c>
      <c r="B997" s="2">
        <f t="shared" si="30"/>
        <v>2022</v>
      </c>
      <c r="C997" s="2" t="str">
        <f t="shared" si="31"/>
        <v>KZN226</v>
      </c>
      <c r="D997" s="2">
        <v>379</v>
      </c>
      <c r="F997" s="625"/>
      <c r="G997" s="625"/>
      <c r="H997" s="625"/>
      <c r="I997" s="625"/>
      <c r="J997" s="625"/>
      <c r="K997" s="625"/>
      <c r="L997" s="625"/>
      <c r="M997" s="626"/>
      <c r="N997" s="626"/>
      <c r="O997" s="626"/>
      <c r="P997" s="626"/>
      <c r="Q997" s="626"/>
      <c r="W997" t="s">
        <v>2047</v>
      </c>
    </row>
    <row r="998" spans="1:23" ht="13.15" customHeight="1" x14ac:dyDescent="0.2">
      <c r="A998" s="2" t="s">
        <v>2199</v>
      </c>
      <c r="B998" s="2">
        <f t="shared" si="30"/>
        <v>2022</v>
      </c>
      <c r="C998" s="2" t="str">
        <f t="shared" si="31"/>
        <v>KZN226</v>
      </c>
      <c r="D998" s="2">
        <v>380</v>
      </c>
      <c r="F998" s="625"/>
      <c r="G998" s="625"/>
      <c r="H998" s="625"/>
      <c r="I998" s="625"/>
      <c r="J998" s="625"/>
      <c r="K998" s="625"/>
      <c r="L998" s="625"/>
      <c r="M998" s="626"/>
      <c r="N998" s="626"/>
      <c r="O998" s="626"/>
      <c r="P998" s="626"/>
      <c r="Q998" s="626"/>
      <c r="W998" t="s">
        <v>2047</v>
      </c>
    </row>
    <row r="999" spans="1:23" ht="13.15" customHeight="1" x14ac:dyDescent="0.2">
      <c r="A999" s="2" t="s">
        <v>2199</v>
      </c>
      <c r="B999" s="2">
        <f t="shared" si="30"/>
        <v>2022</v>
      </c>
      <c r="C999" s="2" t="str">
        <f t="shared" si="31"/>
        <v>KZN226</v>
      </c>
      <c r="D999" s="2">
        <v>381</v>
      </c>
      <c r="F999" s="625"/>
      <c r="G999" s="625"/>
      <c r="H999" s="625"/>
      <c r="I999" s="625"/>
      <c r="J999" s="625"/>
      <c r="K999" s="625"/>
      <c r="L999" s="625"/>
      <c r="M999" s="626"/>
      <c r="N999" s="626"/>
      <c r="O999" s="626"/>
      <c r="P999" s="626"/>
      <c r="Q999" s="626"/>
      <c r="W999" t="s">
        <v>2047</v>
      </c>
    </row>
    <row r="1000" spans="1:23" ht="13.15" customHeight="1" x14ac:dyDescent="0.2">
      <c r="A1000" s="2" t="s">
        <v>2199</v>
      </c>
      <c r="B1000" s="2">
        <f t="shared" si="30"/>
        <v>2022</v>
      </c>
      <c r="C1000" s="2" t="str">
        <f t="shared" si="31"/>
        <v>KZN226</v>
      </c>
      <c r="D1000" s="2">
        <v>382</v>
      </c>
      <c r="F1000" s="625"/>
      <c r="G1000" s="625"/>
      <c r="H1000" s="625"/>
      <c r="I1000" s="625"/>
      <c r="J1000" s="625"/>
      <c r="K1000" s="625"/>
      <c r="L1000" s="625"/>
      <c r="M1000" s="626"/>
      <c r="N1000" s="626"/>
      <c r="O1000" s="626"/>
      <c r="P1000" s="626"/>
      <c r="Q1000" s="626"/>
      <c r="W1000" t="s">
        <v>2047</v>
      </c>
    </row>
    <row r="1001" spans="1:23" ht="13.15" customHeight="1" x14ac:dyDescent="0.2">
      <c r="A1001" s="2" t="s">
        <v>2199</v>
      </c>
      <c r="B1001" s="2">
        <f t="shared" si="30"/>
        <v>2022</v>
      </c>
      <c r="C1001" s="2" t="str">
        <f t="shared" si="31"/>
        <v>KZN226</v>
      </c>
      <c r="D1001" s="2">
        <v>383</v>
      </c>
      <c r="F1001" s="625"/>
      <c r="G1001" s="625"/>
      <c r="H1001" s="625"/>
      <c r="I1001" s="625"/>
      <c r="J1001" s="625"/>
      <c r="K1001" s="625"/>
      <c r="L1001" s="625"/>
      <c r="M1001" s="626"/>
      <c r="N1001" s="626"/>
      <c r="O1001" s="626"/>
      <c r="P1001" s="626"/>
      <c r="Q1001" s="626"/>
      <c r="W1001" t="s">
        <v>2047</v>
      </c>
    </row>
    <row r="1002" spans="1:23" ht="13.15" customHeight="1" x14ac:dyDescent="0.2">
      <c r="A1002" s="2" t="s">
        <v>2199</v>
      </c>
      <c r="B1002" s="2">
        <f t="shared" si="30"/>
        <v>2022</v>
      </c>
      <c r="C1002" s="2" t="str">
        <f t="shared" si="31"/>
        <v>KZN226</v>
      </c>
      <c r="D1002" s="2">
        <v>384</v>
      </c>
      <c r="F1002" s="625"/>
      <c r="G1002" s="625"/>
      <c r="H1002" s="625"/>
      <c r="I1002" s="625"/>
      <c r="J1002" s="625"/>
      <c r="K1002" s="625"/>
      <c r="L1002" s="625"/>
      <c r="M1002" s="626"/>
      <c r="N1002" s="626"/>
      <c r="O1002" s="626"/>
      <c r="P1002" s="626"/>
      <c r="Q1002" s="626"/>
      <c r="W1002" t="s">
        <v>2047</v>
      </c>
    </row>
    <row r="1003" spans="1:23" ht="13.15" customHeight="1" x14ac:dyDescent="0.2">
      <c r="A1003" s="2" t="s">
        <v>2199</v>
      </c>
      <c r="B1003" s="2">
        <f t="shared" si="30"/>
        <v>2022</v>
      </c>
      <c r="C1003" s="2" t="str">
        <f t="shared" si="31"/>
        <v>KZN226</v>
      </c>
      <c r="D1003" s="2">
        <v>385</v>
      </c>
      <c r="F1003" s="625"/>
      <c r="G1003" s="625"/>
      <c r="H1003" s="625"/>
      <c r="I1003" s="625"/>
      <c r="J1003" s="625"/>
      <c r="K1003" s="625"/>
      <c r="L1003" s="625"/>
      <c r="M1003" s="626"/>
      <c r="N1003" s="626"/>
      <c r="O1003" s="626"/>
      <c r="P1003" s="626"/>
      <c r="Q1003" s="626"/>
      <c r="W1003" t="s">
        <v>2047</v>
      </c>
    </row>
    <row r="1004" spans="1:23" ht="13.15" customHeight="1" x14ac:dyDescent="0.2">
      <c r="A1004" s="2" t="s">
        <v>2199</v>
      </c>
      <c r="B1004" s="2">
        <f t="shared" si="30"/>
        <v>2022</v>
      </c>
      <c r="C1004" s="2" t="str">
        <f t="shared" si="31"/>
        <v>KZN226</v>
      </c>
      <c r="D1004" s="2">
        <v>386</v>
      </c>
      <c r="F1004" s="625"/>
      <c r="G1004" s="625"/>
      <c r="H1004" s="625"/>
      <c r="I1004" s="625"/>
      <c r="J1004" s="625"/>
      <c r="K1004" s="625"/>
      <c r="L1004" s="625"/>
      <c r="M1004" s="626"/>
      <c r="N1004" s="626"/>
      <c r="O1004" s="626"/>
      <c r="P1004" s="626"/>
      <c r="Q1004" s="626"/>
      <c r="W1004" t="s">
        <v>2047</v>
      </c>
    </row>
    <row r="1005" spans="1:23" ht="13.15" customHeight="1" x14ac:dyDescent="0.2">
      <c r="A1005" s="2" t="s">
        <v>2199</v>
      </c>
      <c r="B1005" s="2">
        <f t="shared" si="30"/>
        <v>2022</v>
      </c>
      <c r="C1005" s="2" t="str">
        <f t="shared" si="31"/>
        <v>KZN226</v>
      </c>
      <c r="D1005" s="2">
        <v>387</v>
      </c>
      <c r="F1005" s="625"/>
      <c r="G1005" s="625"/>
      <c r="H1005" s="625"/>
      <c r="I1005" s="625"/>
      <c r="J1005" s="625"/>
      <c r="K1005" s="625"/>
      <c r="L1005" s="625"/>
      <c r="M1005" s="626"/>
      <c r="N1005" s="626"/>
      <c r="O1005" s="626"/>
      <c r="P1005" s="626"/>
      <c r="Q1005" s="626"/>
      <c r="W1005" t="s">
        <v>2047</v>
      </c>
    </row>
    <row r="1006" spans="1:23" ht="13.15" customHeight="1" x14ac:dyDescent="0.2">
      <c r="A1006" s="2" t="s">
        <v>2199</v>
      </c>
      <c r="B1006" s="2">
        <f t="shared" si="30"/>
        <v>2022</v>
      </c>
      <c r="C1006" s="2" t="str">
        <f t="shared" si="31"/>
        <v>KZN226</v>
      </c>
      <c r="D1006" s="2">
        <v>388</v>
      </c>
      <c r="F1006" s="625"/>
      <c r="G1006" s="625"/>
      <c r="H1006" s="625"/>
      <c r="I1006" s="625"/>
      <c r="J1006" s="625"/>
      <c r="K1006" s="625"/>
      <c r="L1006" s="625"/>
      <c r="M1006" s="626"/>
      <c r="N1006" s="626"/>
      <c r="O1006" s="626"/>
      <c r="P1006" s="626"/>
      <c r="Q1006" s="626"/>
      <c r="W1006" t="s">
        <v>2047</v>
      </c>
    </row>
    <row r="1007" spans="1:23" ht="13.15" customHeight="1" x14ac:dyDescent="0.2">
      <c r="A1007" s="2" t="s">
        <v>2199</v>
      </c>
      <c r="B1007" s="2">
        <f t="shared" si="30"/>
        <v>2022</v>
      </c>
      <c r="C1007" s="2" t="str">
        <f t="shared" si="31"/>
        <v>KZN226</v>
      </c>
      <c r="D1007" s="2">
        <v>389</v>
      </c>
      <c r="F1007" s="625"/>
      <c r="G1007" s="625"/>
      <c r="H1007" s="625"/>
      <c r="I1007" s="625"/>
      <c r="J1007" s="625"/>
      <c r="K1007" s="625"/>
      <c r="L1007" s="625"/>
      <c r="M1007" s="626"/>
      <c r="N1007" s="626"/>
      <c r="O1007" s="626"/>
      <c r="P1007" s="626"/>
      <c r="Q1007" s="626"/>
      <c r="W1007" t="s">
        <v>2047</v>
      </c>
    </row>
    <row r="1008" spans="1:23" ht="13.15" customHeight="1" x14ac:dyDescent="0.2">
      <c r="A1008" s="2" t="s">
        <v>2199</v>
      </c>
      <c r="B1008" s="2">
        <f t="shared" si="30"/>
        <v>2022</v>
      </c>
      <c r="C1008" s="2" t="str">
        <f t="shared" si="31"/>
        <v>KZN226</v>
      </c>
      <c r="D1008" s="2">
        <v>390</v>
      </c>
      <c r="F1008" s="625"/>
      <c r="G1008" s="625"/>
      <c r="H1008" s="625"/>
      <c r="I1008" s="625"/>
      <c r="J1008" s="625"/>
      <c r="K1008" s="625"/>
      <c r="L1008" s="625"/>
      <c r="M1008" s="626"/>
      <c r="N1008" s="626"/>
      <c r="O1008" s="626"/>
      <c r="P1008" s="626"/>
      <c r="Q1008" s="626"/>
      <c r="W1008" t="s">
        <v>2047</v>
      </c>
    </row>
    <row r="1009" spans="1:23" ht="13.15" customHeight="1" x14ac:dyDescent="0.2">
      <c r="A1009" s="2" t="s">
        <v>2199</v>
      </c>
      <c r="B1009" s="2">
        <f t="shared" si="30"/>
        <v>2022</v>
      </c>
      <c r="C1009" s="2" t="str">
        <f t="shared" si="31"/>
        <v>KZN226</v>
      </c>
      <c r="D1009" s="2">
        <v>391</v>
      </c>
      <c r="F1009" s="625"/>
      <c r="G1009" s="625"/>
      <c r="H1009" s="625"/>
      <c r="I1009" s="625"/>
      <c r="J1009" s="625"/>
      <c r="K1009" s="625"/>
      <c r="L1009" s="625"/>
      <c r="M1009" s="626"/>
      <c r="N1009" s="626"/>
      <c r="O1009" s="626"/>
      <c r="P1009" s="626"/>
      <c r="Q1009" s="626"/>
      <c r="W1009" t="s">
        <v>2047</v>
      </c>
    </row>
    <row r="1010" spans="1:23" ht="13.15" customHeight="1" x14ac:dyDescent="0.2">
      <c r="A1010" s="2" t="s">
        <v>2199</v>
      </c>
      <c r="B1010" s="2">
        <f t="shared" si="30"/>
        <v>2022</v>
      </c>
      <c r="C1010" s="2" t="str">
        <f t="shared" si="31"/>
        <v>KZN226</v>
      </c>
      <c r="D1010" s="2">
        <v>392</v>
      </c>
      <c r="F1010" s="625"/>
      <c r="G1010" s="625"/>
      <c r="H1010" s="625"/>
      <c r="I1010" s="625"/>
      <c r="J1010" s="625"/>
      <c r="K1010" s="625"/>
      <c r="L1010" s="625"/>
      <c r="M1010" s="626"/>
      <c r="N1010" s="626"/>
      <c r="O1010" s="626"/>
      <c r="P1010" s="626"/>
      <c r="Q1010" s="626"/>
      <c r="W1010" t="s">
        <v>2047</v>
      </c>
    </row>
    <row r="1011" spans="1:23" ht="13.15" customHeight="1" x14ac:dyDescent="0.2">
      <c r="A1011" s="2" t="s">
        <v>2199</v>
      </c>
      <c r="B1011" s="2">
        <f t="shared" si="30"/>
        <v>2022</v>
      </c>
      <c r="C1011" s="2" t="str">
        <f t="shared" si="31"/>
        <v>KZN226</v>
      </c>
      <c r="D1011" s="2">
        <v>393</v>
      </c>
      <c r="F1011" s="625"/>
      <c r="G1011" s="625"/>
      <c r="H1011" s="625"/>
      <c r="I1011" s="625"/>
      <c r="J1011" s="625"/>
      <c r="K1011" s="625"/>
      <c r="L1011" s="625"/>
      <c r="M1011" s="626"/>
      <c r="N1011" s="626"/>
      <c r="O1011" s="626"/>
      <c r="P1011" s="626"/>
      <c r="Q1011" s="626"/>
      <c r="W1011" t="s">
        <v>2047</v>
      </c>
    </row>
    <row r="1012" spans="1:23" ht="13.15" customHeight="1" x14ac:dyDescent="0.2">
      <c r="A1012" s="2" t="s">
        <v>2199</v>
      </c>
      <c r="B1012" s="2">
        <f t="shared" si="30"/>
        <v>2022</v>
      </c>
      <c r="C1012" s="2" t="str">
        <f t="shared" si="31"/>
        <v>KZN226</v>
      </c>
      <c r="D1012" s="2">
        <v>394</v>
      </c>
      <c r="F1012" s="625"/>
      <c r="G1012" s="625"/>
      <c r="H1012" s="625"/>
      <c r="I1012" s="625"/>
      <c r="J1012" s="625"/>
      <c r="K1012" s="625"/>
      <c r="L1012" s="625"/>
      <c r="M1012" s="626"/>
      <c r="N1012" s="626"/>
      <c r="O1012" s="626"/>
      <c r="P1012" s="626"/>
      <c r="Q1012" s="626"/>
      <c r="W1012" t="s">
        <v>2047</v>
      </c>
    </row>
    <row r="1013" spans="1:23" ht="13.15" customHeight="1" x14ac:dyDescent="0.2">
      <c r="A1013" s="2" t="s">
        <v>2199</v>
      </c>
      <c r="B1013" s="2">
        <f t="shared" si="30"/>
        <v>2022</v>
      </c>
      <c r="C1013" s="2" t="str">
        <f t="shared" si="31"/>
        <v>KZN226</v>
      </c>
      <c r="D1013" s="2">
        <v>395</v>
      </c>
      <c r="F1013" s="625"/>
      <c r="G1013" s="625"/>
      <c r="H1013" s="625"/>
      <c r="I1013" s="625"/>
      <c r="J1013" s="625"/>
      <c r="K1013" s="625"/>
      <c r="L1013" s="625"/>
      <c r="M1013" s="626"/>
      <c r="N1013" s="626"/>
      <c r="O1013" s="626"/>
      <c r="P1013" s="626"/>
      <c r="Q1013" s="626"/>
      <c r="W1013" t="s">
        <v>2047</v>
      </c>
    </row>
    <row r="1014" spans="1:23" ht="13.15" customHeight="1" x14ac:dyDescent="0.2">
      <c r="A1014" s="2" t="s">
        <v>2199</v>
      </c>
      <c r="B1014" s="2">
        <f t="shared" si="30"/>
        <v>2022</v>
      </c>
      <c r="C1014" s="2" t="str">
        <f t="shared" si="31"/>
        <v>KZN226</v>
      </c>
      <c r="D1014" s="2">
        <v>396</v>
      </c>
      <c r="F1014" s="625"/>
      <c r="G1014" s="625"/>
      <c r="H1014" s="625"/>
      <c r="I1014" s="625"/>
      <c r="J1014" s="625"/>
      <c r="K1014" s="625"/>
      <c r="L1014" s="625"/>
      <c r="M1014" s="626"/>
      <c r="N1014" s="626"/>
      <c r="O1014" s="626"/>
      <c r="P1014" s="626"/>
      <c r="Q1014" s="626"/>
      <c r="W1014" t="s">
        <v>2047</v>
      </c>
    </row>
    <row r="1015" spans="1:23" ht="13.15" customHeight="1" x14ac:dyDescent="0.2">
      <c r="A1015" s="2" t="s">
        <v>2199</v>
      </c>
      <c r="B1015" s="2">
        <f t="shared" si="30"/>
        <v>2022</v>
      </c>
      <c r="C1015" s="2" t="str">
        <f t="shared" si="31"/>
        <v>KZN226</v>
      </c>
      <c r="D1015" s="2">
        <v>397</v>
      </c>
      <c r="F1015" s="625"/>
      <c r="G1015" s="625"/>
      <c r="H1015" s="625"/>
      <c r="I1015" s="625"/>
      <c r="J1015" s="625"/>
      <c r="K1015" s="625"/>
      <c r="L1015" s="625"/>
      <c r="M1015" s="626"/>
      <c r="N1015" s="626"/>
      <c r="O1015" s="626"/>
      <c r="P1015" s="626"/>
      <c r="Q1015" s="626"/>
      <c r="W1015" t="s">
        <v>2047</v>
      </c>
    </row>
    <row r="1016" spans="1:23" ht="13.15" customHeight="1" x14ac:dyDescent="0.2">
      <c r="A1016" s="2" t="s">
        <v>2199</v>
      </c>
      <c r="B1016" s="2">
        <f t="shared" si="30"/>
        <v>2022</v>
      </c>
      <c r="C1016" s="2" t="str">
        <f t="shared" si="31"/>
        <v>KZN226</v>
      </c>
      <c r="D1016" s="2">
        <v>398</v>
      </c>
      <c r="F1016" s="625"/>
      <c r="G1016" s="625"/>
      <c r="H1016" s="625"/>
      <c r="I1016" s="625"/>
      <c r="J1016" s="625"/>
      <c r="K1016" s="625"/>
      <c r="L1016" s="625"/>
      <c r="M1016" s="626"/>
      <c r="N1016" s="626"/>
      <c r="O1016" s="626"/>
      <c r="P1016" s="626"/>
      <c r="Q1016" s="626"/>
      <c r="W1016" t="s">
        <v>2047</v>
      </c>
    </row>
    <row r="1017" spans="1:23" ht="13.15" customHeight="1" x14ac:dyDescent="0.2">
      <c r="A1017" s="2" t="s">
        <v>2199</v>
      </c>
      <c r="B1017" s="2">
        <f t="shared" si="30"/>
        <v>2022</v>
      </c>
      <c r="C1017" s="2" t="str">
        <f t="shared" si="31"/>
        <v>KZN226</v>
      </c>
      <c r="D1017" s="2">
        <v>399</v>
      </c>
      <c r="F1017" s="625"/>
      <c r="G1017" s="625"/>
      <c r="H1017" s="625"/>
      <c r="I1017" s="625"/>
      <c r="J1017" s="625"/>
      <c r="K1017" s="625"/>
      <c r="L1017" s="625"/>
      <c r="M1017" s="626"/>
      <c r="N1017" s="626"/>
      <c r="O1017" s="626"/>
      <c r="P1017" s="626"/>
      <c r="Q1017" s="626"/>
      <c r="W1017" t="s">
        <v>2047</v>
      </c>
    </row>
    <row r="1018" spans="1:23" ht="13.15" customHeight="1" x14ac:dyDescent="0.2">
      <c r="A1018" s="2" t="s">
        <v>2199</v>
      </c>
      <c r="B1018" s="2">
        <f t="shared" si="30"/>
        <v>2022</v>
      </c>
      <c r="C1018" s="2" t="str">
        <f t="shared" si="31"/>
        <v>KZN226</v>
      </c>
      <c r="D1018" s="2">
        <v>400</v>
      </c>
      <c r="F1018" s="625"/>
      <c r="G1018" s="625"/>
      <c r="H1018" s="625"/>
      <c r="I1018" s="625"/>
      <c r="J1018" s="625"/>
      <c r="K1018" s="625"/>
      <c r="L1018" s="625"/>
      <c r="M1018" s="626"/>
      <c r="N1018" s="626"/>
      <c r="O1018" s="626"/>
      <c r="P1018" s="626"/>
      <c r="Q1018" s="626"/>
      <c r="W1018" t="s">
        <v>2047</v>
      </c>
    </row>
    <row r="1019" spans="1:23" ht="13.15" customHeight="1" x14ac:dyDescent="0.2">
      <c r="A1019" s="2" t="s">
        <v>2199</v>
      </c>
      <c r="B1019" s="2">
        <f t="shared" si="30"/>
        <v>2022</v>
      </c>
      <c r="C1019" s="2" t="str">
        <f t="shared" si="31"/>
        <v>KZN226</v>
      </c>
      <c r="D1019" s="2">
        <v>401</v>
      </c>
      <c r="F1019" s="625"/>
      <c r="G1019" s="625"/>
      <c r="H1019" s="625"/>
      <c r="I1019" s="625"/>
      <c r="J1019" s="625"/>
      <c r="K1019" s="625"/>
      <c r="L1019" s="625"/>
      <c r="M1019" s="626"/>
      <c r="N1019" s="626"/>
      <c r="O1019" s="626"/>
      <c r="P1019" s="626"/>
      <c r="Q1019" s="626"/>
      <c r="W1019" t="s">
        <v>2047</v>
      </c>
    </row>
    <row r="1020" spans="1:23" ht="13.15" customHeight="1" x14ac:dyDescent="0.2">
      <c r="A1020" s="2" t="s">
        <v>2199</v>
      </c>
      <c r="B1020" s="2">
        <f t="shared" si="30"/>
        <v>2022</v>
      </c>
      <c r="C1020" s="2" t="str">
        <f t="shared" si="31"/>
        <v>KZN226</v>
      </c>
      <c r="D1020" s="2">
        <v>402</v>
      </c>
      <c r="F1020" s="625"/>
      <c r="G1020" s="625"/>
      <c r="H1020" s="625"/>
      <c r="I1020" s="625"/>
      <c r="J1020" s="625"/>
      <c r="K1020" s="625"/>
      <c r="L1020" s="625"/>
      <c r="M1020" s="626"/>
      <c r="N1020" s="626"/>
      <c r="O1020" s="626"/>
      <c r="P1020" s="626"/>
      <c r="Q1020" s="626"/>
      <c r="W1020" t="s">
        <v>2047</v>
      </c>
    </row>
    <row r="1021" spans="1:23" ht="13.15" customHeight="1" x14ac:dyDescent="0.2">
      <c r="A1021" s="2" t="s">
        <v>2199</v>
      </c>
      <c r="B1021" s="2">
        <f t="shared" si="30"/>
        <v>2022</v>
      </c>
      <c r="C1021" s="2" t="str">
        <f t="shared" si="31"/>
        <v>KZN226</v>
      </c>
      <c r="D1021" s="2">
        <v>403</v>
      </c>
      <c r="F1021" s="625"/>
      <c r="G1021" s="625"/>
      <c r="H1021" s="625"/>
      <c r="I1021" s="625"/>
      <c r="J1021" s="625"/>
      <c r="K1021" s="625"/>
      <c r="L1021" s="625"/>
      <c r="M1021" s="626"/>
      <c r="N1021" s="626"/>
      <c r="O1021" s="626"/>
      <c r="P1021" s="626"/>
      <c r="Q1021" s="626"/>
      <c r="W1021" t="s">
        <v>2047</v>
      </c>
    </row>
    <row r="1022" spans="1:23" ht="13.15" customHeight="1" x14ac:dyDescent="0.2">
      <c r="A1022" s="2" t="s">
        <v>2199</v>
      </c>
      <c r="B1022" s="2">
        <f t="shared" si="30"/>
        <v>2022</v>
      </c>
      <c r="C1022" s="2" t="str">
        <f t="shared" si="31"/>
        <v>KZN226</v>
      </c>
      <c r="D1022" s="2">
        <v>404</v>
      </c>
      <c r="F1022" s="625"/>
      <c r="G1022" s="625"/>
      <c r="H1022" s="625"/>
      <c r="I1022" s="625"/>
      <c r="J1022" s="625"/>
      <c r="K1022" s="625"/>
      <c r="L1022" s="625"/>
      <c r="M1022" s="626"/>
      <c r="N1022" s="626"/>
      <c r="O1022" s="626"/>
      <c r="P1022" s="626"/>
      <c r="Q1022" s="626"/>
      <c r="W1022" t="s">
        <v>2047</v>
      </c>
    </row>
    <row r="1023" spans="1:23" ht="13.15" customHeight="1" x14ac:dyDescent="0.2">
      <c r="A1023" s="2" t="s">
        <v>2199</v>
      </c>
      <c r="B1023" s="2">
        <f t="shared" si="30"/>
        <v>2022</v>
      </c>
      <c r="C1023" s="2" t="str">
        <f t="shared" si="31"/>
        <v>KZN226</v>
      </c>
      <c r="D1023" s="2">
        <v>405</v>
      </c>
      <c r="F1023" s="625"/>
      <c r="G1023" s="625"/>
      <c r="H1023" s="625"/>
      <c r="I1023" s="625"/>
      <c r="J1023" s="625"/>
      <c r="K1023" s="625"/>
      <c r="L1023" s="625"/>
      <c r="M1023" s="626"/>
      <c r="N1023" s="626"/>
      <c r="O1023" s="626"/>
      <c r="P1023" s="626"/>
      <c r="Q1023" s="626"/>
      <c r="W1023" t="s">
        <v>2047</v>
      </c>
    </row>
    <row r="1024" spans="1:23" ht="13.15" customHeight="1" x14ac:dyDescent="0.2">
      <c r="A1024" s="2" t="s">
        <v>2199</v>
      </c>
      <c r="B1024" s="2">
        <f t="shared" si="30"/>
        <v>2022</v>
      </c>
      <c r="C1024" s="2" t="str">
        <f t="shared" si="31"/>
        <v>KZN226</v>
      </c>
      <c r="D1024" s="2">
        <v>406</v>
      </c>
      <c r="F1024" s="625"/>
      <c r="G1024" s="625"/>
      <c r="H1024" s="625"/>
      <c r="I1024" s="625"/>
      <c r="J1024" s="625"/>
      <c r="K1024" s="625"/>
      <c r="L1024" s="625"/>
      <c r="M1024" s="626"/>
      <c r="N1024" s="626"/>
      <c r="O1024" s="626"/>
      <c r="P1024" s="626"/>
      <c r="Q1024" s="626"/>
      <c r="W1024" t="s">
        <v>2047</v>
      </c>
    </row>
    <row r="1025" spans="1:23" ht="13.15" customHeight="1" x14ac:dyDescent="0.2">
      <c r="A1025" s="2" t="s">
        <v>2199</v>
      </c>
      <c r="B1025" s="2">
        <f t="shared" si="30"/>
        <v>2022</v>
      </c>
      <c r="C1025" s="2" t="str">
        <f t="shared" si="31"/>
        <v>KZN226</v>
      </c>
      <c r="D1025" s="2">
        <v>407</v>
      </c>
      <c r="F1025" s="625"/>
      <c r="G1025" s="625"/>
      <c r="H1025" s="625"/>
      <c r="I1025" s="625"/>
      <c r="J1025" s="625"/>
      <c r="K1025" s="625"/>
      <c r="L1025" s="625"/>
      <c r="M1025" s="626"/>
      <c r="N1025" s="626"/>
      <c r="O1025" s="626"/>
      <c r="P1025" s="626"/>
      <c r="Q1025" s="626"/>
      <c r="W1025" t="s">
        <v>2047</v>
      </c>
    </row>
    <row r="1026" spans="1:23" ht="13.15" customHeight="1" x14ac:dyDescent="0.2">
      <c r="A1026" s="2" t="s">
        <v>2199</v>
      </c>
      <c r="B1026" s="2">
        <f t="shared" ref="B1026:B1089" si="32">+MTREF</f>
        <v>2022</v>
      </c>
      <c r="C1026" s="2" t="str">
        <f t="shared" ref="C1026:C1089" si="33">LEFT(muni,(FIND(" ",muni,1)-1))</f>
        <v>KZN226</v>
      </c>
      <c r="D1026" s="2">
        <v>408</v>
      </c>
      <c r="F1026" s="625"/>
      <c r="G1026" s="625"/>
      <c r="H1026" s="625"/>
      <c r="I1026" s="625"/>
      <c r="J1026" s="625"/>
      <c r="K1026" s="625"/>
      <c r="L1026" s="625"/>
      <c r="M1026" s="626"/>
      <c r="N1026" s="626"/>
      <c r="O1026" s="626"/>
      <c r="P1026" s="626"/>
      <c r="Q1026" s="626"/>
      <c r="W1026" t="s">
        <v>2047</v>
      </c>
    </row>
    <row r="1027" spans="1:23" ht="13.15" customHeight="1" x14ac:dyDescent="0.2">
      <c r="A1027" s="2" t="s">
        <v>2199</v>
      </c>
      <c r="B1027" s="2">
        <f t="shared" si="32"/>
        <v>2022</v>
      </c>
      <c r="C1027" s="2" t="str">
        <f t="shared" si="33"/>
        <v>KZN226</v>
      </c>
      <c r="D1027" s="2">
        <v>409</v>
      </c>
      <c r="F1027" s="625"/>
      <c r="G1027" s="625"/>
      <c r="H1027" s="625"/>
      <c r="I1027" s="625"/>
      <c r="J1027" s="625"/>
      <c r="K1027" s="625"/>
      <c r="L1027" s="625"/>
      <c r="M1027" s="626"/>
      <c r="N1027" s="626"/>
      <c r="O1027" s="626"/>
      <c r="P1027" s="626"/>
      <c r="Q1027" s="626"/>
      <c r="W1027" t="s">
        <v>2047</v>
      </c>
    </row>
    <row r="1028" spans="1:23" ht="13.15" customHeight="1" x14ac:dyDescent="0.2">
      <c r="A1028" s="2" t="s">
        <v>2199</v>
      </c>
      <c r="B1028" s="2">
        <f t="shared" si="32"/>
        <v>2022</v>
      </c>
      <c r="C1028" s="2" t="str">
        <f t="shared" si="33"/>
        <v>KZN226</v>
      </c>
      <c r="D1028" s="2">
        <v>410</v>
      </c>
      <c r="F1028" s="625"/>
      <c r="G1028" s="625"/>
      <c r="H1028" s="625"/>
      <c r="I1028" s="625"/>
      <c r="J1028" s="625"/>
      <c r="K1028" s="625"/>
      <c r="L1028" s="625"/>
      <c r="M1028" s="626"/>
      <c r="N1028" s="626"/>
      <c r="O1028" s="626"/>
      <c r="P1028" s="626"/>
      <c r="Q1028" s="626"/>
      <c r="W1028" t="s">
        <v>2047</v>
      </c>
    </row>
    <row r="1029" spans="1:23" ht="13.15" customHeight="1" x14ac:dyDescent="0.2">
      <c r="A1029" s="2" t="s">
        <v>2199</v>
      </c>
      <c r="B1029" s="2">
        <f t="shared" si="32"/>
        <v>2022</v>
      </c>
      <c r="C1029" s="2" t="str">
        <f t="shared" si="33"/>
        <v>KZN226</v>
      </c>
      <c r="D1029" s="2">
        <v>411</v>
      </c>
      <c r="F1029" s="625"/>
      <c r="G1029" s="625"/>
      <c r="H1029" s="625"/>
      <c r="I1029" s="625"/>
      <c r="J1029" s="625"/>
      <c r="K1029" s="625"/>
      <c r="L1029" s="625"/>
      <c r="M1029" s="626"/>
      <c r="N1029" s="626"/>
      <c r="O1029" s="626"/>
      <c r="P1029" s="626"/>
      <c r="Q1029" s="626"/>
      <c r="W1029" t="s">
        <v>2047</v>
      </c>
    </row>
    <row r="1030" spans="1:23" ht="13.15" customHeight="1" x14ac:dyDescent="0.2">
      <c r="A1030" s="2" t="s">
        <v>2199</v>
      </c>
      <c r="B1030" s="2">
        <f t="shared" si="32"/>
        <v>2022</v>
      </c>
      <c r="C1030" s="2" t="str">
        <f t="shared" si="33"/>
        <v>KZN226</v>
      </c>
      <c r="D1030" s="2">
        <v>412</v>
      </c>
      <c r="F1030" s="625"/>
      <c r="G1030" s="625"/>
      <c r="H1030" s="625"/>
      <c r="I1030" s="625"/>
      <c r="J1030" s="625"/>
      <c r="K1030" s="625"/>
      <c r="L1030" s="625"/>
      <c r="M1030" s="626"/>
      <c r="N1030" s="626"/>
      <c r="O1030" s="626"/>
      <c r="P1030" s="626"/>
      <c r="Q1030" s="626"/>
      <c r="W1030" t="s">
        <v>2047</v>
      </c>
    </row>
    <row r="1031" spans="1:23" ht="13.15" customHeight="1" x14ac:dyDescent="0.2">
      <c r="A1031" s="2" t="s">
        <v>2199</v>
      </c>
      <c r="B1031" s="2">
        <f t="shared" si="32"/>
        <v>2022</v>
      </c>
      <c r="C1031" s="2" t="str">
        <f t="shared" si="33"/>
        <v>KZN226</v>
      </c>
      <c r="D1031" s="2">
        <v>413</v>
      </c>
      <c r="F1031" s="625"/>
      <c r="G1031" s="625"/>
      <c r="H1031" s="625"/>
      <c r="I1031" s="625"/>
      <c r="J1031" s="625"/>
      <c r="K1031" s="625"/>
      <c r="L1031" s="625"/>
      <c r="M1031" s="626"/>
      <c r="N1031" s="626"/>
      <c r="O1031" s="626"/>
      <c r="P1031" s="626"/>
      <c r="Q1031" s="626"/>
      <c r="W1031" t="s">
        <v>2047</v>
      </c>
    </row>
    <row r="1032" spans="1:23" ht="13.15" customHeight="1" x14ac:dyDescent="0.2">
      <c r="A1032" s="2" t="s">
        <v>2199</v>
      </c>
      <c r="B1032" s="2">
        <f t="shared" si="32"/>
        <v>2022</v>
      </c>
      <c r="C1032" s="2" t="str">
        <f t="shared" si="33"/>
        <v>KZN226</v>
      </c>
      <c r="D1032" s="2">
        <v>414</v>
      </c>
      <c r="F1032" s="625"/>
      <c r="G1032" s="625"/>
      <c r="H1032" s="625"/>
      <c r="I1032" s="625"/>
      <c r="J1032" s="625"/>
      <c r="K1032" s="625"/>
      <c r="L1032" s="625"/>
      <c r="M1032" s="626"/>
      <c r="N1032" s="626"/>
      <c r="O1032" s="626"/>
      <c r="P1032" s="626"/>
      <c r="Q1032" s="626"/>
      <c r="W1032" t="s">
        <v>2047</v>
      </c>
    </row>
    <row r="1033" spans="1:23" ht="13.15" customHeight="1" x14ac:dyDescent="0.2">
      <c r="A1033" s="2" t="s">
        <v>2199</v>
      </c>
      <c r="B1033" s="2">
        <f t="shared" si="32"/>
        <v>2022</v>
      </c>
      <c r="C1033" s="2" t="str">
        <f t="shared" si="33"/>
        <v>KZN226</v>
      </c>
      <c r="D1033" s="2">
        <v>415</v>
      </c>
      <c r="F1033" s="625"/>
      <c r="G1033" s="625"/>
      <c r="H1033" s="625"/>
      <c r="I1033" s="625"/>
      <c r="J1033" s="625"/>
      <c r="K1033" s="625"/>
      <c r="L1033" s="625"/>
      <c r="M1033" s="626"/>
      <c r="N1033" s="626"/>
      <c r="O1033" s="626"/>
      <c r="P1033" s="626"/>
      <c r="Q1033" s="626"/>
      <c r="W1033" t="s">
        <v>2047</v>
      </c>
    </row>
    <row r="1034" spans="1:23" ht="13.15" customHeight="1" x14ac:dyDescent="0.2">
      <c r="A1034" s="2" t="s">
        <v>2199</v>
      </c>
      <c r="B1034" s="2">
        <f t="shared" si="32"/>
        <v>2022</v>
      </c>
      <c r="C1034" s="2" t="str">
        <f t="shared" si="33"/>
        <v>KZN226</v>
      </c>
      <c r="D1034" s="2">
        <v>416</v>
      </c>
      <c r="F1034" s="625"/>
      <c r="G1034" s="625"/>
      <c r="H1034" s="625"/>
      <c r="I1034" s="625"/>
      <c r="J1034" s="625"/>
      <c r="K1034" s="625"/>
      <c r="L1034" s="625"/>
      <c r="M1034" s="626"/>
      <c r="N1034" s="626"/>
      <c r="O1034" s="626"/>
      <c r="P1034" s="626"/>
      <c r="Q1034" s="626"/>
      <c r="W1034" t="s">
        <v>2047</v>
      </c>
    </row>
    <row r="1035" spans="1:23" ht="13.15" customHeight="1" x14ac:dyDescent="0.2">
      <c r="A1035" s="2" t="s">
        <v>2199</v>
      </c>
      <c r="B1035" s="2">
        <f t="shared" si="32"/>
        <v>2022</v>
      </c>
      <c r="C1035" s="2" t="str">
        <f t="shared" si="33"/>
        <v>KZN226</v>
      </c>
      <c r="D1035" s="2">
        <v>417</v>
      </c>
      <c r="F1035" s="625"/>
      <c r="G1035" s="625"/>
      <c r="H1035" s="625"/>
      <c r="I1035" s="625"/>
      <c r="J1035" s="625"/>
      <c r="K1035" s="625"/>
      <c r="L1035" s="625"/>
      <c r="M1035" s="626"/>
      <c r="N1035" s="626"/>
      <c r="O1035" s="626"/>
      <c r="P1035" s="626"/>
      <c r="Q1035" s="626"/>
      <c r="W1035" t="s">
        <v>2047</v>
      </c>
    </row>
    <row r="1036" spans="1:23" ht="13.15" customHeight="1" x14ac:dyDescent="0.2">
      <c r="A1036" s="2" t="s">
        <v>2199</v>
      </c>
      <c r="B1036" s="2">
        <f t="shared" si="32"/>
        <v>2022</v>
      </c>
      <c r="C1036" s="2" t="str">
        <f t="shared" si="33"/>
        <v>KZN226</v>
      </c>
      <c r="D1036" s="2">
        <v>418</v>
      </c>
      <c r="F1036" s="625"/>
      <c r="G1036" s="625"/>
      <c r="H1036" s="625"/>
      <c r="I1036" s="625"/>
      <c r="J1036" s="625"/>
      <c r="K1036" s="625"/>
      <c r="L1036" s="625"/>
      <c r="M1036" s="626"/>
      <c r="N1036" s="626"/>
      <c r="O1036" s="626"/>
      <c r="P1036" s="626"/>
      <c r="Q1036" s="626"/>
      <c r="W1036" t="s">
        <v>2047</v>
      </c>
    </row>
    <row r="1037" spans="1:23" ht="13.15" customHeight="1" x14ac:dyDescent="0.2">
      <c r="A1037" s="2" t="s">
        <v>2199</v>
      </c>
      <c r="B1037" s="2">
        <f t="shared" si="32"/>
        <v>2022</v>
      </c>
      <c r="C1037" s="2" t="str">
        <f t="shared" si="33"/>
        <v>KZN226</v>
      </c>
      <c r="D1037" s="2">
        <v>419</v>
      </c>
      <c r="F1037" s="625"/>
      <c r="G1037" s="625"/>
      <c r="H1037" s="625"/>
      <c r="I1037" s="625"/>
      <c r="J1037" s="625"/>
      <c r="K1037" s="625"/>
      <c r="L1037" s="625"/>
      <c r="M1037" s="626"/>
      <c r="N1037" s="626"/>
      <c r="O1037" s="626"/>
      <c r="P1037" s="626"/>
      <c r="Q1037" s="626"/>
      <c r="W1037" t="s">
        <v>2047</v>
      </c>
    </row>
    <row r="1038" spans="1:23" ht="13.15" customHeight="1" x14ac:dyDescent="0.2">
      <c r="A1038" s="2" t="s">
        <v>2199</v>
      </c>
      <c r="B1038" s="2">
        <f t="shared" si="32"/>
        <v>2022</v>
      </c>
      <c r="C1038" s="2" t="str">
        <f t="shared" si="33"/>
        <v>KZN226</v>
      </c>
      <c r="D1038" s="2">
        <v>420</v>
      </c>
      <c r="F1038" s="625"/>
      <c r="G1038" s="625"/>
      <c r="H1038" s="625"/>
      <c r="I1038" s="625"/>
      <c r="J1038" s="625"/>
      <c r="K1038" s="625"/>
      <c r="L1038" s="625"/>
      <c r="M1038" s="626"/>
      <c r="N1038" s="626"/>
      <c r="O1038" s="626"/>
      <c r="P1038" s="626"/>
      <c r="Q1038" s="626"/>
      <c r="W1038" t="s">
        <v>2047</v>
      </c>
    </row>
    <row r="1039" spans="1:23" ht="13.15" customHeight="1" x14ac:dyDescent="0.2">
      <c r="A1039" s="2" t="s">
        <v>2199</v>
      </c>
      <c r="B1039" s="2">
        <f t="shared" si="32"/>
        <v>2022</v>
      </c>
      <c r="C1039" s="2" t="str">
        <f t="shared" si="33"/>
        <v>KZN226</v>
      </c>
      <c r="D1039" s="2">
        <v>421</v>
      </c>
      <c r="F1039" s="625"/>
      <c r="G1039" s="625"/>
      <c r="H1039" s="625"/>
      <c r="I1039" s="625"/>
      <c r="J1039" s="625"/>
      <c r="K1039" s="625"/>
      <c r="L1039" s="625"/>
      <c r="M1039" s="626"/>
      <c r="N1039" s="626"/>
      <c r="O1039" s="626"/>
      <c r="P1039" s="626"/>
      <c r="Q1039" s="626"/>
      <c r="W1039" t="s">
        <v>2047</v>
      </c>
    </row>
    <row r="1040" spans="1:23" ht="13.15" customHeight="1" x14ac:dyDescent="0.2">
      <c r="A1040" s="2" t="s">
        <v>2199</v>
      </c>
      <c r="B1040" s="2">
        <f t="shared" si="32"/>
        <v>2022</v>
      </c>
      <c r="C1040" s="2" t="str">
        <f t="shared" si="33"/>
        <v>KZN226</v>
      </c>
      <c r="D1040" s="2">
        <v>422</v>
      </c>
      <c r="F1040" s="625"/>
      <c r="G1040" s="625"/>
      <c r="H1040" s="625"/>
      <c r="I1040" s="625"/>
      <c r="J1040" s="625"/>
      <c r="K1040" s="625"/>
      <c r="L1040" s="625"/>
      <c r="M1040" s="626"/>
      <c r="N1040" s="626"/>
      <c r="O1040" s="626"/>
      <c r="P1040" s="626"/>
      <c r="Q1040" s="626"/>
      <c r="W1040" t="s">
        <v>2047</v>
      </c>
    </row>
    <row r="1041" spans="1:23" ht="13.15" customHeight="1" x14ac:dyDescent="0.2">
      <c r="A1041" s="2" t="s">
        <v>2199</v>
      </c>
      <c r="B1041" s="2">
        <f t="shared" si="32"/>
        <v>2022</v>
      </c>
      <c r="C1041" s="2" t="str">
        <f t="shared" si="33"/>
        <v>KZN226</v>
      </c>
      <c r="D1041" s="2">
        <v>423</v>
      </c>
      <c r="F1041" s="625"/>
      <c r="G1041" s="625"/>
      <c r="H1041" s="625"/>
      <c r="I1041" s="625"/>
      <c r="J1041" s="625"/>
      <c r="K1041" s="625"/>
      <c r="L1041" s="625"/>
      <c r="M1041" s="626"/>
      <c r="N1041" s="626"/>
      <c r="O1041" s="626"/>
      <c r="P1041" s="626"/>
      <c r="Q1041" s="626"/>
      <c r="W1041" t="s">
        <v>2047</v>
      </c>
    </row>
    <row r="1042" spans="1:23" ht="13.15" customHeight="1" x14ac:dyDescent="0.2">
      <c r="A1042" s="2" t="s">
        <v>2199</v>
      </c>
      <c r="B1042" s="2">
        <f t="shared" si="32"/>
        <v>2022</v>
      </c>
      <c r="C1042" s="2" t="str">
        <f t="shared" si="33"/>
        <v>KZN226</v>
      </c>
      <c r="D1042" s="2">
        <v>424</v>
      </c>
      <c r="F1042" s="625"/>
      <c r="G1042" s="625"/>
      <c r="H1042" s="625"/>
      <c r="I1042" s="625"/>
      <c r="J1042" s="625"/>
      <c r="K1042" s="625"/>
      <c r="L1042" s="625"/>
      <c r="M1042" s="626"/>
      <c r="N1042" s="626"/>
      <c r="O1042" s="626"/>
      <c r="P1042" s="626"/>
      <c r="Q1042" s="626"/>
      <c r="W1042" t="s">
        <v>2047</v>
      </c>
    </row>
    <row r="1043" spans="1:23" ht="13.15" customHeight="1" x14ac:dyDescent="0.2">
      <c r="A1043" s="2" t="s">
        <v>2199</v>
      </c>
      <c r="B1043" s="2">
        <f t="shared" si="32"/>
        <v>2022</v>
      </c>
      <c r="C1043" s="2" t="str">
        <f t="shared" si="33"/>
        <v>KZN226</v>
      </c>
      <c r="D1043" s="2">
        <v>425</v>
      </c>
      <c r="F1043" s="625"/>
      <c r="G1043" s="625"/>
      <c r="H1043" s="625"/>
      <c r="I1043" s="625"/>
      <c r="J1043" s="625"/>
      <c r="K1043" s="625"/>
      <c r="L1043" s="625"/>
      <c r="M1043" s="626"/>
      <c r="N1043" s="626"/>
      <c r="O1043" s="626"/>
      <c r="P1043" s="626"/>
      <c r="Q1043" s="626"/>
      <c r="W1043" t="s">
        <v>2047</v>
      </c>
    </row>
    <row r="1044" spans="1:23" ht="13.15" customHeight="1" x14ac:dyDescent="0.2">
      <c r="A1044" s="2" t="s">
        <v>2199</v>
      </c>
      <c r="B1044" s="2">
        <f t="shared" si="32"/>
        <v>2022</v>
      </c>
      <c r="C1044" s="2" t="str">
        <f t="shared" si="33"/>
        <v>KZN226</v>
      </c>
      <c r="D1044" s="2">
        <v>426</v>
      </c>
      <c r="F1044" s="625"/>
      <c r="G1044" s="625"/>
      <c r="H1044" s="625"/>
      <c r="I1044" s="625"/>
      <c r="J1044" s="625"/>
      <c r="K1044" s="625"/>
      <c r="L1044" s="625"/>
      <c r="M1044" s="626"/>
      <c r="N1044" s="626"/>
      <c r="O1044" s="626"/>
      <c r="P1044" s="626"/>
      <c r="Q1044" s="626"/>
      <c r="W1044" t="s">
        <v>2047</v>
      </c>
    </row>
    <row r="1045" spans="1:23" ht="13.15" customHeight="1" x14ac:dyDescent="0.2">
      <c r="A1045" s="2" t="s">
        <v>2199</v>
      </c>
      <c r="B1045" s="2">
        <f t="shared" si="32"/>
        <v>2022</v>
      </c>
      <c r="C1045" s="2" t="str">
        <f t="shared" si="33"/>
        <v>KZN226</v>
      </c>
      <c r="D1045" s="2">
        <v>427</v>
      </c>
      <c r="F1045" s="625"/>
      <c r="G1045" s="625"/>
      <c r="H1045" s="625"/>
      <c r="I1045" s="625"/>
      <c r="J1045" s="625"/>
      <c r="K1045" s="625"/>
      <c r="L1045" s="625"/>
      <c r="M1045" s="626"/>
      <c r="N1045" s="626"/>
      <c r="O1045" s="626"/>
      <c r="P1045" s="626"/>
      <c r="Q1045" s="626"/>
      <c r="W1045" t="s">
        <v>2047</v>
      </c>
    </row>
    <row r="1046" spans="1:23" ht="13.15" customHeight="1" x14ac:dyDescent="0.2">
      <c r="A1046" s="2" t="s">
        <v>2199</v>
      </c>
      <c r="B1046" s="2">
        <f t="shared" si="32"/>
        <v>2022</v>
      </c>
      <c r="C1046" s="2" t="str">
        <f t="shared" si="33"/>
        <v>KZN226</v>
      </c>
      <c r="D1046" s="2">
        <v>428</v>
      </c>
      <c r="F1046" s="625"/>
      <c r="G1046" s="625"/>
      <c r="H1046" s="625"/>
      <c r="I1046" s="625"/>
      <c r="J1046" s="625"/>
      <c r="K1046" s="625"/>
      <c r="L1046" s="625"/>
      <c r="M1046" s="626"/>
      <c r="N1046" s="626"/>
      <c r="O1046" s="626"/>
      <c r="P1046" s="626"/>
      <c r="Q1046" s="626"/>
      <c r="W1046" t="s">
        <v>2047</v>
      </c>
    </row>
    <row r="1047" spans="1:23" ht="13.15" customHeight="1" x14ac:dyDescent="0.2">
      <c r="A1047" s="2" t="s">
        <v>2199</v>
      </c>
      <c r="B1047" s="2">
        <f t="shared" si="32"/>
        <v>2022</v>
      </c>
      <c r="C1047" s="2" t="str">
        <f t="shared" si="33"/>
        <v>KZN226</v>
      </c>
      <c r="D1047" s="2">
        <v>429</v>
      </c>
      <c r="F1047" s="625"/>
      <c r="G1047" s="625"/>
      <c r="H1047" s="625"/>
      <c r="I1047" s="625"/>
      <c r="J1047" s="625"/>
      <c r="K1047" s="625"/>
      <c r="L1047" s="625"/>
      <c r="M1047" s="626"/>
      <c r="N1047" s="626"/>
      <c r="O1047" s="626"/>
      <c r="P1047" s="626"/>
      <c r="Q1047" s="626"/>
      <c r="W1047" t="s">
        <v>2047</v>
      </c>
    </row>
    <row r="1048" spans="1:23" ht="13.15" customHeight="1" x14ac:dyDescent="0.2">
      <c r="A1048" s="2" t="s">
        <v>2199</v>
      </c>
      <c r="B1048" s="2">
        <f t="shared" si="32"/>
        <v>2022</v>
      </c>
      <c r="C1048" s="2" t="str">
        <f t="shared" si="33"/>
        <v>KZN226</v>
      </c>
      <c r="D1048" s="2">
        <v>430</v>
      </c>
      <c r="F1048" s="625"/>
      <c r="G1048" s="625"/>
      <c r="H1048" s="625"/>
      <c r="I1048" s="625"/>
      <c r="J1048" s="625"/>
      <c r="K1048" s="625"/>
      <c r="L1048" s="625"/>
      <c r="M1048" s="626"/>
      <c r="N1048" s="626"/>
      <c r="O1048" s="626"/>
      <c r="P1048" s="626"/>
      <c r="Q1048" s="626"/>
      <c r="W1048" t="s">
        <v>2047</v>
      </c>
    </row>
    <row r="1049" spans="1:23" ht="13.15" customHeight="1" x14ac:dyDescent="0.2">
      <c r="A1049" s="2" t="s">
        <v>2199</v>
      </c>
      <c r="B1049" s="2">
        <f t="shared" si="32"/>
        <v>2022</v>
      </c>
      <c r="C1049" s="2" t="str">
        <f t="shared" si="33"/>
        <v>KZN226</v>
      </c>
      <c r="D1049" s="2">
        <v>431</v>
      </c>
      <c r="F1049" s="625"/>
      <c r="G1049" s="625"/>
      <c r="H1049" s="625"/>
      <c r="I1049" s="625"/>
      <c r="J1049" s="625"/>
      <c r="K1049" s="625"/>
      <c r="L1049" s="625"/>
      <c r="M1049" s="626"/>
      <c r="N1049" s="626"/>
      <c r="O1049" s="626"/>
      <c r="P1049" s="626"/>
      <c r="Q1049" s="626"/>
      <c r="W1049" t="s">
        <v>2047</v>
      </c>
    </row>
    <row r="1050" spans="1:23" ht="13.15" customHeight="1" x14ac:dyDescent="0.2">
      <c r="A1050" s="2" t="s">
        <v>2199</v>
      </c>
      <c r="B1050" s="2">
        <f t="shared" si="32"/>
        <v>2022</v>
      </c>
      <c r="C1050" s="2" t="str">
        <f t="shared" si="33"/>
        <v>KZN226</v>
      </c>
      <c r="D1050" s="2">
        <v>432</v>
      </c>
      <c r="F1050" s="625"/>
      <c r="G1050" s="625"/>
      <c r="H1050" s="625"/>
      <c r="I1050" s="625"/>
      <c r="J1050" s="625"/>
      <c r="K1050" s="625"/>
      <c r="L1050" s="625"/>
      <c r="M1050" s="626"/>
      <c r="N1050" s="626"/>
      <c r="O1050" s="626"/>
      <c r="P1050" s="626"/>
      <c r="Q1050" s="626"/>
      <c r="W1050" t="s">
        <v>2047</v>
      </c>
    </row>
    <row r="1051" spans="1:23" ht="13.15" customHeight="1" x14ac:dyDescent="0.2">
      <c r="A1051" s="2" t="s">
        <v>2199</v>
      </c>
      <c r="B1051" s="2">
        <f t="shared" si="32"/>
        <v>2022</v>
      </c>
      <c r="C1051" s="2" t="str">
        <f t="shared" si="33"/>
        <v>KZN226</v>
      </c>
      <c r="D1051" s="2">
        <v>433</v>
      </c>
      <c r="F1051" s="625"/>
      <c r="G1051" s="625"/>
      <c r="H1051" s="625"/>
      <c r="I1051" s="625"/>
      <c r="J1051" s="625"/>
      <c r="K1051" s="625"/>
      <c r="L1051" s="625"/>
      <c r="M1051" s="626"/>
      <c r="N1051" s="626"/>
      <c r="O1051" s="626"/>
      <c r="P1051" s="626"/>
      <c r="Q1051" s="626"/>
      <c r="W1051" t="s">
        <v>2047</v>
      </c>
    </row>
    <row r="1052" spans="1:23" ht="13.15" customHeight="1" x14ac:dyDescent="0.2">
      <c r="A1052" s="2" t="s">
        <v>2199</v>
      </c>
      <c r="B1052" s="2">
        <f t="shared" si="32"/>
        <v>2022</v>
      </c>
      <c r="C1052" s="2" t="str">
        <f t="shared" si="33"/>
        <v>KZN226</v>
      </c>
      <c r="D1052" s="2">
        <v>434</v>
      </c>
      <c r="F1052" s="625"/>
      <c r="G1052" s="625"/>
      <c r="H1052" s="625"/>
      <c r="I1052" s="625"/>
      <c r="J1052" s="625"/>
      <c r="K1052" s="625"/>
      <c r="L1052" s="625"/>
      <c r="M1052" s="626"/>
      <c r="N1052" s="626"/>
      <c r="O1052" s="626"/>
      <c r="P1052" s="626"/>
      <c r="Q1052" s="626"/>
      <c r="W1052" t="s">
        <v>2047</v>
      </c>
    </row>
    <row r="1053" spans="1:23" ht="13.15" customHeight="1" x14ac:dyDescent="0.2">
      <c r="A1053" s="2" t="s">
        <v>2199</v>
      </c>
      <c r="B1053" s="2">
        <f t="shared" si="32"/>
        <v>2022</v>
      </c>
      <c r="C1053" s="2" t="str">
        <f t="shared" si="33"/>
        <v>KZN226</v>
      </c>
      <c r="D1053" s="2">
        <v>435</v>
      </c>
      <c r="F1053" s="625"/>
      <c r="G1053" s="625"/>
      <c r="H1053" s="625"/>
      <c r="I1053" s="625"/>
      <c r="J1053" s="625"/>
      <c r="K1053" s="625"/>
      <c r="L1053" s="625"/>
      <c r="M1053" s="626"/>
      <c r="N1053" s="626"/>
      <c r="O1053" s="626"/>
      <c r="P1053" s="626"/>
      <c r="Q1053" s="626"/>
      <c r="W1053" t="s">
        <v>2047</v>
      </c>
    </row>
    <row r="1054" spans="1:23" ht="13.15" customHeight="1" x14ac:dyDescent="0.2">
      <c r="A1054" s="2" t="s">
        <v>2199</v>
      </c>
      <c r="B1054" s="2">
        <f t="shared" si="32"/>
        <v>2022</v>
      </c>
      <c r="C1054" s="2" t="str">
        <f t="shared" si="33"/>
        <v>KZN226</v>
      </c>
      <c r="D1054" s="2">
        <v>436</v>
      </c>
      <c r="F1054" s="625"/>
      <c r="G1054" s="625"/>
      <c r="H1054" s="625"/>
      <c r="I1054" s="625"/>
      <c r="J1054" s="625"/>
      <c r="K1054" s="625"/>
      <c r="L1054" s="625"/>
      <c r="M1054" s="626"/>
      <c r="N1054" s="626"/>
      <c r="O1054" s="626"/>
      <c r="P1054" s="626"/>
      <c r="Q1054" s="626"/>
      <c r="W1054" t="s">
        <v>2047</v>
      </c>
    </row>
    <row r="1055" spans="1:23" ht="13.15" customHeight="1" x14ac:dyDescent="0.2">
      <c r="A1055" s="2" t="s">
        <v>2199</v>
      </c>
      <c r="B1055" s="2">
        <f t="shared" si="32"/>
        <v>2022</v>
      </c>
      <c r="C1055" s="2" t="str">
        <f t="shared" si="33"/>
        <v>KZN226</v>
      </c>
      <c r="D1055" s="2">
        <v>437</v>
      </c>
      <c r="F1055" s="625"/>
      <c r="G1055" s="625"/>
      <c r="H1055" s="625"/>
      <c r="I1055" s="625"/>
      <c r="J1055" s="625"/>
      <c r="K1055" s="625"/>
      <c r="L1055" s="625"/>
      <c r="M1055" s="626"/>
      <c r="N1055" s="626"/>
      <c r="O1055" s="626"/>
      <c r="P1055" s="626"/>
      <c r="Q1055" s="626"/>
      <c r="W1055" t="s">
        <v>2047</v>
      </c>
    </row>
    <row r="1056" spans="1:23" ht="13.15" customHeight="1" x14ac:dyDescent="0.2">
      <c r="A1056" s="2" t="s">
        <v>2199</v>
      </c>
      <c r="B1056" s="2">
        <f t="shared" si="32"/>
        <v>2022</v>
      </c>
      <c r="C1056" s="2" t="str">
        <f t="shared" si="33"/>
        <v>KZN226</v>
      </c>
      <c r="D1056" s="2">
        <v>438</v>
      </c>
      <c r="F1056" s="625"/>
      <c r="G1056" s="625"/>
      <c r="H1056" s="625"/>
      <c r="I1056" s="625"/>
      <c r="J1056" s="625"/>
      <c r="K1056" s="625"/>
      <c r="L1056" s="625"/>
      <c r="M1056" s="626"/>
      <c r="N1056" s="626"/>
      <c r="O1056" s="626"/>
      <c r="P1056" s="626"/>
      <c r="Q1056" s="626"/>
      <c r="W1056" t="s">
        <v>2047</v>
      </c>
    </row>
    <row r="1057" spans="1:23" ht="13.15" customHeight="1" x14ac:dyDescent="0.2">
      <c r="A1057" s="2" t="s">
        <v>2199</v>
      </c>
      <c r="B1057" s="2">
        <f t="shared" si="32"/>
        <v>2022</v>
      </c>
      <c r="C1057" s="2" t="str">
        <f t="shared" si="33"/>
        <v>KZN226</v>
      </c>
      <c r="D1057" s="2">
        <v>439</v>
      </c>
      <c r="F1057" s="625"/>
      <c r="G1057" s="625"/>
      <c r="H1057" s="625"/>
      <c r="I1057" s="625"/>
      <c r="J1057" s="625"/>
      <c r="K1057" s="625"/>
      <c r="L1057" s="625"/>
      <c r="M1057" s="626"/>
      <c r="N1057" s="626"/>
      <c r="O1057" s="626"/>
      <c r="P1057" s="626"/>
      <c r="Q1057" s="626"/>
      <c r="W1057" t="s">
        <v>2047</v>
      </c>
    </row>
    <row r="1058" spans="1:23" ht="13.15" customHeight="1" x14ac:dyDescent="0.2">
      <c r="A1058" s="2" t="s">
        <v>2199</v>
      </c>
      <c r="B1058" s="2">
        <f t="shared" si="32"/>
        <v>2022</v>
      </c>
      <c r="C1058" s="2" t="str">
        <f t="shared" si="33"/>
        <v>KZN226</v>
      </c>
      <c r="D1058" s="2">
        <v>440</v>
      </c>
      <c r="F1058" s="625"/>
      <c r="G1058" s="625"/>
      <c r="H1058" s="625"/>
      <c r="I1058" s="625"/>
      <c r="J1058" s="625"/>
      <c r="K1058" s="625"/>
      <c r="L1058" s="625"/>
      <c r="M1058" s="626"/>
      <c r="N1058" s="626"/>
      <c r="O1058" s="626"/>
      <c r="P1058" s="626"/>
      <c r="Q1058" s="626"/>
      <c r="W1058" t="s">
        <v>2047</v>
      </c>
    </row>
    <row r="1059" spans="1:23" ht="13.15" customHeight="1" x14ac:dyDescent="0.2">
      <c r="A1059" s="2" t="s">
        <v>2199</v>
      </c>
      <c r="B1059" s="2">
        <f t="shared" si="32"/>
        <v>2022</v>
      </c>
      <c r="C1059" s="2" t="str">
        <f t="shared" si="33"/>
        <v>KZN226</v>
      </c>
      <c r="D1059" s="2">
        <v>441</v>
      </c>
      <c r="F1059" s="625"/>
      <c r="G1059" s="625"/>
      <c r="H1059" s="625"/>
      <c r="I1059" s="625"/>
      <c r="J1059" s="625"/>
      <c r="K1059" s="625"/>
      <c r="L1059" s="625"/>
      <c r="M1059" s="626"/>
      <c r="N1059" s="626"/>
      <c r="O1059" s="626"/>
      <c r="P1059" s="626"/>
      <c r="Q1059" s="626"/>
      <c r="W1059" t="s">
        <v>2047</v>
      </c>
    </row>
    <row r="1060" spans="1:23" ht="13.15" customHeight="1" x14ac:dyDescent="0.2">
      <c r="A1060" s="2" t="s">
        <v>2199</v>
      </c>
      <c r="B1060" s="2">
        <f t="shared" si="32"/>
        <v>2022</v>
      </c>
      <c r="C1060" s="2" t="str">
        <f t="shared" si="33"/>
        <v>KZN226</v>
      </c>
      <c r="D1060" s="2">
        <v>442</v>
      </c>
      <c r="F1060" s="625"/>
      <c r="G1060" s="625"/>
      <c r="H1060" s="625"/>
      <c r="I1060" s="625"/>
      <c r="J1060" s="625"/>
      <c r="K1060" s="625"/>
      <c r="L1060" s="625"/>
      <c r="M1060" s="626"/>
      <c r="N1060" s="626"/>
      <c r="O1060" s="626"/>
      <c r="P1060" s="626"/>
      <c r="Q1060" s="626"/>
      <c r="W1060" t="s">
        <v>2047</v>
      </c>
    </row>
    <row r="1061" spans="1:23" ht="13.15" customHeight="1" x14ac:dyDescent="0.2">
      <c r="A1061" s="2" t="s">
        <v>2199</v>
      </c>
      <c r="B1061" s="2">
        <f t="shared" si="32"/>
        <v>2022</v>
      </c>
      <c r="C1061" s="2" t="str">
        <f t="shared" si="33"/>
        <v>KZN226</v>
      </c>
      <c r="D1061" s="2">
        <v>443</v>
      </c>
      <c r="F1061" s="625"/>
      <c r="G1061" s="625"/>
      <c r="H1061" s="625"/>
      <c r="I1061" s="625"/>
      <c r="J1061" s="625"/>
      <c r="K1061" s="625"/>
      <c r="L1061" s="625"/>
      <c r="M1061" s="626"/>
      <c r="N1061" s="626"/>
      <c r="O1061" s="626"/>
      <c r="P1061" s="626"/>
      <c r="Q1061" s="626"/>
      <c r="W1061" t="s">
        <v>2047</v>
      </c>
    </row>
    <row r="1062" spans="1:23" ht="13.15" customHeight="1" x14ac:dyDescent="0.2">
      <c r="A1062" s="2" t="s">
        <v>2199</v>
      </c>
      <c r="B1062" s="2">
        <f t="shared" si="32"/>
        <v>2022</v>
      </c>
      <c r="C1062" s="2" t="str">
        <f t="shared" si="33"/>
        <v>KZN226</v>
      </c>
      <c r="D1062" s="2">
        <v>444</v>
      </c>
      <c r="F1062" s="625"/>
      <c r="G1062" s="625"/>
      <c r="H1062" s="625"/>
      <c r="I1062" s="625"/>
      <c r="J1062" s="625"/>
      <c r="K1062" s="625"/>
      <c r="L1062" s="625"/>
      <c r="M1062" s="626"/>
      <c r="N1062" s="626"/>
      <c r="O1062" s="626"/>
      <c r="P1062" s="626"/>
      <c r="Q1062" s="626"/>
      <c r="W1062" t="s">
        <v>2047</v>
      </c>
    </row>
    <row r="1063" spans="1:23" ht="13.15" customHeight="1" x14ac:dyDescent="0.2">
      <c r="A1063" s="2" t="s">
        <v>2199</v>
      </c>
      <c r="B1063" s="2">
        <f t="shared" si="32"/>
        <v>2022</v>
      </c>
      <c r="C1063" s="2" t="str">
        <f t="shared" si="33"/>
        <v>KZN226</v>
      </c>
      <c r="D1063" s="2">
        <v>445</v>
      </c>
      <c r="F1063" s="625"/>
      <c r="G1063" s="625"/>
      <c r="H1063" s="625"/>
      <c r="I1063" s="625"/>
      <c r="J1063" s="625"/>
      <c r="K1063" s="625"/>
      <c r="L1063" s="625"/>
      <c r="M1063" s="626"/>
      <c r="N1063" s="626"/>
      <c r="O1063" s="626"/>
      <c r="P1063" s="626"/>
      <c r="Q1063" s="626"/>
      <c r="W1063" t="s">
        <v>2047</v>
      </c>
    </row>
    <row r="1064" spans="1:23" ht="13.15" customHeight="1" x14ac:dyDescent="0.2">
      <c r="A1064" s="2" t="s">
        <v>2199</v>
      </c>
      <c r="B1064" s="2">
        <f t="shared" si="32"/>
        <v>2022</v>
      </c>
      <c r="C1064" s="2" t="str">
        <f t="shared" si="33"/>
        <v>KZN226</v>
      </c>
      <c r="D1064" s="2">
        <v>446</v>
      </c>
      <c r="F1064" s="625"/>
      <c r="G1064" s="625"/>
      <c r="H1064" s="625"/>
      <c r="I1064" s="625"/>
      <c r="J1064" s="625"/>
      <c r="K1064" s="625"/>
      <c r="L1064" s="625"/>
      <c r="M1064" s="626"/>
      <c r="N1064" s="626"/>
      <c r="O1064" s="626"/>
      <c r="P1064" s="626"/>
      <c r="Q1064" s="626"/>
      <c r="W1064" t="s">
        <v>2047</v>
      </c>
    </row>
    <row r="1065" spans="1:23" ht="13.15" customHeight="1" x14ac:dyDescent="0.2">
      <c r="A1065" s="2" t="s">
        <v>2199</v>
      </c>
      <c r="B1065" s="2">
        <f t="shared" si="32"/>
        <v>2022</v>
      </c>
      <c r="C1065" s="2" t="str">
        <f t="shared" si="33"/>
        <v>KZN226</v>
      </c>
      <c r="D1065" s="2">
        <v>447</v>
      </c>
      <c r="F1065" s="625"/>
      <c r="G1065" s="625"/>
      <c r="H1065" s="625"/>
      <c r="I1065" s="625"/>
      <c r="J1065" s="625"/>
      <c r="K1065" s="625"/>
      <c r="L1065" s="625"/>
      <c r="M1065" s="626"/>
      <c r="N1065" s="626"/>
      <c r="O1065" s="626"/>
      <c r="P1065" s="626"/>
      <c r="Q1065" s="626"/>
      <c r="W1065" t="s">
        <v>2047</v>
      </c>
    </row>
    <row r="1066" spans="1:23" ht="13.15" customHeight="1" x14ac:dyDescent="0.2">
      <c r="A1066" s="2" t="s">
        <v>2199</v>
      </c>
      <c r="B1066" s="2">
        <f t="shared" si="32"/>
        <v>2022</v>
      </c>
      <c r="C1066" s="2" t="str">
        <f t="shared" si="33"/>
        <v>KZN226</v>
      </c>
      <c r="D1066" s="2">
        <v>448</v>
      </c>
      <c r="F1066" s="625"/>
      <c r="G1066" s="625"/>
      <c r="H1066" s="625"/>
      <c r="I1066" s="625"/>
      <c r="J1066" s="625"/>
      <c r="K1066" s="625"/>
      <c r="L1066" s="625"/>
      <c r="M1066" s="626"/>
      <c r="N1066" s="626"/>
      <c r="O1066" s="626"/>
      <c r="P1066" s="626"/>
      <c r="Q1066" s="626"/>
      <c r="W1066" t="s">
        <v>2047</v>
      </c>
    </row>
    <row r="1067" spans="1:23" ht="13.15" customHeight="1" x14ac:dyDescent="0.2">
      <c r="A1067" s="2" t="s">
        <v>2199</v>
      </c>
      <c r="B1067" s="2">
        <f t="shared" si="32"/>
        <v>2022</v>
      </c>
      <c r="C1067" s="2" t="str">
        <f t="shared" si="33"/>
        <v>KZN226</v>
      </c>
      <c r="D1067" s="2">
        <v>449</v>
      </c>
      <c r="F1067" s="625"/>
      <c r="G1067" s="625"/>
      <c r="H1067" s="625"/>
      <c r="I1067" s="625"/>
      <c r="J1067" s="625"/>
      <c r="K1067" s="625"/>
      <c r="L1067" s="625"/>
      <c r="M1067" s="626"/>
      <c r="N1067" s="626"/>
      <c r="O1067" s="626"/>
      <c r="P1067" s="626"/>
      <c r="Q1067" s="626"/>
      <c r="W1067" t="s">
        <v>2047</v>
      </c>
    </row>
    <row r="1068" spans="1:23" ht="13.15" customHeight="1" x14ac:dyDescent="0.2">
      <c r="A1068" s="2" t="s">
        <v>2199</v>
      </c>
      <c r="B1068" s="2">
        <f t="shared" si="32"/>
        <v>2022</v>
      </c>
      <c r="C1068" s="2" t="str">
        <f t="shared" si="33"/>
        <v>KZN226</v>
      </c>
      <c r="D1068" s="2">
        <v>450</v>
      </c>
      <c r="F1068" s="625"/>
      <c r="G1068" s="625"/>
      <c r="H1068" s="625"/>
      <c r="I1068" s="625"/>
      <c r="J1068" s="625"/>
      <c r="K1068" s="625"/>
      <c r="L1068" s="625"/>
      <c r="M1068" s="626"/>
      <c r="N1068" s="626"/>
      <c r="O1068" s="626"/>
      <c r="P1068" s="626"/>
      <c r="Q1068" s="626"/>
      <c r="W1068" t="s">
        <v>2047</v>
      </c>
    </row>
    <row r="1069" spans="1:23" ht="13.15" customHeight="1" x14ac:dyDescent="0.2">
      <c r="A1069" s="2" t="s">
        <v>2199</v>
      </c>
      <c r="B1069" s="2">
        <f t="shared" si="32"/>
        <v>2022</v>
      </c>
      <c r="C1069" s="2" t="str">
        <f t="shared" si="33"/>
        <v>KZN226</v>
      </c>
      <c r="D1069" s="2">
        <v>451</v>
      </c>
      <c r="F1069" s="625"/>
      <c r="G1069" s="625"/>
      <c r="H1069" s="625"/>
      <c r="I1069" s="625"/>
      <c r="J1069" s="625"/>
      <c r="K1069" s="625"/>
      <c r="L1069" s="625"/>
      <c r="M1069" s="626"/>
      <c r="N1069" s="626"/>
      <c r="O1069" s="626"/>
      <c r="P1069" s="626"/>
      <c r="Q1069" s="626"/>
      <c r="W1069" t="s">
        <v>2047</v>
      </c>
    </row>
    <row r="1070" spans="1:23" ht="13.15" customHeight="1" x14ac:dyDescent="0.2">
      <c r="A1070" s="2" t="s">
        <v>2199</v>
      </c>
      <c r="B1070" s="2">
        <f t="shared" si="32"/>
        <v>2022</v>
      </c>
      <c r="C1070" s="2" t="str">
        <f t="shared" si="33"/>
        <v>KZN226</v>
      </c>
      <c r="D1070" s="2">
        <v>452</v>
      </c>
      <c r="F1070" s="625"/>
      <c r="G1070" s="625"/>
      <c r="H1070" s="625"/>
      <c r="I1070" s="625"/>
      <c r="J1070" s="625"/>
      <c r="K1070" s="625"/>
      <c r="L1070" s="625"/>
      <c r="M1070" s="626"/>
      <c r="N1070" s="626"/>
      <c r="O1070" s="626"/>
      <c r="P1070" s="626"/>
      <c r="Q1070" s="626"/>
      <c r="W1070" t="s">
        <v>2047</v>
      </c>
    </row>
    <row r="1071" spans="1:23" ht="13.15" customHeight="1" x14ac:dyDescent="0.2">
      <c r="A1071" s="2" t="s">
        <v>2199</v>
      </c>
      <c r="B1071" s="2">
        <f t="shared" si="32"/>
        <v>2022</v>
      </c>
      <c r="C1071" s="2" t="str">
        <f t="shared" si="33"/>
        <v>KZN226</v>
      </c>
      <c r="D1071" s="2">
        <v>453</v>
      </c>
      <c r="F1071" s="625"/>
      <c r="G1071" s="625"/>
      <c r="H1071" s="625"/>
      <c r="I1071" s="625"/>
      <c r="J1071" s="625"/>
      <c r="K1071" s="625"/>
      <c r="L1071" s="625"/>
      <c r="M1071" s="626"/>
      <c r="N1071" s="626"/>
      <c r="O1071" s="626"/>
      <c r="P1071" s="626"/>
      <c r="Q1071" s="626"/>
      <c r="W1071" t="s">
        <v>2047</v>
      </c>
    </row>
    <row r="1072" spans="1:23" ht="13.15" customHeight="1" x14ac:dyDescent="0.2">
      <c r="A1072" s="2" t="s">
        <v>2199</v>
      </c>
      <c r="B1072" s="2">
        <f t="shared" si="32"/>
        <v>2022</v>
      </c>
      <c r="C1072" s="2" t="str">
        <f t="shared" si="33"/>
        <v>KZN226</v>
      </c>
      <c r="D1072" s="2">
        <v>454</v>
      </c>
      <c r="F1072" s="625"/>
      <c r="G1072" s="625"/>
      <c r="H1072" s="625"/>
      <c r="I1072" s="625"/>
      <c r="J1072" s="625"/>
      <c r="K1072" s="625"/>
      <c r="L1072" s="625"/>
      <c r="M1072" s="626"/>
      <c r="N1072" s="626"/>
      <c r="O1072" s="626"/>
      <c r="P1072" s="626"/>
      <c r="Q1072" s="626"/>
      <c r="W1072" t="s">
        <v>2047</v>
      </c>
    </row>
    <row r="1073" spans="1:23" ht="13.15" customHeight="1" x14ac:dyDescent="0.2">
      <c r="A1073" s="2" t="s">
        <v>2199</v>
      </c>
      <c r="B1073" s="2">
        <f t="shared" si="32"/>
        <v>2022</v>
      </c>
      <c r="C1073" s="2" t="str">
        <f t="shared" si="33"/>
        <v>KZN226</v>
      </c>
      <c r="D1073" s="2">
        <v>455</v>
      </c>
      <c r="F1073" s="625"/>
      <c r="G1073" s="625"/>
      <c r="H1073" s="625"/>
      <c r="I1073" s="625"/>
      <c r="J1073" s="625"/>
      <c r="K1073" s="625"/>
      <c r="L1073" s="625"/>
      <c r="M1073" s="626"/>
      <c r="N1073" s="626"/>
      <c r="O1073" s="626"/>
      <c r="P1073" s="626"/>
      <c r="Q1073" s="626"/>
      <c r="W1073" t="s">
        <v>2047</v>
      </c>
    </row>
    <row r="1074" spans="1:23" ht="13.15" customHeight="1" x14ac:dyDescent="0.2">
      <c r="A1074" s="2" t="s">
        <v>2199</v>
      </c>
      <c r="B1074" s="2">
        <f t="shared" si="32"/>
        <v>2022</v>
      </c>
      <c r="C1074" s="2" t="str">
        <f t="shared" si="33"/>
        <v>KZN226</v>
      </c>
      <c r="D1074" s="2">
        <v>456</v>
      </c>
      <c r="F1074" s="625"/>
      <c r="G1074" s="625"/>
      <c r="H1074" s="625"/>
      <c r="I1074" s="625"/>
      <c r="J1074" s="625"/>
      <c r="K1074" s="625"/>
      <c r="L1074" s="625"/>
      <c r="M1074" s="626"/>
      <c r="N1074" s="626"/>
      <c r="O1074" s="626"/>
      <c r="P1074" s="626"/>
      <c r="Q1074" s="626"/>
      <c r="W1074" t="s">
        <v>2047</v>
      </c>
    </row>
    <row r="1075" spans="1:23" ht="13.15" customHeight="1" x14ac:dyDescent="0.2">
      <c r="A1075" s="2" t="s">
        <v>2199</v>
      </c>
      <c r="B1075" s="2">
        <f t="shared" si="32"/>
        <v>2022</v>
      </c>
      <c r="C1075" s="2" t="str">
        <f t="shared" si="33"/>
        <v>KZN226</v>
      </c>
      <c r="D1075" s="2">
        <v>457</v>
      </c>
      <c r="F1075" s="625"/>
      <c r="G1075" s="625"/>
      <c r="H1075" s="625"/>
      <c r="I1075" s="625"/>
      <c r="J1075" s="625"/>
      <c r="K1075" s="625"/>
      <c r="L1075" s="625"/>
      <c r="M1075" s="626"/>
      <c r="N1075" s="626"/>
      <c r="O1075" s="626"/>
      <c r="P1075" s="626"/>
      <c r="Q1075" s="626"/>
      <c r="W1075" t="s">
        <v>2047</v>
      </c>
    </row>
    <row r="1076" spans="1:23" ht="13.15" customHeight="1" x14ac:dyDescent="0.2">
      <c r="A1076" s="2" t="s">
        <v>2199</v>
      </c>
      <c r="B1076" s="2">
        <f t="shared" si="32"/>
        <v>2022</v>
      </c>
      <c r="C1076" s="2" t="str">
        <f t="shared" si="33"/>
        <v>KZN226</v>
      </c>
      <c r="D1076" s="2">
        <v>458</v>
      </c>
      <c r="F1076" s="625"/>
      <c r="G1076" s="625"/>
      <c r="H1076" s="625"/>
      <c r="I1076" s="625"/>
      <c r="J1076" s="625"/>
      <c r="K1076" s="625"/>
      <c r="L1076" s="625"/>
      <c r="M1076" s="626"/>
      <c r="N1076" s="626"/>
      <c r="O1076" s="626"/>
      <c r="P1076" s="626"/>
      <c r="Q1076" s="626"/>
      <c r="W1076" t="s">
        <v>2047</v>
      </c>
    </row>
    <row r="1077" spans="1:23" ht="13.15" customHeight="1" x14ac:dyDescent="0.2">
      <c r="A1077" s="2" t="s">
        <v>2199</v>
      </c>
      <c r="B1077" s="2">
        <f t="shared" si="32"/>
        <v>2022</v>
      </c>
      <c r="C1077" s="2" t="str">
        <f t="shared" si="33"/>
        <v>KZN226</v>
      </c>
      <c r="D1077" s="2">
        <v>459</v>
      </c>
      <c r="F1077" s="625"/>
      <c r="G1077" s="625"/>
      <c r="H1077" s="625"/>
      <c r="I1077" s="625"/>
      <c r="J1077" s="625"/>
      <c r="K1077" s="625"/>
      <c r="L1077" s="625"/>
      <c r="M1077" s="626"/>
      <c r="N1077" s="626"/>
      <c r="O1077" s="626"/>
      <c r="P1077" s="626"/>
      <c r="Q1077" s="626"/>
      <c r="W1077" t="s">
        <v>2047</v>
      </c>
    </row>
    <row r="1078" spans="1:23" ht="13.15" customHeight="1" x14ac:dyDescent="0.2">
      <c r="A1078" s="2" t="s">
        <v>2199</v>
      </c>
      <c r="B1078" s="2">
        <f t="shared" si="32"/>
        <v>2022</v>
      </c>
      <c r="C1078" s="2" t="str">
        <f t="shared" si="33"/>
        <v>KZN226</v>
      </c>
      <c r="D1078" s="2">
        <v>460</v>
      </c>
      <c r="F1078" s="625"/>
      <c r="G1078" s="625"/>
      <c r="H1078" s="625"/>
      <c r="I1078" s="625"/>
      <c r="J1078" s="625"/>
      <c r="K1078" s="625"/>
      <c r="L1078" s="625"/>
      <c r="M1078" s="626"/>
      <c r="N1078" s="626"/>
      <c r="O1078" s="626"/>
      <c r="P1078" s="626"/>
      <c r="Q1078" s="626"/>
      <c r="W1078" t="s">
        <v>2047</v>
      </c>
    </row>
    <row r="1079" spans="1:23" ht="13.15" customHeight="1" x14ac:dyDescent="0.2">
      <c r="A1079" s="2" t="s">
        <v>2199</v>
      </c>
      <c r="B1079" s="2">
        <f t="shared" si="32"/>
        <v>2022</v>
      </c>
      <c r="C1079" s="2" t="str">
        <f t="shared" si="33"/>
        <v>KZN226</v>
      </c>
      <c r="D1079" s="2">
        <v>461</v>
      </c>
      <c r="F1079" s="625"/>
      <c r="G1079" s="625"/>
      <c r="H1079" s="625"/>
      <c r="I1079" s="625"/>
      <c r="J1079" s="625"/>
      <c r="K1079" s="625"/>
      <c r="L1079" s="625"/>
      <c r="M1079" s="626"/>
      <c r="N1079" s="626"/>
      <c r="O1079" s="626"/>
      <c r="P1079" s="626"/>
      <c r="Q1079" s="626"/>
      <c r="W1079" t="s">
        <v>2047</v>
      </c>
    </row>
    <row r="1080" spans="1:23" ht="13.15" customHeight="1" x14ac:dyDescent="0.2">
      <c r="A1080" s="2" t="s">
        <v>2199</v>
      </c>
      <c r="B1080" s="2">
        <f t="shared" si="32"/>
        <v>2022</v>
      </c>
      <c r="C1080" s="2" t="str">
        <f t="shared" si="33"/>
        <v>KZN226</v>
      </c>
      <c r="D1080" s="2">
        <v>462</v>
      </c>
      <c r="F1080" s="625"/>
      <c r="G1080" s="625"/>
      <c r="H1080" s="625"/>
      <c r="I1080" s="625"/>
      <c r="J1080" s="625"/>
      <c r="K1080" s="625"/>
      <c r="L1080" s="625"/>
      <c r="M1080" s="626"/>
      <c r="N1080" s="626"/>
      <c r="O1080" s="626"/>
      <c r="P1080" s="626"/>
      <c r="Q1080" s="626"/>
      <c r="W1080" t="s">
        <v>2047</v>
      </c>
    </row>
    <row r="1081" spans="1:23" ht="13.15" customHeight="1" x14ac:dyDescent="0.2">
      <c r="A1081" s="2" t="s">
        <v>2199</v>
      </c>
      <c r="B1081" s="2">
        <f t="shared" si="32"/>
        <v>2022</v>
      </c>
      <c r="C1081" s="2" t="str">
        <f t="shared" si="33"/>
        <v>KZN226</v>
      </c>
      <c r="D1081" s="2">
        <v>463</v>
      </c>
      <c r="F1081" s="625"/>
      <c r="G1081" s="625"/>
      <c r="H1081" s="625"/>
      <c r="I1081" s="625"/>
      <c r="J1081" s="625"/>
      <c r="K1081" s="625"/>
      <c r="L1081" s="625"/>
      <c r="M1081" s="626"/>
      <c r="N1081" s="626"/>
      <c r="O1081" s="626"/>
      <c r="P1081" s="626"/>
      <c r="Q1081" s="626"/>
      <c r="W1081" t="s">
        <v>2047</v>
      </c>
    </row>
    <row r="1082" spans="1:23" ht="13.15" customHeight="1" x14ac:dyDescent="0.2">
      <c r="A1082" s="2" t="s">
        <v>2199</v>
      </c>
      <c r="B1082" s="2">
        <f t="shared" si="32"/>
        <v>2022</v>
      </c>
      <c r="C1082" s="2" t="str">
        <f t="shared" si="33"/>
        <v>KZN226</v>
      </c>
      <c r="D1082" s="2">
        <v>464</v>
      </c>
      <c r="F1082" s="625"/>
      <c r="G1082" s="625"/>
      <c r="H1082" s="625"/>
      <c r="I1082" s="625"/>
      <c r="J1082" s="625"/>
      <c r="K1082" s="625"/>
      <c r="L1082" s="625"/>
      <c r="M1082" s="626"/>
      <c r="N1082" s="626"/>
      <c r="O1082" s="626"/>
      <c r="P1082" s="626"/>
      <c r="Q1082" s="626"/>
      <c r="W1082" t="s">
        <v>2047</v>
      </c>
    </row>
    <row r="1083" spans="1:23" ht="13.15" customHeight="1" x14ac:dyDescent="0.2">
      <c r="A1083" s="2" t="s">
        <v>2199</v>
      </c>
      <c r="B1083" s="2">
        <f t="shared" si="32"/>
        <v>2022</v>
      </c>
      <c r="C1083" s="2" t="str">
        <f t="shared" si="33"/>
        <v>KZN226</v>
      </c>
      <c r="D1083" s="2">
        <v>465</v>
      </c>
      <c r="F1083" s="625"/>
      <c r="G1083" s="625"/>
      <c r="H1083" s="625"/>
      <c r="I1083" s="625"/>
      <c r="J1083" s="625"/>
      <c r="K1083" s="625"/>
      <c r="L1083" s="625"/>
      <c r="M1083" s="626"/>
      <c r="N1083" s="626"/>
      <c r="O1083" s="626"/>
      <c r="P1083" s="626"/>
      <c r="Q1083" s="626"/>
      <c r="W1083" t="s">
        <v>2047</v>
      </c>
    </row>
    <row r="1084" spans="1:23" ht="13.15" customHeight="1" x14ac:dyDescent="0.2">
      <c r="A1084" s="2" t="s">
        <v>2199</v>
      </c>
      <c r="B1084" s="2">
        <f t="shared" si="32"/>
        <v>2022</v>
      </c>
      <c r="C1084" s="2" t="str">
        <f t="shared" si="33"/>
        <v>KZN226</v>
      </c>
      <c r="D1084" s="2">
        <v>466</v>
      </c>
      <c r="F1084" s="625"/>
      <c r="G1084" s="625"/>
      <c r="H1084" s="625"/>
      <c r="I1084" s="625"/>
      <c r="J1084" s="625"/>
      <c r="K1084" s="625"/>
      <c r="L1084" s="625"/>
      <c r="M1084" s="626"/>
      <c r="N1084" s="626"/>
      <c r="O1084" s="626"/>
      <c r="P1084" s="626"/>
      <c r="Q1084" s="626"/>
      <c r="W1084" t="s">
        <v>2047</v>
      </c>
    </row>
    <row r="1085" spans="1:23" ht="13.15" customHeight="1" x14ac:dyDescent="0.2">
      <c r="A1085" s="2" t="s">
        <v>2199</v>
      </c>
      <c r="B1085" s="2">
        <f t="shared" si="32"/>
        <v>2022</v>
      </c>
      <c r="C1085" s="2" t="str">
        <f t="shared" si="33"/>
        <v>KZN226</v>
      </c>
      <c r="D1085" s="2">
        <v>467</v>
      </c>
      <c r="F1085" s="625"/>
      <c r="G1085" s="625"/>
      <c r="H1085" s="625"/>
      <c r="I1085" s="625"/>
      <c r="J1085" s="625"/>
      <c r="K1085" s="625"/>
      <c r="L1085" s="625"/>
      <c r="M1085" s="626"/>
      <c r="N1085" s="626"/>
      <c r="O1085" s="626"/>
      <c r="P1085" s="626"/>
      <c r="Q1085" s="626"/>
      <c r="W1085" t="s">
        <v>2047</v>
      </c>
    </row>
    <row r="1086" spans="1:23" ht="13.15" customHeight="1" x14ac:dyDescent="0.2">
      <c r="A1086" s="2" t="s">
        <v>2199</v>
      </c>
      <c r="B1086" s="2">
        <f t="shared" si="32"/>
        <v>2022</v>
      </c>
      <c r="C1086" s="2" t="str">
        <f t="shared" si="33"/>
        <v>KZN226</v>
      </c>
      <c r="D1086" s="2">
        <v>468</v>
      </c>
      <c r="F1086" s="625"/>
      <c r="G1086" s="625"/>
      <c r="H1086" s="625"/>
      <c r="I1086" s="625"/>
      <c r="J1086" s="625"/>
      <c r="K1086" s="625"/>
      <c r="L1086" s="625"/>
      <c r="M1086" s="626"/>
      <c r="N1086" s="626"/>
      <c r="O1086" s="626"/>
      <c r="P1086" s="626"/>
      <c r="Q1086" s="626"/>
      <c r="W1086" t="s">
        <v>2047</v>
      </c>
    </row>
    <row r="1087" spans="1:23" ht="13.15" customHeight="1" x14ac:dyDescent="0.2">
      <c r="A1087" s="2" t="s">
        <v>2199</v>
      </c>
      <c r="B1087" s="2">
        <f t="shared" si="32"/>
        <v>2022</v>
      </c>
      <c r="C1087" s="2" t="str">
        <f t="shared" si="33"/>
        <v>KZN226</v>
      </c>
      <c r="D1087" s="2">
        <v>469</v>
      </c>
      <c r="F1087" s="625"/>
      <c r="G1087" s="625"/>
      <c r="H1087" s="625"/>
      <c r="I1087" s="625"/>
      <c r="J1087" s="625"/>
      <c r="K1087" s="625"/>
      <c r="L1087" s="625"/>
      <c r="M1087" s="626"/>
      <c r="N1087" s="626"/>
      <c r="O1087" s="626"/>
      <c r="P1087" s="626"/>
      <c r="Q1087" s="626"/>
      <c r="W1087" t="s">
        <v>2047</v>
      </c>
    </row>
    <row r="1088" spans="1:23" ht="13.15" customHeight="1" x14ac:dyDescent="0.2">
      <c r="A1088" s="2" t="s">
        <v>2199</v>
      </c>
      <c r="B1088" s="2">
        <f t="shared" si="32"/>
        <v>2022</v>
      </c>
      <c r="C1088" s="2" t="str">
        <f t="shared" si="33"/>
        <v>KZN226</v>
      </c>
      <c r="D1088" s="2">
        <v>470</v>
      </c>
      <c r="F1088" s="625"/>
      <c r="G1088" s="625"/>
      <c r="H1088" s="625"/>
      <c r="I1088" s="625"/>
      <c r="J1088" s="625"/>
      <c r="K1088" s="625"/>
      <c r="L1088" s="625"/>
      <c r="M1088" s="626"/>
      <c r="N1088" s="626"/>
      <c r="O1088" s="626"/>
      <c r="P1088" s="626"/>
      <c r="Q1088" s="626"/>
      <c r="W1088" t="s">
        <v>2047</v>
      </c>
    </row>
    <row r="1089" spans="1:23" ht="13.15" customHeight="1" x14ac:dyDescent="0.2">
      <c r="A1089" s="2" t="s">
        <v>2199</v>
      </c>
      <c r="B1089" s="2">
        <f t="shared" si="32"/>
        <v>2022</v>
      </c>
      <c r="C1089" s="2" t="str">
        <f t="shared" si="33"/>
        <v>KZN226</v>
      </c>
      <c r="D1089" s="2">
        <v>471</v>
      </c>
      <c r="F1089" s="625"/>
      <c r="G1089" s="625"/>
      <c r="H1089" s="625"/>
      <c r="I1089" s="625"/>
      <c r="J1089" s="625"/>
      <c r="K1089" s="625"/>
      <c r="L1089" s="625"/>
      <c r="M1089" s="626"/>
      <c r="N1089" s="626"/>
      <c r="O1089" s="626"/>
      <c r="P1089" s="626"/>
      <c r="Q1089" s="626"/>
      <c r="W1089" t="s">
        <v>2047</v>
      </c>
    </row>
    <row r="1090" spans="1:23" ht="13.15" customHeight="1" x14ac:dyDescent="0.2">
      <c r="A1090" s="2" t="s">
        <v>2199</v>
      </c>
      <c r="B1090" s="2">
        <f t="shared" ref="B1090:B1153" si="34">+MTREF</f>
        <v>2022</v>
      </c>
      <c r="C1090" s="2" t="str">
        <f t="shared" ref="C1090:C1153" si="35">LEFT(muni,(FIND(" ",muni,1)-1))</f>
        <v>KZN226</v>
      </c>
      <c r="D1090" s="2">
        <v>472</v>
      </c>
      <c r="F1090" s="625"/>
      <c r="G1090" s="625"/>
      <c r="H1090" s="625"/>
      <c r="I1090" s="625"/>
      <c r="J1090" s="625"/>
      <c r="K1090" s="625"/>
      <c r="L1090" s="625"/>
      <c r="M1090" s="626"/>
      <c r="N1090" s="626"/>
      <c r="O1090" s="626"/>
      <c r="P1090" s="626"/>
      <c r="Q1090" s="626"/>
      <c r="W1090" t="s">
        <v>2047</v>
      </c>
    </row>
    <row r="1091" spans="1:23" ht="13.15" customHeight="1" x14ac:dyDescent="0.2">
      <c r="A1091" s="2" t="s">
        <v>2199</v>
      </c>
      <c r="B1091" s="2">
        <f t="shared" si="34"/>
        <v>2022</v>
      </c>
      <c r="C1091" s="2" t="str">
        <f t="shared" si="35"/>
        <v>KZN226</v>
      </c>
      <c r="D1091" s="2">
        <v>473</v>
      </c>
      <c r="F1091" s="625"/>
      <c r="G1091" s="625"/>
      <c r="H1091" s="625"/>
      <c r="I1091" s="625"/>
      <c r="J1091" s="625"/>
      <c r="K1091" s="625"/>
      <c r="L1091" s="625"/>
      <c r="M1091" s="626"/>
      <c r="N1091" s="626"/>
      <c r="O1091" s="626"/>
      <c r="P1091" s="626"/>
      <c r="Q1091" s="626"/>
      <c r="W1091" t="s">
        <v>2047</v>
      </c>
    </row>
    <row r="1092" spans="1:23" ht="13.15" customHeight="1" x14ac:dyDescent="0.2">
      <c r="A1092" s="2" t="s">
        <v>2199</v>
      </c>
      <c r="B1092" s="2">
        <f t="shared" si="34"/>
        <v>2022</v>
      </c>
      <c r="C1092" s="2" t="str">
        <f t="shared" si="35"/>
        <v>KZN226</v>
      </c>
      <c r="D1092" s="2">
        <v>474</v>
      </c>
      <c r="F1092" s="625"/>
      <c r="G1092" s="625"/>
      <c r="H1092" s="625"/>
      <c r="I1092" s="625"/>
      <c r="J1092" s="625"/>
      <c r="K1092" s="625"/>
      <c r="L1092" s="625"/>
      <c r="M1092" s="626"/>
      <c r="N1092" s="626"/>
      <c r="O1092" s="626"/>
      <c r="P1092" s="626"/>
      <c r="Q1092" s="626"/>
      <c r="W1092" t="s">
        <v>2047</v>
      </c>
    </row>
    <row r="1093" spans="1:23" ht="13.15" customHeight="1" x14ac:dyDescent="0.2">
      <c r="A1093" s="2" t="s">
        <v>2199</v>
      </c>
      <c r="B1093" s="2">
        <f t="shared" si="34"/>
        <v>2022</v>
      </c>
      <c r="C1093" s="2" t="str">
        <f t="shared" si="35"/>
        <v>KZN226</v>
      </c>
      <c r="D1093" s="2">
        <v>475</v>
      </c>
      <c r="F1093" s="625"/>
      <c r="G1093" s="625"/>
      <c r="H1093" s="625"/>
      <c r="I1093" s="625"/>
      <c r="J1093" s="625"/>
      <c r="K1093" s="625"/>
      <c r="L1093" s="625"/>
      <c r="M1093" s="626"/>
      <c r="N1093" s="626"/>
      <c r="O1093" s="626"/>
      <c r="P1093" s="626"/>
      <c r="Q1093" s="626"/>
      <c r="W1093" t="s">
        <v>2047</v>
      </c>
    </row>
    <row r="1094" spans="1:23" ht="13.15" customHeight="1" x14ac:dyDescent="0.2">
      <c r="A1094" s="2" t="s">
        <v>2199</v>
      </c>
      <c r="B1094" s="2">
        <f t="shared" si="34"/>
        <v>2022</v>
      </c>
      <c r="C1094" s="2" t="str">
        <f t="shared" si="35"/>
        <v>KZN226</v>
      </c>
      <c r="D1094" s="2">
        <v>476</v>
      </c>
      <c r="F1094" s="625"/>
      <c r="G1094" s="625"/>
      <c r="H1094" s="625"/>
      <c r="I1094" s="625"/>
      <c r="J1094" s="625"/>
      <c r="K1094" s="625"/>
      <c r="L1094" s="625"/>
      <c r="M1094" s="626"/>
      <c r="N1094" s="626"/>
      <c r="O1094" s="626"/>
      <c r="P1094" s="626"/>
      <c r="Q1094" s="626"/>
      <c r="W1094" t="s">
        <v>2047</v>
      </c>
    </row>
    <row r="1095" spans="1:23" ht="13.15" customHeight="1" x14ac:dyDescent="0.2">
      <c r="A1095" s="2" t="s">
        <v>2199</v>
      </c>
      <c r="B1095" s="2">
        <f t="shared" si="34"/>
        <v>2022</v>
      </c>
      <c r="C1095" s="2" t="str">
        <f t="shared" si="35"/>
        <v>KZN226</v>
      </c>
      <c r="D1095" s="2">
        <v>477</v>
      </c>
      <c r="F1095" s="625"/>
      <c r="G1095" s="625"/>
      <c r="H1095" s="625"/>
      <c r="I1095" s="625"/>
      <c r="J1095" s="625"/>
      <c r="K1095" s="625"/>
      <c r="L1095" s="625"/>
      <c r="M1095" s="626"/>
      <c r="N1095" s="626"/>
      <c r="O1095" s="626"/>
      <c r="P1095" s="626"/>
      <c r="Q1095" s="626"/>
      <c r="W1095" t="s">
        <v>2047</v>
      </c>
    </row>
    <row r="1096" spans="1:23" ht="13.15" customHeight="1" x14ac:dyDescent="0.2">
      <c r="A1096" s="2" t="s">
        <v>2199</v>
      </c>
      <c r="B1096" s="2">
        <f t="shared" si="34"/>
        <v>2022</v>
      </c>
      <c r="C1096" s="2" t="str">
        <f t="shared" si="35"/>
        <v>KZN226</v>
      </c>
      <c r="D1096" s="2">
        <v>478</v>
      </c>
      <c r="F1096" s="625"/>
      <c r="G1096" s="625"/>
      <c r="H1096" s="625"/>
      <c r="I1096" s="625"/>
      <c r="J1096" s="625"/>
      <c r="K1096" s="625"/>
      <c r="L1096" s="625"/>
      <c r="M1096" s="626"/>
      <c r="N1096" s="626"/>
      <c r="O1096" s="626"/>
      <c r="P1096" s="626"/>
      <c r="Q1096" s="626"/>
      <c r="W1096" t="s">
        <v>2047</v>
      </c>
    </row>
    <row r="1097" spans="1:23" ht="13.15" customHeight="1" x14ac:dyDescent="0.2">
      <c r="A1097" s="2" t="s">
        <v>2199</v>
      </c>
      <c r="B1097" s="2">
        <f t="shared" si="34"/>
        <v>2022</v>
      </c>
      <c r="C1097" s="2" t="str">
        <f t="shared" si="35"/>
        <v>KZN226</v>
      </c>
      <c r="D1097" s="2">
        <v>479</v>
      </c>
      <c r="F1097" s="625"/>
      <c r="G1097" s="625"/>
      <c r="H1097" s="625"/>
      <c r="I1097" s="625"/>
      <c r="J1097" s="625"/>
      <c r="K1097" s="625"/>
      <c r="L1097" s="625"/>
      <c r="M1097" s="626"/>
      <c r="N1097" s="626"/>
      <c r="O1097" s="626"/>
      <c r="P1097" s="626"/>
      <c r="Q1097" s="626"/>
      <c r="W1097" t="s">
        <v>2047</v>
      </c>
    </row>
    <row r="1098" spans="1:23" ht="13.15" customHeight="1" x14ac:dyDescent="0.2">
      <c r="A1098" s="2" t="s">
        <v>2199</v>
      </c>
      <c r="B1098" s="2">
        <f t="shared" si="34"/>
        <v>2022</v>
      </c>
      <c r="C1098" s="2" t="str">
        <f t="shared" si="35"/>
        <v>KZN226</v>
      </c>
      <c r="D1098" s="2">
        <v>480</v>
      </c>
      <c r="F1098" s="625"/>
      <c r="G1098" s="625"/>
      <c r="H1098" s="625"/>
      <c r="I1098" s="625"/>
      <c r="J1098" s="625"/>
      <c r="K1098" s="625"/>
      <c r="L1098" s="625"/>
      <c r="M1098" s="626"/>
      <c r="N1098" s="626"/>
      <c r="O1098" s="626"/>
      <c r="P1098" s="626"/>
      <c r="Q1098" s="626"/>
      <c r="W1098" t="s">
        <v>2047</v>
      </c>
    </row>
    <row r="1099" spans="1:23" ht="13.15" customHeight="1" x14ac:dyDescent="0.2">
      <c r="A1099" s="2" t="s">
        <v>2199</v>
      </c>
      <c r="B1099" s="2">
        <f t="shared" si="34"/>
        <v>2022</v>
      </c>
      <c r="C1099" s="2" t="str">
        <f t="shared" si="35"/>
        <v>KZN226</v>
      </c>
      <c r="D1099" s="2">
        <v>481</v>
      </c>
      <c r="F1099" s="625"/>
      <c r="G1099" s="625"/>
      <c r="H1099" s="625"/>
      <c r="I1099" s="625"/>
      <c r="J1099" s="625"/>
      <c r="K1099" s="625"/>
      <c r="L1099" s="625"/>
      <c r="M1099" s="626"/>
      <c r="N1099" s="626"/>
      <c r="O1099" s="626"/>
      <c r="P1099" s="626"/>
      <c r="Q1099" s="626"/>
      <c r="W1099" t="s">
        <v>2047</v>
      </c>
    </row>
    <row r="1100" spans="1:23" ht="13.15" customHeight="1" x14ac:dyDescent="0.2">
      <c r="A1100" s="2" t="s">
        <v>2199</v>
      </c>
      <c r="B1100" s="2">
        <f t="shared" si="34"/>
        <v>2022</v>
      </c>
      <c r="C1100" s="2" t="str">
        <f t="shared" si="35"/>
        <v>KZN226</v>
      </c>
      <c r="D1100" s="2">
        <v>482</v>
      </c>
      <c r="F1100" s="625"/>
      <c r="G1100" s="625"/>
      <c r="H1100" s="625"/>
      <c r="I1100" s="625"/>
      <c r="J1100" s="625"/>
      <c r="K1100" s="625"/>
      <c r="L1100" s="625"/>
      <c r="M1100" s="626"/>
      <c r="N1100" s="626"/>
      <c r="O1100" s="626"/>
      <c r="P1100" s="626"/>
      <c r="Q1100" s="626"/>
      <c r="W1100" t="s">
        <v>2047</v>
      </c>
    </row>
    <row r="1101" spans="1:23" ht="13.15" customHeight="1" x14ac:dyDescent="0.2">
      <c r="A1101" s="2" t="s">
        <v>2199</v>
      </c>
      <c r="B1101" s="2">
        <f t="shared" si="34"/>
        <v>2022</v>
      </c>
      <c r="C1101" s="2" t="str">
        <f t="shared" si="35"/>
        <v>KZN226</v>
      </c>
      <c r="D1101" s="2">
        <v>483</v>
      </c>
      <c r="F1101" s="625"/>
      <c r="G1101" s="625"/>
      <c r="H1101" s="625"/>
      <c r="I1101" s="625"/>
      <c r="J1101" s="625"/>
      <c r="K1101" s="625"/>
      <c r="L1101" s="625"/>
      <c r="M1101" s="626"/>
      <c r="N1101" s="626"/>
      <c r="O1101" s="626"/>
      <c r="P1101" s="626"/>
      <c r="Q1101" s="626"/>
      <c r="W1101" t="s">
        <v>2047</v>
      </c>
    </row>
    <row r="1102" spans="1:23" ht="13.15" customHeight="1" x14ac:dyDescent="0.2">
      <c r="A1102" s="2" t="s">
        <v>2199</v>
      </c>
      <c r="B1102" s="2">
        <f t="shared" si="34"/>
        <v>2022</v>
      </c>
      <c r="C1102" s="2" t="str">
        <f t="shared" si="35"/>
        <v>KZN226</v>
      </c>
      <c r="D1102" s="2">
        <v>484</v>
      </c>
      <c r="F1102" s="625"/>
      <c r="G1102" s="625"/>
      <c r="H1102" s="625"/>
      <c r="I1102" s="625"/>
      <c r="J1102" s="625"/>
      <c r="K1102" s="625"/>
      <c r="L1102" s="625"/>
      <c r="M1102" s="626"/>
      <c r="N1102" s="626"/>
      <c r="O1102" s="626"/>
      <c r="P1102" s="626"/>
      <c r="Q1102" s="626"/>
      <c r="W1102" t="s">
        <v>2047</v>
      </c>
    </row>
    <row r="1103" spans="1:23" ht="13.15" customHeight="1" x14ac:dyDescent="0.2">
      <c r="A1103" s="2" t="s">
        <v>2199</v>
      </c>
      <c r="B1103" s="2">
        <f t="shared" si="34"/>
        <v>2022</v>
      </c>
      <c r="C1103" s="2" t="str">
        <f t="shared" si="35"/>
        <v>KZN226</v>
      </c>
      <c r="D1103" s="2">
        <v>485</v>
      </c>
      <c r="F1103" s="625"/>
      <c r="G1103" s="625"/>
      <c r="H1103" s="625"/>
      <c r="I1103" s="625"/>
      <c r="J1103" s="625"/>
      <c r="K1103" s="625"/>
      <c r="L1103" s="625"/>
      <c r="M1103" s="626"/>
      <c r="N1103" s="626"/>
      <c r="O1103" s="626"/>
      <c r="P1103" s="626"/>
      <c r="Q1103" s="626"/>
      <c r="W1103" t="s">
        <v>2047</v>
      </c>
    </row>
    <row r="1104" spans="1:23" ht="13.15" customHeight="1" x14ac:dyDescent="0.2">
      <c r="A1104" s="2" t="s">
        <v>2199</v>
      </c>
      <c r="B1104" s="2">
        <f t="shared" si="34"/>
        <v>2022</v>
      </c>
      <c r="C1104" s="2" t="str">
        <f t="shared" si="35"/>
        <v>KZN226</v>
      </c>
      <c r="D1104" s="2">
        <v>486</v>
      </c>
      <c r="F1104" s="625"/>
      <c r="G1104" s="625"/>
      <c r="H1104" s="625"/>
      <c r="I1104" s="625"/>
      <c r="J1104" s="625"/>
      <c r="K1104" s="625"/>
      <c r="L1104" s="625"/>
      <c r="M1104" s="626"/>
      <c r="N1104" s="626"/>
      <c r="O1104" s="626"/>
      <c r="P1104" s="626"/>
      <c r="Q1104" s="626"/>
      <c r="W1104" t="s">
        <v>2047</v>
      </c>
    </row>
    <row r="1105" spans="1:23" ht="13.15" customHeight="1" x14ac:dyDescent="0.2">
      <c r="A1105" s="2" t="s">
        <v>2199</v>
      </c>
      <c r="B1105" s="2">
        <f t="shared" si="34"/>
        <v>2022</v>
      </c>
      <c r="C1105" s="2" t="str">
        <f t="shared" si="35"/>
        <v>KZN226</v>
      </c>
      <c r="D1105" s="2">
        <v>487</v>
      </c>
      <c r="F1105" s="625"/>
      <c r="G1105" s="625"/>
      <c r="H1105" s="625"/>
      <c r="I1105" s="625"/>
      <c r="J1105" s="625"/>
      <c r="K1105" s="625"/>
      <c r="L1105" s="625"/>
      <c r="M1105" s="626"/>
      <c r="N1105" s="626"/>
      <c r="O1105" s="626"/>
      <c r="P1105" s="626"/>
      <c r="Q1105" s="626"/>
      <c r="W1105" t="s">
        <v>2047</v>
      </c>
    </row>
    <row r="1106" spans="1:23" ht="13.15" customHeight="1" x14ac:dyDescent="0.2">
      <c r="A1106" s="2" t="s">
        <v>2199</v>
      </c>
      <c r="B1106" s="2">
        <f t="shared" si="34"/>
        <v>2022</v>
      </c>
      <c r="C1106" s="2" t="str">
        <f t="shared" si="35"/>
        <v>KZN226</v>
      </c>
      <c r="D1106" s="2">
        <v>488</v>
      </c>
      <c r="F1106" s="625"/>
      <c r="G1106" s="625"/>
      <c r="H1106" s="625"/>
      <c r="I1106" s="625"/>
      <c r="J1106" s="625"/>
      <c r="K1106" s="625"/>
      <c r="L1106" s="625"/>
      <c r="M1106" s="626"/>
      <c r="N1106" s="626"/>
      <c r="O1106" s="626"/>
      <c r="P1106" s="626"/>
      <c r="Q1106" s="626"/>
      <c r="W1106" t="s">
        <v>2047</v>
      </c>
    </row>
    <row r="1107" spans="1:23" ht="13.15" customHeight="1" x14ac:dyDescent="0.2">
      <c r="A1107" s="2" t="s">
        <v>2199</v>
      </c>
      <c r="B1107" s="2">
        <f t="shared" si="34"/>
        <v>2022</v>
      </c>
      <c r="C1107" s="2" t="str">
        <f t="shared" si="35"/>
        <v>KZN226</v>
      </c>
      <c r="D1107" s="2">
        <v>489</v>
      </c>
      <c r="F1107" s="625"/>
      <c r="G1107" s="625"/>
      <c r="H1107" s="625"/>
      <c r="I1107" s="625"/>
      <c r="J1107" s="625"/>
      <c r="K1107" s="625"/>
      <c r="L1107" s="625"/>
      <c r="M1107" s="626"/>
      <c r="N1107" s="626"/>
      <c r="O1107" s="626"/>
      <c r="P1107" s="626"/>
      <c r="Q1107" s="626"/>
      <c r="W1107" t="s">
        <v>2047</v>
      </c>
    </row>
    <row r="1108" spans="1:23" ht="13.15" customHeight="1" x14ac:dyDescent="0.2">
      <c r="A1108" s="2" t="s">
        <v>2199</v>
      </c>
      <c r="B1108" s="2">
        <f t="shared" si="34"/>
        <v>2022</v>
      </c>
      <c r="C1108" s="2" t="str">
        <f t="shared" si="35"/>
        <v>KZN226</v>
      </c>
      <c r="D1108" s="2">
        <v>490</v>
      </c>
      <c r="F1108" s="625"/>
      <c r="G1108" s="625"/>
      <c r="H1108" s="625"/>
      <c r="I1108" s="625"/>
      <c r="J1108" s="625"/>
      <c r="K1108" s="625"/>
      <c r="L1108" s="625"/>
      <c r="M1108" s="626"/>
      <c r="N1108" s="626"/>
      <c r="O1108" s="626"/>
      <c r="P1108" s="626"/>
      <c r="Q1108" s="626"/>
      <c r="W1108" t="s">
        <v>2047</v>
      </c>
    </row>
    <row r="1109" spans="1:23" ht="13.15" customHeight="1" x14ac:dyDescent="0.2">
      <c r="A1109" s="2" t="s">
        <v>2199</v>
      </c>
      <c r="B1109" s="2">
        <f t="shared" si="34"/>
        <v>2022</v>
      </c>
      <c r="C1109" s="2" t="str">
        <f t="shared" si="35"/>
        <v>KZN226</v>
      </c>
      <c r="D1109" s="2">
        <v>491</v>
      </c>
      <c r="F1109" s="625"/>
      <c r="G1109" s="625"/>
      <c r="H1109" s="625"/>
      <c r="I1109" s="625"/>
      <c r="J1109" s="625"/>
      <c r="K1109" s="625"/>
      <c r="L1109" s="625"/>
      <c r="M1109" s="626"/>
      <c r="N1109" s="626"/>
      <c r="O1109" s="626"/>
      <c r="P1109" s="626"/>
      <c r="Q1109" s="626"/>
      <c r="W1109" t="s">
        <v>2047</v>
      </c>
    </row>
    <row r="1110" spans="1:23" ht="13.15" customHeight="1" x14ac:dyDescent="0.2">
      <c r="A1110" s="2" t="s">
        <v>2199</v>
      </c>
      <c r="B1110" s="2">
        <f t="shared" si="34"/>
        <v>2022</v>
      </c>
      <c r="C1110" s="2" t="str">
        <f t="shared" si="35"/>
        <v>KZN226</v>
      </c>
      <c r="D1110" s="2">
        <v>492</v>
      </c>
      <c r="F1110" s="625"/>
      <c r="G1110" s="625"/>
      <c r="H1110" s="625"/>
      <c r="I1110" s="625"/>
      <c r="J1110" s="625"/>
      <c r="K1110" s="625"/>
      <c r="L1110" s="625"/>
      <c r="M1110" s="626"/>
      <c r="N1110" s="626"/>
      <c r="O1110" s="626"/>
      <c r="P1110" s="626"/>
      <c r="Q1110" s="626"/>
      <c r="W1110" t="s">
        <v>2047</v>
      </c>
    </row>
    <row r="1111" spans="1:23" ht="13.15" customHeight="1" x14ac:dyDescent="0.2">
      <c r="A1111" s="2" t="s">
        <v>2199</v>
      </c>
      <c r="B1111" s="2">
        <f t="shared" si="34"/>
        <v>2022</v>
      </c>
      <c r="C1111" s="2" t="str">
        <f t="shared" si="35"/>
        <v>KZN226</v>
      </c>
      <c r="D1111" s="2">
        <v>493</v>
      </c>
      <c r="F1111" s="625"/>
      <c r="G1111" s="625"/>
      <c r="H1111" s="625"/>
      <c r="I1111" s="625"/>
      <c r="J1111" s="625"/>
      <c r="K1111" s="625"/>
      <c r="L1111" s="625"/>
      <c r="M1111" s="626"/>
      <c r="N1111" s="626"/>
      <c r="O1111" s="626"/>
      <c r="P1111" s="626"/>
      <c r="Q1111" s="626"/>
      <c r="W1111" t="s">
        <v>2047</v>
      </c>
    </row>
    <row r="1112" spans="1:23" ht="13.15" customHeight="1" x14ac:dyDescent="0.2">
      <c r="A1112" s="2" t="s">
        <v>2199</v>
      </c>
      <c r="B1112" s="2">
        <f t="shared" si="34"/>
        <v>2022</v>
      </c>
      <c r="C1112" s="2" t="str">
        <f t="shared" si="35"/>
        <v>KZN226</v>
      </c>
      <c r="D1112" s="2">
        <v>494</v>
      </c>
      <c r="F1112" s="625"/>
      <c r="G1112" s="625"/>
      <c r="H1112" s="625"/>
      <c r="I1112" s="625"/>
      <c r="J1112" s="625"/>
      <c r="K1112" s="625"/>
      <c r="L1112" s="625"/>
      <c r="M1112" s="626"/>
      <c r="N1112" s="626"/>
      <c r="O1112" s="626"/>
      <c r="P1112" s="626"/>
      <c r="Q1112" s="626"/>
      <c r="W1112" t="s">
        <v>2047</v>
      </c>
    </row>
    <row r="1113" spans="1:23" ht="13.15" customHeight="1" x14ac:dyDescent="0.2">
      <c r="A1113" s="2" t="s">
        <v>2199</v>
      </c>
      <c r="B1113" s="2">
        <f t="shared" si="34"/>
        <v>2022</v>
      </c>
      <c r="C1113" s="2" t="str">
        <f t="shared" si="35"/>
        <v>KZN226</v>
      </c>
      <c r="D1113" s="2">
        <v>495</v>
      </c>
      <c r="F1113" s="625"/>
      <c r="G1113" s="625"/>
      <c r="H1113" s="625"/>
      <c r="I1113" s="625"/>
      <c r="J1113" s="625"/>
      <c r="K1113" s="625"/>
      <c r="L1113" s="625"/>
      <c r="M1113" s="626"/>
      <c r="N1113" s="626"/>
      <c r="O1113" s="626"/>
      <c r="P1113" s="626"/>
      <c r="Q1113" s="626"/>
      <c r="W1113" t="s">
        <v>2047</v>
      </c>
    </row>
    <row r="1114" spans="1:23" ht="13.15" customHeight="1" x14ac:dyDescent="0.2">
      <c r="A1114" s="2" t="s">
        <v>2199</v>
      </c>
      <c r="B1114" s="2">
        <f t="shared" si="34"/>
        <v>2022</v>
      </c>
      <c r="C1114" s="2" t="str">
        <f t="shared" si="35"/>
        <v>KZN226</v>
      </c>
      <c r="D1114" s="2">
        <v>496</v>
      </c>
      <c r="F1114" s="625"/>
      <c r="G1114" s="625"/>
      <c r="H1114" s="625"/>
      <c r="I1114" s="625"/>
      <c r="J1114" s="625"/>
      <c r="K1114" s="625"/>
      <c r="L1114" s="625"/>
      <c r="M1114" s="626"/>
      <c r="N1114" s="626"/>
      <c r="O1114" s="626"/>
      <c r="P1114" s="626"/>
      <c r="Q1114" s="626"/>
      <c r="W1114" t="s">
        <v>2047</v>
      </c>
    </row>
    <row r="1115" spans="1:23" ht="13.15" customHeight="1" x14ac:dyDescent="0.2">
      <c r="A1115" s="2" t="s">
        <v>2199</v>
      </c>
      <c r="B1115" s="2">
        <f t="shared" si="34"/>
        <v>2022</v>
      </c>
      <c r="C1115" s="2" t="str">
        <f t="shared" si="35"/>
        <v>KZN226</v>
      </c>
      <c r="D1115" s="2">
        <v>497</v>
      </c>
      <c r="F1115" s="625"/>
      <c r="G1115" s="625"/>
      <c r="H1115" s="625"/>
      <c r="I1115" s="625"/>
      <c r="J1115" s="625"/>
      <c r="K1115" s="625"/>
      <c r="L1115" s="625"/>
      <c r="M1115" s="626"/>
      <c r="N1115" s="626"/>
      <c r="O1115" s="626"/>
      <c r="P1115" s="626"/>
      <c r="Q1115" s="626"/>
      <c r="W1115" t="s">
        <v>2047</v>
      </c>
    </row>
    <row r="1116" spans="1:23" ht="13.15" customHeight="1" x14ac:dyDescent="0.2">
      <c r="A1116" s="2" t="s">
        <v>2199</v>
      </c>
      <c r="B1116" s="2">
        <f t="shared" si="34"/>
        <v>2022</v>
      </c>
      <c r="C1116" s="2" t="str">
        <f t="shared" si="35"/>
        <v>KZN226</v>
      </c>
      <c r="D1116" s="2">
        <v>498</v>
      </c>
      <c r="F1116" s="625"/>
      <c r="G1116" s="625"/>
      <c r="H1116" s="625"/>
      <c r="I1116" s="625"/>
      <c r="J1116" s="625"/>
      <c r="K1116" s="625"/>
      <c r="L1116" s="625"/>
      <c r="M1116" s="626"/>
      <c r="N1116" s="626"/>
      <c r="O1116" s="626"/>
      <c r="P1116" s="626"/>
      <c r="Q1116" s="626"/>
      <c r="W1116" t="s">
        <v>2047</v>
      </c>
    </row>
    <row r="1117" spans="1:23" ht="13.15" customHeight="1" x14ac:dyDescent="0.2">
      <c r="A1117" s="2" t="s">
        <v>2199</v>
      </c>
      <c r="B1117" s="2">
        <f t="shared" si="34"/>
        <v>2022</v>
      </c>
      <c r="C1117" s="2" t="str">
        <f t="shared" si="35"/>
        <v>KZN226</v>
      </c>
      <c r="D1117" s="2">
        <v>499</v>
      </c>
      <c r="F1117" s="625"/>
      <c r="G1117" s="625"/>
      <c r="H1117" s="625"/>
      <c r="I1117" s="625"/>
      <c r="J1117" s="625"/>
      <c r="K1117" s="625"/>
      <c r="L1117" s="625"/>
      <c r="M1117" s="626"/>
      <c r="N1117" s="626"/>
      <c r="O1117" s="626"/>
      <c r="P1117" s="626"/>
      <c r="Q1117" s="626"/>
      <c r="W1117" t="s">
        <v>2047</v>
      </c>
    </row>
    <row r="1118" spans="1:23" ht="13.15" customHeight="1" x14ac:dyDescent="0.2">
      <c r="A1118" s="2" t="s">
        <v>2199</v>
      </c>
      <c r="B1118" s="2">
        <f t="shared" si="34"/>
        <v>2022</v>
      </c>
      <c r="C1118" s="2" t="str">
        <f t="shared" si="35"/>
        <v>KZN226</v>
      </c>
      <c r="D1118" s="2">
        <v>500</v>
      </c>
      <c r="F1118" s="625"/>
      <c r="G1118" s="625"/>
      <c r="H1118" s="625"/>
      <c r="I1118" s="625"/>
      <c r="J1118" s="625"/>
      <c r="K1118" s="625"/>
      <c r="L1118" s="625"/>
      <c r="M1118" s="626"/>
      <c r="N1118" s="626"/>
      <c r="O1118" s="626"/>
      <c r="P1118" s="626"/>
      <c r="Q1118" s="626"/>
      <c r="W1118" t="s">
        <v>2047</v>
      </c>
    </row>
    <row r="1119" spans="1:23" ht="13.15" customHeight="1" x14ac:dyDescent="0.2">
      <c r="A1119" s="2" t="s">
        <v>2199</v>
      </c>
      <c r="B1119" s="2">
        <f t="shared" si="34"/>
        <v>2022</v>
      </c>
      <c r="C1119" s="2" t="str">
        <f t="shared" si="35"/>
        <v>KZN226</v>
      </c>
      <c r="D1119" s="2">
        <v>501</v>
      </c>
      <c r="F1119" s="625"/>
      <c r="G1119" s="625"/>
      <c r="H1119" s="625"/>
      <c r="I1119" s="625"/>
      <c r="J1119" s="625"/>
      <c r="K1119" s="625"/>
      <c r="L1119" s="625"/>
      <c r="M1119" s="626"/>
      <c r="N1119" s="626"/>
      <c r="O1119" s="626"/>
      <c r="P1119" s="626"/>
      <c r="Q1119" s="626"/>
      <c r="W1119" t="s">
        <v>2047</v>
      </c>
    </row>
    <row r="1120" spans="1:23" ht="13.15" customHeight="1" x14ac:dyDescent="0.2">
      <c r="A1120" s="2" t="s">
        <v>2199</v>
      </c>
      <c r="B1120" s="2">
        <f t="shared" si="34"/>
        <v>2022</v>
      </c>
      <c r="C1120" s="2" t="str">
        <f t="shared" si="35"/>
        <v>KZN226</v>
      </c>
      <c r="D1120" s="2">
        <v>502</v>
      </c>
      <c r="F1120" s="625"/>
      <c r="G1120" s="625"/>
      <c r="H1120" s="625"/>
      <c r="I1120" s="625"/>
      <c r="J1120" s="625"/>
      <c r="K1120" s="625"/>
      <c r="L1120" s="625"/>
      <c r="M1120" s="626"/>
      <c r="N1120" s="626"/>
      <c r="O1120" s="626"/>
      <c r="P1120" s="626"/>
      <c r="Q1120" s="626"/>
      <c r="W1120" t="s">
        <v>2047</v>
      </c>
    </row>
    <row r="1121" spans="1:23" ht="13.15" customHeight="1" x14ac:dyDescent="0.2">
      <c r="A1121" s="2" t="s">
        <v>2199</v>
      </c>
      <c r="B1121" s="2">
        <f t="shared" si="34"/>
        <v>2022</v>
      </c>
      <c r="C1121" s="2" t="str">
        <f t="shared" si="35"/>
        <v>KZN226</v>
      </c>
      <c r="D1121" s="2">
        <v>503</v>
      </c>
      <c r="F1121" s="625"/>
      <c r="G1121" s="625"/>
      <c r="H1121" s="625"/>
      <c r="I1121" s="625"/>
      <c r="J1121" s="625"/>
      <c r="K1121" s="625"/>
      <c r="L1121" s="625"/>
      <c r="M1121" s="626"/>
      <c r="N1121" s="626"/>
      <c r="O1121" s="626"/>
      <c r="P1121" s="626"/>
      <c r="Q1121" s="626"/>
      <c r="W1121" t="s">
        <v>2047</v>
      </c>
    </row>
    <row r="1122" spans="1:23" ht="13.15" customHeight="1" x14ac:dyDescent="0.2">
      <c r="A1122" s="2" t="s">
        <v>2199</v>
      </c>
      <c r="B1122" s="2">
        <f t="shared" si="34"/>
        <v>2022</v>
      </c>
      <c r="C1122" s="2" t="str">
        <f t="shared" si="35"/>
        <v>KZN226</v>
      </c>
      <c r="D1122" s="2">
        <v>504</v>
      </c>
      <c r="F1122" s="625"/>
      <c r="G1122" s="625"/>
      <c r="H1122" s="625"/>
      <c r="I1122" s="625"/>
      <c r="J1122" s="625"/>
      <c r="K1122" s="625"/>
      <c r="L1122" s="625"/>
      <c r="M1122" s="626"/>
      <c r="N1122" s="626"/>
      <c r="O1122" s="626"/>
      <c r="P1122" s="626"/>
      <c r="Q1122" s="626"/>
      <c r="W1122" t="s">
        <v>2047</v>
      </c>
    </row>
    <row r="1123" spans="1:23" ht="13.15" customHeight="1" x14ac:dyDescent="0.2">
      <c r="A1123" s="2" t="s">
        <v>2199</v>
      </c>
      <c r="B1123" s="2">
        <f t="shared" si="34"/>
        <v>2022</v>
      </c>
      <c r="C1123" s="2" t="str">
        <f t="shared" si="35"/>
        <v>KZN226</v>
      </c>
      <c r="D1123" s="2">
        <v>505</v>
      </c>
      <c r="F1123" s="625"/>
      <c r="G1123" s="625"/>
      <c r="H1123" s="625"/>
      <c r="I1123" s="625"/>
      <c r="J1123" s="625"/>
      <c r="K1123" s="625"/>
      <c r="L1123" s="625"/>
      <c r="M1123" s="626"/>
      <c r="N1123" s="626"/>
      <c r="O1123" s="626"/>
      <c r="P1123" s="626"/>
      <c r="Q1123" s="626"/>
      <c r="W1123" t="s">
        <v>2047</v>
      </c>
    </row>
    <row r="1124" spans="1:23" ht="13.15" customHeight="1" x14ac:dyDescent="0.2">
      <c r="A1124" s="2" t="s">
        <v>2199</v>
      </c>
      <c r="B1124" s="2">
        <f t="shared" si="34"/>
        <v>2022</v>
      </c>
      <c r="C1124" s="2" t="str">
        <f t="shared" si="35"/>
        <v>KZN226</v>
      </c>
      <c r="D1124" s="2">
        <v>506</v>
      </c>
      <c r="F1124" s="625"/>
      <c r="G1124" s="625"/>
      <c r="H1124" s="625"/>
      <c r="I1124" s="625"/>
      <c r="J1124" s="625"/>
      <c r="K1124" s="625"/>
      <c r="L1124" s="625"/>
      <c r="M1124" s="626"/>
      <c r="N1124" s="626"/>
      <c r="O1124" s="626"/>
      <c r="P1124" s="626"/>
      <c r="Q1124" s="626"/>
      <c r="W1124" t="s">
        <v>2047</v>
      </c>
    </row>
    <row r="1125" spans="1:23" ht="13.15" customHeight="1" x14ac:dyDescent="0.2">
      <c r="A1125" s="2" t="s">
        <v>2199</v>
      </c>
      <c r="B1125" s="2">
        <f t="shared" si="34"/>
        <v>2022</v>
      </c>
      <c r="C1125" s="2" t="str">
        <f t="shared" si="35"/>
        <v>KZN226</v>
      </c>
      <c r="D1125" s="2">
        <v>507</v>
      </c>
      <c r="F1125" s="625"/>
      <c r="G1125" s="625"/>
      <c r="H1125" s="625"/>
      <c r="I1125" s="625"/>
      <c r="J1125" s="625"/>
      <c r="K1125" s="625"/>
      <c r="L1125" s="625"/>
      <c r="M1125" s="626"/>
      <c r="N1125" s="626"/>
      <c r="O1125" s="626"/>
      <c r="P1125" s="626"/>
      <c r="Q1125" s="626"/>
      <c r="W1125" t="s">
        <v>2047</v>
      </c>
    </row>
    <row r="1126" spans="1:23" ht="13.15" customHeight="1" x14ac:dyDescent="0.2">
      <c r="A1126" s="2" t="s">
        <v>2199</v>
      </c>
      <c r="B1126" s="2">
        <f t="shared" si="34"/>
        <v>2022</v>
      </c>
      <c r="C1126" s="2" t="str">
        <f t="shared" si="35"/>
        <v>KZN226</v>
      </c>
      <c r="D1126" s="2">
        <v>508</v>
      </c>
      <c r="F1126" s="625"/>
      <c r="G1126" s="625"/>
      <c r="H1126" s="625"/>
      <c r="I1126" s="625"/>
      <c r="J1126" s="625"/>
      <c r="K1126" s="625"/>
      <c r="L1126" s="625"/>
      <c r="M1126" s="626"/>
      <c r="N1126" s="626"/>
      <c r="O1126" s="626"/>
      <c r="P1126" s="626"/>
      <c r="Q1126" s="626"/>
      <c r="W1126" t="s">
        <v>2047</v>
      </c>
    </row>
    <row r="1127" spans="1:23" ht="13.15" customHeight="1" x14ac:dyDescent="0.2">
      <c r="A1127" s="2" t="s">
        <v>2199</v>
      </c>
      <c r="B1127" s="2">
        <f t="shared" si="34"/>
        <v>2022</v>
      </c>
      <c r="C1127" s="2" t="str">
        <f t="shared" si="35"/>
        <v>KZN226</v>
      </c>
      <c r="D1127" s="2">
        <v>509</v>
      </c>
      <c r="F1127" s="625"/>
      <c r="G1127" s="625"/>
      <c r="H1127" s="625"/>
      <c r="I1127" s="625"/>
      <c r="J1127" s="625"/>
      <c r="K1127" s="625"/>
      <c r="L1127" s="625"/>
      <c r="M1127" s="626"/>
      <c r="N1127" s="626"/>
      <c r="O1127" s="626"/>
      <c r="P1127" s="626"/>
      <c r="Q1127" s="626"/>
      <c r="W1127" t="s">
        <v>2047</v>
      </c>
    </row>
    <row r="1128" spans="1:23" ht="13.15" customHeight="1" x14ac:dyDescent="0.2">
      <c r="A1128" s="2" t="s">
        <v>2199</v>
      </c>
      <c r="B1128" s="2">
        <f t="shared" si="34"/>
        <v>2022</v>
      </c>
      <c r="C1128" s="2" t="str">
        <f t="shared" si="35"/>
        <v>KZN226</v>
      </c>
      <c r="D1128" s="2">
        <v>510</v>
      </c>
      <c r="F1128" s="625"/>
      <c r="G1128" s="625"/>
      <c r="H1128" s="625"/>
      <c r="I1128" s="625"/>
      <c r="J1128" s="625"/>
      <c r="K1128" s="625"/>
      <c r="L1128" s="625"/>
      <c r="M1128" s="626"/>
      <c r="N1128" s="626"/>
      <c r="O1128" s="626"/>
      <c r="P1128" s="626"/>
      <c r="Q1128" s="626"/>
      <c r="W1128" t="s">
        <v>2047</v>
      </c>
    </row>
    <row r="1129" spans="1:23" ht="13.15" customHeight="1" x14ac:dyDescent="0.2">
      <c r="A1129" s="2" t="s">
        <v>2199</v>
      </c>
      <c r="B1129" s="2">
        <f t="shared" si="34"/>
        <v>2022</v>
      </c>
      <c r="C1129" s="2" t="str">
        <f t="shared" si="35"/>
        <v>KZN226</v>
      </c>
      <c r="D1129" s="2">
        <v>511</v>
      </c>
      <c r="F1129" s="625"/>
      <c r="G1129" s="625"/>
      <c r="H1129" s="625"/>
      <c r="I1129" s="625"/>
      <c r="J1129" s="625"/>
      <c r="K1129" s="625"/>
      <c r="L1129" s="625"/>
      <c r="M1129" s="626"/>
      <c r="N1129" s="626"/>
      <c r="O1129" s="626"/>
      <c r="P1129" s="626"/>
      <c r="Q1129" s="626"/>
      <c r="W1129" t="s">
        <v>2047</v>
      </c>
    </row>
    <row r="1130" spans="1:23" ht="13.15" customHeight="1" x14ac:dyDescent="0.2">
      <c r="A1130" s="2" t="s">
        <v>2199</v>
      </c>
      <c r="B1130" s="2">
        <f t="shared" si="34"/>
        <v>2022</v>
      </c>
      <c r="C1130" s="2" t="str">
        <f t="shared" si="35"/>
        <v>KZN226</v>
      </c>
      <c r="D1130" s="2">
        <v>512</v>
      </c>
      <c r="F1130" s="625"/>
      <c r="G1130" s="625"/>
      <c r="H1130" s="625"/>
      <c r="I1130" s="625"/>
      <c r="J1130" s="625"/>
      <c r="K1130" s="625"/>
      <c r="L1130" s="625"/>
      <c r="M1130" s="626"/>
      <c r="N1130" s="626"/>
      <c r="O1130" s="626"/>
      <c r="P1130" s="626"/>
      <c r="Q1130" s="626"/>
      <c r="W1130" t="s">
        <v>2047</v>
      </c>
    </row>
    <row r="1131" spans="1:23" ht="13.15" customHeight="1" x14ac:dyDescent="0.2">
      <c r="A1131" s="2" t="s">
        <v>2199</v>
      </c>
      <c r="B1131" s="2">
        <f t="shared" si="34"/>
        <v>2022</v>
      </c>
      <c r="C1131" s="2" t="str">
        <f t="shared" si="35"/>
        <v>KZN226</v>
      </c>
      <c r="D1131" s="2">
        <v>513</v>
      </c>
      <c r="F1131" s="625"/>
      <c r="G1131" s="625"/>
      <c r="H1131" s="625"/>
      <c r="I1131" s="625"/>
      <c r="J1131" s="625"/>
      <c r="K1131" s="625"/>
      <c r="L1131" s="625"/>
      <c r="M1131" s="626"/>
      <c r="N1131" s="626"/>
      <c r="O1131" s="626"/>
      <c r="P1131" s="626"/>
      <c r="Q1131" s="626"/>
      <c r="W1131" t="s">
        <v>2047</v>
      </c>
    </row>
    <row r="1132" spans="1:23" ht="13.15" customHeight="1" x14ac:dyDescent="0.2">
      <c r="A1132" s="2" t="s">
        <v>2199</v>
      </c>
      <c r="B1132" s="2">
        <f t="shared" si="34"/>
        <v>2022</v>
      </c>
      <c r="C1132" s="2" t="str">
        <f t="shared" si="35"/>
        <v>KZN226</v>
      </c>
      <c r="D1132" s="2">
        <v>514</v>
      </c>
      <c r="F1132" s="625"/>
      <c r="G1132" s="625"/>
      <c r="H1132" s="625"/>
      <c r="I1132" s="625"/>
      <c r="J1132" s="625"/>
      <c r="K1132" s="625"/>
      <c r="L1132" s="625"/>
      <c r="M1132" s="626"/>
      <c r="N1132" s="626"/>
      <c r="O1132" s="626"/>
      <c r="P1132" s="626"/>
      <c r="Q1132" s="626"/>
      <c r="W1132" t="s">
        <v>2047</v>
      </c>
    </row>
    <row r="1133" spans="1:23" ht="13.15" customHeight="1" x14ac:dyDescent="0.2">
      <c r="A1133" s="2" t="s">
        <v>2199</v>
      </c>
      <c r="B1133" s="2">
        <f t="shared" si="34"/>
        <v>2022</v>
      </c>
      <c r="C1133" s="2" t="str">
        <f t="shared" si="35"/>
        <v>KZN226</v>
      </c>
      <c r="D1133" s="2">
        <v>515</v>
      </c>
      <c r="F1133" s="625"/>
      <c r="G1133" s="625"/>
      <c r="H1133" s="625"/>
      <c r="I1133" s="625"/>
      <c r="J1133" s="625"/>
      <c r="K1133" s="625"/>
      <c r="L1133" s="625"/>
      <c r="M1133" s="626"/>
      <c r="N1133" s="626"/>
      <c r="O1133" s="626"/>
      <c r="P1133" s="626"/>
      <c r="Q1133" s="626"/>
      <c r="W1133" t="s">
        <v>2047</v>
      </c>
    </row>
    <row r="1134" spans="1:23" ht="13.15" customHeight="1" x14ac:dyDescent="0.2">
      <c r="A1134" s="2" t="s">
        <v>2199</v>
      </c>
      <c r="B1134" s="2">
        <f t="shared" si="34"/>
        <v>2022</v>
      </c>
      <c r="C1134" s="2" t="str">
        <f t="shared" si="35"/>
        <v>KZN226</v>
      </c>
      <c r="D1134" s="2">
        <v>516</v>
      </c>
      <c r="F1134" s="625"/>
      <c r="G1134" s="625"/>
      <c r="H1134" s="625"/>
      <c r="I1134" s="625"/>
      <c r="J1134" s="625"/>
      <c r="K1134" s="625"/>
      <c r="L1134" s="625"/>
      <c r="M1134" s="626"/>
      <c r="N1134" s="626"/>
      <c r="O1134" s="626"/>
      <c r="P1134" s="626"/>
      <c r="Q1134" s="626"/>
      <c r="W1134" t="s">
        <v>2047</v>
      </c>
    </row>
    <row r="1135" spans="1:23" ht="13.15" customHeight="1" x14ac:dyDescent="0.2">
      <c r="A1135" s="2" t="s">
        <v>2199</v>
      </c>
      <c r="B1135" s="2">
        <f t="shared" si="34"/>
        <v>2022</v>
      </c>
      <c r="C1135" s="2" t="str">
        <f t="shared" si="35"/>
        <v>KZN226</v>
      </c>
      <c r="D1135" s="2">
        <v>517</v>
      </c>
      <c r="F1135" s="625"/>
      <c r="G1135" s="625"/>
      <c r="H1135" s="625"/>
      <c r="I1135" s="625"/>
      <c r="J1135" s="625"/>
      <c r="K1135" s="625"/>
      <c r="L1135" s="625"/>
      <c r="M1135" s="626"/>
      <c r="N1135" s="626"/>
      <c r="O1135" s="626"/>
      <c r="P1135" s="626"/>
      <c r="Q1135" s="626"/>
      <c r="W1135" t="s">
        <v>2047</v>
      </c>
    </row>
    <row r="1136" spans="1:23" ht="13.15" customHeight="1" x14ac:dyDescent="0.2">
      <c r="A1136" s="2" t="s">
        <v>2199</v>
      </c>
      <c r="B1136" s="2">
        <f t="shared" si="34"/>
        <v>2022</v>
      </c>
      <c r="C1136" s="2" t="str">
        <f t="shared" si="35"/>
        <v>KZN226</v>
      </c>
      <c r="D1136" s="2">
        <v>518</v>
      </c>
      <c r="F1136" s="625"/>
      <c r="G1136" s="625"/>
      <c r="H1136" s="625"/>
      <c r="I1136" s="625"/>
      <c r="J1136" s="625"/>
      <c r="K1136" s="625"/>
      <c r="L1136" s="625"/>
      <c r="M1136" s="626"/>
      <c r="N1136" s="626"/>
      <c r="O1136" s="626"/>
      <c r="P1136" s="626"/>
      <c r="Q1136" s="626"/>
      <c r="W1136" t="s">
        <v>2047</v>
      </c>
    </row>
    <row r="1137" spans="1:23" ht="13.15" customHeight="1" x14ac:dyDescent="0.2">
      <c r="A1137" s="2" t="s">
        <v>2199</v>
      </c>
      <c r="B1137" s="2">
        <f t="shared" si="34"/>
        <v>2022</v>
      </c>
      <c r="C1137" s="2" t="str">
        <f t="shared" si="35"/>
        <v>KZN226</v>
      </c>
      <c r="D1137" s="2">
        <v>519</v>
      </c>
      <c r="F1137" s="625"/>
      <c r="G1137" s="625"/>
      <c r="H1137" s="625"/>
      <c r="I1137" s="625"/>
      <c r="J1137" s="625"/>
      <c r="K1137" s="625"/>
      <c r="L1137" s="625"/>
      <c r="M1137" s="626"/>
      <c r="N1137" s="626"/>
      <c r="O1137" s="626"/>
      <c r="P1137" s="626"/>
      <c r="Q1137" s="626"/>
      <c r="W1137" t="s">
        <v>2047</v>
      </c>
    </row>
    <row r="1138" spans="1:23" ht="13.15" customHeight="1" x14ac:dyDescent="0.2">
      <c r="A1138" s="2" t="s">
        <v>2199</v>
      </c>
      <c r="B1138" s="2">
        <f t="shared" si="34"/>
        <v>2022</v>
      </c>
      <c r="C1138" s="2" t="str">
        <f t="shared" si="35"/>
        <v>KZN226</v>
      </c>
      <c r="D1138" s="2">
        <v>520</v>
      </c>
      <c r="F1138" s="625"/>
      <c r="G1138" s="625"/>
      <c r="H1138" s="625"/>
      <c r="I1138" s="625"/>
      <c r="J1138" s="625"/>
      <c r="K1138" s="625"/>
      <c r="L1138" s="625"/>
      <c r="M1138" s="626"/>
      <c r="N1138" s="626"/>
      <c r="O1138" s="626"/>
      <c r="P1138" s="626"/>
      <c r="Q1138" s="626"/>
      <c r="W1138" t="s">
        <v>2047</v>
      </c>
    </row>
    <row r="1139" spans="1:23" ht="13.15" customHeight="1" x14ac:dyDescent="0.2">
      <c r="A1139" s="2" t="s">
        <v>2199</v>
      </c>
      <c r="B1139" s="2">
        <f t="shared" si="34"/>
        <v>2022</v>
      </c>
      <c r="C1139" s="2" t="str">
        <f t="shared" si="35"/>
        <v>KZN226</v>
      </c>
      <c r="D1139" s="2">
        <v>521</v>
      </c>
      <c r="F1139" s="625"/>
      <c r="G1139" s="625"/>
      <c r="H1139" s="625"/>
      <c r="I1139" s="625"/>
      <c r="J1139" s="625"/>
      <c r="K1139" s="625"/>
      <c r="L1139" s="625"/>
      <c r="M1139" s="626"/>
      <c r="N1139" s="626"/>
      <c r="O1139" s="626"/>
      <c r="P1139" s="626"/>
      <c r="Q1139" s="626"/>
      <c r="W1139" t="s">
        <v>2047</v>
      </c>
    </row>
    <row r="1140" spans="1:23" ht="13.15" customHeight="1" x14ac:dyDescent="0.2">
      <c r="A1140" s="2" t="s">
        <v>2199</v>
      </c>
      <c r="B1140" s="2">
        <f t="shared" si="34"/>
        <v>2022</v>
      </c>
      <c r="C1140" s="2" t="str">
        <f t="shared" si="35"/>
        <v>KZN226</v>
      </c>
      <c r="D1140" s="2">
        <v>522</v>
      </c>
      <c r="F1140" s="625"/>
      <c r="G1140" s="625"/>
      <c r="H1140" s="625"/>
      <c r="I1140" s="625"/>
      <c r="J1140" s="625"/>
      <c r="K1140" s="625"/>
      <c r="L1140" s="625"/>
      <c r="M1140" s="626"/>
      <c r="N1140" s="626"/>
      <c r="O1140" s="626"/>
      <c r="P1140" s="626"/>
      <c r="Q1140" s="626"/>
      <c r="W1140" t="s">
        <v>2047</v>
      </c>
    </row>
    <row r="1141" spans="1:23" ht="13.15" customHeight="1" x14ac:dyDescent="0.2">
      <c r="A1141" s="2" t="s">
        <v>2199</v>
      </c>
      <c r="B1141" s="2">
        <f t="shared" si="34"/>
        <v>2022</v>
      </c>
      <c r="C1141" s="2" t="str">
        <f t="shared" si="35"/>
        <v>KZN226</v>
      </c>
      <c r="D1141" s="2">
        <v>523</v>
      </c>
      <c r="F1141" s="625"/>
      <c r="G1141" s="625"/>
      <c r="H1141" s="625"/>
      <c r="I1141" s="625"/>
      <c r="J1141" s="625"/>
      <c r="K1141" s="625"/>
      <c r="L1141" s="625"/>
      <c r="M1141" s="626"/>
      <c r="N1141" s="626"/>
      <c r="O1141" s="626"/>
      <c r="P1141" s="626"/>
      <c r="Q1141" s="626"/>
      <c r="W1141" t="s">
        <v>2047</v>
      </c>
    </row>
    <row r="1142" spans="1:23" ht="13.15" customHeight="1" x14ac:dyDescent="0.2">
      <c r="A1142" s="2" t="s">
        <v>2199</v>
      </c>
      <c r="B1142" s="2">
        <f t="shared" si="34"/>
        <v>2022</v>
      </c>
      <c r="C1142" s="2" t="str">
        <f t="shared" si="35"/>
        <v>KZN226</v>
      </c>
      <c r="D1142" s="2">
        <v>524</v>
      </c>
      <c r="F1142" s="625"/>
      <c r="G1142" s="625"/>
      <c r="H1142" s="625"/>
      <c r="I1142" s="625"/>
      <c r="J1142" s="625"/>
      <c r="K1142" s="625"/>
      <c r="L1142" s="625"/>
      <c r="M1142" s="626"/>
      <c r="N1142" s="626"/>
      <c r="O1142" s="626"/>
      <c r="P1142" s="626"/>
      <c r="Q1142" s="626"/>
      <c r="W1142" t="s">
        <v>2047</v>
      </c>
    </row>
    <row r="1143" spans="1:23" ht="13.15" customHeight="1" x14ac:dyDescent="0.2">
      <c r="A1143" s="2" t="s">
        <v>2199</v>
      </c>
      <c r="B1143" s="2">
        <f t="shared" si="34"/>
        <v>2022</v>
      </c>
      <c r="C1143" s="2" t="str">
        <f t="shared" si="35"/>
        <v>KZN226</v>
      </c>
      <c r="D1143" s="2">
        <v>525</v>
      </c>
      <c r="F1143" s="625"/>
      <c r="G1143" s="625"/>
      <c r="H1143" s="625"/>
      <c r="I1143" s="625"/>
      <c r="J1143" s="625"/>
      <c r="K1143" s="625"/>
      <c r="L1143" s="625"/>
      <c r="M1143" s="626"/>
      <c r="N1143" s="626"/>
      <c r="O1143" s="626"/>
      <c r="P1143" s="626"/>
      <c r="Q1143" s="626"/>
      <c r="W1143" t="s">
        <v>2047</v>
      </c>
    </row>
    <row r="1144" spans="1:23" ht="13.15" customHeight="1" x14ac:dyDescent="0.2">
      <c r="A1144" s="2" t="s">
        <v>2199</v>
      </c>
      <c r="B1144" s="2">
        <f t="shared" si="34"/>
        <v>2022</v>
      </c>
      <c r="C1144" s="2" t="str">
        <f t="shared" si="35"/>
        <v>KZN226</v>
      </c>
      <c r="D1144" s="2">
        <v>526</v>
      </c>
      <c r="F1144" s="625"/>
      <c r="G1144" s="625"/>
      <c r="H1144" s="625"/>
      <c r="I1144" s="625"/>
      <c r="J1144" s="625"/>
      <c r="K1144" s="625"/>
      <c r="L1144" s="625"/>
      <c r="M1144" s="626"/>
      <c r="N1144" s="626"/>
      <c r="O1144" s="626"/>
      <c r="P1144" s="626"/>
      <c r="Q1144" s="626"/>
      <c r="W1144" t="s">
        <v>2047</v>
      </c>
    </row>
    <row r="1145" spans="1:23" ht="13.15" customHeight="1" x14ac:dyDescent="0.2">
      <c r="A1145" s="2" t="s">
        <v>2199</v>
      </c>
      <c r="B1145" s="2">
        <f t="shared" si="34"/>
        <v>2022</v>
      </c>
      <c r="C1145" s="2" t="str">
        <f t="shared" si="35"/>
        <v>KZN226</v>
      </c>
      <c r="D1145" s="2">
        <v>527</v>
      </c>
      <c r="F1145" s="625"/>
      <c r="G1145" s="625"/>
      <c r="H1145" s="625"/>
      <c r="I1145" s="625"/>
      <c r="J1145" s="625"/>
      <c r="K1145" s="625"/>
      <c r="L1145" s="625"/>
      <c r="M1145" s="626"/>
      <c r="N1145" s="626"/>
      <c r="O1145" s="626"/>
      <c r="P1145" s="626"/>
      <c r="Q1145" s="626"/>
      <c r="W1145" t="s">
        <v>2047</v>
      </c>
    </row>
    <row r="1146" spans="1:23" ht="13.15" customHeight="1" x14ac:dyDescent="0.2">
      <c r="A1146" s="2" t="s">
        <v>2199</v>
      </c>
      <c r="B1146" s="2">
        <f t="shared" si="34"/>
        <v>2022</v>
      </c>
      <c r="C1146" s="2" t="str">
        <f t="shared" si="35"/>
        <v>KZN226</v>
      </c>
      <c r="D1146" s="2">
        <v>528</v>
      </c>
      <c r="F1146" s="625"/>
      <c r="G1146" s="625"/>
      <c r="H1146" s="625"/>
      <c r="I1146" s="625"/>
      <c r="J1146" s="625"/>
      <c r="K1146" s="625"/>
      <c r="L1146" s="625"/>
      <c r="M1146" s="626"/>
      <c r="N1146" s="626"/>
      <c r="O1146" s="626"/>
      <c r="P1146" s="626"/>
      <c r="Q1146" s="626"/>
      <c r="W1146" t="s">
        <v>2047</v>
      </c>
    </row>
    <row r="1147" spans="1:23" ht="13.15" customHeight="1" x14ac:dyDescent="0.2">
      <c r="A1147" s="2" t="s">
        <v>2199</v>
      </c>
      <c r="B1147" s="2">
        <f t="shared" si="34"/>
        <v>2022</v>
      </c>
      <c r="C1147" s="2" t="str">
        <f t="shared" si="35"/>
        <v>KZN226</v>
      </c>
      <c r="D1147" s="2">
        <v>529</v>
      </c>
      <c r="F1147" s="625"/>
      <c r="G1147" s="625"/>
      <c r="H1147" s="625"/>
      <c r="I1147" s="625"/>
      <c r="J1147" s="625"/>
      <c r="K1147" s="625"/>
      <c r="L1147" s="625"/>
      <c r="M1147" s="626"/>
      <c r="N1147" s="626"/>
      <c r="O1147" s="626"/>
      <c r="P1147" s="626"/>
      <c r="Q1147" s="626"/>
      <c r="W1147" t="s">
        <v>2047</v>
      </c>
    </row>
    <row r="1148" spans="1:23" ht="13.15" customHeight="1" x14ac:dyDescent="0.2">
      <c r="A1148" s="2" t="s">
        <v>2199</v>
      </c>
      <c r="B1148" s="2">
        <f t="shared" si="34"/>
        <v>2022</v>
      </c>
      <c r="C1148" s="2" t="str">
        <f t="shared" si="35"/>
        <v>KZN226</v>
      </c>
      <c r="D1148" s="2">
        <v>530</v>
      </c>
      <c r="F1148" s="625"/>
      <c r="G1148" s="625"/>
      <c r="H1148" s="625"/>
      <c r="I1148" s="625"/>
      <c r="J1148" s="625"/>
      <c r="K1148" s="625"/>
      <c r="L1148" s="625"/>
      <c r="M1148" s="626"/>
      <c r="N1148" s="626"/>
      <c r="O1148" s="626"/>
      <c r="P1148" s="626"/>
      <c r="Q1148" s="626"/>
      <c r="W1148" t="s">
        <v>2047</v>
      </c>
    </row>
    <row r="1149" spans="1:23" ht="13.15" customHeight="1" x14ac:dyDescent="0.2">
      <c r="A1149" s="2" t="s">
        <v>2199</v>
      </c>
      <c r="B1149" s="2">
        <f t="shared" si="34"/>
        <v>2022</v>
      </c>
      <c r="C1149" s="2" t="str">
        <f t="shared" si="35"/>
        <v>KZN226</v>
      </c>
      <c r="D1149" s="2">
        <v>531</v>
      </c>
      <c r="F1149" s="625"/>
      <c r="G1149" s="625"/>
      <c r="H1149" s="625"/>
      <c r="I1149" s="625"/>
      <c r="J1149" s="625"/>
      <c r="K1149" s="625"/>
      <c r="L1149" s="625"/>
      <c r="M1149" s="626"/>
      <c r="N1149" s="626"/>
      <c r="O1149" s="626"/>
      <c r="P1149" s="626"/>
      <c r="Q1149" s="626"/>
      <c r="W1149" t="s">
        <v>2047</v>
      </c>
    </row>
    <row r="1150" spans="1:23" ht="13.15" customHeight="1" x14ac:dyDescent="0.2">
      <c r="A1150" s="2" t="s">
        <v>2199</v>
      </c>
      <c r="B1150" s="2">
        <f t="shared" si="34"/>
        <v>2022</v>
      </c>
      <c r="C1150" s="2" t="str">
        <f t="shared" si="35"/>
        <v>KZN226</v>
      </c>
      <c r="D1150" s="2">
        <v>532</v>
      </c>
      <c r="F1150" s="625"/>
      <c r="G1150" s="625"/>
      <c r="H1150" s="625"/>
      <c r="I1150" s="625"/>
      <c r="J1150" s="625"/>
      <c r="K1150" s="625"/>
      <c r="L1150" s="625"/>
      <c r="M1150" s="626"/>
      <c r="N1150" s="626"/>
      <c r="O1150" s="626"/>
      <c r="P1150" s="626"/>
      <c r="Q1150" s="626"/>
      <c r="W1150" t="s">
        <v>2047</v>
      </c>
    </row>
    <row r="1151" spans="1:23" ht="13.15" customHeight="1" x14ac:dyDescent="0.2">
      <c r="A1151" s="2" t="s">
        <v>2199</v>
      </c>
      <c r="B1151" s="2">
        <f t="shared" si="34"/>
        <v>2022</v>
      </c>
      <c r="C1151" s="2" t="str">
        <f t="shared" si="35"/>
        <v>KZN226</v>
      </c>
      <c r="D1151" s="2">
        <v>533</v>
      </c>
      <c r="F1151" s="625"/>
      <c r="G1151" s="625"/>
      <c r="H1151" s="625"/>
      <c r="I1151" s="625"/>
      <c r="J1151" s="625"/>
      <c r="K1151" s="625"/>
      <c r="L1151" s="625"/>
      <c r="M1151" s="626"/>
      <c r="N1151" s="626"/>
      <c r="O1151" s="626"/>
      <c r="P1151" s="626"/>
      <c r="Q1151" s="626"/>
      <c r="W1151" t="s">
        <v>2047</v>
      </c>
    </row>
    <row r="1152" spans="1:23" ht="13.15" customHeight="1" x14ac:dyDescent="0.2">
      <c r="A1152" s="2" t="s">
        <v>2199</v>
      </c>
      <c r="B1152" s="2">
        <f t="shared" si="34"/>
        <v>2022</v>
      </c>
      <c r="C1152" s="2" t="str">
        <f t="shared" si="35"/>
        <v>KZN226</v>
      </c>
      <c r="D1152" s="2">
        <v>534</v>
      </c>
      <c r="F1152" s="625"/>
      <c r="G1152" s="625"/>
      <c r="H1152" s="625"/>
      <c r="I1152" s="625"/>
      <c r="J1152" s="625"/>
      <c r="K1152" s="625"/>
      <c r="L1152" s="625"/>
      <c r="M1152" s="626"/>
      <c r="N1152" s="626"/>
      <c r="O1152" s="626"/>
      <c r="P1152" s="626"/>
      <c r="Q1152" s="626"/>
      <c r="W1152" t="s">
        <v>2047</v>
      </c>
    </row>
    <row r="1153" spans="1:23" ht="13.15" customHeight="1" x14ac:dyDescent="0.2">
      <c r="A1153" s="2" t="s">
        <v>2199</v>
      </c>
      <c r="B1153" s="2">
        <f t="shared" si="34"/>
        <v>2022</v>
      </c>
      <c r="C1153" s="2" t="str">
        <f t="shared" si="35"/>
        <v>KZN226</v>
      </c>
      <c r="D1153" s="2">
        <v>535</v>
      </c>
      <c r="F1153" s="625"/>
      <c r="G1153" s="625"/>
      <c r="H1153" s="625"/>
      <c r="I1153" s="625"/>
      <c r="J1153" s="625"/>
      <c r="K1153" s="625"/>
      <c r="L1153" s="625"/>
      <c r="M1153" s="626"/>
      <c r="N1153" s="626"/>
      <c r="O1153" s="626"/>
      <c r="P1153" s="626"/>
      <c r="Q1153" s="626"/>
      <c r="W1153" t="s">
        <v>2047</v>
      </c>
    </row>
    <row r="1154" spans="1:23" ht="13.15" customHeight="1" x14ac:dyDescent="0.2">
      <c r="A1154" s="2" t="s">
        <v>2199</v>
      </c>
      <c r="B1154" s="2">
        <f t="shared" ref="B1154:B1217" si="36">+MTREF</f>
        <v>2022</v>
      </c>
      <c r="C1154" s="2" t="str">
        <f t="shared" ref="C1154:C1217" si="37">LEFT(muni,(FIND(" ",muni,1)-1))</f>
        <v>KZN226</v>
      </c>
      <c r="D1154" s="2">
        <v>536</v>
      </c>
      <c r="F1154" s="625"/>
      <c r="G1154" s="625"/>
      <c r="H1154" s="625"/>
      <c r="I1154" s="625"/>
      <c r="J1154" s="625"/>
      <c r="K1154" s="625"/>
      <c r="L1154" s="625"/>
      <c r="M1154" s="626"/>
      <c r="N1154" s="626"/>
      <c r="O1154" s="626"/>
      <c r="P1154" s="626"/>
      <c r="Q1154" s="626"/>
      <c r="W1154" t="s">
        <v>2047</v>
      </c>
    </row>
    <row r="1155" spans="1:23" ht="13.15" customHeight="1" x14ac:dyDescent="0.2">
      <c r="A1155" s="2" t="s">
        <v>2199</v>
      </c>
      <c r="B1155" s="2">
        <f t="shared" si="36"/>
        <v>2022</v>
      </c>
      <c r="C1155" s="2" t="str">
        <f t="shared" si="37"/>
        <v>KZN226</v>
      </c>
      <c r="D1155" s="2">
        <v>537</v>
      </c>
      <c r="F1155" s="625"/>
      <c r="G1155" s="625"/>
      <c r="H1155" s="625"/>
      <c r="I1155" s="625"/>
      <c r="J1155" s="625"/>
      <c r="K1155" s="625"/>
      <c r="L1155" s="625"/>
      <c r="M1155" s="626"/>
      <c r="N1155" s="626"/>
      <c r="O1155" s="626"/>
      <c r="P1155" s="626"/>
      <c r="Q1155" s="626"/>
      <c r="W1155" t="s">
        <v>2047</v>
      </c>
    </row>
    <row r="1156" spans="1:23" ht="13.15" customHeight="1" x14ac:dyDescent="0.2">
      <c r="A1156" s="2" t="s">
        <v>2199</v>
      </c>
      <c r="B1156" s="2">
        <f t="shared" si="36"/>
        <v>2022</v>
      </c>
      <c r="C1156" s="2" t="str">
        <f t="shared" si="37"/>
        <v>KZN226</v>
      </c>
      <c r="D1156" s="2">
        <v>538</v>
      </c>
      <c r="F1156" s="625"/>
      <c r="G1156" s="625"/>
      <c r="H1156" s="625"/>
      <c r="I1156" s="625"/>
      <c r="J1156" s="625"/>
      <c r="K1156" s="625"/>
      <c r="L1156" s="625"/>
      <c r="M1156" s="626"/>
      <c r="N1156" s="626"/>
      <c r="O1156" s="626"/>
      <c r="P1156" s="626"/>
      <c r="Q1156" s="626"/>
      <c r="W1156" t="s">
        <v>2047</v>
      </c>
    </row>
    <row r="1157" spans="1:23" ht="13.15" customHeight="1" x14ac:dyDescent="0.2">
      <c r="A1157" s="2" t="s">
        <v>2199</v>
      </c>
      <c r="B1157" s="2">
        <f t="shared" si="36"/>
        <v>2022</v>
      </c>
      <c r="C1157" s="2" t="str">
        <f t="shared" si="37"/>
        <v>KZN226</v>
      </c>
      <c r="D1157" s="2">
        <v>539</v>
      </c>
      <c r="F1157" s="625"/>
      <c r="G1157" s="625"/>
      <c r="H1157" s="625"/>
      <c r="I1157" s="625"/>
      <c r="J1157" s="625"/>
      <c r="K1157" s="625"/>
      <c r="L1157" s="625"/>
      <c r="M1157" s="626"/>
      <c r="N1157" s="626"/>
      <c r="O1157" s="626"/>
      <c r="P1157" s="626"/>
      <c r="Q1157" s="626"/>
      <c r="W1157" t="s">
        <v>2047</v>
      </c>
    </row>
    <row r="1158" spans="1:23" ht="13.15" customHeight="1" x14ac:dyDescent="0.2">
      <c r="A1158" s="2" t="s">
        <v>2199</v>
      </c>
      <c r="B1158" s="2">
        <f t="shared" si="36"/>
        <v>2022</v>
      </c>
      <c r="C1158" s="2" t="str">
        <f t="shared" si="37"/>
        <v>KZN226</v>
      </c>
      <c r="D1158" s="2">
        <v>540</v>
      </c>
      <c r="F1158" s="625"/>
      <c r="G1158" s="625"/>
      <c r="H1158" s="625"/>
      <c r="I1158" s="625"/>
      <c r="J1158" s="625"/>
      <c r="K1158" s="625"/>
      <c r="L1158" s="625"/>
      <c r="M1158" s="626"/>
      <c r="N1158" s="626"/>
      <c r="O1158" s="626"/>
      <c r="P1158" s="626"/>
      <c r="Q1158" s="626"/>
      <c r="W1158" t="s">
        <v>2047</v>
      </c>
    </row>
    <row r="1159" spans="1:23" ht="13.15" customHeight="1" x14ac:dyDescent="0.2">
      <c r="A1159" s="2" t="s">
        <v>2199</v>
      </c>
      <c r="B1159" s="2">
        <f t="shared" si="36"/>
        <v>2022</v>
      </c>
      <c r="C1159" s="2" t="str">
        <f t="shared" si="37"/>
        <v>KZN226</v>
      </c>
      <c r="D1159" s="2">
        <v>541</v>
      </c>
      <c r="F1159" s="625"/>
      <c r="G1159" s="625"/>
      <c r="H1159" s="625"/>
      <c r="I1159" s="625"/>
      <c r="J1159" s="625"/>
      <c r="K1159" s="625"/>
      <c r="L1159" s="625"/>
      <c r="M1159" s="626"/>
      <c r="N1159" s="626"/>
      <c r="O1159" s="626"/>
      <c r="P1159" s="626"/>
      <c r="Q1159" s="626"/>
      <c r="W1159" t="s">
        <v>2047</v>
      </c>
    </row>
    <row r="1160" spans="1:23" ht="13.15" customHeight="1" x14ac:dyDescent="0.2">
      <c r="A1160" s="2" t="s">
        <v>2199</v>
      </c>
      <c r="B1160" s="2">
        <f t="shared" si="36"/>
        <v>2022</v>
      </c>
      <c r="C1160" s="2" t="str">
        <f t="shared" si="37"/>
        <v>KZN226</v>
      </c>
      <c r="D1160" s="2">
        <v>542</v>
      </c>
      <c r="F1160" s="625"/>
      <c r="G1160" s="625"/>
      <c r="H1160" s="625"/>
      <c r="I1160" s="625"/>
      <c r="J1160" s="625"/>
      <c r="K1160" s="625"/>
      <c r="L1160" s="625"/>
      <c r="M1160" s="626"/>
      <c r="N1160" s="626"/>
      <c r="O1160" s="626"/>
      <c r="P1160" s="626"/>
      <c r="Q1160" s="626"/>
      <c r="W1160" t="s">
        <v>2047</v>
      </c>
    </row>
    <row r="1161" spans="1:23" ht="13.15" customHeight="1" x14ac:dyDescent="0.2">
      <c r="A1161" s="2" t="s">
        <v>2199</v>
      </c>
      <c r="B1161" s="2">
        <f t="shared" si="36"/>
        <v>2022</v>
      </c>
      <c r="C1161" s="2" t="str">
        <f t="shared" si="37"/>
        <v>KZN226</v>
      </c>
      <c r="D1161" s="2">
        <v>543</v>
      </c>
      <c r="F1161" s="625"/>
      <c r="G1161" s="625"/>
      <c r="H1161" s="625"/>
      <c r="I1161" s="625"/>
      <c r="J1161" s="625"/>
      <c r="K1161" s="625"/>
      <c r="L1161" s="625"/>
      <c r="M1161" s="626"/>
      <c r="N1161" s="626"/>
      <c r="O1161" s="626"/>
      <c r="P1161" s="626"/>
      <c r="Q1161" s="626"/>
      <c r="W1161" t="s">
        <v>2047</v>
      </c>
    </row>
    <row r="1162" spans="1:23" ht="13.15" customHeight="1" x14ac:dyDescent="0.2">
      <c r="A1162" s="2" t="s">
        <v>2199</v>
      </c>
      <c r="B1162" s="2">
        <f t="shared" si="36"/>
        <v>2022</v>
      </c>
      <c r="C1162" s="2" t="str">
        <f t="shared" si="37"/>
        <v>KZN226</v>
      </c>
      <c r="D1162" s="2">
        <v>544</v>
      </c>
      <c r="F1162" s="625"/>
      <c r="G1162" s="625"/>
      <c r="H1162" s="625"/>
      <c r="I1162" s="625"/>
      <c r="J1162" s="625"/>
      <c r="K1162" s="625"/>
      <c r="L1162" s="625"/>
      <c r="M1162" s="626"/>
      <c r="N1162" s="626"/>
      <c r="O1162" s="626"/>
      <c r="P1162" s="626"/>
      <c r="Q1162" s="626"/>
      <c r="W1162" t="s">
        <v>2047</v>
      </c>
    </row>
    <row r="1163" spans="1:23" ht="13.15" customHeight="1" x14ac:dyDescent="0.2">
      <c r="A1163" s="2" t="s">
        <v>2199</v>
      </c>
      <c r="B1163" s="2">
        <f t="shared" si="36"/>
        <v>2022</v>
      </c>
      <c r="C1163" s="2" t="str">
        <f t="shared" si="37"/>
        <v>KZN226</v>
      </c>
      <c r="D1163" s="2">
        <v>545</v>
      </c>
      <c r="F1163" s="625"/>
      <c r="G1163" s="625"/>
      <c r="H1163" s="625"/>
      <c r="I1163" s="625"/>
      <c r="J1163" s="625"/>
      <c r="K1163" s="625"/>
      <c r="L1163" s="625"/>
      <c r="M1163" s="626"/>
      <c r="N1163" s="626"/>
      <c r="O1163" s="626"/>
      <c r="P1163" s="626"/>
      <c r="Q1163" s="626"/>
      <c r="W1163" t="s">
        <v>2047</v>
      </c>
    </row>
    <row r="1164" spans="1:23" ht="13.15" customHeight="1" x14ac:dyDescent="0.2">
      <c r="A1164" s="2" t="s">
        <v>2199</v>
      </c>
      <c r="B1164" s="2">
        <f t="shared" si="36"/>
        <v>2022</v>
      </c>
      <c r="C1164" s="2" t="str">
        <f t="shared" si="37"/>
        <v>KZN226</v>
      </c>
      <c r="D1164" s="2">
        <v>546</v>
      </c>
      <c r="F1164" s="625"/>
      <c r="G1164" s="625"/>
      <c r="H1164" s="625"/>
      <c r="I1164" s="625"/>
      <c r="J1164" s="625"/>
      <c r="K1164" s="625"/>
      <c r="L1164" s="625"/>
      <c r="M1164" s="626"/>
      <c r="N1164" s="626"/>
      <c r="O1164" s="626"/>
      <c r="P1164" s="626"/>
      <c r="Q1164" s="626"/>
      <c r="W1164" t="s">
        <v>2047</v>
      </c>
    </row>
    <row r="1165" spans="1:23" ht="13.15" customHeight="1" x14ac:dyDescent="0.2">
      <c r="A1165" s="2" t="s">
        <v>2199</v>
      </c>
      <c r="B1165" s="2">
        <f t="shared" si="36"/>
        <v>2022</v>
      </c>
      <c r="C1165" s="2" t="str">
        <f t="shared" si="37"/>
        <v>KZN226</v>
      </c>
      <c r="D1165" s="2">
        <v>547</v>
      </c>
      <c r="F1165" s="625"/>
      <c r="G1165" s="625"/>
      <c r="H1165" s="625"/>
      <c r="I1165" s="625"/>
      <c r="J1165" s="625"/>
      <c r="K1165" s="625"/>
      <c r="L1165" s="625"/>
      <c r="M1165" s="626"/>
      <c r="N1165" s="626"/>
      <c r="O1165" s="626"/>
      <c r="P1165" s="626"/>
      <c r="Q1165" s="626"/>
      <c r="W1165" t="s">
        <v>2047</v>
      </c>
    </row>
    <row r="1166" spans="1:23" ht="13.15" customHeight="1" x14ac:dyDescent="0.2">
      <c r="A1166" s="2" t="s">
        <v>2199</v>
      </c>
      <c r="B1166" s="2">
        <f t="shared" si="36"/>
        <v>2022</v>
      </c>
      <c r="C1166" s="2" t="str">
        <f t="shared" si="37"/>
        <v>KZN226</v>
      </c>
      <c r="D1166" s="2">
        <v>548</v>
      </c>
      <c r="F1166" s="625"/>
      <c r="G1166" s="625"/>
      <c r="H1166" s="625"/>
      <c r="I1166" s="625"/>
      <c r="J1166" s="625"/>
      <c r="K1166" s="625"/>
      <c r="L1166" s="625"/>
      <c r="M1166" s="626"/>
      <c r="N1166" s="626"/>
      <c r="O1166" s="626"/>
      <c r="P1166" s="626"/>
      <c r="Q1166" s="626"/>
      <c r="W1166" t="s">
        <v>2047</v>
      </c>
    </row>
    <row r="1167" spans="1:23" ht="13.15" customHeight="1" x14ac:dyDescent="0.2">
      <c r="A1167" s="2" t="s">
        <v>2199</v>
      </c>
      <c r="B1167" s="2">
        <f t="shared" si="36"/>
        <v>2022</v>
      </c>
      <c r="C1167" s="2" t="str">
        <f t="shared" si="37"/>
        <v>KZN226</v>
      </c>
      <c r="D1167" s="2">
        <v>549</v>
      </c>
      <c r="F1167" s="625"/>
      <c r="G1167" s="625"/>
      <c r="H1167" s="625"/>
      <c r="I1167" s="625"/>
      <c r="J1167" s="625"/>
      <c r="K1167" s="625"/>
      <c r="L1167" s="625"/>
      <c r="M1167" s="626"/>
      <c r="N1167" s="626"/>
      <c r="O1167" s="626"/>
      <c r="P1167" s="626"/>
      <c r="Q1167" s="626"/>
      <c r="W1167" t="s">
        <v>2047</v>
      </c>
    </row>
    <row r="1168" spans="1:23" ht="13.15" customHeight="1" x14ac:dyDescent="0.2">
      <c r="A1168" s="2" t="s">
        <v>2199</v>
      </c>
      <c r="B1168" s="2">
        <f t="shared" si="36"/>
        <v>2022</v>
      </c>
      <c r="C1168" s="2" t="str">
        <f t="shared" si="37"/>
        <v>KZN226</v>
      </c>
      <c r="D1168" s="2">
        <v>550</v>
      </c>
      <c r="F1168" s="625"/>
      <c r="G1168" s="625"/>
      <c r="H1168" s="625"/>
      <c r="I1168" s="625"/>
      <c r="J1168" s="625"/>
      <c r="K1168" s="625"/>
      <c r="L1168" s="625"/>
      <c r="M1168" s="626"/>
      <c r="N1168" s="626"/>
      <c r="O1168" s="626"/>
      <c r="P1168" s="626"/>
      <c r="Q1168" s="626"/>
      <c r="W1168" t="s">
        <v>2047</v>
      </c>
    </row>
    <row r="1169" spans="1:23" ht="13.15" customHeight="1" x14ac:dyDescent="0.2">
      <c r="A1169" s="2" t="s">
        <v>2199</v>
      </c>
      <c r="B1169" s="2">
        <f t="shared" si="36"/>
        <v>2022</v>
      </c>
      <c r="C1169" s="2" t="str">
        <f t="shared" si="37"/>
        <v>KZN226</v>
      </c>
      <c r="D1169" s="2">
        <v>551</v>
      </c>
      <c r="F1169" s="625"/>
      <c r="G1169" s="625"/>
      <c r="H1169" s="625"/>
      <c r="I1169" s="625"/>
      <c r="J1169" s="625"/>
      <c r="K1169" s="625"/>
      <c r="L1169" s="625"/>
      <c r="M1169" s="626"/>
      <c r="N1169" s="626"/>
      <c r="O1169" s="626"/>
      <c r="P1169" s="626"/>
      <c r="Q1169" s="626"/>
      <c r="W1169" t="s">
        <v>2047</v>
      </c>
    </row>
    <row r="1170" spans="1:23" ht="13.15" customHeight="1" x14ac:dyDescent="0.2">
      <c r="A1170" s="2" t="s">
        <v>2199</v>
      </c>
      <c r="B1170" s="2">
        <f t="shared" si="36"/>
        <v>2022</v>
      </c>
      <c r="C1170" s="2" t="str">
        <f t="shared" si="37"/>
        <v>KZN226</v>
      </c>
      <c r="D1170" s="2">
        <v>552</v>
      </c>
      <c r="F1170" s="625"/>
      <c r="G1170" s="625"/>
      <c r="H1170" s="625"/>
      <c r="I1170" s="625"/>
      <c r="J1170" s="625"/>
      <c r="K1170" s="625"/>
      <c r="L1170" s="625"/>
      <c r="M1170" s="626"/>
      <c r="N1170" s="626"/>
      <c r="O1170" s="626"/>
      <c r="P1170" s="626"/>
      <c r="Q1170" s="626"/>
      <c r="W1170" t="s">
        <v>2047</v>
      </c>
    </row>
    <row r="1171" spans="1:23" ht="13.15" customHeight="1" x14ac:dyDescent="0.2">
      <c r="A1171" s="2" t="s">
        <v>2199</v>
      </c>
      <c r="B1171" s="2">
        <f t="shared" si="36"/>
        <v>2022</v>
      </c>
      <c r="C1171" s="2" t="str">
        <f t="shared" si="37"/>
        <v>KZN226</v>
      </c>
      <c r="D1171" s="2">
        <v>553</v>
      </c>
      <c r="F1171" s="625"/>
      <c r="G1171" s="625"/>
      <c r="H1171" s="625"/>
      <c r="I1171" s="625"/>
      <c r="J1171" s="625"/>
      <c r="K1171" s="625"/>
      <c r="L1171" s="625"/>
      <c r="M1171" s="626"/>
      <c r="N1171" s="626"/>
      <c r="O1171" s="626"/>
      <c r="P1171" s="626"/>
      <c r="Q1171" s="626"/>
      <c r="W1171" t="s">
        <v>2047</v>
      </c>
    </row>
    <row r="1172" spans="1:23" ht="13.15" customHeight="1" x14ac:dyDescent="0.2">
      <c r="A1172" s="2" t="s">
        <v>2199</v>
      </c>
      <c r="B1172" s="2">
        <f t="shared" si="36"/>
        <v>2022</v>
      </c>
      <c r="C1172" s="2" t="str">
        <f t="shared" si="37"/>
        <v>KZN226</v>
      </c>
      <c r="D1172" s="2">
        <v>554</v>
      </c>
      <c r="F1172" s="625"/>
      <c r="G1172" s="625"/>
      <c r="H1172" s="625"/>
      <c r="I1172" s="625"/>
      <c r="J1172" s="625"/>
      <c r="K1172" s="625"/>
      <c r="L1172" s="625"/>
      <c r="M1172" s="626"/>
      <c r="N1172" s="626"/>
      <c r="O1172" s="626"/>
      <c r="P1172" s="626"/>
      <c r="Q1172" s="626"/>
      <c r="W1172" t="s">
        <v>2047</v>
      </c>
    </row>
    <row r="1173" spans="1:23" ht="13.15" customHeight="1" x14ac:dyDescent="0.2">
      <c r="A1173" s="2" t="s">
        <v>2199</v>
      </c>
      <c r="B1173" s="2">
        <f t="shared" si="36"/>
        <v>2022</v>
      </c>
      <c r="C1173" s="2" t="str">
        <f t="shared" si="37"/>
        <v>KZN226</v>
      </c>
      <c r="D1173" s="2">
        <v>555</v>
      </c>
      <c r="F1173" s="625"/>
      <c r="G1173" s="625"/>
      <c r="H1173" s="625"/>
      <c r="I1173" s="625"/>
      <c r="J1173" s="625"/>
      <c r="K1173" s="625"/>
      <c r="L1173" s="625"/>
      <c r="M1173" s="626"/>
      <c r="N1173" s="626"/>
      <c r="O1173" s="626"/>
      <c r="P1173" s="626"/>
      <c r="Q1173" s="626"/>
      <c r="W1173" t="s">
        <v>2047</v>
      </c>
    </row>
    <row r="1174" spans="1:23" ht="13.15" customHeight="1" x14ac:dyDescent="0.2">
      <c r="A1174" s="2" t="s">
        <v>2199</v>
      </c>
      <c r="B1174" s="2">
        <f t="shared" si="36"/>
        <v>2022</v>
      </c>
      <c r="C1174" s="2" t="str">
        <f t="shared" si="37"/>
        <v>KZN226</v>
      </c>
      <c r="D1174" s="2">
        <v>556</v>
      </c>
      <c r="F1174" s="625"/>
      <c r="G1174" s="625"/>
      <c r="H1174" s="625"/>
      <c r="I1174" s="625"/>
      <c r="J1174" s="625"/>
      <c r="K1174" s="625"/>
      <c r="L1174" s="625"/>
      <c r="M1174" s="626"/>
      <c r="N1174" s="626"/>
      <c r="O1174" s="626"/>
      <c r="P1174" s="626"/>
      <c r="Q1174" s="626"/>
      <c r="W1174" t="s">
        <v>2047</v>
      </c>
    </row>
    <row r="1175" spans="1:23" ht="13.15" customHeight="1" x14ac:dyDescent="0.2">
      <c r="A1175" s="2" t="s">
        <v>2199</v>
      </c>
      <c r="B1175" s="2">
        <f t="shared" si="36"/>
        <v>2022</v>
      </c>
      <c r="C1175" s="2" t="str">
        <f t="shared" si="37"/>
        <v>KZN226</v>
      </c>
      <c r="D1175" s="2">
        <v>557</v>
      </c>
      <c r="F1175" s="625"/>
      <c r="G1175" s="625"/>
      <c r="H1175" s="625"/>
      <c r="I1175" s="625"/>
      <c r="J1175" s="625"/>
      <c r="K1175" s="625"/>
      <c r="L1175" s="625"/>
      <c r="M1175" s="626"/>
      <c r="N1175" s="626"/>
      <c r="O1175" s="626"/>
      <c r="P1175" s="626"/>
      <c r="Q1175" s="626"/>
      <c r="W1175" t="s">
        <v>2047</v>
      </c>
    </row>
    <row r="1176" spans="1:23" ht="13.15" customHeight="1" x14ac:dyDescent="0.2">
      <c r="A1176" s="2" t="s">
        <v>2199</v>
      </c>
      <c r="B1176" s="2">
        <f t="shared" si="36"/>
        <v>2022</v>
      </c>
      <c r="C1176" s="2" t="str">
        <f t="shared" si="37"/>
        <v>KZN226</v>
      </c>
      <c r="D1176" s="2">
        <v>558</v>
      </c>
      <c r="F1176" s="625"/>
      <c r="G1176" s="625"/>
      <c r="H1176" s="625"/>
      <c r="I1176" s="625"/>
      <c r="J1176" s="625"/>
      <c r="K1176" s="625"/>
      <c r="L1176" s="625"/>
      <c r="M1176" s="626"/>
      <c r="N1176" s="626"/>
      <c r="O1176" s="626"/>
      <c r="P1176" s="626"/>
      <c r="Q1176" s="626"/>
      <c r="W1176" t="s">
        <v>2047</v>
      </c>
    </row>
    <row r="1177" spans="1:23" ht="13.15" customHeight="1" x14ac:dyDescent="0.2">
      <c r="A1177" s="2" t="s">
        <v>2199</v>
      </c>
      <c r="B1177" s="2">
        <f t="shared" si="36"/>
        <v>2022</v>
      </c>
      <c r="C1177" s="2" t="str">
        <f t="shared" si="37"/>
        <v>KZN226</v>
      </c>
      <c r="D1177" s="2">
        <v>559</v>
      </c>
      <c r="F1177" s="625"/>
      <c r="G1177" s="625"/>
      <c r="H1177" s="625"/>
      <c r="I1177" s="625"/>
      <c r="J1177" s="625"/>
      <c r="K1177" s="625"/>
      <c r="L1177" s="625"/>
      <c r="M1177" s="626"/>
      <c r="N1177" s="626"/>
      <c r="O1177" s="626"/>
      <c r="P1177" s="626"/>
      <c r="Q1177" s="626"/>
      <c r="W1177" t="s">
        <v>2047</v>
      </c>
    </row>
    <row r="1178" spans="1:23" ht="13.15" customHeight="1" x14ac:dyDescent="0.2">
      <c r="A1178" s="2" t="s">
        <v>2199</v>
      </c>
      <c r="B1178" s="2">
        <f t="shared" si="36"/>
        <v>2022</v>
      </c>
      <c r="C1178" s="2" t="str">
        <f t="shared" si="37"/>
        <v>KZN226</v>
      </c>
      <c r="D1178" s="2">
        <v>560</v>
      </c>
      <c r="F1178" s="625"/>
      <c r="G1178" s="625"/>
      <c r="H1178" s="625"/>
      <c r="I1178" s="625"/>
      <c r="J1178" s="625"/>
      <c r="K1178" s="625"/>
      <c r="L1178" s="625"/>
      <c r="M1178" s="626"/>
      <c r="N1178" s="626"/>
      <c r="O1178" s="626"/>
      <c r="P1178" s="626"/>
      <c r="Q1178" s="626"/>
      <c r="W1178" t="s">
        <v>2047</v>
      </c>
    </row>
    <row r="1179" spans="1:23" ht="13.15" customHeight="1" x14ac:dyDescent="0.2">
      <c r="A1179" s="2" t="s">
        <v>2199</v>
      </c>
      <c r="B1179" s="2">
        <f t="shared" si="36"/>
        <v>2022</v>
      </c>
      <c r="C1179" s="2" t="str">
        <f t="shared" si="37"/>
        <v>KZN226</v>
      </c>
      <c r="D1179" s="2">
        <v>561</v>
      </c>
      <c r="F1179" s="625"/>
      <c r="G1179" s="625"/>
      <c r="H1179" s="625"/>
      <c r="I1179" s="625"/>
      <c r="J1179" s="625"/>
      <c r="K1179" s="625"/>
      <c r="L1179" s="625"/>
      <c r="M1179" s="626"/>
      <c r="N1179" s="626"/>
      <c r="O1179" s="626"/>
      <c r="P1179" s="626"/>
      <c r="Q1179" s="626"/>
      <c r="W1179" t="s">
        <v>2047</v>
      </c>
    </row>
    <row r="1180" spans="1:23" ht="13.15" customHeight="1" x14ac:dyDescent="0.2">
      <c r="A1180" s="2" t="s">
        <v>2199</v>
      </c>
      <c r="B1180" s="2">
        <f t="shared" si="36"/>
        <v>2022</v>
      </c>
      <c r="C1180" s="2" t="str">
        <f t="shared" si="37"/>
        <v>KZN226</v>
      </c>
      <c r="D1180" s="2">
        <v>562</v>
      </c>
      <c r="F1180" s="625"/>
      <c r="G1180" s="625"/>
      <c r="H1180" s="625"/>
      <c r="I1180" s="625"/>
      <c r="J1180" s="625"/>
      <c r="K1180" s="625"/>
      <c r="L1180" s="625"/>
      <c r="M1180" s="626"/>
      <c r="N1180" s="626"/>
      <c r="O1180" s="626"/>
      <c r="P1180" s="626"/>
      <c r="Q1180" s="626"/>
      <c r="W1180" t="s">
        <v>2047</v>
      </c>
    </row>
    <row r="1181" spans="1:23" ht="13.15" customHeight="1" x14ac:dyDescent="0.2">
      <c r="A1181" s="2" t="s">
        <v>2199</v>
      </c>
      <c r="B1181" s="2">
        <f t="shared" si="36"/>
        <v>2022</v>
      </c>
      <c r="C1181" s="2" t="str">
        <f t="shared" si="37"/>
        <v>KZN226</v>
      </c>
      <c r="D1181" s="2">
        <v>563</v>
      </c>
      <c r="F1181" s="625"/>
      <c r="G1181" s="625"/>
      <c r="H1181" s="625"/>
      <c r="I1181" s="625"/>
      <c r="J1181" s="625"/>
      <c r="K1181" s="625"/>
      <c r="L1181" s="625"/>
      <c r="M1181" s="626"/>
      <c r="N1181" s="626"/>
      <c r="O1181" s="626"/>
      <c r="P1181" s="626"/>
      <c r="Q1181" s="626"/>
      <c r="W1181" t="s">
        <v>2047</v>
      </c>
    </row>
    <row r="1182" spans="1:23" ht="13.15" customHeight="1" x14ac:dyDescent="0.2">
      <c r="A1182" s="2" t="s">
        <v>2199</v>
      </c>
      <c r="B1182" s="2">
        <f t="shared" si="36"/>
        <v>2022</v>
      </c>
      <c r="C1182" s="2" t="str">
        <f t="shared" si="37"/>
        <v>KZN226</v>
      </c>
      <c r="D1182" s="2">
        <v>564</v>
      </c>
      <c r="F1182" s="625"/>
      <c r="G1182" s="625"/>
      <c r="H1182" s="625"/>
      <c r="I1182" s="625"/>
      <c r="J1182" s="625"/>
      <c r="K1182" s="625"/>
      <c r="L1182" s="625"/>
      <c r="M1182" s="626"/>
      <c r="N1182" s="626"/>
      <c r="O1182" s="626"/>
      <c r="P1182" s="626"/>
      <c r="Q1182" s="626"/>
      <c r="W1182" t="s">
        <v>2047</v>
      </c>
    </row>
    <row r="1183" spans="1:23" ht="13.15" customHeight="1" x14ac:dyDescent="0.2">
      <c r="A1183" s="2" t="s">
        <v>2199</v>
      </c>
      <c r="B1183" s="2">
        <f t="shared" si="36"/>
        <v>2022</v>
      </c>
      <c r="C1183" s="2" t="str">
        <f t="shared" si="37"/>
        <v>KZN226</v>
      </c>
      <c r="D1183" s="2">
        <v>565</v>
      </c>
      <c r="F1183" s="625"/>
      <c r="G1183" s="625"/>
      <c r="H1183" s="625"/>
      <c r="I1183" s="625"/>
      <c r="J1183" s="625"/>
      <c r="K1183" s="625"/>
      <c r="L1183" s="625"/>
      <c r="M1183" s="626"/>
      <c r="N1183" s="626"/>
      <c r="O1183" s="626"/>
      <c r="P1183" s="626"/>
      <c r="Q1183" s="626"/>
      <c r="W1183" t="s">
        <v>2047</v>
      </c>
    </row>
    <row r="1184" spans="1:23" ht="13.15" customHeight="1" x14ac:dyDescent="0.2">
      <c r="A1184" s="2" t="s">
        <v>2199</v>
      </c>
      <c r="B1184" s="2">
        <f t="shared" si="36"/>
        <v>2022</v>
      </c>
      <c r="C1184" s="2" t="str">
        <f t="shared" si="37"/>
        <v>KZN226</v>
      </c>
      <c r="D1184" s="2">
        <v>566</v>
      </c>
      <c r="F1184" s="625"/>
      <c r="G1184" s="625"/>
      <c r="H1184" s="625"/>
      <c r="I1184" s="625"/>
      <c r="J1184" s="625"/>
      <c r="K1184" s="625"/>
      <c r="L1184" s="625"/>
      <c r="M1184" s="626"/>
      <c r="N1184" s="626"/>
      <c r="O1184" s="626"/>
      <c r="P1184" s="626"/>
      <c r="Q1184" s="626"/>
      <c r="W1184" t="s">
        <v>2047</v>
      </c>
    </row>
    <row r="1185" spans="1:23" ht="13.15" customHeight="1" x14ac:dyDescent="0.2">
      <c r="A1185" s="2" t="s">
        <v>2199</v>
      </c>
      <c r="B1185" s="2">
        <f t="shared" si="36"/>
        <v>2022</v>
      </c>
      <c r="C1185" s="2" t="str">
        <f t="shared" si="37"/>
        <v>KZN226</v>
      </c>
      <c r="D1185" s="2">
        <v>567</v>
      </c>
      <c r="F1185" s="625"/>
      <c r="G1185" s="625"/>
      <c r="H1185" s="625"/>
      <c r="I1185" s="625"/>
      <c r="J1185" s="625"/>
      <c r="K1185" s="625"/>
      <c r="L1185" s="625"/>
      <c r="M1185" s="626"/>
      <c r="N1185" s="626"/>
      <c r="O1185" s="626"/>
      <c r="P1185" s="626"/>
      <c r="Q1185" s="626"/>
      <c r="W1185" t="s">
        <v>2047</v>
      </c>
    </row>
    <row r="1186" spans="1:23" ht="13.15" customHeight="1" x14ac:dyDescent="0.2">
      <c r="A1186" s="2" t="s">
        <v>2199</v>
      </c>
      <c r="B1186" s="2">
        <f t="shared" si="36"/>
        <v>2022</v>
      </c>
      <c r="C1186" s="2" t="str">
        <f t="shared" si="37"/>
        <v>KZN226</v>
      </c>
      <c r="D1186" s="2">
        <v>568</v>
      </c>
      <c r="F1186" s="625"/>
      <c r="G1186" s="625"/>
      <c r="H1186" s="625"/>
      <c r="I1186" s="625"/>
      <c r="J1186" s="625"/>
      <c r="K1186" s="625"/>
      <c r="L1186" s="625"/>
      <c r="M1186" s="626"/>
      <c r="N1186" s="626"/>
      <c r="O1186" s="626"/>
      <c r="P1186" s="626"/>
      <c r="Q1186" s="626"/>
      <c r="W1186" t="s">
        <v>2047</v>
      </c>
    </row>
    <row r="1187" spans="1:23" ht="13.15" customHeight="1" x14ac:dyDescent="0.2">
      <c r="A1187" s="2" t="s">
        <v>2199</v>
      </c>
      <c r="B1187" s="2">
        <f t="shared" si="36"/>
        <v>2022</v>
      </c>
      <c r="C1187" s="2" t="str">
        <f t="shared" si="37"/>
        <v>KZN226</v>
      </c>
      <c r="D1187" s="2">
        <v>569</v>
      </c>
      <c r="F1187" s="625"/>
      <c r="G1187" s="625"/>
      <c r="H1187" s="625"/>
      <c r="I1187" s="625"/>
      <c r="J1187" s="625"/>
      <c r="K1187" s="625"/>
      <c r="L1187" s="625"/>
      <c r="M1187" s="626"/>
      <c r="N1187" s="626"/>
      <c r="O1187" s="626"/>
      <c r="P1187" s="626"/>
      <c r="Q1187" s="626"/>
      <c r="W1187" t="s">
        <v>2047</v>
      </c>
    </row>
    <row r="1188" spans="1:23" ht="13.15" customHeight="1" x14ac:dyDescent="0.2">
      <c r="A1188" s="2" t="s">
        <v>2199</v>
      </c>
      <c r="B1188" s="2">
        <f t="shared" si="36"/>
        <v>2022</v>
      </c>
      <c r="C1188" s="2" t="str">
        <f t="shared" si="37"/>
        <v>KZN226</v>
      </c>
      <c r="D1188" s="2">
        <v>570</v>
      </c>
      <c r="F1188" s="625"/>
      <c r="G1188" s="625"/>
      <c r="H1188" s="625"/>
      <c r="I1188" s="625"/>
      <c r="J1188" s="625"/>
      <c r="K1188" s="625"/>
      <c r="L1188" s="625"/>
      <c r="M1188" s="626"/>
      <c r="N1188" s="626"/>
      <c r="O1188" s="626"/>
      <c r="P1188" s="626"/>
      <c r="Q1188" s="626"/>
      <c r="W1188" t="s">
        <v>2047</v>
      </c>
    </row>
    <row r="1189" spans="1:23" ht="13.15" customHeight="1" x14ac:dyDescent="0.2">
      <c r="A1189" s="2" t="s">
        <v>2199</v>
      </c>
      <c r="B1189" s="2">
        <f t="shared" si="36"/>
        <v>2022</v>
      </c>
      <c r="C1189" s="2" t="str">
        <f t="shared" si="37"/>
        <v>KZN226</v>
      </c>
      <c r="D1189" s="2">
        <v>571</v>
      </c>
      <c r="F1189" s="625"/>
      <c r="G1189" s="625"/>
      <c r="H1189" s="625"/>
      <c r="I1189" s="625"/>
      <c r="J1189" s="625"/>
      <c r="K1189" s="625"/>
      <c r="L1189" s="625"/>
      <c r="M1189" s="626"/>
      <c r="N1189" s="626"/>
      <c r="O1189" s="626"/>
      <c r="P1189" s="626"/>
      <c r="Q1189" s="626"/>
      <c r="W1189" t="s">
        <v>2047</v>
      </c>
    </row>
    <row r="1190" spans="1:23" ht="13.15" customHeight="1" x14ac:dyDescent="0.2">
      <c r="A1190" s="2" t="s">
        <v>2199</v>
      </c>
      <c r="B1190" s="2">
        <f t="shared" si="36"/>
        <v>2022</v>
      </c>
      <c r="C1190" s="2" t="str">
        <f t="shared" si="37"/>
        <v>KZN226</v>
      </c>
      <c r="D1190" s="2">
        <v>572</v>
      </c>
      <c r="F1190" s="625"/>
      <c r="G1190" s="625"/>
      <c r="H1190" s="625"/>
      <c r="I1190" s="625"/>
      <c r="J1190" s="625"/>
      <c r="K1190" s="625"/>
      <c r="L1190" s="625"/>
      <c r="M1190" s="626"/>
      <c r="N1190" s="626"/>
      <c r="O1190" s="626"/>
      <c r="P1190" s="626"/>
      <c r="Q1190" s="626"/>
      <c r="W1190" t="s">
        <v>2047</v>
      </c>
    </row>
    <row r="1191" spans="1:23" ht="13.15" customHeight="1" x14ac:dyDescent="0.2">
      <c r="A1191" s="2" t="s">
        <v>2199</v>
      </c>
      <c r="B1191" s="2">
        <f t="shared" si="36"/>
        <v>2022</v>
      </c>
      <c r="C1191" s="2" t="str">
        <f t="shared" si="37"/>
        <v>KZN226</v>
      </c>
      <c r="D1191" s="2">
        <v>573</v>
      </c>
      <c r="F1191" s="625"/>
      <c r="G1191" s="625"/>
      <c r="H1191" s="625"/>
      <c r="I1191" s="625"/>
      <c r="J1191" s="625"/>
      <c r="K1191" s="625"/>
      <c r="L1191" s="625"/>
      <c r="M1191" s="626"/>
      <c r="N1191" s="626"/>
      <c r="O1191" s="626"/>
      <c r="P1191" s="626"/>
      <c r="Q1191" s="626"/>
      <c r="W1191" t="s">
        <v>2047</v>
      </c>
    </row>
    <row r="1192" spans="1:23" ht="13.15" customHeight="1" x14ac:dyDescent="0.2">
      <c r="A1192" s="2" t="s">
        <v>2199</v>
      </c>
      <c r="B1192" s="2">
        <f t="shared" si="36"/>
        <v>2022</v>
      </c>
      <c r="C1192" s="2" t="str">
        <f t="shared" si="37"/>
        <v>KZN226</v>
      </c>
      <c r="D1192" s="2">
        <v>574</v>
      </c>
      <c r="F1192" s="625"/>
      <c r="G1192" s="625"/>
      <c r="H1192" s="625"/>
      <c r="I1192" s="625"/>
      <c r="J1192" s="625"/>
      <c r="K1192" s="625"/>
      <c r="L1192" s="625"/>
      <c r="M1192" s="626"/>
      <c r="N1192" s="626"/>
      <c r="O1192" s="626"/>
      <c r="P1192" s="626"/>
      <c r="Q1192" s="626"/>
      <c r="W1192" t="s">
        <v>2047</v>
      </c>
    </row>
    <row r="1193" spans="1:23" ht="13.15" customHeight="1" x14ac:dyDescent="0.2">
      <c r="A1193" s="2" t="s">
        <v>2199</v>
      </c>
      <c r="B1193" s="2">
        <f t="shared" si="36"/>
        <v>2022</v>
      </c>
      <c r="C1193" s="2" t="str">
        <f t="shared" si="37"/>
        <v>KZN226</v>
      </c>
      <c r="D1193" s="2">
        <v>575</v>
      </c>
      <c r="F1193" s="625"/>
      <c r="G1193" s="625"/>
      <c r="H1193" s="625"/>
      <c r="I1193" s="625"/>
      <c r="J1193" s="625"/>
      <c r="K1193" s="625"/>
      <c r="L1193" s="625"/>
      <c r="M1193" s="626"/>
      <c r="N1193" s="626"/>
      <c r="O1193" s="626"/>
      <c r="P1193" s="626"/>
      <c r="Q1193" s="626"/>
      <c r="W1193" t="s">
        <v>2047</v>
      </c>
    </row>
    <row r="1194" spans="1:23" ht="13.15" customHeight="1" x14ac:dyDescent="0.2">
      <c r="A1194" s="2" t="s">
        <v>2199</v>
      </c>
      <c r="B1194" s="2">
        <f t="shared" si="36"/>
        <v>2022</v>
      </c>
      <c r="C1194" s="2" t="str">
        <f t="shared" si="37"/>
        <v>KZN226</v>
      </c>
      <c r="D1194" s="2">
        <v>576</v>
      </c>
      <c r="F1194" s="625"/>
      <c r="G1194" s="625"/>
      <c r="H1194" s="625"/>
      <c r="I1194" s="625"/>
      <c r="J1194" s="625"/>
      <c r="K1194" s="625"/>
      <c r="L1194" s="625"/>
      <c r="M1194" s="626"/>
      <c r="N1194" s="626"/>
      <c r="O1194" s="626"/>
      <c r="P1194" s="626"/>
      <c r="Q1194" s="626"/>
      <c r="W1194" t="s">
        <v>2047</v>
      </c>
    </row>
    <row r="1195" spans="1:23" ht="13.15" customHeight="1" x14ac:dyDescent="0.2">
      <c r="A1195" s="2" t="s">
        <v>2199</v>
      </c>
      <c r="B1195" s="2">
        <f t="shared" si="36"/>
        <v>2022</v>
      </c>
      <c r="C1195" s="2" t="str">
        <f t="shared" si="37"/>
        <v>KZN226</v>
      </c>
      <c r="D1195" s="2">
        <v>577</v>
      </c>
      <c r="F1195" s="625"/>
      <c r="G1195" s="625"/>
      <c r="H1195" s="625"/>
      <c r="I1195" s="625"/>
      <c r="J1195" s="625"/>
      <c r="K1195" s="625"/>
      <c r="L1195" s="625"/>
      <c r="M1195" s="626"/>
      <c r="N1195" s="626"/>
      <c r="O1195" s="626"/>
      <c r="P1195" s="626"/>
      <c r="Q1195" s="626"/>
      <c r="W1195" t="s">
        <v>2047</v>
      </c>
    </row>
    <row r="1196" spans="1:23" ht="13.15" customHeight="1" x14ac:dyDescent="0.2">
      <c r="A1196" s="2" t="s">
        <v>2199</v>
      </c>
      <c r="B1196" s="2">
        <f t="shared" si="36"/>
        <v>2022</v>
      </c>
      <c r="C1196" s="2" t="str">
        <f t="shared" si="37"/>
        <v>KZN226</v>
      </c>
      <c r="D1196" s="2">
        <v>578</v>
      </c>
      <c r="F1196" s="625"/>
      <c r="G1196" s="625"/>
      <c r="H1196" s="625"/>
      <c r="I1196" s="625"/>
      <c r="J1196" s="625"/>
      <c r="K1196" s="625"/>
      <c r="L1196" s="625"/>
      <c r="M1196" s="626"/>
      <c r="N1196" s="626"/>
      <c r="O1196" s="626"/>
      <c r="P1196" s="626"/>
      <c r="Q1196" s="626"/>
      <c r="W1196" t="s">
        <v>2047</v>
      </c>
    </row>
    <row r="1197" spans="1:23" ht="13.15" customHeight="1" x14ac:dyDescent="0.2">
      <c r="A1197" s="2" t="s">
        <v>2199</v>
      </c>
      <c r="B1197" s="2">
        <f t="shared" si="36"/>
        <v>2022</v>
      </c>
      <c r="C1197" s="2" t="str">
        <f t="shared" si="37"/>
        <v>KZN226</v>
      </c>
      <c r="D1197" s="2">
        <v>579</v>
      </c>
      <c r="F1197" s="625"/>
      <c r="G1197" s="625"/>
      <c r="H1197" s="625"/>
      <c r="I1197" s="625"/>
      <c r="J1197" s="625"/>
      <c r="K1197" s="625"/>
      <c r="L1197" s="625"/>
      <c r="M1197" s="626"/>
      <c r="N1197" s="626"/>
      <c r="O1197" s="626"/>
      <c r="P1197" s="626"/>
      <c r="Q1197" s="626"/>
      <c r="W1197" t="s">
        <v>2047</v>
      </c>
    </row>
    <row r="1198" spans="1:23" ht="13.15" customHeight="1" x14ac:dyDescent="0.2">
      <c r="A1198" s="2" t="s">
        <v>2199</v>
      </c>
      <c r="B1198" s="2">
        <f t="shared" si="36"/>
        <v>2022</v>
      </c>
      <c r="C1198" s="2" t="str">
        <f t="shared" si="37"/>
        <v>KZN226</v>
      </c>
      <c r="D1198" s="2">
        <v>580</v>
      </c>
      <c r="F1198" s="625"/>
      <c r="G1198" s="625"/>
      <c r="H1198" s="625"/>
      <c r="I1198" s="625"/>
      <c r="J1198" s="625"/>
      <c r="K1198" s="625"/>
      <c r="L1198" s="625"/>
      <c r="M1198" s="626"/>
      <c r="N1198" s="626"/>
      <c r="O1198" s="626"/>
      <c r="P1198" s="626"/>
      <c r="Q1198" s="626"/>
      <c r="W1198" t="s">
        <v>2047</v>
      </c>
    </row>
    <row r="1199" spans="1:23" ht="13.15" customHeight="1" x14ac:dyDescent="0.2">
      <c r="A1199" s="2" t="s">
        <v>2199</v>
      </c>
      <c r="B1199" s="2">
        <f t="shared" si="36"/>
        <v>2022</v>
      </c>
      <c r="C1199" s="2" t="str">
        <f t="shared" si="37"/>
        <v>KZN226</v>
      </c>
      <c r="D1199" s="2">
        <v>581</v>
      </c>
      <c r="F1199" s="625"/>
      <c r="G1199" s="625"/>
      <c r="H1199" s="625"/>
      <c r="I1199" s="625"/>
      <c r="J1199" s="625"/>
      <c r="K1199" s="625"/>
      <c r="L1199" s="625"/>
      <c r="M1199" s="626"/>
      <c r="N1199" s="626"/>
      <c r="O1199" s="626"/>
      <c r="P1199" s="626"/>
      <c r="Q1199" s="626"/>
      <c r="W1199" t="s">
        <v>2047</v>
      </c>
    </row>
    <row r="1200" spans="1:23" ht="13.15" customHeight="1" x14ac:dyDescent="0.2">
      <c r="A1200" s="2" t="s">
        <v>2199</v>
      </c>
      <c r="B1200" s="2">
        <f t="shared" si="36"/>
        <v>2022</v>
      </c>
      <c r="C1200" s="2" t="str">
        <f t="shared" si="37"/>
        <v>KZN226</v>
      </c>
      <c r="D1200" s="2">
        <v>582</v>
      </c>
      <c r="F1200" s="625"/>
      <c r="G1200" s="625"/>
      <c r="H1200" s="625"/>
      <c r="I1200" s="625"/>
      <c r="J1200" s="625"/>
      <c r="K1200" s="625"/>
      <c r="L1200" s="625"/>
      <c r="M1200" s="626"/>
      <c r="N1200" s="626"/>
      <c r="O1200" s="626"/>
      <c r="P1200" s="626"/>
      <c r="Q1200" s="626"/>
      <c r="W1200" t="s">
        <v>2047</v>
      </c>
    </row>
    <row r="1201" spans="1:23" ht="13.15" customHeight="1" x14ac:dyDescent="0.2">
      <c r="A1201" s="2" t="s">
        <v>2199</v>
      </c>
      <c r="B1201" s="2">
        <f t="shared" si="36"/>
        <v>2022</v>
      </c>
      <c r="C1201" s="2" t="str">
        <f t="shared" si="37"/>
        <v>KZN226</v>
      </c>
      <c r="D1201" s="2">
        <v>583</v>
      </c>
      <c r="F1201" s="625"/>
      <c r="G1201" s="625"/>
      <c r="H1201" s="625"/>
      <c r="I1201" s="625"/>
      <c r="J1201" s="625"/>
      <c r="K1201" s="625"/>
      <c r="L1201" s="625"/>
      <c r="M1201" s="626"/>
      <c r="N1201" s="626"/>
      <c r="O1201" s="626"/>
      <c r="P1201" s="626"/>
      <c r="Q1201" s="626"/>
      <c r="W1201" t="s">
        <v>2047</v>
      </c>
    </row>
    <row r="1202" spans="1:23" ht="13.15" customHeight="1" x14ac:dyDescent="0.2">
      <c r="A1202" s="2" t="s">
        <v>2199</v>
      </c>
      <c r="B1202" s="2">
        <f t="shared" si="36"/>
        <v>2022</v>
      </c>
      <c r="C1202" s="2" t="str">
        <f t="shared" si="37"/>
        <v>KZN226</v>
      </c>
      <c r="D1202" s="2">
        <v>584</v>
      </c>
      <c r="F1202" s="625"/>
      <c r="G1202" s="625"/>
      <c r="H1202" s="625"/>
      <c r="I1202" s="625"/>
      <c r="J1202" s="625"/>
      <c r="K1202" s="625"/>
      <c r="L1202" s="625"/>
      <c r="M1202" s="626"/>
      <c r="N1202" s="626"/>
      <c r="O1202" s="626"/>
      <c r="P1202" s="626"/>
      <c r="Q1202" s="626"/>
      <c r="W1202" t="s">
        <v>2047</v>
      </c>
    </row>
    <row r="1203" spans="1:23" ht="13.15" customHeight="1" x14ac:dyDescent="0.2">
      <c r="A1203" s="2" t="s">
        <v>2199</v>
      </c>
      <c r="B1203" s="2">
        <f t="shared" si="36"/>
        <v>2022</v>
      </c>
      <c r="C1203" s="2" t="str">
        <f t="shared" si="37"/>
        <v>KZN226</v>
      </c>
      <c r="D1203" s="2">
        <v>585</v>
      </c>
      <c r="F1203" s="625"/>
      <c r="G1203" s="625"/>
      <c r="H1203" s="625"/>
      <c r="I1203" s="625"/>
      <c r="J1203" s="625"/>
      <c r="K1203" s="625"/>
      <c r="L1203" s="625"/>
      <c r="M1203" s="626"/>
      <c r="N1203" s="626"/>
      <c r="O1203" s="626"/>
      <c r="P1203" s="626"/>
      <c r="Q1203" s="626"/>
      <c r="W1203" t="s">
        <v>2047</v>
      </c>
    </row>
    <row r="1204" spans="1:23" ht="13.15" customHeight="1" x14ac:dyDescent="0.2">
      <c r="A1204" s="2" t="s">
        <v>2199</v>
      </c>
      <c r="B1204" s="2">
        <f t="shared" si="36"/>
        <v>2022</v>
      </c>
      <c r="C1204" s="2" t="str">
        <f t="shared" si="37"/>
        <v>KZN226</v>
      </c>
      <c r="D1204" s="2">
        <v>586</v>
      </c>
      <c r="F1204" s="625"/>
      <c r="G1204" s="625"/>
      <c r="H1204" s="625"/>
      <c r="I1204" s="625"/>
      <c r="J1204" s="625"/>
      <c r="K1204" s="625"/>
      <c r="L1204" s="625"/>
      <c r="M1204" s="626"/>
      <c r="N1204" s="626"/>
      <c r="O1204" s="626"/>
      <c r="P1204" s="626"/>
      <c r="Q1204" s="626"/>
      <c r="W1204" t="s">
        <v>2047</v>
      </c>
    </row>
    <row r="1205" spans="1:23" ht="13.15" customHeight="1" x14ac:dyDescent="0.2">
      <c r="A1205" s="2" t="s">
        <v>2199</v>
      </c>
      <c r="B1205" s="2">
        <f t="shared" si="36"/>
        <v>2022</v>
      </c>
      <c r="C1205" s="2" t="str">
        <f t="shared" si="37"/>
        <v>KZN226</v>
      </c>
      <c r="D1205" s="2">
        <v>587</v>
      </c>
      <c r="F1205" s="625"/>
      <c r="G1205" s="625"/>
      <c r="H1205" s="625"/>
      <c r="I1205" s="625"/>
      <c r="J1205" s="625"/>
      <c r="K1205" s="625"/>
      <c r="L1205" s="625"/>
      <c r="M1205" s="626"/>
      <c r="N1205" s="626"/>
      <c r="O1205" s="626"/>
      <c r="P1205" s="626"/>
      <c r="Q1205" s="626"/>
      <c r="W1205" t="s">
        <v>2047</v>
      </c>
    </row>
    <row r="1206" spans="1:23" ht="13.15" customHeight="1" x14ac:dyDescent="0.2">
      <c r="A1206" s="2" t="s">
        <v>2199</v>
      </c>
      <c r="B1206" s="2">
        <f t="shared" si="36"/>
        <v>2022</v>
      </c>
      <c r="C1206" s="2" t="str">
        <f t="shared" si="37"/>
        <v>KZN226</v>
      </c>
      <c r="D1206" s="2">
        <v>588</v>
      </c>
      <c r="F1206" s="625"/>
      <c r="G1206" s="625"/>
      <c r="H1206" s="625"/>
      <c r="I1206" s="625"/>
      <c r="J1206" s="625"/>
      <c r="K1206" s="625"/>
      <c r="L1206" s="625"/>
      <c r="M1206" s="626"/>
      <c r="N1206" s="626"/>
      <c r="O1206" s="626"/>
      <c r="P1206" s="626"/>
      <c r="Q1206" s="626"/>
      <c r="W1206" t="s">
        <v>2047</v>
      </c>
    </row>
    <row r="1207" spans="1:23" ht="13.15" customHeight="1" x14ac:dyDescent="0.2">
      <c r="A1207" s="2" t="s">
        <v>2199</v>
      </c>
      <c r="B1207" s="2">
        <f t="shared" si="36"/>
        <v>2022</v>
      </c>
      <c r="C1207" s="2" t="str">
        <f t="shared" si="37"/>
        <v>KZN226</v>
      </c>
      <c r="D1207" s="2">
        <v>589</v>
      </c>
      <c r="F1207" s="625"/>
      <c r="G1207" s="625"/>
      <c r="H1207" s="625"/>
      <c r="I1207" s="625"/>
      <c r="J1207" s="625"/>
      <c r="K1207" s="625"/>
      <c r="L1207" s="625"/>
      <c r="M1207" s="626"/>
      <c r="N1207" s="626"/>
      <c r="O1207" s="626"/>
      <c r="P1207" s="626"/>
      <c r="Q1207" s="626"/>
      <c r="W1207" t="s">
        <v>2047</v>
      </c>
    </row>
    <row r="1208" spans="1:23" ht="13.15" customHeight="1" x14ac:dyDescent="0.2">
      <c r="A1208" s="2" t="s">
        <v>2199</v>
      </c>
      <c r="B1208" s="2">
        <f t="shared" si="36"/>
        <v>2022</v>
      </c>
      <c r="C1208" s="2" t="str">
        <f t="shared" si="37"/>
        <v>KZN226</v>
      </c>
      <c r="D1208" s="2">
        <v>590</v>
      </c>
      <c r="F1208" s="625"/>
      <c r="G1208" s="625"/>
      <c r="H1208" s="625"/>
      <c r="I1208" s="625"/>
      <c r="J1208" s="625"/>
      <c r="K1208" s="625"/>
      <c r="L1208" s="625"/>
      <c r="M1208" s="626"/>
      <c r="N1208" s="626"/>
      <c r="O1208" s="626"/>
      <c r="P1208" s="626"/>
      <c r="Q1208" s="626"/>
      <c r="W1208" t="s">
        <v>2047</v>
      </c>
    </row>
    <row r="1209" spans="1:23" ht="13.15" customHeight="1" x14ac:dyDescent="0.2">
      <c r="A1209" s="2" t="s">
        <v>2199</v>
      </c>
      <c r="B1209" s="2">
        <f t="shared" si="36"/>
        <v>2022</v>
      </c>
      <c r="C1209" s="2" t="str">
        <f t="shared" si="37"/>
        <v>KZN226</v>
      </c>
      <c r="D1209" s="2">
        <v>591</v>
      </c>
      <c r="F1209" s="625"/>
      <c r="G1209" s="625"/>
      <c r="H1209" s="625"/>
      <c r="I1209" s="625"/>
      <c r="J1209" s="625"/>
      <c r="K1209" s="625"/>
      <c r="L1209" s="625"/>
      <c r="M1209" s="626"/>
      <c r="N1209" s="626"/>
      <c r="O1209" s="626"/>
      <c r="P1209" s="626"/>
      <c r="Q1209" s="626"/>
      <c r="W1209" t="s">
        <v>2047</v>
      </c>
    </row>
    <row r="1210" spans="1:23" ht="13.15" customHeight="1" x14ac:dyDescent="0.2">
      <c r="A1210" s="2" t="s">
        <v>2199</v>
      </c>
      <c r="B1210" s="2">
        <f t="shared" si="36"/>
        <v>2022</v>
      </c>
      <c r="C1210" s="2" t="str">
        <f t="shared" si="37"/>
        <v>KZN226</v>
      </c>
      <c r="D1210" s="2">
        <v>592</v>
      </c>
      <c r="F1210" s="625"/>
      <c r="G1210" s="625"/>
      <c r="H1210" s="625"/>
      <c r="I1210" s="625"/>
      <c r="J1210" s="625"/>
      <c r="K1210" s="625"/>
      <c r="L1210" s="625"/>
      <c r="M1210" s="626"/>
      <c r="N1210" s="626"/>
      <c r="O1210" s="626"/>
      <c r="P1210" s="626"/>
      <c r="Q1210" s="626"/>
      <c r="W1210" t="s">
        <v>2047</v>
      </c>
    </row>
    <row r="1211" spans="1:23" ht="13.15" customHeight="1" x14ac:dyDescent="0.2">
      <c r="A1211" s="2" t="s">
        <v>2199</v>
      </c>
      <c r="B1211" s="2">
        <f t="shared" si="36"/>
        <v>2022</v>
      </c>
      <c r="C1211" s="2" t="str">
        <f t="shared" si="37"/>
        <v>KZN226</v>
      </c>
      <c r="D1211" s="2">
        <v>593</v>
      </c>
      <c r="F1211" s="625"/>
      <c r="G1211" s="625"/>
      <c r="H1211" s="625"/>
      <c r="I1211" s="625"/>
      <c r="J1211" s="625"/>
      <c r="K1211" s="625"/>
      <c r="L1211" s="625"/>
      <c r="M1211" s="626"/>
      <c r="N1211" s="626"/>
      <c r="O1211" s="626"/>
      <c r="P1211" s="626"/>
      <c r="Q1211" s="626"/>
      <c r="W1211" t="s">
        <v>2047</v>
      </c>
    </row>
    <row r="1212" spans="1:23" ht="13.15" customHeight="1" x14ac:dyDescent="0.2">
      <c r="A1212" s="2" t="s">
        <v>2199</v>
      </c>
      <c r="B1212" s="2">
        <f t="shared" si="36"/>
        <v>2022</v>
      </c>
      <c r="C1212" s="2" t="str">
        <f t="shared" si="37"/>
        <v>KZN226</v>
      </c>
      <c r="D1212" s="2">
        <v>594</v>
      </c>
      <c r="F1212" s="625"/>
      <c r="G1212" s="625"/>
      <c r="H1212" s="625"/>
      <c r="I1212" s="625"/>
      <c r="J1212" s="625"/>
      <c r="K1212" s="625"/>
      <c r="L1212" s="625"/>
      <c r="M1212" s="626"/>
      <c r="N1212" s="626"/>
      <c r="O1212" s="626"/>
      <c r="P1212" s="626"/>
      <c r="Q1212" s="626"/>
      <c r="W1212" t="s">
        <v>2047</v>
      </c>
    </row>
    <row r="1213" spans="1:23" ht="13.15" customHeight="1" x14ac:dyDescent="0.2">
      <c r="A1213" s="2" t="s">
        <v>2199</v>
      </c>
      <c r="B1213" s="2">
        <f t="shared" si="36"/>
        <v>2022</v>
      </c>
      <c r="C1213" s="2" t="str">
        <f t="shared" si="37"/>
        <v>KZN226</v>
      </c>
      <c r="D1213" s="2">
        <v>595</v>
      </c>
      <c r="F1213" s="625"/>
      <c r="G1213" s="625"/>
      <c r="H1213" s="625"/>
      <c r="I1213" s="625"/>
      <c r="J1213" s="625"/>
      <c r="K1213" s="625"/>
      <c r="L1213" s="625"/>
      <c r="M1213" s="626"/>
      <c r="N1213" s="626"/>
      <c r="O1213" s="626"/>
      <c r="P1213" s="626"/>
      <c r="Q1213" s="626"/>
      <c r="W1213" t="s">
        <v>2047</v>
      </c>
    </row>
    <row r="1214" spans="1:23" ht="13.15" customHeight="1" x14ac:dyDescent="0.2">
      <c r="A1214" s="2" t="s">
        <v>2199</v>
      </c>
      <c r="B1214" s="2">
        <f t="shared" si="36"/>
        <v>2022</v>
      </c>
      <c r="C1214" s="2" t="str">
        <f t="shared" si="37"/>
        <v>KZN226</v>
      </c>
      <c r="D1214" s="2">
        <v>596</v>
      </c>
      <c r="F1214" s="625"/>
      <c r="G1214" s="625"/>
      <c r="H1214" s="625"/>
      <c r="I1214" s="625"/>
      <c r="J1214" s="625"/>
      <c r="K1214" s="625"/>
      <c r="L1214" s="625"/>
      <c r="M1214" s="626"/>
      <c r="N1214" s="626"/>
      <c r="O1214" s="626"/>
      <c r="P1214" s="626"/>
      <c r="Q1214" s="626"/>
      <c r="W1214" t="s">
        <v>2047</v>
      </c>
    </row>
    <row r="1215" spans="1:23" ht="13.15" customHeight="1" x14ac:dyDescent="0.2">
      <c r="A1215" s="2" t="s">
        <v>2199</v>
      </c>
      <c r="B1215" s="2">
        <f t="shared" si="36"/>
        <v>2022</v>
      </c>
      <c r="C1215" s="2" t="str">
        <f t="shared" si="37"/>
        <v>KZN226</v>
      </c>
      <c r="D1215" s="2">
        <v>597</v>
      </c>
      <c r="F1215" s="625"/>
      <c r="G1215" s="625"/>
      <c r="H1215" s="625"/>
      <c r="I1215" s="625"/>
      <c r="J1215" s="625"/>
      <c r="K1215" s="625"/>
      <c r="L1215" s="625"/>
      <c r="M1215" s="626"/>
      <c r="N1215" s="626"/>
      <c r="O1215" s="626"/>
      <c r="P1215" s="626"/>
      <c r="Q1215" s="626"/>
      <c r="W1215" t="s">
        <v>2047</v>
      </c>
    </row>
    <row r="1216" spans="1:23" ht="13.15" customHeight="1" x14ac:dyDescent="0.2">
      <c r="A1216" s="2" t="s">
        <v>2199</v>
      </c>
      <c r="B1216" s="2">
        <f t="shared" si="36"/>
        <v>2022</v>
      </c>
      <c r="C1216" s="2" t="str">
        <f t="shared" si="37"/>
        <v>KZN226</v>
      </c>
      <c r="D1216" s="2">
        <v>598</v>
      </c>
      <c r="F1216" s="625"/>
      <c r="G1216" s="625"/>
      <c r="H1216" s="625"/>
      <c r="I1216" s="625"/>
      <c r="J1216" s="625"/>
      <c r="K1216" s="625"/>
      <c r="L1216" s="625"/>
      <c r="M1216" s="626"/>
      <c r="N1216" s="626"/>
      <c r="O1216" s="626"/>
      <c r="P1216" s="626"/>
      <c r="Q1216" s="626"/>
      <c r="W1216" t="s">
        <v>2047</v>
      </c>
    </row>
    <row r="1217" spans="1:23" ht="13.15" customHeight="1" x14ac:dyDescent="0.2">
      <c r="A1217" s="2" t="s">
        <v>2199</v>
      </c>
      <c r="B1217" s="2">
        <f t="shared" si="36"/>
        <v>2022</v>
      </c>
      <c r="C1217" s="2" t="str">
        <f t="shared" si="37"/>
        <v>KZN226</v>
      </c>
      <c r="D1217" s="2">
        <v>599</v>
      </c>
      <c r="F1217" s="625"/>
      <c r="G1217" s="625"/>
      <c r="H1217" s="625"/>
      <c r="I1217" s="625"/>
      <c r="J1217" s="625"/>
      <c r="K1217" s="625"/>
      <c r="L1217" s="625"/>
      <c r="M1217" s="626"/>
      <c r="N1217" s="626"/>
      <c r="O1217" s="626"/>
      <c r="P1217" s="626"/>
      <c r="Q1217" s="626"/>
      <c r="W1217" t="s">
        <v>2047</v>
      </c>
    </row>
    <row r="1218" spans="1:23" ht="13.15" customHeight="1" x14ac:dyDescent="0.2">
      <c r="A1218" s="2" t="s">
        <v>2199</v>
      </c>
      <c r="B1218" s="2">
        <f t="shared" ref="B1218:B1281" si="38">+MTREF</f>
        <v>2022</v>
      </c>
      <c r="C1218" s="2" t="str">
        <f t="shared" ref="C1218:C1281" si="39">LEFT(muni,(FIND(" ",muni,1)-1))</f>
        <v>KZN226</v>
      </c>
      <c r="D1218" s="2">
        <v>600</v>
      </c>
      <c r="F1218" s="625"/>
      <c r="G1218" s="625"/>
      <c r="H1218" s="625"/>
      <c r="I1218" s="625"/>
      <c r="J1218" s="625"/>
      <c r="K1218" s="625"/>
      <c r="L1218" s="625"/>
      <c r="M1218" s="626"/>
      <c r="N1218" s="626"/>
      <c r="O1218" s="626"/>
      <c r="P1218" s="626"/>
      <c r="Q1218" s="626"/>
      <c r="W1218" t="s">
        <v>2047</v>
      </c>
    </row>
    <row r="1219" spans="1:23" ht="13.15" customHeight="1" x14ac:dyDescent="0.2">
      <c r="A1219" s="2" t="s">
        <v>2199</v>
      </c>
      <c r="B1219" s="2">
        <f t="shared" si="38"/>
        <v>2022</v>
      </c>
      <c r="C1219" s="2" t="str">
        <f t="shared" si="39"/>
        <v>KZN226</v>
      </c>
      <c r="D1219" s="2">
        <v>601</v>
      </c>
      <c r="F1219" s="625"/>
      <c r="G1219" s="625"/>
      <c r="H1219" s="625"/>
      <c r="I1219" s="625"/>
      <c r="J1219" s="625"/>
      <c r="K1219" s="625"/>
      <c r="L1219" s="625"/>
      <c r="M1219" s="626"/>
      <c r="N1219" s="626"/>
      <c r="O1219" s="626"/>
      <c r="P1219" s="626"/>
      <c r="Q1219" s="626"/>
      <c r="W1219" t="s">
        <v>2047</v>
      </c>
    </row>
    <row r="1220" spans="1:23" ht="13.15" customHeight="1" x14ac:dyDescent="0.2">
      <c r="A1220" s="2" t="s">
        <v>2199</v>
      </c>
      <c r="B1220" s="2">
        <f t="shared" si="38"/>
        <v>2022</v>
      </c>
      <c r="C1220" s="2" t="str">
        <f t="shared" si="39"/>
        <v>KZN226</v>
      </c>
      <c r="D1220" s="2">
        <v>602</v>
      </c>
      <c r="F1220" s="625"/>
      <c r="G1220" s="625"/>
      <c r="H1220" s="625"/>
      <c r="I1220" s="625"/>
      <c r="J1220" s="625"/>
      <c r="K1220" s="625"/>
      <c r="L1220" s="625"/>
      <c r="M1220" s="626"/>
      <c r="N1220" s="626"/>
      <c r="O1220" s="626"/>
      <c r="P1220" s="626"/>
      <c r="Q1220" s="626"/>
      <c r="W1220" t="s">
        <v>2047</v>
      </c>
    </row>
    <row r="1221" spans="1:23" ht="13.15" customHeight="1" x14ac:dyDescent="0.2">
      <c r="A1221" s="2" t="s">
        <v>2199</v>
      </c>
      <c r="B1221" s="2">
        <f t="shared" si="38"/>
        <v>2022</v>
      </c>
      <c r="C1221" s="2" t="str">
        <f t="shared" si="39"/>
        <v>KZN226</v>
      </c>
      <c r="D1221" s="2">
        <v>603</v>
      </c>
      <c r="F1221" s="625"/>
      <c r="G1221" s="625"/>
      <c r="H1221" s="625"/>
      <c r="I1221" s="625"/>
      <c r="J1221" s="625"/>
      <c r="K1221" s="625"/>
      <c r="L1221" s="625"/>
      <c r="M1221" s="626"/>
      <c r="N1221" s="626"/>
      <c r="O1221" s="626"/>
      <c r="P1221" s="626"/>
      <c r="Q1221" s="626"/>
      <c r="W1221" t="s">
        <v>2047</v>
      </c>
    </row>
    <row r="1222" spans="1:23" ht="13.15" customHeight="1" x14ac:dyDescent="0.2">
      <c r="A1222" s="2" t="s">
        <v>2199</v>
      </c>
      <c r="B1222" s="2">
        <f t="shared" si="38"/>
        <v>2022</v>
      </c>
      <c r="C1222" s="2" t="str">
        <f t="shared" si="39"/>
        <v>KZN226</v>
      </c>
      <c r="D1222" s="2">
        <v>604</v>
      </c>
      <c r="F1222" s="625"/>
      <c r="G1222" s="625"/>
      <c r="H1222" s="625"/>
      <c r="I1222" s="625"/>
      <c r="J1222" s="625"/>
      <c r="K1222" s="625"/>
      <c r="L1222" s="625"/>
      <c r="M1222" s="626"/>
      <c r="N1222" s="626"/>
      <c r="O1222" s="626"/>
      <c r="P1222" s="626"/>
      <c r="Q1222" s="626"/>
      <c r="W1222" t="s">
        <v>2047</v>
      </c>
    </row>
    <row r="1223" spans="1:23" ht="13.15" customHeight="1" x14ac:dyDescent="0.2">
      <c r="A1223" s="2" t="s">
        <v>2199</v>
      </c>
      <c r="B1223" s="2">
        <f t="shared" si="38"/>
        <v>2022</v>
      </c>
      <c r="C1223" s="2" t="str">
        <f t="shared" si="39"/>
        <v>KZN226</v>
      </c>
      <c r="D1223" s="2">
        <v>605</v>
      </c>
      <c r="F1223" s="625"/>
      <c r="G1223" s="625"/>
      <c r="H1223" s="625"/>
      <c r="I1223" s="625"/>
      <c r="J1223" s="625"/>
      <c r="K1223" s="625"/>
      <c r="L1223" s="625"/>
      <c r="M1223" s="626"/>
      <c r="N1223" s="626"/>
      <c r="O1223" s="626"/>
      <c r="P1223" s="626"/>
      <c r="Q1223" s="626"/>
      <c r="W1223" t="s">
        <v>2047</v>
      </c>
    </row>
    <row r="1224" spans="1:23" ht="13.15" customHeight="1" x14ac:dyDescent="0.2">
      <c r="A1224" s="2" t="s">
        <v>2199</v>
      </c>
      <c r="B1224" s="2">
        <f t="shared" si="38"/>
        <v>2022</v>
      </c>
      <c r="C1224" s="2" t="str">
        <f t="shared" si="39"/>
        <v>KZN226</v>
      </c>
      <c r="D1224" s="2">
        <v>606</v>
      </c>
      <c r="F1224" s="625"/>
      <c r="G1224" s="625"/>
      <c r="H1224" s="625"/>
      <c r="I1224" s="625"/>
      <c r="J1224" s="625"/>
      <c r="K1224" s="625"/>
      <c r="L1224" s="625"/>
      <c r="M1224" s="626"/>
      <c r="N1224" s="626"/>
      <c r="O1224" s="626"/>
      <c r="P1224" s="626"/>
      <c r="Q1224" s="626"/>
      <c r="W1224" t="s">
        <v>2047</v>
      </c>
    </row>
    <row r="1225" spans="1:23" ht="13.15" customHeight="1" x14ac:dyDescent="0.2">
      <c r="A1225" s="2" t="s">
        <v>2199</v>
      </c>
      <c r="B1225" s="2">
        <f t="shared" si="38"/>
        <v>2022</v>
      </c>
      <c r="C1225" s="2" t="str">
        <f t="shared" si="39"/>
        <v>KZN226</v>
      </c>
      <c r="D1225" s="2">
        <v>607</v>
      </c>
      <c r="F1225" s="625"/>
      <c r="G1225" s="625"/>
      <c r="H1225" s="625"/>
      <c r="I1225" s="625"/>
      <c r="J1225" s="625"/>
      <c r="K1225" s="625"/>
      <c r="L1225" s="625"/>
      <c r="M1225" s="626"/>
      <c r="N1225" s="626"/>
      <c r="O1225" s="626"/>
      <c r="P1225" s="626"/>
      <c r="Q1225" s="626"/>
      <c r="W1225" t="s">
        <v>2047</v>
      </c>
    </row>
    <row r="1226" spans="1:23" ht="13.15" customHeight="1" x14ac:dyDescent="0.2">
      <c r="A1226" s="2" t="s">
        <v>2199</v>
      </c>
      <c r="B1226" s="2">
        <f t="shared" si="38"/>
        <v>2022</v>
      </c>
      <c r="C1226" s="2" t="str">
        <f t="shared" si="39"/>
        <v>KZN226</v>
      </c>
      <c r="D1226" s="2">
        <v>608</v>
      </c>
      <c r="F1226" s="625"/>
      <c r="G1226" s="625"/>
      <c r="H1226" s="625"/>
      <c r="I1226" s="625"/>
      <c r="J1226" s="625"/>
      <c r="K1226" s="625"/>
      <c r="L1226" s="625"/>
      <c r="M1226" s="626"/>
      <c r="N1226" s="626"/>
      <c r="O1226" s="626"/>
      <c r="P1226" s="626"/>
      <c r="Q1226" s="626"/>
      <c r="W1226" t="s">
        <v>2047</v>
      </c>
    </row>
    <row r="1227" spans="1:23" ht="13.15" customHeight="1" x14ac:dyDescent="0.2">
      <c r="A1227" s="2" t="s">
        <v>2199</v>
      </c>
      <c r="B1227" s="2">
        <f t="shared" si="38"/>
        <v>2022</v>
      </c>
      <c r="C1227" s="2" t="str">
        <f t="shared" si="39"/>
        <v>KZN226</v>
      </c>
      <c r="D1227" s="2">
        <v>609</v>
      </c>
      <c r="F1227" s="625"/>
      <c r="G1227" s="625"/>
      <c r="H1227" s="625"/>
      <c r="I1227" s="625"/>
      <c r="J1227" s="625"/>
      <c r="K1227" s="625"/>
      <c r="L1227" s="625"/>
      <c r="M1227" s="626"/>
      <c r="N1227" s="626"/>
      <c r="O1227" s="626"/>
      <c r="P1227" s="626"/>
      <c r="Q1227" s="626"/>
      <c r="W1227" t="s">
        <v>2047</v>
      </c>
    </row>
    <row r="1228" spans="1:23" ht="13.15" customHeight="1" x14ac:dyDescent="0.2">
      <c r="A1228" s="2" t="s">
        <v>2199</v>
      </c>
      <c r="B1228" s="2">
        <f t="shared" si="38"/>
        <v>2022</v>
      </c>
      <c r="C1228" s="2" t="str">
        <f t="shared" si="39"/>
        <v>KZN226</v>
      </c>
      <c r="D1228" s="2">
        <v>610</v>
      </c>
      <c r="F1228" s="625"/>
      <c r="G1228" s="625"/>
      <c r="H1228" s="625"/>
      <c r="I1228" s="625"/>
      <c r="J1228" s="625"/>
      <c r="K1228" s="625"/>
      <c r="L1228" s="625"/>
      <c r="M1228" s="626"/>
      <c r="N1228" s="626"/>
      <c r="O1228" s="626"/>
      <c r="P1228" s="626"/>
      <c r="Q1228" s="626"/>
      <c r="W1228" t="s">
        <v>2047</v>
      </c>
    </row>
    <row r="1229" spans="1:23" ht="13.15" customHeight="1" x14ac:dyDescent="0.2">
      <c r="A1229" s="2" t="s">
        <v>2199</v>
      </c>
      <c r="B1229" s="2">
        <f t="shared" si="38"/>
        <v>2022</v>
      </c>
      <c r="C1229" s="2" t="str">
        <f t="shared" si="39"/>
        <v>KZN226</v>
      </c>
      <c r="D1229" s="2">
        <v>611</v>
      </c>
      <c r="F1229" s="625"/>
      <c r="G1229" s="625"/>
      <c r="H1229" s="625"/>
      <c r="I1229" s="625"/>
      <c r="J1229" s="625"/>
      <c r="K1229" s="625"/>
      <c r="L1229" s="625"/>
      <c r="M1229" s="626"/>
      <c r="N1229" s="626"/>
      <c r="O1229" s="626"/>
      <c r="P1229" s="626"/>
      <c r="Q1229" s="626"/>
      <c r="W1229" t="s">
        <v>2047</v>
      </c>
    </row>
    <row r="1230" spans="1:23" ht="13.15" customHeight="1" x14ac:dyDescent="0.2">
      <c r="A1230" s="2" t="s">
        <v>2199</v>
      </c>
      <c r="B1230" s="2">
        <f t="shared" si="38"/>
        <v>2022</v>
      </c>
      <c r="C1230" s="2" t="str">
        <f t="shared" si="39"/>
        <v>KZN226</v>
      </c>
      <c r="D1230" s="2">
        <v>612</v>
      </c>
      <c r="F1230" s="625"/>
      <c r="G1230" s="625"/>
      <c r="H1230" s="625"/>
      <c r="I1230" s="625"/>
      <c r="J1230" s="625"/>
      <c r="K1230" s="625"/>
      <c r="L1230" s="625"/>
      <c r="M1230" s="626"/>
      <c r="N1230" s="626"/>
      <c r="O1230" s="626"/>
      <c r="P1230" s="626"/>
      <c r="Q1230" s="626"/>
      <c r="W1230" t="s">
        <v>2047</v>
      </c>
    </row>
    <row r="1231" spans="1:23" ht="13.15" customHeight="1" x14ac:dyDescent="0.2">
      <c r="A1231" s="2" t="s">
        <v>2199</v>
      </c>
      <c r="B1231" s="2">
        <f t="shared" si="38"/>
        <v>2022</v>
      </c>
      <c r="C1231" s="2" t="str">
        <f t="shared" si="39"/>
        <v>KZN226</v>
      </c>
      <c r="D1231" s="2">
        <v>613</v>
      </c>
      <c r="F1231" s="625"/>
      <c r="G1231" s="625"/>
      <c r="H1231" s="625"/>
      <c r="I1231" s="625"/>
      <c r="J1231" s="625"/>
      <c r="K1231" s="625"/>
      <c r="L1231" s="625"/>
      <c r="M1231" s="626"/>
      <c r="N1231" s="626"/>
      <c r="O1231" s="626"/>
      <c r="P1231" s="626"/>
      <c r="Q1231" s="626"/>
      <c r="W1231" t="s">
        <v>2047</v>
      </c>
    </row>
    <row r="1232" spans="1:23" ht="13.15" customHeight="1" x14ac:dyDescent="0.2">
      <c r="A1232" s="2" t="s">
        <v>2199</v>
      </c>
      <c r="B1232" s="2">
        <f t="shared" si="38"/>
        <v>2022</v>
      </c>
      <c r="C1232" s="2" t="str">
        <f t="shared" si="39"/>
        <v>KZN226</v>
      </c>
      <c r="D1232" s="2">
        <v>614</v>
      </c>
      <c r="F1232" s="625"/>
      <c r="G1232" s="625"/>
      <c r="H1232" s="625"/>
      <c r="I1232" s="625"/>
      <c r="J1232" s="625"/>
      <c r="K1232" s="625"/>
      <c r="L1232" s="625"/>
      <c r="M1232" s="626"/>
      <c r="N1232" s="626"/>
      <c r="O1232" s="626"/>
      <c r="P1232" s="626"/>
      <c r="Q1232" s="626"/>
      <c r="W1232" t="s">
        <v>2047</v>
      </c>
    </row>
    <row r="1233" spans="1:23" ht="13.15" customHeight="1" x14ac:dyDescent="0.2">
      <c r="A1233" s="2" t="s">
        <v>2199</v>
      </c>
      <c r="B1233" s="2">
        <f t="shared" si="38"/>
        <v>2022</v>
      </c>
      <c r="C1233" s="2" t="str">
        <f t="shared" si="39"/>
        <v>KZN226</v>
      </c>
      <c r="D1233" s="2">
        <v>615</v>
      </c>
      <c r="F1233" s="625"/>
      <c r="G1233" s="625"/>
      <c r="H1233" s="625"/>
      <c r="I1233" s="625"/>
      <c r="J1233" s="625"/>
      <c r="K1233" s="625"/>
      <c r="L1233" s="625"/>
      <c r="M1233" s="626"/>
      <c r="N1233" s="626"/>
      <c r="O1233" s="626"/>
      <c r="P1233" s="626"/>
      <c r="Q1233" s="626"/>
      <c r="W1233" t="s">
        <v>2047</v>
      </c>
    </row>
    <row r="1234" spans="1:23" ht="13.15" customHeight="1" x14ac:dyDescent="0.2">
      <c r="A1234" s="2" t="s">
        <v>2199</v>
      </c>
      <c r="B1234" s="2">
        <f t="shared" si="38"/>
        <v>2022</v>
      </c>
      <c r="C1234" s="2" t="str">
        <f t="shared" si="39"/>
        <v>KZN226</v>
      </c>
      <c r="D1234" s="2">
        <v>616</v>
      </c>
      <c r="F1234" s="625"/>
      <c r="G1234" s="625"/>
      <c r="H1234" s="625"/>
      <c r="I1234" s="625"/>
      <c r="J1234" s="625"/>
      <c r="K1234" s="625"/>
      <c r="L1234" s="625"/>
      <c r="M1234" s="626"/>
      <c r="N1234" s="626"/>
      <c r="O1234" s="626"/>
      <c r="P1234" s="626"/>
      <c r="Q1234" s="626"/>
      <c r="W1234" t="s">
        <v>2047</v>
      </c>
    </row>
    <row r="1235" spans="1:23" ht="13.15" customHeight="1" x14ac:dyDescent="0.2">
      <c r="A1235" s="2" t="s">
        <v>2199</v>
      </c>
      <c r="B1235" s="2">
        <f t="shared" si="38"/>
        <v>2022</v>
      </c>
      <c r="C1235" s="2" t="str">
        <f t="shared" si="39"/>
        <v>KZN226</v>
      </c>
      <c r="D1235" s="2">
        <v>617</v>
      </c>
      <c r="F1235" s="625"/>
      <c r="G1235" s="625"/>
      <c r="H1235" s="625"/>
      <c r="I1235" s="625"/>
      <c r="J1235" s="625"/>
      <c r="K1235" s="625"/>
      <c r="L1235" s="625"/>
      <c r="M1235" s="626"/>
      <c r="N1235" s="626"/>
      <c r="O1235" s="626"/>
      <c r="P1235" s="626"/>
      <c r="Q1235" s="626"/>
      <c r="W1235" t="s">
        <v>2047</v>
      </c>
    </row>
    <row r="1236" spans="1:23" ht="13.15" customHeight="1" x14ac:dyDescent="0.2">
      <c r="A1236" s="2" t="s">
        <v>2199</v>
      </c>
      <c r="B1236" s="2">
        <f t="shared" si="38"/>
        <v>2022</v>
      </c>
      <c r="C1236" s="2" t="str">
        <f t="shared" si="39"/>
        <v>KZN226</v>
      </c>
      <c r="D1236" s="2">
        <v>618</v>
      </c>
      <c r="F1236" s="625"/>
      <c r="G1236" s="625"/>
      <c r="H1236" s="625"/>
      <c r="I1236" s="625"/>
      <c r="J1236" s="625"/>
      <c r="K1236" s="625"/>
      <c r="L1236" s="625"/>
      <c r="M1236" s="626"/>
      <c r="N1236" s="626"/>
      <c r="O1236" s="626"/>
      <c r="P1236" s="626"/>
      <c r="Q1236" s="626"/>
      <c r="W1236" t="s">
        <v>2047</v>
      </c>
    </row>
    <row r="1237" spans="1:23" ht="13.15" customHeight="1" x14ac:dyDescent="0.2">
      <c r="A1237" s="2" t="s">
        <v>2199</v>
      </c>
      <c r="B1237" s="2">
        <f t="shared" si="38"/>
        <v>2022</v>
      </c>
      <c r="C1237" s="2" t="str">
        <f t="shared" si="39"/>
        <v>KZN226</v>
      </c>
      <c r="D1237" s="2">
        <v>619</v>
      </c>
      <c r="F1237" s="625"/>
      <c r="G1237" s="625"/>
      <c r="H1237" s="625"/>
      <c r="I1237" s="625"/>
      <c r="J1237" s="625"/>
      <c r="K1237" s="625"/>
      <c r="L1237" s="625"/>
      <c r="M1237" s="626"/>
      <c r="N1237" s="626"/>
      <c r="O1237" s="626"/>
      <c r="P1237" s="626"/>
      <c r="Q1237" s="626"/>
      <c r="W1237" t="s">
        <v>2047</v>
      </c>
    </row>
    <row r="1238" spans="1:23" ht="13.15" customHeight="1" x14ac:dyDescent="0.2">
      <c r="A1238" s="2" t="s">
        <v>2199</v>
      </c>
      <c r="B1238" s="2">
        <f t="shared" si="38"/>
        <v>2022</v>
      </c>
      <c r="C1238" s="2" t="str">
        <f t="shared" si="39"/>
        <v>KZN226</v>
      </c>
      <c r="D1238" s="2">
        <v>620</v>
      </c>
      <c r="F1238" s="625"/>
      <c r="G1238" s="625"/>
      <c r="H1238" s="625"/>
      <c r="I1238" s="625"/>
      <c r="J1238" s="625"/>
      <c r="K1238" s="625"/>
      <c r="L1238" s="625"/>
      <c r="M1238" s="626"/>
      <c r="N1238" s="626"/>
      <c r="O1238" s="626"/>
      <c r="P1238" s="626"/>
      <c r="Q1238" s="626"/>
      <c r="W1238" t="s">
        <v>2047</v>
      </c>
    </row>
    <row r="1239" spans="1:23" ht="13.15" customHeight="1" x14ac:dyDescent="0.2">
      <c r="A1239" s="2" t="s">
        <v>2199</v>
      </c>
      <c r="B1239" s="2">
        <f t="shared" si="38"/>
        <v>2022</v>
      </c>
      <c r="C1239" s="2" t="str">
        <f t="shared" si="39"/>
        <v>KZN226</v>
      </c>
      <c r="D1239" s="2">
        <v>621</v>
      </c>
      <c r="F1239" s="625"/>
      <c r="G1239" s="625"/>
      <c r="H1239" s="625"/>
      <c r="I1239" s="625"/>
      <c r="J1239" s="625"/>
      <c r="K1239" s="625"/>
      <c r="L1239" s="625"/>
      <c r="M1239" s="626"/>
      <c r="N1239" s="626"/>
      <c r="O1239" s="626"/>
      <c r="P1239" s="626"/>
      <c r="Q1239" s="626"/>
      <c r="W1239" t="s">
        <v>2047</v>
      </c>
    </row>
    <row r="1240" spans="1:23" ht="13.15" customHeight="1" x14ac:dyDescent="0.2">
      <c r="A1240" s="2" t="s">
        <v>2199</v>
      </c>
      <c r="B1240" s="2">
        <f t="shared" si="38"/>
        <v>2022</v>
      </c>
      <c r="C1240" s="2" t="str">
        <f t="shared" si="39"/>
        <v>KZN226</v>
      </c>
      <c r="D1240" s="2">
        <v>622</v>
      </c>
      <c r="F1240" s="625"/>
      <c r="G1240" s="625"/>
      <c r="H1240" s="625"/>
      <c r="I1240" s="625"/>
      <c r="J1240" s="625"/>
      <c r="K1240" s="625"/>
      <c r="L1240" s="625"/>
      <c r="M1240" s="626"/>
      <c r="N1240" s="626"/>
      <c r="O1240" s="626"/>
      <c r="P1240" s="626"/>
      <c r="Q1240" s="626"/>
      <c r="W1240" t="s">
        <v>2047</v>
      </c>
    </row>
    <row r="1241" spans="1:23" ht="13.15" customHeight="1" x14ac:dyDescent="0.2">
      <c r="A1241" s="2" t="s">
        <v>2199</v>
      </c>
      <c r="B1241" s="2">
        <f t="shared" si="38"/>
        <v>2022</v>
      </c>
      <c r="C1241" s="2" t="str">
        <f t="shared" si="39"/>
        <v>KZN226</v>
      </c>
      <c r="D1241" s="2">
        <v>623</v>
      </c>
      <c r="F1241" s="625"/>
      <c r="G1241" s="625"/>
      <c r="H1241" s="625"/>
      <c r="I1241" s="625"/>
      <c r="J1241" s="625"/>
      <c r="K1241" s="625"/>
      <c r="L1241" s="625"/>
      <c r="M1241" s="626"/>
      <c r="N1241" s="626"/>
      <c r="O1241" s="626"/>
      <c r="P1241" s="626"/>
      <c r="Q1241" s="626"/>
      <c r="W1241" t="s">
        <v>2047</v>
      </c>
    </row>
    <row r="1242" spans="1:23" ht="13.15" customHeight="1" x14ac:dyDescent="0.2">
      <c r="A1242" s="2" t="s">
        <v>2199</v>
      </c>
      <c r="B1242" s="2">
        <f t="shared" si="38"/>
        <v>2022</v>
      </c>
      <c r="C1242" s="2" t="str">
        <f t="shared" si="39"/>
        <v>KZN226</v>
      </c>
      <c r="D1242" s="2">
        <v>624</v>
      </c>
      <c r="F1242" s="625"/>
      <c r="G1242" s="625"/>
      <c r="H1242" s="625"/>
      <c r="I1242" s="625"/>
      <c r="J1242" s="625"/>
      <c r="K1242" s="625"/>
      <c r="L1242" s="625"/>
      <c r="M1242" s="626"/>
      <c r="N1242" s="626"/>
      <c r="O1242" s="626"/>
      <c r="P1242" s="626"/>
      <c r="Q1242" s="626"/>
      <c r="W1242" t="s">
        <v>2047</v>
      </c>
    </row>
    <row r="1243" spans="1:23" ht="13.15" customHeight="1" x14ac:dyDescent="0.2">
      <c r="A1243" s="2" t="s">
        <v>2199</v>
      </c>
      <c r="B1243" s="2">
        <f t="shared" si="38"/>
        <v>2022</v>
      </c>
      <c r="C1243" s="2" t="str">
        <f t="shared" si="39"/>
        <v>KZN226</v>
      </c>
      <c r="D1243" s="2">
        <v>625</v>
      </c>
      <c r="F1243" s="625"/>
      <c r="G1243" s="625"/>
      <c r="H1243" s="625"/>
      <c r="I1243" s="625"/>
      <c r="J1243" s="625"/>
      <c r="K1243" s="625"/>
      <c r="L1243" s="625"/>
      <c r="M1243" s="626"/>
      <c r="N1243" s="626"/>
      <c r="O1243" s="626"/>
      <c r="P1243" s="626"/>
      <c r="Q1243" s="626"/>
      <c r="W1243" t="s">
        <v>2047</v>
      </c>
    </row>
    <row r="1244" spans="1:23" ht="13.15" customHeight="1" x14ac:dyDescent="0.2">
      <c r="A1244" s="2" t="s">
        <v>2199</v>
      </c>
      <c r="B1244" s="2">
        <f t="shared" si="38"/>
        <v>2022</v>
      </c>
      <c r="C1244" s="2" t="str">
        <f t="shared" si="39"/>
        <v>KZN226</v>
      </c>
      <c r="D1244" s="2">
        <v>626</v>
      </c>
      <c r="F1244" s="625"/>
      <c r="G1244" s="625"/>
      <c r="H1244" s="625"/>
      <c r="I1244" s="625"/>
      <c r="J1244" s="625"/>
      <c r="K1244" s="625"/>
      <c r="L1244" s="625"/>
      <c r="M1244" s="626"/>
      <c r="N1244" s="626"/>
      <c r="O1244" s="626"/>
      <c r="P1244" s="626"/>
      <c r="Q1244" s="626"/>
      <c r="W1244" t="s">
        <v>2047</v>
      </c>
    </row>
    <row r="1245" spans="1:23" ht="13.15" customHeight="1" x14ac:dyDescent="0.2">
      <c r="A1245" s="2" t="s">
        <v>2199</v>
      </c>
      <c r="B1245" s="2">
        <f t="shared" si="38"/>
        <v>2022</v>
      </c>
      <c r="C1245" s="2" t="str">
        <f t="shared" si="39"/>
        <v>KZN226</v>
      </c>
      <c r="D1245" s="2">
        <v>627</v>
      </c>
      <c r="F1245" s="625"/>
      <c r="G1245" s="625"/>
      <c r="H1245" s="625"/>
      <c r="I1245" s="625"/>
      <c r="J1245" s="625"/>
      <c r="K1245" s="625"/>
      <c r="L1245" s="625"/>
      <c r="M1245" s="626"/>
      <c r="N1245" s="626"/>
      <c r="O1245" s="626"/>
      <c r="P1245" s="626"/>
      <c r="Q1245" s="626"/>
      <c r="W1245" t="s">
        <v>2047</v>
      </c>
    </row>
    <row r="1246" spans="1:23" ht="13.15" customHeight="1" x14ac:dyDescent="0.2">
      <c r="A1246" s="2" t="s">
        <v>2199</v>
      </c>
      <c r="B1246" s="2">
        <f t="shared" si="38"/>
        <v>2022</v>
      </c>
      <c r="C1246" s="2" t="str">
        <f t="shared" si="39"/>
        <v>KZN226</v>
      </c>
      <c r="D1246" s="2">
        <v>628</v>
      </c>
      <c r="F1246" s="625"/>
      <c r="G1246" s="625"/>
      <c r="H1246" s="625"/>
      <c r="I1246" s="625"/>
      <c r="J1246" s="625"/>
      <c r="K1246" s="625"/>
      <c r="L1246" s="625"/>
      <c r="M1246" s="626"/>
      <c r="N1246" s="626"/>
      <c r="O1246" s="626"/>
      <c r="P1246" s="626"/>
      <c r="Q1246" s="626"/>
      <c r="W1246" t="s">
        <v>2047</v>
      </c>
    </row>
    <row r="1247" spans="1:23" ht="13.15" customHeight="1" x14ac:dyDescent="0.2">
      <c r="A1247" s="2" t="s">
        <v>2199</v>
      </c>
      <c r="B1247" s="2">
        <f t="shared" si="38"/>
        <v>2022</v>
      </c>
      <c r="C1247" s="2" t="str">
        <f t="shared" si="39"/>
        <v>KZN226</v>
      </c>
      <c r="D1247" s="2">
        <v>629</v>
      </c>
      <c r="F1247" s="625"/>
      <c r="G1247" s="625"/>
      <c r="H1247" s="625"/>
      <c r="I1247" s="625"/>
      <c r="J1247" s="625"/>
      <c r="K1247" s="625"/>
      <c r="L1247" s="625"/>
      <c r="M1247" s="626"/>
      <c r="N1247" s="626"/>
      <c r="O1247" s="626"/>
      <c r="P1247" s="626"/>
      <c r="Q1247" s="626"/>
      <c r="W1247" t="s">
        <v>2047</v>
      </c>
    </row>
    <row r="1248" spans="1:23" ht="13.15" customHeight="1" x14ac:dyDescent="0.2">
      <c r="A1248" s="2" t="s">
        <v>2199</v>
      </c>
      <c r="B1248" s="2">
        <f t="shared" si="38"/>
        <v>2022</v>
      </c>
      <c r="C1248" s="2" t="str">
        <f t="shared" si="39"/>
        <v>KZN226</v>
      </c>
      <c r="D1248" s="2">
        <v>630</v>
      </c>
      <c r="F1248" s="625"/>
      <c r="G1248" s="625"/>
      <c r="H1248" s="625"/>
      <c r="I1248" s="625"/>
      <c r="J1248" s="625"/>
      <c r="K1248" s="625"/>
      <c r="L1248" s="625"/>
      <c r="M1248" s="626"/>
      <c r="N1248" s="626"/>
      <c r="O1248" s="626"/>
      <c r="P1248" s="626"/>
      <c r="Q1248" s="626"/>
      <c r="W1248" t="s">
        <v>2047</v>
      </c>
    </row>
    <row r="1249" spans="1:23" ht="13.15" customHeight="1" x14ac:dyDescent="0.2">
      <c r="A1249" s="2" t="s">
        <v>2199</v>
      </c>
      <c r="B1249" s="2">
        <f t="shared" si="38"/>
        <v>2022</v>
      </c>
      <c r="C1249" s="2" t="str">
        <f t="shared" si="39"/>
        <v>KZN226</v>
      </c>
      <c r="D1249" s="2">
        <v>631</v>
      </c>
      <c r="F1249" s="625"/>
      <c r="G1249" s="625"/>
      <c r="H1249" s="625"/>
      <c r="I1249" s="625"/>
      <c r="J1249" s="625"/>
      <c r="K1249" s="625"/>
      <c r="L1249" s="625"/>
      <c r="M1249" s="626"/>
      <c r="N1249" s="626"/>
      <c r="O1249" s="626"/>
      <c r="P1249" s="626"/>
      <c r="Q1249" s="626"/>
      <c r="W1249" t="s">
        <v>2047</v>
      </c>
    </row>
    <row r="1250" spans="1:23" ht="13.15" customHeight="1" x14ac:dyDescent="0.2">
      <c r="A1250" s="2" t="s">
        <v>2199</v>
      </c>
      <c r="B1250" s="2">
        <f t="shared" si="38"/>
        <v>2022</v>
      </c>
      <c r="C1250" s="2" t="str">
        <f t="shared" si="39"/>
        <v>KZN226</v>
      </c>
      <c r="D1250" s="2">
        <v>632</v>
      </c>
      <c r="F1250" s="625"/>
      <c r="G1250" s="625"/>
      <c r="H1250" s="625"/>
      <c r="I1250" s="625"/>
      <c r="J1250" s="625"/>
      <c r="K1250" s="625"/>
      <c r="L1250" s="625"/>
      <c r="M1250" s="626"/>
      <c r="N1250" s="626"/>
      <c r="O1250" s="626"/>
      <c r="P1250" s="626"/>
      <c r="Q1250" s="626"/>
      <c r="W1250" t="s">
        <v>2047</v>
      </c>
    </row>
    <row r="1251" spans="1:23" ht="13.15" customHeight="1" x14ac:dyDescent="0.2">
      <c r="A1251" s="2" t="s">
        <v>2199</v>
      </c>
      <c r="B1251" s="2">
        <f t="shared" si="38"/>
        <v>2022</v>
      </c>
      <c r="C1251" s="2" t="str">
        <f t="shared" si="39"/>
        <v>KZN226</v>
      </c>
      <c r="D1251" s="2">
        <v>633</v>
      </c>
      <c r="F1251" s="625"/>
      <c r="G1251" s="625"/>
      <c r="H1251" s="625"/>
      <c r="I1251" s="625"/>
      <c r="J1251" s="625"/>
      <c r="K1251" s="625"/>
      <c r="L1251" s="625"/>
      <c r="M1251" s="626"/>
      <c r="N1251" s="626"/>
      <c r="O1251" s="626"/>
      <c r="P1251" s="626"/>
      <c r="Q1251" s="626"/>
      <c r="W1251" t="s">
        <v>2047</v>
      </c>
    </row>
    <row r="1252" spans="1:23" ht="13.15" customHeight="1" x14ac:dyDescent="0.2">
      <c r="A1252" s="2" t="s">
        <v>2199</v>
      </c>
      <c r="B1252" s="2">
        <f t="shared" si="38"/>
        <v>2022</v>
      </c>
      <c r="C1252" s="2" t="str">
        <f t="shared" si="39"/>
        <v>KZN226</v>
      </c>
      <c r="D1252" s="2">
        <v>634</v>
      </c>
      <c r="F1252" s="625"/>
      <c r="G1252" s="625"/>
      <c r="H1252" s="625"/>
      <c r="I1252" s="625"/>
      <c r="J1252" s="625"/>
      <c r="K1252" s="625"/>
      <c r="L1252" s="625"/>
      <c r="M1252" s="626"/>
      <c r="N1252" s="626"/>
      <c r="O1252" s="626"/>
      <c r="P1252" s="626"/>
      <c r="Q1252" s="626"/>
      <c r="W1252" t="s">
        <v>2047</v>
      </c>
    </row>
    <row r="1253" spans="1:23" ht="13.15" customHeight="1" x14ac:dyDescent="0.2">
      <c r="A1253" s="2" t="s">
        <v>2199</v>
      </c>
      <c r="B1253" s="2">
        <f t="shared" si="38"/>
        <v>2022</v>
      </c>
      <c r="C1253" s="2" t="str">
        <f t="shared" si="39"/>
        <v>KZN226</v>
      </c>
      <c r="D1253" s="2">
        <v>635</v>
      </c>
      <c r="F1253" s="625"/>
      <c r="G1253" s="625"/>
      <c r="H1253" s="625"/>
      <c r="I1253" s="625"/>
      <c r="J1253" s="625"/>
      <c r="K1253" s="625"/>
      <c r="L1253" s="625"/>
      <c r="M1253" s="626"/>
      <c r="N1253" s="626"/>
      <c r="O1253" s="626"/>
      <c r="P1253" s="626"/>
      <c r="Q1253" s="626"/>
      <c r="W1253" t="s">
        <v>2047</v>
      </c>
    </row>
    <row r="1254" spans="1:23" ht="13.15" customHeight="1" x14ac:dyDescent="0.2">
      <c r="A1254" s="2" t="s">
        <v>2199</v>
      </c>
      <c r="B1254" s="2">
        <f t="shared" si="38"/>
        <v>2022</v>
      </c>
      <c r="C1254" s="2" t="str">
        <f t="shared" si="39"/>
        <v>KZN226</v>
      </c>
      <c r="D1254" s="2">
        <v>636</v>
      </c>
      <c r="F1254" s="625"/>
      <c r="G1254" s="625"/>
      <c r="H1254" s="625"/>
      <c r="I1254" s="625"/>
      <c r="J1254" s="625"/>
      <c r="K1254" s="625"/>
      <c r="L1254" s="625"/>
      <c r="M1254" s="626"/>
      <c r="N1254" s="626"/>
      <c r="O1254" s="626"/>
      <c r="P1254" s="626"/>
      <c r="Q1254" s="626"/>
      <c r="W1254" t="s">
        <v>2047</v>
      </c>
    </row>
    <row r="1255" spans="1:23" ht="13.15" customHeight="1" x14ac:dyDescent="0.2">
      <c r="A1255" s="2" t="s">
        <v>2199</v>
      </c>
      <c r="B1255" s="2">
        <f t="shared" si="38"/>
        <v>2022</v>
      </c>
      <c r="C1255" s="2" t="str">
        <f t="shared" si="39"/>
        <v>KZN226</v>
      </c>
      <c r="D1255" s="2">
        <v>637</v>
      </c>
      <c r="F1255" s="625"/>
      <c r="G1255" s="625"/>
      <c r="H1255" s="625"/>
      <c r="I1255" s="625"/>
      <c r="J1255" s="625"/>
      <c r="K1255" s="625"/>
      <c r="L1255" s="625"/>
      <c r="M1255" s="626"/>
      <c r="N1255" s="626"/>
      <c r="O1255" s="626"/>
      <c r="P1255" s="626"/>
      <c r="Q1255" s="626"/>
      <c r="W1255" t="s">
        <v>2047</v>
      </c>
    </row>
    <row r="1256" spans="1:23" ht="13.15" customHeight="1" x14ac:dyDescent="0.2">
      <c r="A1256" s="2" t="s">
        <v>2199</v>
      </c>
      <c r="B1256" s="2">
        <f t="shared" si="38"/>
        <v>2022</v>
      </c>
      <c r="C1256" s="2" t="str">
        <f t="shared" si="39"/>
        <v>KZN226</v>
      </c>
      <c r="D1256" s="2">
        <v>638</v>
      </c>
      <c r="F1256" s="625"/>
      <c r="G1256" s="625"/>
      <c r="H1256" s="625"/>
      <c r="I1256" s="625"/>
      <c r="J1256" s="625"/>
      <c r="K1256" s="625"/>
      <c r="L1256" s="625"/>
      <c r="M1256" s="626"/>
      <c r="N1256" s="626"/>
      <c r="O1256" s="626"/>
      <c r="P1256" s="626"/>
      <c r="Q1256" s="626"/>
      <c r="W1256" t="s">
        <v>2047</v>
      </c>
    </row>
    <row r="1257" spans="1:23" ht="13.15" customHeight="1" x14ac:dyDescent="0.2">
      <c r="A1257" s="2" t="s">
        <v>2199</v>
      </c>
      <c r="B1257" s="2">
        <f t="shared" si="38"/>
        <v>2022</v>
      </c>
      <c r="C1257" s="2" t="str">
        <f t="shared" si="39"/>
        <v>KZN226</v>
      </c>
      <c r="D1257" s="2">
        <v>639</v>
      </c>
      <c r="F1257" s="625"/>
      <c r="G1257" s="625"/>
      <c r="H1257" s="625"/>
      <c r="I1257" s="625"/>
      <c r="J1257" s="625"/>
      <c r="K1257" s="625"/>
      <c r="L1257" s="625"/>
      <c r="M1257" s="626"/>
      <c r="N1257" s="626"/>
      <c r="O1257" s="626"/>
      <c r="P1257" s="626"/>
      <c r="Q1257" s="626"/>
      <c r="W1257" t="s">
        <v>2047</v>
      </c>
    </row>
    <row r="1258" spans="1:23" ht="13.15" customHeight="1" x14ac:dyDescent="0.2">
      <c r="A1258" s="2" t="s">
        <v>2199</v>
      </c>
      <c r="B1258" s="2">
        <f t="shared" si="38"/>
        <v>2022</v>
      </c>
      <c r="C1258" s="2" t="str">
        <f t="shared" si="39"/>
        <v>KZN226</v>
      </c>
      <c r="D1258" s="2">
        <v>640</v>
      </c>
      <c r="F1258" s="625"/>
      <c r="G1258" s="625"/>
      <c r="H1258" s="625"/>
      <c r="I1258" s="625"/>
      <c r="J1258" s="625"/>
      <c r="K1258" s="625"/>
      <c r="L1258" s="625"/>
      <c r="M1258" s="626"/>
      <c r="N1258" s="626"/>
      <c r="O1258" s="626"/>
      <c r="P1258" s="626"/>
      <c r="Q1258" s="626"/>
      <c r="W1258" t="s">
        <v>2047</v>
      </c>
    </row>
    <row r="1259" spans="1:23" ht="13.15" customHeight="1" x14ac:dyDescent="0.2">
      <c r="A1259" s="2" t="s">
        <v>2199</v>
      </c>
      <c r="B1259" s="2">
        <f t="shared" si="38"/>
        <v>2022</v>
      </c>
      <c r="C1259" s="2" t="str">
        <f t="shared" si="39"/>
        <v>KZN226</v>
      </c>
      <c r="D1259" s="2">
        <v>641</v>
      </c>
      <c r="F1259" s="625"/>
      <c r="G1259" s="625"/>
      <c r="H1259" s="625"/>
      <c r="I1259" s="625"/>
      <c r="J1259" s="625"/>
      <c r="K1259" s="625"/>
      <c r="L1259" s="625"/>
      <c r="M1259" s="626"/>
      <c r="N1259" s="626"/>
      <c r="O1259" s="626"/>
      <c r="P1259" s="626"/>
      <c r="Q1259" s="626"/>
      <c r="W1259" t="s">
        <v>2047</v>
      </c>
    </row>
    <row r="1260" spans="1:23" ht="13.15" customHeight="1" x14ac:dyDescent="0.2">
      <c r="A1260" s="2" t="s">
        <v>2199</v>
      </c>
      <c r="B1260" s="2">
        <f t="shared" si="38"/>
        <v>2022</v>
      </c>
      <c r="C1260" s="2" t="str">
        <f t="shared" si="39"/>
        <v>KZN226</v>
      </c>
      <c r="D1260" s="2">
        <v>642</v>
      </c>
      <c r="F1260" s="625"/>
      <c r="G1260" s="625"/>
      <c r="H1260" s="625"/>
      <c r="I1260" s="625"/>
      <c r="J1260" s="625"/>
      <c r="K1260" s="625"/>
      <c r="L1260" s="625"/>
      <c r="M1260" s="626"/>
      <c r="N1260" s="626"/>
      <c r="O1260" s="626"/>
      <c r="P1260" s="626"/>
      <c r="Q1260" s="626"/>
      <c r="W1260" t="s">
        <v>2047</v>
      </c>
    </row>
    <row r="1261" spans="1:23" ht="13.15" customHeight="1" x14ac:dyDescent="0.2">
      <c r="A1261" s="2" t="s">
        <v>2199</v>
      </c>
      <c r="B1261" s="2">
        <f t="shared" si="38"/>
        <v>2022</v>
      </c>
      <c r="C1261" s="2" t="str">
        <f t="shared" si="39"/>
        <v>KZN226</v>
      </c>
      <c r="D1261" s="2">
        <v>643</v>
      </c>
      <c r="F1261" s="625"/>
      <c r="G1261" s="625"/>
      <c r="H1261" s="625"/>
      <c r="I1261" s="625"/>
      <c r="J1261" s="625"/>
      <c r="K1261" s="625"/>
      <c r="L1261" s="625"/>
      <c r="M1261" s="626"/>
      <c r="N1261" s="626"/>
      <c r="O1261" s="626"/>
      <c r="P1261" s="626"/>
      <c r="Q1261" s="626"/>
      <c r="W1261" t="s">
        <v>2047</v>
      </c>
    </row>
    <row r="1262" spans="1:23" ht="13.15" customHeight="1" x14ac:dyDescent="0.2">
      <c r="A1262" s="2" t="s">
        <v>2199</v>
      </c>
      <c r="B1262" s="2">
        <f t="shared" si="38"/>
        <v>2022</v>
      </c>
      <c r="C1262" s="2" t="str">
        <f t="shared" si="39"/>
        <v>KZN226</v>
      </c>
      <c r="D1262" s="2">
        <v>644</v>
      </c>
      <c r="F1262" s="625"/>
      <c r="G1262" s="625"/>
      <c r="H1262" s="625"/>
      <c r="I1262" s="625"/>
      <c r="J1262" s="625"/>
      <c r="K1262" s="625"/>
      <c r="L1262" s="625"/>
      <c r="M1262" s="626"/>
      <c r="N1262" s="626"/>
      <c r="O1262" s="626"/>
      <c r="P1262" s="626"/>
      <c r="Q1262" s="626"/>
      <c r="W1262" t="s">
        <v>2047</v>
      </c>
    </row>
    <row r="1263" spans="1:23" ht="13.15" customHeight="1" x14ac:dyDescent="0.2">
      <c r="A1263" s="2" t="s">
        <v>2199</v>
      </c>
      <c r="B1263" s="2">
        <f t="shared" si="38"/>
        <v>2022</v>
      </c>
      <c r="C1263" s="2" t="str">
        <f t="shared" si="39"/>
        <v>KZN226</v>
      </c>
      <c r="D1263" s="2">
        <v>645</v>
      </c>
      <c r="F1263" s="625"/>
      <c r="G1263" s="625"/>
      <c r="H1263" s="625"/>
      <c r="I1263" s="625"/>
      <c r="J1263" s="625"/>
      <c r="K1263" s="625"/>
      <c r="L1263" s="625"/>
      <c r="M1263" s="626"/>
      <c r="N1263" s="626"/>
      <c r="O1263" s="626"/>
      <c r="P1263" s="626"/>
      <c r="Q1263" s="626"/>
      <c r="W1263" t="s">
        <v>2047</v>
      </c>
    </row>
    <row r="1264" spans="1:23" ht="13.15" customHeight="1" x14ac:dyDescent="0.2">
      <c r="A1264" s="2" t="s">
        <v>2199</v>
      </c>
      <c r="B1264" s="2">
        <f t="shared" si="38"/>
        <v>2022</v>
      </c>
      <c r="C1264" s="2" t="str">
        <f t="shared" si="39"/>
        <v>KZN226</v>
      </c>
      <c r="D1264" s="2">
        <v>646</v>
      </c>
      <c r="F1264" s="625"/>
      <c r="G1264" s="625"/>
      <c r="H1264" s="625"/>
      <c r="I1264" s="625"/>
      <c r="J1264" s="625"/>
      <c r="K1264" s="625"/>
      <c r="L1264" s="625"/>
      <c r="M1264" s="626"/>
      <c r="N1264" s="626"/>
      <c r="O1264" s="626"/>
      <c r="P1264" s="626"/>
      <c r="Q1264" s="626"/>
      <c r="W1264" t="s">
        <v>2047</v>
      </c>
    </row>
    <row r="1265" spans="1:23" ht="13.15" customHeight="1" x14ac:dyDescent="0.2">
      <c r="A1265" s="2" t="s">
        <v>2199</v>
      </c>
      <c r="B1265" s="2">
        <f t="shared" si="38"/>
        <v>2022</v>
      </c>
      <c r="C1265" s="2" t="str">
        <f t="shared" si="39"/>
        <v>KZN226</v>
      </c>
      <c r="D1265" s="2">
        <v>647</v>
      </c>
      <c r="F1265" s="625"/>
      <c r="G1265" s="625"/>
      <c r="H1265" s="625"/>
      <c r="I1265" s="625"/>
      <c r="J1265" s="625"/>
      <c r="K1265" s="625"/>
      <c r="L1265" s="625"/>
      <c r="M1265" s="626"/>
      <c r="N1265" s="626"/>
      <c r="O1265" s="626"/>
      <c r="P1265" s="626"/>
      <c r="Q1265" s="626"/>
      <c r="W1265" t="s">
        <v>2047</v>
      </c>
    </row>
    <row r="1266" spans="1:23" ht="13.15" customHeight="1" x14ac:dyDescent="0.2">
      <c r="A1266" s="2" t="s">
        <v>2199</v>
      </c>
      <c r="B1266" s="2">
        <f t="shared" si="38"/>
        <v>2022</v>
      </c>
      <c r="C1266" s="2" t="str">
        <f t="shared" si="39"/>
        <v>KZN226</v>
      </c>
      <c r="D1266" s="2">
        <v>648</v>
      </c>
      <c r="F1266" s="625"/>
      <c r="G1266" s="625"/>
      <c r="H1266" s="625"/>
      <c r="I1266" s="625"/>
      <c r="J1266" s="625"/>
      <c r="K1266" s="625"/>
      <c r="L1266" s="625"/>
      <c r="M1266" s="626"/>
      <c r="N1266" s="626"/>
      <c r="O1266" s="626"/>
      <c r="P1266" s="626"/>
      <c r="Q1266" s="626"/>
      <c r="W1266" t="s">
        <v>2047</v>
      </c>
    </row>
    <row r="1267" spans="1:23" ht="13.15" customHeight="1" x14ac:dyDescent="0.2">
      <c r="A1267" s="2" t="s">
        <v>2199</v>
      </c>
      <c r="B1267" s="2">
        <f t="shared" si="38"/>
        <v>2022</v>
      </c>
      <c r="C1267" s="2" t="str">
        <f t="shared" si="39"/>
        <v>KZN226</v>
      </c>
      <c r="D1267" s="2">
        <v>649</v>
      </c>
      <c r="F1267" s="625"/>
      <c r="G1267" s="625"/>
      <c r="H1267" s="625"/>
      <c r="I1267" s="625"/>
      <c r="J1267" s="625"/>
      <c r="K1267" s="625"/>
      <c r="L1267" s="625"/>
      <c r="M1267" s="626"/>
      <c r="N1267" s="626"/>
      <c r="O1267" s="626"/>
      <c r="P1267" s="626"/>
      <c r="Q1267" s="626"/>
      <c r="W1267" t="s">
        <v>2047</v>
      </c>
    </row>
    <row r="1268" spans="1:23" ht="13.15" customHeight="1" x14ac:dyDescent="0.2">
      <c r="A1268" s="2" t="s">
        <v>2199</v>
      </c>
      <c r="B1268" s="2">
        <f t="shared" si="38"/>
        <v>2022</v>
      </c>
      <c r="C1268" s="2" t="str">
        <f t="shared" si="39"/>
        <v>KZN226</v>
      </c>
      <c r="D1268" s="2">
        <v>650</v>
      </c>
      <c r="F1268" s="625"/>
      <c r="G1268" s="625"/>
      <c r="H1268" s="625"/>
      <c r="I1268" s="625"/>
      <c r="J1268" s="625"/>
      <c r="K1268" s="625"/>
      <c r="L1268" s="625"/>
      <c r="M1268" s="626"/>
      <c r="N1268" s="626"/>
      <c r="O1268" s="626"/>
      <c r="P1268" s="626"/>
      <c r="Q1268" s="626"/>
      <c r="W1268" t="s">
        <v>2047</v>
      </c>
    </row>
    <row r="1269" spans="1:23" ht="13.15" customHeight="1" x14ac:dyDescent="0.2">
      <c r="A1269" s="2" t="s">
        <v>2199</v>
      </c>
      <c r="B1269" s="2">
        <f t="shared" si="38"/>
        <v>2022</v>
      </c>
      <c r="C1269" s="2" t="str">
        <f t="shared" si="39"/>
        <v>KZN226</v>
      </c>
      <c r="D1269" s="2">
        <v>651</v>
      </c>
      <c r="F1269" s="625"/>
      <c r="G1269" s="625"/>
      <c r="H1269" s="625"/>
      <c r="I1269" s="625"/>
      <c r="J1269" s="625"/>
      <c r="K1269" s="625"/>
      <c r="L1269" s="625"/>
      <c r="M1269" s="626"/>
      <c r="N1269" s="626"/>
      <c r="O1269" s="626"/>
      <c r="P1269" s="626"/>
      <c r="Q1269" s="626"/>
      <c r="W1269" t="s">
        <v>2047</v>
      </c>
    </row>
    <row r="1270" spans="1:23" ht="13.15" customHeight="1" x14ac:dyDescent="0.2">
      <c r="A1270" s="2" t="s">
        <v>2199</v>
      </c>
      <c r="B1270" s="2">
        <f t="shared" si="38"/>
        <v>2022</v>
      </c>
      <c r="C1270" s="2" t="str">
        <f t="shared" si="39"/>
        <v>KZN226</v>
      </c>
      <c r="D1270" s="2">
        <v>652</v>
      </c>
      <c r="F1270" s="625"/>
      <c r="G1270" s="625"/>
      <c r="H1270" s="625"/>
      <c r="I1270" s="625"/>
      <c r="J1270" s="625"/>
      <c r="K1270" s="625"/>
      <c r="L1270" s="625"/>
      <c r="M1270" s="626"/>
      <c r="N1270" s="626"/>
      <c r="O1270" s="626"/>
      <c r="P1270" s="626"/>
      <c r="Q1270" s="626"/>
      <c r="W1270" t="s">
        <v>2047</v>
      </c>
    </row>
    <row r="1271" spans="1:23" ht="13.15" customHeight="1" x14ac:dyDescent="0.2">
      <c r="A1271" s="2" t="s">
        <v>2199</v>
      </c>
      <c r="B1271" s="2">
        <f t="shared" si="38"/>
        <v>2022</v>
      </c>
      <c r="C1271" s="2" t="str">
        <f t="shared" si="39"/>
        <v>KZN226</v>
      </c>
      <c r="D1271" s="2">
        <v>653</v>
      </c>
      <c r="F1271" s="625"/>
      <c r="G1271" s="625"/>
      <c r="H1271" s="625"/>
      <c r="I1271" s="625"/>
      <c r="J1271" s="625"/>
      <c r="K1271" s="625"/>
      <c r="L1271" s="625"/>
      <c r="M1271" s="626"/>
      <c r="N1271" s="626"/>
      <c r="O1271" s="626"/>
      <c r="P1271" s="626"/>
      <c r="Q1271" s="626"/>
      <c r="W1271" t="s">
        <v>2047</v>
      </c>
    </row>
    <row r="1272" spans="1:23" ht="13.15" customHeight="1" x14ac:dyDescent="0.2">
      <c r="A1272" s="2" t="s">
        <v>2199</v>
      </c>
      <c r="B1272" s="2">
        <f t="shared" si="38"/>
        <v>2022</v>
      </c>
      <c r="C1272" s="2" t="str">
        <f t="shared" si="39"/>
        <v>KZN226</v>
      </c>
      <c r="D1272" s="2">
        <v>654</v>
      </c>
      <c r="F1272" s="625"/>
      <c r="G1272" s="625"/>
      <c r="H1272" s="625"/>
      <c r="I1272" s="625"/>
      <c r="J1272" s="625"/>
      <c r="K1272" s="625"/>
      <c r="L1272" s="625"/>
      <c r="M1272" s="626"/>
      <c r="N1272" s="626"/>
      <c r="O1272" s="626"/>
      <c r="P1272" s="626"/>
      <c r="Q1272" s="626"/>
      <c r="W1272" t="s">
        <v>2047</v>
      </c>
    </row>
    <row r="1273" spans="1:23" ht="13.15" customHeight="1" x14ac:dyDescent="0.2">
      <c r="A1273" s="2" t="s">
        <v>2199</v>
      </c>
      <c r="B1273" s="2">
        <f t="shared" si="38"/>
        <v>2022</v>
      </c>
      <c r="C1273" s="2" t="str">
        <f t="shared" si="39"/>
        <v>KZN226</v>
      </c>
      <c r="D1273" s="2">
        <v>655</v>
      </c>
      <c r="F1273" s="625"/>
      <c r="G1273" s="625"/>
      <c r="H1273" s="625"/>
      <c r="I1273" s="625"/>
      <c r="J1273" s="625"/>
      <c r="K1273" s="625"/>
      <c r="L1273" s="625"/>
      <c r="M1273" s="626"/>
      <c r="N1273" s="626"/>
      <c r="O1273" s="626"/>
      <c r="P1273" s="626"/>
      <c r="Q1273" s="626"/>
      <c r="W1273" t="s">
        <v>2047</v>
      </c>
    </row>
    <row r="1274" spans="1:23" ht="13.15" customHeight="1" x14ac:dyDescent="0.2">
      <c r="A1274" s="2" t="s">
        <v>2199</v>
      </c>
      <c r="B1274" s="2">
        <f t="shared" si="38"/>
        <v>2022</v>
      </c>
      <c r="C1274" s="2" t="str">
        <f t="shared" si="39"/>
        <v>KZN226</v>
      </c>
      <c r="D1274" s="2">
        <v>656</v>
      </c>
      <c r="F1274" s="625"/>
      <c r="G1274" s="625"/>
      <c r="H1274" s="625"/>
      <c r="I1274" s="625"/>
      <c r="J1274" s="625"/>
      <c r="K1274" s="625"/>
      <c r="L1274" s="625"/>
      <c r="M1274" s="626"/>
      <c r="N1274" s="626"/>
      <c r="O1274" s="626"/>
      <c r="P1274" s="626"/>
      <c r="Q1274" s="626"/>
      <c r="W1274" t="s">
        <v>2047</v>
      </c>
    </row>
    <row r="1275" spans="1:23" ht="13.15" customHeight="1" x14ac:dyDescent="0.2">
      <c r="A1275" s="2" t="s">
        <v>2199</v>
      </c>
      <c r="B1275" s="2">
        <f t="shared" si="38"/>
        <v>2022</v>
      </c>
      <c r="C1275" s="2" t="str">
        <f t="shared" si="39"/>
        <v>KZN226</v>
      </c>
      <c r="D1275" s="2">
        <v>657</v>
      </c>
      <c r="F1275" s="625"/>
      <c r="G1275" s="625"/>
      <c r="H1275" s="625"/>
      <c r="I1275" s="625"/>
      <c r="J1275" s="625"/>
      <c r="K1275" s="625"/>
      <c r="L1275" s="625"/>
      <c r="M1275" s="626"/>
      <c r="N1275" s="626"/>
      <c r="O1275" s="626"/>
      <c r="P1275" s="626"/>
      <c r="Q1275" s="626"/>
      <c r="W1275" t="s">
        <v>2047</v>
      </c>
    </row>
    <row r="1276" spans="1:23" ht="13.15" customHeight="1" x14ac:dyDescent="0.2">
      <c r="A1276" s="2" t="s">
        <v>2199</v>
      </c>
      <c r="B1276" s="2">
        <f t="shared" si="38"/>
        <v>2022</v>
      </c>
      <c r="C1276" s="2" t="str">
        <f t="shared" si="39"/>
        <v>KZN226</v>
      </c>
      <c r="D1276" s="2">
        <v>658</v>
      </c>
      <c r="F1276" s="625"/>
      <c r="G1276" s="625"/>
      <c r="H1276" s="625"/>
      <c r="I1276" s="625"/>
      <c r="J1276" s="625"/>
      <c r="K1276" s="625"/>
      <c r="L1276" s="625"/>
      <c r="M1276" s="626"/>
      <c r="N1276" s="626"/>
      <c r="O1276" s="626"/>
      <c r="P1276" s="626"/>
      <c r="Q1276" s="626"/>
      <c r="W1276" t="s">
        <v>2047</v>
      </c>
    </row>
    <row r="1277" spans="1:23" ht="13.15" customHeight="1" x14ac:dyDescent="0.2">
      <c r="A1277" s="2" t="s">
        <v>2199</v>
      </c>
      <c r="B1277" s="2">
        <f t="shared" si="38"/>
        <v>2022</v>
      </c>
      <c r="C1277" s="2" t="str">
        <f t="shared" si="39"/>
        <v>KZN226</v>
      </c>
      <c r="D1277" s="2">
        <v>659</v>
      </c>
      <c r="F1277" s="625"/>
      <c r="G1277" s="625"/>
      <c r="H1277" s="625"/>
      <c r="I1277" s="625"/>
      <c r="J1277" s="625"/>
      <c r="K1277" s="625"/>
      <c r="L1277" s="625"/>
      <c r="M1277" s="626"/>
      <c r="N1277" s="626"/>
      <c r="O1277" s="626"/>
      <c r="P1277" s="626"/>
      <c r="Q1277" s="626"/>
      <c r="W1277" t="s">
        <v>2047</v>
      </c>
    </row>
    <row r="1278" spans="1:23" ht="13.15" customHeight="1" x14ac:dyDescent="0.2">
      <c r="A1278" s="2" t="s">
        <v>2199</v>
      </c>
      <c r="B1278" s="2">
        <f t="shared" si="38"/>
        <v>2022</v>
      </c>
      <c r="C1278" s="2" t="str">
        <f t="shared" si="39"/>
        <v>KZN226</v>
      </c>
      <c r="D1278" s="2">
        <v>660</v>
      </c>
      <c r="F1278" s="625"/>
      <c r="G1278" s="625"/>
      <c r="H1278" s="625"/>
      <c r="I1278" s="625"/>
      <c r="J1278" s="625"/>
      <c r="K1278" s="625"/>
      <c r="L1278" s="625"/>
      <c r="M1278" s="626"/>
      <c r="N1278" s="626"/>
      <c r="O1278" s="626"/>
      <c r="P1278" s="626"/>
      <c r="Q1278" s="626"/>
      <c r="W1278" t="s">
        <v>2047</v>
      </c>
    </row>
    <row r="1279" spans="1:23" ht="13.15" customHeight="1" x14ac:dyDescent="0.2">
      <c r="A1279" s="2" t="s">
        <v>2199</v>
      </c>
      <c r="B1279" s="2">
        <f t="shared" si="38"/>
        <v>2022</v>
      </c>
      <c r="C1279" s="2" t="str">
        <f t="shared" si="39"/>
        <v>KZN226</v>
      </c>
      <c r="D1279" s="2">
        <v>661</v>
      </c>
      <c r="F1279" s="625"/>
      <c r="G1279" s="625"/>
      <c r="H1279" s="625"/>
      <c r="I1279" s="625"/>
      <c r="J1279" s="625"/>
      <c r="K1279" s="625"/>
      <c r="L1279" s="625"/>
      <c r="M1279" s="626"/>
      <c r="N1279" s="626"/>
      <c r="O1279" s="626"/>
      <c r="P1279" s="626"/>
      <c r="Q1279" s="626"/>
      <c r="W1279" t="s">
        <v>2047</v>
      </c>
    </row>
    <row r="1280" spans="1:23" ht="13.15" customHeight="1" x14ac:dyDescent="0.2">
      <c r="A1280" s="2" t="s">
        <v>2199</v>
      </c>
      <c r="B1280" s="2">
        <f t="shared" si="38"/>
        <v>2022</v>
      </c>
      <c r="C1280" s="2" t="str">
        <f t="shared" si="39"/>
        <v>KZN226</v>
      </c>
      <c r="D1280" s="2">
        <v>662</v>
      </c>
      <c r="F1280" s="625"/>
      <c r="G1280" s="625"/>
      <c r="H1280" s="625"/>
      <c r="I1280" s="625"/>
      <c r="J1280" s="625"/>
      <c r="K1280" s="625"/>
      <c r="L1280" s="625"/>
      <c r="M1280" s="626"/>
      <c r="N1280" s="626"/>
      <c r="O1280" s="626"/>
      <c r="P1280" s="626"/>
      <c r="Q1280" s="626"/>
      <c r="W1280" t="s">
        <v>2047</v>
      </c>
    </row>
    <row r="1281" spans="1:23" ht="13.15" customHeight="1" x14ac:dyDescent="0.2">
      <c r="A1281" s="2" t="s">
        <v>2199</v>
      </c>
      <c r="B1281" s="2">
        <f t="shared" si="38"/>
        <v>2022</v>
      </c>
      <c r="C1281" s="2" t="str">
        <f t="shared" si="39"/>
        <v>KZN226</v>
      </c>
      <c r="D1281" s="2">
        <v>663</v>
      </c>
      <c r="F1281" s="625"/>
      <c r="G1281" s="625"/>
      <c r="H1281" s="625"/>
      <c r="I1281" s="625"/>
      <c r="J1281" s="625"/>
      <c r="K1281" s="625"/>
      <c r="L1281" s="625"/>
      <c r="M1281" s="626"/>
      <c r="N1281" s="626"/>
      <c r="O1281" s="626"/>
      <c r="P1281" s="626"/>
      <c r="Q1281" s="626"/>
      <c r="W1281" t="s">
        <v>2047</v>
      </c>
    </row>
    <row r="1282" spans="1:23" ht="13.15" customHeight="1" x14ac:dyDescent="0.2">
      <c r="A1282" s="2" t="s">
        <v>2199</v>
      </c>
      <c r="B1282" s="2">
        <f t="shared" ref="B1282:B1345" si="40">+MTREF</f>
        <v>2022</v>
      </c>
      <c r="C1282" s="2" t="str">
        <f t="shared" ref="C1282:C1345" si="41">LEFT(muni,(FIND(" ",muni,1)-1))</f>
        <v>KZN226</v>
      </c>
      <c r="D1282" s="2">
        <v>664</v>
      </c>
      <c r="F1282" s="625"/>
      <c r="G1282" s="625"/>
      <c r="H1282" s="625"/>
      <c r="I1282" s="625"/>
      <c r="J1282" s="625"/>
      <c r="K1282" s="625"/>
      <c r="L1282" s="625"/>
      <c r="M1282" s="626"/>
      <c r="N1282" s="626"/>
      <c r="O1282" s="626"/>
      <c r="P1282" s="626"/>
      <c r="Q1282" s="626"/>
      <c r="W1282" t="s">
        <v>2047</v>
      </c>
    </row>
    <row r="1283" spans="1:23" ht="13.15" customHeight="1" x14ac:dyDescent="0.2">
      <c r="A1283" s="2" t="s">
        <v>2199</v>
      </c>
      <c r="B1283" s="2">
        <f t="shared" si="40"/>
        <v>2022</v>
      </c>
      <c r="C1283" s="2" t="str">
        <f t="shared" si="41"/>
        <v>KZN226</v>
      </c>
      <c r="D1283" s="2">
        <v>665</v>
      </c>
      <c r="F1283" s="625"/>
      <c r="G1283" s="625"/>
      <c r="H1283" s="625"/>
      <c r="I1283" s="625"/>
      <c r="J1283" s="625"/>
      <c r="K1283" s="625"/>
      <c r="L1283" s="625"/>
      <c r="M1283" s="626"/>
      <c r="N1283" s="626"/>
      <c r="O1283" s="626"/>
      <c r="P1283" s="626"/>
      <c r="Q1283" s="626"/>
      <c r="W1283" t="s">
        <v>2047</v>
      </c>
    </row>
    <row r="1284" spans="1:23" ht="13.15" customHeight="1" x14ac:dyDescent="0.2">
      <c r="A1284" s="2" t="s">
        <v>2199</v>
      </c>
      <c r="B1284" s="2">
        <f t="shared" si="40"/>
        <v>2022</v>
      </c>
      <c r="C1284" s="2" t="str">
        <f t="shared" si="41"/>
        <v>KZN226</v>
      </c>
      <c r="D1284" s="2">
        <v>666</v>
      </c>
      <c r="F1284" s="625"/>
      <c r="G1284" s="625"/>
      <c r="H1284" s="625"/>
      <c r="I1284" s="625"/>
      <c r="J1284" s="625"/>
      <c r="K1284" s="625"/>
      <c r="L1284" s="625"/>
      <c r="M1284" s="626"/>
      <c r="N1284" s="626"/>
      <c r="O1284" s="626"/>
      <c r="P1284" s="626"/>
      <c r="Q1284" s="626"/>
      <c r="W1284" t="s">
        <v>2047</v>
      </c>
    </row>
    <row r="1285" spans="1:23" ht="13.15" customHeight="1" x14ac:dyDescent="0.2">
      <c r="A1285" s="2" t="s">
        <v>2199</v>
      </c>
      <c r="B1285" s="2">
        <f t="shared" si="40"/>
        <v>2022</v>
      </c>
      <c r="C1285" s="2" t="str">
        <f t="shared" si="41"/>
        <v>KZN226</v>
      </c>
      <c r="D1285" s="2">
        <v>667</v>
      </c>
      <c r="F1285" s="625"/>
      <c r="G1285" s="625"/>
      <c r="H1285" s="625"/>
      <c r="I1285" s="625"/>
      <c r="J1285" s="625"/>
      <c r="K1285" s="625"/>
      <c r="L1285" s="625"/>
      <c r="M1285" s="626"/>
      <c r="N1285" s="626"/>
      <c r="O1285" s="626"/>
      <c r="P1285" s="626"/>
      <c r="Q1285" s="626"/>
      <c r="W1285" t="s">
        <v>2047</v>
      </c>
    </row>
    <row r="1286" spans="1:23" ht="13.15" customHeight="1" x14ac:dyDescent="0.2">
      <c r="A1286" s="2" t="s">
        <v>2199</v>
      </c>
      <c r="B1286" s="2">
        <f t="shared" si="40"/>
        <v>2022</v>
      </c>
      <c r="C1286" s="2" t="str">
        <f t="shared" si="41"/>
        <v>KZN226</v>
      </c>
      <c r="D1286" s="2">
        <v>668</v>
      </c>
      <c r="F1286" s="625"/>
      <c r="G1286" s="625"/>
      <c r="H1286" s="625"/>
      <c r="I1286" s="625"/>
      <c r="J1286" s="625"/>
      <c r="K1286" s="625"/>
      <c r="L1286" s="625"/>
      <c r="M1286" s="626"/>
      <c r="N1286" s="626"/>
      <c r="O1286" s="626"/>
      <c r="P1286" s="626"/>
      <c r="Q1286" s="626"/>
      <c r="W1286" t="s">
        <v>2047</v>
      </c>
    </row>
    <row r="1287" spans="1:23" ht="13.15" customHeight="1" x14ac:dyDescent="0.2">
      <c r="A1287" s="2" t="s">
        <v>2199</v>
      </c>
      <c r="B1287" s="2">
        <f t="shared" si="40"/>
        <v>2022</v>
      </c>
      <c r="C1287" s="2" t="str">
        <f t="shared" si="41"/>
        <v>KZN226</v>
      </c>
      <c r="D1287" s="2">
        <v>669</v>
      </c>
      <c r="F1287" s="625"/>
      <c r="G1287" s="625"/>
      <c r="H1287" s="625"/>
      <c r="I1287" s="625"/>
      <c r="J1287" s="625"/>
      <c r="K1287" s="625"/>
      <c r="L1287" s="625"/>
      <c r="M1287" s="626"/>
      <c r="N1287" s="626"/>
      <c r="O1287" s="626"/>
      <c r="P1287" s="626"/>
      <c r="Q1287" s="626"/>
      <c r="W1287" t="s">
        <v>2047</v>
      </c>
    </row>
    <row r="1288" spans="1:23" ht="13.15" customHeight="1" x14ac:dyDescent="0.2">
      <c r="A1288" s="2" t="s">
        <v>2199</v>
      </c>
      <c r="B1288" s="2">
        <f t="shared" si="40"/>
        <v>2022</v>
      </c>
      <c r="C1288" s="2" t="str">
        <f t="shared" si="41"/>
        <v>KZN226</v>
      </c>
      <c r="D1288" s="2">
        <v>670</v>
      </c>
      <c r="F1288" s="625"/>
      <c r="G1288" s="625"/>
      <c r="H1288" s="625"/>
      <c r="I1288" s="625"/>
      <c r="J1288" s="625"/>
      <c r="K1288" s="625"/>
      <c r="L1288" s="625"/>
      <c r="M1288" s="626"/>
      <c r="N1288" s="626"/>
      <c r="O1288" s="626"/>
      <c r="P1288" s="626"/>
      <c r="Q1288" s="626"/>
      <c r="W1288" t="s">
        <v>2047</v>
      </c>
    </row>
    <row r="1289" spans="1:23" ht="13.15" customHeight="1" x14ac:dyDescent="0.2">
      <c r="A1289" s="2" t="s">
        <v>2199</v>
      </c>
      <c r="B1289" s="2">
        <f t="shared" si="40"/>
        <v>2022</v>
      </c>
      <c r="C1289" s="2" t="str">
        <f t="shared" si="41"/>
        <v>KZN226</v>
      </c>
      <c r="D1289" s="2">
        <v>671</v>
      </c>
      <c r="F1289" s="625"/>
      <c r="G1289" s="625"/>
      <c r="H1289" s="625"/>
      <c r="I1289" s="625"/>
      <c r="J1289" s="625"/>
      <c r="K1289" s="625"/>
      <c r="L1289" s="625"/>
      <c r="M1289" s="626"/>
      <c r="N1289" s="626"/>
      <c r="O1289" s="626"/>
      <c r="P1289" s="626"/>
      <c r="Q1289" s="626"/>
      <c r="W1289" t="s">
        <v>2047</v>
      </c>
    </row>
    <row r="1290" spans="1:23" ht="13.15" customHeight="1" x14ac:dyDescent="0.2">
      <c r="A1290" s="2" t="s">
        <v>2199</v>
      </c>
      <c r="B1290" s="2">
        <f t="shared" si="40"/>
        <v>2022</v>
      </c>
      <c r="C1290" s="2" t="str">
        <f t="shared" si="41"/>
        <v>KZN226</v>
      </c>
      <c r="D1290" s="2">
        <v>672</v>
      </c>
      <c r="F1290" s="625"/>
      <c r="G1290" s="625"/>
      <c r="H1290" s="625"/>
      <c r="I1290" s="625"/>
      <c r="J1290" s="625"/>
      <c r="K1290" s="625"/>
      <c r="L1290" s="625"/>
      <c r="M1290" s="626"/>
      <c r="N1290" s="626"/>
      <c r="O1290" s="626"/>
      <c r="P1290" s="626"/>
      <c r="Q1290" s="626"/>
      <c r="W1290" t="s">
        <v>2047</v>
      </c>
    </row>
    <row r="1291" spans="1:23" ht="13.15" customHeight="1" x14ac:dyDescent="0.2">
      <c r="A1291" s="2" t="s">
        <v>2199</v>
      </c>
      <c r="B1291" s="2">
        <f t="shared" si="40"/>
        <v>2022</v>
      </c>
      <c r="C1291" s="2" t="str">
        <f t="shared" si="41"/>
        <v>KZN226</v>
      </c>
      <c r="D1291" s="2">
        <v>673</v>
      </c>
      <c r="F1291" s="625"/>
      <c r="G1291" s="625"/>
      <c r="H1291" s="625"/>
      <c r="I1291" s="625"/>
      <c r="J1291" s="625"/>
      <c r="K1291" s="625"/>
      <c r="L1291" s="625"/>
      <c r="M1291" s="626"/>
      <c r="N1291" s="626"/>
      <c r="O1291" s="626"/>
      <c r="P1291" s="626"/>
      <c r="Q1291" s="626"/>
      <c r="W1291" t="s">
        <v>2047</v>
      </c>
    </row>
    <row r="1292" spans="1:23" ht="13.15" customHeight="1" x14ac:dyDescent="0.2">
      <c r="A1292" s="2" t="s">
        <v>2199</v>
      </c>
      <c r="B1292" s="2">
        <f t="shared" si="40"/>
        <v>2022</v>
      </c>
      <c r="C1292" s="2" t="str">
        <f t="shared" si="41"/>
        <v>KZN226</v>
      </c>
      <c r="D1292" s="2">
        <v>674</v>
      </c>
      <c r="F1292" s="625"/>
      <c r="G1292" s="625"/>
      <c r="H1292" s="625"/>
      <c r="I1292" s="625"/>
      <c r="J1292" s="625"/>
      <c r="K1292" s="625"/>
      <c r="L1292" s="625"/>
      <c r="M1292" s="626"/>
      <c r="N1292" s="626"/>
      <c r="O1292" s="626"/>
      <c r="P1292" s="626"/>
      <c r="Q1292" s="626"/>
      <c r="W1292" t="s">
        <v>2047</v>
      </c>
    </row>
    <row r="1293" spans="1:23" ht="13.15" customHeight="1" x14ac:dyDescent="0.2">
      <c r="A1293" s="2" t="s">
        <v>2199</v>
      </c>
      <c r="B1293" s="2">
        <f t="shared" si="40"/>
        <v>2022</v>
      </c>
      <c r="C1293" s="2" t="str">
        <f t="shared" si="41"/>
        <v>KZN226</v>
      </c>
      <c r="D1293" s="2">
        <v>675</v>
      </c>
      <c r="F1293" s="625"/>
      <c r="G1293" s="625"/>
      <c r="H1293" s="625"/>
      <c r="I1293" s="625"/>
      <c r="J1293" s="625"/>
      <c r="K1293" s="625"/>
      <c r="L1293" s="625"/>
      <c r="M1293" s="626"/>
      <c r="N1293" s="626"/>
      <c r="O1293" s="626"/>
      <c r="P1293" s="626"/>
      <c r="Q1293" s="626"/>
      <c r="W1293" t="s">
        <v>2047</v>
      </c>
    </row>
    <row r="1294" spans="1:23" ht="13.15" customHeight="1" x14ac:dyDescent="0.2">
      <c r="A1294" s="2" t="s">
        <v>2199</v>
      </c>
      <c r="B1294" s="2">
        <f t="shared" si="40"/>
        <v>2022</v>
      </c>
      <c r="C1294" s="2" t="str">
        <f t="shared" si="41"/>
        <v>KZN226</v>
      </c>
      <c r="D1294" s="2">
        <v>676</v>
      </c>
      <c r="F1294" s="625"/>
      <c r="G1294" s="625"/>
      <c r="H1294" s="625"/>
      <c r="I1294" s="625"/>
      <c r="J1294" s="625"/>
      <c r="K1294" s="625"/>
      <c r="L1294" s="625"/>
      <c r="M1294" s="626"/>
      <c r="N1294" s="626"/>
      <c r="O1294" s="626"/>
      <c r="P1294" s="626"/>
      <c r="Q1294" s="626"/>
      <c r="W1294" t="s">
        <v>2047</v>
      </c>
    </row>
    <row r="1295" spans="1:23" ht="13.15" customHeight="1" x14ac:dyDescent="0.2">
      <c r="A1295" s="2" t="s">
        <v>2199</v>
      </c>
      <c r="B1295" s="2">
        <f t="shared" si="40"/>
        <v>2022</v>
      </c>
      <c r="C1295" s="2" t="str">
        <f t="shared" si="41"/>
        <v>KZN226</v>
      </c>
      <c r="D1295" s="2">
        <v>677</v>
      </c>
      <c r="F1295" s="625"/>
      <c r="G1295" s="625"/>
      <c r="H1295" s="625"/>
      <c r="I1295" s="625"/>
      <c r="J1295" s="625"/>
      <c r="K1295" s="625"/>
      <c r="L1295" s="625"/>
      <c r="M1295" s="626"/>
      <c r="N1295" s="626"/>
      <c r="O1295" s="626"/>
      <c r="P1295" s="626"/>
      <c r="Q1295" s="626"/>
      <c r="W1295" t="s">
        <v>2047</v>
      </c>
    </row>
    <row r="1296" spans="1:23" ht="13.15" customHeight="1" x14ac:dyDescent="0.2">
      <c r="A1296" s="2" t="s">
        <v>2199</v>
      </c>
      <c r="B1296" s="2">
        <f t="shared" si="40"/>
        <v>2022</v>
      </c>
      <c r="C1296" s="2" t="str">
        <f t="shared" si="41"/>
        <v>KZN226</v>
      </c>
      <c r="D1296" s="2">
        <v>678</v>
      </c>
      <c r="F1296" s="625"/>
      <c r="G1296" s="625"/>
      <c r="H1296" s="625"/>
      <c r="I1296" s="625"/>
      <c r="J1296" s="625"/>
      <c r="K1296" s="625"/>
      <c r="L1296" s="625"/>
      <c r="M1296" s="626"/>
      <c r="N1296" s="626"/>
      <c r="O1296" s="626"/>
      <c r="P1296" s="626"/>
      <c r="Q1296" s="626"/>
      <c r="W1296" t="s">
        <v>2047</v>
      </c>
    </row>
    <row r="1297" spans="1:23" ht="13.15" customHeight="1" x14ac:dyDescent="0.2">
      <c r="A1297" s="2" t="s">
        <v>2199</v>
      </c>
      <c r="B1297" s="2">
        <f t="shared" si="40"/>
        <v>2022</v>
      </c>
      <c r="C1297" s="2" t="str">
        <f t="shared" si="41"/>
        <v>KZN226</v>
      </c>
      <c r="D1297" s="2">
        <v>679</v>
      </c>
      <c r="F1297" s="625"/>
      <c r="G1297" s="625"/>
      <c r="H1297" s="625"/>
      <c r="I1297" s="625"/>
      <c r="J1297" s="625"/>
      <c r="K1297" s="625"/>
      <c r="L1297" s="625"/>
      <c r="M1297" s="626"/>
      <c r="N1297" s="626"/>
      <c r="O1297" s="626"/>
      <c r="P1297" s="626"/>
      <c r="Q1297" s="626"/>
      <c r="W1297" t="s">
        <v>2047</v>
      </c>
    </row>
    <row r="1298" spans="1:23" ht="13.15" customHeight="1" x14ac:dyDescent="0.2">
      <c r="A1298" s="2" t="s">
        <v>2199</v>
      </c>
      <c r="B1298" s="2">
        <f t="shared" si="40"/>
        <v>2022</v>
      </c>
      <c r="C1298" s="2" t="str">
        <f t="shared" si="41"/>
        <v>KZN226</v>
      </c>
      <c r="D1298" s="2">
        <v>680</v>
      </c>
      <c r="F1298" s="625"/>
      <c r="G1298" s="625"/>
      <c r="H1298" s="625"/>
      <c r="I1298" s="625"/>
      <c r="J1298" s="625"/>
      <c r="K1298" s="625"/>
      <c r="L1298" s="625"/>
      <c r="M1298" s="626"/>
      <c r="N1298" s="626"/>
      <c r="O1298" s="626"/>
      <c r="P1298" s="626"/>
      <c r="Q1298" s="626"/>
      <c r="W1298" t="s">
        <v>2047</v>
      </c>
    </row>
    <row r="1299" spans="1:23" ht="13.15" customHeight="1" x14ac:dyDescent="0.2">
      <c r="A1299" s="2" t="s">
        <v>2199</v>
      </c>
      <c r="B1299" s="2">
        <f t="shared" si="40"/>
        <v>2022</v>
      </c>
      <c r="C1299" s="2" t="str">
        <f t="shared" si="41"/>
        <v>KZN226</v>
      </c>
      <c r="D1299" s="2">
        <v>681</v>
      </c>
      <c r="F1299" s="625"/>
      <c r="G1299" s="625"/>
      <c r="H1299" s="625"/>
      <c r="I1299" s="625"/>
      <c r="J1299" s="625"/>
      <c r="K1299" s="625"/>
      <c r="L1299" s="625"/>
      <c r="M1299" s="626"/>
      <c r="N1299" s="626"/>
      <c r="O1299" s="626"/>
      <c r="P1299" s="626"/>
      <c r="Q1299" s="626"/>
      <c r="W1299" t="s">
        <v>2047</v>
      </c>
    </row>
    <row r="1300" spans="1:23" ht="13.15" customHeight="1" x14ac:dyDescent="0.2">
      <c r="A1300" s="2" t="s">
        <v>2199</v>
      </c>
      <c r="B1300" s="2">
        <f t="shared" si="40"/>
        <v>2022</v>
      </c>
      <c r="C1300" s="2" t="str">
        <f t="shared" si="41"/>
        <v>KZN226</v>
      </c>
      <c r="D1300" s="2">
        <v>682</v>
      </c>
      <c r="F1300" s="625"/>
      <c r="G1300" s="625"/>
      <c r="H1300" s="625"/>
      <c r="I1300" s="625"/>
      <c r="J1300" s="625"/>
      <c r="K1300" s="625"/>
      <c r="L1300" s="625"/>
      <c r="M1300" s="626"/>
      <c r="N1300" s="626"/>
      <c r="O1300" s="626"/>
      <c r="P1300" s="626"/>
      <c r="Q1300" s="626"/>
      <c r="W1300" t="s">
        <v>2047</v>
      </c>
    </row>
    <row r="1301" spans="1:23" ht="13.15" customHeight="1" x14ac:dyDescent="0.2">
      <c r="A1301" s="2" t="s">
        <v>2199</v>
      </c>
      <c r="B1301" s="2">
        <f t="shared" si="40"/>
        <v>2022</v>
      </c>
      <c r="C1301" s="2" t="str">
        <f t="shared" si="41"/>
        <v>KZN226</v>
      </c>
      <c r="D1301" s="2">
        <v>683</v>
      </c>
      <c r="F1301" s="625"/>
      <c r="G1301" s="625"/>
      <c r="H1301" s="625"/>
      <c r="I1301" s="625"/>
      <c r="J1301" s="625"/>
      <c r="K1301" s="625"/>
      <c r="L1301" s="625"/>
      <c r="M1301" s="626"/>
      <c r="N1301" s="626"/>
      <c r="O1301" s="626"/>
      <c r="P1301" s="626"/>
      <c r="Q1301" s="626"/>
      <c r="W1301" t="s">
        <v>2047</v>
      </c>
    </row>
    <row r="1302" spans="1:23" ht="13.15" customHeight="1" x14ac:dyDescent="0.2">
      <c r="A1302" s="2" t="s">
        <v>2199</v>
      </c>
      <c r="B1302" s="2">
        <f t="shared" si="40"/>
        <v>2022</v>
      </c>
      <c r="C1302" s="2" t="str">
        <f t="shared" si="41"/>
        <v>KZN226</v>
      </c>
      <c r="D1302" s="2">
        <v>684</v>
      </c>
      <c r="F1302" s="625"/>
      <c r="G1302" s="625"/>
      <c r="H1302" s="625"/>
      <c r="I1302" s="625"/>
      <c r="J1302" s="625"/>
      <c r="K1302" s="625"/>
      <c r="L1302" s="625"/>
      <c r="M1302" s="626"/>
      <c r="N1302" s="626"/>
      <c r="O1302" s="626"/>
      <c r="P1302" s="626"/>
      <c r="Q1302" s="626"/>
      <c r="W1302" t="s">
        <v>2047</v>
      </c>
    </row>
    <row r="1303" spans="1:23" ht="13.15" customHeight="1" x14ac:dyDescent="0.2">
      <c r="A1303" s="2" t="s">
        <v>2199</v>
      </c>
      <c r="B1303" s="2">
        <f t="shared" si="40"/>
        <v>2022</v>
      </c>
      <c r="C1303" s="2" t="str">
        <f t="shared" si="41"/>
        <v>KZN226</v>
      </c>
      <c r="D1303" s="2">
        <v>685</v>
      </c>
      <c r="F1303" s="625"/>
      <c r="G1303" s="625"/>
      <c r="H1303" s="625"/>
      <c r="I1303" s="625"/>
      <c r="J1303" s="625"/>
      <c r="K1303" s="625"/>
      <c r="L1303" s="625"/>
      <c r="M1303" s="626"/>
      <c r="N1303" s="626"/>
      <c r="O1303" s="626"/>
      <c r="P1303" s="626"/>
      <c r="Q1303" s="626"/>
      <c r="W1303" t="s">
        <v>2047</v>
      </c>
    </row>
    <row r="1304" spans="1:23" ht="13.15" customHeight="1" x14ac:dyDescent="0.2">
      <c r="A1304" s="2" t="s">
        <v>2199</v>
      </c>
      <c r="B1304" s="2">
        <f t="shared" si="40"/>
        <v>2022</v>
      </c>
      <c r="C1304" s="2" t="str">
        <f t="shared" si="41"/>
        <v>KZN226</v>
      </c>
      <c r="D1304" s="2">
        <v>686</v>
      </c>
      <c r="F1304" s="625"/>
      <c r="G1304" s="625"/>
      <c r="H1304" s="625"/>
      <c r="I1304" s="625"/>
      <c r="J1304" s="625"/>
      <c r="K1304" s="625"/>
      <c r="L1304" s="625"/>
      <c r="M1304" s="626"/>
      <c r="N1304" s="626"/>
      <c r="O1304" s="626"/>
      <c r="P1304" s="626"/>
      <c r="Q1304" s="626"/>
      <c r="W1304" t="s">
        <v>2047</v>
      </c>
    </row>
    <row r="1305" spans="1:23" ht="13.15" customHeight="1" x14ac:dyDescent="0.2">
      <c r="A1305" s="2" t="s">
        <v>2199</v>
      </c>
      <c r="B1305" s="2">
        <f t="shared" si="40"/>
        <v>2022</v>
      </c>
      <c r="C1305" s="2" t="str">
        <f t="shared" si="41"/>
        <v>KZN226</v>
      </c>
      <c r="D1305" s="2">
        <v>687</v>
      </c>
      <c r="F1305" s="625"/>
      <c r="G1305" s="625"/>
      <c r="H1305" s="625"/>
      <c r="I1305" s="625"/>
      <c r="J1305" s="625"/>
      <c r="K1305" s="625"/>
      <c r="L1305" s="625"/>
      <c r="M1305" s="626"/>
      <c r="N1305" s="626"/>
      <c r="O1305" s="626"/>
      <c r="P1305" s="626"/>
      <c r="Q1305" s="626"/>
      <c r="W1305" t="s">
        <v>2047</v>
      </c>
    </row>
    <row r="1306" spans="1:23" ht="13.15" customHeight="1" x14ac:dyDescent="0.2">
      <c r="A1306" s="2" t="s">
        <v>2199</v>
      </c>
      <c r="B1306" s="2">
        <f t="shared" si="40"/>
        <v>2022</v>
      </c>
      <c r="C1306" s="2" t="str">
        <f t="shared" si="41"/>
        <v>KZN226</v>
      </c>
      <c r="D1306" s="2">
        <v>688</v>
      </c>
      <c r="F1306" s="625"/>
      <c r="G1306" s="625"/>
      <c r="H1306" s="625"/>
      <c r="I1306" s="625"/>
      <c r="J1306" s="625"/>
      <c r="K1306" s="625"/>
      <c r="L1306" s="625"/>
      <c r="M1306" s="626"/>
      <c r="N1306" s="626"/>
      <c r="O1306" s="626"/>
      <c r="P1306" s="626"/>
      <c r="Q1306" s="626"/>
      <c r="W1306" t="s">
        <v>2047</v>
      </c>
    </row>
    <row r="1307" spans="1:23" ht="13.15" customHeight="1" x14ac:dyDescent="0.2">
      <c r="A1307" s="2" t="s">
        <v>2199</v>
      </c>
      <c r="B1307" s="2">
        <f t="shared" si="40"/>
        <v>2022</v>
      </c>
      <c r="C1307" s="2" t="str">
        <f t="shared" si="41"/>
        <v>KZN226</v>
      </c>
      <c r="D1307" s="2">
        <v>689</v>
      </c>
      <c r="F1307" s="625"/>
      <c r="G1307" s="625"/>
      <c r="H1307" s="625"/>
      <c r="I1307" s="625"/>
      <c r="J1307" s="625"/>
      <c r="K1307" s="625"/>
      <c r="L1307" s="625"/>
      <c r="M1307" s="626"/>
      <c r="N1307" s="626"/>
      <c r="O1307" s="626"/>
      <c r="P1307" s="626"/>
      <c r="Q1307" s="626"/>
      <c r="W1307" t="s">
        <v>2047</v>
      </c>
    </row>
    <row r="1308" spans="1:23" ht="13.15" customHeight="1" x14ac:dyDescent="0.2">
      <c r="A1308" s="2" t="s">
        <v>2199</v>
      </c>
      <c r="B1308" s="2">
        <f t="shared" si="40"/>
        <v>2022</v>
      </c>
      <c r="C1308" s="2" t="str">
        <f t="shared" si="41"/>
        <v>KZN226</v>
      </c>
      <c r="D1308" s="2">
        <v>690</v>
      </c>
      <c r="F1308" s="625"/>
      <c r="G1308" s="625"/>
      <c r="H1308" s="625"/>
      <c r="I1308" s="625"/>
      <c r="J1308" s="625"/>
      <c r="K1308" s="625"/>
      <c r="L1308" s="625"/>
      <c r="M1308" s="626"/>
      <c r="N1308" s="626"/>
      <c r="O1308" s="626"/>
      <c r="P1308" s="626"/>
      <c r="Q1308" s="626"/>
      <c r="W1308" t="s">
        <v>2047</v>
      </c>
    </row>
    <row r="1309" spans="1:23" ht="13.15" customHeight="1" x14ac:dyDescent="0.2">
      <c r="A1309" s="2" t="s">
        <v>2199</v>
      </c>
      <c r="B1309" s="2">
        <f t="shared" si="40"/>
        <v>2022</v>
      </c>
      <c r="C1309" s="2" t="str">
        <f t="shared" si="41"/>
        <v>KZN226</v>
      </c>
      <c r="D1309" s="2">
        <v>691</v>
      </c>
      <c r="F1309" s="625"/>
      <c r="G1309" s="625"/>
      <c r="H1309" s="625"/>
      <c r="I1309" s="625"/>
      <c r="J1309" s="625"/>
      <c r="K1309" s="625"/>
      <c r="L1309" s="625"/>
      <c r="M1309" s="626"/>
      <c r="N1309" s="626"/>
      <c r="O1309" s="626"/>
      <c r="P1309" s="626"/>
      <c r="Q1309" s="626"/>
      <c r="W1309" t="s">
        <v>2047</v>
      </c>
    </row>
    <row r="1310" spans="1:23" ht="13.15" customHeight="1" x14ac:dyDescent="0.2">
      <c r="A1310" s="2" t="s">
        <v>2199</v>
      </c>
      <c r="B1310" s="2">
        <f t="shared" si="40"/>
        <v>2022</v>
      </c>
      <c r="C1310" s="2" t="str">
        <f t="shared" si="41"/>
        <v>KZN226</v>
      </c>
      <c r="D1310" s="2">
        <v>692</v>
      </c>
      <c r="F1310" s="625"/>
      <c r="G1310" s="625"/>
      <c r="H1310" s="625"/>
      <c r="I1310" s="625"/>
      <c r="J1310" s="625"/>
      <c r="K1310" s="625"/>
      <c r="L1310" s="625"/>
      <c r="M1310" s="626"/>
      <c r="N1310" s="626"/>
      <c r="O1310" s="626"/>
      <c r="P1310" s="626"/>
      <c r="Q1310" s="626"/>
      <c r="W1310" t="s">
        <v>2047</v>
      </c>
    </row>
    <row r="1311" spans="1:23" ht="13.15" customHeight="1" x14ac:dyDescent="0.2">
      <c r="A1311" s="2" t="s">
        <v>2199</v>
      </c>
      <c r="B1311" s="2">
        <f t="shared" si="40"/>
        <v>2022</v>
      </c>
      <c r="C1311" s="2" t="str">
        <f t="shared" si="41"/>
        <v>KZN226</v>
      </c>
      <c r="D1311" s="2">
        <v>693</v>
      </c>
      <c r="F1311" s="625"/>
      <c r="G1311" s="625"/>
      <c r="H1311" s="625"/>
      <c r="I1311" s="625"/>
      <c r="J1311" s="625"/>
      <c r="K1311" s="625"/>
      <c r="L1311" s="625"/>
      <c r="M1311" s="626"/>
      <c r="N1311" s="626"/>
      <c r="O1311" s="626"/>
      <c r="P1311" s="626"/>
      <c r="Q1311" s="626"/>
      <c r="W1311" t="s">
        <v>2047</v>
      </c>
    </row>
    <row r="1312" spans="1:23" ht="13.15" customHeight="1" x14ac:dyDescent="0.2">
      <c r="A1312" s="2" t="s">
        <v>2199</v>
      </c>
      <c r="B1312" s="2">
        <f t="shared" si="40"/>
        <v>2022</v>
      </c>
      <c r="C1312" s="2" t="str">
        <f t="shared" si="41"/>
        <v>KZN226</v>
      </c>
      <c r="D1312" s="2">
        <v>694</v>
      </c>
      <c r="F1312" s="625"/>
      <c r="G1312" s="625"/>
      <c r="H1312" s="625"/>
      <c r="I1312" s="625"/>
      <c r="J1312" s="625"/>
      <c r="K1312" s="625"/>
      <c r="L1312" s="625"/>
      <c r="M1312" s="626"/>
      <c r="N1312" s="626"/>
      <c r="O1312" s="626"/>
      <c r="P1312" s="626"/>
      <c r="Q1312" s="626"/>
      <c r="W1312" t="s">
        <v>2047</v>
      </c>
    </row>
    <row r="1313" spans="1:23" ht="13.15" customHeight="1" x14ac:dyDescent="0.2">
      <c r="A1313" s="2" t="s">
        <v>2199</v>
      </c>
      <c r="B1313" s="2">
        <f t="shared" si="40"/>
        <v>2022</v>
      </c>
      <c r="C1313" s="2" t="str">
        <f t="shared" si="41"/>
        <v>KZN226</v>
      </c>
      <c r="D1313" s="2">
        <v>695</v>
      </c>
      <c r="F1313" s="625"/>
      <c r="G1313" s="625"/>
      <c r="H1313" s="625"/>
      <c r="I1313" s="625"/>
      <c r="J1313" s="625"/>
      <c r="K1313" s="625"/>
      <c r="L1313" s="625"/>
      <c r="M1313" s="626"/>
      <c r="N1313" s="626"/>
      <c r="O1313" s="626"/>
      <c r="P1313" s="626"/>
      <c r="Q1313" s="626"/>
      <c r="W1313" t="s">
        <v>2047</v>
      </c>
    </row>
    <row r="1314" spans="1:23" ht="13.15" customHeight="1" x14ac:dyDescent="0.2">
      <c r="A1314" s="2" t="s">
        <v>2199</v>
      </c>
      <c r="B1314" s="2">
        <f t="shared" si="40"/>
        <v>2022</v>
      </c>
      <c r="C1314" s="2" t="str">
        <f t="shared" si="41"/>
        <v>KZN226</v>
      </c>
      <c r="D1314" s="2">
        <v>696</v>
      </c>
      <c r="F1314" s="625"/>
      <c r="G1314" s="625"/>
      <c r="H1314" s="625"/>
      <c r="I1314" s="625"/>
      <c r="J1314" s="625"/>
      <c r="K1314" s="625"/>
      <c r="L1314" s="625"/>
      <c r="M1314" s="626"/>
      <c r="N1314" s="626"/>
      <c r="O1314" s="626"/>
      <c r="P1314" s="626"/>
      <c r="Q1314" s="626"/>
      <c r="W1314" t="s">
        <v>2047</v>
      </c>
    </row>
    <row r="1315" spans="1:23" ht="13.15" customHeight="1" x14ac:dyDescent="0.2">
      <c r="A1315" s="2" t="s">
        <v>2199</v>
      </c>
      <c r="B1315" s="2">
        <f t="shared" si="40"/>
        <v>2022</v>
      </c>
      <c r="C1315" s="2" t="str">
        <f t="shared" si="41"/>
        <v>KZN226</v>
      </c>
      <c r="D1315" s="2">
        <v>697</v>
      </c>
      <c r="F1315" s="625"/>
      <c r="G1315" s="625"/>
      <c r="H1315" s="625"/>
      <c r="I1315" s="625"/>
      <c r="J1315" s="625"/>
      <c r="K1315" s="625"/>
      <c r="L1315" s="625"/>
      <c r="M1315" s="626"/>
      <c r="N1315" s="626"/>
      <c r="O1315" s="626"/>
      <c r="P1315" s="626"/>
      <c r="Q1315" s="626"/>
      <c r="W1315" t="s">
        <v>2047</v>
      </c>
    </row>
    <row r="1316" spans="1:23" ht="13.15" customHeight="1" x14ac:dyDescent="0.2">
      <c r="A1316" s="2" t="s">
        <v>2199</v>
      </c>
      <c r="B1316" s="2">
        <f t="shared" si="40"/>
        <v>2022</v>
      </c>
      <c r="C1316" s="2" t="str">
        <f t="shared" si="41"/>
        <v>KZN226</v>
      </c>
      <c r="D1316" s="2">
        <v>698</v>
      </c>
      <c r="F1316" s="625"/>
      <c r="G1316" s="625"/>
      <c r="H1316" s="625"/>
      <c r="I1316" s="625"/>
      <c r="J1316" s="625"/>
      <c r="K1316" s="625"/>
      <c r="L1316" s="625"/>
      <c r="M1316" s="626"/>
      <c r="N1316" s="626"/>
      <c r="O1316" s="626"/>
      <c r="P1316" s="626"/>
      <c r="Q1316" s="626"/>
      <c r="W1316" t="s">
        <v>2047</v>
      </c>
    </row>
    <row r="1317" spans="1:23" ht="13.15" customHeight="1" x14ac:dyDescent="0.2">
      <c r="A1317" s="2" t="s">
        <v>2199</v>
      </c>
      <c r="B1317" s="2">
        <f t="shared" si="40"/>
        <v>2022</v>
      </c>
      <c r="C1317" s="2" t="str">
        <f t="shared" si="41"/>
        <v>KZN226</v>
      </c>
      <c r="D1317" s="2">
        <v>699</v>
      </c>
      <c r="F1317" s="625"/>
      <c r="G1317" s="625"/>
      <c r="H1317" s="625"/>
      <c r="I1317" s="625"/>
      <c r="J1317" s="625"/>
      <c r="K1317" s="625"/>
      <c r="L1317" s="625"/>
      <c r="M1317" s="626"/>
      <c r="N1317" s="626"/>
      <c r="O1317" s="626"/>
      <c r="P1317" s="626"/>
      <c r="Q1317" s="626"/>
      <c r="W1317" t="s">
        <v>2047</v>
      </c>
    </row>
    <row r="1318" spans="1:23" ht="13.15" customHeight="1" x14ac:dyDescent="0.2">
      <c r="A1318" s="2" t="s">
        <v>2199</v>
      </c>
      <c r="B1318" s="2">
        <f t="shared" si="40"/>
        <v>2022</v>
      </c>
      <c r="C1318" s="2" t="str">
        <f t="shared" si="41"/>
        <v>KZN226</v>
      </c>
      <c r="D1318" s="2">
        <v>700</v>
      </c>
      <c r="F1318" s="625"/>
      <c r="G1318" s="625"/>
      <c r="H1318" s="625"/>
      <c r="I1318" s="625"/>
      <c r="J1318" s="625"/>
      <c r="K1318" s="625"/>
      <c r="L1318" s="625"/>
      <c r="M1318" s="626"/>
      <c r="N1318" s="626"/>
      <c r="O1318" s="626"/>
      <c r="P1318" s="626"/>
      <c r="Q1318" s="626"/>
      <c r="W1318" t="s">
        <v>2047</v>
      </c>
    </row>
    <row r="1319" spans="1:23" ht="13.15" customHeight="1" x14ac:dyDescent="0.2">
      <c r="A1319" s="2" t="s">
        <v>2199</v>
      </c>
      <c r="B1319" s="2">
        <f t="shared" si="40"/>
        <v>2022</v>
      </c>
      <c r="C1319" s="2" t="str">
        <f t="shared" si="41"/>
        <v>KZN226</v>
      </c>
      <c r="D1319" s="2">
        <v>701</v>
      </c>
      <c r="F1319" s="625"/>
      <c r="G1319" s="625"/>
      <c r="H1319" s="625"/>
      <c r="I1319" s="625"/>
      <c r="J1319" s="625"/>
      <c r="K1319" s="625"/>
      <c r="L1319" s="625"/>
      <c r="M1319" s="626"/>
      <c r="N1319" s="626"/>
      <c r="O1319" s="626"/>
      <c r="P1319" s="626"/>
      <c r="Q1319" s="626"/>
      <c r="W1319" t="s">
        <v>2047</v>
      </c>
    </row>
    <row r="1320" spans="1:23" ht="13.15" customHeight="1" x14ac:dyDescent="0.2">
      <c r="A1320" s="2" t="s">
        <v>2199</v>
      </c>
      <c r="B1320" s="2">
        <f t="shared" si="40"/>
        <v>2022</v>
      </c>
      <c r="C1320" s="2" t="str">
        <f t="shared" si="41"/>
        <v>KZN226</v>
      </c>
      <c r="D1320" s="2">
        <v>702</v>
      </c>
      <c r="F1320" s="625"/>
      <c r="G1320" s="625"/>
      <c r="H1320" s="625"/>
      <c r="I1320" s="625"/>
      <c r="J1320" s="625"/>
      <c r="K1320" s="625"/>
      <c r="L1320" s="625"/>
      <c r="M1320" s="626"/>
      <c r="N1320" s="626"/>
      <c r="O1320" s="626"/>
      <c r="P1320" s="626"/>
      <c r="Q1320" s="626"/>
      <c r="W1320" t="s">
        <v>2047</v>
      </c>
    </row>
    <row r="1321" spans="1:23" ht="13.15" customHeight="1" x14ac:dyDescent="0.2">
      <c r="A1321" s="2" t="s">
        <v>2199</v>
      </c>
      <c r="B1321" s="2">
        <f t="shared" si="40"/>
        <v>2022</v>
      </c>
      <c r="C1321" s="2" t="str">
        <f t="shared" si="41"/>
        <v>KZN226</v>
      </c>
      <c r="D1321" s="2">
        <v>703</v>
      </c>
      <c r="F1321" s="625"/>
      <c r="G1321" s="625"/>
      <c r="H1321" s="625"/>
      <c r="I1321" s="625"/>
      <c r="J1321" s="625"/>
      <c r="K1321" s="625"/>
      <c r="L1321" s="625"/>
      <c r="M1321" s="626"/>
      <c r="N1321" s="626"/>
      <c r="O1321" s="626"/>
      <c r="P1321" s="626"/>
      <c r="Q1321" s="626"/>
      <c r="W1321" t="s">
        <v>2047</v>
      </c>
    </row>
    <row r="1322" spans="1:23" ht="13.15" customHeight="1" x14ac:dyDescent="0.2">
      <c r="A1322" s="2" t="s">
        <v>2199</v>
      </c>
      <c r="B1322" s="2">
        <f t="shared" si="40"/>
        <v>2022</v>
      </c>
      <c r="C1322" s="2" t="str">
        <f t="shared" si="41"/>
        <v>KZN226</v>
      </c>
      <c r="D1322" s="2">
        <v>704</v>
      </c>
      <c r="F1322" s="625"/>
      <c r="G1322" s="625"/>
      <c r="H1322" s="625"/>
      <c r="I1322" s="625"/>
      <c r="J1322" s="625"/>
      <c r="K1322" s="625"/>
      <c r="L1322" s="625"/>
      <c r="M1322" s="626"/>
      <c r="N1322" s="626"/>
      <c r="O1322" s="626"/>
      <c r="P1322" s="626"/>
      <c r="Q1322" s="626"/>
      <c r="W1322" t="s">
        <v>2047</v>
      </c>
    </row>
    <row r="1323" spans="1:23" ht="13.15" customHeight="1" x14ac:dyDescent="0.2">
      <c r="A1323" s="2" t="s">
        <v>2199</v>
      </c>
      <c r="B1323" s="2">
        <f t="shared" si="40"/>
        <v>2022</v>
      </c>
      <c r="C1323" s="2" t="str">
        <f t="shared" si="41"/>
        <v>KZN226</v>
      </c>
      <c r="D1323" s="2">
        <v>705</v>
      </c>
      <c r="F1323" s="625"/>
      <c r="G1323" s="625"/>
      <c r="H1323" s="625"/>
      <c r="I1323" s="625"/>
      <c r="J1323" s="625"/>
      <c r="K1323" s="625"/>
      <c r="L1323" s="625"/>
      <c r="M1323" s="626"/>
      <c r="N1323" s="626"/>
      <c r="O1323" s="626"/>
      <c r="P1323" s="626"/>
      <c r="Q1323" s="626"/>
      <c r="W1323" t="s">
        <v>2047</v>
      </c>
    </row>
    <row r="1324" spans="1:23" ht="13.15" customHeight="1" x14ac:dyDescent="0.2">
      <c r="A1324" s="2" t="s">
        <v>2199</v>
      </c>
      <c r="B1324" s="2">
        <f t="shared" si="40"/>
        <v>2022</v>
      </c>
      <c r="C1324" s="2" t="str">
        <f t="shared" si="41"/>
        <v>KZN226</v>
      </c>
      <c r="D1324" s="2">
        <v>706</v>
      </c>
      <c r="F1324" s="625"/>
      <c r="G1324" s="625"/>
      <c r="H1324" s="625"/>
      <c r="I1324" s="625"/>
      <c r="J1324" s="625"/>
      <c r="K1324" s="625"/>
      <c r="L1324" s="625"/>
      <c r="M1324" s="626"/>
      <c r="N1324" s="626"/>
      <c r="O1324" s="626"/>
      <c r="P1324" s="626"/>
      <c r="Q1324" s="626"/>
      <c r="W1324" t="s">
        <v>2047</v>
      </c>
    </row>
    <row r="1325" spans="1:23" ht="13.15" customHeight="1" x14ac:dyDescent="0.2">
      <c r="A1325" s="2" t="s">
        <v>2199</v>
      </c>
      <c r="B1325" s="2">
        <f t="shared" si="40"/>
        <v>2022</v>
      </c>
      <c r="C1325" s="2" t="str">
        <f t="shared" si="41"/>
        <v>KZN226</v>
      </c>
      <c r="D1325" s="2">
        <v>707</v>
      </c>
      <c r="F1325" s="625"/>
      <c r="G1325" s="625"/>
      <c r="H1325" s="625"/>
      <c r="I1325" s="625"/>
      <c r="J1325" s="625"/>
      <c r="K1325" s="625"/>
      <c r="L1325" s="625"/>
      <c r="M1325" s="626"/>
      <c r="N1325" s="626"/>
      <c r="O1325" s="626"/>
      <c r="P1325" s="626"/>
      <c r="Q1325" s="626"/>
      <c r="W1325" t="s">
        <v>2047</v>
      </c>
    </row>
    <row r="1326" spans="1:23" ht="13.15" customHeight="1" x14ac:dyDescent="0.2">
      <c r="A1326" s="2" t="s">
        <v>2199</v>
      </c>
      <c r="B1326" s="2">
        <f t="shared" si="40"/>
        <v>2022</v>
      </c>
      <c r="C1326" s="2" t="str">
        <f t="shared" si="41"/>
        <v>KZN226</v>
      </c>
      <c r="D1326" s="2">
        <v>708</v>
      </c>
      <c r="F1326" s="625"/>
      <c r="G1326" s="625"/>
      <c r="H1326" s="625"/>
      <c r="I1326" s="625"/>
      <c r="J1326" s="625"/>
      <c r="K1326" s="625"/>
      <c r="L1326" s="625"/>
      <c r="M1326" s="626"/>
      <c r="N1326" s="626"/>
      <c r="O1326" s="626"/>
      <c r="P1326" s="626"/>
      <c r="Q1326" s="626"/>
      <c r="W1326" t="s">
        <v>2047</v>
      </c>
    </row>
    <row r="1327" spans="1:23" ht="13.15" customHeight="1" x14ac:dyDescent="0.2">
      <c r="A1327" s="2" t="s">
        <v>2199</v>
      </c>
      <c r="B1327" s="2">
        <f t="shared" si="40"/>
        <v>2022</v>
      </c>
      <c r="C1327" s="2" t="str">
        <f t="shared" si="41"/>
        <v>KZN226</v>
      </c>
      <c r="D1327" s="2">
        <v>709</v>
      </c>
      <c r="F1327" s="625"/>
      <c r="G1327" s="625"/>
      <c r="H1327" s="625"/>
      <c r="I1327" s="625"/>
      <c r="J1327" s="625"/>
      <c r="K1327" s="625"/>
      <c r="L1327" s="625"/>
      <c r="M1327" s="626"/>
      <c r="N1327" s="626"/>
      <c r="O1327" s="626"/>
      <c r="P1327" s="626"/>
      <c r="Q1327" s="626"/>
      <c r="W1327" t="s">
        <v>2047</v>
      </c>
    </row>
    <row r="1328" spans="1:23" ht="13.15" customHeight="1" x14ac:dyDescent="0.2">
      <c r="A1328" s="2" t="s">
        <v>2199</v>
      </c>
      <c r="B1328" s="2">
        <f t="shared" si="40"/>
        <v>2022</v>
      </c>
      <c r="C1328" s="2" t="str">
        <f t="shared" si="41"/>
        <v>KZN226</v>
      </c>
      <c r="D1328" s="2">
        <v>710</v>
      </c>
      <c r="F1328" s="625"/>
      <c r="G1328" s="625"/>
      <c r="H1328" s="625"/>
      <c r="I1328" s="625"/>
      <c r="J1328" s="625"/>
      <c r="K1328" s="625"/>
      <c r="L1328" s="625"/>
      <c r="M1328" s="626"/>
      <c r="N1328" s="626"/>
      <c r="O1328" s="626"/>
      <c r="P1328" s="626"/>
      <c r="Q1328" s="626"/>
      <c r="W1328" t="s">
        <v>2047</v>
      </c>
    </row>
    <row r="1329" spans="1:23" ht="13.15" customHeight="1" x14ac:dyDescent="0.2">
      <c r="A1329" s="2" t="s">
        <v>2199</v>
      </c>
      <c r="B1329" s="2">
        <f t="shared" si="40"/>
        <v>2022</v>
      </c>
      <c r="C1329" s="2" t="str">
        <f t="shared" si="41"/>
        <v>KZN226</v>
      </c>
      <c r="D1329" s="2">
        <v>711</v>
      </c>
      <c r="F1329" s="625"/>
      <c r="G1329" s="625"/>
      <c r="H1329" s="625"/>
      <c r="I1329" s="625"/>
      <c r="J1329" s="625"/>
      <c r="K1329" s="625"/>
      <c r="L1329" s="625"/>
      <c r="M1329" s="626"/>
      <c r="N1329" s="626"/>
      <c r="O1329" s="626"/>
      <c r="P1329" s="626"/>
      <c r="Q1329" s="626"/>
      <c r="W1329" t="s">
        <v>2047</v>
      </c>
    </row>
    <row r="1330" spans="1:23" ht="13.15" customHeight="1" x14ac:dyDescent="0.2">
      <c r="A1330" s="2" t="s">
        <v>2199</v>
      </c>
      <c r="B1330" s="2">
        <f t="shared" si="40"/>
        <v>2022</v>
      </c>
      <c r="C1330" s="2" t="str">
        <f t="shared" si="41"/>
        <v>KZN226</v>
      </c>
      <c r="D1330" s="2">
        <v>712</v>
      </c>
      <c r="F1330" s="625"/>
      <c r="G1330" s="625"/>
      <c r="H1330" s="625"/>
      <c r="I1330" s="625"/>
      <c r="J1330" s="625"/>
      <c r="K1330" s="625"/>
      <c r="L1330" s="625"/>
      <c r="M1330" s="626"/>
      <c r="N1330" s="626"/>
      <c r="O1330" s="626"/>
      <c r="P1330" s="626"/>
      <c r="Q1330" s="626"/>
      <c r="W1330" t="s">
        <v>2047</v>
      </c>
    </row>
    <row r="1331" spans="1:23" ht="13.15" customHeight="1" x14ac:dyDescent="0.2">
      <c r="A1331" s="2" t="s">
        <v>2199</v>
      </c>
      <c r="B1331" s="2">
        <f t="shared" si="40"/>
        <v>2022</v>
      </c>
      <c r="C1331" s="2" t="str">
        <f t="shared" si="41"/>
        <v>KZN226</v>
      </c>
      <c r="D1331" s="2">
        <v>713</v>
      </c>
      <c r="F1331" s="625"/>
      <c r="G1331" s="625"/>
      <c r="H1331" s="625"/>
      <c r="I1331" s="625"/>
      <c r="J1331" s="625"/>
      <c r="K1331" s="625"/>
      <c r="L1331" s="625"/>
      <c r="M1331" s="626"/>
      <c r="N1331" s="626"/>
      <c r="O1331" s="626"/>
      <c r="P1331" s="626"/>
      <c r="Q1331" s="626"/>
      <c r="W1331" t="s">
        <v>2047</v>
      </c>
    </row>
    <row r="1332" spans="1:23" ht="13.15" customHeight="1" x14ac:dyDescent="0.2">
      <c r="A1332" s="2" t="s">
        <v>2199</v>
      </c>
      <c r="B1332" s="2">
        <f t="shared" si="40"/>
        <v>2022</v>
      </c>
      <c r="C1332" s="2" t="str">
        <f t="shared" si="41"/>
        <v>KZN226</v>
      </c>
      <c r="D1332" s="2">
        <v>714</v>
      </c>
      <c r="F1332" s="625"/>
      <c r="G1332" s="625"/>
      <c r="H1332" s="625"/>
      <c r="I1332" s="625"/>
      <c r="J1332" s="625"/>
      <c r="K1332" s="625"/>
      <c r="L1332" s="625"/>
      <c r="M1332" s="626"/>
      <c r="N1332" s="626"/>
      <c r="O1332" s="626"/>
      <c r="P1332" s="626"/>
      <c r="Q1332" s="626"/>
      <c r="W1332" t="s">
        <v>2047</v>
      </c>
    </row>
    <row r="1333" spans="1:23" ht="13.15" customHeight="1" x14ac:dyDescent="0.2">
      <c r="A1333" s="2" t="s">
        <v>2199</v>
      </c>
      <c r="B1333" s="2">
        <f t="shared" si="40"/>
        <v>2022</v>
      </c>
      <c r="C1333" s="2" t="str">
        <f t="shared" si="41"/>
        <v>KZN226</v>
      </c>
      <c r="D1333" s="2">
        <v>715</v>
      </c>
      <c r="F1333" s="625"/>
      <c r="G1333" s="625"/>
      <c r="H1333" s="625"/>
      <c r="I1333" s="625"/>
      <c r="J1333" s="625"/>
      <c r="K1333" s="625"/>
      <c r="L1333" s="625"/>
      <c r="M1333" s="626"/>
      <c r="N1333" s="626"/>
      <c r="O1333" s="626"/>
      <c r="P1333" s="626"/>
      <c r="Q1333" s="626"/>
      <c r="W1333" t="s">
        <v>2047</v>
      </c>
    </row>
    <row r="1334" spans="1:23" ht="13.15" customHeight="1" x14ac:dyDescent="0.2">
      <c r="A1334" s="2" t="s">
        <v>2199</v>
      </c>
      <c r="B1334" s="2">
        <f t="shared" si="40"/>
        <v>2022</v>
      </c>
      <c r="C1334" s="2" t="str">
        <f t="shared" si="41"/>
        <v>KZN226</v>
      </c>
      <c r="D1334" s="2">
        <v>716</v>
      </c>
      <c r="F1334" s="625"/>
      <c r="G1334" s="625"/>
      <c r="H1334" s="625"/>
      <c r="I1334" s="625"/>
      <c r="J1334" s="625"/>
      <c r="K1334" s="625"/>
      <c r="L1334" s="625"/>
      <c r="M1334" s="626"/>
      <c r="N1334" s="626"/>
      <c r="O1334" s="626"/>
      <c r="P1334" s="626"/>
      <c r="Q1334" s="626"/>
      <c r="W1334" t="s">
        <v>2047</v>
      </c>
    </row>
    <row r="1335" spans="1:23" ht="13.15" customHeight="1" x14ac:dyDescent="0.2">
      <c r="A1335" s="2" t="s">
        <v>2199</v>
      </c>
      <c r="B1335" s="2">
        <f t="shared" si="40"/>
        <v>2022</v>
      </c>
      <c r="C1335" s="2" t="str">
        <f t="shared" si="41"/>
        <v>KZN226</v>
      </c>
      <c r="D1335" s="2">
        <v>717</v>
      </c>
      <c r="F1335" s="625"/>
      <c r="G1335" s="625"/>
      <c r="H1335" s="625"/>
      <c r="I1335" s="625"/>
      <c r="J1335" s="625"/>
      <c r="K1335" s="625"/>
      <c r="L1335" s="625"/>
      <c r="M1335" s="626"/>
      <c r="N1335" s="626"/>
      <c r="O1335" s="626"/>
      <c r="P1335" s="626"/>
      <c r="Q1335" s="626"/>
      <c r="W1335" t="s">
        <v>2047</v>
      </c>
    </row>
    <row r="1336" spans="1:23" ht="13.15" customHeight="1" x14ac:dyDescent="0.2">
      <c r="A1336" s="2" t="s">
        <v>2199</v>
      </c>
      <c r="B1336" s="2">
        <f t="shared" si="40"/>
        <v>2022</v>
      </c>
      <c r="C1336" s="2" t="str">
        <f t="shared" si="41"/>
        <v>KZN226</v>
      </c>
      <c r="D1336" s="2">
        <v>718</v>
      </c>
      <c r="F1336" s="625"/>
      <c r="G1336" s="625"/>
      <c r="H1336" s="625"/>
      <c r="I1336" s="625"/>
      <c r="J1336" s="625"/>
      <c r="K1336" s="625"/>
      <c r="L1336" s="625"/>
      <c r="M1336" s="626"/>
      <c r="N1336" s="626"/>
      <c r="O1336" s="626"/>
      <c r="P1336" s="626"/>
      <c r="Q1336" s="626"/>
      <c r="W1336" t="s">
        <v>2047</v>
      </c>
    </row>
    <row r="1337" spans="1:23" ht="13.15" customHeight="1" x14ac:dyDescent="0.2">
      <c r="A1337" s="2" t="s">
        <v>2199</v>
      </c>
      <c r="B1337" s="2">
        <f t="shared" si="40"/>
        <v>2022</v>
      </c>
      <c r="C1337" s="2" t="str">
        <f t="shared" si="41"/>
        <v>KZN226</v>
      </c>
      <c r="D1337" s="2">
        <v>719</v>
      </c>
      <c r="F1337" s="625"/>
      <c r="G1337" s="625"/>
      <c r="H1337" s="625"/>
      <c r="I1337" s="625"/>
      <c r="J1337" s="625"/>
      <c r="K1337" s="625"/>
      <c r="L1337" s="625"/>
      <c r="M1337" s="626"/>
      <c r="N1337" s="626"/>
      <c r="O1337" s="626"/>
      <c r="P1337" s="626"/>
      <c r="Q1337" s="626"/>
      <c r="W1337" t="s">
        <v>2047</v>
      </c>
    </row>
    <row r="1338" spans="1:23" ht="13.15" customHeight="1" x14ac:dyDescent="0.2">
      <c r="A1338" s="2" t="s">
        <v>2199</v>
      </c>
      <c r="B1338" s="2">
        <f t="shared" si="40"/>
        <v>2022</v>
      </c>
      <c r="C1338" s="2" t="str">
        <f t="shared" si="41"/>
        <v>KZN226</v>
      </c>
      <c r="D1338" s="2">
        <v>720</v>
      </c>
      <c r="F1338" s="625"/>
      <c r="G1338" s="625"/>
      <c r="H1338" s="625"/>
      <c r="I1338" s="625"/>
      <c r="J1338" s="625"/>
      <c r="K1338" s="625"/>
      <c r="L1338" s="625"/>
      <c r="M1338" s="626"/>
      <c r="N1338" s="626"/>
      <c r="O1338" s="626"/>
      <c r="P1338" s="626"/>
      <c r="Q1338" s="626"/>
      <c r="W1338" t="s">
        <v>2047</v>
      </c>
    </row>
    <row r="1339" spans="1:23" ht="13.15" customHeight="1" x14ac:dyDescent="0.2">
      <c r="A1339" s="2" t="s">
        <v>2199</v>
      </c>
      <c r="B1339" s="2">
        <f t="shared" si="40"/>
        <v>2022</v>
      </c>
      <c r="C1339" s="2" t="str">
        <f t="shared" si="41"/>
        <v>KZN226</v>
      </c>
      <c r="D1339" s="2">
        <v>721</v>
      </c>
      <c r="F1339" s="625"/>
      <c r="G1339" s="625"/>
      <c r="H1339" s="625"/>
      <c r="I1339" s="625"/>
      <c r="J1339" s="625"/>
      <c r="K1339" s="625"/>
      <c r="L1339" s="625"/>
      <c r="M1339" s="626"/>
      <c r="N1339" s="626"/>
      <c r="O1339" s="626"/>
      <c r="P1339" s="626"/>
      <c r="Q1339" s="626"/>
      <c r="W1339" t="s">
        <v>2047</v>
      </c>
    </row>
    <row r="1340" spans="1:23" ht="13.15" customHeight="1" x14ac:dyDescent="0.2">
      <c r="A1340" s="2" t="s">
        <v>2199</v>
      </c>
      <c r="B1340" s="2">
        <f t="shared" si="40"/>
        <v>2022</v>
      </c>
      <c r="C1340" s="2" t="str">
        <f t="shared" si="41"/>
        <v>KZN226</v>
      </c>
      <c r="D1340" s="2">
        <v>722</v>
      </c>
      <c r="F1340" s="625"/>
      <c r="G1340" s="625"/>
      <c r="H1340" s="625"/>
      <c r="I1340" s="625"/>
      <c r="J1340" s="625"/>
      <c r="K1340" s="625"/>
      <c r="L1340" s="625"/>
      <c r="M1340" s="626"/>
      <c r="N1340" s="626"/>
      <c r="O1340" s="626"/>
      <c r="P1340" s="626"/>
      <c r="Q1340" s="626"/>
      <c r="W1340" t="s">
        <v>2047</v>
      </c>
    </row>
    <row r="1341" spans="1:23" ht="13.15" customHeight="1" x14ac:dyDescent="0.2">
      <c r="A1341" s="2" t="s">
        <v>2199</v>
      </c>
      <c r="B1341" s="2">
        <f t="shared" si="40"/>
        <v>2022</v>
      </c>
      <c r="C1341" s="2" t="str">
        <f t="shared" si="41"/>
        <v>KZN226</v>
      </c>
      <c r="D1341" s="2">
        <v>723</v>
      </c>
      <c r="F1341" s="625"/>
      <c r="G1341" s="625"/>
      <c r="H1341" s="625"/>
      <c r="I1341" s="625"/>
      <c r="J1341" s="625"/>
      <c r="K1341" s="625"/>
      <c r="L1341" s="625"/>
      <c r="M1341" s="626"/>
      <c r="N1341" s="626"/>
      <c r="O1341" s="626"/>
      <c r="P1341" s="626"/>
      <c r="Q1341" s="626"/>
      <c r="W1341" t="s">
        <v>2047</v>
      </c>
    </row>
    <row r="1342" spans="1:23" ht="13.15" customHeight="1" x14ac:dyDescent="0.2">
      <c r="A1342" s="2" t="s">
        <v>2199</v>
      </c>
      <c r="B1342" s="2">
        <f t="shared" si="40"/>
        <v>2022</v>
      </c>
      <c r="C1342" s="2" t="str">
        <f t="shared" si="41"/>
        <v>KZN226</v>
      </c>
      <c r="D1342" s="2">
        <v>724</v>
      </c>
      <c r="F1342" s="625"/>
      <c r="G1342" s="625"/>
      <c r="H1342" s="625"/>
      <c r="I1342" s="625"/>
      <c r="J1342" s="625"/>
      <c r="K1342" s="625"/>
      <c r="L1342" s="625"/>
      <c r="M1342" s="626"/>
      <c r="N1342" s="626"/>
      <c r="O1342" s="626"/>
      <c r="P1342" s="626"/>
      <c r="Q1342" s="626"/>
      <c r="W1342" t="s">
        <v>2047</v>
      </c>
    </row>
    <row r="1343" spans="1:23" ht="13.15" customHeight="1" x14ac:dyDescent="0.2">
      <c r="A1343" s="2" t="s">
        <v>2199</v>
      </c>
      <c r="B1343" s="2">
        <f t="shared" si="40"/>
        <v>2022</v>
      </c>
      <c r="C1343" s="2" t="str">
        <f t="shared" si="41"/>
        <v>KZN226</v>
      </c>
      <c r="D1343" s="2">
        <v>725</v>
      </c>
      <c r="F1343" s="625"/>
      <c r="G1343" s="625"/>
      <c r="H1343" s="625"/>
      <c r="I1343" s="625"/>
      <c r="J1343" s="625"/>
      <c r="K1343" s="625"/>
      <c r="L1343" s="625"/>
      <c r="M1343" s="626"/>
      <c r="N1343" s="626"/>
      <c r="O1343" s="626"/>
      <c r="P1343" s="626"/>
      <c r="Q1343" s="626"/>
      <c r="W1343" t="s">
        <v>2047</v>
      </c>
    </row>
    <row r="1344" spans="1:23" ht="13.15" customHeight="1" x14ac:dyDescent="0.2">
      <c r="A1344" s="2" t="s">
        <v>2199</v>
      </c>
      <c r="B1344" s="2">
        <f t="shared" si="40"/>
        <v>2022</v>
      </c>
      <c r="C1344" s="2" t="str">
        <f t="shared" si="41"/>
        <v>KZN226</v>
      </c>
      <c r="D1344" s="2">
        <v>726</v>
      </c>
      <c r="F1344" s="625"/>
      <c r="G1344" s="625"/>
      <c r="H1344" s="625"/>
      <c r="I1344" s="625"/>
      <c r="J1344" s="625"/>
      <c r="K1344" s="625"/>
      <c r="L1344" s="625"/>
      <c r="M1344" s="626"/>
      <c r="N1344" s="626"/>
      <c r="O1344" s="626"/>
      <c r="P1344" s="626"/>
      <c r="Q1344" s="626"/>
      <c r="W1344" t="s">
        <v>2047</v>
      </c>
    </row>
    <row r="1345" spans="1:23" ht="13.15" customHeight="1" x14ac:dyDescent="0.2">
      <c r="A1345" s="2" t="s">
        <v>2199</v>
      </c>
      <c r="B1345" s="2">
        <f t="shared" si="40"/>
        <v>2022</v>
      </c>
      <c r="C1345" s="2" t="str">
        <f t="shared" si="41"/>
        <v>KZN226</v>
      </c>
      <c r="D1345" s="2">
        <v>727</v>
      </c>
      <c r="F1345" s="625"/>
      <c r="G1345" s="625"/>
      <c r="H1345" s="625"/>
      <c r="I1345" s="625"/>
      <c r="J1345" s="625"/>
      <c r="K1345" s="625"/>
      <c r="L1345" s="625"/>
      <c r="M1345" s="626"/>
      <c r="N1345" s="626"/>
      <c r="O1345" s="626"/>
      <c r="P1345" s="626"/>
      <c r="Q1345" s="626"/>
      <c r="W1345" t="s">
        <v>2047</v>
      </c>
    </row>
    <row r="1346" spans="1:23" ht="13.15" customHeight="1" x14ac:dyDescent="0.2">
      <c r="A1346" s="2" t="s">
        <v>2199</v>
      </c>
      <c r="B1346" s="2">
        <f t="shared" ref="B1346:B1409" si="42">+MTREF</f>
        <v>2022</v>
      </c>
      <c r="C1346" s="2" t="str">
        <f t="shared" ref="C1346:C1409" si="43">LEFT(muni,(FIND(" ",muni,1)-1))</f>
        <v>KZN226</v>
      </c>
      <c r="D1346" s="2">
        <v>728</v>
      </c>
      <c r="F1346" s="625"/>
      <c r="G1346" s="625"/>
      <c r="H1346" s="625"/>
      <c r="I1346" s="625"/>
      <c r="J1346" s="625"/>
      <c r="K1346" s="625"/>
      <c r="L1346" s="625"/>
      <c r="M1346" s="626"/>
      <c r="N1346" s="626"/>
      <c r="O1346" s="626"/>
      <c r="P1346" s="626"/>
      <c r="Q1346" s="626"/>
      <c r="W1346" t="s">
        <v>2047</v>
      </c>
    </row>
    <row r="1347" spans="1:23" ht="13.15" customHeight="1" x14ac:dyDescent="0.2">
      <c r="A1347" s="2" t="s">
        <v>2199</v>
      </c>
      <c r="B1347" s="2">
        <f t="shared" si="42"/>
        <v>2022</v>
      </c>
      <c r="C1347" s="2" t="str">
        <f t="shared" si="43"/>
        <v>KZN226</v>
      </c>
      <c r="D1347" s="2">
        <v>729</v>
      </c>
      <c r="F1347" s="625"/>
      <c r="G1347" s="625"/>
      <c r="H1347" s="625"/>
      <c r="I1347" s="625"/>
      <c r="J1347" s="625"/>
      <c r="K1347" s="625"/>
      <c r="L1347" s="625"/>
      <c r="M1347" s="626"/>
      <c r="N1347" s="626"/>
      <c r="O1347" s="626"/>
      <c r="P1347" s="626"/>
      <c r="Q1347" s="626"/>
      <c r="W1347" t="s">
        <v>2047</v>
      </c>
    </row>
    <row r="1348" spans="1:23" ht="13.15" customHeight="1" x14ac:dyDescent="0.2">
      <c r="A1348" s="2" t="s">
        <v>2199</v>
      </c>
      <c r="B1348" s="2">
        <f t="shared" si="42"/>
        <v>2022</v>
      </c>
      <c r="C1348" s="2" t="str">
        <f t="shared" si="43"/>
        <v>KZN226</v>
      </c>
      <c r="D1348" s="2">
        <v>730</v>
      </c>
      <c r="F1348" s="625"/>
      <c r="G1348" s="625"/>
      <c r="H1348" s="625"/>
      <c r="I1348" s="625"/>
      <c r="J1348" s="625"/>
      <c r="K1348" s="625"/>
      <c r="L1348" s="625"/>
      <c r="M1348" s="626"/>
      <c r="N1348" s="626"/>
      <c r="O1348" s="626"/>
      <c r="P1348" s="626"/>
      <c r="Q1348" s="626"/>
      <c r="W1348" t="s">
        <v>2047</v>
      </c>
    </row>
    <row r="1349" spans="1:23" ht="13.15" customHeight="1" x14ac:dyDescent="0.2">
      <c r="A1349" s="2" t="s">
        <v>2199</v>
      </c>
      <c r="B1349" s="2">
        <f t="shared" si="42"/>
        <v>2022</v>
      </c>
      <c r="C1349" s="2" t="str">
        <f t="shared" si="43"/>
        <v>KZN226</v>
      </c>
      <c r="D1349" s="2">
        <v>731</v>
      </c>
      <c r="F1349" s="625"/>
      <c r="G1349" s="625"/>
      <c r="H1349" s="625"/>
      <c r="I1349" s="625"/>
      <c r="J1349" s="625"/>
      <c r="K1349" s="625"/>
      <c r="L1349" s="625"/>
      <c r="M1349" s="626"/>
      <c r="N1349" s="626"/>
      <c r="O1349" s="626"/>
      <c r="P1349" s="626"/>
      <c r="Q1349" s="626"/>
      <c r="W1349" t="s">
        <v>2047</v>
      </c>
    </row>
    <row r="1350" spans="1:23" ht="13.15" customHeight="1" x14ac:dyDescent="0.2">
      <c r="A1350" s="2" t="s">
        <v>2199</v>
      </c>
      <c r="B1350" s="2">
        <f t="shared" si="42"/>
        <v>2022</v>
      </c>
      <c r="C1350" s="2" t="str">
        <f t="shared" si="43"/>
        <v>KZN226</v>
      </c>
      <c r="D1350" s="2">
        <v>732</v>
      </c>
      <c r="F1350" s="625"/>
      <c r="G1350" s="625"/>
      <c r="H1350" s="625"/>
      <c r="I1350" s="625"/>
      <c r="J1350" s="625"/>
      <c r="K1350" s="625"/>
      <c r="L1350" s="625"/>
      <c r="M1350" s="626"/>
      <c r="N1350" s="626"/>
      <c r="O1350" s="626"/>
      <c r="P1350" s="626"/>
      <c r="Q1350" s="626"/>
      <c r="W1350" t="s">
        <v>2047</v>
      </c>
    </row>
    <row r="1351" spans="1:23" ht="13.15" customHeight="1" x14ac:dyDescent="0.2">
      <c r="A1351" s="2" t="s">
        <v>2199</v>
      </c>
      <c r="B1351" s="2">
        <f t="shared" si="42"/>
        <v>2022</v>
      </c>
      <c r="C1351" s="2" t="str">
        <f t="shared" si="43"/>
        <v>KZN226</v>
      </c>
      <c r="D1351" s="2">
        <v>733</v>
      </c>
      <c r="F1351" s="625"/>
      <c r="G1351" s="625"/>
      <c r="H1351" s="625"/>
      <c r="I1351" s="625"/>
      <c r="J1351" s="625"/>
      <c r="K1351" s="625"/>
      <c r="L1351" s="625"/>
      <c r="M1351" s="626"/>
      <c r="N1351" s="626"/>
      <c r="O1351" s="626"/>
      <c r="P1351" s="626"/>
      <c r="Q1351" s="626"/>
      <c r="W1351" t="s">
        <v>2047</v>
      </c>
    </row>
    <row r="1352" spans="1:23" ht="13.15" customHeight="1" x14ac:dyDescent="0.2">
      <c r="A1352" s="2" t="s">
        <v>2199</v>
      </c>
      <c r="B1352" s="2">
        <f t="shared" si="42"/>
        <v>2022</v>
      </c>
      <c r="C1352" s="2" t="str">
        <f t="shared" si="43"/>
        <v>KZN226</v>
      </c>
      <c r="D1352" s="2">
        <v>734</v>
      </c>
      <c r="F1352" s="625"/>
      <c r="G1352" s="625"/>
      <c r="H1352" s="625"/>
      <c r="I1352" s="625"/>
      <c r="J1352" s="625"/>
      <c r="K1352" s="625"/>
      <c r="L1352" s="625"/>
      <c r="M1352" s="626"/>
      <c r="N1352" s="626"/>
      <c r="O1352" s="626"/>
      <c r="P1352" s="626"/>
      <c r="Q1352" s="626"/>
      <c r="W1352" t="s">
        <v>2047</v>
      </c>
    </row>
    <row r="1353" spans="1:23" ht="13.15" customHeight="1" x14ac:dyDescent="0.2">
      <c r="A1353" s="2" t="s">
        <v>2199</v>
      </c>
      <c r="B1353" s="2">
        <f t="shared" si="42"/>
        <v>2022</v>
      </c>
      <c r="C1353" s="2" t="str">
        <f t="shared" si="43"/>
        <v>KZN226</v>
      </c>
      <c r="D1353" s="2">
        <v>735</v>
      </c>
      <c r="F1353" s="625"/>
      <c r="G1353" s="625"/>
      <c r="H1353" s="625"/>
      <c r="I1353" s="625"/>
      <c r="J1353" s="625"/>
      <c r="K1353" s="625"/>
      <c r="L1353" s="625"/>
      <c r="M1353" s="626"/>
      <c r="N1353" s="626"/>
      <c r="O1353" s="626"/>
      <c r="P1353" s="626"/>
      <c r="Q1353" s="626"/>
      <c r="W1353" t="s">
        <v>2047</v>
      </c>
    </row>
    <row r="1354" spans="1:23" ht="13.15" customHeight="1" x14ac:dyDescent="0.2">
      <c r="A1354" s="2" t="s">
        <v>2199</v>
      </c>
      <c r="B1354" s="2">
        <f t="shared" si="42"/>
        <v>2022</v>
      </c>
      <c r="C1354" s="2" t="str">
        <f t="shared" si="43"/>
        <v>KZN226</v>
      </c>
      <c r="D1354" s="2">
        <v>736</v>
      </c>
      <c r="F1354" s="625"/>
      <c r="G1354" s="625"/>
      <c r="H1354" s="625"/>
      <c r="I1354" s="625"/>
      <c r="J1354" s="625"/>
      <c r="K1354" s="625"/>
      <c r="L1354" s="625"/>
      <c r="M1354" s="626"/>
      <c r="N1354" s="626"/>
      <c r="O1354" s="626"/>
      <c r="P1354" s="626"/>
      <c r="Q1354" s="626"/>
      <c r="W1354" t="s">
        <v>2047</v>
      </c>
    </row>
    <row r="1355" spans="1:23" ht="13.15" customHeight="1" x14ac:dyDescent="0.2">
      <c r="A1355" s="2" t="s">
        <v>2199</v>
      </c>
      <c r="B1355" s="2">
        <f t="shared" si="42"/>
        <v>2022</v>
      </c>
      <c r="C1355" s="2" t="str">
        <f t="shared" si="43"/>
        <v>KZN226</v>
      </c>
      <c r="D1355" s="2">
        <v>737</v>
      </c>
      <c r="F1355" s="625"/>
      <c r="G1355" s="625"/>
      <c r="H1355" s="625"/>
      <c r="I1355" s="625"/>
      <c r="J1355" s="625"/>
      <c r="K1355" s="625"/>
      <c r="L1355" s="625"/>
      <c r="M1355" s="626"/>
      <c r="N1355" s="626"/>
      <c r="O1355" s="626"/>
      <c r="P1355" s="626"/>
      <c r="Q1355" s="626"/>
      <c r="W1355" t="s">
        <v>2047</v>
      </c>
    </row>
    <row r="1356" spans="1:23" ht="13.15" customHeight="1" x14ac:dyDescent="0.2">
      <c r="A1356" s="2" t="s">
        <v>2199</v>
      </c>
      <c r="B1356" s="2">
        <f t="shared" si="42"/>
        <v>2022</v>
      </c>
      <c r="C1356" s="2" t="str">
        <f t="shared" si="43"/>
        <v>KZN226</v>
      </c>
      <c r="D1356" s="2">
        <v>738</v>
      </c>
      <c r="F1356" s="625"/>
      <c r="G1356" s="625"/>
      <c r="H1356" s="625"/>
      <c r="I1356" s="625"/>
      <c r="J1356" s="625"/>
      <c r="K1356" s="625"/>
      <c r="L1356" s="625"/>
      <c r="M1356" s="626"/>
      <c r="N1356" s="626"/>
      <c r="O1356" s="626"/>
      <c r="P1356" s="626"/>
      <c r="Q1356" s="626"/>
      <c r="W1356" t="s">
        <v>2047</v>
      </c>
    </row>
    <row r="1357" spans="1:23" ht="13.15" customHeight="1" x14ac:dyDescent="0.2">
      <c r="A1357" s="2" t="s">
        <v>2199</v>
      </c>
      <c r="B1357" s="2">
        <f t="shared" si="42"/>
        <v>2022</v>
      </c>
      <c r="C1357" s="2" t="str">
        <f t="shared" si="43"/>
        <v>KZN226</v>
      </c>
      <c r="D1357" s="2">
        <v>739</v>
      </c>
      <c r="F1357" s="625"/>
      <c r="G1357" s="625"/>
      <c r="H1357" s="625"/>
      <c r="I1357" s="625"/>
      <c r="J1357" s="625"/>
      <c r="K1357" s="625"/>
      <c r="L1357" s="625"/>
      <c r="M1357" s="626"/>
      <c r="N1357" s="626"/>
      <c r="O1357" s="626"/>
      <c r="P1357" s="626"/>
      <c r="Q1357" s="626"/>
      <c r="W1357" t="s">
        <v>2047</v>
      </c>
    </row>
    <row r="1358" spans="1:23" ht="13.15" customHeight="1" x14ac:dyDescent="0.2">
      <c r="A1358" s="2" t="s">
        <v>2199</v>
      </c>
      <c r="B1358" s="2">
        <f t="shared" si="42"/>
        <v>2022</v>
      </c>
      <c r="C1358" s="2" t="str">
        <f t="shared" si="43"/>
        <v>KZN226</v>
      </c>
      <c r="D1358" s="2">
        <v>740</v>
      </c>
      <c r="F1358" s="625"/>
      <c r="G1358" s="625"/>
      <c r="H1358" s="625"/>
      <c r="I1358" s="625"/>
      <c r="J1358" s="625"/>
      <c r="K1358" s="625"/>
      <c r="L1358" s="625"/>
      <c r="M1358" s="626"/>
      <c r="N1358" s="626"/>
      <c r="O1358" s="626"/>
      <c r="P1358" s="626"/>
      <c r="Q1358" s="626"/>
      <c r="W1358" t="s">
        <v>2047</v>
      </c>
    </row>
    <row r="1359" spans="1:23" ht="13.15" customHeight="1" x14ac:dyDescent="0.2">
      <c r="A1359" s="2" t="s">
        <v>2199</v>
      </c>
      <c r="B1359" s="2">
        <f t="shared" si="42"/>
        <v>2022</v>
      </c>
      <c r="C1359" s="2" t="str">
        <f t="shared" si="43"/>
        <v>KZN226</v>
      </c>
      <c r="D1359" s="2">
        <v>741</v>
      </c>
      <c r="F1359" s="625"/>
      <c r="G1359" s="625"/>
      <c r="H1359" s="625"/>
      <c r="I1359" s="625"/>
      <c r="J1359" s="625"/>
      <c r="K1359" s="625"/>
      <c r="L1359" s="625"/>
      <c r="M1359" s="626"/>
      <c r="N1359" s="626"/>
      <c r="O1359" s="626"/>
      <c r="P1359" s="626"/>
      <c r="Q1359" s="626"/>
      <c r="W1359" t="s">
        <v>2047</v>
      </c>
    </row>
    <row r="1360" spans="1:23" ht="13.15" customHeight="1" x14ac:dyDescent="0.2">
      <c r="A1360" s="2" t="s">
        <v>2199</v>
      </c>
      <c r="B1360" s="2">
        <f t="shared" si="42"/>
        <v>2022</v>
      </c>
      <c r="C1360" s="2" t="str">
        <f t="shared" si="43"/>
        <v>KZN226</v>
      </c>
      <c r="D1360" s="2">
        <v>742</v>
      </c>
      <c r="F1360" s="625"/>
      <c r="G1360" s="625"/>
      <c r="H1360" s="625"/>
      <c r="I1360" s="625"/>
      <c r="J1360" s="625"/>
      <c r="K1360" s="625"/>
      <c r="L1360" s="625"/>
      <c r="M1360" s="626"/>
      <c r="N1360" s="626"/>
      <c r="O1360" s="626"/>
      <c r="P1360" s="626"/>
      <c r="Q1360" s="626"/>
      <c r="W1360" t="s">
        <v>2047</v>
      </c>
    </row>
    <row r="1361" spans="1:23" ht="13.15" customHeight="1" x14ac:dyDescent="0.2">
      <c r="A1361" s="2" t="s">
        <v>2199</v>
      </c>
      <c r="B1361" s="2">
        <f t="shared" si="42"/>
        <v>2022</v>
      </c>
      <c r="C1361" s="2" t="str">
        <f t="shared" si="43"/>
        <v>KZN226</v>
      </c>
      <c r="D1361" s="2">
        <v>743</v>
      </c>
      <c r="F1361" s="625"/>
      <c r="G1361" s="625"/>
      <c r="H1361" s="625"/>
      <c r="I1361" s="625"/>
      <c r="J1361" s="625"/>
      <c r="K1361" s="625"/>
      <c r="L1361" s="625"/>
      <c r="M1361" s="626"/>
      <c r="N1361" s="626"/>
      <c r="O1361" s="626"/>
      <c r="P1361" s="626"/>
      <c r="Q1361" s="626"/>
      <c r="W1361" t="s">
        <v>2047</v>
      </c>
    </row>
    <row r="1362" spans="1:23" ht="13.15" customHeight="1" x14ac:dyDescent="0.2">
      <c r="A1362" s="2" t="s">
        <v>2199</v>
      </c>
      <c r="B1362" s="2">
        <f t="shared" si="42"/>
        <v>2022</v>
      </c>
      <c r="C1362" s="2" t="str">
        <f t="shared" si="43"/>
        <v>KZN226</v>
      </c>
      <c r="D1362" s="2">
        <v>744</v>
      </c>
      <c r="F1362" s="625"/>
      <c r="G1362" s="625"/>
      <c r="H1362" s="625"/>
      <c r="I1362" s="625"/>
      <c r="J1362" s="625"/>
      <c r="K1362" s="625"/>
      <c r="L1362" s="625"/>
      <c r="M1362" s="626"/>
      <c r="N1362" s="626"/>
      <c r="O1362" s="626"/>
      <c r="P1362" s="626"/>
      <c r="Q1362" s="626"/>
      <c r="W1362" t="s">
        <v>2047</v>
      </c>
    </row>
    <row r="1363" spans="1:23" ht="13.15" customHeight="1" x14ac:dyDescent="0.2">
      <c r="A1363" s="2" t="s">
        <v>2199</v>
      </c>
      <c r="B1363" s="2">
        <f t="shared" si="42"/>
        <v>2022</v>
      </c>
      <c r="C1363" s="2" t="str">
        <f t="shared" si="43"/>
        <v>KZN226</v>
      </c>
      <c r="D1363" s="2">
        <v>745</v>
      </c>
      <c r="F1363" s="625"/>
      <c r="G1363" s="625"/>
      <c r="H1363" s="625"/>
      <c r="I1363" s="625"/>
      <c r="J1363" s="625"/>
      <c r="K1363" s="625"/>
      <c r="L1363" s="625"/>
      <c r="M1363" s="626"/>
      <c r="N1363" s="626"/>
      <c r="O1363" s="626"/>
      <c r="P1363" s="626"/>
      <c r="Q1363" s="626"/>
      <c r="W1363" t="s">
        <v>2047</v>
      </c>
    </row>
    <row r="1364" spans="1:23" ht="13.15" customHeight="1" x14ac:dyDescent="0.2">
      <c r="A1364" s="2" t="s">
        <v>2199</v>
      </c>
      <c r="B1364" s="2">
        <f t="shared" si="42"/>
        <v>2022</v>
      </c>
      <c r="C1364" s="2" t="str">
        <f t="shared" si="43"/>
        <v>KZN226</v>
      </c>
      <c r="D1364" s="2">
        <v>746</v>
      </c>
      <c r="F1364" s="625"/>
      <c r="G1364" s="625"/>
      <c r="H1364" s="625"/>
      <c r="I1364" s="625"/>
      <c r="J1364" s="625"/>
      <c r="K1364" s="625"/>
      <c r="L1364" s="625"/>
      <c r="M1364" s="626"/>
      <c r="N1364" s="626"/>
      <c r="O1364" s="626"/>
      <c r="P1364" s="626"/>
      <c r="Q1364" s="626"/>
      <c r="W1364" t="s">
        <v>2047</v>
      </c>
    </row>
    <row r="1365" spans="1:23" ht="13.15" customHeight="1" x14ac:dyDescent="0.2">
      <c r="A1365" s="2" t="s">
        <v>2199</v>
      </c>
      <c r="B1365" s="2">
        <f t="shared" si="42"/>
        <v>2022</v>
      </c>
      <c r="C1365" s="2" t="str">
        <f t="shared" si="43"/>
        <v>KZN226</v>
      </c>
      <c r="D1365" s="2">
        <v>747</v>
      </c>
      <c r="F1365" s="625"/>
      <c r="G1365" s="625"/>
      <c r="H1365" s="625"/>
      <c r="I1365" s="625"/>
      <c r="J1365" s="625"/>
      <c r="K1365" s="625"/>
      <c r="L1365" s="625"/>
      <c r="M1365" s="626"/>
      <c r="N1365" s="626"/>
      <c r="O1365" s="626"/>
      <c r="P1365" s="626"/>
      <c r="Q1365" s="626"/>
      <c r="W1365" t="s">
        <v>2047</v>
      </c>
    </row>
    <row r="1366" spans="1:23" ht="13.15" customHeight="1" x14ac:dyDescent="0.2">
      <c r="A1366" s="2" t="s">
        <v>2199</v>
      </c>
      <c r="B1366" s="2">
        <f t="shared" si="42"/>
        <v>2022</v>
      </c>
      <c r="C1366" s="2" t="str">
        <f t="shared" si="43"/>
        <v>KZN226</v>
      </c>
      <c r="D1366" s="2">
        <v>748</v>
      </c>
      <c r="F1366" s="625"/>
      <c r="G1366" s="625"/>
      <c r="H1366" s="625"/>
      <c r="I1366" s="625"/>
      <c r="J1366" s="625"/>
      <c r="K1366" s="625"/>
      <c r="L1366" s="625"/>
      <c r="M1366" s="626"/>
      <c r="N1366" s="626"/>
      <c r="O1366" s="626"/>
      <c r="P1366" s="626"/>
      <c r="Q1366" s="626"/>
      <c r="W1366" t="s">
        <v>2047</v>
      </c>
    </row>
    <row r="1367" spans="1:23" ht="13.15" customHeight="1" x14ac:dyDescent="0.2">
      <c r="A1367" s="2" t="s">
        <v>2199</v>
      </c>
      <c r="B1367" s="2">
        <f t="shared" si="42"/>
        <v>2022</v>
      </c>
      <c r="C1367" s="2" t="str">
        <f t="shared" si="43"/>
        <v>KZN226</v>
      </c>
      <c r="D1367" s="2">
        <v>749</v>
      </c>
      <c r="F1367" s="625"/>
      <c r="G1367" s="625"/>
      <c r="H1367" s="625"/>
      <c r="I1367" s="625"/>
      <c r="J1367" s="625"/>
      <c r="K1367" s="625"/>
      <c r="L1367" s="625"/>
      <c r="M1367" s="626"/>
      <c r="N1367" s="626"/>
      <c r="O1367" s="626"/>
      <c r="P1367" s="626"/>
      <c r="Q1367" s="626"/>
      <c r="W1367" t="s">
        <v>2047</v>
      </c>
    </row>
    <row r="1368" spans="1:23" ht="13.15" customHeight="1" x14ac:dyDescent="0.2">
      <c r="A1368" s="2" t="s">
        <v>2199</v>
      </c>
      <c r="B1368" s="2">
        <f t="shared" si="42"/>
        <v>2022</v>
      </c>
      <c r="C1368" s="2" t="str">
        <f t="shared" si="43"/>
        <v>KZN226</v>
      </c>
      <c r="D1368" s="2">
        <v>750</v>
      </c>
      <c r="F1368" s="625"/>
      <c r="G1368" s="625"/>
      <c r="H1368" s="625"/>
      <c r="I1368" s="625"/>
      <c r="J1368" s="625"/>
      <c r="K1368" s="625"/>
      <c r="L1368" s="625"/>
      <c r="M1368" s="626"/>
      <c r="N1368" s="626"/>
      <c r="O1368" s="626"/>
      <c r="P1368" s="626"/>
      <c r="Q1368" s="626"/>
      <c r="W1368" t="s">
        <v>2047</v>
      </c>
    </row>
    <row r="1369" spans="1:23" ht="13.15" customHeight="1" x14ac:dyDescent="0.2">
      <c r="A1369" s="2" t="s">
        <v>2199</v>
      </c>
      <c r="B1369" s="2">
        <f t="shared" si="42"/>
        <v>2022</v>
      </c>
      <c r="C1369" s="2" t="str">
        <f t="shared" si="43"/>
        <v>KZN226</v>
      </c>
      <c r="D1369" s="2">
        <v>751</v>
      </c>
      <c r="F1369" s="625"/>
      <c r="G1369" s="625"/>
      <c r="H1369" s="625"/>
      <c r="I1369" s="625"/>
      <c r="J1369" s="625"/>
      <c r="K1369" s="625"/>
      <c r="L1369" s="625"/>
      <c r="M1369" s="626"/>
      <c r="N1369" s="626"/>
      <c r="O1369" s="626"/>
      <c r="P1369" s="626"/>
      <c r="Q1369" s="626"/>
      <c r="W1369" t="s">
        <v>2047</v>
      </c>
    </row>
    <row r="1370" spans="1:23" ht="13.15" customHeight="1" x14ac:dyDescent="0.2">
      <c r="A1370" s="2" t="s">
        <v>2199</v>
      </c>
      <c r="B1370" s="2">
        <f t="shared" si="42"/>
        <v>2022</v>
      </c>
      <c r="C1370" s="2" t="str">
        <f t="shared" si="43"/>
        <v>KZN226</v>
      </c>
      <c r="D1370" s="2">
        <v>752</v>
      </c>
      <c r="F1370" s="625"/>
      <c r="G1370" s="625"/>
      <c r="H1370" s="625"/>
      <c r="I1370" s="625"/>
      <c r="J1370" s="625"/>
      <c r="K1370" s="625"/>
      <c r="L1370" s="625"/>
      <c r="M1370" s="626"/>
      <c r="N1370" s="626"/>
      <c r="O1370" s="626"/>
      <c r="P1370" s="626"/>
      <c r="Q1370" s="626"/>
      <c r="W1370" t="s">
        <v>2047</v>
      </c>
    </row>
    <row r="1371" spans="1:23" ht="13.15" customHeight="1" x14ac:dyDescent="0.2">
      <c r="A1371" s="2" t="s">
        <v>2199</v>
      </c>
      <c r="B1371" s="2">
        <f t="shared" si="42"/>
        <v>2022</v>
      </c>
      <c r="C1371" s="2" t="str">
        <f t="shared" si="43"/>
        <v>KZN226</v>
      </c>
      <c r="D1371" s="2">
        <v>753</v>
      </c>
      <c r="F1371" s="625"/>
      <c r="G1371" s="625"/>
      <c r="H1371" s="625"/>
      <c r="I1371" s="625"/>
      <c r="J1371" s="625"/>
      <c r="K1371" s="625"/>
      <c r="L1371" s="625"/>
      <c r="M1371" s="626"/>
      <c r="N1371" s="626"/>
      <c r="O1371" s="626"/>
      <c r="P1371" s="626"/>
      <c r="Q1371" s="626"/>
      <c r="W1371" t="s">
        <v>2047</v>
      </c>
    </row>
    <row r="1372" spans="1:23" ht="13.15" customHeight="1" x14ac:dyDescent="0.2">
      <c r="A1372" s="2" t="s">
        <v>2199</v>
      </c>
      <c r="B1372" s="2">
        <f t="shared" si="42"/>
        <v>2022</v>
      </c>
      <c r="C1372" s="2" t="str">
        <f t="shared" si="43"/>
        <v>KZN226</v>
      </c>
      <c r="D1372" s="2">
        <v>754</v>
      </c>
      <c r="F1372" s="625"/>
      <c r="G1372" s="625"/>
      <c r="H1372" s="625"/>
      <c r="I1372" s="625"/>
      <c r="J1372" s="625"/>
      <c r="K1372" s="625"/>
      <c r="L1372" s="625"/>
      <c r="M1372" s="626"/>
      <c r="N1372" s="626"/>
      <c r="O1372" s="626"/>
      <c r="P1372" s="626"/>
      <c r="Q1372" s="626"/>
      <c r="W1372" t="s">
        <v>2047</v>
      </c>
    </row>
    <row r="1373" spans="1:23" ht="13.15" customHeight="1" x14ac:dyDescent="0.2">
      <c r="A1373" s="2" t="s">
        <v>2199</v>
      </c>
      <c r="B1373" s="2">
        <f t="shared" si="42"/>
        <v>2022</v>
      </c>
      <c r="C1373" s="2" t="str">
        <f t="shared" si="43"/>
        <v>KZN226</v>
      </c>
      <c r="D1373" s="2">
        <v>755</v>
      </c>
      <c r="F1373" s="625"/>
      <c r="G1373" s="625"/>
      <c r="H1373" s="625"/>
      <c r="I1373" s="625"/>
      <c r="J1373" s="625"/>
      <c r="K1373" s="625"/>
      <c r="L1373" s="625"/>
      <c r="M1373" s="626"/>
      <c r="N1373" s="626"/>
      <c r="O1373" s="626"/>
      <c r="P1373" s="626"/>
      <c r="Q1373" s="626"/>
      <c r="W1373" t="s">
        <v>2047</v>
      </c>
    </row>
    <row r="1374" spans="1:23" ht="13.15" customHeight="1" x14ac:dyDescent="0.2">
      <c r="A1374" s="2" t="s">
        <v>2199</v>
      </c>
      <c r="B1374" s="2">
        <f t="shared" si="42"/>
        <v>2022</v>
      </c>
      <c r="C1374" s="2" t="str">
        <f t="shared" si="43"/>
        <v>KZN226</v>
      </c>
      <c r="D1374" s="2">
        <v>756</v>
      </c>
      <c r="F1374" s="625"/>
      <c r="G1374" s="625"/>
      <c r="H1374" s="625"/>
      <c r="I1374" s="625"/>
      <c r="J1374" s="625"/>
      <c r="K1374" s="625"/>
      <c r="L1374" s="625"/>
      <c r="M1374" s="626"/>
      <c r="N1374" s="626"/>
      <c r="O1374" s="626"/>
      <c r="P1374" s="626"/>
      <c r="Q1374" s="626"/>
      <c r="W1374" t="s">
        <v>2047</v>
      </c>
    </row>
    <row r="1375" spans="1:23" ht="13.15" customHeight="1" x14ac:dyDescent="0.2">
      <c r="A1375" s="2" t="s">
        <v>2199</v>
      </c>
      <c r="B1375" s="2">
        <f t="shared" si="42"/>
        <v>2022</v>
      </c>
      <c r="C1375" s="2" t="str">
        <f t="shared" si="43"/>
        <v>KZN226</v>
      </c>
      <c r="D1375" s="2">
        <v>757</v>
      </c>
      <c r="F1375" s="625"/>
      <c r="G1375" s="625"/>
      <c r="H1375" s="625"/>
      <c r="I1375" s="625"/>
      <c r="J1375" s="625"/>
      <c r="K1375" s="625"/>
      <c r="L1375" s="625"/>
      <c r="M1375" s="626"/>
      <c r="N1375" s="626"/>
      <c r="O1375" s="626"/>
      <c r="P1375" s="626"/>
      <c r="Q1375" s="626"/>
      <c r="W1375" t="s">
        <v>2047</v>
      </c>
    </row>
    <row r="1376" spans="1:23" ht="13.15" customHeight="1" x14ac:dyDescent="0.2">
      <c r="A1376" s="2" t="s">
        <v>2199</v>
      </c>
      <c r="B1376" s="2">
        <f t="shared" si="42"/>
        <v>2022</v>
      </c>
      <c r="C1376" s="2" t="str">
        <f t="shared" si="43"/>
        <v>KZN226</v>
      </c>
      <c r="D1376" s="2">
        <v>758</v>
      </c>
      <c r="F1376" s="625"/>
      <c r="G1376" s="625"/>
      <c r="H1376" s="625"/>
      <c r="I1376" s="625"/>
      <c r="J1376" s="625"/>
      <c r="K1376" s="625"/>
      <c r="L1376" s="625"/>
      <c r="M1376" s="626"/>
      <c r="N1376" s="626"/>
      <c r="O1376" s="626"/>
      <c r="P1376" s="626"/>
      <c r="Q1376" s="626"/>
      <c r="W1376" t="s">
        <v>2047</v>
      </c>
    </row>
    <row r="1377" spans="1:23" ht="13.15" customHeight="1" x14ac:dyDescent="0.2">
      <c r="A1377" s="2" t="s">
        <v>2199</v>
      </c>
      <c r="B1377" s="2">
        <f t="shared" si="42"/>
        <v>2022</v>
      </c>
      <c r="C1377" s="2" t="str">
        <f t="shared" si="43"/>
        <v>KZN226</v>
      </c>
      <c r="D1377" s="2">
        <v>759</v>
      </c>
      <c r="F1377" s="625"/>
      <c r="G1377" s="625"/>
      <c r="H1377" s="625"/>
      <c r="I1377" s="625"/>
      <c r="J1377" s="625"/>
      <c r="K1377" s="625"/>
      <c r="L1377" s="625"/>
      <c r="M1377" s="626"/>
      <c r="N1377" s="626"/>
      <c r="O1377" s="626"/>
      <c r="P1377" s="626"/>
      <c r="Q1377" s="626"/>
      <c r="W1377" t="s">
        <v>2047</v>
      </c>
    </row>
    <row r="1378" spans="1:23" ht="13.15" customHeight="1" x14ac:dyDescent="0.2">
      <c r="A1378" s="2" t="s">
        <v>2199</v>
      </c>
      <c r="B1378" s="2">
        <f t="shared" si="42"/>
        <v>2022</v>
      </c>
      <c r="C1378" s="2" t="str">
        <f t="shared" si="43"/>
        <v>KZN226</v>
      </c>
      <c r="D1378" s="2">
        <v>760</v>
      </c>
      <c r="F1378" s="625"/>
      <c r="G1378" s="625"/>
      <c r="H1378" s="625"/>
      <c r="I1378" s="625"/>
      <c r="J1378" s="625"/>
      <c r="K1378" s="625"/>
      <c r="L1378" s="625"/>
      <c r="M1378" s="626"/>
      <c r="N1378" s="626"/>
      <c r="O1378" s="626"/>
      <c r="P1378" s="626"/>
      <c r="Q1378" s="626"/>
      <c r="W1378" t="s">
        <v>2047</v>
      </c>
    </row>
    <row r="1379" spans="1:23" ht="13.15" customHeight="1" x14ac:dyDescent="0.2">
      <c r="A1379" s="2" t="s">
        <v>2199</v>
      </c>
      <c r="B1379" s="2">
        <f t="shared" si="42"/>
        <v>2022</v>
      </c>
      <c r="C1379" s="2" t="str">
        <f t="shared" si="43"/>
        <v>KZN226</v>
      </c>
      <c r="D1379" s="2">
        <v>761</v>
      </c>
      <c r="F1379" s="625"/>
      <c r="G1379" s="625"/>
      <c r="H1379" s="625"/>
      <c r="I1379" s="625"/>
      <c r="J1379" s="625"/>
      <c r="K1379" s="625"/>
      <c r="L1379" s="625"/>
      <c r="M1379" s="626"/>
      <c r="N1379" s="626"/>
      <c r="O1379" s="626"/>
      <c r="P1379" s="626"/>
      <c r="Q1379" s="626"/>
      <c r="W1379" t="s">
        <v>2047</v>
      </c>
    </row>
    <row r="1380" spans="1:23" ht="13.15" customHeight="1" x14ac:dyDescent="0.2">
      <c r="A1380" s="2" t="s">
        <v>2199</v>
      </c>
      <c r="B1380" s="2">
        <f t="shared" si="42"/>
        <v>2022</v>
      </c>
      <c r="C1380" s="2" t="str">
        <f t="shared" si="43"/>
        <v>KZN226</v>
      </c>
      <c r="D1380" s="2">
        <v>762</v>
      </c>
      <c r="F1380" s="625"/>
      <c r="G1380" s="625"/>
      <c r="H1380" s="625"/>
      <c r="I1380" s="625"/>
      <c r="J1380" s="625"/>
      <c r="K1380" s="625"/>
      <c r="L1380" s="625"/>
      <c r="M1380" s="626"/>
      <c r="N1380" s="626"/>
      <c r="O1380" s="626"/>
      <c r="P1380" s="626"/>
      <c r="Q1380" s="626"/>
      <c r="W1380" t="s">
        <v>2047</v>
      </c>
    </row>
    <row r="1381" spans="1:23" ht="13.15" customHeight="1" x14ac:dyDescent="0.2">
      <c r="A1381" s="2" t="s">
        <v>2199</v>
      </c>
      <c r="B1381" s="2">
        <f t="shared" si="42"/>
        <v>2022</v>
      </c>
      <c r="C1381" s="2" t="str">
        <f t="shared" si="43"/>
        <v>KZN226</v>
      </c>
      <c r="D1381" s="2">
        <v>763</v>
      </c>
      <c r="F1381" s="625"/>
      <c r="G1381" s="625"/>
      <c r="H1381" s="625"/>
      <c r="I1381" s="625"/>
      <c r="J1381" s="625"/>
      <c r="K1381" s="625"/>
      <c r="L1381" s="625"/>
      <c r="M1381" s="626"/>
      <c r="N1381" s="626"/>
      <c r="O1381" s="626"/>
      <c r="P1381" s="626"/>
      <c r="Q1381" s="626"/>
      <c r="W1381" t="s">
        <v>2047</v>
      </c>
    </row>
    <row r="1382" spans="1:23" ht="13.15" customHeight="1" x14ac:dyDescent="0.2">
      <c r="A1382" s="2" t="s">
        <v>2199</v>
      </c>
      <c r="B1382" s="2">
        <f t="shared" si="42"/>
        <v>2022</v>
      </c>
      <c r="C1382" s="2" t="str">
        <f t="shared" si="43"/>
        <v>KZN226</v>
      </c>
      <c r="D1382" s="2">
        <v>764</v>
      </c>
      <c r="F1382" s="625"/>
      <c r="G1382" s="625"/>
      <c r="H1382" s="625"/>
      <c r="I1382" s="625"/>
      <c r="J1382" s="625"/>
      <c r="K1382" s="625"/>
      <c r="L1382" s="625"/>
      <c r="M1382" s="626"/>
      <c r="N1382" s="626"/>
      <c r="O1382" s="626"/>
      <c r="P1382" s="626"/>
      <c r="Q1382" s="626"/>
      <c r="W1382" t="s">
        <v>2047</v>
      </c>
    </row>
    <row r="1383" spans="1:23" ht="13.15" customHeight="1" x14ac:dyDescent="0.2">
      <c r="A1383" s="2" t="s">
        <v>2199</v>
      </c>
      <c r="B1383" s="2">
        <f t="shared" si="42"/>
        <v>2022</v>
      </c>
      <c r="C1383" s="2" t="str">
        <f t="shared" si="43"/>
        <v>KZN226</v>
      </c>
      <c r="D1383" s="2">
        <v>765</v>
      </c>
      <c r="F1383" s="625"/>
      <c r="G1383" s="625"/>
      <c r="H1383" s="625"/>
      <c r="I1383" s="625"/>
      <c r="J1383" s="625"/>
      <c r="K1383" s="625"/>
      <c r="L1383" s="625"/>
      <c r="M1383" s="626"/>
      <c r="N1383" s="626"/>
      <c r="O1383" s="626"/>
      <c r="P1383" s="626"/>
      <c r="Q1383" s="626"/>
      <c r="W1383" t="s">
        <v>2047</v>
      </c>
    </row>
    <row r="1384" spans="1:23" ht="13.15" customHeight="1" x14ac:dyDescent="0.2">
      <c r="A1384" s="2" t="s">
        <v>2199</v>
      </c>
      <c r="B1384" s="2">
        <f t="shared" si="42"/>
        <v>2022</v>
      </c>
      <c r="C1384" s="2" t="str">
        <f t="shared" si="43"/>
        <v>KZN226</v>
      </c>
      <c r="D1384" s="2">
        <v>766</v>
      </c>
      <c r="F1384" s="625"/>
      <c r="G1384" s="625"/>
      <c r="H1384" s="625"/>
      <c r="I1384" s="625"/>
      <c r="J1384" s="625"/>
      <c r="K1384" s="625"/>
      <c r="L1384" s="625"/>
      <c r="M1384" s="626"/>
      <c r="N1384" s="626"/>
      <c r="O1384" s="626"/>
      <c r="P1384" s="626"/>
      <c r="Q1384" s="626"/>
      <c r="W1384" t="s">
        <v>2047</v>
      </c>
    </row>
    <row r="1385" spans="1:23" ht="13.15" customHeight="1" x14ac:dyDescent="0.2">
      <c r="A1385" s="2" t="s">
        <v>2199</v>
      </c>
      <c r="B1385" s="2">
        <f t="shared" si="42"/>
        <v>2022</v>
      </c>
      <c r="C1385" s="2" t="str">
        <f t="shared" si="43"/>
        <v>KZN226</v>
      </c>
      <c r="D1385" s="2">
        <v>767</v>
      </c>
      <c r="F1385" s="625"/>
      <c r="G1385" s="625"/>
      <c r="H1385" s="625"/>
      <c r="I1385" s="625"/>
      <c r="J1385" s="625"/>
      <c r="K1385" s="625"/>
      <c r="L1385" s="625"/>
      <c r="M1385" s="626"/>
      <c r="N1385" s="626"/>
      <c r="O1385" s="626"/>
      <c r="P1385" s="626"/>
      <c r="Q1385" s="626"/>
      <c r="W1385" t="s">
        <v>2047</v>
      </c>
    </row>
    <row r="1386" spans="1:23" ht="13.15" customHeight="1" x14ac:dyDescent="0.2">
      <c r="A1386" s="2" t="s">
        <v>2199</v>
      </c>
      <c r="B1386" s="2">
        <f t="shared" si="42"/>
        <v>2022</v>
      </c>
      <c r="C1386" s="2" t="str">
        <f t="shared" si="43"/>
        <v>KZN226</v>
      </c>
      <c r="D1386" s="2">
        <v>768</v>
      </c>
      <c r="F1386" s="625"/>
      <c r="G1386" s="625"/>
      <c r="H1386" s="625"/>
      <c r="I1386" s="625"/>
      <c r="J1386" s="625"/>
      <c r="K1386" s="625"/>
      <c r="L1386" s="625"/>
      <c r="M1386" s="626"/>
      <c r="N1386" s="626"/>
      <c r="O1386" s="626"/>
      <c r="P1386" s="626"/>
      <c r="Q1386" s="626"/>
      <c r="W1386" t="s">
        <v>2047</v>
      </c>
    </row>
    <row r="1387" spans="1:23" ht="13.15" customHeight="1" x14ac:dyDescent="0.2">
      <c r="A1387" s="2" t="s">
        <v>2199</v>
      </c>
      <c r="B1387" s="2">
        <f t="shared" si="42"/>
        <v>2022</v>
      </c>
      <c r="C1387" s="2" t="str">
        <f t="shared" si="43"/>
        <v>KZN226</v>
      </c>
      <c r="D1387" s="2">
        <v>769</v>
      </c>
      <c r="F1387" s="625"/>
      <c r="G1387" s="625"/>
      <c r="H1387" s="625"/>
      <c r="I1387" s="625"/>
      <c r="J1387" s="625"/>
      <c r="K1387" s="625"/>
      <c r="L1387" s="625"/>
      <c r="M1387" s="626"/>
      <c r="N1387" s="626"/>
      <c r="O1387" s="626"/>
      <c r="P1387" s="626"/>
      <c r="Q1387" s="626"/>
      <c r="W1387" t="s">
        <v>2047</v>
      </c>
    </row>
    <row r="1388" spans="1:23" ht="13.15" customHeight="1" x14ac:dyDescent="0.2">
      <c r="A1388" s="2" t="s">
        <v>2199</v>
      </c>
      <c r="B1388" s="2">
        <f t="shared" si="42"/>
        <v>2022</v>
      </c>
      <c r="C1388" s="2" t="str">
        <f t="shared" si="43"/>
        <v>KZN226</v>
      </c>
      <c r="D1388" s="2">
        <v>770</v>
      </c>
      <c r="F1388" s="625"/>
      <c r="G1388" s="625"/>
      <c r="H1388" s="625"/>
      <c r="I1388" s="625"/>
      <c r="J1388" s="625"/>
      <c r="K1388" s="625"/>
      <c r="L1388" s="625"/>
      <c r="M1388" s="626"/>
      <c r="N1388" s="626"/>
      <c r="O1388" s="626"/>
      <c r="P1388" s="626"/>
      <c r="Q1388" s="626"/>
      <c r="W1388" t="s">
        <v>2047</v>
      </c>
    </row>
    <row r="1389" spans="1:23" ht="13.15" customHeight="1" x14ac:dyDescent="0.2">
      <c r="A1389" s="2" t="s">
        <v>2199</v>
      </c>
      <c r="B1389" s="2">
        <f t="shared" si="42"/>
        <v>2022</v>
      </c>
      <c r="C1389" s="2" t="str">
        <f t="shared" si="43"/>
        <v>KZN226</v>
      </c>
      <c r="D1389" s="2">
        <v>771</v>
      </c>
      <c r="F1389" s="625"/>
      <c r="G1389" s="625"/>
      <c r="H1389" s="625"/>
      <c r="I1389" s="625"/>
      <c r="J1389" s="625"/>
      <c r="K1389" s="625"/>
      <c r="L1389" s="625"/>
      <c r="M1389" s="626"/>
      <c r="N1389" s="626"/>
      <c r="O1389" s="626"/>
      <c r="P1389" s="626"/>
      <c r="Q1389" s="626"/>
      <c r="W1389" t="s">
        <v>2047</v>
      </c>
    </row>
    <row r="1390" spans="1:23" ht="13.15" customHeight="1" x14ac:dyDescent="0.2">
      <c r="A1390" s="2" t="s">
        <v>2199</v>
      </c>
      <c r="B1390" s="2">
        <f t="shared" si="42"/>
        <v>2022</v>
      </c>
      <c r="C1390" s="2" t="str">
        <f t="shared" si="43"/>
        <v>KZN226</v>
      </c>
      <c r="D1390" s="2">
        <v>772</v>
      </c>
      <c r="F1390" s="625"/>
      <c r="G1390" s="625"/>
      <c r="H1390" s="625"/>
      <c r="I1390" s="625"/>
      <c r="J1390" s="625"/>
      <c r="K1390" s="625"/>
      <c r="L1390" s="625"/>
      <c r="M1390" s="626"/>
      <c r="N1390" s="626"/>
      <c r="O1390" s="626"/>
      <c r="P1390" s="626"/>
      <c r="Q1390" s="626"/>
      <c r="W1390" t="s">
        <v>2047</v>
      </c>
    </row>
    <row r="1391" spans="1:23" ht="13.15" customHeight="1" x14ac:dyDescent="0.2">
      <c r="A1391" s="2" t="s">
        <v>2199</v>
      </c>
      <c r="B1391" s="2">
        <f t="shared" si="42"/>
        <v>2022</v>
      </c>
      <c r="C1391" s="2" t="str">
        <f t="shared" si="43"/>
        <v>KZN226</v>
      </c>
      <c r="D1391" s="2">
        <v>773</v>
      </c>
      <c r="F1391" s="625"/>
      <c r="G1391" s="625"/>
      <c r="H1391" s="625"/>
      <c r="I1391" s="625"/>
      <c r="J1391" s="625"/>
      <c r="K1391" s="625"/>
      <c r="L1391" s="625"/>
      <c r="M1391" s="626"/>
      <c r="N1391" s="626"/>
      <c r="O1391" s="626"/>
      <c r="P1391" s="626"/>
      <c r="Q1391" s="626"/>
      <c r="W1391" t="s">
        <v>2047</v>
      </c>
    </row>
    <row r="1392" spans="1:23" ht="13.15" customHeight="1" x14ac:dyDescent="0.2">
      <c r="A1392" s="2" t="s">
        <v>2199</v>
      </c>
      <c r="B1392" s="2">
        <f t="shared" si="42"/>
        <v>2022</v>
      </c>
      <c r="C1392" s="2" t="str">
        <f t="shared" si="43"/>
        <v>KZN226</v>
      </c>
      <c r="D1392" s="2">
        <v>774</v>
      </c>
      <c r="F1392" s="625"/>
      <c r="G1392" s="625"/>
      <c r="H1392" s="625"/>
      <c r="I1392" s="625"/>
      <c r="J1392" s="625"/>
      <c r="K1392" s="625"/>
      <c r="L1392" s="625"/>
      <c r="M1392" s="626"/>
      <c r="N1392" s="626"/>
      <c r="O1392" s="626"/>
      <c r="P1392" s="626"/>
      <c r="Q1392" s="626"/>
      <c r="W1392" t="s">
        <v>2047</v>
      </c>
    </row>
    <row r="1393" spans="1:23" ht="13.15" customHeight="1" x14ac:dyDescent="0.2">
      <c r="A1393" s="2" t="s">
        <v>2199</v>
      </c>
      <c r="B1393" s="2">
        <f t="shared" si="42"/>
        <v>2022</v>
      </c>
      <c r="C1393" s="2" t="str">
        <f t="shared" si="43"/>
        <v>KZN226</v>
      </c>
      <c r="D1393" s="2">
        <v>775</v>
      </c>
      <c r="F1393" s="625"/>
      <c r="G1393" s="625"/>
      <c r="H1393" s="625"/>
      <c r="I1393" s="625"/>
      <c r="J1393" s="625"/>
      <c r="K1393" s="625"/>
      <c r="L1393" s="625"/>
      <c r="M1393" s="626"/>
      <c r="N1393" s="626"/>
      <c r="O1393" s="626"/>
      <c r="P1393" s="626"/>
      <c r="Q1393" s="626"/>
      <c r="W1393" t="s">
        <v>2047</v>
      </c>
    </row>
    <row r="1394" spans="1:23" ht="13.15" customHeight="1" x14ac:dyDescent="0.2">
      <c r="A1394" s="2" t="s">
        <v>2199</v>
      </c>
      <c r="B1394" s="2">
        <f t="shared" si="42"/>
        <v>2022</v>
      </c>
      <c r="C1394" s="2" t="str">
        <f t="shared" si="43"/>
        <v>KZN226</v>
      </c>
      <c r="D1394" s="2">
        <v>776</v>
      </c>
      <c r="F1394" s="625"/>
      <c r="G1394" s="625"/>
      <c r="H1394" s="625"/>
      <c r="I1394" s="625"/>
      <c r="J1394" s="625"/>
      <c r="K1394" s="625"/>
      <c r="L1394" s="625"/>
      <c r="M1394" s="626"/>
      <c r="N1394" s="626"/>
      <c r="O1394" s="626"/>
      <c r="P1394" s="626"/>
      <c r="Q1394" s="626"/>
      <c r="W1394" t="s">
        <v>2047</v>
      </c>
    </row>
    <row r="1395" spans="1:23" ht="13.15" customHeight="1" x14ac:dyDescent="0.2">
      <c r="A1395" s="2" t="s">
        <v>2199</v>
      </c>
      <c r="B1395" s="2">
        <f t="shared" si="42"/>
        <v>2022</v>
      </c>
      <c r="C1395" s="2" t="str">
        <f t="shared" si="43"/>
        <v>KZN226</v>
      </c>
      <c r="D1395" s="2">
        <v>777</v>
      </c>
      <c r="F1395" s="625"/>
      <c r="G1395" s="625"/>
      <c r="H1395" s="625"/>
      <c r="I1395" s="625"/>
      <c r="J1395" s="625"/>
      <c r="K1395" s="625"/>
      <c r="L1395" s="625"/>
      <c r="M1395" s="626"/>
      <c r="N1395" s="626"/>
      <c r="O1395" s="626"/>
      <c r="P1395" s="626"/>
      <c r="Q1395" s="626"/>
      <c r="W1395" t="s">
        <v>2047</v>
      </c>
    </row>
    <row r="1396" spans="1:23" ht="13.15" customHeight="1" x14ac:dyDescent="0.2">
      <c r="A1396" s="2" t="s">
        <v>2199</v>
      </c>
      <c r="B1396" s="2">
        <f t="shared" si="42"/>
        <v>2022</v>
      </c>
      <c r="C1396" s="2" t="str">
        <f t="shared" si="43"/>
        <v>KZN226</v>
      </c>
      <c r="D1396" s="2">
        <v>778</v>
      </c>
      <c r="F1396" s="625"/>
      <c r="G1396" s="625"/>
      <c r="H1396" s="625"/>
      <c r="I1396" s="625"/>
      <c r="J1396" s="625"/>
      <c r="K1396" s="625"/>
      <c r="L1396" s="625"/>
      <c r="M1396" s="626"/>
      <c r="N1396" s="626"/>
      <c r="O1396" s="626"/>
      <c r="P1396" s="626"/>
      <c r="Q1396" s="626"/>
      <c r="W1396" t="s">
        <v>2047</v>
      </c>
    </row>
    <row r="1397" spans="1:23" ht="13.15" customHeight="1" x14ac:dyDescent="0.2">
      <c r="A1397" s="2" t="s">
        <v>2199</v>
      </c>
      <c r="B1397" s="2">
        <f t="shared" si="42"/>
        <v>2022</v>
      </c>
      <c r="C1397" s="2" t="str">
        <f t="shared" si="43"/>
        <v>KZN226</v>
      </c>
      <c r="D1397" s="2">
        <v>779</v>
      </c>
      <c r="F1397" s="625"/>
      <c r="G1397" s="625"/>
      <c r="H1397" s="625"/>
      <c r="I1397" s="625"/>
      <c r="J1397" s="625"/>
      <c r="K1397" s="625"/>
      <c r="L1397" s="625"/>
      <c r="M1397" s="626"/>
      <c r="N1397" s="626"/>
      <c r="O1397" s="626"/>
      <c r="P1397" s="626"/>
      <c r="Q1397" s="626"/>
      <c r="W1397" t="s">
        <v>2047</v>
      </c>
    </row>
    <row r="1398" spans="1:23" ht="13.15" customHeight="1" x14ac:dyDescent="0.2">
      <c r="A1398" s="2" t="s">
        <v>2199</v>
      </c>
      <c r="B1398" s="2">
        <f t="shared" si="42"/>
        <v>2022</v>
      </c>
      <c r="C1398" s="2" t="str">
        <f t="shared" si="43"/>
        <v>KZN226</v>
      </c>
      <c r="D1398" s="2">
        <v>780</v>
      </c>
      <c r="F1398" s="625"/>
      <c r="G1398" s="625"/>
      <c r="H1398" s="625"/>
      <c r="I1398" s="625"/>
      <c r="J1398" s="625"/>
      <c r="K1398" s="625"/>
      <c r="L1398" s="625"/>
      <c r="M1398" s="626"/>
      <c r="N1398" s="626"/>
      <c r="O1398" s="626"/>
      <c r="P1398" s="626"/>
      <c r="Q1398" s="626"/>
      <c r="W1398" t="s">
        <v>2047</v>
      </c>
    </row>
    <row r="1399" spans="1:23" ht="13.15" customHeight="1" x14ac:dyDescent="0.2">
      <c r="A1399" s="2" t="s">
        <v>2199</v>
      </c>
      <c r="B1399" s="2">
        <f t="shared" si="42"/>
        <v>2022</v>
      </c>
      <c r="C1399" s="2" t="str">
        <f t="shared" si="43"/>
        <v>KZN226</v>
      </c>
      <c r="D1399" s="2">
        <v>781</v>
      </c>
      <c r="F1399" s="625"/>
      <c r="G1399" s="625"/>
      <c r="H1399" s="625"/>
      <c r="I1399" s="625"/>
      <c r="J1399" s="625"/>
      <c r="K1399" s="625"/>
      <c r="L1399" s="625"/>
      <c r="M1399" s="626"/>
      <c r="N1399" s="626"/>
      <c r="O1399" s="626"/>
      <c r="P1399" s="626"/>
      <c r="Q1399" s="626"/>
      <c r="W1399" t="s">
        <v>2047</v>
      </c>
    </row>
    <row r="1400" spans="1:23" ht="13.15" customHeight="1" x14ac:dyDescent="0.2">
      <c r="A1400" s="2" t="s">
        <v>2199</v>
      </c>
      <c r="B1400" s="2">
        <f t="shared" si="42"/>
        <v>2022</v>
      </c>
      <c r="C1400" s="2" t="str">
        <f t="shared" si="43"/>
        <v>KZN226</v>
      </c>
      <c r="D1400" s="2">
        <v>782</v>
      </c>
      <c r="F1400" s="625"/>
      <c r="G1400" s="625"/>
      <c r="H1400" s="625"/>
      <c r="I1400" s="625"/>
      <c r="J1400" s="625"/>
      <c r="K1400" s="625"/>
      <c r="L1400" s="625"/>
      <c r="M1400" s="626"/>
      <c r="N1400" s="626"/>
      <c r="O1400" s="626"/>
      <c r="P1400" s="626"/>
      <c r="Q1400" s="626"/>
      <c r="W1400" t="s">
        <v>2047</v>
      </c>
    </row>
    <row r="1401" spans="1:23" ht="13.15" customHeight="1" x14ac:dyDescent="0.2">
      <c r="A1401" s="2" t="s">
        <v>2199</v>
      </c>
      <c r="B1401" s="2">
        <f t="shared" si="42"/>
        <v>2022</v>
      </c>
      <c r="C1401" s="2" t="str">
        <f t="shared" si="43"/>
        <v>KZN226</v>
      </c>
      <c r="D1401" s="2">
        <v>783</v>
      </c>
      <c r="F1401" s="625"/>
      <c r="G1401" s="625"/>
      <c r="H1401" s="625"/>
      <c r="I1401" s="625"/>
      <c r="J1401" s="625"/>
      <c r="K1401" s="625"/>
      <c r="L1401" s="625"/>
      <c r="M1401" s="626"/>
      <c r="N1401" s="626"/>
      <c r="O1401" s="626"/>
      <c r="P1401" s="626"/>
      <c r="Q1401" s="626"/>
      <c r="W1401" t="s">
        <v>2047</v>
      </c>
    </row>
    <row r="1402" spans="1:23" ht="13.15" customHeight="1" x14ac:dyDescent="0.2">
      <c r="A1402" s="2" t="s">
        <v>2199</v>
      </c>
      <c r="B1402" s="2">
        <f t="shared" si="42"/>
        <v>2022</v>
      </c>
      <c r="C1402" s="2" t="str">
        <f t="shared" si="43"/>
        <v>KZN226</v>
      </c>
      <c r="D1402" s="2">
        <v>784</v>
      </c>
      <c r="F1402" s="625"/>
      <c r="G1402" s="625"/>
      <c r="H1402" s="625"/>
      <c r="I1402" s="625"/>
      <c r="J1402" s="625"/>
      <c r="K1402" s="625"/>
      <c r="L1402" s="625"/>
      <c r="M1402" s="626"/>
      <c r="N1402" s="626"/>
      <c r="O1402" s="626"/>
      <c r="P1402" s="626"/>
      <c r="Q1402" s="626"/>
      <c r="W1402" t="s">
        <v>2047</v>
      </c>
    </row>
    <row r="1403" spans="1:23" ht="13.15" customHeight="1" x14ac:dyDescent="0.2">
      <c r="A1403" s="2" t="s">
        <v>2199</v>
      </c>
      <c r="B1403" s="2">
        <f t="shared" si="42"/>
        <v>2022</v>
      </c>
      <c r="C1403" s="2" t="str">
        <f t="shared" si="43"/>
        <v>KZN226</v>
      </c>
      <c r="D1403" s="2">
        <v>785</v>
      </c>
      <c r="F1403" s="625"/>
      <c r="G1403" s="625"/>
      <c r="H1403" s="625"/>
      <c r="I1403" s="625"/>
      <c r="J1403" s="625"/>
      <c r="K1403" s="625"/>
      <c r="L1403" s="625"/>
      <c r="M1403" s="626"/>
      <c r="N1403" s="626"/>
      <c r="O1403" s="626"/>
      <c r="P1403" s="626"/>
      <c r="Q1403" s="626"/>
      <c r="W1403" t="s">
        <v>2047</v>
      </c>
    </row>
    <row r="1404" spans="1:23" ht="13.15" customHeight="1" x14ac:dyDescent="0.2">
      <c r="A1404" s="2" t="s">
        <v>2199</v>
      </c>
      <c r="B1404" s="2">
        <f t="shared" si="42"/>
        <v>2022</v>
      </c>
      <c r="C1404" s="2" t="str">
        <f t="shared" si="43"/>
        <v>KZN226</v>
      </c>
      <c r="D1404" s="2">
        <v>786</v>
      </c>
      <c r="F1404" s="625"/>
      <c r="G1404" s="625"/>
      <c r="H1404" s="625"/>
      <c r="I1404" s="625"/>
      <c r="J1404" s="625"/>
      <c r="K1404" s="625"/>
      <c r="L1404" s="625"/>
      <c r="M1404" s="626"/>
      <c r="N1404" s="626"/>
      <c r="O1404" s="626"/>
      <c r="P1404" s="626"/>
      <c r="Q1404" s="626"/>
      <c r="W1404" t="s">
        <v>2047</v>
      </c>
    </row>
    <row r="1405" spans="1:23" ht="13.15" customHeight="1" x14ac:dyDescent="0.2">
      <c r="A1405" s="2" t="s">
        <v>2199</v>
      </c>
      <c r="B1405" s="2">
        <f t="shared" si="42"/>
        <v>2022</v>
      </c>
      <c r="C1405" s="2" t="str">
        <f t="shared" si="43"/>
        <v>KZN226</v>
      </c>
      <c r="D1405" s="2">
        <v>787</v>
      </c>
      <c r="F1405" s="625"/>
      <c r="G1405" s="625"/>
      <c r="H1405" s="625"/>
      <c r="I1405" s="625"/>
      <c r="J1405" s="625"/>
      <c r="K1405" s="625"/>
      <c r="L1405" s="625"/>
      <c r="M1405" s="626"/>
      <c r="N1405" s="626"/>
      <c r="O1405" s="626"/>
      <c r="P1405" s="626"/>
      <c r="Q1405" s="626"/>
      <c r="W1405" t="s">
        <v>2047</v>
      </c>
    </row>
    <row r="1406" spans="1:23" ht="13.15" customHeight="1" x14ac:dyDescent="0.2">
      <c r="A1406" s="2" t="s">
        <v>2199</v>
      </c>
      <c r="B1406" s="2">
        <f t="shared" si="42"/>
        <v>2022</v>
      </c>
      <c r="C1406" s="2" t="str">
        <f t="shared" si="43"/>
        <v>KZN226</v>
      </c>
      <c r="D1406" s="2">
        <v>788</v>
      </c>
      <c r="F1406" s="625"/>
      <c r="G1406" s="625"/>
      <c r="H1406" s="625"/>
      <c r="I1406" s="625"/>
      <c r="J1406" s="625"/>
      <c r="K1406" s="625"/>
      <c r="L1406" s="625"/>
      <c r="M1406" s="626"/>
      <c r="N1406" s="626"/>
      <c r="O1406" s="626"/>
      <c r="P1406" s="626"/>
      <c r="Q1406" s="626"/>
      <c r="W1406" t="s">
        <v>2047</v>
      </c>
    </row>
    <row r="1407" spans="1:23" ht="13.15" customHeight="1" x14ac:dyDescent="0.2">
      <c r="A1407" s="2" t="s">
        <v>2199</v>
      </c>
      <c r="B1407" s="2">
        <f t="shared" si="42"/>
        <v>2022</v>
      </c>
      <c r="C1407" s="2" t="str">
        <f t="shared" si="43"/>
        <v>KZN226</v>
      </c>
      <c r="D1407" s="2">
        <v>789</v>
      </c>
      <c r="F1407" s="625"/>
      <c r="G1407" s="625"/>
      <c r="H1407" s="625"/>
      <c r="I1407" s="625"/>
      <c r="J1407" s="625"/>
      <c r="K1407" s="625"/>
      <c r="L1407" s="625"/>
      <c r="M1407" s="626"/>
      <c r="N1407" s="626"/>
      <c r="O1407" s="626"/>
      <c r="P1407" s="626"/>
      <c r="Q1407" s="626"/>
      <c r="W1407" t="s">
        <v>2047</v>
      </c>
    </row>
    <row r="1408" spans="1:23" ht="13.15" customHeight="1" x14ac:dyDescent="0.2">
      <c r="A1408" s="2" t="s">
        <v>2199</v>
      </c>
      <c r="B1408" s="2">
        <f t="shared" si="42"/>
        <v>2022</v>
      </c>
      <c r="C1408" s="2" t="str">
        <f t="shared" si="43"/>
        <v>KZN226</v>
      </c>
      <c r="D1408" s="2">
        <v>790</v>
      </c>
      <c r="F1408" s="625"/>
      <c r="G1408" s="625"/>
      <c r="H1408" s="625"/>
      <c r="I1408" s="625"/>
      <c r="J1408" s="625"/>
      <c r="K1408" s="625"/>
      <c r="L1408" s="625"/>
      <c r="M1408" s="626"/>
      <c r="N1408" s="626"/>
      <c r="O1408" s="626"/>
      <c r="P1408" s="626"/>
      <c r="Q1408" s="626"/>
      <c r="W1408" t="s">
        <v>2047</v>
      </c>
    </row>
    <row r="1409" spans="1:23" ht="13.15" customHeight="1" x14ac:dyDescent="0.2">
      <c r="A1409" s="2" t="s">
        <v>2199</v>
      </c>
      <c r="B1409" s="2">
        <f t="shared" si="42"/>
        <v>2022</v>
      </c>
      <c r="C1409" s="2" t="str">
        <f t="shared" si="43"/>
        <v>KZN226</v>
      </c>
      <c r="D1409" s="2">
        <v>791</v>
      </c>
      <c r="F1409" s="625"/>
      <c r="G1409" s="625"/>
      <c r="H1409" s="625"/>
      <c r="I1409" s="625"/>
      <c r="J1409" s="625"/>
      <c r="K1409" s="625"/>
      <c r="L1409" s="625"/>
      <c r="M1409" s="626"/>
      <c r="N1409" s="626"/>
      <c r="O1409" s="626"/>
      <c r="P1409" s="626"/>
      <c r="Q1409" s="626"/>
      <c r="W1409" t="s">
        <v>2047</v>
      </c>
    </row>
    <row r="1410" spans="1:23" ht="13.15" customHeight="1" x14ac:dyDescent="0.2">
      <c r="A1410" s="2" t="s">
        <v>2199</v>
      </c>
      <c r="B1410" s="2">
        <f t="shared" ref="B1410:B1473" si="44">+MTREF</f>
        <v>2022</v>
      </c>
      <c r="C1410" s="2" t="str">
        <f t="shared" ref="C1410:C1473" si="45">LEFT(muni,(FIND(" ",muni,1)-1))</f>
        <v>KZN226</v>
      </c>
      <c r="D1410" s="2">
        <v>792</v>
      </c>
      <c r="F1410" s="625"/>
      <c r="G1410" s="625"/>
      <c r="H1410" s="625"/>
      <c r="I1410" s="625"/>
      <c r="J1410" s="625"/>
      <c r="K1410" s="625"/>
      <c r="L1410" s="625"/>
      <c r="M1410" s="626"/>
      <c r="N1410" s="626"/>
      <c r="O1410" s="626"/>
      <c r="P1410" s="626"/>
      <c r="Q1410" s="626"/>
      <c r="W1410" t="s">
        <v>2047</v>
      </c>
    </row>
    <row r="1411" spans="1:23" ht="13.15" customHeight="1" x14ac:dyDescent="0.2">
      <c r="A1411" s="2" t="s">
        <v>2199</v>
      </c>
      <c r="B1411" s="2">
        <f t="shared" si="44"/>
        <v>2022</v>
      </c>
      <c r="C1411" s="2" t="str">
        <f t="shared" si="45"/>
        <v>KZN226</v>
      </c>
      <c r="D1411" s="2">
        <v>793</v>
      </c>
      <c r="F1411" s="625"/>
      <c r="G1411" s="625"/>
      <c r="H1411" s="625"/>
      <c r="I1411" s="625"/>
      <c r="J1411" s="625"/>
      <c r="K1411" s="625"/>
      <c r="L1411" s="625"/>
      <c r="M1411" s="626"/>
      <c r="N1411" s="626"/>
      <c r="O1411" s="626"/>
      <c r="P1411" s="626"/>
      <c r="Q1411" s="626"/>
      <c r="W1411" t="s">
        <v>2047</v>
      </c>
    </row>
    <row r="1412" spans="1:23" ht="13.15" customHeight="1" x14ac:dyDescent="0.2">
      <c r="A1412" s="2" t="s">
        <v>2199</v>
      </c>
      <c r="B1412" s="2">
        <f t="shared" si="44"/>
        <v>2022</v>
      </c>
      <c r="C1412" s="2" t="str">
        <f t="shared" si="45"/>
        <v>KZN226</v>
      </c>
      <c r="D1412" s="2">
        <v>794</v>
      </c>
      <c r="F1412" s="625"/>
      <c r="G1412" s="625"/>
      <c r="H1412" s="625"/>
      <c r="I1412" s="625"/>
      <c r="J1412" s="625"/>
      <c r="K1412" s="625"/>
      <c r="L1412" s="625"/>
      <c r="M1412" s="626"/>
      <c r="N1412" s="626"/>
      <c r="O1412" s="626"/>
      <c r="P1412" s="626"/>
      <c r="Q1412" s="626"/>
      <c r="W1412" t="s">
        <v>2047</v>
      </c>
    </row>
    <row r="1413" spans="1:23" ht="13.15" customHeight="1" x14ac:dyDescent="0.2">
      <c r="A1413" s="2" t="s">
        <v>2199</v>
      </c>
      <c r="B1413" s="2">
        <f t="shared" si="44"/>
        <v>2022</v>
      </c>
      <c r="C1413" s="2" t="str">
        <f t="shared" si="45"/>
        <v>KZN226</v>
      </c>
      <c r="D1413" s="2">
        <v>795</v>
      </c>
      <c r="F1413" s="625"/>
      <c r="G1413" s="625"/>
      <c r="H1413" s="625"/>
      <c r="I1413" s="625"/>
      <c r="J1413" s="625"/>
      <c r="K1413" s="625"/>
      <c r="L1413" s="625"/>
      <c r="M1413" s="626"/>
      <c r="N1413" s="626"/>
      <c r="O1413" s="626"/>
      <c r="P1413" s="626"/>
      <c r="Q1413" s="626"/>
      <c r="W1413" t="s">
        <v>2047</v>
      </c>
    </row>
    <row r="1414" spans="1:23" ht="13.15" customHeight="1" x14ac:dyDescent="0.2">
      <c r="A1414" s="2" t="s">
        <v>2199</v>
      </c>
      <c r="B1414" s="2">
        <f t="shared" si="44"/>
        <v>2022</v>
      </c>
      <c r="C1414" s="2" t="str">
        <f t="shared" si="45"/>
        <v>KZN226</v>
      </c>
      <c r="D1414" s="2">
        <v>796</v>
      </c>
      <c r="F1414" s="625"/>
      <c r="G1414" s="625"/>
      <c r="H1414" s="625"/>
      <c r="I1414" s="625"/>
      <c r="J1414" s="625"/>
      <c r="K1414" s="625"/>
      <c r="L1414" s="625"/>
      <c r="M1414" s="626"/>
      <c r="N1414" s="626"/>
      <c r="O1414" s="626"/>
      <c r="P1414" s="626"/>
      <c r="Q1414" s="626"/>
      <c r="W1414" t="s">
        <v>2047</v>
      </c>
    </row>
    <row r="1415" spans="1:23" ht="13.15" customHeight="1" x14ac:dyDescent="0.2">
      <c r="A1415" s="2" t="s">
        <v>2199</v>
      </c>
      <c r="B1415" s="2">
        <f t="shared" si="44"/>
        <v>2022</v>
      </c>
      <c r="C1415" s="2" t="str">
        <f t="shared" si="45"/>
        <v>KZN226</v>
      </c>
      <c r="D1415" s="2">
        <v>797</v>
      </c>
      <c r="F1415" s="625"/>
      <c r="G1415" s="625"/>
      <c r="H1415" s="625"/>
      <c r="I1415" s="625"/>
      <c r="J1415" s="625"/>
      <c r="K1415" s="625"/>
      <c r="L1415" s="625"/>
      <c r="M1415" s="626"/>
      <c r="N1415" s="626"/>
      <c r="O1415" s="626"/>
      <c r="P1415" s="626"/>
      <c r="Q1415" s="626"/>
      <c r="W1415" t="s">
        <v>2047</v>
      </c>
    </row>
    <row r="1416" spans="1:23" ht="13.15" customHeight="1" x14ac:dyDescent="0.2">
      <c r="A1416" s="2" t="s">
        <v>2199</v>
      </c>
      <c r="B1416" s="2">
        <f t="shared" si="44"/>
        <v>2022</v>
      </c>
      <c r="C1416" s="2" t="str">
        <f t="shared" si="45"/>
        <v>KZN226</v>
      </c>
      <c r="D1416" s="2">
        <v>798</v>
      </c>
      <c r="F1416" s="625"/>
      <c r="G1416" s="625"/>
      <c r="H1416" s="625"/>
      <c r="I1416" s="625"/>
      <c r="J1416" s="625"/>
      <c r="K1416" s="625"/>
      <c r="L1416" s="625"/>
      <c r="M1416" s="626"/>
      <c r="N1416" s="626"/>
      <c r="O1416" s="626"/>
      <c r="P1416" s="626"/>
      <c r="Q1416" s="626"/>
      <c r="W1416" t="s">
        <v>2047</v>
      </c>
    </row>
    <row r="1417" spans="1:23" ht="13.15" customHeight="1" x14ac:dyDescent="0.2">
      <c r="A1417" s="2" t="s">
        <v>2199</v>
      </c>
      <c r="B1417" s="2">
        <f t="shared" si="44"/>
        <v>2022</v>
      </c>
      <c r="C1417" s="2" t="str">
        <f t="shared" si="45"/>
        <v>KZN226</v>
      </c>
      <c r="D1417" s="2">
        <v>799</v>
      </c>
      <c r="F1417" s="625"/>
      <c r="G1417" s="625"/>
      <c r="H1417" s="625"/>
      <c r="I1417" s="625"/>
      <c r="J1417" s="625"/>
      <c r="K1417" s="625"/>
      <c r="L1417" s="625"/>
      <c r="M1417" s="626"/>
      <c r="N1417" s="626"/>
      <c r="O1417" s="626"/>
      <c r="P1417" s="626"/>
      <c r="Q1417" s="626"/>
      <c r="W1417" t="s">
        <v>2047</v>
      </c>
    </row>
    <row r="1418" spans="1:23" ht="13.15" customHeight="1" x14ac:dyDescent="0.2">
      <c r="A1418" s="2" t="s">
        <v>2199</v>
      </c>
      <c r="B1418" s="2">
        <f t="shared" si="44"/>
        <v>2022</v>
      </c>
      <c r="C1418" s="2" t="str">
        <f t="shared" si="45"/>
        <v>KZN226</v>
      </c>
      <c r="D1418" s="2">
        <v>800</v>
      </c>
      <c r="F1418" s="625"/>
      <c r="G1418" s="625"/>
      <c r="H1418" s="625"/>
      <c r="I1418" s="625"/>
      <c r="J1418" s="625"/>
      <c r="K1418" s="625"/>
      <c r="L1418" s="625"/>
      <c r="M1418" s="626"/>
      <c r="N1418" s="626"/>
      <c r="O1418" s="626"/>
      <c r="P1418" s="626"/>
      <c r="Q1418" s="626"/>
      <c r="W1418" t="s">
        <v>2047</v>
      </c>
    </row>
    <row r="1419" spans="1:23" ht="13.15" customHeight="1" x14ac:dyDescent="0.2">
      <c r="A1419" s="2" t="s">
        <v>2199</v>
      </c>
      <c r="B1419" s="2">
        <f t="shared" si="44"/>
        <v>2022</v>
      </c>
      <c r="C1419" s="2" t="str">
        <f t="shared" si="45"/>
        <v>KZN226</v>
      </c>
      <c r="D1419" s="2">
        <v>801</v>
      </c>
      <c r="F1419" s="625"/>
      <c r="G1419" s="625"/>
      <c r="H1419" s="625"/>
      <c r="I1419" s="625"/>
      <c r="J1419" s="625"/>
      <c r="K1419" s="625"/>
      <c r="L1419" s="625"/>
      <c r="M1419" s="626"/>
      <c r="N1419" s="626"/>
      <c r="O1419" s="626"/>
      <c r="P1419" s="626"/>
      <c r="Q1419" s="626"/>
      <c r="W1419" t="s">
        <v>2047</v>
      </c>
    </row>
    <row r="1420" spans="1:23" ht="13.15" customHeight="1" x14ac:dyDescent="0.2">
      <c r="A1420" s="2" t="s">
        <v>2199</v>
      </c>
      <c r="B1420" s="2">
        <f t="shared" si="44"/>
        <v>2022</v>
      </c>
      <c r="C1420" s="2" t="str">
        <f t="shared" si="45"/>
        <v>KZN226</v>
      </c>
      <c r="D1420" s="2">
        <v>802</v>
      </c>
      <c r="F1420" s="625"/>
      <c r="G1420" s="625"/>
      <c r="H1420" s="625"/>
      <c r="I1420" s="625"/>
      <c r="J1420" s="625"/>
      <c r="K1420" s="625"/>
      <c r="L1420" s="625"/>
      <c r="M1420" s="626"/>
      <c r="N1420" s="626"/>
      <c r="O1420" s="626"/>
      <c r="P1420" s="626"/>
      <c r="Q1420" s="626"/>
      <c r="W1420" t="s">
        <v>2047</v>
      </c>
    </row>
    <row r="1421" spans="1:23" ht="13.15" customHeight="1" x14ac:dyDescent="0.2">
      <c r="A1421" s="2" t="s">
        <v>2199</v>
      </c>
      <c r="B1421" s="2">
        <f t="shared" si="44"/>
        <v>2022</v>
      </c>
      <c r="C1421" s="2" t="str">
        <f t="shared" si="45"/>
        <v>KZN226</v>
      </c>
      <c r="D1421" s="2">
        <v>803</v>
      </c>
      <c r="F1421" s="625"/>
      <c r="G1421" s="625"/>
      <c r="H1421" s="625"/>
      <c r="I1421" s="625"/>
      <c r="J1421" s="625"/>
      <c r="K1421" s="625"/>
      <c r="L1421" s="625"/>
      <c r="M1421" s="626"/>
      <c r="N1421" s="626"/>
      <c r="O1421" s="626"/>
      <c r="P1421" s="626"/>
      <c r="Q1421" s="626"/>
      <c r="W1421" t="s">
        <v>2047</v>
      </c>
    </row>
    <row r="1422" spans="1:23" ht="13.15" customHeight="1" x14ac:dyDescent="0.2">
      <c r="A1422" s="2" t="s">
        <v>2199</v>
      </c>
      <c r="B1422" s="2">
        <f t="shared" si="44"/>
        <v>2022</v>
      </c>
      <c r="C1422" s="2" t="str">
        <f t="shared" si="45"/>
        <v>KZN226</v>
      </c>
      <c r="D1422" s="2">
        <v>804</v>
      </c>
      <c r="F1422" s="625"/>
      <c r="G1422" s="625"/>
      <c r="H1422" s="625"/>
      <c r="I1422" s="625"/>
      <c r="J1422" s="625"/>
      <c r="K1422" s="625"/>
      <c r="L1422" s="625"/>
      <c r="M1422" s="626"/>
      <c r="N1422" s="626"/>
      <c r="O1422" s="626"/>
      <c r="P1422" s="626"/>
      <c r="Q1422" s="626"/>
      <c r="W1422" t="s">
        <v>2047</v>
      </c>
    </row>
    <row r="1423" spans="1:23" ht="13.15" customHeight="1" x14ac:dyDescent="0.2">
      <c r="A1423" s="2" t="s">
        <v>2199</v>
      </c>
      <c r="B1423" s="2">
        <f t="shared" si="44"/>
        <v>2022</v>
      </c>
      <c r="C1423" s="2" t="str">
        <f t="shared" si="45"/>
        <v>KZN226</v>
      </c>
      <c r="D1423" s="2">
        <v>805</v>
      </c>
      <c r="F1423" s="625"/>
      <c r="G1423" s="625"/>
      <c r="H1423" s="625"/>
      <c r="I1423" s="625"/>
      <c r="J1423" s="625"/>
      <c r="K1423" s="625"/>
      <c r="L1423" s="625"/>
      <c r="M1423" s="626"/>
      <c r="N1423" s="626"/>
      <c r="O1423" s="626"/>
      <c r="P1423" s="626"/>
      <c r="Q1423" s="626"/>
      <c r="W1423" t="s">
        <v>2047</v>
      </c>
    </row>
    <row r="1424" spans="1:23" ht="13.15" customHeight="1" x14ac:dyDescent="0.2">
      <c r="A1424" s="2" t="s">
        <v>2199</v>
      </c>
      <c r="B1424" s="2">
        <f t="shared" si="44"/>
        <v>2022</v>
      </c>
      <c r="C1424" s="2" t="str">
        <f t="shared" si="45"/>
        <v>KZN226</v>
      </c>
      <c r="D1424" s="2">
        <v>806</v>
      </c>
      <c r="F1424" s="625"/>
      <c r="G1424" s="625"/>
      <c r="H1424" s="625"/>
      <c r="I1424" s="625"/>
      <c r="J1424" s="625"/>
      <c r="K1424" s="625"/>
      <c r="L1424" s="625"/>
      <c r="M1424" s="626"/>
      <c r="N1424" s="626"/>
      <c r="O1424" s="626"/>
      <c r="P1424" s="626"/>
      <c r="Q1424" s="626"/>
      <c r="W1424" t="s">
        <v>2047</v>
      </c>
    </row>
    <row r="1425" spans="1:23" ht="13.15" customHeight="1" x14ac:dyDescent="0.2">
      <c r="A1425" s="2" t="s">
        <v>2199</v>
      </c>
      <c r="B1425" s="2">
        <f t="shared" si="44"/>
        <v>2022</v>
      </c>
      <c r="C1425" s="2" t="str">
        <f t="shared" si="45"/>
        <v>KZN226</v>
      </c>
      <c r="D1425" s="2">
        <v>807</v>
      </c>
      <c r="F1425" s="625"/>
      <c r="G1425" s="625"/>
      <c r="H1425" s="625"/>
      <c r="I1425" s="625"/>
      <c r="J1425" s="625"/>
      <c r="K1425" s="625"/>
      <c r="L1425" s="625"/>
      <c r="M1425" s="626"/>
      <c r="N1425" s="626"/>
      <c r="O1425" s="626"/>
      <c r="P1425" s="626"/>
      <c r="Q1425" s="626"/>
      <c r="W1425" t="s">
        <v>2047</v>
      </c>
    </row>
    <row r="1426" spans="1:23" ht="13.15" customHeight="1" x14ac:dyDescent="0.2">
      <c r="A1426" s="2" t="s">
        <v>2199</v>
      </c>
      <c r="B1426" s="2">
        <f t="shared" si="44"/>
        <v>2022</v>
      </c>
      <c r="C1426" s="2" t="str">
        <f t="shared" si="45"/>
        <v>KZN226</v>
      </c>
      <c r="D1426" s="2">
        <v>808</v>
      </c>
      <c r="F1426" s="625"/>
      <c r="G1426" s="625"/>
      <c r="H1426" s="625"/>
      <c r="I1426" s="625"/>
      <c r="J1426" s="625"/>
      <c r="K1426" s="625"/>
      <c r="L1426" s="625"/>
      <c r="M1426" s="626"/>
      <c r="N1426" s="626"/>
      <c r="O1426" s="626"/>
      <c r="P1426" s="626"/>
      <c r="Q1426" s="626"/>
      <c r="W1426" t="s">
        <v>2047</v>
      </c>
    </row>
    <row r="1427" spans="1:23" ht="13.15" customHeight="1" x14ac:dyDescent="0.2">
      <c r="A1427" s="2" t="s">
        <v>2199</v>
      </c>
      <c r="B1427" s="2">
        <f t="shared" si="44"/>
        <v>2022</v>
      </c>
      <c r="C1427" s="2" t="str">
        <f t="shared" si="45"/>
        <v>KZN226</v>
      </c>
      <c r="D1427" s="2">
        <v>809</v>
      </c>
      <c r="F1427" s="625"/>
      <c r="G1427" s="625"/>
      <c r="H1427" s="625"/>
      <c r="I1427" s="625"/>
      <c r="J1427" s="625"/>
      <c r="K1427" s="625"/>
      <c r="L1427" s="625"/>
      <c r="M1427" s="626"/>
      <c r="N1427" s="626"/>
      <c r="O1427" s="626"/>
      <c r="P1427" s="626"/>
      <c r="Q1427" s="626"/>
      <c r="W1427" t="s">
        <v>2047</v>
      </c>
    </row>
    <row r="1428" spans="1:23" ht="13.15" customHeight="1" x14ac:dyDescent="0.2">
      <c r="A1428" s="2" t="s">
        <v>2199</v>
      </c>
      <c r="B1428" s="2">
        <f t="shared" si="44"/>
        <v>2022</v>
      </c>
      <c r="C1428" s="2" t="str">
        <f t="shared" si="45"/>
        <v>KZN226</v>
      </c>
      <c r="D1428" s="2">
        <v>810</v>
      </c>
      <c r="F1428" s="625"/>
      <c r="G1428" s="625"/>
      <c r="H1428" s="625"/>
      <c r="I1428" s="625"/>
      <c r="J1428" s="625"/>
      <c r="K1428" s="625"/>
      <c r="L1428" s="625"/>
      <c r="M1428" s="626"/>
      <c r="N1428" s="626"/>
      <c r="O1428" s="626"/>
      <c r="P1428" s="626"/>
      <c r="Q1428" s="626"/>
      <c r="W1428" t="s">
        <v>2047</v>
      </c>
    </row>
    <row r="1429" spans="1:23" ht="13.15" customHeight="1" x14ac:dyDescent="0.2">
      <c r="A1429" s="2" t="s">
        <v>2199</v>
      </c>
      <c r="B1429" s="2">
        <f t="shared" si="44"/>
        <v>2022</v>
      </c>
      <c r="C1429" s="2" t="str">
        <f t="shared" si="45"/>
        <v>KZN226</v>
      </c>
      <c r="D1429" s="2">
        <v>811</v>
      </c>
      <c r="F1429" s="625"/>
      <c r="G1429" s="625"/>
      <c r="H1429" s="625"/>
      <c r="I1429" s="625"/>
      <c r="J1429" s="625"/>
      <c r="K1429" s="625"/>
      <c r="L1429" s="625"/>
      <c r="M1429" s="626"/>
      <c r="N1429" s="626"/>
      <c r="O1429" s="626"/>
      <c r="P1429" s="626"/>
      <c r="Q1429" s="626"/>
      <c r="W1429" t="s">
        <v>2047</v>
      </c>
    </row>
    <row r="1430" spans="1:23" ht="13.15" customHeight="1" x14ac:dyDescent="0.2">
      <c r="A1430" s="2" t="s">
        <v>2199</v>
      </c>
      <c r="B1430" s="2">
        <f t="shared" si="44"/>
        <v>2022</v>
      </c>
      <c r="C1430" s="2" t="str">
        <f t="shared" si="45"/>
        <v>KZN226</v>
      </c>
      <c r="D1430" s="2">
        <v>812</v>
      </c>
      <c r="F1430" s="625"/>
      <c r="G1430" s="625"/>
      <c r="H1430" s="625"/>
      <c r="I1430" s="625"/>
      <c r="J1430" s="625"/>
      <c r="K1430" s="625"/>
      <c r="L1430" s="625"/>
      <c r="M1430" s="626"/>
      <c r="N1430" s="626"/>
      <c r="O1430" s="626"/>
      <c r="P1430" s="626"/>
      <c r="Q1430" s="626"/>
      <c r="W1430" t="s">
        <v>2047</v>
      </c>
    </row>
    <row r="1431" spans="1:23" ht="13.15" customHeight="1" x14ac:dyDescent="0.2">
      <c r="A1431" s="2" t="s">
        <v>2199</v>
      </c>
      <c r="B1431" s="2">
        <f t="shared" si="44"/>
        <v>2022</v>
      </c>
      <c r="C1431" s="2" t="str">
        <f t="shared" si="45"/>
        <v>KZN226</v>
      </c>
      <c r="D1431" s="2">
        <v>813</v>
      </c>
      <c r="F1431" s="625"/>
      <c r="G1431" s="625"/>
      <c r="H1431" s="625"/>
      <c r="I1431" s="625"/>
      <c r="J1431" s="625"/>
      <c r="K1431" s="625"/>
      <c r="L1431" s="625"/>
      <c r="M1431" s="626"/>
      <c r="N1431" s="626"/>
      <c r="O1431" s="626"/>
      <c r="P1431" s="626"/>
      <c r="Q1431" s="626"/>
      <c r="W1431" t="s">
        <v>2047</v>
      </c>
    </row>
    <row r="1432" spans="1:23" ht="13.15" customHeight="1" x14ac:dyDescent="0.2">
      <c r="A1432" s="2" t="s">
        <v>2199</v>
      </c>
      <c r="B1432" s="2">
        <f t="shared" si="44"/>
        <v>2022</v>
      </c>
      <c r="C1432" s="2" t="str">
        <f t="shared" si="45"/>
        <v>KZN226</v>
      </c>
      <c r="D1432" s="2">
        <v>814</v>
      </c>
      <c r="F1432" s="625"/>
      <c r="G1432" s="625"/>
      <c r="H1432" s="625"/>
      <c r="I1432" s="625"/>
      <c r="J1432" s="625"/>
      <c r="K1432" s="625"/>
      <c r="L1432" s="625"/>
      <c r="M1432" s="626"/>
      <c r="N1432" s="626"/>
      <c r="O1432" s="626"/>
      <c r="P1432" s="626"/>
      <c r="Q1432" s="626"/>
      <c r="W1432" t="s">
        <v>2047</v>
      </c>
    </row>
    <row r="1433" spans="1:23" ht="13.15" customHeight="1" x14ac:dyDescent="0.2">
      <c r="A1433" s="2" t="s">
        <v>2199</v>
      </c>
      <c r="B1433" s="2">
        <f t="shared" si="44"/>
        <v>2022</v>
      </c>
      <c r="C1433" s="2" t="str">
        <f t="shared" si="45"/>
        <v>KZN226</v>
      </c>
      <c r="D1433" s="2">
        <v>815</v>
      </c>
      <c r="F1433" s="625"/>
      <c r="G1433" s="625"/>
      <c r="H1433" s="625"/>
      <c r="I1433" s="625"/>
      <c r="J1433" s="625"/>
      <c r="K1433" s="625"/>
      <c r="L1433" s="625"/>
      <c r="M1433" s="626"/>
      <c r="N1433" s="626"/>
      <c r="O1433" s="626"/>
      <c r="P1433" s="626"/>
      <c r="Q1433" s="626"/>
      <c r="W1433" t="s">
        <v>2047</v>
      </c>
    </row>
    <row r="1434" spans="1:23" ht="13.15" customHeight="1" x14ac:dyDescent="0.2">
      <c r="A1434" s="2" t="s">
        <v>2199</v>
      </c>
      <c r="B1434" s="2">
        <f t="shared" si="44"/>
        <v>2022</v>
      </c>
      <c r="C1434" s="2" t="str">
        <f t="shared" si="45"/>
        <v>KZN226</v>
      </c>
      <c r="D1434" s="2">
        <v>816</v>
      </c>
      <c r="F1434" s="625"/>
      <c r="G1434" s="625"/>
      <c r="H1434" s="625"/>
      <c r="I1434" s="625"/>
      <c r="J1434" s="625"/>
      <c r="K1434" s="625"/>
      <c r="L1434" s="625"/>
      <c r="M1434" s="626"/>
      <c r="N1434" s="626"/>
      <c r="O1434" s="626"/>
      <c r="P1434" s="626"/>
      <c r="Q1434" s="626"/>
      <c r="W1434" t="s">
        <v>2047</v>
      </c>
    </row>
    <row r="1435" spans="1:23" ht="13.15" customHeight="1" x14ac:dyDescent="0.2">
      <c r="A1435" s="2" t="s">
        <v>2199</v>
      </c>
      <c r="B1435" s="2">
        <f t="shared" si="44"/>
        <v>2022</v>
      </c>
      <c r="C1435" s="2" t="str">
        <f t="shared" si="45"/>
        <v>KZN226</v>
      </c>
      <c r="D1435" s="2">
        <v>817</v>
      </c>
      <c r="F1435" s="625"/>
      <c r="G1435" s="625"/>
      <c r="H1435" s="625"/>
      <c r="I1435" s="625"/>
      <c r="J1435" s="625"/>
      <c r="K1435" s="625"/>
      <c r="L1435" s="625"/>
      <c r="M1435" s="626"/>
      <c r="N1435" s="626"/>
      <c r="O1435" s="626"/>
      <c r="P1435" s="626"/>
      <c r="Q1435" s="626"/>
      <c r="W1435" t="s">
        <v>2047</v>
      </c>
    </row>
    <row r="1436" spans="1:23" ht="13.15" customHeight="1" x14ac:dyDescent="0.2">
      <c r="A1436" s="2" t="s">
        <v>2199</v>
      </c>
      <c r="B1436" s="2">
        <f t="shared" si="44"/>
        <v>2022</v>
      </c>
      <c r="C1436" s="2" t="str">
        <f t="shared" si="45"/>
        <v>KZN226</v>
      </c>
      <c r="D1436" s="2">
        <v>818</v>
      </c>
      <c r="F1436" s="625"/>
      <c r="G1436" s="625"/>
      <c r="H1436" s="625"/>
      <c r="I1436" s="625"/>
      <c r="J1436" s="625"/>
      <c r="K1436" s="625"/>
      <c r="L1436" s="625"/>
      <c r="M1436" s="626"/>
      <c r="N1436" s="626"/>
      <c r="O1436" s="626"/>
      <c r="P1436" s="626"/>
      <c r="Q1436" s="626"/>
      <c r="W1436" t="s">
        <v>2047</v>
      </c>
    </row>
    <row r="1437" spans="1:23" ht="13.15" customHeight="1" x14ac:dyDescent="0.2">
      <c r="A1437" s="2" t="s">
        <v>2199</v>
      </c>
      <c r="B1437" s="2">
        <f t="shared" si="44"/>
        <v>2022</v>
      </c>
      <c r="C1437" s="2" t="str">
        <f t="shared" si="45"/>
        <v>KZN226</v>
      </c>
      <c r="D1437" s="2">
        <v>819</v>
      </c>
      <c r="F1437" s="625"/>
      <c r="G1437" s="625"/>
      <c r="H1437" s="625"/>
      <c r="I1437" s="625"/>
      <c r="J1437" s="625"/>
      <c r="K1437" s="625"/>
      <c r="L1437" s="625"/>
      <c r="M1437" s="626"/>
      <c r="N1437" s="626"/>
      <c r="O1437" s="626"/>
      <c r="P1437" s="626"/>
      <c r="Q1437" s="626"/>
      <c r="W1437" t="s">
        <v>2047</v>
      </c>
    </row>
    <row r="1438" spans="1:23" ht="13.15" customHeight="1" x14ac:dyDescent="0.2">
      <c r="A1438" s="2" t="s">
        <v>2199</v>
      </c>
      <c r="B1438" s="2">
        <f t="shared" si="44"/>
        <v>2022</v>
      </c>
      <c r="C1438" s="2" t="str">
        <f t="shared" si="45"/>
        <v>KZN226</v>
      </c>
      <c r="D1438" s="2">
        <v>820</v>
      </c>
      <c r="F1438" s="625"/>
      <c r="G1438" s="625"/>
      <c r="H1438" s="625"/>
      <c r="I1438" s="625"/>
      <c r="J1438" s="625"/>
      <c r="K1438" s="625"/>
      <c r="L1438" s="625"/>
      <c r="M1438" s="626"/>
      <c r="N1438" s="626"/>
      <c r="O1438" s="626"/>
      <c r="P1438" s="626"/>
      <c r="Q1438" s="626"/>
      <c r="W1438" t="s">
        <v>2047</v>
      </c>
    </row>
    <row r="1439" spans="1:23" ht="13.15" customHeight="1" x14ac:dyDescent="0.2">
      <c r="A1439" s="2" t="s">
        <v>2199</v>
      </c>
      <c r="B1439" s="2">
        <f t="shared" si="44"/>
        <v>2022</v>
      </c>
      <c r="C1439" s="2" t="str">
        <f t="shared" si="45"/>
        <v>KZN226</v>
      </c>
      <c r="D1439" s="2">
        <v>821</v>
      </c>
      <c r="F1439" s="625"/>
      <c r="G1439" s="625"/>
      <c r="H1439" s="625"/>
      <c r="I1439" s="625"/>
      <c r="J1439" s="625"/>
      <c r="K1439" s="625"/>
      <c r="L1439" s="625"/>
      <c r="M1439" s="626"/>
      <c r="N1439" s="626"/>
      <c r="O1439" s="626"/>
      <c r="P1439" s="626"/>
      <c r="Q1439" s="626"/>
      <c r="W1439" t="s">
        <v>2047</v>
      </c>
    </row>
    <row r="1440" spans="1:23" ht="13.15" customHeight="1" x14ac:dyDescent="0.2">
      <c r="A1440" s="2" t="s">
        <v>2199</v>
      </c>
      <c r="B1440" s="2">
        <f t="shared" si="44"/>
        <v>2022</v>
      </c>
      <c r="C1440" s="2" t="str">
        <f t="shared" si="45"/>
        <v>KZN226</v>
      </c>
      <c r="D1440" s="2">
        <v>822</v>
      </c>
      <c r="F1440" s="625"/>
      <c r="G1440" s="625"/>
      <c r="H1440" s="625"/>
      <c r="I1440" s="625"/>
      <c r="J1440" s="625"/>
      <c r="K1440" s="625"/>
      <c r="L1440" s="625"/>
      <c r="M1440" s="626"/>
      <c r="N1440" s="626"/>
      <c r="O1440" s="626"/>
      <c r="P1440" s="626"/>
      <c r="Q1440" s="626"/>
      <c r="W1440" t="s">
        <v>2047</v>
      </c>
    </row>
    <row r="1441" spans="1:23" ht="13.15" customHeight="1" x14ac:dyDescent="0.2">
      <c r="A1441" s="2" t="s">
        <v>2199</v>
      </c>
      <c r="B1441" s="2">
        <f t="shared" si="44"/>
        <v>2022</v>
      </c>
      <c r="C1441" s="2" t="str">
        <f t="shared" si="45"/>
        <v>KZN226</v>
      </c>
      <c r="D1441" s="2">
        <v>823</v>
      </c>
      <c r="F1441" s="625"/>
      <c r="G1441" s="625"/>
      <c r="H1441" s="625"/>
      <c r="I1441" s="625"/>
      <c r="J1441" s="625"/>
      <c r="K1441" s="625"/>
      <c r="L1441" s="625"/>
      <c r="M1441" s="626"/>
      <c r="N1441" s="626"/>
      <c r="O1441" s="626"/>
      <c r="P1441" s="626"/>
      <c r="Q1441" s="626"/>
      <c r="W1441" t="s">
        <v>2047</v>
      </c>
    </row>
    <row r="1442" spans="1:23" ht="13.15" customHeight="1" x14ac:dyDescent="0.2">
      <c r="A1442" s="2" t="s">
        <v>2199</v>
      </c>
      <c r="B1442" s="2">
        <f t="shared" si="44"/>
        <v>2022</v>
      </c>
      <c r="C1442" s="2" t="str">
        <f t="shared" si="45"/>
        <v>KZN226</v>
      </c>
      <c r="D1442" s="2">
        <v>824</v>
      </c>
      <c r="F1442" s="625"/>
      <c r="G1442" s="625"/>
      <c r="H1442" s="625"/>
      <c r="I1442" s="625"/>
      <c r="J1442" s="625"/>
      <c r="K1442" s="625"/>
      <c r="L1442" s="625"/>
      <c r="M1442" s="626"/>
      <c r="N1442" s="626"/>
      <c r="O1442" s="626"/>
      <c r="P1442" s="626"/>
      <c r="Q1442" s="626"/>
      <c r="W1442" t="s">
        <v>2047</v>
      </c>
    </row>
    <row r="1443" spans="1:23" ht="13.15" customHeight="1" x14ac:dyDescent="0.2">
      <c r="A1443" s="2" t="s">
        <v>2199</v>
      </c>
      <c r="B1443" s="2">
        <f t="shared" si="44"/>
        <v>2022</v>
      </c>
      <c r="C1443" s="2" t="str">
        <f t="shared" si="45"/>
        <v>KZN226</v>
      </c>
      <c r="D1443" s="2">
        <v>825</v>
      </c>
      <c r="F1443" s="625"/>
      <c r="G1443" s="625"/>
      <c r="H1443" s="625"/>
      <c r="I1443" s="625"/>
      <c r="J1443" s="625"/>
      <c r="K1443" s="625"/>
      <c r="L1443" s="625"/>
      <c r="M1443" s="626"/>
      <c r="N1443" s="626"/>
      <c r="O1443" s="626"/>
      <c r="P1443" s="626"/>
      <c r="Q1443" s="626"/>
      <c r="W1443" t="s">
        <v>2047</v>
      </c>
    </row>
    <row r="1444" spans="1:23" ht="13.15" customHeight="1" x14ac:dyDescent="0.2">
      <c r="A1444" s="2" t="s">
        <v>2199</v>
      </c>
      <c r="B1444" s="2">
        <f t="shared" si="44"/>
        <v>2022</v>
      </c>
      <c r="C1444" s="2" t="str">
        <f t="shared" si="45"/>
        <v>KZN226</v>
      </c>
      <c r="D1444" s="2">
        <v>826</v>
      </c>
      <c r="F1444" s="625"/>
      <c r="G1444" s="625"/>
      <c r="H1444" s="625"/>
      <c r="I1444" s="625"/>
      <c r="J1444" s="625"/>
      <c r="K1444" s="625"/>
      <c r="L1444" s="625"/>
      <c r="M1444" s="626"/>
      <c r="N1444" s="626"/>
      <c r="O1444" s="626"/>
      <c r="P1444" s="626"/>
      <c r="Q1444" s="626"/>
      <c r="W1444" t="s">
        <v>2047</v>
      </c>
    </row>
    <row r="1445" spans="1:23" ht="13.15" customHeight="1" x14ac:dyDescent="0.2">
      <c r="A1445" s="2" t="s">
        <v>2199</v>
      </c>
      <c r="B1445" s="2">
        <f t="shared" si="44"/>
        <v>2022</v>
      </c>
      <c r="C1445" s="2" t="str">
        <f t="shared" si="45"/>
        <v>KZN226</v>
      </c>
      <c r="D1445" s="2">
        <v>827</v>
      </c>
      <c r="F1445" s="625"/>
      <c r="G1445" s="625"/>
      <c r="H1445" s="625"/>
      <c r="I1445" s="625"/>
      <c r="J1445" s="625"/>
      <c r="K1445" s="625"/>
      <c r="L1445" s="625"/>
      <c r="M1445" s="626"/>
      <c r="N1445" s="626"/>
      <c r="O1445" s="626"/>
      <c r="P1445" s="626"/>
      <c r="Q1445" s="626"/>
      <c r="W1445" t="s">
        <v>2047</v>
      </c>
    </row>
    <row r="1446" spans="1:23" ht="13.15" customHeight="1" x14ac:dyDescent="0.2">
      <c r="A1446" s="2" t="s">
        <v>2199</v>
      </c>
      <c r="B1446" s="2">
        <f t="shared" si="44"/>
        <v>2022</v>
      </c>
      <c r="C1446" s="2" t="str">
        <f t="shared" si="45"/>
        <v>KZN226</v>
      </c>
      <c r="D1446" s="2">
        <v>828</v>
      </c>
      <c r="F1446" s="625"/>
      <c r="G1446" s="625"/>
      <c r="H1446" s="625"/>
      <c r="I1446" s="625"/>
      <c r="J1446" s="625"/>
      <c r="K1446" s="625"/>
      <c r="L1446" s="625"/>
      <c r="M1446" s="626"/>
      <c r="N1446" s="626"/>
      <c r="O1446" s="626"/>
      <c r="P1446" s="626"/>
      <c r="Q1446" s="626"/>
      <c r="W1446" t="s">
        <v>2047</v>
      </c>
    </row>
    <row r="1447" spans="1:23" ht="13.15" customHeight="1" x14ac:dyDescent="0.2">
      <c r="A1447" s="2" t="s">
        <v>2199</v>
      </c>
      <c r="B1447" s="2">
        <f t="shared" si="44"/>
        <v>2022</v>
      </c>
      <c r="C1447" s="2" t="str">
        <f t="shared" si="45"/>
        <v>KZN226</v>
      </c>
      <c r="D1447" s="2">
        <v>829</v>
      </c>
      <c r="F1447" s="625"/>
      <c r="G1447" s="625"/>
      <c r="H1447" s="625"/>
      <c r="I1447" s="625"/>
      <c r="J1447" s="625"/>
      <c r="K1447" s="625"/>
      <c r="L1447" s="625"/>
      <c r="M1447" s="626"/>
      <c r="N1447" s="626"/>
      <c r="O1447" s="626"/>
      <c r="P1447" s="626"/>
      <c r="Q1447" s="626"/>
      <c r="W1447" t="s">
        <v>2047</v>
      </c>
    </row>
    <row r="1448" spans="1:23" ht="13.15" customHeight="1" x14ac:dyDescent="0.2">
      <c r="A1448" s="2" t="s">
        <v>2199</v>
      </c>
      <c r="B1448" s="2">
        <f t="shared" si="44"/>
        <v>2022</v>
      </c>
      <c r="C1448" s="2" t="str">
        <f t="shared" si="45"/>
        <v>KZN226</v>
      </c>
      <c r="D1448" s="2">
        <v>830</v>
      </c>
      <c r="F1448" s="625"/>
      <c r="G1448" s="625"/>
      <c r="H1448" s="625"/>
      <c r="I1448" s="625"/>
      <c r="J1448" s="625"/>
      <c r="K1448" s="625"/>
      <c r="L1448" s="625"/>
      <c r="M1448" s="626"/>
      <c r="N1448" s="626"/>
      <c r="O1448" s="626"/>
      <c r="P1448" s="626"/>
      <c r="Q1448" s="626"/>
      <c r="W1448" t="s">
        <v>2047</v>
      </c>
    </row>
    <row r="1449" spans="1:23" ht="13.15" customHeight="1" x14ac:dyDescent="0.2">
      <c r="A1449" s="2" t="s">
        <v>2199</v>
      </c>
      <c r="B1449" s="2">
        <f t="shared" si="44"/>
        <v>2022</v>
      </c>
      <c r="C1449" s="2" t="str">
        <f t="shared" si="45"/>
        <v>KZN226</v>
      </c>
      <c r="D1449" s="2">
        <v>831</v>
      </c>
      <c r="F1449" s="625"/>
      <c r="G1449" s="625"/>
      <c r="H1449" s="625"/>
      <c r="I1449" s="625"/>
      <c r="J1449" s="625"/>
      <c r="K1449" s="625"/>
      <c r="L1449" s="625"/>
      <c r="M1449" s="626"/>
      <c r="N1449" s="626"/>
      <c r="O1449" s="626"/>
      <c r="P1449" s="626"/>
      <c r="Q1449" s="626"/>
      <c r="W1449" t="s">
        <v>2047</v>
      </c>
    </row>
    <row r="1450" spans="1:23" ht="13.15" customHeight="1" x14ac:dyDescent="0.2">
      <c r="A1450" s="2" t="s">
        <v>2199</v>
      </c>
      <c r="B1450" s="2">
        <f t="shared" si="44"/>
        <v>2022</v>
      </c>
      <c r="C1450" s="2" t="str">
        <f t="shared" si="45"/>
        <v>KZN226</v>
      </c>
      <c r="D1450" s="2">
        <v>832</v>
      </c>
      <c r="F1450" s="625"/>
      <c r="G1450" s="625"/>
      <c r="H1450" s="625"/>
      <c r="I1450" s="625"/>
      <c r="J1450" s="625"/>
      <c r="K1450" s="625"/>
      <c r="L1450" s="625"/>
      <c r="M1450" s="626"/>
      <c r="N1450" s="626"/>
      <c r="O1450" s="626"/>
      <c r="P1450" s="626"/>
      <c r="Q1450" s="626"/>
      <c r="W1450" t="s">
        <v>2047</v>
      </c>
    </row>
    <row r="1451" spans="1:23" ht="13.15" customHeight="1" x14ac:dyDescent="0.2">
      <c r="A1451" s="2" t="s">
        <v>2199</v>
      </c>
      <c r="B1451" s="2">
        <f t="shared" si="44"/>
        <v>2022</v>
      </c>
      <c r="C1451" s="2" t="str">
        <f t="shared" si="45"/>
        <v>KZN226</v>
      </c>
      <c r="D1451" s="2">
        <v>833</v>
      </c>
      <c r="F1451" s="625"/>
      <c r="G1451" s="625"/>
      <c r="H1451" s="625"/>
      <c r="I1451" s="625"/>
      <c r="J1451" s="625"/>
      <c r="K1451" s="625"/>
      <c r="L1451" s="625"/>
      <c r="M1451" s="626"/>
      <c r="N1451" s="626"/>
      <c r="O1451" s="626"/>
      <c r="P1451" s="626"/>
      <c r="Q1451" s="626"/>
      <c r="W1451" t="s">
        <v>2047</v>
      </c>
    </row>
    <row r="1452" spans="1:23" ht="13.15" customHeight="1" x14ac:dyDescent="0.2">
      <c r="A1452" s="2" t="s">
        <v>2199</v>
      </c>
      <c r="B1452" s="2">
        <f t="shared" si="44"/>
        <v>2022</v>
      </c>
      <c r="C1452" s="2" t="str">
        <f t="shared" si="45"/>
        <v>KZN226</v>
      </c>
      <c r="D1452" s="2">
        <v>834</v>
      </c>
      <c r="F1452" s="625"/>
      <c r="G1452" s="625"/>
      <c r="H1452" s="625"/>
      <c r="I1452" s="625"/>
      <c r="J1452" s="625"/>
      <c r="K1452" s="625"/>
      <c r="L1452" s="625"/>
      <c r="M1452" s="626"/>
      <c r="N1452" s="626"/>
      <c r="O1452" s="626"/>
      <c r="P1452" s="626"/>
      <c r="Q1452" s="626"/>
      <c r="W1452" t="s">
        <v>2047</v>
      </c>
    </row>
    <row r="1453" spans="1:23" ht="13.15" customHeight="1" x14ac:dyDescent="0.2">
      <c r="A1453" s="2" t="s">
        <v>2199</v>
      </c>
      <c r="B1453" s="2">
        <f t="shared" si="44"/>
        <v>2022</v>
      </c>
      <c r="C1453" s="2" t="str">
        <f t="shared" si="45"/>
        <v>KZN226</v>
      </c>
      <c r="D1453" s="2">
        <v>835</v>
      </c>
      <c r="F1453" s="625"/>
      <c r="G1453" s="625"/>
      <c r="H1453" s="625"/>
      <c r="I1453" s="625"/>
      <c r="J1453" s="625"/>
      <c r="K1453" s="625"/>
      <c r="L1453" s="625"/>
      <c r="M1453" s="626"/>
      <c r="N1453" s="626"/>
      <c r="O1453" s="626"/>
      <c r="P1453" s="626"/>
      <c r="Q1453" s="626"/>
      <c r="W1453" t="s">
        <v>2047</v>
      </c>
    </row>
    <row r="1454" spans="1:23" ht="13.15" customHeight="1" x14ac:dyDescent="0.2">
      <c r="A1454" s="2" t="s">
        <v>2199</v>
      </c>
      <c r="B1454" s="2">
        <f t="shared" si="44"/>
        <v>2022</v>
      </c>
      <c r="C1454" s="2" t="str">
        <f t="shared" si="45"/>
        <v>KZN226</v>
      </c>
      <c r="D1454" s="2">
        <v>836</v>
      </c>
      <c r="F1454" s="625"/>
      <c r="G1454" s="625"/>
      <c r="H1454" s="625"/>
      <c r="I1454" s="625"/>
      <c r="J1454" s="625"/>
      <c r="K1454" s="625"/>
      <c r="L1454" s="625"/>
      <c r="M1454" s="626"/>
      <c r="N1454" s="626"/>
      <c r="O1454" s="626"/>
      <c r="P1454" s="626"/>
      <c r="Q1454" s="626"/>
      <c r="W1454" t="s">
        <v>2047</v>
      </c>
    </row>
    <row r="1455" spans="1:23" ht="13.15" customHeight="1" x14ac:dyDescent="0.2">
      <c r="A1455" s="2" t="s">
        <v>2199</v>
      </c>
      <c r="B1455" s="2">
        <f t="shared" si="44"/>
        <v>2022</v>
      </c>
      <c r="C1455" s="2" t="str">
        <f t="shared" si="45"/>
        <v>KZN226</v>
      </c>
      <c r="D1455" s="2">
        <v>837</v>
      </c>
      <c r="F1455" s="625"/>
      <c r="G1455" s="625"/>
      <c r="H1455" s="625"/>
      <c r="I1455" s="625"/>
      <c r="J1455" s="625"/>
      <c r="K1455" s="625"/>
      <c r="L1455" s="625"/>
      <c r="M1455" s="626"/>
      <c r="N1455" s="626"/>
      <c r="O1455" s="626"/>
      <c r="P1455" s="626"/>
      <c r="Q1455" s="626"/>
      <c r="W1455" t="s">
        <v>2047</v>
      </c>
    </row>
    <row r="1456" spans="1:23" ht="13.15" customHeight="1" x14ac:dyDescent="0.2">
      <c r="A1456" s="2" t="s">
        <v>2199</v>
      </c>
      <c r="B1456" s="2">
        <f t="shared" si="44"/>
        <v>2022</v>
      </c>
      <c r="C1456" s="2" t="str">
        <f t="shared" si="45"/>
        <v>KZN226</v>
      </c>
      <c r="D1456" s="2">
        <v>838</v>
      </c>
      <c r="F1456" s="625"/>
      <c r="G1456" s="625"/>
      <c r="H1456" s="625"/>
      <c r="I1456" s="625"/>
      <c r="J1456" s="625"/>
      <c r="K1456" s="625"/>
      <c r="L1456" s="625"/>
      <c r="M1456" s="626"/>
      <c r="N1456" s="626"/>
      <c r="O1456" s="626"/>
      <c r="P1456" s="626"/>
      <c r="Q1456" s="626"/>
      <c r="W1456" t="s">
        <v>2047</v>
      </c>
    </row>
    <row r="1457" spans="1:23" ht="13.15" customHeight="1" x14ac:dyDescent="0.2">
      <c r="A1457" s="2" t="s">
        <v>2199</v>
      </c>
      <c r="B1457" s="2">
        <f t="shared" si="44"/>
        <v>2022</v>
      </c>
      <c r="C1457" s="2" t="str">
        <f t="shared" si="45"/>
        <v>KZN226</v>
      </c>
      <c r="D1457" s="2">
        <v>839</v>
      </c>
      <c r="F1457" s="625"/>
      <c r="G1457" s="625"/>
      <c r="H1457" s="625"/>
      <c r="I1457" s="625"/>
      <c r="J1457" s="625"/>
      <c r="K1457" s="625"/>
      <c r="L1457" s="625"/>
      <c r="M1457" s="626"/>
      <c r="N1457" s="626"/>
      <c r="O1457" s="626"/>
      <c r="P1457" s="626"/>
      <c r="Q1457" s="626"/>
      <c r="W1457" t="s">
        <v>2047</v>
      </c>
    </row>
    <row r="1458" spans="1:23" ht="13.15" customHeight="1" x14ac:dyDescent="0.2">
      <c r="A1458" s="2" t="s">
        <v>2199</v>
      </c>
      <c r="B1458" s="2">
        <f t="shared" si="44"/>
        <v>2022</v>
      </c>
      <c r="C1458" s="2" t="str">
        <f t="shared" si="45"/>
        <v>KZN226</v>
      </c>
      <c r="D1458" s="2">
        <v>840</v>
      </c>
      <c r="F1458" s="625"/>
      <c r="G1458" s="625"/>
      <c r="H1458" s="625"/>
      <c r="I1458" s="625"/>
      <c r="J1458" s="625"/>
      <c r="K1458" s="625"/>
      <c r="L1458" s="625"/>
      <c r="M1458" s="626"/>
      <c r="N1458" s="626"/>
      <c r="O1458" s="626"/>
      <c r="P1458" s="626"/>
      <c r="Q1458" s="626"/>
      <c r="W1458" t="s">
        <v>2047</v>
      </c>
    </row>
    <row r="1459" spans="1:23" ht="13.15" customHeight="1" x14ac:dyDescent="0.2">
      <c r="A1459" s="2" t="s">
        <v>2199</v>
      </c>
      <c r="B1459" s="2">
        <f t="shared" si="44"/>
        <v>2022</v>
      </c>
      <c r="C1459" s="2" t="str">
        <f t="shared" si="45"/>
        <v>KZN226</v>
      </c>
      <c r="D1459" s="2">
        <v>841</v>
      </c>
      <c r="F1459" s="625"/>
      <c r="G1459" s="625"/>
      <c r="H1459" s="625"/>
      <c r="I1459" s="625"/>
      <c r="J1459" s="625"/>
      <c r="K1459" s="625"/>
      <c r="L1459" s="625"/>
      <c r="M1459" s="626"/>
      <c r="N1459" s="626"/>
      <c r="O1459" s="626"/>
      <c r="P1459" s="626"/>
      <c r="Q1459" s="626"/>
      <c r="W1459" t="s">
        <v>2047</v>
      </c>
    </row>
    <row r="1460" spans="1:23" ht="13.15" customHeight="1" x14ac:dyDescent="0.2">
      <c r="A1460" s="2" t="s">
        <v>2199</v>
      </c>
      <c r="B1460" s="2">
        <f t="shared" si="44"/>
        <v>2022</v>
      </c>
      <c r="C1460" s="2" t="str">
        <f t="shared" si="45"/>
        <v>KZN226</v>
      </c>
      <c r="D1460" s="2">
        <v>842</v>
      </c>
      <c r="F1460" s="625"/>
      <c r="G1460" s="625"/>
      <c r="H1460" s="625"/>
      <c r="I1460" s="625"/>
      <c r="J1460" s="625"/>
      <c r="K1460" s="625"/>
      <c r="L1460" s="625"/>
      <c r="M1460" s="626"/>
      <c r="N1460" s="626"/>
      <c r="O1460" s="626"/>
      <c r="P1460" s="626"/>
      <c r="Q1460" s="626"/>
      <c r="W1460" t="s">
        <v>2047</v>
      </c>
    </row>
    <row r="1461" spans="1:23" ht="13.15" customHeight="1" x14ac:dyDescent="0.2">
      <c r="A1461" s="2" t="s">
        <v>2199</v>
      </c>
      <c r="B1461" s="2">
        <f t="shared" si="44"/>
        <v>2022</v>
      </c>
      <c r="C1461" s="2" t="str">
        <f t="shared" si="45"/>
        <v>KZN226</v>
      </c>
      <c r="D1461" s="2">
        <v>843</v>
      </c>
      <c r="F1461" s="625"/>
      <c r="G1461" s="625"/>
      <c r="H1461" s="625"/>
      <c r="I1461" s="625"/>
      <c r="J1461" s="625"/>
      <c r="K1461" s="625"/>
      <c r="L1461" s="625"/>
      <c r="M1461" s="626"/>
      <c r="N1461" s="626"/>
      <c r="O1461" s="626"/>
      <c r="P1461" s="626"/>
      <c r="Q1461" s="626"/>
      <c r="W1461" t="s">
        <v>2047</v>
      </c>
    </row>
    <row r="1462" spans="1:23" ht="13.15" customHeight="1" x14ac:dyDescent="0.2">
      <c r="A1462" s="2" t="s">
        <v>2199</v>
      </c>
      <c r="B1462" s="2">
        <f t="shared" si="44"/>
        <v>2022</v>
      </c>
      <c r="C1462" s="2" t="str">
        <f t="shared" si="45"/>
        <v>KZN226</v>
      </c>
      <c r="D1462" s="2">
        <v>844</v>
      </c>
      <c r="F1462" s="625"/>
      <c r="G1462" s="625"/>
      <c r="H1462" s="625"/>
      <c r="I1462" s="625"/>
      <c r="J1462" s="625"/>
      <c r="K1462" s="625"/>
      <c r="L1462" s="625"/>
      <c r="M1462" s="626"/>
      <c r="N1462" s="626"/>
      <c r="O1462" s="626"/>
      <c r="P1462" s="626"/>
      <c r="Q1462" s="626"/>
      <c r="W1462" t="s">
        <v>2047</v>
      </c>
    </row>
    <row r="1463" spans="1:23" ht="13.15" customHeight="1" x14ac:dyDescent="0.2">
      <c r="A1463" s="2" t="s">
        <v>2199</v>
      </c>
      <c r="B1463" s="2">
        <f t="shared" si="44"/>
        <v>2022</v>
      </c>
      <c r="C1463" s="2" t="str">
        <f t="shared" si="45"/>
        <v>KZN226</v>
      </c>
      <c r="D1463" s="2">
        <v>845</v>
      </c>
      <c r="F1463" s="625"/>
      <c r="G1463" s="625"/>
      <c r="H1463" s="625"/>
      <c r="I1463" s="625"/>
      <c r="J1463" s="625"/>
      <c r="K1463" s="625"/>
      <c r="L1463" s="625"/>
      <c r="M1463" s="626"/>
      <c r="N1463" s="626"/>
      <c r="O1463" s="626"/>
      <c r="P1463" s="626"/>
      <c r="Q1463" s="626"/>
      <c r="W1463" t="s">
        <v>2047</v>
      </c>
    </row>
    <row r="1464" spans="1:23" ht="13.15" customHeight="1" x14ac:dyDescent="0.2">
      <c r="A1464" s="2" t="s">
        <v>2199</v>
      </c>
      <c r="B1464" s="2">
        <f t="shared" si="44"/>
        <v>2022</v>
      </c>
      <c r="C1464" s="2" t="str">
        <f t="shared" si="45"/>
        <v>KZN226</v>
      </c>
      <c r="D1464" s="2">
        <v>846</v>
      </c>
      <c r="F1464" s="625"/>
      <c r="G1464" s="625"/>
      <c r="H1464" s="625"/>
      <c r="I1464" s="625"/>
      <c r="J1464" s="625"/>
      <c r="K1464" s="625"/>
      <c r="L1464" s="625"/>
      <c r="M1464" s="626"/>
      <c r="N1464" s="626"/>
      <c r="O1464" s="626"/>
      <c r="P1464" s="626"/>
      <c r="Q1464" s="626"/>
      <c r="W1464" t="s">
        <v>2047</v>
      </c>
    </row>
    <row r="1465" spans="1:23" ht="13.15" customHeight="1" x14ac:dyDescent="0.2">
      <c r="A1465" s="2" t="s">
        <v>2199</v>
      </c>
      <c r="B1465" s="2">
        <f t="shared" si="44"/>
        <v>2022</v>
      </c>
      <c r="C1465" s="2" t="str">
        <f t="shared" si="45"/>
        <v>KZN226</v>
      </c>
      <c r="D1465" s="2">
        <v>847</v>
      </c>
      <c r="F1465" s="625"/>
      <c r="G1465" s="625"/>
      <c r="H1465" s="625"/>
      <c r="I1465" s="625"/>
      <c r="J1465" s="625"/>
      <c r="K1465" s="625"/>
      <c r="L1465" s="625"/>
      <c r="M1465" s="626"/>
      <c r="N1465" s="626"/>
      <c r="O1465" s="626"/>
      <c r="P1465" s="626"/>
      <c r="Q1465" s="626"/>
      <c r="W1465" t="s">
        <v>2047</v>
      </c>
    </row>
    <row r="1466" spans="1:23" ht="13.15" customHeight="1" x14ac:dyDescent="0.2">
      <c r="A1466" s="2" t="s">
        <v>2199</v>
      </c>
      <c r="B1466" s="2">
        <f t="shared" si="44"/>
        <v>2022</v>
      </c>
      <c r="C1466" s="2" t="str">
        <f t="shared" si="45"/>
        <v>KZN226</v>
      </c>
      <c r="D1466" s="2">
        <v>848</v>
      </c>
      <c r="F1466" s="625"/>
      <c r="G1466" s="625"/>
      <c r="H1466" s="625"/>
      <c r="I1466" s="625"/>
      <c r="J1466" s="625"/>
      <c r="K1466" s="625"/>
      <c r="L1466" s="625"/>
      <c r="M1466" s="626"/>
      <c r="N1466" s="626"/>
      <c r="O1466" s="626"/>
      <c r="P1466" s="626"/>
      <c r="Q1466" s="626"/>
      <c r="W1466" t="s">
        <v>2047</v>
      </c>
    </row>
    <row r="1467" spans="1:23" ht="13.15" customHeight="1" x14ac:dyDescent="0.2">
      <c r="A1467" s="2" t="s">
        <v>2199</v>
      </c>
      <c r="B1467" s="2">
        <f t="shared" si="44"/>
        <v>2022</v>
      </c>
      <c r="C1467" s="2" t="str">
        <f t="shared" si="45"/>
        <v>KZN226</v>
      </c>
      <c r="D1467" s="2">
        <v>849</v>
      </c>
      <c r="F1467" s="625"/>
      <c r="G1467" s="625"/>
      <c r="H1467" s="625"/>
      <c r="I1467" s="625"/>
      <c r="J1467" s="625"/>
      <c r="K1467" s="625"/>
      <c r="L1467" s="625"/>
      <c r="M1467" s="626"/>
      <c r="N1467" s="626"/>
      <c r="O1467" s="626"/>
      <c r="P1467" s="626"/>
      <c r="Q1467" s="626"/>
      <c r="W1467" t="s">
        <v>2047</v>
      </c>
    </row>
    <row r="1468" spans="1:23" ht="13.15" customHeight="1" x14ac:dyDescent="0.2">
      <c r="A1468" s="2" t="s">
        <v>2199</v>
      </c>
      <c r="B1468" s="2">
        <f t="shared" si="44"/>
        <v>2022</v>
      </c>
      <c r="C1468" s="2" t="str">
        <f t="shared" si="45"/>
        <v>KZN226</v>
      </c>
      <c r="D1468" s="2">
        <v>850</v>
      </c>
      <c r="F1468" s="625"/>
      <c r="G1468" s="625"/>
      <c r="H1468" s="625"/>
      <c r="I1468" s="625"/>
      <c r="J1468" s="625"/>
      <c r="K1468" s="625"/>
      <c r="L1468" s="625"/>
      <c r="M1468" s="626"/>
      <c r="N1468" s="626"/>
      <c r="O1468" s="626"/>
      <c r="P1468" s="626"/>
      <c r="Q1468" s="626"/>
      <c r="W1468" t="s">
        <v>2047</v>
      </c>
    </row>
    <row r="1469" spans="1:23" ht="13.15" customHeight="1" x14ac:dyDescent="0.2">
      <c r="A1469" s="2" t="s">
        <v>2199</v>
      </c>
      <c r="B1469" s="2">
        <f t="shared" si="44"/>
        <v>2022</v>
      </c>
      <c r="C1469" s="2" t="str">
        <f t="shared" si="45"/>
        <v>KZN226</v>
      </c>
      <c r="D1469" s="2">
        <v>851</v>
      </c>
      <c r="F1469" s="625"/>
      <c r="G1469" s="625"/>
      <c r="H1469" s="625"/>
      <c r="I1469" s="625"/>
      <c r="J1469" s="625"/>
      <c r="K1469" s="625"/>
      <c r="L1469" s="625"/>
      <c r="M1469" s="626"/>
      <c r="N1469" s="626"/>
      <c r="O1469" s="626"/>
      <c r="P1469" s="626"/>
      <c r="Q1469" s="626"/>
      <c r="W1469" t="s">
        <v>2047</v>
      </c>
    </row>
    <row r="1470" spans="1:23" ht="13.15" customHeight="1" x14ac:dyDescent="0.2">
      <c r="A1470" s="2" t="s">
        <v>2199</v>
      </c>
      <c r="B1470" s="2">
        <f t="shared" si="44"/>
        <v>2022</v>
      </c>
      <c r="C1470" s="2" t="str">
        <f t="shared" si="45"/>
        <v>KZN226</v>
      </c>
      <c r="D1470" s="2">
        <v>852</v>
      </c>
      <c r="F1470" s="625"/>
      <c r="G1470" s="625"/>
      <c r="H1470" s="625"/>
      <c r="I1470" s="625"/>
      <c r="J1470" s="625"/>
      <c r="K1470" s="625"/>
      <c r="L1470" s="625"/>
      <c r="M1470" s="626"/>
      <c r="N1470" s="626"/>
      <c r="O1470" s="626"/>
      <c r="P1470" s="626"/>
      <c r="Q1470" s="626"/>
      <c r="W1470" t="s">
        <v>2047</v>
      </c>
    </row>
    <row r="1471" spans="1:23" ht="13.15" customHeight="1" x14ac:dyDescent="0.2">
      <c r="A1471" s="2" t="s">
        <v>2199</v>
      </c>
      <c r="B1471" s="2">
        <f t="shared" si="44"/>
        <v>2022</v>
      </c>
      <c r="C1471" s="2" t="str">
        <f t="shared" si="45"/>
        <v>KZN226</v>
      </c>
      <c r="D1471" s="2">
        <v>853</v>
      </c>
      <c r="F1471" s="625"/>
      <c r="G1471" s="625"/>
      <c r="H1471" s="625"/>
      <c r="I1471" s="625"/>
      <c r="J1471" s="625"/>
      <c r="K1471" s="625"/>
      <c r="L1471" s="625"/>
      <c r="M1471" s="626"/>
      <c r="N1471" s="626"/>
      <c r="O1471" s="626"/>
      <c r="P1471" s="626"/>
      <c r="Q1471" s="626"/>
      <c r="W1471" t="s">
        <v>2047</v>
      </c>
    </row>
    <row r="1472" spans="1:23" ht="13.15" customHeight="1" x14ac:dyDescent="0.2">
      <c r="A1472" s="2" t="s">
        <v>2199</v>
      </c>
      <c r="B1472" s="2">
        <f t="shared" si="44"/>
        <v>2022</v>
      </c>
      <c r="C1472" s="2" t="str">
        <f t="shared" si="45"/>
        <v>KZN226</v>
      </c>
      <c r="D1472" s="2">
        <v>854</v>
      </c>
      <c r="F1472" s="625"/>
      <c r="G1472" s="625"/>
      <c r="H1472" s="625"/>
      <c r="I1472" s="625"/>
      <c r="J1472" s="625"/>
      <c r="K1472" s="625"/>
      <c r="L1472" s="625"/>
      <c r="M1472" s="626"/>
      <c r="N1472" s="626"/>
      <c r="O1472" s="626"/>
      <c r="P1472" s="626"/>
      <c r="Q1472" s="626"/>
      <c r="W1472" t="s">
        <v>2047</v>
      </c>
    </row>
    <row r="1473" spans="1:23" ht="13.15" customHeight="1" x14ac:dyDescent="0.2">
      <c r="A1473" s="2" t="s">
        <v>2199</v>
      </c>
      <c r="B1473" s="2">
        <f t="shared" si="44"/>
        <v>2022</v>
      </c>
      <c r="C1473" s="2" t="str">
        <f t="shared" si="45"/>
        <v>KZN226</v>
      </c>
      <c r="D1473" s="2">
        <v>855</v>
      </c>
      <c r="F1473" s="625"/>
      <c r="G1473" s="625"/>
      <c r="H1473" s="625"/>
      <c r="I1473" s="625"/>
      <c r="J1473" s="625"/>
      <c r="K1473" s="625"/>
      <c r="L1473" s="625"/>
      <c r="M1473" s="626"/>
      <c r="N1473" s="626"/>
      <c r="O1473" s="626"/>
      <c r="P1473" s="626"/>
      <c r="Q1473" s="626"/>
      <c r="W1473" t="s">
        <v>2047</v>
      </c>
    </row>
    <row r="1474" spans="1:23" ht="13.15" customHeight="1" x14ac:dyDescent="0.2">
      <c r="A1474" s="2" t="s">
        <v>2199</v>
      </c>
      <c r="B1474" s="2">
        <f t="shared" ref="B1474:B1537" si="46">+MTREF</f>
        <v>2022</v>
      </c>
      <c r="C1474" s="2" t="str">
        <f t="shared" ref="C1474:C1537" si="47">LEFT(muni,(FIND(" ",muni,1)-1))</f>
        <v>KZN226</v>
      </c>
      <c r="D1474" s="2">
        <v>856</v>
      </c>
      <c r="F1474" s="625"/>
      <c r="G1474" s="625"/>
      <c r="H1474" s="625"/>
      <c r="I1474" s="625"/>
      <c r="J1474" s="625"/>
      <c r="K1474" s="625"/>
      <c r="L1474" s="625"/>
      <c r="M1474" s="626"/>
      <c r="N1474" s="626"/>
      <c r="O1474" s="626"/>
      <c r="P1474" s="626"/>
      <c r="Q1474" s="626"/>
      <c r="W1474" t="s">
        <v>2047</v>
      </c>
    </row>
    <row r="1475" spans="1:23" ht="13.15" customHeight="1" x14ac:dyDescent="0.2">
      <c r="A1475" s="2" t="s">
        <v>2199</v>
      </c>
      <c r="B1475" s="2">
        <f t="shared" si="46"/>
        <v>2022</v>
      </c>
      <c r="C1475" s="2" t="str">
        <f t="shared" si="47"/>
        <v>KZN226</v>
      </c>
      <c r="D1475" s="2">
        <v>857</v>
      </c>
      <c r="F1475" s="625"/>
      <c r="G1475" s="625"/>
      <c r="H1475" s="625"/>
      <c r="I1475" s="625"/>
      <c r="J1475" s="625"/>
      <c r="K1475" s="625"/>
      <c r="L1475" s="625"/>
      <c r="M1475" s="626"/>
      <c r="N1475" s="626"/>
      <c r="O1475" s="626"/>
      <c r="P1475" s="626"/>
      <c r="Q1475" s="626"/>
      <c r="W1475" t="s">
        <v>2047</v>
      </c>
    </row>
    <row r="1476" spans="1:23" ht="13.15" customHeight="1" x14ac:dyDescent="0.2">
      <c r="A1476" s="2" t="s">
        <v>2199</v>
      </c>
      <c r="B1476" s="2">
        <f t="shared" si="46"/>
        <v>2022</v>
      </c>
      <c r="C1476" s="2" t="str">
        <f t="shared" si="47"/>
        <v>KZN226</v>
      </c>
      <c r="D1476" s="2">
        <v>858</v>
      </c>
      <c r="F1476" s="625"/>
      <c r="G1476" s="625"/>
      <c r="H1476" s="625"/>
      <c r="I1476" s="625"/>
      <c r="J1476" s="625"/>
      <c r="K1476" s="625"/>
      <c r="L1476" s="625"/>
      <c r="M1476" s="626"/>
      <c r="N1476" s="626"/>
      <c r="O1476" s="626"/>
      <c r="P1476" s="626"/>
      <c r="Q1476" s="626"/>
      <c r="W1476" t="s">
        <v>2047</v>
      </c>
    </row>
    <row r="1477" spans="1:23" ht="13.15" customHeight="1" x14ac:dyDescent="0.2">
      <c r="A1477" s="2" t="s">
        <v>2199</v>
      </c>
      <c r="B1477" s="2">
        <f t="shared" si="46"/>
        <v>2022</v>
      </c>
      <c r="C1477" s="2" t="str">
        <f t="shared" si="47"/>
        <v>KZN226</v>
      </c>
      <c r="D1477" s="2">
        <v>859</v>
      </c>
      <c r="F1477" s="625"/>
      <c r="G1477" s="625"/>
      <c r="H1477" s="625"/>
      <c r="I1477" s="625"/>
      <c r="J1477" s="625"/>
      <c r="K1477" s="625"/>
      <c r="L1477" s="625"/>
      <c r="M1477" s="626"/>
      <c r="N1477" s="626"/>
      <c r="O1477" s="626"/>
      <c r="P1477" s="626"/>
      <c r="Q1477" s="626"/>
      <c r="W1477" t="s">
        <v>2047</v>
      </c>
    </row>
    <row r="1478" spans="1:23" ht="13.15" customHeight="1" x14ac:dyDescent="0.2">
      <c r="A1478" s="2" t="s">
        <v>2199</v>
      </c>
      <c r="B1478" s="2">
        <f t="shared" si="46"/>
        <v>2022</v>
      </c>
      <c r="C1478" s="2" t="str">
        <f t="shared" si="47"/>
        <v>KZN226</v>
      </c>
      <c r="D1478" s="2">
        <v>860</v>
      </c>
      <c r="F1478" s="625"/>
      <c r="G1478" s="625"/>
      <c r="H1478" s="625"/>
      <c r="I1478" s="625"/>
      <c r="J1478" s="625"/>
      <c r="K1478" s="625"/>
      <c r="L1478" s="625"/>
      <c r="M1478" s="626"/>
      <c r="N1478" s="626"/>
      <c r="O1478" s="626"/>
      <c r="P1478" s="626"/>
      <c r="Q1478" s="626"/>
      <c r="W1478" t="s">
        <v>2047</v>
      </c>
    </row>
    <row r="1479" spans="1:23" ht="13.15" customHeight="1" x14ac:dyDescent="0.2">
      <c r="A1479" s="2" t="s">
        <v>2199</v>
      </c>
      <c r="B1479" s="2">
        <f t="shared" si="46"/>
        <v>2022</v>
      </c>
      <c r="C1479" s="2" t="str">
        <f t="shared" si="47"/>
        <v>KZN226</v>
      </c>
      <c r="D1479" s="2">
        <v>861</v>
      </c>
      <c r="F1479" s="625"/>
      <c r="G1479" s="625"/>
      <c r="H1479" s="625"/>
      <c r="I1479" s="625"/>
      <c r="J1479" s="625"/>
      <c r="K1479" s="625"/>
      <c r="L1479" s="625"/>
      <c r="M1479" s="626"/>
      <c r="N1479" s="626"/>
      <c r="O1479" s="626"/>
      <c r="P1479" s="626"/>
      <c r="Q1479" s="626"/>
      <c r="W1479" t="s">
        <v>2047</v>
      </c>
    </row>
    <row r="1480" spans="1:23" ht="13.15" customHeight="1" x14ac:dyDescent="0.2">
      <c r="A1480" s="2" t="s">
        <v>2199</v>
      </c>
      <c r="B1480" s="2">
        <f t="shared" si="46"/>
        <v>2022</v>
      </c>
      <c r="C1480" s="2" t="str">
        <f t="shared" si="47"/>
        <v>KZN226</v>
      </c>
      <c r="D1480" s="2">
        <v>862</v>
      </c>
      <c r="F1480" s="625"/>
      <c r="G1480" s="625"/>
      <c r="H1480" s="625"/>
      <c r="I1480" s="625"/>
      <c r="J1480" s="625"/>
      <c r="K1480" s="625"/>
      <c r="L1480" s="625"/>
      <c r="M1480" s="626"/>
      <c r="N1480" s="626"/>
      <c r="O1480" s="626"/>
      <c r="P1480" s="626"/>
      <c r="Q1480" s="626"/>
      <c r="W1480" t="s">
        <v>2047</v>
      </c>
    </row>
    <row r="1481" spans="1:23" ht="13.15" customHeight="1" x14ac:dyDescent="0.2">
      <c r="A1481" s="2" t="s">
        <v>2199</v>
      </c>
      <c r="B1481" s="2">
        <f t="shared" si="46"/>
        <v>2022</v>
      </c>
      <c r="C1481" s="2" t="str">
        <f t="shared" si="47"/>
        <v>KZN226</v>
      </c>
      <c r="D1481" s="2">
        <v>863</v>
      </c>
      <c r="F1481" s="625"/>
      <c r="G1481" s="625"/>
      <c r="H1481" s="625"/>
      <c r="I1481" s="625"/>
      <c r="J1481" s="625"/>
      <c r="K1481" s="625"/>
      <c r="L1481" s="625"/>
      <c r="M1481" s="626"/>
      <c r="N1481" s="626"/>
      <c r="O1481" s="626"/>
      <c r="P1481" s="626"/>
      <c r="Q1481" s="626"/>
      <c r="W1481" t="s">
        <v>2047</v>
      </c>
    </row>
    <row r="1482" spans="1:23" ht="13.15" customHeight="1" x14ac:dyDescent="0.2">
      <c r="A1482" s="2" t="s">
        <v>2199</v>
      </c>
      <c r="B1482" s="2">
        <f t="shared" si="46"/>
        <v>2022</v>
      </c>
      <c r="C1482" s="2" t="str">
        <f t="shared" si="47"/>
        <v>KZN226</v>
      </c>
      <c r="D1482" s="2">
        <v>864</v>
      </c>
      <c r="F1482" s="625"/>
      <c r="G1482" s="625"/>
      <c r="H1482" s="625"/>
      <c r="I1482" s="625"/>
      <c r="J1482" s="625"/>
      <c r="K1482" s="625"/>
      <c r="L1482" s="625"/>
      <c r="M1482" s="626"/>
      <c r="N1482" s="626"/>
      <c r="O1482" s="626"/>
      <c r="P1482" s="626"/>
      <c r="Q1482" s="626"/>
      <c r="W1482" t="s">
        <v>2047</v>
      </c>
    </row>
    <row r="1483" spans="1:23" ht="13.15" customHeight="1" x14ac:dyDescent="0.2">
      <c r="A1483" s="2" t="s">
        <v>2199</v>
      </c>
      <c r="B1483" s="2">
        <f t="shared" si="46"/>
        <v>2022</v>
      </c>
      <c r="C1483" s="2" t="str">
        <f t="shared" si="47"/>
        <v>KZN226</v>
      </c>
      <c r="D1483" s="2">
        <v>865</v>
      </c>
      <c r="F1483" s="625"/>
      <c r="G1483" s="625"/>
      <c r="H1483" s="625"/>
      <c r="I1483" s="625"/>
      <c r="J1483" s="625"/>
      <c r="K1483" s="625"/>
      <c r="L1483" s="625"/>
      <c r="M1483" s="626"/>
      <c r="N1483" s="626"/>
      <c r="O1483" s="626"/>
      <c r="P1483" s="626"/>
      <c r="Q1483" s="626"/>
      <c r="W1483" t="s">
        <v>2047</v>
      </c>
    </row>
    <row r="1484" spans="1:23" ht="13.15" customHeight="1" x14ac:dyDescent="0.2">
      <c r="A1484" s="2" t="s">
        <v>2199</v>
      </c>
      <c r="B1484" s="2">
        <f t="shared" si="46"/>
        <v>2022</v>
      </c>
      <c r="C1484" s="2" t="str">
        <f t="shared" si="47"/>
        <v>KZN226</v>
      </c>
      <c r="D1484" s="2">
        <v>866</v>
      </c>
      <c r="F1484" s="625"/>
      <c r="G1484" s="625"/>
      <c r="H1484" s="625"/>
      <c r="I1484" s="625"/>
      <c r="J1484" s="625"/>
      <c r="K1484" s="625"/>
      <c r="L1484" s="625"/>
      <c r="M1484" s="626"/>
      <c r="N1484" s="626"/>
      <c r="O1484" s="626"/>
      <c r="P1484" s="626"/>
      <c r="Q1484" s="626"/>
      <c r="W1484" t="s">
        <v>2047</v>
      </c>
    </row>
    <row r="1485" spans="1:23" ht="13.15" customHeight="1" x14ac:dyDescent="0.2">
      <c r="A1485" s="2" t="s">
        <v>2199</v>
      </c>
      <c r="B1485" s="2">
        <f t="shared" si="46"/>
        <v>2022</v>
      </c>
      <c r="C1485" s="2" t="str">
        <f t="shared" si="47"/>
        <v>KZN226</v>
      </c>
      <c r="D1485" s="2">
        <v>867</v>
      </c>
      <c r="F1485" s="625"/>
      <c r="G1485" s="625"/>
      <c r="H1485" s="625"/>
      <c r="I1485" s="625"/>
      <c r="J1485" s="625"/>
      <c r="K1485" s="625"/>
      <c r="L1485" s="625"/>
      <c r="M1485" s="626"/>
      <c r="N1485" s="626"/>
      <c r="O1485" s="626"/>
      <c r="P1485" s="626"/>
      <c r="Q1485" s="626"/>
      <c r="W1485" t="s">
        <v>2047</v>
      </c>
    </row>
    <row r="1486" spans="1:23" ht="13.15" customHeight="1" x14ac:dyDescent="0.2">
      <c r="A1486" s="2" t="s">
        <v>2199</v>
      </c>
      <c r="B1486" s="2">
        <f t="shared" si="46"/>
        <v>2022</v>
      </c>
      <c r="C1486" s="2" t="str">
        <f t="shared" si="47"/>
        <v>KZN226</v>
      </c>
      <c r="D1486" s="2">
        <v>868</v>
      </c>
      <c r="F1486" s="625"/>
      <c r="G1486" s="625"/>
      <c r="H1486" s="625"/>
      <c r="I1486" s="625"/>
      <c r="J1486" s="625"/>
      <c r="K1486" s="625"/>
      <c r="L1486" s="625"/>
      <c r="M1486" s="626"/>
      <c r="N1486" s="626"/>
      <c r="O1486" s="626"/>
      <c r="P1486" s="626"/>
      <c r="Q1486" s="626"/>
      <c r="W1486" t="s">
        <v>2047</v>
      </c>
    </row>
    <row r="1487" spans="1:23" ht="13.15" customHeight="1" x14ac:dyDescent="0.2">
      <c r="A1487" s="2" t="s">
        <v>2199</v>
      </c>
      <c r="B1487" s="2">
        <f t="shared" si="46"/>
        <v>2022</v>
      </c>
      <c r="C1487" s="2" t="str">
        <f t="shared" si="47"/>
        <v>KZN226</v>
      </c>
      <c r="D1487" s="2">
        <v>869</v>
      </c>
      <c r="F1487" s="625"/>
      <c r="G1487" s="625"/>
      <c r="H1487" s="625"/>
      <c r="I1487" s="625"/>
      <c r="J1487" s="625"/>
      <c r="K1487" s="625"/>
      <c r="L1487" s="625"/>
      <c r="M1487" s="626"/>
      <c r="N1487" s="626"/>
      <c r="O1487" s="626"/>
      <c r="P1487" s="626"/>
      <c r="Q1487" s="626"/>
      <c r="W1487" t="s">
        <v>2047</v>
      </c>
    </row>
    <row r="1488" spans="1:23" ht="13.15" customHeight="1" x14ac:dyDescent="0.2">
      <c r="A1488" s="2" t="s">
        <v>2199</v>
      </c>
      <c r="B1488" s="2">
        <f t="shared" si="46"/>
        <v>2022</v>
      </c>
      <c r="C1488" s="2" t="str">
        <f t="shared" si="47"/>
        <v>KZN226</v>
      </c>
      <c r="D1488" s="2">
        <v>870</v>
      </c>
      <c r="F1488" s="625"/>
      <c r="G1488" s="625"/>
      <c r="H1488" s="625"/>
      <c r="I1488" s="625"/>
      <c r="J1488" s="625"/>
      <c r="K1488" s="625"/>
      <c r="L1488" s="625"/>
      <c r="M1488" s="626"/>
      <c r="N1488" s="626"/>
      <c r="O1488" s="626"/>
      <c r="P1488" s="626"/>
      <c r="Q1488" s="626"/>
      <c r="W1488" t="s">
        <v>2047</v>
      </c>
    </row>
    <row r="1489" spans="1:23" ht="13.15" customHeight="1" x14ac:dyDescent="0.2">
      <c r="A1489" s="2" t="s">
        <v>2199</v>
      </c>
      <c r="B1489" s="2">
        <f t="shared" si="46"/>
        <v>2022</v>
      </c>
      <c r="C1489" s="2" t="str">
        <f t="shared" si="47"/>
        <v>KZN226</v>
      </c>
      <c r="D1489" s="2">
        <v>871</v>
      </c>
      <c r="F1489" s="625"/>
      <c r="G1489" s="625"/>
      <c r="H1489" s="625"/>
      <c r="I1489" s="625"/>
      <c r="J1489" s="625"/>
      <c r="K1489" s="625"/>
      <c r="L1489" s="625"/>
      <c r="M1489" s="626"/>
      <c r="N1489" s="626"/>
      <c r="O1489" s="626"/>
      <c r="P1489" s="626"/>
      <c r="Q1489" s="626"/>
      <c r="W1489" t="s">
        <v>2047</v>
      </c>
    </row>
    <row r="1490" spans="1:23" ht="13.15" customHeight="1" x14ac:dyDescent="0.2">
      <c r="A1490" s="2" t="s">
        <v>2199</v>
      </c>
      <c r="B1490" s="2">
        <f t="shared" si="46"/>
        <v>2022</v>
      </c>
      <c r="C1490" s="2" t="str">
        <f t="shared" si="47"/>
        <v>KZN226</v>
      </c>
      <c r="D1490" s="2">
        <v>872</v>
      </c>
      <c r="F1490" s="625"/>
      <c r="G1490" s="625"/>
      <c r="H1490" s="625"/>
      <c r="I1490" s="625"/>
      <c r="J1490" s="625"/>
      <c r="K1490" s="625"/>
      <c r="L1490" s="625"/>
      <c r="M1490" s="626"/>
      <c r="N1490" s="626"/>
      <c r="O1490" s="626"/>
      <c r="P1490" s="626"/>
      <c r="Q1490" s="626"/>
      <c r="W1490" t="s">
        <v>2047</v>
      </c>
    </row>
    <row r="1491" spans="1:23" ht="13.15" customHeight="1" x14ac:dyDescent="0.2">
      <c r="A1491" s="2" t="s">
        <v>2199</v>
      </c>
      <c r="B1491" s="2">
        <f t="shared" si="46"/>
        <v>2022</v>
      </c>
      <c r="C1491" s="2" t="str">
        <f t="shared" si="47"/>
        <v>KZN226</v>
      </c>
      <c r="D1491" s="2">
        <v>873</v>
      </c>
      <c r="F1491" s="625"/>
      <c r="G1491" s="625"/>
      <c r="H1491" s="625"/>
      <c r="I1491" s="625"/>
      <c r="J1491" s="625"/>
      <c r="K1491" s="625"/>
      <c r="L1491" s="625"/>
      <c r="M1491" s="626"/>
      <c r="N1491" s="626"/>
      <c r="O1491" s="626"/>
      <c r="P1491" s="626"/>
      <c r="Q1491" s="626"/>
      <c r="W1491" t="s">
        <v>2047</v>
      </c>
    </row>
    <row r="1492" spans="1:23" ht="13.15" customHeight="1" x14ac:dyDescent="0.2">
      <c r="A1492" s="2" t="s">
        <v>2199</v>
      </c>
      <c r="B1492" s="2">
        <f t="shared" si="46"/>
        <v>2022</v>
      </c>
      <c r="C1492" s="2" t="str">
        <f t="shared" si="47"/>
        <v>KZN226</v>
      </c>
      <c r="D1492" s="2">
        <v>874</v>
      </c>
      <c r="F1492" s="625"/>
      <c r="G1492" s="625"/>
      <c r="H1492" s="625"/>
      <c r="I1492" s="625"/>
      <c r="J1492" s="625"/>
      <c r="K1492" s="625"/>
      <c r="L1492" s="625"/>
      <c r="M1492" s="626"/>
      <c r="N1492" s="626"/>
      <c r="O1492" s="626"/>
      <c r="P1492" s="626"/>
      <c r="Q1492" s="626"/>
      <c r="W1492" t="s">
        <v>2047</v>
      </c>
    </row>
    <row r="1493" spans="1:23" ht="13.15" customHeight="1" x14ac:dyDescent="0.2">
      <c r="A1493" s="2" t="s">
        <v>2199</v>
      </c>
      <c r="B1493" s="2">
        <f t="shared" si="46"/>
        <v>2022</v>
      </c>
      <c r="C1493" s="2" t="str">
        <f t="shared" si="47"/>
        <v>KZN226</v>
      </c>
      <c r="D1493" s="2">
        <v>875</v>
      </c>
      <c r="F1493" s="625"/>
      <c r="G1493" s="625"/>
      <c r="H1493" s="625"/>
      <c r="I1493" s="625"/>
      <c r="J1493" s="625"/>
      <c r="K1493" s="625"/>
      <c r="L1493" s="625"/>
      <c r="M1493" s="626"/>
      <c r="N1493" s="626"/>
      <c r="O1493" s="626"/>
      <c r="P1493" s="626"/>
      <c r="Q1493" s="626"/>
      <c r="W1493" t="s">
        <v>2047</v>
      </c>
    </row>
    <row r="1494" spans="1:23" ht="13.15" customHeight="1" x14ac:dyDescent="0.2">
      <c r="A1494" s="2" t="s">
        <v>2199</v>
      </c>
      <c r="B1494" s="2">
        <f t="shared" si="46"/>
        <v>2022</v>
      </c>
      <c r="C1494" s="2" t="str">
        <f t="shared" si="47"/>
        <v>KZN226</v>
      </c>
      <c r="D1494" s="2">
        <v>876</v>
      </c>
      <c r="F1494" s="625"/>
      <c r="G1494" s="625"/>
      <c r="H1494" s="625"/>
      <c r="I1494" s="625"/>
      <c r="J1494" s="625"/>
      <c r="K1494" s="625"/>
      <c r="L1494" s="625"/>
      <c r="M1494" s="626"/>
      <c r="N1494" s="626"/>
      <c r="O1494" s="626"/>
      <c r="P1494" s="626"/>
      <c r="Q1494" s="626"/>
      <c r="W1494" t="s">
        <v>2047</v>
      </c>
    </row>
    <row r="1495" spans="1:23" ht="13.15" customHeight="1" x14ac:dyDescent="0.2">
      <c r="A1495" s="2" t="s">
        <v>2199</v>
      </c>
      <c r="B1495" s="2">
        <f t="shared" si="46"/>
        <v>2022</v>
      </c>
      <c r="C1495" s="2" t="str">
        <f t="shared" si="47"/>
        <v>KZN226</v>
      </c>
      <c r="D1495" s="2">
        <v>877</v>
      </c>
      <c r="F1495" s="625"/>
      <c r="G1495" s="625"/>
      <c r="H1495" s="625"/>
      <c r="I1495" s="625"/>
      <c r="J1495" s="625"/>
      <c r="K1495" s="625"/>
      <c r="L1495" s="625"/>
      <c r="M1495" s="626"/>
      <c r="N1495" s="626"/>
      <c r="O1495" s="626"/>
      <c r="P1495" s="626"/>
      <c r="Q1495" s="626"/>
      <c r="W1495" t="s">
        <v>2047</v>
      </c>
    </row>
    <row r="1496" spans="1:23" ht="13.15" customHeight="1" x14ac:dyDescent="0.2">
      <c r="A1496" s="2" t="s">
        <v>2199</v>
      </c>
      <c r="B1496" s="2">
        <f t="shared" si="46"/>
        <v>2022</v>
      </c>
      <c r="C1496" s="2" t="str">
        <f t="shared" si="47"/>
        <v>KZN226</v>
      </c>
      <c r="D1496" s="2">
        <v>878</v>
      </c>
      <c r="F1496" s="625"/>
      <c r="G1496" s="625"/>
      <c r="H1496" s="625"/>
      <c r="I1496" s="625"/>
      <c r="J1496" s="625"/>
      <c r="K1496" s="625"/>
      <c r="L1496" s="625"/>
      <c r="M1496" s="626"/>
      <c r="N1496" s="626"/>
      <c r="O1496" s="626"/>
      <c r="P1496" s="626"/>
      <c r="Q1496" s="626"/>
      <c r="W1496" t="s">
        <v>2047</v>
      </c>
    </row>
    <row r="1497" spans="1:23" ht="13.15" customHeight="1" x14ac:dyDescent="0.2">
      <c r="A1497" s="2" t="s">
        <v>2199</v>
      </c>
      <c r="B1497" s="2">
        <f t="shared" si="46"/>
        <v>2022</v>
      </c>
      <c r="C1497" s="2" t="str">
        <f t="shared" si="47"/>
        <v>KZN226</v>
      </c>
      <c r="D1497" s="2">
        <v>879</v>
      </c>
      <c r="F1497" s="625"/>
      <c r="G1497" s="625"/>
      <c r="H1497" s="625"/>
      <c r="I1497" s="625"/>
      <c r="J1497" s="625"/>
      <c r="K1497" s="625"/>
      <c r="L1497" s="625"/>
      <c r="M1497" s="626"/>
      <c r="N1497" s="626"/>
      <c r="O1497" s="626"/>
      <c r="P1497" s="626"/>
      <c r="Q1497" s="626"/>
      <c r="W1497" t="s">
        <v>2047</v>
      </c>
    </row>
    <row r="1498" spans="1:23" ht="13.15" customHeight="1" x14ac:dyDescent="0.2">
      <c r="A1498" s="2" t="s">
        <v>2199</v>
      </c>
      <c r="B1498" s="2">
        <f t="shared" si="46"/>
        <v>2022</v>
      </c>
      <c r="C1498" s="2" t="str">
        <f t="shared" si="47"/>
        <v>KZN226</v>
      </c>
      <c r="D1498" s="2">
        <v>880</v>
      </c>
      <c r="F1498" s="625"/>
      <c r="G1498" s="625"/>
      <c r="H1498" s="625"/>
      <c r="I1498" s="625"/>
      <c r="J1498" s="625"/>
      <c r="K1498" s="625"/>
      <c r="L1498" s="625"/>
      <c r="M1498" s="626"/>
      <c r="N1498" s="626"/>
      <c r="O1498" s="626"/>
      <c r="P1498" s="626"/>
      <c r="Q1498" s="626"/>
      <c r="W1498" t="s">
        <v>2047</v>
      </c>
    </row>
    <row r="1499" spans="1:23" ht="13.15" customHeight="1" x14ac:dyDescent="0.2">
      <c r="A1499" s="2" t="s">
        <v>2199</v>
      </c>
      <c r="B1499" s="2">
        <f t="shared" si="46"/>
        <v>2022</v>
      </c>
      <c r="C1499" s="2" t="str">
        <f t="shared" si="47"/>
        <v>KZN226</v>
      </c>
      <c r="D1499" s="2">
        <v>881</v>
      </c>
      <c r="F1499" s="625"/>
      <c r="G1499" s="625"/>
      <c r="H1499" s="625"/>
      <c r="I1499" s="625"/>
      <c r="J1499" s="625"/>
      <c r="K1499" s="625"/>
      <c r="L1499" s="625"/>
      <c r="M1499" s="626"/>
      <c r="N1499" s="626"/>
      <c r="O1499" s="626"/>
      <c r="P1499" s="626"/>
      <c r="Q1499" s="626"/>
      <c r="W1499" t="s">
        <v>2047</v>
      </c>
    </row>
    <row r="1500" spans="1:23" ht="13.15" customHeight="1" x14ac:dyDescent="0.2">
      <c r="A1500" s="2" t="s">
        <v>2199</v>
      </c>
      <c r="B1500" s="2">
        <f t="shared" si="46"/>
        <v>2022</v>
      </c>
      <c r="C1500" s="2" t="str">
        <f t="shared" si="47"/>
        <v>KZN226</v>
      </c>
      <c r="D1500" s="2">
        <v>882</v>
      </c>
      <c r="F1500" s="625"/>
      <c r="G1500" s="625"/>
      <c r="H1500" s="625"/>
      <c r="I1500" s="625"/>
      <c r="J1500" s="625"/>
      <c r="K1500" s="625"/>
      <c r="L1500" s="625"/>
      <c r="M1500" s="626"/>
      <c r="N1500" s="626"/>
      <c r="O1500" s="626"/>
      <c r="P1500" s="626"/>
      <c r="Q1500" s="626"/>
      <c r="W1500" t="s">
        <v>2047</v>
      </c>
    </row>
    <row r="1501" spans="1:23" ht="13.15" customHeight="1" x14ac:dyDescent="0.2">
      <c r="A1501" s="2" t="s">
        <v>2199</v>
      </c>
      <c r="B1501" s="2">
        <f t="shared" si="46"/>
        <v>2022</v>
      </c>
      <c r="C1501" s="2" t="str">
        <f t="shared" si="47"/>
        <v>KZN226</v>
      </c>
      <c r="D1501" s="2">
        <v>883</v>
      </c>
      <c r="F1501" s="625"/>
      <c r="G1501" s="625"/>
      <c r="H1501" s="625"/>
      <c r="I1501" s="625"/>
      <c r="J1501" s="625"/>
      <c r="K1501" s="625"/>
      <c r="L1501" s="625"/>
      <c r="M1501" s="626"/>
      <c r="N1501" s="626"/>
      <c r="O1501" s="626"/>
      <c r="P1501" s="626"/>
      <c r="Q1501" s="626"/>
      <c r="W1501" t="s">
        <v>2047</v>
      </c>
    </row>
    <row r="1502" spans="1:23" ht="13.15" customHeight="1" x14ac:dyDescent="0.2">
      <c r="A1502" s="2" t="s">
        <v>2199</v>
      </c>
      <c r="B1502" s="2">
        <f t="shared" si="46"/>
        <v>2022</v>
      </c>
      <c r="C1502" s="2" t="str">
        <f t="shared" si="47"/>
        <v>KZN226</v>
      </c>
      <c r="D1502" s="2">
        <v>884</v>
      </c>
      <c r="F1502" s="625"/>
      <c r="G1502" s="625"/>
      <c r="H1502" s="625"/>
      <c r="I1502" s="625"/>
      <c r="J1502" s="625"/>
      <c r="K1502" s="625"/>
      <c r="L1502" s="625"/>
      <c r="M1502" s="626"/>
      <c r="N1502" s="626"/>
      <c r="O1502" s="626"/>
      <c r="P1502" s="626"/>
      <c r="Q1502" s="626"/>
      <c r="W1502" t="s">
        <v>2047</v>
      </c>
    </row>
    <row r="1503" spans="1:23" ht="13.15" customHeight="1" x14ac:dyDescent="0.2">
      <c r="A1503" s="2" t="s">
        <v>2199</v>
      </c>
      <c r="B1503" s="2">
        <f t="shared" si="46"/>
        <v>2022</v>
      </c>
      <c r="C1503" s="2" t="str">
        <f t="shared" si="47"/>
        <v>KZN226</v>
      </c>
      <c r="D1503" s="2">
        <v>885</v>
      </c>
      <c r="F1503" s="625"/>
      <c r="G1503" s="625"/>
      <c r="H1503" s="625"/>
      <c r="I1503" s="625"/>
      <c r="J1503" s="625"/>
      <c r="K1503" s="625"/>
      <c r="L1503" s="625"/>
      <c r="M1503" s="626"/>
      <c r="N1503" s="626"/>
      <c r="O1503" s="626"/>
      <c r="P1503" s="626"/>
      <c r="Q1503" s="626"/>
      <c r="W1503" t="s">
        <v>2047</v>
      </c>
    </row>
    <row r="1504" spans="1:23" ht="13.15" customHeight="1" x14ac:dyDescent="0.2">
      <c r="A1504" s="2" t="s">
        <v>2199</v>
      </c>
      <c r="B1504" s="2">
        <f t="shared" si="46"/>
        <v>2022</v>
      </c>
      <c r="C1504" s="2" t="str">
        <f t="shared" si="47"/>
        <v>KZN226</v>
      </c>
      <c r="D1504" s="2">
        <v>886</v>
      </c>
      <c r="F1504" s="625"/>
      <c r="G1504" s="625"/>
      <c r="H1504" s="625"/>
      <c r="I1504" s="625"/>
      <c r="J1504" s="625"/>
      <c r="K1504" s="625"/>
      <c r="L1504" s="625"/>
      <c r="M1504" s="626"/>
      <c r="N1504" s="626"/>
      <c r="O1504" s="626"/>
      <c r="P1504" s="626"/>
      <c r="Q1504" s="626"/>
      <c r="W1504" t="s">
        <v>2047</v>
      </c>
    </row>
    <row r="1505" spans="1:23" ht="13.15" customHeight="1" x14ac:dyDescent="0.2">
      <c r="A1505" s="2" t="s">
        <v>2199</v>
      </c>
      <c r="B1505" s="2">
        <f t="shared" si="46"/>
        <v>2022</v>
      </c>
      <c r="C1505" s="2" t="str">
        <f t="shared" si="47"/>
        <v>KZN226</v>
      </c>
      <c r="D1505" s="2">
        <v>887</v>
      </c>
      <c r="F1505" s="625"/>
      <c r="G1505" s="625"/>
      <c r="H1505" s="625"/>
      <c r="I1505" s="625"/>
      <c r="J1505" s="625"/>
      <c r="K1505" s="625"/>
      <c r="L1505" s="625"/>
      <c r="M1505" s="626"/>
      <c r="N1505" s="626"/>
      <c r="O1505" s="626"/>
      <c r="P1505" s="626"/>
      <c r="Q1505" s="626"/>
      <c r="W1505" t="s">
        <v>2047</v>
      </c>
    </row>
    <row r="1506" spans="1:23" ht="13.15" customHeight="1" x14ac:dyDescent="0.2">
      <c r="A1506" s="2" t="s">
        <v>2199</v>
      </c>
      <c r="B1506" s="2">
        <f t="shared" si="46"/>
        <v>2022</v>
      </c>
      <c r="C1506" s="2" t="str">
        <f t="shared" si="47"/>
        <v>KZN226</v>
      </c>
      <c r="D1506" s="2">
        <v>888</v>
      </c>
      <c r="F1506" s="625"/>
      <c r="G1506" s="625"/>
      <c r="H1506" s="625"/>
      <c r="I1506" s="625"/>
      <c r="J1506" s="625"/>
      <c r="K1506" s="625"/>
      <c r="L1506" s="625"/>
      <c r="M1506" s="626"/>
      <c r="N1506" s="626"/>
      <c r="O1506" s="626"/>
      <c r="P1506" s="626"/>
      <c r="Q1506" s="626"/>
      <c r="W1506" t="s">
        <v>2047</v>
      </c>
    </row>
    <row r="1507" spans="1:23" ht="13.15" customHeight="1" x14ac:dyDescent="0.2">
      <c r="A1507" s="2" t="s">
        <v>2199</v>
      </c>
      <c r="B1507" s="2">
        <f t="shared" si="46"/>
        <v>2022</v>
      </c>
      <c r="C1507" s="2" t="str">
        <f t="shared" si="47"/>
        <v>KZN226</v>
      </c>
      <c r="D1507" s="2">
        <v>889</v>
      </c>
      <c r="F1507" s="625"/>
      <c r="G1507" s="625"/>
      <c r="H1507" s="625"/>
      <c r="I1507" s="625"/>
      <c r="J1507" s="625"/>
      <c r="K1507" s="625"/>
      <c r="L1507" s="625"/>
      <c r="M1507" s="626"/>
      <c r="N1507" s="626"/>
      <c r="O1507" s="626"/>
      <c r="P1507" s="626"/>
      <c r="Q1507" s="626"/>
      <c r="W1507" t="s">
        <v>2047</v>
      </c>
    </row>
    <row r="1508" spans="1:23" ht="13.15" customHeight="1" x14ac:dyDescent="0.2">
      <c r="A1508" s="2" t="s">
        <v>2199</v>
      </c>
      <c r="B1508" s="2">
        <f t="shared" si="46"/>
        <v>2022</v>
      </c>
      <c r="C1508" s="2" t="str">
        <f t="shared" si="47"/>
        <v>KZN226</v>
      </c>
      <c r="D1508" s="2">
        <v>890</v>
      </c>
      <c r="F1508" s="625"/>
      <c r="G1508" s="625"/>
      <c r="H1508" s="625"/>
      <c r="I1508" s="625"/>
      <c r="J1508" s="625"/>
      <c r="K1508" s="625"/>
      <c r="L1508" s="625"/>
      <c r="M1508" s="626"/>
      <c r="N1508" s="626"/>
      <c r="O1508" s="626"/>
      <c r="P1508" s="626"/>
      <c r="Q1508" s="626"/>
      <c r="W1508" t="s">
        <v>2047</v>
      </c>
    </row>
    <row r="1509" spans="1:23" ht="13.15" customHeight="1" x14ac:dyDescent="0.2">
      <c r="A1509" s="2" t="s">
        <v>2199</v>
      </c>
      <c r="B1509" s="2">
        <f t="shared" si="46"/>
        <v>2022</v>
      </c>
      <c r="C1509" s="2" t="str">
        <f t="shared" si="47"/>
        <v>KZN226</v>
      </c>
      <c r="D1509" s="2">
        <v>891</v>
      </c>
      <c r="F1509" s="625"/>
      <c r="G1509" s="625"/>
      <c r="H1509" s="625"/>
      <c r="I1509" s="625"/>
      <c r="J1509" s="625"/>
      <c r="K1509" s="625"/>
      <c r="L1509" s="625"/>
      <c r="M1509" s="626"/>
      <c r="N1509" s="626"/>
      <c r="O1509" s="626"/>
      <c r="P1509" s="626"/>
      <c r="Q1509" s="626"/>
      <c r="W1509" t="s">
        <v>2047</v>
      </c>
    </row>
    <row r="1510" spans="1:23" ht="13.15" customHeight="1" x14ac:dyDescent="0.2">
      <c r="A1510" s="2" t="s">
        <v>2199</v>
      </c>
      <c r="B1510" s="2">
        <f t="shared" si="46"/>
        <v>2022</v>
      </c>
      <c r="C1510" s="2" t="str">
        <f t="shared" si="47"/>
        <v>KZN226</v>
      </c>
      <c r="D1510" s="2">
        <v>892</v>
      </c>
      <c r="F1510" s="625"/>
      <c r="G1510" s="625"/>
      <c r="H1510" s="625"/>
      <c r="I1510" s="625"/>
      <c r="J1510" s="625"/>
      <c r="K1510" s="625"/>
      <c r="L1510" s="625"/>
      <c r="M1510" s="626"/>
      <c r="N1510" s="626"/>
      <c r="O1510" s="626"/>
      <c r="P1510" s="626"/>
      <c r="Q1510" s="626"/>
      <c r="W1510" t="s">
        <v>2047</v>
      </c>
    </row>
    <row r="1511" spans="1:23" ht="13.15" customHeight="1" x14ac:dyDescent="0.2">
      <c r="A1511" s="2" t="s">
        <v>2199</v>
      </c>
      <c r="B1511" s="2">
        <f t="shared" si="46"/>
        <v>2022</v>
      </c>
      <c r="C1511" s="2" t="str">
        <f t="shared" si="47"/>
        <v>KZN226</v>
      </c>
      <c r="D1511" s="2">
        <v>893</v>
      </c>
      <c r="F1511" s="625"/>
      <c r="G1511" s="625"/>
      <c r="H1511" s="625"/>
      <c r="I1511" s="625"/>
      <c r="J1511" s="625"/>
      <c r="K1511" s="625"/>
      <c r="L1511" s="625"/>
      <c r="M1511" s="626"/>
      <c r="N1511" s="626"/>
      <c r="O1511" s="626"/>
      <c r="P1511" s="626"/>
      <c r="Q1511" s="626"/>
      <c r="W1511" t="s">
        <v>2047</v>
      </c>
    </row>
    <row r="1512" spans="1:23" ht="13.15" customHeight="1" x14ac:dyDescent="0.2">
      <c r="A1512" s="2" t="s">
        <v>2199</v>
      </c>
      <c r="B1512" s="2">
        <f t="shared" si="46"/>
        <v>2022</v>
      </c>
      <c r="C1512" s="2" t="str">
        <f t="shared" si="47"/>
        <v>KZN226</v>
      </c>
      <c r="D1512" s="2">
        <v>894</v>
      </c>
      <c r="F1512" s="625"/>
      <c r="G1512" s="625"/>
      <c r="H1512" s="625"/>
      <c r="I1512" s="625"/>
      <c r="J1512" s="625"/>
      <c r="K1512" s="625"/>
      <c r="L1512" s="625"/>
      <c r="M1512" s="626"/>
      <c r="N1512" s="626"/>
      <c r="O1512" s="626"/>
      <c r="P1512" s="626"/>
      <c r="Q1512" s="626"/>
      <c r="W1512" t="s">
        <v>2047</v>
      </c>
    </row>
    <row r="1513" spans="1:23" ht="13.15" customHeight="1" x14ac:dyDescent="0.2">
      <c r="A1513" s="2" t="s">
        <v>2199</v>
      </c>
      <c r="B1513" s="2">
        <f t="shared" si="46"/>
        <v>2022</v>
      </c>
      <c r="C1513" s="2" t="str">
        <f t="shared" si="47"/>
        <v>KZN226</v>
      </c>
      <c r="D1513" s="2">
        <v>895</v>
      </c>
      <c r="F1513" s="625"/>
      <c r="G1513" s="625"/>
      <c r="H1513" s="625"/>
      <c r="I1513" s="625"/>
      <c r="J1513" s="625"/>
      <c r="K1513" s="625"/>
      <c r="L1513" s="625"/>
      <c r="M1513" s="626"/>
      <c r="N1513" s="626"/>
      <c r="O1513" s="626"/>
      <c r="P1513" s="626"/>
      <c r="Q1513" s="626"/>
      <c r="W1513" t="s">
        <v>2047</v>
      </c>
    </row>
    <row r="1514" spans="1:23" ht="13.15" customHeight="1" x14ac:dyDescent="0.2">
      <c r="A1514" s="2" t="s">
        <v>2199</v>
      </c>
      <c r="B1514" s="2">
        <f t="shared" si="46"/>
        <v>2022</v>
      </c>
      <c r="C1514" s="2" t="str">
        <f t="shared" si="47"/>
        <v>KZN226</v>
      </c>
      <c r="D1514" s="2">
        <v>896</v>
      </c>
      <c r="F1514" s="625"/>
      <c r="G1514" s="625"/>
      <c r="H1514" s="625"/>
      <c r="I1514" s="625"/>
      <c r="J1514" s="625"/>
      <c r="K1514" s="625"/>
      <c r="L1514" s="625"/>
      <c r="M1514" s="626"/>
      <c r="N1514" s="626"/>
      <c r="O1514" s="626"/>
      <c r="P1514" s="626"/>
      <c r="Q1514" s="626"/>
      <c r="W1514" t="s">
        <v>2047</v>
      </c>
    </row>
    <row r="1515" spans="1:23" ht="13.15" customHeight="1" x14ac:dyDescent="0.2">
      <c r="A1515" s="2" t="s">
        <v>2199</v>
      </c>
      <c r="B1515" s="2">
        <f t="shared" si="46"/>
        <v>2022</v>
      </c>
      <c r="C1515" s="2" t="str">
        <f t="shared" si="47"/>
        <v>KZN226</v>
      </c>
      <c r="D1515" s="2">
        <v>897</v>
      </c>
      <c r="F1515" s="625"/>
      <c r="G1515" s="625"/>
      <c r="H1515" s="625"/>
      <c r="I1515" s="625"/>
      <c r="J1515" s="625"/>
      <c r="K1515" s="625"/>
      <c r="L1515" s="625"/>
      <c r="M1515" s="626"/>
      <c r="N1515" s="626"/>
      <c r="O1515" s="626"/>
      <c r="P1515" s="626"/>
      <c r="Q1515" s="626"/>
      <c r="W1515" t="s">
        <v>2047</v>
      </c>
    </row>
    <row r="1516" spans="1:23" ht="13.15" customHeight="1" x14ac:dyDescent="0.2">
      <c r="A1516" s="2" t="s">
        <v>2199</v>
      </c>
      <c r="B1516" s="2">
        <f t="shared" si="46"/>
        <v>2022</v>
      </c>
      <c r="C1516" s="2" t="str">
        <f t="shared" si="47"/>
        <v>KZN226</v>
      </c>
      <c r="D1516" s="2">
        <v>898</v>
      </c>
      <c r="F1516" s="625"/>
      <c r="G1516" s="625"/>
      <c r="H1516" s="625"/>
      <c r="I1516" s="625"/>
      <c r="J1516" s="625"/>
      <c r="K1516" s="625"/>
      <c r="L1516" s="625"/>
      <c r="M1516" s="626"/>
      <c r="N1516" s="626"/>
      <c r="O1516" s="626"/>
      <c r="P1516" s="626"/>
      <c r="Q1516" s="626"/>
      <c r="W1516" t="s">
        <v>2047</v>
      </c>
    </row>
    <row r="1517" spans="1:23" ht="13.15" customHeight="1" x14ac:dyDescent="0.2">
      <c r="A1517" s="2" t="s">
        <v>2199</v>
      </c>
      <c r="B1517" s="2">
        <f t="shared" si="46"/>
        <v>2022</v>
      </c>
      <c r="C1517" s="2" t="str">
        <f t="shared" si="47"/>
        <v>KZN226</v>
      </c>
      <c r="D1517" s="2">
        <v>899</v>
      </c>
      <c r="F1517" s="625"/>
      <c r="G1517" s="625"/>
      <c r="H1517" s="625"/>
      <c r="I1517" s="625"/>
      <c r="J1517" s="625"/>
      <c r="K1517" s="625"/>
      <c r="L1517" s="625"/>
      <c r="M1517" s="626"/>
      <c r="N1517" s="626"/>
      <c r="O1517" s="626"/>
      <c r="P1517" s="626"/>
      <c r="Q1517" s="626"/>
      <c r="W1517" t="s">
        <v>2047</v>
      </c>
    </row>
    <row r="1518" spans="1:23" ht="13.15" customHeight="1" x14ac:dyDescent="0.2">
      <c r="A1518" s="2" t="s">
        <v>2199</v>
      </c>
      <c r="B1518" s="2">
        <f t="shared" si="46"/>
        <v>2022</v>
      </c>
      <c r="C1518" s="2" t="str">
        <f t="shared" si="47"/>
        <v>KZN226</v>
      </c>
      <c r="D1518" s="2">
        <v>900</v>
      </c>
      <c r="F1518" s="625"/>
      <c r="G1518" s="625"/>
      <c r="H1518" s="625"/>
      <c r="I1518" s="625"/>
      <c r="J1518" s="625"/>
      <c r="K1518" s="625"/>
      <c r="L1518" s="625"/>
      <c r="M1518" s="626"/>
      <c r="N1518" s="626"/>
      <c r="O1518" s="626"/>
      <c r="P1518" s="626"/>
      <c r="Q1518" s="626"/>
      <c r="W1518" t="s">
        <v>2047</v>
      </c>
    </row>
    <row r="1519" spans="1:23" ht="13.15" customHeight="1" x14ac:dyDescent="0.2">
      <c r="A1519" s="2" t="s">
        <v>2199</v>
      </c>
      <c r="B1519" s="2">
        <f t="shared" si="46"/>
        <v>2022</v>
      </c>
      <c r="C1519" s="2" t="str">
        <f t="shared" si="47"/>
        <v>KZN226</v>
      </c>
      <c r="D1519" s="2">
        <v>901</v>
      </c>
      <c r="F1519" s="625"/>
      <c r="G1519" s="625"/>
      <c r="H1519" s="625"/>
      <c r="I1519" s="625"/>
      <c r="J1519" s="625"/>
      <c r="K1519" s="625"/>
      <c r="L1519" s="625"/>
      <c r="M1519" s="626"/>
      <c r="N1519" s="626"/>
      <c r="O1519" s="626"/>
      <c r="P1519" s="626"/>
      <c r="Q1519" s="626"/>
      <c r="W1519" t="s">
        <v>2047</v>
      </c>
    </row>
    <row r="1520" spans="1:23" ht="13.15" customHeight="1" x14ac:dyDescent="0.2">
      <c r="A1520" s="2" t="s">
        <v>2199</v>
      </c>
      <c r="B1520" s="2">
        <f t="shared" si="46"/>
        <v>2022</v>
      </c>
      <c r="C1520" s="2" t="str">
        <f t="shared" si="47"/>
        <v>KZN226</v>
      </c>
      <c r="D1520" s="2">
        <v>902</v>
      </c>
      <c r="F1520" s="625"/>
      <c r="G1520" s="625"/>
      <c r="H1520" s="625"/>
      <c r="I1520" s="625"/>
      <c r="J1520" s="625"/>
      <c r="K1520" s="625"/>
      <c r="L1520" s="625"/>
      <c r="M1520" s="626"/>
      <c r="N1520" s="626"/>
      <c r="O1520" s="626"/>
      <c r="P1520" s="626"/>
      <c r="Q1520" s="626"/>
      <c r="W1520" t="s">
        <v>2047</v>
      </c>
    </row>
    <row r="1521" spans="1:23" ht="13.15" customHeight="1" x14ac:dyDescent="0.2">
      <c r="A1521" s="2" t="s">
        <v>2199</v>
      </c>
      <c r="B1521" s="2">
        <f t="shared" si="46"/>
        <v>2022</v>
      </c>
      <c r="C1521" s="2" t="str">
        <f t="shared" si="47"/>
        <v>KZN226</v>
      </c>
      <c r="D1521" s="2">
        <v>903</v>
      </c>
      <c r="F1521" s="625"/>
      <c r="G1521" s="625"/>
      <c r="H1521" s="625"/>
      <c r="I1521" s="625"/>
      <c r="J1521" s="625"/>
      <c r="K1521" s="625"/>
      <c r="L1521" s="625"/>
      <c r="M1521" s="626"/>
      <c r="N1521" s="626"/>
      <c r="O1521" s="626"/>
      <c r="P1521" s="626"/>
      <c r="Q1521" s="626"/>
      <c r="W1521" t="s">
        <v>2047</v>
      </c>
    </row>
    <row r="1522" spans="1:23" ht="13.15" customHeight="1" x14ac:dyDescent="0.2">
      <c r="A1522" s="2" t="s">
        <v>2199</v>
      </c>
      <c r="B1522" s="2">
        <f t="shared" si="46"/>
        <v>2022</v>
      </c>
      <c r="C1522" s="2" t="str">
        <f t="shared" si="47"/>
        <v>KZN226</v>
      </c>
      <c r="D1522" s="2">
        <v>904</v>
      </c>
      <c r="F1522" s="625"/>
      <c r="G1522" s="625"/>
      <c r="H1522" s="625"/>
      <c r="I1522" s="625"/>
      <c r="J1522" s="625"/>
      <c r="K1522" s="625"/>
      <c r="L1522" s="625"/>
      <c r="M1522" s="626"/>
      <c r="N1522" s="626"/>
      <c r="O1522" s="626"/>
      <c r="P1522" s="626"/>
      <c r="Q1522" s="626"/>
      <c r="W1522" t="s">
        <v>2047</v>
      </c>
    </row>
    <row r="1523" spans="1:23" ht="13.15" customHeight="1" x14ac:dyDescent="0.2">
      <c r="A1523" s="2" t="s">
        <v>2199</v>
      </c>
      <c r="B1523" s="2">
        <f t="shared" si="46"/>
        <v>2022</v>
      </c>
      <c r="C1523" s="2" t="str">
        <f t="shared" si="47"/>
        <v>KZN226</v>
      </c>
      <c r="D1523" s="2">
        <v>905</v>
      </c>
      <c r="F1523" s="625"/>
      <c r="G1523" s="625"/>
      <c r="H1523" s="625"/>
      <c r="I1523" s="625"/>
      <c r="J1523" s="625"/>
      <c r="K1523" s="625"/>
      <c r="L1523" s="625"/>
      <c r="M1523" s="626"/>
      <c r="N1523" s="626"/>
      <c r="O1523" s="626"/>
      <c r="P1523" s="626"/>
      <c r="Q1523" s="626"/>
      <c r="W1523" t="s">
        <v>2047</v>
      </c>
    </row>
    <row r="1524" spans="1:23" ht="13.15" customHeight="1" x14ac:dyDescent="0.2">
      <c r="A1524" s="2" t="s">
        <v>2199</v>
      </c>
      <c r="B1524" s="2">
        <f t="shared" si="46"/>
        <v>2022</v>
      </c>
      <c r="C1524" s="2" t="str">
        <f t="shared" si="47"/>
        <v>KZN226</v>
      </c>
      <c r="D1524" s="2">
        <v>906</v>
      </c>
      <c r="F1524" s="625"/>
      <c r="G1524" s="625"/>
      <c r="H1524" s="625"/>
      <c r="I1524" s="625"/>
      <c r="J1524" s="625"/>
      <c r="K1524" s="625"/>
      <c r="L1524" s="625"/>
      <c r="M1524" s="626"/>
      <c r="N1524" s="626"/>
      <c r="O1524" s="626"/>
      <c r="P1524" s="626"/>
      <c r="Q1524" s="626"/>
      <c r="W1524" t="s">
        <v>2047</v>
      </c>
    </row>
    <row r="1525" spans="1:23" ht="13.15" customHeight="1" x14ac:dyDescent="0.2">
      <c r="A1525" s="2" t="s">
        <v>2199</v>
      </c>
      <c r="B1525" s="2">
        <f t="shared" si="46"/>
        <v>2022</v>
      </c>
      <c r="C1525" s="2" t="str">
        <f t="shared" si="47"/>
        <v>KZN226</v>
      </c>
      <c r="D1525" s="2">
        <v>907</v>
      </c>
      <c r="F1525" s="625"/>
      <c r="G1525" s="625"/>
      <c r="H1525" s="625"/>
      <c r="I1525" s="625"/>
      <c r="J1525" s="625"/>
      <c r="K1525" s="625"/>
      <c r="L1525" s="625"/>
      <c r="M1525" s="626"/>
      <c r="N1525" s="626"/>
      <c r="O1525" s="626"/>
      <c r="P1525" s="626"/>
      <c r="Q1525" s="626"/>
      <c r="W1525" t="s">
        <v>2047</v>
      </c>
    </row>
    <row r="1526" spans="1:23" ht="13.15" customHeight="1" x14ac:dyDescent="0.2">
      <c r="A1526" s="2" t="s">
        <v>2199</v>
      </c>
      <c r="B1526" s="2">
        <f t="shared" si="46"/>
        <v>2022</v>
      </c>
      <c r="C1526" s="2" t="str">
        <f t="shared" si="47"/>
        <v>KZN226</v>
      </c>
      <c r="D1526" s="2">
        <v>908</v>
      </c>
      <c r="F1526" s="625"/>
      <c r="G1526" s="625"/>
      <c r="H1526" s="625"/>
      <c r="I1526" s="625"/>
      <c r="J1526" s="625"/>
      <c r="K1526" s="625"/>
      <c r="L1526" s="625"/>
      <c r="M1526" s="626"/>
      <c r="N1526" s="626"/>
      <c r="O1526" s="626"/>
      <c r="P1526" s="626"/>
      <c r="Q1526" s="626"/>
      <c r="W1526" t="s">
        <v>2047</v>
      </c>
    </row>
    <row r="1527" spans="1:23" ht="13.15" customHeight="1" x14ac:dyDescent="0.2">
      <c r="A1527" s="2" t="s">
        <v>2199</v>
      </c>
      <c r="B1527" s="2">
        <f t="shared" si="46"/>
        <v>2022</v>
      </c>
      <c r="C1527" s="2" t="str">
        <f t="shared" si="47"/>
        <v>KZN226</v>
      </c>
      <c r="D1527" s="2">
        <v>909</v>
      </c>
      <c r="F1527" s="625"/>
      <c r="G1527" s="625"/>
      <c r="H1527" s="625"/>
      <c r="I1527" s="625"/>
      <c r="J1527" s="625"/>
      <c r="K1527" s="625"/>
      <c r="L1527" s="625"/>
      <c r="M1527" s="626"/>
      <c r="N1527" s="626"/>
      <c r="O1527" s="626"/>
      <c r="P1527" s="626"/>
      <c r="Q1527" s="626"/>
      <c r="W1527" t="s">
        <v>2047</v>
      </c>
    </row>
    <row r="1528" spans="1:23" ht="13.15" customHeight="1" x14ac:dyDescent="0.2">
      <c r="A1528" s="2" t="s">
        <v>2199</v>
      </c>
      <c r="B1528" s="2">
        <f t="shared" si="46"/>
        <v>2022</v>
      </c>
      <c r="C1528" s="2" t="str">
        <f t="shared" si="47"/>
        <v>KZN226</v>
      </c>
      <c r="D1528" s="2">
        <v>910</v>
      </c>
      <c r="F1528" s="625"/>
      <c r="G1528" s="625"/>
      <c r="H1528" s="625"/>
      <c r="I1528" s="625"/>
      <c r="J1528" s="625"/>
      <c r="K1528" s="625"/>
      <c r="L1528" s="625"/>
      <c r="M1528" s="626"/>
      <c r="N1528" s="626"/>
      <c r="O1528" s="626"/>
      <c r="P1528" s="626"/>
      <c r="Q1528" s="626"/>
      <c r="W1528" t="s">
        <v>2047</v>
      </c>
    </row>
    <row r="1529" spans="1:23" ht="13.15" customHeight="1" x14ac:dyDescent="0.2">
      <c r="A1529" s="2" t="s">
        <v>2199</v>
      </c>
      <c r="B1529" s="2">
        <f t="shared" si="46"/>
        <v>2022</v>
      </c>
      <c r="C1529" s="2" t="str">
        <f t="shared" si="47"/>
        <v>KZN226</v>
      </c>
      <c r="D1529" s="2">
        <v>911</v>
      </c>
      <c r="F1529" s="625"/>
      <c r="G1529" s="625"/>
      <c r="H1529" s="625"/>
      <c r="I1529" s="625"/>
      <c r="J1529" s="625"/>
      <c r="K1529" s="625"/>
      <c r="L1529" s="625"/>
      <c r="M1529" s="626"/>
      <c r="N1529" s="626"/>
      <c r="O1529" s="626"/>
      <c r="P1529" s="626"/>
      <c r="Q1529" s="626"/>
      <c r="W1529" t="s">
        <v>2047</v>
      </c>
    </row>
    <row r="1530" spans="1:23" ht="13.15" customHeight="1" x14ac:dyDescent="0.2">
      <c r="A1530" s="2" t="s">
        <v>2199</v>
      </c>
      <c r="B1530" s="2">
        <f t="shared" si="46"/>
        <v>2022</v>
      </c>
      <c r="C1530" s="2" t="str">
        <f t="shared" si="47"/>
        <v>KZN226</v>
      </c>
      <c r="D1530" s="2">
        <v>912</v>
      </c>
      <c r="F1530" s="625"/>
      <c r="G1530" s="625"/>
      <c r="H1530" s="625"/>
      <c r="I1530" s="625"/>
      <c r="J1530" s="625"/>
      <c r="K1530" s="625"/>
      <c r="L1530" s="625"/>
      <c r="M1530" s="626"/>
      <c r="N1530" s="626"/>
      <c r="O1530" s="626"/>
      <c r="P1530" s="626"/>
      <c r="Q1530" s="626"/>
      <c r="W1530" t="s">
        <v>2047</v>
      </c>
    </row>
    <row r="1531" spans="1:23" ht="13.15" customHeight="1" x14ac:dyDescent="0.2">
      <c r="A1531" s="2" t="s">
        <v>2199</v>
      </c>
      <c r="B1531" s="2">
        <f t="shared" si="46"/>
        <v>2022</v>
      </c>
      <c r="C1531" s="2" t="str">
        <f t="shared" si="47"/>
        <v>KZN226</v>
      </c>
      <c r="D1531" s="2">
        <v>913</v>
      </c>
      <c r="F1531" s="625"/>
      <c r="G1531" s="625"/>
      <c r="H1531" s="625"/>
      <c r="I1531" s="625"/>
      <c r="J1531" s="625"/>
      <c r="K1531" s="625"/>
      <c r="L1531" s="625"/>
      <c r="M1531" s="626"/>
      <c r="N1531" s="626"/>
      <c r="O1531" s="626"/>
      <c r="P1531" s="626"/>
      <c r="Q1531" s="626"/>
      <c r="W1531" t="s">
        <v>2047</v>
      </c>
    </row>
    <row r="1532" spans="1:23" ht="13.15" customHeight="1" x14ac:dyDescent="0.2">
      <c r="A1532" s="2" t="s">
        <v>2199</v>
      </c>
      <c r="B1532" s="2">
        <f t="shared" si="46"/>
        <v>2022</v>
      </c>
      <c r="C1532" s="2" t="str">
        <f t="shared" si="47"/>
        <v>KZN226</v>
      </c>
      <c r="D1532" s="2">
        <v>914</v>
      </c>
      <c r="F1532" s="625"/>
      <c r="G1532" s="625"/>
      <c r="H1532" s="625"/>
      <c r="I1532" s="625"/>
      <c r="J1532" s="625"/>
      <c r="K1532" s="625"/>
      <c r="L1532" s="625"/>
      <c r="M1532" s="626"/>
      <c r="N1532" s="626"/>
      <c r="O1532" s="626"/>
      <c r="P1532" s="626"/>
      <c r="Q1532" s="626"/>
      <c r="W1532" t="s">
        <v>2047</v>
      </c>
    </row>
    <row r="1533" spans="1:23" ht="13.15" customHeight="1" x14ac:dyDescent="0.2">
      <c r="A1533" s="2" t="s">
        <v>2199</v>
      </c>
      <c r="B1533" s="2">
        <f t="shared" si="46"/>
        <v>2022</v>
      </c>
      <c r="C1533" s="2" t="str">
        <f t="shared" si="47"/>
        <v>KZN226</v>
      </c>
      <c r="D1533" s="2">
        <v>915</v>
      </c>
      <c r="F1533" s="625"/>
      <c r="G1533" s="625"/>
      <c r="H1533" s="625"/>
      <c r="I1533" s="625"/>
      <c r="J1533" s="625"/>
      <c r="K1533" s="625"/>
      <c r="L1533" s="625"/>
      <c r="M1533" s="626"/>
      <c r="N1533" s="626"/>
      <c r="O1533" s="626"/>
      <c r="P1533" s="626"/>
      <c r="Q1533" s="626"/>
      <c r="W1533" t="s">
        <v>2047</v>
      </c>
    </row>
    <row r="1534" spans="1:23" ht="13.15" customHeight="1" x14ac:dyDescent="0.2">
      <c r="A1534" s="2" t="s">
        <v>2199</v>
      </c>
      <c r="B1534" s="2">
        <f t="shared" si="46"/>
        <v>2022</v>
      </c>
      <c r="C1534" s="2" t="str">
        <f t="shared" si="47"/>
        <v>KZN226</v>
      </c>
      <c r="D1534" s="2">
        <v>916</v>
      </c>
      <c r="F1534" s="625"/>
      <c r="G1534" s="625"/>
      <c r="H1534" s="625"/>
      <c r="I1534" s="625"/>
      <c r="J1534" s="625"/>
      <c r="K1534" s="625"/>
      <c r="L1534" s="625"/>
      <c r="M1534" s="626"/>
      <c r="N1534" s="626"/>
      <c r="O1534" s="626"/>
      <c r="P1534" s="626"/>
      <c r="Q1534" s="626"/>
      <c r="W1534" t="s">
        <v>2047</v>
      </c>
    </row>
    <row r="1535" spans="1:23" ht="13.15" customHeight="1" x14ac:dyDescent="0.2">
      <c r="A1535" s="2" t="s">
        <v>2199</v>
      </c>
      <c r="B1535" s="2">
        <f t="shared" si="46"/>
        <v>2022</v>
      </c>
      <c r="C1535" s="2" t="str">
        <f t="shared" si="47"/>
        <v>KZN226</v>
      </c>
      <c r="D1535" s="2">
        <v>917</v>
      </c>
      <c r="F1535" s="625"/>
      <c r="G1535" s="625"/>
      <c r="H1535" s="625"/>
      <c r="I1535" s="625"/>
      <c r="J1535" s="625"/>
      <c r="K1535" s="625"/>
      <c r="L1535" s="625"/>
      <c r="M1535" s="626"/>
      <c r="N1535" s="626"/>
      <c r="O1535" s="626"/>
      <c r="P1535" s="626"/>
      <c r="Q1535" s="626"/>
      <c r="W1535" t="s">
        <v>2047</v>
      </c>
    </row>
    <row r="1536" spans="1:23" ht="13.15" customHeight="1" x14ac:dyDescent="0.2">
      <c r="A1536" s="2" t="s">
        <v>2199</v>
      </c>
      <c r="B1536" s="2">
        <f t="shared" si="46"/>
        <v>2022</v>
      </c>
      <c r="C1536" s="2" t="str">
        <f t="shared" si="47"/>
        <v>KZN226</v>
      </c>
      <c r="D1536" s="2">
        <v>918</v>
      </c>
      <c r="F1536" s="625"/>
      <c r="G1536" s="625"/>
      <c r="H1536" s="625"/>
      <c r="I1536" s="625"/>
      <c r="J1536" s="625"/>
      <c r="K1536" s="625"/>
      <c r="L1536" s="625"/>
      <c r="M1536" s="626"/>
      <c r="N1536" s="626"/>
      <c r="O1536" s="626"/>
      <c r="P1536" s="626"/>
      <c r="Q1536" s="626"/>
      <c r="W1536" t="s">
        <v>2047</v>
      </c>
    </row>
    <row r="1537" spans="1:23" ht="13.15" customHeight="1" x14ac:dyDescent="0.2">
      <c r="A1537" s="2" t="s">
        <v>2199</v>
      </c>
      <c r="B1537" s="2">
        <f t="shared" si="46"/>
        <v>2022</v>
      </c>
      <c r="C1537" s="2" t="str">
        <f t="shared" si="47"/>
        <v>KZN226</v>
      </c>
      <c r="D1537" s="2">
        <v>919</v>
      </c>
      <c r="F1537" s="625"/>
      <c r="G1537" s="625"/>
      <c r="H1537" s="625"/>
      <c r="I1537" s="625"/>
      <c r="J1537" s="625"/>
      <c r="K1537" s="625"/>
      <c r="L1537" s="625"/>
      <c r="M1537" s="626"/>
      <c r="N1537" s="626"/>
      <c r="O1537" s="626"/>
      <c r="P1537" s="626"/>
      <c r="Q1537" s="626"/>
      <c r="W1537" t="s">
        <v>2047</v>
      </c>
    </row>
    <row r="1538" spans="1:23" ht="13.15" customHeight="1" x14ac:dyDescent="0.2">
      <c r="A1538" s="2" t="s">
        <v>2199</v>
      </c>
      <c r="B1538" s="2">
        <f t="shared" ref="B1538:B1601" si="48">+MTREF</f>
        <v>2022</v>
      </c>
      <c r="C1538" s="2" t="str">
        <f t="shared" ref="C1538:C1601" si="49">LEFT(muni,(FIND(" ",muni,1)-1))</f>
        <v>KZN226</v>
      </c>
      <c r="D1538" s="2">
        <v>920</v>
      </c>
      <c r="F1538" s="625"/>
      <c r="G1538" s="625"/>
      <c r="H1538" s="625"/>
      <c r="I1538" s="625"/>
      <c r="J1538" s="625"/>
      <c r="K1538" s="625"/>
      <c r="L1538" s="625"/>
      <c r="M1538" s="626"/>
      <c r="N1538" s="626"/>
      <c r="O1538" s="626"/>
      <c r="P1538" s="626"/>
      <c r="Q1538" s="626"/>
      <c r="W1538" t="s">
        <v>2047</v>
      </c>
    </row>
    <row r="1539" spans="1:23" ht="13.15" customHeight="1" x14ac:dyDescent="0.2">
      <c r="A1539" s="2" t="s">
        <v>2199</v>
      </c>
      <c r="B1539" s="2">
        <f t="shared" si="48"/>
        <v>2022</v>
      </c>
      <c r="C1539" s="2" t="str">
        <f t="shared" si="49"/>
        <v>KZN226</v>
      </c>
      <c r="D1539" s="2">
        <v>921</v>
      </c>
      <c r="F1539" s="625"/>
      <c r="G1539" s="625"/>
      <c r="H1539" s="625"/>
      <c r="I1539" s="625"/>
      <c r="J1539" s="625"/>
      <c r="K1539" s="625"/>
      <c r="L1539" s="625"/>
      <c r="M1539" s="626"/>
      <c r="N1539" s="626"/>
      <c r="O1539" s="626"/>
      <c r="P1539" s="626"/>
      <c r="Q1539" s="626"/>
      <c r="W1539" t="s">
        <v>2047</v>
      </c>
    </row>
    <row r="1540" spans="1:23" ht="13.15" customHeight="1" x14ac:dyDescent="0.2">
      <c r="A1540" s="2" t="s">
        <v>2199</v>
      </c>
      <c r="B1540" s="2">
        <f t="shared" si="48"/>
        <v>2022</v>
      </c>
      <c r="C1540" s="2" t="str">
        <f t="shared" si="49"/>
        <v>KZN226</v>
      </c>
      <c r="D1540" s="2">
        <v>922</v>
      </c>
      <c r="F1540" s="625"/>
      <c r="G1540" s="625"/>
      <c r="H1540" s="625"/>
      <c r="I1540" s="625"/>
      <c r="J1540" s="625"/>
      <c r="K1540" s="625"/>
      <c r="L1540" s="625"/>
      <c r="M1540" s="626"/>
      <c r="N1540" s="626"/>
      <c r="O1540" s="626"/>
      <c r="P1540" s="626"/>
      <c r="Q1540" s="626"/>
      <c r="W1540" t="s">
        <v>2047</v>
      </c>
    </row>
    <row r="1541" spans="1:23" ht="13.15" customHeight="1" x14ac:dyDescent="0.2">
      <c r="A1541" s="2" t="s">
        <v>2199</v>
      </c>
      <c r="B1541" s="2">
        <f t="shared" si="48"/>
        <v>2022</v>
      </c>
      <c r="C1541" s="2" t="str">
        <f t="shared" si="49"/>
        <v>KZN226</v>
      </c>
      <c r="D1541" s="2">
        <v>923</v>
      </c>
      <c r="F1541" s="625"/>
      <c r="G1541" s="625"/>
      <c r="H1541" s="625"/>
      <c r="I1541" s="625"/>
      <c r="J1541" s="625"/>
      <c r="K1541" s="625"/>
      <c r="L1541" s="625"/>
      <c r="M1541" s="626"/>
      <c r="N1541" s="626"/>
      <c r="O1541" s="626"/>
      <c r="P1541" s="626"/>
      <c r="Q1541" s="626"/>
      <c r="W1541" t="s">
        <v>2047</v>
      </c>
    </row>
    <row r="1542" spans="1:23" ht="13.15" customHeight="1" x14ac:dyDescent="0.2">
      <c r="A1542" s="2" t="s">
        <v>2199</v>
      </c>
      <c r="B1542" s="2">
        <f t="shared" si="48"/>
        <v>2022</v>
      </c>
      <c r="C1542" s="2" t="str">
        <f t="shared" si="49"/>
        <v>KZN226</v>
      </c>
      <c r="D1542" s="2">
        <v>924</v>
      </c>
      <c r="F1542" s="625"/>
      <c r="G1542" s="625"/>
      <c r="H1542" s="625"/>
      <c r="I1542" s="625"/>
      <c r="J1542" s="625"/>
      <c r="K1542" s="625"/>
      <c r="L1542" s="625"/>
      <c r="M1542" s="626"/>
      <c r="N1542" s="626"/>
      <c r="O1542" s="626"/>
      <c r="P1542" s="626"/>
      <c r="Q1542" s="626"/>
      <c r="W1542" t="s">
        <v>2047</v>
      </c>
    </row>
    <row r="1543" spans="1:23" ht="13.15" customHeight="1" x14ac:dyDescent="0.2">
      <c r="A1543" s="2" t="s">
        <v>2199</v>
      </c>
      <c r="B1543" s="2">
        <f t="shared" si="48"/>
        <v>2022</v>
      </c>
      <c r="C1543" s="2" t="str">
        <f t="shared" si="49"/>
        <v>KZN226</v>
      </c>
      <c r="D1543" s="2">
        <v>925</v>
      </c>
      <c r="F1543" s="625"/>
      <c r="G1543" s="625"/>
      <c r="H1543" s="625"/>
      <c r="I1543" s="625"/>
      <c r="J1543" s="625"/>
      <c r="K1543" s="625"/>
      <c r="L1543" s="625"/>
      <c r="M1543" s="626"/>
      <c r="N1543" s="626"/>
      <c r="O1543" s="626"/>
      <c r="P1543" s="626"/>
      <c r="Q1543" s="626"/>
      <c r="W1543" t="s">
        <v>2047</v>
      </c>
    </row>
    <row r="1544" spans="1:23" ht="13.15" customHeight="1" x14ac:dyDescent="0.2">
      <c r="A1544" s="2" t="s">
        <v>2199</v>
      </c>
      <c r="B1544" s="2">
        <f t="shared" si="48"/>
        <v>2022</v>
      </c>
      <c r="C1544" s="2" t="str">
        <f t="shared" si="49"/>
        <v>KZN226</v>
      </c>
      <c r="D1544" s="2">
        <v>926</v>
      </c>
      <c r="F1544" s="625"/>
      <c r="G1544" s="625"/>
      <c r="H1544" s="625"/>
      <c r="I1544" s="625"/>
      <c r="J1544" s="625"/>
      <c r="K1544" s="625"/>
      <c r="L1544" s="625"/>
      <c r="M1544" s="626"/>
      <c r="N1544" s="626"/>
      <c r="O1544" s="626"/>
      <c r="P1544" s="626"/>
      <c r="Q1544" s="626"/>
      <c r="W1544" t="s">
        <v>2047</v>
      </c>
    </row>
    <row r="1545" spans="1:23" ht="13.15" customHeight="1" x14ac:dyDescent="0.2">
      <c r="A1545" s="2" t="s">
        <v>2199</v>
      </c>
      <c r="B1545" s="2">
        <f t="shared" si="48"/>
        <v>2022</v>
      </c>
      <c r="C1545" s="2" t="str">
        <f t="shared" si="49"/>
        <v>KZN226</v>
      </c>
      <c r="D1545" s="2">
        <v>927</v>
      </c>
      <c r="F1545" s="625"/>
      <c r="G1545" s="625"/>
      <c r="H1545" s="625"/>
      <c r="I1545" s="625"/>
      <c r="J1545" s="625"/>
      <c r="K1545" s="625"/>
      <c r="L1545" s="625"/>
      <c r="M1545" s="626"/>
      <c r="N1545" s="626"/>
      <c r="O1545" s="626"/>
      <c r="P1545" s="626"/>
      <c r="Q1545" s="626"/>
      <c r="W1545" t="s">
        <v>2047</v>
      </c>
    </row>
    <row r="1546" spans="1:23" ht="13.15" customHeight="1" x14ac:dyDescent="0.2">
      <c r="A1546" s="2" t="s">
        <v>2199</v>
      </c>
      <c r="B1546" s="2">
        <f t="shared" si="48"/>
        <v>2022</v>
      </c>
      <c r="C1546" s="2" t="str">
        <f t="shared" si="49"/>
        <v>KZN226</v>
      </c>
      <c r="D1546" s="2">
        <v>928</v>
      </c>
      <c r="F1546" s="625"/>
      <c r="G1546" s="625"/>
      <c r="H1546" s="625"/>
      <c r="I1546" s="625"/>
      <c r="J1546" s="625"/>
      <c r="K1546" s="625"/>
      <c r="L1546" s="625"/>
      <c r="M1546" s="626"/>
      <c r="N1546" s="626"/>
      <c r="O1546" s="626"/>
      <c r="P1546" s="626"/>
      <c r="Q1546" s="626"/>
      <c r="W1546" t="s">
        <v>2047</v>
      </c>
    </row>
    <row r="1547" spans="1:23" ht="13.15" customHeight="1" x14ac:dyDescent="0.2">
      <c r="A1547" s="2" t="s">
        <v>2199</v>
      </c>
      <c r="B1547" s="2">
        <f t="shared" si="48"/>
        <v>2022</v>
      </c>
      <c r="C1547" s="2" t="str">
        <f t="shared" si="49"/>
        <v>KZN226</v>
      </c>
      <c r="D1547" s="2">
        <v>929</v>
      </c>
      <c r="F1547" s="625"/>
      <c r="G1547" s="625"/>
      <c r="H1547" s="625"/>
      <c r="I1547" s="625"/>
      <c r="J1547" s="625"/>
      <c r="K1547" s="625"/>
      <c r="L1547" s="625"/>
      <c r="M1547" s="626"/>
      <c r="N1547" s="626"/>
      <c r="O1547" s="626"/>
      <c r="P1547" s="626"/>
      <c r="Q1547" s="626"/>
      <c r="W1547" t="s">
        <v>2047</v>
      </c>
    </row>
    <row r="1548" spans="1:23" ht="13.15" customHeight="1" x14ac:dyDescent="0.2">
      <c r="A1548" s="2" t="s">
        <v>2199</v>
      </c>
      <c r="B1548" s="2">
        <f t="shared" si="48"/>
        <v>2022</v>
      </c>
      <c r="C1548" s="2" t="str">
        <f t="shared" si="49"/>
        <v>KZN226</v>
      </c>
      <c r="D1548" s="2">
        <v>930</v>
      </c>
      <c r="F1548" s="625"/>
      <c r="G1548" s="625"/>
      <c r="H1548" s="625"/>
      <c r="I1548" s="625"/>
      <c r="J1548" s="625"/>
      <c r="K1548" s="625"/>
      <c r="L1548" s="625"/>
      <c r="M1548" s="626"/>
      <c r="N1548" s="626"/>
      <c r="O1548" s="626"/>
      <c r="P1548" s="626"/>
      <c r="Q1548" s="626"/>
      <c r="W1548" t="s">
        <v>2047</v>
      </c>
    </row>
    <row r="1549" spans="1:23" ht="13.15" customHeight="1" x14ac:dyDescent="0.2">
      <c r="A1549" s="2" t="s">
        <v>2199</v>
      </c>
      <c r="B1549" s="2">
        <f t="shared" si="48"/>
        <v>2022</v>
      </c>
      <c r="C1549" s="2" t="str">
        <f t="shared" si="49"/>
        <v>KZN226</v>
      </c>
      <c r="D1549" s="2">
        <v>931</v>
      </c>
      <c r="F1549" s="625"/>
      <c r="G1549" s="625"/>
      <c r="H1549" s="625"/>
      <c r="I1549" s="625"/>
      <c r="J1549" s="625"/>
      <c r="K1549" s="625"/>
      <c r="L1549" s="625"/>
      <c r="M1549" s="626"/>
      <c r="N1549" s="626"/>
      <c r="O1549" s="626"/>
      <c r="P1549" s="626"/>
      <c r="Q1549" s="626"/>
      <c r="W1549" t="s">
        <v>2047</v>
      </c>
    </row>
    <row r="1550" spans="1:23" ht="13.15" customHeight="1" x14ac:dyDescent="0.2">
      <c r="A1550" s="2" t="s">
        <v>2199</v>
      </c>
      <c r="B1550" s="2">
        <f t="shared" si="48"/>
        <v>2022</v>
      </c>
      <c r="C1550" s="2" t="str">
        <f t="shared" si="49"/>
        <v>KZN226</v>
      </c>
      <c r="D1550" s="2">
        <v>932</v>
      </c>
      <c r="F1550" s="625"/>
      <c r="G1550" s="625"/>
      <c r="H1550" s="625"/>
      <c r="I1550" s="625"/>
      <c r="J1550" s="625"/>
      <c r="K1550" s="625"/>
      <c r="L1550" s="625"/>
      <c r="M1550" s="626"/>
      <c r="N1550" s="626"/>
      <c r="O1550" s="626"/>
      <c r="P1550" s="626"/>
      <c r="Q1550" s="626"/>
      <c r="W1550" t="s">
        <v>2047</v>
      </c>
    </row>
    <row r="1551" spans="1:23" ht="13.15" customHeight="1" x14ac:dyDescent="0.2">
      <c r="A1551" s="2" t="s">
        <v>2199</v>
      </c>
      <c r="B1551" s="2">
        <f t="shared" si="48"/>
        <v>2022</v>
      </c>
      <c r="C1551" s="2" t="str">
        <f t="shared" si="49"/>
        <v>KZN226</v>
      </c>
      <c r="D1551" s="2">
        <v>933</v>
      </c>
      <c r="F1551" s="625"/>
      <c r="G1551" s="625"/>
      <c r="H1551" s="625"/>
      <c r="I1551" s="625"/>
      <c r="J1551" s="625"/>
      <c r="K1551" s="625"/>
      <c r="L1551" s="625"/>
      <c r="M1551" s="626"/>
      <c r="N1551" s="626"/>
      <c r="O1551" s="626"/>
      <c r="P1551" s="626"/>
      <c r="Q1551" s="626"/>
      <c r="W1551" t="s">
        <v>2047</v>
      </c>
    </row>
    <row r="1552" spans="1:23" ht="13.15" customHeight="1" x14ac:dyDescent="0.2">
      <c r="A1552" s="2" t="s">
        <v>2199</v>
      </c>
      <c r="B1552" s="2">
        <f t="shared" si="48"/>
        <v>2022</v>
      </c>
      <c r="C1552" s="2" t="str">
        <f t="shared" si="49"/>
        <v>KZN226</v>
      </c>
      <c r="D1552" s="2">
        <v>934</v>
      </c>
      <c r="F1552" s="625"/>
      <c r="G1552" s="625"/>
      <c r="H1552" s="625"/>
      <c r="I1552" s="625"/>
      <c r="J1552" s="625"/>
      <c r="K1552" s="625"/>
      <c r="L1552" s="625"/>
      <c r="M1552" s="626"/>
      <c r="N1552" s="626"/>
      <c r="O1552" s="626"/>
      <c r="P1552" s="626"/>
      <c r="Q1552" s="626"/>
      <c r="W1552" t="s">
        <v>2047</v>
      </c>
    </row>
    <row r="1553" spans="1:23" ht="13.15" customHeight="1" x14ac:dyDescent="0.2">
      <c r="A1553" s="2" t="s">
        <v>2199</v>
      </c>
      <c r="B1553" s="2">
        <f t="shared" si="48"/>
        <v>2022</v>
      </c>
      <c r="C1553" s="2" t="str">
        <f t="shared" si="49"/>
        <v>KZN226</v>
      </c>
      <c r="D1553" s="2">
        <v>935</v>
      </c>
      <c r="F1553" s="625"/>
      <c r="G1553" s="625"/>
      <c r="H1553" s="625"/>
      <c r="I1553" s="625"/>
      <c r="J1553" s="625"/>
      <c r="K1553" s="625"/>
      <c r="L1553" s="625"/>
      <c r="M1553" s="626"/>
      <c r="N1553" s="626"/>
      <c r="O1553" s="626"/>
      <c r="P1553" s="626"/>
      <c r="Q1553" s="626"/>
      <c r="W1553" t="s">
        <v>2047</v>
      </c>
    </row>
    <row r="1554" spans="1:23" ht="13.15" customHeight="1" x14ac:dyDescent="0.2">
      <c r="A1554" s="2" t="s">
        <v>2199</v>
      </c>
      <c r="B1554" s="2">
        <f t="shared" si="48"/>
        <v>2022</v>
      </c>
      <c r="C1554" s="2" t="str">
        <f t="shared" si="49"/>
        <v>KZN226</v>
      </c>
      <c r="D1554" s="2">
        <v>936</v>
      </c>
      <c r="F1554" s="625"/>
      <c r="G1554" s="625"/>
      <c r="H1554" s="625"/>
      <c r="I1554" s="625"/>
      <c r="J1554" s="625"/>
      <c r="K1554" s="625"/>
      <c r="L1554" s="625"/>
      <c r="M1554" s="626"/>
      <c r="N1554" s="626"/>
      <c r="O1554" s="626"/>
      <c r="P1554" s="626"/>
      <c r="Q1554" s="626"/>
      <c r="W1554" t="s">
        <v>2047</v>
      </c>
    </row>
    <row r="1555" spans="1:23" ht="13.15" customHeight="1" x14ac:dyDescent="0.2">
      <c r="A1555" s="2" t="s">
        <v>2199</v>
      </c>
      <c r="B1555" s="2">
        <f t="shared" si="48"/>
        <v>2022</v>
      </c>
      <c r="C1555" s="2" t="str">
        <f t="shared" si="49"/>
        <v>KZN226</v>
      </c>
      <c r="D1555" s="2">
        <v>937</v>
      </c>
      <c r="F1555" s="625"/>
      <c r="G1555" s="625"/>
      <c r="H1555" s="625"/>
      <c r="I1555" s="625"/>
      <c r="J1555" s="625"/>
      <c r="K1555" s="625"/>
      <c r="L1555" s="625"/>
      <c r="M1555" s="626"/>
      <c r="N1555" s="626"/>
      <c r="O1555" s="626"/>
      <c r="P1555" s="626"/>
      <c r="Q1555" s="626"/>
      <c r="W1555" t="s">
        <v>2047</v>
      </c>
    </row>
    <row r="1556" spans="1:23" ht="13.15" customHeight="1" x14ac:dyDescent="0.2">
      <c r="A1556" s="2" t="s">
        <v>2199</v>
      </c>
      <c r="B1556" s="2">
        <f t="shared" si="48"/>
        <v>2022</v>
      </c>
      <c r="C1556" s="2" t="str">
        <f t="shared" si="49"/>
        <v>KZN226</v>
      </c>
      <c r="D1556" s="2">
        <v>938</v>
      </c>
      <c r="F1556" s="625"/>
      <c r="G1556" s="625"/>
      <c r="H1556" s="625"/>
      <c r="I1556" s="625"/>
      <c r="J1556" s="625"/>
      <c r="K1556" s="625"/>
      <c r="L1556" s="625"/>
      <c r="M1556" s="626"/>
      <c r="N1556" s="626"/>
      <c r="O1556" s="626"/>
      <c r="P1556" s="626"/>
      <c r="Q1556" s="626"/>
      <c r="W1556" t="s">
        <v>2047</v>
      </c>
    </row>
    <row r="1557" spans="1:23" ht="13.15" customHeight="1" x14ac:dyDescent="0.2">
      <c r="A1557" s="2" t="s">
        <v>2199</v>
      </c>
      <c r="B1557" s="2">
        <f t="shared" si="48"/>
        <v>2022</v>
      </c>
      <c r="C1557" s="2" t="str">
        <f t="shared" si="49"/>
        <v>KZN226</v>
      </c>
      <c r="D1557" s="2">
        <v>939</v>
      </c>
      <c r="F1557" s="625"/>
      <c r="G1557" s="625"/>
      <c r="H1557" s="625"/>
      <c r="I1557" s="625"/>
      <c r="J1557" s="625"/>
      <c r="K1557" s="625"/>
      <c r="L1557" s="625"/>
      <c r="M1557" s="626"/>
      <c r="N1557" s="626"/>
      <c r="O1557" s="626"/>
      <c r="P1557" s="626"/>
      <c r="Q1557" s="626"/>
      <c r="W1557" t="s">
        <v>2047</v>
      </c>
    </row>
    <row r="1558" spans="1:23" ht="13.15" customHeight="1" x14ac:dyDescent="0.2">
      <c r="A1558" s="2" t="s">
        <v>2199</v>
      </c>
      <c r="B1558" s="2">
        <f t="shared" si="48"/>
        <v>2022</v>
      </c>
      <c r="C1558" s="2" t="str">
        <f t="shared" si="49"/>
        <v>KZN226</v>
      </c>
      <c r="D1558" s="2">
        <v>940</v>
      </c>
      <c r="F1558" s="625"/>
      <c r="G1558" s="625"/>
      <c r="H1558" s="625"/>
      <c r="I1558" s="625"/>
      <c r="J1558" s="625"/>
      <c r="K1558" s="625"/>
      <c r="L1558" s="625"/>
      <c r="M1558" s="626"/>
      <c r="N1558" s="626"/>
      <c r="O1558" s="626"/>
      <c r="P1558" s="626"/>
      <c r="Q1558" s="626"/>
      <c r="W1558" t="s">
        <v>2047</v>
      </c>
    </row>
    <row r="1559" spans="1:23" ht="13.15" customHeight="1" x14ac:dyDescent="0.2">
      <c r="A1559" s="2" t="s">
        <v>2199</v>
      </c>
      <c r="B1559" s="2">
        <f t="shared" si="48"/>
        <v>2022</v>
      </c>
      <c r="C1559" s="2" t="str">
        <f t="shared" si="49"/>
        <v>KZN226</v>
      </c>
      <c r="D1559" s="2">
        <v>941</v>
      </c>
      <c r="F1559" s="625"/>
      <c r="G1559" s="625"/>
      <c r="H1559" s="625"/>
      <c r="I1559" s="625"/>
      <c r="J1559" s="625"/>
      <c r="K1559" s="625"/>
      <c r="L1559" s="625"/>
      <c r="M1559" s="626"/>
      <c r="N1559" s="626"/>
      <c r="O1559" s="626"/>
      <c r="P1559" s="626"/>
      <c r="Q1559" s="626"/>
      <c r="W1559" t="s">
        <v>2047</v>
      </c>
    </row>
    <row r="1560" spans="1:23" ht="13.15" customHeight="1" x14ac:dyDescent="0.2">
      <c r="A1560" s="2" t="s">
        <v>2199</v>
      </c>
      <c r="B1560" s="2">
        <f t="shared" si="48"/>
        <v>2022</v>
      </c>
      <c r="C1560" s="2" t="str">
        <f t="shared" si="49"/>
        <v>KZN226</v>
      </c>
      <c r="D1560" s="2">
        <v>942</v>
      </c>
      <c r="F1560" s="625"/>
      <c r="G1560" s="625"/>
      <c r="H1560" s="625"/>
      <c r="I1560" s="625"/>
      <c r="J1560" s="625"/>
      <c r="K1560" s="625"/>
      <c r="L1560" s="625"/>
      <c r="M1560" s="626"/>
      <c r="N1560" s="626"/>
      <c r="O1560" s="626"/>
      <c r="P1560" s="626"/>
      <c r="Q1560" s="626"/>
      <c r="W1560" t="s">
        <v>2047</v>
      </c>
    </row>
    <row r="1561" spans="1:23" ht="13.15" customHeight="1" x14ac:dyDescent="0.2">
      <c r="A1561" s="2" t="s">
        <v>2199</v>
      </c>
      <c r="B1561" s="2">
        <f t="shared" si="48"/>
        <v>2022</v>
      </c>
      <c r="C1561" s="2" t="str">
        <f t="shared" si="49"/>
        <v>KZN226</v>
      </c>
      <c r="D1561" s="2">
        <v>943</v>
      </c>
      <c r="F1561" s="625"/>
      <c r="G1561" s="625"/>
      <c r="H1561" s="625"/>
      <c r="I1561" s="625"/>
      <c r="J1561" s="625"/>
      <c r="K1561" s="625"/>
      <c r="L1561" s="625"/>
      <c r="M1561" s="626"/>
      <c r="N1561" s="626"/>
      <c r="O1561" s="626"/>
      <c r="P1561" s="626"/>
      <c r="Q1561" s="626"/>
      <c r="W1561" t="s">
        <v>2047</v>
      </c>
    </row>
    <row r="1562" spans="1:23" ht="13.15" customHeight="1" x14ac:dyDescent="0.2">
      <c r="A1562" s="2" t="s">
        <v>2199</v>
      </c>
      <c r="B1562" s="2">
        <f t="shared" si="48"/>
        <v>2022</v>
      </c>
      <c r="C1562" s="2" t="str">
        <f t="shared" si="49"/>
        <v>KZN226</v>
      </c>
      <c r="D1562" s="2">
        <v>944</v>
      </c>
      <c r="F1562" s="625"/>
      <c r="G1562" s="625"/>
      <c r="H1562" s="625"/>
      <c r="I1562" s="625"/>
      <c r="J1562" s="625"/>
      <c r="K1562" s="625"/>
      <c r="L1562" s="625"/>
      <c r="M1562" s="626"/>
      <c r="N1562" s="626"/>
      <c r="O1562" s="626"/>
      <c r="P1562" s="626"/>
      <c r="Q1562" s="626"/>
      <c r="W1562" t="s">
        <v>2047</v>
      </c>
    </row>
    <row r="1563" spans="1:23" ht="13.15" customHeight="1" x14ac:dyDescent="0.2">
      <c r="A1563" s="2" t="s">
        <v>2199</v>
      </c>
      <c r="B1563" s="2">
        <f t="shared" si="48"/>
        <v>2022</v>
      </c>
      <c r="C1563" s="2" t="str">
        <f t="shared" si="49"/>
        <v>KZN226</v>
      </c>
      <c r="D1563" s="2">
        <v>945</v>
      </c>
      <c r="F1563" s="625"/>
      <c r="G1563" s="625"/>
      <c r="H1563" s="625"/>
      <c r="I1563" s="625"/>
      <c r="J1563" s="625"/>
      <c r="K1563" s="625"/>
      <c r="L1563" s="625"/>
      <c r="M1563" s="626"/>
      <c r="N1563" s="626"/>
      <c r="O1563" s="626"/>
      <c r="P1563" s="626"/>
      <c r="Q1563" s="626"/>
      <c r="W1563" t="s">
        <v>2047</v>
      </c>
    </row>
    <row r="1564" spans="1:23" ht="13.15" customHeight="1" x14ac:dyDescent="0.2">
      <c r="A1564" s="2" t="s">
        <v>2199</v>
      </c>
      <c r="B1564" s="2">
        <f t="shared" si="48"/>
        <v>2022</v>
      </c>
      <c r="C1564" s="2" t="str">
        <f t="shared" si="49"/>
        <v>KZN226</v>
      </c>
      <c r="D1564" s="2">
        <v>946</v>
      </c>
      <c r="F1564" s="625"/>
      <c r="G1564" s="625"/>
      <c r="H1564" s="625"/>
      <c r="I1564" s="625"/>
      <c r="J1564" s="625"/>
      <c r="K1564" s="625"/>
      <c r="L1564" s="625"/>
      <c r="M1564" s="626"/>
      <c r="N1564" s="626"/>
      <c r="O1564" s="626"/>
      <c r="P1564" s="626"/>
      <c r="Q1564" s="626"/>
      <c r="W1564" t="s">
        <v>2047</v>
      </c>
    </row>
    <row r="1565" spans="1:23" ht="13.15" customHeight="1" x14ac:dyDescent="0.2">
      <c r="A1565" s="2" t="s">
        <v>2199</v>
      </c>
      <c r="B1565" s="2">
        <f t="shared" si="48"/>
        <v>2022</v>
      </c>
      <c r="C1565" s="2" t="str">
        <f t="shared" si="49"/>
        <v>KZN226</v>
      </c>
      <c r="D1565" s="2">
        <v>947</v>
      </c>
      <c r="F1565" s="625"/>
      <c r="G1565" s="625"/>
      <c r="H1565" s="625"/>
      <c r="I1565" s="625"/>
      <c r="J1565" s="625"/>
      <c r="K1565" s="625"/>
      <c r="L1565" s="625"/>
      <c r="M1565" s="626"/>
      <c r="N1565" s="626"/>
      <c r="O1565" s="626"/>
      <c r="P1565" s="626"/>
      <c r="Q1565" s="626"/>
      <c r="W1565" t="s">
        <v>2047</v>
      </c>
    </row>
    <row r="1566" spans="1:23" ht="13.15" customHeight="1" x14ac:dyDescent="0.2">
      <c r="A1566" s="2" t="s">
        <v>2199</v>
      </c>
      <c r="B1566" s="2">
        <f t="shared" si="48"/>
        <v>2022</v>
      </c>
      <c r="C1566" s="2" t="str">
        <f t="shared" si="49"/>
        <v>KZN226</v>
      </c>
      <c r="D1566" s="2">
        <v>948</v>
      </c>
      <c r="F1566" s="625"/>
      <c r="G1566" s="625"/>
      <c r="H1566" s="625"/>
      <c r="I1566" s="625"/>
      <c r="J1566" s="625"/>
      <c r="K1566" s="625"/>
      <c r="L1566" s="625"/>
      <c r="M1566" s="626"/>
      <c r="N1566" s="626"/>
      <c r="O1566" s="626"/>
      <c r="P1566" s="626"/>
      <c r="Q1566" s="626"/>
      <c r="W1566" t="s">
        <v>2047</v>
      </c>
    </row>
    <row r="1567" spans="1:23" ht="13.15" customHeight="1" x14ac:dyDescent="0.2">
      <c r="A1567" s="2" t="s">
        <v>2199</v>
      </c>
      <c r="B1567" s="2">
        <f t="shared" si="48"/>
        <v>2022</v>
      </c>
      <c r="C1567" s="2" t="str">
        <f t="shared" si="49"/>
        <v>KZN226</v>
      </c>
      <c r="D1567" s="2">
        <v>949</v>
      </c>
      <c r="F1567" s="625"/>
      <c r="G1567" s="625"/>
      <c r="H1567" s="625"/>
      <c r="I1567" s="625"/>
      <c r="J1567" s="625"/>
      <c r="K1567" s="625"/>
      <c r="L1567" s="625"/>
      <c r="M1567" s="626"/>
      <c r="N1567" s="626"/>
      <c r="O1567" s="626"/>
      <c r="P1567" s="626"/>
      <c r="Q1567" s="626"/>
      <c r="W1567" t="s">
        <v>2047</v>
      </c>
    </row>
    <row r="1568" spans="1:23" ht="13.15" customHeight="1" x14ac:dyDescent="0.2">
      <c r="A1568" s="2" t="s">
        <v>2199</v>
      </c>
      <c r="B1568" s="2">
        <f t="shared" si="48"/>
        <v>2022</v>
      </c>
      <c r="C1568" s="2" t="str">
        <f t="shared" si="49"/>
        <v>KZN226</v>
      </c>
      <c r="D1568" s="2">
        <v>950</v>
      </c>
      <c r="F1568" s="625"/>
      <c r="G1568" s="625"/>
      <c r="H1568" s="625"/>
      <c r="I1568" s="625"/>
      <c r="J1568" s="625"/>
      <c r="K1568" s="625"/>
      <c r="L1568" s="625"/>
      <c r="M1568" s="626"/>
      <c r="N1568" s="626"/>
      <c r="O1568" s="626"/>
      <c r="P1568" s="626"/>
      <c r="Q1568" s="626"/>
      <c r="W1568" t="s">
        <v>2047</v>
      </c>
    </row>
    <row r="1569" spans="1:23" ht="13.15" customHeight="1" x14ac:dyDescent="0.2">
      <c r="A1569" s="2" t="s">
        <v>2199</v>
      </c>
      <c r="B1569" s="2">
        <f t="shared" si="48"/>
        <v>2022</v>
      </c>
      <c r="C1569" s="2" t="str">
        <f t="shared" si="49"/>
        <v>KZN226</v>
      </c>
      <c r="D1569" s="2">
        <v>951</v>
      </c>
      <c r="F1569" s="625"/>
      <c r="G1569" s="625"/>
      <c r="H1569" s="625"/>
      <c r="I1569" s="625"/>
      <c r="J1569" s="625"/>
      <c r="K1569" s="625"/>
      <c r="L1569" s="625"/>
      <c r="M1569" s="626"/>
      <c r="N1569" s="626"/>
      <c r="O1569" s="626"/>
      <c r="P1569" s="626"/>
      <c r="Q1569" s="626"/>
      <c r="W1569" t="s">
        <v>2047</v>
      </c>
    </row>
    <row r="1570" spans="1:23" ht="13.15" customHeight="1" x14ac:dyDescent="0.2">
      <c r="A1570" s="2" t="s">
        <v>2199</v>
      </c>
      <c r="B1570" s="2">
        <f t="shared" si="48"/>
        <v>2022</v>
      </c>
      <c r="C1570" s="2" t="str">
        <f t="shared" si="49"/>
        <v>KZN226</v>
      </c>
      <c r="D1570" s="2">
        <v>952</v>
      </c>
      <c r="F1570" s="625"/>
      <c r="G1570" s="625"/>
      <c r="H1570" s="625"/>
      <c r="I1570" s="625"/>
      <c r="J1570" s="625"/>
      <c r="K1570" s="625"/>
      <c r="L1570" s="625"/>
      <c r="M1570" s="626"/>
      <c r="N1570" s="626"/>
      <c r="O1570" s="626"/>
      <c r="P1570" s="626"/>
      <c r="Q1570" s="626"/>
      <c r="W1570" t="s">
        <v>2047</v>
      </c>
    </row>
    <row r="1571" spans="1:23" ht="13.15" customHeight="1" x14ac:dyDescent="0.2">
      <c r="A1571" s="2" t="s">
        <v>2199</v>
      </c>
      <c r="B1571" s="2">
        <f t="shared" si="48"/>
        <v>2022</v>
      </c>
      <c r="C1571" s="2" t="str">
        <f t="shared" si="49"/>
        <v>KZN226</v>
      </c>
      <c r="D1571" s="2">
        <v>953</v>
      </c>
      <c r="F1571" s="625"/>
      <c r="G1571" s="625"/>
      <c r="H1571" s="625"/>
      <c r="I1571" s="625"/>
      <c r="J1571" s="625"/>
      <c r="K1571" s="625"/>
      <c r="L1571" s="625"/>
      <c r="M1571" s="626"/>
      <c r="N1571" s="626"/>
      <c r="O1571" s="626"/>
      <c r="P1571" s="626"/>
      <c r="Q1571" s="626"/>
      <c r="W1571" t="s">
        <v>2047</v>
      </c>
    </row>
    <row r="1572" spans="1:23" ht="13.15" customHeight="1" x14ac:dyDescent="0.2">
      <c r="A1572" s="2" t="s">
        <v>2199</v>
      </c>
      <c r="B1572" s="2">
        <f t="shared" si="48"/>
        <v>2022</v>
      </c>
      <c r="C1572" s="2" t="str">
        <f t="shared" si="49"/>
        <v>KZN226</v>
      </c>
      <c r="D1572" s="2">
        <v>954</v>
      </c>
      <c r="F1572" s="625"/>
      <c r="G1572" s="625"/>
      <c r="H1572" s="625"/>
      <c r="I1572" s="625"/>
      <c r="J1572" s="625"/>
      <c r="K1572" s="625"/>
      <c r="L1572" s="625"/>
      <c r="M1572" s="626"/>
      <c r="N1572" s="626"/>
      <c r="O1572" s="626"/>
      <c r="P1572" s="626"/>
      <c r="Q1572" s="626"/>
      <c r="W1572" t="s">
        <v>2047</v>
      </c>
    </row>
    <row r="1573" spans="1:23" ht="13.15" customHeight="1" x14ac:dyDescent="0.2">
      <c r="A1573" s="2" t="s">
        <v>2199</v>
      </c>
      <c r="B1573" s="2">
        <f t="shared" si="48"/>
        <v>2022</v>
      </c>
      <c r="C1573" s="2" t="str">
        <f t="shared" si="49"/>
        <v>KZN226</v>
      </c>
      <c r="D1573" s="2">
        <v>955</v>
      </c>
      <c r="F1573" s="625"/>
      <c r="G1573" s="625"/>
      <c r="H1573" s="625"/>
      <c r="I1573" s="625"/>
      <c r="J1573" s="625"/>
      <c r="K1573" s="625"/>
      <c r="L1573" s="625"/>
      <c r="M1573" s="626"/>
      <c r="N1573" s="626"/>
      <c r="O1573" s="626"/>
      <c r="P1573" s="626"/>
      <c r="Q1573" s="626"/>
      <c r="W1573" t="s">
        <v>2047</v>
      </c>
    </row>
    <row r="1574" spans="1:23" ht="13.15" customHeight="1" x14ac:dyDescent="0.2">
      <c r="A1574" s="2" t="s">
        <v>2199</v>
      </c>
      <c r="B1574" s="2">
        <f t="shared" si="48"/>
        <v>2022</v>
      </c>
      <c r="C1574" s="2" t="str">
        <f t="shared" si="49"/>
        <v>KZN226</v>
      </c>
      <c r="D1574" s="2">
        <v>956</v>
      </c>
      <c r="F1574" s="625"/>
      <c r="G1574" s="625"/>
      <c r="H1574" s="625"/>
      <c r="I1574" s="625"/>
      <c r="J1574" s="625"/>
      <c r="K1574" s="625"/>
      <c r="L1574" s="625"/>
      <c r="M1574" s="626"/>
      <c r="N1574" s="626"/>
      <c r="O1574" s="626"/>
      <c r="P1574" s="626"/>
      <c r="Q1574" s="626"/>
      <c r="W1574" t="s">
        <v>2047</v>
      </c>
    </row>
    <row r="1575" spans="1:23" ht="13.15" customHeight="1" x14ac:dyDescent="0.2">
      <c r="A1575" s="2" t="s">
        <v>2199</v>
      </c>
      <c r="B1575" s="2">
        <f t="shared" si="48"/>
        <v>2022</v>
      </c>
      <c r="C1575" s="2" t="str">
        <f t="shared" si="49"/>
        <v>KZN226</v>
      </c>
      <c r="D1575" s="2">
        <v>957</v>
      </c>
      <c r="F1575" s="625"/>
      <c r="G1575" s="625"/>
      <c r="H1575" s="625"/>
      <c r="I1575" s="625"/>
      <c r="J1575" s="625"/>
      <c r="K1575" s="625"/>
      <c r="L1575" s="625"/>
      <c r="M1575" s="626"/>
      <c r="N1575" s="626"/>
      <c r="O1575" s="626"/>
      <c r="P1575" s="626"/>
      <c r="Q1575" s="626"/>
      <c r="W1575" t="s">
        <v>2047</v>
      </c>
    </row>
    <row r="1576" spans="1:23" ht="13.15" customHeight="1" x14ac:dyDescent="0.2">
      <c r="A1576" s="2" t="s">
        <v>2199</v>
      </c>
      <c r="B1576" s="2">
        <f t="shared" si="48"/>
        <v>2022</v>
      </c>
      <c r="C1576" s="2" t="str">
        <f t="shared" si="49"/>
        <v>KZN226</v>
      </c>
      <c r="D1576" s="2">
        <v>958</v>
      </c>
      <c r="F1576" s="625"/>
      <c r="G1576" s="625"/>
      <c r="H1576" s="625"/>
      <c r="I1576" s="625"/>
      <c r="J1576" s="625"/>
      <c r="K1576" s="625"/>
      <c r="L1576" s="625"/>
      <c r="M1576" s="626"/>
      <c r="N1576" s="626"/>
      <c r="O1576" s="626"/>
      <c r="P1576" s="626"/>
      <c r="Q1576" s="626"/>
      <c r="W1576" t="s">
        <v>2047</v>
      </c>
    </row>
    <row r="1577" spans="1:23" ht="13.15" customHeight="1" x14ac:dyDescent="0.2">
      <c r="A1577" s="2" t="s">
        <v>2199</v>
      </c>
      <c r="B1577" s="2">
        <f t="shared" si="48"/>
        <v>2022</v>
      </c>
      <c r="C1577" s="2" t="str">
        <f t="shared" si="49"/>
        <v>KZN226</v>
      </c>
      <c r="D1577" s="2">
        <v>959</v>
      </c>
      <c r="F1577" s="625"/>
      <c r="G1577" s="625"/>
      <c r="H1577" s="625"/>
      <c r="I1577" s="625"/>
      <c r="J1577" s="625"/>
      <c r="K1577" s="625"/>
      <c r="L1577" s="625"/>
      <c r="M1577" s="626"/>
      <c r="N1577" s="626"/>
      <c r="O1577" s="626"/>
      <c r="P1577" s="626"/>
      <c r="Q1577" s="626"/>
      <c r="W1577" t="s">
        <v>2047</v>
      </c>
    </row>
    <row r="1578" spans="1:23" ht="13.15" customHeight="1" x14ac:dyDescent="0.2">
      <c r="A1578" s="2" t="s">
        <v>2199</v>
      </c>
      <c r="B1578" s="2">
        <f t="shared" si="48"/>
        <v>2022</v>
      </c>
      <c r="C1578" s="2" t="str">
        <f t="shared" si="49"/>
        <v>KZN226</v>
      </c>
      <c r="D1578" s="2">
        <v>960</v>
      </c>
      <c r="F1578" s="625"/>
      <c r="G1578" s="625"/>
      <c r="H1578" s="625"/>
      <c r="I1578" s="625"/>
      <c r="J1578" s="625"/>
      <c r="K1578" s="625"/>
      <c r="L1578" s="625"/>
      <c r="M1578" s="626"/>
      <c r="N1578" s="626"/>
      <c r="O1578" s="626"/>
      <c r="P1578" s="626"/>
      <c r="Q1578" s="626"/>
      <c r="W1578" t="s">
        <v>2047</v>
      </c>
    </row>
    <row r="1579" spans="1:23" ht="13.15" customHeight="1" x14ac:dyDescent="0.2">
      <c r="A1579" s="2" t="s">
        <v>2199</v>
      </c>
      <c r="B1579" s="2">
        <f t="shared" si="48"/>
        <v>2022</v>
      </c>
      <c r="C1579" s="2" t="str">
        <f t="shared" si="49"/>
        <v>KZN226</v>
      </c>
      <c r="D1579" s="2">
        <v>961</v>
      </c>
      <c r="F1579" s="625"/>
      <c r="G1579" s="625"/>
      <c r="H1579" s="625"/>
      <c r="I1579" s="625"/>
      <c r="J1579" s="625"/>
      <c r="K1579" s="625"/>
      <c r="L1579" s="625"/>
      <c r="M1579" s="626"/>
      <c r="N1579" s="626"/>
      <c r="O1579" s="626"/>
      <c r="P1579" s="626"/>
      <c r="Q1579" s="626"/>
      <c r="W1579" t="s">
        <v>2047</v>
      </c>
    </row>
    <row r="1580" spans="1:23" ht="13.15" customHeight="1" x14ac:dyDescent="0.2">
      <c r="A1580" s="2" t="s">
        <v>2199</v>
      </c>
      <c r="B1580" s="2">
        <f t="shared" si="48"/>
        <v>2022</v>
      </c>
      <c r="C1580" s="2" t="str">
        <f t="shared" si="49"/>
        <v>KZN226</v>
      </c>
      <c r="D1580" s="2">
        <v>962</v>
      </c>
      <c r="F1580" s="625"/>
      <c r="G1580" s="625"/>
      <c r="H1580" s="625"/>
      <c r="I1580" s="625"/>
      <c r="J1580" s="625"/>
      <c r="K1580" s="625"/>
      <c r="L1580" s="625"/>
      <c r="M1580" s="626"/>
      <c r="N1580" s="626"/>
      <c r="O1580" s="626"/>
      <c r="P1580" s="626"/>
      <c r="Q1580" s="626"/>
      <c r="W1580" t="s">
        <v>2047</v>
      </c>
    </row>
    <row r="1581" spans="1:23" ht="13.15" customHeight="1" x14ac:dyDescent="0.2">
      <c r="A1581" s="2" t="s">
        <v>2199</v>
      </c>
      <c r="B1581" s="2">
        <f t="shared" si="48"/>
        <v>2022</v>
      </c>
      <c r="C1581" s="2" t="str">
        <f t="shared" si="49"/>
        <v>KZN226</v>
      </c>
      <c r="D1581" s="2">
        <v>963</v>
      </c>
      <c r="F1581" s="625"/>
      <c r="G1581" s="625"/>
      <c r="H1581" s="625"/>
      <c r="I1581" s="625"/>
      <c r="J1581" s="625"/>
      <c r="K1581" s="625"/>
      <c r="L1581" s="625"/>
      <c r="M1581" s="626"/>
      <c r="N1581" s="626"/>
      <c r="O1581" s="626"/>
      <c r="P1581" s="626"/>
      <c r="Q1581" s="626"/>
      <c r="W1581" t="s">
        <v>2047</v>
      </c>
    </row>
    <row r="1582" spans="1:23" ht="13.15" customHeight="1" x14ac:dyDescent="0.2">
      <c r="A1582" s="2" t="s">
        <v>2199</v>
      </c>
      <c r="B1582" s="2">
        <f t="shared" si="48"/>
        <v>2022</v>
      </c>
      <c r="C1582" s="2" t="str">
        <f t="shared" si="49"/>
        <v>KZN226</v>
      </c>
      <c r="D1582" s="2">
        <v>964</v>
      </c>
      <c r="F1582" s="625"/>
      <c r="G1582" s="625"/>
      <c r="H1582" s="625"/>
      <c r="I1582" s="625"/>
      <c r="J1582" s="625"/>
      <c r="K1582" s="625"/>
      <c r="L1582" s="625"/>
      <c r="M1582" s="626"/>
      <c r="N1582" s="626"/>
      <c r="O1582" s="626"/>
      <c r="P1582" s="626"/>
      <c r="Q1582" s="626"/>
      <c r="W1582" t="s">
        <v>2047</v>
      </c>
    </row>
    <row r="1583" spans="1:23" ht="13.15" customHeight="1" x14ac:dyDescent="0.2">
      <c r="A1583" s="2" t="s">
        <v>2199</v>
      </c>
      <c r="B1583" s="2">
        <f t="shared" si="48"/>
        <v>2022</v>
      </c>
      <c r="C1583" s="2" t="str">
        <f t="shared" si="49"/>
        <v>KZN226</v>
      </c>
      <c r="D1583" s="2">
        <v>965</v>
      </c>
      <c r="F1583" s="625"/>
      <c r="G1583" s="625"/>
      <c r="H1583" s="625"/>
      <c r="I1583" s="625"/>
      <c r="J1583" s="625"/>
      <c r="K1583" s="625"/>
      <c r="L1583" s="625"/>
      <c r="M1583" s="626"/>
      <c r="N1583" s="626"/>
      <c r="O1583" s="626"/>
      <c r="P1583" s="626"/>
      <c r="Q1583" s="626"/>
      <c r="W1583" t="s">
        <v>2047</v>
      </c>
    </row>
    <row r="1584" spans="1:23" ht="13.15" customHeight="1" x14ac:dyDescent="0.2">
      <c r="A1584" s="2" t="s">
        <v>2199</v>
      </c>
      <c r="B1584" s="2">
        <f t="shared" si="48"/>
        <v>2022</v>
      </c>
      <c r="C1584" s="2" t="str">
        <f t="shared" si="49"/>
        <v>KZN226</v>
      </c>
      <c r="D1584" s="2">
        <v>966</v>
      </c>
      <c r="F1584" s="625"/>
      <c r="G1584" s="625"/>
      <c r="H1584" s="625"/>
      <c r="I1584" s="625"/>
      <c r="J1584" s="625"/>
      <c r="K1584" s="625"/>
      <c r="L1584" s="625"/>
      <c r="M1584" s="626"/>
      <c r="N1584" s="626"/>
      <c r="O1584" s="626"/>
      <c r="P1584" s="626"/>
      <c r="Q1584" s="626"/>
      <c r="W1584" t="s">
        <v>2047</v>
      </c>
    </row>
    <row r="1585" spans="1:23" ht="13.15" customHeight="1" x14ac:dyDescent="0.2">
      <c r="A1585" s="2" t="s">
        <v>2199</v>
      </c>
      <c r="B1585" s="2">
        <f t="shared" si="48"/>
        <v>2022</v>
      </c>
      <c r="C1585" s="2" t="str">
        <f t="shared" si="49"/>
        <v>KZN226</v>
      </c>
      <c r="D1585" s="2">
        <v>967</v>
      </c>
      <c r="F1585" s="625"/>
      <c r="G1585" s="625"/>
      <c r="H1585" s="625"/>
      <c r="I1585" s="625"/>
      <c r="J1585" s="625"/>
      <c r="K1585" s="625"/>
      <c r="L1585" s="625"/>
      <c r="M1585" s="626"/>
      <c r="N1585" s="626"/>
      <c r="O1585" s="626"/>
      <c r="P1585" s="626"/>
      <c r="Q1585" s="626"/>
      <c r="W1585" t="s">
        <v>2047</v>
      </c>
    </row>
    <row r="1586" spans="1:23" ht="13.15" customHeight="1" x14ac:dyDescent="0.2">
      <c r="A1586" s="2" t="s">
        <v>2199</v>
      </c>
      <c r="B1586" s="2">
        <f t="shared" si="48"/>
        <v>2022</v>
      </c>
      <c r="C1586" s="2" t="str">
        <f t="shared" si="49"/>
        <v>KZN226</v>
      </c>
      <c r="D1586" s="2">
        <v>968</v>
      </c>
      <c r="F1586" s="625"/>
      <c r="G1586" s="625"/>
      <c r="H1586" s="625"/>
      <c r="I1586" s="625"/>
      <c r="J1586" s="625"/>
      <c r="K1586" s="625"/>
      <c r="L1586" s="625"/>
      <c r="M1586" s="626"/>
      <c r="N1586" s="626"/>
      <c r="O1586" s="626"/>
      <c r="P1586" s="626"/>
      <c r="Q1586" s="626"/>
      <c r="W1586" t="s">
        <v>2047</v>
      </c>
    </row>
    <row r="1587" spans="1:23" ht="13.15" customHeight="1" x14ac:dyDescent="0.2">
      <c r="A1587" s="2" t="s">
        <v>2199</v>
      </c>
      <c r="B1587" s="2">
        <f t="shared" si="48"/>
        <v>2022</v>
      </c>
      <c r="C1587" s="2" t="str">
        <f t="shared" si="49"/>
        <v>KZN226</v>
      </c>
      <c r="D1587" s="2">
        <v>969</v>
      </c>
      <c r="F1587" s="625"/>
      <c r="G1587" s="625"/>
      <c r="H1587" s="625"/>
      <c r="I1587" s="625"/>
      <c r="J1587" s="625"/>
      <c r="K1587" s="625"/>
      <c r="L1587" s="625"/>
      <c r="M1587" s="626"/>
      <c r="N1587" s="626"/>
      <c r="O1587" s="626"/>
      <c r="P1587" s="626"/>
      <c r="Q1587" s="626"/>
      <c r="W1587" t="s">
        <v>2047</v>
      </c>
    </row>
    <row r="1588" spans="1:23" ht="13.15" customHeight="1" x14ac:dyDescent="0.2">
      <c r="A1588" s="2" t="s">
        <v>2199</v>
      </c>
      <c r="B1588" s="2">
        <f t="shared" si="48"/>
        <v>2022</v>
      </c>
      <c r="C1588" s="2" t="str">
        <f t="shared" si="49"/>
        <v>KZN226</v>
      </c>
      <c r="D1588" s="2">
        <v>970</v>
      </c>
      <c r="F1588" s="625"/>
      <c r="G1588" s="625"/>
      <c r="H1588" s="625"/>
      <c r="I1588" s="625"/>
      <c r="J1588" s="625"/>
      <c r="K1588" s="625"/>
      <c r="L1588" s="625"/>
      <c r="M1588" s="626"/>
      <c r="N1588" s="626"/>
      <c r="O1588" s="626"/>
      <c r="P1588" s="626"/>
      <c r="Q1588" s="626"/>
      <c r="W1588" t="s">
        <v>2047</v>
      </c>
    </row>
    <row r="1589" spans="1:23" ht="13.15" customHeight="1" x14ac:dyDescent="0.2">
      <c r="A1589" s="2" t="s">
        <v>2199</v>
      </c>
      <c r="B1589" s="2">
        <f t="shared" si="48"/>
        <v>2022</v>
      </c>
      <c r="C1589" s="2" t="str">
        <f t="shared" si="49"/>
        <v>KZN226</v>
      </c>
      <c r="D1589" s="2">
        <v>971</v>
      </c>
      <c r="F1589" s="625"/>
      <c r="G1589" s="625"/>
      <c r="H1589" s="625"/>
      <c r="I1589" s="625"/>
      <c r="J1589" s="625"/>
      <c r="K1589" s="625"/>
      <c r="L1589" s="625"/>
      <c r="M1589" s="626"/>
      <c r="N1589" s="626"/>
      <c r="O1589" s="626"/>
      <c r="P1589" s="626"/>
      <c r="Q1589" s="626"/>
      <c r="W1589" t="s">
        <v>2047</v>
      </c>
    </row>
    <row r="1590" spans="1:23" ht="13.15" customHeight="1" x14ac:dyDescent="0.2">
      <c r="A1590" s="2" t="s">
        <v>2199</v>
      </c>
      <c r="B1590" s="2">
        <f t="shared" si="48"/>
        <v>2022</v>
      </c>
      <c r="C1590" s="2" t="str">
        <f t="shared" si="49"/>
        <v>KZN226</v>
      </c>
      <c r="D1590" s="2">
        <v>972</v>
      </c>
      <c r="F1590" s="625"/>
      <c r="G1590" s="625"/>
      <c r="H1590" s="625"/>
      <c r="I1590" s="625"/>
      <c r="J1590" s="625"/>
      <c r="K1590" s="625"/>
      <c r="L1590" s="625"/>
      <c r="M1590" s="626"/>
      <c r="N1590" s="626"/>
      <c r="O1590" s="626"/>
      <c r="P1590" s="626"/>
      <c r="Q1590" s="626"/>
      <c r="W1590" t="s">
        <v>2047</v>
      </c>
    </row>
    <row r="1591" spans="1:23" ht="13.15" customHeight="1" x14ac:dyDescent="0.2">
      <c r="A1591" s="2" t="s">
        <v>2199</v>
      </c>
      <c r="B1591" s="2">
        <f t="shared" si="48"/>
        <v>2022</v>
      </c>
      <c r="C1591" s="2" t="str">
        <f t="shared" si="49"/>
        <v>KZN226</v>
      </c>
      <c r="D1591" s="2">
        <v>973</v>
      </c>
      <c r="F1591" s="625"/>
      <c r="G1591" s="625"/>
      <c r="H1591" s="625"/>
      <c r="I1591" s="625"/>
      <c r="J1591" s="625"/>
      <c r="K1591" s="625"/>
      <c r="L1591" s="625"/>
      <c r="M1591" s="626"/>
      <c r="N1591" s="626"/>
      <c r="O1591" s="626"/>
      <c r="P1591" s="626"/>
      <c r="Q1591" s="626"/>
      <c r="W1591" t="s">
        <v>2047</v>
      </c>
    </row>
    <row r="1592" spans="1:23" ht="13.15" customHeight="1" x14ac:dyDescent="0.2">
      <c r="A1592" s="2" t="s">
        <v>2199</v>
      </c>
      <c r="B1592" s="2">
        <f t="shared" si="48"/>
        <v>2022</v>
      </c>
      <c r="C1592" s="2" t="str">
        <f t="shared" si="49"/>
        <v>KZN226</v>
      </c>
      <c r="D1592" s="2">
        <v>974</v>
      </c>
      <c r="F1592" s="625"/>
      <c r="G1592" s="625"/>
      <c r="H1592" s="625"/>
      <c r="I1592" s="625"/>
      <c r="J1592" s="625"/>
      <c r="K1592" s="625"/>
      <c r="L1592" s="625"/>
      <c r="M1592" s="626"/>
      <c r="N1592" s="626"/>
      <c r="O1592" s="626"/>
      <c r="P1592" s="626"/>
      <c r="Q1592" s="626"/>
      <c r="W1592" t="s">
        <v>2047</v>
      </c>
    </row>
    <row r="1593" spans="1:23" ht="13.15" customHeight="1" x14ac:dyDescent="0.2">
      <c r="A1593" s="2" t="s">
        <v>2199</v>
      </c>
      <c r="B1593" s="2">
        <f t="shared" si="48"/>
        <v>2022</v>
      </c>
      <c r="C1593" s="2" t="str">
        <f t="shared" si="49"/>
        <v>KZN226</v>
      </c>
      <c r="D1593" s="2">
        <v>975</v>
      </c>
      <c r="F1593" s="625"/>
      <c r="G1593" s="625"/>
      <c r="H1593" s="625"/>
      <c r="I1593" s="625"/>
      <c r="J1593" s="625"/>
      <c r="K1593" s="625"/>
      <c r="L1593" s="625"/>
      <c r="M1593" s="626"/>
      <c r="N1593" s="626"/>
      <c r="O1593" s="626"/>
      <c r="P1593" s="626"/>
      <c r="Q1593" s="626"/>
      <c r="W1593" t="s">
        <v>2047</v>
      </c>
    </row>
    <row r="1594" spans="1:23" ht="13.15" customHeight="1" x14ac:dyDescent="0.2">
      <c r="A1594" s="2" t="s">
        <v>2199</v>
      </c>
      <c r="B1594" s="2">
        <f t="shared" si="48"/>
        <v>2022</v>
      </c>
      <c r="C1594" s="2" t="str">
        <f t="shared" si="49"/>
        <v>KZN226</v>
      </c>
      <c r="D1594" s="2">
        <v>976</v>
      </c>
      <c r="F1594" s="625"/>
      <c r="G1594" s="625"/>
      <c r="H1594" s="625"/>
      <c r="I1594" s="625"/>
      <c r="J1594" s="625"/>
      <c r="K1594" s="625"/>
      <c r="L1594" s="625"/>
      <c r="M1594" s="626"/>
      <c r="N1594" s="626"/>
      <c r="O1594" s="626"/>
      <c r="P1594" s="626"/>
      <c r="Q1594" s="626"/>
      <c r="W1594" t="s">
        <v>2047</v>
      </c>
    </row>
    <row r="1595" spans="1:23" ht="13.15" customHeight="1" x14ac:dyDescent="0.2">
      <c r="A1595" s="2" t="s">
        <v>2199</v>
      </c>
      <c r="B1595" s="2">
        <f t="shared" si="48"/>
        <v>2022</v>
      </c>
      <c r="C1595" s="2" t="str">
        <f t="shared" si="49"/>
        <v>KZN226</v>
      </c>
      <c r="D1595" s="2">
        <v>977</v>
      </c>
      <c r="F1595" s="625"/>
      <c r="G1595" s="625"/>
      <c r="H1595" s="625"/>
      <c r="I1595" s="625"/>
      <c r="J1595" s="625"/>
      <c r="K1595" s="625"/>
      <c r="L1595" s="625"/>
      <c r="M1595" s="626"/>
      <c r="N1595" s="626"/>
      <c r="O1595" s="626"/>
      <c r="P1595" s="626"/>
      <c r="Q1595" s="626"/>
      <c r="W1595" t="s">
        <v>2047</v>
      </c>
    </row>
    <row r="1596" spans="1:23" ht="13.15" customHeight="1" x14ac:dyDescent="0.2">
      <c r="A1596" s="2" t="s">
        <v>2199</v>
      </c>
      <c r="B1596" s="2">
        <f t="shared" si="48"/>
        <v>2022</v>
      </c>
      <c r="C1596" s="2" t="str">
        <f t="shared" si="49"/>
        <v>KZN226</v>
      </c>
      <c r="D1596" s="2">
        <v>978</v>
      </c>
      <c r="F1596" s="625"/>
      <c r="G1596" s="625"/>
      <c r="H1596" s="625"/>
      <c r="I1596" s="625"/>
      <c r="J1596" s="625"/>
      <c r="K1596" s="625"/>
      <c r="L1596" s="625"/>
      <c r="M1596" s="626"/>
      <c r="N1596" s="626"/>
      <c r="O1596" s="626"/>
      <c r="P1596" s="626"/>
      <c r="Q1596" s="626"/>
      <c r="W1596" t="s">
        <v>2047</v>
      </c>
    </row>
    <row r="1597" spans="1:23" ht="13.15" customHeight="1" x14ac:dyDescent="0.2">
      <c r="A1597" s="2" t="s">
        <v>2199</v>
      </c>
      <c r="B1597" s="2">
        <f t="shared" si="48"/>
        <v>2022</v>
      </c>
      <c r="C1597" s="2" t="str">
        <f t="shared" si="49"/>
        <v>KZN226</v>
      </c>
      <c r="D1597" s="2">
        <v>979</v>
      </c>
      <c r="F1597" s="625"/>
      <c r="G1597" s="625"/>
      <c r="H1597" s="625"/>
      <c r="I1597" s="625"/>
      <c r="J1597" s="625"/>
      <c r="K1597" s="625"/>
      <c r="L1597" s="625"/>
      <c r="M1597" s="626"/>
      <c r="N1597" s="626"/>
      <c r="O1597" s="626"/>
      <c r="P1597" s="626"/>
      <c r="Q1597" s="626"/>
      <c r="W1597" t="s">
        <v>2047</v>
      </c>
    </row>
    <row r="1598" spans="1:23" ht="13.15" customHeight="1" x14ac:dyDescent="0.2">
      <c r="A1598" s="2" t="s">
        <v>2199</v>
      </c>
      <c r="B1598" s="2">
        <f t="shared" si="48"/>
        <v>2022</v>
      </c>
      <c r="C1598" s="2" t="str">
        <f t="shared" si="49"/>
        <v>KZN226</v>
      </c>
      <c r="D1598" s="2">
        <v>980</v>
      </c>
      <c r="F1598" s="625"/>
      <c r="G1598" s="625"/>
      <c r="H1598" s="625"/>
      <c r="I1598" s="625"/>
      <c r="J1598" s="625"/>
      <c r="K1598" s="625"/>
      <c r="L1598" s="625"/>
      <c r="M1598" s="626"/>
      <c r="N1598" s="626"/>
      <c r="O1598" s="626"/>
      <c r="P1598" s="626"/>
      <c r="Q1598" s="626"/>
      <c r="W1598" t="s">
        <v>2047</v>
      </c>
    </row>
    <row r="1599" spans="1:23" ht="13.15" customHeight="1" x14ac:dyDescent="0.2">
      <c r="A1599" s="2" t="s">
        <v>2199</v>
      </c>
      <c r="B1599" s="2">
        <f t="shared" si="48"/>
        <v>2022</v>
      </c>
      <c r="C1599" s="2" t="str">
        <f t="shared" si="49"/>
        <v>KZN226</v>
      </c>
      <c r="D1599" s="2">
        <v>981</v>
      </c>
      <c r="F1599" s="625"/>
      <c r="G1599" s="625"/>
      <c r="H1599" s="625"/>
      <c r="I1599" s="625"/>
      <c r="J1599" s="625"/>
      <c r="K1599" s="625"/>
      <c r="L1599" s="625"/>
      <c r="M1599" s="626"/>
      <c r="N1599" s="626"/>
      <c r="O1599" s="626"/>
      <c r="P1599" s="626"/>
      <c r="Q1599" s="626"/>
      <c r="W1599" t="s">
        <v>2047</v>
      </c>
    </row>
    <row r="1600" spans="1:23" ht="13.15" customHeight="1" x14ac:dyDescent="0.2">
      <c r="A1600" s="2" t="s">
        <v>2199</v>
      </c>
      <c r="B1600" s="2">
        <f t="shared" si="48"/>
        <v>2022</v>
      </c>
      <c r="C1600" s="2" t="str">
        <f t="shared" si="49"/>
        <v>KZN226</v>
      </c>
      <c r="D1600" s="2">
        <v>982</v>
      </c>
      <c r="F1600" s="625"/>
      <c r="G1600" s="625"/>
      <c r="H1600" s="625"/>
      <c r="I1600" s="625"/>
      <c r="J1600" s="625"/>
      <c r="K1600" s="625"/>
      <c r="L1600" s="625"/>
      <c r="M1600" s="626"/>
      <c r="N1600" s="626"/>
      <c r="O1600" s="626"/>
      <c r="P1600" s="626"/>
      <c r="Q1600" s="626"/>
      <c r="W1600" t="s">
        <v>2047</v>
      </c>
    </row>
    <row r="1601" spans="1:23" ht="13.15" customHeight="1" x14ac:dyDescent="0.2">
      <c r="A1601" s="2" t="s">
        <v>2199</v>
      </c>
      <c r="B1601" s="2">
        <f t="shared" si="48"/>
        <v>2022</v>
      </c>
      <c r="C1601" s="2" t="str">
        <f t="shared" si="49"/>
        <v>KZN226</v>
      </c>
      <c r="D1601" s="2">
        <v>983</v>
      </c>
      <c r="F1601" s="625"/>
      <c r="G1601" s="625"/>
      <c r="H1601" s="625"/>
      <c r="I1601" s="625"/>
      <c r="J1601" s="625"/>
      <c r="K1601" s="625"/>
      <c r="L1601" s="625"/>
      <c r="M1601" s="626"/>
      <c r="N1601" s="626"/>
      <c r="O1601" s="626"/>
      <c r="P1601" s="626"/>
      <c r="Q1601" s="626"/>
      <c r="W1601" t="s">
        <v>2047</v>
      </c>
    </row>
    <row r="1602" spans="1:23" ht="13.15" customHeight="1" x14ac:dyDescent="0.2">
      <c r="A1602" s="2" t="s">
        <v>2199</v>
      </c>
      <c r="B1602" s="2">
        <f t="shared" ref="B1602:B1665" si="50">+MTREF</f>
        <v>2022</v>
      </c>
      <c r="C1602" s="2" t="str">
        <f t="shared" ref="C1602:C1665" si="51">LEFT(muni,(FIND(" ",muni,1)-1))</f>
        <v>KZN226</v>
      </c>
      <c r="D1602" s="2">
        <v>984</v>
      </c>
      <c r="F1602" s="625"/>
      <c r="G1602" s="625"/>
      <c r="H1602" s="625"/>
      <c r="I1602" s="625"/>
      <c r="J1602" s="625"/>
      <c r="K1602" s="625"/>
      <c r="L1602" s="625"/>
      <c r="M1602" s="626"/>
      <c r="N1602" s="626"/>
      <c r="O1602" s="626"/>
      <c r="P1602" s="626"/>
      <c r="Q1602" s="626"/>
      <c r="W1602" t="s">
        <v>2047</v>
      </c>
    </row>
    <row r="1603" spans="1:23" ht="13.15" customHeight="1" x14ac:dyDescent="0.2">
      <c r="A1603" s="2" t="s">
        <v>2199</v>
      </c>
      <c r="B1603" s="2">
        <f t="shared" si="50"/>
        <v>2022</v>
      </c>
      <c r="C1603" s="2" t="str">
        <f t="shared" si="51"/>
        <v>KZN226</v>
      </c>
      <c r="D1603" s="2">
        <v>985</v>
      </c>
      <c r="F1603" s="625"/>
      <c r="G1603" s="625"/>
      <c r="H1603" s="625"/>
      <c r="I1603" s="625"/>
      <c r="J1603" s="625"/>
      <c r="K1603" s="625"/>
      <c r="L1603" s="625"/>
      <c r="M1603" s="626"/>
      <c r="N1603" s="626"/>
      <c r="O1603" s="626"/>
      <c r="P1603" s="626"/>
      <c r="Q1603" s="626"/>
      <c r="W1603" t="s">
        <v>2047</v>
      </c>
    </row>
    <row r="1604" spans="1:23" ht="13.15" customHeight="1" x14ac:dyDescent="0.2">
      <c r="A1604" s="2" t="s">
        <v>2199</v>
      </c>
      <c r="B1604" s="2">
        <f t="shared" si="50"/>
        <v>2022</v>
      </c>
      <c r="C1604" s="2" t="str">
        <f t="shared" si="51"/>
        <v>KZN226</v>
      </c>
      <c r="D1604" s="2">
        <v>986</v>
      </c>
      <c r="F1604" s="625"/>
      <c r="G1604" s="625"/>
      <c r="H1604" s="625"/>
      <c r="I1604" s="625"/>
      <c r="J1604" s="625"/>
      <c r="K1604" s="625"/>
      <c r="L1604" s="625"/>
      <c r="M1604" s="626"/>
      <c r="N1604" s="626"/>
      <c r="O1604" s="626"/>
      <c r="P1604" s="626"/>
      <c r="Q1604" s="626"/>
      <c r="W1604" t="s">
        <v>2047</v>
      </c>
    </row>
    <row r="1605" spans="1:23" ht="13.15" customHeight="1" x14ac:dyDescent="0.2">
      <c r="A1605" s="2" t="s">
        <v>2199</v>
      </c>
      <c r="B1605" s="2">
        <f t="shared" si="50"/>
        <v>2022</v>
      </c>
      <c r="C1605" s="2" t="str">
        <f t="shared" si="51"/>
        <v>KZN226</v>
      </c>
      <c r="D1605" s="2">
        <v>987</v>
      </c>
      <c r="F1605" s="625"/>
      <c r="G1605" s="625"/>
      <c r="H1605" s="625"/>
      <c r="I1605" s="625"/>
      <c r="J1605" s="625"/>
      <c r="K1605" s="625"/>
      <c r="L1605" s="625"/>
      <c r="M1605" s="626"/>
      <c r="N1605" s="626"/>
      <c r="O1605" s="626"/>
      <c r="P1605" s="626"/>
      <c r="Q1605" s="626"/>
      <c r="W1605" t="s">
        <v>2047</v>
      </c>
    </row>
    <row r="1606" spans="1:23" ht="13.15" customHeight="1" x14ac:dyDescent="0.2">
      <c r="A1606" s="2" t="s">
        <v>2199</v>
      </c>
      <c r="B1606" s="2">
        <f t="shared" si="50"/>
        <v>2022</v>
      </c>
      <c r="C1606" s="2" t="str">
        <f t="shared" si="51"/>
        <v>KZN226</v>
      </c>
      <c r="D1606" s="2">
        <v>988</v>
      </c>
      <c r="F1606" s="625"/>
      <c r="G1606" s="625"/>
      <c r="H1606" s="625"/>
      <c r="I1606" s="625"/>
      <c r="J1606" s="625"/>
      <c r="K1606" s="625"/>
      <c r="L1606" s="625"/>
      <c r="M1606" s="626"/>
      <c r="N1606" s="626"/>
      <c r="O1606" s="626"/>
      <c r="P1606" s="626"/>
      <c r="Q1606" s="626"/>
      <c r="W1606" t="s">
        <v>2047</v>
      </c>
    </row>
    <row r="1607" spans="1:23" ht="13.15" customHeight="1" x14ac:dyDescent="0.2">
      <c r="A1607" s="2" t="s">
        <v>2199</v>
      </c>
      <c r="B1607" s="2">
        <f t="shared" si="50"/>
        <v>2022</v>
      </c>
      <c r="C1607" s="2" t="str">
        <f t="shared" si="51"/>
        <v>KZN226</v>
      </c>
      <c r="D1607" s="2">
        <v>989</v>
      </c>
      <c r="F1607" s="625"/>
      <c r="G1607" s="625"/>
      <c r="H1607" s="625"/>
      <c r="I1607" s="625"/>
      <c r="J1607" s="625"/>
      <c r="K1607" s="625"/>
      <c r="L1607" s="625"/>
      <c r="M1607" s="626"/>
      <c r="N1607" s="626"/>
      <c r="O1607" s="626"/>
      <c r="P1607" s="626"/>
      <c r="Q1607" s="626"/>
      <c r="W1607" t="s">
        <v>2047</v>
      </c>
    </row>
    <row r="1608" spans="1:23" ht="13.15" customHeight="1" x14ac:dyDescent="0.2">
      <c r="A1608" s="2" t="s">
        <v>2199</v>
      </c>
      <c r="B1608" s="2">
        <f t="shared" si="50"/>
        <v>2022</v>
      </c>
      <c r="C1608" s="2" t="str">
        <f t="shared" si="51"/>
        <v>KZN226</v>
      </c>
      <c r="D1608" s="2">
        <v>990</v>
      </c>
      <c r="F1608" s="625"/>
      <c r="G1608" s="625"/>
      <c r="H1608" s="625"/>
      <c r="I1608" s="625"/>
      <c r="J1608" s="625"/>
      <c r="K1608" s="625"/>
      <c r="L1608" s="625"/>
      <c r="M1608" s="626"/>
      <c r="N1608" s="626"/>
      <c r="O1608" s="626"/>
      <c r="P1608" s="626"/>
      <c r="Q1608" s="626"/>
      <c r="W1608" t="s">
        <v>2047</v>
      </c>
    </row>
    <row r="1609" spans="1:23" ht="13.15" customHeight="1" x14ac:dyDescent="0.2">
      <c r="A1609" s="2" t="s">
        <v>2199</v>
      </c>
      <c r="B1609" s="2">
        <f t="shared" si="50"/>
        <v>2022</v>
      </c>
      <c r="C1609" s="2" t="str">
        <f t="shared" si="51"/>
        <v>KZN226</v>
      </c>
      <c r="D1609" s="2">
        <v>991</v>
      </c>
      <c r="F1609" s="625"/>
      <c r="G1609" s="625"/>
      <c r="H1609" s="625"/>
      <c r="I1609" s="625"/>
      <c r="J1609" s="625"/>
      <c r="K1609" s="625"/>
      <c r="L1609" s="625"/>
      <c r="M1609" s="626"/>
      <c r="N1609" s="626"/>
      <c r="O1609" s="626"/>
      <c r="P1609" s="626"/>
      <c r="Q1609" s="626"/>
      <c r="W1609" t="s">
        <v>2047</v>
      </c>
    </row>
    <row r="1610" spans="1:23" ht="13.15" customHeight="1" x14ac:dyDescent="0.2">
      <c r="A1610" s="2" t="s">
        <v>2199</v>
      </c>
      <c r="B1610" s="2">
        <f t="shared" si="50"/>
        <v>2022</v>
      </c>
      <c r="C1610" s="2" t="str">
        <f t="shared" si="51"/>
        <v>KZN226</v>
      </c>
      <c r="D1610" s="2">
        <v>992</v>
      </c>
      <c r="F1610" s="625"/>
      <c r="G1610" s="625"/>
      <c r="H1610" s="625"/>
      <c r="I1610" s="625"/>
      <c r="J1610" s="625"/>
      <c r="K1610" s="625"/>
      <c r="L1610" s="625"/>
      <c r="M1610" s="626"/>
      <c r="N1610" s="626"/>
      <c r="O1610" s="626"/>
      <c r="P1610" s="626"/>
      <c r="Q1610" s="626"/>
      <c r="W1610" t="s">
        <v>2047</v>
      </c>
    </row>
    <row r="1611" spans="1:23" ht="13.15" customHeight="1" x14ac:dyDescent="0.2">
      <c r="A1611" s="2" t="s">
        <v>2199</v>
      </c>
      <c r="B1611" s="2">
        <f t="shared" si="50"/>
        <v>2022</v>
      </c>
      <c r="C1611" s="2" t="str">
        <f t="shared" si="51"/>
        <v>KZN226</v>
      </c>
      <c r="D1611" s="2">
        <v>993</v>
      </c>
      <c r="F1611" s="625"/>
      <c r="G1611" s="625"/>
      <c r="H1611" s="625"/>
      <c r="I1611" s="625"/>
      <c r="J1611" s="625"/>
      <c r="K1611" s="625"/>
      <c r="L1611" s="625"/>
      <c r="M1611" s="626"/>
      <c r="N1611" s="626"/>
      <c r="O1611" s="626"/>
      <c r="P1611" s="626"/>
      <c r="Q1611" s="626"/>
      <c r="W1611" t="s">
        <v>2047</v>
      </c>
    </row>
    <row r="1612" spans="1:23" ht="13.15" customHeight="1" x14ac:dyDescent="0.2">
      <c r="A1612" s="2" t="s">
        <v>2199</v>
      </c>
      <c r="B1612" s="2">
        <f t="shared" si="50"/>
        <v>2022</v>
      </c>
      <c r="C1612" s="2" t="str">
        <f t="shared" si="51"/>
        <v>KZN226</v>
      </c>
      <c r="D1612" s="2">
        <v>994</v>
      </c>
      <c r="F1612" s="625"/>
      <c r="G1612" s="625"/>
      <c r="H1612" s="625"/>
      <c r="I1612" s="625"/>
      <c r="J1612" s="625"/>
      <c r="K1612" s="625"/>
      <c r="L1612" s="625"/>
      <c r="M1612" s="626"/>
      <c r="N1612" s="626"/>
      <c r="O1612" s="626"/>
      <c r="P1612" s="626"/>
      <c r="Q1612" s="626"/>
      <c r="W1612" t="s">
        <v>2047</v>
      </c>
    </row>
    <row r="1613" spans="1:23" ht="13.15" customHeight="1" x14ac:dyDescent="0.2">
      <c r="A1613" s="2" t="s">
        <v>2199</v>
      </c>
      <c r="B1613" s="2">
        <f t="shared" si="50"/>
        <v>2022</v>
      </c>
      <c r="C1613" s="2" t="str">
        <f t="shared" si="51"/>
        <v>KZN226</v>
      </c>
      <c r="D1613" s="2">
        <v>995</v>
      </c>
      <c r="F1613" s="625"/>
      <c r="G1613" s="625"/>
      <c r="H1613" s="625"/>
      <c r="I1613" s="625"/>
      <c r="J1613" s="625"/>
      <c r="K1613" s="625"/>
      <c r="L1613" s="625"/>
      <c r="M1613" s="626"/>
      <c r="N1613" s="626"/>
      <c r="O1613" s="626"/>
      <c r="P1613" s="626"/>
      <c r="Q1613" s="626"/>
      <c r="W1613" t="s">
        <v>2047</v>
      </c>
    </row>
    <row r="1614" spans="1:23" ht="13.15" customHeight="1" x14ac:dyDescent="0.2">
      <c r="A1614" s="2" t="s">
        <v>2199</v>
      </c>
      <c r="B1614" s="2">
        <f t="shared" si="50"/>
        <v>2022</v>
      </c>
      <c r="C1614" s="2" t="str">
        <f t="shared" si="51"/>
        <v>KZN226</v>
      </c>
      <c r="D1614" s="2">
        <v>996</v>
      </c>
      <c r="F1614" s="625"/>
      <c r="G1614" s="625"/>
      <c r="H1614" s="625"/>
      <c r="I1614" s="625"/>
      <c r="J1614" s="625"/>
      <c r="K1614" s="625"/>
      <c r="L1614" s="625"/>
      <c r="M1614" s="626"/>
      <c r="N1614" s="626"/>
      <c r="O1614" s="626"/>
      <c r="P1614" s="626"/>
      <c r="Q1614" s="626"/>
      <c r="W1614" t="s">
        <v>2047</v>
      </c>
    </row>
    <row r="1615" spans="1:23" ht="13.15" customHeight="1" x14ac:dyDescent="0.2">
      <c r="A1615" s="2" t="s">
        <v>2199</v>
      </c>
      <c r="B1615" s="2">
        <f t="shared" si="50"/>
        <v>2022</v>
      </c>
      <c r="C1615" s="2" t="str">
        <f t="shared" si="51"/>
        <v>KZN226</v>
      </c>
      <c r="D1615" s="2">
        <v>997</v>
      </c>
      <c r="F1615" s="625"/>
      <c r="G1615" s="625"/>
      <c r="H1615" s="625"/>
      <c r="I1615" s="625"/>
      <c r="J1615" s="625"/>
      <c r="K1615" s="625"/>
      <c r="L1615" s="625"/>
      <c r="M1615" s="626"/>
      <c r="N1615" s="626"/>
      <c r="O1615" s="626"/>
      <c r="P1615" s="626"/>
      <c r="Q1615" s="626"/>
      <c r="W1615" t="s">
        <v>2047</v>
      </c>
    </row>
    <row r="1616" spans="1:23" ht="13.15" customHeight="1" x14ac:dyDescent="0.2">
      <c r="A1616" s="2" t="s">
        <v>2199</v>
      </c>
      <c r="B1616" s="2">
        <f t="shared" si="50"/>
        <v>2022</v>
      </c>
      <c r="C1616" s="2" t="str">
        <f t="shared" si="51"/>
        <v>KZN226</v>
      </c>
      <c r="D1616" s="2">
        <v>998</v>
      </c>
      <c r="F1616" s="625"/>
      <c r="G1616" s="625"/>
      <c r="H1616" s="625"/>
      <c r="I1616" s="625"/>
      <c r="J1616" s="625"/>
      <c r="K1616" s="625"/>
      <c r="L1616" s="625"/>
      <c r="M1616" s="626"/>
      <c r="N1616" s="626"/>
      <c r="O1616" s="626"/>
      <c r="P1616" s="626"/>
      <c r="Q1616" s="626"/>
      <c r="W1616" t="s">
        <v>2047</v>
      </c>
    </row>
    <row r="1617" spans="1:23" ht="13.15" customHeight="1" x14ac:dyDescent="0.2">
      <c r="A1617" s="2" t="s">
        <v>2199</v>
      </c>
      <c r="B1617" s="2">
        <f t="shared" si="50"/>
        <v>2022</v>
      </c>
      <c r="C1617" s="2" t="str">
        <f t="shared" si="51"/>
        <v>KZN226</v>
      </c>
      <c r="D1617" s="2">
        <v>999</v>
      </c>
      <c r="F1617" s="625"/>
      <c r="G1617" s="625"/>
      <c r="H1617" s="625"/>
      <c r="I1617" s="625"/>
      <c r="J1617" s="625"/>
      <c r="K1617" s="625"/>
      <c r="L1617" s="625"/>
      <c r="M1617" s="626"/>
      <c r="N1617" s="626"/>
      <c r="O1617" s="626"/>
      <c r="P1617" s="626"/>
      <c r="Q1617" s="626"/>
      <c r="W1617" t="s">
        <v>2047</v>
      </c>
    </row>
    <row r="1618" spans="1:23" ht="13.15" customHeight="1" x14ac:dyDescent="0.2">
      <c r="A1618" s="2" t="s">
        <v>2199</v>
      </c>
      <c r="B1618" s="2">
        <f t="shared" si="50"/>
        <v>2022</v>
      </c>
      <c r="C1618" s="2" t="str">
        <f t="shared" si="51"/>
        <v>KZN226</v>
      </c>
      <c r="D1618" s="2">
        <v>1000</v>
      </c>
      <c r="F1618" s="625"/>
      <c r="G1618" s="625"/>
      <c r="H1618" s="625"/>
      <c r="I1618" s="625"/>
      <c r="J1618" s="625"/>
      <c r="K1618" s="625"/>
      <c r="L1618" s="625"/>
      <c r="M1618" s="626"/>
      <c r="N1618" s="626"/>
      <c r="O1618" s="626"/>
      <c r="P1618" s="626"/>
      <c r="Q1618" s="626"/>
      <c r="W1618" t="s">
        <v>2047</v>
      </c>
    </row>
    <row r="1619" spans="1:23" ht="13.15" customHeight="1" x14ac:dyDescent="0.2">
      <c r="A1619" s="2" t="s">
        <v>2200</v>
      </c>
      <c r="B1619" s="2">
        <f t="shared" si="50"/>
        <v>2022</v>
      </c>
      <c r="C1619" s="2" t="str">
        <f t="shared" si="51"/>
        <v>KZN226</v>
      </c>
      <c r="D1619" s="2">
        <v>1</v>
      </c>
      <c r="F1619" s="625"/>
      <c r="G1619" s="625"/>
      <c r="H1619" s="625"/>
      <c r="I1619" s="625"/>
      <c r="J1619" s="625"/>
      <c r="K1619" s="625"/>
      <c r="L1619" s="627"/>
      <c r="M1619" s="627"/>
      <c r="N1619" s="627"/>
      <c r="O1619" s="627"/>
      <c r="P1619" s="627"/>
      <c r="W1619" t="s">
        <v>2047</v>
      </c>
    </row>
    <row r="1620" spans="1:23" ht="13.15" customHeight="1" x14ac:dyDescent="0.2">
      <c r="A1620" s="2" t="s">
        <v>2200</v>
      </c>
      <c r="B1620" s="2">
        <f t="shared" si="50"/>
        <v>2022</v>
      </c>
      <c r="C1620" s="2" t="str">
        <f t="shared" si="51"/>
        <v>KZN226</v>
      </c>
      <c r="D1620" s="2">
        <v>2</v>
      </c>
      <c r="F1620" s="625"/>
      <c r="G1620" s="625"/>
      <c r="H1620" s="625"/>
      <c r="I1620" s="625"/>
      <c r="J1620" s="625"/>
      <c r="K1620" s="625"/>
      <c r="L1620" s="627"/>
      <c r="M1620" s="627"/>
      <c r="N1620" s="627"/>
      <c r="O1620" s="627"/>
      <c r="P1620" s="627"/>
      <c r="W1620" t="s">
        <v>2047</v>
      </c>
    </row>
    <row r="1621" spans="1:23" ht="13.15" customHeight="1" x14ac:dyDescent="0.2">
      <c r="A1621" s="2" t="s">
        <v>2200</v>
      </c>
      <c r="B1621" s="2">
        <f t="shared" si="50"/>
        <v>2022</v>
      </c>
      <c r="C1621" s="2" t="str">
        <f t="shared" si="51"/>
        <v>KZN226</v>
      </c>
      <c r="D1621" s="2">
        <v>3</v>
      </c>
      <c r="F1621" s="625"/>
      <c r="G1621" s="625"/>
      <c r="H1621" s="625"/>
      <c r="I1621" s="625"/>
      <c r="J1621" s="625"/>
      <c r="K1621" s="625"/>
      <c r="L1621" s="627"/>
      <c r="M1621" s="627"/>
      <c r="N1621" s="627"/>
      <c r="O1621" s="627"/>
      <c r="P1621" s="627"/>
      <c r="W1621" t="s">
        <v>2047</v>
      </c>
    </row>
    <row r="1622" spans="1:23" ht="13.15" customHeight="1" x14ac:dyDescent="0.2">
      <c r="A1622" s="2" t="s">
        <v>2200</v>
      </c>
      <c r="B1622" s="2">
        <f t="shared" si="50"/>
        <v>2022</v>
      </c>
      <c r="C1622" s="2" t="str">
        <f t="shared" si="51"/>
        <v>KZN226</v>
      </c>
      <c r="D1622" s="2">
        <v>4</v>
      </c>
      <c r="F1622" s="625"/>
      <c r="G1622" s="625"/>
      <c r="H1622" s="625"/>
      <c r="I1622" s="625"/>
      <c r="J1622" s="625"/>
      <c r="K1622" s="625"/>
      <c r="L1622" s="627"/>
      <c r="M1622" s="627"/>
      <c r="N1622" s="627"/>
      <c r="O1622" s="627"/>
      <c r="P1622" s="627"/>
      <c r="W1622" t="s">
        <v>2047</v>
      </c>
    </row>
    <row r="1623" spans="1:23" ht="13.15" customHeight="1" x14ac:dyDescent="0.2">
      <c r="A1623" s="2" t="s">
        <v>2200</v>
      </c>
      <c r="B1623" s="2">
        <f t="shared" si="50"/>
        <v>2022</v>
      </c>
      <c r="C1623" s="2" t="str">
        <f t="shared" si="51"/>
        <v>KZN226</v>
      </c>
      <c r="D1623" s="2">
        <v>5</v>
      </c>
      <c r="F1623" s="625"/>
      <c r="G1623" s="625"/>
      <c r="H1623" s="625"/>
      <c r="I1623" s="625"/>
      <c r="J1623" s="625"/>
      <c r="K1623" s="625"/>
      <c r="L1623" s="627"/>
      <c r="M1623" s="627"/>
      <c r="N1623" s="627"/>
      <c r="O1623" s="627"/>
      <c r="P1623" s="627"/>
      <c r="W1623" t="s">
        <v>2047</v>
      </c>
    </row>
    <row r="1624" spans="1:23" ht="13.15" customHeight="1" x14ac:dyDescent="0.2">
      <c r="A1624" s="2" t="s">
        <v>2200</v>
      </c>
      <c r="B1624" s="2">
        <f t="shared" si="50"/>
        <v>2022</v>
      </c>
      <c r="C1624" s="2" t="str">
        <f t="shared" si="51"/>
        <v>KZN226</v>
      </c>
      <c r="D1624" s="2">
        <v>6</v>
      </c>
      <c r="F1624" s="625"/>
      <c r="G1624" s="625"/>
      <c r="H1624" s="625"/>
      <c r="I1624" s="625"/>
      <c r="J1624" s="625"/>
      <c r="K1624" s="625"/>
      <c r="L1624" s="627"/>
      <c r="M1624" s="627"/>
      <c r="N1624" s="627"/>
      <c r="O1624" s="627"/>
      <c r="P1624" s="627"/>
      <c r="W1624" t="s">
        <v>2047</v>
      </c>
    </row>
    <row r="1625" spans="1:23" ht="13.15" customHeight="1" x14ac:dyDescent="0.2">
      <c r="A1625" s="2" t="s">
        <v>2200</v>
      </c>
      <c r="B1625" s="2">
        <f t="shared" si="50"/>
        <v>2022</v>
      </c>
      <c r="C1625" s="2" t="str">
        <f t="shared" si="51"/>
        <v>KZN226</v>
      </c>
      <c r="D1625" s="2">
        <v>7</v>
      </c>
      <c r="F1625" s="625"/>
      <c r="G1625" s="625"/>
      <c r="H1625" s="625"/>
      <c r="I1625" s="625"/>
      <c r="J1625" s="625"/>
      <c r="K1625" s="625"/>
      <c r="L1625" s="627"/>
      <c r="M1625" s="627"/>
      <c r="N1625" s="627"/>
      <c r="O1625" s="627"/>
      <c r="P1625" s="627"/>
      <c r="W1625" t="s">
        <v>2047</v>
      </c>
    </row>
    <row r="1626" spans="1:23" ht="13.15" customHeight="1" x14ac:dyDescent="0.2">
      <c r="A1626" s="2" t="s">
        <v>2200</v>
      </c>
      <c r="B1626" s="2">
        <f t="shared" si="50"/>
        <v>2022</v>
      </c>
      <c r="C1626" s="2" t="str">
        <f t="shared" si="51"/>
        <v>KZN226</v>
      </c>
      <c r="D1626" s="2">
        <v>8</v>
      </c>
      <c r="F1626" s="625"/>
      <c r="G1626" s="625"/>
      <c r="H1626" s="625"/>
      <c r="I1626" s="625"/>
      <c r="J1626" s="625"/>
      <c r="K1626" s="625"/>
      <c r="L1626" s="627"/>
      <c r="M1626" s="627"/>
      <c r="N1626" s="627"/>
      <c r="O1626" s="627"/>
      <c r="P1626" s="627"/>
      <c r="W1626" t="s">
        <v>2047</v>
      </c>
    </row>
    <row r="1627" spans="1:23" ht="13.15" customHeight="1" x14ac:dyDescent="0.2">
      <c r="A1627" s="2" t="s">
        <v>2200</v>
      </c>
      <c r="B1627" s="2">
        <f t="shared" si="50"/>
        <v>2022</v>
      </c>
      <c r="C1627" s="2" t="str">
        <f t="shared" si="51"/>
        <v>KZN226</v>
      </c>
      <c r="D1627" s="2">
        <v>9</v>
      </c>
      <c r="F1627" s="625"/>
      <c r="G1627" s="625"/>
      <c r="H1627" s="625"/>
      <c r="I1627" s="625"/>
      <c r="J1627" s="625"/>
      <c r="K1627" s="625"/>
      <c r="L1627" s="627"/>
      <c r="M1627" s="627"/>
      <c r="N1627" s="627"/>
      <c r="O1627" s="627"/>
      <c r="P1627" s="627"/>
      <c r="W1627" t="s">
        <v>2047</v>
      </c>
    </row>
    <row r="1628" spans="1:23" ht="13.15" customHeight="1" x14ac:dyDescent="0.2">
      <c r="A1628" s="2" t="s">
        <v>2200</v>
      </c>
      <c r="B1628" s="2">
        <f t="shared" si="50"/>
        <v>2022</v>
      </c>
      <c r="C1628" s="2" t="str">
        <f t="shared" si="51"/>
        <v>KZN226</v>
      </c>
      <c r="D1628" s="2">
        <v>10</v>
      </c>
      <c r="F1628" s="625"/>
      <c r="G1628" s="625"/>
      <c r="H1628" s="625"/>
      <c r="I1628" s="625"/>
      <c r="J1628" s="625"/>
      <c r="K1628" s="625"/>
      <c r="L1628" s="627"/>
      <c r="M1628" s="627"/>
      <c r="N1628" s="627"/>
      <c r="O1628" s="627"/>
      <c r="P1628" s="627"/>
      <c r="W1628" t="s">
        <v>2047</v>
      </c>
    </row>
    <row r="1629" spans="1:23" ht="13.15" customHeight="1" x14ac:dyDescent="0.2">
      <c r="A1629" s="2" t="s">
        <v>2200</v>
      </c>
      <c r="B1629" s="2">
        <f t="shared" si="50"/>
        <v>2022</v>
      </c>
      <c r="C1629" s="2" t="str">
        <f t="shared" si="51"/>
        <v>KZN226</v>
      </c>
      <c r="D1629" s="2">
        <v>11</v>
      </c>
      <c r="F1629" s="625"/>
      <c r="G1629" s="625"/>
      <c r="H1629" s="625"/>
      <c r="I1629" s="625"/>
      <c r="J1629" s="625"/>
      <c r="K1629" s="625"/>
      <c r="L1629" s="627"/>
      <c r="M1629" s="627"/>
      <c r="N1629" s="627"/>
      <c r="O1629" s="627"/>
      <c r="P1629" s="627"/>
      <c r="W1629" t="s">
        <v>2047</v>
      </c>
    </row>
    <row r="1630" spans="1:23" ht="13.15" customHeight="1" x14ac:dyDescent="0.2">
      <c r="A1630" s="2" t="s">
        <v>2200</v>
      </c>
      <c r="B1630" s="2">
        <f t="shared" si="50"/>
        <v>2022</v>
      </c>
      <c r="C1630" s="2" t="str">
        <f t="shared" si="51"/>
        <v>KZN226</v>
      </c>
      <c r="D1630" s="2">
        <v>12</v>
      </c>
      <c r="F1630" s="625"/>
      <c r="G1630" s="625"/>
      <c r="H1630" s="625"/>
      <c r="I1630" s="625"/>
      <c r="J1630" s="625"/>
      <c r="K1630" s="625"/>
      <c r="L1630" s="627"/>
      <c r="M1630" s="627"/>
      <c r="N1630" s="627"/>
      <c r="O1630" s="627"/>
      <c r="P1630" s="627"/>
      <c r="W1630" t="s">
        <v>2047</v>
      </c>
    </row>
    <row r="1631" spans="1:23" ht="13.15" customHeight="1" x14ac:dyDescent="0.2">
      <c r="A1631" s="2" t="s">
        <v>2200</v>
      </c>
      <c r="B1631" s="2">
        <f t="shared" si="50"/>
        <v>2022</v>
      </c>
      <c r="C1631" s="2" t="str">
        <f t="shared" si="51"/>
        <v>KZN226</v>
      </c>
      <c r="D1631" s="2">
        <v>13</v>
      </c>
      <c r="F1631" s="625"/>
      <c r="G1631" s="625"/>
      <c r="H1631" s="625"/>
      <c r="I1631" s="625"/>
      <c r="J1631" s="625"/>
      <c r="K1631" s="625"/>
      <c r="L1631" s="627"/>
      <c r="M1631" s="627"/>
      <c r="N1631" s="627"/>
      <c r="O1631" s="627"/>
      <c r="P1631" s="627"/>
      <c r="W1631" t="s">
        <v>2047</v>
      </c>
    </row>
    <row r="1632" spans="1:23" ht="13.15" customHeight="1" x14ac:dyDescent="0.2">
      <c r="A1632" s="2" t="s">
        <v>2200</v>
      </c>
      <c r="B1632" s="2">
        <f t="shared" si="50"/>
        <v>2022</v>
      </c>
      <c r="C1632" s="2" t="str">
        <f t="shared" si="51"/>
        <v>KZN226</v>
      </c>
      <c r="D1632" s="2">
        <v>14</v>
      </c>
      <c r="F1632" s="625"/>
      <c r="G1632" s="625"/>
      <c r="H1632" s="625"/>
      <c r="I1632" s="625"/>
      <c r="J1632" s="625"/>
      <c r="K1632" s="625"/>
      <c r="L1632" s="627"/>
      <c r="M1632" s="627"/>
      <c r="N1632" s="627"/>
      <c r="O1632" s="627"/>
      <c r="P1632" s="627"/>
      <c r="W1632" t="s">
        <v>2047</v>
      </c>
    </row>
    <row r="1633" spans="1:23" ht="13.15" customHeight="1" x14ac:dyDescent="0.2">
      <c r="A1633" s="2" t="s">
        <v>2200</v>
      </c>
      <c r="B1633" s="2">
        <f t="shared" si="50"/>
        <v>2022</v>
      </c>
      <c r="C1633" s="2" t="str">
        <f t="shared" si="51"/>
        <v>KZN226</v>
      </c>
      <c r="D1633" s="2">
        <v>15</v>
      </c>
      <c r="F1633" s="625"/>
      <c r="G1633" s="625"/>
      <c r="H1633" s="625"/>
      <c r="I1633" s="625"/>
      <c r="J1633" s="625"/>
      <c r="K1633" s="625"/>
      <c r="L1633" s="627"/>
      <c r="M1633" s="627"/>
      <c r="N1633" s="627"/>
      <c r="O1633" s="627"/>
      <c r="P1633" s="627"/>
      <c r="W1633" t="s">
        <v>2047</v>
      </c>
    </row>
    <row r="1634" spans="1:23" ht="13.15" customHeight="1" x14ac:dyDescent="0.2">
      <c r="A1634" s="2" t="s">
        <v>2200</v>
      </c>
      <c r="B1634" s="2">
        <f t="shared" si="50"/>
        <v>2022</v>
      </c>
      <c r="C1634" s="2" t="str">
        <f t="shared" si="51"/>
        <v>KZN226</v>
      </c>
      <c r="D1634" s="2">
        <v>16</v>
      </c>
      <c r="F1634" s="625"/>
      <c r="G1634" s="625"/>
      <c r="H1634" s="625"/>
      <c r="I1634" s="625"/>
      <c r="J1634" s="625"/>
      <c r="K1634" s="625"/>
      <c r="L1634" s="627"/>
      <c r="M1634" s="627"/>
      <c r="N1634" s="627"/>
      <c r="O1634" s="627"/>
      <c r="P1634" s="627"/>
      <c r="W1634" t="s">
        <v>2047</v>
      </c>
    </row>
    <row r="1635" spans="1:23" ht="13.15" customHeight="1" x14ac:dyDescent="0.2">
      <c r="A1635" s="2" t="s">
        <v>2200</v>
      </c>
      <c r="B1635" s="2">
        <f t="shared" si="50"/>
        <v>2022</v>
      </c>
      <c r="C1635" s="2" t="str">
        <f t="shared" si="51"/>
        <v>KZN226</v>
      </c>
      <c r="D1635" s="2">
        <v>17</v>
      </c>
      <c r="F1635" s="625"/>
      <c r="G1635" s="625"/>
      <c r="H1635" s="625"/>
      <c r="I1635" s="625"/>
      <c r="J1635" s="625"/>
      <c r="K1635" s="625"/>
      <c r="L1635" s="627"/>
      <c r="M1635" s="627"/>
      <c r="N1635" s="627"/>
      <c r="O1635" s="627"/>
      <c r="P1635" s="627"/>
      <c r="W1635" t="s">
        <v>2047</v>
      </c>
    </row>
    <row r="1636" spans="1:23" ht="13.15" customHeight="1" x14ac:dyDescent="0.2">
      <c r="A1636" s="2" t="s">
        <v>2200</v>
      </c>
      <c r="B1636" s="2">
        <f t="shared" si="50"/>
        <v>2022</v>
      </c>
      <c r="C1636" s="2" t="str">
        <f t="shared" si="51"/>
        <v>KZN226</v>
      </c>
      <c r="D1636" s="2">
        <v>18</v>
      </c>
      <c r="F1636" s="625"/>
      <c r="G1636" s="625"/>
      <c r="H1636" s="625"/>
      <c r="I1636" s="625"/>
      <c r="J1636" s="625"/>
      <c r="K1636" s="625"/>
      <c r="L1636" s="627"/>
      <c r="M1636" s="627"/>
      <c r="N1636" s="627"/>
      <c r="O1636" s="627"/>
      <c r="P1636" s="627"/>
      <c r="W1636" t="s">
        <v>2047</v>
      </c>
    </row>
    <row r="1637" spans="1:23" ht="13.15" customHeight="1" x14ac:dyDescent="0.2">
      <c r="A1637" s="2" t="s">
        <v>2200</v>
      </c>
      <c r="B1637" s="2">
        <f t="shared" si="50"/>
        <v>2022</v>
      </c>
      <c r="C1637" s="2" t="str">
        <f t="shared" si="51"/>
        <v>KZN226</v>
      </c>
      <c r="D1637" s="2">
        <v>19</v>
      </c>
      <c r="F1637" s="625"/>
      <c r="G1637" s="625"/>
      <c r="H1637" s="625"/>
      <c r="I1637" s="625"/>
      <c r="J1637" s="625"/>
      <c r="K1637" s="625"/>
      <c r="L1637" s="627"/>
      <c r="M1637" s="627"/>
      <c r="N1637" s="627"/>
      <c r="O1637" s="627"/>
      <c r="P1637" s="627"/>
      <c r="W1637" t="s">
        <v>2047</v>
      </c>
    </row>
    <row r="1638" spans="1:23" ht="13.15" customHeight="1" x14ac:dyDescent="0.2">
      <c r="A1638" s="2" t="s">
        <v>2200</v>
      </c>
      <c r="B1638" s="2">
        <f t="shared" si="50"/>
        <v>2022</v>
      </c>
      <c r="C1638" s="2" t="str">
        <f t="shared" si="51"/>
        <v>KZN226</v>
      </c>
      <c r="D1638" s="2">
        <v>20</v>
      </c>
      <c r="F1638" s="625"/>
      <c r="G1638" s="625"/>
      <c r="H1638" s="625"/>
      <c r="I1638" s="625"/>
      <c r="J1638" s="625"/>
      <c r="K1638" s="625"/>
      <c r="L1638" s="627"/>
      <c r="M1638" s="627"/>
      <c r="N1638" s="627"/>
      <c r="O1638" s="627"/>
      <c r="P1638" s="627"/>
      <c r="W1638" t="s">
        <v>2047</v>
      </c>
    </row>
    <row r="1639" spans="1:23" ht="13.15" customHeight="1" x14ac:dyDescent="0.2">
      <c r="A1639" s="2" t="s">
        <v>2200</v>
      </c>
      <c r="B1639" s="2">
        <f t="shared" si="50"/>
        <v>2022</v>
      </c>
      <c r="C1639" s="2" t="str">
        <f t="shared" si="51"/>
        <v>KZN226</v>
      </c>
      <c r="D1639" s="2">
        <v>21</v>
      </c>
      <c r="F1639" s="625"/>
      <c r="G1639" s="625"/>
      <c r="H1639" s="625"/>
      <c r="I1639" s="625"/>
      <c r="J1639" s="625"/>
      <c r="K1639" s="625"/>
      <c r="L1639" s="627"/>
      <c r="M1639" s="627"/>
      <c r="N1639" s="627"/>
      <c r="O1639" s="627"/>
      <c r="P1639" s="627"/>
      <c r="W1639" t="s">
        <v>2047</v>
      </c>
    </row>
    <row r="1640" spans="1:23" ht="13.15" customHeight="1" x14ac:dyDescent="0.2">
      <c r="A1640" s="2" t="s">
        <v>2200</v>
      </c>
      <c r="B1640" s="2">
        <f t="shared" si="50"/>
        <v>2022</v>
      </c>
      <c r="C1640" s="2" t="str">
        <f t="shared" si="51"/>
        <v>KZN226</v>
      </c>
      <c r="D1640" s="2">
        <v>22</v>
      </c>
      <c r="F1640" s="625"/>
      <c r="G1640" s="625"/>
      <c r="H1640" s="625"/>
      <c r="I1640" s="625"/>
      <c r="J1640" s="625"/>
      <c r="K1640" s="625"/>
      <c r="L1640" s="627"/>
      <c r="M1640" s="627"/>
      <c r="N1640" s="627"/>
      <c r="O1640" s="627"/>
      <c r="P1640" s="627"/>
      <c r="W1640" t="s">
        <v>2047</v>
      </c>
    </row>
    <row r="1641" spans="1:23" ht="13.15" customHeight="1" x14ac:dyDescent="0.2">
      <c r="A1641" s="2" t="s">
        <v>2200</v>
      </c>
      <c r="B1641" s="2">
        <f t="shared" si="50"/>
        <v>2022</v>
      </c>
      <c r="C1641" s="2" t="str">
        <f t="shared" si="51"/>
        <v>KZN226</v>
      </c>
      <c r="D1641" s="2">
        <v>23</v>
      </c>
      <c r="F1641" s="625"/>
      <c r="G1641" s="625"/>
      <c r="H1641" s="625"/>
      <c r="I1641" s="625"/>
      <c r="J1641" s="625"/>
      <c r="K1641" s="625"/>
      <c r="L1641" s="627"/>
      <c r="M1641" s="627"/>
      <c r="N1641" s="627"/>
      <c r="O1641" s="627"/>
      <c r="P1641" s="627"/>
      <c r="W1641" t="s">
        <v>2047</v>
      </c>
    </row>
    <row r="1642" spans="1:23" ht="13.15" customHeight="1" x14ac:dyDescent="0.2">
      <c r="A1642" s="2" t="s">
        <v>2200</v>
      </c>
      <c r="B1642" s="2">
        <f t="shared" si="50"/>
        <v>2022</v>
      </c>
      <c r="C1642" s="2" t="str">
        <f t="shared" si="51"/>
        <v>KZN226</v>
      </c>
      <c r="D1642" s="2">
        <v>24</v>
      </c>
      <c r="F1642" s="625"/>
      <c r="G1642" s="625"/>
      <c r="H1642" s="625"/>
      <c r="I1642" s="625"/>
      <c r="J1642" s="625"/>
      <c r="K1642" s="625"/>
      <c r="L1642" s="627"/>
      <c r="M1642" s="627"/>
      <c r="N1642" s="627"/>
      <c r="O1642" s="627"/>
      <c r="P1642" s="627"/>
      <c r="W1642" t="s">
        <v>2047</v>
      </c>
    </row>
    <row r="1643" spans="1:23" ht="13.15" customHeight="1" x14ac:dyDescent="0.2">
      <c r="A1643" s="2" t="s">
        <v>2200</v>
      </c>
      <c r="B1643" s="2">
        <f t="shared" si="50"/>
        <v>2022</v>
      </c>
      <c r="C1643" s="2" t="str">
        <f t="shared" si="51"/>
        <v>KZN226</v>
      </c>
      <c r="D1643" s="2">
        <v>25</v>
      </c>
      <c r="F1643" s="625"/>
      <c r="G1643" s="625"/>
      <c r="H1643" s="625"/>
      <c r="I1643" s="625"/>
      <c r="J1643" s="625"/>
      <c r="K1643" s="625"/>
      <c r="L1643" s="627"/>
      <c r="M1643" s="627"/>
      <c r="N1643" s="627"/>
      <c r="O1643" s="627"/>
      <c r="P1643" s="627"/>
      <c r="W1643" t="s">
        <v>2047</v>
      </c>
    </row>
    <row r="1644" spans="1:23" ht="13.15" customHeight="1" x14ac:dyDescent="0.2">
      <c r="A1644" s="2" t="s">
        <v>2200</v>
      </c>
      <c r="B1644" s="2">
        <f t="shared" si="50"/>
        <v>2022</v>
      </c>
      <c r="C1644" s="2" t="str">
        <f t="shared" si="51"/>
        <v>KZN226</v>
      </c>
      <c r="D1644" s="2">
        <v>26</v>
      </c>
      <c r="F1644" s="625"/>
      <c r="G1644" s="625"/>
      <c r="H1644" s="625"/>
      <c r="I1644" s="625"/>
      <c r="J1644" s="625"/>
      <c r="K1644" s="625"/>
      <c r="L1644" s="627"/>
      <c r="M1644" s="627"/>
      <c r="N1644" s="627"/>
      <c r="O1644" s="627"/>
      <c r="P1644" s="627"/>
      <c r="W1644" t="s">
        <v>2047</v>
      </c>
    </row>
    <row r="1645" spans="1:23" ht="13.15" customHeight="1" x14ac:dyDescent="0.2">
      <c r="A1645" s="2" t="s">
        <v>2200</v>
      </c>
      <c r="B1645" s="2">
        <f t="shared" si="50"/>
        <v>2022</v>
      </c>
      <c r="C1645" s="2" t="str">
        <f t="shared" si="51"/>
        <v>KZN226</v>
      </c>
      <c r="D1645" s="2">
        <v>27</v>
      </c>
      <c r="F1645" s="625"/>
      <c r="G1645" s="625"/>
      <c r="H1645" s="625"/>
      <c r="I1645" s="625"/>
      <c r="J1645" s="625"/>
      <c r="K1645" s="625"/>
      <c r="L1645" s="627"/>
      <c r="M1645" s="627"/>
      <c r="N1645" s="627"/>
      <c r="O1645" s="627"/>
      <c r="P1645" s="627"/>
      <c r="W1645" t="s">
        <v>2047</v>
      </c>
    </row>
    <row r="1646" spans="1:23" ht="13.15" customHeight="1" x14ac:dyDescent="0.2">
      <c r="A1646" s="2" t="s">
        <v>2200</v>
      </c>
      <c r="B1646" s="2">
        <f t="shared" si="50"/>
        <v>2022</v>
      </c>
      <c r="C1646" s="2" t="str">
        <f t="shared" si="51"/>
        <v>KZN226</v>
      </c>
      <c r="D1646" s="2">
        <v>28</v>
      </c>
      <c r="F1646" s="625"/>
      <c r="G1646" s="625"/>
      <c r="H1646" s="625"/>
      <c r="I1646" s="625"/>
      <c r="J1646" s="625"/>
      <c r="K1646" s="625"/>
      <c r="L1646" s="627"/>
      <c r="M1646" s="627"/>
      <c r="N1646" s="627"/>
      <c r="O1646" s="627"/>
      <c r="P1646" s="627"/>
      <c r="W1646" t="s">
        <v>2047</v>
      </c>
    </row>
    <row r="1647" spans="1:23" ht="13.15" customHeight="1" x14ac:dyDescent="0.2">
      <c r="A1647" s="2" t="s">
        <v>2200</v>
      </c>
      <c r="B1647" s="2">
        <f t="shared" si="50"/>
        <v>2022</v>
      </c>
      <c r="C1647" s="2" t="str">
        <f t="shared" si="51"/>
        <v>KZN226</v>
      </c>
      <c r="D1647" s="2">
        <v>29</v>
      </c>
      <c r="F1647" s="625"/>
      <c r="G1647" s="625"/>
      <c r="H1647" s="625"/>
      <c r="I1647" s="625"/>
      <c r="J1647" s="625"/>
      <c r="K1647" s="625"/>
      <c r="L1647" s="627"/>
      <c r="M1647" s="627"/>
      <c r="N1647" s="627"/>
      <c r="O1647" s="627"/>
      <c r="P1647" s="627"/>
      <c r="W1647" t="s">
        <v>2047</v>
      </c>
    </row>
    <row r="1648" spans="1:23" ht="13.15" customHeight="1" x14ac:dyDescent="0.2">
      <c r="A1648" s="2" t="s">
        <v>2200</v>
      </c>
      <c r="B1648" s="2">
        <f t="shared" si="50"/>
        <v>2022</v>
      </c>
      <c r="C1648" s="2" t="str">
        <f t="shared" si="51"/>
        <v>KZN226</v>
      </c>
      <c r="D1648" s="2">
        <v>30</v>
      </c>
      <c r="F1648" s="625"/>
      <c r="G1648" s="625"/>
      <c r="H1648" s="625"/>
      <c r="I1648" s="625"/>
      <c r="J1648" s="625"/>
      <c r="K1648" s="625"/>
      <c r="L1648" s="627"/>
      <c r="M1648" s="627"/>
      <c r="N1648" s="627"/>
      <c r="O1648" s="627"/>
      <c r="P1648" s="627"/>
      <c r="W1648" t="s">
        <v>2047</v>
      </c>
    </row>
    <row r="1649" spans="1:23" ht="13.15" customHeight="1" x14ac:dyDescent="0.2">
      <c r="A1649" s="2" t="s">
        <v>2200</v>
      </c>
      <c r="B1649" s="2">
        <f t="shared" si="50"/>
        <v>2022</v>
      </c>
      <c r="C1649" s="2" t="str">
        <f t="shared" si="51"/>
        <v>KZN226</v>
      </c>
      <c r="D1649" s="2">
        <v>31</v>
      </c>
      <c r="F1649" s="625"/>
      <c r="G1649" s="625"/>
      <c r="H1649" s="625"/>
      <c r="I1649" s="625"/>
      <c r="J1649" s="625"/>
      <c r="K1649" s="625"/>
      <c r="L1649" s="627"/>
      <c r="M1649" s="627"/>
      <c r="N1649" s="627"/>
      <c r="O1649" s="627"/>
      <c r="P1649" s="627"/>
      <c r="W1649" t="s">
        <v>2047</v>
      </c>
    </row>
    <row r="1650" spans="1:23" ht="13.15" customHeight="1" x14ac:dyDescent="0.2">
      <c r="A1650" s="2" t="s">
        <v>2200</v>
      </c>
      <c r="B1650" s="2">
        <f t="shared" si="50"/>
        <v>2022</v>
      </c>
      <c r="C1650" s="2" t="str">
        <f t="shared" si="51"/>
        <v>KZN226</v>
      </c>
      <c r="D1650" s="2">
        <v>32</v>
      </c>
      <c r="F1650" s="625"/>
      <c r="G1650" s="625"/>
      <c r="H1650" s="625"/>
      <c r="I1650" s="625"/>
      <c r="J1650" s="625"/>
      <c r="K1650" s="625"/>
      <c r="L1650" s="627"/>
      <c r="M1650" s="627"/>
      <c r="N1650" s="627"/>
      <c r="O1650" s="627"/>
      <c r="P1650" s="627"/>
      <c r="W1650" t="s">
        <v>2047</v>
      </c>
    </row>
    <row r="1651" spans="1:23" ht="13.15" customHeight="1" x14ac:dyDescent="0.2">
      <c r="A1651" s="2" t="s">
        <v>2200</v>
      </c>
      <c r="B1651" s="2">
        <f t="shared" si="50"/>
        <v>2022</v>
      </c>
      <c r="C1651" s="2" t="str">
        <f t="shared" si="51"/>
        <v>KZN226</v>
      </c>
      <c r="D1651" s="2">
        <v>33</v>
      </c>
      <c r="F1651" s="625"/>
      <c r="G1651" s="625"/>
      <c r="H1651" s="625"/>
      <c r="I1651" s="625"/>
      <c r="J1651" s="625"/>
      <c r="K1651" s="625"/>
      <c r="L1651" s="627"/>
      <c r="M1651" s="627"/>
      <c r="N1651" s="627"/>
      <c r="O1651" s="627"/>
      <c r="P1651" s="627"/>
      <c r="W1651" t="s">
        <v>2047</v>
      </c>
    </row>
    <row r="1652" spans="1:23" ht="13.15" customHeight="1" x14ac:dyDescent="0.2">
      <c r="A1652" s="2" t="s">
        <v>2200</v>
      </c>
      <c r="B1652" s="2">
        <f t="shared" si="50"/>
        <v>2022</v>
      </c>
      <c r="C1652" s="2" t="str">
        <f t="shared" si="51"/>
        <v>KZN226</v>
      </c>
      <c r="D1652" s="2">
        <v>34</v>
      </c>
      <c r="F1652" s="625"/>
      <c r="G1652" s="625"/>
      <c r="H1652" s="625"/>
      <c r="I1652" s="625"/>
      <c r="J1652" s="625"/>
      <c r="K1652" s="625"/>
      <c r="L1652" s="627"/>
      <c r="M1652" s="627"/>
      <c r="N1652" s="627"/>
      <c r="O1652" s="627"/>
      <c r="P1652" s="627"/>
      <c r="W1652" t="s">
        <v>2047</v>
      </c>
    </row>
    <row r="1653" spans="1:23" ht="13.15" customHeight="1" x14ac:dyDescent="0.2">
      <c r="A1653" s="2" t="s">
        <v>2200</v>
      </c>
      <c r="B1653" s="2">
        <f t="shared" si="50"/>
        <v>2022</v>
      </c>
      <c r="C1653" s="2" t="str">
        <f t="shared" si="51"/>
        <v>KZN226</v>
      </c>
      <c r="D1653" s="2">
        <v>35</v>
      </c>
      <c r="F1653" s="625"/>
      <c r="G1653" s="625"/>
      <c r="H1653" s="625"/>
      <c r="I1653" s="625"/>
      <c r="J1653" s="625"/>
      <c r="K1653" s="625"/>
      <c r="L1653" s="627"/>
      <c r="M1653" s="627"/>
      <c r="N1653" s="627"/>
      <c r="O1653" s="627"/>
      <c r="P1653" s="627"/>
      <c r="W1653" t="s">
        <v>2047</v>
      </c>
    </row>
    <row r="1654" spans="1:23" ht="13.15" customHeight="1" x14ac:dyDescent="0.2">
      <c r="A1654" s="2" t="s">
        <v>2200</v>
      </c>
      <c r="B1654" s="2">
        <f t="shared" si="50"/>
        <v>2022</v>
      </c>
      <c r="C1654" s="2" t="str">
        <f t="shared" si="51"/>
        <v>KZN226</v>
      </c>
      <c r="D1654" s="2">
        <v>36</v>
      </c>
      <c r="F1654" s="625"/>
      <c r="G1654" s="625"/>
      <c r="H1654" s="625"/>
      <c r="I1654" s="625"/>
      <c r="J1654" s="625"/>
      <c r="K1654" s="625"/>
      <c r="L1654" s="627"/>
      <c r="M1654" s="627"/>
      <c r="N1654" s="627"/>
      <c r="O1654" s="627"/>
      <c r="P1654" s="627"/>
      <c r="W1654" t="s">
        <v>2047</v>
      </c>
    </row>
    <row r="1655" spans="1:23" ht="13.15" customHeight="1" x14ac:dyDescent="0.2">
      <c r="A1655" s="2" t="s">
        <v>2200</v>
      </c>
      <c r="B1655" s="2">
        <f t="shared" si="50"/>
        <v>2022</v>
      </c>
      <c r="C1655" s="2" t="str">
        <f t="shared" si="51"/>
        <v>KZN226</v>
      </c>
      <c r="D1655" s="2">
        <v>37</v>
      </c>
      <c r="F1655" s="625"/>
      <c r="G1655" s="625"/>
      <c r="H1655" s="625"/>
      <c r="I1655" s="625"/>
      <c r="J1655" s="625"/>
      <c r="K1655" s="625"/>
      <c r="L1655" s="627"/>
      <c r="M1655" s="627"/>
      <c r="N1655" s="627"/>
      <c r="O1655" s="627"/>
      <c r="P1655" s="627"/>
      <c r="W1655" t="s">
        <v>2047</v>
      </c>
    </row>
    <row r="1656" spans="1:23" ht="13.15" customHeight="1" x14ac:dyDescent="0.2">
      <c r="A1656" s="2" t="s">
        <v>2200</v>
      </c>
      <c r="B1656" s="2">
        <f t="shared" si="50"/>
        <v>2022</v>
      </c>
      <c r="C1656" s="2" t="str">
        <f t="shared" si="51"/>
        <v>KZN226</v>
      </c>
      <c r="D1656" s="2">
        <v>38</v>
      </c>
      <c r="F1656" s="625"/>
      <c r="G1656" s="625"/>
      <c r="H1656" s="625"/>
      <c r="I1656" s="625"/>
      <c r="J1656" s="625"/>
      <c r="K1656" s="625"/>
      <c r="L1656" s="627"/>
      <c r="M1656" s="627"/>
      <c r="N1656" s="627"/>
      <c r="O1656" s="627"/>
      <c r="P1656" s="627"/>
      <c r="W1656" t="s">
        <v>2047</v>
      </c>
    </row>
    <row r="1657" spans="1:23" ht="13.15" customHeight="1" x14ac:dyDescent="0.2">
      <c r="A1657" s="2" t="s">
        <v>2200</v>
      </c>
      <c r="B1657" s="2">
        <f t="shared" si="50"/>
        <v>2022</v>
      </c>
      <c r="C1657" s="2" t="str">
        <f t="shared" si="51"/>
        <v>KZN226</v>
      </c>
      <c r="D1657" s="2">
        <v>39</v>
      </c>
      <c r="F1657" s="625"/>
      <c r="G1657" s="625"/>
      <c r="H1657" s="625"/>
      <c r="I1657" s="625"/>
      <c r="J1657" s="625"/>
      <c r="K1657" s="625"/>
      <c r="L1657" s="627"/>
      <c r="M1657" s="627"/>
      <c r="N1657" s="627"/>
      <c r="O1657" s="627"/>
      <c r="P1657" s="627"/>
      <c r="W1657" t="s">
        <v>2047</v>
      </c>
    </row>
    <row r="1658" spans="1:23" ht="13.15" customHeight="1" x14ac:dyDescent="0.2">
      <c r="A1658" s="2" t="s">
        <v>2200</v>
      </c>
      <c r="B1658" s="2">
        <f t="shared" si="50"/>
        <v>2022</v>
      </c>
      <c r="C1658" s="2" t="str">
        <f t="shared" si="51"/>
        <v>KZN226</v>
      </c>
      <c r="D1658" s="2">
        <v>40</v>
      </c>
      <c r="F1658" s="625"/>
      <c r="G1658" s="625"/>
      <c r="H1658" s="625"/>
      <c r="I1658" s="625"/>
      <c r="J1658" s="625"/>
      <c r="K1658" s="625"/>
      <c r="L1658" s="627"/>
      <c r="M1658" s="627"/>
      <c r="N1658" s="627"/>
      <c r="O1658" s="627"/>
      <c r="P1658" s="627"/>
      <c r="W1658" t="s">
        <v>2047</v>
      </c>
    </row>
    <row r="1659" spans="1:23" ht="13.15" customHeight="1" x14ac:dyDescent="0.2">
      <c r="A1659" s="2" t="s">
        <v>2200</v>
      </c>
      <c r="B1659" s="2">
        <f t="shared" si="50"/>
        <v>2022</v>
      </c>
      <c r="C1659" s="2" t="str">
        <f t="shared" si="51"/>
        <v>KZN226</v>
      </c>
      <c r="D1659" s="2">
        <v>41</v>
      </c>
      <c r="F1659" s="625"/>
      <c r="G1659" s="625"/>
      <c r="H1659" s="625"/>
      <c r="I1659" s="625"/>
      <c r="J1659" s="625"/>
      <c r="K1659" s="625"/>
      <c r="L1659" s="627"/>
      <c r="M1659" s="627"/>
      <c r="N1659" s="627"/>
      <c r="O1659" s="627"/>
      <c r="P1659" s="627"/>
      <c r="W1659" t="s">
        <v>2047</v>
      </c>
    </row>
    <row r="1660" spans="1:23" ht="13.15" customHeight="1" x14ac:dyDescent="0.2">
      <c r="A1660" s="2" t="s">
        <v>2200</v>
      </c>
      <c r="B1660" s="2">
        <f t="shared" si="50"/>
        <v>2022</v>
      </c>
      <c r="C1660" s="2" t="str">
        <f t="shared" si="51"/>
        <v>KZN226</v>
      </c>
      <c r="D1660" s="2">
        <v>42</v>
      </c>
      <c r="F1660" s="625"/>
      <c r="G1660" s="625"/>
      <c r="H1660" s="625"/>
      <c r="I1660" s="625"/>
      <c r="J1660" s="625"/>
      <c r="K1660" s="625"/>
      <c r="L1660" s="627"/>
      <c r="M1660" s="627"/>
      <c r="N1660" s="627"/>
      <c r="O1660" s="627"/>
      <c r="P1660" s="627"/>
      <c r="W1660" t="s">
        <v>2047</v>
      </c>
    </row>
    <row r="1661" spans="1:23" ht="13.15" customHeight="1" x14ac:dyDescent="0.2">
      <c r="A1661" s="2" t="s">
        <v>2200</v>
      </c>
      <c r="B1661" s="2">
        <f t="shared" si="50"/>
        <v>2022</v>
      </c>
      <c r="C1661" s="2" t="str">
        <f t="shared" si="51"/>
        <v>KZN226</v>
      </c>
      <c r="D1661" s="2">
        <v>43</v>
      </c>
      <c r="F1661" s="625"/>
      <c r="G1661" s="625"/>
      <c r="H1661" s="625"/>
      <c r="I1661" s="625"/>
      <c r="J1661" s="625"/>
      <c r="K1661" s="625"/>
      <c r="L1661" s="627"/>
      <c r="M1661" s="627"/>
      <c r="N1661" s="627"/>
      <c r="O1661" s="627"/>
      <c r="P1661" s="627"/>
      <c r="W1661" t="s">
        <v>2047</v>
      </c>
    </row>
    <row r="1662" spans="1:23" ht="13.15" customHeight="1" x14ac:dyDescent="0.2">
      <c r="A1662" s="2" t="s">
        <v>2200</v>
      </c>
      <c r="B1662" s="2">
        <f t="shared" si="50"/>
        <v>2022</v>
      </c>
      <c r="C1662" s="2" t="str">
        <f t="shared" si="51"/>
        <v>KZN226</v>
      </c>
      <c r="D1662" s="2">
        <v>44</v>
      </c>
      <c r="F1662" s="625"/>
      <c r="G1662" s="625"/>
      <c r="H1662" s="625"/>
      <c r="I1662" s="625"/>
      <c r="J1662" s="625"/>
      <c r="K1662" s="625"/>
      <c r="L1662" s="627"/>
      <c r="M1662" s="627"/>
      <c r="N1662" s="627"/>
      <c r="O1662" s="627"/>
      <c r="P1662" s="627"/>
      <c r="W1662" t="s">
        <v>2047</v>
      </c>
    </row>
    <row r="1663" spans="1:23" ht="13.15" customHeight="1" x14ac:dyDescent="0.2">
      <c r="A1663" s="2" t="s">
        <v>2200</v>
      </c>
      <c r="B1663" s="2">
        <f t="shared" si="50"/>
        <v>2022</v>
      </c>
      <c r="C1663" s="2" t="str">
        <f t="shared" si="51"/>
        <v>KZN226</v>
      </c>
      <c r="D1663" s="2">
        <v>45</v>
      </c>
      <c r="F1663" s="625"/>
      <c r="G1663" s="625"/>
      <c r="H1663" s="625"/>
      <c r="I1663" s="625"/>
      <c r="J1663" s="625"/>
      <c r="K1663" s="625"/>
      <c r="L1663" s="627"/>
      <c r="M1663" s="627"/>
      <c r="N1663" s="627"/>
      <c r="O1663" s="627"/>
      <c r="P1663" s="627"/>
      <c r="W1663" t="s">
        <v>2047</v>
      </c>
    </row>
    <row r="1664" spans="1:23" ht="13.15" customHeight="1" x14ac:dyDescent="0.2">
      <c r="A1664" s="2" t="s">
        <v>2200</v>
      </c>
      <c r="B1664" s="2">
        <f t="shared" si="50"/>
        <v>2022</v>
      </c>
      <c r="C1664" s="2" t="str">
        <f t="shared" si="51"/>
        <v>KZN226</v>
      </c>
      <c r="D1664" s="2">
        <v>46</v>
      </c>
      <c r="F1664" s="625"/>
      <c r="G1664" s="625"/>
      <c r="H1664" s="625"/>
      <c r="I1664" s="625"/>
      <c r="J1664" s="625"/>
      <c r="K1664" s="625"/>
      <c r="L1664" s="627"/>
      <c r="M1664" s="627"/>
      <c r="N1664" s="627"/>
      <c r="O1664" s="627"/>
      <c r="P1664" s="627"/>
      <c r="W1664" t="s">
        <v>2047</v>
      </c>
    </row>
    <row r="1665" spans="1:23" ht="13.15" customHeight="1" x14ac:dyDescent="0.2">
      <c r="A1665" s="2" t="s">
        <v>2200</v>
      </c>
      <c r="B1665" s="2">
        <f t="shared" si="50"/>
        <v>2022</v>
      </c>
      <c r="C1665" s="2" t="str">
        <f t="shared" si="51"/>
        <v>KZN226</v>
      </c>
      <c r="D1665" s="2">
        <v>47</v>
      </c>
      <c r="F1665" s="625"/>
      <c r="G1665" s="625"/>
      <c r="H1665" s="625"/>
      <c r="I1665" s="625"/>
      <c r="J1665" s="625"/>
      <c r="K1665" s="625"/>
      <c r="L1665" s="627"/>
      <c r="M1665" s="627"/>
      <c r="N1665" s="627"/>
      <c r="O1665" s="627"/>
      <c r="P1665" s="627"/>
      <c r="W1665" t="s">
        <v>2047</v>
      </c>
    </row>
    <row r="1666" spans="1:23" ht="13.15" customHeight="1" x14ac:dyDescent="0.2">
      <c r="A1666" s="2" t="s">
        <v>2200</v>
      </c>
      <c r="B1666" s="2">
        <f t="shared" ref="B1666:B1729" si="52">+MTREF</f>
        <v>2022</v>
      </c>
      <c r="C1666" s="2" t="str">
        <f t="shared" ref="C1666:C1729" si="53">LEFT(muni,(FIND(" ",muni,1)-1))</f>
        <v>KZN226</v>
      </c>
      <c r="D1666" s="2">
        <v>48</v>
      </c>
      <c r="F1666" s="625"/>
      <c r="G1666" s="625"/>
      <c r="H1666" s="625"/>
      <c r="I1666" s="625"/>
      <c r="J1666" s="625"/>
      <c r="K1666" s="625"/>
      <c r="L1666" s="627"/>
      <c r="M1666" s="627"/>
      <c r="N1666" s="627"/>
      <c r="O1666" s="627"/>
      <c r="P1666" s="627"/>
      <c r="W1666" t="s">
        <v>2047</v>
      </c>
    </row>
    <row r="1667" spans="1:23" ht="13.15" customHeight="1" x14ac:dyDescent="0.2">
      <c r="A1667" s="2" t="s">
        <v>2200</v>
      </c>
      <c r="B1667" s="2">
        <f t="shared" si="52"/>
        <v>2022</v>
      </c>
      <c r="C1667" s="2" t="str">
        <f t="shared" si="53"/>
        <v>KZN226</v>
      </c>
      <c r="D1667" s="2">
        <v>49</v>
      </c>
      <c r="F1667" s="625"/>
      <c r="G1667" s="625"/>
      <c r="H1667" s="625"/>
      <c r="I1667" s="625"/>
      <c r="J1667" s="625"/>
      <c r="K1667" s="625"/>
      <c r="L1667" s="627"/>
      <c r="M1667" s="627"/>
      <c r="N1667" s="627"/>
      <c r="O1667" s="627"/>
      <c r="P1667" s="627"/>
      <c r="W1667" t="s">
        <v>2047</v>
      </c>
    </row>
    <row r="1668" spans="1:23" ht="13.15" customHeight="1" x14ac:dyDescent="0.2">
      <c r="A1668" s="2" t="s">
        <v>2200</v>
      </c>
      <c r="B1668" s="2">
        <f t="shared" si="52"/>
        <v>2022</v>
      </c>
      <c r="C1668" s="2" t="str">
        <f t="shared" si="53"/>
        <v>KZN226</v>
      </c>
      <c r="D1668" s="2">
        <v>50</v>
      </c>
      <c r="F1668" s="625"/>
      <c r="G1668" s="625"/>
      <c r="H1668" s="625"/>
      <c r="I1668" s="625"/>
      <c r="J1668" s="625"/>
      <c r="K1668" s="625"/>
      <c r="L1668" s="627"/>
      <c r="M1668" s="627"/>
      <c r="N1668" s="627"/>
      <c r="O1668" s="627"/>
      <c r="P1668" s="627"/>
      <c r="W1668" t="s">
        <v>2047</v>
      </c>
    </row>
    <row r="1669" spans="1:23" ht="13.15" customHeight="1" x14ac:dyDescent="0.2">
      <c r="A1669" s="2" t="s">
        <v>2200</v>
      </c>
      <c r="B1669" s="2">
        <f t="shared" si="52"/>
        <v>2022</v>
      </c>
      <c r="C1669" s="2" t="str">
        <f t="shared" si="53"/>
        <v>KZN226</v>
      </c>
      <c r="D1669" s="2">
        <v>51</v>
      </c>
      <c r="F1669" s="625"/>
      <c r="G1669" s="625"/>
      <c r="H1669" s="625"/>
      <c r="I1669" s="625"/>
      <c r="J1669" s="625"/>
      <c r="K1669" s="625"/>
      <c r="L1669" s="627"/>
      <c r="M1669" s="627"/>
      <c r="N1669" s="627"/>
      <c r="O1669" s="627"/>
      <c r="P1669" s="627"/>
      <c r="W1669" t="s">
        <v>2047</v>
      </c>
    </row>
    <row r="1670" spans="1:23" ht="13.15" customHeight="1" x14ac:dyDescent="0.2">
      <c r="A1670" s="2" t="s">
        <v>2200</v>
      </c>
      <c r="B1670" s="2">
        <f t="shared" si="52"/>
        <v>2022</v>
      </c>
      <c r="C1670" s="2" t="str">
        <f t="shared" si="53"/>
        <v>KZN226</v>
      </c>
      <c r="D1670" s="2">
        <v>52</v>
      </c>
      <c r="F1670" s="625"/>
      <c r="G1670" s="625"/>
      <c r="H1670" s="625"/>
      <c r="I1670" s="625"/>
      <c r="J1670" s="625"/>
      <c r="K1670" s="625"/>
      <c r="L1670" s="627"/>
      <c r="M1670" s="627"/>
      <c r="N1670" s="627"/>
      <c r="O1670" s="627"/>
      <c r="P1670" s="627"/>
      <c r="W1670" t="s">
        <v>2047</v>
      </c>
    </row>
    <row r="1671" spans="1:23" ht="13.15" customHeight="1" x14ac:dyDescent="0.2">
      <c r="A1671" s="2" t="s">
        <v>2200</v>
      </c>
      <c r="B1671" s="2">
        <f t="shared" si="52"/>
        <v>2022</v>
      </c>
      <c r="C1671" s="2" t="str">
        <f t="shared" si="53"/>
        <v>KZN226</v>
      </c>
      <c r="D1671" s="2">
        <v>53</v>
      </c>
      <c r="F1671" s="625"/>
      <c r="G1671" s="625"/>
      <c r="H1671" s="625"/>
      <c r="I1671" s="625"/>
      <c r="J1671" s="625"/>
      <c r="K1671" s="625"/>
      <c r="L1671" s="627"/>
      <c r="M1671" s="627"/>
      <c r="N1671" s="627"/>
      <c r="O1671" s="627"/>
      <c r="P1671" s="627"/>
      <c r="W1671" t="s">
        <v>2047</v>
      </c>
    </row>
    <row r="1672" spans="1:23" ht="13.15" customHeight="1" x14ac:dyDescent="0.2">
      <c r="A1672" s="2" t="s">
        <v>2200</v>
      </c>
      <c r="B1672" s="2">
        <f t="shared" si="52"/>
        <v>2022</v>
      </c>
      <c r="C1672" s="2" t="str">
        <f t="shared" si="53"/>
        <v>KZN226</v>
      </c>
      <c r="D1672" s="2">
        <v>54</v>
      </c>
      <c r="F1672" s="625"/>
      <c r="G1672" s="625"/>
      <c r="H1672" s="625"/>
      <c r="I1672" s="625"/>
      <c r="J1672" s="625"/>
      <c r="K1672" s="625"/>
      <c r="L1672" s="627"/>
      <c r="M1672" s="627"/>
      <c r="N1672" s="627"/>
      <c r="O1672" s="627"/>
      <c r="P1672" s="627"/>
      <c r="W1672" t="s">
        <v>2047</v>
      </c>
    </row>
    <row r="1673" spans="1:23" ht="13.15" customHeight="1" x14ac:dyDescent="0.2">
      <c r="A1673" s="2" t="s">
        <v>2200</v>
      </c>
      <c r="B1673" s="2">
        <f t="shared" si="52"/>
        <v>2022</v>
      </c>
      <c r="C1673" s="2" t="str">
        <f t="shared" si="53"/>
        <v>KZN226</v>
      </c>
      <c r="D1673" s="2">
        <v>55</v>
      </c>
      <c r="F1673" s="625"/>
      <c r="G1673" s="625"/>
      <c r="H1673" s="625"/>
      <c r="I1673" s="625"/>
      <c r="J1673" s="625"/>
      <c r="K1673" s="625"/>
      <c r="L1673" s="627"/>
      <c r="M1673" s="627"/>
      <c r="N1673" s="627"/>
      <c r="O1673" s="627"/>
      <c r="P1673" s="627"/>
      <c r="W1673" t="s">
        <v>2047</v>
      </c>
    </row>
    <row r="1674" spans="1:23" ht="13.15" customHeight="1" x14ac:dyDescent="0.2">
      <c r="A1674" s="2" t="s">
        <v>2200</v>
      </c>
      <c r="B1674" s="2">
        <f t="shared" si="52"/>
        <v>2022</v>
      </c>
      <c r="C1674" s="2" t="str">
        <f t="shared" si="53"/>
        <v>KZN226</v>
      </c>
      <c r="D1674" s="2">
        <v>56</v>
      </c>
      <c r="F1674" s="625"/>
      <c r="G1674" s="625"/>
      <c r="H1674" s="625"/>
      <c r="I1674" s="625"/>
      <c r="J1674" s="625"/>
      <c r="K1674" s="625"/>
      <c r="L1674" s="627"/>
      <c r="M1674" s="627"/>
      <c r="N1674" s="627"/>
      <c r="O1674" s="627"/>
      <c r="P1674" s="627"/>
      <c r="W1674" t="s">
        <v>2047</v>
      </c>
    </row>
    <row r="1675" spans="1:23" ht="13.15" customHeight="1" x14ac:dyDescent="0.2">
      <c r="A1675" s="2" t="s">
        <v>2200</v>
      </c>
      <c r="B1675" s="2">
        <f t="shared" si="52"/>
        <v>2022</v>
      </c>
      <c r="C1675" s="2" t="str">
        <f t="shared" si="53"/>
        <v>KZN226</v>
      </c>
      <c r="D1675" s="2">
        <v>57</v>
      </c>
      <c r="F1675" s="625"/>
      <c r="G1675" s="625"/>
      <c r="H1675" s="625"/>
      <c r="I1675" s="625"/>
      <c r="J1675" s="625"/>
      <c r="K1675" s="625"/>
      <c r="L1675" s="627"/>
      <c r="M1675" s="627"/>
      <c r="N1675" s="627"/>
      <c r="O1675" s="627"/>
      <c r="P1675" s="627"/>
      <c r="W1675" t="s">
        <v>2047</v>
      </c>
    </row>
    <row r="1676" spans="1:23" ht="13.15" customHeight="1" x14ac:dyDescent="0.2">
      <c r="A1676" s="2" t="s">
        <v>2200</v>
      </c>
      <c r="B1676" s="2">
        <f t="shared" si="52"/>
        <v>2022</v>
      </c>
      <c r="C1676" s="2" t="str">
        <f t="shared" si="53"/>
        <v>KZN226</v>
      </c>
      <c r="D1676" s="2">
        <v>58</v>
      </c>
      <c r="F1676" s="625"/>
      <c r="G1676" s="625"/>
      <c r="H1676" s="625"/>
      <c r="I1676" s="625"/>
      <c r="J1676" s="625"/>
      <c r="K1676" s="625"/>
      <c r="L1676" s="627"/>
      <c r="M1676" s="627"/>
      <c r="N1676" s="627"/>
      <c r="O1676" s="627"/>
      <c r="P1676" s="627"/>
      <c r="W1676" t="s">
        <v>2047</v>
      </c>
    </row>
    <row r="1677" spans="1:23" ht="13.15" customHeight="1" x14ac:dyDescent="0.2">
      <c r="A1677" s="2" t="s">
        <v>2200</v>
      </c>
      <c r="B1677" s="2">
        <f t="shared" si="52"/>
        <v>2022</v>
      </c>
      <c r="C1677" s="2" t="str">
        <f t="shared" si="53"/>
        <v>KZN226</v>
      </c>
      <c r="D1677" s="2">
        <v>59</v>
      </c>
      <c r="F1677" s="625"/>
      <c r="G1677" s="625"/>
      <c r="H1677" s="625"/>
      <c r="I1677" s="625"/>
      <c r="J1677" s="625"/>
      <c r="K1677" s="625"/>
      <c r="L1677" s="627"/>
      <c r="M1677" s="627"/>
      <c r="N1677" s="627"/>
      <c r="O1677" s="627"/>
      <c r="P1677" s="627"/>
      <c r="W1677" t="s">
        <v>2047</v>
      </c>
    </row>
    <row r="1678" spans="1:23" ht="13.15" customHeight="1" x14ac:dyDescent="0.2">
      <c r="A1678" s="2" t="s">
        <v>2200</v>
      </c>
      <c r="B1678" s="2">
        <f t="shared" si="52"/>
        <v>2022</v>
      </c>
      <c r="C1678" s="2" t="str">
        <f t="shared" si="53"/>
        <v>KZN226</v>
      </c>
      <c r="D1678" s="2">
        <v>60</v>
      </c>
      <c r="F1678" s="625"/>
      <c r="G1678" s="625"/>
      <c r="H1678" s="625"/>
      <c r="I1678" s="625"/>
      <c r="J1678" s="625"/>
      <c r="K1678" s="625"/>
      <c r="L1678" s="627"/>
      <c r="M1678" s="627"/>
      <c r="N1678" s="627"/>
      <c r="O1678" s="627"/>
      <c r="P1678" s="627"/>
      <c r="W1678" t="s">
        <v>2047</v>
      </c>
    </row>
    <row r="1679" spans="1:23" ht="13.15" customHeight="1" x14ac:dyDescent="0.2">
      <c r="A1679" s="2" t="s">
        <v>2200</v>
      </c>
      <c r="B1679" s="2">
        <f t="shared" si="52"/>
        <v>2022</v>
      </c>
      <c r="C1679" s="2" t="str">
        <f t="shared" si="53"/>
        <v>KZN226</v>
      </c>
      <c r="D1679" s="2">
        <v>61</v>
      </c>
      <c r="F1679" s="625"/>
      <c r="G1679" s="625"/>
      <c r="H1679" s="625"/>
      <c r="I1679" s="625"/>
      <c r="J1679" s="625"/>
      <c r="K1679" s="625"/>
      <c r="L1679" s="627"/>
      <c r="M1679" s="627"/>
      <c r="N1679" s="627"/>
      <c r="O1679" s="627"/>
      <c r="P1679" s="627"/>
      <c r="W1679" t="s">
        <v>2047</v>
      </c>
    </row>
    <row r="1680" spans="1:23" ht="13.15" customHeight="1" x14ac:dyDescent="0.2">
      <c r="A1680" s="2" t="s">
        <v>2200</v>
      </c>
      <c r="B1680" s="2">
        <f t="shared" si="52"/>
        <v>2022</v>
      </c>
      <c r="C1680" s="2" t="str">
        <f t="shared" si="53"/>
        <v>KZN226</v>
      </c>
      <c r="D1680" s="2">
        <v>62</v>
      </c>
      <c r="F1680" s="625"/>
      <c r="G1680" s="625"/>
      <c r="H1680" s="625"/>
      <c r="I1680" s="625"/>
      <c r="J1680" s="625"/>
      <c r="K1680" s="625"/>
      <c r="L1680" s="627"/>
      <c r="M1680" s="627"/>
      <c r="N1680" s="627"/>
      <c r="O1680" s="627"/>
      <c r="P1680" s="627"/>
      <c r="W1680" t="s">
        <v>2047</v>
      </c>
    </row>
    <row r="1681" spans="1:23" ht="13.15" customHeight="1" x14ac:dyDescent="0.2">
      <c r="A1681" s="2" t="s">
        <v>2200</v>
      </c>
      <c r="B1681" s="2">
        <f t="shared" si="52"/>
        <v>2022</v>
      </c>
      <c r="C1681" s="2" t="str">
        <f t="shared" si="53"/>
        <v>KZN226</v>
      </c>
      <c r="D1681" s="2">
        <v>63</v>
      </c>
      <c r="F1681" s="625"/>
      <c r="G1681" s="625"/>
      <c r="H1681" s="625"/>
      <c r="I1681" s="625"/>
      <c r="J1681" s="625"/>
      <c r="K1681" s="625"/>
      <c r="L1681" s="627"/>
      <c r="M1681" s="627"/>
      <c r="N1681" s="627"/>
      <c r="O1681" s="627"/>
      <c r="P1681" s="627"/>
      <c r="W1681" t="s">
        <v>2047</v>
      </c>
    </row>
    <row r="1682" spans="1:23" ht="13.15" customHeight="1" x14ac:dyDescent="0.2">
      <c r="A1682" s="2" t="s">
        <v>2200</v>
      </c>
      <c r="B1682" s="2">
        <f t="shared" si="52"/>
        <v>2022</v>
      </c>
      <c r="C1682" s="2" t="str">
        <f t="shared" si="53"/>
        <v>KZN226</v>
      </c>
      <c r="D1682" s="2">
        <v>64</v>
      </c>
      <c r="F1682" s="625"/>
      <c r="G1682" s="625"/>
      <c r="H1682" s="625"/>
      <c r="I1682" s="625"/>
      <c r="J1682" s="625"/>
      <c r="K1682" s="625"/>
      <c r="L1682" s="627"/>
      <c r="M1682" s="627"/>
      <c r="N1682" s="627"/>
      <c r="O1682" s="627"/>
      <c r="P1682" s="627"/>
      <c r="W1682" t="s">
        <v>2047</v>
      </c>
    </row>
    <row r="1683" spans="1:23" ht="13.15" customHeight="1" x14ac:dyDescent="0.2">
      <c r="A1683" s="2" t="s">
        <v>2200</v>
      </c>
      <c r="B1683" s="2">
        <f t="shared" si="52"/>
        <v>2022</v>
      </c>
      <c r="C1683" s="2" t="str">
        <f t="shared" si="53"/>
        <v>KZN226</v>
      </c>
      <c r="D1683" s="2">
        <v>65</v>
      </c>
      <c r="F1683" s="625"/>
      <c r="G1683" s="625"/>
      <c r="H1683" s="625"/>
      <c r="I1683" s="625"/>
      <c r="J1683" s="625"/>
      <c r="K1683" s="625"/>
      <c r="L1683" s="627"/>
      <c r="M1683" s="627"/>
      <c r="N1683" s="627"/>
      <c r="O1683" s="627"/>
      <c r="P1683" s="627"/>
      <c r="W1683" t="s">
        <v>2047</v>
      </c>
    </row>
    <row r="1684" spans="1:23" ht="13.15" customHeight="1" x14ac:dyDescent="0.2">
      <c r="A1684" s="2" t="s">
        <v>2200</v>
      </c>
      <c r="B1684" s="2">
        <f t="shared" si="52"/>
        <v>2022</v>
      </c>
      <c r="C1684" s="2" t="str">
        <f t="shared" si="53"/>
        <v>KZN226</v>
      </c>
      <c r="D1684" s="2">
        <v>66</v>
      </c>
      <c r="F1684" s="625"/>
      <c r="G1684" s="625"/>
      <c r="H1684" s="625"/>
      <c r="I1684" s="625"/>
      <c r="J1684" s="625"/>
      <c r="K1684" s="625"/>
      <c r="L1684" s="627"/>
      <c r="M1684" s="627"/>
      <c r="N1684" s="627"/>
      <c r="O1684" s="627"/>
      <c r="P1684" s="627"/>
      <c r="W1684" t="s">
        <v>2047</v>
      </c>
    </row>
    <row r="1685" spans="1:23" ht="13.15" customHeight="1" x14ac:dyDescent="0.2">
      <c r="A1685" s="2" t="s">
        <v>2200</v>
      </c>
      <c r="B1685" s="2">
        <f t="shared" si="52"/>
        <v>2022</v>
      </c>
      <c r="C1685" s="2" t="str">
        <f t="shared" si="53"/>
        <v>KZN226</v>
      </c>
      <c r="D1685" s="2">
        <v>67</v>
      </c>
      <c r="F1685" s="625"/>
      <c r="G1685" s="625"/>
      <c r="H1685" s="625"/>
      <c r="I1685" s="625"/>
      <c r="J1685" s="625"/>
      <c r="K1685" s="625"/>
      <c r="L1685" s="627"/>
      <c r="M1685" s="627"/>
      <c r="N1685" s="627"/>
      <c r="O1685" s="627"/>
      <c r="P1685" s="627"/>
      <c r="W1685" t="s">
        <v>2047</v>
      </c>
    </row>
    <row r="1686" spans="1:23" ht="13.15" customHeight="1" x14ac:dyDescent="0.2">
      <c r="A1686" s="2" t="s">
        <v>2200</v>
      </c>
      <c r="B1686" s="2">
        <f t="shared" si="52"/>
        <v>2022</v>
      </c>
      <c r="C1686" s="2" t="str">
        <f t="shared" si="53"/>
        <v>KZN226</v>
      </c>
      <c r="D1686" s="2">
        <v>68</v>
      </c>
      <c r="F1686" s="625"/>
      <c r="G1686" s="625"/>
      <c r="H1686" s="625"/>
      <c r="I1686" s="625"/>
      <c r="J1686" s="625"/>
      <c r="K1686" s="625"/>
      <c r="L1686" s="627"/>
      <c r="M1686" s="627"/>
      <c r="N1686" s="627"/>
      <c r="O1686" s="627"/>
      <c r="P1686" s="627"/>
      <c r="W1686" t="s">
        <v>2047</v>
      </c>
    </row>
    <row r="1687" spans="1:23" ht="13.15" customHeight="1" x14ac:dyDescent="0.2">
      <c r="A1687" s="2" t="s">
        <v>2200</v>
      </c>
      <c r="B1687" s="2">
        <f t="shared" si="52"/>
        <v>2022</v>
      </c>
      <c r="C1687" s="2" t="str">
        <f t="shared" si="53"/>
        <v>KZN226</v>
      </c>
      <c r="D1687" s="2">
        <v>69</v>
      </c>
      <c r="F1687" s="625"/>
      <c r="G1687" s="625"/>
      <c r="H1687" s="625"/>
      <c r="I1687" s="625"/>
      <c r="J1687" s="625"/>
      <c r="K1687" s="625"/>
      <c r="L1687" s="627"/>
      <c r="M1687" s="627"/>
      <c r="N1687" s="627"/>
      <c r="O1687" s="627"/>
      <c r="P1687" s="627"/>
      <c r="W1687" t="s">
        <v>2047</v>
      </c>
    </row>
    <row r="1688" spans="1:23" ht="13.15" customHeight="1" x14ac:dyDescent="0.2">
      <c r="A1688" s="2" t="s">
        <v>2200</v>
      </c>
      <c r="B1688" s="2">
        <f t="shared" si="52"/>
        <v>2022</v>
      </c>
      <c r="C1688" s="2" t="str">
        <f t="shared" si="53"/>
        <v>KZN226</v>
      </c>
      <c r="D1688" s="2">
        <v>70</v>
      </c>
      <c r="F1688" s="625"/>
      <c r="G1688" s="625"/>
      <c r="H1688" s="625"/>
      <c r="I1688" s="625"/>
      <c r="J1688" s="625"/>
      <c r="K1688" s="625"/>
      <c r="L1688" s="627"/>
      <c r="M1688" s="627"/>
      <c r="N1688" s="627"/>
      <c r="O1688" s="627"/>
      <c r="P1688" s="627"/>
      <c r="W1688" t="s">
        <v>2047</v>
      </c>
    </row>
    <row r="1689" spans="1:23" ht="13.15" customHeight="1" x14ac:dyDescent="0.2">
      <c r="A1689" s="2" t="s">
        <v>2200</v>
      </c>
      <c r="B1689" s="2">
        <f t="shared" si="52"/>
        <v>2022</v>
      </c>
      <c r="C1689" s="2" t="str">
        <f t="shared" si="53"/>
        <v>KZN226</v>
      </c>
      <c r="D1689" s="2">
        <v>71</v>
      </c>
      <c r="F1689" s="625"/>
      <c r="G1689" s="625"/>
      <c r="H1689" s="625"/>
      <c r="I1689" s="625"/>
      <c r="J1689" s="625"/>
      <c r="K1689" s="625"/>
      <c r="L1689" s="627"/>
      <c r="M1689" s="627"/>
      <c r="N1689" s="627"/>
      <c r="O1689" s="627"/>
      <c r="P1689" s="627"/>
      <c r="W1689" t="s">
        <v>2047</v>
      </c>
    </row>
    <row r="1690" spans="1:23" ht="13.15" customHeight="1" x14ac:dyDescent="0.2">
      <c r="A1690" s="2" t="s">
        <v>2200</v>
      </c>
      <c r="B1690" s="2">
        <f t="shared" si="52"/>
        <v>2022</v>
      </c>
      <c r="C1690" s="2" t="str">
        <f t="shared" si="53"/>
        <v>KZN226</v>
      </c>
      <c r="D1690" s="2">
        <v>72</v>
      </c>
      <c r="F1690" s="625"/>
      <c r="G1690" s="625"/>
      <c r="H1690" s="625"/>
      <c r="I1690" s="625"/>
      <c r="J1690" s="625"/>
      <c r="K1690" s="625"/>
      <c r="L1690" s="627"/>
      <c r="M1690" s="627"/>
      <c r="N1690" s="627"/>
      <c r="O1690" s="627"/>
      <c r="P1690" s="627"/>
      <c r="W1690" t="s">
        <v>2047</v>
      </c>
    </row>
    <row r="1691" spans="1:23" ht="13.15" customHeight="1" x14ac:dyDescent="0.2">
      <c r="A1691" s="2" t="s">
        <v>2200</v>
      </c>
      <c r="B1691" s="2">
        <f t="shared" si="52"/>
        <v>2022</v>
      </c>
      <c r="C1691" s="2" t="str">
        <f t="shared" si="53"/>
        <v>KZN226</v>
      </c>
      <c r="D1691" s="2">
        <v>73</v>
      </c>
      <c r="F1691" s="625"/>
      <c r="G1691" s="625"/>
      <c r="H1691" s="625"/>
      <c r="I1691" s="625"/>
      <c r="J1691" s="625"/>
      <c r="K1691" s="625"/>
      <c r="L1691" s="627"/>
      <c r="M1691" s="627"/>
      <c r="N1691" s="627"/>
      <c r="O1691" s="627"/>
      <c r="P1691" s="627"/>
      <c r="W1691" t="s">
        <v>2047</v>
      </c>
    </row>
    <row r="1692" spans="1:23" ht="13.15" customHeight="1" x14ac:dyDescent="0.2">
      <c r="A1692" s="2" t="s">
        <v>2200</v>
      </c>
      <c r="B1692" s="2">
        <f t="shared" si="52"/>
        <v>2022</v>
      </c>
      <c r="C1692" s="2" t="str">
        <f t="shared" si="53"/>
        <v>KZN226</v>
      </c>
      <c r="D1692" s="2">
        <v>74</v>
      </c>
      <c r="F1692" s="625"/>
      <c r="G1692" s="625"/>
      <c r="H1692" s="625"/>
      <c r="I1692" s="625"/>
      <c r="J1692" s="625"/>
      <c r="K1692" s="625"/>
      <c r="L1692" s="627"/>
      <c r="M1692" s="627"/>
      <c r="N1692" s="627"/>
      <c r="O1692" s="627"/>
      <c r="P1692" s="627"/>
      <c r="W1692" t="s">
        <v>2047</v>
      </c>
    </row>
    <row r="1693" spans="1:23" ht="13.15" customHeight="1" x14ac:dyDescent="0.2">
      <c r="A1693" s="2" t="s">
        <v>2200</v>
      </c>
      <c r="B1693" s="2">
        <f t="shared" si="52"/>
        <v>2022</v>
      </c>
      <c r="C1693" s="2" t="str">
        <f t="shared" si="53"/>
        <v>KZN226</v>
      </c>
      <c r="D1693" s="2">
        <v>75</v>
      </c>
      <c r="F1693" s="625"/>
      <c r="G1693" s="625"/>
      <c r="H1693" s="625"/>
      <c r="I1693" s="625"/>
      <c r="J1693" s="625"/>
      <c r="K1693" s="625"/>
      <c r="L1693" s="627"/>
      <c r="M1693" s="627"/>
      <c r="N1693" s="627"/>
      <c r="O1693" s="627"/>
      <c r="P1693" s="627"/>
      <c r="W1693" t="s">
        <v>2047</v>
      </c>
    </row>
    <row r="1694" spans="1:23" ht="13.15" customHeight="1" x14ac:dyDescent="0.2">
      <c r="A1694" s="2" t="s">
        <v>2200</v>
      </c>
      <c r="B1694" s="2">
        <f t="shared" si="52"/>
        <v>2022</v>
      </c>
      <c r="C1694" s="2" t="str">
        <f t="shared" si="53"/>
        <v>KZN226</v>
      </c>
      <c r="D1694" s="2">
        <v>76</v>
      </c>
      <c r="F1694" s="625"/>
      <c r="G1694" s="625"/>
      <c r="H1694" s="625"/>
      <c r="I1694" s="625"/>
      <c r="J1694" s="625"/>
      <c r="K1694" s="625"/>
      <c r="L1694" s="627"/>
      <c r="M1694" s="627"/>
      <c r="N1694" s="627"/>
      <c r="O1694" s="627"/>
      <c r="P1694" s="627"/>
      <c r="W1694" t="s">
        <v>2047</v>
      </c>
    </row>
    <row r="1695" spans="1:23" ht="13.15" customHeight="1" x14ac:dyDescent="0.2">
      <c r="A1695" s="2" t="s">
        <v>2200</v>
      </c>
      <c r="B1695" s="2">
        <f t="shared" si="52"/>
        <v>2022</v>
      </c>
      <c r="C1695" s="2" t="str">
        <f t="shared" si="53"/>
        <v>KZN226</v>
      </c>
      <c r="D1695" s="2">
        <v>77</v>
      </c>
      <c r="F1695" s="625"/>
      <c r="G1695" s="625"/>
      <c r="H1695" s="625"/>
      <c r="I1695" s="625"/>
      <c r="J1695" s="625"/>
      <c r="K1695" s="625"/>
      <c r="L1695" s="627"/>
      <c r="M1695" s="627"/>
      <c r="N1695" s="627"/>
      <c r="O1695" s="627"/>
      <c r="P1695" s="627"/>
      <c r="W1695" t="s">
        <v>2047</v>
      </c>
    </row>
    <row r="1696" spans="1:23" ht="13.15" customHeight="1" x14ac:dyDescent="0.2">
      <c r="A1696" s="2" t="s">
        <v>2200</v>
      </c>
      <c r="B1696" s="2">
        <f t="shared" si="52"/>
        <v>2022</v>
      </c>
      <c r="C1696" s="2" t="str">
        <f t="shared" si="53"/>
        <v>KZN226</v>
      </c>
      <c r="D1696" s="2">
        <v>78</v>
      </c>
      <c r="F1696" s="625"/>
      <c r="G1696" s="625"/>
      <c r="H1696" s="625"/>
      <c r="I1696" s="625"/>
      <c r="J1696" s="625"/>
      <c r="K1696" s="625"/>
      <c r="L1696" s="627"/>
      <c r="M1696" s="627"/>
      <c r="N1696" s="627"/>
      <c r="O1696" s="627"/>
      <c r="P1696" s="627"/>
      <c r="W1696" t="s">
        <v>2047</v>
      </c>
    </row>
    <row r="1697" spans="1:23" ht="13.15" customHeight="1" x14ac:dyDescent="0.2">
      <c r="A1697" s="2" t="s">
        <v>2200</v>
      </c>
      <c r="B1697" s="2">
        <f t="shared" si="52"/>
        <v>2022</v>
      </c>
      <c r="C1697" s="2" t="str">
        <f t="shared" si="53"/>
        <v>KZN226</v>
      </c>
      <c r="D1697" s="2">
        <v>79</v>
      </c>
      <c r="F1697" s="625"/>
      <c r="G1697" s="625"/>
      <c r="H1697" s="625"/>
      <c r="I1697" s="625"/>
      <c r="J1697" s="625"/>
      <c r="K1697" s="625"/>
      <c r="L1697" s="627"/>
      <c r="M1697" s="627"/>
      <c r="N1697" s="627"/>
      <c r="O1697" s="627"/>
      <c r="P1697" s="627"/>
      <c r="W1697" t="s">
        <v>2047</v>
      </c>
    </row>
    <row r="1698" spans="1:23" ht="13.15" customHeight="1" x14ac:dyDescent="0.2">
      <c r="A1698" s="2" t="s">
        <v>2200</v>
      </c>
      <c r="B1698" s="2">
        <f t="shared" si="52"/>
        <v>2022</v>
      </c>
      <c r="C1698" s="2" t="str">
        <f t="shared" si="53"/>
        <v>KZN226</v>
      </c>
      <c r="D1698" s="2">
        <v>80</v>
      </c>
      <c r="F1698" s="625"/>
      <c r="G1698" s="625"/>
      <c r="H1698" s="625"/>
      <c r="I1698" s="625"/>
      <c r="J1698" s="625"/>
      <c r="K1698" s="625"/>
      <c r="L1698" s="627"/>
      <c r="M1698" s="627"/>
      <c r="N1698" s="627"/>
      <c r="O1698" s="627"/>
      <c r="P1698" s="627"/>
      <c r="W1698" t="s">
        <v>2047</v>
      </c>
    </row>
    <row r="1699" spans="1:23" ht="13.15" customHeight="1" x14ac:dyDescent="0.2">
      <c r="A1699" s="2" t="s">
        <v>2200</v>
      </c>
      <c r="B1699" s="2">
        <f t="shared" si="52"/>
        <v>2022</v>
      </c>
      <c r="C1699" s="2" t="str">
        <f t="shared" si="53"/>
        <v>KZN226</v>
      </c>
      <c r="D1699" s="2">
        <v>81</v>
      </c>
      <c r="F1699" s="625"/>
      <c r="G1699" s="625"/>
      <c r="H1699" s="625"/>
      <c r="I1699" s="625"/>
      <c r="J1699" s="625"/>
      <c r="K1699" s="625"/>
      <c r="L1699" s="627"/>
      <c r="M1699" s="627"/>
      <c r="N1699" s="627"/>
      <c r="O1699" s="627"/>
      <c r="P1699" s="627"/>
      <c r="W1699" t="s">
        <v>2047</v>
      </c>
    </row>
    <row r="1700" spans="1:23" ht="13.15" customHeight="1" x14ac:dyDescent="0.2">
      <c r="A1700" s="2" t="s">
        <v>2200</v>
      </c>
      <c r="B1700" s="2">
        <f t="shared" si="52"/>
        <v>2022</v>
      </c>
      <c r="C1700" s="2" t="str">
        <f t="shared" si="53"/>
        <v>KZN226</v>
      </c>
      <c r="D1700" s="2">
        <v>82</v>
      </c>
      <c r="F1700" s="625"/>
      <c r="G1700" s="625"/>
      <c r="H1700" s="625"/>
      <c r="I1700" s="625"/>
      <c r="J1700" s="625"/>
      <c r="K1700" s="625"/>
      <c r="L1700" s="627"/>
      <c r="M1700" s="627"/>
      <c r="N1700" s="627"/>
      <c r="O1700" s="627"/>
      <c r="P1700" s="627"/>
      <c r="W1700" t="s">
        <v>2047</v>
      </c>
    </row>
    <row r="1701" spans="1:23" ht="13.15" customHeight="1" x14ac:dyDescent="0.2">
      <c r="A1701" s="2" t="s">
        <v>2200</v>
      </c>
      <c r="B1701" s="2">
        <f t="shared" si="52"/>
        <v>2022</v>
      </c>
      <c r="C1701" s="2" t="str">
        <f t="shared" si="53"/>
        <v>KZN226</v>
      </c>
      <c r="D1701" s="2">
        <v>83</v>
      </c>
      <c r="F1701" s="625"/>
      <c r="G1701" s="625"/>
      <c r="H1701" s="625"/>
      <c r="I1701" s="625"/>
      <c r="J1701" s="625"/>
      <c r="K1701" s="625"/>
      <c r="L1701" s="627"/>
      <c r="M1701" s="627"/>
      <c r="N1701" s="627"/>
      <c r="O1701" s="627"/>
      <c r="P1701" s="627"/>
      <c r="W1701" t="s">
        <v>2047</v>
      </c>
    </row>
    <row r="1702" spans="1:23" ht="13.15" customHeight="1" x14ac:dyDescent="0.2">
      <c r="A1702" s="2" t="s">
        <v>2200</v>
      </c>
      <c r="B1702" s="2">
        <f t="shared" si="52"/>
        <v>2022</v>
      </c>
      <c r="C1702" s="2" t="str">
        <f t="shared" si="53"/>
        <v>KZN226</v>
      </c>
      <c r="D1702" s="2">
        <v>84</v>
      </c>
      <c r="F1702" s="625"/>
      <c r="G1702" s="625"/>
      <c r="H1702" s="625"/>
      <c r="I1702" s="625"/>
      <c r="J1702" s="625"/>
      <c r="K1702" s="625"/>
      <c r="L1702" s="627"/>
      <c r="M1702" s="627"/>
      <c r="N1702" s="627"/>
      <c r="O1702" s="627"/>
      <c r="P1702" s="627"/>
      <c r="W1702" t="s">
        <v>2047</v>
      </c>
    </row>
    <row r="1703" spans="1:23" ht="13.15" customHeight="1" x14ac:dyDescent="0.2">
      <c r="A1703" s="2" t="s">
        <v>2200</v>
      </c>
      <c r="B1703" s="2">
        <f t="shared" si="52"/>
        <v>2022</v>
      </c>
      <c r="C1703" s="2" t="str">
        <f t="shared" si="53"/>
        <v>KZN226</v>
      </c>
      <c r="D1703" s="2">
        <v>85</v>
      </c>
      <c r="F1703" s="625"/>
      <c r="G1703" s="625"/>
      <c r="H1703" s="625"/>
      <c r="I1703" s="625"/>
      <c r="J1703" s="625"/>
      <c r="K1703" s="625"/>
      <c r="L1703" s="627"/>
      <c r="M1703" s="627"/>
      <c r="N1703" s="627"/>
      <c r="O1703" s="627"/>
      <c r="P1703" s="627"/>
      <c r="W1703" t="s">
        <v>2047</v>
      </c>
    </row>
    <row r="1704" spans="1:23" ht="13.15" customHeight="1" x14ac:dyDescent="0.2">
      <c r="A1704" s="2" t="s">
        <v>2200</v>
      </c>
      <c r="B1704" s="2">
        <f t="shared" si="52"/>
        <v>2022</v>
      </c>
      <c r="C1704" s="2" t="str">
        <f t="shared" si="53"/>
        <v>KZN226</v>
      </c>
      <c r="D1704" s="2">
        <v>86</v>
      </c>
      <c r="F1704" s="625"/>
      <c r="G1704" s="625"/>
      <c r="H1704" s="625"/>
      <c r="I1704" s="625"/>
      <c r="J1704" s="625"/>
      <c r="K1704" s="625"/>
      <c r="L1704" s="627"/>
      <c r="M1704" s="627"/>
      <c r="N1704" s="627"/>
      <c r="O1704" s="627"/>
      <c r="P1704" s="627"/>
      <c r="W1704" t="s">
        <v>2047</v>
      </c>
    </row>
    <row r="1705" spans="1:23" ht="13.15" customHeight="1" x14ac:dyDescent="0.2">
      <c r="A1705" s="2" t="s">
        <v>2200</v>
      </c>
      <c r="B1705" s="2">
        <f t="shared" si="52"/>
        <v>2022</v>
      </c>
      <c r="C1705" s="2" t="str">
        <f t="shared" si="53"/>
        <v>KZN226</v>
      </c>
      <c r="D1705" s="2">
        <v>87</v>
      </c>
      <c r="F1705" s="625"/>
      <c r="G1705" s="625"/>
      <c r="H1705" s="625"/>
      <c r="I1705" s="625"/>
      <c r="J1705" s="625"/>
      <c r="K1705" s="625"/>
      <c r="L1705" s="627"/>
      <c r="M1705" s="627"/>
      <c r="N1705" s="627"/>
      <c r="O1705" s="627"/>
      <c r="P1705" s="627"/>
      <c r="W1705" t="s">
        <v>2047</v>
      </c>
    </row>
    <row r="1706" spans="1:23" ht="13.15" customHeight="1" x14ac:dyDescent="0.2">
      <c r="A1706" s="2" t="s">
        <v>2200</v>
      </c>
      <c r="B1706" s="2">
        <f t="shared" si="52"/>
        <v>2022</v>
      </c>
      <c r="C1706" s="2" t="str">
        <f t="shared" si="53"/>
        <v>KZN226</v>
      </c>
      <c r="D1706" s="2">
        <v>88</v>
      </c>
      <c r="F1706" s="625"/>
      <c r="G1706" s="625"/>
      <c r="H1706" s="625"/>
      <c r="I1706" s="625"/>
      <c r="J1706" s="625"/>
      <c r="K1706" s="625"/>
      <c r="L1706" s="627"/>
      <c r="M1706" s="627"/>
      <c r="N1706" s="627"/>
      <c r="O1706" s="627"/>
      <c r="P1706" s="627"/>
      <c r="W1706" t="s">
        <v>2047</v>
      </c>
    </row>
    <row r="1707" spans="1:23" ht="13.15" customHeight="1" x14ac:dyDescent="0.2">
      <c r="A1707" s="2" t="s">
        <v>2200</v>
      </c>
      <c r="B1707" s="2">
        <f t="shared" si="52"/>
        <v>2022</v>
      </c>
      <c r="C1707" s="2" t="str">
        <f t="shared" si="53"/>
        <v>KZN226</v>
      </c>
      <c r="D1707" s="2">
        <v>89</v>
      </c>
      <c r="F1707" s="625"/>
      <c r="G1707" s="625"/>
      <c r="H1707" s="625"/>
      <c r="I1707" s="625"/>
      <c r="J1707" s="625"/>
      <c r="K1707" s="625"/>
      <c r="L1707" s="627"/>
      <c r="M1707" s="627"/>
      <c r="N1707" s="627"/>
      <c r="O1707" s="627"/>
      <c r="P1707" s="627"/>
      <c r="W1707" t="s">
        <v>2047</v>
      </c>
    </row>
    <row r="1708" spans="1:23" ht="13.15" customHeight="1" x14ac:dyDescent="0.2">
      <c r="A1708" s="2" t="s">
        <v>2200</v>
      </c>
      <c r="B1708" s="2">
        <f t="shared" si="52"/>
        <v>2022</v>
      </c>
      <c r="C1708" s="2" t="str">
        <f t="shared" si="53"/>
        <v>KZN226</v>
      </c>
      <c r="D1708" s="2">
        <v>90</v>
      </c>
      <c r="F1708" s="625"/>
      <c r="G1708" s="625"/>
      <c r="H1708" s="625"/>
      <c r="I1708" s="625"/>
      <c r="J1708" s="625"/>
      <c r="K1708" s="625"/>
      <c r="L1708" s="627"/>
      <c r="M1708" s="627"/>
      <c r="N1708" s="627"/>
      <c r="O1708" s="627"/>
      <c r="P1708" s="627"/>
      <c r="W1708" t="s">
        <v>2047</v>
      </c>
    </row>
    <row r="1709" spans="1:23" ht="13.15" customHeight="1" x14ac:dyDescent="0.2">
      <c r="A1709" s="2" t="s">
        <v>2200</v>
      </c>
      <c r="B1709" s="2">
        <f t="shared" si="52"/>
        <v>2022</v>
      </c>
      <c r="C1709" s="2" t="str">
        <f t="shared" si="53"/>
        <v>KZN226</v>
      </c>
      <c r="D1709" s="2">
        <v>91</v>
      </c>
      <c r="F1709" s="625"/>
      <c r="G1709" s="625"/>
      <c r="H1709" s="625"/>
      <c r="I1709" s="625"/>
      <c r="J1709" s="625"/>
      <c r="K1709" s="625"/>
      <c r="L1709" s="627"/>
      <c r="M1709" s="627"/>
      <c r="N1709" s="627"/>
      <c r="O1709" s="627"/>
      <c r="P1709" s="627"/>
      <c r="W1709" t="s">
        <v>2047</v>
      </c>
    </row>
    <row r="1710" spans="1:23" ht="13.15" customHeight="1" x14ac:dyDescent="0.2">
      <c r="A1710" s="2" t="s">
        <v>2200</v>
      </c>
      <c r="B1710" s="2">
        <f t="shared" si="52"/>
        <v>2022</v>
      </c>
      <c r="C1710" s="2" t="str">
        <f t="shared" si="53"/>
        <v>KZN226</v>
      </c>
      <c r="D1710" s="2">
        <v>92</v>
      </c>
      <c r="F1710" s="625"/>
      <c r="G1710" s="625"/>
      <c r="H1710" s="625"/>
      <c r="I1710" s="625"/>
      <c r="J1710" s="625"/>
      <c r="K1710" s="625"/>
      <c r="L1710" s="627"/>
      <c r="M1710" s="627"/>
      <c r="N1710" s="627"/>
      <c r="O1710" s="627"/>
      <c r="P1710" s="627"/>
      <c r="W1710" t="s">
        <v>2047</v>
      </c>
    </row>
    <row r="1711" spans="1:23" ht="13.15" customHeight="1" x14ac:dyDescent="0.2">
      <c r="A1711" s="2" t="s">
        <v>2200</v>
      </c>
      <c r="B1711" s="2">
        <f t="shared" si="52"/>
        <v>2022</v>
      </c>
      <c r="C1711" s="2" t="str">
        <f t="shared" si="53"/>
        <v>KZN226</v>
      </c>
      <c r="D1711" s="2">
        <v>93</v>
      </c>
      <c r="F1711" s="625"/>
      <c r="G1711" s="625"/>
      <c r="H1711" s="625"/>
      <c r="I1711" s="625"/>
      <c r="J1711" s="625"/>
      <c r="K1711" s="625"/>
      <c r="L1711" s="627"/>
      <c r="M1711" s="627"/>
      <c r="N1711" s="627"/>
      <c r="O1711" s="627"/>
      <c r="P1711" s="627"/>
      <c r="W1711" t="s">
        <v>2047</v>
      </c>
    </row>
    <row r="1712" spans="1:23" ht="13.15" customHeight="1" x14ac:dyDescent="0.2">
      <c r="A1712" s="2" t="s">
        <v>2200</v>
      </c>
      <c r="B1712" s="2">
        <f t="shared" si="52"/>
        <v>2022</v>
      </c>
      <c r="C1712" s="2" t="str">
        <f t="shared" si="53"/>
        <v>KZN226</v>
      </c>
      <c r="D1712" s="2">
        <v>94</v>
      </c>
      <c r="F1712" s="625"/>
      <c r="G1712" s="625"/>
      <c r="H1712" s="625"/>
      <c r="I1712" s="625"/>
      <c r="J1712" s="625"/>
      <c r="K1712" s="625"/>
      <c r="L1712" s="627"/>
      <c r="M1712" s="627"/>
      <c r="N1712" s="627"/>
      <c r="O1712" s="627"/>
      <c r="P1712" s="627"/>
      <c r="W1712" t="s">
        <v>2047</v>
      </c>
    </row>
    <row r="1713" spans="1:23" ht="13.15" customHeight="1" x14ac:dyDescent="0.2">
      <c r="A1713" s="2" t="s">
        <v>2200</v>
      </c>
      <c r="B1713" s="2">
        <f t="shared" si="52"/>
        <v>2022</v>
      </c>
      <c r="C1713" s="2" t="str">
        <f t="shared" si="53"/>
        <v>KZN226</v>
      </c>
      <c r="D1713" s="2">
        <v>95</v>
      </c>
      <c r="F1713" s="625"/>
      <c r="G1713" s="625"/>
      <c r="H1713" s="625"/>
      <c r="I1713" s="625"/>
      <c r="J1713" s="625"/>
      <c r="K1713" s="625"/>
      <c r="L1713" s="627"/>
      <c r="M1713" s="627"/>
      <c r="N1713" s="627"/>
      <c r="O1713" s="627"/>
      <c r="P1713" s="627"/>
      <c r="W1713" t="s">
        <v>2047</v>
      </c>
    </row>
    <row r="1714" spans="1:23" ht="13.15" customHeight="1" x14ac:dyDescent="0.2">
      <c r="A1714" s="2" t="s">
        <v>2200</v>
      </c>
      <c r="B1714" s="2">
        <f t="shared" si="52"/>
        <v>2022</v>
      </c>
      <c r="C1714" s="2" t="str">
        <f t="shared" si="53"/>
        <v>KZN226</v>
      </c>
      <c r="D1714" s="2">
        <v>96</v>
      </c>
      <c r="F1714" s="625"/>
      <c r="G1714" s="625"/>
      <c r="H1714" s="625"/>
      <c r="I1714" s="625"/>
      <c r="J1714" s="625"/>
      <c r="K1714" s="625"/>
      <c r="L1714" s="627"/>
      <c r="M1714" s="627"/>
      <c r="N1714" s="627"/>
      <c r="O1714" s="627"/>
      <c r="P1714" s="627"/>
      <c r="W1714" t="s">
        <v>2047</v>
      </c>
    </row>
    <row r="1715" spans="1:23" ht="13.15" customHeight="1" x14ac:dyDescent="0.2">
      <c r="A1715" s="2" t="s">
        <v>2200</v>
      </c>
      <c r="B1715" s="2">
        <f t="shared" si="52"/>
        <v>2022</v>
      </c>
      <c r="C1715" s="2" t="str">
        <f t="shared" si="53"/>
        <v>KZN226</v>
      </c>
      <c r="D1715" s="2">
        <v>97</v>
      </c>
      <c r="F1715" s="625"/>
      <c r="G1715" s="625"/>
      <c r="H1715" s="625"/>
      <c r="I1715" s="625"/>
      <c r="J1715" s="625"/>
      <c r="K1715" s="625"/>
      <c r="L1715" s="627"/>
      <c r="M1715" s="627"/>
      <c r="N1715" s="627"/>
      <c r="O1715" s="627"/>
      <c r="P1715" s="627"/>
      <c r="W1715" t="s">
        <v>2047</v>
      </c>
    </row>
    <row r="1716" spans="1:23" ht="13.15" customHeight="1" x14ac:dyDescent="0.2">
      <c r="A1716" s="2" t="s">
        <v>2200</v>
      </c>
      <c r="B1716" s="2">
        <f t="shared" si="52"/>
        <v>2022</v>
      </c>
      <c r="C1716" s="2" t="str">
        <f t="shared" si="53"/>
        <v>KZN226</v>
      </c>
      <c r="D1716" s="2">
        <v>98</v>
      </c>
      <c r="F1716" s="625"/>
      <c r="G1716" s="625"/>
      <c r="H1716" s="625"/>
      <c r="I1716" s="625"/>
      <c r="J1716" s="625"/>
      <c r="K1716" s="625"/>
      <c r="L1716" s="627"/>
      <c r="M1716" s="627"/>
      <c r="N1716" s="627"/>
      <c r="O1716" s="627"/>
      <c r="P1716" s="627"/>
      <c r="W1716" t="s">
        <v>2047</v>
      </c>
    </row>
    <row r="1717" spans="1:23" ht="13.15" customHeight="1" x14ac:dyDescent="0.2">
      <c r="A1717" s="2" t="s">
        <v>2200</v>
      </c>
      <c r="B1717" s="2">
        <f t="shared" si="52"/>
        <v>2022</v>
      </c>
      <c r="C1717" s="2" t="str">
        <f t="shared" si="53"/>
        <v>KZN226</v>
      </c>
      <c r="D1717" s="2">
        <v>99</v>
      </c>
      <c r="F1717" s="625"/>
      <c r="G1717" s="625"/>
      <c r="H1717" s="625"/>
      <c r="I1717" s="625"/>
      <c r="J1717" s="625"/>
      <c r="K1717" s="625"/>
      <c r="L1717" s="627"/>
      <c r="M1717" s="627"/>
      <c r="N1717" s="627"/>
      <c r="O1717" s="627"/>
      <c r="P1717" s="627"/>
      <c r="W1717" t="s">
        <v>2047</v>
      </c>
    </row>
    <row r="1718" spans="1:23" ht="13.15" customHeight="1" x14ac:dyDescent="0.2">
      <c r="A1718" s="2" t="s">
        <v>2200</v>
      </c>
      <c r="B1718" s="2">
        <f t="shared" si="52"/>
        <v>2022</v>
      </c>
      <c r="C1718" s="2" t="str">
        <f t="shared" si="53"/>
        <v>KZN226</v>
      </c>
      <c r="D1718" s="2">
        <v>100</v>
      </c>
      <c r="F1718" s="625"/>
      <c r="G1718" s="625"/>
      <c r="H1718" s="625"/>
      <c r="I1718" s="625"/>
      <c r="J1718" s="625"/>
      <c r="K1718" s="625"/>
      <c r="L1718" s="627"/>
      <c r="M1718" s="627"/>
      <c r="N1718" s="627"/>
      <c r="O1718" s="627"/>
      <c r="P1718" s="627"/>
      <c r="W1718" t="s">
        <v>2047</v>
      </c>
    </row>
    <row r="1719" spans="1:23" ht="13.15" customHeight="1" x14ac:dyDescent="0.2">
      <c r="A1719" s="2" t="s">
        <v>2200</v>
      </c>
      <c r="B1719" s="2">
        <f t="shared" si="52"/>
        <v>2022</v>
      </c>
      <c r="C1719" s="2" t="str">
        <f t="shared" si="53"/>
        <v>KZN226</v>
      </c>
      <c r="D1719" s="2">
        <v>101</v>
      </c>
      <c r="F1719" s="625"/>
      <c r="G1719" s="625"/>
      <c r="H1719" s="625"/>
      <c r="I1719" s="625"/>
      <c r="J1719" s="625"/>
      <c r="K1719" s="625"/>
      <c r="L1719" s="627"/>
      <c r="M1719" s="627"/>
      <c r="N1719" s="627"/>
      <c r="O1719" s="627"/>
      <c r="P1719" s="627"/>
      <c r="W1719" t="s">
        <v>2047</v>
      </c>
    </row>
    <row r="1720" spans="1:23" ht="13.15" customHeight="1" x14ac:dyDescent="0.2">
      <c r="A1720" s="2" t="s">
        <v>2200</v>
      </c>
      <c r="B1720" s="2">
        <f t="shared" si="52"/>
        <v>2022</v>
      </c>
      <c r="C1720" s="2" t="str">
        <f t="shared" si="53"/>
        <v>KZN226</v>
      </c>
      <c r="D1720" s="2">
        <v>102</v>
      </c>
      <c r="F1720" s="625"/>
      <c r="G1720" s="625"/>
      <c r="H1720" s="625"/>
      <c r="I1720" s="625"/>
      <c r="J1720" s="625"/>
      <c r="K1720" s="625"/>
      <c r="L1720" s="627"/>
      <c r="M1720" s="627"/>
      <c r="N1720" s="627"/>
      <c r="O1720" s="627"/>
      <c r="P1720" s="627"/>
      <c r="W1720" t="s">
        <v>2047</v>
      </c>
    </row>
    <row r="1721" spans="1:23" ht="13.15" customHeight="1" x14ac:dyDescent="0.2">
      <c r="A1721" s="2" t="s">
        <v>2200</v>
      </c>
      <c r="B1721" s="2">
        <f t="shared" si="52"/>
        <v>2022</v>
      </c>
      <c r="C1721" s="2" t="str">
        <f t="shared" si="53"/>
        <v>KZN226</v>
      </c>
      <c r="D1721" s="2">
        <v>103</v>
      </c>
      <c r="F1721" s="625"/>
      <c r="G1721" s="625"/>
      <c r="H1721" s="625"/>
      <c r="I1721" s="625"/>
      <c r="J1721" s="625"/>
      <c r="K1721" s="625"/>
      <c r="L1721" s="627"/>
      <c r="M1721" s="627"/>
      <c r="N1721" s="627"/>
      <c r="O1721" s="627"/>
      <c r="P1721" s="627"/>
      <c r="W1721" t="s">
        <v>2047</v>
      </c>
    </row>
    <row r="1722" spans="1:23" ht="13.15" customHeight="1" x14ac:dyDescent="0.2">
      <c r="A1722" s="2" t="s">
        <v>2200</v>
      </c>
      <c r="B1722" s="2">
        <f t="shared" si="52"/>
        <v>2022</v>
      </c>
      <c r="C1722" s="2" t="str">
        <f t="shared" si="53"/>
        <v>KZN226</v>
      </c>
      <c r="D1722" s="2">
        <v>104</v>
      </c>
      <c r="F1722" s="625"/>
      <c r="G1722" s="625"/>
      <c r="H1722" s="625"/>
      <c r="I1722" s="625"/>
      <c r="J1722" s="625"/>
      <c r="K1722" s="625"/>
      <c r="L1722" s="627"/>
      <c r="M1722" s="627"/>
      <c r="N1722" s="627"/>
      <c r="O1722" s="627"/>
      <c r="P1722" s="627"/>
      <c r="W1722" t="s">
        <v>2047</v>
      </c>
    </row>
    <row r="1723" spans="1:23" ht="13.15" customHeight="1" x14ac:dyDescent="0.2">
      <c r="A1723" s="2" t="s">
        <v>2200</v>
      </c>
      <c r="B1723" s="2">
        <f t="shared" si="52"/>
        <v>2022</v>
      </c>
      <c r="C1723" s="2" t="str">
        <f t="shared" si="53"/>
        <v>KZN226</v>
      </c>
      <c r="D1723" s="2">
        <v>105</v>
      </c>
      <c r="F1723" s="625"/>
      <c r="G1723" s="625"/>
      <c r="H1723" s="625"/>
      <c r="I1723" s="625"/>
      <c r="J1723" s="625"/>
      <c r="K1723" s="625"/>
      <c r="L1723" s="627"/>
      <c r="M1723" s="627"/>
      <c r="N1723" s="627"/>
      <c r="O1723" s="627"/>
      <c r="P1723" s="627"/>
      <c r="W1723" t="s">
        <v>2047</v>
      </c>
    </row>
    <row r="1724" spans="1:23" ht="13.15" customHeight="1" x14ac:dyDescent="0.2">
      <c r="A1724" s="2" t="s">
        <v>2200</v>
      </c>
      <c r="B1724" s="2">
        <f t="shared" si="52"/>
        <v>2022</v>
      </c>
      <c r="C1724" s="2" t="str">
        <f t="shared" si="53"/>
        <v>KZN226</v>
      </c>
      <c r="D1724" s="2">
        <v>106</v>
      </c>
      <c r="F1724" s="625"/>
      <c r="G1724" s="625"/>
      <c r="H1724" s="625"/>
      <c r="I1724" s="625"/>
      <c r="J1724" s="625"/>
      <c r="K1724" s="625"/>
      <c r="L1724" s="627"/>
      <c r="M1724" s="627"/>
      <c r="N1724" s="627"/>
      <c r="O1724" s="627"/>
      <c r="P1724" s="627"/>
      <c r="W1724" t="s">
        <v>2047</v>
      </c>
    </row>
    <row r="1725" spans="1:23" ht="13.15" customHeight="1" x14ac:dyDescent="0.2">
      <c r="A1725" s="2" t="s">
        <v>2200</v>
      </c>
      <c r="B1725" s="2">
        <f t="shared" si="52"/>
        <v>2022</v>
      </c>
      <c r="C1725" s="2" t="str">
        <f t="shared" si="53"/>
        <v>KZN226</v>
      </c>
      <c r="D1725" s="2">
        <v>107</v>
      </c>
      <c r="F1725" s="625"/>
      <c r="G1725" s="625"/>
      <c r="H1725" s="625"/>
      <c r="I1725" s="625"/>
      <c r="J1725" s="625"/>
      <c r="K1725" s="625"/>
      <c r="L1725" s="627"/>
      <c r="M1725" s="627"/>
      <c r="N1725" s="627"/>
      <c r="O1725" s="627"/>
      <c r="P1725" s="627"/>
      <c r="W1725" t="s">
        <v>2047</v>
      </c>
    </row>
    <row r="1726" spans="1:23" ht="13.15" customHeight="1" x14ac:dyDescent="0.2">
      <c r="A1726" s="2" t="s">
        <v>2200</v>
      </c>
      <c r="B1726" s="2">
        <f t="shared" si="52"/>
        <v>2022</v>
      </c>
      <c r="C1726" s="2" t="str">
        <f t="shared" si="53"/>
        <v>KZN226</v>
      </c>
      <c r="D1726" s="2">
        <v>108</v>
      </c>
      <c r="F1726" s="625"/>
      <c r="G1726" s="625"/>
      <c r="H1726" s="625"/>
      <c r="I1726" s="625"/>
      <c r="J1726" s="625"/>
      <c r="K1726" s="625"/>
      <c r="L1726" s="627"/>
      <c r="M1726" s="627"/>
      <c r="N1726" s="627"/>
      <c r="O1726" s="627"/>
      <c r="P1726" s="627"/>
      <c r="W1726" t="s">
        <v>2047</v>
      </c>
    </row>
    <row r="1727" spans="1:23" ht="13.15" customHeight="1" x14ac:dyDescent="0.2">
      <c r="A1727" s="2" t="s">
        <v>2200</v>
      </c>
      <c r="B1727" s="2">
        <f t="shared" si="52"/>
        <v>2022</v>
      </c>
      <c r="C1727" s="2" t="str">
        <f t="shared" si="53"/>
        <v>KZN226</v>
      </c>
      <c r="D1727" s="2">
        <v>109</v>
      </c>
      <c r="F1727" s="625"/>
      <c r="G1727" s="625"/>
      <c r="H1727" s="625"/>
      <c r="I1727" s="625"/>
      <c r="J1727" s="625"/>
      <c r="K1727" s="625"/>
      <c r="L1727" s="627"/>
      <c r="M1727" s="627"/>
      <c r="N1727" s="627"/>
      <c r="O1727" s="627"/>
      <c r="P1727" s="627"/>
      <c r="W1727" t="s">
        <v>2047</v>
      </c>
    </row>
    <row r="1728" spans="1:23" ht="13.15" customHeight="1" x14ac:dyDescent="0.2">
      <c r="A1728" s="2" t="s">
        <v>2200</v>
      </c>
      <c r="B1728" s="2">
        <f t="shared" si="52"/>
        <v>2022</v>
      </c>
      <c r="C1728" s="2" t="str">
        <f t="shared" si="53"/>
        <v>KZN226</v>
      </c>
      <c r="D1728" s="2">
        <v>110</v>
      </c>
      <c r="F1728" s="625"/>
      <c r="G1728" s="625"/>
      <c r="H1728" s="625"/>
      <c r="I1728" s="625"/>
      <c r="J1728" s="625"/>
      <c r="K1728" s="625"/>
      <c r="L1728" s="627"/>
      <c r="M1728" s="627"/>
      <c r="N1728" s="627"/>
      <c r="O1728" s="627"/>
      <c r="P1728" s="627"/>
      <c r="W1728" t="s">
        <v>2047</v>
      </c>
    </row>
    <row r="1729" spans="1:23" ht="13.15" customHeight="1" x14ac:dyDescent="0.2">
      <c r="A1729" s="2" t="s">
        <v>2200</v>
      </c>
      <c r="B1729" s="2">
        <f t="shared" si="52"/>
        <v>2022</v>
      </c>
      <c r="C1729" s="2" t="str">
        <f t="shared" si="53"/>
        <v>KZN226</v>
      </c>
      <c r="D1729" s="2">
        <v>111</v>
      </c>
      <c r="F1729" s="625"/>
      <c r="G1729" s="625"/>
      <c r="H1729" s="625"/>
      <c r="I1729" s="625"/>
      <c r="J1729" s="625"/>
      <c r="K1729" s="625"/>
      <c r="L1729" s="627"/>
      <c r="M1729" s="627"/>
      <c r="N1729" s="627"/>
      <c r="O1729" s="627"/>
      <c r="P1729" s="627"/>
      <c r="W1729" t="s">
        <v>2047</v>
      </c>
    </row>
    <row r="1730" spans="1:23" ht="13.15" customHeight="1" x14ac:dyDescent="0.2">
      <c r="A1730" s="2" t="s">
        <v>2200</v>
      </c>
      <c r="B1730" s="2">
        <f t="shared" ref="B1730:B1793" si="54">+MTREF</f>
        <v>2022</v>
      </c>
      <c r="C1730" s="2" t="str">
        <f t="shared" ref="C1730:C1793" si="55">LEFT(muni,(FIND(" ",muni,1)-1))</f>
        <v>KZN226</v>
      </c>
      <c r="D1730" s="2">
        <v>112</v>
      </c>
      <c r="F1730" s="625"/>
      <c r="G1730" s="625"/>
      <c r="H1730" s="625"/>
      <c r="I1730" s="625"/>
      <c r="J1730" s="625"/>
      <c r="K1730" s="625"/>
      <c r="L1730" s="627"/>
      <c r="M1730" s="627"/>
      <c r="N1730" s="627"/>
      <c r="O1730" s="627"/>
      <c r="P1730" s="627"/>
      <c r="W1730" t="s">
        <v>2047</v>
      </c>
    </row>
    <row r="1731" spans="1:23" ht="13.15" customHeight="1" x14ac:dyDescent="0.2">
      <c r="A1731" s="2" t="s">
        <v>2200</v>
      </c>
      <c r="B1731" s="2">
        <f t="shared" si="54"/>
        <v>2022</v>
      </c>
      <c r="C1731" s="2" t="str">
        <f t="shared" si="55"/>
        <v>KZN226</v>
      </c>
      <c r="D1731" s="2">
        <v>113</v>
      </c>
      <c r="F1731" s="625"/>
      <c r="G1731" s="625"/>
      <c r="H1731" s="625"/>
      <c r="I1731" s="625"/>
      <c r="J1731" s="625"/>
      <c r="K1731" s="625"/>
      <c r="L1731" s="627"/>
      <c r="M1731" s="627"/>
      <c r="N1731" s="627"/>
      <c r="O1731" s="627"/>
      <c r="P1731" s="627"/>
      <c r="W1731" t="s">
        <v>2047</v>
      </c>
    </row>
    <row r="1732" spans="1:23" ht="13.15" customHeight="1" x14ac:dyDescent="0.2">
      <c r="A1732" s="2" t="s">
        <v>2200</v>
      </c>
      <c r="B1732" s="2">
        <f t="shared" si="54"/>
        <v>2022</v>
      </c>
      <c r="C1732" s="2" t="str">
        <f t="shared" si="55"/>
        <v>KZN226</v>
      </c>
      <c r="D1732" s="2">
        <v>114</v>
      </c>
      <c r="F1732" s="625"/>
      <c r="G1732" s="625"/>
      <c r="H1732" s="625"/>
      <c r="I1732" s="625"/>
      <c r="J1732" s="625"/>
      <c r="K1732" s="625"/>
      <c r="L1732" s="627"/>
      <c r="M1732" s="627"/>
      <c r="N1732" s="627"/>
      <c r="O1732" s="627"/>
      <c r="P1732" s="627"/>
      <c r="W1732" t="s">
        <v>2047</v>
      </c>
    </row>
    <row r="1733" spans="1:23" ht="13.15" customHeight="1" x14ac:dyDescent="0.2">
      <c r="A1733" s="2" t="s">
        <v>2200</v>
      </c>
      <c r="B1733" s="2">
        <f t="shared" si="54"/>
        <v>2022</v>
      </c>
      <c r="C1733" s="2" t="str">
        <f t="shared" si="55"/>
        <v>KZN226</v>
      </c>
      <c r="D1733" s="2">
        <v>115</v>
      </c>
      <c r="F1733" s="625"/>
      <c r="G1733" s="625"/>
      <c r="H1733" s="625"/>
      <c r="I1733" s="625"/>
      <c r="J1733" s="625"/>
      <c r="K1733" s="625"/>
      <c r="L1733" s="627"/>
      <c r="M1733" s="627"/>
      <c r="N1733" s="627"/>
      <c r="O1733" s="627"/>
      <c r="P1733" s="627"/>
      <c r="W1733" t="s">
        <v>2047</v>
      </c>
    </row>
    <row r="1734" spans="1:23" ht="13.15" customHeight="1" x14ac:dyDescent="0.2">
      <c r="A1734" s="2" t="s">
        <v>2200</v>
      </c>
      <c r="B1734" s="2">
        <f t="shared" si="54"/>
        <v>2022</v>
      </c>
      <c r="C1734" s="2" t="str">
        <f t="shared" si="55"/>
        <v>KZN226</v>
      </c>
      <c r="D1734" s="2">
        <v>116</v>
      </c>
      <c r="F1734" s="625"/>
      <c r="G1734" s="625"/>
      <c r="H1734" s="625"/>
      <c r="I1734" s="625"/>
      <c r="J1734" s="625"/>
      <c r="K1734" s="625"/>
      <c r="L1734" s="627"/>
      <c r="M1734" s="627"/>
      <c r="N1734" s="627"/>
      <c r="O1734" s="627"/>
      <c r="P1734" s="627"/>
      <c r="W1734" t="s">
        <v>2047</v>
      </c>
    </row>
    <row r="1735" spans="1:23" ht="13.15" customHeight="1" x14ac:dyDescent="0.2">
      <c r="A1735" s="2" t="s">
        <v>2200</v>
      </c>
      <c r="B1735" s="2">
        <f t="shared" si="54"/>
        <v>2022</v>
      </c>
      <c r="C1735" s="2" t="str">
        <f t="shared" si="55"/>
        <v>KZN226</v>
      </c>
      <c r="D1735" s="2">
        <v>117</v>
      </c>
      <c r="F1735" s="625"/>
      <c r="G1735" s="625"/>
      <c r="H1735" s="625"/>
      <c r="I1735" s="625"/>
      <c r="J1735" s="625"/>
      <c r="K1735" s="625"/>
      <c r="L1735" s="627"/>
      <c r="M1735" s="627"/>
      <c r="N1735" s="627"/>
      <c r="O1735" s="627"/>
      <c r="P1735" s="627"/>
      <c r="W1735" t="s">
        <v>2047</v>
      </c>
    </row>
    <row r="1736" spans="1:23" ht="13.15" customHeight="1" x14ac:dyDescent="0.2">
      <c r="A1736" s="2" t="s">
        <v>2200</v>
      </c>
      <c r="B1736" s="2">
        <f t="shared" si="54"/>
        <v>2022</v>
      </c>
      <c r="C1736" s="2" t="str">
        <f t="shared" si="55"/>
        <v>KZN226</v>
      </c>
      <c r="D1736" s="2">
        <v>118</v>
      </c>
      <c r="F1736" s="625"/>
      <c r="G1736" s="625"/>
      <c r="H1736" s="625"/>
      <c r="I1736" s="625"/>
      <c r="J1736" s="625"/>
      <c r="K1736" s="625"/>
      <c r="L1736" s="627"/>
      <c r="M1736" s="627"/>
      <c r="N1736" s="627"/>
      <c r="O1736" s="627"/>
      <c r="P1736" s="627"/>
      <c r="W1736" t="s">
        <v>2047</v>
      </c>
    </row>
    <row r="1737" spans="1:23" ht="13.15" customHeight="1" x14ac:dyDescent="0.2">
      <c r="A1737" s="2" t="s">
        <v>2200</v>
      </c>
      <c r="B1737" s="2">
        <f t="shared" si="54"/>
        <v>2022</v>
      </c>
      <c r="C1737" s="2" t="str">
        <f t="shared" si="55"/>
        <v>KZN226</v>
      </c>
      <c r="D1737" s="2">
        <v>119</v>
      </c>
      <c r="F1737" s="625"/>
      <c r="G1737" s="625"/>
      <c r="H1737" s="625"/>
      <c r="I1737" s="625"/>
      <c r="J1737" s="625"/>
      <c r="K1737" s="625"/>
      <c r="L1737" s="627"/>
      <c r="M1737" s="627"/>
      <c r="N1737" s="627"/>
      <c r="O1737" s="627"/>
      <c r="P1737" s="627"/>
      <c r="W1737" t="s">
        <v>2047</v>
      </c>
    </row>
    <row r="1738" spans="1:23" ht="13.15" customHeight="1" x14ac:dyDescent="0.2">
      <c r="A1738" s="2" t="s">
        <v>2200</v>
      </c>
      <c r="B1738" s="2">
        <f t="shared" si="54"/>
        <v>2022</v>
      </c>
      <c r="C1738" s="2" t="str">
        <f t="shared" si="55"/>
        <v>KZN226</v>
      </c>
      <c r="D1738" s="2">
        <v>120</v>
      </c>
      <c r="F1738" s="625"/>
      <c r="G1738" s="625"/>
      <c r="H1738" s="625"/>
      <c r="I1738" s="625"/>
      <c r="J1738" s="625"/>
      <c r="K1738" s="625"/>
      <c r="L1738" s="627"/>
      <c r="M1738" s="627"/>
      <c r="N1738" s="627"/>
      <c r="O1738" s="627"/>
      <c r="P1738" s="627"/>
      <c r="W1738" t="s">
        <v>2047</v>
      </c>
    </row>
    <row r="1739" spans="1:23" ht="13.15" customHeight="1" x14ac:dyDescent="0.2">
      <c r="A1739" s="2" t="s">
        <v>2200</v>
      </c>
      <c r="B1739" s="2">
        <f t="shared" si="54"/>
        <v>2022</v>
      </c>
      <c r="C1739" s="2" t="str">
        <f t="shared" si="55"/>
        <v>KZN226</v>
      </c>
      <c r="D1739" s="2">
        <v>121</v>
      </c>
      <c r="F1739" s="625"/>
      <c r="G1739" s="625"/>
      <c r="H1739" s="625"/>
      <c r="I1739" s="625"/>
      <c r="J1739" s="625"/>
      <c r="K1739" s="625"/>
      <c r="L1739" s="627"/>
      <c r="M1739" s="627"/>
      <c r="N1739" s="627"/>
      <c r="O1739" s="627"/>
      <c r="P1739" s="627"/>
      <c r="W1739" t="s">
        <v>2047</v>
      </c>
    </row>
    <row r="1740" spans="1:23" ht="13.15" customHeight="1" x14ac:dyDescent="0.2">
      <c r="A1740" s="2" t="s">
        <v>2200</v>
      </c>
      <c r="B1740" s="2">
        <f t="shared" si="54"/>
        <v>2022</v>
      </c>
      <c r="C1740" s="2" t="str">
        <f t="shared" si="55"/>
        <v>KZN226</v>
      </c>
      <c r="D1740" s="2">
        <v>122</v>
      </c>
      <c r="F1740" s="625"/>
      <c r="G1740" s="625"/>
      <c r="H1740" s="625"/>
      <c r="I1740" s="625"/>
      <c r="J1740" s="625"/>
      <c r="K1740" s="625"/>
      <c r="L1740" s="627"/>
      <c r="M1740" s="627"/>
      <c r="N1740" s="627"/>
      <c r="O1740" s="627"/>
      <c r="P1740" s="627"/>
      <c r="W1740" t="s">
        <v>2047</v>
      </c>
    </row>
    <row r="1741" spans="1:23" ht="13.15" customHeight="1" x14ac:dyDescent="0.2">
      <c r="A1741" s="2" t="s">
        <v>2200</v>
      </c>
      <c r="B1741" s="2">
        <f t="shared" si="54"/>
        <v>2022</v>
      </c>
      <c r="C1741" s="2" t="str">
        <f t="shared" si="55"/>
        <v>KZN226</v>
      </c>
      <c r="D1741" s="2">
        <v>123</v>
      </c>
      <c r="F1741" s="625"/>
      <c r="G1741" s="625"/>
      <c r="H1741" s="625"/>
      <c r="I1741" s="625"/>
      <c r="J1741" s="625"/>
      <c r="K1741" s="625"/>
      <c r="L1741" s="627"/>
      <c r="M1741" s="627"/>
      <c r="N1741" s="627"/>
      <c r="O1741" s="627"/>
      <c r="P1741" s="627"/>
      <c r="W1741" t="s">
        <v>2047</v>
      </c>
    </row>
    <row r="1742" spans="1:23" ht="13.15" customHeight="1" x14ac:dyDescent="0.2">
      <c r="A1742" s="2" t="s">
        <v>2200</v>
      </c>
      <c r="B1742" s="2">
        <f t="shared" si="54"/>
        <v>2022</v>
      </c>
      <c r="C1742" s="2" t="str">
        <f t="shared" si="55"/>
        <v>KZN226</v>
      </c>
      <c r="D1742" s="2">
        <v>124</v>
      </c>
      <c r="F1742" s="625"/>
      <c r="G1742" s="625"/>
      <c r="H1742" s="625"/>
      <c r="I1742" s="625"/>
      <c r="J1742" s="625"/>
      <c r="K1742" s="625"/>
      <c r="L1742" s="627"/>
      <c r="M1742" s="627"/>
      <c r="N1742" s="627"/>
      <c r="O1742" s="627"/>
      <c r="P1742" s="627"/>
      <c r="W1742" t="s">
        <v>2047</v>
      </c>
    </row>
    <row r="1743" spans="1:23" ht="13.15" customHeight="1" x14ac:dyDescent="0.2">
      <c r="A1743" s="2" t="s">
        <v>2200</v>
      </c>
      <c r="B1743" s="2">
        <f t="shared" si="54"/>
        <v>2022</v>
      </c>
      <c r="C1743" s="2" t="str">
        <f t="shared" si="55"/>
        <v>KZN226</v>
      </c>
      <c r="D1743" s="2">
        <v>125</v>
      </c>
      <c r="F1743" s="625"/>
      <c r="G1743" s="625"/>
      <c r="H1743" s="625"/>
      <c r="I1743" s="625"/>
      <c r="J1743" s="625"/>
      <c r="K1743" s="625"/>
      <c r="L1743" s="627"/>
      <c r="M1743" s="627"/>
      <c r="N1743" s="627"/>
      <c r="O1743" s="627"/>
      <c r="P1743" s="627"/>
      <c r="W1743" t="s">
        <v>2047</v>
      </c>
    </row>
    <row r="1744" spans="1:23" ht="13.15" customHeight="1" x14ac:dyDescent="0.2">
      <c r="A1744" s="2" t="s">
        <v>2200</v>
      </c>
      <c r="B1744" s="2">
        <f t="shared" si="54"/>
        <v>2022</v>
      </c>
      <c r="C1744" s="2" t="str">
        <f t="shared" si="55"/>
        <v>KZN226</v>
      </c>
      <c r="D1744" s="2">
        <v>126</v>
      </c>
      <c r="F1744" s="625"/>
      <c r="G1744" s="625"/>
      <c r="H1744" s="625"/>
      <c r="I1744" s="625"/>
      <c r="J1744" s="625"/>
      <c r="K1744" s="625"/>
      <c r="L1744" s="627"/>
      <c r="M1744" s="627"/>
      <c r="N1744" s="627"/>
      <c r="O1744" s="627"/>
      <c r="P1744" s="627"/>
      <c r="W1744" t="s">
        <v>2047</v>
      </c>
    </row>
    <row r="1745" spans="1:23" ht="13.15" customHeight="1" x14ac:dyDescent="0.2">
      <c r="A1745" s="2" t="s">
        <v>2200</v>
      </c>
      <c r="B1745" s="2">
        <f t="shared" si="54"/>
        <v>2022</v>
      </c>
      <c r="C1745" s="2" t="str">
        <f t="shared" si="55"/>
        <v>KZN226</v>
      </c>
      <c r="D1745" s="2">
        <v>127</v>
      </c>
      <c r="F1745" s="625"/>
      <c r="G1745" s="625"/>
      <c r="H1745" s="625"/>
      <c r="I1745" s="625"/>
      <c r="J1745" s="625"/>
      <c r="K1745" s="625"/>
      <c r="L1745" s="627"/>
      <c r="M1745" s="627"/>
      <c r="N1745" s="627"/>
      <c r="O1745" s="627"/>
      <c r="P1745" s="627"/>
      <c r="W1745" t="s">
        <v>2047</v>
      </c>
    </row>
    <row r="1746" spans="1:23" ht="13.15" customHeight="1" x14ac:dyDescent="0.2">
      <c r="A1746" s="2" t="s">
        <v>2200</v>
      </c>
      <c r="B1746" s="2">
        <f t="shared" si="54"/>
        <v>2022</v>
      </c>
      <c r="C1746" s="2" t="str">
        <f t="shared" si="55"/>
        <v>KZN226</v>
      </c>
      <c r="D1746" s="2">
        <v>128</v>
      </c>
      <c r="F1746" s="625"/>
      <c r="G1746" s="625"/>
      <c r="H1746" s="625"/>
      <c r="I1746" s="625"/>
      <c r="J1746" s="625"/>
      <c r="K1746" s="625"/>
      <c r="L1746" s="627"/>
      <c r="M1746" s="627"/>
      <c r="N1746" s="627"/>
      <c r="O1746" s="627"/>
      <c r="P1746" s="627"/>
      <c r="W1746" t="s">
        <v>2047</v>
      </c>
    </row>
    <row r="1747" spans="1:23" ht="13.15" customHeight="1" x14ac:dyDescent="0.2">
      <c r="A1747" s="2" t="s">
        <v>2200</v>
      </c>
      <c r="B1747" s="2">
        <f t="shared" si="54"/>
        <v>2022</v>
      </c>
      <c r="C1747" s="2" t="str">
        <f t="shared" si="55"/>
        <v>KZN226</v>
      </c>
      <c r="D1747" s="2">
        <v>129</v>
      </c>
      <c r="F1747" s="625"/>
      <c r="G1747" s="625"/>
      <c r="H1747" s="625"/>
      <c r="I1747" s="625"/>
      <c r="J1747" s="625"/>
      <c r="K1747" s="625"/>
      <c r="L1747" s="627"/>
      <c r="M1747" s="627"/>
      <c r="N1747" s="627"/>
      <c r="O1747" s="627"/>
      <c r="P1747" s="627"/>
      <c r="W1747" t="s">
        <v>2047</v>
      </c>
    </row>
    <row r="1748" spans="1:23" ht="13.15" customHeight="1" x14ac:dyDescent="0.2">
      <c r="A1748" s="2" t="s">
        <v>2200</v>
      </c>
      <c r="B1748" s="2">
        <f t="shared" si="54"/>
        <v>2022</v>
      </c>
      <c r="C1748" s="2" t="str">
        <f t="shared" si="55"/>
        <v>KZN226</v>
      </c>
      <c r="D1748" s="2">
        <v>130</v>
      </c>
      <c r="F1748" s="625"/>
      <c r="G1748" s="625"/>
      <c r="H1748" s="625"/>
      <c r="I1748" s="625"/>
      <c r="J1748" s="625"/>
      <c r="K1748" s="625"/>
      <c r="L1748" s="627"/>
      <c r="M1748" s="627"/>
      <c r="N1748" s="627"/>
      <c r="O1748" s="627"/>
      <c r="P1748" s="627"/>
      <c r="W1748" t="s">
        <v>2047</v>
      </c>
    </row>
    <row r="1749" spans="1:23" ht="13.15" customHeight="1" x14ac:dyDescent="0.2">
      <c r="A1749" s="2" t="s">
        <v>2200</v>
      </c>
      <c r="B1749" s="2">
        <f t="shared" si="54"/>
        <v>2022</v>
      </c>
      <c r="C1749" s="2" t="str">
        <f t="shared" si="55"/>
        <v>KZN226</v>
      </c>
      <c r="D1749" s="2">
        <v>131</v>
      </c>
      <c r="F1749" s="625"/>
      <c r="G1749" s="625"/>
      <c r="H1749" s="625"/>
      <c r="I1749" s="625"/>
      <c r="J1749" s="625"/>
      <c r="K1749" s="625"/>
      <c r="L1749" s="627"/>
      <c r="M1749" s="627"/>
      <c r="N1749" s="627"/>
      <c r="O1749" s="627"/>
      <c r="P1749" s="627"/>
      <c r="W1749" t="s">
        <v>2047</v>
      </c>
    </row>
    <row r="1750" spans="1:23" ht="13.15" customHeight="1" x14ac:dyDescent="0.2">
      <c r="A1750" s="2" t="s">
        <v>2200</v>
      </c>
      <c r="B1750" s="2">
        <f t="shared" si="54"/>
        <v>2022</v>
      </c>
      <c r="C1750" s="2" t="str">
        <f t="shared" si="55"/>
        <v>KZN226</v>
      </c>
      <c r="D1750" s="2">
        <v>132</v>
      </c>
      <c r="F1750" s="625"/>
      <c r="G1750" s="625"/>
      <c r="H1750" s="625"/>
      <c r="I1750" s="625"/>
      <c r="J1750" s="625"/>
      <c r="K1750" s="625"/>
      <c r="L1750" s="627"/>
      <c r="M1750" s="627"/>
      <c r="N1750" s="627"/>
      <c r="O1750" s="627"/>
      <c r="P1750" s="627"/>
      <c r="W1750" t="s">
        <v>2047</v>
      </c>
    </row>
    <row r="1751" spans="1:23" ht="13.15" customHeight="1" x14ac:dyDescent="0.2">
      <c r="A1751" s="2" t="s">
        <v>2200</v>
      </c>
      <c r="B1751" s="2">
        <f t="shared" si="54"/>
        <v>2022</v>
      </c>
      <c r="C1751" s="2" t="str">
        <f t="shared" si="55"/>
        <v>KZN226</v>
      </c>
      <c r="D1751" s="2">
        <v>133</v>
      </c>
      <c r="F1751" s="625"/>
      <c r="G1751" s="625"/>
      <c r="H1751" s="625"/>
      <c r="I1751" s="625"/>
      <c r="J1751" s="625"/>
      <c r="K1751" s="625"/>
      <c r="L1751" s="627"/>
      <c r="M1751" s="627"/>
      <c r="N1751" s="627"/>
      <c r="O1751" s="627"/>
      <c r="P1751" s="627"/>
      <c r="W1751" t="s">
        <v>2047</v>
      </c>
    </row>
    <row r="1752" spans="1:23" ht="13.15" customHeight="1" x14ac:dyDescent="0.2">
      <c r="A1752" s="2" t="s">
        <v>2200</v>
      </c>
      <c r="B1752" s="2">
        <f t="shared" si="54"/>
        <v>2022</v>
      </c>
      <c r="C1752" s="2" t="str">
        <f t="shared" si="55"/>
        <v>KZN226</v>
      </c>
      <c r="D1752" s="2">
        <v>134</v>
      </c>
      <c r="F1752" s="625"/>
      <c r="G1752" s="625"/>
      <c r="H1752" s="625"/>
      <c r="I1752" s="625"/>
      <c r="J1752" s="625"/>
      <c r="K1752" s="625"/>
      <c r="L1752" s="627"/>
      <c r="M1752" s="627"/>
      <c r="N1752" s="627"/>
      <c r="O1752" s="627"/>
      <c r="P1752" s="627"/>
      <c r="W1752" t="s">
        <v>2047</v>
      </c>
    </row>
    <row r="1753" spans="1:23" ht="13.15" customHeight="1" x14ac:dyDescent="0.2">
      <c r="A1753" s="2" t="s">
        <v>2200</v>
      </c>
      <c r="B1753" s="2">
        <f t="shared" si="54"/>
        <v>2022</v>
      </c>
      <c r="C1753" s="2" t="str">
        <f t="shared" si="55"/>
        <v>KZN226</v>
      </c>
      <c r="D1753" s="2">
        <v>135</v>
      </c>
      <c r="F1753" s="625"/>
      <c r="G1753" s="625"/>
      <c r="H1753" s="625"/>
      <c r="I1753" s="625"/>
      <c r="J1753" s="625"/>
      <c r="K1753" s="625"/>
      <c r="L1753" s="627"/>
      <c r="M1753" s="627"/>
      <c r="N1753" s="627"/>
      <c r="O1753" s="627"/>
      <c r="P1753" s="627"/>
      <c r="W1753" t="s">
        <v>2047</v>
      </c>
    </row>
    <row r="1754" spans="1:23" ht="13.15" customHeight="1" x14ac:dyDescent="0.2">
      <c r="A1754" s="2" t="s">
        <v>2200</v>
      </c>
      <c r="B1754" s="2">
        <f t="shared" si="54"/>
        <v>2022</v>
      </c>
      <c r="C1754" s="2" t="str">
        <f t="shared" si="55"/>
        <v>KZN226</v>
      </c>
      <c r="D1754" s="2">
        <v>136</v>
      </c>
      <c r="F1754" s="625"/>
      <c r="G1754" s="625"/>
      <c r="H1754" s="625"/>
      <c r="I1754" s="625"/>
      <c r="J1754" s="625"/>
      <c r="K1754" s="625"/>
      <c r="L1754" s="627"/>
      <c r="M1754" s="627"/>
      <c r="N1754" s="627"/>
      <c r="O1754" s="627"/>
      <c r="P1754" s="627"/>
      <c r="W1754" t="s">
        <v>2047</v>
      </c>
    </row>
    <row r="1755" spans="1:23" ht="13.15" customHeight="1" x14ac:dyDescent="0.2">
      <c r="A1755" s="2" t="s">
        <v>2200</v>
      </c>
      <c r="B1755" s="2">
        <f t="shared" si="54"/>
        <v>2022</v>
      </c>
      <c r="C1755" s="2" t="str">
        <f t="shared" si="55"/>
        <v>KZN226</v>
      </c>
      <c r="D1755" s="2">
        <v>137</v>
      </c>
      <c r="F1755" s="625"/>
      <c r="G1755" s="625"/>
      <c r="H1755" s="625"/>
      <c r="I1755" s="625"/>
      <c r="J1755" s="625"/>
      <c r="K1755" s="625"/>
      <c r="L1755" s="627"/>
      <c r="M1755" s="627"/>
      <c r="N1755" s="627"/>
      <c r="O1755" s="627"/>
      <c r="P1755" s="627"/>
      <c r="W1755" t="s">
        <v>2047</v>
      </c>
    </row>
    <row r="1756" spans="1:23" ht="13.15" customHeight="1" x14ac:dyDescent="0.2">
      <c r="A1756" s="2" t="s">
        <v>2200</v>
      </c>
      <c r="B1756" s="2">
        <f t="shared" si="54"/>
        <v>2022</v>
      </c>
      <c r="C1756" s="2" t="str">
        <f t="shared" si="55"/>
        <v>KZN226</v>
      </c>
      <c r="D1756" s="2">
        <v>138</v>
      </c>
      <c r="F1756" s="625"/>
      <c r="G1756" s="625"/>
      <c r="H1756" s="625"/>
      <c r="I1756" s="625"/>
      <c r="J1756" s="625"/>
      <c r="K1756" s="625"/>
      <c r="L1756" s="627"/>
      <c r="M1756" s="627"/>
      <c r="N1756" s="627"/>
      <c r="O1756" s="627"/>
      <c r="P1756" s="627"/>
      <c r="W1756" t="s">
        <v>2047</v>
      </c>
    </row>
    <row r="1757" spans="1:23" ht="13.15" customHeight="1" x14ac:dyDescent="0.2">
      <c r="A1757" s="2" t="s">
        <v>2200</v>
      </c>
      <c r="B1757" s="2">
        <f t="shared" si="54"/>
        <v>2022</v>
      </c>
      <c r="C1757" s="2" t="str">
        <f t="shared" si="55"/>
        <v>KZN226</v>
      </c>
      <c r="D1757" s="2">
        <v>139</v>
      </c>
      <c r="F1757" s="625"/>
      <c r="G1757" s="625"/>
      <c r="H1757" s="625"/>
      <c r="I1757" s="625"/>
      <c r="J1757" s="625"/>
      <c r="K1757" s="625"/>
      <c r="L1757" s="627"/>
      <c r="M1757" s="627"/>
      <c r="N1757" s="627"/>
      <c r="O1757" s="627"/>
      <c r="P1757" s="627"/>
      <c r="W1757" t="s">
        <v>2047</v>
      </c>
    </row>
    <row r="1758" spans="1:23" ht="13.15" customHeight="1" x14ac:dyDescent="0.2">
      <c r="A1758" s="2" t="s">
        <v>2200</v>
      </c>
      <c r="B1758" s="2">
        <f t="shared" si="54"/>
        <v>2022</v>
      </c>
      <c r="C1758" s="2" t="str">
        <f t="shared" si="55"/>
        <v>KZN226</v>
      </c>
      <c r="D1758" s="2">
        <v>140</v>
      </c>
      <c r="F1758" s="625"/>
      <c r="G1758" s="625"/>
      <c r="H1758" s="625"/>
      <c r="I1758" s="625"/>
      <c r="J1758" s="625"/>
      <c r="K1758" s="625"/>
      <c r="L1758" s="627"/>
      <c r="M1758" s="627"/>
      <c r="N1758" s="627"/>
      <c r="O1758" s="627"/>
      <c r="P1758" s="627"/>
      <c r="W1758" t="s">
        <v>2047</v>
      </c>
    </row>
    <row r="1759" spans="1:23" ht="13.15" customHeight="1" x14ac:dyDescent="0.2">
      <c r="A1759" s="2" t="s">
        <v>2200</v>
      </c>
      <c r="B1759" s="2">
        <f t="shared" si="54"/>
        <v>2022</v>
      </c>
      <c r="C1759" s="2" t="str">
        <f t="shared" si="55"/>
        <v>KZN226</v>
      </c>
      <c r="D1759" s="2">
        <v>141</v>
      </c>
      <c r="F1759" s="625"/>
      <c r="G1759" s="625"/>
      <c r="H1759" s="625"/>
      <c r="I1759" s="625"/>
      <c r="J1759" s="625"/>
      <c r="K1759" s="625"/>
      <c r="L1759" s="627"/>
      <c r="M1759" s="627"/>
      <c r="N1759" s="627"/>
      <c r="O1759" s="627"/>
      <c r="P1759" s="627"/>
      <c r="W1759" t="s">
        <v>2047</v>
      </c>
    </row>
    <row r="1760" spans="1:23" ht="13.15" customHeight="1" x14ac:dyDescent="0.2">
      <c r="A1760" s="2" t="s">
        <v>2200</v>
      </c>
      <c r="B1760" s="2">
        <f t="shared" si="54"/>
        <v>2022</v>
      </c>
      <c r="C1760" s="2" t="str">
        <f t="shared" si="55"/>
        <v>KZN226</v>
      </c>
      <c r="D1760" s="2">
        <v>142</v>
      </c>
      <c r="F1760" s="625"/>
      <c r="G1760" s="625"/>
      <c r="H1760" s="625"/>
      <c r="I1760" s="625"/>
      <c r="J1760" s="625"/>
      <c r="K1760" s="625"/>
      <c r="L1760" s="627"/>
      <c r="M1760" s="627"/>
      <c r="N1760" s="627"/>
      <c r="O1760" s="627"/>
      <c r="P1760" s="627"/>
      <c r="W1760" t="s">
        <v>2047</v>
      </c>
    </row>
    <row r="1761" spans="1:23" ht="13.15" customHeight="1" x14ac:dyDescent="0.2">
      <c r="A1761" s="2" t="s">
        <v>2200</v>
      </c>
      <c r="B1761" s="2">
        <f t="shared" si="54"/>
        <v>2022</v>
      </c>
      <c r="C1761" s="2" t="str">
        <f t="shared" si="55"/>
        <v>KZN226</v>
      </c>
      <c r="D1761" s="2">
        <v>143</v>
      </c>
      <c r="F1761" s="625"/>
      <c r="G1761" s="625"/>
      <c r="H1761" s="625"/>
      <c r="I1761" s="625"/>
      <c r="J1761" s="625"/>
      <c r="K1761" s="625"/>
      <c r="L1761" s="627"/>
      <c r="M1761" s="627"/>
      <c r="N1761" s="627"/>
      <c r="O1761" s="627"/>
      <c r="P1761" s="627"/>
      <c r="W1761" t="s">
        <v>2047</v>
      </c>
    </row>
    <row r="1762" spans="1:23" ht="13.15" customHeight="1" x14ac:dyDescent="0.2">
      <c r="A1762" s="2" t="s">
        <v>2200</v>
      </c>
      <c r="B1762" s="2">
        <f t="shared" si="54"/>
        <v>2022</v>
      </c>
      <c r="C1762" s="2" t="str">
        <f t="shared" si="55"/>
        <v>KZN226</v>
      </c>
      <c r="D1762" s="2">
        <v>144</v>
      </c>
      <c r="F1762" s="625"/>
      <c r="G1762" s="625"/>
      <c r="H1762" s="625"/>
      <c r="I1762" s="625"/>
      <c r="J1762" s="625"/>
      <c r="K1762" s="625"/>
      <c r="L1762" s="627"/>
      <c r="M1762" s="627"/>
      <c r="N1762" s="627"/>
      <c r="O1762" s="627"/>
      <c r="P1762" s="627"/>
      <c r="W1762" t="s">
        <v>2047</v>
      </c>
    </row>
    <row r="1763" spans="1:23" ht="13.15" customHeight="1" x14ac:dyDescent="0.2">
      <c r="A1763" s="2" t="s">
        <v>2200</v>
      </c>
      <c r="B1763" s="2">
        <f t="shared" si="54"/>
        <v>2022</v>
      </c>
      <c r="C1763" s="2" t="str">
        <f t="shared" si="55"/>
        <v>KZN226</v>
      </c>
      <c r="D1763" s="2">
        <v>145</v>
      </c>
      <c r="F1763" s="625"/>
      <c r="G1763" s="625"/>
      <c r="H1763" s="625"/>
      <c r="I1763" s="625"/>
      <c r="J1763" s="625"/>
      <c r="K1763" s="625"/>
      <c r="L1763" s="627"/>
      <c r="M1763" s="627"/>
      <c r="N1763" s="627"/>
      <c r="O1763" s="627"/>
      <c r="P1763" s="627"/>
      <c r="W1763" t="s">
        <v>2047</v>
      </c>
    </row>
    <row r="1764" spans="1:23" ht="13.15" customHeight="1" x14ac:dyDescent="0.2">
      <c r="A1764" s="2" t="s">
        <v>2200</v>
      </c>
      <c r="B1764" s="2">
        <f t="shared" si="54"/>
        <v>2022</v>
      </c>
      <c r="C1764" s="2" t="str">
        <f t="shared" si="55"/>
        <v>KZN226</v>
      </c>
      <c r="D1764" s="2">
        <v>146</v>
      </c>
      <c r="F1764" s="625"/>
      <c r="G1764" s="625"/>
      <c r="H1764" s="625"/>
      <c r="I1764" s="625"/>
      <c r="J1764" s="625"/>
      <c r="K1764" s="625"/>
      <c r="L1764" s="627"/>
      <c r="M1764" s="627"/>
      <c r="N1764" s="627"/>
      <c r="O1764" s="627"/>
      <c r="P1764" s="627"/>
      <c r="W1764" t="s">
        <v>2047</v>
      </c>
    </row>
    <row r="1765" spans="1:23" ht="13.15" customHeight="1" x14ac:dyDescent="0.2">
      <c r="A1765" s="2" t="s">
        <v>2200</v>
      </c>
      <c r="B1765" s="2">
        <f t="shared" si="54"/>
        <v>2022</v>
      </c>
      <c r="C1765" s="2" t="str">
        <f t="shared" si="55"/>
        <v>KZN226</v>
      </c>
      <c r="D1765" s="2">
        <v>147</v>
      </c>
      <c r="F1765" s="625"/>
      <c r="G1765" s="625"/>
      <c r="H1765" s="625"/>
      <c r="I1765" s="625"/>
      <c r="J1765" s="625"/>
      <c r="K1765" s="625"/>
      <c r="L1765" s="627"/>
      <c r="M1765" s="627"/>
      <c r="N1765" s="627"/>
      <c r="O1765" s="627"/>
      <c r="P1765" s="627"/>
      <c r="W1765" t="s">
        <v>2047</v>
      </c>
    </row>
    <row r="1766" spans="1:23" ht="13.15" customHeight="1" x14ac:dyDescent="0.2">
      <c r="A1766" s="2" t="s">
        <v>2200</v>
      </c>
      <c r="B1766" s="2">
        <f t="shared" si="54"/>
        <v>2022</v>
      </c>
      <c r="C1766" s="2" t="str">
        <f t="shared" si="55"/>
        <v>KZN226</v>
      </c>
      <c r="D1766" s="2">
        <v>148</v>
      </c>
      <c r="F1766" s="625"/>
      <c r="G1766" s="625"/>
      <c r="H1766" s="625"/>
      <c r="I1766" s="625"/>
      <c r="J1766" s="625"/>
      <c r="K1766" s="625"/>
      <c r="L1766" s="627"/>
      <c r="M1766" s="627"/>
      <c r="N1766" s="627"/>
      <c r="O1766" s="627"/>
      <c r="P1766" s="627"/>
      <c r="W1766" t="s">
        <v>2047</v>
      </c>
    </row>
    <row r="1767" spans="1:23" ht="13.15" customHeight="1" x14ac:dyDescent="0.2">
      <c r="A1767" s="2" t="s">
        <v>2200</v>
      </c>
      <c r="B1767" s="2">
        <f t="shared" si="54"/>
        <v>2022</v>
      </c>
      <c r="C1767" s="2" t="str">
        <f t="shared" si="55"/>
        <v>KZN226</v>
      </c>
      <c r="D1767" s="2">
        <v>149</v>
      </c>
      <c r="F1767" s="625"/>
      <c r="G1767" s="625"/>
      <c r="H1767" s="625"/>
      <c r="I1767" s="625"/>
      <c r="J1767" s="625"/>
      <c r="K1767" s="625"/>
      <c r="L1767" s="627"/>
      <c r="M1767" s="627"/>
      <c r="N1767" s="627"/>
      <c r="O1767" s="627"/>
      <c r="P1767" s="627"/>
      <c r="W1767" t="s">
        <v>2047</v>
      </c>
    </row>
    <row r="1768" spans="1:23" ht="13.15" customHeight="1" x14ac:dyDescent="0.2">
      <c r="A1768" s="2" t="s">
        <v>2200</v>
      </c>
      <c r="B1768" s="2">
        <f t="shared" si="54"/>
        <v>2022</v>
      </c>
      <c r="C1768" s="2" t="str">
        <f t="shared" si="55"/>
        <v>KZN226</v>
      </c>
      <c r="D1768" s="2">
        <v>150</v>
      </c>
      <c r="F1768" s="625"/>
      <c r="G1768" s="625"/>
      <c r="H1768" s="625"/>
      <c r="I1768" s="625"/>
      <c r="J1768" s="625"/>
      <c r="K1768" s="625"/>
      <c r="L1768" s="627"/>
      <c r="M1768" s="627"/>
      <c r="N1768" s="627"/>
      <c r="O1768" s="627"/>
      <c r="P1768" s="627"/>
      <c r="W1768" t="s">
        <v>2047</v>
      </c>
    </row>
    <row r="1769" spans="1:23" ht="13.15" customHeight="1" x14ac:dyDescent="0.2">
      <c r="A1769" s="2" t="s">
        <v>2200</v>
      </c>
      <c r="B1769" s="2">
        <f t="shared" si="54"/>
        <v>2022</v>
      </c>
      <c r="C1769" s="2" t="str">
        <f t="shared" si="55"/>
        <v>KZN226</v>
      </c>
      <c r="D1769" s="2">
        <v>151</v>
      </c>
      <c r="F1769" s="625"/>
      <c r="G1769" s="625"/>
      <c r="H1769" s="625"/>
      <c r="I1769" s="625"/>
      <c r="J1769" s="625"/>
      <c r="K1769" s="625"/>
      <c r="L1769" s="627"/>
      <c r="M1769" s="627"/>
      <c r="N1769" s="627"/>
      <c r="O1769" s="627"/>
      <c r="P1769" s="627"/>
      <c r="W1769" t="s">
        <v>2047</v>
      </c>
    </row>
    <row r="1770" spans="1:23" ht="13.15" customHeight="1" x14ac:dyDescent="0.2">
      <c r="A1770" s="2" t="s">
        <v>2200</v>
      </c>
      <c r="B1770" s="2">
        <f t="shared" si="54"/>
        <v>2022</v>
      </c>
      <c r="C1770" s="2" t="str">
        <f t="shared" si="55"/>
        <v>KZN226</v>
      </c>
      <c r="D1770" s="2">
        <v>152</v>
      </c>
      <c r="F1770" s="625"/>
      <c r="G1770" s="625"/>
      <c r="H1770" s="625"/>
      <c r="I1770" s="625"/>
      <c r="J1770" s="625"/>
      <c r="K1770" s="625"/>
      <c r="L1770" s="627"/>
      <c r="M1770" s="627"/>
      <c r="N1770" s="627"/>
      <c r="O1770" s="627"/>
      <c r="P1770" s="627"/>
      <c r="W1770" t="s">
        <v>2047</v>
      </c>
    </row>
    <row r="1771" spans="1:23" ht="13.15" customHeight="1" x14ac:dyDescent="0.2">
      <c r="A1771" s="2" t="s">
        <v>2200</v>
      </c>
      <c r="B1771" s="2">
        <f t="shared" si="54"/>
        <v>2022</v>
      </c>
      <c r="C1771" s="2" t="str">
        <f t="shared" si="55"/>
        <v>KZN226</v>
      </c>
      <c r="D1771" s="2">
        <v>153</v>
      </c>
      <c r="F1771" s="625"/>
      <c r="G1771" s="625"/>
      <c r="H1771" s="625"/>
      <c r="I1771" s="625"/>
      <c r="J1771" s="625"/>
      <c r="K1771" s="625"/>
      <c r="L1771" s="627"/>
      <c r="M1771" s="627"/>
      <c r="N1771" s="627"/>
      <c r="O1771" s="627"/>
      <c r="P1771" s="627"/>
      <c r="W1771" t="s">
        <v>2047</v>
      </c>
    </row>
    <row r="1772" spans="1:23" ht="13.15" customHeight="1" x14ac:dyDescent="0.2">
      <c r="A1772" s="2" t="s">
        <v>2200</v>
      </c>
      <c r="B1772" s="2">
        <f t="shared" si="54"/>
        <v>2022</v>
      </c>
      <c r="C1772" s="2" t="str">
        <f t="shared" si="55"/>
        <v>KZN226</v>
      </c>
      <c r="D1772" s="2">
        <v>154</v>
      </c>
      <c r="F1772" s="625"/>
      <c r="G1772" s="625"/>
      <c r="H1772" s="625"/>
      <c r="I1772" s="625"/>
      <c r="J1772" s="625"/>
      <c r="K1772" s="625"/>
      <c r="L1772" s="627"/>
      <c r="M1772" s="627"/>
      <c r="N1772" s="627"/>
      <c r="O1772" s="627"/>
      <c r="P1772" s="627"/>
      <c r="W1772" t="s">
        <v>2047</v>
      </c>
    </row>
    <row r="1773" spans="1:23" ht="13.15" customHeight="1" x14ac:dyDescent="0.2">
      <c r="A1773" s="2" t="s">
        <v>2200</v>
      </c>
      <c r="B1773" s="2">
        <f t="shared" si="54"/>
        <v>2022</v>
      </c>
      <c r="C1773" s="2" t="str">
        <f t="shared" si="55"/>
        <v>KZN226</v>
      </c>
      <c r="D1773" s="2">
        <v>155</v>
      </c>
      <c r="F1773" s="625"/>
      <c r="G1773" s="625"/>
      <c r="H1773" s="625"/>
      <c r="I1773" s="625"/>
      <c r="J1773" s="625"/>
      <c r="K1773" s="625"/>
      <c r="L1773" s="627"/>
      <c r="M1773" s="627"/>
      <c r="N1773" s="627"/>
      <c r="O1773" s="627"/>
      <c r="P1773" s="627"/>
      <c r="W1773" t="s">
        <v>2047</v>
      </c>
    </row>
    <row r="1774" spans="1:23" ht="13.15" customHeight="1" x14ac:dyDescent="0.2">
      <c r="A1774" s="2" t="s">
        <v>2200</v>
      </c>
      <c r="B1774" s="2">
        <f t="shared" si="54"/>
        <v>2022</v>
      </c>
      <c r="C1774" s="2" t="str">
        <f t="shared" si="55"/>
        <v>KZN226</v>
      </c>
      <c r="D1774" s="2">
        <v>156</v>
      </c>
      <c r="F1774" s="625"/>
      <c r="G1774" s="625"/>
      <c r="H1774" s="625"/>
      <c r="I1774" s="625"/>
      <c r="J1774" s="625"/>
      <c r="K1774" s="625"/>
      <c r="L1774" s="627"/>
      <c r="M1774" s="627"/>
      <c r="N1774" s="627"/>
      <c r="O1774" s="627"/>
      <c r="P1774" s="627"/>
      <c r="W1774" t="s">
        <v>2047</v>
      </c>
    </row>
    <row r="1775" spans="1:23" ht="13.15" customHeight="1" x14ac:dyDescent="0.2">
      <c r="A1775" s="2" t="s">
        <v>2200</v>
      </c>
      <c r="B1775" s="2">
        <f t="shared" si="54"/>
        <v>2022</v>
      </c>
      <c r="C1775" s="2" t="str">
        <f t="shared" si="55"/>
        <v>KZN226</v>
      </c>
      <c r="D1775" s="2">
        <v>157</v>
      </c>
      <c r="F1775" s="625"/>
      <c r="G1775" s="625"/>
      <c r="H1775" s="625"/>
      <c r="I1775" s="625"/>
      <c r="J1775" s="625"/>
      <c r="K1775" s="625"/>
      <c r="L1775" s="627"/>
      <c r="M1775" s="627"/>
      <c r="N1775" s="627"/>
      <c r="O1775" s="627"/>
      <c r="P1775" s="627"/>
      <c r="W1775" t="s">
        <v>2047</v>
      </c>
    </row>
    <row r="1776" spans="1:23" ht="13.15" customHeight="1" x14ac:dyDescent="0.2">
      <c r="A1776" s="2" t="s">
        <v>2200</v>
      </c>
      <c r="B1776" s="2">
        <f t="shared" si="54"/>
        <v>2022</v>
      </c>
      <c r="C1776" s="2" t="str">
        <f t="shared" si="55"/>
        <v>KZN226</v>
      </c>
      <c r="D1776" s="2">
        <v>158</v>
      </c>
      <c r="F1776" s="625"/>
      <c r="G1776" s="625"/>
      <c r="H1776" s="625"/>
      <c r="I1776" s="625"/>
      <c r="J1776" s="625"/>
      <c r="K1776" s="625"/>
      <c r="L1776" s="627"/>
      <c r="M1776" s="627"/>
      <c r="N1776" s="627"/>
      <c r="O1776" s="627"/>
      <c r="P1776" s="627"/>
      <c r="W1776" t="s">
        <v>2047</v>
      </c>
    </row>
    <row r="1777" spans="1:23" ht="13.15" customHeight="1" x14ac:dyDescent="0.2">
      <c r="A1777" s="2" t="s">
        <v>2200</v>
      </c>
      <c r="B1777" s="2">
        <f t="shared" si="54"/>
        <v>2022</v>
      </c>
      <c r="C1777" s="2" t="str">
        <f t="shared" si="55"/>
        <v>KZN226</v>
      </c>
      <c r="D1777" s="2">
        <v>159</v>
      </c>
      <c r="F1777" s="625"/>
      <c r="G1777" s="625"/>
      <c r="H1777" s="625"/>
      <c r="I1777" s="625"/>
      <c r="J1777" s="625"/>
      <c r="K1777" s="625"/>
      <c r="L1777" s="627"/>
      <c r="M1777" s="627"/>
      <c r="N1777" s="627"/>
      <c r="O1777" s="627"/>
      <c r="P1777" s="627"/>
      <c r="W1777" t="s">
        <v>2047</v>
      </c>
    </row>
    <row r="1778" spans="1:23" ht="13.15" customHeight="1" x14ac:dyDescent="0.2">
      <c r="A1778" s="2" t="s">
        <v>2200</v>
      </c>
      <c r="B1778" s="2">
        <f t="shared" si="54"/>
        <v>2022</v>
      </c>
      <c r="C1778" s="2" t="str">
        <f t="shared" si="55"/>
        <v>KZN226</v>
      </c>
      <c r="D1778" s="2">
        <v>160</v>
      </c>
      <c r="F1778" s="625"/>
      <c r="G1778" s="625"/>
      <c r="H1778" s="625"/>
      <c r="I1778" s="625"/>
      <c r="J1778" s="625"/>
      <c r="K1778" s="625"/>
      <c r="L1778" s="627"/>
      <c r="M1778" s="627"/>
      <c r="N1778" s="627"/>
      <c r="O1778" s="627"/>
      <c r="P1778" s="627"/>
      <c r="W1778" t="s">
        <v>2047</v>
      </c>
    </row>
    <row r="1779" spans="1:23" ht="13.15" customHeight="1" x14ac:dyDescent="0.2">
      <c r="A1779" s="2" t="s">
        <v>2200</v>
      </c>
      <c r="B1779" s="2">
        <f t="shared" si="54"/>
        <v>2022</v>
      </c>
      <c r="C1779" s="2" t="str">
        <f t="shared" si="55"/>
        <v>KZN226</v>
      </c>
      <c r="D1779" s="2">
        <v>161</v>
      </c>
      <c r="F1779" s="625"/>
      <c r="G1779" s="625"/>
      <c r="H1779" s="625"/>
      <c r="I1779" s="625"/>
      <c r="J1779" s="625"/>
      <c r="K1779" s="625"/>
      <c r="L1779" s="627"/>
      <c r="M1779" s="627"/>
      <c r="N1779" s="627"/>
      <c r="O1779" s="627"/>
      <c r="P1779" s="627"/>
      <c r="W1779" t="s">
        <v>2047</v>
      </c>
    </row>
    <row r="1780" spans="1:23" ht="13.15" customHeight="1" x14ac:dyDescent="0.2">
      <c r="A1780" s="2" t="s">
        <v>2200</v>
      </c>
      <c r="B1780" s="2">
        <f t="shared" si="54"/>
        <v>2022</v>
      </c>
      <c r="C1780" s="2" t="str">
        <f t="shared" si="55"/>
        <v>KZN226</v>
      </c>
      <c r="D1780" s="2">
        <v>162</v>
      </c>
      <c r="F1780" s="625"/>
      <c r="G1780" s="625"/>
      <c r="H1780" s="625"/>
      <c r="I1780" s="625"/>
      <c r="J1780" s="625"/>
      <c r="K1780" s="625"/>
      <c r="L1780" s="627"/>
      <c r="M1780" s="627"/>
      <c r="N1780" s="627"/>
      <c r="O1780" s="627"/>
      <c r="P1780" s="627"/>
      <c r="W1780" t="s">
        <v>2047</v>
      </c>
    </row>
    <row r="1781" spans="1:23" ht="13.15" customHeight="1" x14ac:dyDescent="0.2">
      <c r="A1781" s="2" t="s">
        <v>2200</v>
      </c>
      <c r="B1781" s="2">
        <f t="shared" si="54"/>
        <v>2022</v>
      </c>
      <c r="C1781" s="2" t="str">
        <f t="shared" si="55"/>
        <v>KZN226</v>
      </c>
      <c r="D1781" s="2">
        <v>163</v>
      </c>
      <c r="F1781" s="625"/>
      <c r="G1781" s="625"/>
      <c r="H1781" s="625"/>
      <c r="I1781" s="625"/>
      <c r="J1781" s="625"/>
      <c r="K1781" s="625"/>
      <c r="L1781" s="627"/>
      <c r="M1781" s="627"/>
      <c r="N1781" s="627"/>
      <c r="O1781" s="627"/>
      <c r="P1781" s="627"/>
      <c r="W1781" t="s">
        <v>2047</v>
      </c>
    </row>
    <row r="1782" spans="1:23" ht="13.15" customHeight="1" x14ac:dyDescent="0.2">
      <c r="A1782" s="2" t="s">
        <v>2200</v>
      </c>
      <c r="B1782" s="2">
        <f t="shared" si="54"/>
        <v>2022</v>
      </c>
      <c r="C1782" s="2" t="str">
        <f t="shared" si="55"/>
        <v>KZN226</v>
      </c>
      <c r="D1782" s="2">
        <v>164</v>
      </c>
      <c r="F1782" s="625"/>
      <c r="G1782" s="625"/>
      <c r="H1782" s="625"/>
      <c r="I1782" s="625"/>
      <c r="J1782" s="625"/>
      <c r="K1782" s="625"/>
      <c r="L1782" s="627"/>
      <c r="M1782" s="627"/>
      <c r="N1782" s="627"/>
      <c r="O1782" s="627"/>
      <c r="P1782" s="627"/>
      <c r="W1782" t="s">
        <v>2047</v>
      </c>
    </row>
    <row r="1783" spans="1:23" ht="13.15" customHeight="1" x14ac:dyDescent="0.2">
      <c r="A1783" s="2" t="s">
        <v>2200</v>
      </c>
      <c r="B1783" s="2">
        <f t="shared" si="54"/>
        <v>2022</v>
      </c>
      <c r="C1783" s="2" t="str">
        <f t="shared" si="55"/>
        <v>KZN226</v>
      </c>
      <c r="D1783" s="2">
        <v>165</v>
      </c>
      <c r="F1783" s="625"/>
      <c r="G1783" s="625"/>
      <c r="H1783" s="625"/>
      <c r="I1783" s="625"/>
      <c r="J1783" s="625"/>
      <c r="K1783" s="625"/>
      <c r="L1783" s="627"/>
      <c r="M1783" s="627"/>
      <c r="N1783" s="627"/>
      <c r="O1783" s="627"/>
      <c r="P1783" s="627"/>
      <c r="W1783" t="s">
        <v>2047</v>
      </c>
    </row>
    <row r="1784" spans="1:23" ht="13.15" customHeight="1" x14ac:dyDescent="0.2">
      <c r="A1784" s="2" t="s">
        <v>2200</v>
      </c>
      <c r="B1784" s="2">
        <f t="shared" si="54"/>
        <v>2022</v>
      </c>
      <c r="C1784" s="2" t="str">
        <f t="shared" si="55"/>
        <v>KZN226</v>
      </c>
      <c r="D1784" s="2">
        <v>166</v>
      </c>
      <c r="F1784" s="625"/>
      <c r="G1784" s="625"/>
      <c r="H1784" s="625"/>
      <c r="I1784" s="625"/>
      <c r="J1784" s="625"/>
      <c r="K1784" s="625"/>
      <c r="L1784" s="627"/>
      <c r="M1784" s="627"/>
      <c r="N1784" s="627"/>
      <c r="O1784" s="627"/>
      <c r="P1784" s="627"/>
      <c r="W1784" t="s">
        <v>2047</v>
      </c>
    </row>
    <row r="1785" spans="1:23" ht="13.15" customHeight="1" x14ac:dyDescent="0.2">
      <c r="A1785" s="2" t="s">
        <v>2200</v>
      </c>
      <c r="B1785" s="2">
        <f t="shared" si="54"/>
        <v>2022</v>
      </c>
      <c r="C1785" s="2" t="str">
        <f t="shared" si="55"/>
        <v>KZN226</v>
      </c>
      <c r="D1785" s="2">
        <v>167</v>
      </c>
      <c r="F1785" s="625"/>
      <c r="G1785" s="625"/>
      <c r="H1785" s="625"/>
      <c r="I1785" s="625"/>
      <c r="J1785" s="625"/>
      <c r="K1785" s="625"/>
      <c r="L1785" s="627"/>
      <c r="M1785" s="627"/>
      <c r="N1785" s="627"/>
      <c r="O1785" s="627"/>
      <c r="P1785" s="627"/>
      <c r="W1785" t="s">
        <v>2047</v>
      </c>
    </row>
    <row r="1786" spans="1:23" ht="13.15" customHeight="1" x14ac:dyDescent="0.2">
      <c r="A1786" s="2" t="s">
        <v>2200</v>
      </c>
      <c r="B1786" s="2">
        <f t="shared" si="54"/>
        <v>2022</v>
      </c>
      <c r="C1786" s="2" t="str">
        <f t="shared" si="55"/>
        <v>KZN226</v>
      </c>
      <c r="D1786" s="2">
        <v>168</v>
      </c>
      <c r="F1786" s="625"/>
      <c r="G1786" s="625"/>
      <c r="H1786" s="625"/>
      <c r="I1786" s="625"/>
      <c r="J1786" s="625"/>
      <c r="K1786" s="625"/>
      <c r="L1786" s="627"/>
      <c r="M1786" s="627"/>
      <c r="N1786" s="627"/>
      <c r="O1786" s="627"/>
      <c r="P1786" s="627"/>
      <c r="W1786" t="s">
        <v>2047</v>
      </c>
    </row>
    <row r="1787" spans="1:23" ht="13.15" customHeight="1" x14ac:dyDescent="0.2">
      <c r="A1787" s="2" t="s">
        <v>2200</v>
      </c>
      <c r="B1787" s="2">
        <f t="shared" si="54"/>
        <v>2022</v>
      </c>
      <c r="C1787" s="2" t="str">
        <f t="shared" si="55"/>
        <v>KZN226</v>
      </c>
      <c r="D1787" s="2">
        <v>169</v>
      </c>
      <c r="F1787" s="625"/>
      <c r="G1787" s="625"/>
      <c r="H1787" s="625"/>
      <c r="I1787" s="625"/>
      <c r="J1787" s="625"/>
      <c r="K1787" s="625"/>
      <c r="L1787" s="627"/>
      <c r="M1787" s="627"/>
      <c r="N1787" s="627"/>
      <c r="O1787" s="627"/>
      <c r="P1787" s="627"/>
      <c r="W1787" t="s">
        <v>2047</v>
      </c>
    </row>
    <row r="1788" spans="1:23" ht="13.15" customHeight="1" x14ac:dyDescent="0.2">
      <c r="A1788" s="2" t="s">
        <v>2200</v>
      </c>
      <c r="B1788" s="2">
        <f t="shared" si="54"/>
        <v>2022</v>
      </c>
      <c r="C1788" s="2" t="str">
        <f t="shared" si="55"/>
        <v>KZN226</v>
      </c>
      <c r="D1788" s="2">
        <v>170</v>
      </c>
      <c r="F1788" s="625"/>
      <c r="G1788" s="625"/>
      <c r="H1788" s="625"/>
      <c r="I1788" s="625"/>
      <c r="J1788" s="625"/>
      <c r="K1788" s="625"/>
      <c r="L1788" s="627"/>
      <c r="M1788" s="627"/>
      <c r="N1788" s="627"/>
      <c r="O1788" s="627"/>
      <c r="P1788" s="627"/>
      <c r="W1788" t="s">
        <v>2047</v>
      </c>
    </row>
    <row r="1789" spans="1:23" ht="13.15" customHeight="1" x14ac:dyDescent="0.2">
      <c r="A1789" s="2" t="s">
        <v>2200</v>
      </c>
      <c r="B1789" s="2">
        <f t="shared" si="54"/>
        <v>2022</v>
      </c>
      <c r="C1789" s="2" t="str">
        <f t="shared" si="55"/>
        <v>KZN226</v>
      </c>
      <c r="D1789" s="2">
        <v>171</v>
      </c>
      <c r="F1789" s="625"/>
      <c r="G1789" s="625"/>
      <c r="H1789" s="625"/>
      <c r="I1789" s="625"/>
      <c r="J1789" s="625"/>
      <c r="K1789" s="625"/>
      <c r="L1789" s="627"/>
      <c r="M1789" s="627"/>
      <c r="N1789" s="627"/>
      <c r="O1789" s="627"/>
      <c r="P1789" s="627"/>
      <c r="W1789" t="s">
        <v>2047</v>
      </c>
    </row>
    <row r="1790" spans="1:23" ht="13.15" customHeight="1" x14ac:dyDescent="0.2">
      <c r="A1790" s="2" t="s">
        <v>2200</v>
      </c>
      <c r="B1790" s="2">
        <f t="shared" si="54"/>
        <v>2022</v>
      </c>
      <c r="C1790" s="2" t="str">
        <f t="shared" si="55"/>
        <v>KZN226</v>
      </c>
      <c r="D1790" s="2">
        <v>172</v>
      </c>
      <c r="F1790" s="625"/>
      <c r="G1790" s="625"/>
      <c r="H1790" s="625"/>
      <c r="I1790" s="625"/>
      <c r="J1790" s="625"/>
      <c r="K1790" s="625"/>
      <c r="L1790" s="627"/>
      <c r="M1790" s="627"/>
      <c r="N1790" s="627"/>
      <c r="O1790" s="627"/>
      <c r="P1790" s="627"/>
      <c r="W1790" t="s">
        <v>2047</v>
      </c>
    </row>
    <row r="1791" spans="1:23" ht="13.15" customHeight="1" x14ac:dyDescent="0.2">
      <c r="A1791" s="2" t="s">
        <v>2200</v>
      </c>
      <c r="B1791" s="2">
        <f t="shared" si="54"/>
        <v>2022</v>
      </c>
      <c r="C1791" s="2" t="str">
        <f t="shared" si="55"/>
        <v>KZN226</v>
      </c>
      <c r="D1791" s="2">
        <v>173</v>
      </c>
      <c r="F1791" s="625"/>
      <c r="G1791" s="625"/>
      <c r="H1791" s="625"/>
      <c r="I1791" s="625"/>
      <c r="J1791" s="625"/>
      <c r="K1791" s="625"/>
      <c r="L1791" s="627"/>
      <c r="M1791" s="627"/>
      <c r="N1791" s="627"/>
      <c r="O1791" s="627"/>
      <c r="P1791" s="627"/>
      <c r="W1791" t="s">
        <v>2047</v>
      </c>
    </row>
    <row r="1792" spans="1:23" ht="13.15" customHeight="1" x14ac:dyDescent="0.2">
      <c r="A1792" s="2" t="s">
        <v>2200</v>
      </c>
      <c r="B1792" s="2">
        <f t="shared" si="54"/>
        <v>2022</v>
      </c>
      <c r="C1792" s="2" t="str">
        <f t="shared" si="55"/>
        <v>KZN226</v>
      </c>
      <c r="D1792" s="2">
        <v>174</v>
      </c>
      <c r="F1792" s="625"/>
      <c r="G1792" s="625"/>
      <c r="H1792" s="625"/>
      <c r="I1792" s="625"/>
      <c r="J1792" s="625"/>
      <c r="K1792" s="625"/>
      <c r="L1792" s="627"/>
      <c r="M1792" s="627"/>
      <c r="N1792" s="627"/>
      <c r="O1792" s="627"/>
      <c r="P1792" s="627"/>
      <c r="W1792" t="s">
        <v>2047</v>
      </c>
    </row>
    <row r="1793" spans="1:23" ht="13.15" customHeight="1" x14ac:dyDescent="0.2">
      <c r="A1793" s="2" t="s">
        <v>2200</v>
      </c>
      <c r="B1793" s="2">
        <f t="shared" si="54"/>
        <v>2022</v>
      </c>
      <c r="C1793" s="2" t="str">
        <f t="shared" si="55"/>
        <v>KZN226</v>
      </c>
      <c r="D1793" s="2">
        <v>175</v>
      </c>
      <c r="F1793" s="625"/>
      <c r="G1793" s="625"/>
      <c r="H1793" s="625"/>
      <c r="I1793" s="625"/>
      <c r="J1793" s="625"/>
      <c r="K1793" s="625"/>
      <c r="L1793" s="627"/>
      <c r="M1793" s="627"/>
      <c r="N1793" s="627"/>
      <c r="O1793" s="627"/>
      <c r="P1793" s="627"/>
      <c r="W1793" t="s">
        <v>2047</v>
      </c>
    </row>
    <row r="1794" spans="1:23" ht="13.15" customHeight="1" x14ac:dyDescent="0.2">
      <c r="A1794" s="2" t="s">
        <v>2200</v>
      </c>
      <c r="B1794" s="2">
        <f t="shared" ref="B1794:B1857" si="56">+MTREF</f>
        <v>2022</v>
      </c>
      <c r="C1794" s="2" t="str">
        <f t="shared" ref="C1794:C1857" si="57">LEFT(muni,(FIND(" ",muni,1)-1))</f>
        <v>KZN226</v>
      </c>
      <c r="D1794" s="2">
        <v>176</v>
      </c>
      <c r="F1794" s="625"/>
      <c r="G1794" s="625"/>
      <c r="H1794" s="625"/>
      <c r="I1794" s="625"/>
      <c r="J1794" s="625"/>
      <c r="K1794" s="625"/>
      <c r="L1794" s="627"/>
      <c r="M1794" s="627"/>
      <c r="N1794" s="627"/>
      <c r="O1794" s="627"/>
      <c r="P1794" s="627"/>
      <c r="W1794" t="s">
        <v>2047</v>
      </c>
    </row>
    <row r="1795" spans="1:23" ht="13.15" customHeight="1" x14ac:dyDescent="0.2">
      <c r="A1795" s="2" t="s">
        <v>2200</v>
      </c>
      <c r="B1795" s="2">
        <f t="shared" si="56"/>
        <v>2022</v>
      </c>
      <c r="C1795" s="2" t="str">
        <f t="shared" si="57"/>
        <v>KZN226</v>
      </c>
      <c r="D1795" s="2">
        <v>177</v>
      </c>
      <c r="F1795" s="625"/>
      <c r="G1795" s="625"/>
      <c r="H1795" s="625"/>
      <c r="I1795" s="625"/>
      <c r="J1795" s="625"/>
      <c r="K1795" s="625"/>
      <c r="L1795" s="627"/>
      <c r="M1795" s="627"/>
      <c r="N1795" s="627"/>
      <c r="O1795" s="627"/>
      <c r="P1795" s="627"/>
      <c r="W1795" t="s">
        <v>2047</v>
      </c>
    </row>
    <row r="1796" spans="1:23" ht="13.15" customHeight="1" x14ac:dyDescent="0.2">
      <c r="A1796" s="2" t="s">
        <v>2200</v>
      </c>
      <c r="B1796" s="2">
        <f t="shared" si="56"/>
        <v>2022</v>
      </c>
      <c r="C1796" s="2" t="str">
        <f t="shared" si="57"/>
        <v>KZN226</v>
      </c>
      <c r="D1796" s="2">
        <v>178</v>
      </c>
      <c r="F1796" s="625"/>
      <c r="G1796" s="625"/>
      <c r="H1796" s="625"/>
      <c r="I1796" s="625"/>
      <c r="J1796" s="625"/>
      <c r="K1796" s="625"/>
      <c r="L1796" s="627"/>
      <c r="M1796" s="627"/>
      <c r="N1796" s="627"/>
      <c r="O1796" s="627"/>
      <c r="P1796" s="627"/>
      <c r="W1796" t="s">
        <v>2047</v>
      </c>
    </row>
    <row r="1797" spans="1:23" ht="13.15" customHeight="1" x14ac:dyDescent="0.2">
      <c r="A1797" s="2" t="s">
        <v>2200</v>
      </c>
      <c r="B1797" s="2">
        <f t="shared" si="56"/>
        <v>2022</v>
      </c>
      <c r="C1797" s="2" t="str">
        <f t="shared" si="57"/>
        <v>KZN226</v>
      </c>
      <c r="D1797" s="2">
        <v>179</v>
      </c>
      <c r="F1797" s="625"/>
      <c r="G1797" s="625"/>
      <c r="H1797" s="625"/>
      <c r="I1797" s="625"/>
      <c r="J1797" s="625"/>
      <c r="K1797" s="625"/>
      <c r="L1797" s="627"/>
      <c r="M1797" s="627"/>
      <c r="N1797" s="627"/>
      <c r="O1797" s="627"/>
      <c r="P1797" s="627"/>
      <c r="W1797" t="s">
        <v>2047</v>
      </c>
    </row>
    <row r="1798" spans="1:23" ht="13.15" customHeight="1" x14ac:dyDescent="0.2">
      <c r="A1798" s="2" t="s">
        <v>2200</v>
      </c>
      <c r="B1798" s="2">
        <f t="shared" si="56"/>
        <v>2022</v>
      </c>
      <c r="C1798" s="2" t="str">
        <f t="shared" si="57"/>
        <v>KZN226</v>
      </c>
      <c r="D1798" s="2">
        <v>180</v>
      </c>
      <c r="F1798" s="625"/>
      <c r="G1798" s="625"/>
      <c r="H1798" s="625"/>
      <c r="I1798" s="625"/>
      <c r="J1798" s="625"/>
      <c r="K1798" s="625"/>
      <c r="L1798" s="627"/>
      <c r="M1798" s="627"/>
      <c r="N1798" s="627"/>
      <c r="O1798" s="627"/>
      <c r="P1798" s="627"/>
      <c r="W1798" t="s">
        <v>2047</v>
      </c>
    </row>
    <row r="1799" spans="1:23" ht="13.15" customHeight="1" x14ac:dyDescent="0.2">
      <c r="A1799" s="2" t="s">
        <v>2200</v>
      </c>
      <c r="B1799" s="2">
        <f t="shared" si="56"/>
        <v>2022</v>
      </c>
      <c r="C1799" s="2" t="str">
        <f t="shared" si="57"/>
        <v>KZN226</v>
      </c>
      <c r="D1799" s="2">
        <v>181</v>
      </c>
      <c r="F1799" s="625"/>
      <c r="G1799" s="625"/>
      <c r="H1799" s="625"/>
      <c r="I1799" s="625"/>
      <c r="J1799" s="625"/>
      <c r="K1799" s="625"/>
      <c r="L1799" s="627"/>
      <c r="M1799" s="627"/>
      <c r="N1799" s="627"/>
      <c r="O1799" s="627"/>
      <c r="P1799" s="627"/>
      <c r="W1799" t="s">
        <v>2047</v>
      </c>
    </row>
    <row r="1800" spans="1:23" ht="13.15" customHeight="1" x14ac:dyDescent="0.2">
      <c r="A1800" s="2" t="s">
        <v>2200</v>
      </c>
      <c r="B1800" s="2">
        <f t="shared" si="56"/>
        <v>2022</v>
      </c>
      <c r="C1800" s="2" t="str">
        <f t="shared" si="57"/>
        <v>KZN226</v>
      </c>
      <c r="D1800" s="2">
        <v>182</v>
      </c>
      <c r="F1800" s="625"/>
      <c r="G1800" s="625"/>
      <c r="H1800" s="625"/>
      <c r="I1800" s="625"/>
      <c r="J1800" s="625"/>
      <c r="K1800" s="625"/>
      <c r="L1800" s="627"/>
      <c r="M1800" s="627"/>
      <c r="N1800" s="627"/>
      <c r="O1800" s="627"/>
      <c r="P1800" s="627"/>
      <c r="W1800" t="s">
        <v>2047</v>
      </c>
    </row>
    <row r="1801" spans="1:23" ht="13.15" customHeight="1" x14ac:dyDescent="0.2">
      <c r="A1801" s="2" t="s">
        <v>2200</v>
      </c>
      <c r="B1801" s="2">
        <f t="shared" si="56"/>
        <v>2022</v>
      </c>
      <c r="C1801" s="2" t="str">
        <f t="shared" si="57"/>
        <v>KZN226</v>
      </c>
      <c r="D1801" s="2">
        <v>183</v>
      </c>
      <c r="F1801" s="625"/>
      <c r="G1801" s="625"/>
      <c r="H1801" s="625"/>
      <c r="I1801" s="625"/>
      <c r="J1801" s="625"/>
      <c r="K1801" s="625"/>
      <c r="L1801" s="627"/>
      <c r="M1801" s="627"/>
      <c r="N1801" s="627"/>
      <c r="O1801" s="627"/>
      <c r="P1801" s="627"/>
      <c r="W1801" t="s">
        <v>2047</v>
      </c>
    </row>
    <row r="1802" spans="1:23" ht="13.15" customHeight="1" x14ac:dyDescent="0.2">
      <c r="A1802" s="2" t="s">
        <v>2200</v>
      </c>
      <c r="B1802" s="2">
        <f t="shared" si="56"/>
        <v>2022</v>
      </c>
      <c r="C1802" s="2" t="str">
        <f t="shared" si="57"/>
        <v>KZN226</v>
      </c>
      <c r="D1802" s="2">
        <v>184</v>
      </c>
      <c r="F1802" s="625"/>
      <c r="G1802" s="625"/>
      <c r="H1802" s="625"/>
      <c r="I1802" s="625"/>
      <c r="J1802" s="625"/>
      <c r="K1802" s="625"/>
      <c r="L1802" s="627"/>
      <c r="M1802" s="627"/>
      <c r="N1802" s="627"/>
      <c r="O1802" s="627"/>
      <c r="P1802" s="627"/>
      <c r="W1802" t="s">
        <v>2047</v>
      </c>
    </row>
    <row r="1803" spans="1:23" ht="13.15" customHeight="1" x14ac:dyDescent="0.2">
      <c r="A1803" s="2" t="s">
        <v>2200</v>
      </c>
      <c r="B1803" s="2">
        <f t="shared" si="56"/>
        <v>2022</v>
      </c>
      <c r="C1803" s="2" t="str">
        <f t="shared" si="57"/>
        <v>KZN226</v>
      </c>
      <c r="D1803" s="2">
        <v>185</v>
      </c>
      <c r="F1803" s="625"/>
      <c r="G1803" s="625"/>
      <c r="H1803" s="625"/>
      <c r="I1803" s="625"/>
      <c r="J1803" s="625"/>
      <c r="K1803" s="625"/>
      <c r="L1803" s="627"/>
      <c r="M1803" s="627"/>
      <c r="N1803" s="627"/>
      <c r="O1803" s="627"/>
      <c r="P1803" s="627"/>
      <c r="W1803" t="s">
        <v>2047</v>
      </c>
    </row>
    <row r="1804" spans="1:23" ht="13.15" customHeight="1" x14ac:dyDescent="0.2">
      <c r="A1804" s="2" t="s">
        <v>2200</v>
      </c>
      <c r="B1804" s="2">
        <f t="shared" si="56"/>
        <v>2022</v>
      </c>
      <c r="C1804" s="2" t="str">
        <f t="shared" si="57"/>
        <v>KZN226</v>
      </c>
      <c r="D1804" s="2">
        <v>186</v>
      </c>
      <c r="F1804" s="625"/>
      <c r="G1804" s="625"/>
      <c r="H1804" s="625"/>
      <c r="I1804" s="625"/>
      <c r="J1804" s="625"/>
      <c r="K1804" s="625"/>
      <c r="L1804" s="627"/>
      <c r="M1804" s="627"/>
      <c r="N1804" s="627"/>
      <c r="O1804" s="627"/>
      <c r="P1804" s="627"/>
      <c r="W1804" t="s">
        <v>2047</v>
      </c>
    </row>
    <row r="1805" spans="1:23" ht="13.15" customHeight="1" x14ac:dyDescent="0.2">
      <c r="A1805" s="2" t="s">
        <v>2200</v>
      </c>
      <c r="B1805" s="2">
        <f t="shared" si="56"/>
        <v>2022</v>
      </c>
      <c r="C1805" s="2" t="str">
        <f t="shared" si="57"/>
        <v>KZN226</v>
      </c>
      <c r="D1805" s="2">
        <v>187</v>
      </c>
      <c r="F1805" s="625"/>
      <c r="G1805" s="625"/>
      <c r="H1805" s="625"/>
      <c r="I1805" s="625"/>
      <c r="J1805" s="625"/>
      <c r="K1805" s="625"/>
      <c r="L1805" s="627"/>
      <c r="M1805" s="627"/>
      <c r="N1805" s="627"/>
      <c r="O1805" s="627"/>
      <c r="P1805" s="627"/>
      <c r="W1805" t="s">
        <v>2047</v>
      </c>
    </row>
    <row r="1806" spans="1:23" ht="13.15" customHeight="1" x14ac:dyDescent="0.2">
      <c r="A1806" s="2" t="s">
        <v>2200</v>
      </c>
      <c r="B1806" s="2">
        <f t="shared" si="56"/>
        <v>2022</v>
      </c>
      <c r="C1806" s="2" t="str">
        <f t="shared" si="57"/>
        <v>KZN226</v>
      </c>
      <c r="D1806" s="2">
        <v>188</v>
      </c>
      <c r="F1806" s="625"/>
      <c r="G1806" s="625"/>
      <c r="H1806" s="625"/>
      <c r="I1806" s="625"/>
      <c r="J1806" s="625"/>
      <c r="K1806" s="625"/>
      <c r="L1806" s="627"/>
      <c r="M1806" s="627"/>
      <c r="N1806" s="627"/>
      <c r="O1806" s="627"/>
      <c r="P1806" s="627"/>
      <c r="W1806" t="s">
        <v>2047</v>
      </c>
    </row>
    <row r="1807" spans="1:23" ht="13.15" customHeight="1" x14ac:dyDescent="0.2">
      <c r="A1807" s="2" t="s">
        <v>2200</v>
      </c>
      <c r="B1807" s="2">
        <f t="shared" si="56"/>
        <v>2022</v>
      </c>
      <c r="C1807" s="2" t="str">
        <f t="shared" si="57"/>
        <v>KZN226</v>
      </c>
      <c r="D1807" s="2">
        <v>189</v>
      </c>
      <c r="F1807" s="625"/>
      <c r="G1807" s="625"/>
      <c r="H1807" s="625"/>
      <c r="I1807" s="625"/>
      <c r="J1807" s="625"/>
      <c r="K1807" s="625"/>
      <c r="L1807" s="627"/>
      <c r="M1807" s="627"/>
      <c r="N1807" s="627"/>
      <c r="O1807" s="627"/>
      <c r="P1807" s="627"/>
      <c r="W1807" t="s">
        <v>2047</v>
      </c>
    </row>
    <row r="1808" spans="1:23" ht="13.15" customHeight="1" x14ac:dyDescent="0.2">
      <c r="A1808" s="2" t="s">
        <v>2200</v>
      </c>
      <c r="B1808" s="2">
        <f t="shared" si="56"/>
        <v>2022</v>
      </c>
      <c r="C1808" s="2" t="str">
        <f t="shared" si="57"/>
        <v>KZN226</v>
      </c>
      <c r="D1808" s="2">
        <v>190</v>
      </c>
      <c r="F1808" s="625"/>
      <c r="G1808" s="625"/>
      <c r="H1808" s="625"/>
      <c r="I1808" s="625"/>
      <c r="J1808" s="625"/>
      <c r="K1808" s="625"/>
      <c r="L1808" s="627"/>
      <c r="M1808" s="627"/>
      <c r="N1808" s="627"/>
      <c r="O1808" s="627"/>
      <c r="P1808" s="627"/>
      <c r="W1808" t="s">
        <v>2047</v>
      </c>
    </row>
    <row r="1809" spans="1:23" ht="13.15" customHeight="1" x14ac:dyDescent="0.2">
      <c r="A1809" s="2" t="s">
        <v>2200</v>
      </c>
      <c r="B1809" s="2">
        <f t="shared" si="56"/>
        <v>2022</v>
      </c>
      <c r="C1809" s="2" t="str">
        <f t="shared" si="57"/>
        <v>KZN226</v>
      </c>
      <c r="D1809" s="2">
        <v>191</v>
      </c>
      <c r="F1809" s="625"/>
      <c r="G1809" s="625"/>
      <c r="H1809" s="625"/>
      <c r="I1809" s="625"/>
      <c r="J1809" s="625"/>
      <c r="K1809" s="625"/>
      <c r="L1809" s="627"/>
      <c r="M1809" s="627"/>
      <c r="N1809" s="627"/>
      <c r="O1809" s="627"/>
      <c r="P1809" s="627"/>
      <c r="W1809" t="s">
        <v>2047</v>
      </c>
    </row>
    <row r="1810" spans="1:23" ht="13.15" customHeight="1" x14ac:dyDescent="0.2">
      <c r="A1810" s="2" t="s">
        <v>2200</v>
      </c>
      <c r="B1810" s="2">
        <f t="shared" si="56"/>
        <v>2022</v>
      </c>
      <c r="C1810" s="2" t="str">
        <f t="shared" si="57"/>
        <v>KZN226</v>
      </c>
      <c r="D1810" s="2">
        <v>192</v>
      </c>
      <c r="F1810" s="625"/>
      <c r="G1810" s="625"/>
      <c r="H1810" s="625"/>
      <c r="I1810" s="625"/>
      <c r="J1810" s="625"/>
      <c r="K1810" s="625"/>
      <c r="L1810" s="627"/>
      <c r="M1810" s="627"/>
      <c r="N1810" s="627"/>
      <c r="O1810" s="627"/>
      <c r="P1810" s="627"/>
      <c r="W1810" t="s">
        <v>2047</v>
      </c>
    </row>
    <row r="1811" spans="1:23" ht="13.15" customHeight="1" x14ac:dyDescent="0.2">
      <c r="A1811" s="2" t="s">
        <v>2200</v>
      </c>
      <c r="B1811" s="2">
        <f t="shared" si="56"/>
        <v>2022</v>
      </c>
      <c r="C1811" s="2" t="str">
        <f t="shared" si="57"/>
        <v>KZN226</v>
      </c>
      <c r="D1811" s="2">
        <v>193</v>
      </c>
      <c r="F1811" s="625"/>
      <c r="G1811" s="625"/>
      <c r="H1811" s="625"/>
      <c r="I1811" s="625"/>
      <c r="J1811" s="625"/>
      <c r="K1811" s="625"/>
      <c r="L1811" s="627"/>
      <c r="M1811" s="627"/>
      <c r="N1811" s="627"/>
      <c r="O1811" s="627"/>
      <c r="P1811" s="627"/>
      <c r="W1811" t="s">
        <v>2047</v>
      </c>
    </row>
    <row r="1812" spans="1:23" ht="13.15" customHeight="1" x14ac:dyDescent="0.2">
      <c r="A1812" s="2" t="s">
        <v>2200</v>
      </c>
      <c r="B1812" s="2">
        <f t="shared" si="56"/>
        <v>2022</v>
      </c>
      <c r="C1812" s="2" t="str">
        <f t="shared" si="57"/>
        <v>KZN226</v>
      </c>
      <c r="D1812" s="2">
        <v>194</v>
      </c>
      <c r="F1812" s="625"/>
      <c r="G1812" s="625"/>
      <c r="H1812" s="625"/>
      <c r="I1812" s="625"/>
      <c r="J1812" s="625"/>
      <c r="K1812" s="625"/>
      <c r="L1812" s="627"/>
      <c r="M1812" s="627"/>
      <c r="N1812" s="627"/>
      <c r="O1812" s="627"/>
      <c r="P1812" s="627"/>
      <c r="W1812" t="s">
        <v>2047</v>
      </c>
    </row>
    <row r="1813" spans="1:23" ht="13.15" customHeight="1" x14ac:dyDescent="0.2">
      <c r="A1813" s="2" t="s">
        <v>2200</v>
      </c>
      <c r="B1813" s="2">
        <f t="shared" si="56"/>
        <v>2022</v>
      </c>
      <c r="C1813" s="2" t="str">
        <f t="shared" si="57"/>
        <v>KZN226</v>
      </c>
      <c r="D1813" s="2">
        <v>195</v>
      </c>
      <c r="F1813" s="625"/>
      <c r="G1813" s="625"/>
      <c r="H1813" s="625"/>
      <c r="I1813" s="625"/>
      <c r="J1813" s="625"/>
      <c r="K1813" s="625"/>
      <c r="L1813" s="627"/>
      <c r="M1813" s="627"/>
      <c r="N1813" s="627"/>
      <c r="O1813" s="627"/>
      <c r="P1813" s="627"/>
      <c r="W1813" t="s">
        <v>2047</v>
      </c>
    </row>
    <row r="1814" spans="1:23" ht="13.15" customHeight="1" x14ac:dyDescent="0.2">
      <c r="A1814" s="2" t="s">
        <v>2200</v>
      </c>
      <c r="B1814" s="2">
        <f t="shared" si="56"/>
        <v>2022</v>
      </c>
      <c r="C1814" s="2" t="str">
        <f t="shared" si="57"/>
        <v>KZN226</v>
      </c>
      <c r="D1814" s="2">
        <v>196</v>
      </c>
      <c r="F1814" s="625"/>
      <c r="G1814" s="625"/>
      <c r="H1814" s="625"/>
      <c r="I1814" s="625"/>
      <c r="J1814" s="625"/>
      <c r="K1814" s="625"/>
      <c r="L1814" s="627"/>
      <c r="M1814" s="627"/>
      <c r="N1814" s="627"/>
      <c r="O1814" s="627"/>
      <c r="P1814" s="627"/>
      <c r="W1814" t="s">
        <v>2047</v>
      </c>
    </row>
    <row r="1815" spans="1:23" ht="13.15" customHeight="1" x14ac:dyDescent="0.2">
      <c r="A1815" s="2" t="s">
        <v>2200</v>
      </c>
      <c r="B1815" s="2">
        <f t="shared" si="56"/>
        <v>2022</v>
      </c>
      <c r="C1815" s="2" t="str">
        <f t="shared" si="57"/>
        <v>KZN226</v>
      </c>
      <c r="D1815" s="2">
        <v>197</v>
      </c>
      <c r="F1815" s="625"/>
      <c r="G1815" s="625"/>
      <c r="H1815" s="625"/>
      <c r="I1815" s="625"/>
      <c r="J1815" s="625"/>
      <c r="K1815" s="625"/>
      <c r="L1815" s="627"/>
      <c r="M1815" s="627"/>
      <c r="N1815" s="627"/>
      <c r="O1815" s="627"/>
      <c r="P1815" s="627"/>
      <c r="W1815" t="s">
        <v>2047</v>
      </c>
    </row>
    <row r="1816" spans="1:23" ht="13.15" customHeight="1" x14ac:dyDescent="0.2">
      <c r="A1816" s="2" t="s">
        <v>2200</v>
      </c>
      <c r="B1816" s="2">
        <f t="shared" si="56"/>
        <v>2022</v>
      </c>
      <c r="C1816" s="2" t="str">
        <f t="shared" si="57"/>
        <v>KZN226</v>
      </c>
      <c r="D1816" s="2">
        <v>198</v>
      </c>
      <c r="F1816" s="625"/>
      <c r="G1816" s="625"/>
      <c r="H1816" s="625"/>
      <c r="I1816" s="625"/>
      <c r="J1816" s="625"/>
      <c r="K1816" s="625"/>
      <c r="L1816" s="627"/>
      <c r="M1816" s="627"/>
      <c r="N1816" s="627"/>
      <c r="O1816" s="627"/>
      <c r="P1816" s="627"/>
      <c r="W1816" t="s">
        <v>2047</v>
      </c>
    </row>
    <row r="1817" spans="1:23" ht="13.15" customHeight="1" x14ac:dyDescent="0.2">
      <c r="A1817" s="2" t="s">
        <v>2200</v>
      </c>
      <c r="B1817" s="2">
        <f t="shared" si="56"/>
        <v>2022</v>
      </c>
      <c r="C1817" s="2" t="str">
        <f t="shared" si="57"/>
        <v>KZN226</v>
      </c>
      <c r="D1817" s="2">
        <v>199</v>
      </c>
      <c r="F1817" s="625"/>
      <c r="G1817" s="625"/>
      <c r="H1817" s="625"/>
      <c r="I1817" s="625"/>
      <c r="J1817" s="625"/>
      <c r="K1817" s="625"/>
      <c r="L1817" s="627"/>
      <c r="M1817" s="627"/>
      <c r="N1817" s="627"/>
      <c r="O1817" s="627"/>
      <c r="P1817" s="627"/>
      <c r="W1817" t="s">
        <v>2047</v>
      </c>
    </row>
    <row r="1818" spans="1:23" ht="13.15" customHeight="1" x14ac:dyDescent="0.2">
      <c r="A1818" s="2" t="s">
        <v>2200</v>
      </c>
      <c r="B1818" s="2">
        <f t="shared" si="56"/>
        <v>2022</v>
      </c>
      <c r="C1818" s="2" t="str">
        <f t="shared" si="57"/>
        <v>KZN226</v>
      </c>
      <c r="D1818" s="2">
        <v>200</v>
      </c>
      <c r="F1818" s="625"/>
      <c r="G1818" s="625"/>
      <c r="H1818" s="625"/>
      <c r="I1818" s="625"/>
      <c r="J1818" s="625"/>
      <c r="K1818" s="625"/>
      <c r="L1818" s="627"/>
      <c r="M1818" s="627"/>
      <c r="N1818" s="627"/>
      <c r="O1818" s="627"/>
      <c r="P1818" s="627"/>
      <c r="W1818" t="s">
        <v>2047</v>
      </c>
    </row>
    <row r="1819" spans="1:23" ht="13.15" customHeight="1" x14ac:dyDescent="0.2">
      <c r="A1819" s="2" t="s">
        <v>2200</v>
      </c>
      <c r="B1819" s="2">
        <f t="shared" si="56"/>
        <v>2022</v>
      </c>
      <c r="C1819" s="2" t="str">
        <f t="shared" si="57"/>
        <v>KZN226</v>
      </c>
      <c r="D1819" s="2">
        <v>201</v>
      </c>
      <c r="F1819" s="625"/>
      <c r="G1819" s="625"/>
      <c r="H1819" s="625"/>
      <c r="I1819" s="625"/>
      <c r="J1819" s="625"/>
      <c r="K1819" s="625"/>
      <c r="L1819" s="627"/>
      <c r="M1819" s="627"/>
      <c r="N1819" s="627"/>
      <c r="O1819" s="627"/>
      <c r="P1819" s="627"/>
      <c r="W1819" t="s">
        <v>2047</v>
      </c>
    </row>
    <row r="1820" spans="1:23" ht="13.15" customHeight="1" x14ac:dyDescent="0.2">
      <c r="A1820" s="2" t="s">
        <v>2200</v>
      </c>
      <c r="B1820" s="2">
        <f t="shared" si="56"/>
        <v>2022</v>
      </c>
      <c r="C1820" s="2" t="str">
        <f t="shared" si="57"/>
        <v>KZN226</v>
      </c>
      <c r="D1820" s="2">
        <v>202</v>
      </c>
      <c r="F1820" s="625"/>
      <c r="G1820" s="625"/>
      <c r="H1820" s="625"/>
      <c r="I1820" s="625"/>
      <c r="J1820" s="625"/>
      <c r="K1820" s="625"/>
      <c r="L1820" s="627"/>
      <c r="M1820" s="627"/>
      <c r="N1820" s="627"/>
      <c r="O1820" s="627"/>
      <c r="P1820" s="627"/>
      <c r="W1820" t="s">
        <v>2047</v>
      </c>
    </row>
    <row r="1821" spans="1:23" ht="13.15" customHeight="1" x14ac:dyDescent="0.2">
      <c r="A1821" s="2" t="s">
        <v>2200</v>
      </c>
      <c r="B1821" s="2">
        <f t="shared" si="56"/>
        <v>2022</v>
      </c>
      <c r="C1821" s="2" t="str">
        <f t="shared" si="57"/>
        <v>KZN226</v>
      </c>
      <c r="D1821" s="2">
        <v>203</v>
      </c>
      <c r="F1821" s="625"/>
      <c r="G1821" s="625"/>
      <c r="H1821" s="625"/>
      <c r="I1821" s="625"/>
      <c r="J1821" s="625"/>
      <c r="K1821" s="625"/>
      <c r="L1821" s="627"/>
      <c r="M1821" s="627"/>
      <c r="N1821" s="627"/>
      <c r="O1821" s="627"/>
      <c r="P1821" s="627"/>
      <c r="W1821" t="s">
        <v>2047</v>
      </c>
    </row>
    <row r="1822" spans="1:23" ht="13.15" customHeight="1" x14ac:dyDescent="0.2">
      <c r="A1822" s="2" t="s">
        <v>2200</v>
      </c>
      <c r="B1822" s="2">
        <f t="shared" si="56"/>
        <v>2022</v>
      </c>
      <c r="C1822" s="2" t="str">
        <f t="shared" si="57"/>
        <v>KZN226</v>
      </c>
      <c r="D1822" s="2">
        <v>204</v>
      </c>
      <c r="F1822" s="625"/>
      <c r="G1822" s="625"/>
      <c r="H1822" s="625"/>
      <c r="I1822" s="625"/>
      <c r="J1822" s="625"/>
      <c r="K1822" s="625"/>
      <c r="L1822" s="627"/>
      <c r="M1822" s="627"/>
      <c r="N1822" s="627"/>
      <c r="O1822" s="627"/>
      <c r="P1822" s="627"/>
      <c r="W1822" t="s">
        <v>2047</v>
      </c>
    </row>
    <row r="1823" spans="1:23" ht="13.15" customHeight="1" x14ac:dyDescent="0.2">
      <c r="A1823" s="2" t="s">
        <v>2200</v>
      </c>
      <c r="B1823" s="2">
        <f t="shared" si="56"/>
        <v>2022</v>
      </c>
      <c r="C1823" s="2" t="str">
        <f t="shared" si="57"/>
        <v>KZN226</v>
      </c>
      <c r="D1823" s="2">
        <v>205</v>
      </c>
      <c r="F1823" s="625"/>
      <c r="G1823" s="625"/>
      <c r="H1823" s="625"/>
      <c r="I1823" s="625"/>
      <c r="J1823" s="625"/>
      <c r="K1823" s="625"/>
      <c r="L1823" s="627"/>
      <c r="M1823" s="627"/>
      <c r="N1823" s="627"/>
      <c r="O1823" s="627"/>
      <c r="P1823" s="627"/>
      <c r="W1823" t="s">
        <v>2047</v>
      </c>
    </row>
    <row r="1824" spans="1:23" ht="13.15" customHeight="1" x14ac:dyDescent="0.2">
      <c r="A1824" s="2" t="s">
        <v>2200</v>
      </c>
      <c r="B1824" s="2">
        <f t="shared" si="56"/>
        <v>2022</v>
      </c>
      <c r="C1824" s="2" t="str">
        <f t="shared" si="57"/>
        <v>KZN226</v>
      </c>
      <c r="D1824" s="2">
        <v>206</v>
      </c>
      <c r="F1824" s="625"/>
      <c r="G1824" s="625"/>
      <c r="H1824" s="625"/>
      <c r="I1824" s="625"/>
      <c r="J1824" s="625"/>
      <c r="K1824" s="625"/>
      <c r="L1824" s="627"/>
      <c r="M1824" s="627"/>
      <c r="N1824" s="627"/>
      <c r="O1824" s="627"/>
      <c r="P1824" s="627"/>
      <c r="W1824" t="s">
        <v>2047</v>
      </c>
    </row>
    <row r="1825" spans="1:23" ht="13.15" customHeight="1" x14ac:dyDescent="0.2">
      <c r="A1825" s="2" t="s">
        <v>2200</v>
      </c>
      <c r="B1825" s="2">
        <f t="shared" si="56"/>
        <v>2022</v>
      </c>
      <c r="C1825" s="2" t="str">
        <f t="shared" si="57"/>
        <v>KZN226</v>
      </c>
      <c r="D1825" s="2">
        <v>207</v>
      </c>
      <c r="F1825" s="625"/>
      <c r="G1825" s="625"/>
      <c r="H1825" s="625"/>
      <c r="I1825" s="625"/>
      <c r="J1825" s="625"/>
      <c r="K1825" s="625"/>
      <c r="L1825" s="627"/>
      <c r="M1825" s="627"/>
      <c r="N1825" s="627"/>
      <c r="O1825" s="627"/>
      <c r="P1825" s="627"/>
      <c r="W1825" t="s">
        <v>2047</v>
      </c>
    </row>
    <row r="1826" spans="1:23" ht="13.15" customHeight="1" x14ac:dyDescent="0.2">
      <c r="A1826" s="2" t="s">
        <v>2200</v>
      </c>
      <c r="B1826" s="2">
        <f t="shared" si="56"/>
        <v>2022</v>
      </c>
      <c r="C1826" s="2" t="str">
        <f t="shared" si="57"/>
        <v>KZN226</v>
      </c>
      <c r="D1826" s="2">
        <v>208</v>
      </c>
      <c r="F1826" s="625"/>
      <c r="G1826" s="625"/>
      <c r="H1826" s="625"/>
      <c r="I1826" s="625"/>
      <c r="J1826" s="625"/>
      <c r="K1826" s="625"/>
      <c r="L1826" s="627"/>
      <c r="M1826" s="627"/>
      <c r="N1826" s="627"/>
      <c r="O1826" s="627"/>
      <c r="P1826" s="627"/>
      <c r="W1826" t="s">
        <v>2047</v>
      </c>
    </row>
    <row r="1827" spans="1:23" ht="13.15" customHeight="1" x14ac:dyDescent="0.2">
      <c r="A1827" s="2" t="s">
        <v>2200</v>
      </c>
      <c r="B1827" s="2">
        <f t="shared" si="56"/>
        <v>2022</v>
      </c>
      <c r="C1827" s="2" t="str">
        <f t="shared" si="57"/>
        <v>KZN226</v>
      </c>
      <c r="D1827" s="2">
        <v>209</v>
      </c>
      <c r="F1827" s="625"/>
      <c r="G1827" s="625"/>
      <c r="H1827" s="625"/>
      <c r="I1827" s="625"/>
      <c r="J1827" s="625"/>
      <c r="K1827" s="625"/>
      <c r="L1827" s="627"/>
      <c r="M1827" s="627"/>
      <c r="N1827" s="627"/>
      <c r="O1827" s="627"/>
      <c r="P1827" s="627"/>
      <c r="W1827" t="s">
        <v>2047</v>
      </c>
    </row>
    <row r="1828" spans="1:23" ht="13.15" customHeight="1" x14ac:dyDescent="0.2">
      <c r="A1828" s="2" t="s">
        <v>2200</v>
      </c>
      <c r="B1828" s="2">
        <f t="shared" si="56"/>
        <v>2022</v>
      </c>
      <c r="C1828" s="2" t="str">
        <f t="shared" si="57"/>
        <v>KZN226</v>
      </c>
      <c r="D1828" s="2">
        <v>210</v>
      </c>
      <c r="F1828" s="625"/>
      <c r="G1828" s="625"/>
      <c r="H1828" s="625"/>
      <c r="I1828" s="625"/>
      <c r="J1828" s="625"/>
      <c r="K1828" s="625"/>
      <c r="L1828" s="627"/>
      <c r="M1828" s="627"/>
      <c r="N1828" s="627"/>
      <c r="O1828" s="627"/>
      <c r="P1828" s="627"/>
      <c r="W1828" t="s">
        <v>2047</v>
      </c>
    </row>
    <row r="1829" spans="1:23" ht="13.15" customHeight="1" x14ac:dyDescent="0.2">
      <c r="A1829" s="2" t="s">
        <v>2200</v>
      </c>
      <c r="B1829" s="2">
        <f t="shared" si="56"/>
        <v>2022</v>
      </c>
      <c r="C1829" s="2" t="str">
        <f t="shared" si="57"/>
        <v>KZN226</v>
      </c>
      <c r="D1829" s="2">
        <v>211</v>
      </c>
      <c r="F1829" s="625"/>
      <c r="G1829" s="625"/>
      <c r="H1829" s="625"/>
      <c r="I1829" s="625"/>
      <c r="J1829" s="625"/>
      <c r="K1829" s="625"/>
      <c r="L1829" s="627"/>
      <c r="M1829" s="627"/>
      <c r="N1829" s="627"/>
      <c r="O1829" s="627"/>
      <c r="P1829" s="627"/>
      <c r="W1829" t="s">
        <v>2047</v>
      </c>
    </row>
    <row r="1830" spans="1:23" ht="13.15" customHeight="1" x14ac:dyDescent="0.2">
      <c r="A1830" s="2" t="s">
        <v>2200</v>
      </c>
      <c r="B1830" s="2">
        <f t="shared" si="56"/>
        <v>2022</v>
      </c>
      <c r="C1830" s="2" t="str">
        <f t="shared" si="57"/>
        <v>KZN226</v>
      </c>
      <c r="D1830" s="2">
        <v>212</v>
      </c>
      <c r="F1830" s="625"/>
      <c r="G1830" s="625"/>
      <c r="H1830" s="625"/>
      <c r="I1830" s="625"/>
      <c r="J1830" s="625"/>
      <c r="K1830" s="625"/>
      <c r="L1830" s="627"/>
      <c r="M1830" s="627"/>
      <c r="N1830" s="627"/>
      <c r="O1830" s="627"/>
      <c r="P1830" s="627"/>
      <c r="W1830" t="s">
        <v>2047</v>
      </c>
    </row>
    <row r="1831" spans="1:23" ht="13.15" customHeight="1" x14ac:dyDescent="0.2">
      <c r="A1831" s="2" t="s">
        <v>2200</v>
      </c>
      <c r="B1831" s="2">
        <f t="shared" si="56"/>
        <v>2022</v>
      </c>
      <c r="C1831" s="2" t="str">
        <f t="shared" si="57"/>
        <v>KZN226</v>
      </c>
      <c r="D1831" s="2">
        <v>213</v>
      </c>
      <c r="F1831" s="625"/>
      <c r="G1831" s="625"/>
      <c r="H1831" s="625"/>
      <c r="I1831" s="625"/>
      <c r="J1831" s="625"/>
      <c r="K1831" s="625"/>
      <c r="L1831" s="627"/>
      <c r="M1831" s="627"/>
      <c r="N1831" s="627"/>
      <c r="O1831" s="627"/>
      <c r="P1831" s="627"/>
      <c r="W1831" t="s">
        <v>2047</v>
      </c>
    </row>
    <row r="1832" spans="1:23" ht="13.15" customHeight="1" x14ac:dyDescent="0.2">
      <c r="A1832" s="2" t="s">
        <v>2200</v>
      </c>
      <c r="B1832" s="2">
        <f t="shared" si="56"/>
        <v>2022</v>
      </c>
      <c r="C1832" s="2" t="str">
        <f t="shared" si="57"/>
        <v>KZN226</v>
      </c>
      <c r="D1832" s="2">
        <v>214</v>
      </c>
      <c r="F1832" s="625"/>
      <c r="G1832" s="625"/>
      <c r="H1832" s="625"/>
      <c r="I1832" s="625"/>
      <c r="J1832" s="625"/>
      <c r="K1832" s="625"/>
      <c r="L1832" s="627"/>
      <c r="M1832" s="627"/>
      <c r="N1832" s="627"/>
      <c r="O1832" s="627"/>
      <c r="P1832" s="627"/>
      <c r="W1832" t="s">
        <v>2047</v>
      </c>
    </row>
    <row r="1833" spans="1:23" ht="13.15" customHeight="1" x14ac:dyDescent="0.2">
      <c r="A1833" s="2" t="s">
        <v>2200</v>
      </c>
      <c r="B1833" s="2">
        <f t="shared" si="56"/>
        <v>2022</v>
      </c>
      <c r="C1833" s="2" t="str">
        <f t="shared" si="57"/>
        <v>KZN226</v>
      </c>
      <c r="D1833" s="2">
        <v>215</v>
      </c>
      <c r="F1833" s="625"/>
      <c r="G1833" s="625"/>
      <c r="H1833" s="625"/>
      <c r="I1833" s="625"/>
      <c r="J1833" s="625"/>
      <c r="K1833" s="625"/>
      <c r="L1833" s="627"/>
      <c r="M1833" s="627"/>
      <c r="N1833" s="627"/>
      <c r="O1833" s="627"/>
      <c r="P1833" s="627"/>
      <c r="W1833" t="s">
        <v>2047</v>
      </c>
    </row>
    <row r="1834" spans="1:23" ht="13.15" customHeight="1" x14ac:dyDescent="0.2">
      <c r="A1834" s="2" t="s">
        <v>2200</v>
      </c>
      <c r="B1834" s="2">
        <f t="shared" si="56"/>
        <v>2022</v>
      </c>
      <c r="C1834" s="2" t="str">
        <f t="shared" si="57"/>
        <v>KZN226</v>
      </c>
      <c r="D1834" s="2">
        <v>216</v>
      </c>
      <c r="F1834" s="625"/>
      <c r="G1834" s="625"/>
      <c r="H1834" s="625"/>
      <c r="I1834" s="625"/>
      <c r="J1834" s="625"/>
      <c r="K1834" s="625"/>
      <c r="L1834" s="627"/>
      <c r="M1834" s="627"/>
      <c r="N1834" s="627"/>
      <c r="O1834" s="627"/>
      <c r="P1834" s="627"/>
      <c r="W1834" t="s">
        <v>2047</v>
      </c>
    </row>
    <row r="1835" spans="1:23" ht="13.15" customHeight="1" x14ac:dyDescent="0.2">
      <c r="A1835" s="2" t="s">
        <v>2200</v>
      </c>
      <c r="B1835" s="2">
        <f t="shared" si="56"/>
        <v>2022</v>
      </c>
      <c r="C1835" s="2" t="str">
        <f t="shared" si="57"/>
        <v>KZN226</v>
      </c>
      <c r="D1835" s="2">
        <v>217</v>
      </c>
      <c r="F1835" s="625"/>
      <c r="G1835" s="625"/>
      <c r="H1835" s="625"/>
      <c r="I1835" s="625"/>
      <c r="J1835" s="625"/>
      <c r="K1835" s="625"/>
      <c r="L1835" s="627"/>
      <c r="M1835" s="627"/>
      <c r="N1835" s="627"/>
      <c r="O1835" s="627"/>
      <c r="P1835" s="627"/>
      <c r="W1835" t="s">
        <v>2047</v>
      </c>
    </row>
    <row r="1836" spans="1:23" ht="13.15" customHeight="1" x14ac:dyDescent="0.2">
      <c r="A1836" s="2" t="s">
        <v>2200</v>
      </c>
      <c r="B1836" s="2">
        <f t="shared" si="56"/>
        <v>2022</v>
      </c>
      <c r="C1836" s="2" t="str">
        <f t="shared" si="57"/>
        <v>KZN226</v>
      </c>
      <c r="D1836" s="2">
        <v>218</v>
      </c>
      <c r="F1836" s="625"/>
      <c r="G1836" s="625"/>
      <c r="H1836" s="625"/>
      <c r="I1836" s="625"/>
      <c r="J1836" s="625"/>
      <c r="K1836" s="625"/>
      <c r="L1836" s="627"/>
      <c r="M1836" s="627"/>
      <c r="N1836" s="627"/>
      <c r="O1836" s="627"/>
      <c r="P1836" s="627"/>
      <c r="W1836" t="s">
        <v>2047</v>
      </c>
    </row>
    <row r="1837" spans="1:23" ht="13.15" customHeight="1" x14ac:dyDescent="0.2">
      <c r="A1837" s="2" t="s">
        <v>2200</v>
      </c>
      <c r="B1837" s="2">
        <f t="shared" si="56"/>
        <v>2022</v>
      </c>
      <c r="C1837" s="2" t="str">
        <f t="shared" si="57"/>
        <v>KZN226</v>
      </c>
      <c r="D1837" s="2">
        <v>219</v>
      </c>
      <c r="F1837" s="625"/>
      <c r="G1837" s="625"/>
      <c r="H1837" s="625"/>
      <c r="I1837" s="625"/>
      <c r="J1837" s="625"/>
      <c r="K1837" s="625"/>
      <c r="L1837" s="627"/>
      <c r="M1837" s="627"/>
      <c r="N1837" s="627"/>
      <c r="O1837" s="627"/>
      <c r="P1837" s="627"/>
      <c r="W1837" t="s">
        <v>2047</v>
      </c>
    </row>
    <row r="1838" spans="1:23" ht="13.15" customHeight="1" x14ac:dyDescent="0.2">
      <c r="A1838" s="2" t="s">
        <v>2200</v>
      </c>
      <c r="B1838" s="2">
        <f t="shared" si="56"/>
        <v>2022</v>
      </c>
      <c r="C1838" s="2" t="str">
        <f t="shared" si="57"/>
        <v>KZN226</v>
      </c>
      <c r="D1838" s="2">
        <v>220</v>
      </c>
      <c r="F1838" s="625"/>
      <c r="G1838" s="625"/>
      <c r="H1838" s="625"/>
      <c r="I1838" s="625"/>
      <c r="J1838" s="625"/>
      <c r="K1838" s="625"/>
      <c r="L1838" s="627"/>
      <c r="M1838" s="627"/>
      <c r="N1838" s="627"/>
      <c r="O1838" s="627"/>
      <c r="P1838" s="627"/>
      <c r="W1838" t="s">
        <v>2047</v>
      </c>
    </row>
    <row r="1839" spans="1:23" ht="13.15" customHeight="1" x14ac:dyDescent="0.2">
      <c r="A1839" s="2" t="s">
        <v>2200</v>
      </c>
      <c r="B1839" s="2">
        <f t="shared" si="56"/>
        <v>2022</v>
      </c>
      <c r="C1839" s="2" t="str">
        <f t="shared" si="57"/>
        <v>KZN226</v>
      </c>
      <c r="D1839" s="2">
        <v>221</v>
      </c>
      <c r="F1839" s="625"/>
      <c r="G1839" s="625"/>
      <c r="H1839" s="625"/>
      <c r="I1839" s="625"/>
      <c r="J1839" s="625"/>
      <c r="K1839" s="625"/>
      <c r="L1839" s="627"/>
      <c r="M1839" s="627"/>
      <c r="N1839" s="627"/>
      <c r="O1839" s="627"/>
      <c r="P1839" s="627"/>
      <c r="W1839" t="s">
        <v>2047</v>
      </c>
    </row>
    <row r="1840" spans="1:23" ht="13.15" customHeight="1" x14ac:dyDescent="0.2">
      <c r="A1840" s="2" t="s">
        <v>2200</v>
      </c>
      <c r="B1840" s="2">
        <f t="shared" si="56"/>
        <v>2022</v>
      </c>
      <c r="C1840" s="2" t="str">
        <f t="shared" si="57"/>
        <v>KZN226</v>
      </c>
      <c r="D1840" s="2">
        <v>222</v>
      </c>
      <c r="F1840" s="625"/>
      <c r="G1840" s="625"/>
      <c r="H1840" s="625"/>
      <c r="I1840" s="625"/>
      <c r="J1840" s="625"/>
      <c r="K1840" s="625"/>
      <c r="L1840" s="627"/>
      <c r="M1840" s="627"/>
      <c r="N1840" s="627"/>
      <c r="O1840" s="627"/>
      <c r="P1840" s="627"/>
      <c r="W1840" t="s">
        <v>2047</v>
      </c>
    </row>
    <row r="1841" spans="1:23" ht="13.15" customHeight="1" x14ac:dyDescent="0.2">
      <c r="A1841" s="2" t="s">
        <v>2200</v>
      </c>
      <c r="B1841" s="2">
        <f t="shared" si="56"/>
        <v>2022</v>
      </c>
      <c r="C1841" s="2" t="str">
        <f t="shared" si="57"/>
        <v>KZN226</v>
      </c>
      <c r="D1841" s="2">
        <v>223</v>
      </c>
      <c r="F1841" s="625"/>
      <c r="G1841" s="625"/>
      <c r="H1841" s="625"/>
      <c r="I1841" s="625"/>
      <c r="J1841" s="625"/>
      <c r="K1841" s="625"/>
      <c r="L1841" s="627"/>
      <c r="M1841" s="627"/>
      <c r="N1841" s="627"/>
      <c r="O1841" s="627"/>
      <c r="P1841" s="627"/>
      <c r="W1841" t="s">
        <v>2047</v>
      </c>
    </row>
    <row r="1842" spans="1:23" ht="13.15" customHeight="1" x14ac:dyDescent="0.2">
      <c r="A1842" s="2" t="s">
        <v>2200</v>
      </c>
      <c r="B1842" s="2">
        <f t="shared" si="56"/>
        <v>2022</v>
      </c>
      <c r="C1842" s="2" t="str">
        <f t="shared" si="57"/>
        <v>KZN226</v>
      </c>
      <c r="D1842" s="2">
        <v>224</v>
      </c>
      <c r="F1842" s="625"/>
      <c r="G1842" s="625"/>
      <c r="H1842" s="625"/>
      <c r="I1842" s="625"/>
      <c r="J1842" s="625"/>
      <c r="K1842" s="625"/>
      <c r="L1842" s="627"/>
      <c r="M1842" s="627"/>
      <c r="N1842" s="627"/>
      <c r="O1842" s="627"/>
      <c r="P1842" s="627"/>
      <c r="W1842" t="s">
        <v>2047</v>
      </c>
    </row>
    <row r="1843" spans="1:23" ht="13.15" customHeight="1" x14ac:dyDescent="0.2">
      <c r="A1843" s="2" t="s">
        <v>2200</v>
      </c>
      <c r="B1843" s="2">
        <f t="shared" si="56"/>
        <v>2022</v>
      </c>
      <c r="C1843" s="2" t="str">
        <f t="shared" si="57"/>
        <v>KZN226</v>
      </c>
      <c r="D1843" s="2">
        <v>225</v>
      </c>
      <c r="F1843" s="625"/>
      <c r="G1843" s="625"/>
      <c r="H1843" s="625"/>
      <c r="I1843" s="625"/>
      <c r="J1843" s="625"/>
      <c r="K1843" s="625"/>
      <c r="L1843" s="627"/>
      <c r="M1843" s="627"/>
      <c r="N1843" s="627"/>
      <c r="O1843" s="627"/>
      <c r="P1843" s="627"/>
      <c r="W1843" t="s">
        <v>2047</v>
      </c>
    </row>
    <row r="1844" spans="1:23" ht="13.15" customHeight="1" x14ac:dyDescent="0.2">
      <c r="A1844" s="2" t="s">
        <v>2200</v>
      </c>
      <c r="B1844" s="2">
        <f t="shared" si="56"/>
        <v>2022</v>
      </c>
      <c r="C1844" s="2" t="str">
        <f t="shared" si="57"/>
        <v>KZN226</v>
      </c>
      <c r="D1844" s="2">
        <v>226</v>
      </c>
      <c r="F1844" s="625"/>
      <c r="G1844" s="625"/>
      <c r="H1844" s="625"/>
      <c r="I1844" s="625"/>
      <c r="J1844" s="625"/>
      <c r="K1844" s="625"/>
      <c r="L1844" s="627"/>
      <c r="M1844" s="627"/>
      <c r="N1844" s="627"/>
      <c r="O1844" s="627"/>
      <c r="P1844" s="627"/>
      <c r="W1844" t="s">
        <v>2047</v>
      </c>
    </row>
    <row r="1845" spans="1:23" ht="13.15" customHeight="1" x14ac:dyDescent="0.2">
      <c r="A1845" s="2" t="s">
        <v>2200</v>
      </c>
      <c r="B1845" s="2">
        <f t="shared" si="56"/>
        <v>2022</v>
      </c>
      <c r="C1845" s="2" t="str">
        <f t="shared" si="57"/>
        <v>KZN226</v>
      </c>
      <c r="D1845" s="2">
        <v>227</v>
      </c>
      <c r="F1845" s="625"/>
      <c r="G1845" s="625"/>
      <c r="H1845" s="625"/>
      <c r="I1845" s="625"/>
      <c r="J1845" s="625"/>
      <c r="K1845" s="625"/>
      <c r="L1845" s="627"/>
      <c r="M1845" s="627"/>
      <c r="N1845" s="627"/>
      <c r="O1845" s="627"/>
      <c r="P1845" s="627"/>
      <c r="W1845" t="s">
        <v>2047</v>
      </c>
    </row>
    <row r="1846" spans="1:23" ht="13.15" customHeight="1" x14ac:dyDescent="0.2">
      <c r="A1846" s="2" t="s">
        <v>2200</v>
      </c>
      <c r="B1846" s="2">
        <f t="shared" si="56"/>
        <v>2022</v>
      </c>
      <c r="C1846" s="2" t="str">
        <f t="shared" si="57"/>
        <v>KZN226</v>
      </c>
      <c r="D1846" s="2">
        <v>228</v>
      </c>
      <c r="F1846" s="625"/>
      <c r="G1846" s="625"/>
      <c r="H1846" s="625"/>
      <c r="I1846" s="625"/>
      <c r="J1846" s="625"/>
      <c r="K1846" s="625"/>
      <c r="L1846" s="627"/>
      <c r="M1846" s="627"/>
      <c r="N1846" s="627"/>
      <c r="O1846" s="627"/>
      <c r="P1846" s="627"/>
      <c r="W1846" t="s">
        <v>2047</v>
      </c>
    </row>
    <row r="1847" spans="1:23" ht="13.15" customHeight="1" x14ac:dyDescent="0.2">
      <c r="A1847" s="2" t="s">
        <v>2200</v>
      </c>
      <c r="B1847" s="2">
        <f t="shared" si="56"/>
        <v>2022</v>
      </c>
      <c r="C1847" s="2" t="str">
        <f t="shared" si="57"/>
        <v>KZN226</v>
      </c>
      <c r="D1847" s="2">
        <v>229</v>
      </c>
      <c r="F1847" s="625"/>
      <c r="G1847" s="625"/>
      <c r="H1847" s="625"/>
      <c r="I1847" s="625"/>
      <c r="J1847" s="625"/>
      <c r="K1847" s="625"/>
      <c r="L1847" s="627"/>
      <c r="M1847" s="627"/>
      <c r="N1847" s="627"/>
      <c r="O1847" s="627"/>
      <c r="P1847" s="627"/>
      <c r="W1847" t="s">
        <v>2047</v>
      </c>
    </row>
    <row r="1848" spans="1:23" ht="13.15" customHeight="1" x14ac:dyDescent="0.2">
      <c r="A1848" s="2" t="s">
        <v>2200</v>
      </c>
      <c r="B1848" s="2">
        <f t="shared" si="56"/>
        <v>2022</v>
      </c>
      <c r="C1848" s="2" t="str">
        <f t="shared" si="57"/>
        <v>KZN226</v>
      </c>
      <c r="D1848" s="2">
        <v>230</v>
      </c>
      <c r="F1848" s="625"/>
      <c r="G1848" s="625"/>
      <c r="H1848" s="625"/>
      <c r="I1848" s="625"/>
      <c r="J1848" s="625"/>
      <c r="K1848" s="625"/>
      <c r="L1848" s="627"/>
      <c r="M1848" s="627"/>
      <c r="N1848" s="627"/>
      <c r="O1848" s="627"/>
      <c r="P1848" s="627"/>
      <c r="W1848" t="s">
        <v>2047</v>
      </c>
    </row>
    <row r="1849" spans="1:23" ht="13.15" customHeight="1" x14ac:dyDescent="0.2">
      <c r="A1849" s="2" t="s">
        <v>2200</v>
      </c>
      <c r="B1849" s="2">
        <f t="shared" si="56"/>
        <v>2022</v>
      </c>
      <c r="C1849" s="2" t="str">
        <f t="shared" si="57"/>
        <v>KZN226</v>
      </c>
      <c r="D1849" s="2">
        <v>231</v>
      </c>
      <c r="F1849" s="625"/>
      <c r="G1849" s="625"/>
      <c r="H1849" s="625"/>
      <c r="I1849" s="625"/>
      <c r="J1849" s="625"/>
      <c r="K1849" s="625"/>
      <c r="L1849" s="627"/>
      <c r="M1849" s="627"/>
      <c r="N1849" s="627"/>
      <c r="O1849" s="627"/>
      <c r="P1849" s="627"/>
      <c r="W1849" t="s">
        <v>2047</v>
      </c>
    </row>
    <row r="1850" spans="1:23" ht="13.15" customHeight="1" x14ac:dyDescent="0.2">
      <c r="A1850" s="2" t="s">
        <v>2200</v>
      </c>
      <c r="B1850" s="2">
        <f t="shared" si="56"/>
        <v>2022</v>
      </c>
      <c r="C1850" s="2" t="str">
        <f t="shared" si="57"/>
        <v>KZN226</v>
      </c>
      <c r="D1850" s="2">
        <v>232</v>
      </c>
      <c r="F1850" s="625"/>
      <c r="G1850" s="625"/>
      <c r="H1850" s="625"/>
      <c r="I1850" s="625"/>
      <c r="J1850" s="625"/>
      <c r="K1850" s="625"/>
      <c r="L1850" s="627"/>
      <c r="M1850" s="627"/>
      <c r="N1850" s="627"/>
      <c r="O1850" s="627"/>
      <c r="P1850" s="627"/>
      <c r="W1850" t="s">
        <v>2047</v>
      </c>
    </row>
    <row r="1851" spans="1:23" ht="13.15" customHeight="1" x14ac:dyDescent="0.2">
      <c r="A1851" s="2" t="s">
        <v>2200</v>
      </c>
      <c r="B1851" s="2">
        <f t="shared" si="56"/>
        <v>2022</v>
      </c>
      <c r="C1851" s="2" t="str">
        <f t="shared" si="57"/>
        <v>KZN226</v>
      </c>
      <c r="D1851" s="2">
        <v>233</v>
      </c>
      <c r="F1851" s="625"/>
      <c r="G1851" s="625"/>
      <c r="H1851" s="625"/>
      <c r="I1851" s="625"/>
      <c r="J1851" s="625"/>
      <c r="K1851" s="625"/>
      <c r="L1851" s="627"/>
      <c r="M1851" s="627"/>
      <c r="N1851" s="627"/>
      <c r="O1851" s="627"/>
      <c r="P1851" s="627"/>
      <c r="W1851" t="s">
        <v>2047</v>
      </c>
    </row>
    <row r="1852" spans="1:23" ht="13.15" customHeight="1" x14ac:dyDescent="0.2">
      <c r="A1852" s="2" t="s">
        <v>2200</v>
      </c>
      <c r="B1852" s="2">
        <f t="shared" si="56"/>
        <v>2022</v>
      </c>
      <c r="C1852" s="2" t="str">
        <f t="shared" si="57"/>
        <v>KZN226</v>
      </c>
      <c r="D1852" s="2">
        <v>234</v>
      </c>
      <c r="F1852" s="625"/>
      <c r="G1852" s="625"/>
      <c r="H1852" s="625"/>
      <c r="I1852" s="625"/>
      <c r="J1852" s="625"/>
      <c r="K1852" s="625"/>
      <c r="L1852" s="627"/>
      <c r="M1852" s="627"/>
      <c r="N1852" s="627"/>
      <c r="O1852" s="627"/>
      <c r="P1852" s="627"/>
      <c r="W1852" t="s">
        <v>2047</v>
      </c>
    </row>
    <row r="1853" spans="1:23" ht="13.15" customHeight="1" x14ac:dyDescent="0.2">
      <c r="A1853" s="2" t="s">
        <v>2200</v>
      </c>
      <c r="B1853" s="2">
        <f t="shared" si="56"/>
        <v>2022</v>
      </c>
      <c r="C1853" s="2" t="str">
        <f t="shared" si="57"/>
        <v>KZN226</v>
      </c>
      <c r="D1853" s="2">
        <v>235</v>
      </c>
      <c r="F1853" s="625"/>
      <c r="G1853" s="625"/>
      <c r="H1853" s="625"/>
      <c r="I1853" s="625"/>
      <c r="J1853" s="625"/>
      <c r="K1853" s="625"/>
      <c r="L1853" s="627"/>
      <c r="M1853" s="627"/>
      <c r="N1853" s="627"/>
      <c r="O1853" s="627"/>
      <c r="P1853" s="627"/>
      <c r="W1853" t="s">
        <v>2047</v>
      </c>
    </row>
    <row r="1854" spans="1:23" ht="13.15" customHeight="1" x14ac:dyDescent="0.2">
      <c r="A1854" s="2" t="s">
        <v>2200</v>
      </c>
      <c r="B1854" s="2">
        <f t="shared" si="56"/>
        <v>2022</v>
      </c>
      <c r="C1854" s="2" t="str">
        <f t="shared" si="57"/>
        <v>KZN226</v>
      </c>
      <c r="D1854" s="2">
        <v>236</v>
      </c>
      <c r="F1854" s="625"/>
      <c r="G1854" s="625"/>
      <c r="H1854" s="625"/>
      <c r="I1854" s="625"/>
      <c r="J1854" s="625"/>
      <c r="K1854" s="625"/>
      <c r="L1854" s="627"/>
      <c r="M1854" s="627"/>
      <c r="N1854" s="627"/>
      <c r="O1854" s="627"/>
      <c r="P1854" s="627"/>
      <c r="W1854" t="s">
        <v>2047</v>
      </c>
    </row>
    <row r="1855" spans="1:23" ht="13.15" customHeight="1" x14ac:dyDescent="0.2">
      <c r="A1855" s="2" t="s">
        <v>2200</v>
      </c>
      <c r="B1855" s="2">
        <f t="shared" si="56"/>
        <v>2022</v>
      </c>
      <c r="C1855" s="2" t="str">
        <f t="shared" si="57"/>
        <v>KZN226</v>
      </c>
      <c r="D1855" s="2">
        <v>237</v>
      </c>
      <c r="F1855" s="625"/>
      <c r="G1855" s="625"/>
      <c r="H1855" s="625"/>
      <c r="I1855" s="625"/>
      <c r="J1855" s="625"/>
      <c r="K1855" s="625"/>
      <c r="L1855" s="627"/>
      <c r="M1855" s="627"/>
      <c r="N1855" s="627"/>
      <c r="O1855" s="627"/>
      <c r="P1855" s="627"/>
      <c r="W1855" t="s">
        <v>2047</v>
      </c>
    </row>
    <row r="1856" spans="1:23" ht="13.15" customHeight="1" x14ac:dyDescent="0.2">
      <c r="A1856" s="2" t="s">
        <v>2200</v>
      </c>
      <c r="B1856" s="2">
        <f t="shared" si="56"/>
        <v>2022</v>
      </c>
      <c r="C1856" s="2" t="str">
        <f t="shared" si="57"/>
        <v>KZN226</v>
      </c>
      <c r="D1856" s="2">
        <v>238</v>
      </c>
      <c r="F1856" s="625"/>
      <c r="G1856" s="625"/>
      <c r="H1856" s="625"/>
      <c r="I1856" s="625"/>
      <c r="J1856" s="625"/>
      <c r="K1856" s="625"/>
      <c r="L1856" s="627"/>
      <c r="M1856" s="627"/>
      <c r="N1856" s="627"/>
      <c r="O1856" s="627"/>
      <c r="P1856" s="627"/>
      <c r="W1856" t="s">
        <v>2047</v>
      </c>
    </row>
    <row r="1857" spans="1:23" ht="13.15" customHeight="1" x14ac:dyDescent="0.2">
      <c r="A1857" s="2" t="s">
        <v>2200</v>
      </c>
      <c r="B1857" s="2">
        <f t="shared" si="56"/>
        <v>2022</v>
      </c>
      <c r="C1857" s="2" t="str">
        <f t="shared" si="57"/>
        <v>KZN226</v>
      </c>
      <c r="D1857" s="2">
        <v>239</v>
      </c>
      <c r="F1857" s="625"/>
      <c r="G1857" s="625"/>
      <c r="H1857" s="625"/>
      <c r="I1857" s="625"/>
      <c r="J1857" s="625"/>
      <c r="K1857" s="625"/>
      <c r="L1857" s="627"/>
      <c r="M1857" s="627"/>
      <c r="N1857" s="627"/>
      <c r="O1857" s="627"/>
      <c r="P1857" s="627"/>
      <c r="W1857" t="s">
        <v>2047</v>
      </c>
    </row>
    <row r="1858" spans="1:23" ht="13.15" customHeight="1" x14ac:dyDescent="0.2">
      <c r="A1858" s="2" t="s">
        <v>2200</v>
      </c>
      <c r="B1858" s="2">
        <f t="shared" ref="B1858:B1921" si="58">+MTREF</f>
        <v>2022</v>
      </c>
      <c r="C1858" s="2" t="str">
        <f t="shared" ref="C1858:C1921" si="59">LEFT(muni,(FIND(" ",muni,1)-1))</f>
        <v>KZN226</v>
      </c>
      <c r="D1858" s="2">
        <v>240</v>
      </c>
      <c r="F1858" s="625"/>
      <c r="G1858" s="625"/>
      <c r="H1858" s="625"/>
      <c r="I1858" s="625"/>
      <c r="J1858" s="625"/>
      <c r="K1858" s="625"/>
      <c r="L1858" s="627"/>
      <c r="M1858" s="627"/>
      <c r="N1858" s="627"/>
      <c r="O1858" s="627"/>
      <c r="P1858" s="627"/>
      <c r="W1858" t="s">
        <v>2047</v>
      </c>
    </row>
    <row r="1859" spans="1:23" ht="13.15" customHeight="1" x14ac:dyDescent="0.2">
      <c r="A1859" s="2" t="s">
        <v>2200</v>
      </c>
      <c r="B1859" s="2">
        <f t="shared" si="58"/>
        <v>2022</v>
      </c>
      <c r="C1859" s="2" t="str">
        <f t="shared" si="59"/>
        <v>KZN226</v>
      </c>
      <c r="D1859" s="2">
        <v>241</v>
      </c>
      <c r="F1859" s="625"/>
      <c r="G1859" s="625"/>
      <c r="H1859" s="625"/>
      <c r="I1859" s="625"/>
      <c r="J1859" s="625"/>
      <c r="K1859" s="625"/>
      <c r="L1859" s="627"/>
      <c r="M1859" s="627"/>
      <c r="N1859" s="627"/>
      <c r="O1859" s="627"/>
      <c r="P1859" s="627"/>
      <c r="W1859" t="s">
        <v>2047</v>
      </c>
    </row>
    <row r="1860" spans="1:23" ht="13.15" customHeight="1" x14ac:dyDescent="0.2">
      <c r="A1860" s="2" t="s">
        <v>2200</v>
      </c>
      <c r="B1860" s="2">
        <f t="shared" si="58"/>
        <v>2022</v>
      </c>
      <c r="C1860" s="2" t="str">
        <f t="shared" si="59"/>
        <v>KZN226</v>
      </c>
      <c r="D1860" s="2">
        <v>242</v>
      </c>
      <c r="F1860" s="625"/>
      <c r="G1860" s="625"/>
      <c r="H1860" s="625"/>
      <c r="I1860" s="625"/>
      <c r="J1860" s="625"/>
      <c r="K1860" s="625"/>
      <c r="L1860" s="627"/>
      <c r="M1860" s="627"/>
      <c r="N1860" s="627"/>
      <c r="O1860" s="627"/>
      <c r="P1860" s="627"/>
      <c r="W1860" t="s">
        <v>2047</v>
      </c>
    </row>
    <row r="1861" spans="1:23" ht="13.15" customHeight="1" x14ac:dyDescent="0.2">
      <c r="A1861" s="2" t="s">
        <v>2200</v>
      </c>
      <c r="B1861" s="2">
        <f t="shared" si="58"/>
        <v>2022</v>
      </c>
      <c r="C1861" s="2" t="str">
        <f t="shared" si="59"/>
        <v>KZN226</v>
      </c>
      <c r="D1861" s="2">
        <v>243</v>
      </c>
      <c r="F1861" s="625"/>
      <c r="G1861" s="625"/>
      <c r="H1861" s="625"/>
      <c r="I1861" s="625"/>
      <c r="J1861" s="625"/>
      <c r="K1861" s="625"/>
      <c r="L1861" s="627"/>
      <c r="M1861" s="627"/>
      <c r="N1861" s="627"/>
      <c r="O1861" s="627"/>
      <c r="P1861" s="627"/>
      <c r="W1861" t="s">
        <v>2047</v>
      </c>
    </row>
    <row r="1862" spans="1:23" ht="13.15" customHeight="1" x14ac:dyDescent="0.2">
      <c r="A1862" s="2" t="s">
        <v>2200</v>
      </c>
      <c r="B1862" s="2">
        <f t="shared" si="58"/>
        <v>2022</v>
      </c>
      <c r="C1862" s="2" t="str">
        <f t="shared" si="59"/>
        <v>KZN226</v>
      </c>
      <c r="D1862" s="2">
        <v>244</v>
      </c>
      <c r="F1862" s="625"/>
      <c r="G1862" s="625"/>
      <c r="H1862" s="625"/>
      <c r="I1862" s="625"/>
      <c r="J1862" s="625"/>
      <c r="K1862" s="625"/>
      <c r="L1862" s="627"/>
      <c r="M1862" s="627"/>
      <c r="N1862" s="627"/>
      <c r="O1862" s="627"/>
      <c r="P1862" s="627"/>
      <c r="W1862" t="s">
        <v>2047</v>
      </c>
    </row>
    <row r="1863" spans="1:23" ht="13.15" customHeight="1" x14ac:dyDescent="0.2">
      <c r="A1863" s="2" t="s">
        <v>2200</v>
      </c>
      <c r="B1863" s="2">
        <f t="shared" si="58"/>
        <v>2022</v>
      </c>
      <c r="C1863" s="2" t="str">
        <f t="shared" si="59"/>
        <v>KZN226</v>
      </c>
      <c r="D1863" s="2">
        <v>245</v>
      </c>
      <c r="F1863" s="625"/>
      <c r="G1863" s="625"/>
      <c r="H1863" s="625"/>
      <c r="I1863" s="625"/>
      <c r="J1863" s="625"/>
      <c r="K1863" s="625"/>
      <c r="L1863" s="627"/>
      <c r="M1863" s="627"/>
      <c r="N1863" s="627"/>
      <c r="O1863" s="627"/>
      <c r="P1863" s="627"/>
      <c r="W1863" t="s">
        <v>2047</v>
      </c>
    </row>
    <row r="1864" spans="1:23" ht="13.15" customHeight="1" x14ac:dyDescent="0.2">
      <c r="A1864" s="2" t="s">
        <v>2200</v>
      </c>
      <c r="B1864" s="2">
        <f t="shared" si="58"/>
        <v>2022</v>
      </c>
      <c r="C1864" s="2" t="str">
        <f t="shared" si="59"/>
        <v>KZN226</v>
      </c>
      <c r="D1864" s="2">
        <v>246</v>
      </c>
      <c r="F1864" s="625"/>
      <c r="G1864" s="625"/>
      <c r="H1864" s="625"/>
      <c r="I1864" s="625"/>
      <c r="J1864" s="625"/>
      <c r="K1864" s="625"/>
      <c r="L1864" s="627"/>
      <c r="M1864" s="627"/>
      <c r="N1864" s="627"/>
      <c r="O1864" s="627"/>
      <c r="P1864" s="627"/>
      <c r="W1864" t="s">
        <v>2047</v>
      </c>
    </row>
    <row r="1865" spans="1:23" ht="13.15" customHeight="1" x14ac:dyDescent="0.2">
      <c r="A1865" s="2" t="s">
        <v>2200</v>
      </c>
      <c r="B1865" s="2">
        <f t="shared" si="58"/>
        <v>2022</v>
      </c>
      <c r="C1865" s="2" t="str">
        <f t="shared" si="59"/>
        <v>KZN226</v>
      </c>
      <c r="D1865" s="2">
        <v>247</v>
      </c>
      <c r="F1865" s="625"/>
      <c r="G1865" s="625"/>
      <c r="H1865" s="625"/>
      <c r="I1865" s="625"/>
      <c r="J1865" s="625"/>
      <c r="K1865" s="625"/>
      <c r="L1865" s="627"/>
      <c r="M1865" s="627"/>
      <c r="N1865" s="627"/>
      <c r="O1865" s="627"/>
      <c r="P1865" s="627"/>
      <c r="W1865" t="s">
        <v>2047</v>
      </c>
    </row>
    <row r="1866" spans="1:23" ht="13.15" customHeight="1" x14ac:dyDescent="0.2">
      <c r="A1866" s="2" t="s">
        <v>2200</v>
      </c>
      <c r="B1866" s="2">
        <f t="shared" si="58"/>
        <v>2022</v>
      </c>
      <c r="C1866" s="2" t="str">
        <f t="shared" si="59"/>
        <v>KZN226</v>
      </c>
      <c r="D1866" s="2">
        <v>248</v>
      </c>
      <c r="F1866" s="625"/>
      <c r="G1866" s="625"/>
      <c r="H1866" s="625"/>
      <c r="I1866" s="625"/>
      <c r="J1866" s="625"/>
      <c r="K1866" s="625"/>
      <c r="L1866" s="627"/>
      <c r="M1866" s="627"/>
      <c r="N1866" s="627"/>
      <c r="O1866" s="627"/>
      <c r="P1866" s="627"/>
      <c r="W1866" t="s">
        <v>2047</v>
      </c>
    </row>
    <row r="1867" spans="1:23" ht="13.15" customHeight="1" x14ac:dyDescent="0.2">
      <c r="A1867" s="2" t="s">
        <v>2200</v>
      </c>
      <c r="B1867" s="2">
        <f t="shared" si="58"/>
        <v>2022</v>
      </c>
      <c r="C1867" s="2" t="str">
        <f t="shared" si="59"/>
        <v>KZN226</v>
      </c>
      <c r="D1867" s="2">
        <v>249</v>
      </c>
      <c r="F1867" s="625"/>
      <c r="G1867" s="625"/>
      <c r="H1867" s="625"/>
      <c r="I1867" s="625"/>
      <c r="J1867" s="625"/>
      <c r="K1867" s="625"/>
      <c r="L1867" s="627"/>
      <c r="M1867" s="627"/>
      <c r="N1867" s="627"/>
      <c r="O1867" s="627"/>
      <c r="P1867" s="627"/>
      <c r="W1867" t="s">
        <v>2047</v>
      </c>
    </row>
    <row r="1868" spans="1:23" ht="13.15" customHeight="1" x14ac:dyDescent="0.2">
      <c r="A1868" s="2" t="s">
        <v>2200</v>
      </c>
      <c r="B1868" s="2">
        <f t="shared" si="58"/>
        <v>2022</v>
      </c>
      <c r="C1868" s="2" t="str">
        <f t="shared" si="59"/>
        <v>KZN226</v>
      </c>
      <c r="D1868" s="2">
        <v>250</v>
      </c>
      <c r="F1868" s="625"/>
      <c r="G1868" s="625"/>
      <c r="H1868" s="625"/>
      <c r="I1868" s="625"/>
      <c r="J1868" s="625"/>
      <c r="K1868" s="625"/>
      <c r="L1868" s="627"/>
      <c r="M1868" s="627"/>
      <c r="N1868" s="627"/>
      <c r="O1868" s="627"/>
      <c r="P1868" s="627"/>
      <c r="W1868" t="s">
        <v>2047</v>
      </c>
    </row>
    <row r="1869" spans="1:23" ht="13.15" customHeight="1" x14ac:dyDescent="0.2">
      <c r="A1869" s="2" t="s">
        <v>2200</v>
      </c>
      <c r="B1869" s="2">
        <f t="shared" si="58"/>
        <v>2022</v>
      </c>
      <c r="C1869" s="2" t="str">
        <f t="shared" si="59"/>
        <v>KZN226</v>
      </c>
      <c r="D1869" s="2">
        <v>251</v>
      </c>
      <c r="F1869" s="625"/>
      <c r="G1869" s="625"/>
      <c r="H1869" s="625"/>
      <c r="I1869" s="625"/>
      <c r="J1869" s="625"/>
      <c r="K1869" s="625"/>
      <c r="L1869" s="627"/>
      <c r="M1869" s="627"/>
      <c r="N1869" s="627"/>
      <c r="O1869" s="627"/>
      <c r="P1869" s="627"/>
      <c r="W1869" t="s">
        <v>2047</v>
      </c>
    </row>
    <row r="1870" spans="1:23" ht="13.15" customHeight="1" x14ac:dyDescent="0.2">
      <c r="A1870" s="2" t="s">
        <v>2200</v>
      </c>
      <c r="B1870" s="2">
        <f t="shared" si="58"/>
        <v>2022</v>
      </c>
      <c r="C1870" s="2" t="str">
        <f t="shared" si="59"/>
        <v>KZN226</v>
      </c>
      <c r="D1870" s="2">
        <v>252</v>
      </c>
      <c r="F1870" s="625"/>
      <c r="G1870" s="625"/>
      <c r="H1870" s="625"/>
      <c r="I1870" s="625"/>
      <c r="J1870" s="625"/>
      <c r="K1870" s="625"/>
      <c r="L1870" s="627"/>
      <c r="M1870" s="627"/>
      <c r="N1870" s="627"/>
      <c r="O1870" s="627"/>
      <c r="P1870" s="627"/>
      <c r="W1870" t="s">
        <v>2047</v>
      </c>
    </row>
    <row r="1871" spans="1:23" ht="13.15" customHeight="1" x14ac:dyDescent="0.2">
      <c r="A1871" s="2" t="s">
        <v>2200</v>
      </c>
      <c r="B1871" s="2">
        <f t="shared" si="58"/>
        <v>2022</v>
      </c>
      <c r="C1871" s="2" t="str">
        <f t="shared" si="59"/>
        <v>KZN226</v>
      </c>
      <c r="D1871" s="2">
        <v>253</v>
      </c>
      <c r="F1871" s="625"/>
      <c r="G1871" s="625"/>
      <c r="H1871" s="625"/>
      <c r="I1871" s="625"/>
      <c r="J1871" s="625"/>
      <c r="K1871" s="625"/>
      <c r="L1871" s="627"/>
      <c r="M1871" s="627"/>
      <c r="N1871" s="627"/>
      <c r="O1871" s="627"/>
      <c r="P1871" s="627"/>
      <c r="W1871" t="s">
        <v>2047</v>
      </c>
    </row>
    <row r="1872" spans="1:23" ht="13.15" customHeight="1" x14ac:dyDescent="0.2">
      <c r="A1872" s="2" t="s">
        <v>2200</v>
      </c>
      <c r="B1872" s="2">
        <f t="shared" si="58"/>
        <v>2022</v>
      </c>
      <c r="C1872" s="2" t="str">
        <f t="shared" si="59"/>
        <v>KZN226</v>
      </c>
      <c r="D1872" s="2">
        <v>254</v>
      </c>
      <c r="F1872" s="625"/>
      <c r="G1872" s="625"/>
      <c r="H1872" s="625"/>
      <c r="I1872" s="625"/>
      <c r="J1872" s="625"/>
      <c r="K1872" s="625"/>
      <c r="L1872" s="627"/>
      <c r="M1872" s="627"/>
      <c r="N1872" s="627"/>
      <c r="O1872" s="627"/>
      <c r="P1872" s="627"/>
      <c r="W1872" t="s">
        <v>2047</v>
      </c>
    </row>
    <row r="1873" spans="1:23" ht="13.15" customHeight="1" x14ac:dyDescent="0.2">
      <c r="A1873" s="2" t="s">
        <v>2200</v>
      </c>
      <c r="B1873" s="2">
        <f t="shared" si="58"/>
        <v>2022</v>
      </c>
      <c r="C1873" s="2" t="str">
        <f t="shared" si="59"/>
        <v>KZN226</v>
      </c>
      <c r="D1873" s="2">
        <v>255</v>
      </c>
      <c r="F1873" s="625"/>
      <c r="G1873" s="625"/>
      <c r="H1873" s="625"/>
      <c r="I1873" s="625"/>
      <c r="J1873" s="625"/>
      <c r="K1873" s="625"/>
      <c r="L1873" s="627"/>
      <c r="M1873" s="627"/>
      <c r="N1873" s="627"/>
      <c r="O1873" s="627"/>
      <c r="P1873" s="627"/>
      <c r="W1873" t="s">
        <v>2047</v>
      </c>
    </row>
    <row r="1874" spans="1:23" ht="13.15" customHeight="1" x14ac:dyDescent="0.2">
      <c r="A1874" s="2" t="s">
        <v>2200</v>
      </c>
      <c r="B1874" s="2">
        <f t="shared" si="58"/>
        <v>2022</v>
      </c>
      <c r="C1874" s="2" t="str">
        <f t="shared" si="59"/>
        <v>KZN226</v>
      </c>
      <c r="D1874" s="2">
        <v>256</v>
      </c>
      <c r="F1874" s="625"/>
      <c r="G1874" s="625"/>
      <c r="H1874" s="625"/>
      <c r="I1874" s="625"/>
      <c r="J1874" s="625"/>
      <c r="K1874" s="625"/>
      <c r="L1874" s="627"/>
      <c r="M1874" s="627"/>
      <c r="N1874" s="627"/>
      <c r="O1874" s="627"/>
      <c r="P1874" s="627"/>
      <c r="W1874" t="s">
        <v>2047</v>
      </c>
    </row>
    <row r="1875" spans="1:23" ht="13.15" customHeight="1" x14ac:dyDescent="0.2">
      <c r="A1875" s="2" t="s">
        <v>2200</v>
      </c>
      <c r="B1875" s="2">
        <f t="shared" si="58"/>
        <v>2022</v>
      </c>
      <c r="C1875" s="2" t="str">
        <f t="shared" si="59"/>
        <v>KZN226</v>
      </c>
      <c r="D1875" s="2">
        <v>257</v>
      </c>
      <c r="F1875" s="625"/>
      <c r="G1875" s="625"/>
      <c r="H1875" s="625"/>
      <c r="I1875" s="625"/>
      <c r="J1875" s="625"/>
      <c r="K1875" s="625"/>
      <c r="L1875" s="627"/>
      <c r="M1875" s="627"/>
      <c r="N1875" s="627"/>
      <c r="O1875" s="627"/>
      <c r="P1875" s="627"/>
      <c r="W1875" t="s">
        <v>2047</v>
      </c>
    </row>
    <row r="1876" spans="1:23" ht="13.15" customHeight="1" x14ac:dyDescent="0.2">
      <c r="A1876" s="2" t="s">
        <v>2200</v>
      </c>
      <c r="B1876" s="2">
        <f t="shared" si="58"/>
        <v>2022</v>
      </c>
      <c r="C1876" s="2" t="str">
        <f t="shared" si="59"/>
        <v>KZN226</v>
      </c>
      <c r="D1876" s="2">
        <v>258</v>
      </c>
      <c r="F1876" s="625"/>
      <c r="G1876" s="625"/>
      <c r="H1876" s="625"/>
      <c r="I1876" s="625"/>
      <c r="J1876" s="625"/>
      <c r="K1876" s="625"/>
      <c r="L1876" s="627"/>
      <c r="M1876" s="627"/>
      <c r="N1876" s="627"/>
      <c r="O1876" s="627"/>
      <c r="P1876" s="627"/>
      <c r="W1876" t="s">
        <v>2047</v>
      </c>
    </row>
    <row r="1877" spans="1:23" ht="13.15" customHeight="1" x14ac:dyDescent="0.2">
      <c r="A1877" s="2" t="s">
        <v>2200</v>
      </c>
      <c r="B1877" s="2">
        <f t="shared" si="58"/>
        <v>2022</v>
      </c>
      <c r="C1877" s="2" t="str">
        <f t="shared" si="59"/>
        <v>KZN226</v>
      </c>
      <c r="D1877" s="2">
        <v>259</v>
      </c>
      <c r="F1877" s="625"/>
      <c r="G1877" s="625"/>
      <c r="H1877" s="625"/>
      <c r="I1877" s="625"/>
      <c r="J1877" s="625"/>
      <c r="K1877" s="625"/>
      <c r="L1877" s="627"/>
      <c r="M1877" s="627"/>
      <c r="N1877" s="627"/>
      <c r="O1877" s="627"/>
      <c r="P1877" s="627"/>
      <c r="W1877" t="s">
        <v>2047</v>
      </c>
    </row>
    <row r="1878" spans="1:23" ht="13.15" customHeight="1" x14ac:dyDescent="0.2">
      <c r="A1878" s="2" t="s">
        <v>2200</v>
      </c>
      <c r="B1878" s="2">
        <f t="shared" si="58"/>
        <v>2022</v>
      </c>
      <c r="C1878" s="2" t="str">
        <f t="shared" si="59"/>
        <v>KZN226</v>
      </c>
      <c r="D1878" s="2">
        <v>260</v>
      </c>
      <c r="F1878" s="625"/>
      <c r="G1878" s="625"/>
      <c r="H1878" s="625"/>
      <c r="I1878" s="625"/>
      <c r="J1878" s="625"/>
      <c r="K1878" s="625"/>
      <c r="L1878" s="627"/>
      <c r="M1878" s="627"/>
      <c r="N1878" s="627"/>
      <c r="O1878" s="627"/>
      <c r="P1878" s="627"/>
      <c r="W1878" t="s">
        <v>2047</v>
      </c>
    </row>
    <row r="1879" spans="1:23" ht="13.15" customHeight="1" x14ac:dyDescent="0.2">
      <c r="A1879" s="2" t="s">
        <v>2200</v>
      </c>
      <c r="B1879" s="2">
        <f t="shared" si="58"/>
        <v>2022</v>
      </c>
      <c r="C1879" s="2" t="str">
        <f t="shared" si="59"/>
        <v>KZN226</v>
      </c>
      <c r="D1879" s="2">
        <v>261</v>
      </c>
      <c r="F1879" s="625"/>
      <c r="G1879" s="625"/>
      <c r="H1879" s="625"/>
      <c r="I1879" s="625"/>
      <c r="J1879" s="625"/>
      <c r="K1879" s="625"/>
      <c r="L1879" s="627"/>
      <c r="M1879" s="627"/>
      <c r="N1879" s="627"/>
      <c r="O1879" s="627"/>
      <c r="P1879" s="627"/>
      <c r="W1879" t="s">
        <v>2047</v>
      </c>
    </row>
    <row r="1880" spans="1:23" ht="13.15" customHeight="1" x14ac:dyDescent="0.2">
      <c r="A1880" s="2" t="s">
        <v>2200</v>
      </c>
      <c r="B1880" s="2">
        <f t="shared" si="58"/>
        <v>2022</v>
      </c>
      <c r="C1880" s="2" t="str">
        <f t="shared" si="59"/>
        <v>KZN226</v>
      </c>
      <c r="D1880" s="2">
        <v>262</v>
      </c>
      <c r="F1880" s="625"/>
      <c r="G1880" s="625"/>
      <c r="H1880" s="625"/>
      <c r="I1880" s="625"/>
      <c r="J1880" s="625"/>
      <c r="K1880" s="625"/>
      <c r="L1880" s="627"/>
      <c r="M1880" s="627"/>
      <c r="N1880" s="627"/>
      <c r="O1880" s="627"/>
      <c r="P1880" s="627"/>
      <c r="W1880" t="s">
        <v>2047</v>
      </c>
    </row>
    <row r="1881" spans="1:23" ht="13.15" customHeight="1" x14ac:dyDescent="0.2">
      <c r="A1881" s="2" t="s">
        <v>2200</v>
      </c>
      <c r="B1881" s="2">
        <f t="shared" si="58"/>
        <v>2022</v>
      </c>
      <c r="C1881" s="2" t="str">
        <f t="shared" si="59"/>
        <v>KZN226</v>
      </c>
      <c r="D1881" s="2">
        <v>263</v>
      </c>
      <c r="F1881" s="625"/>
      <c r="G1881" s="625"/>
      <c r="H1881" s="625"/>
      <c r="I1881" s="625"/>
      <c r="J1881" s="625"/>
      <c r="K1881" s="625"/>
      <c r="L1881" s="627"/>
      <c r="M1881" s="627"/>
      <c r="N1881" s="627"/>
      <c r="O1881" s="627"/>
      <c r="P1881" s="627"/>
      <c r="W1881" t="s">
        <v>2047</v>
      </c>
    </row>
    <row r="1882" spans="1:23" ht="13.15" customHeight="1" x14ac:dyDescent="0.2">
      <c r="A1882" s="2" t="s">
        <v>2200</v>
      </c>
      <c r="B1882" s="2">
        <f t="shared" si="58"/>
        <v>2022</v>
      </c>
      <c r="C1882" s="2" t="str">
        <f t="shared" si="59"/>
        <v>KZN226</v>
      </c>
      <c r="D1882" s="2">
        <v>264</v>
      </c>
      <c r="F1882" s="625"/>
      <c r="G1882" s="625"/>
      <c r="H1882" s="625"/>
      <c r="I1882" s="625"/>
      <c r="J1882" s="625"/>
      <c r="K1882" s="625"/>
      <c r="L1882" s="627"/>
      <c r="M1882" s="627"/>
      <c r="N1882" s="627"/>
      <c r="O1882" s="627"/>
      <c r="P1882" s="627"/>
      <c r="W1882" t="s">
        <v>2047</v>
      </c>
    </row>
    <row r="1883" spans="1:23" ht="13.15" customHeight="1" x14ac:dyDescent="0.2">
      <c r="A1883" s="2" t="s">
        <v>2200</v>
      </c>
      <c r="B1883" s="2">
        <f t="shared" si="58"/>
        <v>2022</v>
      </c>
      <c r="C1883" s="2" t="str">
        <f t="shared" si="59"/>
        <v>KZN226</v>
      </c>
      <c r="D1883" s="2">
        <v>265</v>
      </c>
      <c r="F1883" s="625"/>
      <c r="G1883" s="625"/>
      <c r="H1883" s="625"/>
      <c r="I1883" s="625"/>
      <c r="J1883" s="625"/>
      <c r="K1883" s="625"/>
      <c r="L1883" s="627"/>
      <c r="M1883" s="627"/>
      <c r="N1883" s="627"/>
      <c r="O1883" s="627"/>
      <c r="P1883" s="627"/>
      <c r="W1883" t="s">
        <v>2047</v>
      </c>
    </row>
    <row r="1884" spans="1:23" ht="13.15" customHeight="1" x14ac:dyDescent="0.2">
      <c r="A1884" s="2" t="s">
        <v>2200</v>
      </c>
      <c r="B1884" s="2">
        <f t="shared" si="58"/>
        <v>2022</v>
      </c>
      <c r="C1884" s="2" t="str">
        <f t="shared" si="59"/>
        <v>KZN226</v>
      </c>
      <c r="D1884" s="2">
        <v>266</v>
      </c>
      <c r="F1884" s="625"/>
      <c r="G1884" s="625"/>
      <c r="H1884" s="625"/>
      <c r="I1884" s="625"/>
      <c r="J1884" s="625"/>
      <c r="K1884" s="625"/>
      <c r="L1884" s="627"/>
      <c r="M1884" s="627"/>
      <c r="N1884" s="627"/>
      <c r="O1884" s="627"/>
      <c r="P1884" s="627"/>
      <c r="W1884" t="s">
        <v>2047</v>
      </c>
    </row>
    <row r="1885" spans="1:23" ht="13.15" customHeight="1" x14ac:dyDescent="0.2">
      <c r="A1885" s="2" t="s">
        <v>2200</v>
      </c>
      <c r="B1885" s="2">
        <f t="shared" si="58"/>
        <v>2022</v>
      </c>
      <c r="C1885" s="2" t="str">
        <f t="shared" si="59"/>
        <v>KZN226</v>
      </c>
      <c r="D1885" s="2">
        <v>267</v>
      </c>
      <c r="F1885" s="625"/>
      <c r="G1885" s="625"/>
      <c r="H1885" s="625"/>
      <c r="I1885" s="625"/>
      <c r="J1885" s="625"/>
      <c r="K1885" s="625"/>
      <c r="L1885" s="627"/>
      <c r="M1885" s="627"/>
      <c r="N1885" s="627"/>
      <c r="O1885" s="627"/>
      <c r="P1885" s="627"/>
      <c r="W1885" t="s">
        <v>2047</v>
      </c>
    </row>
    <row r="1886" spans="1:23" ht="13.15" customHeight="1" x14ac:dyDescent="0.2">
      <c r="A1886" s="2" t="s">
        <v>2200</v>
      </c>
      <c r="B1886" s="2">
        <f t="shared" si="58"/>
        <v>2022</v>
      </c>
      <c r="C1886" s="2" t="str">
        <f t="shared" si="59"/>
        <v>KZN226</v>
      </c>
      <c r="D1886" s="2">
        <v>268</v>
      </c>
      <c r="F1886" s="625"/>
      <c r="G1886" s="625"/>
      <c r="H1886" s="625"/>
      <c r="I1886" s="625"/>
      <c r="J1886" s="625"/>
      <c r="K1886" s="625"/>
      <c r="L1886" s="627"/>
      <c r="M1886" s="627"/>
      <c r="N1886" s="627"/>
      <c r="O1886" s="627"/>
      <c r="P1886" s="627"/>
      <c r="W1886" t="s">
        <v>2047</v>
      </c>
    </row>
    <row r="1887" spans="1:23" ht="13.15" customHeight="1" x14ac:dyDescent="0.2">
      <c r="A1887" s="2" t="s">
        <v>2200</v>
      </c>
      <c r="B1887" s="2">
        <f t="shared" si="58"/>
        <v>2022</v>
      </c>
      <c r="C1887" s="2" t="str">
        <f t="shared" si="59"/>
        <v>KZN226</v>
      </c>
      <c r="D1887" s="2">
        <v>269</v>
      </c>
      <c r="F1887" s="625"/>
      <c r="G1887" s="625"/>
      <c r="H1887" s="625"/>
      <c r="I1887" s="625"/>
      <c r="J1887" s="625"/>
      <c r="K1887" s="625"/>
      <c r="L1887" s="627"/>
      <c r="M1887" s="627"/>
      <c r="N1887" s="627"/>
      <c r="O1887" s="627"/>
      <c r="P1887" s="627"/>
      <c r="W1887" t="s">
        <v>2047</v>
      </c>
    </row>
    <row r="1888" spans="1:23" ht="13.15" customHeight="1" x14ac:dyDescent="0.2">
      <c r="A1888" s="2" t="s">
        <v>2200</v>
      </c>
      <c r="B1888" s="2">
        <f t="shared" si="58"/>
        <v>2022</v>
      </c>
      <c r="C1888" s="2" t="str">
        <f t="shared" si="59"/>
        <v>KZN226</v>
      </c>
      <c r="D1888" s="2">
        <v>270</v>
      </c>
      <c r="F1888" s="625"/>
      <c r="G1888" s="625"/>
      <c r="H1888" s="625"/>
      <c r="I1888" s="625"/>
      <c r="J1888" s="625"/>
      <c r="K1888" s="625"/>
      <c r="L1888" s="627"/>
      <c r="M1888" s="627"/>
      <c r="N1888" s="627"/>
      <c r="O1888" s="627"/>
      <c r="P1888" s="627"/>
      <c r="W1888" t="s">
        <v>2047</v>
      </c>
    </row>
    <row r="1889" spans="1:23" ht="13.15" customHeight="1" x14ac:dyDescent="0.2">
      <c r="A1889" s="2" t="s">
        <v>2200</v>
      </c>
      <c r="B1889" s="2">
        <f t="shared" si="58"/>
        <v>2022</v>
      </c>
      <c r="C1889" s="2" t="str">
        <f t="shared" si="59"/>
        <v>KZN226</v>
      </c>
      <c r="D1889" s="2">
        <v>271</v>
      </c>
      <c r="F1889" s="625"/>
      <c r="G1889" s="625"/>
      <c r="H1889" s="625"/>
      <c r="I1889" s="625"/>
      <c r="J1889" s="625"/>
      <c r="K1889" s="625"/>
      <c r="L1889" s="627"/>
      <c r="M1889" s="627"/>
      <c r="N1889" s="627"/>
      <c r="O1889" s="627"/>
      <c r="P1889" s="627"/>
      <c r="W1889" t="s">
        <v>2047</v>
      </c>
    </row>
    <row r="1890" spans="1:23" ht="13.15" customHeight="1" x14ac:dyDescent="0.2">
      <c r="A1890" s="2" t="s">
        <v>2200</v>
      </c>
      <c r="B1890" s="2">
        <f t="shared" si="58"/>
        <v>2022</v>
      </c>
      <c r="C1890" s="2" t="str">
        <f t="shared" si="59"/>
        <v>KZN226</v>
      </c>
      <c r="D1890" s="2">
        <v>272</v>
      </c>
      <c r="F1890" s="625"/>
      <c r="G1890" s="625"/>
      <c r="H1890" s="625"/>
      <c r="I1890" s="625"/>
      <c r="J1890" s="625"/>
      <c r="K1890" s="625"/>
      <c r="L1890" s="627"/>
      <c r="M1890" s="627"/>
      <c r="N1890" s="627"/>
      <c r="O1890" s="627"/>
      <c r="P1890" s="627"/>
      <c r="W1890" t="s">
        <v>2047</v>
      </c>
    </row>
    <row r="1891" spans="1:23" ht="13.15" customHeight="1" x14ac:dyDescent="0.2">
      <c r="A1891" s="2" t="s">
        <v>2200</v>
      </c>
      <c r="B1891" s="2">
        <f t="shared" si="58"/>
        <v>2022</v>
      </c>
      <c r="C1891" s="2" t="str">
        <f t="shared" si="59"/>
        <v>KZN226</v>
      </c>
      <c r="D1891" s="2">
        <v>273</v>
      </c>
      <c r="F1891" s="625"/>
      <c r="G1891" s="625"/>
      <c r="H1891" s="625"/>
      <c r="I1891" s="625"/>
      <c r="J1891" s="625"/>
      <c r="K1891" s="625"/>
      <c r="L1891" s="627"/>
      <c r="M1891" s="627"/>
      <c r="N1891" s="627"/>
      <c r="O1891" s="627"/>
      <c r="P1891" s="627"/>
      <c r="W1891" t="s">
        <v>2047</v>
      </c>
    </row>
    <row r="1892" spans="1:23" ht="13.15" customHeight="1" x14ac:dyDescent="0.2">
      <c r="A1892" s="2" t="s">
        <v>2200</v>
      </c>
      <c r="B1892" s="2">
        <f t="shared" si="58"/>
        <v>2022</v>
      </c>
      <c r="C1892" s="2" t="str">
        <f t="shared" si="59"/>
        <v>KZN226</v>
      </c>
      <c r="D1892" s="2">
        <v>274</v>
      </c>
      <c r="F1892" s="625"/>
      <c r="G1892" s="625"/>
      <c r="H1892" s="625"/>
      <c r="I1892" s="625"/>
      <c r="J1892" s="625"/>
      <c r="K1892" s="625"/>
      <c r="L1892" s="627"/>
      <c r="M1892" s="627"/>
      <c r="N1892" s="627"/>
      <c r="O1892" s="627"/>
      <c r="P1892" s="627"/>
      <c r="W1892" t="s">
        <v>2047</v>
      </c>
    </row>
    <row r="1893" spans="1:23" ht="13.15" customHeight="1" x14ac:dyDescent="0.2">
      <c r="A1893" s="2" t="s">
        <v>2200</v>
      </c>
      <c r="B1893" s="2">
        <f t="shared" si="58"/>
        <v>2022</v>
      </c>
      <c r="C1893" s="2" t="str">
        <f t="shared" si="59"/>
        <v>KZN226</v>
      </c>
      <c r="D1893" s="2">
        <v>275</v>
      </c>
      <c r="F1893" s="625"/>
      <c r="G1893" s="625"/>
      <c r="H1893" s="625"/>
      <c r="I1893" s="625"/>
      <c r="J1893" s="625"/>
      <c r="K1893" s="625"/>
      <c r="L1893" s="627"/>
      <c r="M1893" s="627"/>
      <c r="N1893" s="627"/>
      <c r="O1893" s="627"/>
      <c r="P1893" s="627"/>
      <c r="W1893" t="s">
        <v>2047</v>
      </c>
    </row>
    <row r="1894" spans="1:23" ht="13.15" customHeight="1" x14ac:dyDescent="0.2">
      <c r="A1894" s="2" t="s">
        <v>2200</v>
      </c>
      <c r="B1894" s="2">
        <f t="shared" si="58"/>
        <v>2022</v>
      </c>
      <c r="C1894" s="2" t="str">
        <f t="shared" si="59"/>
        <v>KZN226</v>
      </c>
      <c r="D1894" s="2">
        <v>276</v>
      </c>
      <c r="F1894" s="625"/>
      <c r="G1894" s="625"/>
      <c r="H1894" s="625"/>
      <c r="I1894" s="625"/>
      <c r="J1894" s="625"/>
      <c r="K1894" s="625"/>
      <c r="L1894" s="627"/>
      <c r="M1894" s="627"/>
      <c r="N1894" s="627"/>
      <c r="O1894" s="627"/>
      <c r="P1894" s="627"/>
      <c r="W1894" t="s">
        <v>2047</v>
      </c>
    </row>
    <row r="1895" spans="1:23" ht="13.15" customHeight="1" x14ac:dyDescent="0.2">
      <c r="A1895" s="2" t="s">
        <v>2200</v>
      </c>
      <c r="B1895" s="2">
        <f t="shared" si="58"/>
        <v>2022</v>
      </c>
      <c r="C1895" s="2" t="str">
        <f t="shared" si="59"/>
        <v>KZN226</v>
      </c>
      <c r="D1895" s="2">
        <v>277</v>
      </c>
      <c r="F1895" s="625"/>
      <c r="G1895" s="625"/>
      <c r="H1895" s="625"/>
      <c r="I1895" s="625"/>
      <c r="J1895" s="625"/>
      <c r="K1895" s="625"/>
      <c r="L1895" s="627"/>
      <c r="M1895" s="627"/>
      <c r="N1895" s="627"/>
      <c r="O1895" s="627"/>
      <c r="P1895" s="627"/>
      <c r="W1895" t="s">
        <v>2047</v>
      </c>
    </row>
    <row r="1896" spans="1:23" ht="13.15" customHeight="1" x14ac:dyDescent="0.2">
      <c r="A1896" s="2" t="s">
        <v>2200</v>
      </c>
      <c r="B1896" s="2">
        <f t="shared" si="58"/>
        <v>2022</v>
      </c>
      <c r="C1896" s="2" t="str">
        <f t="shared" si="59"/>
        <v>KZN226</v>
      </c>
      <c r="D1896" s="2">
        <v>278</v>
      </c>
      <c r="F1896" s="625"/>
      <c r="G1896" s="625"/>
      <c r="H1896" s="625"/>
      <c r="I1896" s="625"/>
      <c r="J1896" s="625"/>
      <c r="K1896" s="625"/>
      <c r="L1896" s="627"/>
      <c r="M1896" s="627"/>
      <c r="N1896" s="627"/>
      <c r="O1896" s="627"/>
      <c r="P1896" s="627"/>
      <c r="W1896" t="s">
        <v>2047</v>
      </c>
    </row>
    <row r="1897" spans="1:23" ht="13.15" customHeight="1" x14ac:dyDescent="0.2">
      <c r="A1897" s="2" t="s">
        <v>2200</v>
      </c>
      <c r="B1897" s="2">
        <f t="shared" si="58"/>
        <v>2022</v>
      </c>
      <c r="C1897" s="2" t="str">
        <f t="shared" si="59"/>
        <v>KZN226</v>
      </c>
      <c r="D1897" s="2">
        <v>279</v>
      </c>
      <c r="F1897" s="625"/>
      <c r="G1897" s="625"/>
      <c r="H1897" s="625"/>
      <c r="I1897" s="625"/>
      <c r="J1897" s="625"/>
      <c r="K1897" s="625"/>
      <c r="L1897" s="627"/>
      <c r="M1897" s="627"/>
      <c r="N1897" s="627"/>
      <c r="O1897" s="627"/>
      <c r="P1897" s="627"/>
      <c r="W1897" t="s">
        <v>2047</v>
      </c>
    </row>
    <row r="1898" spans="1:23" ht="13.15" customHeight="1" x14ac:dyDescent="0.2">
      <c r="A1898" s="2" t="s">
        <v>2200</v>
      </c>
      <c r="B1898" s="2">
        <f t="shared" si="58"/>
        <v>2022</v>
      </c>
      <c r="C1898" s="2" t="str">
        <f t="shared" si="59"/>
        <v>KZN226</v>
      </c>
      <c r="D1898" s="2">
        <v>280</v>
      </c>
      <c r="F1898" s="625"/>
      <c r="G1898" s="625"/>
      <c r="H1898" s="625"/>
      <c r="I1898" s="625"/>
      <c r="J1898" s="625"/>
      <c r="K1898" s="625"/>
      <c r="L1898" s="627"/>
      <c r="M1898" s="627"/>
      <c r="N1898" s="627"/>
      <c r="O1898" s="627"/>
      <c r="P1898" s="627"/>
      <c r="W1898" t="s">
        <v>2047</v>
      </c>
    </row>
    <row r="1899" spans="1:23" ht="13.15" customHeight="1" x14ac:dyDescent="0.2">
      <c r="A1899" s="2" t="s">
        <v>2200</v>
      </c>
      <c r="B1899" s="2">
        <f t="shared" si="58"/>
        <v>2022</v>
      </c>
      <c r="C1899" s="2" t="str">
        <f t="shared" si="59"/>
        <v>KZN226</v>
      </c>
      <c r="D1899" s="2">
        <v>281</v>
      </c>
      <c r="F1899" s="625"/>
      <c r="G1899" s="625"/>
      <c r="H1899" s="625"/>
      <c r="I1899" s="625"/>
      <c r="J1899" s="625"/>
      <c r="K1899" s="625"/>
      <c r="L1899" s="627"/>
      <c r="M1899" s="627"/>
      <c r="N1899" s="627"/>
      <c r="O1899" s="627"/>
      <c r="P1899" s="627"/>
      <c r="W1899" t="s">
        <v>2047</v>
      </c>
    </row>
    <row r="1900" spans="1:23" ht="13.15" customHeight="1" x14ac:dyDescent="0.2">
      <c r="A1900" s="2" t="s">
        <v>2200</v>
      </c>
      <c r="B1900" s="2">
        <f t="shared" si="58"/>
        <v>2022</v>
      </c>
      <c r="C1900" s="2" t="str">
        <f t="shared" si="59"/>
        <v>KZN226</v>
      </c>
      <c r="D1900" s="2">
        <v>282</v>
      </c>
      <c r="F1900" s="625"/>
      <c r="G1900" s="625"/>
      <c r="H1900" s="625"/>
      <c r="I1900" s="625"/>
      <c r="J1900" s="625"/>
      <c r="K1900" s="625"/>
      <c r="L1900" s="627"/>
      <c r="M1900" s="627"/>
      <c r="N1900" s="627"/>
      <c r="O1900" s="627"/>
      <c r="P1900" s="627"/>
      <c r="W1900" t="s">
        <v>2047</v>
      </c>
    </row>
    <row r="1901" spans="1:23" ht="13.15" customHeight="1" x14ac:dyDescent="0.2">
      <c r="A1901" s="2" t="s">
        <v>2200</v>
      </c>
      <c r="B1901" s="2">
        <f t="shared" si="58"/>
        <v>2022</v>
      </c>
      <c r="C1901" s="2" t="str">
        <f t="shared" si="59"/>
        <v>KZN226</v>
      </c>
      <c r="D1901" s="2">
        <v>283</v>
      </c>
      <c r="F1901" s="625"/>
      <c r="G1901" s="625"/>
      <c r="H1901" s="625"/>
      <c r="I1901" s="625"/>
      <c r="J1901" s="625"/>
      <c r="K1901" s="625"/>
      <c r="L1901" s="627"/>
      <c r="M1901" s="627"/>
      <c r="N1901" s="627"/>
      <c r="O1901" s="627"/>
      <c r="P1901" s="627"/>
      <c r="W1901" t="s">
        <v>2047</v>
      </c>
    </row>
    <row r="1902" spans="1:23" ht="13.15" customHeight="1" x14ac:dyDescent="0.2">
      <c r="A1902" s="2" t="s">
        <v>2200</v>
      </c>
      <c r="B1902" s="2">
        <f t="shared" si="58"/>
        <v>2022</v>
      </c>
      <c r="C1902" s="2" t="str">
        <f t="shared" si="59"/>
        <v>KZN226</v>
      </c>
      <c r="D1902" s="2">
        <v>284</v>
      </c>
      <c r="F1902" s="625"/>
      <c r="G1902" s="625"/>
      <c r="H1902" s="625"/>
      <c r="I1902" s="625"/>
      <c r="J1902" s="625"/>
      <c r="K1902" s="625"/>
      <c r="L1902" s="627"/>
      <c r="M1902" s="627"/>
      <c r="N1902" s="627"/>
      <c r="O1902" s="627"/>
      <c r="P1902" s="627"/>
      <c r="W1902" t="s">
        <v>2047</v>
      </c>
    </row>
    <row r="1903" spans="1:23" ht="13.15" customHeight="1" x14ac:dyDescent="0.2">
      <c r="A1903" s="2" t="s">
        <v>2200</v>
      </c>
      <c r="B1903" s="2">
        <f t="shared" si="58"/>
        <v>2022</v>
      </c>
      <c r="C1903" s="2" t="str">
        <f t="shared" si="59"/>
        <v>KZN226</v>
      </c>
      <c r="D1903" s="2">
        <v>285</v>
      </c>
      <c r="F1903" s="625"/>
      <c r="G1903" s="625"/>
      <c r="H1903" s="625"/>
      <c r="I1903" s="625"/>
      <c r="J1903" s="625"/>
      <c r="K1903" s="625"/>
      <c r="L1903" s="627"/>
      <c r="M1903" s="627"/>
      <c r="N1903" s="627"/>
      <c r="O1903" s="627"/>
      <c r="P1903" s="627"/>
      <c r="W1903" t="s">
        <v>2047</v>
      </c>
    </row>
    <row r="1904" spans="1:23" ht="13.15" customHeight="1" x14ac:dyDescent="0.2">
      <c r="A1904" s="2" t="s">
        <v>2200</v>
      </c>
      <c r="B1904" s="2">
        <f t="shared" si="58"/>
        <v>2022</v>
      </c>
      <c r="C1904" s="2" t="str">
        <f t="shared" si="59"/>
        <v>KZN226</v>
      </c>
      <c r="D1904" s="2">
        <v>286</v>
      </c>
      <c r="F1904" s="625"/>
      <c r="G1904" s="625"/>
      <c r="H1904" s="625"/>
      <c r="I1904" s="625"/>
      <c r="J1904" s="625"/>
      <c r="K1904" s="625"/>
      <c r="L1904" s="627"/>
      <c r="M1904" s="627"/>
      <c r="N1904" s="627"/>
      <c r="O1904" s="627"/>
      <c r="P1904" s="627"/>
      <c r="W1904" t="s">
        <v>2047</v>
      </c>
    </row>
    <row r="1905" spans="1:23" ht="13.15" customHeight="1" x14ac:dyDescent="0.2">
      <c r="A1905" s="2" t="s">
        <v>2200</v>
      </c>
      <c r="B1905" s="2">
        <f t="shared" si="58"/>
        <v>2022</v>
      </c>
      <c r="C1905" s="2" t="str">
        <f t="shared" si="59"/>
        <v>KZN226</v>
      </c>
      <c r="D1905" s="2">
        <v>287</v>
      </c>
      <c r="F1905" s="625"/>
      <c r="G1905" s="625"/>
      <c r="H1905" s="625"/>
      <c r="I1905" s="625"/>
      <c r="J1905" s="625"/>
      <c r="K1905" s="625"/>
      <c r="L1905" s="627"/>
      <c r="M1905" s="627"/>
      <c r="N1905" s="627"/>
      <c r="O1905" s="627"/>
      <c r="P1905" s="627"/>
      <c r="W1905" t="s">
        <v>2047</v>
      </c>
    </row>
    <row r="1906" spans="1:23" ht="13.15" customHeight="1" x14ac:dyDescent="0.2">
      <c r="A1906" s="2" t="s">
        <v>2200</v>
      </c>
      <c r="B1906" s="2">
        <f t="shared" si="58"/>
        <v>2022</v>
      </c>
      <c r="C1906" s="2" t="str">
        <f t="shared" si="59"/>
        <v>KZN226</v>
      </c>
      <c r="D1906" s="2">
        <v>288</v>
      </c>
      <c r="F1906" s="625"/>
      <c r="G1906" s="625"/>
      <c r="H1906" s="625"/>
      <c r="I1906" s="625"/>
      <c r="J1906" s="625"/>
      <c r="K1906" s="625"/>
      <c r="L1906" s="627"/>
      <c r="M1906" s="627"/>
      <c r="N1906" s="627"/>
      <c r="O1906" s="627"/>
      <c r="P1906" s="627"/>
      <c r="W1906" t="s">
        <v>2047</v>
      </c>
    </row>
    <row r="1907" spans="1:23" ht="13.15" customHeight="1" x14ac:dyDescent="0.2">
      <c r="A1907" s="2" t="s">
        <v>2200</v>
      </c>
      <c r="B1907" s="2">
        <f t="shared" si="58"/>
        <v>2022</v>
      </c>
      <c r="C1907" s="2" t="str">
        <f t="shared" si="59"/>
        <v>KZN226</v>
      </c>
      <c r="D1907" s="2">
        <v>289</v>
      </c>
      <c r="F1907" s="625"/>
      <c r="G1907" s="625"/>
      <c r="H1907" s="625"/>
      <c r="I1907" s="625"/>
      <c r="J1907" s="625"/>
      <c r="K1907" s="625"/>
      <c r="L1907" s="627"/>
      <c r="M1907" s="627"/>
      <c r="N1907" s="627"/>
      <c r="O1907" s="627"/>
      <c r="P1907" s="627"/>
      <c r="W1907" t="s">
        <v>2047</v>
      </c>
    </row>
    <row r="1908" spans="1:23" ht="13.15" customHeight="1" x14ac:dyDescent="0.2">
      <c r="A1908" s="2" t="s">
        <v>2200</v>
      </c>
      <c r="B1908" s="2">
        <f t="shared" si="58"/>
        <v>2022</v>
      </c>
      <c r="C1908" s="2" t="str">
        <f t="shared" si="59"/>
        <v>KZN226</v>
      </c>
      <c r="D1908" s="2">
        <v>290</v>
      </c>
      <c r="F1908" s="625"/>
      <c r="G1908" s="625"/>
      <c r="H1908" s="625"/>
      <c r="I1908" s="625"/>
      <c r="J1908" s="625"/>
      <c r="K1908" s="625"/>
      <c r="L1908" s="627"/>
      <c r="M1908" s="627"/>
      <c r="N1908" s="627"/>
      <c r="O1908" s="627"/>
      <c r="P1908" s="627"/>
      <c r="W1908" t="s">
        <v>2047</v>
      </c>
    </row>
    <row r="1909" spans="1:23" ht="13.15" customHeight="1" x14ac:dyDescent="0.2">
      <c r="A1909" s="2" t="s">
        <v>2200</v>
      </c>
      <c r="B1909" s="2">
        <f t="shared" si="58"/>
        <v>2022</v>
      </c>
      <c r="C1909" s="2" t="str">
        <f t="shared" si="59"/>
        <v>KZN226</v>
      </c>
      <c r="D1909" s="2">
        <v>291</v>
      </c>
      <c r="F1909" s="625"/>
      <c r="G1909" s="625"/>
      <c r="H1909" s="625"/>
      <c r="I1909" s="625"/>
      <c r="J1909" s="625"/>
      <c r="K1909" s="625"/>
      <c r="L1909" s="627"/>
      <c r="M1909" s="627"/>
      <c r="N1909" s="627"/>
      <c r="O1909" s="627"/>
      <c r="P1909" s="627"/>
      <c r="W1909" t="s">
        <v>2047</v>
      </c>
    </row>
    <row r="1910" spans="1:23" ht="13.15" customHeight="1" x14ac:dyDescent="0.2">
      <c r="A1910" s="2" t="s">
        <v>2200</v>
      </c>
      <c r="B1910" s="2">
        <f t="shared" si="58"/>
        <v>2022</v>
      </c>
      <c r="C1910" s="2" t="str">
        <f t="shared" si="59"/>
        <v>KZN226</v>
      </c>
      <c r="D1910" s="2">
        <v>292</v>
      </c>
      <c r="F1910" s="625"/>
      <c r="G1910" s="625"/>
      <c r="H1910" s="625"/>
      <c r="I1910" s="625"/>
      <c r="J1910" s="625"/>
      <c r="K1910" s="625"/>
      <c r="L1910" s="627"/>
      <c r="M1910" s="627"/>
      <c r="N1910" s="627"/>
      <c r="O1910" s="627"/>
      <c r="P1910" s="627"/>
      <c r="W1910" t="s">
        <v>2047</v>
      </c>
    </row>
    <row r="1911" spans="1:23" ht="13.15" customHeight="1" x14ac:dyDescent="0.2">
      <c r="A1911" s="2" t="s">
        <v>2200</v>
      </c>
      <c r="B1911" s="2">
        <f t="shared" si="58"/>
        <v>2022</v>
      </c>
      <c r="C1911" s="2" t="str">
        <f t="shared" si="59"/>
        <v>KZN226</v>
      </c>
      <c r="D1911" s="2">
        <v>293</v>
      </c>
      <c r="F1911" s="625"/>
      <c r="G1911" s="625"/>
      <c r="H1911" s="625"/>
      <c r="I1911" s="625"/>
      <c r="J1911" s="625"/>
      <c r="K1911" s="625"/>
      <c r="L1911" s="627"/>
      <c r="M1911" s="627"/>
      <c r="N1911" s="627"/>
      <c r="O1911" s="627"/>
      <c r="P1911" s="627"/>
      <c r="W1911" t="s">
        <v>2047</v>
      </c>
    </row>
    <row r="1912" spans="1:23" ht="13.15" customHeight="1" x14ac:dyDescent="0.2">
      <c r="A1912" s="2" t="s">
        <v>2200</v>
      </c>
      <c r="B1912" s="2">
        <f t="shared" si="58"/>
        <v>2022</v>
      </c>
      <c r="C1912" s="2" t="str">
        <f t="shared" si="59"/>
        <v>KZN226</v>
      </c>
      <c r="D1912" s="2">
        <v>294</v>
      </c>
      <c r="F1912" s="625"/>
      <c r="G1912" s="625"/>
      <c r="H1912" s="625"/>
      <c r="I1912" s="625"/>
      <c r="J1912" s="625"/>
      <c r="K1912" s="625"/>
      <c r="L1912" s="627"/>
      <c r="M1912" s="627"/>
      <c r="N1912" s="627"/>
      <c r="O1912" s="627"/>
      <c r="P1912" s="627"/>
      <c r="W1912" t="s">
        <v>2047</v>
      </c>
    </row>
    <row r="1913" spans="1:23" ht="13.15" customHeight="1" x14ac:dyDescent="0.2">
      <c r="A1913" s="2" t="s">
        <v>2200</v>
      </c>
      <c r="B1913" s="2">
        <f t="shared" si="58"/>
        <v>2022</v>
      </c>
      <c r="C1913" s="2" t="str">
        <f t="shared" si="59"/>
        <v>KZN226</v>
      </c>
      <c r="D1913" s="2">
        <v>295</v>
      </c>
      <c r="F1913" s="625"/>
      <c r="G1913" s="625"/>
      <c r="H1913" s="625"/>
      <c r="I1913" s="625"/>
      <c r="J1913" s="625"/>
      <c r="K1913" s="625"/>
      <c r="L1913" s="627"/>
      <c r="M1913" s="627"/>
      <c r="N1913" s="627"/>
      <c r="O1913" s="627"/>
      <c r="P1913" s="627"/>
      <c r="W1913" t="s">
        <v>2047</v>
      </c>
    </row>
    <row r="1914" spans="1:23" ht="13.15" customHeight="1" x14ac:dyDescent="0.2">
      <c r="A1914" s="2" t="s">
        <v>2200</v>
      </c>
      <c r="B1914" s="2">
        <f t="shared" si="58"/>
        <v>2022</v>
      </c>
      <c r="C1914" s="2" t="str">
        <f t="shared" si="59"/>
        <v>KZN226</v>
      </c>
      <c r="D1914" s="2">
        <v>296</v>
      </c>
      <c r="F1914" s="625"/>
      <c r="G1914" s="625"/>
      <c r="H1914" s="625"/>
      <c r="I1914" s="625"/>
      <c r="J1914" s="625"/>
      <c r="K1914" s="625"/>
      <c r="L1914" s="627"/>
      <c r="M1914" s="627"/>
      <c r="N1914" s="627"/>
      <c r="O1914" s="627"/>
      <c r="P1914" s="627"/>
      <c r="W1914" t="s">
        <v>2047</v>
      </c>
    </row>
    <row r="1915" spans="1:23" ht="13.15" customHeight="1" x14ac:dyDescent="0.2">
      <c r="A1915" s="2" t="s">
        <v>2200</v>
      </c>
      <c r="B1915" s="2">
        <f t="shared" si="58"/>
        <v>2022</v>
      </c>
      <c r="C1915" s="2" t="str">
        <f t="shared" si="59"/>
        <v>KZN226</v>
      </c>
      <c r="D1915" s="2">
        <v>297</v>
      </c>
      <c r="F1915" s="625"/>
      <c r="G1915" s="625"/>
      <c r="H1915" s="625"/>
      <c r="I1915" s="625"/>
      <c r="J1915" s="625"/>
      <c r="K1915" s="625"/>
      <c r="L1915" s="627"/>
      <c r="M1915" s="627"/>
      <c r="N1915" s="627"/>
      <c r="O1915" s="627"/>
      <c r="P1915" s="627"/>
      <c r="W1915" t="s">
        <v>2047</v>
      </c>
    </row>
    <row r="1916" spans="1:23" ht="13.15" customHeight="1" x14ac:dyDescent="0.2">
      <c r="A1916" s="2" t="s">
        <v>2200</v>
      </c>
      <c r="B1916" s="2">
        <f t="shared" si="58"/>
        <v>2022</v>
      </c>
      <c r="C1916" s="2" t="str">
        <f t="shared" si="59"/>
        <v>KZN226</v>
      </c>
      <c r="D1916" s="2">
        <v>298</v>
      </c>
      <c r="F1916" s="625"/>
      <c r="G1916" s="625"/>
      <c r="H1916" s="625"/>
      <c r="I1916" s="625"/>
      <c r="J1916" s="625"/>
      <c r="K1916" s="625"/>
      <c r="L1916" s="627"/>
      <c r="M1916" s="627"/>
      <c r="N1916" s="627"/>
      <c r="O1916" s="627"/>
      <c r="P1916" s="627"/>
      <c r="W1916" t="s">
        <v>2047</v>
      </c>
    </row>
    <row r="1917" spans="1:23" ht="13.15" customHeight="1" x14ac:dyDescent="0.2">
      <c r="A1917" s="2" t="s">
        <v>2200</v>
      </c>
      <c r="B1917" s="2">
        <f t="shared" si="58"/>
        <v>2022</v>
      </c>
      <c r="C1917" s="2" t="str">
        <f t="shared" si="59"/>
        <v>KZN226</v>
      </c>
      <c r="D1917" s="2">
        <v>299</v>
      </c>
      <c r="F1917" s="625"/>
      <c r="G1917" s="625"/>
      <c r="H1917" s="625"/>
      <c r="I1917" s="625"/>
      <c r="J1917" s="625"/>
      <c r="K1917" s="625"/>
      <c r="L1917" s="627"/>
      <c r="M1917" s="627"/>
      <c r="N1917" s="627"/>
      <c r="O1917" s="627"/>
      <c r="P1917" s="627"/>
      <c r="W1917" t="s">
        <v>2047</v>
      </c>
    </row>
    <row r="1918" spans="1:23" ht="13.15" customHeight="1" x14ac:dyDescent="0.2">
      <c r="A1918" s="2" t="s">
        <v>2200</v>
      </c>
      <c r="B1918" s="2">
        <f t="shared" si="58"/>
        <v>2022</v>
      </c>
      <c r="C1918" s="2" t="str">
        <f t="shared" si="59"/>
        <v>KZN226</v>
      </c>
      <c r="D1918" s="2">
        <v>300</v>
      </c>
      <c r="F1918" s="625"/>
      <c r="G1918" s="625"/>
      <c r="H1918" s="625"/>
      <c r="I1918" s="625"/>
      <c r="J1918" s="625"/>
      <c r="K1918" s="625"/>
      <c r="L1918" s="627"/>
      <c r="M1918" s="627"/>
      <c r="N1918" s="627"/>
      <c r="O1918" s="627"/>
      <c r="P1918" s="627"/>
      <c r="W1918" t="s">
        <v>2047</v>
      </c>
    </row>
    <row r="1919" spans="1:23" ht="13.15" customHeight="1" x14ac:dyDescent="0.2">
      <c r="A1919" s="2" t="s">
        <v>2200</v>
      </c>
      <c r="B1919" s="2">
        <f t="shared" si="58"/>
        <v>2022</v>
      </c>
      <c r="C1919" s="2" t="str">
        <f t="shared" si="59"/>
        <v>KZN226</v>
      </c>
      <c r="D1919" s="2">
        <v>301</v>
      </c>
      <c r="F1919" s="625"/>
      <c r="G1919" s="625"/>
      <c r="H1919" s="625"/>
      <c r="I1919" s="625"/>
      <c r="J1919" s="625"/>
      <c r="K1919" s="625"/>
      <c r="L1919" s="627"/>
      <c r="M1919" s="627"/>
      <c r="N1919" s="627"/>
      <c r="O1919" s="627"/>
      <c r="P1919" s="627"/>
      <c r="W1919" t="s">
        <v>2047</v>
      </c>
    </row>
    <row r="1920" spans="1:23" ht="13.15" customHeight="1" x14ac:dyDescent="0.2">
      <c r="A1920" s="2" t="s">
        <v>2200</v>
      </c>
      <c r="B1920" s="2">
        <f t="shared" si="58"/>
        <v>2022</v>
      </c>
      <c r="C1920" s="2" t="str">
        <f t="shared" si="59"/>
        <v>KZN226</v>
      </c>
      <c r="D1920" s="2">
        <v>302</v>
      </c>
      <c r="F1920" s="625"/>
      <c r="G1920" s="625"/>
      <c r="H1920" s="625"/>
      <c r="I1920" s="625"/>
      <c r="J1920" s="625"/>
      <c r="K1920" s="625"/>
      <c r="L1920" s="627"/>
      <c r="M1920" s="627"/>
      <c r="N1920" s="627"/>
      <c r="O1920" s="627"/>
      <c r="P1920" s="627"/>
      <c r="W1920" t="s">
        <v>2047</v>
      </c>
    </row>
    <row r="1921" spans="1:23" ht="13.15" customHeight="1" x14ac:dyDescent="0.2">
      <c r="A1921" s="2" t="s">
        <v>2200</v>
      </c>
      <c r="B1921" s="2">
        <f t="shared" si="58"/>
        <v>2022</v>
      </c>
      <c r="C1921" s="2" t="str">
        <f t="shared" si="59"/>
        <v>KZN226</v>
      </c>
      <c r="D1921" s="2">
        <v>303</v>
      </c>
      <c r="F1921" s="625"/>
      <c r="G1921" s="625"/>
      <c r="H1921" s="625"/>
      <c r="I1921" s="625"/>
      <c r="J1921" s="625"/>
      <c r="K1921" s="625"/>
      <c r="L1921" s="627"/>
      <c r="M1921" s="627"/>
      <c r="N1921" s="627"/>
      <c r="O1921" s="627"/>
      <c r="P1921" s="627"/>
      <c r="W1921" t="s">
        <v>2047</v>
      </c>
    </row>
    <row r="1922" spans="1:23" ht="13.15" customHeight="1" x14ac:dyDescent="0.2">
      <c r="A1922" s="2" t="s">
        <v>2200</v>
      </c>
      <c r="B1922" s="2">
        <f t="shared" ref="B1922:B1985" si="60">+MTREF</f>
        <v>2022</v>
      </c>
      <c r="C1922" s="2" t="str">
        <f t="shared" ref="C1922:C1985" si="61">LEFT(muni,(FIND(" ",muni,1)-1))</f>
        <v>KZN226</v>
      </c>
      <c r="D1922" s="2">
        <v>304</v>
      </c>
      <c r="F1922" s="625"/>
      <c r="G1922" s="625"/>
      <c r="H1922" s="625"/>
      <c r="I1922" s="625"/>
      <c r="J1922" s="625"/>
      <c r="K1922" s="625"/>
      <c r="L1922" s="627"/>
      <c r="M1922" s="627"/>
      <c r="N1922" s="627"/>
      <c r="O1922" s="627"/>
      <c r="P1922" s="627"/>
      <c r="W1922" t="s">
        <v>2047</v>
      </c>
    </row>
    <row r="1923" spans="1:23" ht="13.15" customHeight="1" x14ac:dyDescent="0.2">
      <c r="A1923" s="2" t="s">
        <v>2200</v>
      </c>
      <c r="B1923" s="2">
        <f t="shared" si="60"/>
        <v>2022</v>
      </c>
      <c r="C1923" s="2" t="str">
        <f t="shared" si="61"/>
        <v>KZN226</v>
      </c>
      <c r="D1923" s="2">
        <v>305</v>
      </c>
      <c r="F1923" s="625"/>
      <c r="G1923" s="625"/>
      <c r="H1923" s="625"/>
      <c r="I1923" s="625"/>
      <c r="J1923" s="625"/>
      <c r="K1923" s="625"/>
      <c r="L1923" s="627"/>
      <c r="M1923" s="627"/>
      <c r="N1923" s="627"/>
      <c r="O1923" s="627"/>
      <c r="P1923" s="627"/>
      <c r="W1923" t="s">
        <v>2047</v>
      </c>
    </row>
    <row r="1924" spans="1:23" ht="13.15" customHeight="1" x14ac:dyDescent="0.2">
      <c r="A1924" s="2" t="s">
        <v>2200</v>
      </c>
      <c r="B1924" s="2">
        <f t="shared" si="60"/>
        <v>2022</v>
      </c>
      <c r="C1924" s="2" t="str">
        <f t="shared" si="61"/>
        <v>KZN226</v>
      </c>
      <c r="D1924" s="2">
        <v>306</v>
      </c>
      <c r="F1924" s="625"/>
      <c r="G1924" s="625"/>
      <c r="H1924" s="625"/>
      <c r="I1924" s="625"/>
      <c r="J1924" s="625"/>
      <c r="K1924" s="625"/>
      <c r="L1924" s="627"/>
      <c r="M1924" s="627"/>
      <c r="N1924" s="627"/>
      <c r="O1924" s="627"/>
      <c r="P1924" s="627"/>
      <c r="W1924" t="s">
        <v>2047</v>
      </c>
    </row>
    <row r="1925" spans="1:23" ht="13.15" customHeight="1" x14ac:dyDescent="0.2">
      <c r="A1925" s="2" t="s">
        <v>2200</v>
      </c>
      <c r="B1925" s="2">
        <f t="shared" si="60"/>
        <v>2022</v>
      </c>
      <c r="C1925" s="2" t="str">
        <f t="shared" si="61"/>
        <v>KZN226</v>
      </c>
      <c r="D1925" s="2">
        <v>307</v>
      </c>
      <c r="F1925" s="625"/>
      <c r="G1925" s="625"/>
      <c r="H1925" s="625"/>
      <c r="I1925" s="625"/>
      <c r="J1925" s="625"/>
      <c r="K1925" s="625"/>
      <c r="L1925" s="627"/>
      <c r="M1925" s="627"/>
      <c r="N1925" s="627"/>
      <c r="O1925" s="627"/>
      <c r="P1925" s="627"/>
      <c r="W1925" t="s">
        <v>2047</v>
      </c>
    </row>
    <row r="1926" spans="1:23" ht="13.15" customHeight="1" x14ac:dyDescent="0.2">
      <c r="A1926" s="2" t="s">
        <v>2200</v>
      </c>
      <c r="B1926" s="2">
        <f t="shared" si="60"/>
        <v>2022</v>
      </c>
      <c r="C1926" s="2" t="str">
        <f t="shared" si="61"/>
        <v>KZN226</v>
      </c>
      <c r="D1926" s="2">
        <v>308</v>
      </c>
      <c r="F1926" s="625"/>
      <c r="G1926" s="625"/>
      <c r="H1926" s="625"/>
      <c r="I1926" s="625"/>
      <c r="J1926" s="625"/>
      <c r="K1926" s="625"/>
      <c r="L1926" s="627"/>
      <c r="M1926" s="627"/>
      <c r="N1926" s="627"/>
      <c r="O1926" s="627"/>
      <c r="P1926" s="627"/>
      <c r="W1926" t="s">
        <v>2047</v>
      </c>
    </row>
    <row r="1927" spans="1:23" ht="13.15" customHeight="1" x14ac:dyDescent="0.2">
      <c r="A1927" s="2" t="s">
        <v>2200</v>
      </c>
      <c r="B1927" s="2">
        <f t="shared" si="60"/>
        <v>2022</v>
      </c>
      <c r="C1927" s="2" t="str">
        <f t="shared" si="61"/>
        <v>KZN226</v>
      </c>
      <c r="D1927" s="2">
        <v>309</v>
      </c>
      <c r="F1927" s="625"/>
      <c r="G1927" s="625"/>
      <c r="H1927" s="625"/>
      <c r="I1927" s="625"/>
      <c r="J1927" s="625"/>
      <c r="K1927" s="625"/>
      <c r="L1927" s="627"/>
      <c r="M1927" s="627"/>
      <c r="N1927" s="627"/>
      <c r="O1927" s="627"/>
      <c r="P1927" s="627"/>
      <c r="W1927" t="s">
        <v>2047</v>
      </c>
    </row>
    <row r="1928" spans="1:23" ht="13.15" customHeight="1" x14ac:dyDescent="0.2">
      <c r="A1928" s="2" t="s">
        <v>2200</v>
      </c>
      <c r="B1928" s="2">
        <f t="shared" si="60"/>
        <v>2022</v>
      </c>
      <c r="C1928" s="2" t="str">
        <f t="shared" si="61"/>
        <v>KZN226</v>
      </c>
      <c r="D1928" s="2">
        <v>310</v>
      </c>
      <c r="F1928" s="625"/>
      <c r="G1928" s="625"/>
      <c r="H1928" s="625"/>
      <c r="I1928" s="625"/>
      <c r="J1928" s="625"/>
      <c r="K1928" s="625"/>
      <c r="L1928" s="627"/>
      <c r="M1928" s="627"/>
      <c r="N1928" s="627"/>
      <c r="O1928" s="627"/>
      <c r="P1928" s="627"/>
      <c r="W1928" t="s">
        <v>2047</v>
      </c>
    </row>
    <row r="1929" spans="1:23" ht="13.15" customHeight="1" x14ac:dyDescent="0.2">
      <c r="A1929" s="2" t="s">
        <v>2200</v>
      </c>
      <c r="B1929" s="2">
        <f t="shared" si="60"/>
        <v>2022</v>
      </c>
      <c r="C1929" s="2" t="str">
        <f t="shared" si="61"/>
        <v>KZN226</v>
      </c>
      <c r="D1929" s="2">
        <v>311</v>
      </c>
      <c r="F1929" s="625"/>
      <c r="G1929" s="625"/>
      <c r="H1929" s="625"/>
      <c r="I1929" s="625"/>
      <c r="J1929" s="625"/>
      <c r="K1929" s="625"/>
      <c r="L1929" s="627"/>
      <c r="M1929" s="627"/>
      <c r="N1929" s="627"/>
      <c r="O1929" s="627"/>
      <c r="P1929" s="627"/>
      <c r="W1929" t="s">
        <v>2047</v>
      </c>
    </row>
    <row r="1930" spans="1:23" ht="13.15" customHeight="1" x14ac:dyDescent="0.2">
      <c r="A1930" s="2" t="s">
        <v>2200</v>
      </c>
      <c r="B1930" s="2">
        <f t="shared" si="60"/>
        <v>2022</v>
      </c>
      <c r="C1930" s="2" t="str">
        <f t="shared" si="61"/>
        <v>KZN226</v>
      </c>
      <c r="D1930" s="2">
        <v>312</v>
      </c>
      <c r="F1930" s="625"/>
      <c r="G1930" s="625"/>
      <c r="H1930" s="625"/>
      <c r="I1930" s="625"/>
      <c r="J1930" s="625"/>
      <c r="K1930" s="625"/>
      <c r="L1930" s="627"/>
      <c r="M1930" s="627"/>
      <c r="N1930" s="627"/>
      <c r="O1930" s="627"/>
      <c r="P1930" s="627"/>
      <c r="W1930" t="s">
        <v>2047</v>
      </c>
    </row>
    <row r="1931" spans="1:23" ht="13.15" customHeight="1" x14ac:dyDescent="0.2">
      <c r="A1931" s="2" t="s">
        <v>2200</v>
      </c>
      <c r="B1931" s="2">
        <f t="shared" si="60"/>
        <v>2022</v>
      </c>
      <c r="C1931" s="2" t="str">
        <f t="shared" si="61"/>
        <v>KZN226</v>
      </c>
      <c r="D1931" s="2">
        <v>313</v>
      </c>
      <c r="F1931" s="625"/>
      <c r="G1931" s="625"/>
      <c r="H1931" s="625"/>
      <c r="I1931" s="625"/>
      <c r="J1931" s="625"/>
      <c r="K1931" s="625"/>
      <c r="L1931" s="627"/>
      <c r="M1931" s="627"/>
      <c r="N1931" s="627"/>
      <c r="O1931" s="627"/>
      <c r="P1931" s="627"/>
      <c r="W1931" t="s">
        <v>2047</v>
      </c>
    </row>
    <row r="1932" spans="1:23" ht="13.15" customHeight="1" x14ac:dyDescent="0.2">
      <c r="A1932" s="2" t="s">
        <v>2200</v>
      </c>
      <c r="B1932" s="2">
        <f t="shared" si="60"/>
        <v>2022</v>
      </c>
      <c r="C1932" s="2" t="str">
        <f t="shared" si="61"/>
        <v>KZN226</v>
      </c>
      <c r="D1932" s="2">
        <v>314</v>
      </c>
      <c r="F1932" s="625"/>
      <c r="G1932" s="625"/>
      <c r="H1932" s="625"/>
      <c r="I1932" s="625"/>
      <c r="J1932" s="625"/>
      <c r="K1932" s="625"/>
      <c r="L1932" s="627"/>
      <c r="M1932" s="627"/>
      <c r="N1932" s="627"/>
      <c r="O1932" s="627"/>
      <c r="P1932" s="627"/>
      <c r="W1932" t="s">
        <v>2047</v>
      </c>
    </row>
    <row r="1933" spans="1:23" ht="13.15" customHeight="1" x14ac:dyDescent="0.2">
      <c r="A1933" s="2" t="s">
        <v>2200</v>
      </c>
      <c r="B1933" s="2">
        <f t="shared" si="60"/>
        <v>2022</v>
      </c>
      <c r="C1933" s="2" t="str">
        <f t="shared" si="61"/>
        <v>KZN226</v>
      </c>
      <c r="D1933" s="2">
        <v>315</v>
      </c>
      <c r="F1933" s="625"/>
      <c r="G1933" s="625"/>
      <c r="H1933" s="625"/>
      <c r="I1933" s="625"/>
      <c r="J1933" s="625"/>
      <c r="K1933" s="625"/>
      <c r="L1933" s="627"/>
      <c r="M1933" s="627"/>
      <c r="N1933" s="627"/>
      <c r="O1933" s="627"/>
      <c r="P1933" s="627"/>
      <c r="W1933" t="s">
        <v>2047</v>
      </c>
    </row>
    <row r="1934" spans="1:23" ht="13.15" customHeight="1" x14ac:dyDescent="0.2">
      <c r="A1934" s="2" t="s">
        <v>2200</v>
      </c>
      <c r="B1934" s="2">
        <f t="shared" si="60"/>
        <v>2022</v>
      </c>
      <c r="C1934" s="2" t="str">
        <f t="shared" si="61"/>
        <v>KZN226</v>
      </c>
      <c r="D1934" s="2">
        <v>316</v>
      </c>
      <c r="F1934" s="625"/>
      <c r="G1934" s="625"/>
      <c r="H1934" s="625"/>
      <c r="I1934" s="625"/>
      <c r="J1934" s="625"/>
      <c r="K1934" s="625"/>
      <c r="L1934" s="627"/>
      <c r="M1934" s="627"/>
      <c r="N1934" s="627"/>
      <c r="O1934" s="627"/>
      <c r="P1934" s="627"/>
      <c r="W1934" t="s">
        <v>2047</v>
      </c>
    </row>
    <row r="1935" spans="1:23" ht="13.15" customHeight="1" x14ac:dyDescent="0.2">
      <c r="A1935" s="2" t="s">
        <v>2200</v>
      </c>
      <c r="B1935" s="2">
        <f t="shared" si="60"/>
        <v>2022</v>
      </c>
      <c r="C1935" s="2" t="str">
        <f t="shared" si="61"/>
        <v>KZN226</v>
      </c>
      <c r="D1935" s="2">
        <v>317</v>
      </c>
      <c r="F1935" s="625"/>
      <c r="G1935" s="625"/>
      <c r="H1935" s="625"/>
      <c r="I1935" s="625"/>
      <c r="J1935" s="625"/>
      <c r="K1935" s="625"/>
      <c r="L1935" s="627"/>
      <c r="M1935" s="627"/>
      <c r="N1935" s="627"/>
      <c r="O1935" s="627"/>
      <c r="P1935" s="627"/>
      <c r="W1935" t="s">
        <v>2047</v>
      </c>
    </row>
    <row r="1936" spans="1:23" ht="13.15" customHeight="1" x14ac:dyDescent="0.2">
      <c r="A1936" s="2" t="s">
        <v>2200</v>
      </c>
      <c r="B1936" s="2">
        <f t="shared" si="60"/>
        <v>2022</v>
      </c>
      <c r="C1936" s="2" t="str">
        <f t="shared" si="61"/>
        <v>KZN226</v>
      </c>
      <c r="D1936" s="2">
        <v>318</v>
      </c>
      <c r="F1936" s="625"/>
      <c r="G1936" s="625"/>
      <c r="H1936" s="625"/>
      <c r="I1936" s="625"/>
      <c r="J1936" s="625"/>
      <c r="K1936" s="625"/>
      <c r="L1936" s="627"/>
      <c r="M1936" s="627"/>
      <c r="N1936" s="627"/>
      <c r="O1936" s="627"/>
      <c r="P1936" s="627"/>
      <c r="W1936" t="s">
        <v>2047</v>
      </c>
    </row>
    <row r="1937" spans="1:23" ht="13.15" customHeight="1" x14ac:dyDescent="0.2">
      <c r="A1937" s="2" t="s">
        <v>2200</v>
      </c>
      <c r="B1937" s="2">
        <f t="shared" si="60"/>
        <v>2022</v>
      </c>
      <c r="C1937" s="2" t="str">
        <f t="shared" si="61"/>
        <v>KZN226</v>
      </c>
      <c r="D1937" s="2">
        <v>319</v>
      </c>
      <c r="F1937" s="625"/>
      <c r="G1937" s="625"/>
      <c r="H1937" s="625"/>
      <c r="I1937" s="625"/>
      <c r="J1937" s="625"/>
      <c r="K1937" s="625"/>
      <c r="L1937" s="627"/>
      <c r="M1937" s="627"/>
      <c r="N1937" s="627"/>
      <c r="O1937" s="627"/>
      <c r="P1937" s="627"/>
      <c r="W1937" t="s">
        <v>2047</v>
      </c>
    </row>
    <row r="1938" spans="1:23" ht="13.15" customHeight="1" x14ac:dyDescent="0.2">
      <c r="A1938" s="2" t="s">
        <v>2200</v>
      </c>
      <c r="B1938" s="2">
        <f t="shared" si="60"/>
        <v>2022</v>
      </c>
      <c r="C1938" s="2" t="str">
        <f t="shared" si="61"/>
        <v>KZN226</v>
      </c>
      <c r="D1938" s="2">
        <v>320</v>
      </c>
      <c r="F1938" s="625"/>
      <c r="G1938" s="625"/>
      <c r="H1938" s="625"/>
      <c r="I1938" s="625"/>
      <c r="J1938" s="625"/>
      <c r="K1938" s="625"/>
      <c r="L1938" s="627"/>
      <c r="M1938" s="627"/>
      <c r="N1938" s="627"/>
      <c r="O1938" s="627"/>
      <c r="P1938" s="627"/>
      <c r="W1938" t="s">
        <v>2047</v>
      </c>
    </row>
    <row r="1939" spans="1:23" ht="13.15" customHeight="1" x14ac:dyDescent="0.2">
      <c r="A1939" s="2" t="s">
        <v>2200</v>
      </c>
      <c r="B1939" s="2">
        <f t="shared" si="60"/>
        <v>2022</v>
      </c>
      <c r="C1939" s="2" t="str">
        <f t="shared" si="61"/>
        <v>KZN226</v>
      </c>
      <c r="D1939" s="2">
        <v>321</v>
      </c>
      <c r="F1939" s="625"/>
      <c r="G1939" s="625"/>
      <c r="H1939" s="625"/>
      <c r="I1939" s="625"/>
      <c r="J1939" s="625"/>
      <c r="K1939" s="625"/>
      <c r="L1939" s="627"/>
      <c r="M1939" s="627"/>
      <c r="N1939" s="627"/>
      <c r="O1939" s="627"/>
      <c r="P1939" s="627"/>
      <c r="W1939" t="s">
        <v>2047</v>
      </c>
    </row>
    <row r="1940" spans="1:23" ht="13.15" customHeight="1" x14ac:dyDescent="0.2">
      <c r="A1940" s="2" t="s">
        <v>2200</v>
      </c>
      <c r="B1940" s="2">
        <f t="shared" si="60"/>
        <v>2022</v>
      </c>
      <c r="C1940" s="2" t="str">
        <f t="shared" si="61"/>
        <v>KZN226</v>
      </c>
      <c r="D1940" s="2">
        <v>322</v>
      </c>
      <c r="F1940" s="625"/>
      <c r="G1940" s="625"/>
      <c r="H1940" s="625"/>
      <c r="I1940" s="625"/>
      <c r="J1940" s="625"/>
      <c r="K1940" s="625"/>
      <c r="L1940" s="627"/>
      <c r="M1940" s="627"/>
      <c r="N1940" s="627"/>
      <c r="O1940" s="627"/>
      <c r="P1940" s="627"/>
      <c r="W1940" t="s">
        <v>2047</v>
      </c>
    </row>
    <row r="1941" spans="1:23" ht="13.15" customHeight="1" x14ac:dyDescent="0.2">
      <c r="A1941" s="2" t="s">
        <v>2200</v>
      </c>
      <c r="B1941" s="2">
        <f t="shared" si="60"/>
        <v>2022</v>
      </c>
      <c r="C1941" s="2" t="str">
        <f t="shared" si="61"/>
        <v>KZN226</v>
      </c>
      <c r="D1941" s="2">
        <v>323</v>
      </c>
      <c r="F1941" s="625"/>
      <c r="G1941" s="625"/>
      <c r="H1941" s="625"/>
      <c r="I1941" s="625"/>
      <c r="J1941" s="625"/>
      <c r="K1941" s="625"/>
      <c r="L1941" s="627"/>
      <c r="M1941" s="627"/>
      <c r="N1941" s="627"/>
      <c r="O1941" s="627"/>
      <c r="P1941" s="627"/>
      <c r="W1941" t="s">
        <v>2047</v>
      </c>
    </row>
    <row r="1942" spans="1:23" ht="13.15" customHeight="1" x14ac:dyDescent="0.2">
      <c r="A1942" s="2" t="s">
        <v>2200</v>
      </c>
      <c r="B1942" s="2">
        <f t="shared" si="60"/>
        <v>2022</v>
      </c>
      <c r="C1942" s="2" t="str">
        <f t="shared" si="61"/>
        <v>KZN226</v>
      </c>
      <c r="D1942" s="2">
        <v>324</v>
      </c>
      <c r="F1942" s="625"/>
      <c r="G1942" s="625"/>
      <c r="H1942" s="625"/>
      <c r="I1942" s="625"/>
      <c r="J1942" s="625"/>
      <c r="K1942" s="625"/>
      <c r="L1942" s="627"/>
      <c r="M1942" s="627"/>
      <c r="N1942" s="627"/>
      <c r="O1942" s="627"/>
      <c r="P1942" s="627"/>
      <c r="W1942" t="s">
        <v>2047</v>
      </c>
    </row>
    <row r="1943" spans="1:23" ht="13.15" customHeight="1" x14ac:dyDescent="0.2">
      <c r="A1943" s="2" t="s">
        <v>2200</v>
      </c>
      <c r="B1943" s="2">
        <f t="shared" si="60"/>
        <v>2022</v>
      </c>
      <c r="C1943" s="2" t="str">
        <f t="shared" si="61"/>
        <v>KZN226</v>
      </c>
      <c r="D1943" s="2">
        <v>325</v>
      </c>
      <c r="F1943" s="625"/>
      <c r="G1943" s="625"/>
      <c r="H1943" s="625"/>
      <c r="I1943" s="625"/>
      <c r="J1943" s="625"/>
      <c r="K1943" s="625"/>
      <c r="L1943" s="627"/>
      <c r="M1943" s="627"/>
      <c r="N1943" s="627"/>
      <c r="O1943" s="627"/>
      <c r="P1943" s="627"/>
      <c r="W1943" t="s">
        <v>2047</v>
      </c>
    </row>
    <row r="1944" spans="1:23" ht="13.15" customHeight="1" x14ac:dyDescent="0.2">
      <c r="A1944" s="2" t="s">
        <v>2200</v>
      </c>
      <c r="B1944" s="2">
        <f t="shared" si="60"/>
        <v>2022</v>
      </c>
      <c r="C1944" s="2" t="str">
        <f t="shared" si="61"/>
        <v>KZN226</v>
      </c>
      <c r="D1944" s="2">
        <v>326</v>
      </c>
      <c r="F1944" s="625"/>
      <c r="G1944" s="625"/>
      <c r="H1944" s="625"/>
      <c r="I1944" s="625"/>
      <c r="J1944" s="625"/>
      <c r="K1944" s="625"/>
      <c r="L1944" s="627"/>
      <c r="M1944" s="627"/>
      <c r="N1944" s="627"/>
      <c r="O1944" s="627"/>
      <c r="P1944" s="627"/>
      <c r="W1944" t="s">
        <v>2047</v>
      </c>
    </row>
    <row r="1945" spans="1:23" ht="13.15" customHeight="1" x14ac:dyDescent="0.2">
      <c r="A1945" s="2" t="s">
        <v>2200</v>
      </c>
      <c r="B1945" s="2">
        <f t="shared" si="60"/>
        <v>2022</v>
      </c>
      <c r="C1945" s="2" t="str">
        <f t="shared" si="61"/>
        <v>KZN226</v>
      </c>
      <c r="D1945" s="2">
        <v>327</v>
      </c>
      <c r="F1945" s="625"/>
      <c r="G1945" s="625"/>
      <c r="H1945" s="625"/>
      <c r="I1945" s="625"/>
      <c r="J1945" s="625"/>
      <c r="K1945" s="625"/>
      <c r="L1945" s="627"/>
      <c r="M1945" s="627"/>
      <c r="N1945" s="627"/>
      <c r="O1945" s="627"/>
      <c r="P1945" s="627"/>
      <c r="W1945" t="s">
        <v>2047</v>
      </c>
    </row>
    <row r="1946" spans="1:23" ht="13.15" customHeight="1" x14ac:dyDescent="0.2">
      <c r="A1946" s="2" t="s">
        <v>2200</v>
      </c>
      <c r="B1946" s="2">
        <f t="shared" si="60"/>
        <v>2022</v>
      </c>
      <c r="C1946" s="2" t="str">
        <f t="shared" si="61"/>
        <v>KZN226</v>
      </c>
      <c r="D1946" s="2">
        <v>328</v>
      </c>
      <c r="F1946" s="625"/>
      <c r="G1946" s="625"/>
      <c r="H1946" s="625"/>
      <c r="I1946" s="625"/>
      <c r="J1946" s="625"/>
      <c r="K1946" s="625"/>
      <c r="L1946" s="627"/>
      <c r="M1946" s="627"/>
      <c r="N1946" s="627"/>
      <c r="O1946" s="627"/>
      <c r="P1946" s="627"/>
      <c r="W1946" t="s">
        <v>2047</v>
      </c>
    </row>
    <row r="1947" spans="1:23" ht="13.15" customHeight="1" x14ac:dyDescent="0.2">
      <c r="A1947" s="2" t="s">
        <v>2200</v>
      </c>
      <c r="B1947" s="2">
        <f t="shared" si="60"/>
        <v>2022</v>
      </c>
      <c r="C1947" s="2" t="str">
        <f t="shared" si="61"/>
        <v>KZN226</v>
      </c>
      <c r="D1947" s="2">
        <v>329</v>
      </c>
      <c r="F1947" s="625"/>
      <c r="G1947" s="625"/>
      <c r="H1947" s="625"/>
      <c r="I1947" s="625"/>
      <c r="J1947" s="625"/>
      <c r="K1947" s="625"/>
      <c r="L1947" s="627"/>
      <c r="M1947" s="627"/>
      <c r="N1947" s="627"/>
      <c r="O1947" s="627"/>
      <c r="P1947" s="627"/>
      <c r="W1947" t="s">
        <v>2047</v>
      </c>
    </row>
    <row r="1948" spans="1:23" ht="13.15" customHeight="1" x14ac:dyDescent="0.2">
      <c r="A1948" s="2" t="s">
        <v>2200</v>
      </c>
      <c r="B1948" s="2">
        <f t="shared" si="60"/>
        <v>2022</v>
      </c>
      <c r="C1948" s="2" t="str">
        <f t="shared" si="61"/>
        <v>KZN226</v>
      </c>
      <c r="D1948" s="2">
        <v>330</v>
      </c>
      <c r="F1948" s="625"/>
      <c r="G1948" s="625"/>
      <c r="H1948" s="625"/>
      <c r="I1948" s="625"/>
      <c r="J1948" s="625"/>
      <c r="K1948" s="625"/>
      <c r="L1948" s="627"/>
      <c r="M1948" s="627"/>
      <c r="N1948" s="627"/>
      <c r="O1948" s="627"/>
      <c r="P1948" s="627"/>
      <c r="W1948" t="s">
        <v>2047</v>
      </c>
    </row>
    <row r="1949" spans="1:23" ht="13.15" customHeight="1" x14ac:dyDescent="0.2">
      <c r="A1949" s="2" t="s">
        <v>2200</v>
      </c>
      <c r="B1949" s="2">
        <f t="shared" si="60"/>
        <v>2022</v>
      </c>
      <c r="C1949" s="2" t="str">
        <f t="shared" si="61"/>
        <v>KZN226</v>
      </c>
      <c r="D1949" s="2">
        <v>331</v>
      </c>
      <c r="F1949" s="625"/>
      <c r="G1949" s="625"/>
      <c r="H1949" s="625"/>
      <c r="I1949" s="625"/>
      <c r="J1949" s="625"/>
      <c r="K1949" s="625"/>
      <c r="L1949" s="627"/>
      <c r="M1949" s="627"/>
      <c r="N1949" s="627"/>
      <c r="O1949" s="627"/>
      <c r="P1949" s="627"/>
      <c r="W1949" t="s">
        <v>2047</v>
      </c>
    </row>
    <row r="1950" spans="1:23" ht="13.15" customHeight="1" x14ac:dyDescent="0.2">
      <c r="A1950" s="2" t="s">
        <v>2200</v>
      </c>
      <c r="B1950" s="2">
        <f t="shared" si="60"/>
        <v>2022</v>
      </c>
      <c r="C1950" s="2" t="str">
        <f t="shared" si="61"/>
        <v>KZN226</v>
      </c>
      <c r="D1950" s="2">
        <v>332</v>
      </c>
      <c r="F1950" s="625"/>
      <c r="G1950" s="625"/>
      <c r="H1950" s="625"/>
      <c r="I1950" s="625"/>
      <c r="J1950" s="625"/>
      <c r="K1950" s="625"/>
      <c r="L1950" s="627"/>
      <c r="M1950" s="627"/>
      <c r="N1950" s="627"/>
      <c r="O1950" s="627"/>
      <c r="P1950" s="627"/>
      <c r="W1950" t="s">
        <v>2047</v>
      </c>
    </row>
    <row r="1951" spans="1:23" ht="13.15" customHeight="1" x14ac:dyDescent="0.2">
      <c r="A1951" s="2" t="s">
        <v>2200</v>
      </c>
      <c r="B1951" s="2">
        <f t="shared" si="60"/>
        <v>2022</v>
      </c>
      <c r="C1951" s="2" t="str">
        <f t="shared" si="61"/>
        <v>KZN226</v>
      </c>
      <c r="D1951" s="2">
        <v>333</v>
      </c>
      <c r="F1951" s="625"/>
      <c r="G1951" s="625"/>
      <c r="H1951" s="625"/>
      <c r="I1951" s="625"/>
      <c r="J1951" s="625"/>
      <c r="K1951" s="625"/>
      <c r="L1951" s="627"/>
      <c r="M1951" s="627"/>
      <c r="N1951" s="627"/>
      <c r="O1951" s="627"/>
      <c r="P1951" s="627"/>
      <c r="W1951" t="s">
        <v>2047</v>
      </c>
    </row>
    <row r="1952" spans="1:23" ht="13.15" customHeight="1" x14ac:dyDescent="0.2">
      <c r="A1952" s="2" t="s">
        <v>2200</v>
      </c>
      <c r="B1952" s="2">
        <f t="shared" si="60"/>
        <v>2022</v>
      </c>
      <c r="C1952" s="2" t="str">
        <f t="shared" si="61"/>
        <v>KZN226</v>
      </c>
      <c r="D1952" s="2">
        <v>334</v>
      </c>
      <c r="F1952" s="625"/>
      <c r="G1952" s="625"/>
      <c r="H1952" s="625"/>
      <c r="I1952" s="625"/>
      <c r="J1952" s="625"/>
      <c r="K1952" s="625"/>
      <c r="L1952" s="627"/>
      <c r="M1952" s="627"/>
      <c r="N1952" s="627"/>
      <c r="O1952" s="627"/>
      <c r="P1952" s="627"/>
      <c r="W1952" t="s">
        <v>2047</v>
      </c>
    </row>
    <row r="1953" spans="1:23" ht="13.15" customHeight="1" x14ac:dyDescent="0.2">
      <c r="A1953" s="2" t="s">
        <v>2200</v>
      </c>
      <c r="B1953" s="2">
        <f t="shared" si="60"/>
        <v>2022</v>
      </c>
      <c r="C1953" s="2" t="str">
        <f t="shared" si="61"/>
        <v>KZN226</v>
      </c>
      <c r="D1953" s="2">
        <v>335</v>
      </c>
      <c r="F1953" s="625"/>
      <c r="G1953" s="625"/>
      <c r="H1953" s="625"/>
      <c r="I1953" s="625"/>
      <c r="J1953" s="625"/>
      <c r="K1953" s="625"/>
      <c r="L1953" s="627"/>
      <c r="M1953" s="627"/>
      <c r="N1953" s="627"/>
      <c r="O1953" s="627"/>
      <c r="P1953" s="627"/>
      <c r="W1953" t="s">
        <v>2047</v>
      </c>
    </row>
    <row r="1954" spans="1:23" ht="13.15" customHeight="1" x14ac:dyDescent="0.2">
      <c r="A1954" s="2" t="s">
        <v>2200</v>
      </c>
      <c r="B1954" s="2">
        <f t="shared" si="60"/>
        <v>2022</v>
      </c>
      <c r="C1954" s="2" t="str">
        <f t="shared" si="61"/>
        <v>KZN226</v>
      </c>
      <c r="D1954" s="2">
        <v>336</v>
      </c>
      <c r="F1954" s="625"/>
      <c r="G1954" s="625"/>
      <c r="H1954" s="625"/>
      <c r="I1954" s="625"/>
      <c r="J1954" s="625"/>
      <c r="K1954" s="625"/>
      <c r="L1954" s="627"/>
      <c r="M1954" s="627"/>
      <c r="N1954" s="627"/>
      <c r="O1954" s="627"/>
      <c r="P1954" s="627"/>
      <c r="W1954" t="s">
        <v>2047</v>
      </c>
    </row>
    <row r="1955" spans="1:23" ht="13.15" customHeight="1" x14ac:dyDescent="0.2">
      <c r="A1955" s="2" t="s">
        <v>2200</v>
      </c>
      <c r="B1955" s="2">
        <f t="shared" si="60"/>
        <v>2022</v>
      </c>
      <c r="C1955" s="2" t="str">
        <f t="shared" si="61"/>
        <v>KZN226</v>
      </c>
      <c r="D1955" s="2">
        <v>337</v>
      </c>
      <c r="F1955" s="625"/>
      <c r="G1955" s="625"/>
      <c r="H1955" s="625"/>
      <c r="I1955" s="625"/>
      <c r="J1955" s="625"/>
      <c r="K1955" s="625"/>
      <c r="L1955" s="627"/>
      <c r="M1955" s="627"/>
      <c r="N1955" s="627"/>
      <c r="O1955" s="627"/>
      <c r="P1955" s="627"/>
      <c r="W1955" t="s">
        <v>2047</v>
      </c>
    </row>
    <row r="1956" spans="1:23" ht="13.15" customHeight="1" x14ac:dyDescent="0.2">
      <c r="A1956" s="2" t="s">
        <v>2200</v>
      </c>
      <c r="B1956" s="2">
        <f t="shared" si="60"/>
        <v>2022</v>
      </c>
      <c r="C1956" s="2" t="str">
        <f t="shared" si="61"/>
        <v>KZN226</v>
      </c>
      <c r="D1956" s="2">
        <v>338</v>
      </c>
      <c r="F1956" s="625"/>
      <c r="G1956" s="625"/>
      <c r="H1956" s="625"/>
      <c r="I1956" s="625"/>
      <c r="J1956" s="625"/>
      <c r="K1956" s="625"/>
      <c r="L1956" s="627"/>
      <c r="M1956" s="627"/>
      <c r="N1956" s="627"/>
      <c r="O1956" s="627"/>
      <c r="P1956" s="627"/>
      <c r="W1956" t="s">
        <v>2047</v>
      </c>
    </row>
    <row r="1957" spans="1:23" ht="13.15" customHeight="1" x14ac:dyDescent="0.2">
      <c r="A1957" s="2" t="s">
        <v>2200</v>
      </c>
      <c r="B1957" s="2">
        <f t="shared" si="60"/>
        <v>2022</v>
      </c>
      <c r="C1957" s="2" t="str">
        <f t="shared" si="61"/>
        <v>KZN226</v>
      </c>
      <c r="D1957" s="2">
        <v>339</v>
      </c>
      <c r="F1957" s="625"/>
      <c r="G1957" s="625"/>
      <c r="H1957" s="625"/>
      <c r="I1957" s="625"/>
      <c r="J1957" s="625"/>
      <c r="K1957" s="625"/>
      <c r="L1957" s="627"/>
      <c r="M1957" s="627"/>
      <c r="N1957" s="627"/>
      <c r="O1957" s="627"/>
      <c r="P1957" s="627"/>
      <c r="W1957" t="s">
        <v>2047</v>
      </c>
    </row>
    <row r="1958" spans="1:23" ht="13.15" customHeight="1" x14ac:dyDescent="0.2">
      <c r="A1958" s="2" t="s">
        <v>2200</v>
      </c>
      <c r="B1958" s="2">
        <f t="shared" si="60"/>
        <v>2022</v>
      </c>
      <c r="C1958" s="2" t="str">
        <f t="shared" si="61"/>
        <v>KZN226</v>
      </c>
      <c r="D1958" s="2">
        <v>340</v>
      </c>
      <c r="F1958" s="625"/>
      <c r="G1958" s="625"/>
      <c r="H1958" s="625"/>
      <c r="I1958" s="625"/>
      <c r="J1958" s="625"/>
      <c r="K1958" s="625"/>
      <c r="L1958" s="627"/>
      <c r="M1958" s="627"/>
      <c r="N1958" s="627"/>
      <c r="O1958" s="627"/>
      <c r="P1958" s="627"/>
      <c r="W1958" t="s">
        <v>2047</v>
      </c>
    </row>
    <row r="1959" spans="1:23" ht="13.15" customHeight="1" x14ac:dyDescent="0.2">
      <c r="A1959" s="2" t="s">
        <v>2200</v>
      </c>
      <c r="B1959" s="2">
        <f t="shared" si="60"/>
        <v>2022</v>
      </c>
      <c r="C1959" s="2" t="str">
        <f t="shared" si="61"/>
        <v>KZN226</v>
      </c>
      <c r="D1959" s="2">
        <v>341</v>
      </c>
      <c r="F1959" s="625"/>
      <c r="G1959" s="625"/>
      <c r="H1959" s="625"/>
      <c r="I1959" s="625"/>
      <c r="J1959" s="625"/>
      <c r="K1959" s="625"/>
      <c r="L1959" s="627"/>
      <c r="M1959" s="627"/>
      <c r="N1959" s="627"/>
      <c r="O1959" s="627"/>
      <c r="P1959" s="627"/>
      <c r="W1959" t="s">
        <v>2047</v>
      </c>
    </row>
    <row r="1960" spans="1:23" ht="13.15" customHeight="1" x14ac:dyDescent="0.2">
      <c r="A1960" s="2" t="s">
        <v>2200</v>
      </c>
      <c r="B1960" s="2">
        <f t="shared" si="60"/>
        <v>2022</v>
      </c>
      <c r="C1960" s="2" t="str">
        <f t="shared" si="61"/>
        <v>KZN226</v>
      </c>
      <c r="D1960" s="2">
        <v>342</v>
      </c>
      <c r="F1960" s="625"/>
      <c r="G1960" s="625"/>
      <c r="H1960" s="625"/>
      <c r="I1960" s="625"/>
      <c r="J1960" s="625"/>
      <c r="K1960" s="625"/>
      <c r="L1960" s="627"/>
      <c r="M1960" s="627"/>
      <c r="N1960" s="627"/>
      <c r="O1960" s="627"/>
      <c r="P1960" s="627"/>
      <c r="W1960" t="s">
        <v>2047</v>
      </c>
    </row>
    <row r="1961" spans="1:23" ht="13.15" customHeight="1" x14ac:dyDescent="0.2">
      <c r="A1961" s="2" t="s">
        <v>2200</v>
      </c>
      <c r="B1961" s="2">
        <f t="shared" si="60"/>
        <v>2022</v>
      </c>
      <c r="C1961" s="2" t="str">
        <f t="shared" si="61"/>
        <v>KZN226</v>
      </c>
      <c r="D1961" s="2">
        <v>343</v>
      </c>
      <c r="F1961" s="625"/>
      <c r="G1961" s="625"/>
      <c r="H1961" s="625"/>
      <c r="I1961" s="625"/>
      <c r="J1961" s="625"/>
      <c r="K1961" s="625"/>
      <c r="L1961" s="627"/>
      <c r="M1961" s="627"/>
      <c r="N1961" s="627"/>
      <c r="O1961" s="627"/>
      <c r="P1961" s="627"/>
      <c r="W1961" t="s">
        <v>2047</v>
      </c>
    </row>
    <row r="1962" spans="1:23" ht="13.15" customHeight="1" x14ac:dyDescent="0.2">
      <c r="A1962" s="2" t="s">
        <v>2200</v>
      </c>
      <c r="B1962" s="2">
        <f t="shared" si="60"/>
        <v>2022</v>
      </c>
      <c r="C1962" s="2" t="str">
        <f t="shared" si="61"/>
        <v>KZN226</v>
      </c>
      <c r="D1962" s="2">
        <v>344</v>
      </c>
      <c r="F1962" s="625"/>
      <c r="G1962" s="625"/>
      <c r="H1962" s="625"/>
      <c r="I1962" s="625"/>
      <c r="J1962" s="625"/>
      <c r="K1962" s="625"/>
      <c r="L1962" s="627"/>
      <c r="M1962" s="627"/>
      <c r="N1962" s="627"/>
      <c r="O1962" s="627"/>
      <c r="P1962" s="627"/>
      <c r="W1962" t="s">
        <v>2047</v>
      </c>
    </row>
    <row r="1963" spans="1:23" ht="13.15" customHeight="1" x14ac:dyDescent="0.2">
      <c r="A1963" s="2" t="s">
        <v>2200</v>
      </c>
      <c r="B1963" s="2">
        <f t="shared" si="60"/>
        <v>2022</v>
      </c>
      <c r="C1963" s="2" t="str">
        <f t="shared" si="61"/>
        <v>KZN226</v>
      </c>
      <c r="D1963" s="2">
        <v>345</v>
      </c>
      <c r="F1963" s="625"/>
      <c r="G1963" s="625"/>
      <c r="H1963" s="625"/>
      <c r="I1963" s="625"/>
      <c r="J1963" s="625"/>
      <c r="K1963" s="625"/>
      <c r="L1963" s="627"/>
      <c r="M1963" s="627"/>
      <c r="N1963" s="627"/>
      <c r="O1963" s="627"/>
      <c r="P1963" s="627"/>
      <c r="W1963" t="s">
        <v>2047</v>
      </c>
    </row>
    <row r="1964" spans="1:23" ht="13.15" customHeight="1" x14ac:dyDescent="0.2">
      <c r="A1964" s="2" t="s">
        <v>2200</v>
      </c>
      <c r="B1964" s="2">
        <f t="shared" si="60"/>
        <v>2022</v>
      </c>
      <c r="C1964" s="2" t="str">
        <f t="shared" si="61"/>
        <v>KZN226</v>
      </c>
      <c r="D1964" s="2">
        <v>346</v>
      </c>
      <c r="F1964" s="625"/>
      <c r="G1964" s="625"/>
      <c r="H1964" s="625"/>
      <c r="I1964" s="625"/>
      <c r="J1964" s="625"/>
      <c r="K1964" s="625"/>
      <c r="L1964" s="627"/>
      <c r="M1964" s="627"/>
      <c r="N1964" s="627"/>
      <c r="O1964" s="627"/>
      <c r="P1964" s="627"/>
      <c r="W1964" t="s">
        <v>2047</v>
      </c>
    </row>
    <row r="1965" spans="1:23" ht="13.15" customHeight="1" x14ac:dyDescent="0.2">
      <c r="A1965" s="2" t="s">
        <v>2200</v>
      </c>
      <c r="B1965" s="2">
        <f t="shared" si="60"/>
        <v>2022</v>
      </c>
      <c r="C1965" s="2" t="str">
        <f t="shared" si="61"/>
        <v>KZN226</v>
      </c>
      <c r="D1965" s="2">
        <v>347</v>
      </c>
      <c r="F1965" s="625"/>
      <c r="G1965" s="625"/>
      <c r="H1965" s="625"/>
      <c r="I1965" s="625"/>
      <c r="J1965" s="625"/>
      <c r="K1965" s="625"/>
      <c r="L1965" s="627"/>
      <c r="M1965" s="627"/>
      <c r="N1965" s="627"/>
      <c r="O1965" s="627"/>
      <c r="P1965" s="627"/>
      <c r="W1965" t="s">
        <v>2047</v>
      </c>
    </row>
    <row r="1966" spans="1:23" ht="13.15" customHeight="1" x14ac:dyDescent="0.2">
      <c r="A1966" s="2" t="s">
        <v>2200</v>
      </c>
      <c r="B1966" s="2">
        <f t="shared" si="60"/>
        <v>2022</v>
      </c>
      <c r="C1966" s="2" t="str">
        <f t="shared" si="61"/>
        <v>KZN226</v>
      </c>
      <c r="D1966" s="2">
        <v>348</v>
      </c>
      <c r="F1966" s="625"/>
      <c r="G1966" s="625"/>
      <c r="H1966" s="625"/>
      <c r="I1966" s="625"/>
      <c r="J1966" s="625"/>
      <c r="K1966" s="625"/>
      <c r="L1966" s="627"/>
      <c r="M1966" s="627"/>
      <c r="N1966" s="627"/>
      <c r="O1966" s="627"/>
      <c r="P1966" s="627"/>
      <c r="W1966" t="s">
        <v>2047</v>
      </c>
    </row>
    <row r="1967" spans="1:23" ht="13.15" customHeight="1" x14ac:dyDescent="0.2">
      <c r="A1967" s="2" t="s">
        <v>2200</v>
      </c>
      <c r="B1967" s="2">
        <f t="shared" si="60"/>
        <v>2022</v>
      </c>
      <c r="C1967" s="2" t="str">
        <f t="shared" si="61"/>
        <v>KZN226</v>
      </c>
      <c r="D1967" s="2">
        <v>349</v>
      </c>
      <c r="F1967" s="625"/>
      <c r="G1967" s="625"/>
      <c r="H1967" s="625"/>
      <c r="I1967" s="625"/>
      <c r="J1967" s="625"/>
      <c r="K1967" s="625"/>
      <c r="L1967" s="627"/>
      <c r="M1967" s="627"/>
      <c r="N1967" s="627"/>
      <c r="O1967" s="627"/>
      <c r="P1967" s="627"/>
      <c r="W1967" t="s">
        <v>2047</v>
      </c>
    </row>
    <row r="1968" spans="1:23" ht="13.15" customHeight="1" x14ac:dyDescent="0.2">
      <c r="A1968" s="2" t="s">
        <v>2200</v>
      </c>
      <c r="B1968" s="2">
        <f t="shared" si="60"/>
        <v>2022</v>
      </c>
      <c r="C1968" s="2" t="str">
        <f t="shared" si="61"/>
        <v>KZN226</v>
      </c>
      <c r="D1968" s="2">
        <v>350</v>
      </c>
      <c r="F1968" s="625"/>
      <c r="G1968" s="625"/>
      <c r="H1968" s="625"/>
      <c r="I1968" s="625"/>
      <c r="J1968" s="625"/>
      <c r="K1968" s="625"/>
      <c r="L1968" s="627"/>
      <c r="M1968" s="627"/>
      <c r="N1968" s="627"/>
      <c r="O1968" s="627"/>
      <c r="P1968" s="627"/>
      <c r="W1968" t="s">
        <v>2047</v>
      </c>
    </row>
    <row r="1969" spans="1:23" ht="13.15" customHeight="1" x14ac:dyDescent="0.2">
      <c r="A1969" s="2" t="s">
        <v>2200</v>
      </c>
      <c r="B1969" s="2">
        <f t="shared" si="60"/>
        <v>2022</v>
      </c>
      <c r="C1969" s="2" t="str">
        <f t="shared" si="61"/>
        <v>KZN226</v>
      </c>
      <c r="D1969" s="2">
        <v>351</v>
      </c>
      <c r="F1969" s="625"/>
      <c r="G1969" s="625"/>
      <c r="H1969" s="625"/>
      <c r="I1969" s="625"/>
      <c r="J1969" s="625"/>
      <c r="K1969" s="625"/>
      <c r="L1969" s="627"/>
      <c r="M1969" s="627"/>
      <c r="N1969" s="627"/>
      <c r="O1969" s="627"/>
      <c r="P1969" s="627"/>
      <c r="W1969" t="s">
        <v>2047</v>
      </c>
    </row>
    <row r="1970" spans="1:23" ht="13.15" customHeight="1" x14ac:dyDescent="0.2">
      <c r="A1970" s="2" t="s">
        <v>2200</v>
      </c>
      <c r="B1970" s="2">
        <f t="shared" si="60"/>
        <v>2022</v>
      </c>
      <c r="C1970" s="2" t="str">
        <f t="shared" si="61"/>
        <v>KZN226</v>
      </c>
      <c r="D1970" s="2">
        <v>352</v>
      </c>
      <c r="F1970" s="625"/>
      <c r="G1970" s="625"/>
      <c r="H1970" s="625"/>
      <c r="I1970" s="625"/>
      <c r="J1970" s="625"/>
      <c r="K1970" s="625"/>
      <c r="L1970" s="627"/>
      <c r="M1970" s="627"/>
      <c r="N1970" s="627"/>
      <c r="O1970" s="627"/>
      <c r="P1970" s="627"/>
      <c r="W1970" t="s">
        <v>2047</v>
      </c>
    </row>
    <row r="1971" spans="1:23" ht="13.15" customHeight="1" x14ac:dyDescent="0.2">
      <c r="A1971" s="2" t="s">
        <v>2200</v>
      </c>
      <c r="B1971" s="2">
        <f t="shared" si="60"/>
        <v>2022</v>
      </c>
      <c r="C1971" s="2" t="str">
        <f t="shared" si="61"/>
        <v>KZN226</v>
      </c>
      <c r="D1971" s="2">
        <v>353</v>
      </c>
      <c r="F1971" s="625"/>
      <c r="G1971" s="625"/>
      <c r="H1971" s="625"/>
      <c r="I1971" s="625"/>
      <c r="J1971" s="625"/>
      <c r="K1971" s="625"/>
      <c r="L1971" s="627"/>
      <c r="M1971" s="627"/>
      <c r="N1971" s="627"/>
      <c r="O1971" s="627"/>
      <c r="P1971" s="627"/>
      <c r="W1971" t="s">
        <v>2047</v>
      </c>
    </row>
    <row r="1972" spans="1:23" ht="13.15" customHeight="1" x14ac:dyDescent="0.2">
      <c r="A1972" s="2" t="s">
        <v>2200</v>
      </c>
      <c r="B1972" s="2">
        <f t="shared" si="60"/>
        <v>2022</v>
      </c>
      <c r="C1972" s="2" t="str">
        <f t="shared" si="61"/>
        <v>KZN226</v>
      </c>
      <c r="D1972" s="2">
        <v>354</v>
      </c>
      <c r="F1972" s="625"/>
      <c r="G1972" s="625"/>
      <c r="H1972" s="625"/>
      <c r="I1972" s="625"/>
      <c r="J1972" s="625"/>
      <c r="K1972" s="625"/>
      <c r="L1972" s="627"/>
      <c r="M1972" s="627"/>
      <c r="N1972" s="627"/>
      <c r="O1972" s="627"/>
      <c r="P1972" s="627"/>
      <c r="W1972" t="s">
        <v>2047</v>
      </c>
    </row>
    <row r="1973" spans="1:23" ht="13.15" customHeight="1" x14ac:dyDescent="0.2">
      <c r="A1973" s="2" t="s">
        <v>2200</v>
      </c>
      <c r="B1973" s="2">
        <f t="shared" si="60"/>
        <v>2022</v>
      </c>
      <c r="C1973" s="2" t="str">
        <f t="shared" si="61"/>
        <v>KZN226</v>
      </c>
      <c r="D1973" s="2">
        <v>355</v>
      </c>
      <c r="F1973" s="625"/>
      <c r="G1973" s="625"/>
      <c r="H1973" s="625"/>
      <c r="I1973" s="625"/>
      <c r="J1973" s="625"/>
      <c r="K1973" s="625"/>
      <c r="L1973" s="627"/>
      <c r="M1973" s="627"/>
      <c r="N1973" s="627"/>
      <c r="O1973" s="627"/>
      <c r="P1973" s="627"/>
      <c r="W1973" t="s">
        <v>2047</v>
      </c>
    </row>
    <row r="1974" spans="1:23" ht="13.15" customHeight="1" x14ac:dyDescent="0.2">
      <c r="A1974" s="2" t="s">
        <v>2200</v>
      </c>
      <c r="B1974" s="2">
        <f t="shared" si="60"/>
        <v>2022</v>
      </c>
      <c r="C1974" s="2" t="str">
        <f t="shared" si="61"/>
        <v>KZN226</v>
      </c>
      <c r="D1974" s="2">
        <v>356</v>
      </c>
      <c r="F1974" s="625"/>
      <c r="G1974" s="625"/>
      <c r="H1974" s="625"/>
      <c r="I1974" s="625"/>
      <c r="J1974" s="625"/>
      <c r="K1974" s="625"/>
      <c r="L1974" s="627"/>
      <c r="M1974" s="627"/>
      <c r="N1974" s="627"/>
      <c r="O1974" s="627"/>
      <c r="P1974" s="627"/>
      <c r="W1974" t="s">
        <v>2047</v>
      </c>
    </row>
    <row r="1975" spans="1:23" ht="13.15" customHeight="1" x14ac:dyDescent="0.2">
      <c r="A1975" s="2" t="s">
        <v>2200</v>
      </c>
      <c r="B1975" s="2">
        <f t="shared" si="60"/>
        <v>2022</v>
      </c>
      <c r="C1975" s="2" t="str">
        <f t="shared" si="61"/>
        <v>KZN226</v>
      </c>
      <c r="D1975" s="2">
        <v>357</v>
      </c>
      <c r="F1975" s="625"/>
      <c r="G1975" s="625"/>
      <c r="H1975" s="625"/>
      <c r="I1975" s="625"/>
      <c r="J1975" s="625"/>
      <c r="K1975" s="625"/>
      <c r="L1975" s="627"/>
      <c r="M1975" s="627"/>
      <c r="N1975" s="627"/>
      <c r="O1975" s="627"/>
      <c r="P1975" s="627"/>
      <c r="W1975" t="s">
        <v>2047</v>
      </c>
    </row>
    <row r="1976" spans="1:23" ht="13.15" customHeight="1" x14ac:dyDescent="0.2">
      <c r="A1976" s="2" t="s">
        <v>2200</v>
      </c>
      <c r="B1976" s="2">
        <f t="shared" si="60"/>
        <v>2022</v>
      </c>
      <c r="C1976" s="2" t="str">
        <f t="shared" si="61"/>
        <v>KZN226</v>
      </c>
      <c r="D1976" s="2">
        <v>358</v>
      </c>
      <c r="F1976" s="625"/>
      <c r="G1976" s="625"/>
      <c r="H1976" s="625"/>
      <c r="I1976" s="625"/>
      <c r="J1976" s="625"/>
      <c r="K1976" s="625"/>
      <c r="L1976" s="627"/>
      <c r="M1976" s="627"/>
      <c r="N1976" s="627"/>
      <c r="O1976" s="627"/>
      <c r="P1976" s="627"/>
      <c r="W1976" t="s">
        <v>2047</v>
      </c>
    </row>
    <row r="1977" spans="1:23" ht="13.15" customHeight="1" x14ac:dyDescent="0.2">
      <c r="A1977" s="2" t="s">
        <v>2200</v>
      </c>
      <c r="B1977" s="2">
        <f t="shared" si="60"/>
        <v>2022</v>
      </c>
      <c r="C1977" s="2" t="str">
        <f t="shared" si="61"/>
        <v>KZN226</v>
      </c>
      <c r="D1977" s="2">
        <v>359</v>
      </c>
      <c r="F1977" s="625"/>
      <c r="G1977" s="625"/>
      <c r="H1977" s="625"/>
      <c r="I1977" s="625"/>
      <c r="J1977" s="625"/>
      <c r="K1977" s="625"/>
      <c r="L1977" s="627"/>
      <c r="M1977" s="627"/>
      <c r="N1977" s="627"/>
      <c r="O1977" s="627"/>
      <c r="P1977" s="627"/>
      <c r="W1977" t="s">
        <v>2047</v>
      </c>
    </row>
    <row r="1978" spans="1:23" ht="13.15" customHeight="1" x14ac:dyDescent="0.2">
      <c r="A1978" s="2" t="s">
        <v>2200</v>
      </c>
      <c r="B1978" s="2">
        <f t="shared" si="60"/>
        <v>2022</v>
      </c>
      <c r="C1978" s="2" t="str">
        <f t="shared" si="61"/>
        <v>KZN226</v>
      </c>
      <c r="D1978" s="2">
        <v>360</v>
      </c>
      <c r="F1978" s="625"/>
      <c r="G1978" s="625"/>
      <c r="H1978" s="625"/>
      <c r="I1978" s="625"/>
      <c r="J1978" s="625"/>
      <c r="K1978" s="625"/>
      <c r="L1978" s="627"/>
      <c r="M1978" s="627"/>
      <c r="N1978" s="627"/>
      <c r="O1978" s="627"/>
      <c r="P1978" s="627"/>
      <c r="W1978" t="s">
        <v>2047</v>
      </c>
    </row>
    <row r="1979" spans="1:23" ht="13.15" customHeight="1" x14ac:dyDescent="0.2">
      <c r="A1979" s="2" t="s">
        <v>2200</v>
      </c>
      <c r="B1979" s="2">
        <f t="shared" si="60"/>
        <v>2022</v>
      </c>
      <c r="C1979" s="2" t="str">
        <f t="shared" si="61"/>
        <v>KZN226</v>
      </c>
      <c r="D1979" s="2">
        <v>361</v>
      </c>
      <c r="F1979" s="625"/>
      <c r="G1979" s="625"/>
      <c r="H1979" s="625"/>
      <c r="I1979" s="625"/>
      <c r="J1979" s="625"/>
      <c r="K1979" s="625"/>
      <c r="L1979" s="627"/>
      <c r="M1979" s="627"/>
      <c r="N1979" s="627"/>
      <c r="O1979" s="627"/>
      <c r="P1979" s="627"/>
      <c r="W1979" t="s">
        <v>2047</v>
      </c>
    </row>
    <row r="1980" spans="1:23" ht="13.15" customHeight="1" x14ac:dyDescent="0.2">
      <c r="A1980" s="2" t="s">
        <v>2200</v>
      </c>
      <c r="B1980" s="2">
        <f t="shared" si="60"/>
        <v>2022</v>
      </c>
      <c r="C1980" s="2" t="str">
        <f t="shared" si="61"/>
        <v>KZN226</v>
      </c>
      <c r="D1980" s="2">
        <v>362</v>
      </c>
      <c r="F1980" s="625"/>
      <c r="G1980" s="625"/>
      <c r="H1980" s="625"/>
      <c r="I1980" s="625"/>
      <c r="J1980" s="625"/>
      <c r="K1980" s="625"/>
      <c r="L1980" s="627"/>
      <c r="M1980" s="627"/>
      <c r="N1980" s="627"/>
      <c r="O1980" s="627"/>
      <c r="P1980" s="627"/>
      <c r="W1980" t="s">
        <v>2047</v>
      </c>
    </row>
    <row r="1981" spans="1:23" ht="13.15" customHeight="1" x14ac:dyDescent="0.2">
      <c r="A1981" s="2" t="s">
        <v>2200</v>
      </c>
      <c r="B1981" s="2">
        <f t="shared" si="60"/>
        <v>2022</v>
      </c>
      <c r="C1981" s="2" t="str">
        <f t="shared" si="61"/>
        <v>KZN226</v>
      </c>
      <c r="D1981" s="2">
        <v>363</v>
      </c>
      <c r="F1981" s="625"/>
      <c r="G1981" s="625"/>
      <c r="H1981" s="625"/>
      <c r="I1981" s="625"/>
      <c r="J1981" s="625"/>
      <c r="K1981" s="625"/>
      <c r="L1981" s="627"/>
      <c r="M1981" s="627"/>
      <c r="N1981" s="627"/>
      <c r="O1981" s="627"/>
      <c r="P1981" s="627"/>
      <c r="W1981" t="s">
        <v>2047</v>
      </c>
    </row>
    <row r="1982" spans="1:23" ht="13.15" customHeight="1" x14ac:dyDescent="0.2">
      <c r="A1982" s="2" t="s">
        <v>2200</v>
      </c>
      <c r="B1982" s="2">
        <f t="shared" si="60"/>
        <v>2022</v>
      </c>
      <c r="C1982" s="2" t="str">
        <f t="shared" si="61"/>
        <v>KZN226</v>
      </c>
      <c r="D1982" s="2">
        <v>364</v>
      </c>
      <c r="F1982" s="625"/>
      <c r="G1982" s="625"/>
      <c r="H1982" s="625"/>
      <c r="I1982" s="625"/>
      <c r="J1982" s="625"/>
      <c r="K1982" s="625"/>
      <c r="L1982" s="627"/>
      <c r="M1982" s="627"/>
      <c r="N1982" s="627"/>
      <c r="O1982" s="627"/>
      <c r="P1982" s="627"/>
      <c r="W1982" t="s">
        <v>2047</v>
      </c>
    </row>
    <row r="1983" spans="1:23" ht="13.15" customHeight="1" x14ac:dyDescent="0.2">
      <c r="A1983" s="2" t="s">
        <v>2200</v>
      </c>
      <c r="B1983" s="2">
        <f t="shared" si="60"/>
        <v>2022</v>
      </c>
      <c r="C1983" s="2" t="str">
        <f t="shared" si="61"/>
        <v>KZN226</v>
      </c>
      <c r="D1983" s="2">
        <v>365</v>
      </c>
      <c r="F1983" s="625"/>
      <c r="G1983" s="625"/>
      <c r="H1983" s="625"/>
      <c r="I1983" s="625"/>
      <c r="J1983" s="625"/>
      <c r="K1983" s="625"/>
      <c r="L1983" s="627"/>
      <c r="M1983" s="627"/>
      <c r="N1983" s="627"/>
      <c r="O1983" s="627"/>
      <c r="P1983" s="627"/>
      <c r="W1983" t="s">
        <v>2047</v>
      </c>
    </row>
    <row r="1984" spans="1:23" ht="13.15" customHeight="1" x14ac:dyDescent="0.2">
      <c r="A1984" s="2" t="s">
        <v>2200</v>
      </c>
      <c r="B1984" s="2">
        <f t="shared" si="60"/>
        <v>2022</v>
      </c>
      <c r="C1984" s="2" t="str">
        <f t="shared" si="61"/>
        <v>KZN226</v>
      </c>
      <c r="D1984" s="2">
        <v>366</v>
      </c>
      <c r="F1984" s="625"/>
      <c r="G1984" s="625"/>
      <c r="H1984" s="625"/>
      <c r="I1984" s="625"/>
      <c r="J1984" s="625"/>
      <c r="K1984" s="625"/>
      <c r="L1984" s="627"/>
      <c r="M1984" s="627"/>
      <c r="N1984" s="627"/>
      <c r="O1984" s="627"/>
      <c r="P1984" s="627"/>
      <c r="W1984" t="s">
        <v>2047</v>
      </c>
    </row>
    <row r="1985" spans="1:23" ht="13.15" customHeight="1" x14ac:dyDescent="0.2">
      <c r="A1985" s="2" t="s">
        <v>2200</v>
      </c>
      <c r="B1985" s="2">
        <f t="shared" si="60"/>
        <v>2022</v>
      </c>
      <c r="C1985" s="2" t="str">
        <f t="shared" si="61"/>
        <v>KZN226</v>
      </c>
      <c r="D1985" s="2">
        <v>367</v>
      </c>
      <c r="F1985" s="625"/>
      <c r="G1985" s="625"/>
      <c r="H1985" s="625"/>
      <c r="I1985" s="625"/>
      <c r="J1985" s="625"/>
      <c r="K1985" s="625"/>
      <c r="L1985" s="627"/>
      <c r="M1985" s="627"/>
      <c r="N1985" s="627"/>
      <c r="O1985" s="627"/>
      <c r="P1985" s="627"/>
      <c r="W1985" t="s">
        <v>2047</v>
      </c>
    </row>
    <row r="1986" spans="1:23" ht="13.15" customHeight="1" x14ac:dyDescent="0.2">
      <c r="A1986" s="2" t="s">
        <v>2200</v>
      </c>
      <c r="B1986" s="2">
        <f t="shared" ref="B1986:B2049" si="62">+MTREF</f>
        <v>2022</v>
      </c>
      <c r="C1986" s="2" t="str">
        <f t="shared" ref="C1986:C2049" si="63">LEFT(muni,(FIND(" ",muni,1)-1))</f>
        <v>KZN226</v>
      </c>
      <c r="D1986" s="2">
        <v>368</v>
      </c>
      <c r="F1986" s="625"/>
      <c r="G1986" s="625"/>
      <c r="H1986" s="625"/>
      <c r="I1986" s="625"/>
      <c r="J1986" s="625"/>
      <c r="K1986" s="625"/>
      <c r="L1986" s="627"/>
      <c r="M1986" s="627"/>
      <c r="N1986" s="627"/>
      <c r="O1986" s="627"/>
      <c r="P1986" s="627"/>
      <c r="W1986" t="s">
        <v>2047</v>
      </c>
    </row>
    <row r="1987" spans="1:23" ht="13.15" customHeight="1" x14ac:dyDescent="0.2">
      <c r="A1987" s="2" t="s">
        <v>2200</v>
      </c>
      <c r="B1987" s="2">
        <f t="shared" si="62"/>
        <v>2022</v>
      </c>
      <c r="C1987" s="2" t="str">
        <f t="shared" si="63"/>
        <v>KZN226</v>
      </c>
      <c r="D1987" s="2">
        <v>369</v>
      </c>
      <c r="F1987" s="625"/>
      <c r="G1987" s="625"/>
      <c r="H1987" s="625"/>
      <c r="I1987" s="625"/>
      <c r="J1987" s="625"/>
      <c r="K1987" s="625"/>
      <c r="L1987" s="627"/>
      <c r="M1987" s="627"/>
      <c r="N1987" s="627"/>
      <c r="O1987" s="627"/>
      <c r="P1987" s="627"/>
      <c r="W1987" t="s">
        <v>2047</v>
      </c>
    </row>
    <row r="1988" spans="1:23" ht="13.15" customHeight="1" x14ac:dyDescent="0.2">
      <c r="A1988" s="2" t="s">
        <v>2200</v>
      </c>
      <c r="B1988" s="2">
        <f t="shared" si="62"/>
        <v>2022</v>
      </c>
      <c r="C1988" s="2" t="str">
        <f t="shared" si="63"/>
        <v>KZN226</v>
      </c>
      <c r="D1988" s="2">
        <v>370</v>
      </c>
      <c r="F1988" s="625"/>
      <c r="G1988" s="625"/>
      <c r="H1988" s="625"/>
      <c r="I1988" s="625"/>
      <c r="J1988" s="625"/>
      <c r="K1988" s="625"/>
      <c r="L1988" s="627"/>
      <c r="M1988" s="627"/>
      <c r="N1988" s="627"/>
      <c r="O1988" s="627"/>
      <c r="P1988" s="627"/>
      <c r="W1988" t="s">
        <v>2047</v>
      </c>
    </row>
    <row r="1989" spans="1:23" ht="13.15" customHeight="1" x14ac:dyDescent="0.2">
      <c r="A1989" s="2" t="s">
        <v>2200</v>
      </c>
      <c r="B1989" s="2">
        <f t="shared" si="62"/>
        <v>2022</v>
      </c>
      <c r="C1989" s="2" t="str">
        <f t="shared" si="63"/>
        <v>KZN226</v>
      </c>
      <c r="D1989" s="2">
        <v>371</v>
      </c>
      <c r="F1989" s="625"/>
      <c r="G1989" s="625"/>
      <c r="H1989" s="625"/>
      <c r="I1989" s="625"/>
      <c r="J1989" s="625"/>
      <c r="K1989" s="625"/>
      <c r="L1989" s="627"/>
      <c r="M1989" s="627"/>
      <c r="N1989" s="627"/>
      <c r="O1989" s="627"/>
      <c r="P1989" s="627"/>
      <c r="W1989" t="s">
        <v>2047</v>
      </c>
    </row>
    <row r="1990" spans="1:23" ht="13.15" customHeight="1" x14ac:dyDescent="0.2">
      <c r="A1990" s="2" t="s">
        <v>2200</v>
      </c>
      <c r="B1990" s="2">
        <f t="shared" si="62"/>
        <v>2022</v>
      </c>
      <c r="C1990" s="2" t="str">
        <f t="shared" si="63"/>
        <v>KZN226</v>
      </c>
      <c r="D1990" s="2">
        <v>372</v>
      </c>
      <c r="F1990" s="625"/>
      <c r="G1990" s="625"/>
      <c r="H1990" s="625"/>
      <c r="I1990" s="625"/>
      <c r="J1990" s="625"/>
      <c r="K1990" s="625"/>
      <c r="L1990" s="627"/>
      <c r="M1990" s="627"/>
      <c r="N1990" s="627"/>
      <c r="O1990" s="627"/>
      <c r="P1990" s="627"/>
      <c r="W1990" t="s">
        <v>2047</v>
      </c>
    </row>
    <row r="1991" spans="1:23" ht="13.15" customHeight="1" x14ac:dyDescent="0.2">
      <c r="A1991" s="2" t="s">
        <v>2200</v>
      </c>
      <c r="B1991" s="2">
        <f t="shared" si="62"/>
        <v>2022</v>
      </c>
      <c r="C1991" s="2" t="str">
        <f t="shared" si="63"/>
        <v>KZN226</v>
      </c>
      <c r="D1991" s="2">
        <v>373</v>
      </c>
      <c r="F1991" s="625"/>
      <c r="G1991" s="625"/>
      <c r="H1991" s="625"/>
      <c r="I1991" s="625"/>
      <c r="J1991" s="625"/>
      <c r="K1991" s="625"/>
      <c r="L1991" s="627"/>
      <c r="M1991" s="627"/>
      <c r="N1991" s="627"/>
      <c r="O1991" s="627"/>
      <c r="P1991" s="627"/>
      <c r="W1991" t="s">
        <v>2047</v>
      </c>
    </row>
    <row r="1992" spans="1:23" ht="13.15" customHeight="1" x14ac:dyDescent="0.2">
      <c r="A1992" s="2" t="s">
        <v>2200</v>
      </c>
      <c r="B1992" s="2">
        <f t="shared" si="62"/>
        <v>2022</v>
      </c>
      <c r="C1992" s="2" t="str">
        <f t="shared" si="63"/>
        <v>KZN226</v>
      </c>
      <c r="D1992" s="2">
        <v>374</v>
      </c>
      <c r="F1992" s="625"/>
      <c r="G1992" s="625"/>
      <c r="H1992" s="625"/>
      <c r="I1992" s="625"/>
      <c r="J1992" s="625"/>
      <c r="K1992" s="625"/>
      <c r="L1992" s="627"/>
      <c r="M1992" s="627"/>
      <c r="N1992" s="627"/>
      <c r="O1992" s="627"/>
      <c r="P1992" s="627"/>
      <c r="W1992" t="s">
        <v>2047</v>
      </c>
    </row>
    <row r="1993" spans="1:23" ht="13.15" customHeight="1" x14ac:dyDescent="0.2">
      <c r="A1993" s="2" t="s">
        <v>2200</v>
      </c>
      <c r="B1993" s="2">
        <f t="shared" si="62"/>
        <v>2022</v>
      </c>
      <c r="C1993" s="2" t="str">
        <f t="shared" si="63"/>
        <v>KZN226</v>
      </c>
      <c r="D1993" s="2">
        <v>375</v>
      </c>
      <c r="F1993" s="625"/>
      <c r="G1993" s="625"/>
      <c r="H1993" s="625"/>
      <c r="I1993" s="625"/>
      <c r="J1993" s="625"/>
      <c r="K1993" s="625"/>
      <c r="L1993" s="627"/>
      <c r="M1993" s="627"/>
      <c r="N1993" s="627"/>
      <c r="O1993" s="627"/>
      <c r="P1993" s="627"/>
      <c r="W1993" t="s">
        <v>2047</v>
      </c>
    </row>
    <row r="1994" spans="1:23" ht="13.15" customHeight="1" x14ac:dyDescent="0.2">
      <c r="A1994" s="2" t="s">
        <v>2200</v>
      </c>
      <c r="B1994" s="2">
        <f t="shared" si="62"/>
        <v>2022</v>
      </c>
      <c r="C1994" s="2" t="str">
        <f t="shared" si="63"/>
        <v>KZN226</v>
      </c>
      <c r="D1994" s="2">
        <v>376</v>
      </c>
      <c r="F1994" s="625"/>
      <c r="G1994" s="625"/>
      <c r="H1994" s="625"/>
      <c r="I1994" s="625"/>
      <c r="J1994" s="625"/>
      <c r="K1994" s="625"/>
      <c r="L1994" s="627"/>
      <c r="M1994" s="627"/>
      <c r="N1994" s="627"/>
      <c r="O1994" s="627"/>
      <c r="P1994" s="627"/>
      <c r="W1994" t="s">
        <v>2047</v>
      </c>
    </row>
    <row r="1995" spans="1:23" ht="13.15" customHeight="1" x14ac:dyDescent="0.2">
      <c r="A1995" s="2" t="s">
        <v>2200</v>
      </c>
      <c r="B1995" s="2">
        <f t="shared" si="62"/>
        <v>2022</v>
      </c>
      <c r="C1995" s="2" t="str">
        <f t="shared" si="63"/>
        <v>KZN226</v>
      </c>
      <c r="D1995" s="2">
        <v>377</v>
      </c>
      <c r="F1995" s="625"/>
      <c r="G1995" s="625"/>
      <c r="H1995" s="625"/>
      <c r="I1995" s="625"/>
      <c r="J1995" s="625"/>
      <c r="K1995" s="625"/>
      <c r="L1995" s="627"/>
      <c r="M1995" s="627"/>
      <c r="N1995" s="627"/>
      <c r="O1995" s="627"/>
      <c r="P1995" s="627"/>
      <c r="W1995" t="s">
        <v>2047</v>
      </c>
    </row>
    <row r="1996" spans="1:23" ht="13.15" customHeight="1" x14ac:dyDescent="0.2">
      <c r="A1996" s="2" t="s">
        <v>2200</v>
      </c>
      <c r="B1996" s="2">
        <f t="shared" si="62"/>
        <v>2022</v>
      </c>
      <c r="C1996" s="2" t="str">
        <f t="shared" si="63"/>
        <v>KZN226</v>
      </c>
      <c r="D1996" s="2">
        <v>378</v>
      </c>
      <c r="F1996" s="625"/>
      <c r="G1996" s="625"/>
      <c r="H1996" s="625"/>
      <c r="I1996" s="625"/>
      <c r="J1996" s="625"/>
      <c r="K1996" s="625"/>
      <c r="L1996" s="627"/>
      <c r="M1996" s="627"/>
      <c r="N1996" s="627"/>
      <c r="O1996" s="627"/>
      <c r="P1996" s="627"/>
      <c r="W1996" t="s">
        <v>2047</v>
      </c>
    </row>
    <row r="1997" spans="1:23" ht="13.15" customHeight="1" x14ac:dyDescent="0.2">
      <c r="A1997" s="2" t="s">
        <v>2200</v>
      </c>
      <c r="B1997" s="2">
        <f t="shared" si="62"/>
        <v>2022</v>
      </c>
      <c r="C1997" s="2" t="str">
        <f t="shared" si="63"/>
        <v>KZN226</v>
      </c>
      <c r="D1997" s="2">
        <v>379</v>
      </c>
      <c r="F1997" s="625"/>
      <c r="G1997" s="625"/>
      <c r="H1997" s="625"/>
      <c r="I1997" s="625"/>
      <c r="J1997" s="625"/>
      <c r="K1997" s="625"/>
      <c r="L1997" s="627"/>
      <c r="M1997" s="627"/>
      <c r="N1997" s="627"/>
      <c r="O1997" s="627"/>
      <c r="P1997" s="627"/>
      <c r="W1997" t="s">
        <v>2047</v>
      </c>
    </row>
    <row r="1998" spans="1:23" ht="13.15" customHeight="1" x14ac:dyDescent="0.2">
      <c r="A1998" s="2" t="s">
        <v>2200</v>
      </c>
      <c r="B1998" s="2">
        <f t="shared" si="62"/>
        <v>2022</v>
      </c>
      <c r="C1998" s="2" t="str">
        <f t="shared" si="63"/>
        <v>KZN226</v>
      </c>
      <c r="D1998" s="2">
        <v>380</v>
      </c>
      <c r="F1998" s="625"/>
      <c r="G1998" s="625"/>
      <c r="H1998" s="625"/>
      <c r="I1998" s="625"/>
      <c r="J1998" s="625"/>
      <c r="K1998" s="625"/>
      <c r="L1998" s="627"/>
      <c r="M1998" s="627"/>
      <c r="N1998" s="627"/>
      <c r="O1998" s="627"/>
      <c r="P1998" s="627"/>
      <c r="W1998" t="s">
        <v>2047</v>
      </c>
    </row>
    <row r="1999" spans="1:23" ht="13.15" customHeight="1" x14ac:dyDescent="0.2">
      <c r="A1999" s="2" t="s">
        <v>2200</v>
      </c>
      <c r="B1999" s="2">
        <f t="shared" si="62"/>
        <v>2022</v>
      </c>
      <c r="C1999" s="2" t="str">
        <f t="shared" si="63"/>
        <v>KZN226</v>
      </c>
      <c r="D1999" s="2">
        <v>381</v>
      </c>
      <c r="F1999" s="625"/>
      <c r="G1999" s="625"/>
      <c r="H1999" s="625"/>
      <c r="I1999" s="625"/>
      <c r="J1999" s="625"/>
      <c r="K1999" s="625"/>
      <c r="L1999" s="627"/>
      <c r="M1999" s="627"/>
      <c r="N1999" s="627"/>
      <c r="O1999" s="627"/>
      <c r="P1999" s="627"/>
      <c r="W1999" t="s">
        <v>2047</v>
      </c>
    </row>
    <row r="2000" spans="1:23" ht="13.15" customHeight="1" x14ac:dyDescent="0.2">
      <c r="A2000" s="2" t="s">
        <v>2200</v>
      </c>
      <c r="B2000" s="2">
        <f t="shared" si="62"/>
        <v>2022</v>
      </c>
      <c r="C2000" s="2" t="str">
        <f t="shared" si="63"/>
        <v>KZN226</v>
      </c>
      <c r="D2000" s="2">
        <v>382</v>
      </c>
      <c r="F2000" s="625"/>
      <c r="G2000" s="625"/>
      <c r="H2000" s="625"/>
      <c r="I2000" s="625"/>
      <c r="J2000" s="625"/>
      <c r="K2000" s="625"/>
      <c r="L2000" s="627"/>
      <c r="M2000" s="627"/>
      <c r="N2000" s="627"/>
      <c r="O2000" s="627"/>
      <c r="P2000" s="627"/>
      <c r="W2000" t="s">
        <v>2047</v>
      </c>
    </row>
    <row r="2001" spans="1:23" ht="13.15" customHeight="1" x14ac:dyDescent="0.2">
      <c r="A2001" s="2" t="s">
        <v>2200</v>
      </c>
      <c r="B2001" s="2">
        <f t="shared" si="62"/>
        <v>2022</v>
      </c>
      <c r="C2001" s="2" t="str">
        <f t="shared" si="63"/>
        <v>KZN226</v>
      </c>
      <c r="D2001" s="2">
        <v>383</v>
      </c>
      <c r="F2001" s="625"/>
      <c r="G2001" s="625"/>
      <c r="H2001" s="625"/>
      <c r="I2001" s="625"/>
      <c r="J2001" s="625"/>
      <c r="K2001" s="625"/>
      <c r="L2001" s="627"/>
      <c r="M2001" s="627"/>
      <c r="N2001" s="627"/>
      <c r="O2001" s="627"/>
      <c r="P2001" s="627"/>
      <c r="W2001" t="s">
        <v>2047</v>
      </c>
    </row>
    <row r="2002" spans="1:23" ht="13.15" customHeight="1" x14ac:dyDescent="0.2">
      <c r="A2002" s="2" t="s">
        <v>2200</v>
      </c>
      <c r="B2002" s="2">
        <f t="shared" si="62"/>
        <v>2022</v>
      </c>
      <c r="C2002" s="2" t="str">
        <f t="shared" si="63"/>
        <v>KZN226</v>
      </c>
      <c r="D2002" s="2">
        <v>384</v>
      </c>
      <c r="F2002" s="625"/>
      <c r="G2002" s="625"/>
      <c r="H2002" s="625"/>
      <c r="I2002" s="625"/>
      <c r="J2002" s="625"/>
      <c r="K2002" s="625"/>
      <c r="L2002" s="627"/>
      <c r="M2002" s="627"/>
      <c r="N2002" s="627"/>
      <c r="O2002" s="627"/>
      <c r="P2002" s="627"/>
      <c r="W2002" t="s">
        <v>2047</v>
      </c>
    </row>
    <row r="2003" spans="1:23" ht="13.15" customHeight="1" x14ac:dyDescent="0.2">
      <c r="A2003" s="2" t="s">
        <v>2200</v>
      </c>
      <c r="B2003" s="2">
        <f t="shared" si="62"/>
        <v>2022</v>
      </c>
      <c r="C2003" s="2" t="str">
        <f t="shared" si="63"/>
        <v>KZN226</v>
      </c>
      <c r="D2003" s="2">
        <v>385</v>
      </c>
      <c r="F2003" s="625"/>
      <c r="G2003" s="625"/>
      <c r="H2003" s="625"/>
      <c r="I2003" s="625"/>
      <c r="J2003" s="625"/>
      <c r="K2003" s="625"/>
      <c r="L2003" s="627"/>
      <c r="M2003" s="627"/>
      <c r="N2003" s="627"/>
      <c r="O2003" s="627"/>
      <c r="P2003" s="627"/>
      <c r="W2003" t="s">
        <v>2047</v>
      </c>
    </row>
    <row r="2004" spans="1:23" ht="13.15" customHeight="1" x14ac:dyDescent="0.2">
      <c r="A2004" s="2" t="s">
        <v>2200</v>
      </c>
      <c r="B2004" s="2">
        <f t="shared" si="62"/>
        <v>2022</v>
      </c>
      <c r="C2004" s="2" t="str">
        <f t="shared" si="63"/>
        <v>KZN226</v>
      </c>
      <c r="D2004" s="2">
        <v>386</v>
      </c>
      <c r="F2004" s="625"/>
      <c r="G2004" s="625"/>
      <c r="H2004" s="625"/>
      <c r="I2004" s="625"/>
      <c r="J2004" s="625"/>
      <c r="K2004" s="625"/>
      <c r="L2004" s="627"/>
      <c r="M2004" s="627"/>
      <c r="N2004" s="627"/>
      <c r="O2004" s="627"/>
      <c r="P2004" s="627"/>
      <c r="W2004" t="s">
        <v>2047</v>
      </c>
    </row>
    <row r="2005" spans="1:23" ht="13.15" customHeight="1" x14ac:dyDescent="0.2">
      <c r="A2005" s="2" t="s">
        <v>2200</v>
      </c>
      <c r="B2005" s="2">
        <f t="shared" si="62"/>
        <v>2022</v>
      </c>
      <c r="C2005" s="2" t="str">
        <f t="shared" si="63"/>
        <v>KZN226</v>
      </c>
      <c r="D2005" s="2">
        <v>387</v>
      </c>
      <c r="F2005" s="625"/>
      <c r="G2005" s="625"/>
      <c r="H2005" s="625"/>
      <c r="I2005" s="625"/>
      <c r="J2005" s="625"/>
      <c r="K2005" s="625"/>
      <c r="L2005" s="627"/>
      <c r="M2005" s="627"/>
      <c r="N2005" s="627"/>
      <c r="O2005" s="627"/>
      <c r="P2005" s="627"/>
      <c r="W2005" t="s">
        <v>2047</v>
      </c>
    </row>
    <row r="2006" spans="1:23" ht="13.15" customHeight="1" x14ac:dyDescent="0.2">
      <c r="A2006" s="2" t="s">
        <v>2200</v>
      </c>
      <c r="B2006" s="2">
        <f t="shared" si="62"/>
        <v>2022</v>
      </c>
      <c r="C2006" s="2" t="str">
        <f t="shared" si="63"/>
        <v>KZN226</v>
      </c>
      <c r="D2006" s="2">
        <v>388</v>
      </c>
      <c r="F2006" s="625"/>
      <c r="G2006" s="625"/>
      <c r="H2006" s="625"/>
      <c r="I2006" s="625"/>
      <c r="J2006" s="625"/>
      <c r="K2006" s="625"/>
      <c r="L2006" s="627"/>
      <c r="M2006" s="627"/>
      <c r="N2006" s="627"/>
      <c r="O2006" s="627"/>
      <c r="P2006" s="627"/>
      <c r="W2006" t="s">
        <v>2047</v>
      </c>
    </row>
    <row r="2007" spans="1:23" ht="13.15" customHeight="1" x14ac:dyDescent="0.2">
      <c r="A2007" s="2" t="s">
        <v>2200</v>
      </c>
      <c r="B2007" s="2">
        <f t="shared" si="62"/>
        <v>2022</v>
      </c>
      <c r="C2007" s="2" t="str">
        <f t="shared" si="63"/>
        <v>KZN226</v>
      </c>
      <c r="D2007" s="2">
        <v>389</v>
      </c>
      <c r="F2007" s="625"/>
      <c r="G2007" s="625"/>
      <c r="H2007" s="625"/>
      <c r="I2007" s="625"/>
      <c r="J2007" s="625"/>
      <c r="K2007" s="625"/>
      <c r="L2007" s="627"/>
      <c r="M2007" s="627"/>
      <c r="N2007" s="627"/>
      <c r="O2007" s="627"/>
      <c r="P2007" s="627"/>
      <c r="W2007" t="s">
        <v>2047</v>
      </c>
    </row>
    <row r="2008" spans="1:23" ht="13.15" customHeight="1" x14ac:dyDescent="0.2">
      <c r="A2008" s="2" t="s">
        <v>2200</v>
      </c>
      <c r="B2008" s="2">
        <f t="shared" si="62"/>
        <v>2022</v>
      </c>
      <c r="C2008" s="2" t="str">
        <f t="shared" si="63"/>
        <v>KZN226</v>
      </c>
      <c r="D2008" s="2">
        <v>390</v>
      </c>
      <c r="F2008" s="625"/>
      <c r="G2008" s="625"/>
      <c r="H2008" s="625"/>
      <c r="I2008" s="625"/>
      <c r="J2008" s="625"/>
      <c r="K2008" s="625"/>
      <c r="L2008" s="627"/>
      <c r="M2008" s="627"/>
      <c r="N2008" s="627"/>
      <c r="O2008" s="627"/>
      <c r="P2008" s="627"/>
      <c r="W2008" t="s">
        <v>2047</v>
      </c>
    </row>
    <row r="2009" spans="1:23" ht="13.15" customHeight="1" x14ac:dyDescent="0.2">
      <c r="A2009" s="2" t="s">
        <v>2200</v>
      </c>
      <c r="B2009" s="2">
        <f t="shared" si="62"/>
        <v>2022</v>
      </c>
      <c r="C2009" s="2" t="str">
        <f t="shared" si="63"/>
        <v>KZN226</v>
      </c>
      <c r="D2009" s="2">
        <v>391</v>
      </c>
      <c r="F2009" s="625"/>
      <c r="G2009" s="625"/>
      <c r="H2009" s="625"/>
      <c r="I2009" s="625"/>
      <c r="J2009" s="625"/>
      <c r="K2009" s="625"/>
      <c r="L2009" s="627"/>
      <c r="M2009" s="627"/>
      <c r="N2009" s="627"/>
      <c r="O2009" s="627"/>
      <c r="P2009" s="627"/>
      <c r="W2009" t="s">
        <v>2047</v>
      </c>
    </row>
    <row r="2010" spans="1:23" ht="13.15" customHeight="1" x14ac:dyDescent="0.2">
      <c r="A2010" s="2" t="s">
        <v>2200</v>
      </c>
      <c r="B2010" s="2">
        <f t="shared" si="62"/>
        <v>2022</v>
      </c>
      <c r="C2010" s="2" t="str">
        <f t="shared" si="63"/>
        <v>KZN226</v>
      </c>
      <c r="D2010" s="2">
        <v>392</v>
      </c>
      <c r="F2010" s="625"/>
      <c r="G2010" s="625"/>
      <c r="H2010" s="625"/>
      <c r="I2010" s="625"/>
      <c r="J2010" s="625"/>
      <c r="K2010" s="625"/>
      <c r="L2010" s="627"/>
      <c r="M2010" s="627"/>
      <c r="N2010" s="627"/>
      <c r="O2010" s="627"/>
      <c r="P2010" s="627"/>
      <c r="W2010" t="s">
        <v>2047</v>
      </c>
    </row>
    <row r="2011" spans="1:23" ht="13.15" customHeight="1" x14ac:dyDescent="0.2">
      <c r="A2011" s="2" t="s">
        <v>2200</v>
      </c>
      <c r="B2011" s="2">
        <f t="shared" si="62"/>
        <v>2022</v>
      </c>
      <c r="C2011" s="2" t="str">
        <f t="shared" si="63"/>
        <v>KZN226</v>
      </c>
      <c r="D2011" s="2">
        <v>393</v>
      </c>
      <c r="F2011" s="625"/>
      <c r="G2011" s="625"/>
      <c r="H2011" s="625"/>
      <c r="I2011" s="625"/>
      <c r="J2011" s="625"/>
      <c r="K2011" s="625"/>
      <c r="L2011" s="627"/>
      <c r="M2011" s="627"/>
      <c r="N2011" s="627"/>
      <c r="O2011" s="627"/>
      <c r="P2011" s="627"/>
      <c r="W2011" t="s">
        <v>2047</v>
      </c>
    </row>
    <row r="2012" spans="1:23" ht="13.15" customHeight="1" x14ac:dyDescent="0.2">
      <c r="A2012" s="2" t="s">
        <v>2200</v>
      </c>
      <c r="B2012" s="2">
        <f t="shared" si="62"/>
        <v>2022</v>
      </c>
      <c r="C2012" s="2" t="str">
        <f t="shared" si="63"/>
        <v>KZN226</v>
      </c>
      <c r="D2012" s="2">
        <v>394</v>
      </c>
      <c r="F2012" s="625"/>
      <c r="G2012" s="625"/>
      <c r="H2012" s="625"/>
      <c r="I2012" s="625"/>
      <c r="J2012" s="625"/>
      <c r="K2012" s="625"/>
      <c r="L2012" s="627"/>
      <c r="M2012" s="627"/>
      <c r="N2012" s="627"/>
      <c r="O2012" s="627"/>
      <c r="P2012" s="627"/>
      <c r="W2012" t="s">
        <v>2047</v>
      </c>
    </row>
    <row r="2013" spans="1:23" ht="13.15" customHeight="1" x14ac:dyDescent="0.2">
      <c r="A2013" s="2" t="s">
        <v>2200</v>
      </c>
      <c r="B2013" s="2">
        <f t="shared" si="62"/>
        <v>2022</v>
      </c>
      <c r="C2013" s="2" t="str">
        <f t="shared" si="63"/>
        <v>KZN226</v>
      </c>
      <c r="D2013" s="2">
        <v>395</v>
      </c>
      <c r="F2013" s="625"/>
      <c r="G2013" s="625"/>
      <c r="H2013" s="625"/>
      <c r="I2013" s="625"/>
      <c r="J2013" s="625"/>
      <c r="K2013" s="625"/>
      <c r="L2013" s="627"/>
      <c r="M2013" s="627"/>
      <c r="N2013" s="627"/>
      <c r="O2013" s="627"/>
      <c r="P2013" s="627"/>
      <c r="W2013" t="s">
        <v>2047</v>
      </c>
    </row>
    <row r="2014" spans="1:23" ht="13.15" customHeight="1" x14ac:dyDescent="0.2">
      <c r="A2014" s="2" t="s">
        <v>2200</v>
      </c>
      <c r="B2014" s="2">
        <f t="shared" si="62"/>
        <v>2022</v>
      </c>
      <c r="C2014" s="2" t="str">
        <f t="shared" si="63"/>
        <v>KZN226</v>
      </c>
      <c r="D2014" s="2">
        <v>396</v>
      </c>
      <c r="F2014" s="625"/>
      <c r="G2014" s="625"/>
      <c r="H2014" s="625"/>
      <c r="I2014" s="625"/>
      <c r="J2014" s="625"/>
      <c r="K2014" s="625"/>
      <c r="L2014" s="627"/>
      <c r="M2014" s="627"/>
      <c r="N2014" s="627"/>
      <c r="O2014" s="627"/>
      <c r="P2014" s="627"/>
      <c r="W2014" t="s">
        <v>2047</v>
      </c>
    </row>
    <row r="2015" spans="1:23" ht="13.15" customHeight="1" x14ac:dyDescent="0.2">
      <c r="A2015" s="2" t="s">
        <v>2200</v>
      </c>
      <c r="B2015" s="2">
        <f t="shared" si="62"/>
        <v>2022</v>
      </c>
      <c r="C2015" s="2" t="str">
        <f t="shared" si="63"/>
        <v>KZN226</v>
      </c>
      <c r="D2015" s="2">
        <v>397</v>
      </c>
      <c r="F2015" s="625"/>
      <c r="G2015" s="625"/>
      <c r="H2015" s="625"/>
      <c r="I2015" s="625"/>
      <c r="J2015" s="625"/>
      <c r="K2015" s="625"/>
      <c r="L2015" s="627"/>
      <c r="M2015" s="627"/>
      <c r="N2015" s="627"/>
      <c r="O2015" s="627"/>
      <c r="P2015" s="627"/>
      <c r="W2015" t="s">
        <v>2047</v>
      </c>
    </row>
    <row r="2016" spans="1:23" ht="13.15" customHeight="1" x14ac:dyDescent="0.2">
      <c r="A2016" s="2" t="s">
        <v>2200</v>
      </c>
      <c r="B2016" s="2">
        <f t="shared" si="62"/>
        <v>2022</v>
      </c>
      <c r="C2016" s="2" t="str">
        <f t="shared" si="63"/>
        <v>KZN226</v>
      </c>
      <c r="D2016" s="2">
        <v>398</v>
      </c>
      <c r="F2016" s="625"/>
      <c r="G2016" s="625"/>
      <c r="H2016" s="625"/>
      <c r="I2016" s="625"/>
      <c r="J2016" s="625"/>
      <c r="K2016" s="625"/>
      <c r="L2016" s="627"/>
      <c r="M2016" s="627"/>
      <c r="N2016" s="627"/>
      <c r="O2016" s="627"/>
      <c r="P2016" s="627"/>
      <c r="W2016" t="s">
        <v>2047</v>
      </c>
    </row>
    <row r="2017" spans="1:23" ht="13.15" customHeight="1" x14ac:dyDescent="0.2">
      <c r="A2017" s="2" t="s">
        <v>2200</v>
      </c>
      <c r="B2017" s="2">
        <f t="shared" si="62"/>
        <v>2022</v>
      </c>
      <c r="C2017" s="2" t="str">
        <f t="shared" si="63"/>
        <v>KZN226</v>
      </c>
      <c r="D2017" s="2">
        <v>399</v>
      </c>
      <c r="F2017" s="625"/>
      <c r="G2017" s="625"/>
      <c r="H2017" s="625"/>
      <c r="I2017" s="625"/>
      <c r="J2017" s="625"/>
      <c r="K2017" s="625"/>
      <c r="L2017" s="627"/>
      <c r="M2017" s="627"/>
      <c r="N2017" s="627"/>
      <c r="O2017" s="627"/>
      <c r="P2017" s="627"/>
      <c r="W2017" t="s">
        <v>2047</v>
      </c>
    </row>
    <row r="2018" spans="1:23" ht="13.15" customHeight="1" x14ac:dyDescent="0.2">
      <c r="A2018" s="2" t="s">
        <v>2200</v>
      </c>
      <c r="B2018" s="2">
        <f t="shared" si="62"/>
        <v>2022</v>
      </c>
      <c r="C2018" s="2" t="str">
        <f t="shared" si="63"/>
        <v>KZN226</v>
      </c>
      <c r="D2018" s="2">
        <v>400</v>
      </c>
      <c r="F2018" s="625"/>
      <c r="G2018" s="625"/>
      <c r="H2018" s="625"/>
      <c r="I2018" s="625"/>
      <c r="J2018" s="625"/>
      <c r="K2018" s="625"/>
      <c r="L2018" s="627"/>
      <c r="M2018" s="627"/>
      <c r="N2018" s="627"/>
      <c r="O2018" s="627"/>
      <c r="P2018" s="627"/>
      <c r="W2018" t="s">
        <v>2047</v>
      </c>
    </row>
    <row r="2019" spans="1:23" ht="13.15" customHeight="1" x14ac:dyDescent="0.2">
      <c r="A2019" s="2" t="s">
        <v>2200</v>
      </c>
      <c r="B2019" s="2">
        <f t="shared" si="62"/>
        <v>2022</v>
      </c>
      <c r="C2019" s="2" t="str">
        <f t="shared" si="63"/>
        <v>KZN226</v>
      </c>
      <c r="D2019" s="2">
        <v>401</v>
      </c>
      <c r="F2019" s="625"/>
      <c r="G2019" s="625"/>
      <c r="H2019" s="625"/>
      <c r="I2019" s="625"/>
      <c r="J2019" s="625"/>
      <c r="K2019" s="625"/>
      <c r="L2019" s="627"/>
      <c r="M2019" s="627"/>
      <c r="N2019" s="627"/>
      <c r="O2019" s="627"/>
      <c r="P2019" s="627"/>
      <c r="W2019" t="s">
        <v>2047</v>
      </c>
    </row>
    <row r="2020" spans="1:23" ht="13.15" customHeight="1" x14ac:dyDescent="0.2">
      <c r="A2020" s="2" t="s">
        <v>2200</v>
      </c>
      <c r="B2020" s="2">
        <f t="shared" si="62"/>
        <v>2022</v>
      </c>
      <c r="C2020" s="2" t="str">
        <f t="shared" si="63"/>
        <v>KZN226</v>
      </c>
      <c r="D2020" s="2">
        <v>402</v>
      </c>
      <c r="F2020" s="625"/>
      <c r="G2020" s="625"/>
      <c r="H2020" s="625"/>
      <c r="I2020" s="625"/>
      <c r="J2020" s="625"/>
      <c r="K2020" s="625"/>
      <c r="L2020" s="627"/>
      <c r="M2020" s="627"/>
      <c r="N2020" s="627"/>
      <c r="O2020" s="627"/>
      <c r="P2020" s="627"/>
      <c r="W2020" t="s">
        <v>2047</v>
      </c>
    </row>
    <row r="2021" spans="1:23" ht="13.15" customHeight="1" x14ac:dyDescent="0.2">
      <c r="A2021" s="2" t="s">
        <v>2200</v>
      </c>
      <c r="B2021" s="2">
        <f t="shared" si="62"/>
        <v>2022</v>
      </c>
      <c r="C2021" s="2" t="str">
        <f t="shared" si="63"/>
        <v>KZN226</v>
      </c>
      <c r="D2021" s="2">
        <v>403</v>
      </c>
      <c r="F2021" s="625"/>
      <c r="G2021" s="625"/>
      <c r="H2021" s="625"/>
      <c r="I2021" s="625"/>
      <c r="J2021" s="625"/>
      <c r="K2021" s="625"/>
      <c r="L2021" s="627"/>
      <c r="M2021" s="627"/>
      <c r="N2021" s="627"/>
      <c r="O2021" s="627"/>
      <c r="P2021" s="627"/>
      <c r="W2021" t="s">
        <v>2047</v>
      </c>
    </row>
    <row r="2022" spans="1:23" ht="13.15" customHeight="1" x14ac:dyDescent="0.2">
      <c r="A2022" s="2" t="s">
        <v>2200</v>
      </c>
      <c r="B2022" s="2">
        <f t="shared" si="62"/>
        <v>2022</v>
      </c>
      <c r="C2022" s="2" t="str">
        <f t="shared" si="63"/>
        <v>KZN226</v>
      </c>
      <c r="D2022" s="2">
        <v>404</v>
      </c>
      <c r="F2022" s="625"/>
      <c r="G2022" s="625"/>
      <c r="H2022" s="625"/>
      <c r="I2022" s="625"/>
      <c r="J2022" s="625"/>
      <c r="K2022" s="625"/>
      <c r="L2022" s="627"/>
      <c r="M2022" s="627"/>
      <c r="N2022" s="627"/>
      <c r="O2022" s="627"/>
      <c r="P2022" s="627"/>
      <c r="W2022" t="s">
        <v>2047</v>
      </c>
    </row>
    <row r="2023" spans="1:23" ht="13.15" customHeight="1" x14ac:dyDescent="0.2">
      <c r="A2023" s="2" t="s">
        <v>2200</v>
      </c>
      <c r="B2023" s="2">
        <f t="shared" si="62"/>
        <v>2022</v>
      </c>
      <c r="C2023" s="2" t="str">
        <f t="shared" si="63"/>
        <v>KZN226</v>
      </c>
      <c r="D2023" s="2">
        <v>405</v>
      </c>
      <c r="F2023" s="625"/>
      <c r="G2023" s="625"/>
      <c r="H2023" s="625"/>
      <c r="I2023" s="625"/>
      <c r="J2023" s="625"/>
      <c r="K2023" s="625"/>
      <c r="L2023" s="627"/>
      <c r="M2023" s="627"/>
      <c r="N2023" s="627"/>
      <c r="O2023" s="627"/>
      <c r="P2023" s="627"/>
      <c r="W2023" t="s">
        <v>2047</v>
      </c>
    </row>
    <row r="2024" spans="1:23" ht="13.15" customHeight="1" x14ac:dyDescent="0.2">
      <c r="A2024" s="2" t="s">
        <v>2200</v>
      </c>
      <c r="B2024" s="2">
        <f t="shared" si="62"/>
        <v>2022</v>
      </c>
      <c r="C2024" s="2" t="str">
        <f t="shared" si="63"/>
        <v>KZN226</v>
      </c>
      <c r="D2024" s="2">
        <v>406</v>
      </c>
      <c r="F2024" s="625"/>
      <c r="G2024" s="625"/>
      <c r="H2024" s="625"/>
      <c r="I2024" s="625"/>
      <c r="J2024" s="625"/>
      <c r="K2024" s="625"/>
      <c r="L2024" s="627"/>
      <c r="M2024" s="627"/>
      <c r="N2024" s="627"/>
      <c r="O2024" s="627"/>
      <c r="P2024" s="627"/>
      <c r="W2024" t="s">
        <v>2047</v>
      </c>
    </row>
    <row r="2025" spans="1:23" ht="13.15" customHeight="1" x14ac:dyDescent="0.2">
      <c r="A2025" s="2" t="s">
        <v>2200</v>
      </c>
      <c r="B2025" s="2">
        <f t="shared" si="62"/>
        <v>2022</v>
      </c>
      <c r="C2025" s="2" t="str">
        <f t="shared" si="63"/>
        <v>KZN226</v>
      </c>
      <c r="D2025" s="2">
        <v>407</v>
      </c>
      <c r="F2025" s="625"/>
      <c r="G2025" s="625"/>
      <c r="H2025" s="625"/>
      <c r="I2025" s="625"/>
      <c r="J2025" s="625"/>
      <c r="K2025" s="625"/>
      <c r="L2025" s="627"/>
      <c r="M2025" s="627"/>
      <c r="N2025" s="627"/>
      <c r="O2025" s="627"/>
      <c r="P2025" s="627"/>
      <c r="W2025" t="s">
        <v>2047</v>
      </c>
    </row>
    <row r="2026" spans="1:23" ht="13.15" customHeight="1" x14ac:dyDescent="0.2">
      <c r="A2026" s="2" t="s">
        <v>2200</v>
      </c>
      <c r="B2026" s="2">
        <f t="shared" si="62"/>
        <v>2022</v>
      </c>
      <c r="C2026" s="2" t="str">
        <f t="shared" si="63"/>
        <v>KZN226</v>
      </c>
      <c r="D2026" s="2">
        <v>408</v>
      </c>
      <c r="F2026" s="625"/>
      <c r="G2026" s="625"/>
      <c r="H2026" s="625"/>
      <c r="I2026" s="625"/>
      <c r="J2026" s="625"/>
      <c r="K2026" s="625"/>
      <c r="L2026" s="627"/>
      <c r="M2026" s="627"/>
      <c r="N2026" s="627"/>
      <c r="O2026" s="627"/>
      <c r="P2026" s="627"/>
      <c r="W2026" t="s">
        <v>2047</v>
      </c>
    </row>
    <row r="2027" spans="1:23" ht="13.15" customHeight="1" x14ac:dyDescent="0.2">
      <c r="A2027" s="2" t="s">
        <v>2200</v>
      </c>
      <c r="B2027" s="2">
        <f t="shared" si="62"/>
        <v>2022</v>
      </c>
      <c r="C2027" s="2" t="str">
        <f t="shared" si="63"/>
        <v>KZN226</v>
      </c>
      <c r="D2027" s="2">
        <v>409</v>
      </c>
      <c r="F2027" s="625"/>
      <c r="G2027" s="625"/>
      <c r="H2027" s="625"/>
      <c r="I2027" s="625"/>
      <c r="J2027" s="625"/>
      <c r="K2027" s="625"/>
      <c r="L2027" s="627"/>
      <c r="M2027" s="627"/>
      <c r="N2027" s="627"/>
      <c r="O2027" s="627"/>
      <c r="P2027" s="627"/>
      <c r="W2027" t="s">
        <v>2047</v>
      </c>
    </row>
    <row r="2028" spans="1:23" ht="13.15" customHeight="1" x14ac:dyDescent="0.2">
      <c r="A2028" s="2" t="s">
        <v>2200</v>
      </c>
      <c r="B2028" s="2">
        <f t="shared" si="62"/>
        <v>2022</v>
      </c>
      <c r="C2028" s="2" t="str">
        <f t="shared" si="63"/>
        <v>KZN226</v>
      </c>
      <c r="D2028" s="2">
        <v>410</v>
      </c>
      <c r="F2028" s="625"/>
      <c r="G2028" s="625"/>
      <c r="H2028" s="625"/>
      <c r="I2028" s="625"/>
      <c r="J2028" s="625"/>
      <c r="K2028" s="625"/>
      <c r="L2028" s="627"/>
      <c r="M2028" s="627"/>
      <c r="N2028" s="627"/>
      <c r="O2028" s="627"/>
      <c r="P2028" s="627"/>
      <c r="W2028" t="s">
        <v>2047</v>
      </c>
    </row>
    <row r="2029" spans="1:23" ht="13.15" customHeight="1" x14ac:dyDescent="0.2">
      <c r="A2029" s="2" t="s">
        <v>2200</v>
      </c>
      <c r="B2029" s="2">
        <f t="shared" si="62"/>
        <v>2022</v>
      </c>
      <c r="C2029" s="2" t="str">
        <f t="shared" si="63"/>
        <v>KZN226</v>
      </c>
      <c r="D2029" s="2">
        <v>411</v>
      </c>
      <c r="F2029" s="625"/>
      <c r="G2029" s="625"/>
      <c r="H2029" s="625"/>
      <c r="I2029" s="625"/>
      <c r="J2029" s="625"/>
      <c r="K2029" s="625"/>
      <c r="L2029" s="627"/>
      <c r="M2029" s="627"/>
      <c r="N2029" s="627"/>
      <c r="O2029" s="627"/>
      <c r="P2029" s="627"/>
      <c r="W2029" t="s">
        <v>2047</v>
      </c>
    </row>
    <row r="2030" spans="1:23" ht="13.15" customHeight="1" x14ac:dyDescent="0.2">
      <c r="A2030" s="2" t="s">
        <v>2200</v>
      </c>
      <c r="B2030" s="2">
        <f t="shared" si="62"/>
        <v>2022</v>
      </c>
      <c r="C2030" s="2" t="str">
        <f t="shared" si="63"/>
        <v>KZN226</v>
      </c>
      <c r="D2030" s="2">
        <v>412</v>
      </c>
      <c r="F2030" s="625"/>
      <c r="G2030" s="625"/>
      <c r="H2030" s="625"/>
      <c r="I2030" s="625"/>
      <c r="J2030" s="625"/>
      <c r="K2030" s="625"/>
      <c r="L2030" s="627"/>
      <c r="M2030" s="627"/>
      <c r="N2030" s="627"/>
      <c r="O2030" s="627"/>
      <c r="P2030" s="627"/>
      <c r="W2030" t="s">
        <v>2047</v>
      </c>
    </row>
    <row r="2031" spans="1:23" ht="13.15" customHeight="1" x14ac:dyDescent="0.2">
      <c r="A2031" s="2" t="s">
        <v>2200</v>
      </c>
      <c r="B2031" s="2">
        <f t="shared" si="62"/>
        <v>2022</v>
      </c>
      <c r="C2031" s="2" t="str">
        <f t="shared" si="63"/>
        <v>KZN226</v>
      </c>
      <c r="D2031" s="2">
        <v>413</v>
      </c>
      <c r="F2031" s="625"/>
      <c r="G2031" s="625"/>
      <c r="H2031" s="625"/>
      <c r="I2031" s="625"/>
      <c r="J2031" s="625"/>
      <c r="K2031" s="625"/>
      <c r="L2031" s="627"/>
      <c r="M2031" s="627"/>
      <c r="N2031" s="627"/>
      <c r="O2031" s="627"/>
      <c r="P2031" s="627"/>
      <c r="W2031" t="s">
        <v>2047</v>
      </c>
    </row>
    <row r="2032" spans="1:23" ht="13.15" customHeight="1" x14ac:dyDescent="0.2">
      <c r="A2032" s="2" t="s">
        <v>2200</v>
      </c>
      <c r="B2032" s="2">
        <f t="shared" si="62"/>
        <v>2022</v>
      </c>
      <c r="C2032" s="2" t="str">
        <f t="shared" si="63"/>
        <v>KZN226</v>
      </c>
      <c r="D2032" s="2">
        <v>414</v>
      </c>
      <c r="F2032" s="625"/>
      <c r="G2032" s="625"/>
      <c r="H2032" s="625"/>
      <c r="I2032" s="625"/>
      <c r="J2032" s="625"/>
      <c r="K2032" s="625"/>
      <c r="L2032" s="627"/>
      <c r="M2032" s="627"/>
      <c r="N2032" s="627"/>
      <c r="O2032" s="627"/>
      <c r="P2032" s="627"/>
      <c r="W2032" t="s">
        <v>2047</v>
      </c>
    </row>
    <row r="2033" spans="1:23" ht="13.15" customHeight="1" x14ac:dyDescent="0.2">
      <c r="A2033" s="2" t="s">
        <v>2200</v>
      </c>
      <c r="B2033" s="2">
        <f t="shared" si="62"/>
        <v>2022</v>
      </c>
      <c r="C2033" s="2" t="str">
        <f t="shared" si="63"/>
        <v>KZN226</v>
      </c>
      <c r="D2033" s="2">
        <v>415</v>
      </c>
      <c r="F2033" s="625"/>
      <c r="G2033" s="625"/>
      <c r="H2033" s="625"/>
      <c r="I2033" s="625"/>
      <c r="J2033" s="625"/>
      <c r="K2033" s="625"/>
      <c r="L2033" s="627"/>
      <c r="M2033" s="627"/>
      <c r="N2033" s="627"/>
      <c r="O2033" s="627"/>
      <c r="P2033" s="627"/>
      <c r="W2033" t="s">
        <v>2047</v>
      </c>
    </row>
    <row r="2034" spans="1:23" ht="13.15" customHeight="1" x14ac:dyDescent="0.2">
      <c r="A2034" s="2" t="s">
        <v>2200</v>
      </c>
      <c r="B2034" s="2">
        <f t="shared" si="62"/>
        <v>2022</v>
      </c>
      <c r="C2034" s="2" t="str">
        <f t="shared" si="63"/>
        <v>KZN226</v>
      </c>
      <c r="D2034" s="2">
        <v>416</v>
      </c>
      <c r="F2034" s="625"/>
      <c r="G2034" s="625"/>
      <c r="H2034" s="625"/>
      <c r="I2034" s="625"/>
      <c r="J2034" s="625"/>
      <c r="K2034" s="625"/>
      <c r="L2034" s="627"/>
      <c r="M2034" s="627"/>
      <c r="N2034" s="627"/>
      <c r="O2034" s="627"/>
      <c r="P2034" s="627"/>
      <c r="W2034" t="s">
        <v>2047</v>
      </c>
    </row>
    <row r="2035" spans="1:23" ht="13.15" customHeight="1" x14ac:dyDescent="0.2">
      <c r="A2035" s="2" t="s">
        <v>2200</v>
      </c>
      <c r="B2035" s="2">
        <f t="shared" si="62"/>
        <v>2022</v>
      </c>
      <c r="C2035" s="2" t="str">
        <f t="shared" si="63"/>
        <v>KZN226</v>
      </c>
      <c r="D2035" s="2">
        <v>417</v>
      </c>
      <c r="F2035" s="625"/>
      <c r="G2035" s="625"/>
      <c r="H2035" s="625"/>
      <c r="I2035" s="625"/>
      <c r="J2035" s="625"/>
      <c r="K2035" s="625"/>
      <c r="L2035" s="627"/>
      <c r="M2035" s="627"/>
      <c r="N2035" s="627"/>
      <c r="O2035" s="627"/>
      <c r="P2035" s="627"/>
      <c r="W2035" t="s">
        <v>2047</v>
      </c>
    </row>
    <row r="2036" spans="1:23" ht="13.15" customHeight="1" x14ac:dyDescent="0.2">
      <c r="A2036" s="2" t="s">
        <v>2200</v>
      </c>
      <c r="B2036" s="2">
        <f t="shared" si="62"/>
        <v>2022</v>
      </c>
      <c r="C2036" s="2" t="str">
        <f t="shared" si="63"/>
        <v>KZN226</v>
      </c>
      <c r="D2036" s="2">
        <v>418</v>
      </c>
      <c r="F2036" s="625"/>
      <c r="G2036" s="625"/>
      <c r="H2036" s="625"/>
      <c r="I2036" s="625"/>
      <c r="J2036" s="625"/>
      <c r="K2036" s="625"/>
      <c r="L2036" s="627"/>
      <c r="M2036" s="627"/>
      <c r="N2036" s="627"/>
      <c r="O2036" s="627"/>
      <c r="P2036" s="627"/>
      <c r="W2036" t="s">
        <v>2047</v>
      </c>
    </row>
    <row r="2037" spans="1:23" ht="13.15" customHeight="1" x14ac:dyDescent="0.2">
      <c r="A2037" s="2" t="s">
        <v>2200</v>
      </c>
      <c r="B2037" s="2">
        <f t="shared" si="62"/>
        <v>2022</v>
      </c>
      <c r="C2037" s="2" t="str">
        <f t="shared" si="63"/>
        <v>KZN226</v>
      </c>
      <c r="D2037" s="2">
        <v>419</v>
      </c>
      <c r="F2037" s="625"/>
      <c r="G2037" s="625"/>
      <c r="H2037" s="625"/>
      <c r="I2037" s="625"/>
      <c r="J2037" s="625"/>
      <c r="K2037" s="625"/>
      <c r="L2037" s="627"/>
      <c r="M2037" s="627"/>
      <c r="N2037" s="627"/>
      <c r="O2037" s="627"/>
      <c r="P2037" s="627"/>
      <c r="W2037" t="s">
        <v>2047</v>
      </c>
    </row>
    <row r="2038" spans="1:23" ht="13.15" customHeight="1" x14ac:dyDescent="0.2">
      <c r="A2038" s="2" t="s">
        <v>2200</v>
      </c>
      <c r="B2038" s="2">
        <f t="shared" si="62"/>
        <v>2022</v>
      </c>
      <c r="C2038" s="2" t="str">
        <f t="shared" si="63"/>
        <v>KZN226</v>
      </c>
      <c r="D2038" s="2">
        <v>420</v>
      </c>
      <c r="F2038" s="625"/>
      <c r="G2038" s="625"/>
      <c r="H2038" s="625"/>
      <c r="I2038" s="625"/>
      <c r="J2038" s="625"/>
      <c r="K2038" s="625"/>
      <c r="L2038" s="627"/>
      <c r="M2038" s="627"/>
      <c r="N2038" s="627"/>
      <c r="O2038" s="627"/>
      <c r="P2038" s="627"/>
      <c r="W2038" t="s">
        <v>2047</v>
      </c>
    </row>
    <row r="2039" spans="1:23" ht="13.15" customHeight="1" x14ac:dyDescent="0.2">
      <c r="A2039" s="2" t="s">
        <v>2200</v>
      </c>
      <c r="B2039" s="2">
        <f t="shared" si="62"/>
        <v>2022</v>
      </c>
      <c r="C2039" s="2" t="str">
        <f t="shared" si="63"/>
        <v>KZN226</v>
      </c>
      <c r="D2039" s="2">
        <v>421</v>
      </c>
      <c r="F2039" s="625"/>
      <c r="G2039" s="625"/>
      <c r="H2039" s="625"/>
      <c r="I2039" s="625"/>
      <c r="J2039" s="625"/>
      <c r="K2039" s="625"/>
      <c r="L2039" s="627"/>
      <c r="M2039" s="627"/>
      <c r="N2039" s="627"/>
      <c r="O2039" s="627"/>
      <c r="P2039" s="627"/>
      <c r="W2039" t="s">
        <v>2047</v>
      </c>
    </row>
    <row r="2040" spans="1:23" ht="13.15" customHeight="1" x14ac:dyDescent="0.2">
      <c r="A2040" s="2" t="s">
        <v>2200</v>
      </c>
      <c r="B2040" s="2">
        <f t="shared" si="62"/>
        <v>2022</v>
      </c>
      <c r="C2040" s="2" t="str">
        <f t="shared" si="63"/>
        <v>KZN226</v>
      </c>
      <c r="D2040" s="2">
        <v>422</v>
      </c>
      <c r="F2040" s="625"/>
      <c r="G2040" s="625"/>
      <c r="H2040" s="625"/>
      <c r="I2040" s="625"/>
      <c r="J2040" s="625"/>
      <c r="K2040" s="625"/>
      <c r="L2040" s="627"/>
      <c r="M2040" s="627"/>
      <c r="N2040" s="627"/>
      <c r="O2040" s="627"/>
      <c r="P2040" s="627"/>
      <c r="W2040" t="s">
        <v>2047</v>
      </c>
    </row>
    <row r="2041" spans="1:23" ht="13.15" customHeight="1" x14ac:dyDescent="0.2">
      <c r="A2041" s="2" t="s">
        <v>2200</v>
      </c>
      <c r="B2041" s="2">
        <f t="shared" si="62"/>
        <v>2022</v>
      </c>
      <c r="C2041" s="2" t="str">
        <f t="shared" si="63"/>
        <v>KZN226</v>
      </c>
      <c r="D2041" s="2">
        <v>423</v>
      </c>
      <c r="F2041" s="625"/>
      <c r="G2041" s="625"/>
      <c r="H2041" s="625"/>
      <c r="I2041" s="625"/>
      <c r="J2041" s="625"/>
      <c r="K2041" s="625"/>
      <c r="L2041" s="627"/>
      <c r="M2041" s="627"/>
      <c r="N2041" s="627"/>
      <c r="O2041" s="627"/>
      <c r="P2041" s="627"/>
      <c r="W2041" t="s">
        <v>2047</v>
      </c>
    </row>
    <row r="2042" spans="1:23" ht="13.15" customHeight="1" x14ac:dyDescent="0.2">
      <c r="A2042" s="2" t="s">
        <v>2200</v>
      </c>
      <c r="B2042" s="2">
        <f t="shared" si="62"/>
        <v>2022</v>
      </c>
      <c r="C2042" s="2" t="str">
        <f t="shared" si="63"/>
        <v>KZN226</v>
      </c>
      <c r="D2042" s="2">
        <v>424</v>
      </c>
      <c r="F2042" s="625"/>
      <c r="G2042" s="625"/>
      <c r="H2042" s="625"/>
      <c r="I2042" s="625"/>
      <c r="J2042" s="625"/>
      <c r="K2042" s="625"/>
      <c r="L2042" s="627"/>
      <c r="M2042" s="627"/>
      <c r="N2042" s="627"/>
      <c r="O2042" s="627"/>
      <c r="P2042" s="627"/>
      <c r="W2042" t="s">
        <v>2047</v>
      </c>
    </row>
    <row r="2043" spans="1:23" ht="13.15" customHeight="1" x14ac:dyDescent="0.2">
      <c r="A2043" s="2" t="s">
        <v>2200</v>
      </c>
      <c r="B2043" s="2">
        <f t="shared" si="62"/>
        <v>2022</v>
      </c>
      <c r="C2043" s="2" t="str">
        <f t="shared" si="63"/>
        <v>KZN226</v>
      </c>
      <c r="D2043" s="2">
        <v>425</v>
      </c>
      <c r="F2043" s="625"/>
      <c r="G2043" s="625"/>
      <c r="H2043" s="625"/>
      <c r="I2043" s="625"/>
      <c r="J2043" s="625"/>
      <c r="K2043" s="625"/>
      <c r="L2043" s="627"/>
      <c r="M2043" s="627"/>
      <c r="N2043" s="627"/>
      <c r="O2043" s="627"/>
      <c r="P2043" s="627"/>
      <c r="W2043" t="s">
        <v>2047</v>
      </c>
    </row>
    <row r="2044" spans="1:23" ht="13.15" customHeight="1" x14ac:dyDescent="0.2">
      <c r="A2044" s="2" t="s">
        <v>2200</v>
      </c>
      <c r="B2044" s="2">
        <f t="shared" si="62"/>
        <v>2022</v>
      </c>
      <c r="C2044" s="2" t="str">
        <f t="shared" si="63"/>
        <v>KZN226</v>
      </c>
      <c r="D2044" s="2">
        <v>426</v>
      </c>
      <c r="F2044" s="625"/>
      <c r="G2044" s="625"/>
      <c r="H2044" s="625"/>
      <c r="I2044" s="625"/>
      <c r="J2044" s="625"/>
      <c r="K2044" s="625"/>
      <c r="L2044" s="627"/>
      <c r="M2044" s="627"/>
      <c r="N2044" s="627"/>
      <c r="O2044" s="627"/>
      <c r="P2044" s="627"/>
      <c r="W2044" t="s">
        <v>2047</v>
      </c>
    </row>
    <row r="2045" spans="1:23" ht="13.15" customHeight="1" x14ac:dyDescent="0.2">
      <c r="A2045" s="2" t="s">
        <v>2200</v>
      </c>
      <c r="B2045" s="2">
        <f t="shared" si="62"/>
        <v>2022</v>
      </c>
      <c r="C2045" s="2" t="str">
        <f t="shared" si="63"/>
        <v>KZN226</v>
      </c>
      <c r="D2045" s="2">
        <v>427</v>
      </c>
      <c r="F2045" s="625"/>
      <c r="G2045" s="625"/>
      <c r="H2045" s="625"/>
      <c r="I2045" s="625"/>
      <c r="J2045" s="625"/>
      <c r="K2045" s="625"/>
      <c r="L2045" s="627"/>
      <c r="M2045" s="627"/>
      <c r="N2045" s="627"/>
      <c r="O2045" s="627"/>
      <c r="P2045" s="627"/>
      <c r="W2045" t="s">
        <v>2047</v>
      </c>
    </row>
    <row r="2046" spans="1:23" ht="13.15" customHeight="1" x14ac:dyDescent="0.2">
      <c r="A2046" s="2" t="s">
        <v>2200</v>
      </c>
      <c r="B2046" s="2">
        <f t="shared" si="62"/>
        <v>2022</v>
      </c>
      <c r="C2046" s="2" t="str">
        <f t="shared" si="63"/>
        <v>KZN226</v>
      </c>
      <c r="D2046" s="2">
        <v>428</v>
      </c>
      <c r="F2046" s="625"/>
      <c r="G2046" s="625"/>
      <c r="H2046" s="625"/>
      <c r="I2046" s="625"/>
      <c r="J2046" s="625"/>
      <c r="K2046" s="625"/>
      <c r="L2046" s="627"/>
      <c r="M2046" s="627"/>
      <c r="N2046" s="627"/>
      <c r="O2046" s="627"/>
      <c r="P2046" s="627"/>
      <c r="W2046" t="s">
        <v>2047</v>
      </c>
    </row>
    <row r="2047" spans="1:23" ht="13.15" customHeight="1" x14ac:dyDescent="0.2">
      <c r="A2047" s="2" t="s">
        <v>2200</v>
      </c>
      <c r="B2047" s="2">
        <f t="shared" si="62"/>
        <v>2022</v>
      </c>
      <c r="C2047" s="2" t="str">
        <f t="shared" si="63"/>
        <v>KZN226</v>
      </c>
      <c r="D2047" s="2">
        <v>429</v>
      </c>
      <c r="F2047" s="625"/>
      <c r="G2047" s="625"/>
      <c r="H2047" s="625"/>
      <c r="I2047" s="625"/>
      <c r="J2047" s="625"/>
      <c r="K2047" s="625"/>
      <c r="L2047" s="627"/>
      <c r="M2047" s="627"/>
      <c r="N2047" s="627"/>
      <c r="O2047" s="627"/>
      <c r="P2047" s="627"/>
      <c r="W2047" t="s">
        <v>2047</v>
      </c>
    </row>
    <row r="2048" spans="1:23" ht="13.15" customHeight="1" x14ac:dyDescent="0.2">
      <c r="A2048" s="2" t="s">
        <v>2200</v>
      </c>
      <c r="B2048" s="2">
        <f t="shared" si="62"/>
        <v>2022</v>
      </c>
      <c r="C2048" s="2" t="str">
        <f t="shared" si="63"/>
        <v>KZN226</v>
      </c>
      <c r="D2048" s="2">
        <v>430</v>
      </c>
      <c r="F2048" s="625"/>
      <c r="G2048" s="625"/>
      <c r="H2048" s="625"/>
      <c r="I2048" s="625"/>
      <c r="J2048" s="625"/>
      <c r="K2048" s="625"/>
      <c r="L2048" s="627"/>
      <c r="M2048" s="627"/>
      <c r="N2048" s="627"/>
      <c r="O2048" s="627"/>
      <c r="P2048" s="627"/>
      <c r="W2048" t="s">
        <v>2047</v>
      </c>
    </row>
    <row r="2049" spans="1:23" ht="13.15" customHeight="1" x14ac:dyDescent="0.2">
      <c r="A2049" s="2" t="s">
        <v>2200</v>
      </c>
      <c r="B2049" s="2">
        <f t="shared" si="62"/>
        <v>2022</v>
      </c>
      <c r="C2049" s="2" t="str">
        <f t="shared" si="63"/>
        <v>KZN226</v>
      </c>
      <c r="D2049" s="2">
        <v>431</v>
      </c>
      <c r="F2049" s="625"/>
      <c r="G2049" s="625"/>
      <c r="H2049" s="625"/>
      <c r="I2049" s="625"/>
      <c r="J2049" s="625"/>
      <c r="K2049" s="625"/>
      <c r="L2049" s="627"/>
      <c r="M2049" s="627"/>
      <c r="N2049" s="627"/>
      <c r="O2049" s="627"/>
      <c r="P2049" s="627"/>
      <c r="W2049" t="s">
        <v>2047</v>
      </c>
    </row>
    <row r="2050" spans="1:23" ht="13.15" customHeight="1" x14ac:dyDescent="0.2">
      <c r="A2050" s="2" t="s">
        <v>2200</v>
      </c>
      <c r="B2050" s="2">
        <f t="shared" ref="B2050:B2113" si="64">+MTREF</f>
        <v>2022</v>
      </c>
      <c r="C2050" s="2" t="str">
        <f t="shared" ref="C2050:C2113" si="65">LEFT(muni,(FIND(" ",muni,1)-1))</f>
        <v>KZN226</v>
      </c>
      <c r="D2050" s="2">
        <v>432</v>
      </c>
      <c r="F2050" s="625"/>
      <c r="G2050" s="625"/>
      <c r="H2050" s="625"/>
      <c r="I2050" s="625"/>
      <c r="J2050" s="625"/>
      <c r="K2050" s="625"/>
      <c r="L2050" s="627"/>
      <c r="M2050" s="627"/>
      <c r="N2050" s="627"/>
      <c r="O2050" s="627"/>
      <c r="P2050" s="627"/>
      <c r="W2050" t="s">
        <v>2047</v>
      </c>
    </row>
    <row r="2051" spans="1:23" ht="13.15" customHeight="1" x14ac:dyDescent="0.2">
      <c r="A2051" s="2" t="s">
        <v>2200</v>
      </c>
      <c r="B2051" s="2">
        <f t="shared" si="64"/>
        <v>2022</v>
      </c>
      <c r="C2051" s="2" t="str">
        <f t="shared" si="65"/>
        <v>KZN226</v>
      </c>
      <c r="D2051" s="2">
        <v>433</v>
      </c>
      <c r="F2051" s="625"/>
      <c r="G2051" s="625"/>
      <c r="H2051" s="625"/>
      <c r="I2051" s="625"/>
      <c r="J2051" s="625"/>
      <c r="K2051" s="625"/>
      <c r="L2051" s="627"/>
      <c r="M2051" s="627"/>
      <c r="N2051" s="627"/>
      <c r="O2051" s="627"/>
      <c r="P2051" s="627"/>
      <c r="W2051" t="s">
        <v>2047</v>
      </c>
    </row>
    <row r="2052" spans="1:23" ht="13.15" customHeight="1" x14ac:dyDescent="0.2">
      <c r="A2052" s="2" t="s">
        <v>2200</v>
      </c>
      <c r="B2052" s="2">
        <f t="shared" si="64"/>
        <v>2022</v>
      </c>
      <c r="C2052" s="2" t="str">
        <f t="shared" si="65"/>
        <v>KZN226</v>
      </c>
      <c r="D2052" s="2">
        <v>434</v>
      </c>
      <c r="F2052" s="625"/>
      <c r="G2052" s="625"/>
      <c r="H2052" s="625"/>
      <c r="I2052" s="625"/>
      <c r="J2052" s="625"/>
      <c r="K2052" s="625"/>
      <c r="L2052" s="627"/>
      <c r="M2052" s="627"/>
      <c r="N2052" s="627"/>
      <c r="O2052" s="627"/>
      <c r="P2052" s="627"/>
      <c r="W2052" t="s">
        <v>2047</v>
      </c>
    </row>
    <row r="2053" spans="1:23" ht="13.15" customHeight="1" x14ac:dyDescent="0.2">
      <c r="A2053" s="2" t="s">
        <v>2200</v>
      </c>
      <c r="B2053" s="2">
        <f t="shared" si="64"/>
        <v>2022</v>
      </c>
      <c r="C2053" s="2" t="str">
        <f t="shared" si="65"/>
        <v>KZN226</v>
      </c>
      <c r="D2053" s="2">
        <v>435</v>
      </c>
      <c r="F2053" s="625"/>
      <c r="G2053" s="625"/>
      <c r="H2053" s="625"/>
      <c r="I2053" s="625"/>
      <c r="J2053" s="625"/>
      <c r="K2053" s="625"/>
      <c r="L2053" s="627"/>
      <c r="M2053" s="627"/>
      <c r="N2053" s="627"/>
      <c r="O2053" s="627"/>
      <c r="P2053" s="627"/>
      <c r="W2053" t="s">
        <v>2047</v>
      </c>
    </row>
    <row r="2054" spans="1:23" ht="13.15" customHeight="1" x14ac:dyDescent="0.2">
      <c r="A2054" s="2" t="s">
        <v>2200</v>
      </c>
      <c r="B2054" s="2">
        <f t="shared" si="64"/>
        <v>2022</v>
      </c>
      <c r="C2054" s="2" t="str">
        <f t="shared" si="65"/>
        <v>KZN226</v>
      </c>
      <c r="D2054" s="2">
        <v>436</v>
      </c>
      <c r="F2054" s="625"/>
      <c r="G2054" s="625"/>
      <c r="H2054" s="625"/>
      <c r="I2054" s="625"/>
      <c r="J2054" s="625"/>
      <c r="K2054" s="625"/>
      <c r="L2054" s="627"/>
      <c r="M2054" s="627"/>
      <c r="N2054" s="627"/>
      <c r="O2054" s="627"/>
      <c r="P2054" s="627"/>
      <c r="W2054" t="s">
        <v>2047</v>
      </c>
    </row>
    <row r="2055" spans="1:23" ht="13.15" customHeight="1" x14ac:dyDescent="0.2">
      <c r="A2055" s="2" t="s">
        <v>2200</v>
      </c>
      <c r="B2055" s="2">
        <f t="shared" si="64"/>
        <v>2022</v>
      </c>
      <c r="C2055" s="2" t="str">
        <f t="shared" si="65"/>
        <v>KZN226</v>
      </c>
      <c r="D2055" s="2">
        <v>437</v>
      </c>
      <c r="F2055" s="625"/>
      <c r="G2055" s="625"/>
      <c r="H2055" s="625"/>
      <c r="I2055" s="625"/>
      <c r="J2055" s="625"/>
      <c r="K2055" s="625"/>
      <c r="L2055" s="627"/>
      <c r="M2055" s="627"/>
      <c r="N2055" s="627"/>
      <c r="O2055" s="627"/>
      <c r="P2055" s="627"/>
      <c r="W2055" t="s">
        <v>2047</v>
      </c>
    </row>
    <row r="2056" spans="1:23" ht="13.15" customHeight="1" x14ac:dyDescent="0.2">
      <c r="A2056" s="2" t="s">
        <v>2200</v>
      </c>
      <c r="B2056" s="2">
        <f t="shared" si="64"/>
        <v>2022</v>
      </c>
      <c r="C2056" s="2" t="str">
        <f t="shared" si="65"/>
        <v>KZN226</v>
      </c>
      <c r="D2056" s="2">
        <v>438</v>
      </c>
      <c r="F2056" s="625"/>
      <c r="G2056" s="625"/>
      <c r="H2056" s="625"/>
      <c r="I2056" s="625"/>
      <c r="J2056" s="625"/>
      <c r="K2056" s="625"/>
      <c r="L2056" s="627"/>
      <c r="M2056" s="627"/>
      <c r="N2056" s="627"/>
      <c r="O2056" s="627"/>
      <c r="P2056" s="627"/>
      <c r="W2056" t="s">
        <v>2047</v>
      </c>
    </row>
    <row r="2057" spans="1:23" ht="13.15" customHeight="1" x14ac:dyDescent="0.2">
      <c r="A2057" s="2" t="s">
        <v>2200</v>
      </c>
      <c r="B2057" s="2">
        <f t="shared" si="64"/>
        <v>2022</v>
      </c>
      <c r="C2057" s="2" t="str">
        <f t="shared" si="65"/>
        <v>KZN226</v>
      </c>
      <c r="D2057" s="2">
        <v>439</v>
      </c>
      <c r="F2057" s="625"/>
      <c r="G2057" s="625"/>
      <c r="H2057" s="625"/>
      <c r="I2057" s="625"/>
      <c r="J2057" s="625"/>
      <c r="K2057" s="625"/>
      <c r="L2057" s="627"/>
      <c r="M2057" s="627"/>
      <c r="N2057" s="627"/>
      <c r="O2057" s="627"/>
      <c r="P2057" s="627"/>
      <c r="W2057" t="s">
        <v>2047</v>
      </c>
    </row>
    <row r="2058" spans="1:23" ht="13.15" customHeight="1" x14ac:dyDescent="0.2">
      <c r="A2058" s="2" t="s">
        <v>2200</v>
      </c>
      <c r="B2058" s="2">
        <f t="shared" si="64"/>
        <v>2022</v>
      </c>
      <c r="C2058" s="2" t="str">
        <f t="shared" si="65"/>
        <v>KZN226</v>
      </c>
      <c r="D2058" s="2">
        <v>440</v>
      </c>
      <c r="F2058" s="625"/>
      <c r="G2058" s="625"/>
      <c r="H2058" s="625"/>
      <c r="I2058" s="625"/>
      <c r="J2058" s="625"/>
      <c r="K2058" s="625"/>
      <c r="L2058" s="627"/>
      <c r="M2058" s="627"/>
      <c r="N2058" s="627"/>
      <c r="O2058" s="627"/>
      <c r="P2058" s="627"/>
      <c r="W2058" t="s">
        <v>2047</v>
      </c>
    </row>
    <row r="2059" spans="1:23" ht="13.15" customHeight="1" x14ac:dyDescent="0.2">
      <c r="A2059" s="2" t="s">
        <v>2200</v>
      </c>
      <c r="B2059" s="2">
        <f t="shared" si="64"/>
        <v>2022</v>
      </c>
      <c r="C2059" s="2" t="str">
        <f t="shared" si="65"/>
        <v>KZN226</v>
      </c>
      <c r="D2059" s="2">
        <v>441</v>
      </c>
      <c r="F2059" s="625"/>
      <c r="G2059" s="625"/>
      <c r="H2059" s="625"/>
      <c r="I2059" s="625"/>
      <c r="J2059" s="625"/>
      <c r="K2059" s="625"/>
      <c r="L2059" s="627"/>
      <c r="M2059" s="627"/>
      <c r="N2059" s="627"/>
      <c r="O2059" s="627"/>
      <c r="P2059" s="627"/>
      <c r="W2059" t="s">
        <v>2047</v>
      </c>
    </row>
    <row r="2060" spans="1:23" ht="13.15" customHeight="1" x14ac:dyDescent="0.2">
      <c r="A2060" s="2" t="s">
        <v>2200</v>
      </c>
      <c r="B2060" s="2">
        <f t="shared" si="64"/>
        <v>2022</v>
      </c>
      <c r="C2060" s="2" t="str">
        <f t="shared" si="65"/>
        <v>KZN226</v>
      </c>
      <c r="D2060" s="2">
        <v>442</v>
      </c>
      <c r="F2060" s="625"/>
      <c r="G2060" s="625"/>
      <c r="H2060" s="625"/>
      <c r="I2060" s="625"/>
      <c r="J2060" s="625"/>
      <c r="K2060" s="625"/>
      <c r="L2060" s="627"/>
      <c r="M2060" s="627"/>
      <c r="N2060" s="627"/>
      <c r="O2060" s="627"/>
      <c r="P2060" s="627"/>
      <c r="W2060" t="s">
        <v>2047</v>
      </c>
    </row>
    <row r="2061" spans="1:23" ht="13.15" customHeight="1" x14ac:dyDescent="0.2">
      <c r="A2061" s="2" t="s">
        <v>2200</v>
      </c>
      <c r="B2061" s="2">
        <f t="shared" si="64"/>
        <v>2022</v>
      </c>
      <c r="C2061" s="2" t="str">
        <f t="shared" si="65"/>
        <v>KZN226</v>
      </c>
      <c r="D2061" s="2">
        <v>443</v>
      </c>
      <c r="F2061" s="625"/>
      <c r="G2061" s="625"/>
      <c r="H2061" s="625"/>
      <c r="I2061" s="625"/>
      <c r="J2061" s="625"/>
      <c r="K2061" s="625"/>
      <c r="L2061" s="627"/>
      <c r="M2061" s="627"/>
      <c r="N2061" s="627"/>
      <c r="O2061" s="627"/>
      <c r="P2061" s="627"/>
      <c r="W2061" t="s">
        <v>2047</v>
      </c>
    </row>
    <row r="2062" spans="1:23" ht="13.15" customHeight="1" x14ac:dyDescent="0.2">
      <c r="A2062" s="2" t="s">
        <v>2200</v>
      </c>
      <c r="B2062" s="2">
        <f t="shared" si="64"/>
        <v>2022</v>
      </c>
      <c r="C2062" s="2" t="str">
        <f t="shared" si="65"/>
        <v>KZN226</v>
      </c>
      <c r="D2062" s="2">
        <v>444</v>
      </c>
      <c r="F2062" s="625"/>
      <c r="G2062" s="625"/>
      <c r="H2062" s="625"/>
      <c r="I2062" s="625"/>
      <c r="J2062" s="625"/>
      <c r="K2062" s="625"/>
      <c r="L2062" s="627"/>
      <c r="M2062" s="627"/>
      <c r="N2062" s="627"/>
      <c r="O2062" s="627"/>
      <c r="P2062" s="627"/>
      <c r="W2062" t="s">
        <v>2047</v>
      </c>
    </row>
    <row r="2063" spans="1:23" ht="13.15" customHeight="1" x14ac:dyDescent="0.2">
      <c r="A2063" s="2" t="s">
        <v>2200</v>
      </c>
      <c r="B2063" s="2">
        <f t="shared" si="64"/>
        <v>2022</v>
      </c>
      <c r="C2063" s="2" t="str">
        <f t="shared" si="65"/>
        <v>KZN226</v>
      </c>
      <c r="D2063" s="2">
        <v>445</v>
      </c>
      <c r="F2063" s="625"/>
      <c r="G2063" s="625"/>
      <c r="H2063" s="625"/>
      <c r="I2063" s="625"/>
      <c r="J2063" s="625"/>
      <c r="K2063" s="625"/>
      <c r="L2063" s="627"/>
      <c r="M2063" s="627"/>
      <c r="N2063" s="627"/>
      <c r="O2063" s="627"/>
      <c r="P2063" s="627"/>
      <c r="W2063" t="s">
        <v>2047</v>
      </c>
    </row>
    <row r="2064" spans="1:23" ht="13.15" customHeight="1" x14ac:dyDescent="0.2">
      <c r="A2064" s="2" t="s">
        <v>2200</v>
      </c>
      <c r="B2064" s="2">
        <f t="shared" si="64"/>
        <v>2022</v>
      </c>
      <c r="C2064" s="2" t="str">
        <f t="shared" si="65"/>
        <v>KZN226</v>
      </c>
      <c r="D2064" s="2">
        <v>446</v>
      </c>
      <c r="F2064" s="625"/>
      <c r="G2064" s="625"/>
      <c r="H2064" s="625"/>
      <c r="I2064" s="625"/>
      <c r="J2064" s="625"/>
      <c r="K2064" s="625"/>
      <c r="L2064" s="627"/>
      <c r="M2064" s="627"/>
      <c r="N2064" s="627"/>
      <c r="O2064" s="627"/>
      <c r="P2064" s="627"/>
      <c r="W2064" t="s">
        <v>2047</v>
      </c>
    </row>
    <row r="2065" spans="1:23" ht="13.15" customHeight="1" x14ac:dyDescent="0.2">
      <c r="A2065" s="2" t="s">
        <v>2200</v>
      </c>
      <c r="B2065" s="2">
        <f t="shared" si="64"/>
        <v>2022</v>
      </c>
      <c r="C2065" s="2" t="str">
        <f t="shared" si="65"/>
        <v>KZN226</v>
      </c>
      <c r="D2065" s="2">
        <v>447</v>
      </c>
      <c r="F2065" s="625"/>
      <c r="G2065" s="625"/>
      <c r="H2065" s="625"/>
      <c r="I2065" s="625"/>
      <c r="J2065" s="625"/>
      <c r="K2065" s="625"/>
      <c r="L2065" s="627"/>
      <c r="M2065" s="627"/>
      <c r="N2065" s="627"/>
      <c r="O2065" s="627"/>
      <c r="P2065" s="627"/>
      <c r="W2065" t="s">
        <v>2047</v>
      </c>
    </row>
    <row r="2066" spans="1:23" ht="13.15" customHeight="1" x14ac:dyDescent="0.2">
      <c r="A2066" s="2" t="s">
        <v>2200</v>
      </c>
      <c r="B2066" s="2">
        <f t="shared" si="64"/>
        <v>2022</v>
      </c>
      <c r="C2066" s="2" t="str">
        <f t="shared" si="65"/>
        <v>KZN226</v>
      </c>
      <c r="D2066" s="2">
        <v>448</v>
      </c>
      <c r="F2066" s="625"/>
      <c r="G2066" s="625"/>
      <c r="H2066" s="625"/>
      <c r="I2066" s="625"/>
      <c r="J2066" s="625"/>
      <c r="K2066" s="625"/>
      <c r="L2066" s="627"/>
      <c r="M2066" s="627"/>
      <c r="N2066" s="627"/>
      <c r="O2066" s="627"/>
      <c r="P2066" s="627"/>
      <c r="W2066" t="s">
        <v>2047</v>
      </c>
    </row>
    <row r="2067" spans="1:23" ht="13.15" customHeight="1" x14ac:dyDescent="0.2">
      <c r="A2067" s="2" t="s">
        <v>2200</v>
      </c>
      <c r="B2067" s="2">
        <f t="shared" si="64"/>
        <v>2022</v>
      </c>
      <c r="C2067" s="2" t="str">
        <f t="shared" si="65"/>
        <v>KZN226</v>
      </c>
      <c r="D2067" s="2">
        <v>449</v>
      </c>
      <c r="F2067" s="625"/>
      <c r="G2067" s="625"/>
      <c r="H2067" s="625"/>
      <c r="I2067" s="625"/>
      <c r="J2067" s="625"/>
      <c r="K2067" s="625"/>
      <c r="L2067" s="627"/>
      <c r="M2067" s="627"/>
      <c r="N2067" s="627"/>
      <c r="O2067" s="627"/>
      <c r="P2067" s="627"/>
      <c r="W2067" t="s">
        <v>2047</v>
      </c>
    </row>
    <row r="2068" spans="1:23" ht="13.15" customHeight="1" x14ac:dyDescent="0.2">
      <c r="A2068" s="2" t="s">
        <v>2200</v>
      </c>
      <c r="B2068" s="2">
        <f t="shared" si="64"/>
        <v>2022</v>
      </c>
      <c r="C2068" s="2" t="str">
        <f t="shared" si="65"/>
        <v>KZN226</v>
      </c>
      <c r="D2068" s="2">
        <v>450</v>
      </c>
      <c r="F2068" s="625"/>
      <c r="G2068" s="625"/>
      <c r="H2068" s="625"/>
      <c r="I2068" s="625"/>
      <c r="J2068" s="625"/>
      <c r="K2068" s="625"/>
      <c r="L2068" s="627"/>
      <c r="M2068" s="627"/>
      <c r="N2068" s="627"/>
      <c r="O2068" s="627"/>
      <c r="P2068" s="627"/>
      <c r="W2068" t="s">
        <v>2047</v>
      </c>
    </row>
    <row r="2069" spans="1:23" ht="13.15" customHeight="1" x14ac:dyDescent="0.2">
      <c r="A2069" s="2" t="s">
        <v>2200</v>
      </c>
      <c r="B2069" s="2">
        <f t="shared" si="64"/>
        <v>2022</v>
      </c>
      <c r="C2069" s="2" t="str">
        <f t="shared" si="65"/>
        <v>KZN226</v>
      </c>
      <c r="D2069" s="2">
        <v>451</v>
      </c>
      <c r="F2069" s="625"/>
      <c r="G2069" s="625"/>
      <c r="H2069" s="625"/>
      <c r="I2069" s="625"/>
      <c r="J2069" s="625"/>
      <c r="K2069" s="625"/>
      <c r="L2069" s="627"/>
      <c r="M2069" s="627"/>
      <c r="N2069" s="627"/>
      <c r="O2069" s="627"/>
      <c r="P2069" s="627"/>
      <c r="W2069" t="s">
        <v>2047</v>
      </c>
    </row>
    <row r="2070" spans="1:23" ht="13.15" customHeight="1" x14ac:dyDescent="0.2">
      <c r="A2070" s="2" t="s">
        <v>2200</v>
      </c>
      <c r="B2070" s="2">
        <f t="shared" si="64"/>
        <v>2022</v>
      </c>
      <c r="C2070" s="2" t="str">
        <f t="shared" si="65"/>
        <v>KZN226</v>
      </c>
      <c r="D2070" s="2">
        <v>452</v>
      </c>
      <c r="F2070" s="625"/>
      <c r="G2070" s="625"/>
      <c r="H2070" s="625"/>
      <c r="I2070" s="625"/>
      <c r="J2070" s="625"/>
      <c r="K2070" s="625"/>
      <c r="L2070" s="627"/>
      <c r="M2070" s="627"/>
      <c r="N2070" s="627"/>
      <c r="O2070" s="627"/>
      <c r="P2070" s="627"/>
      <c r="W2070" t="s">
        <v>2047</v>
      </c>
    </row>
    <row r="2071" spans="1:23" ht="13.15" customHeight="1" x14ac:dyDescent="0.2">
      <c r="A2071" s="2" t="s">
        <v>2200</v>
      </c>
      <c r="B2071" s="2">
        <f t="shared" si="64"/>
        <v>2022</v>
      </c>
      <c r="C2071" s="2" t="str">
        <f t="shared" si="65"/>
        <v>KZN226</v>
      </c>
      <c r="D2071" s="2">
        <v>453</v>
      </c>
      <c r="F2071" s="625"/>
      <c r="G2071" s="625"/>
      <c r="H2071" s="625"/>
      <c r="I2071" s="625"/>
      <c r="J2071" s="625"/>
      <c r="K2071" s="625"/>
      <c r="L2071" s="627"/>
      <c r="M2071" s="627"/>
      <c r="N2071" s="627"/>
      <c r="O2071" s="627"/>
      <c r="P2071" s="627"/>
      <c r="W2071" t="s">
        <v>2047</v>
      </c>
    </row>
    <row r="2072" spans="1:23" ht="13.15" customHeight="1" x14ac:dyDescent="0.2">
      <c r="A2072" s="2" t="s">
        <v>2200</v>
      </c>
      <c r="B2072" s="2">
        <f t="shared" si="64"/>
        <v>2022</v>
      </c>
      <c r="C2072" s="2" t="str">
        <f t="shared" si="65"/>
        <v>KZN226</v>
      </c>
      <c r="D2072" s="2">
        <v>454</v>
      </c>
      <c r="F2072" s="625"/>
      <c r="G2072" s="625"/>
      <c r="H2072" s="625"/>
      <c r="I2072" s="625"/>
      <c r="J2072" s="625"/>
      <c r="K2072" s="625"/>
      <c r="L2072" s="627"/>
      <c r="M2072" s="627"/>
      <c r="N2072" s="627"/>
      <c r="O2072" s="627"/>
      <c r="P2072" s="627"/>
      <c r="W2072" t="s">
        <v>2047</v>
      </c>
    </row>
    <row r="2073" spans="1:23" ht="13.15" customHeight="1" x14ac:dyDescent="0.2">
      <c r="A2073" s="2" t="s">
        <v>2200</v>
      </c>
      <c r="B2073" s="2">
        <f t="shared" si="64"/>
        <v>2022</v>
      </c>
      <c r="C2073" s="2" t="str">
        <f t="shared" si="65"/>
        <v>KZN226</v>
      </c>
      <c r="D2073" s="2">
        <v>455</v>
      </c>
      <c r="F2073" s="625"/>
      <c r="G2073" s="625"/>
      <c r="H2073" s="625"/>
      <c r="I2073" s="625"/>
      <c r="J2073" s="625"/>
      <c r="K2073" s="625"/>
      <c r="L2073" s="627"/>
      <c r="M2073" s="627"/>
      <c r="N2073" s="627"/>
      <c r="O2073" s="627"/>
      <c r="P2073" s="627"/>
      <c r="W2073" t="s">
        <v>2047</v>
      </c>
    </row>
    <row r="2074" spans="1:23" ht="13.15" customHeight="1" x14ac:dyDescent="0.2">
      <c r="A2074" s="2" t="s">
        <v>2200</v>
      </c>
      <c r="B2074" s="2">
        <f t="shared" si="64"/>
        <v>2022</v>
      </c>
      <c r="C2074" s="2" t="str">
        <f t="shared" si="65"/>
        <v>KZN226</v>
      </c>
      <c r="D2074" s="2">
        <v>456</v>
      </c>
      <c r="F2074" s="625"/>
      <c r="G2074" s="625"/>
      <c r="H2074" s="625"/>
      <c r="I2074" s="625"/>
      <c r="J2074" s="625"/>
      <c r="K2074" s="625"/>
      <c r="L2074" s="627"/>
      <c r="M2074" s="627"/>
      <c r="N2074" s="627"/>
      <c r="O2074" s="627"/>
      <c r="P2074" s="627"/>
      <c r="W2074" t="s">
        <v>2047</v>
      </c>
    </row>
    <row r="2075" spans="1:23" ht="13.15" customHeight="1" x14ac:dyDescent="0.2">
      <c r="A2075" s="2" t="s">
        <v>2200</v>
      </c>
      <c r="B2075" s="2">
        <f t="shared" si="64"/>
        <v>2022</v>
      </c>
      <c r="C2075" s="2" t="str">
        <f t="shared" si="65"/>
        <v>KZN226</v>
      </c>
      <c r="D2075" s="2">
        <v>457</v>
      </c>
      <c r="F2075" s="625"/>
      <c r="G2075" s="625"/>
      <c r="H2075" s="625"/>
      <c r="I2075" s="625"/>
      <c r="J2075" s="625"/>
      <c r="K2075" s="625"/>
      <c r="L2075" s="627"/>
      <c r="M2075" s="627"/>
      <c r="N2075" s="627"/>
      <c r="O2075" s="627"/>
      <c r="P2075" s="627"/>
      <c r="W2075" t="s">
        <v>2047</v>
      </c>
    </row>
    <row r="2076" spans="1:23" ht="13.15" customHeight="1" x14ac:dyDescent="0.2">
      <c r="A2076" s="2" t="s">
        <v>2200</v>
      </c>
      <c r="B2076" s="2">
        <f t="shared" si="64"/>
        <v>2022</v>
      </c>
      <c r="C2076" s="2" t="str">
        <f t="shared" si="65"/>
        <v>KZN226</v>
      </c>
      <c r="D2076" s="2">
        <v>458</v>
      </c>
      <c r="F2076" s="625"/>
      <c r="G2076" s="625"/>
      <c r="H2076" s="625"/>
      <c r="I2076" s="625"/>
      <c r="J2076" s="625"/>
      <c r="K2076" s="625"/>
      <c r="L2076" s="627"/>
      <c r="M2076" s="627"/>
      <c r="N2076" s="627"/>
      <c r="O2076" s="627"/>
      <c r="P2076" s="627"/>
      <c r="W2076" t="s">
        <v>2047</v>
      </c>
    </row>
    <row r="2077" spans="1:23" ht="13.15" customHeight="1" x14ac:dyDescent="0.2">
      <c r="A2077" s="2" t="s">
        <v>2200</v>
      </c>
      <c r="B2077" s="2">
        <f t="shared" si="64"/>
        <v>2022</v>
      </c>
      <c r="C2077" s="2" t="str">
        <f t="shared" si="65"/>
        <v>KZN226</v>
      </c>
      <c r="D2077" s="2">
        <v>459</v>
      </c>
      <c r="F2077" s="625"/>
      <c r="G2077" s="625"/>
      <c r="H2077" s="625"/>
      <c r="I2077" s="625"/>
      <c r="J2077" s="625"/>
      <c r="K2077" s="625"/>
      <c r="L2077" s="627"/>
      <c r="M2077" s="627"/>
      <c r="N2077" s="627"/>
      <c r="O2077" s="627"/>
      <c r="P2077" s="627"/>
      <c r="W2077" t="s">
        <v>2047</v>
      </c>
    </row>
    <row r="2078" spans="1:23" ht="13.15" customHeight="1" x14ac:dyDescent="0.2">
      <c r="A2078" s="2" t="s">
        <v>2200</v>
      </c>
      <c r="B2078" s="2">
        <f t="shared" si="64"/>
        <v>2022</v>
      </c>
      <c r="C2078" s="2" t="str">
        <f t="shared" si="65"/>
        <v>KZN226</v>
      </c>
      <c r="D2078" s="2">
        <v>460</v>
      </c>
      <c r="F2078" s="625"/>
      <c r="G2078" s="625"/>
      <c r="H2078" s="625"/>
      <c r="I2078" s="625"/>
      <c r="J2078" s="625"/>
      <c r="K2078" s="625"/>
      <c r="L2078" s="627"/>
      <c r="M2078" s="627"/>
      <c r="N2078" s="627"/>
      <c r="O2078" s="627"/>
      <c r="P2078" s="627"/>
      <c r="W2078" t="s">
        <v>2047</v>
      </c>
    </row>
    <row r="2079" spans="1:23" ht="13.15" customHeight="1" x14ac:dyDescent="0.2">
      <c r="A2079" s="2" t="s">
        <v>2200</v>
      </c>
      <c r="B2079" s="2">
        <f t="shared" si="64"/>
        <v>2022</v>
      </c>
      <c r="C2079" s="2" t="str">
        <f t="shared" si="65"/>
        <v>KZN226</v>
      </c>
      <c r="D2079" s="2">
        <v>461</v>
      </c>
      <c r="F2079" s="625"/>
      <c r="G2079" s="625"/>
      <c r="H2079" s="625"/>
      <c r="I2079" s="625"/>
      <c r="J2079" s="625"/>
      <c r="K2079" s="625"/>
      <c r="L2079" s="627"/>
      <c r="M2079" s="627"/>
      <c r="N2079" s="627"/>
      <c r="O2079" s="627"/>
      <c r="P2079" s="627"/>
      <c r="W2079" t="s">
        <v>2047</v>
      </c>
    </row>
    <row r="2080" spans="1:23" ht="13.15" customHeight="1" x14ac:dyDescent="0.2">
      <c r="A2080" s="2" t="s">
        <v>2200</v>
      </c>
      <c r="B2080" s="2">
        <f t="shared" si="64"/>
        <v>2022</v>
      </c>
      <c r="C2080" s="2" t="str">
        <f t="shared" si="65"/>
        <v>KZN226</v>
      </c>
      <c r="D2080" s="2">
        <v>462</v>
      </c>
      <c r="F2080" s="625"/>
      <c r="G2080" s="625"/>
      <c r="H2080" s="625"/>
      <c r="I2080" s="625"/>
      <c r="J2080" s="625"/>
      <c r="K2080" s="625"/>
      <c r="L2080" s="627"/>
      <c r="M2080" s="627"/>
      <c r="N2080" s="627"/>
      <c r="O2080" s="627"/>
      <c r="P2080" s="627"/>
      <c r="W2080" t="s">
        <v>2047</v>
      </c>
    </row>
    <row r="2081" spans="1:23" ht="13.15" customHeight="1" x14ac:dyDescent="0.2">
      <c r="A2081" s="2" t="s">
        <v>2200</v>
      </c>
      <c r="B2081" s="2">
        <f t="shared" si="64"/>
        <v>2022</v>
      </c>
      <c r="C2081" s="2" t="str">
        <f t="shared" si="65"/>
        <v>KZN226</v>
      </c>
      <c r="D2081" s="2">
        <v>463</v>
      </c>
      <c r="F2081" s="625"/>
      <c r="G2081" s="625"/>
      <c r="H2081" s="625"/>
      <c r="I2081" s="625"/>
      <c r="J2081" s="625"/>
      <c r="K2081" s="625"/>
      <c r="L2081" s="627"/>
      <c r="M2081" s="627"/>
      <c r="N2081" s="627"/>
      <c r="O2081" s="627"/>
      <c r="P2081" s="627"/>
      <c r="W2081" t="s">
        <v>2047</v>
      </c>
    </row>
    <row r="2082" spans="1:23" ht="13.15" customHeight="1" x14ac:dyDescent="0.2">
      <c r="A2082" s="2" t="s">
        <v>2200</v>
      </c>
      <c r="B2082" s="2">
        <f t="shared" si="64"/>
        <v>2022</v>
      </c>
      <c r="C2082" s="2" t="str">
        <f t="shared" si="65"/>
        <v>KZN226</v>
      </c>
      <c r="D2082" s="2">
        <v>464</v>
      </c>
      <c r="F2082" s="625"/>
      <c r="G2082" s="625"/>
      <c r="H2082" s="625"/>
      <c r="I2082" s="625"/>
      <c r="J2082" s="625"/>
      <c r="K2082" s="625"/>
      <c r="L2082" s="627"/>
      <c r="M2082" s="627"/>
      <c r="N2082" s="627"/>
      <c r="O2082" s="627"/>
      <c r="P2082" s="627"/>
      <c r="W2082" t="s">
        <v>2047</v>
      </c>
    </row>
    <row r="2083" spans="1:23" ht="13.15" customHeight="1" x14ac:dyDescent="0.2">
      <c r="A2083" s="2" t="s">
        <v>2200</v>
      </c>
      <c r="B2083" s="2">
        <f t="shared" si="64"/>
        <v>2022</v>
      </c>
      <c r="C2083" s="2" t="str">
        <f t="shared" si="65"/>
        <v>KZN226</v>
      </c>
      <c r="D2083" s="2">
        <v>465</v>
      </c>
      <c r="F2083" s="625"/>
      <c r="G2083" s="625"/>
      <c r="H2083" s="625"/>
      <c r="I2083" s="625"/>
      <c r="J2083" s="625"/>
      <c r="K2083" s="625"/>
      <c r="L2083" s="627"/>
      <c r="M2083" s="627"/>
      <c r="N2083" s="627"/>
      <c r="O2083" s="627"/>
      <c r="P2083" s="627"/>
      <c r="W2083" t="s">
        <v>2047</v>
      </c>
    </row>
    <row r="2084" spans="1:23" ht="13.15" customHeight="1" x14ac:dyDescent="0.2">
      <c r="A2084" s="2" t="s">
        <v>2200</v>
      </c>
      <c r="B2084" s="2">
        <f t="shared" si="64"/>
        <v>2022</v>
      </c>
      <c r="C2084" s="2" t="str">
        <f t="shared" si="65"/>
        <v>KZN226</v>
      </c>
      <c r="D2084" s="2">
        <v>466</v>
      </c>
      <c r="F2084" s="625"/>
      <c r="G2084" s="625"/>
      <c r="H2084" s="625"/>
      <c r="I2084" s="625"/>
      <c r="J2084" s="625"/>
      <c r="K2084" s="625"/>
      <c r="L2084" s="627"/>
      <c r="M2084" s="627"/>
      <c r="N2084" s="627"/>
      <c r="O2084" s="627"/>
      <c r="P2084" s="627"/>
      <c r="W2084" t="s">
        <v>2047</v>
      </c>
    </row>
    <row r="2085" spans="1:23" ht="13.15" customHeight="1" x14ac:dyDescent="0.2">
      <c r="A2085" s="2" t="s">
        <v>2200</v>
      </c>
      <c r="B2085" s="2">
        <f t="shared" si="64"/>
        <v>2022</v>
      </c>
      <c r="C2085" s="2" t="str">
        <f t="shared" si="65"/>
        <v>KZN226</v>
      </c>
      <c r="D2085" s="2">
        <v>467</v>
      </c>
      <c r="F2085" s="625"/>
      <c r="G2085" s="625"/>
      <c r="H2085" s="625"/>
      <c r="I2085" s="625"/>
      <c r="J2085" s="625"/>
      <c r="K2085" s="625"/>
      <c r="L2085" s="627"/>
      <c r="M2085" s="627"/>
      <c r="N2085" s="627"/>
      <c r="O2085" s="627"/>
      <c r="P2085" s="627"/>
      <c r="W2085" t="s">
        <v>2047</v>
      </c>
    </row>
    <row r="2086" spans="1:23" ht="13.15" customHeight="1" x14ac:dyDescent="0.2">
      <c r="A2086" s="2" t="s">
        <v>2200</v>
      </c>
      <c r="B2086" s="2">
        <f t="shared" si="64"/>
        <v>2022</v>
      </c>
      <c r="C2086" s="2" t="str">
        <f t="shared" si="65"/>
        <v>KZN226</v>
      </c>
      <c r="D2086" s="2">
        <v>468</v>
      </c>
      <c r="F2086" s="625"/>
      <c r="G2086" s="625"/>
      <c r="H2086" s="625"/>
      <c r="I2086" s="625"/>
      <c r="J2086" s="625"/>
      <c r="K2086" s="625"/>
      <c r="L2086" s="627"/>
      <c r="M2086" s="627"/>
      <c r="N2086" s="627"/>
      <c r="O2086" s="627"/>
      <c r="P2086" s="627"/>
      <c r="W2086" t="s">
        <v>2047</v>
      </c>
    </row>
    <row r="2087" spans="1:23" ht="13.15" customHeight="1" x14ac:dyDescent="0.2">
      <c r="A2087" s="2" t="s">
        <v>2200</v>
      </c>
      <c r="B2087" s="2">
        <f t="shared" si="64"/>
        <v>2022</v>
      </c>
      <c r="C2087" s="2" t="str">
        <f t="shared" si="65"/>
        <v>KZN226</v>
      </c>
      <c r="D2087" s="2">
        <v>469</v>
      </c>
      <c r="F2087" s="625"/>
      <c r="G2087" s="625"/>
      <c r="H2087" s="625"/>
      <c r="I2087" s="625"/>
      <c r="J2087" s="625"/>
      <c r="K2087" s="625"/>
      <c r="L2087" s="627"/>
      <c r="M2087" s="627"/>
      <c r="N2087" s="627"/>
      <c r="O2087" s="627"/>
      <c r="P2087" s="627"/>
      <c r="W2087" t="s">
        <v>2047</v>
      </c>
    </row>
    <row r="2088" spans="1:23" ht="13.15" customHeight="1" x14ac:dyDescent="0.2">
      <c r="A2088" s="2" t="s">
        <v>2200</v>
      </c>
      <c r="B2088" s="2">
        <f t="shared" si="64"/>
        <v>2022</v>
      </c>
      <c r="C2088" s="2" t="str">
        <f t="shared" si="65"/>
        <v>KZN226</v>
      </c>
      <c r="D2088" s="2">
        <v>470</v>
      </c>
      <c r="F2088" s="625"/>
      <c r="G2088" s="625"/>
      <c r="H2088" s="625"/>
      <c r="I2088" s="625"/>
      <c r="J2088" s="625"/>
      <c r="K2088" s="625"/>
      <c r="L2088" s="627"/>
      <c r="M2088" s="627"/>
      <c r="N2088" s="627"/>
      <c r="O2088" s="627"/>
      <c r="P2088" s="627"/>
      <c r="W2088" t="s">
        <v>2047</v>
      </c>
    </row>
    <row r="2089" spans="1:23" ht="13.15" customHeight="1" x14ac:dyDescent="0.2">
      <c r="A2089" s="2" t="s">
        <v>2200</v>
      </c>
      <c r="B2089" s="2">
        <f t="shared" si="64"/>
        <v>2022</v>
      </c>
      <c r="C2089" s="2" t="str">
        <f t="shared" si="65"/>
        <v>KZN226</v>
      </c>
      <c r="D2089" s="2">
        <v>471</v>
      </c>
      <c r="F2089" s="625"/>
      <c r="G2089" s="625"/>
      <c r="H2089" s="625"/>
      <c r="I2089" s="625"/>
      <c r="J2089" s="625"/>
      <c r="K2089" s="625"/>
      <c r="L2089" s="627"/>
      <c r="M2089" s="627"/>
      <c r="N2089" s="627"/>
      <c r="O2089" s="627"/>
      <c r="P2089" s="627"/>
      <c r="W2089" t="s">
        <v>2047</v>
      </c>
    </row>
    <row r="2090" spans="1:23" ht="13.15" customHeight="1" x14ac:dyDescent="0.2">
      <c r="A2090" s="2" t="s">
        <v>2200</v>
      </c>
      <c r="B2090" s="2">
        <f t="shared" si="64"/>
        <v>2022</v>
      </c>
      <c r="C2090" s="2" t="str">
        <f t="shared" si="65"/>
        <v>KZN226</v>
      </c>
      <c r="D2090" s="2">
        <v>472</v>
      </c>
      <c r="F2090" s="625"/>
      <c r="G2090" s="625"/>
      <c r="H2090" s="625"/>
      <c r="I2090" s="625"/>
      <c r="J2090" s="625"/>
      <c r="K2090" s="625"/>
      <c r="L2090" s="627"/>
      <c r="M2090" s="627"/>
      <c r="N2090" s="627"/>
      <c r="O2090" s="627"/>
      <c r="P2090" s="627"/>
      <c r="W2090" t="s">
        <v>2047</v>
      </c>
    </row>
    <row r="2091" spans="1:23" ht="13.15" customHeight="1" x14ac:dyDescent="0.2">
      <c r="A2091" s="2" t="s">
        <v>2200</v>
      </c>
      <c r="B2091" s="2">
        <f t="shared" si="64"/>
        <v>2022</v>
      </c>
      <c r="C2091" s="2" t="str">
        <f t="shared" si="65"/>
        <v>KZN226</v>
      </c>
      <c r="D2091" s="2">
        <v>473</v>
      </c>
      <c r="F2091" s="625"/>
      <c r="G2091" s="625"/>
      <c r="H2091" s="625"/>
      <c r="I2091" s="625"/>
      <c r="J2091" s="625"/>
      <c r="K2091" s="625"/>
      <c r="L2091" s="627"/>
      <c r="M2091" s="627"/>
      <c r="N2091" s="627"/>
      <c r="O2091" s="627"/>
      <c r="P2091" s="627"/>
      <c r="W2091" t="s">
        <v>2047</v>
      </c>
    </row>
    <row r="2092" spans="1:23" ht="13.15" customHeight="1" x14ac:dyDescent="0.2">
      <c r="A2092" s="2" t="s">
        <v>2200</v>
      </c>
      <c r="B2092" s="2">
        <f t="shared" si="64"/>
        <v>2022</v>
      </c>
      <c r="C2092" s="2" t="str">
        <f t="shared" si="65"/>
        <v>KZN226</v>
      </c>
      <c r="D2092" s="2">
        <v>474</v>
      </c>
      <c r="F2092" s="625"/>
      <c r="G2092" s="625"/>
      <c r="H2092" s="625"/>
      <c r="I2092" s="625"/>
      <c r="J2092" s="625"/>
      <c r="K2092" s="625"/>
      <c r="L2092" s="627"/>
      <c r="M2092" s="627"/>
      <c r="N2092" s="627"/>
      <c r="O2092" s="627"/>
      <c r="P2092" s="627"/>
      <c r="W2092" t="s">
        <v>2047</v>
      </c>
    </row>
    <row r="2093" spans="1:23" ht="13.15" customHeight="1" x14ac:dyDescent="0.2">
      <c r="A2093" s="2" t="s">
        <v>2200</v>
      </c>
      <c r="B2093" s="2">
        <f t="shared" si="64"/>
        <v>2022</v>
      </c>
      <c r="C2093" s="2" t="str">
        <f t="shared" si="65"/>
        <v>KZN226</v>
      </c>
      <c r="D2093" s="2">
        <v>475</v>
      </c>
      <c r="F2093" s="625"/>
      <c r="G2093" s="625"/>
      <c r="H2093" s="625"/>
      <c r="I2093" s="625"/>
      <c r="J2093" s="625"/>
      <c r="K2093" s="625"/>
      <c r="L2093" s="627"/>
      <c r="M2093" s="627"/>
      <c r="N2093" s="627"/>
      <c r="O2093" s="627"/>
      <c r="P2093" s="627"/>
      <c r="W2093" t="s">
        <v>2047</v>
      </c>
    </row>
    <row r="2094" spans="1:23" ht="13.15" customHeight="1" x14ac:dyDescent="0.2">
      <c r="A2094" s="2" t="s">
        <v>2200</v>
      </c>
      <c r="B2094" s="2">
        <f t="shared" si="64"/>
        <v>2022</v>
      </c>
      <c r="C2094" s="2" t="str">
        <f t="shared" si="65"/>
        <v>KZN226</v>
      </c>
      <c r="D2094" s="2">
        <v>476</v>
      </c>
      <c r="F2094" s="625"/>
      <c r="G2094" s="625"/>
      <c r="H2094" s="625"/>
      <c r="I2094" s="625"/>
      <c r="J2094" s="625"/>
      <c r="K2094" s="625"/>
      <c r="L2094" s="627"/>
      <c r="M2094" s="627"/>
      <c r="N2094" s="627"/>
      <c r="O2094" s="627"/>
      <c r="P2094" s="627"/>
      <c r="W2094" t="s">
        <v>2047</v>
      </c>
    </row>
    <row r="2095" spans="1:23" ht="13.15" customHeight="1" x14ac:dyDescent="0.2">
      <c r="A2095" s="2" t="s">
        <v>2200</v>
      </c>
      <c r="B2095" s="2">
        <f t="shared" si="64"/>
        <v>2022</v>
      </c>
      <c r="C2095" s="2" t="str">
        <f t="shared" si="65"/>
        <v>KZN226</v>
      </c>
      <c r="D2095" s="2">
        <v>477</v>
      </c>
      <c r="F2095" s="625"/>
      <c r="G2095" s="625"/>
      <c r="H2095" s="625"/>
      <c r="I2095" s="625"/>
      <c r="J2095" s="625"/>
      <c r="K2095" s="625"/>
      <c r="L2095" s="627"/>
      <c r="M2095" s="627"/>
      <c r="N2095" s="627"/>
      <c r="O2095" s="627"/>
      <c r="P2095" s="627"/>
      <c r="W2095" t="s">
        <v>2047</v>
      </c>
    </row>
    <row r="2096" spans="1:23" ht="13.15" customHeight="1" x14ac:dyDescent="0.2">
      <c r="A2096" s="2" t="s">
        <v>2200</v>
      </c>
      <c r="B2096" s="2">
        <f t="shared" si="64"/>
        <v>2022</v>
      </c>
      <c r="C2096" s="2" t="str">
        <f t="shared" si="65"/>
        <v>KZN226</v>
      </c>
      <c r="D2096" s="2">
        <v>478</v>
      </c>
      <c r="F2096" s="625"/>
      <c r="G2096" s="625"/>
      <c r="H2096" s="625"/>
      <c r="I2096" s="625"/>
      <c r="J2096" s="625"/>
      <c r="K2096" s="625"/>
      <c r="L2096" s="627"/>
      <c r="M2096" s="627"/>
      <c r="N2096" s="627"/>
      <c r="O2096" s="627"/>
      <c r="P2096" s="627"/>
      <c r="W2096" t="s">
        <v>2047</v>
      </c>
    </row>
    <row r="2097" spans="1:23" ht="13.15" customHeight="1" x14ac:dyDescent="0.2">
      <c r="A2097" s="2" t="s">
        <v>2200</v>
      </c>
      <c r="B2097" s="2">
        <f t="shared" si="64"/>
        <v>2022</v>
      </c>
      <c r="C2097" s="2" t="str">
        <f t="shared" si="65"/>
        <v>KZN226</v>
      </c>
      <c r="D2097" s="2">
        <v>479</v>
      </c>
      <c r="F2097" s="625"/>
      <c r="G2097" s="625"/>
      <c r="H2097" s="625"/>
      <c r="I2097" s="625"/>
      <c r="J2097" s="625"/>
      <c r="K2097" s="625"/>
      <c r="L2097" s="627"/>
      <c r="M2097" s="627"/>
      <c r="N2097" s="627"/>
      <c r="O2097" s="627"/>
      <c r="P2097" s="627"/>
      <c r="W2097" t="s">
        <v>2047</v>
      </c>
    </row>
    <row r="2098" spans="1:23" ht="13.15" customHeight="1" x14ac:dyDescent="0.2">
      <c r="A2098" s="2" t="s">
        <v>2200</v>
      </c>
      <c r="B2098" s="2">
        <f t="shared" si="64"/>
        <v>2022</v>
      </c>
      <c r="C2098" s="2" t="str">
        <f t="shared" si="65"/>
        <v>KZN226</v>
      </c>
      <c r="D2098" s="2">
        <v>480</v>
      </c>
      <c r="F2098" s="625"/>
      <c r="G2098" s="625"/>
      <c r="H2098" s="625"/>
      <c r="I2098" s="625"/>
      <c r="J2098" s="625"/>
      <c r="K2098" s="625"/>
      <c r="L2098" s="627"/>
      <c r="M2098" s="627"/>
      <c r="N2098" s="627"/>
      <c r="O2098" s="627"/>
      <c r="P2098" s="627"/>
      <c r="W2098" t="s">
        <v>2047</v>
      </c>
    </row>
    <row r="2099" spans="1:23" ht="13.15" customHeight="1" x14ac:dyDescent="0.2">
      <c r="A2099" s="2" t="s">
        <v>2200</v>
      </c>
      <c r="B2099" s="2">
        <f t="shared" si="64"/>
        <v>2022</v>
      </c>
      <c r="C2099" s="2" t="str">
        <f t="shared" si="65"/>
        <v>KZN226</v>
      </c>
      <c r="D2099" s="2">
        <v>481</v>
      </c>
      <c r="F2099" s="625"/>
      <c r="G2099" s="625"/>
      <c r="H2099" s="625"/>
      <c r="I2099" s="625"/>
      <c r="J2099" s="625"/>
      <c r="K2099" s="625"/>
      <c r="L2099" s="627"/>
      <c r="M2099" s="627"/>
      <c r="N2099" s="627"/>
      <c r="O2099" s="627"/>
      <c r="P2099" s="627"/>
      <c r="W2099" t="s">
        <v>2047</v>
      </c>
    </row>
    <row r="2100" spans="1:23" ht="13.15" customHeight="1" x14ac:dyDescent="0.2">
      <c r="A2100" s="2" t="s">
        <v>2200</v>
      </c>
      <c r="B2100" s="2">
        <f t="shared" si="64"/>
        <v>2022</v>
      </c>
      <c r="C2100" s="2" t="str">
        <f t="shared" si="65"/>
        <v>KZN226</v>
      </c>
      <c r="D2100" s="2">
        <v>482</v>
      </c>
      <c r="F2100" s="625"/>
      <c r="G2100" s="625"/>
      <c r="H2100" s="625"/>
      <c r="I2100" s="625"/>
      <c r="J2100" s="625"/>
      <c r="K2100" s="625"/>
      <c r="L2100" s="627"/>
      <c r="M2100" s="627"/>
      <c r="N2100" s="627"/>
      <c r="O2100" s="627"/>
      <c r="P2100" s="627"/>
      <c r="W2100" t="s">
        <v>2047</v>
      </c>
    </row>
    <row r="2101" spans="1:23" ht="13.15" customHeight="1" x14ac:dyDescent="0.2">
      <c r="A2101" s="2" t="s">
        <v>2200</v>
      </c>
      <c r="B2101" s="2">
        <f t="shared" si="64"/>
        <v>2022</v>
      </c>
      <c r="C2101" s="2" t="str">
        <f t="shared" si="65"/>
        <v>KZN226</v>
      </c>
      <c r="D2101" s="2">
        <v>483</v>
      </c>
      <c r="F2101" s="625"/>
      <c r="G2101" s="625"/>
      <c r="H2101" s="625"/>
      <c r="I2101" s="625"/>
      <c r="J2101" s="625"/>
      <c r="K2101" s="625"/>
      <c r="L2101" s="627"/>
      <c r="M2101" s="627"/>
      <c r="N2101" s="627"/>
      <c r="O2101" s="627"/>
      <c r="P2101" s="627"/>
      <c r="W2101" t="s">
        <v>2047</v>
      </c>
    </row>
    <row r="2102" spans="1:23" ht="13.15" customHeight="1" x14ac:dyDescent="0.2">
      <c r="A2102" s="2" t="s">
        <v>2200</v>
      </c>
      <c r="B2102" s="2">
        <f t="shared" si="64"/>
        <v>2022</v>
      </c>
      <c r="C2102" s="2" t="str">
        <f t="shared" si="65"/>
        <v>KZN226</v>
      </c>
      <c r="D2102" s="2">
        <v>484</v>
      </c>
      <c r="F2102" s="625"/>
      <c r="G2102" s="625"/>
      <c r="H2102" s="625"/>
      <c r="I2102" s="625"/>
      <c r="J2102" s="625"/>
      <c r="K2102" s="625"/>
      <c r="L2102" s="627"/>
      <c r="M2102" s="627"/>
      <c r="N2102" s="627"/>
      <c r="O2102" s="627"/>
      <c r="P2102" s="627"/>
      <c r="W2102" t="s">
        <v>2047</v>
      </c>
    </row>
    <row r="2103" spans="1:23" ht="13.15" customHeight="1" x14ac:dyDescent="0.2">
      <c r="A2103" s="2" t="s">
        <v>2200</v>
      </c>
      <c r="B2103" s="2">
        <f t="shared" si="64"/>
        <v>2022</v>
      </c>
      <c r="C2103" s="2" t="str">
        <f t="shared" si="65"/>
        <v>KZN226</v>
      </c>
      <c r="D2103" s="2">
        <v>485</v>
      </c>
      <c r="F2103" s="625"/>
      <c r="G2103" s="625"/>
      <c r="H2103" s="625"/>
      <c r="I2103" s="625"/>
      <c r="J2103" s="625"/>
      <c r="K2103" s="625"/>
      <c r="L2103" s="627"/>
      <c r="M2103" s="627"/>
      <c r="N2103" s="627"/>
      <c r="O2103" s="627"/>
      <c r="P2103" s="627"/>
      <c r="W2103" t="s">
        <v>2047</v>
      </c>
    </row>
    <row r="2104" spans="1:23" ht="13.15" customHeight="1" x14ac:dyDescent="0.2">
      <c r="A2104" s="2" t="s">
        <v>2200</v>
      </c>
      <c r="B2104" s="2">
        <f t="shared" si="64"/>
        <v>2022</v>
      </c>
      <c r="C2104" s="2" t="str">
        <f t="shared" si="65"/>
        <v>KZN226</v>
      </c>
      <c r="D2104" s="2">
        <v>486</v>
      </c>
      <c r="F2104" s="625"/>
      <c r="G2104" s="625"/>
      <c r="H2104" s="625"/>
      <c r="I2104" s="625"/>
      <c r="J2104" s="625"/>
      <c r="K2104" s="625"/>
      <c r="L2104" s="627"/>
      <c r="M2104" s="627"/>
      <c r="N2104" s="627"/>
      <c r="O2104" s="627"/>
      <c r="P2104" s="627"/>
      <c r="W2104" t="s">
        <v>2047</v>
      </c>
    </row>
    <row r="2105" spans="1:23" ht="13.15" customHeight="1" x14ac:dyDescent="0.2">
      <c r="A2105" s="2" t="s">
        <v>2200</v>
      </c>
      <c r="B2105" s="2">
        <f t="shared" si="64"/>
        <v>2022</v>
      </c>
      <c r="C2105" s="2" t="str">
        <f t="shared" si="65"/>
        <v>KZN226</v>
      </c>
      <c r="D2105" s="2">
        <v>487</v>
      </c>
      <c r="F2105" s="625"/>
      <c r="G2105" s="625"/>
      <c r="H2105" s="625"/>
      <c r="I2105" s="625"/>
      <c r="J2105" s="625"/>
      <c r="K2105" s="625"/>
      <c r="L2105" s="627"/>
      <c r="M2105" s="627"/>
      <c r="N2105" s="627"/>
      <c r="O2105" s="627"/>
      <c r="P2105" s="627"/>
      <c r="W2105" t="s">
        <v>2047</v>
      </c>
    </row>
    <row r="2106" spans="1:23" ht="13.15" customHeight="1" x14ac:dyDescent="0.2">
      <c r="A2106" s="2" t="s">
        <v>2200</v>
      </c>
      <c r="B2106" s="2">
        <f t="shared" si="64"/>
        <v>2022</v>
      </c>
      <c r="C2106" s="2" t="str">
        <f t="shared" si="65"/>
        <v>KZN226</v>
      </c>
      <c r="D2106" s="2">
        <v>488</v>
      </c>
      <c r="F2106" s="625"/>
      <c r="G2106" s="625"/>
      <c r="H2106" s="625"/>
      <c r="I2106" s="625"/>
      <c r="J2106" s="625"/>
      <c r="K2106" s="625"/>
      <c r="L2106" s="627"/>
      <c r="M2106" s="627"/>
      <c r="N2106" s="627"/>
      <c r="O2106" s="627"/>
      <c r="P2106" s="627"/>
      <c r="W2106" t="s">
        <v>2047</v>
      </c>
    </row>
    <row r="2107" spans="1:23" ht="13.15" customHeight="1" x14ac:dyDescent="0.2">
      <c r="A2107" s="2" t="s">
        <v>2200</v>
      </c>
      <c r="B2107" s="2">
        <f t="shared" si="64"/>
        <v>2022</v>
      </c>
      <c r="C2107" s="2" t="str">
        <f t="shared" si="65"/>
        <v>KZN226</v>
      </c>
      <c r="D2107" s="2">
        <v>489</v>
      </c>
      <c r="F2107" s="625"/>
      <c r="G2107" s="625"/>
      <c r="H2107" s="625"/>
      <c r="I2107" s="625"/>
      <c r="J2107" s="625"/>
      <c r="K2107" s="625"/>
      <c r="L2107" s="627"/>
      <c r="M2107" s="627"/>
      <c r="N2107" s="627"/>
      <c r="O2107" s="627"/>
      <c r="P2107" s="627"/>
      <c r="W2107" t="s">
        <v>2047</v>
      </c>
    </row>
    <row r="2108" spans="1:23" ht="13.15" customHeight="1" x14ac:dyDescent="0.2">
      <c r="A2108" s="2" t="s">
        <v>2200</v>
      </c>
      <c r="B2108" s="2">
        <f t="shared" si="64"/>
        <v>2022</v>
      </c>
      <c r="C2108" s="2" t="str">
        <f t="shared" si="65"/>
        <v>KZN226</v>
      </c>
      <c r="D2108" s="2">
        <v>490</v>
      </c>
      <c r="F2108" s="625"/>
      <c r="G2108" s="625"/>
      <c r="H2108" s="625"/>
      <c r="I2108" s="625"/>
      <c r="J2108" s="625"/>
      <c r="K2108" s="625"/>
      <c r="L2108" s="627"/>
      <c r="M2108" s="627"/>
      <c r="N2108" s="627"/>
      <c r="O2108" s="627"/>
      <c r="P2108" s="627"/>
      <c r="W2108" t="s">
        <v>2047</v>
      </c>
    </row>
    <row r="2109" spans="1:23" ht="13.15" customHeight="1" x14ac:dyDescent="0.2">
      <c r="A2109" s="2" t="s">
        <v>2200</v>
      </c>
      <c r="B2109" s="2">
        <f t="shared" si="64"/>
        <v>2022</v>
      </c>
      <c r="C2109" s="2" t="str">
        <f t="shared" si="65"/>
        <v>KZN226</v>
      </c>
      <c r="D2109" s="2">
        <v>491</v>
      </c>
      <c r="F2109" s="625"/>
      <c r="G2109" s="625"/>
      <c r="H2109" s="625"/>
      <c r="I2109" s="625"/>
      <c r="J2109" s="625"/>
      <c r="K2109" s="625"/>
      <c r="L2109" s="627"/>
      <c r="M2109" s="627"/>
      <c r="N2109" s="627"/>
      <c r="O2109" s="627"/>
      <c r="P2109" s="627"/>
      <c r="W2109" t="s">
        <v>2047</v>
      </c>
    </row>
    <row r="2110" spans="1:23" ht="13.15" customHeight="1" x14ac:dyDescent="0.2">
      <c r="A2110" s="2" t="s">
        <v>2200</v>
      </c>
      <c r="B2110" s="2">
        <f t="shared" si="64"/>
        <v>2022</v>
      </c>
      <c r="C2110" s="2" t="str">
        <f t="shared" si="65"/>
        <v>KZN226</v>
      </c>
      <c r="D2110" s="2">
        <v>492</v>
      </c>
      <c r="F2110" s="625"/>
      <c r="G2110" s="625"/>
      <c r="H2110" s="625"/>
      <c r="I2110" s="625"/>
      <c r="J2110" s="625"/>
      <c r="K2110" s="625"/>
      <c r="L2110" s="627"/>
      <c r="M2110" s="627"/>
      <c r="N2110" s="627"/>
      <c r="O2110" s="627"/>
      <c r="P2110" s="627"/>
      <c r="W2110" t="s">
        <v>2047</v>
      </c>
    </row>
    <row r="2111" spans="1:23" ht="13.15" customHeight="1" x14ac:dyDescent="0.2">
      <c r="A2111" s="2" t="s">
        <v>2200</v>
      </c>
      <c r="B2111" s="2">
        <f t="shared" si="64"/>
        <v>2022</v>
      </c>
      <c r="C2111" s="2" t="str">
        <f t="shared" si="65"/>
        <v>KZN226</v>
      </c>
      <c r="D2111" s="2">
        <v>493</v>
      </c>
      <c r="F2111" s="625"/>
      <c r="G2111" s="625"/>
      <c r="H2111" s="625"/>
      <c r="I2111" s="625"/>
      <c r="J2111" s="625"/>
      <c r="K2111" s="625"/>
      <c r="L2111" s="627"/>
      <c r="M2111" s="627"/>
      <c r="N2111" s="627"/>
      <c r="O2111" s="627"/>
      <c r="P2111" s="627"/>
      <c r="W2111" t="s">
        <v>2047</v>
      </c>
    </row>
    <row r="2112" spans="1:23" ht="13.15" customHeight="1" x14ac:dyDescent="0.2">
      <c r="A2112" s="2" t="s">
        <v>2200</v>
      </c>
      <c r="B2112" s="2">
        <f t="shared" si="64"/>
        <v>2022</v>
      </c>
      <c r="C2112" s="2" t="str">
        <f t="shared" si="65"/>
        <v>KZN226</v>
      </c>
      <c r="D2112" s="2">
        <v>494</v>
      </c>
      <c r="F2112" s="625"/>
      <c r="G2112" s="625"/>
      <c r="H2112" s="625"/>
      <c r="I2112" s="625"/>
      <c r="J2112" s="625"/>
      <c r="K2112" s="625"/>
      <c r="L2112" s="627"/>
      <c r="M2112" s="627"/>
      <c r="N2112" s="627"/>
      <c r="O2112" s="627"/>
      <c r="P2112" s="627"/>
      <c r="W2112" t="s">
        <v>2047</v>
      </c>
    </row>
    <row r="2113" spans="1:23" ht="13.15" customHeight="1" x14ac:dyDescent="0.2">
      <c r="A2113" s="2" t="s">
        <v>2200</v>
      </c>
      <c r="B2113" s="2">
        <f t="shared" si="64"/>
        <v>2022</v>
      </c>
      <c r="C2113" s="2" t="str">
        <f t="shared" si="65"/>
        <v>KZN226</v>
      </c>
      <c r="D2113" s="2">
        <v>495</v>
      </c>
      <c r="F2113" s="625"/>
      <c r="G2113" s="625"/>
      <c r="H2113" s="625"/>
      <c r="I2113" s="625"/>
      <c r="J2113" s="625"/>
      <c r="K2113" s="625"/>
      <c r="L2113" s="627"/>
      <c r="M2113" s="627"/>
      <c r="N2113" s="627"/>
      <c r="O2113" s="627"/>
      <c r="P2113" s="627"/>
      <c r="W2113" t="s">
        <v>2047</v>
      </c>
    </row>
    <row r="2114" spans="1:23" ht="13.15" customHeight="1" x14ac:dyDescent="0.2">
      <c r="A2114" s="2" t="s">
        <v>2200</v>
      </c>
      <c r="B2114" s="2">
        <f t="shared" ref="B2114:B2177" si="66">+MTREF</f>
        <v>2022</v>
      </c>
      <c r="C2114" s="2" t="str">
        <f t="shared" ref="C2114:C2177" si="67">LEFT(muni,(FIND(" ",muni,1)-1))</f>
        <v>KZN226</v>
      </c>
      <c r="D2114" s="2">
        <v>496</v>
      </c>
      <c r="F2114" s="625"/>
      <c r="G2114" s="625"/>
      <c r="H2114" s="625"/>
      <c r="I2114" s="625"/>
      <c r="J2114" s="625"/>
      <c r="K2114" s="625"/>
      <c r="L2114" s="627"/>
      <c r="M2114" s="627"/>
      <c r="N2114" s="627"/>
      <c r="O2114" s="627"/>
      <c r="P2114" s="627"/>
      <c r="W2114" t="s">
        <v>2047</v>
      </c>
    </row>
    <row r="2115" spans="1:23" ht="13.15" customHeight="1" x14ac:dyDescent="0.2">
      <c r="A2115" s="2" t="s">
        <v>2200</v>
      </c>
      <c r="B2115" s="2">
        <f t="shared" si="66"/>
        <v>2022</v>
      </c>
      <c r="C2115" s="2" t="str">
        <f t="shared" si="67"/>
        <v>KZN226</v>
      </c>
      <c r="D2115" s="2">
        <v>497</v>
      </c>
      <c r="F2115" s="625"/>
      <c r="G2115" s="625"/>
      <c r="H2115" s="625"/>
      <c r="I2115" s="625"/>
      <c r="J2115" s="625"/>
      <c r="K2115" s="625"/>
      <c r="L2115" s="627"/>
      <c r="M2115" s="627"/>
      <c r="N2115" s="627"/>
      <c r="O2115" s="627"/>
      <c r="P2115" s="627"/>
      <c r="W2115" t="s">
        <v>2047</v>
      </c>
    </row>
    <row r="2116" spans="1:23" ht="13.15" customHeight="1" x14ac:dyDescent="0.2">
      <c r="A2116" s="2" t="s">
        <v>2200</v>
      </c>
      <c r="B2116" s="2">
        <f t="shared" si="66"/>
        <v>2022</v>
      </c>
      <c r="C2116" s="2" t="str">
        <f t="shared" si="67"/>
        <v>KZN226</v>
      </c>
      <c r="D2116" s="2">
        <v>498</v>
      </c>
      <c r="F2116" s="625"/>
      <c r="G2116" s="625"/>
      <c r="H2116" s="625"/>
      <c r="I2116" s="625"/>
      <c r="J2116" s="625"/>
      <c r="K2116" s="625"/>
      <c r="L2116" s="627"/>
      <c r="M2116" s="627"/>
      <c r="N2116" s="627"/>
      <c r="O2116" s="627"/>
      <c r="P2116" s="627"/>
      <c r="W2116" t="s">
        <v>2047</v>
      </c>
    </row>
    <row r="2117" spans="1:23" ht="13.15" customHeight="1" x14ac:dyDescent="0.2">
      <c r="A2117" s="2" t="s">
        <v>2200</v>
      </c>
      <c r="B2117" s="2">
        <f t="shared" si="66"/>
        <v>2022</v>
      </c>
      <c r="C2117" s="2" t="str">
        <f t="shared" si="67"/>
        <v>KZN226</v>
      </c>
      <c r="D2117" s="2">
        <v>499</v>
      </c>
      <c r="F2117" s="625"/>
      <c r="G2117" s="625"/>
      <c r="H2117" s="625"/>
      <c r="I2117" s="625"/>
      <c r="J2117" s="625"/>
      <c r="K2117" s="625"/>
      <c r="L2117" s="627"/>
      <c r="M2117" s="627"/>
      <c r="N2117" s="627"/>
      <c r="O2117" s="627"/>
      <c r="P2117" s="627"/>
      <c r="W2117" t="s">
        <v>2047</v>
      </c>
    </row>
    <row r="2118" spans="1:23" ht="13.15" customHeight="1" x14ac:dyDescent="0.2">
      <c r="A2118" s="2" t="s">
        <v>2200</v>
      </c>
      <c r="B2118" s="2">
        <f t="shared" si="66"/>
        <v>2022</v>
      </c>
      <c r="C2118" s="2" t="str">
        <f t="shared" si="67"/>
        <v>KZN226</v>
      </c>
      <c r="D2118" s="2">
        <v>500</v>
      </c>
      <c r="F2118" s="625"/>
      <c r="G2118" s="625"/>
      <c r="H2118" s="625"/>
      <c r="I2118" s="625"/>
      <c r="J2118" s="625"/>
      <c r="K2118" s="625"/>
      <c r="L2118" s="627"/>
      <c r="M2118" s="627"/>
      <c r="N2118" s="627"/>
      <c r="O2118" s="627"/>
      <c r="P2118" s="627"/>
      <c r="W2118" t="s">
        <v>2047</v>
      </c>
    </row>
    <row r="2119" spans="1:23" ht="13.15" customHeight="1" x14ac:dyDescent="0.2">
      <c r="A2119" s="2" t="s">
        <v>2200</v>
      </c>
      <c r="B2119" s="2">
        <f t="shared" si="66"/>
        <v>2022</v>
      </c>
      <c r="C2119" s="2" t="str">
        <f t="shared" si="67"/>
        <v>KZN226</v>
      </c>
      <c r="D2119" s="2">
        <v>501</v>
      </c>
      <c r="F2119" s="625"/>
      <c r="G2119" s="625"/>
      <c r="H2119" s="625"/>
      <c r="I2119" s="625"/>
      <c r="J2119" s="625"/>
      <c r="K2119" s="625"/>
      <c r="L2119" s="627"/>
      <c r="M2119" s="627"/>
      <c r="N2119" s="627"/>
      <c r="O2119" s="627"/>
      <c r="P2119" s="627"/>
      <c r="W2119" t="s">
        <v>2047</v>
      </c>
    </row>
    <row r="2120" spans="1:23" ht="13.15" customHeight="1" x14ac:dyDescent="0.2">
      <c r="A2120" s="2" t="s">
        <v>2200</v>
      </c>
      <c r="B2120" s="2">
        <f t="shared" si="66"/>
        <v>2022</v>
      </c>
      <c r="C2120" s="2" t="str">
        <f t="shared" si="67"/>
        <v>KZN226</v>
      </c>
      <c r="D2120" s="2">
        <v>502</v>
      </c>
      <c r="F2120" s="625"/>
      <c r="G2120" s="625"/>
      <c r="H2120" s="625"/>
      <c r="I2120" s="625"/>
      <c r="J2120" s="625"/>
      <c r="K2120" s="625"/>
      <c r="L2120" s="627"/>
      <c r="M2120" s="627"/>
      <c r="N2120" s="627"/>
      <c r="O2120" s="627"/>
      <c r="P2120" s="627"/>
      <c r="W2120" t="s">
        <v>2047</v>
      </c>
    </row>
    <row r="2121" spans="1:23" ht="13.15" customHeight="1" x14ac:dyDescent="0.2">
      <c r="A2121" s="2" t="s">
        <v>2200</v>
      </c>
      <c r="B2121" s="2">
        <f t="shared" si="66"/>
        <v>2022</v>
      </c>
      <c r="C2121" s="2" t="str">
        <f t="shared" si="67"/>
        <v>KZN226</v>
      </c>
      <c r="D2121" s="2">
        <v>503</v>
      </c>
      <c r="F2121" s="625"/>
      <c r="G2121" s="625"/>
      <c r="H2121" s="625"/>
      <c r="I2121" s="625"/>
      <c r="J2121" s="625"/>
      <c r="K2121" s="625"/>
      <c r="L2121" s="627"/>
      <c r="M2121" s="627"/>
      <c r="N2121" s="627"/>
      <c r="O2121" s="627"/>
      <c r="P2121" s="627"/>
      <c r="W2121" t="s">
        <v>2047</v>
      </c>
    </row>
    <row r="2122" spans="1:23" ht="13.15" customHeight="1" x14ac:dyDescent="0.2">
      <c r="A2122" s="2" t="s">
        <v>2200</v>
      </c>
      <c r="B2122" s="2">
        <f t="shared" si="66"/>
        <v>2022</v>
      </c>
      <c r="C2122" s="2" t="str">
        <f t="shared" si="67"/>
        <v>KZN226</v>
      </c>
      <c r="D2122" s="2">
        <v>504</v>
      </c>
      <c r="F2122" s="625"/>
      <c r="G2122" s="625"/>
      <c r="H2122" s="625"/>
      <c r="I2122" s="625"/>
      <c r="J2122" s="625"/>
      <c r="K2122" s="625"/>
      <c r="L2122" s="627"/>
      <c r="M2122" s="627"/>
      <c r="N2122" s="627"/>
      <c r="O2122" s="627"/>
      <c r="P2122" s="627"/>
      <c r="W2122" t="s">
        <v>2047</v>
      </c>
    </row>
    <row r="2123" spans="1:23" ht="13.15" customHeight="1" x14ac:dyDescent="0.2">
      <c r="A2123" s="2" t="s">
        <v>2200</v>
      </c>
      <c r="B2123" s="2">
        <f t="shared" si="66"/>
        <v>2022</v>
      </c>
      <c r="C2123" s="2" t="str">
        <f t="shared" si="67"/>
        <v>KZN226</v>
      </c>
      <c r="D2123" s="2">
        <v>505</v>
      </c>
      <c r="F2123" s="625"/>
      <c r="G2123" s="625"/>
      <c r="H2123" s="625"/>
      <c r="I2123" s="625"/>
      <c r="J2123" s="625"/>
      <c r="K2123" s="625"/>
      <c r="L2123" s="627"/>
      <c r="M2123" s="627"/>
      <c r="N2123" s="627"/>
      <c r="O2123" s="627"/>
      <c r="P2123" s="627"/>
      <c r="W2123" t="s">
        <v>2047</v>
      </c>
    </row>
    <row r="2124" spans="1:23" ht="13.15" customHeight="1" x14ac:dyDescent="0.2">
      <c r="A2124" s="2" t="s">
        <v>2200</v>
      </c>
      <c r="B2124" s="2">
        <f t="shared" si="66"/>
        <v>2022</v>
      </c>
      <c r="C2124" s="2" t="str">
        <f t="shared" si="67"/>
        <v>KZN226</v>
      </c>
      <c r="D2124" s="2">
        <v>506</v>
      </c>
      <c r="F2124" s="625"/>
      <c r="G2124" s="625"/>
      <c r="H2124" s="625"/>
      <c r="I2124" s="625"/>
      <c r="J2124" s="625"/>
      <c r="K2124" s="625"/>
      <c r="L2124" s="627"/>
      <c r="M2124" s="627"/>
      <c r="N2124" s="627"/>
      <c r="O2124" s="627"/>
      <c r="P2124" s="627"/>
      <c r="W2124" t="s">
        <v>2047</v>
      </c>
    </row>
    <row r="2125" spans="1:23" ht="13.15" customHeight="1" x14ac:dyDescent="0.2">
      <c r="A2125" s="2" t="s">
        <v>2200</v>
      </c>
      <c r="B2125" s="2">
        <f t="shared" si="66"/>
        <v>2022</v>
      </c>
      <c r="C2125" s="2" t="str">
        <f t="shared" si="67"/>
        <v>KZN226</v>
      </c>
      <c r="D2125" s="2">
        <v>507</v>
      </c>
      <c r="F2125" s="625"/>
      <c r="G2125" s="625"/>
      <c r="H2125" s="625"/>
      <c r="I2125" s="625"/>
      <c r="J2125" s="625"/>
      <c r="K2125" s="625"/>
      <c r="L2125" s="627"/>
      <c r="M2125" s="627"/>
      <c r="N2125" s="627"/>
      <c r="O2125" s="627"/>
      <c r="P2125" s="627"/>
      <c r="W2125" t="s">
        <v>2047</v>
      </c>
    </row>
    <row r="2126" spans="1:23" ht="13.15" customHeight="1" x14ac:dyDescent="0.2">
      <c r="A2126" s="2" t="s">
        <v>2200</v>
      </c>
      <c r="B2126" s="2">
        <f t="shared" si="66"/>
        <v>2022</v>
      </c>
      <c r="C2126" s="2" t="str">
        <f t="shared" si="67"/>
        <v>KZN226</v>
      </c>
      <c r="D2126" s="2">
        <v>508</v>
      </c>
      <c r="F2126" s="625"/>
      <c r="G2126" s="625"/>
      <c r="H2126" s="625"/>
      <c r="I2126" s="625"/>
      <c r="J2126" s="625"/>
      <c r="K2126" s="625"/>
      <c r="L2126" s="627"/>
      <c r="M2126" s="627"/>
      <c r="N2126" s="627"/>
      <c r="O2126" s="627"/>
      <c r="P2126" s="627"/>
      <c r="W2126" t="s">
        <v>2047</v>
      </c>
    </row>
    <row r="2127" spans="1:23" ht="13.15" customHeight="1" x14ac:dyDescent="0.2">
      <c r="A2127" s="2" t="s">
        <v>2200</v>
      </c>
      <c r="B2127" s="2">
        <f t="shared" si="66"/>
        <v>2022</v>
      </c>
      <c r="C2127" s="2" t="str">
        <f t="shared" si="67"/>
        <v>KZN226</v>
      </c>
      <c r="D2127" s="2">
        <v>509</v>
      </c>
      <c r="F2127" s="625"/>
      <c r="G2127" s="625"/>
      <c r="H2127" s="625"/>
      <c r="I2127" s="625"/>
      <c r="J2127" s="625"/>
      <c r="K2127" s="625"/>
      <c r="L2127" s="627"/>
      <c r="M2127" s="627"/>
      <c r="N2127" s="627"/>
      <c r="O2127" s="627"/>
      <c r="P2127" s="627"/>
      <c r="W2127" t="s">
        <v>2047</v>
      </c>
    </row>
    <row r="2128" spans="1:23" ht="13.15" customHeight="1" x14ac:dyDescent="0.2">
      <c r="A2128" s="2" t="s">
        <v>2200</v>
      </c>
      <c r="B2128" s="2">
        <f t="shared" si="66"/>
        <v>2022</v>
      </c>
      <c r="C2128" s="2" t="str">
        <f t="shared" si="67"/>
        <v>KZN226</v>
      </c>
      <c r="D2128" s="2">
        <v>510</v>
      </c>
      <c r="F2128" s="625"/>
      <c r="G2128" s="625"/>
      <c r="H2128" s="625"/>
      <c r="I2128" s="625"/>
      <c r="J2128" s="625"/>
      <c r="K2128" s="625"/>
      <c r="L2128" s="627"/>
      <c r="M2128" s="627"/>
      <c r="N2128" s="627"/>
      <c r="O2128" s="627"/>
      <c r="P2128" s="627"/>
      <c r="W2128" t="s">
        <v>2047</v>
      </c>
    </row>
    <row r="2129" spans="1:23" ht="13.15" customHeight="1" x14ac:dyDescent="0.2">
      <c r="A2129" s="2" t="s">
        <v>2200</v>
      </c>
      <c r="B2129" s="2">
        <f t="shared" si="66"/>
        <v>2022</v>
      </c>
      <c r="C2129" s="2" t="str">
        <f t="shared" si="67"/>
        <v>KZN226</v>
      </c>
      <c r="D2129" s="2">
        <v>511</v>
      </c>
      <c r="F2129" s="625"/>
      <c r="G2129" s="625"/>
      <c r="H2129" s="625"/>
      <c r="I2129" s="625"/>
      <c r="J2129" s="625"/>
      <c r="K2129" s="625"/>
      <c r="L2129" s="627"/>
      <c r="M2129" s="627"/>
      <c r="N2129" s="627"/>
      <c r="O2129" s="627"/>
      <c r="P2129" s="627"/>
      <c r="W2129" t="s">
        <v>2047</v>
      </c>
    </row>
    <row r="2130" spans="1:23" ht="13.15" customHeight="1" x14ac:dyDescent="0.2">
      <c r="A2130" s="2" t="s">
        <v>2200</v>
      </c>
      <c r="B2130" s="2">
        <f t="shared" si="66"/>
        <v>2022</v>
      </c>
      <c r="C2130" s="2" t="str">
        <f t="shared" si="67"/>
        <v>KZN226</v>
      </c>
      <c r="D2130" s="2">
        <v>512</v>
      </c>
      <c r="F2130" s="625"/>
      <c r="G2130" s="625"/>
      <c r="H2130" s="625"/>
      <c r="I2130" s="625"/>
      <c r="J2130" s="625"/>
      <c r="K2130" s="625"/>
      <c r="L2130" s="627"/>
      <c r="M2130" s="627"/>
      <c r="N2130" s="627"/>
      <c r="O2130" s="627"/>
      <c r="P2130" s="627"/>
      <c r="W2130" t="s">
        <v>2047</v>
      </c>
    </row>
    <row r="2131" spans="1:23" ht="13.15" customHeight="1" x14ac:dyDescent="0.2">
      <c r="A2131" s="2" t="s">
        <v>2200</v>
      </c>
      <c r="B2131" s="2">
        <f t="shared" si="66"/>
        <v>2022</v>
      </c>
      <c r="C2131" s="2" t="str">
        <f t="shared" si="67"/>
        <v>KZN226</v>
      </c>
      <c r="D2131" s="2">
        <v>513</v>
      </c>
      <c r="F2131" s="625"/>
      <c r="G2131" s="625"/>
      <c r="H2131" s="625"/>
      <c r="I2131" s="625"/>
      <c r="J2131" s="625"/>
      <c r="K2131" s="625"/>
      <c r="L2131" s="627"/>
      <c r="M2131" s="627"/>
      <c r="N2131" s="627"/>
      <c r="O2131" s="627"/>
      <c r="P2131" s="627"/>
      <c r="W2131" t="s">
        <v>2047</v>
      </c>
    </row>
    <row r="2132" spans="1:23" ht="13.15" customHeight="1" x14ac:dyDescent="0.2">
      <c r="A2132" s="2" t="s">
        <v>2200</v>
      </c>
      <c r="B2132" s="2">
        <f t="shared" si="66"/>
        <v>2022</v>
      </c>
      <c r="C2132" s="2" t="str">
        <f t="shared" si="67"/>
        <v>KZN226</v>
      </c>
      <c r="D2132" s="2">
        <v>514</v>
      </c>
      <c r="F2132" s="625"/>
      <c r="G2132" s="625"/>
      <c r="H2132" s="625"/>
      <c r="I2132" s="625"/>
      <c r="J2132" s="625"/>
      <c r="K2132" s="625"/>
      <c r="L2132" s="627"/>
      <c r="M2132" s="627"/>
      <c r="N2132" s="627"/>
      <c r="O2132" s="627"/>
      <c r="P2132" s="627"/>
      <c r="W2132" t="s">
        <v>2047</v>
      </c>
    </row>
    <row r="2133" spans="1:23" ht="13.15" customHeight="1" x14ac:dyDescent="0.2">
      <c r="A2133" s="2" t="s">
        <v>2200</v>
      </c>
      <c r="B2133" s="2">
        <f t="shared" si="66"/>
        <v>2022</v>
      </c>
      <c r="C2133" s="2" t="str">
        <f t="shared" si="67"/>
        <v>KZN226</v>
      </c>
      <c r="D2133" s="2">
        <v>515</v>
      </c>
      <c r="F2133" s="625"/>
      <c r="G2133" s="625"/>
      <c r="H2133" s="625"/>
      <c r="I2133" s="625"/>
      <c r="J2133" s="625"/>
      <c r="K2133" s="625"/>
      <c r="L2133" s="627"/>
      <c r="M2133" s="627"/>
      <c r="N2133" s="627"/>
      <c r="O2133" s="627"/>
      <c r="P2133" s="627"/>
      <c r="W2133" t="s">
        <v>2047</v>
      </c>
    </row>
    <row r="2134" spans="1:23" ht="13.15" customHeight="1" x14ac:dyDescent="0.2">
      <c r="A2134" s="2" t="s">
        <v>2200</v>
      </c>
      <c r="B2134" s="2">
        <f t="shared" si="66"/>
        <v>2022</v>
      </c>
      <c r="C2134" s="2" t="str">
        <f t="shared" si="67"/>
        <v>KZN226</v>
      </c>
      <c r="D2134" s="2">
        <v>516</v>
      </c>
      <c r="F2134" s="625"/>
      <c r="G2134" s="625"/>
      <c r="H2134" s="625"/>
      <c r="I2134" s="625"/>
      <c r="J2134" s="625"/>
      <c r="K2134" s="625"/>
      <c r="L2134" s="627"/>
      <c r="M2134" s="627"/>
      <c r="N2134" s="627"/>
      <c r="O2134" s="627"/>
      <c r="P2134" s="627"/>
      <c r="W2134" t="s">
        <v>2047</v>
      </c>
    </row>
    <row r="2135" spans="1:23" ht="13.15" customHeight="1" x14ac:dyDescent="0.2">
      <c r="A2135" s="2" t="s">
        <v>2200</v>
      </c>
      <c r="B2135" s="2">
        <f t="shared" si="66"/>
        <v>2022</v>
      </c>
      <c r="C2135" s="2" t="str">
        <f t="shared" si="67"/>
        <v>KZN226</v>
      </c>
      <c r="D2135" s="2">
        <v>517</v>
      </c>
      <c r="F2135" s="625"/>
      <c r="G2135" s="625"/>
      <c r="H2135" s="625"/>
      <c r="I2135" s="625"/>
      <c r="J2135" s="625"/>
      <c r="K2135" s="625"/>
      <c r="L2135" s="627"/>
      <c r="M2135" s="627"/>
      <c r="N2135" s="627"/>
      <c r="O2135" s="627"/>
      <c r="P2135" s="627"/>
      <c r="W2135" t="s">
        <v>2047</v>
      </c>
    </row>
    <row r="2136" spans="1:23" ht="13.15" customHeight="1" x14ac:dyDescent="0.2">
      <c r="A2136" s="2" t="s">
        <v>2200</v>
      </c>
      <c r="B2136" s="2">
        <f t="shared" si="66"/>
        <v>2022</v>
      </c>
      <c r="C2136" s="2" t="str">
        <f t="shared" si="67"/>
        <v>KZN226</v>
      </c>
      <c r="D2136" s="2">
        <v>518</v>
      </c>
      <c r="F2136" s="625"/>
      <c r="G2136" s="625"/>
      <c r="H2136" s="625"/>
      <c r="I2136" s="625"/>
      <c r="J2136" s="625"/>
      <c r="K2136" s="625"/>
      <c r="L2136" s="627"/>
      <c r="M2136" s="627"/>
      <c r="N2136" s="627"/>
      <c r="O2136" s="627"/>
      <c r="P2136" s="627"/>
      <c r="W2136" t="s">
        <v>2047</v>
      </c>
    </row>
    <row r="2137" spans="1:23" ht="13.15" customHeight="1" x14ac:dyDescent="0.2">
      <c r="A2137" s="2" t="s">
        <v>2200</v>
      </c>
      <c r="B2137" s="2">
        <f t="shared" si="66"/>
        <v>2022</v>
      </c>
      <c r="C2137" s="2" t="str">
        <f t="shared" si="67"/>
        <v>KZN226</v>
      </c>
      <c r="D2137" s="2">
        <v>519</v>
      </c>
      <c r="F2137" s="625"/>
      <c r="G2137" s="625"/>
      <c r="H2137" s="625"/>
      <c r="I2137" s="625"/>
      <c r="J2137" s="625"/>
      <c r="K2137" s="625"/>
      <c r="L2137" s="627"/>
      <c r="M2137" s="627"/>
      <c r="N2137" s="627"/>
      <c r="O2137" s="627"/>
      <c r="P2137" s="627"/>
      <c r="W2137" t="s">
        <v>2047</v>
      </c>
    </row>
    <row r="2138" spans="1:23" ht="13.15" customHeight="1" x14ac:dyDescent="0.2">
      <c r="A2138" s="2" t="s">
        <v>2200</v>
      </c>
      <c r="B2138" s="2">
        <f t="shared" si="66"/>
        <v>2022</v>
      </c>
      <c r="C2138" s="2" t="str">
        <f t="shared" si="67"/>
        <v>KZN226</v>
      </c>
      <c r="D2138" s="2">
        <v>520</v>
      </c>
      <c r="F2138" s="625"/>
      <c r="G2138" s="625"/>
      <c r="H2138" s="625"/>
      <c r="I2138" s="625"/>
      <c r="J2138" s="625"/>
      <c r="K2138" s="625"/>
      <c r="L2138" s="627"/>
      <c r="M2138" s="627"/>
      <c r="N2138" s="627"/>
      <c r="O2138" s="627"/>
      <c r="P2138" s="627"/>
      <c r="W2138" t="s">
        <v>2047</v>
      </c>
    </row>
    <row r="2139" spans="1:23" ht="13.15" customHeight="1" x14ac:dyDescent="0.2">
      <c r="A2139" s="2" t="s">
        <v>2200</v>
      </c>
      <c r="B2139" s="2">
        <f t="shared" si="66"/>
        <v>2022</v>
      </c>
      <c r="C2139" s="2" t="str">
        <f t="shared" si="67"/>
        <v>KZN226</v>
      </c>
      <c r="D2139" s="2">
        <v>521</v>
      </c>
      <c r="F2139" s="625"/>
      <c r="G2139" s="625"/>
      <c r="H2139" s="625"/>
      <c r="I2139" s="625"/>
      <c r="J2139" s="625"/>
      <c r="K2139" s="625"/>
      <c r="L2139" s="627"/>
      <c r="M2139" s="627"/>
      <c r="N2139" s="627"/>
      <c r="O2139" s="627"/>
      <c r="P2139" s="627"/>
      <c r="W2139" t="s">
        <v>2047</v>
      </c>
    </row>
    <row r="2140" spans="1:23" ht="13.15" customHeight="1" x14ac:dyDescent="0.2">
      <c r="A2140" s="2" t="s">
        <v>2200</v>
      </c>
      <c r="B2140" s="2">
        <f t="shared" si="66"/>
        <v>2022</v>
      </c>
      <c r="C2140" s="2" t="str">
        <f t="shared" si="67"/>
        <v>KZN226</v>
      </c>
      <c r="D2140" s="2">
        <v>522</v>
      </c>
      <c r="F2140" s="625"/>
      <c r="G2140" s="625"/>
      <c r="H2140" s="625"/>
      <c r="I2140" s="625"/>
      <c r="J2140" s="625"/>
      <c r="K2140" s="625"/>
      <c r="L2140" s="627"/>
      <c r="M2140" s="627"/>
      <c r="N2140" s="627"/>
      <c r="O2140" s="627"/>
      <c r="P2140" s="627"/>
      <c r="W2140" t="s">
        <v>2047</v>
      </c>
    </row>
    <row r="2141" spans="1:23" ht="13.15" customHeight="1" x14ac:dyDescent="0.2">
      <c r="A2141" s="2" t="s">
        <v>2200</v>
      </c>
      <c r="B2141" s="2">
        <f t="shared" si="66"/>
        <v>2022</v>
      </c>
      <c r="C2141" s="2" t="str">
        <f t="shared" si="67"/>
        <v>KZN226</v>
      </c>
      <c r="D2141" s="2">
        <v>523</v>
      </c>
      <c r="F2141" s="625"/>
      <c r="G2141" s="625"/>
      <c r="H2141" s="625"/>
      <c r="I2141" s="625"/>
      <c r="J2141" s="625"/>
      <c r="K2141" s="625"/>
      <c r="L2141" s="627"/>
      <c r="M2141" s="627"/>
      <c r="N2141" s="627"/>
      <c r="O2141" s="627"/>
      <c r="P2141" s="627"/>
      <c r="W2141" t="s">
        <v>2047</v>
      </c>
    </row>
    <row r="2142" spans="1:23" ht="13.15" customHeight="1" x14ac:dyDescent="0.2">
      <c r="A2142" s="2" t="s">
        <v>2200</v>
      </c>
      <c r="B2142" s="2">
        <f t="shared" si="66"/>
        <v>2022</v>
      </c>
      <c r="C2142" s="2" t="str">
        <f t="shared" si="67"/>
        <v>KZN226</v>
      </c>
      <c r="D2142" s="2">
        <v>524</v>
      </c>
      <c r="F2142" s="625"/>
      <c r="G2142" s="625"/>
      <c r="H2142" s="625"/>
      <c r="I2142" s="625"/>
      <c r="J2142" s="625"/>
      <c r="K2142" s="625"/>
      <c r="L2142" s="627"/>
      <c r="M2142" s="627"/>
      <c r="N2142" s="627"/>
      <c r="O2142" s="627"/>
      <c r="P2142" s="627"/>
      <c r="W2142" t="s">
        <v>2047</v>
      </c>
    </row>
    <row r="2143" spans="1:23" ht="13.15" customHeight="1" x14ac:dyDescent="0.2">
      <c r="A2143" s="2" t="s">
        <v>2200</v>
      </c>
      <c r="B2143" s="2">
        <f t="shared" si="66"/>
        <v>2022</v>
      </c>
      <c r="C2143" s="2" t="str">
        <f t="shared" si="67"/>
        <v>KZN226</v>
      </c>
      <c r="D2143" s="2">
        <v>525</v>
      </c>
      <c r="F2143" s="625"/>
      <c r="G2143" s="625"/>
      <c r="H2143" s="625"/>
      <c r="I2143" s="625"/>
      <c r="J2143" s="625"/>
      <c r="K2143" s="625"/>
      <c r="L2143" s="627"/>
      <c r="M2143" s="627"/>
      <c r="N2143" s="627"/>
      <c r="O2143" s="627"/>
      <c r="P2143" s="627"/>
      <c r="W2143" t="s">
        <v>2047</v>
      </c>
    </row>
    <row r="2144" spans="1:23" ht="13.15" customHeight="1" x14ac:dyDescent="0.2">
      <c r="A2144" s="2" t="s">
        <v>2200</v>
      </c>
      <c r="B2144" s="2">
        <f t="shared" si="66"/>
        <v>2022</v>
      </c>
      <c r="C2144" s="2" t="str">
        <f t="shared" si="67"/>
        <v>KZN226</v>
      </c>
      <c r="D2144" s="2">
        <v>526</v>
      </c>
      <c r="F2144" s="625"/>
      <c r="G2144" s="625"/>
      <c r="H2144" s="625"/>
      <c r="I2144" s="625"/>
      <c r="J2144" s="625"/>
      <c r="K2144" s="625"/>
      <c r="L2144" s="627"/>
      <c r="M2144" s="627"/>
      <c r="N2144" s="627"/>
      <c r="O2144" s="627"/>
      <c r="P2144" s="627"/>
      <c r="W2144" t="s">
        <v>2047</v>
      </c>
    </row>
    <row r="2145" spans="1:23" ht="13.15" customHeight="1" x14ac:dyDescent="0.2">
      <c r="A2145" s="2" t="s">
        <v>2200</v>
      </c>
      <c r="B2145" s="2">
        <f t="shared" si="66"/>
        <v>2022</v>
      </c>
      <c r="C2145" s="2" t="str">
        <f t="shared" si="67"/>
        <v>KZN226</v>
      </c>
      <c r="D2145" s="2">
        <v>527</v>
      </c>
      <c r="F2145" s="625"/>
      <c r="G2145" s="625"/>
      <c r="H2145" s="625"/>
      <c r="I2145" s="625"/>
      <c r="J2145" s="625"/>
      <c r="K2145" s="625"/>
      <c r="L2145" s="627"/>
      <c r="M2145" s="627"/>
      <c r="N2145" s="627"/>
      <c r="O2145" s="627"/>
      <c r="P2145" s="627"/>
      <c r="W2145" t="s">
        <v>2047</v>
      </c>
    </row>
    <row r="2146" spans="1:23" ht="13.15" customHeight="1" x14ac:dyDescent="0.2">
      <c r="A2146" s="2" t="s">
        <v>2200</v>
      </c>
      <c r="B2146" s="2">
        <f t="shared" si="66"/>
        <v>2022</v>
      </c>
      <c r="C2146" s="2" t="str">
        <f t="shared" si="67"/>
        <v>KZN226</v>
      </c>
      <c r="D2146" s="2">
        <v>528</v>
      </c>
      <c r="F2146" s="625"/>
      <c r="G2146" s="625"/>
      <c r="H2146" s="625"/>
      <c r="I2146" s="625"/>
      <c r="J2146" s="625"/>
      <c r="K2146" s="625"/>
      <c r="L2146" s="627"/>
      <c r="M2146" s="627"/>
      <c r="N2146" s="627"/>
      <c r="O2146" s="627"/>
      <c r="P2146" s="627"/>
      <c r="W2146" t="s">
        <v>2047</v>
      </c>
    </row>
    <row r="2147" spans="1:23" ht="13.15" customHeight="1" x14ac:dyDescent="0.2">
      <c r="A2147" s="2" t="s">
        <v>2200</v>
      </c>
      <c r="B2147" s="2">
        <f t="shared" si="66"/>
        <v>2022</v>
      </c>
      <c r="C2147" s="2" t="str">
        <f t="shared" si="67"/>
        <v>KZN226</v>
      </c>
      <c r="D2147" s="2">
        <v>529</v>
      </c>
      <c r="F2147" s="625"/>
      <c r="G2147" s="625"/>
      <c r="H2147" s="625"/>
      <c r="I2147" s="625"/>
      <c r="J2147" s="625"/>
      <c r="K2147" s="625"/>
      <c r="L2147" s="627"/>
      <c r="M2147" s="627"/>
      <c r="N2147" s="627"/>
      <c r="O2147" s="627"/>
      <c r="P2147" s="627"/>
      <c r="W2147" t="s">
        <v>2047</v>
      </c>
    </row>
    <row r="2148" spans="1:23" ht="13.15" customHeight="1" x14ac:dyDescent="0.2">
      <c r="A2148" s="2" t="s">
        <v>2200</v>
      </c>
      <c r="B2148" s="2">
        <f t="shared" si="66"/>
        <v>2022</v>
      </c>
      <c r="C2148" s="2" t="str">
        <f t="shared" si="67"/>
        <v>KZN226</v>
      </c>
      <c r="D2148" s="2">
        <v>530</v>
      </c>
      <c r="F2148" s="625"/>
      <c r="G2148" s="625"/>
      <c r="H2148" s="625"/>
      <c r="I2148" s="625"/>
      <c r="J2148" s="625"/>
      <c r="K2148" s="625"/>
      <c r="L2148" s="627"/>
      <c r="M2148" s="627"/>
      <c r="N2148" s="627"/>
      <c r="O2148" s="627"/>
      <c r="P2148" s="627"/>
      <c r="W2148" t="s">
        <v>2047</v>
      </c>
    </row>
    <row r="2149" spans="1:23" ht="13.15" customHeight="1" x14ac:dyDescent="0.2">
      <c r="A2149" s="2" t="s">
        <v>2200</v>
      </c>
      <c r="B2149" s="2">
        <f t="shared" si="66"/>
        <v>2022</v>
      </c>
      <c r="C2149" s="2" t="str">
        <f t="shared" si="67"/>
        <v>KZN226</v>
      </c>
      <c r="D2149" s="2">
        <v>531</v>
      </c>
      <c r="F2149" s="625"/>
      <c r="G2149" s="625"/>
      <c r="H2149" s="625"/>
      <c r="I2149" s="625"/>
      <c r="J2149" s="625"/>
      <c r="K2149" s="625"/>
      <c r="L2149" s="627"/>
      <c r="M2149" s="627"/>
      <c r="N2149" s="627"/>
      <c r="O2149" s="627"/>
      <c r="P2149" s="627"/>
      <c r="W2149" t="s">
        <v>2047</v>
      </c>
    </row>
    <row r="2150" spans="1:23" ht="13.15" customHeight="1" x14ac:dyDescent="0.2">
      <c r="A2150" s="2" t="s">
        <v>2200</v>
      </c>
      <c r="B2150" s="2">
        <f t="shared" si="66"/>
        <v>2022</v>
      </c>
      <c r="C2150" s="2" t="str">
        <f t="shared" si="67"/>
        <v>KZN226</v>
      </c>
      <c r="D2150" s="2">
        <v>532</v>
      </c>
      <c r="F2150" s="625"/>
      <c r="G2150" s="625"/>
      <c r="H2150" s="625"/>
      <c r="I2150" s="625"/>
      <c r="J2150" s="625"/>
      <c r="K2150" s="625"/>
      <c r="L2150" s="627"/>
      <c r="M2150" s="627"/>
      <c r="N2150" s="627"/>
      <c r="O2150" s="627"/>
      <c r="P2150" s="627"/>
      <c r="W2150" t="s">
        <v>2047</v>
      </c>
    </row>
    <row r="2151" spans="1:23" ht="13.15" customHeight="1" x14ac:dyDescent="0.2">
      <c r="A2151" s="2" t="s">
        <v>2200</v>
      </c>
      <c r="B2151" s="2">
        <f t="shared" si="66"/>
        <v>2022</v>
      </c>
      <c r="C2151" s="2" t="str">
        <f t="shared" si="67"/>
        <v>KZN226</v>
      </c>
      <c r="D2151" s="2">
        <v>533</v>
      </c>
      <c r="F2151" s="625"/>
      <c r="G2151" s="625"/>
      <c r="H2151" s="625"/>
      <c r="I2151" s="625"/>
      <c r="J2151" s="625"/>
      <c r="K2151" s="625"/>
      <c r="L2151" s="627"/>
      <c r="M2151" s="627"/>
      <c r="N2151" s="627"/>
      <c r="O2151" s="627"/>
      <c r="P2151" s="627"/>
      <c r="W2151" t="s">
        <v>2047</v>
      </c>
    </row>
    <row r="2152" spans="1:23" ht="13.15" customHeight="1" x14ac:dyDescent="0.2">
      <c r="A2152" s="2" t="s">
        <v>2200</v>
      </c>
      <c r="B2152" s="2">
        <f t="shared" si="66"/>
        <v>2022</v>
      </c>
      <c r="C2152" s="2" t="str">
        <f t="shared" si="67"/>
        <v>KZN226</v>
      </c>
      <c r="D2152" s="2">
        <v>534</v>
      </c>
      <c r="F2152" s="625"/>
      <c r="G2152" s="625"/>
      <c r="H2152" s="625"/>
      <c r="I2152" s="625"/>
      <c r="J2152" s="625"/>
      <c r="K2152" s="625"/>
      <c r="L2152" s="627"/>
      <c r="M2152" s="627"/>
      <c r="N2152" s="627"/>
      <c r="O2152" s="627"/>
      <c r="P2152" s="627"/>
      <c r="W2152" t="s">
        <v>2047</v>
      </c>
    </row>
    <row r="2153" spans="1:23" ht="13.15" customHeight="1" x14ac:dyDescent="0.2">
      <c r="A2153" s="2" t="s">
        <v>2200</v>
      </c>
      <c r="B2153" s="2">
        <f t="shared" si="66"/>
        <v>2022</v>
      </c>
      <c r="C2153" s="2" t="str">
        <f t="shared" si="67"/>
        <v>KZN226</v>
      </c>
      <c r="D2153" s="2">
        <v>535</v>
      </c>
      <c r="F2153" s="625"/>
      <c r="G2153" s="625"/>
      <c r="H2153" s="625"/>
      <c r="I2153" s="625"/>
      <c r="J2153" s="625"/>
      <c r="K2153" s="625"/>
      <c r="L2153" s="627"/>
      <c r="M2153" s="627"/>
      <c r="N2153" s="627"/>
      <c r="O2153" s="627"/>
      <c r="P2153" s="627"/>
      <c r="W2153" t="s">
        <v>2047</v>
      </c>
    </row>
    <row r="2154" spans="1:23" ht="13.15" customHeight="1" x14ac:dyDescent="0.2">
      <c r="A2154" s="2" t="s">
        <v>2200</v>
      </c>
      <c r="B2154" s="2">
        <f t="shared" si="66"/>
        <v>2022</v>
      </c>
      <c r="C2154" s="2" t="str">
        <f t="shared" si="67"/>
        <v>KZN226</v>
      </c>
      <c r="D2154" s="2">
        <v>536</v>
      </c>
      <c r="F2154" s="625"/>
      <c r="G2154" s="625"/>
      <c r="H2154" s="625"/>
      <c r="I2154" s="625"/>
      <c r="J2154" s="625"/>
      <c r="K2154" s="625"/>
      <c r="L2154" s="627"/>
      <c r="M2154" s="627"/>
      <c r="N2154" s="627"/>
      <c r="O2154" s="627"/>
      <c r="P2154" s="627"/>
      <c r="W2154" t="s">
        <v>2047</v>
      </c>
    </row>
    <row r="2155" spans="1:23" ht="13.15" customHeight="1" x14ac:dyDescent="0.2">
      <c r="A2155" s="2" t="s">
        <v>2200</v>
      </c>
      <c r="B2155" s="2">
        <f t="shared" si="66"/>
        <v>2022</v>
      </c>
      <c r="C2155" s="2" t="str">
        <f t="shared" si="67"/>
        <v>KZN226</v>
      </c>
      <c r="D2155" s="2">
        <v>537</v>
      </c>
      <c r="F2155" s="625"/>
      <c r="G2155" s="625"/>
      <c r="H2155" s="625"/>
      <c r="I2155" s="625"/>
      <c r="J2155" s="625"/>
      <c r="K2155" s="625"/>
      <c r="L2155" s="627"/>
      <c r="M2155" s="627"/>
      <c r="N2155" s="627"/>
      <c r="O2155" s="627"/>
      <c r="P2155" s="627"/>
      <c r="W2155" t="s">
        <v>2047</v>
      </c>
    </row>
    <row r="2156" spans="1:23" ht="13.15" customHeight="1" x14ac:dyDescent="0.2">
      <c r="A2156" s="2" t="s">
        <v>2200</v>
      </c>
      <c r="B2156" s="2">
        <f t="shared" si="66"/>
        <v>2022</v>
      </c>
      <c r="C2156" s="2" t="str">
        <f t="shared" si="67"/>
        <v>KZN226</v>
      </c>
      <c r="D2156" s="2">
        <v>538</v>
      </c>
      <c r="F2156" s="625"/>
      <c r="G2156" s="625"/>
      <c r="H2156" s="625"/>
      <c r="I2156" s="625"/>
      <c r="J2156" s="625"/>
      <c r="K2156" s="625"/>
      <c r="L2156" s="627"/>
      <c r="M2156" s="627"/>
      <c r="N2156" s="627"/>
      <c r="O2156" s="627"/>
      <c r="P2156" s="627"/>
      <c r="W2156" t="s">
        <v>2047</v>
      </c>
    </row>
    <row r="2157" spans="1:23" ht="13.15" customHeight="1" x14ac:dyDescent="0.2">
      <c r="A2157" s="2" t="s">
        <v>2200</v>
      </c>
      <c r="B2157" s="2">
        <f t="shared" si="66"/>
        <v>2022</v>
      </c>
      <c r="C2157" s="2" t="str">
        <f t="shared" si="67"/>
        <v>KZN226</v>
      </c>
      <c r="D2157" s="2">
        <v>539</v>
      </c>
      <c r="F2157" s="625"/>
      <c r="G2157" s="625"/>
      <c r="H2157" s="625"/>
      <c r="I2157" s="625"/>
      <c r="J2157" s="625"/>
      <c r="K2157" s="625"/>
      <c r="L2157" s="627"/>
      <c r="M2157" s="627"/>
      <c r="N2157" s="627"/>
      <c r="O2157" s="627"/>
      <c r="P2157" s="627"/>
      <c r="W2157" t="s">
        <v>2047</v>
      </c>
    </row>
    <row r="2158" spans="1:23" ht="13.15" customHeight="1" x14ac:dyDescent="0.2">
      <c r="A2158" s="2" t="s">
        <v>2200</v>
      </c>
      <c r="B2158" s="2">
        <f t="shared" si="66"/>
        <v>2022</v>
      </c>
      <c r="C2158" s="2" t="str">
        <f t="shared" si="67"/>
        <v>KZN226</v>
      </c>
      <c r="D2158" s="2">
        <v>540</v>
      </c>
      <c r="F2158" s="625"/>
      <c r="G2158" s="625"/>
      <c r="H2158" s="625"/>
      <c r="I2158" s="625"/>
      <c r="J2158" s="625"/>
      <c r="K2158" s="625"/>
      <c r="L2158" s="627"/>
      <c r="M2158" s="627"/>
      <c r="N2158" s="627"/>
      <c r="O2158" s="627"/>
      <c r="P2158" s="627"/>
      <c r="W2158" t="s">
        <v>2047</v>
      </c>
    </row>
    <row r="2159" spans="1:23" ht="13.15" customHeight="1" x14ac:dyDescent="0.2">
      <c r="A2159" s="2" t="s">
        <v>2200</v>
      </c>
      <c r="B2159" s="2">
        <f t="shared" si="66"/>
        <v>2022</v>
      </c>
      <c r="C2159" s="2" t="str">
        <f t="shared" si="67"/>
        <v>KZN226</v>
      </c>
      <c r="D2159" s="2">
        <v>541</v>
      </c>
      <c r="F2159" s="625"/>
      <c r="G2159" s="625"/>
      <c r="H2159" s="625"/>
      <c r="I2159" s="625"/>
      <c r="J2159" s="625"/>
      <c r="K2159" s="625"/>
      <c r="L2159" s="627"/>
      <c r="M2159" s="627"/>
      <c r="N2159" s="627"/>
      <c r="O2159" s="627"/>
      <c r="P2159" s="627"/>
      <c r="W2159" t="s">
        <v>2047</v>
      </c>
    </row>
    <row r="2160" spans="1:23" ht="13.15" customHeight="1" x14ac:dyDescent="0.2">
      <c r="A2160" s="2" t="s">
        <v>2200</v>
      </c>
      <c r="B2160" s="2">
        <f t="shared" si="66"/>
        <v>2022</v>
      </c>
      <c r="C2160" s="2" t="str">
        <f t="shared" si="67"/>
        <v>KZN226</v>
      </c>
      <c r="D2160" s="2">
        <v>542</v>
      </c>
      <c r="F2160" s="625"/>
      <c r="G2160" s="625"/>
      <c r="H2160" s="625"/>
      <c r="I2160" s="625"/>
      <c r="J2160" s="625"/>
      <c r="K2160" s="625"/>
      <c r="L2160" s="627"/>
      <c r="M2160" s="627"/>
      <c r="N2160" s="627"/>
      <c r="O2160" s="627"/>
      <c r="P2160" s="627"/>
      <c r="W2160" t="s">
        <v>2047</v>
      </c>
    </row>
    <row r="2161" spans="1:23" ht="13.15" customHeight="1" x14ac:dyDescent="0.2">
      <c r="A2161" s="2" t="s">
        <v>2200</v>
      </c>
      <c r="B2161" s="2">
        <f t="shared" si="66"/>
        <v>2022</v>
      </c>
      <c r="C2161" s="2" t="str">
        <f t="shared" si="67"/>
        <v>KZN226</v>
      </c>
      <c r="D2161" s="2">
        <v>543</v>
      </c>
      <c r="F2161" s="625"/>
      <c r="G2161" s="625"/>
      <c r="H2161" s="625"/>
      <c r="I2161" s="625"/>
      <c r="J2161" s="625"/>
      <c r="K2161" s="625"/>
      <c r="L2161" s="627"/>
      <c r="M2161" s="627"/>
      <c r="N2161" s="627"/>
      <c r="O2161" s="627"/>
      <c r="P2161" s="627"/>
      <c r="W2161" t="s">
        <v>2047</v>
      </c>
    </row>
    <row r="2162" spans="1:23" ht="13.15" customHeight="1" x14ac:dyDescent="0.2">
      <c r="A2162" s="2" t="s">
        <v>2200</v>
      </c>
      <c r="B2162" s="2">
        <f t="shared" si="66"/>
        <v>2022</v>
      </c>
      <c r="C2162" s="2" t="str">
        <f t="shared" si="67"/>
        <v>KZN226</v>
      </c>
      <c r="D2162" s="2">
        <v>544</v>
      </c>
      <c r="F2162" s="625"/>
      <c r="G2162" s="625"/>
      <c r="H2162" s="625"/>
      <c r="I2162" s="625"/>
      <c r="J2162" s="625"/>
      <c r="K2162" s="625"/>
      <c r="L2162" s="627"/>
      <c r="M2162" s="627"/>
      <c r="N2162" s="627"/>
      <c r="O2162" s="627"/>
      <c r="P2162" s="627"/>
      <c r="W2162" t="s">
        <v>2047</v>
      </c>
    </row>
    <row r="2163" spans="1:23" ht="13.15" customHeight="1" x14ac:dyDescent="0.2">
      <c r="A2163" s="2" t="s">
        <v>2200</v>
      </c>
      <c r="B2163" s="2">
        <f t="shared" si="66"/>
        <v>2022</v>
      </c>
      <c r="C2163" s="2" t="str">
        <f t="shared" si="67"/>
        <v>KZN226</v>
      </c>
      <c r="D2163" s="2">
        <v>545</v>
      </c>
      <c r="F2163" s="625"/>
      <c r="G2163" s="625"/>
      <c r="H2163" s="625"/>
      <c r="I2163" s="625"/>
      <c r="J2163" s="625"/>
      <c r="K2163" s="625"/>
      <c r="L2163" s="627"/>
      <c r="M2163" s="627"/>
      <c r="N2163" s="627"/>
      <c r="O2163" s="627"/>
      <c r="P2163" s="627"/>
      <c r="W2163" t="s">
        <v>2047</v>
      </c>
    </row>
    <row r="2164" spans="1:23" ht="13.15" customHeight="1" x14ac:dyDescent="0.2">
      <c r="A2164" s="2" t="s">
        <v>2200</v>
      </c>
      <c r="B2164" s="2">
        <f t="shared" si="66"/>
        <v>2022</v>
      </c>
      <c r="C2164" s="2" t="str">
        <f t="shared" si="67"/>
        <v>KZN226</v>
      </c>
      <c r="D2164" s="2">
        <v>546</v>
      </c>
      <c r="F2164" s="625"/>
      <c r="G2164" s="625"/>
      <c r="H2164" s="625"/>
      <c r="I2164" s="625"/>
      <c r="J2164" s="625"/>
      <c r="K2164" s="625"/>
      <c r="L2164" s="627"/>
      <c r="M2164" s="627"/>
      <c r="N2164" s="627"/>
      <c r="O2164" s="627"/>
      <c r="P2164" s="627"/>
      <c r="W2164" t="s">
        <v>2047</v>
      </c>
    </row>
    <row r="2165" spans="1:23" ht="13.15" customHeight="1" x14ac:dyDescent="0.2">
      <c r="A2165" s="2" t="s">
        <v>2200</v>
      </c>
      <c r="B2165" s="2">
        <f t="shared" si="66"/>
        <v>2022</v>
      </c>
      <c r="C2165" s="2" t="str">
        <f t="shared" si="67"/>
        <v>KZN226</v>
      </c>
      <c r="D2165" s="2">
        <v>547</v>
      </c>
      <c r="F2165" s="625"/>
      <c r="G2165" s="625"/>
      <c r="H2165" s="625"/>
      <c r="I2165" s="625"/>
      <c r="J2165" s="625"/>
      <c r="K2165" s="625"/>
      <c r="L2165" s="627"/>
      <c r="M2165" s="627"/>
      <c r="N2165" s="627"/>
      <c r="O2165" s="627"/>
      <c r="P2165" s="627"/>
      <c r="W2165" t="s">
        <v>2047</v>
      </c>
    </row>
    <row r="2166" spans="1:23" ht="13.15" customHeight="1" x14ac:dyDescent="0.2">
      <c r="A2166" s="2" t="s">
        <v>2200</v>
      </c>
      <c r="B2166" s="2">
        <f t="shared" si="66"/>
        <v>2022</v>
      </c>
      <c r="C2166" s="2" t="str">
        <f t="shared" si="67"/>
        <v>KZN226</v>
      </c>
      <c r="D2166" s="2">
        <v>548</v>
      </c>
      <c r="F2166" s="625"/>
      <c r="G2166" s="625"/>
      <c r="H2166" s="625"/>
      <c r="I2166" s="625"/>
      <c r="J2166" s="625"/>
      <c r="K2166" s="625"/>
      <c r="L2166" s="627"/>
      <c r="M2166" s="627"/>
      <c r="N2166" s="627"/>
      <c r="O2166" s="627"/>
      <c r="P2166" s="627"/>
      <c r="W2166" t="s">
        <v>2047</v>
      </c>
    </row>
    <row r="2167" spans="1:23" ht="13.15" customHeight="1" x14ac:dyDescent="0.2">
      <c r="A2167" s="2" t="s">
        <v>2200</v>
      </c>
      <c r="B2167" s="2">
        <f t="shared" si="66"/>
        <v>2022</v>
      </c>
      <c r="C2167" s="2" t="str">
        <f t="shared" si="67"/>
        <v>KZN226</v>
      </c>
      <c r="D2167" s="2">
        <v>549</v>
      </c>
      <c r="F2167" s="625"/>
      <c r="G2167" s="625"/>
      <c r="H2167" s="625"/>
      <c r="I2167" s="625"/>
      <c r="J2167" s="625"/>
      <c r="K2167" s="625"/>
      <c r="L2167" s="627"/>
      <c r="M2167" s="627"/>
      <c r="N2167" s="627"/>
      <c r="O2167" s="627"/>
      <c r="P2167" s="627"/>
      <c r="W2167" t="s">
        <v>2047</v>
      </c>
    </row>
    <row r="2168" spans="1:23" ht="13.15" customHeight="1" x14ac:dyDescent="0.2">
      <c r="A2168" s="2" t="s">
        <v>2200</v>
      </c>
      <c r="B2168" s="2">
        <f t="shared" si="66"/>
        <v>2022</v>
      </c>
      <c r="C2168" s="2" t="str">
        <f t="shared" si="67"/>
        <v>KZN226</v>
      </c>
      <c r="D2168" s="2">
        <v>550</v>
      </c>
      <c r="F2168" s="625"/>
      <c r="G2168" s="625"/>
      <c r="H2168" s="625"/>
      <c r="I2168" s="625"/>
      <c r="J2168" s="625"/>
      <c r="K2168" s="625"/>
      <c r="L2168" s="627"/>
      <c r="M2168" s="627"/>
      <c r="N2168" s="627"/>
      <c r="O2168" s="627"/>
      <c r="P2168" s="627"/>
      <c r="W2168" t="s">
        <v>2047</v>
      </c>
    </row>
    <row r="2169" spans="1:23" ht="13.15" customHeight="1" x14ac:dyDescent="0.2">
      <c r="A2169" s="2" t="s">
        <v>2200</v>
      </c>
      <c r="B2169" s="2">
        <f t="shared" si="66"/>
        <v>2022</v>
      </c>
      <c r="C2169" s="2" t="str">
        <f t="shared" si="67"/>
        <v>KZN226</v>
      </c>
      <c r="D2169" s="2">
        <v>551</v>
      </c>
      <c r="F2169" s="625"/>
      <c r="G2169" s="625"/>
      <c r="H2169" s="625"/>
      <c r="I2169" s="625"/>
      <c r="J2169" s="625"/>
      <c r="K2169" s="625"/>
      <c r="L2169" s="627"/>
      <c r="M2169" s="627"/>
      <c r="N2169" s="627"/>
      <c r="O2169" s="627"/>
      <c r="P2169" s="627"/>
      <c r="W2169" t="s">
        <v>2047</v>
      </c>
    </row>
    <row r="2170" spans="1:23" ht="13.15" customHeight="1" x14ac:dyDescent="0.2">
      <c r="A2170" s="2" t="s">
        <v>2200</v>
      </c>
      <c r="B2170" s="2">
        <f t="shared" si="66"/>
        <v>2022</v>
      </c>
      <c r="C2170" s="2" t="str">
        <f t="shared" si="67"/>
        <v>KZN226</v>
      </c>
      <c r="D2170" s="2">
        <v>552</v>
      </c>
      <c r="F2170" s="625"/>
      <c r="G2170" s="625"/>
      <c r="H2170" s="625"/>
      <c r="I2170" s="625"/>
      <c r="J2170" s="625"/>
      <c r="K2170" s="625"/>
      <c r="L2170" s="627"/>
      <c r="M2170" s="627"/>
      <c r="N2170" s="627"/>
      <c r="O2170" s="627"/>
      <c r="P2170" s="627"/>
      <c r="W2170" t="s">
        <v>2047</v>
      </c>
    </row>
    <row r="2171" spans="1:23" ht="13.15" customHeight="1" x14ac:dyDescent="0.2">
      <c r="A2171" s="2" t="s">
        <v>2200</v>
      </c>
      <c r="B2171" s="2">
        <f t="shared" si="66"/>
        <v>2022</v>
      </c>
      <c r="C2171" s="2" t="str">
        <f t="shared" si="67"/>
        <v>KZN226</v>
      </c>
      <c r="D2171" s="2">
        <v>553</v>
      </c>
      <c r="F2171" s="625"/>
      <c r="G2171" s="625"/>
      <c r="H2171" s="625"/>
      <c r="I2171" s="625"/>
      <c r="J2171" s="625"/>
      <c r="K2171" s="625"/>
      <c r="L2171" s="627"/>
      <c r="M2171" s="627"/>
      <c r="N2171" s="627"/>
      <c r="O2171" s="627"/>
      <c r="P2171" s="627"/>
      <c r="W2171" t="s">
        <v>2047</v>
      </c>
    </row>
    <row r="2172" spans="1:23" ht="13.15" customHeight="1" x14ac:dyDescent="0.2">
      <c r="A2172" s="2" t="s">
        <v>2200</v>
      </c>
      <c r="B2172" s="2">
        <f t="shared" si="66"/>
        <v>2022</v>
      </c>
      <c r="C2172" s="2" t="str">
        <f t="shared" si="67"/>
        <v>KZN226</v>
      </c>
      <c r="D2172" s="2">
        <v>554</v>
      </c>
      <c r="F2172" s="625"/>
      <c r="G2172" s="625"/>
      <c r="H2172" s="625"/>
      <c r="I2172" s="625"/>
      <c r="J2172" s="625"/>
      <c r="K2172" s="625"/>
      <c r="L2172" s="627"/>
      <c r="M2172" s="627"/>
      <c r="N2172" s="627"/>
      <c r="O2172" s="627"/>
      <c r="P2172" s="627"/>
      <c r="W2172" t="s">
        <v>2047</v>
      </c>
    </row>
    <row r="2173" spans="1:23" ht="13.15" customHeight="1" x14ac:dyDescent="0.2">
      <c r="A2173" s="2" t="s">
        <v>2200</v>
      </c>
      <c r="B2173" s="2">
        <f t="shared" si="66"/>
        <v>2022</v>
      </c>
      <c r="C2173" s="2" t="str">
        <f t="shared" si="67"/>
        <v>KZN226</v>
      </c>
      <c r="D2173" s="2">
        <v>555</v>
      </c>
      <c r="F2173" s="625"/>
      <c r="G2173" s="625"/>
      <c r="H2173" s="625"/>
      <c r="I2173" s="625"/>
      <c r="J2173" s="625"/>
      <c r="K2173" s="625"/>
      <c r="L2173" s="627"/>
      <c r="M2173" s="627"/>
      <c r="N2173" s="627"/>
      <c r="O2173" s="627"/>
      <c r="P2173" s="627"/>
      <c r="W2173" t="s">
        <v>2047</v>
      </c>
    </row>
    <row r="2174" spans="1:23" ht="13.15" customHeight="1" x14ac:dyDescent="0.2">
      <c r="A2174" s="2" t="s">
        <v>2200</v>
      </c>
      <c r="B2174" s="2">
        <f t="shared" si="66"/>
        <v>2022</v>
      </c>
      <c r="C2174" s="2" t="str">
        <f t="shared" si="67"/>
        <v>KZN226</v>
      </c>
      <c r="D2174" s="2">
        <v>556</v>
      </c>
      <c r="F2174" s="625"/>
      <c r="G2174" s="625"/>
      <c r="H2174" s="625"/>
      <c r="I2174" s="625"/>
      <c r="J2174" s="625"/>
      <c r="K2174" s="625"/>
      <c r="L2174" s="627"/>
      <c r="M2174" s="627"/>
      <c r="N2174" s="627"/>
      <c r="O2174" s="627"/>
      <c r="P2174" s="627"/>
      <c r="W2174" t="s">
        <v>2047</v>
      </c>
    </row>
    <row r="2175" spans="1:23" ht="13.15" customHeight="1" x14ac:dyDescent="0.2">
      <c r="A2175" s="2" t="s">
        <v>2200</v>
      </c>
      <c r="B2175" s="2">
        <f t="shared" si="66"/>
        <v>2022</v>
      </c>
      <c r="C2175" s="2" t="str">
        <f t="shared" si="67"/>
        <v>KZN226</v>
      </c>
      <c r="D2175" s="2">
        <v>557</v>
      </c>
      <c r="F2175" s="625"/>
      <c r="G2175" s="625"/>
      <c r="H2175" s="625"/>
      <c r="I2175" s="625"/>
      <c r="J2175" s="625"/>
      <c r="K2175" s="625"/>
      <c r="L2175" s="627"/>
      <c r="M2175" s="627"/>
      <c r="N2175" s="627"/>
      <c r="O2175" s="627"/>
      <c r="P2175" s="627"/>
      <c r="W2175" t="s">
        <v>2047</v>
      </c>
    </row>
    <row r="2176" spans="1:23" ht="13.15" customHeight="1" x14ac:dyDescent="0.2">
      <c r="A2176" s="2" t="s">
        <v>2200</v>
      </c>
      <c r="B2176" s="2">
        <f t="shared" si="66"/>
        <v>2022</v>
      </c>
      <c r="C2176" s="2" t="str">
        <f t="shared" si="67"/>
        <v>KZN226</v>
      </c>
      <c r="D2176" s="2">
        <v>558</v>
      </c>
      <c r="F2176" s="625"/>
      <c r="G2176" s="625"/>
      <c r="H2176" s="625"/>
      <c r="I2176" s="625"/>
      <c r="J2176" s="625"/>
      <c r="K2176" s="625"/>
      <c r="L2176" s="627"/>
      <c r="M2176" s="627"/>
      <c r="N2176" s="627"/>
      <c r="O2176" s="627"/>
      <c r="P2176" s="627"/>
      <c r="W2176" t="s">
        <v>2047</v>
      </c>
    </row>
    <row r="2177" spans="1:23" ht="13.15" customHeight="1" x14ac:dyDescent="0.2">
      <c r="A2177" s="2" t="s">
        <v>2200</v>
      </c>
      <c r="B2177" s="2">
        <f t="shared" si="66"/>
        <v>2022</v>
      </c>
      <c r="C2177" s="2" t="str">
        <f t="shared" si="67"/>
        <v>KZN226</v>
      </c>
      <c r="D2177" s="2">
        <v>559</v>
      </c>
      <c r="F2177" s="625"/>
      <c r="G2177" s="625"/>
      <c r="H2177" s="625"/>
      <c r="I2177" s="625"/>
      <c r="J2177" s="625"/>
      <c r="K2177" s="625"/>
      <c r="L2177" s="627"/>
      <c r="M2177" s="627"/>
      <c r="N2177" s="627"/>
      <c r="O2177" s="627"/>
      <c r="P2177" s="627"/>
      <c r="W2177" t="s">
        <v>2047</v>
      </c>
    </row>
    <row r="2178" spans="1:23" ht="13.15" customHeight="1" x14ac:dyDescent="0.2">
      <c r="A2178" s="2" t="s">
        <v>2200</v>
      </c>
      <c r="B2178" s="2">
        <f t="shared" ref="B2178:B2241" si="68">+MTREF</f>
        <v>2022</v>
      </c>
      <c r="C2178" s="2" t="str">
        <f t="shared" ref="C2178:C2241" si="69">LEFT(muni,(FIND(" ",muni,1)-1))</f>
        <v>KZN226</v>
      </c>
      <c r="D2178" s="2">
        <v>560</v>
      </c>
      <c r="F2178" s="625"/>
      <c r="G2178" s="625"/>
      <c r="H2178" s="625"/>
      <c r="I2178" s="625"/>
      <c r="J2178" s="625"/>
      <c r="K2178" s="625"/>
      <c r="L2178" s="627"/>
      <c r="M2178" s="627"/>
      <c r="N2178" s="627"/>
      <c r="O2178" s="627"/>
      <c r="P2178" s="627"/>
      <c r="W2178" t="s">
        <v>2047</v>
      </c>
    </row>
    <row r="2179" spans="1:23" ht="13.15" customHeight="1" x14ac:dyDescent="0.2">
      <c r="A2179" s="2" t="s">
        <v>2200</v>
      </c>
      <c r="B2179" s="2">
        <f t="shared" si="68"/>
        <v>2022</v>
      </c>
      <c r="C2179" s="2" t="str">
        <f t="shared" si="69"/>
        <v>KZN226</v>
      </c>
      <c r="D2179" s="2">
        <v>561</v>
      </c>
      <c r="F2179" s="625"/>
      <c r="G2179" s="625"/>
      <c r="H2179" s="625"/>
      <c r="I2179" s="625"/>
      <c r="J2179" s="625"/>
      <c r="K2179" s="625"/>
      <c r="L2179" s="627"/>
      <c r="M2179" s="627"/>
      <c r="N2179" s="627"/>
      <c r="O2179" s="627"/>
      <c r="P2179" s="627"/>
      <c r="W2179" t="s">
        <v>2047</v>
      </c>
    </row>
    <row r="2180" spans="1:23" ht="13.15" customHeight="1" x14ac:dyDescent="0.2">
      <c r="A2180" s="2" t="s">
        <v>2200</v>
      </c>
      <c r="B2180" s="2">
        <f t="shared" si="68"/>
        <v>2022</v>
      </c>
      <c r="C2180" s="2" t="str">
        <f t="shared" si="69"/>
        <v>KZN226</v>
      </c>
      <c r="D2180" s="2">
        <v>562</v>
      </c>
      <c r="F2180" s="625"/>
      <c r="G2180" s="625"/>
      <c r="H2180" s="625"/>
      <c r="I2180" s="625"/>
      <c r="J2180" s="625"/>
      <c r="K2180" s="625"/>
      <c r="L2180" s="627"/>
      <c r="M2180" s="627"/>
      <c r="N2180" s="627"/>
      <c r="O2180" s="627"/>
      <c r="P2180" s="627"/>
      <c r="W2180" t="s">
        <v>2047</v>
      </c>
    </row>
    <row r="2181" spans="1:23" ht="13.15" customHeight="1" x14ac:dyDescent="0.2">
      <c r="A2181" s="2" t="s">
        <v>2200</v>
      </c>
      <c r="B2181" s="2">
        <f t="shared" si="68"/>
        <v>2022</v>
      </c>
      <c r="C2181" s="2" t="str">
        <f t="shared" si="69"/>
        <v>KZN226</v>
      </c>
      <c r="D2181" s="2">
        <v>563</v>
      </c>
      <c r="F2181" s="625"/>
      <c r="G2181" s="625"/>
      <c r="H2181" s="625"/>
      <c r="I2181" s="625"/>
      <c r="J2181" s="625"/>
      <c r="K2181" s="625"/>
      <c r="L2181" s="627"/>
      <c r="M2181" s="627"/>
      <c r="N2181" s="627"/>
      <c r="O2181" s="627"/>
      <c r="P2181" s="627"/>
      <c r="W2181" t="s">
        <v>2047</v>
      </c>
    </row>
    <row r="2182" spans="1:23" ht="13.15" customHeight="1" x14ac:dyDescent="0.2">
      <c r="A2182" s="2" t="s">
        <v>2200</v>
      </c>
      <c r="B2182" s="2">
        <f t="shared" si="68"/>
        <v>2022</v>
      </c>
      <c r="C2182" s="2" t="str">
        <f t="shared" si="69"/>
        <v>KZN226</v>
      </c>
      <c r="D2182" s="2">
        <v>564</v>
      </c>
      <c r="F2182" s="625"/>
      <c r="G2182" s="625"/>
      <c r="H2182" s="625"/>
      <c r="I2182" s="625"/>
      <c r="J2182" s="625"/>
      <c r="K2182" s="625"/>
      <c r="L2182" s="627"/>
      <c r="M2182" s="627"/>
      <c r="N2182" s="627"/>
      <c r="O2182" s="627"/>
      <c r="P2182" s="627"/>
      <c r="W2182" t="s">
        <v>2047</v>
      </c>
    </row>
    <row r="2183" spans="1:23" ht="13.15" customHeight="1" x14ac:dyDescent="0.2">
      <c r="A2183" s="2" t="s">
        <v>2200</v>
      </c>
      <c r="B2183" s="2">
        <f t="shared" si="68"/>
        <v>2022</v>
      </c>
      <c r="C2183" s="2" t="str">
        <f t="shared" si="69"/>
        <v>KZN226</v>
      </c>
      <c r="D2183" s="2">
        <v>565</v>
      </c>
      <c r="F2183" s="625"/>
      <c r="G2183" s="625"/>
      <c r="H2183" s="625"/>
      <c r="I2183" s="625"/>
      <c r="J2183" s="625"/>
      <c r="K2183" s="625"/>
      <c r="L2183" s="627"/>
      <c r="M2183" s="627"/>
      <c r="N2183" s="627"/>
      <c r="O2183" s="627"/>
      <c r="P2183" s="627"/>
      <c r="W2183" t="s">
        <v>2047</v>
      </c>
    </row>
    <row r="2184" spans="1:23" ht="13.15" customHeight="1" x14ac:dyDescent="0.2">
      <c r="A2184" s="2" t="s">
        <v>2200</v>
      </c>
      <c r="B2184" s="2">
        <f t="shared" si="68"/>
        <v>2022</v>
      </c>
      <c r="C2184" s="2" t="str">
        <f t="shared" si="69"/>
        <v>KZN226</v>
      </c>
      <c r="D2184" s="2">
        <v>566</v>
      </c>
      <c r="F2184" s="625"/>
      <c r="G2184" s="625"/>
      <c r="H2184" s="625"/>
      <c r="I2184" s="625"/>
      <c r="J2184" s="625"/>
      <c r="K2184" s="625"/>
      <c r="L2184" s="627"/>
      <c r="M2184" s="627"/>
      <c r="N2184" s="627"/>
      <c r="O2184" s="627"/>
      <c r="P2184" s="627"/>
      <c r="W2184" t="s">
        <v>2047</v>
      </c>
    </row>
    <row r="2185" spans="1:23" ht="13.15" customHeight="1" x14ac:dyDescent="0.2">
      <c r="A2185" s="2" t="s">
        <v>2200</v>
      </c>
      <c r="B2185" s="2">
        <f t="shared" si="68"/>
        <v>2022</v>
      </c>
      <c r="C2185" s="2" t="str">
        <f t="shared" si="69"/>
        <v>KZN226</v>
      </c>
      <c r="D2185" s="2">
        <v>567</v>
      </c>
      <c r="F2185" s="625"/>
      <c r="G2185" s="625"/>
      <c r="H2185" s="625"/>
      <c r="I2185" s="625"/>
      <c r="J2185" s="625"/>
      <c r="K2185" s="625"/>
      <c r="L2185" s="627"/>
      <c r="M2185" s="627"/>
      <c r="N2185" s="627"/>
      <c r="O2185" s="627"/>
      <c r="P2185" s="627"/>
      <c r="W2185" t="s">
        <v>2047</v>
      </c>
    </row>
    <row r="2186" spans="1:23" ht="13.15" customHeight="1" x14ac:dyDescent="0.2">
      <c r="A2186" s="2" t="s">
        <v>2200</v>
      </c>
      <c r="B2186" s="2">
        <f t="shared" si="68"/>
        <v>2022</v>
      </c>
      <c r="C2186" s="2" t="str">
        <f t="shared" si="69"/>
        <v>KZN226</v>
      </c>
      <c r="D2186" s="2">
        <v>568</v>
      </c>
      <c r="F2186" s="625"/>
      <c r="G2186" s="625"/>
      <c r="H2186" s="625"/>
      <c r="I2186" s="625"/>
      <c r="J2186" s="625"/>
      <c r="K2186" s="625"/>
      <c r="L2186" s="627"/>
      <c r="M2186" s="627"/>
      <c r="N2186" s="627"/>
      <c r="O2186" s="627"/>
      <c r="P2186" s="627"/>
      <c r="W2186" t="s">
        <v>2047</v>
      </c>
    </row>
    <row r="2187" spans="1:23" ht="13.15" customHeight="1" x14ac:dyDescent="0.2">
      <c r="A2187" s="2" t="s">
        <v>2200</v>
      </c>
      <c r="B2187" s="2">
        <f t="shared" si="68"/>
        <v>2022</v>
      </c>
      <c r="C2187" s="2" t="str">
        <f t="shared" si="69"/>
        <v>KZN226</v>
      </c>
      <c r="D2187" s="2">
        <v>569</v>
      </c>
      <c r="F2187" s="625"/>
      <c r="G2187" s="625"/>
      <c r="H2187" s="625"/>
      <c r="I2187" s="625"/>
      <c r="J2187" s="625"/>
      <c r="K2187" s="625"/>
      <c r="L2187" s="627"/>
      <c r="M2187" s="627"/>
      <c r="N2187" s="627"/>
      <c r="O2187" s="627"/>
      <c r="P2187" s="627"/>
      <c r="W2187" t="s">
        <v>2047</v>
      </c>
    </row>
    <row r="2188" spans="1:23" ht="13.15" customHeight="1" x14ac:dyDescent="0.2">
      <c r="A2188" s="2" t="s">
        <v>2200</v>
      </c>
      <c r="B2188" s="2">
        <f t="shared" si="68"/>
        <v>2022</v>
      </c>
      <c r="C2188" s="2" t="str">
        <f t="shared" si="69"/>
        <v>KZN226</v>
      </c>
      <c r="D2188" s="2">
        <v>570</v>
      </c>
      <c r="F2188" s="625"/>
      <c r="G2188" s="625"/>
      <c r="H2188" s="625"/>
      <c r="I2188" s="625"/>
      <c r="J2188" s="625"/>
      <c r="K2188" s="625"/>
      <c r="L2188" s="627"/>
      <c r="M2188" s="627"/>
      <c r="N2188" s="627"/>
      <c r="O2188" s="627"/>
      <c r="P2188" s="627"/>
      <c r="W2188" t="s">
        <v>2047</v>
      </c>
    </row>
    <row r="2189" spans="1:23" ht="13.15" customHeight="1" x14ac:dyDescent="0.2">
      <c r="A2189" s="2" t="s">
        <v>2200</v>
      </c>
      <c r="B2189" s="2">
        <f t="shared" si="68"/>
        <v>2022</v>
      </c>
      <c r="C2189" s="2" t="str">
        <f t="shared" si="69"/>
        <v>KZN226</v>
      </c>
      <c r="D2189" s="2">
        <v>571</v>
      </c>
      <c r="F2189" s="625"/>
      <c r="G2189" s="625"/>
      <c r="H2189" s="625"/>
      <c r="I2189" s="625"/>
      <c r="J2189" s="625"/>
      <c r="K2189" s="625"/>
      <c r="L2189" s="627"/>
      <c r="M2189" s="627"/>
      <c r="N2189" s="627"/>
      <c r="O2189" s="627"/>
      <c r="P2189" s="627"/>
      <c r="W2189" t="s">
        <v>2047</v>
      </c>
    </row>
    <row r="2190" spans="1:23" ht="13.15" customHeight="1" x14ac:dyDescent="0.2">
      <c r="A2190" s="2" t="s">
        <v>2200</v>
      </c>
      <c r="B2190" s="2">
        <f t="shared" si="68"/>
        <v>2022</v>
      </c>
      <c r="C2190" s="2" t="str">
        <f t="shared" si="69"/>
        <v>KZN226</v>
      </c>
      <c r="D2190" s="2">
        <v>572</v>
      </c>
      <c r="F2190" s="625"/>
      <c r="G2190" s="625"/>
      <c r="H2190" s="625"/>
      <c r="I2190" s="625"/>
      <c r="J2190" s="625"/>
      <c r="K2190" s="625"/>
      <c r="L2190" s="627"/>
      <c r="M2190" s="627"/>
      <c r="N2190" s="627"/>
      <c r="O2190" s="627"/>
      <c r="P2190" s="627"/>
      <c r="W2190" t="s">
        <v>2047</v>
      </c>
    </row>
    <row r="2191" spans="1:23" ht="13.15" customHeight="1" x14ac:dyDescent="0.2">
      <c r="A2191" s="2" t="s">
        <v>2200</v>
      </c>
      <c r="B2191" s="2">
        <f t="shared" si="68"/>
        <v>2022</v>
      </c>
      <c r="C2191" s="2" t="str">
        <f t="shared" si="69"/>
        <v>KZN226</v>
      </c>
      <c r="D2191" s="2">
        <v>573</v>
      </c>
      <c r="F2191" s="625"/>
      <c r="G2191" s="625"/>
      <c r="H2191" s="625"/>
      <c r="I2191" s="625"/>
      <c r="J2191" s="625"/>
      <c r="K2191" s="625"/>
      <c r="L2191" s="627"/>
      <c r="M2191" s="627"/>
      <c r="N2191" s="627"/>
      <c r="O2191" s="627"/>
      <c r="P2191" s="627"/>
      <c r="W2191" t="s">
        <v>2047</v>
      </c>
    </row>
    <row r="2192" spans="1:23" ht="13.15" customHeight="1" x14ac:dyDescent="0.2">
      <c r="A2192" s="2" t="s">
        <v>2200</v>
      </c>
      <c r="B2192" s="2">
        <f t="shared" si="68"/>
        <v>2022</v>
      </c>
      <c r="C2192" s="2" t="str">
        <f t="shared" si="69"/>
        <v>KZN226</v>
      </c>
      <c r="D2192" s="2">
        <v>574</v>
      </c>
      <c r="F2192" s="625"/>
      <c r="G2192" s="625"/>
      <c r="H2192" s="625"/>
      <c r="I2192" s="625"/>
      <c r="J2192" s="625"/>
      <c r="K2192" s="625"/>
      <c r="L2192" s="627"/>
      <c r="M2192" s="627"/>
      <c r="N2192" s="627"/>
      <c r="O2192" s="627"/>
      <c r="P2192" s="627"/>
      <c r="W2192" t="s">
        <v>2047</v>
      </c>
    </row>
    <row r="2193" spans="1:23" ht="13.15" customHeight="1" x14ac:dyDescent="0.2">
      <c r="A2193" s="2" t="s">
        <v>2200</v>
      </c>
      <c r="B2193" s="2">
        <f t="shared" si="68"/>
        <v>2022</v>
      </c>
      <c r="C2193" s="2" t="str">
        <f t="shared" si="69"/>
        <v>KZN226</v>
      </c>
      <c r="D2193" s="2">
        <v>575</v>
      </c>
      <c r="F2193" s="625"/>
      <c r="G2193" s="625"/>
      <c r="H2193" s="625"/>
      <c r="I2193" s="625"/>
      <c r="J2193" s="625"/>
      <c r="K2193" s="625"/>
      <c r="L2193" s="627"/>
      <c r="M2193" s="627"/>
      <c r="N2193" s="627"/>
      <c r="O2193" s="627"/>
      <c r="P2193" s="627"/>
      <c r="W2193" t="s">
        <v>2047</v>
      </c>
    </row>
    <row r="2194" spans="1:23" ht="13.15" customHeight="1" x14ac:dyDescent="0.2">
      <c r="A2194" s="2" t="s">
        <v>2200</v>
      </c>
      <c r="B2194" s="2">
        <f t="shared" si="68"/>
        <v>2022</v>
      </c>
      <c r="C2194" s="2" t="str">
        <f t="shared" si="69"/>
        <v>KZN226</v>
      </c>
      <c r="D2194" s="2">
        <v>576</v>
      </c>
      <c r="F2194" s="625"/>
      <c r="G2194" s="625"/>
      <c r="H2194" s="625"/>
      <c r="I2194" s="625"/>
      <c r="J2194" s="625"/>
      <c r="K2194" s="625"/>
      <c r="L2194" s="627"/>
      <c r="M2194" s="627"/>
      <c r="N2194" s="627"/>
      <c r="O2194" s="627"/>
      <c r="P2194" s="627"/>
      <c r="W2194" t="s">
        <v>2047</v>
      </c>
    </row>
    <row r="2195" spans="1:23" ht="13.15" customHeight="1" x14ac:dyDescent="0.2">
      <c r="A2195" s="2" t="s">
        <v>2200</v>
      </c>
      <c r="B2195" s="2">
        <f t="shared" si="68"/>
        <v>2022</v>
      </c>
      <c r="C2195" s="2" t="str">
        <f t="shared" si="69"/>
        <v>KZN226</v>
      </c>
      <c r="D2195" s="2">
        <v>577</v>
      </c>
      <c r="F2195" s="625"/>
      <c r="G2195" s="625"/>
      <c r="H2195" s="625"/>
      <c r="I2195" s="625"/>
      <c r="J2195" s="625"/>
      <c r="K2195" s="625"/>
      <c r="L2195" s="627"/>
      <c r="M2195" s="627"/>
      <c r="N2195" s="627"/>
      <c r="O2195" s="627"/>
      <c r="P2195" s="627"/>
      <c r="W2195" t="s">
        <v>2047</v>
      </c>
    </row>
    <row r="2196" spans="1:23" ht="13.15" customHeight="1" x14ac:dyDescent="0.2">
      <c r="A2196" s="2" t="s">
        <v>2200</v>
      </c>
      <c r="B2196" s="2">
        <f t="shared" si="68"/>
        <v>2022</v>
      </c>
      <c r="C2196" s="2" t="str">
        <f t="shared" si="69"/>
        <v>KZN226</v>
      </c>
      <c r="D2196" s="2">
        <v>578</v>
      </c>
      <c r="F2196" s="625"/>
      <c r="G2196" s="625"/>
      <c r="H2196" s="625"/>
      <c r="I2196" s="625"/>
      <c r="J2196" s="625"/>
      <c r="K2196" s="625"/>
      <c r="L2196" s="627"/>
      <c r="M2196" s="627"/>
      <c r="N2196" s="627"/>
      <c r="O2196" s="627"/>
      <c r="P2196" s="627"/>
      <c r="W2196" t="s">
        <v>2047</v>
      </c>
    </row>
    <row r="2197" spans="1:23" ht="13.15" customHeight="1" x14ac:dyDescent="0.2">
      <c r="A2197" s="2" t="s">
        <v>2200</v>
      </c>
      <c r="B2197" s="2">
        <f t="shared" si="68"/>
        <v>2022</v>
      </c>
      <c r="C2197" s="2" t="str">
        <f t="shared" si="69"/>
        <v>KZN226</v>
      </c>
      <c r="D2197" s="2">
        <v>579</v>
      </c>
      <c r="F2197" s="625"/>
      <c r="G2197" s="625"/>
      <c r="H2197" s="625"/>
      <c r="I2197" s="625"/>
      <c r="J2197" s="625"/>
      <c r="K2197" s="625"/>
      <c r="L2197" s="627"/>
      <c r="M2197" s="627"/>
      <c r="N2197" s="627"/>
      <c r="O2197" s="627"/>
      <c r="P2197" s="627"/>
      <c r="W2197" t="s">
        <v>2047</v>
      </c>
    </row>
    <row r="2198" spans="1:23" ht="13.15" customHeight="1" x14ac:dyDescent="0.2">
      <c r="A2198" s="2" t="s">
        <v>2200</v>
      </c>
      <c r="B2198" s="2">
        <f t="shared" si="68"/>
        <v>2022</v>
      </c>
      <c r="C2198" s="2" t="str">
        <f t="shared" si="69"/>
        <v>KZN226</v>
      </c>
      <c r="D2198" s="2">
        <v>580</v>
      </c>
      <c r="F2198" s="625"/>
      <c r="G2198" s="625"/>
      <c r="H2198" s="625"/>
      <c r="I2198" s="625"/>
      <c r="J2198" s="625"/>
      <c r="K2198" s="625"/>
      <c r="L2198" s="627"/>
      <c r="M2198" s="627"/>
      <c r="N2198" s="627"/>
      <c r="O2198" s="627"/>
      <c r="P2198" s="627"/>
      <c r="W2198" t="s">
        <v>2047</v>
      </c>
    </row>
    <row r="2199" spans="1:23" ht="13.15" customHeight="1" x14ac:dyDescent="0.2">
      <c r="A2199" s="2" t="s">
        <v>2200</v>
      </c>
      <c r="B2199" s="2">
        <f t="shared" si="68"/>
        <v>2022</v>
      </c>
      <c r="C2199" s="2" t="str">
        <f t="shared" si="69"/>
        <v>KZN226</v>
      </c>
      <c r="D2199" s="2">
        <v>581</v>
      </c>
      <c r="F2199" s="625"/>
      <c r="G2199" s="625"/>
      <c r="H2199" s="625"/>
      <c r="I2199" s="625"/>
      <c r="J2199" s="625"/>
      <c r="K2199" s="625"/>
      <c r="L2199" s="627"/>
      <c r="M2199" s="627"/>
      <c r="N2199" s="627"/>
      <c r="O2199" s="627"/>
      <c r="P2199" s="627"/>
      <c r="W2199" t="s">
        <v>2047</v>
      </c>
    </row>
    <row r="2200" spans="1:23" ht="13.15" customHeight="1" x14ac:dyDescent="0.2">
      <c r="A2200" s="2" t="s">
        <v>2200</v>
      </c>
      <c r="B2200" s="2">
        <f t="shared" si="68"/>
        <v>2022</v>
      </c>
      <c r="C2200" s="2" t="str">
        <f t="shared" si="69"/>
        <v>KZN226</v>
      </c>
      <c r="D2200" s="2">
        <v>582</v>
      </c>
      <c r="F2200" s="625"/>
      <c r="G2200" s="625"/>
      <c r="H2200" s="625"/>
      <c r="I2200" s="625"/>
      <c r="J2200" s="625"/>
      <c r="K2200" s="625"/>
      <c r="L2200" s="627"/>
      <c r="M2200" s="627"/>
      <c r="N2200" s="627"/>
      <c r="O2200" s="627"/>
      <c r="P2200" s="627"/>
      <c r="W2200" t="s">
        <v>2047</v>
      </c>
    </row>
    <row r="2201" spans="1:23" ht="13.15" customHeight="1" x14ac:dyDescent="0.2">
      <c r="A2201" s="2" t="s">
        <v>2200</v>
      </c>
      <c r="B2201" s="2">
        <f t="shared" si="68"/>
        <v>2022</v>
      </c>
      <c r="C2201" s="2" t="str">
        <f t="shared" si="69"/>
        <v>KZN226</v>
      </c>
      <c r="D2201" s="2">
        <v>583</v>
      </c>
      <c r="F2201" s="625"/>
      <c r="G2201" s="625"/>
      <c r="H2201" s="625"/>
      <c r="I2201" s="625"/>
      <c r="J2201" s="625"/>
      <c r="K2201" s="625"/>
      <c r="L2201" s="627"/>
      <c r="M2201" s="627"/>
      <c r="N2201" s="627"/>
      <c r="O2201" s="627"/>
      <c r="P2201" s="627"/>
      <c r="W2201" t="s">
        <v>2047</v>
      </c>
    </row>
    <row r="2202" spans="1:23" ht="13.15" customHeight="1" x14ac:dyDescent="0.2">
      <c r="A2202" s="2" t="s">
        <v>2200</v>
      </c>
      <c r="B2202" s="2">
        <f t="shared" si="68"/>
        <v>2022</v>
      </c>
      <c r="C2202" s="2" t="str">
        <f t="shared" si="69"/>
        <v>KZN226</v>
      </c>
      <c r="D2202" s="2">
        <v>584</v>
      </c>
      <c r="F2202" s="625"/>
      <c r="G2202" s="625"/>
      <c r="H2202" s="625"/>
      <c r="I2202" s="625"/>
      <c r="J2202" s="625"/>
      <c r="K2202" s="625"/>
      <c r="L2202" s="627"/>
      <c r="M2202" s="627"/>
      <c r="N2202" s="627"/>
      <c r="O2202" s="627"/>
      <c r="P2202" s="627"/>
      <c r="W2202" t="s">
        <v>2047</v>
      </c>
    </row>
    <row r="2203" spans="1:23" ht="13.15" customHeight="1" x14ac:dyDescent="0.2">
      <c r="A2203" s="2" t="s">
        <v>2200</v>
      </c>
      <c r="B2203" s="2">
        <f t="shared" si="68"/>
        <v>2022</v>
      </c>
      <c r="C2203" s="2" t="str">
        <f t="shared" si="69"/>
        <v>KZN226</v>
      </c>
      <c r="D2203" s="2">
        <v>585</v>
      </c>
      <c r="F2203" s="625"/>
      <c r="G2203" s="625"/>
      <c r="H2203" s="625"/>
      <c r="I2203" s="625"/>
      <c r="J2203" s="625"/>
      <c r="K2203" s="625"/>
      <c r="L2203" s="627"/>
      <c r="M2203" s="627"/>
      <c r="N2203" s="627"/>
      <c r="O2203" s="627"/>
      <c r="P2203" s="627"/>
      <c r="W2203" t="s">
        <v>2047</v>
      </c>
    </row>
    <row r="2204" spans="1:23" ht="13.15" customHeight="1" x14ac:dyDescent="0.2">
      <c r="A2204" s="2" t="s">
        <v>2200</v>
      </c>
      <c r="B2204" s="2">
        <f t="shared" si="68"/>
        <v>2022</v>
      </c>
      <c r="C2204" s="2" t="str">
        <f t="shared" si="69"/>
        <v>KZN226</v>
      </c>
      <c r="D2204" s="2">
        <v>586</v>
      </c>
      <c r="F2204" s="625"/>
      <c r="G2204" s="625"/>
      <c r="H2204" s="625"/>
      <c r="I2204" s="625"/>
      <c r="J2204" s="625"/>
      <c r="K2204" s="625"/>
      <c r="L2204" s="627"/>
      <c r="M2204" s="627"/>
      <c r="N2204" s="627"/>
      <c r="O2204" s="627"/>
      <c r="P2204" s="627"/>
      <c r="W2204" t="s">
        <v>2047</v>
      </c>
    </row>
    <row r="2205" spans="1:23" ht="13.15" customHeight="1" x14ac:dyDescent="0.2">
      <c r="A2205" s="2" t="s">
        <v>2200</v>
      </c>
      <c r="B2205" s="2">
        <f t="shared" si="68"/>
        <v>2022</v>
      </c>
      <c r="C2205" s="2" t="str">
        <f t="shared" si="69"/>
        <v>KZN226</v>
      </c>
      <c r="D2205" s="2">
        <v>587</v>
      </c>
      <c r="F2205" s="625"/>
      <c r="G2205" s="625"/>
      <c r="H2205" s="625"/>
      <c r="I2205" s="625"/>
      <c r="J2205" s="625"/>
      <c r="K2205" s="625"/>
      <c r="L2205" s="627"/>
      <c r="M2205" s="627"/>
      <c r="N2205" s="627"/>
      <c r="O2205" s="627"/>
      <c r="P2205" s="627"/>
      <c r="W2205" t="s">
        <v>2047</v>
      </c>
    </row>
    <row r="2206" spans="1:23" ht="13.15" customHeight="1" x14ac:dyDescent="0.2">
      <c r="A2206" s="2" t="s">
        <v>2200</v>
      </c>
      <c r="B2206" s="2">
        <f t="shared" si="68"/>
        <v>2022</v>
      </c>
      <c r="C2206" s="2" t="str">
        <f t="shared" si="69"/>
        <v>KZN226</v>
      </c>
      <c r="D2206" s="2">
        <v>588</v>
      </c>
      <c r="F2206" s="625"/>
      <c r="G2206" s="625"/>
      <c r="H2206" s="625"/>
      <c r="I2206" s="625"/>
      <c r="J2206" s="625"/>
      <c r="K2206" s="625"/>
      <c r="L2206" s="627"/>
      <c r="M2206" s="627"/>
      <c r="N2206" s="627"/>
      <c r="O2206" s="627"/>
      <c r="P2206" s="627"/>
      <c r="W2206" t="s">
        <v>2047</v>
      </c>
    </row>
    <row r="2207" spans="1:23" ht="13.15" customHeight="1" x14ac:dyDescent="0.2">
      <c r="A2207" s="2" t="s">
        <v>2200</v>
      </c>
      <c r="B2207" s="2">
        <f t="shared" si="68"/>
        <v>2022</v>
      </c>
      <c r="C2207" s="2" t="str">
        <f t="shared" si="69"/>
        <v>KZN226</v>
      </c>
      <c r="D2207" s="2">
        <v>589</v>
      </c>
      <c r="F2207" s="625"/>
      <c r="G2207" s="625"/>
      <c r="H2207" s="625"/>
      <c r="I2207" s="625"/>
      <c r="J2207" s="625"/>
      <c r="K2207" s="625"/>
      <c r="L2207" s="627"/>
      <c r="M2207" s="627"/>
      <c r="N2207" s="627"/>
      <c r="O2207" s="627"/>
      <c r="P2207" s="627"/>
      <c r="W2207" t="s">
        <v>2047</v>
      </c>
    </row>
    <row r="2208" spans="1:23" ht="13.15" customHeight="1" x14ac:dyDescent="0.2">
      <c r="A2208" s="2" t="s">
        <v>2200</v>
      </c>
      <c r="B2208" s="2">
        <f t="shared" si="68"/>
        <v>2022</v>
      </c>
      <c r="C2208" s="2" t="str">
        <f t="shared" si="69"/>
        <v>KZN226</v>
      </c>
      <c r="D2208" s="2">
        <v>590</v>
      </c>
      <c r="F2208" s="625"/>
      <c r="G2208" s="625"/>
      <c r="H2208" s="625"/>
      <c r="I2208" s="625"/>
      <c r="J2208" s="625"/>
      <c r="K2208" s="625"/>
      <c r="L2208" s="627"/>
      <c r="M2208" s="627"/>
      <c r="N2208" s="627"/>
      <c r="O2208" s="627"/>
      <c r="P2208" s="627"/>
      <c r="W2208" t="s">
        <v>2047</v>
      </c>
    </row>
    <row r="2209" spans="1:23" ht="13.15" customHeight="1" x14ac:dyDescent="0.2">
      <c r="A2209" s="2" t="s">
        <v>2200</v>
      </c>
      <c r="B2209" s="2">
        <f t="shared" si="68"/>
        <v>2022</v>
      </c>
      <c r="C2209" s="2" t="str">
        <f t="shared" si="69"/>
        <v>KZN226</v>
      </c>
      <c r="D2209" s="2">
        <v>591</v>
      </c>
      <c r="F2209" s="625"/>
      <c r="G2209" s="625"/>
      <c r="H2209" s="625"/>
      <c r="I2209" s="625"/>
      <c r="J2209" s="625"/>
      <c r="K2209" s="625"/>
      <c r="L2209" s="627"/>
      <c r="M2209" s="627"/>
      <c r="N2209" s="627"/>
      <c r="O2209" s="627"/>
      <c r="P2209" s="627"/>
      <c r="W2209" t="s">
        <v>2047</v>
      </c>
    </row>
    <row r="2210" spans="1:23" ht="13.15" customHeight="1" x14ac:dyDescent="0.2">
      <c r="A2210" s="2" t="s">
        <v>2200</v>
      </c>
      <c r="B2210" s="2">
        <f t="shared" si="68"/>
        <v>2022</v>
      </c>
      <c r="C2210" s="2" t="str">
        <f t="shared" si="69"/>
        <v>KZN226</v>
      </c>
      <c r="D2210" s="2">
        <v>592</v>
      </c>
      <c r="F2210" s="625"/>
      <c r="G2210" s="625"/>
      <c r="H2210" s="625"/>
      <c r="I2210" s="625"/>
      <c r="J2210" s="625"/>
      <c r="K2210" s="625"/>
      <c r="L2210" s="627"/>
      <c r="M2210" s="627"/>
      <c r="N2210" s="627"/>
      <c r="O2210" s="627"/>
      <c r="P2210" s="627"/>
      <c r="W2210" t="s">
        <v>2047</v>
      </c>
    </row>
    <row r="2211" spans="1:23" ht="13.15" customHeight="1" x14ac:dyDescent="0.2">
      <c r="A2211" s="2" t="s">
        <v>2200</v>
      </c>
      <c r="B2211" s="2">
        <f t="shared" si="68"/>
        <v>2022</v>
      </c>
      <c r="C2211" s="2" t="str">
        <f t="shared" si="69"/>
        <v>KZN226</v>
      </c>
      <c r="D2211" s="2">
        <v>593</v>
      </c>
      <c r="F2211" s="625"/>
      <c r="G2211" s="625"/>
      <c r="H2211" s="625"/>
      <c r="I2211" s="625"/>
      <c r="J2211" s="625"/>
      <c r="K2211" s="625"/>
      <c r="L2211" s="627"/>
      <c r="M2211" s="627"/>
      <c r="N2211" s="627"/>
      <c r="O2211" s="627"/>
      <c r="P2211" s="627"/>
      <c r="W2211" t="s">
        <v>2047</v>
      </c>
    </row>
    <row r="2212" spans="1:23" ht="13.15" customHeight="1" x14ac:dyDescent="0.2">
      <c r="A2212" s="2" t="s">
        <v>2200</v>
      </c>
      <c r="B2212" s="2">
        <f t="shared" si="68"/>
        <v>2022</v>
      </c>
      <c r="C2212" s="2" t="str">
        <f t="shared" si="69"/>
        <v>KZN226</v>
      </c>
      <c r="D2212" s="2">
        <v>594</v>
      </c>
      <c r="F2212" s="625"/>
      <c r="G2212" s="625"/>
      <c r="H2212" s="625"/>
      <c r="I2212" s="625"/>
      <c r="J2212" s="625"/>
      <c r="K2212" s="625"/>
      <c r="L2212" s="627"/>
      <c r="M2212" s="627"/>
      <c r="N2212" s="627"/>
      <c r="O2212" s="627"/>
      <c r="P2212" s="627"/>
      <c r="W2212" t="s">
        <v>2047</v>
      </c>
    </row>
    <row r="2213" spans="1:23" ht="13.15" customHeight="1" x14ac:dyDescent="0.2">
      <c r="A2213" s="2" t="s">
        <v>2200</v>
      </c>
      <c r="B2213" s="2">
        <f t="shared" si="68"/>
        <v>2022</v>
      </c>
      <c r="C2213" s="2" t="str">
        <f t="shared" si="69"/>
        <v>KZN226</v>
      </c>
      <c r="D2213" s="2">
        <v>595</v>
      </c>
      <c r="F2213" s="625"/>
      <c r="G2213" s="625"/>
      <c r="H2213" s="625"/>
      <c r="I2213" s="625"/>
      <c r="J2213" s="625"/>
      <c r="K2213" s="625"/>
      <c r="L2213" s="627"/>
      <c r="M2213" s="627"/>
      <c r="N2213" s="627"/>
      <c r="O2213" s="627"/>
      <c r="P2213" s="627"/>
      <c r="W2213" t="s">
        <v>2047</v>
      </c>
    </row>
    <row r="2214" spans="1:23" ht="13.15" customHeight="1" x14ac:dyDescent="0.2">
      <c r="A2214" s="2" t="s">
        <v>2200</v>
      </c>
      <c r="B2214" s="2">
        <f t="shared" si="68"/>
        <v>2022</v>
      </c>
      <c r="C2214" s="2" t="str">
        <f t="shared" si="69"/>
        <v>KZN226</v>
      </c>
      <c r="D2214" s="2">
        <v>596</v>
      </c>
      <c r="F2214" s="625"/>
      <c r="G2214" s="625"/>
      <c r="H2214" s="625"/>
      <c r="I2214" s="625"/>
      <c r="J2214" s="625"/>
      <c r="K2214" s="625"/>
      <c r="L2214" s="627"/>
      <c r="M2214" s="627"/>
      <c r="N2214" s="627"/>
      <c r="O2214" s="627"/>
      <c r="P2214" s="627"/>
      <c r="W2214" t="s">
        <v>2047</v>
      </c>
    </row>
    <row r="2215" spans="1:23" ht="13.15" customHeight="1" x14ac:dyDescent="0.2">
      <c r="A2215" s="2" t="s">
        <v>2200</v>
      </c>
      <c r="B2215" s="2">
        <f t="shared" si="68"/>
        <v>2022</v>
      </c>
      <c r="C2215" s="2" t="str">
        <f t="shared" si="69"/>
        <v>KZN226</v>
      </c>
      <c r="D2215" s="2">
        <v>597</v>
      </c>
      <c r="F2215" s="625"/>
      <c r="G2215" s="625"/>
      <c r="H2215" s="625"/>
      <c r="I2215" s="625"/>
      <c r="J2215" s="625"/>
      <c r="K2215" s="625"/>
      <c r="L2215" s="627"/>
      <c r="M2215" s="627"/>
      <c r="N2215" s="627"/>
      <c r="O2215" s="627"/>
      <c r="P2215" s="627"/>
      <c r="W2215" t="s">
        <v>2047</v>
      </c>
    </row>
    <row r="2216" spans="1:23" ht="13.15" customHeight="1" x14ac:dyDescent="0.2">
      <c r="A2216" s="2" t="s">
        <v>2200</v>
      </c>
      <c r="B2216" s="2">
        <f t="shared" si="68"/>
        <v>2022</v>
      </c>
      <c r="C2216" s="2" t="str">
        <f t="shared" si="69"/>
        <v>KZN226</v>
      </c>
      <c r="D2216" s="2">
        <v>598</v>
      </c>
      <c r="F2216" s="625"/>
      <c r="G2216" s="625"/>
      <c r="H2216" s="625"/>
      <c r="I2216" s="625"/>
      <c r="J2216" s="625"/>
      <c r="K2216" s="625"/>
      <c r="L2216" s="627"/>
      <c r="M2216" s="627"/>
      <c r="N2216" s="627"/>
      <c r="O2216" s="627"/>
      <c r="P2216" s="627"/>
      <c r="W2216" t="s">
        <v>2047</v>
      </c>
    </row>
    <row r="2217" spans="1:23" ht="13.15" customHeight="1" x14ac:dyDescent="0.2">
      <c r="A2217" s="2" t="s">
        <v>2200</v>
      </c>
      <c r="B2217" s="2">
        <f t="shared" si="68"/>
        <v>2022</v>
      </c>
      <c r="C2217" s="2" t="str">
        <f t="shared" si="69"/>
        <v>KZN226</v>
      </c>
      <c r="D2217" s="2">
        <v>599</v>
      </c>
      <c r="F2217" s="625"/>
      <c r="G2217" s="625"/>
      <c r="H2217" s="625"/>
      <c r="I2217" s="625"/>
      <c r="J2217" s="625"/>
      <c r="K2217" s="625"/>
      <c r="L2217" s="627"/>
      <c r="M2217" s="627"/>
      <c r="N2217" s="627"/>
      <c r="O2217" s="627"/>
      <c r="P2217" s="627"/>
      <c r="W2217" t="s">
        <v>2047</v>
      </c>
    </row>
    <row r="2218" spans="1:23" ht="13.15" customHeight="1" x14ac:dyDescent="0.2">
      <c r="A2218" s="2" t="s">
        <v>2200</v>
      </c>
      <c r="B2218" s="2">
        <f t="shared" si="68"/>
        <v>2022</v>
      </c>
      <c r="C2218" s="2" t="str">
        <f t="shared" si="69"/>
        <v>KZN226</v>
      </c>
      <c r="D2218" s="2">
        <v>600</v>
      </c>
      <c r="F2218" s="625"/>
      <c r="G2218" s="625"/>
      <c r="H2218" s="625"/>
      <c r="I2218" s="625"/>
      <c r="J2218" s="625"/>
      <c r="K2218" s="625"/>
      <c r="L2218" s="627"/>
      <c r="M2218" s="627"/>
      <c r="N2218" s="627"/>
      <c r="O2218" s="627"/>
      <c r="P2218" s="627"/>
      <c r="W2218" t="s">
        <v>2047</v>
      </c>
    </row>
    <row r="2219" spans="1:23" ht="13.15" customHeight="1" x14ac:dyDescent="0.2">
      <c r="A2219" s="2" t="s">
        <v>2200</v>
      </c>
      <c r="B2219" s="2">
        <f t="shared" si="68"/>
        <v>2022</v>
      </c>
      <c r="C2219" s="2" t="str">
        <f t="shared" si="69"/>
        <v>KZN226</v>
      </c>
      <c r="D2219" s="2">
        <v>601</v>
      </c>
      <c r="F2219" s="625"/>
      <c r="G2219" s="625"/>
      <c r="H2219" s="625"/>
      <c r="I2219" s="625"/>
      <c r="J2219" s="625"/>
      <c r="K2219" s="625"/>
      <c r="L2219" s="627"/>
      <c r="M2219" s="627"/>
      <c r="N2219" s="627"/>
      <c r="O2219" s="627"/>
      <c r="P2219" s="627"/>
      <c r="W2219" t="s">
        <v>2047</v>
      </c>
    </row>
    <row r="2220" spans="1:23" ht="13.15" customHeight="1" x14ac:dyDescent="0.2">
      <c r="A2220" s="2" t="s">
        <v>2200</v>
      </c>
      <c r="B2220" s="2">
        <f t="shared" si="68"/>
        <v>2022</v>
      </c>
      <c r="C2220" s="2" t="str">
        <f t="shared" si="69"/>
        <v>KZN226</v>
      </c>
      <c r="D2220" s="2">
        <v>602</v>
      </c>
      <c r="F2220" s="625"/>
      <c r="G2220" s="625"/>
      <c r="H2220" s="625"/>
      <c r="I2220" s="625"/>
      <c r="J2220" s="625"/>
      <c r="K2220" s="625"/>
      <c r="L2220" s="627"/>
      <c r="M2220" s="627"/>
      <c r="N2220" s="627"/>
      <c r="O2220" s="627"/>
      <c r="P2220" s="627"/>
      <c r="W2220" t="s">
        <v>2047</v>
      </c>
    </row>
    <row r="2221" spans="1:23" ht="13.15" customHeight="1" x14ac:dyDescent="0.2">
      <c r="A2221" s="2" t="s">
        <v>2200</v>
      </c>
      <c r="B2221" s="2">
        <f t="shared" si="68"/>
        <v>2022</v>
      </c>
      <c r="C2221" s="2" t="str">
        <f t="shared" si="69"/>
        <v>KZN226</v>
      </c>
      <c r="D2221" s="2">
        <v>603</v>
      </c>
      <c r="F2221" s="625"/>
      <c r="G2221" s="625"/>
      <c r="H2221" s="625"/>
      <c r="I2221" s="625"/>
      <c r="J2221" s="625"/>
      <c r="K2221" s="625"/>
      <c r="L2221" s="627"/>
      <c r="M2221" s="627"/>
      <c r="N2221" s="627"/>
      <c r="O2221" s="627"/>
      <c r="P2221" s="627"/>
      <c r="W2221" t="s">
        <v>2047</v>
      </c>
    </row>
    <row r="2222" spans="1:23" ht="13.15" customHeight="1" x14ac:dyDescent="0.2">
      <c r="A2222" s="2" t="s">
        <v>2200</v>
      </c>
      <c r="B2222" s="2">
        <f t="shared" si="68"/>
        <v>2022</v>
      </c>
      <c r="C2222" s="2" t="str">
        <f t="shared" si="69"/>
        <v>KZN226</v>
      </c>
      <c r="D2222" s="2">
        <v>604</v>
      </c>
      <c r="F2222" s="625"/>
      <c r="G2222" s="625"/>
      <c r="H2222" s="625"/>
      <c r="I2222" s="625"/>
      <c r="J2222" s="625"/>
      <c r="K2222" s="625"/>
      <c r="L2222" s="627"/>
      <c r="M2222" s="627"/>
      <c r="N2222" s="627"/>
      <c r="O2222" s="627"/>
      <c r="P2222" s="627"/>
      <c r="W2222" t="s">
        <v>2047</v>
      </c>
    </row>
    <row r="2223" spans="1:23" ht="13.15" customHeight="1" x14ac:dyDescent="0.2">
      <c r="A2223" s="2" t="s">
        <v>2200</v>
      </c>
      <c r="B2223" s="2">
        <f t="shared" si="68"/>
        <v>2022</v>
      </c>
      <c r="C2223" s="2" t="str">
        <f t="shared" si="69"/>
        <v>KZN226</v>
      </c>
      <c r="D2223" s="2">
        <v>605</v>
      </c>
      <c r="F2223" s="625"/>
      <c r="G2223" s="625"/>
      <c r="H2223" s="625"/>
      <c r="I2223" s="625"/>
      <c r="J2223" s="625"/>
      <c r="K2223" s="625"/>
      <c r="L2223" s="627"/>
      <c r="M2223" s="627"/>
      <c r="N2223" s="627"/>
      <c r="O2223" s="627"/>
      <c r="P2223" s="627"/>
      <c r="W2223" t="s">
        <v>2047</v>
      </c>
    </row>
    <row r="2224" spans="1:23" ht="13.15" customHeight="1" x14ac:dyDescent="0.2">
      <c r="A2224" s="2" t="s">
        <v>2200</v>
      </c>
      <c r="B2224" s="2">
        <f t="shared" si="68"/>
        <v>2022</v>
      </c>
      <c r="C2224" s="2" t="str">
        <f t="shared" si="69"/>
        <v>KZN226</v>
      </c>
      <c r="D2224" s="2">
        <v>606</v>
      </c>
      <c r="F2224" s="625"/>
      <c r="G2224" s="625"/>
      <c r="H2224" s="625"/>
      <c r="I2224" s="625"/>
      <c r="J2224" s="625"/>
      <c r="K2224" s="625"/>
      <c r="L2224" s="627"/>
      <c r="M2224" s="627"/>
      <c r="N2224" s="627"/>
      <c r="O2224" s="627"/>
      <c r="P2224" s="627"/>
      <c r="W2224" t="s">
        <v>2047</v>
      </c>
    </row>
    <row r="2225" spans="1:23" ht="13.15" customHeight="1" x14ac:dyDescent="0.2">
      <c r="A2225" s="2" t="s">
        <v>2200</v>
      </c>
      <c r="B2225" s="2">
        <f t="shared" si="68"/>
        <v>2022</v>
      </c>
      <c r="C2225" s="2" t="str">
        <f t="shared" si="69"/>
        <v>KZN226</v>
      </c>
      <c r="D2225" s="2">
        <v>607</v>
      </c>
      <c r="F2225" s="625"/>
      <c r="G2225" s="625"/>
      <c r="H2225" s="625"/>
      <c r="I2225" s="625"/>
      <c r="J2225" s="625"/>
      <c r="K2225" s="625"/>
      <c r="L2225" s="627"/>
      <c r="M2225" s="627"/>
      <c r="N2225" s="627"/>
      <c r="O2225" s="627"/>
      <c r="P2225" s="627"/>
      <c r="W2225" t="s">
        <v>2047</v>
      </c>
    </row>
    <row r="2226" spans="1:23" ht="13.15" customHeight="1" x14ac:dyDescent="0.2">
      <c r="A2226" s="2" t="s">
        <v>2200</v>
      </c>
      <c r="B2226" s="2">
        <f t="shared" si="68"/>
        <v>2022</v>
      </c>
      <c r="C2226" s="2" t="str">
        <f t="shared" si="69"/>
        <v>KZN226</v>
      </c>
      <c r="D2226" s="2">
        <v>608</v>
      </c>
      <c r="F2226" s="625"/>
      <c r="G2226" s="625"/>
      <c r="H2226" s="625"/>
      <c r="I2226" s="625"/>
      <c r="J2226" s="625"/>
      <c r="K2226" s="625"/>
      <c r="L2226" s="627"/>
      <c r="M2226" s="627"/>
      <c r="N2226" s="627"/>
      <c r="O2226" s="627"/>
      <c r="P2226" s="627"/>
      <c r="W2226" t="s">
        <v>2047</v>
      </c>
    </row>
    <row r="2227" spans="1:23" ht="13.15" customHeight="1" x14ac:dyDescent="0.2">
      <c r="A2227" s="2" t="s">
        <v>2200</v>
      </c>
      <c r="B2227" s="2">
        <f t="shared" si="68"/>
        <v>2022</v>
      </c>
      <c r="C2227" s="2" t="str">
        <f t="shared" si="69"/>
        <v>KZN226</v>
      </c>
      <c r="D2227" s="2">
        <v>609</v>
      </c>
      <c r="F2227" s="625"/>
      <c r="G2227" s="625"/>
      <c r="H2227" s="625"/>
      <c r="I2227" s="625"/>
      <c r="J2227" s="625"/>
      <c r="K2227" s="625"/>
      <c r="L2227" s="627"/>
      <c r="M2227" s="627"/>
      <c r="N2227" s="627"/>
      <c r="O2227" s="627"/>
      <c r="P2227" s="627"/>
      <c r="W2227" t="s">
        <v>2047</v>
      </c>
    </row>
    <row r="2228" spans="1:23" ht="13.15" customHeight="1" x14ac:dyDescent="0.2">
      <c r="A2228" s="2" t="s">
        <v>2200</v>
      </c>
      <c r="B2228" s="2">
        <f t="shared" si="68"/>
        <v>2022</v>
      </c>
      <c r="C2228" s="2" t="str">
        <f t="shared" si="69"/>
        <v>KZN226</v>
      </c>
      <c r="D2228" s="2">
        <v>610</v>
      </c>
      <c r="F2228" s="625"/>
      <c r="G2228" s="625"/>
      <c r="H2228" s="625"/>
      <c r="I2228" s="625"/>
      <c r="J2228" s="625"/>
      <c r="K2228" s="625"/>
      <c r="L2228" s="627"/>
      <c r="M2228" s="627"/>
      <c r="N2228" s="627"/>
      <c r="O2228" s="627"/>
      <c r="P2228" s="627"/>
      <c r="W2228" t="s">
        <v>2047</v>
      </c>
    </row>
    <row r="2229" spans="1:23" ht="13.15" customHeight="1" x14ac:dyDescent="0.2">
      <c r="A2229" s="2" t="s">
        <v>2200</v>
      </c>
      <c r="B2229" s="2">
        <f t="shared" si="68"/>
        <v>2022</v>
      </c>
      <c r="C2229" s="2" t="str">
        <f t="shared" si="69"/>
        <v>KZN226</v>
      </c>
      <c r="D2229" s="2">
        <v>611</v>
      </c>
      <c r="F2229" s="625"/>
      <c r="G2229" s="625"/>
      <c r="H2229" s="625"/>
      <c r="I2229" s="625"/>
      <c r="J2229" s="625"/>
      <c r="K2229" s="625"/>
      <c r="L2229" s="627"/>
      <c r="M2229" s="627"/>
      <c r="N2229" s="627"/>
      <c r="O2229" s="627"/>
      <c r="P2229" s="627"/>
      <c r="W2229" t="s">
        <v>2047</v>
      </c>
    </row>
    <row r="2230" spans="1:23" ht="13.15" customHeight="1" x14ac:dyDescent="0.2">
      <c r="A2230" s="2" t="s">
        <v>2200</v>
      </c>
      <c r="B2230" s="2">
        <f t="shared" si="68"/>
        <v>2022</v>
      </c>
      <c r="C2230" s="2" t="str">
        <f t="shared" si="69"/>
        <v>KZN226</v>
      </c>
      <c r="D2230" s="2">
        <v>612</v>
      </c>
      <c r="F2230" s="625"/>
      <c r="G2230" s="625"/>
      <c r="H2230" s="625"/>
      <c r="I2230" s="625"/>
      <c r="J2230" s="625"/>
      <c r="K2230" s="625"/>
      <c r="L2230" s="627"/>
      <c r="M2230" s="627"/>
      <c r="N2230" s="627"/>
      <c r="O2230" s="627"/>
      <c r="P2230" s="627"/>
      <c r="W2230" t="s">
        <v>2047</v>
      </c>
    </row>
    <row r="2231" spans="1:23" ht="13.15" customHeight="1" x14ac:dyDescent="0.2">
      <c r="A2231" s="2" t="s">
        <v>2200</v>
      </c>
      <c r="B2231" s="2">
        <f t="shared" si="68"/>
        <v>2022</v>
      </c>
      <c r="C2231" s="2" t="str">
        <f t="shared" si="69"/>
        <v>KZN226</v>
      </c>
      <c r="D2231" s="2">
        <v>613</v>
      </c>
      <c r="F2231" s="625"/>
      <c r="G2231" s="625"/>
      <c r="H2231" s="625"/>
      <c r="I2231" s="625"/>
      <c r="J2231" s="625"/>
      <c r="K2231" s="625"/>
      <c r="L2231" s="627"/>
      <c r="M2231" s="627"/>
      <c r="N2231" s="627"/>
      <c r="O2231" s="627"/>
      <c r="P2231" s="627"/>
      <c r="W2231" t="s">
        <v>2047</v>
      </c>
    </row>
    <row r="2232" spans="1:23" ht="13.15" customHeight="1" x14ac:dyDescent="0.2">
      <c r="A2232" s="2" t="s">
        <v>2200</v>
      </c>
      <c r="B2232" s="2">
        <f t="shared" si="68"/>
        <v>2022</v>
      </c>
      <c r="C2232" s="2" t="str">
        <f t="shared" si="69"/>
        <v>KZN226</v>
      </c>
      <c r="D2232" s="2">
        <v>614</v>
      </c>
      <c r="F2232" s="625"/>
      <c r="G2232" s="625"/>
      <c r="H2232" s="625"/>
      <c r="I2232" s="625"/>
      <c r="J2232" s="625"/>
      <c r="K2232" s="625"/>
      <c r="L2232" s="627"/>
      <c r="M2232" s="627"/>
      <c r="N2232" s="627"/>
      <c r="O2232" s="627"/>
      <c r="P2232" s="627"/>
      <c r="W2232" t="s">
        <v>2047</v>
      </c>
    </row>
    <row r="2233" spans="1:23" ht="13.15" customHeight="1" x14ac:dyDescent="0.2">
      <c r="A2233" s="2" t="s">
        <v>2200</v>
      </c>
      <c r="B2233" s="2">
        <f t="shared" si="68"/>
        <v>2022</v>
      </c>
      <c r="C2233" s="2" t="str">
        <f t="shared" si="69"/>
        <v>KZN226</v>
      </c>
      <c r="D2233" s="2">
        <v>615</v>
      </c>
      <c r="F2233" s="625"/>
      <c r="G2233" s="625"/>
      <c r="H2233" s="625"/>
      <c r="I2233" s="625"/>
      <c r="J2233" s="625"/>
      <c r="K2233" s="625"/>
      <c r="L2233" s="627"/>
      <c r="M2233" s="627"/>
      <c r="N2233" s="627"/>
      <c r="O2233" s="627"/>
      <c r="P2233" s="627"/>
      <c r="W2233" t="s">
        <v>2047</v>
      </c>
    </row>
    <row r="2234" spans="1:23" ht="13.15" customHeight="1" x14ac:dyDescent="0.2">
      <c r="A2234" s="2" t="s">
        <v>2200</v>
      </c>
      <c r="B2234" s="2">
        <f t="shared" si="68"/>
        <v>2022</v>
      </c>
      <c r="C2234" s="2" t="str">
        <f t="shared" si="69"/>
        <v>KZN226</v>
      </c>
      <c r="D2234" s="2">
        <v>616</v>
      </c>
      <c r="F2234" s="625"/>
      <c r="G2234" s="625"/>
      <c r="H2234" s="625"/>
      <c r="I2234" s="625"/>
      <c r="J2234" s="625"/>
      <c r="K2234" s="625"/>
      <c r="L2234" s="627"/>
      <c r="M2234" s="627"/>
      <c r="N2234" s="627"/>
      <c r="O2234" s="627"/>
      <c r="P2234" s="627"/>
      <c r="W2234" t="s">
        <v>2047</v>
      </c>
    </row>
    <row r="2235" spans="1:23" ht="13.15" customHeight="1" x14ac:dyDescent="0.2">
      <c r="A2235" s="2" t="s">
        <v>2200</v>
      </c>
      <c r="B2235" s="2">
        <f t="shared" si="68"/>
        <v>2022</v>
      </c>
      <c r="C2235" s="2" t="str">
        <f t="shared" si="69"/>
        <v>KZN226</v>
      </c>
      <c r="D2235" s="2">
        <v>617</v>
      </c>
      <c r="F2235" s="625"/>
      <c r="G2235" s="625"/>
      <c r="H2235" s="625"/>
      <c r="I2235" s="625"/>
      <c r="J2235" s="625"/>
      <c r="K2235" s="625"/>
      <c r="L2235" s="627"/>
      <c r="M2235" s="627"/>
      <c r="N2235" s="627"/>
      <c r="O2235" s="627"/>
      <c r="P2235" s="627"/>
      <c r="W2235" t="s">
        <v>2047</v>
      </c>
    </row>
    <row r="2236" spans="1:23" ht="13.15" customHeight="1" x14ac:dyDescent="0.2">
      <c r="A2236" s="2" t="s">
        <v>2200</v>
      </c>
      <c r="B2236" s="2">
        <f t="shared" si="68"/>
        <v>2022</v>
      </c>
      <c r="C2236" s="2" t="str">
        <f t="shared" si="69"/>
        <v>KZN226</v>
      </c>
      <c r="D2236" s="2">
        <v>618</v>
      </c>
      <c r="F2236" s="625"/>
      <c r="G2236" s="625"/>
      <c r="H2236" s="625"/>
      <c r="I2236" s="625"/>
      <c r="J2236" s="625"/>
      <c r="K2236" s="625"/>
      <c r="L2236" s="627"/>
      <c r="M2236" s="627"/>
      <c r="N2236" s="627"/>
      <c r="O2236" s="627"/>
      <c r="P2236" s="627"/>
      <c r="W2236" t="s">
        <v>2047</v>
      </c>
    </row>
    <row r="2237" spans="1:23" ht="13.15" customHeight="1" x14ac:dyDescent="0.2">
      <c r="A2237" s="2" t="s">
        <v>2200</v>
      </c>
      <c r="B2237" s="2">
        <f t="shared" si="68"/>
        <v>2022</v>
      </c>
      <c r="C2237" s="2" t="str">
        <f t="shared" si="69"/>
        <v>KZN226</v>
      </c>
      <c r="D2237" s="2">
        <v>619</v>
      </c>
      <c r="F2237" s="625"/>
      <c r="G2237" s="625"/>
      <c r="H2237" s="625"/>
      <c r="I2237" s="625"/>
      <c r="J2237" s="625"/>
      <c r="K2237" s="625"/>
      <c r="L2237" s="627"/>
      <c r="M2237" s="627"/>
      <c r="N2237" s="627"/>
      <c r="O2237" s="627"/>
      <c r="P2237" s="627"/>
      <c r="W2237" t="s">
        <v>2047</v>
      </c>
    </row>
    <row r="2238" spans="1:23" ht="13.15" customHeight="1" x14ac:dyDescent="0.2">
      <c r="A2238" s="2" t="s">
        <v>2200</v>
      </c>
      <c r="B2238" s="2">
        <f t="shared" si="68"/>
        <v>2022</v>
      </c>
      <c r="C2238" s="2" t="str">
        <f t="shared" si="69"/>
        <v>KZN226</v>
      </c>
      <c r="D2238" s="2">
        <v>620</v>
      </c>
      <c r="F2238" s="625"/>
      <c r="G2238" s="625"/>
      <c r="H2238" s="625"/>
      <c r="I2238" s="625"/>
      <c r="J2238" s="625"/>
      <c r="K2238" s="625"/>
      <c r="L2238" s="627"/>
      <c r="M2238" s="627"/>
      <c r="N2238" s="627"/>
      <c r="O2238" s="627"/>
      <c r="P2238" s="627"/>
      <c r="W2238" t="s">
        <v>2047</v>
      </c>
    </row>
    <row r="2239" spans="1:23" ht="13.15" customHeight="1" x14ac:dyDescent="0.2">
      <c r="A2239" s="2" t="s">
        <v>2200</v>
      </c>
      <c r="B2239" s="2">
        <f t="shared" si="68"/>
        <v>2022</v>
      </c>
      <c r="C2239" s="2" t="str">
        <f t="shared" si="69"/>
        <v>KZN226</v>
      </c>
      <c r="D2239" s="2">
        <v>621</v>
      </c>
      <c r="F2239" s="625"/>
      <c r="G2239" s="625"/>
      <c r="H2239" s="625"/>
      <c r="I2239" s="625"/>
      <c r="J2239" s="625"/>
      <c r="K2239" s="625"/>
      <c r="L2239" s="627"/>
      <c r="M2239" s="627"/>
      <c r="N2239" s="627"/>
      <c r="O2239" s="627"/>
      <c r="P2239" s="627"/>
      <c r="W2239" t="s">
        <v>2047</v>
      </c>
    </row>
    <row r="2240" spans="1:23" ht="13.15" customHeight="1" x14ac:dyDescent="0.2">
      <c r="A2240" s="2" t="s">
        <v>2200</v>
      </c>
      <c r="B2240" s="2">
        <f t="shared" si="68"/>
        <v>2022</v>
      </c>
      <c r="C2240" s="2" t="str">
        <f t="shared" si="69"/>
        <v>KZN226</v>
      </c>
      <c r="D2240" s="2">
        <v>622</v>
      </c>
      <c r="F2240" s="625"/>
      <c r="G2240" s="625"/>
      <c r="H2240" s="625"/>
      <c r="I2240" s="625"/>
      <c r="J2240" s="625"/>
      <c r="K2240" s="625"/>
      <c r="L2240" s="627"/>
      <c r="M2240" s="627"/>
      <c r="N2240" s="627"/>
      <c r="O2240" s="627"/>
      <c r="P2240" s="627"/>
      <c r="W2240" t="s">
        <v>2047</v>
      </c>
    </row>
    <row r="2241" spans="1:23" ht="13.15" customHeight="1" x14ac:dyDescent="0.2">
      <c r="A2241" s="2" t="s">
        <v>2200</v>
      </c>
      <c r="B2241" s="2">
        <f t="shared" si="68"/>
        <v>2022</v>
      </c>
      <c r="C2241" s="2" t="str">
        <f t="shared" si="69"/>
        <v>KZN226</v>
      </c>
      <c r="D2241" s="2">
        <v>623</v>
      </c>
      <c r="F2241" s="625"/>
      <c r="G2241" s="625"/>
      <c r="H2241" s="625"/>
      <c r="I2241" s="625"/>
      <c r="J2241" s="625"/>
      <c r="K2241" s="625"/>
      <c r="L2241" s="627"/>
      <c r="M2241" s="627"/>
      <c r="N2241" s="627"/>
      <c r="O2241" s="627"/>
      <c r="P2241" s="627"/>
      <c r="W2241" t="s">
        <v>2047</v>
      </c>
    </row>
    <row r="2242" spans="1:23" ht="13.15" customHeight="1" x14ac:dyDescent="0.2">
      <c r="A2242" s="2" t="s">
        <v>2200</v>
      </c>
      <c r="B2242" s="2">
        <f t="shared" ref="B2242:B2305" si="70">+MTREF</f>
        <v>2022</v>
      </c>
      <c r="C2242" s="2" t="str">
        <f t="shared" ref="C2242:C2305" si="71">LEFT(muni,(FIND(" ",muni,1)-1))</f>
        <v>KZN226</v>
      </c>
      <c r="D2242" s="2">
        <v>624</v>
      </c>
      <c r="F2242" s="625"/>
      <c r="G2242" s="625"/>
      <c r="H2242" s="625"/>
      <c r="I2242" s="625"/>
      <c r="J2242" s="625"/>
      <c r="K2242" s="625"/>
      <c r="L2242" s="627"/>
      <c r="M2242" s="627"/>
      <c r="N2242" s="627"/>
      <c r="O2242" s="627"/>
      <c r="P2242" s="627"/>
      <c r="W2242" t="s">
        <v>2047</v>
      </c>
    </row>
    <row r="2243" spans="1:23" ht="13.15" customHeight="1" x14ac:dyDescent="0.2">
      <c r="A2243" s="2" t="s">
        <v>2200</v>
      </c>
      <c r="B2243" s="2">
        <f t="shared" si="70"/>
        <v>2022</v>
      </c>
      <c r="C2243" s="2" t="str">
        <f t="shared" si="71"/>
        <v>KZN226</v>
      </c>
      <c r="D2243" s="2">
        <v>625</v>
      </c>
      <c r="F2243" s="625"/>
      <c r="G2243" s="625"/>
      <c r="H2243" s="625"/>
      <c r="I2243" s="625"/>
      <c r="J2243" s="625"/>
      <c r="K2243" s="625"/>
      <c r="L2243" s="627"/>
      <c r="M2243" s="627"/>
      <c r="N2243" s="627"/>
      <c r="O2243" s="627"/>
      <c r="P2243" s="627"/>
      <c r="W2243" t="s">
        <v>2047</v>
      </c>
    </row>
    <row r="2244" spans="1:23" ht="13.15" customHeight="1" x14ac:dyDescent="0.2">
      <c r="A2244" s="2" t="s">
        <v>2200</v>
      </c>
      <c r="B2244" s="2">
        <f t="shared" si="70"/>
        <v>2022</v>
      </c>
      <c r="C2244" s="2" t="str">
        <f t="shared" si="71"/>
        <v>KZN226</v>
      </c>
      <c r="D2244" s="2">
        <v>626</v>
      </c>
      <c r="F2244" s="625"/>
      <c r="G2244" s="625"/>
      <c r="H2244" s="625"/>
      <c r="I2244" s="625"/>
      <c r="J2244" s="625"/>
      <c r="K2244" s="625"/>
      <c r="L2244" s="627"/>
      <c r="M2244" s="627"/>
      <c r="N2244" s="627"/>
      <c r="O2244" s="627"/>
      <c r="P2244" s="627"/>
      <c r="W2244" t="s">
        <v>2047</v>
      </c>
    </row>
    <row r="2245" spans="1:23" ht="13.15" customHeight="1" x14ac:dyDescent="0.2">
      <c r="A2245" s="2" t="s">
        <v>2200</v>
      </c>
      <c r="B2245" s="2">
        <f t="shared" si="70"/>
        <v>2022</v>
      </c>
      <c r="C2245" s="2" t="str">
        <f t="shared" si="71"/>
        <v>KZN226</v>
      </c>
      <c r="D2245" s="2">
        <v>627</v>
      </c>
      <c r="F2245" s="625"/>
      <c r="G2245" s="625"/>
      <c r="H2245" s="625"/>
      <c r="I2245" s="625"/>
      <c r="J2245" s="625"/>
      <c r="K2245" s="625"/>
      <c r="L2245" s="627"/>
      <c r="M2245" s="627"/>
      <c r="N2245" s="627"/>
      <c r="O2245" s="627"/>
      <c r="P2245" s="627"/>
      <c r="W2245" t="s">
        <v>2047</v>
      </c>
    </row>
    <row r="2246" spans="1:23" ht="13.15" customHeight="1" x14ac:dyDescent="0.2">
      <c r="A2246" s="2" t="s">
        <v>2200</v>
      </c>
      <c r="B2246" s="2">
        <f t="shared" si="70"/>
        <v>2022</v>
      </c>
      <c r="C2246" s="2" t="str">
        <f t="shared" si="71"/>
        <v>KZN226</v>
      </c>
      <c r="D2246" s="2">
        <v>628</v>
      </c>
      <c r="F2246" s="625"/>
      <c r="G2246" s="625"/>
      <c r="H2246" s="625"/>
      <c r="I2246" s="625"/>
      <c r="J2246" s="625"/>
      <c r="K2246" s="625"/>
      <c r="L2246" s="627"/>
      <c r="M2246" s="627"/>
      <c r="N2246" s="627"/>
      <c r="O2246" s="627"/>
      <c r="P2246" s="627"/>
      <c r="W2246" t="s">
        <v>2047</v>
      </c>
    </row>
    <row r="2247" spans="1:23" ht="13.15" customHeight="1" x14ac:dyDescent="0.2">
      <c r="A2247" s="2" t="s">
        <v>2200</v>
      </c>
      <c r="B2247" s="2">
        <f t="shared" si="70"/>
        <v>2022</v>
      </c>
      <c r="C2247" s="2" t="str">
        <f t="shared" si="71"/>
        <v>KZN226</v>
      </c>
      <c r="D2247" s="2">
        <v>629</v>
      </c>
      <c r="F2247" s="625"/>
      <c r="G2247" s="625"/>
      <c r="H2247" s="625"/>
      <c r="I2247" s="625"/>
      <c r="J2247" s="625"/>
      <c r="K2247" s="625"/>
      <c r="L2247" s="627"/>
      <c r="M2247" s="627"/>
      <c r="N2247" s="627"/>
      <c r="O2247" s="627"/>
      <c r="P2247" s="627"/>
      <c r="W2247" t="s">
        <v>2047</v>
      </c>
    </row>
    <row r="2248" spans="1:23" ht="13.15" customHeight="1" x14ac:dyDescent="0.2">
      <c r="A2248" s="2" t="s">
        <v>2200</v>
      </c>
      <c r="B2248" s="2">
        <f t="shared" si="70"/>
        <v>2022</v>
      </c>
      <c r="C2248" s="2" t="str">
        <f t="shared" si="71"/>
        <v>KZN226</v>
      </c>
      <c r="D2248" s="2">
        <v>630</v>
      </c>
      <c r="F2248" s="625"/>
      <c r="G2248" s="625"/>
      <c r="H2248" s="625"/>
      <c r="I2248" s="625"/>
      <c r="J2248" s="625"/>
      <c r="K2248" s="625"/>
      <c r="L2248" s="627"/>
      <c r="M2248" s="627"/>
      <c r="N2248" s="627"/>
      <c r="O2248" s="627"/>
      <c r="P2248" s="627"/>
      <c r="W2248" t="s">
        <v>2047</v>
      </c>
    </row>
    <row r="2249" spans="1:23" ht="13.15" customHeight="1" x14ac:dyDescent="0.2">
      <c r="A2249" s="2" t="s">
        <v>2200</v>
      </c>
      <c r="B2249" s="2">
        <f t="shared" si="70"/>
        <v>2022</v>
      </c>
      <c r="C2249" s="2" t="str">
        <f t="shared" si="71"/>
        <v>KZN226</v>
      </c>
      <c r="D2249" s="2">
        <v>631</v>
      </c>
      <c r="F2249" s="625"/>
      <c r="G2249" s="625"/>
      <c r="H2249" s="625"/>
      <c r="I2249" s="625"/>
      <c r="J2249" s="625"/>
      <c r="K2249" s="625"/>
      <c r="L2249" s="627"/>
      <c r="M2249" s="627"/>
      <c r="N2249" s="627"/>
      <c r="O2249" s="627"/>
      <c r="P2249" s="627"/>
      <c r="W2249" t="s">
        <v>2047</v>
      </c>
    </row>
    <row r="2250" spans="1:23" ht="13.15" customHeight="1" x14ac:dyDescent="0.2">
      <c r="A2250" s="2" t="s">
        <v>2200</v>
      </c>
      <c r="B2250" s="2">
        <f t="shared" si="70"/>
        <v>2022</v>
      </c>
      <c r="C2250" s="2" t="str">
        <f t="shared" si="71"/>
        <v>KZN226</v>
      </c>
      <c r="D2250" s="2">
        <v>632</v>
      </c>
      <c r="F2250" s="625"/>
      <c r="G2250" s="625"/>
      <c r="H2250" s="625"/>
      <c r="I2250" s="625"/>
      <c r="J2250" s="625"/>
      <c r="K2250" s="625"/>
      <c r="L2250" s="627"/>
      <c r="M2250" s="627"/>
      <c r="N2250" s="627"/>
      <c r="O2250" s="627"/>
      <c r="P2250" s="627"/>
      <c r="W2250" t="s">
        <v>2047</v>
      </c>
    </row>
    <row r="2251" spans="1:23" ht="13.15" customHeight="1" x14ac:dyDescent="0.2">
      <c r="A2251" s="2" t="s">
        <v>2200</v>
      </c>
      <c r="B2251" s="2">
        <f t="shared" si="70"/>
        <v>2022</v>
      </c>
      <c r="C2251" s="2" t="str">
        <f t="shared" si="71"/>
        <v>KZN226</v>
      </c>
      <c r="D2251" s="2">
        <v>633</v>
      </c>
      <c r="F2251" s="625"/>
      <c r="G2251" s="625"/>
      <c r="H2251" s="625"/>
      <c r="I2251" s="625"/>
      <c r="J2251" s="625"/>
      <c r="K2251" s="625"/>
      <c r="L2251" s="627"/>
      <c r="M2251" s="627"/>
      <c r="N2251" s="627"/>
      <c r="O2251" s="627"/>
      <c r="P2251" s="627"/>
      <c r="W2251" t="s">
        <v>2047</v>
      </c>
    </row>
    <row r="2252" spans="1:23" ht="13.15" customHeight="1" x14ac:dyDescent="0.2">
      <c r="A2252" s="2" t="s">
        <v>2200</v>
      </c>
      <c r="B2252" s="2">
        <f t="shared" si="70"/>
        <v>2022</v>
      </c>
      <c r="C2252" s="2" t="str">
        <f t="shared" si="71"/>
        <v>KZN226</v>
      </c>
      <c r="D2252" s="2">
        <v>634</v>
      </c>
      <c r="F2252" s="625"/>
      <c r="G2252" s="625"/>
      <c r="H2252" s="625"/>
      <c r="I2252" s="625"/>
      <c r="J2252" s="625"/>
      <c r="K2252" s="625"/>
      <c r="L2252" s="627"/>
      <c r="M2252" s="627"/>
      <c r="N2252" s="627"/>
      <c r="O2252" s="627"/>
      <c r="P2252" s="627"/>
      <c r="W2252" t="s">
        <v>2047</v>
      </c>
    </row>
    <row r="2253" spans="1:23" ht="13.15" customHeight="1" x14ac:dyDescent="0.2">
      <c r="A2253" s="2" t="s">
        <v>2200</v>
      </c>
      <c r="B2253" s="2">
        <f t="shared" si="70"/>
        <v>2022</v>
      </c>
      <c r="C2253" s="2" t="str">
        <f t="shared" si="71"/>
        <v>KZN226</v>
      </c>
      <c r="D2253" s="2">
        <v>635</v>
      </c>
      <c r="F2253" s="625"/>
      <c r="G2253" s="625"/>
      <c r="H2253" s="625"/>
      <c r="I2253" s="625"/>
      <c r="J2253" s="625"/>
      <c r="K2253" s="625"/>
      <c r="L2253" s="627"/>
      <c r="M2253" s="627"/>
      <c r="N2253" s="627"/>
      <c r="O2253" s="627"/>
      <c r="P2253" s="627"/>
      <c r="W2253" t="s">
        <v>2047</v>
      </c>
    </row>
    <row r="2254" spans="1:23" ht="13.15" customHeight="1" x14ac:dyDescent="0.2">
      <c r="A2254" s="2" t="s">
        <v>2200</v>
      </c>
      <c r="B2254" s="2">
        <f t="shared" si="70"/>
        <v>2022</v>
      </c>
      <c r="C2254" s="2" t="str">
        <f t="shared" si="71"/>
        <v>KZN226</v>
      </c>
      <c r="D2254" s="2">
        <v>636</v>
      </c>
      <c r="F2254" s="625"/>
      <c r="G2254" s="625"/>
      <c r="H2254" s="625"/>
      <c r="I2254" s="625"/>
      <c r="J2254" s="625"/>
      <c r="K2254" s="625"/>
      <c r="L2254" s="627"/>
      <c r="M2254" s="627"/>
      <c r="N2254" s="627"/>
      <c r="O2254" s="627"/>
      <c r="P2254" s="627"/>
      <c r="W2254" t="s">
        <v>2047</v>
      </c>
    </row>
    <row r="2255" spans="1:23" ht="13.15" customHeight="1" x14ac:dyDescent="0.2">
      <c r="A2255" s="2" t="s">
        <v>2200</v>
      </c>
      <c r="B2255" s="2">
        <f t="shared" si="70"/>
        <v>2022</v>
      </c>
      <c r="C2255" s="2" t="str">
        <f t="shared" si="71"/>
        <v>KZN226</v>
      </c>
      <c r="D2255" s="2">
        <v>637</v>
      </c>
      <c r="F2255" s="625"/>
      <c r="G2255" s="625"/>
      <c r="H2255" s="625"/>
      <c r="I2255" s="625"/>
      <c r="J2255" s="625"/>
      <c r="K2255" s="625"/>
      <c r="L2255" s="627"/>
      <c r="M2255" s="627"/>
      <c r="N2255" s="627"/>
      <c r="O2255" s="627"/>
      <c r="P2255" s="627"/>
      <c r="W2255" t="s">
        <v>2047</v>
      </c>
    </row>
    <row r="2256" spans="1:23" ht="13.15" customHeight="1" x14ac:dyDescent="0.2">
      <c r="A2256" s="2" t="s">
        <v>2200</v>
      </c>
      <c r="B2256" s="2">
        <f t="shared" si="70"/>
        <v>2022</v>
      </c>
      <c r="C2256" s="2" t="str">
        <f t="shared" si="71"/>
        <v>KZN226</v>
      </c>
      <c r="D2256" s="2">
        <v>638</v>
      </c>
      <c r="F2256" s="625"/>
      <c r="G2256" s="625"/>
      <c r="H2256" s="625"/>
      <c r="I2256" s="625"/>
      <c r="J2256" s="625"/>
      <c r="K2256" s="625"/>
      <c r="L2256" s="627"/>
      <c r="M2256" s="627"/>
      <c r="N2256" s="627"/>
      <c r="O2256" s="627"/>
      <c r="P2256" s="627"/>
      <c r="W2256" t="s">
        <v>2047</v>
      </c>
    </row>
    <row r="2257" spans="1:23" ht="13.15" customHeight="1" x14ac:dyDescent="0.2">
      <c r="A2257" s="2" t="s">
        <v>2200</v>
      </c>
      <c r="B2257" s="2">
        <f t="shared" si="70"/>
        <v>2022</v>
      </c>
      <c r="C2257" s="2" t="str">
        <f t="shared" si="71"/>
        <v>KZN226</v>
      </c>
      <c r="D2257" s="2">
        <v>639</v>
      </c>
      <c r="F2257" s="625"/>
      <c r="G2257" s="625"/>
      <c r="H2257" s="625"/>
      <c r="I2257" s="625"/>
      <c r="J2257" s="625"/>
      <c r="K2257" s="625"/>
      <c r="L2257" s="627"/>
      <c r="M2257" s="627"/>
      <c r="N2257" s="627"/>
      <c r="O2257" s="627"/>
      <c r="P2257" s="627"/>
      <c r="W2257" t="s">
        <v>2047</v>
      </c>
    </row>
    <row r="2258" spans="1:23" ht="13.15" customHeight="1" x14ac:dyDescent="0.2">
      <c r="A2258" s="2" t="s">
        <v>2200</v>
      </c>
      <c r="B2258" s="2">
        <f t="shared" si="70"/>
        <v>2022</v>
      </c>
      <c r="C2258" s="2" t="str">
        <f t="shared" si="71"/>
        <v>KZN226</v>
      </c>
      <c r="D2258" s="2">
        <v>640</v>
      </c>
      <c r="F2258" s="625"/>
      <c r="G2258" s="625"/>
      <c r="H2258" s="625"/>
      <c r="I2258" s="625"/>
      <c r="J2258" s="625"/>
      <c r="K2258" s="625"/>
      <c r="L2258" s="627"/>
      <c r="M2258" s="627"/>
      <c r="N2258" s="627"/>
      <c r="O2258" s="627"/>
      <c r="P2258" s="627"/>
      <c r="W2258" t="s">
        <v>2047</v>
      </c>
    </row>
    <row r="2259" spans="1:23" ht="13.15" customHeight="1" x14ac:dyDescent="0.2">
      <c r="A2259" s="2" t="s">
        <v>2200</v>
      </c>
      <c r="B2259" s="2">
        <f t="shared" si="70"/>
        <v>2022</v>
      </c>
      <c r="C2259" s="2" t="str">
        <f t="shared" si="71"/>
        <v>KZN226</v>
      </c>
      <c r="D2259" s="2">
        <v>641</v>
      </c>
      <c r="F2259" s="625"/>
      <c r="G2259" s="625"/>
      <c r="H2259" s="625"/>
      <c r="I2259" s="625"/>
      <c r="J2259" s="625"/>
      <c r="K2259" s="625"/>
      <c r="L2259" s="627"/>
      <c r="M2259" s="627"/>
      <c r="N2259" s="627"/>
      <c r="O2259" s="627"/>
      <c r="P2259" s="627"/>
      <c r="W2259" t="s">
        <v>2047</v>
      </c>
    </row>
    <row r="2260" spans="1:23" ht="13.15" customHeight="1" x14ac:dyDescent="0.2">
      <c r="A2260" s="2" t="s">
        <v>2200</v>
      </c>
      <c r="B2260" s="2">
        <f t="shared" si="70"/>
        <v>2022</v>
      </c>
      <c r="C2260" s="2" t="str">
        <f t="shared" si="71"/>
        <v>KZN226</v>
      </c>
      <c r="D2260" s="2">
        <v>642</v>
      </c>
      <c r="F2260" s="625"/>
      <c r="G2260" s="625"/>
      <c r="H2260" s="625"/>
      <c r="I2260" s="625"/>
      <c r="J2260" s="625"/>
      <c r="K2260" s="625"/>
      <c r="L2260" s="627"/>
      <c r="M2260" s="627"/>
      <c r="N2260" s="627"/>
      <c r="O2260" s="627"/>
      <c r="P2260" s="627"/>
      <c r="W2260" t="s">
        <v>2047</v>
      </c>
    </row>
    <row r="2261" spans="1:23" ht="13.15" customHeight="1" x14ac:dyDescent="0.2">
      <c r="A2261" s="2" t="s">
        <v>2200</v>
      </c>
      <c r="B2261" s="2">
        <f t="shared" si="70"/>
        <v>2022</v>
      </c>
      <c r="C2261" s="2" t="str">
        <f t="shared" si="71"/>
        <v>KZN226</v>
      </c>
      <c r="D2261" s="2">
        <v>643</v>
      </c>
      <c r="F2261" s="625"/>
      <c r="G2261" s="625"/>
      <c r="H2261" s="625"/>
      <c r="I2261" s="625"/>
      <c r="J2261" s="625"/>
      <c r="K2261" s="625"/>
      <c r="L2261" s="627"/>
      <c r="M2261" s="627"/>
      <c r="N2261" s="627"/>
      <c r="O2261" s="627"/>
      <c r="P2261" s="627"/>
      <c r="W2261" t="s">
        <v>2047</v>
      </c>
    </row>
    <row r="2262" spans="1:23" ht="13.15" customHeight="1" x14ac:dyDescent="0.2">
      <c r="A2262" s="2" t="s">
        <v>2200</v>
      </c>
      <c r="B2262" s="2">
        <f t="shared" si="70"/>
        <v>2022</v>
      </c>
      <c r="C2262" s="2" t="str">
        <f t="shared" si="71"/>
        <v>KZN226</v>
      </c>
      <c r="D2262" s="2">
        <v>644</v>
      </c>
      <c r="F2262" s="625"/>
      <c r="G2262" s="625"/>
      <c r="H2262" s="625"/>
      <c r="I2262" s="625"/>
      <c r="J2262" s="625"/>
      <c r="K2262" s="625"/>
      <c r="L2262" s="627"/>
      <c r="M2262" s="627"/>
      <c r="N2262" s="627"/>
      <c r="O2262" s="627"/>
      <c r="P2262" s="627"/>
      <c r="W2262" t="s">
        <v>2047</v>
      </c>
    </row>
    <row r="2263" spans="1:23" ht="13.15" customHeight="1" x14ac:dyDescent="0.2">
      <c r="A2263" s="2" t="s">
        <v>2200</v>
      </c>
      <c r="B2263" s="2">
        <f t="shared" si="70"/>
        <v>2022</v>
      </c>
      <c r="C2263" s="2" t="str">
        <f t="shared" si="71"/>
        <v>KZN226</v>
      </c>
      <c r="D2263" s="2">
        <v>645</v>
      </c>
      <c r="F2263" s="625"/>
      <c r="G2263" s="625"/>
      <c r="H2263" s="625"/>
      <c r="I2263" s="625"/>
      <c r="J2263" s="625"/>
      <c r="K2263" s="625"/>
      <c r="L2263" s="627"/>
      <c r="M2263" s="627"/>
      <c r="N2263" s="627"/>
      <c r="O2263" s="627"/>
      <c r="P2263" s="627"/>
      <c r="W2263" t="s">
        <v>2047</v>
      </c>
    </row>
    <row r="2264" spans="1:23" ht="13.15" customHeight="1" x14ac:dyDescent="0.2">
      <c r="A2264" s="2" t="s">
        <v>2200</v>
      </c>
      <c r="B2264" s="2">
        <f t="shared" si="70"/>
        <v>2022</v>
      </c>
      <c r="C2264" s="2" t="str">
        <f t="shared" si="71"/>
        <v>KZN226</v>
      </c>
      <c r="D2264" s="2">
        <v>646</v>
      </c>
      <c r="F2264" s="625"/>
      <c r="G2264" s="625"/>
      <c r="H2264" s="625"/>
      <c r="I2264" s="625"/>
      <c r="J2264" s="625"/>
      <c r="K2264" s="625"/>
      <c r="L2264" s="627"/>
      <c r="M2264" s="627"/>
      <c r="N2264" s="627"/>
      <c r="O2264" s="627"/>
      <c r="P2264" s="627"/>
      <c r="W2264" t="s">
        <v>2047</v>
      </c>
    </row>
    <row r="2265" spans="1:23" ht="13.15" customHeight="1" x14ac:dyDescent="0.2">
      <c r="A2265" s="2" t="s">
        <v>2200</v>
      </c>
      <c r="B2265" s="2">
        <f t="shared" si="70"/>
        <v>2022</v>
      </c>
      <c r="C2265" s="2" t="str">
        <f t="shared" si="71"/>
        <v>KZN226</v>
      </c>
      <c r="D2265" s="2">
        <v>647</v>
      </c>
      <c r="F2265" s="625"/>
      <c r="G2265" s="625"/>
      <c r="H2265" s="625"/>
      <c r="I2265" s="625"/>
      <c r="J2265" s="625"/>
      <c r="K2265" s="625"/>
      <c r="L2265" s="627"/>
      <c r="M2265" s="627"/>
      <c r="N2265" s="627"/>
      <c r="O2265" s="627"/>
      <c r="P2265" s="627"/>
      <c r="W2265" t="s">
        <v>2047</v>
      </c>
    </row>
    <row r="2266" spans="1:23" ht="13.15" customHeight="1" x14ac:dyDescent="0.2">
      <c r="A2266" s="2" t="s">
        <v>2200</v>
      </c>
      <c r="B2266" s="2">
        <f t="shared" si="70"/>
        <v>2022</v>
      </c>
      <c r="C2266" s="2" t="str">
        <f t="shared" si="71"/>
        <v>KZN226</v>
      </c>
      <c r="D2266" s="2">
        <v>648</v>
      </c>
      <c r="F2266" s="625"/>
      <c r="G2266" s="625"/>
      <c r="H2266" s="625"/>
      <c r="I2266" s="625"/>
      <c r="J2266" s="625"/>
      <c r="K2266" s="625"/>
      <c r="L2266" s="627"/>
      <c r="M2266" s="627"/>
      <c r="N2266" s="627"/>
      <c r="O2266" s="627"/>
      <c r="P2266" s="627"/>
      <c r="W2266" t="s">
        <v>2047</v>
      </c>
    </row>
    <row r="2267" spans="1:23" ht="13.15" customHeight="1" x14ac:dyDescent="0.2">
      <c r="A2267" s="2" t="s">
        <v>2200</v>
      </c>
      <c r="B2267" s="2">
        <f t="shared" si="70"/>
        <v>2022</v>
      </c>
      <c r="C2267" s="2" t="str">
        <f t="shared" si="71"/>
        <v>KZN226</v>
      </c>
      <c r="D2267" s="2">
        <v>649</v>
      </c>
      <c r="F2267" s="625"/>
      <c r="G2267" s="625"/>
      <c r="H2267" s="625"/>
      <c r="I2267" s="625"/>
      <c r="J2267" s="625"/>
      <c r="K2267" s="625"/>
      <c r="L2267" s="627"/>
      <c r="M2267" s="627"/>
      <c r="N2267" s="627"/>
      <c r="O2267" s="627"/>
      <c r="P2267" s="627"/>
      <c r="W2267" t="s">
        <v>2047</v>
      </c>
    </row>
    <row r="2268" spans="1:23" ht="13.15" customHeight="1" x14ac:dyDescent="0.2">
      <c r="A2268" s="2" t="s">
        <v>2200</v>
      </c>
      <c r="B2268" s="2">
        <f t="shared" si="70"/>
        <v>2022</v>
      </c>
      <c r="C2268" s="2" t="str">
        <f t="shared" si="71"/>
        <v>KZN226</v>
      </c>
      <c r="D2268" s="2">
        <v>650</v>
      </c>
      <c r="F2268" s="625"/>
      <c r="G2268" s="625"/>
      <c r="H2268" s="625"/>
      <c r="I2268" s="625"/>
      <c r="J2268" s="625"/>
      <c r="K2268" s="625"/>
      <c r="L2268" s="627"/>
      <c r="M2268" s="627"/>
      <c r="N2268" s="627"/>
      <c r="O2268" s="627"/>
      <c r="P2268" s="627"/>
      <c r="W2268" t="s">
        <v>2047</v>
      </c>
    </row>
    <row r="2269" spans="1:23" ht="13.15" customHeight="1" x14ac:dyDescent="0.2">
      <c r="A2269" s="2" t="s">
        <v>2200</v>
      </c>
      <c r="B2269" s="2">
        <f t="shared" si="70"/>
        <v>2022</v>
      </c>
      <c r="C2269" s="2" t="str">
        <f t="shared" si="71"/>
        <v>KZN226</v>
      </c>
      <c r="D2269" s="2">
        <v>651</v>
      </c>
      <c r="F2269" s="625"/>
      <c r="G2269" s="625"/>
      <c r="H2269" s="625"/>
      <c r="I2269" s="625"/>
      <c r="J2269" s="625"/>
      <c r="K2269" s="625"/>
      <c r="L2269" s="627"/>
      <c r="M2269" s="627"/>
      <c r="N2269" s="627"/>
      <c r="O2269" s="627"/>
      <c r="P2269" s="627"/>
      <c r="W2269" t="s">
        <v>2047</v>
      </c>
    </row>
    <row r="2270" spans="1:23" ht="13.15" customHeight="1" x14ac:dyDescent="0.2">
      <c r="A2270" s="2" t="s">
        <v>2200</v>
      </c>
      <c r="B2270" s="2">
        <f t="shared" si="70"/>
        <v>2022</v>
      </c>
      <c r="C2270" s="2" t="str">
        <f t="shared" si="71"/>
        <v>KZN226</v>
      </c>
      <c r="D2270" s="2">
        <v>652</v>
      </c>
      <c r="F2270" s="625"/>
      <c r="G2270" s="625"/>
      <c r="H2270" s="625"/>
      <c r="I2270" s="625"/>
      <c r="J2270" s="625"/>
      <c r="K2270" s="625"/>
      <c r="L2270" s="627"/>
      <c r="M2270" s="627"/>
      <c r="N2270" s="627"/>
      <c r="O2270" s="627"/>
      <c r="P2270" s="627"/>
      <c r="W2270" t="s">
        <v>2047</v>
      </c>
    </row>
    <row r="2271" spans="1:23" ht="13.15" customHeight="1" x14ac:dyDescent="0.2">
      <c r="A2271" s="2" t="s">
        <v>2200</v>
      </c>
      <c r="B2271" s="2">
        <f t="shared" si="70"/>
        <v>2022</v>
      </c>
      <c r="C2271" s="2" t="str">
        <f t="shared" si="71"/>
        <v>KZN226</v>
      </c>
      <c r="D2271" s="2">
        <v>653</v>
      </c>
      <c r="F2271" s="625"/>
      <c r="G2271" s="625"/>
      <c r="H2271" s="625"/>
      <c r="I2271" s="625"/>
      <c r="J2271" s="625"/>
      <c r="K2271" s="625"/>
      <c r="L2271" s="627"/>
      <c r="M2271" s="627"/>
      <c r="N2271" s="627"/>
      <c r="O2271" s="627"/>
      <c r="P2271" s="627"/>
      <c r="W2271" t="s">
        <v>2047</v>
      </c>
    </row>
    <row r="2272" spans="1:23" ht="13.15" customHeight="1" x14ac:dyDescent="0.2">
      <c r="A2272" s="2" t="s">
        <v>2200</v>
      </c>
      <c r="B2272" s="2">
        <f t="shared" si="70"/>
        <v>2022</v>
      </c>
      <c r="C2272" s="2" t="str">
        <f t="shared" si="71"/>
        <v>KZN226</v>
      </c>
      <c r="D2272" s="2">
        <v>654</v>
      </c>
      <c r="F2272" s="625"/>
      <c r="G2272" s="625"/>
      <c r="H2272" s="625"/>
      <c r="I2272" s="625"/>
      <c r="J2272" s="625"/>
      <c r="K2272" s="625"/>
      <c r="L2272" s="627"/>
      <c r="M2272" s="627"/>
      <c r="N2272" s="627"/>
      <c r="O2272" s="627"/>
      <c r="P2272" s="627"/>
      <c r="W2272" t="s">
        <v>2047</v>
      </c>
    </row>
    <row r="2273" spans="1:23" ht="13.15" customHeight="1" x14ac:dyDescent="0.2">
      <c r="A2273" s="2" t="s">
        <v>2200</v>
      </c>
      <c r="B2273" s="2">
        <f t="shared" si="70"/>
        <v>2022</v>
      </c>
      <c r="C2273" s="2" t="str">
        <f t="shared" si="71"/>
        <v>KZN226</v>
      </c>
      <c r="D2273" s="2">
        <v>655</v>
      </c>
      <c r="F2273" s="625"/>
      <c r="G2273" s="625"/>
      <c r="H2273" s="625"/>
      <c r="I2273" s="625"/>
      <c r="J2273" s="625"/>
      <c r="K2273" s="625"/>
      <c r="L2273" s="627"/>
      <c r="M2273" s="627"/>
      <c r="N2273" s="627"/>
      <c r="O2273" s="627"/>
      <c r="P2273" s="627"/>
      <c r="W2273" t="s">
        <v>2047</v>
      </c>
    </row>
    <row r="2274" spans="1:23" ht="13.15" customHeight="1" x14ac:dyDescent="0.2">
      <c r="A2274" s="2" t="s">
        <v>2200</v>
      </c>
      <c r="B2274" s="2">
        <f t="shared" si="70"/>
        <v>2022</v>
      </c>
      <c r="C2274" s="2" t="str">
        <f t="shared" si="71"/>
        <v>KZN226</v>
      </c>
      <c r="D2274" s="2">
        <v>656</v>
      </c>
      <c r="F2274" s="625"/>
      <c r="G2274" s="625"/>
      <c r="H2274" s="625"/>
      <c r="I2274" s="625"/>
      <c r="J2274" s="625"/>
      <c r="K2274" s="625"/>
      <c r="L2274" s="627"/>
      <c r="M2274" s="627"/>
      <c r="N2274" s="627"/>
      <c r="O2274" s="627"/>
      <c r="P2274" s="627"/>
      <c r="W2274" t="s">
        <v>2047</v>
      </c>
    </row>
    <row r="2275" spans="1:23" ht="13.15" customHeight="1" x14ac:dyDescent="0.2">
      <c r="A2275" s="2" t="s">
        <v>2200</v>
      </c>
      <c r="B2275" s="2">
        <f t="shared" si="70"/>
        <v>2022</v>
      </c>
      <c r="C2275" s="2" t="str">
        <f t="shared" si="71"/>
        <v>KZN226</v>
      </c>
      <c r="D2275" s="2">
        <v>657</v>
      </c>
      <c r="F2275" s="625"/>
      <c r="G2275" s="625"/>
      <c r="H2275" s="625"/>
      <c r="I2275" s="625"/>
      <c r="J2275" s="625"/>
      <c r="K2275" s="625"/>
      <c r="L2275" s="627"/>
      <c r="M2275" s="627"/>
      <c r="N2275" s="627"/>
      <c r="O2275" s="627"/>
      <c r="P2275" s="627"/>
      <c r="W2275" t="s">
        <v>2047</v>
      </c>
    </row>
    <row r="2276" spans="1:23" ht="13.15" customHeight="1" x14ac:dyDescent="0.2">
      <c r="A2276" s="2" t="s">
        <v>2200</v>
      </c>
      <c r="B2276" s="2">
        <f t="shared" si="70"/>
        <v>2022</v>
      </c>
      <c r="C2276" s="2" t="str">
        <f t="shared" si="71"/>
        <v>KZN226</v>
      </c>
      <c r="D2276" s="2">
        <v>658</v>
      </c>
      <c r="F2276" s="625"/>
      <c r="G2276" s="625"/>
      <c r="H2276" s="625"/>
      <c r="I2276" s="625"/>
      <c r="J2276" s="625"/>
      <c r="K2276" s="625"/>
      <c r="L2276" s="627"/>
      <c r="M2276" s="627"/>
      <c r="N2276" s="627"/>
      <c r="O2276" s="627"/>
      <c r="P2276" s="627"/>
      <c r="W2276" t="s">
        <v>2047</v>
      </c>
    </row>
    <row r="2277" spans="1:23" ht="13.15" customHeight="1" x14ac:dyDescent="0.2">
      <c r="A2277" s="2" t="s">
        <v>2200</v>
      </c>
      <c r="B2277" s="2">
        <f t="shared" si="70"/>
        <v>2022</v>
      </c>
      <c r="C2277" s="2" t="str">
        <f t="shared" si="71"/>
        <v>KZN226</v>
      </c>
      <c r="D2277" s="2">
        <v>659</v>
      </c>
      <c r="F2277" s="625"/>
      <c r="G2277" s="625"/>
      <c r="H2277" s="625"/>
      <c r="I2277" s="625"/>
      <c r="J2277" s="625"/>
      <c r="K2277" s="625"/>
      <c r="L2277" s="627"/>
      <c r="M2277" s="627"/>
      <c r="N2277" s="627"/>
      <c r="O2277" s="627"/>
      <c r="P2277" s="627"/>
      <c r="W2277" t="s">
        <v>2047</v>
      </c>
    </row>
    <row r="2278" spans="1:23" ht="13.15" customHeight="1" x14ac:dyDescent="0.2">
      <c r="A2278" s="2" t="s">
        <v>2200</v>
      </c>
      <c r="B2278" s="2">
        <f t="shared" si="70"/>
        <v>2022</v>
      </c>
      <c r="C2278" s="2" t="str">
        <f t="shared" si="71"/>
        <v>KZN226</v>
      </c>
      <c r="D2278" s="2">
        <v>660</v>
      </c>
      <c r="F2278" s="625"/>
      <c r="G2278" s="625"/>
      <c r="H2278" s="625"/>
      <c r="I2278" s="625"/>
      <c r="J2278" s="625"/>
      <c r="K2278" s="625"/>
      <c r="L2278" s="627"/>
      <c r="M2278" s="627"/>
      <c r="N2278" s="627"/>
      <c r="O2278" s="627"/>
      <c r="P2278" s="627"/>
      <c r="W2278" t="s">
        <v>2047</v>
      </c>
    </row>
    <row r="2279" spans="1:23" ht="13.15" customHeight="1" x14ac:dyDescent="0.2">
      <c r="A2279" s="2" t="s">
        <v>2200</v>
      </c>
      <c r="B2279" s="2">
        <f t="shared" si="70"/>
        <v>2022</v>
      </c>
      <c r="C2279" s="2" t="str">
        <f t="shared" si="71"/>
        <v>KZN226</v>
      </c>
      <c r="D2279" s="2">
        <v>661</v>
      </c>
      <c r="F2279" s="625"/>
      <c r="G2279" s="625"/>
      <c r="H2279" s="625"/>
      <c r="I2279" s="625"/>
      <c r="J2279" s="625"/>
      <c r="K2279" s="625"/>
      <c r="L2279" s="627"/>
      <c r="M2279" s="627"/>
      <c r="N2279" s="627"/>
      <c r="O2279" s="627"/>
      <c r="P2279" s="627"/>
      <c r="W2279" t="s">
        <v>2047</v>
      </c>
    </row>
    <row r="2280" spans="1:23" ht="13.15" customHeight="1" x14ac:dyDescent="0.2">
      <c r="A2280" s="2" t="s">
        <v>2200</v>
      </c>
      <c r="B2280" s="2">
        <f t="shared" si="70"/>
        <v>2022</v>
      </c>
      <c r="C2280" s="2" t="str">
        <f t="shared" si="71"/>
        <v>KZN226</v>
      </c>
      <c r="D2280" s="2">
        <v>662</v>
      </c>
      <c r="F2280" s="625"/>
      <c r="G2280" s="625"/>
      <c r="H2280" s="625"/>
      <c r="I2280" s="625"/>
      <c r="J2280" s="625"/>
      <c r="K2280" s="625"/>
      <c r="L2280" s="627"/>
      <c r="M2280" s="627"/>
      <c r="N2280" s="627"/>
      <c r="O2280" s="627"/>
      <c r="P2280" s="627"/>
      <c r="W2280" t="s">
        <v>2047</v>
      </c>
    </row>
    <row r="2281" spans="1:23" ht="13.15" customHeight="1" x14ac:dyDescent="0.2">
      <c r="A2281" s="2" t="s">
        <v>2200</v>
      </c>
      <c r="B2281" s="2">
        <f t="shared" si="70"/>
        <v>2022</v>
      </c>
      <c r="C2281" s="2" t="str">
        <f t="shared" si="71"/>
        <v>KZN226</v>
      </c>
      <c r="D2281" s="2">
        <v>663</v>
      </c>
      <c r="F2281" s="625"/>
      <c r="G2281" s="625"/>
      <c r="H2281" s="625"/>
      <c r="I2281" s="625"/>
      <c r="J2281" s="625"/>
      <c r="K2281" s="625"/>
      <c r="L2281" s="627"/>
      <c r="M2281" s="627"/>
      <c r="N2281" s="627"/>
      <c r="O2281" s="627"/>
      <c r="P2281" s="627"/>
      <c r="W2281" t="s">
        <v>2047</v>
      </c>
    </row>
    <row r="2282" spans="1:23" ht="13.15" customHeight="1" x14ac:dyDescent="0.2">
      <c r="A2282" s="2" t="s">
        <v>2200</v>
      </c>
      <c r="B2282" s="2">
        <f t="shared" si="70"/>
        <v>2022</v>
      </c>
      <c r="C2282" s="2" t="str">
        <f t="shared" si="71"/>
        <v>KZN226</v>
      </c>
      <c r="D2282" s="2">
        <v>664</v>
      </c>
      <c r="F2282" s="625"/>
      <c r="G2282" s="625"/>
      <c r="H2282" s="625"/>
      <c r="I2282" s="625"/>
      <c r="J2282" s="625"/>
      <c r="K2282" s="625"/>
      <c r="L2282" s="627"/>
      <c r="M2282" s="627"/>
      <c r="N2282" s="627"/>
      <c r="O2282" s="627"/>
      <c r="P2282" s="627"/>
      <c r="W2282" t="s">
        <v>2047</v>
      </c>
    </row>
    <row r="2283" spans="1:23" ht="13.15" customHeight="1" x14ac:dyDescent="0.2">
      <c r="A2283" s="2" t="s">
        <v>2200</v>
      </c>
      <c r="B2283" s="2">
        <f t="shared" si="70"/>
        <v>2022</v>
      </c>
      <c r="C2283" s="2" t="str">
        <f t="shared" si="71"/>
        <v>KZN226</v>
      </c>
      <c r="D2283" s="2">
        <v>665</v>
      </c>
      <c r="F2283" s="625"/>
      <c r="G2283" s="625"/>
      <c r="H2283" s="625"/>
      <c r="I2283" s="625"/>
      <c r="J2283" s="625"/>
      <c r="K2283" s="625"/>
      <c r="L2283" s="627"/>
      <c r="M2283" s="627"/>
      <c r="N2283" s="627"/>
      <c r="O2283" s="627"/>
      <c r="P2283" s="627"/>
      <c r="W2283" t="s">
        <v>2047</v>
      </c>
    </row>
    <row r="2284" spans="1:23" ht="13.15" customHeight="1" x14ac:dyDescent="0.2">
      <c r="A2284" s="2" t="s">
        <v>2200</v>
      </c>
      <c r="B2284" s="2">
        <f t="shared" si="70"/>
        <v>2022</v>
      </c>
      <c r="C2284" s="2" t="str">
        <f t="shared" si="71"/>
        <v>KZN226</v>
      </c>
      <c r="D2284" s="2">
        <v>666</v>
      </c>
      <c r="F2284" s="625"/>
      <c r="G2284" s="625"/>
      <c r="H2284" s="625"/>
      <c r="I2284" s="625"/>
      <c r="J2284" s="625"/>
      <c r="K2284" s="625"/>
      <c r="L2284" s="627"/>
      <c r="M2284" s="627"/>
      <c r="N2284" s="627"/>
      <c r="O2284" s="627"/>
      <c r="P2284" s="627"/>
      <c r="W2284" t="s">
        <v>2047</v>
      </c>
    </row>
    <row r="2285" spans="1:23" ht="13.15" customHeight="1" x14ac:dyDescent="0.2">
      <c r="A2285" s="2" t="s">
        <v>2200</v>
      </c>
      <c r="B2285" s="2">
        <f t="shared" si="70"/>
        <v>2022</v>
      </c>
      <c r="C2285" s="2" t="str">
        <f t="shared" si="71"/>
        <v>KZN226</v>
      </c>
      <c r="D2285" s="2">
        <v>667</v>
      </c>
      <c r="F2285" s="625"/>
      <c r="G2285" s="625"/>
      <c r="H2285" s="625"/>
      <c r="I2285" s="625"/>
      <c r="J2285" s="625"/>
      <c r="K2285" s="625"/>
      <c r="L2285" s="627"/>
      <c r="M2285" s="627"/>
      <c r="N2285" s="627"/>
      <c r="O2285" s="627"/>
      <c r="P2285" s="627"/>
      <c r="W2285" t="s">
        <v>2047</v>
      </c>
    </row>
    <row r="2286" spans="1:23" ht="13.15" customHeight="1" x14ac:dyDescent="0.2">
      <c r="A2286" s="2" t="s">
        <v>2200</v>
      </c>
      <c r="B2286" s="2">
        <f t="shared" si="70"/>
        <v>2022</v>
      </c>
      <c r="C2286" s="2" t="str">
        <f t="shared" si="71"/>
        <v>KZN226</v>
      </c>
      <c r="D2286" s="2">
        <v>668</v>
      </c>
      <c r="F2286" s="625"/>
      <c r="G2286" s="625"/>
      <c r="H2286" s="625"/>
      <c r="I2286" s="625"/>
      <c r="J2286" s="625"/>
      <c r="K2286" s="625"/>
      <c r="L2286" s="627"/>
      <c r="M2286" s="627"/>
      <c r="N2286" s="627"/>
      <c r="O2286" s="627"/>
      <c r="P2286" s="627"/>
      <c r="W2286" t="s">
        <v>2047</v>
      </c>
    </row>
    <row r="2287" spans="1:23" ht="13.15" customHeight="1" x14ac:dyDescent="0.2">
      <c r="A2287" s="2" t="s">
        <v>2200</v>
      </c>
      <c r="B2287" s="2">
        <f t="shared" si="70"/>
        <v>2022</v>
      </c>
      <c r="C2287" s="2" t="str">
        <f t="shared" si="71"/>
        <v>KZN226</v>
      </c>
      <c r="D2287" s="2">
        <v>669</v>
      </c>
      <c r="F2287" s="625"/>
      <c r="G2287" s="625"/>
      <c r="H2287" s="625"/>
      <c r="I2287" s="625"/>
      <c r="J2287" s="625"/>
      <c r="K2287" s="625"/>
      <c r="L2287" s="627"/>
      <c r="M2287" s="627"/>
      <c r="N2287" s="627"/>
      <c r="O2287" s="627"/>
      <c r="P2287" s="627"/>
      <c r="W2287" t="s">
        <v>2047</v>
      </c>
    </row>
    <row r="2288" spans="1:23" ht="13.15" customHeight="1" x14ac:dyDescent="0.2">
      <c r="A2288" s="2" t="s">
        <v>2200</v>
      </c>
      <c r="B2288" s="2">
        <f t="shared" si="70"/>
        <v>2022</v>
      </c>
      <c r="C2288" s="2" t="str">
        <f t="shared" si="71"/>
        <v>KZN226</v>
      </c>
      <c r="D2288" s="2">
        <v>670</v>
      </c>
      <c r="F2288" s="625"/>
      <c r="G2288" s="625"/>
      <c r="H2288" s="625"/>
      <c r="I2288" s="625"/>
      <c r="J2288" s="625"/>
      <c r="K2288" s="625"/>
      <c r="L2288" s="627"/>
      <c r="M2288" s="627"/>
      <c r="N2288" s="627"/>
      <c r="O2288" s="627"/>
      <c r="P2288" s="627"/>
      <c r="W2288" t="s">
        <v>2047</v>
      </c>
    </row>
    <row r="2289" spans="1:23" ht="13.15" customHeight="1" x14ac:dyDescent="0.2">
      <c r="A2289" s="2" t="s">
        <v>2200</v>
      </c>
      <c r="B2289" s="2">
        <f t="shared" si="70"/>
        <v>2022</v>
      </c>
      <c r="C2289" s="2" t="str">
        <f t="shared" si="71"/>
        <v>KZN226</v>
      </c>
      <c r="D2289" s="2">
        <v>671</v>
      </c>
      <c r="F2289" s="625"/>
      <c r="G2289" s="625"/>
      <c r="H2289" s="625"/>
      <c r="I2289" s="625"/>
      <c r="J2289" s="625"/>
      <c r="K2289" s="625"/>
      <c r="L2289" s="627"/>
      <c r="M2289" s="627"/>
      <c r="N2289" s="627"/>
      <c r="O2289" s="627"/>
      <c r="P2289" s="627"/>
      <c r="W2289" t="s">
        <v>2047</v>
      </c>
    </row>
    <row r="2290" spans="1:23" ht="13.15" customHeight="1" x14ac:dyDescent="0.2">
      <c r="A2290" s="2" t="s">
        <v>2200</v>
      </c>
      <c r="B2290" s="2">
        <f t="shared" si="70"/>
        <v>2022</v>
      </c>
      <c r="C2290" s="2" t="str">
        <f t="shared" si="71"/>
        <v>KZN226</v>
      </c>
      <c r="D2290" s="2">
        <v>672</v>
      </c>
      <c r="F2290" s="625"/>
      <c r="G2290" s="625"/>
      <c r="H2290" s="625"/>
      <c r="I2290" s="625"/>
      <c r="J2290" s="625"/>
      <c r="K2290" s="625"/>
      <c r="L2290" s="627"/>
      <c r="M2290" s="627"/>
      <c r="N2290" s="627"/>
      <c r="O2290" s="627"/>
      <c r="P2290" s="627"/>
      <c r="W2290" t="s">
        <v>2047</v>
      </c>
    </row>
    <row r="2291" spans="1:23" ht="13.15" customHeight="1" x14ac:dyDescent="0.2">
      <c r="A2291" s="2" t="s">
        <v>2200</v>
      </c>
      <c r="B2291" s="2">
        <f t="shared" si="70"/>
        <v>2022</v>
      </c>
      <c r="C2291" s="2" t="str">
        <f t="shared" si="71"/>
        <v>KZN226</v>
      </c>
      <c r="D2291" s="2">
        <v>673</v>
      </c>
      <c r="F2291" s="625"/>
      <c r="G2291" s="625"/>
      <c r="H2291" s="625"/>
      <c r="I2291" s="625"/>
      <c r="J2291" s="625"/>
      <c r="K2291" s="625"/>
      <c r="L2291" s="627"/>
      <c r="M2291" s="627"/>
      <c r="N2291" s="627"/>
      <c r="O2291" s="627"/>
      <c r="P2291" s="627"/>
      <c r="W2291" t="s">
        <v>2047</v>
      </c>
    </row>
    <row r="2292" spans="1:23" ht="13.15" customHeight="1" x14ac:dyDescent="0.2">
      <c r="A2292" s="2" t="s">
        <v>2200</v>
      </c>
      <c r="B2292" s="2">
        <f t="shared" si="70"/>
        <v>2022</v>
      </c>
      <c r="C2292" s="2" t="str">
        <f t="shared" si="71"/>
        <v>KZN226</v>
      </c>
      <c r="D2292" s="2">
        <v>674</v>
      </c>
      <c r="F2292" s="625"/>
      <c r="G2292" s="625"/>
      <c r="H2292" s="625"/>
      <c r="I2292" s="625"/>
      <c r="J2292" s="625"/>
      <c r="K2292" s="625"/>
      <c r="L2292" s="627"/>
      <c r="M2292" s="627"/>
      <c r="N2292" s="627"/>
      <c r="O2292" s="627"/>
      <c r="P2292" s="627"/>
      <c r="W2292" t="s">
        <v>2047</v>
      </c>
    </row>
    <row r="2293" spans="1:23" ht="13.15" customHeight="1" x14ac:dyDescent="0.2">
      <c r="A2293" s="2" t="s">
        <v>2200</v>
      </c>
      <c r="B2293" s="2">
        <f t="shared" si="70"/>
        <v>2022</v>
      </c>
      <c r="C2293" s="2" t="str">
        <f t="shared" si="71"/>
        <v>KZN226</v>
      </c>
      <c r="D2293" s="2">
        <v>675</v>
      </c>
      <c r="F2293" s="625"/>
      <c r="G2293" s="625"/>
      <c r="H2293" s="625"/>
      <c r="I2293" s="625"/>
      <c r="J2293" s="625"/>
      <c r="K2293" s="625"/>
      <c r="L2293" s="627"/>
      <c r="M2293" s="627"/>
      <c r="N2293" s="627"/>
      <c r="O2293" s="627"/>
      <c r="P2293" s="627"/>
      <c r="W2293" t="s">
        <v>2047</v>
      </c>
    </row>
    <row r="2294" spans="1:23" ht="13.15" customHeight="1" x14ac:dyDescent="0.2">
      <c r="A2294" s="2" t="s">
        <v>2200</v>
      </c>
      <c r="B2294" s="2">
        <f t="shared" si="70"/>
        <v>2022</v>
      </c>
      <c r="C2294" s="2" t="str">
        <f t="shared" si="71"/>
        <v>KZN226</v>
      </c>
      <c r="D2294" s="2">
        <v>676</v>
      </c>
      <c r="F2294" s="625"/>
      <c r="G2294" s="625"/>
      <c r="H2294" s="625"/>
      <c r="I2294" s="625"/>
      <c r="J2294" s="625"/>
      <c r="K2294" s="625"/>
      <c r="L2294" s="627"/>
      <c r="M2294" s="627"/>
      <c r="N2294" s="627"/>
      <c r="O2294" s="627"/>
      <c r="P2294" s="627"/>
      <c r="W2294" t="s">
        <v>2047</v>
      </c>
    </row>
    <row r="2295" spans="1:23" ht="13.15" customHeight="1" x14ac:dyDescent="0.2">
      <c r="A2295" s="2" t="s">
        <v>2200</v>
      </c>
      <c r="B2295" s="2">
        <f t="shared" si="70"/>
        <v>2022</v>
      </c>
      <c r="C2295" s="2" t="str">
        <f t="shared" si="71"/>
        <v>KZN226</v>
      </c>
      <c r="D2295" s="2">
        <v>677</v>
      </c>
      <c r="F2295" s="625"/>
      <c r="G2295" s="625"/>
      <c r="H2295" s="625"/>
      <c r="I2295" s="625"/>
      <c r="J2295" s="625"/>
      <c r="K2295" s="625"/>
      <c r="L2295" s="627"/>
      <c r="M2295" s="627"/>
      <c r="N2295" s="627"/>
      <c r="O2295" s="627"/>
      <c r="P2295" s="627"/>
      <c r="W2295" t="s">
        <v>2047</v>
      </c>
    </row>
    <row r="2296" spans="1:23" ht="13.15" customHeight="1" x14ac:dyDescent="0.2">
      <c r="A2296" s="2" t="s">
        <v>2200</v>
      </c>
      <c r="B2296" s="2">
        <f t="shared" si="70"/>
        <v>2022</v>
      </c>
      <c r="C2296" s="2" t="str">
        <f t="shared" si="71"/>
        <v>KZN226</v>
      </c>
      <c r="D2296" s="2">
        <v>678</v>
      </c>
      <c r="F2296" s="625"/>
      <c r="G2296" s="625"/>
      <c r="H2296" s="625"/>
      <c r="I2296" s="625"/>
      <c r="J2296" s="625"/>
      <c r="K2296" s="625"/>
      <c r="L2296" s="627"/>
      <c r="M2296" s="627"/>
      <c r="N2296" s="627"/>
      <c r="O2296" s="627"/>
      <c r="P2296" s="627"/>
      <c r="W2296" t="s">
        <v>2047</v>
      </c>
    </row>
    <row r="2297" spans="1:23" ht="13.15" customHeight="1" x14ac:dyDescent="0.2">
      <c r="A2297" s="2" t="s">
        <v>2200</v>
      </c>
      <c r="B2297" s="2">
        <f t="shared" si="70"/>
        <v>2022</v>
      </c>
      <c r="C2297" s="2" t="str">
        <f t="shared" si="71"/>
        <v>KZN226</v>
      </c>
      <c r="D2297" s="2">
        <v>679</v>
      </c>
      <c r="F2297" s="625"/>
      <c r="G2297" s="625"/>
      <c r="H2297" s="625"/>
      <c r="I2297" s="625"/>
      <c r="J2297" s="625"/>
      <c r="K2297" s="625"/>
      <c r="L2297" s="627"/>
      <c r="M2297" s="627"/>
      <c r="N2297" s="627"/>
      <c r="O2297" s="627"/>
      <c r="P2297" s="627"/>
      <c r="W2297" t="s">
        <v>2047</v>
      </c>
    </row>
    <row r="2298" spans="1:23" ht="13.15" customHeight="1" x14ac:dyDescent="0.2">
      <c r="A2298" s="2" t="s">
        <v>2200</v>
      </c>
      <c r="B2298" s="2">
        <f t="shared" si="70"/>
        <v>2022</v>
      </c>
      <c r="C2298" s="2" t="str">
        <f t="shared" si="71"/>
        <v>KZN226</v>
      </c>
      <c r="D2298" s="2">
        <v>680</v>
      </c>
      <c r="F2298" s="625"/>
      <c r="G2298" s="625"/>
      <c r="H2298" s="625"/>
      <c r="I2298" s="625"/>
      <c r="J2298" s="625"/>
      <c r="K2298" s="625"/>
      <c r="L2298" s="627"/>
      <c r="M2298" s="627"/>
      <c r="N2298" s="627"/>
      <c r="O2298" s="627"/>
      <c r="P2298" s="627"/>
      <c r="W2298" t="s">
        <v>2047</v>
      </c>
    </row>
    <row r="2299" spans="1:23" ht="13.15" customHeight="1" x14ac:dyDescent="0.2">
      <c r="A2299" s="2" t="s">
        <v>2200</v>
      </c>
      <c r="B2299" s="2">
        <f t="shared" si="70"/>
        <v>2022</v>
      </c>
      <c r="C2299" s="2" t="str">
        <f t="shared" si="71"/>
        <v>KZN226</v>
      </c>
      <c r="D2299" s="2">
        <v>681</v>
      </c>
      <c r="F2299" s="625"/>
      <c r="G2299" s="625"/>
      <c r="H2299" s="625"/>
      <c r="I2299" s="625"/>
      <c r="J2299" s="625"/>
      <c r="K2299" s="625"/>
      <c r="L2299" s="627"/>
      <c r="M2299" s="627"/>
      <c r="N2299" s="627"/>
      <c r="O2299" s="627"/>
      <c r="P2299" s="627"/>
      <c r="W2299" t="s">
        <v>2047</v>
      </c>
    </row>
    <row r="2300" spans="1:23" ht="13.15" customHeight="1" x14ac:dyDescent="0.2">
      <c r="A2300" s="2" t="s">
        <v>2200</v>
      </c>
      <c r="B2300" s="2">
        <f t="shared" si="70"/>
        <v>2022</v>
      </c>
      <c r="C2300" s="2" t="str">
        <f t="shared" si="71"/>
        <v>KZN226</v>
      </c>
      <c r="D2300" s="2">
        <v>682</v>
      </c>
      <c r="F2300" s="625"/>
      <c r="G2300" s="625"/>
      <c r="H2300" s="625"/>
      <c r="I2300" s="625"/>
      <c r="J2300" s="625"/>
      <c r="K2300" s="625"/>
      <c r="L2300" s="627"/>
      <c r="M2300" s="627"/>
      <c r="N2300" s="627"/>
      <c r="O2300" s="627"/>
      <c r="P2300" s="627"/>
      <c r="W2300" t="s">
        <v>2047</v>
      </c>
    </row>
    <row r="2301" spans="1:23" ht="13.15" customHeight="1" x14ac:dyDescent="0.2">
      <c r="A2301" s="2" t="s">
        <v>2200</v>
      </c>
      <c r="B2301" s="2">
        <f t="shared" si="70"/>
        <v>2022</v>
      </c>
      <c r="C2301" s="2" t="str">
        <f t="shared" si="71"/>
        <v>KZN226</v>
      </c>
      <c r="D2301" s="2">
        <v>683</v>
      </c>
      <c r="F2301" s="625"/>
      <c r="G2301" s="625"/>
      <c r="H2301" s="625"/>
      <c r="I2301" s="625"/>
      <c r="J2301" s="625"/>
      <c r="K2301" s="625"/>
      <c r="L2301" s="627"/>
      <c r="M2301" s="627"/>
      <c r="N2301" s="627"/>
      <c r="O2301" s="627"/>
      <c r="P2301" s="627"/>
      <c r="W2301" t="s">
        <v>2047</v>
      </c>
    </row>
    <row r="2302" spans="1:23" ht="13.15" customHeight="1" x14ac:dyDescent="0.2">
      <c r="A2302" s="2" t="s">
        <v>2200</v>
      </c>
      <c r="B2302" s="2">
        <f t="shared" si="70"/>
        <v>2022</v>
      </c>
      <c r="C2302" s="2" t="str">
        <f t="shared" si="71"/>
        <v>KZN226</v>
      </c>
      <c r="D2302" s="2">
        <v>684</v>
      </c>
      <c r="F2302" s="625"/>
      <c r="G2302" s="625"/>
      <c r="H2302" s="625"/>
      <c r="I2302" s="625"/>
      <c r="J2302" s="625"/>
      <c r="K2302" s="625"/>
      <c r="L2302" s="627"/>
      <c r="M2302" s="627"/>
      <c r="N2302" s="627"/>
      <c r="O2302" s="627"/>
      <c r="P2302" s="627"/>
      <c r="W2302" t="s">
        <v>2047</v>
      </c>
    </row>
    <row r="2303" spans="1:23" ht="13.15" customHeight="1" x14ac:dyDescent="0.2">
      <c r="A2303" s="2" t="s">
        <v>2200</v>
      </c>
      <c r="B2303" s="2">
        <f t="shared" si="70"/>
        <v>2022</v>
      </c>
      <c r="C2303" s="2" t="str">
        <f t="shared" si="71"/>
        <v>KZN226</v>
      </c>
      <c r="D2303" s="2">
        <v>685</v>
      </c>
      <c r="F2303" s="625"/>
      <c r="G2303" s="625"/>
      <c r="H2303" s="625"/>
      <c r="I2303" s="625"/>
      <c r="J2303" s="625"/>
      <c r="K2303" s="625"/>
      <c r="L2303" s="627"/>
      <c r="M2303" s="627"/>
      <c r="N2303" s="627"/>
      <c r="O2303" s="627"/>
      <c r="P2303" s="627"/>
      <c r="W2303" t="s">
        <v>2047</v>
      </c>
    </row>
    <row r="2304" spans="1:23" ht="13.15" customHeight="1" x14ac:dyDescent="0.2">
      <c r="A2304" s="2" t="s">
        <v>2200</v>
      </c>
      <c r="B2304" s="2">
        <f t="shared" si="70"/>
        <v>2022</v>
      </c>
      <c r="C2304" s="2" t="str">
        <f t="shared" si="71"/>
        <v>KZN226</v>
      </c>
      <c r="D2304" s="2">
        <v>686</v>
      </c>
      <c r="F2304" s="625"/>
      <c r="G2304" s="625"/>
      <c r="H2304" s="625"/>
      <c r="I2304" s="625"/>
      <c r="J2304" s="625"/>
      <c r="K2304" s="625"/>
      <c r="L2304" s="627"/>
      <c r="M2304" s="627"/>
      <c r="N2304" s="627"/>
      <c r="O2304" s="627"/>
      <c r="P2304" s="627"/>
      <c r="W2304" t="s">
        <v>2047</v>
      </c>
    </row>
    <row r="2305" spans="1:23" ht="13.15" customHeight="1" x14ac:dyDescent="0.2">
      <c r="A2305" s="2" t="s">
        <v>2200</v>
      </c>
      <c r="B2305" s="2">
        <f t="shared" si="70"/>
        <v>2022</v>
      </c>
      <c r="C2305" s="2" t="str">
        <f t="shared" si="71"/>
        <v>KZN226</v>
      </c>
      <c r="D2305" s="2">
        <v>687</v>
      </c>
      <c r="F2305" s="625"/>
      <c r="G2305" s="625"/>
      <c r="H2305" s="625"/>
      <c r="I2305" s="625"/>
      <c r="J2305" s="625"/>
      <c r="K2305" s="625"/>
      <c r="L2305" s="627"/>
      <c r="M2305" s="627"/>
      <c r="N2305" s="627"/>
      <c r="O2305" s="627"/>
      <c r="P2305" s="627"/>
      <c r="W2305" t="s">
        <v>2047</v>
      </c>
    </row>
    <row r="2306" spans="1:23" ht="13.15" customHeight="1" x14ac:dyDescent="0.2">
      <c r="A2306" s="2" t="s">
        <v>2200</v>
      </c>
      <c r="B2306" s="2">
        <f t="shared" ref="B2306:B2369" si="72">+MTREF</f>
        <v>2022</v>
      </c>
      <c r="C2306" s="2" t="str">
        <f t="shared" ref="C2306:C2369" si="73">LEFT(muni,(FIND(" ",muni,1)-1))</f>
        <v>KZN226</v>
      </c>
      <c r="D2306" s="2">
        <v>688</v>
      </c>
      <c r="F2306" s="625"/>
      <c r="G2306" s="625"/>
      <c r="H2306" s="625"/>
      <c r="I2306" s="625"/>
      <c r="J2306" s="625"/>
      <c r="K2306" s="625"/>
      <c r="L2306" s="627"/>
      <c r="M2306" s="627"/>
      <c r="N2306" s="627"/>
      <c r="O2306" s="627"/>
      <c r="P2306" s="627"/>
      <c r="W2306" t="s">
        <v>2047</v>
      </c>
    </row>
    <row r="2307" spans="1:23" ht="13.15" customHeight="1" x14ac:dyDescent="0.2">
      <c r="A2307" s="2" t="s">
        <v>2200</v>
      </c>
      <c r="B2307" s="2">
        <f t="shared" si="72"/>
        <v>2022</v>
      </c>
      <c r="C2307" s="2" t="str">
        <f t="shared" si="73"/>
        <v>KZN226</v>
      </c>
      <c r="D2307" s="2">
        <v>689</v>
      </c>
      <c r="F2307" s="625"/>
      <c r="G2307" s="625"/>
      <c r="H2307" s="625"/>
      <c r="I2307" s="625"/>
      <c r="J2307" s="625"/>
      <c r="K2307" s="625"/>
      <c r="L2307" s="627"/>
      <c r="M2307" s="627"/>
      <c r="N2307" s="627"/>
      <c r="O2307" s="627"/>
      <c r="P2307" s="627"/>
      <c r="W2307" t="s">
        <v>2047</v>
      </c>
    </row>
    <row r="2308" spans="1:23" ht="13.15" customHeight="1" x14ac:dyDescent="0.2">
      <c r="A2308" s="2" t="s">
        <v>2200</v>
      </c>
      <c r="B2308" s="2">
        <f t="shared" si="72"/>
        <v>2022</v>
      </c>
      <c r="C2308" s="2" t="str">
        <f t="shared" si="73"/>
        <v>KZN226</v>
      </c>
      <c r="D2308" s="2">
        <v>690</v>
      </c>
      <c r="F2308" s="625"/>
      <c r="G2308" s="625"/>
      <c r="H2308" s="625"/>
      <c r="I2308" s="625"/>
      <c r="J2308" s="625"/>
      <c r="K2308" s="625"/>
      <c r="L2308" s="627"/>
      <c r="M2308" s="627"/>
      <c r="N2308" s="627"/>
      <c r="O2308" s="627"/>
      <c r="P2308" s="627"/>
      <c r="W2308" t="s">
        <v>2047</v>
      </c>
    </row>
    <row r="2309" spans="1:23" ht="13.15" customHeight="1" x14ac:dyDescent="0.2">
      <c r="A2309" s="2" t="s">
        <v>2200</v>
      </c>
      <c r="B2309" s="2">
        <f t="shared" si="72"/>
        <v>2022</v>
      </c>
      <c r="C2309" s="2" t="str">
        <f t="shared" si="73"/>
        <v>KZN226</v>
      </c>
      <c r="D2309" s="2">
        <v>691</v>
      </c>
      <c r="F2309" s="625"/>
      <c r="G2309" s="625"/>
      <c r="H2309" s="625"/>
      <c r="I2309" s="625"/>
      <c r="J2309" s="625"/>
      <c r="K2309" s="625"/>
      <c r="L2309" s="627"/>
      <c r="M2309" s="627"/>
      <c r="N2309" s="627"/>
      <c r="O2309" s="627"/>
      <c r="P2309" s="627"/>
      <c r="W2309" t="s">
        <v>2047</v>
      </c>
    </row>
    <row r="2310" spans="1:23" ht="13.15" customHeight="1" x14ac:dyDescent="0.2">
      <c r="A2310" s="2" t="s">
        <v>2200</v>
      </c>
      <c r="B2310" s="2">
        <f t="shared" si="72"/>
        <v>2022</v>
      </c>
      <c r="C2310" s="2" t="str">
        <f t="shared" si="73"/>
        <v>KZN226</v>
      </c>
      <c r="D2310" s="2">
        <v>692</v>
      </c>
      <c r="F2310" s="625"/>
      <c r="G2310" s="625"/>
      <c r="H2310" s="625"/>
      <c r="I2310" s="625"/>
      <c r="J2310" s="625"/>
      <c r="K2310" s="625"/>
      <c r="L2310" s="627"/>
      <c r="M2310" s="627"/>
      <c r="N2310" s="627"/>
      <c r="O2310" s="627"/>
      <c r="P2310" s="627"/>
      <c r="W2310" t="s">
        <v>2047</v>
      </c>
    </row>
    <row r="2311" spans="1:23" ht="13.15" customHeight="1" x14ac:dyDescent="0.2">
      <c r="A2311" s="2" t="s">
        <v>2200</v>
      </c>
      <c r="B2311" s="2">
        <f t="shared" si="72"/>
        <v>2022</v>
      </c>
      <c r="C2311" s="2" t="str">
        <f t="shared" si="73"/>
        <v>KZN226</v>
      </c>
      <c r="D2311" s="2">
        <v>693</v>
      </c>
      <c r="F2311" s="625"/>
      <c r="G2311" s="625"/>
      <c r="H2311" s="625"/>
      <c r="I2311" s="625"/>
      <c r="J2311" s="625"/>
      <c r="K2311" s="625"/>
      <c r="L2311" s="627"/>
      <c r="M2311" s="627"/>
      <c r="N2311" s="627"/>
      <c r="O2311" s="627"/>
      <c r="P2311" s="627"/>
      <c r="W2311" t="s">
        <v>2047</v>
      </c>
    </row>
    <row r="2312" spans="1:23" ht="13.15" customHeight="1" x14ac:dyDescent="0.2">
      <c r="A2312" s="2" t="s">
        <v>2200</v>
      </c>
      <c r="B2312" s="2">
        <f t="shared" si="72"/>
        <v>2022</v>
      </c>
      <c r="C2312" s="2" t="str">
        <f t="shared" si="73"/>
        <v>KZN226</v>
      </c>
      <c r="D2312" s="2">
        <v>694</v>
      </c>
      <c r="F2312" s="625"/>
      <c r="G2312" s="625"/>
      <c r="H2312" s="625"/>
      <c r="I2312" s="625"/>
      <c r="J2312" s="625"/>
      <c r="K2312" s="625"/>
      <c r="L2312" s="627"/>
      <c r="M2312" s="627"/>
      <c r="N2312" s="627"/>
      <c r="O2312" s="627"/>
      <c r="P2312" s="627"/>
      <c r="W2312" t="s">
        <v>2047</v>
      </c>
    </row>
    <row r="2313" spans="1:23" ht="13.15" customHeight="1" x14ac:dyDescent="0.2">
      <c r="A2313" s="2" t="s">
        <v>2200</v>
      </c>
      <c r="B2313" s="2">
        <f t="shared" si="72"/>
        <v>2022</v>
      </c>
      <c r="C2313" s="2" t="str">
        <f t="shared" si="73"/>
        <v>KZN226</v>
      </c>
      <c r="D2313" s="2">
        <v>695</v>
      </c>
      <c r="F2313" s="625"/>
      <c r="G2313" s="625"/>
      <c r="H2313" s="625"/>
      <c r="I2313" s="625"/>
      <c r="J2313" s="625"/>
      <c r="K2313" s="625"/>
      <c r="L2313" s="627"/>
      <c r="M2313" s="627"/>
      <c r="N2313" s="627"/>
      <c r="O2313" s="627"/>
      <c r="P2313" s="627"/>
      <c r="W2313" t="s">
        <v>2047</v>
      </c>
    </row>
    <row r="2314" spans="1:23" ht="13.15" customHeight="1" x14ac:dyDescent="0.2">
      <c r="A2314" s="2" t="s">
        <v>2200</v>
      </c>
      <c r="B2314" s="2">
        <f t="shared" si="72"/>
        <v>2022</v>
      </c>
      <c r="C2314" s="2" t="str">
        <f t="shared" si="73"/>
        <v>KZN226</v>
      </c>
      <c r="D2314" s="2">
        <v>696</v>
      </c>
      <c r="F2314" s="625"/>
      <c r="G2314" s="625"/>
      <c r="H2314" s="625"/>
      <c r="I2314" s="625"/>
      <c r="J2314" s="625"/>
      <c r="K2314" s="625"/>
      <c r="L2314" s="627"/>
      <c r="M2314" s="627"/>
      <c r="N2314" s="627"/>
      <c r="O2314" s="627"/>
      <c r="P2314" s="627"/>
      <c r="W2314" t="s">
        <v>2047</v>
      </c>
    </row>
    <row r="2315" spans="1:23" ht="13.15" customHeight="1" x14ac:dyDescent="0.2">
      <c r="A2315" s="2" t="s">
        <v>2200</v>
      </c>
      <c r="B2315" s="2">
        <f t="shared" si="72"/>
        <v>2022</v>
      </c>
      <c r="C2315" s="2" t="str">
        <f t="shared" si="73"/>
        <v>KZN226</v>
      </c>
      <c r="D2315" s="2">
        <v>697</v>
      </c>
      <c r="F2315" s="625"/>
      <c r="G2315" s="625"/>
      <c r="H2315" s="625"/>
      <c r="I2315" s="625"/>
      <c r="J2315" s="625"/>
      <c r="K2315" s="625"/>
      <c r="L2315" s="627"/>
      <c r="M2315" s="627"/>
      <c r="N2315" s="627"/>
      <c r="O2315" s="627"/>
      <c r="P2315" s="627"/>
      <c r="W2315" t="s">
        <v>2047</v>
      </c>
    </row>
    <row r="2316" spans="1:23" ht="13.15" customHeight="1" x14ac:dyDescent="0.2">
      <c r="A2316" s="2" t="s">
        <v>2200</v>
      </c>
      <c r="B2316" s="2">
        <f t="shared" si="72"/>
        <v>2022</v>
      </c>
      <c r="C2316" s="2" t="str">
        <f t="shared" si="73"/>
        <v>KZN226</v>
      </c>
      <c r="D2316" s="2">
        <v>698</v>
      </c>
      <c r="F2316" s="625"/>
      <c r="G2316" s="625"/>
      <c r="H2316" s="625"/>
      <c r="I2316" s="625"/>
      <c r="J2316" s="625"/>
      <c r="K2316" s="625"/>
      <c r="L2316" s="627"/>
      <c r="M2316" s="627"/>
      <c r="N2316" s="627"/>
      <c r="O2316" s="627"/>
      <c r="P2316" s="627"/>
      <c r="W2316" t="s">
        <v>2047</v>
      </c>
    </row>
    <row r="2317" spans="1:23" ht="13.15" customHeight="1" x14ac:dyDescent="0.2">
      <c r="A2317" s="2" t="s">
        <v>2200</v>
      </c>
      <c r="B2317" s="2">
        <f t="shared" si="72"/>
        <v>2022</v>
      </c>
      <c r="C2317" s="2" t="str">
        <f t="shared" si="73"/>
        <v>KZN226</v>
      </c>
      <c r="D2317" s="2">
        <v>699</v>
      </c>
      <c r="F2317" s="625"/>
      <c r="G2317" s="625"/>
      <c r="H2317" s="625"/>
      <c r="I2317" s="625"/>
      <c r="J2317" s="625"/>
      <c r="K2317" s="625"/>
      <c r="L2317" s="627"/>
      <c r="M2317" s="627"/>
      <c r="N2317" s="627"/>
      <c r="O2317" s="627"/>
      <c r="P2317" s="627"/>
      <c r="W2317" t="s">
        <v>2047</v>
      </c>
    </row>
    <row r="2318" spans="1:23" ht="13.15" customHeight="1" x14ac:dyDescent="0.2">
      <c r="A2318" s="2" t="s">
        <v>2200</v>
      </c>
      <c r="B2318" s="2">
        <f t="shared" si="72"/>
        <v>2022</v>
      </c>
      <c r="C2318" s="2" t="str">
        <f t="shared" si="73"/>
        <v>KZN226</v>
      </c>
      <c r="D2318" s="2">
        <v>700</v>
      </c>
      <c r="F2318" s="625"/>
      <c r="G2318" s="625"/>
      <c r="H2318" s="625"/>
      <c r="I2318" s="625"/>
      <c r="J2318" s="625"/>
      <c r="K2318" s="625"/>
      <c r="L2318" s="627"/>
      <c r="M2318" s="627"/>
      <c r="N2318" s="627"/>
      <c r="O2318" s="627"/>
      <c r="P2318" s="627"/>
      <c r="W2318" t="s">
        <v>2047</v>
      </c>
    </row>
    <row r="2319" spans="1:23" ht="13.15" customHeight="1" x14ac:dyDescent="0.2">
      <c r="A2319" s="2" t="s">
        <v>2200</v>
      </c>
      <c r="B2319" s="2">
        <f t="shared" si="72"/>
        <v>2022</v>
      </c>
      <c r="C2319" s="2" t="str">
        <f t="shared" si="73"/>
        <v>KZN226</v>
      </c>
      <c r="D2319" s="2">
        <v>701</v>
      </c>
      <c r="F2319" s="625"/>
      <c r="G2319" s="625"/>
      <c r="H2319" s="625"/>
      <c r="I2319" s="625"/>
      <c r="J2319" s="625"/>
      <c r="K2319" s="625"/>
      <c r="L2319" s="627"/>
      <c r="M2319" s="627"/>
      <c r="N2319" s="627"/>
      <c r="O2319" s="627"/>
      <c r="P2319" s="627"/>
      <c r="W2319" t="s">
        <v>2047</v>
      </c>
    </row>
    <row r="2320" spans="1:23" ht="13.15" customHeight="1" x14ac:dyDescent="0.2">
      <c r="A2320" s="2" t="s">
        <v>2200</v>
      </c>
      <c r="B2320" s="2">
        <f t="shared" si="72"/>
        <v>2022</v>
      </c>
      <c r="C2320" s="2" t="str">
        <f t="shared" si="73"/>
        <v>KZN226</v>
      </c>
      <c r="D2320" s="2">
        <v>702</v>
      </c>
      <c r="F2320" s="625"/>
      <c r="G2320" s="625"/>
      <c r="H2320" s="625"/>
      <c r="I2320" s="625"/>
      <c r="J2320" s="625"/>
      <c r="K2320" s="625"/>
      <c r="L2320" s="627"/>
      <c r="M2320" s="627"/>
      <c r="N2320" s="627"/>
      <c r="O2320" s="627"/>
      <c r="P2320" s="627"/>
      <c r="W2320" t="s">
        <v>2047</v>
      </c>
    </row>
    <row r="2321" spans="1:23" ht="13.15" customHeight="1" x14ac:dyDescent="0.2">
      <c r="A2321" s="2" t="s">
        <v>2200</v>
      </c>
      <c r="B2321" s="2">
        <f t="shared" si="72"/>
        <v>2022</v>
      </c>
      <c r="C2321" s="2" t="str">
        <f t="shared" si="73"/>
        <v>KZN226</v>
      </c>
      <c r="D2321" s="2">
        <v>703</v>
      </c>
      <c r="F2321" s="625"/>
      <c r="G2321" s="625"/>
      <c r="H2321" s="625"/>
      <c r="I2321" s="625"/>
      <c r="J2321" s="625"/>
      <c r="K2321" s="625"/>
      <c r="L2321" s="627"/>
      <c r="M2321" s="627"/>
      <c r="N2321" s="627"/>
      <c r="O2321" s="627"/>
      <c r="P2321" s="627"/>
      <c r="W2321" t="s">
        <v>2047</v>
      </c>
    </row>
    <row r="2322" spans="1:23" ht="13.15" customHeight="1" x14ac:dyDescent="0.2">
      <c r="A2322" s="2" t="s">
        <v>2200</v>
      </c>
      <c r="B2322" s="2">
        <f t="shared" si="72"/>
        <v>2022</v>
      </c>
      <c r="C2322" s="2" t="str">
        <f t="shared" si="73"/>
        <v>KZN226</v>
      </c>
      <c r="D2322" s="2">
        <v>704</v>
      </c>
      <c r="F2322" s="625"/>
      <c r="G2322" s="625"/>
      <c r="H2322" s="625"/>
      <c r="I2322" s="625"/>
      <c r="J2322" s="625"/>
      <c r="K2322" s="625"/>
      <c r="L2322" s="627"/>
      <c r="M2322" s="627"/>
      <c r="N2322" s="627"/>
      <c r="O2322" s="627"/>
      <c r="P2322" s="627"/>
      <c r="W2322" t="s">
        <v>2047</v>
      </c>
    </row>
    <row r="2323" spans="1:23" ht="13.15" customHeight="1" x14ac:dyDescent="0.2">
      <c r="A2323" s="2" t="s">
        <v>2200</v>
      </c>
      <c r="B2323" s="2">
        <f t="shared" si="72"/>
        <v>2022</v>
      </c>
      <c r="C2323" s="2" t="str">
        <f t="shared" si="73"/>
        <v>KZN226</v>
      </c>
      <c r="D2323" s="2">
        <v>705</v>
      </c>
      <c r="F2323" s="625"/>
      <c r="G2323" s="625"/>
      <c r="H2323" s="625"/>
      <c r="I2323" s="625"/>
      <c r="J2323" s="625"/>
      <c r="K2323" s="625"/>
      <c r="L2323" s="627"/>
      <c r="M2323" s="627"/>
      <c r="N2323" s="627"/>
      <c r="O2323" s="627"/>
      <c r="P2323" s="627"/>
      <c r="W2323" t="s">
        <v>2047</v>
      </c>
    </row>
    <row r="2324" spans="1:23" ht="13.15" customHeight="1" x14ac:dyDescent="0.2">
      <c r="A2324" s="2" t="s">
        <v>2200</v>
      </c>
      <c r="B2324" s="2">
        <f t="shared" si="72"/>
        <v>2022</v>
      </c>
      <c r="C2324" s="2" t="str">
        <f t="shared" si="73"/>
        <v>KZN226</v>
      </c>
      <c r="D2324" s="2">
        <v>706</v>
      </c>
      <c r="F2324" s="625"/>
      <c r="G2324" s="625"/>
      <c r="H2324" s="625"/>
      <c r="I2324" s="625"/>
      <c r="J2324" s="625"/>
      <c r="K2324" s="625"/>
      <c r="L2324" s="627"/>
      <c r="M2324" s="627"/>
      <c r="N2324" s="627"/>
      <c r="O2324" s="627"/>
      <c r="P2324" s="627"/>
      <c r="W2324" t="s">
        <v>2047</v>
      </c>
    </row>
    <row r="2325" spans="1:23" ht="13.15" customHeight="1" x14ac:dyDescent="0.2">
      <c r="A2325" s="2" t="s">
        <v>2200</v>
      </c>
      <c r="B2325" s="2">
        <f t="shared" si="72"/>
        <v>2022</v>
      </c>
      <c r="C2325" s="2" t="str">
        <f t="shared" si="73"/>
        <v>KZN226</v>
      </c>
      <c r="D2325" s="2">
        <v>707</v>
      </c>
      <c r="F2325" s="625"/>
      <c r="G2325" s="625"/>
      <c r="H2325" s="625"/>
      <c r="I2325" s="625"/>
      <c r="J2325" s="625"/>
      <c r="K2325" s="625"/>
      <c r="L2325" s="627"/>
      <c r="M2325" s="627"/>
      <c r="N2325" s="627"/>
      <c r="O2325" s="627"/>
      <c r="P2325" s="627"/>
      <c r="W2325" t="s">
        <v>2047</v>
      </c>
    </row>
    <row r="2326" spans="1:23" ht="13.15" customHeight="1" x14ac:dyDescent="0.2">
      <c r="A2326" s="2" t="s">
        <v>2200</v>
      </c>
      <c r="B2326" s="2">
        <f t="shared" si="72"/>
        <v>2022</v>
      </c>
      <c r="C2326" s="2" t="str">
        <f t="shared" si="73"/>
        <v>KZN226</v>
      </c>
      <c r="D2326" s="2">
        <v>708</v>
      </c>
      <c r="F2326" s="625"/>
      <c r="G2326" s="625"/>
      <c r="H2326" s="625"/>
      <c r="I2326" s="625"/>
      <c r="J2326" s="625"/>
      <c r="K2326" s="625"/>
      <c r="L2326" s="627"/>
      <c r="M2326" s="627"/>
      <c r="N2326" s="627"/>
      <c r="O2326" s="627"/>
      <c r="P2326" s="627"/>
      <c r="W2326" t="s">
        <v>2047</v>
      </c>
    </row>
    <row r="2327" spans="1:23" ht="13.15" customHeight="1" x14ac:dyDescent="0.2">
      <c r="A2327" s="2" t="s">
        <v>2200</v>
      </c>
      <c r="B2327" s="2">
        <f t="shared" si="72"/>
        <v>2022</v>
      </c>
      <c r="C2327" s="2" t="str">
        <f t="shared" si="73"/>
        <v>KZN226</v>
      </c>
      <c r="D2327" s="2">
        <v>709</v>
      </c>
      <c r="F2327" s="625"/>
      <c r="G2327" s="625"/>
      <c r="H2327" s="625"/>
      <c r="I2327" s="625"/>
      <c r="J2327" s="625"/>
      <c r="K2327" s="625"/>
      <c r="L2327" s="627"/>
      <c r="M2327" s="627"/>
      <c r="N2327" s="627"/>
      <c r="O2327" s="627"/>
      <c r="P2327" s="627"/>
      <c r="W2327" t="s">
        <v>2047</v>
      </c>
    </row>
    <row r="2328" spans="1:23" ht="13.15" customHeight="1" x14ac:dyDescent="0.2">
      <c r="A2328" s="2" t="s">
        <v>2200</v>
      </c>
      <c r="B2328" s="2">
        <f t="shared" si="72"/>
        <v>2022</v>
      </c>
      <c r="C2328" s="2" t="str">
        <f t="shared" si="73"/>
        <v>KZN226</v>
      </c>
      <c r="D2328" s="2">
        <v>710</v>
      </c>
      <c r="F2328" s="625"/>
      <c r="G2328" s="625"/>
      <c r="H2328" s="625"/>
      <c r="I2328" s="625"/>
      <c r="J2328" s="625"/>
      <c r="K2328" s="625"/>
      <c r="L2328" s="627"/>
      <c r="M2328" s="627"/>
      <c r="N2328" s="627"/>
      <c r="O2328" s="627"/>
      <c r="P2328" s="627"/>
      <c r="W2328" t="s">
        <v>2047</v>
      </c>
    </row>
    <row r="2329" spans="1:23" ht="13.15" customHeight="1" x14ac:dyDescent="0.2">
      <c r="A2329" s="2" t="s">
        <v>2200</v>
      </c>
      <c r="B2329" s="2">
        <f t="shared" si="72"/>
        <v>2022</v>
      </c>
      <c r="C2329" s="2" t="str">
        <f t="shared" si="73"/>
        <v>KZN226</v>
      </c>
      <c r="D2329" s="2">
        <v>711</v>
      </c>
      <c r="F2329" s="625"/>
      <c r="G2329" s="625"/>
      <c r="H2329" s="625"/>
      <c r="I2329" s="625"/>
      <c r="J2329" s="625"/>
      <c r="K2329" s="625"/>
      <c r="L2329" s="627"/>
      <c r="M2329" s="627"/>
      <c r="N2329" s="627"/>
      <c r="O2329" s="627"/>
      <c r="P2329" s="627"/>
      <c r="W2329" t="s">
        <v>2047</v>
      </c>
    </row>
    <row r="2330" spans="1:23" ht="13.15" customHeight="1" x14ac:dyDescent="0.2">
      <c r="A2330" s="2" t="s">
        <v>2200</v>
      </c>
      <c r="B2330" s="2">
        <f t="shared" si="72"/>
        <v>2022</v>
      </c>
      <c r="C2330" s="2" t="str">
        <f t="shared" si="73"/>
        <v>KZN226</v>
      </c>
      <c r="D2330" s="2">
        <v>712</v>
      </c>
      <c r="F2330" s="625"/>
      <c r="G2330" s="625"/>
      <c r="H2330" s="625"/>
      <c r="I2330" s="625"/>
      <c r="J2330" s="625"/>
      <c r="K2330" s="625"/>
      <c r="L2330" s="627"/>
      <c r="M2330" s="627"/>
      <c r="N2330" s="627"/>
      <c r="O2330" s="627"/>
      <c r="P2330" s="627"/>
      <c r="W2330" t="s">
        <v>2047</v>
      </c>
    </row>
    <row r="2331" spans="1:23" ht="13.15" customHeight="1" x14ac:dyDescent="0.2">
      <c r="A2331" s="2" t="s">
        <v>2200</v>
      </c>
      <c r="B2331" s="2">
        <f t="shared" si="72"/>
        <v>2022</v>
      </c>
      <c r="C2331" s="2" t="str">
        <f t="shared" si="73"/>
        <v>KZN226</v>
      </c>
      <c r="D2331" s="2">
        <v>713</v>
      </c>
      <c r="F2331" s="625"/>
      <c r="G2331" s="625"/>
      <c r="H2331" s="625"/>
      <c r="I2331" s="625"/>
      <c r="J2331" s="625"/>
      <c r="K2331" s="625"/>
      <c r="L2331" s="627"/>
      <c r="M2331" s="627"/>
      <c r="N2331" s="627"/>
      <c r="O2331" s="627"/>
      <c r="P2331" s="627"/>
      <c r="W2331" t="s">
        <v>2047</v>
      </c>
    </row>
    <row r="2332" spans="1:23" ht="13.15" customHeight="1" x14ac:dyDescent="0.2">
      <c r="A2332" s="2" t="s">
        <v>2200</v>
      </c>
      <c r="B2332" s="2">
        <f t="shared" si="72"/>
        <v>2022</v>
      </c>
      <c r="C2332" s="2" t="str">
        <f t="shared" si="73"/>
        <v>KZN226</v>
      </c>
      <c r="D2332" s="2">
        <v>714</v>
      </c>
      <c r="F2332" s="625"/>
      <c r="G2332" s="625"/>
      <c r="H2332" s="625"/>
      <c r="I2332" s="625"/>
      <c r="J2332" s="625"/>
      <c r="K2332" s="625"/>
      <c r="L2332" s="627"/>
      <c r="M2332" s="627"/>
      <c r="N2332" s="627"/>
      <c r="O2332" s="627"/>
      <c r="P2332" s="627"/>
      <c r="W2332" t="s">
        <v>2047</v>
      </c>
    </row>
    <row r="2333" spans="1:23" ht="13.15" customHeight="1" x14ac:dyDescent="0.2">
      <c r="A2333" s="2" t="s">
        <v>2200</v>
      </c>
      <c r="B2333" s="2">
        <f t="shared" si="72"/>
        <v>2022</v>
      </c>
      <c r="C2333" s="2" t="str">
        <f t="shared" si="73"/>
        <v>KZN226</v>
      </c>
      <c r="D2333" s="2">
        <v>715</v>
      </c>
      <c r="F2333" s="625"/>
      <c r="G2333" s="625"/>
      <c r="H2333" s="625"/>
      <c r="I2333" s="625"/>
      <c r="J2333" s="625"/>
      <c r="K2333" s="625"/>
      <c r="L2333" s="627"/>
      <c r="M2333" s="627"/>
      <c r="N2333" s="627"/>
      <c r="O2333" s="627"/>
      <c r="P2333" s="627"/>
      <c r="W2333" t="s">
        <v>2047</v>
      </c>
    </row>
    <row r="2334" spans="1:23" ht="13.15" customHeight="1" x14ac:dyDescent="0.2">
      <c r="A2334" s="2" t="s">
        <v>2200</v>
      </c>
      <c r="B2334" s="2">
        <f t="shared" si="72"/>
        <v>2022</v>
      </c>
      <c r="C2334" s="2" t="str">
        <f t="shared" si="73"/>
        <v>KZN226</v>
      </c>
      <c r="D2334" s="2">
        <v>716</v>
      </c>
      <c r="F2334" s="625"/>
      <c r="G2334" s="625"/>
      <c r="H2334" s="625"/>
      <c r="I2334" s="625"/>
      <c r="J2334" s="625"/>
      <c r="K2334" s="625"/>
      <c r="L2334" s="627"/>
      <c r="M2334" s="627"/>
      <c r="N2334" s="627"/>
      <c r="O2334" s="627"/>
      <c r="P2334" s="627"/>
      <c r="W2334" t="s">
        <v>2047</v>
      </c>
    </row>
    <row r="2335" spans="1:23" ht="13.15" customHeight="1" x14ac:dyDescent="0.2">
      <c r="A2335" s="2" t="s">
        <v>2200</v>
      </c>
      <c r="B2335" s="2">
        <f t="shared" si="72"/>
        <v>2022</v>
      </c>
      <c r="C2335" s="2" t="str">
        <f t="shared" si="73"/>
        <v>KZN226</v>
      </c>
      <c r="D2335" s="2">
        <v>717</v>
      </c>
      <c r="F2335" s="625"/>
      <c r="G2335" s="625"/>
      <c r="H2335" s="625"/>
      <c r="I2335" s="625"/>
      <c r="J2335" s="625"/>
      <c r="K2335" s="625"/>
      <c r="L2335" s="627"/>
      <c r="M2335" s="627"/>
      <c r="N2335" s="627"/>
      <c r="O2335" s="627"/>
      <c r="P2335" s="627"/>
      <c r="W2335" t="s">
        <v>2047</v>
      </c>
    </row>
    <row r="2336" spans="1:23" ht="13.15" customHeight="1" x14ac:dyDescent="0.2">
      <c r="A2336" s="2" t="s">
        <v>2200</v>
      </c>
      <c r="B2336" s="2">
        <f t="shared" si="72"/>
        <v>2022</v>
      </c>
      <c r="C2336" s="2" t="str">
        <f t="shared" si="73"/>
        <v>KZN226</v>
      </c>
      <c r="D2336" s="2">
        <v>718</v>
      </c>
      <c r="F2336" s="625"/>
      <c r="G2336" s="625"/>
      <c r="H2336" s="625"/>
      <c r="I2336" s="625"/>
      <c r="J2336" s="625"/>
      <c r="K2336" s="625"/>
      <c r="L2336" s="627"/>
      <c r="M2336" s="627"/>
      <c r="N2336" s="627"/>
      <c r="O2336" s="627"/>
      <c r="P2336" s="627"/>
      <c r="W2336" t="s">
        <v>2047</v>
      </c>
    </row>
    <row r="2337" spans="1:23" ht="13.15" customHeight="1" x14ac:dyDescent="0.2">
      <c r="A2337" s="2" t="s">
        <v>2200</v>
      </c>
      <c r="B2337" s="2">
        <f t="shared" si="72"/>
        <v>2022</v>
      </c>
      <c r="C2337" s="2" t="str">
        <f t="shared" si="73"/>
        <v>KZN226</v>
      </c>
      <c r="D2337" s="2">
        <v>719</v>
      </c>
      <c r="F2337" s="625"/>
      <c r="G2337" s="625"/>
      <c r="H2337" s="625"/>
      <c r="I2337" s="625"/>
      <c r="J2337" s="625"/>
      <c r="K2337" s="625"/>
      <c r="L2337" s="627"/>
      <c r="M2337" s="627"/>
      <c r="N2337" s="627"/>
      <c r="O2337" s="627"/>
      <c r="P2337" s="627"/>
      <c r="W2337" t="s">
        <v>2047</v>
      </c>
    </row>
    <row r="2338" spans="1:23" ht="13.15" customHeight="1" x14ac:dyDescent="0.2">
      <c r="A2338" s="2" t="s">
        <v>2200</v>
      </c>
      <c r="B2338" s="2">
        <f t="shared" si="72"/>
        <v>2022</v>
      </c>
      <c r="C2338" s="2" t="str">
        <f t="shared" si="73"/>
        <v>KZN226</v>
      </c>
      <c r="D2338" s="2">
        <v>720</v>
      </c>
      <c r="F2338" s="625"/>
      <c r="G2338" s="625"/>
      <c r="H2338" s="625"/>
      <c r="I2338" s="625"/>
      <c r="J2338" s="625"/>
      <c r="K2338" s="625"/>
      <c r="L2338" s="627"/>
      <c r="M2338" s="627"/>
      <c r="N2338" s="627"/>
      <c r="O2338" s="627"/>
      <c r="P2338" s="627"/>
      <c r="W2338" t="s">
        <v>2047</v>
      </c>
    </row>
    <row r="2339" spans="1:23" ht="13.15" customHeight="1" x14ac:dyDescent="0.2">
      <c r="A2339" s="2" t="s">
        <v>2200</v>
      </c>
      <c r="B2339" s="2">
        <f t="shared" si="72"/>
        <v>2022</v>
      </c>
      <c r="C2339" s="2" t="str">
        <f t="shared" si="73"/>
        <v>KZN226</v>
      </c>
      <c r="D2339" s="2">
        <v>721</v>
      </c>
      <c r="F2339" s="625"/>
      <c r="G2339" s="625"/>
      <c r="H2339" s="625"/>
      <c r="I2339" s="625"/>
      <c r="J2339" s="625"/>
      <c r="K2339" s="625"/>
      <c r="L2339" s="627"/>
      <c r="M2339" s="627"/>
      <c r="N2339" s="627"/>
      <c r="O2339" s="627"/>
      <c r="P2339" s="627"/>
      <c r="W2339" t="s">
        <v>2047</v>
      </c>
    </row>
    <row r="2340" spans="1:23" ht="13.15" customHeight="1" x14ac:dyDescent="0.2">
      <c r="A2340" s="2" t="s">
        <v>2200</v>
      </c>
      <c r="B2340" s="2">
        <f t="shared" si="72"/>
        <v>2022</v>
      </c>
      <c r="C2340" s="2" t="str">
        <f t="shared" si="73"/>
        <v>KZN226</v>
      </c>
      <c r="D2340" s="2">
        <v>722</v>
      </c>
      <c r="F2340" s="625"/>
      <c r="G2340" s="625"/>
      <c r="H2340" s="625"/>
      <c r="I2340" s="625"/>
      <c r="J2340" s="625"/>
      <c r="K2340" s="625"/>
      <c r="L2340" s="627"/>
      <c r="M2340" s="627"/>
      <c r="N2340" s="627"/>
      <c r="O2340" s="627"/>
      <c r="P2340" s="627"/>
      <c r="W2340" t="s">
        <v>2047</v>
      </c>
    </row>
    <row r="2341" spans="1:23" ht="13.15" customHeight="1" x14ac:dyDescent="0.2">
      <c r="A2341" s="2" t="s">
        <v>2200</v>
      </c>
      <c r="B2341" s="2">
        <f t="shared" si="72"/>
        <v>2022</v>
      </c>
      <c r="C2341" s="2" t="str">
        <f t="shared" si="73"/>
        <v>KZN226</v>
      </c>
      <c r="D2341" s="2">
        <v>723</v>
      </c>
      <c r="F2341" s="625"/>
      <c r="G2341" s="625"/>
      <c r="H2341" s="625"/>
      <c r="I2341" s="625"/>
      <c r="J2341" s="625"/>
      <c r="K2341" s="625"/>
      <c r="L2341" s="627"/>
      <c r="M2341" s="627"/>
      <c r="N2341" s="627"/>
      <c r="O2341" s="627"/>
      <c r="P2341" s="627"/>
      <c r="W2341" t="s">
        <v>2047</v>
      </c>
    </row>
    <row r="2342" spans="1:23" ht="13.15" customHeight="1" x14ac:dyDescent="0.2">
      <c r="A2342" s="2" t="s">
        <v>2200</v>
      </c>
      <c r="B2342" s="2">
        <f t="shared" si="72"/>
        <v>2022</v>
      </c>
      <c r="C2342" s="2" t="str">
        <f t="shared" si="73"/>
        <v>KZN226</v>
      </c>
      <c r="D2342" s="2">
        <v>724</v>
      </c>
      <c r="F2342" s="625"/>
      <c r="G2342" s="625"/>
      <c r="H2342" s="625"/>
      <c r="I2342" s="625"/>
      <c r="J2342" s="625"/>
      <c r="K2342" s="625"/>
      <c r="L2342" s="627"/>
      <c r="M2342" s="627"/>
      <c r="N2342" s="627"/>
      <c r="O2342" s="627"/>
      <c r="P2342" s="627"/>
      <c r="W2342" t="s">
        <v>2047</v>
      </c>
    </row>
    <row r="2343" spans="1:23" ht="13.15" customHeight="1" x14ac:dyDescent="0.2">
      <c r="A2343" s="2" t="s">
        <v>2200</v>
      </c>
      <c r="B2343" s="2">
        <f t="shared" si="72"/>
        <v>2022</v>
      </c>
      <c r="C2343" s="2" t="str">
        <f t="shared" si="73"/>
        <v>KZN226</v>
      </c>
      <c r="D2343" s="2">
        <v>725</v>
      </c>
      <c r="F2343" s="625"/>
      <c r="G2343" s="625"/>
      <c r="H2343" s="625"/>
      <c r="I2343" s="625"/>
      <c r="J2343" s="625"/>
      <c r="K2343" s="625"/>
      <c r="L2343" s="627"/>
      <c r="M2343" s="627"/>
      <c r="N2343" s="627"/>
      <c r="O2343" s="627"/>
      <c r="P2343" s="627"/>
      <c r="W2343" t="s">
        <v>2047</v>
      </c>
    </row>
    <row r="2344" spans="1:23" ht="13.15" customHeight="1" x14ac:dyDescent="0.2">
      <c r="A2344" s="2" t="s">
        <v>2200</v>
      </c>
      <c r="B2344" s="2">
        <f t="shared" si="72"/>
        <v>2022</v>
      </c>
      <c r="C2344" s="2" t="str">
        <f t="shared" si="73"/>
        <v>KZN226</v>
      </c>
      <c r="D2344" s="2">
        <v>726</v>
      </c>
      <c r="F2344" s="625"/>
      <c r="G2344" s="625"/>
      <c r="H2344" s="625"/>
      <c r="I2344" s="625"/>
      <c r="J2344" s="625"/>
      <c r="K2344" s="625"/>
      <c r="L2344" s="627"/>
      <c r="M2344" s="627"/>
      <c r="N2344" s="627"/>
      <c r="O2344" s="627"/>
      <c r="P2344" s="627"/>
      <c r="W2344" t="s">
        <v>2047</v>
      </c>
    </row>
    <row r="2345" spans="1:23" ht="13.15" customHeight="1" x14ac:dyDescent="0.2">
      <c r="A2345" s="2" t="s">
        <v>2200</v>
      </c>
      <c r="B2345" s="2">
        <f t="shared" si="72"/>
        <v>2022</v>
      </c>
      <c r="C2345" s="2" t="str">
        <f t="shared" si="73"/>
        <v>KZN226</v>
      </c>
      <c r="D2345" s="2">
        <v>727</v>
      </c>
      <c r="F2345" s="625"/>
      <c r="G2345" s="625"/>
      <c r="H2345" s="625"/>
      <c r="I2345" s="625"/>
      <c r="J2345" s="625"/>
      <c r="K2345" s="625"/>
      <c r="L2345" s="627"/>
      <c r="M2345" s="627"/>
      <c r="N2345" s="627"/>
      <c r="O2345" s="627"/>
      <c r="P2345" s="627"/>
      <c r="W2345" t="s">
        <v>2047</v>
      </c>
    </row>
    <row r="2346" spans="1:23" ht="13.15" customHeight="1" x14ac:dyDescent="0.2">
      <c r="A2346" s="2" t="s">
        <v>2200</v>
      </c>
      <c r="B2346" s="2">
        <f t="shared" si="72"/>
        <v>2022</v>
      </c>
      <c r="C2346" s="2" t="str">
        <f t="shared" si="73"/>
        <v>KZN226</v>
      </c>
      <c r="D2346" s="2">
        <v>728</v>
      </c>
      <c r="F2346" s="625"/>
      <c r="G2346" s="625"/>
      <c r="H2346" s="625"/>
      <c r="I2346" s="625"/>
      <c r="J2346" s="625"/>
      <c r="K2346" s="625"/>
      <c r="L2346" s="627"/>
      <c r="M2346" s="627"/>
      <c r="N2346" s="627"/>
      <c r="O2346" s="627"/>
      <c r="P2346" s="627"/>
      <c r="W2346" t="s">
        <v>2047</v>
      </c>
    </row>
    <row r="2347" spans="1:23" ht="13.15" customHeight="1" x14ac:dyDescent="0.2">
      <c r="A2347" s="2" t="s">
        <v>2200</v>
      </c>
      <c r="B2347" s="2">
        <f t="shared" si="72"/>
        <v>2022</v>
      </c>
      <c r="C2347" s="2" t="str">
        <f t="shared" si="73"/>
        <v>KZN226</v>
      </c>
      <c r="D2347" s="2">
        <v>729</v>
      </c>
      <c r="F2347" s="625"/>
      <c r="G2347" s="625"/>
      <c r="H2347" s="625"/>
      <c r="I2347" s="625"/>
      <c r="J2347" s="625"/>
      <c r="K2347" s="625"/>
      <c r="L2347" s="627"/>
      <c r="M2347" s="627"/>
      <c r="N2347" s="627"/>
      <c r="O2347" s="627"/>
      <c r="P2347" s="627"/>
      <c r="W2347" t="s">
        <v>2047</v>
      </c>
    </row>
    <row r="2348" spans="1:23" ht="13.15" customHeight="1" x14ac:dyDescent="0.2">
      <c r="A2348" s="2" t="s">
        <v>2200</v>
      </c>
      <c r="B2348" s="2">
        <f t="shared" si="72"/>
        <v>2022</v>
      </c>
      <c r="C2348" s="2" t="str">
        <f t="shared" si="73"/>
        <v>KZN226</v>
      </c>
      <c r="D2348" s="2">
        <v>730</v>
      </c>
      <c r="F2348" s="625"/>
      <c r="G2348" s="625"/>
      <c r="H2348" s="625"/>
      <c r="I2348" s="625"/>
      <c r="J2348" s="625"/>
      <c r="K2348" s="625"/>
      <c r="L2348" s="627"/>
      <c r="M2348" s="627"/>
      <c r="N2348" s="627"/>
      <c r="O2348" s="627"/>
      <c r="P2348" s="627"/>
      <c r="W2348" t="s">
        <v>2047</v>
      </c>
    </row>
    <row r="2349" spans="1:23" ht="13.15" customHeight="1" x14ac:dyDescent="0.2">
      <c r="A2349" s="2" t="s">
        <v>2200</v>
      </c>
      <c r="B2349" s="2">
        <f t="shared" si="72"/>
        <v>2022</v>
      </c>
      <c r="C2349" s="2" t="str">
        <f t="shared" si="73"/>
        <v>KZN226</v>
      </c>
      <c r="D2349" s="2">
        <v>731</v>
      </c>
      <c r="F2349" s="625"/>
      <c r="G2349" s="625"/>
      <c r="H2349" s="625"/>
      <c r="I2349" s="625"/>
      <c r="J2349" s="625"/>
      <c r="K2349" s="625"/>
      <c r="L2349" s="627"/>
      <c r="M2349" s="627"/>
      <c r="N2349" s="627"/>
      <c r="O2349" s="627"/>
      <c r="P2349" s="627"/>
      <c r="W2349" t="s">
        <v>2047</v>
      </c>
    </row>
    <row r="2350" spans="1:23" ht="13.15" customHeight="1" x14ac:dyDescent="0.2">
      <c r="A2350" s="2" t="s">
        <v>2200</v>
      </c>
      <c r="B2350" s="2">
        <f t="shared" si="72"/>
        <v>2022</v>
      </c>
      <c r="C2350" s="2" t="str">
        <f t="shared" si="73"/>
        <v>KZN226</v>
      </c>
      <c r="D2350" s="2">
        <v>732</v>
      </c>
      <c r="F2350" s="625"/>
      <c r="G2350" s="625"/>
      <c r="H2350" s="625"/>
      <c r="I2350" s="625"/>
      <c r="J2350" s="625"/>
      <c r="K2350" s="625"/>
      <c r="L2350" s="627"/>
      <c r="M2350" s="627"/>
      <c r="N2350" s="627"/>
      <c r="O2350" s="627"/>
      <c r="P2350" s="627"/>
      <c r="W2350" t="s">
        <v>2047</v>
      </c>
    </row>
    <row r="2351" spans="1:23" ht="13.15" customHeight="1" x14ac:dyDescent="0.2">
      <c r="A2351" s="2" t="s">
        <v>2200</v>
      </c>
      <c r="B2351" s="2">
        <f t="shared" si="72"/>
        <v>2022</v>
      </c>
      <c r="C2351" s="2" t="str">
        <f t="shared" si="73"/>
        <v>KZN226</v>
      </c>
      <c r="D2351" s="2">
        <v>733</v>
      </c>
      <c r="F2351" s="625"/>
      <c r="G2351" s="625"/>
      <c r="H2351" s="625"/>
      <c r="I2351" s="625"/>
      <c r="J2351" s="625"/>
      <c r="K2351" s="625"/>
      <c r="L2351" s="627"/>
      <c r="M2351" s="627"/>
      <c r="N2351" s="627"/>
      <c r="O2351" s="627"/>
      <c r="P2351" s="627"/>
      <c r="W2351" t="s">
        <v>2047</v>
      </c>
    </row>
    <row r="2352" spans="1:23" ht="13.15" customHeight="1" x14ac:dyDescent="0.2">
      <c r="A2352" s="2" t="s">
        <v>2200</v>
      </c>
      <c r="B2352" s="2">
        <f t="shared" si="72"/>
        <v>2022</v>
      </c>
      <c r="C2352" s="2" t="str">
        <f t="shared" si="73"/>
        <v>KZN226</v>
      </c>
      <c r="D2352" s="2">
        <v>734</v>
      </c>
      <c r="F2352" s="625"/>
      <c r="G2352" s="625"/>
      <c r="H2352" s="625"/>
      <c r="I2352" s="625"/>
      <c r="J2352" s="625"/>
      <c r="K2352" s="625"/>
      <c r="L2352" s="627"/>
      <c r="M2352" s="627"/>
      <c r="N2352" s="627"/>
      <c r="O2352" s="627"/>
      <c r="P2352" s="627"/>
      <c r="W2352" t="s">
        <v>2047</v>
      </c>
    </row>
    <row r="2353" spans="1:23" ht="13.15" customHeight="1" x14ac:dyDescent="0.2">
      <c r="A2353" s="2" t="s">
        <v>2200</v>
      </c>
      <c r="B2353" s="2">
        <f t="shared" si="72"/>
        <v>2022</v>
      </c>
      <c r="C2353" s="2" t="str">
        <f t="shared" si="73"/>
        <v>KZN226</v>
      </c>
      <c r="D2353" s="2">
        <v>735</v>
      </c>
      <c r="F2353" s="625"/>
      <c r="G2353" s="625"/>
      <c r="H2353" s="625"/>
      <c r="I2353" s="625"/>
      <c r="J2353" s="625"/>
      <c r="K2353" s="625"/>
      <c r="L2353" s="627"/>
      <c r="M2353" s="627"/>
      <c r="N2353" s="627"/>
      <c r="O2353" s="627"/>
      <c r="P2353" s="627"/>
      <c r="W2353" t="s">
        <v>2047</v>
      </c>
    </row>
    <row r="2354" spans="1:23" ht="13.15" customHeight="1" x14ac:dyDescent="0.2">
      <c r="A2354" s="2" t="s">
        <v>2200</v>
      </c>
      <c r="B2354" s="2">
        <f t="shared" si="72"/>
        <v>2022</v>
      </c>
      <c r="C2354" s="2" t="str">
        <f t="shared" si="73"/>
        <v>KZN226</v>
      </c>
      <c r="D2354" s="2">
        <v>736</v>
      </c>
      <c r="F2354" s="625"/>
      <c r="G2354" s="625"/>
      <c r="H2354" s="625"/>
      <c r="I2354" s="625"/>
      <c r="J2354" s="625"/>
      <c r="K2354" s="625"/>
      <c r="L2354" s="627"/>
      <c r="M2354" s="627"/>
      <c r="N2354" s="627"/>
      <c r="O2354" s="627"/>
      <c r="P2354" s="627"/>
      <c r="W2354" t="s">
        <v>2047</v>
      </c>
    </row>
    <row r="2355" spans="1:23" ht="13.15" customHeight="1" x14ac:dyDescent="0.2">
      <c r="A2355" s="2" t="s">
        <v>2200</v>
      </c>
      <c r="B2355" s="2">
        <f t="shared" si="72"/>
        <v>2022</v>
      </c>
      <c r="C2355" s="2" t="str">
        <f t="shared" si="73"/>
        <v>KZN226</v>
      </c>
      <c r="D2355" s="2">
        <v>737</v>
      </c>
      <c r="F2355" s="625"/>
      <c r="G2355" s="625"/>
      <c r="H2355" s="625"/>
      <c r="I2355" s="625"/>
      <c r="J2355" s="625"/>
      <c r="K2355" s="625"/>
      <c r="L2355" s="627"/>
      <c r="M2355" s="627"/>
      <c r="N2355" s="627"/>
      <c r="O2355" s="627"/>
      <c r="P2355" s="627"/>
      <c r="W2355" t="s">
        <v>2047</v>
      </c>
    </row>
    <row r="2356" spans="1:23" ht="13.15" customHeight="1" x14ac:dyDescent="0.2">
      <c r="A2356" s="2" t="s">
        <v>2200</v>
      </c>
      <c r="B2356" s="2">
        <f t="shared" si="72"/>
        <v>2022</v>
      </c>
      <c r="C2356" s="2" t="str">
        <f t="shared" si="73"/>
        <v>KZN226</v>
      </c>
      <c r="D2356" s="2">
        <v>738</v>
      </c>
      <c r="F2356" s="625"/>
      <c r="G2356" s="625"/>
      <c r="H2356" s="625"/>
      <c r="I2356" s="625"/>
      <c r="J2356" s="625"/>
      <c r="K2356" s="625"/>
      <c r="L2356" s="627"/>
      <c r="M2356" s="627"/>
      <c r="N2356" s="627"/>
      <c r="O2356" s="627"/>
      <c r="P2356" s="627"/>
      <c r="W2356" t="s">
        <v>2047</v>
      </c>
    </row>
    <row r="2357" spans="1:23" ht="13.15" customHeight="1" x14ac:dyDescent="0.2">
      <c r="A2357" s="2" t="s">
        <v>2200</v>
      </c>
      <c r="B2357" s="2">
        <f t="shared" si="72"/>
        <v>2022</v>
      </c>
      <c r="C2357" s="2" t="str">
        <f t="shared" si="73"/>
        <v>KZN226</v>
      </c>
      <c r="D2357" s="2">
        <v>739</v>
      </c>
      <c r="F2357" s="625"/>
      <c r="G2357" s="625"/>
      <c r="H2357" s="625"/>
      <c r="I2357" s="625"/>
      <c r="J2357" s="625"/>
      <c r="K2357" s="625"/>
      <c r="L2357" s="627"/>
      <c r="M2357" s="627"/>
      <c r="N2357" s="627"/>
      <c r="O2357" s="627"/>
      <c r="P2357" s="627"/>
      <c r="W2357" t="s">
        <v>2047</v>
      </c>
    </row>
    <row r="2358" spans="1:23" ht="13.15" customHeight="1" x14ac:dyDescent="0.2">
      <c r="A2358" s="2" t="s">
        <v>2200</v>
      </c>
      <c r="B2358" s="2">
        <f t="shared" si="72"/>
        <v>2022</v>
      </c>
      <c r="C2358" s="2" t="str">
        <f t="shared" si="73"/>
        <v>KZN226</v>
      </c>
      <c r="D2358" s="2">
        <v>740</v>
      </c>
      <c r="F2358" s="625"/>
      <c r="G2358" s="625"/>
      <c r="H2358" s="625"/>
      <c r="I2358" s="625"/>
      <c r="J2358" s="625"/>
      <c r="K2358" s="625"/>
      <c r="L2358" s="627"/>
      <c r="M2358" s="627"/>
      <c r="N2358" s="627"/>
      <c r="O2358" s="627"/>
      <c r="P2358" s="627"/>
      <c r="W2358" t="s">
        <v>2047</v>
      </c>
    </row>
    <row r="2359" spans="1:23" ht="13.15" customHeight="1" x14ac:dyDescent="0.2">
      <c r="A2359" s="2" t="s">
        <v>2200</v>
      </c>
      <c r="B2359" s="2">
        <f t="shared" si="72"/>
        <v>2022</v>
      </c>
      <c r="C2359" s="2" t="str">
        <f t="shared" si="73"/>
        <v>KZN226</v>
      </c>
      <c r="D2359" s="2">
        <v>741</v>
      </c>
      <c r="F2359" s="625"/>
      <c r="G2359" s="625"/>
      <c r="H2359" s="625"/>
      <c r="I2359" s="625"/>
      <c r="J2359" s="625"/>
      <c r="K2359" s="625"/>
      <c r="L2359" s="627"/>
      <c r="M2359" s="627"/>
      <c r="N2359" s="627"/>
      <c r="O2359" s="627"/>
      <c r="P2359" s="627"/>
      <c r="W2359" t="s">
        <v>2047</v>
      </c>
    </row>
    <row r="2360" spans="1:23" ht="13.15" customHeight="1" x14ac:dyDescent="0.2">
      <c r="A2360" s="2" t="s">
        <v>2200</v>
      </c>
      <c r="B2360" s="2">
        <f t="shared" si="72"/>
        <v>2022</v>
      </c>
      <c r="C2360" s="2" t="str">
        <f t="shared" si="73"/>
        <v>KZN226</v>
      </c>
      <c r="D2360" s="2">
        <v>742</v>
      </c>
      <c r="F2360" s="625"/>
      <c r="G2360" s="625"/>
      <c r="H2360" s="625"/>
      <c r="I2360" s="625"/>
      <c r="J2360" s="625"/>
      <c r="K2360" s="625"/>
      <c r="L2360" s="627"/>
      <c r="M2360" s="627"/>
      <c r="N2360" s="627"/>
      <c r="O2360" s="627"/>
      <c r="P2360" s="627"/>
      <c r="W2360" t="s">
        <v>2047</v>
      </c>
    </row>
    <row r="2361" spans="1:23" ht="13.15" customHeight="1" x14ac:dyDescent="0.2">
      <c r="A2361" s="2" t="s">
        <v>2200</v>
      </c>
      <c r="B2361" s="2">
        <f t="shared" si="72"/>
        <v>2022</v>
      </c>
      <c r="C2361" s="2" t="str">
        <f t="shared" si="73"/>
        <v>KZN226</v>
      </c>
      <c r="D2361" s="2">
        <v>743</v>
      </c>
      <c r="F2361" s="625"/>
      <c r="G2361" s="625"/>
      <c r="H2361" s="625"/>
      <c r="I2361" s="625"/>
      <c r="J2361" s="625"/>
      <c r="K2361" s="625"/>
      <c r="L2361" s="627"/>
      <c r="M2361" s="627"/>
      <c r="N2361" s="627"/>
      <c r="O2361" s="627"/>
      <c r="P2361" s="627"/>
      <c r="W2361" t="s">
        <v>2047</v>
      </c>
    </row>
    <row r="2362" spans="1:23" ht="13.15" customHeight="1" x14ac:dyDescent="0.2">
      <c r="A2362" s="2" t="s">
        <v>2200</v>
      </c>
      <c r="B2362" s="2">
        <f t="shared" si="72"/>
        <v>2022</v>
      </c>
      <c r="C2362" s="2" t="str">
        <f t="shared" si="73"/>
        <v>KZN226</v>
      </c>
      <c r="D2362" s="2">
        <v>744</v>
      </c>
      <c r="F2362" s="625"/>
      <c r="G2362" s="625"/>
      <c r="H2362" s="625"/>
      <c r="I2362" s="625"/>
      <c r="J2362" s="625"/>
      <c r="K2362" s="625"/>
      <c r="L2362" s="627"/>
      <c r="M2362" s="627"/>
      <c r="N2362" s="627"/>
      <c r="O2362" s="627"/>
      <c r="P2362" s="627"/>
      <c r="W2362" t="s">
        <v>2047</v>
      </c>
    </row>
    <row r="2363" spans="1:23" ht="13.15" customHeight="1" x14ac:dyDescent="0.2">
      <c r="A2363" s="2" t="s">
        <v>2200</v>
      </c>
      <c r="B2363" s="2">
        <f t="shared" si="72"/>
        <v>2022</v>
      </c>
      <c r="C2363" s="2" t="str">
        <f t="shared" si="73"/>
        <v>KZN226</v>
      </c>
      <c r="D2363" s="2">
        <v>745</v>
      </c>
      <c r="F2363" s="625"/>
      <c r="G2363" s="625"/>
      <c r="H2363" s="625"/>
      <c r="I2363" s="625"/>
      <c r="J2363" s="625"/>
      <c r="K2363" s="625"/>
      <c r="L2363" s="627"/>
      <c r="M2363" s="627"/>
      <c r="N2363" s="627"/>
      <c r="O2363" s="627"/>
      <c r="P2363" s="627"/>
      <c r="W2363" t="s">
        <v>2047</v>
      </c>
    </row>
    <row r="2364" spans="1:23" ht="13.15" customHeight="1" x14ac:dyDescent="0.2">
      <c r="A2364" s="2" t="s">
        <v>2200</v>
      </c>
      <c r="B2364" s="2">
        <f t="shared" si="72"/>
        <v>2022</v>
      </c>
      <c r="C2364" s="2" t="str">
        <f t="shared" si="73"/>
        <v>KZN226</v>
      </c>
      <c r="D2364" s="2">
        <v>746</v>
      </c>
      <c r="F2364" s="625"/>
      <c r="G2364" s="625"/>
      <c r="H2364" s="625"/>
      <c r="I2364" s="625"/>
      <c r="J2364" s="625"/>
      <c r="K2364" s="625"/>
      <c r="L2364" s="627"/>
      <c r="M2364" s="627"/>
      <c r="N2364" s="627"/>
      <c r="O2364" s="627"/>
      <c r="P2364" s="627"/>
      <c r="W2364" t="s">
        <v>2047</v>
      </c>
    </row>
    <row r="2365" spans="1:23" ht="13.15" customHeight="1" x14ac:dyDescent="0.2">
      <c r="A2365" s="2" t="s">
        <v>2200</v>
      </c>
      <c r="B2365" s="2">
        <f t="shared" si="72"/>
        <v>2022</v>
      </c>
      <c r="C2365" s="2" t="str">
        <f t="shared" si="73"/>
        <v>KZN226</v>
      </c>
      <c r="D2365" s="2">
        <v>747</v>
      </c>
      <c r="F2365" s="625"/>
      <c r="G2365" s="625"/>
      <c r="H2365" s="625"/>
      <c r="I2365" s="625"/>
      <c r="J2365" s="625"/>
      <c r="K2365" s="625"/>
      <c r="L2365" s="627"/>
      <c r="M2365" s="627"/>
      <c r="N2365" s="627"/>
      <c r="O2365" s="627"/>
      <c r="P2365" s="627"/>
      <c r="W2365" t="s">
        <v>2047</v>
      </c>
    </row>
    <row r="2366" spans="1:23" ht="13.15" customHeight="1" x14ac:dyDescent="0.2">
      <c r="A2366" s="2" t="s">
        <v>2200</v>
      </c>
      <c r="B2366" s="2">
        <f t="shared" si="72"/>
        <v>2022</v>
      </c>
      <c r="C2366" s="2" t="str">
        <f t="shared" si="73"/>
        <v>KZN226</v>
      </c>
      <c r="D2366" s="2">
        <v>748</v>
      </c>
      <c r="F2366" s="625"/>
      <c r="G2366" s="625"/>
      <c r="H2366" s="625"/>
      <c r="I2366" s="625"/>
      <c r="J2366" s="625"/>
      <c r="K2366" s="625"/>
      <c r="L2366" s="627"/>
      <c r="M2366" s="627"/>
      <c r="N2366" s="627"/>
      <c r="O2366" s="627"/>
      <c r="P2366" s="627"/>
      <c r="W2366" t="s">
        <v>2047</v>
      </c>
    </row>
    <row r="2367" spans="1:23" ht="13.15" customHeight="1" x14ac:dyDescent="0.2">
      <c r="A2367" s="2" t="s">
        <v>2200</v>
      </c>
      <c r="B2367" s="2">
        <f t="shared" si="72"/>
        <v>2022</v>
      </c>
      <c r="C2367" s="2" t="str">
        <f t="shared" si="73"/>
        <v>KZN226</v>
      </c>
      <c r="D2367" s="2">
        <v>749</v>
      </c>
      <c r="F2367" s="625"/>
      <c r="G2367" s="625"/>
      <c r="H2367" s="625"/>
      <c r="I2367" s="625"/>
      <c r="J2367" s="625"/>
      <c r="K2367" s="625"/>
      <c r="L2367" s="627"/>
      <c r="M2367" s="627"/>
      <c r="N2367" s="627"/>
      <c r="O2367" s="627"/>
      <c r="P2367" s="627"/>
      <c r="W2367" t="s">
        <v>2047</v>
      </c>
    </row>
    <row r="2368" spans="1:23" ht="13.15" customHeight="1" x14ac:dyDescent="0.2">
      <c r="A2368" s="2" t="s">
        <v>2200</v>
      </c>
      <c r="B2368" s="2">
        <f t="shared" si="72"/>
        <v>2022</v>
      </c>
      <c r="C2368" s="2" t="str">
        <f t="shared" si="73"/>
        <v>KZN226</v>
      </c>
      <c r="D2368" s="2">
        <v>750</v>
      </c>
      <c r="F2368" s="625"/>
      <c r="G2368" s="625"/>
      <c r="H2368" s="625"/>
      <c r="I2368" s="625"/>
      <c r="J2368" s="625"/>
      <c r="K2368" s="625"/>
      <c r="L2368" s="627"/>
      <c r="M2368" s="627"/>
      <c r="N2368" s="627"/>
      <c r="O2368" s="627"/>
      <c r="P2368" s="627"/>
      <c r="W2368" t="s">
        <v>2047</v>
      </c>
    </row>
    <row r="2369" spans="1:23" ht="13.15" customHeight="1" x14ac:dyDescent="0.2">
      <c r="A2369" s="2" t="s">
        <v>2200</v>
      </c>
      <c r="B2369" s="2">
        <f t="shared" si="72"/>
        <v>2022</v>
      </c>
      <c r="C2369" s="2" t="str">
        <f t="shared" si="73"/>
        <v>KZN226</v>
      </c>
      <c r="D2369" s="2">
        <v>751</v>
      </c>
      <c r="F2369" s="625"/>
      <c r="G2369" s="625"/>
      <c r="H2369" s="625"/>
      <c r="I2369" s="625"/>
      <c r="J2369" s="625"/>
      <c r="K2369" s="625"/>
      <c r="L2369" s="627"/>
      <c r="M2369" s="627"/>
      <c r="N2369" s="627"/>
      <c r="O2369" s="627"/>
      <c r="P2369" s="627"/>
      <c r="W2369" t="s">
        <v>2047</v>
      </c>
    </row>
    <row r="2370" spans="1:23" ht="13.15" customHeight="1" x14ac:dyDescent="0.2">
      <c r="A2370" s="2" t="s">
        <v>2200</v>
      </c>
      <c r="B2370" s="2">
        <f t="shared" ref="B2370:B2433" si="74">+MTREF</f>
        <v>2022</v>
      </c>
      <c r="C2370" s="2" t="str">
        <f t="shared" ref="C2370:C2433" si="75">LEFT(muni,(FIND(" ",muni,1)-1))</f>
        <v>KZN226</v>
      </c>
      <c r="D2370" s="2">
        <v>752</v>
      </c>
      <c r="F2370" s="625"/>
      <c r="G2370" s="625"/>
      <c r="H2370" s="625"/>
      <c r="I2370" s="625"/>
      <c r="J2370" s="625"/>
      <c r="K2370" s="625"/>
      <c r="L2370" s="627"/>
      <c r="M2370" s="627"/>
      <c r="N2370" s="627"/>
      <c r="O2370" s="627"/>
      <c r="P2370" s="627"/>
      <c r="W2370" t="s">
        <v>2047</v>
      </c>
    </row>
    <row r="2371" spans="1:23" ht="13.15" customHeight="1" x14ac:dyDescent="0.2">
      <c r="A2371" s="2" t="s">
        <v>2200</v>
      </c>
      <c r="B2371" s="2">
        <f t="shared" si="74"/>
        <v>2022</v>
      </c>
      <c r="C2371" s="2" t="str">
        <f t="shared" si="75"/>
        <v>KZN226</v>
      </c>
      <c r="D2371" s="2">
        <v>753</v>
      </c>
      <c r="F2371" s="625"/>
      <c r="G2371" s="625"/>
      <c r="H2371" s="625"/>
      <c r="I2371" s="625"/>
      <c r="J2371" s="625"/>
      <c r="K2371" s="625"/>
      <c r="L2371" s="627"/>
      <c r="M2371" s="627"/>
      <c r="N2371" s="627"/>
      <c r="O2371" s="627"/>
      <c r="P2371" s="627"/>
      <c r="W2371" t="s">
        <v>2047</v>
      </c>
    </row>
    <row r="2372" spans="1:23" ht="13.15" customHeight="1" x14ac:dyDescent="0.2">
      <c r="A2372" s="2" t="s">
        <v>2200</v>
      </c>
      <c r="B2372" s="2">
        <f t="shared" si="74"/>
        <v>2022</v>
      </c>
      <c r="C2372" s="2" t="str">
        <f t="shared" si="75"/>
        <v>KZN226</v>
      </c>
      <c r="D2372" s="2">
        <v>754</v>
      </c>
      <c r="F2372" s="625"/>
      <c r="G2372" s="625"/>
      <c r="H2372" s="625"/>
      <c r="I2372" s="625"/>
      <c r="J2372" s="625"/>
      <c r="K2372" s="625"/>
      <c r="L2372" s="627"/>
      <c r="M2372" s="627"/>
      <c r="N2372" s="627"/>
      <c r="O2372" s="627"/>
      <c r="P2372" s="627"/>
      <c r="W2372" t="s">
        <v>2047</v>
      </c>
    </row>
    <row r="2373" spans="1:23" ht="13.15" customHeight="1" x14ac:dyDescent="0.2">
      <c r="A2373" s="2" t="s">
        <v>2200</v>
      </c>
      <c r="B2373" s="2">
        <f t="shared" si="74"/>
        <v>2022</v>
      </c>
      <c r="C2373" s="2" t="str">
        <f t="shared" si="75"/>
        <v>KZN226</v>
      </c>
      <c r="D2373" s="2">
        <v>755</v>
      </c>
      <c r="F2373" s="625"/>
      <c r="G2373" s="625"/>
      <c r="H2373" s="625"/>
      <c r="I2373" s="625"/>
      <c r="J2373" s="625"/>
      <c r="K2373" s="625"/>
      <c r="L2373" s="627"/>
      <c r="M2373" s="627"/>
      <c r="N2373" s="627"/>
      <c r="O2373" s="627"/>
      <c r="P2373" s="627"/>
      <c r="W2373" t="s">
        <v>2047</v>
      </c>
    </row>
    <row r="2374" spans="1:23" ht="13.15" customHeight="1" x14ac:dyDescent="0.2">
      <c r="A2374" s="2" t="s">
        <v>2200</v>
      </c>
      <c r="B2374" s="2">
        <f t="shared" si="74"/>
        <v>2022</v>
      </c>
      <c r="C2374" s="2" t="str">
        <f t="shared" si="75"/>
        <v>KZN226</v>
      </c>
      <c r="D2374" s="2">
        <v>756</v>
      </c>
      <c r="F2374" s="625"/>
      <c r="G2374" s="625"/>
      <c r="H2374" s="625"/>
      <c r="I2374" s="625"/>
      <c r="J2374" s="625"/>
      <c r="K2374" s="625"/>
      <c r="L2374" s="627"/>
      <c r="M2374" s="627"/>
      <c r="N2374" s="627"/>
      <c r="O2374" s="627"/>
      <c r="P2374" s="627"/>
      <c r="W2374" t="s">
        <v>2047</v>
      </c>
    </row>
    <row r="2375" spans="1:23" ht="13.15" customHeight="1" x14ac:dyDescent="0.2">
      <c r="A2375" s="2" t="s">
        <v>2200</v>
      </c>
      <c r="B2375" s="2">
        <f t="shared" si="74"/>
        <v>2022</v>
      </c>
      <c r="C2375" s="2" t="str">
        <f t="shared" si="75"/>
        <v>KZN226</v>
      </c>
      <c r="D2375" s="2">
        <v>757</v>
      </c>
      <c r="F2375" s="625"/>
      <c r="G2375" s="625"/>
      <c r="H2375" s="625"/>
      <c r="I2375" s="625"/>
      <c r="J2375" s="625"/>
      <c r="K2375" s="625"/>
      <c r="L2375" s="627"/>
      <c r="M2375" s="627"/>
      <c r="N2375" s="627"/>
      <c r="O2375" s="627"/>
      <c r="P2375" s="627"/>
      <c r="W2375" t="s">
        <v>2047</v>
      </c>
    </row>
    <row r="2376" spans="1:23" ht="13.15" customHeight="1" x14ac:dyDescent="0.2">
      <c r="A2376" s="2" t="s">
        <v>2200</v>
      </c>
      <c r="B2376" s="2">
        <f t="shared" si="74"/>
        <v>2022</v>
      </c>
      <c r="C2376" s="2" t="str">
        <f t="shared" si="75"/>
        <v>KZN226</v>
      </c>
      <c r="D2376" s="2">
        <v>758</v>
      </c>
      <c r="F2376" s="625"/>
      <c r="G2376" s="625"/>
      <c r="H2376" s="625"/>
      <c r="I2376" s="625"/>
      <c r="J2376" s="625"/>
      <c r="K2376" s="625"/>
      <c r="L2376" s="627"/>
      <c r="M2376" s="627"/>
      <c r="N2376" s="627"/>
      <c r="O2376" s="627"/>
      <c r="P2376" s="627"/>
      <c r="W2376" t="s">
        <v>2047</v>
      </c>
    </row>
    <row r="2377" spans="1:23" ht="13.15" customHeight="1" x14ac:dyDescent="0.2">
      <c r="A2377" s="2" t="s">
        <v>2200</v>
      </c>
      <c r="B2377" s="2">
        <f t="shared" si="74"/>
        <v>2022</v>
      </c>
      <c r="C2377" s="2" t="str">
        <f t="shared" si="75"/>
        <v>KZN226</v>
      </c>
      <c r="D2377" s="2">
        <v>759</v>
      </c>
      <c r="F2377" s="625"/>
      <c r="G2377" s="625"/>
      <c r="H2377" s="625"/>
      <c r="I2377" s="625"/>
      <c r="J2377" s="625"/>
      <c r="K2377" s="625"/>
      <c r="L2377" s="627"/>
      <c r="M2377" s="627"/>
      <c r="N2377" s="627"/>
      <c r="O2377" s="627"/>
      <c r="P2377" s="627"/>
      <c r="W2377" t="s">
        <v>2047</v>
      </c>
    </row>
    <row r="2378" spans="1:23" ht="13.15" customHeight="1" x14ac:dyDescent="0.2">
      <c r="A2378" s="2" t="s">
        <v>2200</v>
      </c>
      <c r="B2378" s="2">
        <f t="shared" si="74"/>
        <v>2022</v>
      </c>
      <c r="C2378" s="2" t="str">
        <f t="shared" si="75"/>
        <v>KZN226</v>
      </c>
      <c r="D2378" s="2">
        <v>760</v>
      </c>
      <c r="F2378" s="625"/>
      <c r="G2378" s="625"/>
      <c r="H2378" s="625"/>
      <c r="I2378" s="625"/>
      <c r="J2378" s="625"/>
      <c r="K2378" s="625"/>
      <c r="L2378" s="627"/>
      <c r="M2378" s="627"/>
      <c r="N2378" s="627"/>
      <c r="O2378" s="627"/>
      <c r="P2378" s="627"/>
      <c r="W2378" t="s">
        <v>2047</v>
      </c>
    </row>
    <row r="2379" spans="1:23" ht="13.15" customHeight="1" x14ac:dyDescent="0.2">
      <c r="A2379" s="2" t="s">
        <v>2200</v>
      </c>
      <c r="B2379" s="2">
        <f t="shared" si="74"/>
        <v>2022</v>
      </c>
      <c r="C2379" s="2" t="str">
        <f t="shared" si="75"/>
        <v>KZN226</v>
      </c>
      <c r="D2379" s="2">
        <v>761</v>
      </c>
      <c r="F2379" s="625"/>
      <c r="G2379" s="625"/>
      <c r="H2379" s="625"/>
      <c r="I2379" s="625"/>
      <c r="J2379" s="625"/>
      <c r="K2379" s="625"/>
      <c r="L2379" s="627"/>
      <c r="M2379" s="627"/>
      <c r="N2379" s="627"/>
      <c r="O2379" s="627"/>
      <c r="P2379" s="627"/>
      <c r="W2379" t="s">
        <v>2047</v>
      </c>
    </row>
    <row r="2380" spans="1:23" ht="13.15" customHeight="1" x14ac:dyDescent="0.2">
      <c r="A2380" s="2" t="s">
        <v>2200</v>
      </c>
      <c r="B2380" s="2">
        <f t="shared" si="74"/>
        <v>2022</v>
      </c>
      <c r="C2380" s="2" t="str">
        <f t="shared" si="75"/>
        <v>KZN226</v>
      </c>
      <c r="D2380" s="2">
        <v>762</v>
      </c>
      <c r="F2380" s="625"/>
      <c r="G2380" s="625"/>
      <c r="H2380" s="625"/>
      <c r="I2380" s="625"/>
      <c r="J2380" s="625"/>
      <c r="K2380" s="625"/>
      <c r="L2380" s="627"/>
      <c r="M2380" s="627"/>
      <c r="N2380" s="627"/>
      <c r="O2380" s="627"/>
      <c r="P2380" s="627"/>
      <c r="W2380" t="s">
        <v>2047</v>
      </c>
    </row>
    <row r="2381" spans="1:23" ht="13.15" customHeight="1" x14ac:dyDescent="0.2">
      <c r="A2381" s="2" t="s">
        <v>2200</v>
      </c>
      <c r="B2381" s="2">
        <f t="shared" si="74"/>
        <v>2022</v>
      </c>
      <c r="C2381" s="2" t="str">
        <f t="shared" si="75"/>
        <v>KZN226</v>
      </c>
      <c r="D2381" s="2">
        <v>763</v>
      </c>
      <c r="F2381" s="625"/>
      <c r="G2381" s="625"/>
      <c r="H2381" s="625"/>
      <c r="I2381" s="625"/>
      <c r="J2381" s="625"/>
      <c r="K2381" s="625"/>
      <c r="L2381" s="627"/>
      <c r="M2381" s="627"/>
      <c r="N2381" s="627"/>
      <c r="O2381" s="627"/>
      <c r="P2381" s="627"/>
      <c r="W2381" t="s">
        <v>2047</v>
      </c>
    </row>
    <row r="2382" spans="1:23" ht="13.15" customHeight="1" x14ac:dyDescent="0.2">
      <c r="A2382" s="2" t="s">
        <v>2200</v>
      </c>
      <c r="B2382" s="2">
        <f t="shared" si="74"/>
        <v>2022</v>
      </c>
      <c r="C2382" s="2" t="str">
        <f t="shared" si="75"/>
        <v>KZN226</v>
      </c>
      <c r="D2382" s="2">
        <v>764</v>
      </c>
      <c r="F2382" s="625"/>
      <c r="G2382" s="625"/>
      <c r="H2382" s="625"/>
      <c r="I2382" s="625"/>
      <c r="J2382" s="625"/>
      <c r="K2382" s="625"/>
      <c r="L2382" s="627"/>
      <c r="M2382" s="627"/>
      <c r="N2382" s="627"/>
      <c r="O2382" s="627"/>
      <c r="P2382" s="627"/>
      <c r="W2382" t="s">
        <v>2047</v>
      </c>
    </row>
    <row r="2383" spans="1:23" ht="13.15" customHeight="1" x14ac:dyDescent="0.2">
      <c r="A2383" s="2" t="s">
        <v>2200</v>
      </c>
      <c r="B2383" s="2">
        <f t="shared" si="74"/>
        <v>2022</v>
      </c>
      <c r="C2383" s="2" t="str">
        <f t="shared" si="75"/>
        <v>KZN226</v>
      </c>
      <c r="D2383" s="2">
        <v>765</v>
      </c>
      <c r="F2383" s="625"/>
      <c r="G2383" s="625"/>
      <c r="H2383" s="625"/>
      <c r="I2383" s="625"/>
      <c r="J2383" s="625"/>
      <c r="K2383" s="625"/>
      <c r="L2383" s="627"/>
      <c r="M2383" s="627"/>
      <c r="N2383" s="627"/>
      <c r="O2383" s="627"/>
      <c r="P2383" s="627"/>
      <c r="W2383" t="s">
        <v>2047</v>
      </c>
    </row>
    <row r="2384" spans="1:23" ht="13.15" customHeight="1" x14ac:dyDescent="0.2">
      <c r="A2384" s="2" t="s">
        <v>2200</v>
      </c>
      <c r="B2384" s="2">
        <f t="shared" si="74"/>
        <v>2022</v>
      </c>
      <c r="C2384" s="2" t="str">
        <f t="shared" si="75"/>
        <v>KZN226</v>
      </c>
      <c r="D2384" s="2">
        <v>766</v>
      </c>
      <c r="F2384" s="625"/>
      <c r="G2384" s="625"/>
      <c r="H2384" s="625"/>
      <c r="I2384" s="625"/>
      <c r="J2384" s="625"/>
      <c r="K2384" s="625"/>
      <c r="L2384" s="627"/>
      <c r="M2384" s="627"/>
      <c r="N2384" s="627"/>
      <c r="O2384" s="627"/>
      <c r="P2384" s="627"/>
      <c r="W2384" t="s">
        <v>2047</v>
      </c>
    </row>
    <row r="2385" spans="1:23" ht="13.15" customHeight="1" x14ac:dyDescent="0.2">
      <c r="A2385" s="2" t="s">
        <v>2200</v>
      </c>
      <c r="B2385" s="2">
        <f t="shared" si="74"/>
        <v>2022</v>
      </c>
      <c r="C2385" s="2" t="str">
        <f t="shared" si="75"/>
        <v>KZN226</v>
      </c>
      <c r="D2385" s="2">
        <v>767</v>
      </c>
      <c r="F2385" s="625"/>
      <c r="G2385" s="625"/>
      <c r="H2385" s="625"/>
      <c r="I2385" s="625"/>
      <c r="J2385" s="625"/>
      <c r="K2385" s="625"/>
      <c r="L2385" s="627"/>
      <c r="M2385" s="627"/>
      <c r="N2385" s="627"/>
      <c r="O2385" s="627"/>
      <c r="P2385" s="627"/>
      <c r="W2385" t="s">
        <v>2047</v>
      </c>
    </row>
    <row r="2386" spans="1:23" ht="13.15" customHeight="1" x14ac:dyDescent="0.2">
      <c r="A2386" s="2" t="s">
        <v>2200</v>
      </c>
      <c r="B2386" s="2">
        <f t="shared" si="74"/>
        <v>2022</v>
      </c>
      <c r="C2386" s="2" t="str">
        <f t="shared" si="75"/>
        <v>KZN226</v>
      </c>
      <c r="D2386" s="2">
        <v>768</v>
      </c>
      <c r="F2386" s="625"/>
      <c r="G2386" s="625"/>
      <c r="H2386" s="625"/>
      <c r="I2386" s="625"/>
      <c r="J2386" s="625"/>
      <c r="K2386" s="625"/>
      <c r="L2386" s="627"/>
      <c r="M2386" s="627"/>
      <c r="N2386" s="627"/>
      <c r="O2386" s="627"/>
      <c r="P2386" s="627"/>
      <c r="W2386" t="s">
        <v>2047</v>
      </c>
    </row>
    <row r="2387" spans="1:23" ht="13.15" customHeight="1" x14ac:dyDescent="0.2">
      <c r="A2387" s="2" t="s">
        <v>2200</v>
      </c>
      <c r="B2387" s="2">
        <f t="shared" si="74"/>
        <v>2022</v>
      </c>
      <c r="C2387" s="2" t="str">
        <f t="shared" si="75"/>
        <v>KZN226</v>
      </c>
      <c r="D2387" s="2">
        <v>769</v>
      </c>
      <c r="F2387" s="625"/>
      <c r="G2387" s="625"/>
      <c r="H2387" s="625"/>
      <c r="I2387" s="625"/>
      <c r="J2387" s="625"/>
      <c r="K2387" s="625"/>
      <c r="L2387" s="627"/>
      <c r="M2387" s="627"/>
      <c r="N2387" s="627"/>
      <c r="O2387" s="627"/>
      <c r="P2387" s="627"/>
      <c r="W2387" t="s">
        <v>2047</v>
      </c>
    </row>
    <row r="2388" spans="1:23" ht="13.15" customHeight="1" x14ac:dyDescent="0.2">
      <c r="A2388" s="2" t="s">
        <v>2200</v>
      </c>
      <c r="B2388" s="2">
        <f t="shared" si="74"/>
        <v>2022</v>
      </c>
      <c r="C2388" s="2" t="str">
        <f t="shared" si="75"/>
        <v>KZN226</v>
      </c>
      <c r="D2388" s="2">
        <v>770</v>
      </c>
      <c r="F2388" s="625"/>
      <c r="G2388" s="625"/>
      <c r="H2388" s="625"/>
      <c r="I2388" s="625"/>
      <c r="J2388" s="625"/>
      <c r="K2388" s="625"/>
      <c r="L2388" s="627"/>
      <c r="M2388" s="627"/>
      <c r="N2388" s="627"/>
      <c r="O2388" s="627"/>
      <c r="P2388" s="627"/>
      <c r="W2388" t="s">
        <v>2047</v>
      </c>
    </row>
    <row r="2389" spans="1:23" ht="13.15" customHeight="1" x14ac:dyDescent="0.2">
      <c r="A2389" s="2" t="s">
        <v>2200</v>
      </c>
      <c r="B2389" s="2">
        <f t="shared" si="74"/>
        <v>2022</v>
      </c>
      <c r="C2389" s="2" t="str">
        <f t="shared" si="75"/>
        <v>KZN226</v>
      </c>
      <c r="D2389" s="2">
        <v>771</v>
      </c>
      <c r="F2389" s="625"/>
      <c r="G2389" s="625"/>
      <c r="H2389" s="625"/>
      <c r="I2389" s="625"/>
      <c r="J2389" s="625"/>
      <c r="K2389" s="625"/>
      <c r="L2389" s="627"/>
      <c r="M2389" s="627"/>
      <c r="N2389" s="627"/>
      <c r="O2389" s="627"/>
      <c r="P2389" s="627"/>
      <c r="W2389" t="s">
        <v>2047</v>
      </c>
    </row>
    <row r="2390" spans="1:23" ht="13.15" customHeight="1" x14ac:dyDescent="0.2">
      <c r="A2390" s="2" t="s">
        <v>2200</v>
      </c>
      <c r="B2390" s="2">
        <f t="shared" si="74"/>
        <v>2022</v>
      </c>
      <c r="C2390" s="2" t="str">
        <f t="shared" si="75"/>
        <v>KZN226</v>
      </c>
      <c r="D2390" s="2">
        <v>772</v>
      </c>
      <c r="F2390" s="625"/>
      <c r="G2390" s="625"/>
      <c r="H2390" s="625"/>
      <c r="I2390" s="625"/>
      <c r="J2390" s="625"/>
      <c r="K2390" s="625"/>
      <c r="L2390" s="627"/>
      <c r="M2390" s="627"/>
      <c r="N2390" s="627"/>
      <c r="O2390" s="627"/>
      <c r="P2390" s="627"/>
      <c r="W2390" t="s">
        <v>2047</v>
      </c>
    </row>
    <row r="2391" spans="1:23" ht="13.15" customHeight="1" x14ac:dyDescent="0.2">
      <c r="A2391" s="2" t="s">
        <v>2200</v>
      </c>
      <c r="B2391" s="2">
        <f t="shared" si="74"/>
        <v>2022</v>
      </c>
      <c r="C2391" s="2" t="str">
        <f t="shared" si="75"/>
        <v>KZN226</v>
      </c>
      <c r="D2391" s="2">
        <v>773</v>
      </c>
      <c r="F2391" s="625"/>
      <c r="G2391" s="625"/>
      <c r="H2391" s="625"/>
      <c r="I2391" s="625"/>
      <c r="J2391" s="625"/>
      <c r="K2391" s="625"/>
      <c r="L2391" s="627"/>
      <c r="M2391" s="627"/>
      <c r="N2391" s="627"/>
      <c r="O2391" s="627"/>
      <c r="P2391" s="627"/>
      <c r="W2391" t="s">
        <v>2047</v>
      </c>
    </row>
    <row r="2392" spans="1:23" ht="13.15" customHeight="1" x14ac:dyDescent="0.2">
      <c r="A2392" s="2" t="s">
        <v>2200</v>
      </c>
      <c r="B2392" s="2">
        <f t="shared" si="74"/>
        <v>2022</v>
      </c>
      <c r="C2392" s="2" t="str">
        <f t="shared" si="75"/>
        <v>KZN226</v>
      </c>
      <c r="D2392" s="2">
        <v>774</v>
      </c>
      <c r="F2392" s="625"/>
      <c r="G2392" s="625"/>
      <c r="H2392" s="625"/>
      <c r="I2392" s="625"/>
      <c r="J2392" s="625"/>
      <c r="K2392" s="625"/>
      <c r="L2392" s="627"/>
      <c r="M2392" s="627"/>
      <c r="N2392" s="627"/>
      <c r="O2392" s="627"/>
      <c r="P2392" s="627"/>
      <c r="W2392" t="s">
        <v>2047</v>
      </c>
    </row>
    <row r="2393" spans="1:23" ht="13.15" customHeight="1" x14ac:dyDescent="0.2">
      <c r="A2393" s="2" t="s">
        <v>2200</v>
      </c>
      <c r="B2393" s="2">
        <f t="shared" si="74"/>
        <v>2022</v>
      </c>
      <c r="C2393" s="2" t="str">
        <f t="shared" si="75"/>
        <v>KZN226</v>
      </c>
      <c r="D2393" s="2">
        <v>775</v>
      </c>
      <c r="F2393" s="625"/>
      <c r="G2393" s="625"/>
      <c r="H2393" s="625"/>
      <c r="I2393" s="625"/>
      <c r="J2393" s="625"/>
      <c r="K2393" s="625"/>
      <c r="L2393" s="627"/>
      <c r="M2393" s="627"/>
      <c r="N2393" s="627"/>
      <c r="O2393" s="627"/>
      <c r="P2393" s="627"/>
      <c r="W2393" t="s">
        <v>2047</v>
      </c>
    </row>
    <row r="2394" spans="1:23" ht="13.15" customHeight="1" x14ac:dyDescent="0.2">
      <c r="A2394" s="2" t="s">
        <v>2200</v>
      </c>
      <c r="B2394" s="2">
        <f t="shared" si="74"/>
        <v>2022</v>
      </c>
      <c r="C2394" s="2" t="str">
        <f t="shared" si="75"/>
        <v>KZN226</v>
      </c>
      <c r="D2394" s="2">
        <v>776</v>
      </c>
      <c r="F2394" s="625"/>
      <c r="G2394" s="625"/>
      <c r="H2394" s="625"/>
      <c r="I2394" s="625"/>
      <c r="J2394" s="625"/>
      <c r="K2394" s="625"/>
      <c r="L2394" s="627"/>
      <c r="M2394" s="627"/>
      <c r="N2394" s="627"/>
      <c r="O2394" s="627"/>
      <c r="P2394" s="627"/>
      <c r="W2394" t="s">
        <v>2047</v>
      </c>
    </row>
    <row r="2395" spans="1:23" ht="13.15" customHeight="1" x14ac:dyDescent="0.2">
      <c r="A2395" s="2" t="s">
        <v>2200</v>
      </c>
      <c r="B2395" s="2">
        <f t="shared" si="74"/>
        <v>2022</v>
      </c>
      <c r="C2395" s="2" t="str">
        <f t="shared" si="75"/>
        <v>KZN226</v>
      </c>
      <c r="D2395" s="2">
        <v>777</v>
      </c>
      <c r="F2395" s="625"/>
      <c r="G2395" s="625"/>
      <c r="H2395" s="625"/>
      <c r="I2395" s="625"/>
      <c r="J2395" s="625"/>
      <c r="K2395" s="625"/>
      <c r="L2395" s="627"/>
      <c r="M2395" s="627"/>
      <c r="N2395" s="627"/>
      <c r="O2395" s="627"/>
      <c r="P2395" s="627"/>
      <c r="W2395" t="s">
        <v>2047</v>
      </c>
    </row>
    <row r="2396" spans="1:23" ht="13.15" customHeight="1" x14ac:dyDescent="0.2">
      <c r="A2396" s="2" t="s">
        <v>2200</v>
      </c>
      <c r="B2396" s="2">
        <f t="shared" si="74"/>
        <v>2022</v>
      </c>
      <c r="C2396" s="2" t="str">
        <f t="shared" si="75"/>
        <v>KZN226</v>
      </c>
      <c r="D2396" s="2">
        <v>778</v>
      </c>
      <c r="F2396" s="625"/>
      <c r="G2396" s="625"/>
      <c r="H2396" s="625"/>
      <c r="I2396" s="625"/>
      <c r="J2396" s="625"/>
      <c r="K2396" s="625"/>
      <c r="L2396" s="627"/>
      <c r="M2396" s="627"/>
      <c r="N2396" s="627"/>
      <c r="O2396" s="627"/>
      <c r="P2396" s="627"/>
      <c r="W2396" t="s">
        <v>2047</v>
      </c>
    </row>
    <row r="2397" spans="1:23" ht="13.15" customHeight="1" x14ac:dyDescent="0.2">
      <c r="A2397" s="2" t="s">
        <v>2200</v>
      </c>
      <c r="B2397" s="2">
        <f t="shared" si="74"/>
        <v>2022</v>
      </c>
      <c r="C2397" s="2" t="str">
        <f t="shared" si="75"/>
        <v>KZN226</v>
      </c>
      <c r="D2397" s="2">
        <v>779</v>
      </c>
      <c r="F2397" s="625"/>
      <c r="G2397" s="625"/>
      <c r="H2397" s="625"/>
      <c r="I2397" s="625"/>
      <c r="J2397" s="625"/>
      <c r="K2397" s="625"/>
      <c r="L2397" s="627"/>
      <c r="M2397" s="627"/>
      <c r="N2397" s="627"/>
      <c r="O2397" s="627"/>
      <c r="P2397" s="627"/>
      <c r="W2397" t="s">
        <v>2047</v>
      </c>
    </row>
    <row r="2398" spans="1:23" ht="13.15" customHeight="1" x14ac:dyDescent="0.2">
      <c r="A2398" s="2" t="s">
        <v>2200</v>
      </c>
      <c r="B2398" s="2">
        <f t="shared" si="74"/>
        <v>2022</v>
      </c>
      <c r="C2398" s="2" t="str">
        <f t="shared" si="75"/>
        <v>KZN226</v>
      </c>
      <c r="D2398" s="2">
        <v>780</v>
      </c>
      <c r="F2398" s="625"/>
      <c r="G2398" s="625"/>
      <c r="H2398" s="625"/>
      <c r="I2398" s="625"/>
      <c r="J2398" s="625"/>
      <c r="K2398" s="625"/>
      <c r="L2398" s="627"/>
      <c r="M2398" s="627"/>
      <c r="N2398" s="627"/>
      <c r="O2398" s="627"/>
      <c r="P2398" s="627"/>
      <c r="W2398" t="s">
        <v>2047</v>
      </c>
    </row>
    <row r="2399" spans="1:23" ht="13.15" customHeight="1" x14ac:dyDescent="0.2">
      <c r="A2399" s="2" t="s">
        <v>2200</v>
      </c>
      <c r="B2399" s="2">
        <f t="shared" si="74"/>
        <v>2022</v>
      </c>
      <c r="C2399" s="2" t="str">
        <f t="shared" si="75"/>
        <v>KZN226</v>
      </c>
      <c r="D2399" s="2">
        <v>781</v>
      </c>
      <c r="F2399" s="625"/>
      <c r="G2399" s="625"/>
      <c r="H2399" s="625"/>
      <c r="I2399" s="625"/>
      <c r="J2399" s="625"/>
      <c r="K2399" s="625"/>
      <c r="L2399" s="627"/>
      <c r="M2399" s="627"/>
      <c r="N2399" s="627"/>
      <c r="O2399" s="627"/>
      <c r="P2399" s="627"/>
      <c r="W2399" t="s">
        <v>2047</v>
      </c>
    </row>
    <row r="2400" spans="1:23" ht="13.15" customHeight="1" x14ac:dyDescent="0.2">
      <c r="A2400" s="2" t="s">
        <v>2200</v>
      </c>
      <c r="B2400" s="2">
        <f t="shared" si="74"/>
        <v>2022</v>
      </c>
      <c r="C2400" s="2" t="str">
        <f t="shared" si="75"/>
        <v>KZN226</v>
      </c>
      <c r="D2400" s="2">
        <v>782</v>
      </c>
      <c r="F2400" s="625"/>
      <c r="G2400" s="625"/>
      <c r="H2400" s="625"/>
      <c r="I2400" s="625"/>
      <c r="J2400" s="625"/>
      <c r="K2400" s="625"/>
      <c r="L2400" s="627"/>
      <c r="M2400" s="627"/>
      <c r="N2400" s="627"/>
      <c r="O2400" s="627"/>
      <c r="P2400" s="627"/>
      <c r="W2400" t="s">
        <v>2047</v>
      </c>
    </row>
    <row r="2401" spans="1:23" ht="13.15" customHeight="1" x14ac:dyDescent="0.2">
      <c r="A2401" s="2" t="s">
        <v>2200</v>
      </c>
      <c r="B2401" s="2">
        <f t="shared" si="74"/>
        <v>2022</v>
      </c>
      <c r="C2401" s="2" t="str">
        <f t="shared" si="75"/>
        <v>KZN226</v>
      </c>
      <c r="D2401" s="2">
        <v>783</v>
      </c>
      <c r="F2401" s="625"/>
      <c r="G2401" s="625"/>
      <c r="H2401" s="625"/>
      <c r="I2401" s="625"/>
      <c r="J2401" s="625"/>
      <c r="K2401" s="625"/>
      <c r="L2401" s="627"/>
      <c r="M2401" s="627"/>
      <c r="N2401" s="627"/>
      <c r="O2401" s="627"/>
      <c r="P2401" s="627"/>
      <c r="W2401" t="s">
        <v>2047</v>
      </c>
    </row>
    <row r="2402" spans="1:23" ht="13.15" customHeight="1" x14ac:dyDescent="0.2">
      <c r="A2402" s="2" t="s">
        <v>2200</v>
      </c>
      <c r="B2402" s="2">
        <f t="shared" si="74"/>
        <v>2022</v>
      </c>
      <c r="C2402" s="2" t="str">
        <f t="shared" si="75"/>
        <v>KZN226</v>
      </c>
      <c r="D2402" s="2">
        <v>784</v>
      </c>
      <c r="F2402" s="625"/>
      <c r="G2402" s="625"/>
      <c r="H2402" s="625"/>
      <c r="I2402" s="625"/>
      <c r="J2402" s="625"/>
      <c r="K2402" s="625"/>
      <c r="L2402" s="627"/>
      <c r="M2402" s="627"/>
      <c r="N2402" s="627"/>
      <c r="O2402" s="627"/>
      <c r="P2402" s="627"/>
      <c r="W2402" t="s">
        <v>2047</v>
      </c>
    </row>
    <row r="2403" spans="1:23" ht="13.15" customHeight="1" x14ac:dyDescent="0.2">
      <c r="A2403" s="2" t="s">
        <v>2200</v>
      </c>
      <c r="B2403" s="2">
        <f t="shared" si="74"/>
        <v>2022</v>
      </c>
      <c r="C2403" s="2" t="str">
        <f t="shared" si="75"/>
        <v>KZN226</v>
      </c>
      <c r="D2403" s="2">
        <v>785</v>
      </c>
      <c r="F2403" s="625"/>
      <c r="G2403" s="625"/>
      <c r="H2403" s="625"/>
      <c r="I2403" s="625"/>
      <c r="J2403" s="625"/>
      <c r="K2403" s="625"/>
      <c r="L2403" s="627"/>
      <c r="M2403" s="627"/>
      <c r="N2403" s="627"/>
      <c r="O2403" s="627"/>
      <c r="P2403" s="627"/>
      <c r="W2403" t="s">
        <v>2047</v>
      </c>
    </row>
    <row r="2404" spans="1:23" ht="13.15" customHeight="1" x14ac:dyDescent="0.2">
      <c r="A2404" s="2" t="s">
        <v>2200</v>
      </c>
      <c r="B2404" s="2">
        <f t="shared" si="74"/>
        <v>2022</v>
      </c>
      <c r="C2404" s="2" t="str">
        <f t="shared" si="75"/>
        <v>KZN226</v>
      </c>
      <c r="D2404" s="2">
        <v>786</v>
      </c>
      <c r="F2404" s="625"/>
      <c r="G2404" s="625"/>
      <c r="H2404" s="625"/>
      <c r="I2404" s="625"/>
      <c r="J2404" s="625"/>
      <c r="K2404" s="625"/>
      <c r="L2404" s="627"/>
      <c r="M2404" s="627"/>
      <c r="N2404" s="627"/>
      <c r="O2404" s="627"/>
      <c r="P2404" s="627"/>
      <c r="W2404" t="s">
        <v>2047</v>
      </c>
    </row>
    <row r="2405" spans="1:23" ht="13.15" customHeight="1" x14ac:dyDescent="0.2">
      <c r="A2405" s="2" t="s">
        <v>2200</v>
      </c>
      <c r="B2405" s="2">
        <f t="shared" si="74"/>
        <v>2022</v>
      </c>
      <c r="C2405" s="2" t="str">
        <f t="shared" si="75"/>
        <v>KZN226</v>
      </c>
      <c r="D2405" s="2">
        <v>787</v>
      </c>
      <c r="F2405" s="625"/>
      <c r="G2405" s="625"/>
      <c r="H2405" s="625"/>
      <c r="I2405" s="625"/>
      <c r="J2405" s="625"/>
      <c r="K2405" s="625"/>
      <c r="L2405" s="627"/>
      <c r="M2405" s="627"/>
      <c r="N2405" s="627"/>
      <c r="O2405" s="627"/>
      <c r="P2405" s="627"/>
      <c r="W2405" t="s">
        <v>2047</v>
      </c>
    </row>
    <row r="2406" spans="1:23" ht="13.15" customHeight="1" x14ac:dyDescent="0.2">
      <c r="A2406" s="2" t="s">
        <v>2200</v>
      </c>
      <c r="B2406" s="2">
        <f t="shared" si="74"/>
        <v>2022</v>
      </c>
      <c r="C2406" s="2" t="str">
        <f t="shared" si="75"/>
        <v>KZN226</v>
      </c>
      <c r="D2406" s="2">
        <v>788</v>
      </c>
      <c r="F2406" s="625"/>
      <c r="G2406" s="625"/>
      <c r="H2406" s="625"/>
      <c r="I2406" s="625"/>
      <c r="J2406" s="625"/>
      <c r="K2406" s="625"/>
      <c r="L2406" s="627"/>
      <c r="M2406" s="627"/>
      <c r="N2406" s="627"/>
      <c r="O2406" s="627"/>
      <c r="P2406" s="627"/>
      <c r="W2406" t="s">
        <v>2047</v>
      </c>
    </row>
    <row r="2407" spans="1:23" ht="13.15" customHeight="1" x14ac:dyDescent="0.2">
      <c r="A2407" s="2" t="s">
        <v>2200</v>
      </c>
      <c r="B2407" s="2">
        <f t="shared" si="74"/>
        <v>2022</v>
      </c>
      <c r="C2407" s="2" t="str">
        <f t="shared" si="75"/>
        <v>KZN226</v>
      </c>
      <c r="D2407" s="2">
        <v>789</v>
      </c>
      <c r="F2407" s="625"/>
      <c r="G2407" s="625"/>
      <c r="H2407" s="625"/>
      <c r="I2407" s="625"/>
      <c r="J2407" s="625"/>
      <c r="K2407" s="625"/>
      <c r="L2407" s="627"/>
      <c r="M2407" s="627"/>
      <c r="N2407" s="627"/>
      <c r="O2407" s="627"/>
      <c r="P2407" s="627"/>
      <c r="W2407" t="s">
        <v>2047</v>
      </c>
    </row>
    <row r="2408" spans="1:23" ht="13.15" customHeight="1" x14ac:dyDescent="0.2">
      <c r="A2408" s="2" t="s">
        <v>2200</v>
      </c>
      <c r="B2408" s="2">
        <f t="shared" si="74"/>
        <v>2022</v>
      </c>
      <c r="C2408" s="2" t="str">
        <f t="shared" si="75"/>
        <v>KZN226</v>
      </c>
      <c r="D2408" s="2">
        <v>790</v>
      </c>
      <c r="F2408" s="625"/>
      <c r="G2408" s="625"/>
      <c r="H2408" s="625"/>
      <c r="I2408" s="625"/>
      <c r="J2408" s="625"/>
      <c r="K2408" s="625"/>
      <c r="L2408" s="627"/>
      <c r="M2408" s="627"/>
      <c r="N2408" s="627"/>
      <c r="O2408" s="627"/>
      <c r="P2408" s="627"/>
      <c r="W2408" t="s">
        <v>2047</v>
      </c>
    </row>
    <row r="2409" spans="1:23" ht="13.15" customHeight="1" x14ac:dyDescent="0.2">
      <c r="A2409" s="2" t="s">
        <v>2200</v>
      </c>
      <c r="B2409" s="2">
        <f t="shared" si="74"/>
        <v>2022</v>
      </c>
      <c r="C2409" s="2" t="str">
        <f t="shared" si="75"/>
        <v>KZN226</v>
      </c>
      <c r="D2409" s="2">
        <v>791</v>
      </c>
      <c r="F2409" s="625"/>
      <c r="G2409" s="625"/>
      <c r="H2409" s="625"/>
      <c r="I2409" s="625"/>
      <c r="J2409" s="625"/>
      <c r="K2409" s="625"/>
      <c r="L2409" s="627"/>
      <c r="M2409" s="627"/>
      <c r="N2409" s="627"/>
      <c r="O2409" s="627"/>
      <c r="P2409" s="627"/>
      <c r="W2409" t="s">
        <v>2047</v>
      </c>
    </row>
    <row r="2410" spans="1:23" ht="13.15" customHeight="1" x14ac:dyDescent="0.2">
      <c r="A2410" s="2" t="s">
        <v>2200</v>
      </c>
      <c r="B2410" s="2">
        <f t="shared" si="74"/>
        <v>2022</v>
      </c>
      <c r="C2410" s="2" t="str">
        <f t="shared" si="75"/>
        <v>KZN226</v>
      </c>
      <c r="D2410" s="2">
        <v>792</v>
      </c>
      <c r="F2410" s="625"/>
      <c r="G2410" s="625"/>
      <c r="H2410" s="625"/>
      <c r="I2410" s="625"/>
      <c r="J2410" s="625"/>
      <c r="K2410" s="625"/>
      <c r="L2410" s="627"/>
      <c r="M2410" s="627"/>
      <c r="N2410" s="627"/>
      <c r="O2410" s="627"/>
      <c r="P2410" s="627"/>
      <c r="W2410" t="s">
        <v>2047</v>
      </c>
    </row>
    <row r="2411" spans="1:23" ht="13.15" customHeight="1" x14ac:dyDescent="0.2">
      <c r="A2411" s="2" t="s">
        <v>2200</v>
      </c>
      <c r="B2411" s="2">
        <f t="shared" si="74"/>
        <v>2022</v>
      </c>
      <c r="C2411" s="2" t="str">
        <f t="shared" si="75"/>
        <v>KZN226</v>
      </c>
      <c r="D2411" s="2">
        <v>793</v>
      </c>
      <c r="F2411" s="625"/>
      <c r="G2411" s="625"/>
      <c r="H2411" s="625"/>
      <c r="I2411" s="625"/>
      <c r="J2411" s="625"/>
      <c r="K2411" s="625"/>
      <c r="L2411" s="627"/>
      <c r="M2411" s="627"/>
      <c r="N2411" s="627"/>
      <c r="O2411" s="627"/>
      <c r="P2411" s="627"/>
      <c r="W2411" t="s">
        <v>2047</v>
      </c>
    </row>
    <row r="2412" spans="1:23" ht="13.15" customHeight="1" x14ac:dyDescent="0.2">
      <c r="A2412" s="2" t="s">
        <v>2200</v>
      </c>
      <c r="B2412" s="2">
        <f t="shared" si="74"/>
        <v>2022</v>
      </c>
      <c r="C2412" s="2" t="str">
        <f t="shared" si="75"/>
        <v>KZN226</v>
      </c>
      <c r="D2412" s="2">
        <v>794</v>
      </c>
      <c r="F2412" s="625"/>
      <c r="G2412" s="625"/>
      <c r="H2412" s="625"/>
      <c r="I2412" s="625"/>
      <c r="J2412" s="625"/>
      <c r="K2412" s="625"/>
      <c r="L2412" s="627"/>
      <c r="M2412" s="627"/>
      <c r="N2412" s="627"/>
      <c r="O2412" s="627"/>
      <c r="P2412" s="627"/>
      <c r="W2412" t="s">
        <v>2047</v>
      </c>
    </row>
    <row r="2413" spans="1:23" ht="13.15" customHeight="1" x14ac:dyDescent="0.2">
      <c r="A2413" s="2" t="s">
        <v>2200</v>
      </c>
      <c r="B2413" s="2">
        <f t="shared" si="74"/>
        <v>2022</v>
      </c>
      <c r="C2413" s="2" t="str">
        <f t="shared" si="75"/>
        <v>KZN226</v>
      </c>
      <c r="D2413" s="2">
        <v>795</v>
      </c>
      <c r="F2413" s="625"/>
      <c r="G2413" s="625"/>
      <c r="H2413" s="625"/>
      <c r="I2413" s="625"/>
      <c r="J2413" s="625"/>
      <c r="K2413" s="625"/>
      <c r="L2413" s="627"/>
      <c r="M2413" s="627"/>
      <c r="N2413" s="627"/>
      <c r="O2413" s="627"/>
      <c r="P2413" s="627"/>
      <c r="W2413" t="s">
        <v>2047</v>
      </c>
    </row>
    <row r="2414" spans="1:23" ht="13.15" customHeight="1" x14ac:dyDescent="0.2">
      <c r="A2414" s="2" t="s">
        <v>2200</v>
      </c>
      <c r="B2414" s="2">
        <f t="shared" si="74"/>
        <v>2022</v>
      </c>
      <c r="C2414" s="2" t="str">
        <f t="shared" si="75"/>
        <v>KZN226</v>
      </c>
      <c r="D2414" s="2">
        <v>796</v>
      </c>
      <c r="F2414" s="625"/>
      <c r="G2414" s="625"/>
      <c r="H2414" s="625"/>
      <c r="I2414" s="625"/>
      <c r="J2414" s="625"/>
      <c r="K2414" s="625"/>
      <c r="L2414" s="627"/>
      <c r="M2414" s="627"/>
      <c r="N2414" s="627"/>
      <c r="O2414" s="627"/>
      <c r="P2414" s="627"/>
      <c r="W2414" t="s">
        <v>2047</v>
      </c>
    </row>
    <row r="2415" spans="1:23" ht="13.15" customHeight="1" x14ac:dyDescent="0.2">
      <c r="A2415" s="2" t="s">
        <v>2200</v>
      </c>
      <c r="B2415" s="2">
        <f t="shared" si="74"/>
        <v>2022</v>
      </c>
      <c r="C2415" s="2" t="str">
        <f t="shared" si="75"/>
        <v>KZN226</v>
      </c>
      <c r="D2415" s="2">
        <v>797</v>
      </c>
      <c r="F2415" s="625"/>
      <c r="G2415" s="625"/>
      <c r="H2415" s="625"/>
      <c r="I2415" s="625"/>
      <c r="J2415" s="625"/>
      <c r="K2415" s="625"/>
      <c r="L2415" s="627"/>
      <c r="M2415" s="627"/>
      <c r="N2415" s="627"/>
      <c r="O2415" s="627"/>
      <c r="P2415" s="627"/>
      <c r="W2415" t="s">
        <v>2047</v>
      </c>
    </row>
    <row r="2416" spans="1:23" ht="13.15" customHeight="1" x14ac:dyDescent="0.2">
      <c r="A2416" s="2" t="s">
        <v>2200</v>
      </c>
      <c r="B2416" s="2">
        <f t="shared" si="74"/>
        <v>2022</v>
      </c>
      <c r="C2416" s="2" t="str">
        <f t="shared" si="75"/>
        <v>KZN226</v>
      </c>
      <c r="D2416" s="2">
        <v>798</v>
      </c>
      <c r="F2416" s="625"/>
      <c r="G2416" s="625"/>
      <c r="H2416" s="625"/>
      <c r="I2416" s="625"/>
      <c r="J2416" s="625"/>
      <c r="K2416" s="625"/>
      <c r="L2416" s="627"/>
      <c r="M2416" s="627"/>
      <c r="N2416" s="627"/>
      <c r="O2416" s="627"/>
      <c r="P2416" s="627"/>
      <c r="W2416" t="s">
        <v>2047</v>
      </c>
    </row>
    <row r="2417" spans="1:23" ht="13.15" customHeight="1" x14ac:dyDescent="0.2">
      <c r="A2417" s="2" t="s">
        <v>2200</v>
      </c>
      <c r="B2417" s="2">
        <f t="shared" si="74"/>
        <v>2022</v>
      </c>
      <c r="C2417" s="2" t="str">
        <f t="shared" si="75"/>
        <v>KZN226</v>
      </c>
      <c r="D2417" s="2">
        <v>799</v>
      </c>
      <c r="F2417" s="625"/>
      <c r="G2417" s="625"/>
      <c r="H2417" s="625"/>
      <c r="I2417" s="625"/>
      <c r="J2417" s="625"/>
      <c r="K2417" s="625"/>
      <c r="L2417" s="627"/>
      <c r="M2417" s="627"/>
      <c r="N2417" s="627"/>
      <c r="O2417" s="627"/>
      <c r="P2417" s="627"/>
      <c r="W2417" t="s">
        <v>2047</v>
      </c>
    </row>
    <row r="2418" spans="1:23" ht="13.15" customHeight="1" x14ac:dyDescent="0.2">
      <c r="A2418" s="2" t="s">
        <v>2200</v>
      </c>
      <c r="B2418" s="2">
        <f t="shared" si="74"/>
        <v>2022</v>
      </c>
      <c r="C2418" s="2" t="str">
        <f t="shared" si="75"/>
        <v>KZN226</v>
      </c>
      <c r="D2418" s="2">
        <v>800</v>
      </c>
      <c r="F2418" s="625"/>
      <c r="G2418" s="625"/>
      <c r="H2418" s="625"/>
      <c r="I2418" s="625"/>
      <c r="J2418" s="625"/>
      <c r="K2418" s="625"/>
      <c r="L2418" s="627"/>
      <c r="M2418" s="627"/>
      <c r="N2418" s="627"/>
      <c r="O2418" s="627"/>
      <c r="P2418" s="627"/>
      <c r="W2418" t="s">
        <v>2047</v>
      </c>
    </row>
    <row r="2419" spans="1:23" ht="13.15" customHeight="1" x14ac:dyDescent="0.2">
      <c r="A2419" s="2" t="s">
        <v>2200</v>
      </c>
      <c r="B2419" s="2">
        <f t="shared" si="74"/>
        <v>2022</v>
      </c>
      <c r="C2419" s="2" t="str">
        <f t="shared" si="75"/>
        <v>KZN226</v>
      </c>
      <c r="D2419" s="2">
        <v>801</v>
      </c>
      <c r="F2419" s="625"/>
      <c r="G2419" s="625"/>
      <c r="H2419" s="625"/>
      <c r="I2419" s="625"/>
      <c r="J2419" s="625"/>
      <c r="K2419" s="625"/>
      <c r="L2419" s="627"/>
      <c r="M2419" s="627"/>
      <c r="N2419" s="627"/>
      <c r="O2419" s="627"/>
      <c r="P2419" s="627"/>
      <c r="W2419" t="s">
        <v>2047</v>
      </c>
    </row>
    <row r="2420" spans="1:23" ht="13.15" customHeight="1" x14ac:dyDescent="0.2">
      <c r="A2420" s="2" t="s">
        <v>2200</v>
      </c>
      <c r="B2420" s="2">
        <f t="shared" si="74"/>
        <v>2022</v>
      </c>
      <c r="C2420" s="2" t="str">
        <f t="shared" si="75"/>
        <v>KZN226</v>
      </c>
      <c r="D2420" s="2">
        <v>802</v>
      </c>
      <c r="F2420" s="625"/>
      <c r="G2420" s="625"/>
      <c r="H2420" s="625"/>
      <c r="I2420" s="625"/>
      <c r="J2420" s="625"/>
      <c r="K2420" s="625"/>
      <c r="L2420" s="627"/>
      <c r="M2420" s="627"/>
      <c r="N2420" s="627"/>
      <c r="O2420" s="627"/>
      <c r="P2420" s="627"/>
      <c r="W2420" t="s">
        <v>2047</v>
      </c>
    </row>
    <row r="2421" spans="1:23" ht="13.15" customHeight="1" x14ac:dyDescent="0.2">
      <c r="A2421" s="2" t="s">
        <v>2200</v>
      </c>
      <c r="B2421" s="2">
        <f t="shared" si="74"/>
        <v>2022</v>
      </c>
      <c r="C2421" s="2" t="str">
        <f t="shared" si="75"/>
        <v>KZN226</v>
      </c>
      <c r="D2421" s="2">
        <v>803</v>
      </c>
      <c r="F2421" s="625"/>
      <c r="G2421" s="625"/>
      <c r="H2421" s="625"/>
      <c r="I2421" s="625"/>
      <c r="J2421" s="625"/>
      <c r="K2421" s="625"/>
      <c r="L2421" s="627"/>
      <c r="M2421" s="627"/>
      <c r="N2421" s="627"/>
      <c r="O2421" s="627"/>
      <c r="P2421" s="627"/>
      <c r="W2421" t="s">
        <v>2047</v>
      </c>
    </row>
    <row r="2422" spans="1:23" ht="13.15" customHeight="1" x14ac:dyDescent="0.2">
      <c r="A2422" s="2" t="s">
        <v>2200</v>
      </c>
      <c r="B2422" s="2">
        <f t="shared" si="74"/>
        <v>2022</v>
      </c>
      <c r="C2422" s="2" t="str">
        <f t="shared" si="75"/>
        <v>KZN226</v>
      </c>
      <c r="D2422" s="2">
        <v>804</v>
      </c>
      <c r="F2422" s="625"/>
      <c r="G2422" s="625"/>
      <c r="H2422" s="625"/>
      <c r="I2422" s="625"/>
      <c r="J2422" s="625"/>
      <c r="K2422" s="625"/>
      <c r="L2422" s="627"/>
      <c r="M2422" s="627"/>
      <c r="N2422" s="627"/>
      <c r="O2422" s="627"/>
      <c r="P2422" s="627"/>
      <c r="W2422" t="s">
        <v>2047</v>
      </c>
    </row>
    <row r="2423" spans="1:23" ht="13.15" customHeight="1" x14ac:dyDescent="0.2">
      <c r="A2423" s="2" t="s">
        <v>2200</v>
      </c>
      <c r="B2423" s="2">
        <f t="shared" si="74"/>
        <v>2022</v>
      </c>
      <c r="C2423" s="2" t="str">
        <f t="shared" si="75"/>
        <v>KZN226</v>
      </c>
      <c r="D2423" s="2">
        <v>805</v>
      </c>
      <c r="F2423" s="625"/>
      <c r="G2423" s="625"/>
      <c r="H2423" s="625"/>
      <c r="I2423" s="625"/>
      <c r="J2423" s="625"/>
      <c r="K2423" s="625"/>
      <c r="L2423" s="627"/>
      <c r="M2423" s="627"/>
      <c r="N2423" s="627"/>
      <c r="O2423" s="627"/>
      <c r="P2423" s="627"/>
      <c r="W2423" t="s">
        <v>2047</v>
      </c>
    </row>
    <row r="2424" spans="1:23" ht="13.15" customHeight="1" x14ac:dyDescent="0.2">
      <c r="A2424" s="2" t="s">
        <v>2200</v>
      </c>
      <c r="B2424" s="2">
        <f t="shared" si="74"/>
        <v>2022</v>
      </c>
      <c r="C2424" s="2" t="str">
        <f t="shared" si="75"/>
        <v>KZN226</v>
      </c>
      <c r="D2424" s="2">
        <v>806</v>
      </c>
      <c r="F2424" s="625"/>
      <c r="G2424" s="625"/>
      <c r="H2424" s="625"/>
      <c r="I2424" s="625"/>
      <c r="J2424" s="625"/>
      <c r="K2424" s="625"/>
      <c r="L2424" s="627"/>
      <c r="M2424" s="627"/>
      <c r="N2424" s="627"/>
      <c r="O2424" s="627"/>
      <c r="P2424" s="627"/>
      <c r="W2424" t="s">
        <v>2047</v>
      </c>
    </row>
    <row r="2425" spans="1:23" ht="13.15" customHeight="1" x14ac:dyDescent="0.2">
      <c r="A2425" s="2" t="s">
        <v>2200</v>
      </c>
      <c r="B2425" s="2">
        <f t="shared" si="74"/>
        <v>2022</v>
      </c>
      <c r="C2425" s="2" t="str">
        <f t="shared" si="75"/>
        <v>KZN226</v>
      </c>
      <c r="D2425" s="2">
        <v>807</v>
      </c>
      <c r="F2425" s="625"/>
      <c r="G2425" s="625"/>
      <c r="H2425" s="625"/>
      <c r="I2425" s="625"/>
      <c r="J2425" s="625"/>
      <c r="K2425" s="625"/>
      <c r="L2425" s="627"/>
      <c r="M2425" s="627"/>
      <c r="N2425" s="627"/>
      <c r="O2425" s="627"/>
      <c r="P2425" s="627"/>
      <c r="W2425" t="s">
        <v>2047</v>
      </c>
    </row>
    <row r="2426" spans="1:23" ht="13.15" customHeight="1" x14ac:dyDescent="0.2">
      <c r="A2426" s="2" t="s">
        <v>2200</v>
      </c>
      <c r="B2426" s="2">
        <f t="shared" si="74"/>
        <v>2022</v>
      </c>
      <c r="C2426" s="2" t="str">
        <f t="shared" si="75"/>
        <v>KZN226</v>
      </c>
      <c r="D2426" s="2">
        <v>808</v>
      </c>
      <c r="F2426" s="625"/>
      <c r="G2426" s="625"/>
      <c r="H2426" s="625"/>
      <c r="I2426" s="625"/>
      <c r="J2426" s="625"/>
      <c r="K2426" s="625"/>
      <c r="L2426" s="627"/>
      <c r="M2426" s="627"/>
      <c r="N2426" s="627"/>
      <c r="O2426" s="627"/>
      <c r="P2426" s="627"/>
      <c r="W2426" t="s">
        <v>2047</v>
      </c>
    </row>
    <row r="2427" spans="1:23" ht="13.15" customHeight="1" x14ac:dyDescent="0.2">
      <c r="A2427" s="2" t="s">
        <v>2200</v>
      </c>
      <c r="B2427" s="2">
        <f t="shared" si="74"/>
        <v>2022</v>
      </c>
      <c r="C2427" s="2" t="str">
        <f t="shared" si="75"/>
        <v>KZN226</v>
      </c>
      <c r="D2427" s="2">
        <v>809</v>
      </c>
      <c r="F2427" s="625"/>
      <c r="G2427" s="625"/>
      <c r="H2427" s="625"/>
      <c r="I2427" s="625"/>
      <c r="J2427" s="625"/>
      <c r="K2427" s="625"/>
      <c r="L2427" s="627"/>
      <c r="M2427" s="627"/>
      <c r="N2427" s="627"/>
      <c r="O2427" s="627"/>
      <c r="P2427" s="627"/>
      <c r="W2427" t="s">
        <v>2047</v>
      </c>
    </row>
    <row r="2428" spans="1:23" ht="13.15" customHeight="1" x14ac:dyDescent="0.2">
      <c r="A2428" s="2" t="s">
        <v>2200</v>
      </c>
      <c r="B2428" s="2">
        <f t="shared" si="74"/>
        <v>2022</v>
      </c>
      <c r="C2428" s="2" t="str">
        <f t="shared" si="75"/>
        <v>KZN226</v>
      </c>
      <c r="D2428" s="2">
        <v>810</v>
      </c>
      <c r="F2428" s="625"/>
      <c r="G2428" s="625"/>
      <c r="H2428" s="625"/>
      <c r="I2428" s="625"/>
      <c r="J2428" s="625"/>
      <c r="K2428" s="625"/>
      <c r="L2428" s="627"/>
      <c r="M2428" s="627"/>
      <c r="N2428" s="627"/>
      <c r="O2428" s="627"/>
      <c r="P2428" s="627"/>
      <c r="W2428" t="s">
        <v>2047</v>
      </c>
    </row>
    <row r="2429" spans="1:23" ht="13.15" customHeight="1" x14ac:dyDescent="0.2">
      <c r="A2429" s="2" t="s">
        <v>2200</v>
      </c>
      <c r="B2429" s="2">
        <f t="shared" si="74"/>
        <v>2022</v>
      </c>
      <c r="C2429" s="2" t="str">
        <f t="shared" si="75"/>
        <v>KZN226</v>
      </c>
      <c r="D2429" s="2">
        <v>811</v>
      </c>
      <c r="F2429" s="625"/>
      <c r="G2429" s="625"/>
      <c r="H2429" s="625"/>
      <c r="I2429" s="625"/>
      <c r="J2429" s="625"/>
      <c r="K2429" s="625"/>
      <c r="L2429" s="627"/>
      <c r="M2429" s="627"/>
      <c r="N2429" s="627"/>
      <c r="O2429" s="627"/>
      <c r="P2429" s="627"/>
      <c r="W2429" t="s">
        <v>2047</v>
      </c>
    </row>
    <row r="2430" spans="1:23" ht="13.15" customHeight="1" x14ac:dyDescent="0.2">
      <c r="A2430" s="2" t="s">
        <v>2200</v>
      </c>
      <c r="B2430" s="2">
        <f t="shared" si="74"/>
        <v>2022</v>
      </c>
      <c r="C2430" s="2" t="str">
        <f t="shared" si="75"/>
        <v>KZN226</v>
      </c>
      <c r="D2430" s="2">
        <v>812</v>
      </c>
      <c r="F2430" s="625"/>
      <c r="G2430" s="625"/>
      <c r="H2430" s="625"/>
      <c r="I2430" s="625"/>
      <c r="J2430" s="625"/>
      <c r="K2430" s="625"/>
      <c r="L2430" s="627"/>
      <c r="M2430" s="627"/>
      <c r="N2430" s="627"/>
      <c r="O2430" s="627"/>
      <c r="P2430" s="627"/>
      <c r="W2430" t="s">
        <v>2047</v>
      </c>
    </row>
    <row r="2431" spans="1:23" ht="13.15" customHeight="1" x14ac:dyDescent="0.2">
      <c r="A2431" s="2" t="s">
        <v>2200</v>
      </c>
      <c r="B2431" s="2">
        <f t="shared" si="74"/>
        <v>2022</v>
      </c>
      <c r="C2431" s="2" t="str">
        <f t="shared" si="75"/>
        <v>KZN226</v>
      </c>
      <c r="D2431" s="2">
        <v>813</v>
      </c>
      <c r="F2431" s="625"/>
      <c r="G2431" s="625"/>
      <c r="H2431" s="625"/>
      <c r="I2431" s="625"/>
      <c r="J2431" s="625"/>
      <c r="K2431" s="625"/>
      <c r="L2431" s="627"/>
      <c r="M2431" s="627"/>
      <c r="N2431" s="627"/>
      <c r="O2431" s="627"/>
      <c r="P2431" s="627"/>
      <c r="W2431" t="s">
        <v>2047</v>
      </c>
    </row>
    <row r="2432" spans="1:23" ht="13.15" customHeight="1" x14ac:dyDescent="0.2">
      <c r="A2432" s="2" t="s">
        <v>2200</v>
      </c>
      <c r="B2432" s="2">
        <f t="shared" si="74"/>
        <v>2022</v>
      </c>
      <c r="C2432" s="2" t="str">
        <f t="shared" si="75"/>
        <v>KZN226</v>
      </c>
      <c r="D2432" s="2">
        <v>814</v>
      </c>
      <c r="F2432" s="625"/>
      <c r="G2432" s="625"/>
      <c r="H2432" s="625"/>
      <c r="I2432" s="625"/>
      <c r="J2432" s="625"/>
      <c r="K2432" s="625"/>
      <c r="L2432" s="627"/>
      <c r="M2432" s="627"/>
      <c r="N2432" s="627"/>
      <c r="O2432" s="627"/>
      <c r="P2432" s="627"/>
      <c r="W2432" t="s">
        <v>2047</v>
      </c>
    </row>
    <row r="2433" spans="1:23" ht="13.15" customHeight="1" x14ac:dyDescent="0.2">
      <c r="A2433" s="2" t="s">
        <v>2200</v>
      </c>
      <c r="B2433" s="2">
        <f t="shared" si="74"/>
        <v>2022</v>
      </c>
      <c r="C2433" s="2" t="str">
        <f t="shared" si="75"/>
        <v>KZN226</v>
      </c>
      <c r="D2433" s="2">
        <v>815</v>
      </c>
      <c r="F2433" s="625"/>
      <c r="G2433" s="625"/>
      <c r="H2433" s="625"/>
      <c r="I2433" s="625"/>
      <c r="J2433" s="625"/>
      <c r="K2433" s="625"/>
      <c r="L2433" s="627"/>
      <c r="M2433" s="627"/>
      <c r="N2433" s="627"/>
      <c r="O2433" s="627"/>
      <c r="P2433" s="627"/>
      <c r="W2433" t="s">
        <v>2047</v>
      </c>
    </row>
    <row r="2434" spans="1:23" ht="13.15" customHeight="1" x14ac:dyDescent="0.2">
      <c r="A2434" s="2" t="s">
        <v>2200</v>
      </c>
      <c r="B2434" s="2">
        <f t="shared" ref="B2434:B2497" si="76">+MTREF</f>
        <v>2022</v>
      </c>
      <c r="C2434" s="2" t="str">
        <f t="shared" ref="C2434:C2497" si="77">LEFT(muni,(FIND(" ",muni,1)-1))</f>
        <v>KZN226</v>
      </c>
      <c r="D2434" s="2">
        <v>816</v>
      </c>
      <c r="F2434" s="625"/>
      <c r="G2434" s="625"/>
      <c r="H2434" s="625"/>
      <c r="I2434" s="625"/>
      <c r="J2434" s="625"/>
      <c r="K2434" s="625"/>
      <c r="L2434" s="627"/>
      <c r="M2434" s="627"/>
      <c r="N2434" s="627"/>
      <c r="O2434" s="627"/>
      <c r="P2434" s="627"/>
      <c r="W2434" t="s">
        <v>2047</v>
      </c>
    </row>
    <row r="2435" spans="1:23" ht="13.15" customHeight="1" x14ac:dyDescent="0.2">
      <c r="A2435" s="2" t="s">
        <v>2200</v>
      </c>
      <c r="B2435" s="2">
        <f t="shared" si="76"/>
        <v>2022</v>
      </c>
      <c r="C2435" s="2" t="str">
        <f t="shared" si="77"/>
        <v>KZN226</v>
      </c>
      <c r="D2435" s="2">
        <v>817</v>
      </c>
      <c r="F2435" s="625"/>
      <c r="G2435" s="625"/>
      <c r="H2435" s="625"/>
      <c r="I2435" s="625"/>
      <c r="J2435" s="625"/>
      <c r="K2435" s="625"/>
      <c r="L2435" s="627"/>
      <c r="M2435" s="627"/>
      <c r="N2435" s="627"/>
      <c r="O2435" s="627"/>
      <c r="P2435" s="627"/>
      <c r="W2435" t="s">
        <v>2047</v>
      </c>
    </row>
    <row r="2436" spans="1:23" ht="13.15" customHeight="1" x14ac:dyDescent="0.2">
      <c r="A2436" s="2" t="s">
        <v>2200</v>
      </c>
      <c r="B2436" s="2">
        <f t="shared" si="76"/>
        <v>2022</v>
      </c>
      <c r="C2436" s="2" t="str">
        <f t="shared" si="77"/>
        <v>KZN226</v>
      </c>
      <c r="D2436" s="2">
        <v>818</v>
      </c>
      <c r="F2436" s="625"/>
      <c r="G2436" s="625"/>
      <c r="H2436" s="625"/>
      <c r="I2436" s="625"/>
      <c r="J2436" s="625"/>
      <c r="K2436" s="625"/>
      <c r="L2436" s="627"/>
      <c r="M2436" s="627"/>
      <c r="N2436" s="627"/>
      <c r="O2436" s="627"/>
      <c r="P2436" s="627"/>
      <c r="W2436" t="s">
        <v>2047</v>
      </c>
    </row>
    <row r="2437" spans="1:23" ht="13.15" customHeight="1" x14ac:dyDescent="0.2">
      <c r="A2437" s="2" t="s">
        <v>2200</v>
      </c>
      <c r="B2437" s="2">
        <f t="shared" si="76"/>
        <v>2022</v>
      </c>
      <c r="C2437" s="2" t="str">
        <f t="shared" si="77"/>
        <v>KZN226</v>
      </c>
      <c r="D2437" s="2">
        <v>819</v>
      </c>
      <c r="F2437" s="625"/>
      <c r="G2437" s="625"/>
      <c r="H2437" s="625"/>
      <c r="I2437" s="625"/>
      <c r="J2437" s="625"/>
      <c r="K2437" s="625"/>
      <c r="L2437" s="627"/>
      <c r="M2437" s="627"/>
      <c r="N2437" s="627"/>
      <c r="O2437" s="627"/>
      <c r="P2437" s="627"/>
      <c r="W2437" t="s">
        <v>2047</v>
      </c>
    </row>
    <row r="2438" spans="1:23" ht="13.15" customHeight="1" x14ac:dyDescent="0.2">
      <c r="A2438" s="2" t="s">
        <v>2200</v>
      </c>
      <c r="B2438" s="2">
        <f t="shared" si="76"/>
        <v>2022</v>
      </c>
      <c r="C2438" s="2" t="str">
        <f t="shared" si="77"/>
        <v>KZN226</v>
      </c>
      <c r="D2438" s="2">
        <v>820</v>
      </c>
      <c r="F2438" s="625"/>
      <c r="G2438" s="625"/>
      <c r="H2438" s="625"/>
      <c r="I2438" s="625"/>
      <c r="J2438" s="625"/>
      <c r="K2438" s="625"/>
      <c r="L2438" s="627"/>
      <c r="M2438" s="627"/>
      <c r="N2438" s="627"/>
      <c r="O2438" s="627"/>
      <c r="P2438" s="627"/>
      <c r="W2438" t="s">
        <v>2047</v>
      </c>
    </row>
    <row r="2439" spans="1:23" ht="13.15" customHeight="1" x14ac:dyDescent="0.2">
      <c r="A2439" s="2" t="s">
        <v>2200</v>
      </c>
      <c r="B2439" s="2">
        <f t="shared" si="76"/>
        <v>2022</v>
      </c>
      <c r="C2439" s="2" t="str">
        <f t="shared" si="77"/>
        <v>KZN226</v>
      </c>
      <c r="D2439" s="2">
        <v>821</v>
      </c>
      <c r="F2439" s="625"/>
      <c r="G2439" s="625"/>
      <c r="H2439" s="625"/>
      <c r="I2439" s="625"/>
      <c r="J2439" s="625"/>
      <c r="K2439" s="625"/>
      <c r="L2439" s="627"/>
      <c r="M2439" s="627"/>
      <c r="N2439" s="627"/>
      <c r="O2439" s="627"/>
      <c r="P2439" s="627"/>
      <c r="W2439" t="s">
        <v>2047</v>
      </c>
    </row>
    <row r="2440" spans="1:23" ht="13.15" customHeight="1" x14ac:dyDescent="0.2">
      <c r="A2440" s="2" t="s">
        <v>2200</v>
      </c>
      <c r="B2440" s="2">
        <f t="shared" si="76"/>
        <v>2022</v>
      </c>
      <c r="C2440" s="2" t="str">
        <f t="shared" si="77"/>
        <v>KZN226</v>
      </c>
      <c r="D2440" s="2">
        <v>822</v>
      </c>
      <c r="F2440" s="625"/>
      <c r="G2440" s="625"/>
      <c r="H2440" s="625"/>
      <c r="I2440" s="625"/>
      <c r="J2440" s="625"/>
      <c r="K2440" s="625"/>
      <c r="L2440" s="627"/>
      <c r="M2440" s="627"/>
      <c r="N2440" s="627"/>
      <c r="O2440" s="627"/>
      <c r="P2440" s="627"/>
      <c r="W2440" t="s">
        <v>2047</v>
      </c>
    </row>
    <row r="2441" spans="1:23" ht="13.15" customHeight="1" x14ac:dyDescent="0.2">
      <c r="A2441" s="2" t="s">
        <v>2200</v>
      </c>
      <c r="B2441" s="2">
        <f t="shared" si="76"/>
        <v>2022</v>
      </c>
      <c r="C2441" s="2" t="str">
        <f t="shared" si="77"/>
        <v>KZN226</v>
      </c>
      <c r="D2441" s="2">
        <v>823</v>
      </c>
      <c r="F2441" s="625"/>
      <c r="G2441" s="625"/>
      <c r="H2441" s="625"/>
      <c r="I2441" s="625"/>
      <c r="J2441" s="625"/>
      <c r="K2441" s="625"/>
      <c r="L2441" s="627"/>
      <c r="M2441" s="627"/>
      <c r="N2441" s="627"/>
      <c r="O2441" s="627"/>
      <c r="P2441" s="627"/>
      <c r="W2441" t="s">
        <v>2047</v>
      </c>
    </row>
    <row r="2442" spans="1:23" ht="13.15" customHeight="1" x14ac:dyDescent="0.2">
      <c r="A2442" s="2" t="s">
        <v>2200</v>
      </c>
      <c r="B2442" s="2">
        <f t="shared" si="76"/>
        <v>2022</v>
      </c>
      <c r="C2442" s="2" t="str">
        <f t="shared" si="77"/>
        <v>KZN226</v>
      </c>
      <c r="D2442" s="2">
        <v>824</v>
      </c>
      <c r="F2442" s="625"/>
      <c r="G2442" s="625"/>
      <c r="H2442" s="625"/>
      <c r="I2442" s="625"/>
      <c r="J2442" s="625"/>
      <c r="K2442" s="625"/>
      <c r="L2442" s="627"/>
      <c r="M2442" s="627"/>
      <c r="N2442" s="627"/>
      <c r="O2442" s="627"/>
      <c r="P2442" s="627"/>
      <c r="W2442" t="s">
        <v>2047</v>
      </c>
    </row>
    <row r="2443" spans="1:23" ht="13.15" customHeight="1" x14ac:dyDescent="0.2">
      <c r="A2443" s="2" t="s">
        <v>2200</v>
      </c>
      <c r="B2443" s="2">
        <f t="shared" si="76"/>
        <v>2022</v>
      </c>
      <c r="C2443" s="2" t="str">
        <f t="shared" si="77"/>
        <v>KZN226</v>
      </c>
      <c r="D2443" s="2">
        <v>825</v>
      </c>
      <c r="F2443" s="625"/>
      <c r="G2443" s="625"/>
      <c r="H2443" s="625"/>
      <c r="I2443" s="625"/>
      <c r="J2443" s="625"/>
      <c r="K2443" s="625"/>
      <c r="L2443" s="627"/>
      <c r="M2443" s="627"/>
      <c r="N2443" s="627"/>
      <c r="O2443" s="627"/>
      <c r="P2443" s="627"/>
      <c r="W2443" t="s">
        <v>2047</v>
      </c>
    </row>
    <row r="2444" spans="1:23" ht="13.15" customHeight="1" x14ac:dyDescent="0.2">
      <c r="A2444" s="2" t="s">
        <v>2200</v>
      </c>
      <c r="B2444" s="2">
        <f t="shared" si="76"/>
        <v>2022</v>
      </c>
      <c r="C2444" s="2" t="str">
        <f t="shared" si="77"/>
        <v>KZN226</v>
      </c>
      <c r="D2444" s="2">
        <v>826</v>
      </c>
      <c r="F2444" s="625"/>
      <c r="G2444" s="625"/>
      <c r="H2444" s="625"/>
      <c r="I2444" s="625"/>
      <c r="J2444" s="625"/>
      <c r="K2444" s="625"/>
      <c r="L2444" s="627"/>
      <c r="M2444" s="627"/>
      <c r="N2444" s="627"/>
      <c r="O2444" s="627"/>
      <c r="P2444" s="627"/>
      <c r="W2444" t="s">
        <v>2047</v>
      </c>
    </row>
    <row r="2445" spans="1:23" ht="13.15" customHeight="1" x14ac:dyDescent="0.2">
      <c r="A2445" s="2" t="s">
        <v>2200</v>
      </c>
      <c r="B2445" s="2">
        <f t="shared" si="76"/>
        <v>2022</v>
      </c>
      <c r="C2445" s="2" t="str">
        <f t="shared" si="77"/>
        <v>KZN226</v>
      </c>
      <c r="D2445" s="2">
        <v>827</v>
      </c>
      <c r="F2445" s="625"/>
      <c r="G2445" s="625"/>
      <c r="H2445" s="625"/>
      <c r="I2445" s="625"/>
      <c r="J2445" s="625"/>
      <c r="K2445" s="625"/>
      <c r="L2445" s="627"/>
      <c r="M2445" s="627"/>
      <c r="N2445" s="627"/>
      <c r="O2445" s="627"/>
      <c r="P2445" s="627"/>
      <c r="W2445" t="s">
        <v>2047</v>
      </c>
    </row>
    <row r="2446" spans="1:23" ht="13.15" customHeight="1" x14ac:dyDescent="0.2">
      <c r="A2446" s="2" t="s">
        <v>2200</v>
      </c>
      <c r="B2446" s="2">
        <f t="shared" si="76"/>
        <v>2022</v>
      </c>
      <c r="C2446" s="2" t="str">
        <f t="shared" si="77"/>
        <v>KZN226</v>
      </c>
      <c r="D2446" s="2">
        <v>828</v>
      </c>
      <c r="F2446" s="625"/>
      <c r="G2446" s="625"/>
      <c r="H2446" s="625"/>
      <c r="I2446" s="625"/>
      <c r="J2446" s="625"/>
      <c r="K2446" s="625"/>
      <c r="L2446" s="627"/>
      <c r="M2446" s="627"/>
      <c r="N2446" s="627"/>
      <c r="O2446" s="627"/>
      <c r="P2446" s="627"/>
      <c r="W2446" t="s">
        <v>2047</v>
      </c>
    </row>
    <row r="2447" spans="1:23" ht="13.15" customHeight="1" x14ac:dyDescent="0.2">
      <c r="A2447" s="2" t="s">
        <v>2200</v>
      </c>
      <c r="B2447" s="2">
        <f t="shared" si="76"/>
        <v>2022</v>
      </c>
      <c r="C2447" s="2" t="str">
        <f t="shared" si="77"/>
        <v>KZN226</v>
      </c>
      <c r="D2447" s="2">
        <v>829</v>
      </c>
      <c r="F2447" s="625"/>
      <c r="G2447" s="625"/>
      <c r="H2447" s="625"/>
      <c r="I2447" s="625"/>
      <c r="J2447" s="625"/>
      <c r="K2447" s="625"/>
      <c r="L2447" s="627"/>
      <c r="M2447" s="627"/>
      <c r="N2447" s="627"/>
      <c r="O2447" s="627"/>
      <c r="P2447" s="627"/>
      <c r="W2447" t="s">
        <v>2047</v>
      </c>
    </row>
    <row r="2448" spans="1:23" ht="13.15" customHeight="1" x14ac:dyDescent="0.2">
      <c r="A2448" s="2" t="s">
        <v>2200</v>
      </c>
      <c r="B2448" s="2">
        <f t="shared" si="76"/>
        <v>2022</v>
      </c>
      <c r="C2448" s="2" t="str">
        <f t="shared" si="77"/>
        <v>KZN226</v>
      </c>
      <c r="D2448" s="2">
        <v>830</v>
      </c>
      <c r="F2448" s="625"/>
      <c r="G2448" s="625"/>
      <c r="H2448" s="625"/>
      <c r="I2448" s="625"/>
      <c r="J2448" s="625"/>
      <c r="K2448" s="625"/>
      <c r="L2448" s="627"/>
      <c r="M2448" s="627"/>
      <c r="N2448" s="627"/>
      <c r="O2448" s="627"/>
      <c r="P2448" s="627"/>
      <c r="W2448" t="s">
        <v>2047</v>
      </c>
    </row>
    <row r="2449" spans="1:23" ht="13.15" customHeight="1" x14ac:dyDescent="0.2">
      <c r="A2449" s="2" t="s">
        <v>2200</v>
      </c>
      <c r="B2449" s="2">
        <f t="shared" si="76"/>
        <v>2022</v>
      </c>
      <c r="C2449" s="2" t="str">
        <f t="shared" si="77"/>
        <v>KZN226</v>
      </c>
      <c r="D2449" s="2">
        <v>831</v>
      </c>
      <c r="F2449" s="625"/>
      <c r="G2449" s="625"/>
      <c r="H2449" s="625"/>
      <c r="I2449" s="625"/>
      <c r="J2449" s="625"/>
      <c r="K2449" s="625"/>
      <c r="L2449" s="627"/>
      <c r="M2449" s="627"/>
      <c r="N2449" s="627"/>
      <c r="O2449" s="627"/>
      <c r="P2449" s="627"/>
      <c r="W2449" t="s">
        <v>2047</v>
      </c>
    </row>
    <row r="2450" spans="1:23" ht="13.15" customHeight="1" x14ac:dyDescent="0.2">
      <c r="A2450" s="2" t="s">
        <v>2200</v>
      </c>
      <c r="B2450" s="2">
        <f t="shared" si="76"/>
        <v>2022</v>
      </c>
      <c r="C2450" s="2" t="str">
        <f t="shared" si="77"/>
        <v>KZN226</v>
      </c>
      <c r="D2450" s="2">
        <v>832</v>
      </c>
      <c r="F2450" s="625"/>
      <c r="G2450" s="625"/>
      <c r="H2450" s="625"/>
      <c r="I2450" s="625"/>
      <c r="J2450" s="625"/>
      <c r="K2450" s="625"/>
      <c r="L2450" s="627"/>
      <c r="M2450" s="627"/>
      <c r="N2450" s="627"/>
      <c r="O2450" s="627"/>
      <c r="P2450" s="627"/>
      <c r="W2450" t="s">
        <v>2047</v>
      </c>
    </row>
    <row r="2451" spans="1:23" ht="13.15" customHeight="1" x14ac:dyDescent="0.2">
      <c r="A2451" s="2" t="s">
        <v>2200</v>
      </c>
      <c r="B2451" s="2">
        <f t="shared" si="76"/>
        <v>2022</v>
      </c>
      <c r="C2451" s="2" t="str">
        <f t="shared" si="77"/>
        <v>KZN226</v>
      </c>
      <c r="D2451" s="2">
        <v>833</v>
      </c>
      <c r="F2451" s="625"/>
      <c r="G2451" s="625"/>
      <c r="H2451" s="625"/>
      <c r="I2451" s="625"/>
      <c r="J2451" s="625"/>
      <c r="K2451" s="625"/>
      <c r="L2451" s="627"/>
      <c r="M2451" s="627"/>
      <c r="N2451" s="627"/>
      <c r="O2451" s="627"/>
      <c r="P2451" s="627"/>
      <c r="W2451" t="s">
        <v>2047</v>
      </c>
    </row>
    <row r="2452" spans="1:23" ht="13.15" customHeight="1" x14ac:dyDescent="0.2">
      <c r="A2452" s="2" t="s">
        <v>2200</v>
      </c>
      <c r="B2452" s="2">
        <f t="shared" si="76"/>
        <v>2022</v>
      </c>
      <c r="C2452" s="2" t="str">
        <f t="shared" si="77"/>
        <v>KZN226</v>
      </c>
      <c r="D2452" s="2">
        <v>834</v>
      </c>
      <c r="F2452" s="625"/>
      <c r="G2452" s="625"/>
      <c r="H2452" s="625"/>
      <c r="I2452" s="625"/>
      <c r="J2452" s="625"/>
      <c r="K2452" s="625"/>
      <c r="L2452" s="627"/>
      <c r="M2452" s="627"/>
      <c r="N2452" s="627"/>
      <c r="O2452" s="627"/>
      <c r="P2452" s="627"/>
      <c r="W2452" t="s">
        <v>2047</v>
      </c>
    </row>
    <row r="2453" spans="1:23" ht="13.15" customHeight="1" x14ac:dyDescent="0.2">
      <c r="A2453" s="2" t="s">
        <v>2200</v>
      </c>
      <c r="B2453" s="2">
        <f t="shared" si="76"/>
        <v>2022</v>
      </c>
      <c r="C2453" s="2" t="str">
        <f t="shared" si="77"/>
        <v>KZN226</v>
      </c>
      <c r="D2453" s="2">
        <v>835</v>
      </c>
      <c r="F2453" s="625"/>
      <c r="G2453" s="625"/>
      <c r="H2453" s="625"/>
      <c r="I2453" s="625"/>
      <c r="J2453" s="625"/>
      <c r="K2453" s="625"/>
      <c r="L2453" s="627"/>
      <c r="M2453" s="627"/>
      <c r="N2453" s="627"/>
      <c r="O2453" s="627"/>
      <c r="P2453" s="627"/>
      <c r="W2453" t="s">
        <v>2047</v>
      </c>
    </row>
    <row r="2454" spans="1:23" ht="13.15" customHeight="1" x14ac:dyDescent="0.2">
      <c r="A2454" s="2" t="s">
        <v>2200</v>
      </c>
      <c r="B2454" s="2">
        <f t="shared" si="76"/>
        <v>2022</v>
      </c>
      <c r="C2454" s="2" t="str">
        <f t="shared" si="77"/>
        <v>KZN226</v>
      </c>
      <c r="D2454" s="2">
        <v>836</v>
      </c>
      <c r="F2454" s="625"/>
      <c r="G2454" s="625"/>
      <c r="H2454" s="625"/>
      <c r="I2454" s="625"/>
      <c r="J2454" s="625"/>
      <c r="K2454" s="625"/>
      <c r="L2454" s="627"/>
      <c r="M2454" s="627"/>
      <c r="N2454" s="627"/>
      <c r="O2454" s="627"/>
      <c r="P2454" s="627"/>
      <c r="W2454" t="s">
        <v>2047</v>
      </c>
    </row>
    <row r="2455" spans="1:23" ht="13.15" customHeight="1" x14ac:dyDescent="0.2">
      <c r="A2455" s="2" t="s">
        <v>2200</v>
      </c>
      <c r="B2455" s="2">
        <f t="shared" si="76"/>
        <v>2022</v>
      </c>
      <c r="C2455" s="2" t="str">
        <f t="shared" si="77"/>
        <v>KZN226</v>
      </c>
      <c r="D2455" s="2">
        <v>837</v>
      </c>
      <c r="F2455" s="625"/>
      <c r="G2455" s="625"/>
      <c r="H2455" s="625"/>
      <c r="I2455" s="625"/>
      <c r="J2455" s="625"/>
      <c r="K2455" s="625"/>
      <c r="L2455" s="627"/>
      <c r="M2455" s="627"/>
      <c r="N2455" s="627"/>
      <c r="O2455" s="627"/>
      <c r="P2455" s="627"/>
      <c r="W2455" t="s">
        <v>2047</v>
      </c>
    </row>
    <row r="2456" spans="1:23" ht="13.15" customHeight="1" x14ac:dyDescent="0.2">
      <c r="A2456" s="2" t="s">
        <v>2200</v>
      </c>
      <c r="B2456" s="2">
        <f t="shared" si="76"/>
        <v>2022</v>
      </c>
      <c r="C2456" s="2" t="str">
        <f t="shared" si="77"/>
        <v>KZN226</v>
      </c>
      <c r="D2456" s="2">
        <v>838</v>
      </c>
      <c r="F2456" s="625"/>
      <c r="G2456" s="625"/>
      <c r="H2456" s="625"/>
      <c r="I2456" s="625"/>
      <c r="J2456" s="625"/>
      <c r="K2456" s="625"/>
      <c r="L2456" s="627"/>
      <c r="M2456" s="627"/>
      <c r="N2456" s="627"/>
      <c r="O2456" s="627"/>
      <c r="P2456" s="627"/>
      <c r="W2456" t="s">
        <v>2047</v>
      </c>
    </row>
    <row r="2457" spans="1:23" ht="13.15" customHeight="1" x14ac:dyDescent="0.2">
      <c r="A2457" s="2" t="s">
        <v>2200</v>
      </c>
      <c r="B2457" s="2">
        <f t="shared" si="76"/>
        <v>2022</v>
      </c>
      <c r="C2457" s="2" t="str">
        <f t="shared" si="77"/>
        <v>KZN226</v>
      </c>
      <c r="D2457" s="2">
        <v>839</v>
      </c>
      <c r="F2457" s="625"/>
      <c r="G2457" s="625"/>
      <c r="H2457" s="625"/>
      <c r="I2457" s="625"/>
      <c r="J2457" s="625"/>
      <c r="K2457" s="625"/>
      <c r="L2457" s="627"/>
      <c r="M2457" s="627"/>
      <c r="N2457" s="627"/>
      <c r="O2457" s="627"/>
      <c r="P2457" s="627"/>
      <c r="W2457" t="s">
        <v>2047</v>
      </c>
    </row>
    <row r="2458" spans="1:23" ht="13.15" customHeight="1" x14ac:dyDescent="0.2">
      <c r="A2458" s="2" t="s">
        <v>2200</v>
      </c>
      <c r="B2458" s="2">
        <f t="shared" si="76"/>
        <v>2022</v>
      </c>
      <c r="C2458" s="2" t="str">
        <f t="shared" si="77"/>
        <v>KZN226</v>
      </c>
      <c r="D2458" s="2">
        <v>840</v>
      </c>
      <c r="F2458" s="625"/>
      <c r="G2458" s="625"/>
      <c r="H2458" s="625"/>
      <c r="I2458" s="625"/>
      <c r="J2458" s="625"/>
      <c r="K2458" s="625"/>
      <c r="L2458" s="627"/>
      <c r="M2458" s="627"/>
      <c r="N2458" s="627"/>
      <c r="O2458" s="627"/>
      <c r="P2458" s="627"/>
      <c r="W2458" t="s">
        <v>2047</v>
      </c>
    </row>
    <row r="2459" spans="1:23" ht="13.15" customHeight="1" x14ac:dyDescent="0.2">
      <c r="A2459" s="2" t="s">
        <v>2200</v>
      </c>
      <c r="B2459" s="2">
        <f t="shared" si="76"/>
        <v>2022</v>
      </c>
      <c r="C2459" s="2" t="str">
        <f t="shared" si="77"/>
        <v>KZN226</v>
      </c>
      <c r="D2459" s="2">
        <v>841</v>
      </c>
      <c r="F2459" s="625"/>
      <c r="G2459" s="625"/>
      <c r="H2459" s="625"/>
      <c r="I2459" s="625"/>
      <c r="J2459" s="625"/>
      <c r="K2459" s="625"/>
      <c r="L2459" s="627"/>
      <c r="M2459" s="627"/>
      <c r="N2459" s="627"/>
      <c r="O2459" s="627"/>
      <c r="P2459" s="627"/>
      <c r="W2459" t="s">
        <v>2047</v>
      </c>
    </row>
    <row r="2460" spans="1:23" ht="13.15" customHeight="1" x14ac:dyDescent="0.2">
      <c r="A2460" s="2" t="s">
        <v>2200</v>
      </c>
      <c r="B2460" s="2">
        <f t="shared" si="76"/>
        <v>2022</v>
      </c>
      <c r="C2460" s="2" t="str">
        <f t="shared" si="77"/>
        <v>KZN226</v>
      </c>
      <c r="D2460" s="2">
        <v>842</v>
      </c>
      <c r="F2460" s="625"/>
      <c r="G2460" s="625"/>
      <c r="H2460" s="625"/>
      <c r="I2460" s="625"/>
      <c r="J2460" s="625"/>
      <c r="K2460" s="625"/>
      <c r="L2460" s="627"/>
      <c r="M2460" s="627"/>
      <c r="N2460" s="627"/>
      <c r="O2460" s="627"/>
      <c r="P2460" s="627"/>
      <c r="W2460" t="s">
        <v>2047</v>
      </c>
    </row>
    <row r="2461" spans="1:23" ht="13.15" customHeight="1" x14ac:dyDescent="0.2">
      <c r="A2461" s="2" t="s">
        <v>2200</v>
      </c>
      <c r="B2461" s="2">
        <f t="shared" si="76"/>
        <v>2022</v>
      </c>
      <c r="C2461" s="2" t="str">
        <f t="shared" si="77"/>
        <v>KZN226</v>
      </c>
      <c r="D2461" s="2">
        <v>843</v>
      </c>
      <c r="F2461" s="625"/>
      <c r="G2461" s="625"/>
      <c r="H2461" s="625"/>
      <c r="I2461" s="625"/>
      <c r="J2461" s="625"/>
      <c r="K2461" s="625"/>
      <c r="L2461" s="627"/>
      <c r="M2461" s="627"/>
      <c r="N2461" s="627"/>
      <c r="O2461" s="627"/>
      <c r="P2461" s="627"/>
      <c r="W2461" t="s">
        <v>2047</v>
      </c>
    </row>
    <row r="2462" spans="1:23" ht="13.15" customHeight="1" x14ac:dyDescent="0.2">
      <c r="A2462" s="2" t="s">
        <v>2200</v>
      </c>
      <c r="B2462" s="2">
        <f t="shared" si="76"/>
        <v>2022</v>
      </c>
      <c r="C2462" s="2" t="str">
        <f t="shared" si="77"/>
        <v>KZN226</v>
      </c>
      <c r="D2462" s="2">
        <v>844</v>
      </c>
      <c r="F2462" s="625"/>
      <c r="G2462" s="625"/>
      <c r="H2462" s="625"/>
      <c r="I2462" s="625"/>
      <c r="J2462" s="625"/>
      <c r="K2462" s="625"/>
      <c r="L2462" s="627"/>
      <c r="M2462" s="627"/>
      <c r="N2462" s="627"/>
      <c r="O2462" s="627"/>
      <c r="P2462" s="627"/>
      <c r="W2462" t="s">
        <v>2047</v>
      </c>
    </row>
    <row r="2463" spans="1:23" ht="13.15" customHeight="1" x14ac:dyDescent="0.2">
      <c r="A2463" s="2" t="s">
        <v>2200</v>
      </c>
      <c r="B2463" s="2">
        <f t="shared" si="76"/>
        <v>2022</v>
      </c>
      <c r="C2463" s="2" t="str">
        <f t="shared" si="77"/>
        <v>KZN226</v>
      </c>
      <c r="D2463" s="2">
        <v>845</v>
      </c>
      <c r="F2463" s="625"/>
      <c r="G2463" s="625"/>
      <c r="H2463" s="625"/>
      <c r="I2463" s="625"/>
      <c r="J2463" s="625"/>
      <c r="K2463" s="625"/>
      <c r="L2463" s="627"/>
      <c r="M2463" s="627"/>
      <c r="N2463" s="627"/>
      <c r="O2463" s="627"/>
      <c r="P2463" s="627"/>
      <c r="W2463" t="s">
        <v>2047</v>
      </c>
    </row>
    <row r="2464" spans="1:23" ht="13.15" customHeight="1" x14ac:dyDescent="0.2">
      <c r="A2464" s="2" t="s">
        <v>2200</v>
      </c>
      <c r="B2464" s="2">
        <f t="shared" si="76"/>
        <v>2022</v>
      </c>
      <c r="C2464" s="2" t="str">
        <f t="shared" si="77"/>
        <v>KZN226</v>
      </c>
      <c r="D2464" s="2">
        <v>846</v>
      </c>
      <c r="F2464" s="625"/>
      <c r="G2464" s="625"/>
      <c r="H2464" s="625"/>
      <c r="I2464" s="625"/>
      <c r="J2464" s="625"/>
      <c r="K2464" s="625"/>
      <c r="L2464" s="627"/>
      <c r="M2464" s="627"/>
      <c r="N2464" s="627"/>
      <c r="O2464" s="627"/>
      <c r="P2464" s="627"/>
      <c r="W2464" t="s">
        <v>2047</v>
      </c>
    </row>
    <row r="2465" spans="1:23" ht="13.15" customHeight="1" x14ac:dyDescent="0.2">
      <c r="A2465" s="2" t="s">
        <v>2200</v>
      </c>
      <c r="B2465" s="2">
        <f t="shared" si="76"/>
        <v>2022</v>
      </c>
      <c r="C2465" s="2" t="str">
        <f t="shared" si="77"/>
        <v>KZN226</v>
      </c>
      <c r="D2465" s="2">
        <v>847</v>
      </c>
      <c r="F2465" s="625"/>
      <c r="G2465" s="625"/>
      <c r="H2465" s="625"/>
      <c r="I2465" s="625"/>
      <c r="J2465" s="625"/>
      <c r="K2465" s="625"/>
      <c r="L2465" s="627"/>
      <c r="M2465" s="627"/>
      <c r="N2465" s="627"/>
      <c r="O2465" s="627"/>
      <c r="P2465" s="627"/>
      <c r="W2465" t="s">
        <v>2047</v>
      </c>
    </row>
    <row r="2466" spans="1:23" ht="13.15" customHeight="1" x14ac:dyDescent="0.2">
      <c r="A2466" s="2" t="s">
        <v>2200</v>
      </c>
      <c r="B2466" s="2">
        <f t="shared" si="76"/>
        <v>2022</v>
      </c>
      <c r="C2466" s="2" t="str">
        <f t="shared" si="77"/>
        <v>KZN226</v>
      </c>
      <c r="D2466" s="2">
        <v>848</v>
      </c>
      <c r="F2466" s="625"/>
      <c r="G2466" s="625"/>
      <c r="H2466" s="625"/>
      <c r="I2466" s="625"/>
      <c r="J2466" s="625"/>
      <c r="K2466" s="625"/>
      <c r="L2466" s="627"/>
      <c r="M2466" s="627"/>
      <c r="N2466" s="627"/>
      <c r="O2466" s="627"/>
      <c r="P2466" s="627"/>
      <c r="W2466" t="s">
        <v>2047</v>
      </c>
    </row>
    <row r="2467" spans="1:23" ht="13.15" customHeight="1" x14ac:dyDescent="0.2">
      <c r="A2467" s="2" t="s">
        <v>2200</v>
      </c>
      <c r="B2467" s="2">
        <f t="shared" si="76"/>
        <v>2022</v>
      </c>
      <c r="C2467" s="2" t="str">
        <f t="shared" si="77"/>
        <v>KZN226</v>
      </c>
      <c r="D2467" s="2">
        <v>849</v>
      </c>
      <c r="F2467" s="625"/>
      <c r="G2467" s="625"/>
      <c r="H2467" s="625"/>
      <c r="I2467" s="625"/>
      <c r="J2467" s="625"/>
      <c r="K2467" s="625"/>
      <c r="L2467" s="627"/>
      <c r="M2467" s="627"/>
      <c r="N2467" s="627"/>
      <c r="O2467" s="627"/>
      <c r="P2467" s="627"/>
      <c r="W2467" t="s">
        <v>2047</v>
      </c>
    </row>
    <row r="2468" spans="1:23" ht="13.15" customHeight="1" x14ac:dyDescent="0.2">
      <c r="A2468" s="2" t="s">
        <v>2200</v>
      </c>
      <c r="B2468" s="2">
        <f t="shared" si="76"/>
        <v>2022</v>
      </c>
      <c r="C2468" s="2" t="str">
        <f t="shared" si="77"/>
        <v>KZN226</v>
      </c>
      <c r="D2468" s="2">
        <v>850</v>
      </c>
      <c r="F2468" s="625"/>
      <c r="G2468" s="625"/>
      <c r="H2468" s="625"/>
      <c r="I2468" s="625"/>
      <c r="J2468" s="625"/>
      <c r="K2468" s="625"/>
      <c r="L2468" s="627"/>
      <c r="M2468" s="627"/>
      <c r="N2468" s="627"/>
      <c r="O2468" s="627"/>
      <c r="P2468" s="627"/>
      <c r="W2468" t="s">
        <v>2047</v>
      </c>
    </row>
    <row r="2469" spans="1:23" ht="13.15" customHeight="1" x14ac:dyDescent="0.2">
      <c r="A2469" s="2" t="s">
        <v>2200</v>
      </c>
      <c r="B2469" s="2">
        <f t="shared" si="76"/>
        <v>2022</v>
      </c>
      <c r="C2469" s="2" t="str">
        <f t="shared" si="77"/>
        <v>KZN226</v>
      </c>
      <c r="D2469" s="2">
        <v>851</v>
      </c>
      <c r="F2469" s="625"/>
      <c r="G2469" s="625"/>
      <c r="H2469" s="625"/>
      <c r="I2469" s="625"/>
      <c r="J2469" s="625"/>
      <c r="K2469" s="625"/>
      <c r="L2469" s="627"/>
      <c r="M2469" s="627"/>
      <c r="N2469" s="627"/>
      <c r="O2469" s="627"/>
      <c r="P2469" s="627"/>
      <c r="W2469" t="s">
        <v>2047</v>
      </c>
    </row>
    <row r="2470" spans="1:23" ht="13.15" customHeight="1" x14ac:dyDescent="0.2">
      <c r="A2470" s="2" t="s">
        <v>2200</v>
      </c>
      <c r="B2470" s="2">
        <f t="shared" si="76"/>
        <v>2022</v>
      </c>
      <c r="C2470" s="2" t="str">
        <f t="shared" si="77"/>
        <v>KZN226</v>
      </c>
      <c r="D2470" s="2">
        <v>852</v>
      </c>
      <c r="F2470" s="625"/>
      <c r="G2470" s="625"/>
      <c r="H2470" s="625"/>
      <c r="I2470" s="625"/>
      <c r="J2470" s="625"/>
      <c r="K2470" s="625"/>
      <c r="L2470" s="627"/>
      <c r="M2470" s="627"/>
      <c r="N2470" s="627"/>
      <c r="O2470" s="627"/>
      <c r="P2470" s="627"/>
      <c r="W2470" t="s">
        <v>2047</v>
      </c>
    </row>
    <row r="2471" spans="1:23" ht="13.15" customHeight="1" x14ac:dyDescent="0.2">
      <c r="A2471" s="2" t="s">
        <v>2200</v>
      </c>
      <c r="B2471" s="2">
        <f t="shared" si="76"/>
        <v>2022</v>
      </c>
      <c r="C2471" s="2" t="str">
        <f t="shared" si="77"/>
        <v>KZN226</v>
      </c>
      <c r="D2471" s="2">
        <v>853</v>
      </c>
      <c r="F2471" s="625"/>
      <c r="G2471" s="625"/>
      <c r="H2471" s="625"/>
      <c r="I2471" s="625"/>
      <c r="J2471" s="625"/>
      <c r="K2471" s="625"/>
      <c r="L2471" s="627"/>
      <c r="M2471" s="627"/>
      <c r="N2471" s="627"/>
      <c r="O2471" s="627"/>
      <c r="P2471" s="627"/>
      <c r="W2471" t="s">
        <v>2047</v>
      </c>
    </row>
    <row r="2472" spans="1:23" ht="13.15" customHeight="1" x14ac:dyDescent="0.2">
      <c r="A2472" s="2" t="s">
        <v>2200</v>
      </c>
      <c r="B2472" s="2">
        <f t="shared" si="76"/>
        <v>2022</v>
      </c>
      <c r="C2472" s="2" t="str">
        <f t="shared" si="77"/>
        <v>KZN226</v>
      </c>
      <c r="D2472" s="2">
        <v>854</v>
      </c>
      <c r="F2472" s="625"/>
      <c r="G2472" s="625"/>
      <c r="H2472" s="625"/>
      <c r="I2472" s="625"/>
      <c r="J2472" s="625"/>
      <c r="K2472" s="625"/>
      <c r="L2472" s="627"/>
      <c r="M2472" s="627"/>
      <c r="N2472" s="627"/>
      <c r="O2472" s="627"/>
      <c r="P2472" s="627"/>
      <c r="W2472" t="s">
        <v>2047</v>
      </c>
    </row>
    <row r="2473" spans="1:23" ht="13.15" customHeight="1" x14ac:dyDescent="0.2">
      <c r="A2473" s="2" t="s">
        <v>2200</v>
      </c>
      <c r="B2473" s="2">
        <f t="shared" si="76"/>
        <v>2022</v>
      </c>
      <c r="C2473" s="2" t="str">
        <f t="shared" si="77"/>
        <v>KZN226</v>
      </c>
      <c r="D2473" s="2">
        <v>855</v>
      </c>
      <c r="F2473" s="625"/>
      <c r="G2473" s="625"/>
      <c r="H2473" s="625"/>
      <c r="I2473" s="625"/>
      <c r="J2473" s="625"/>
      <c r="K2473" s="625"/>
      <c r="L2473" s="627"/>
      <c r="M2473" s="627"/>
      <c r="N2473" s="627"/>
      <c r="O2473" s="627"/>
      <c r="P2473" s="627"/>
      <c r="W2473" t="s">
        <v>2047</v>
      </c>
    </row>
    <row r="2474" spans="1:23" ht="13.15" customHeight="1" x14ac:dyDescent="0.2">
      <c r="A2474" s="2" t="s">
        <v>2200</v>
      </c>
      <c r="B2474" s="2">
        <f t="shared" si="76"/>
        <v>2022</v>
      </c>
      <c r="C2474" s="2" t="str">
        <f t="shared" si="77"/>
        <v>KZN226</v>
      </c>
      <c r="D2474" s="2">
        <v>856</v>
      </c>
      <c r="F2474" s="625"/>
      <c r="G2474" s="625"/>
      <c r="H2474" s="625"/>
      <c r="I2474" s="625"/>
      <c r="J2474" s="625"/>
      <c r="K2474" s="625"/>
      <c r="L2474" s="627"/>
      <c r="M2474" s="627"/>
      <c r="N2474" s="627"/>
      <c r="O2474" s="627"/>
      <c r="P2474" s="627"/>
      <c r="W2474" t="s">
        <v>2047</v>
      </c>
    </row>
    <row r="2475" spans="1:23" ht="13.15" customHeight="1" x14ac:dyDescent="0.2">
      <c r="A2475" s="2" t="s">
        <v>2200</v>
      </c>
      <c r="B2475" s="2">
        <f t="shared" si="76"/>
        <v>2022</v>
      </c>
      <c r="C2475" s="2" t="str">
        <f t="shared" si="77"/>
        <v>KZN226</v>
      </c>
      <c r="D2475" s="2">
        <v>857</v>
      </c>
      <c r="F2475" s="625"/>
      <c r="G2475" s="625"/>
      <c r="H2475" s="625"/>
      <c r="I2475" s="625"/>
      <c r="J2475" s="625"/>
      <c r="K2475" s="625"/>
      <c r="L2475" s="627"/>
      <c r="M2475" s="627"/>
      <c r="N2475" s="627"/>
      <c r="O2475" s="627"/>
      <c r="P2475" s="627"/>
      <c r="W2475" t="s">
        <v>2047</v>
      </c>
    </row>
    <row r="2476" spans="1:23" ht="13.15" customHeight="1" x14ac:dyDescent="0.2">
      <c r="A2476" s="2" t="s">
        <v>2200</v>
      </c>
      <c r="B2476" s="2">
        <f t="shared" si="76"/>
        <v>2022</v>
      </c>
      <c r="C2476" s="2" t="str">
        <f t="shared" si="77"/>
        <v>KZN226</v>
      </c>
      <c r="D2476" s="2">
        <v>858</v>
      </c>
      <c r="F2476" s="625"/>
      <c r="G2476" s="625"/>
      <c r="H2476" s="625"/>
      <c r="I2476" s="625"/>
      <c r="J2476" s="625"/>
      <c r="K2476" s="625"/>
      <c r="L2476" s="627"/>
      <c r="M2476" s="627"/>
      <c r="N2476" s="627"/>
      <c r="O2476" s="627"/>
      <c r="P2476" s="627"/>
      <c r="W2476" t="s">
        <v>2047</v>
      </c>
    </row>
    <row r="2477" spans="1:23" ht="13.15" customHeight="1" x14ac:dyDescent="0.2">
      <c r="A2477" s="2" t="s">
        <v>2200</v>
      </c>
      <c r="B2477" s="2">
        <f t="shared" si="76"/>
        <v>2022</v>
      </c>
      <c r="C2477" s="2" t="str">
        <f t="shared" si="77"/>
        <v>KZN226</v>
      </c>
      <c r="D2477" s="2">
        <v>859</v>
      </c>
      <c r="F2477" s="625"/>
      <c r="G2477" s="625"/>
      <c r="H2477" s="625"/>
      <c r="I2477" s="625"/>
      <c r="J2477" s="625"/>
      <c r="K2477" s="625"/>
      <c r="L2477" s="627"/>
      <c r="M2477" s="627"/>
      <c r="N2477" s="627"/>
      <c r="O2477" s="627"/>
      <c r="P2477" s="627"/>
      <c r="W2477" t="s">
        <v>2047</v>
      </c>
    </row>
    <row r="2478" spans="1:23" ht="13.15" customHeight="1" x14ac:dyDescent="0.2">
      <c r="A2478" s="2" t="s">
        <v>2200</v>
      </c>
      <c r="B2478" s="2">
        <f t="shared" si="76"/>
        <v>2022</v>
      </c>
      <c r="C2478" s="2" t="str">
        <f t="shared" si="77"/>
        <v>KZN226</v>
      </c>
      <c r="D2478" s="2">
        <v>860</v>
      </c>
      <c r="F2478" s="625"/>
      <c r="G2478" s="625"/>
      <c r="H2478" s="625"/>
      <c r="I2478" s="625"/>
      <c r="J2478" s="625"/>
      <c r="K2478" s="625"/>
      <c r="L2478" s="627"/>
      <c r="M2478" s="627"/>
      <c r="N2478" s="627"/>
      <c r="O2478" s="627"/>
      <c r="P2478" s="627"/>
      <c r="W2478" t="s">
        <v>2047</v>
      </c>
    </row>
    <row r="2479" spans="1:23" ht="13.15" customHeight="1" x14ac:dyDescent="0.2">
      <c r="A2479" s="2" t="s">
        <v>2200</v>
      </c>
      <c r="B2479" s="2">
        <f t="shared" si="76"/>
        <v>2022</v>
      </c>
      <c r="C2479" s="2" t="str">
        <f t="shared" si="77"/>
        <v>KZN226</v>
      </c>
      <c r="D2479" s="2">
        <v>861</v>
      </c>
      <c r="F2479" s="625"/>
      <c r="G2479" s="625"/>
      <c r="H2479" s="625"/>
      <c r="I2479" s="625"/>
      <c r="J2479" s="625"/>
      <c r="K2479" s="625"/>
      <c r="L2479" s="627"/>
      <c r="M2479" s="627"/>
      <c r="N2479" s="627"/>
      <c r="O2479" s="627"/>
      <c r="P2479" s="627"/>
      <c r="W2479" t="s">
        <v>2047</v>
      </c>
    </row>
    <row r="2480" spans="1:23" ht="13.15" customHeight="1" x14ac:dyDescent="0.2">
      <c r="A2480" s="2" t="s">
        <v>2200</v>
      </c>
      <c r="B2480" s="2">
        <f t="shared" si="76"/>
        <v>2022</v>
      </c>
      <c r="C2480" s="2" t="str">
        <f t="shared" si="77"/>
        <v>KZN226</v>
      </c>
      <c r="D2480" s="2">
        <v>862</v>
      </c>
      <c r="F2480" s="625"/>
      <c r="G2480" s="625"/>
      <c r="H2480" s="625"/>
      <c r="I2480" s="625"/>
      <c r="J2480" s="625"/>
      <c r="K2480" s="625"/>
      <c r="L2480" s="627"/>
      <c r="M2480" s="627"/>
      <c r="N2480" s="627"/>
      <c r="O2480" s="627"/>
      <c r="P2480" s="627"/>
      <c r="W2480" t="s">
        <v>2047</v>
      </c>
    </row>
    <row r="2481" spans="1:23" ht="13.15" customHeight="1" x14ac:dyDescent="0.2">
      <c r="A2481" s="2" t="s">
        <v>2200</v>
      </c>
      <c r="B2481" s="2">
        <f t="shared" si="76"/>
        <v>2022</v>
      </c>
      <c r="C2481" s="2" t="str">
        <f t="shared" si="77"/>
        <v>KZN226</v>
      </c>
      <c r="D2481" s="2">
        <v>863</v>
      </c>
      <c r="F2481" s="625"/>
      <c r="G2481" s="625"/>
      <c r="H2481" s="625"/>
      <c r="I2481" s="625"/>
      <c r="J2481" s="625"/>
      <c r="K2481" s="625"/>
      <c r="L2481" s="627"/>
      <c r="M2481" s="627"/>
      <c r="N2481" s="627"/>
      <c r="O2481" s="627"/>
      <c r="P2481" s="627"/>
      <c r="W2481" t="s">
        <v>2047</v>
      </c>
    </row>
    <row r="2482" spans="1:23" ht="13.15" customHeight="1" x14ac:dyDescent="0.2">
      <c r="A2482" s="2" t="s">
        <v>2200</v>
      </c>
      <c r="B2482" s="2">
        <f t="shared" si="76"/>
        <v>2022</v>
      </c>
      <c r="C2482" s="2" t="str">
        <f t="shared" si="77"/>
        <v>KZN226</v>
      </c>
      <c r="D2482" s="2">
        <v>864</v>
      </c>
      <c r="F2482" s="625"/>
      <c r="G2482" s="625"/>
      <c r="H2482" s="625"/>
      <c r="I2482" s="625"/>
      <c r="J2482" s="625"/>
      <c r="K2482" s="625"/>
      <c r="L2482" s="627"/>
      <c r="M2482" s="627"/>
      <c r="N2482" s="627"/>
      <c r="O2482" s="627"/>
      <c r="P2482" s="627"/>
      <c r="W2482" t="s">
        <v>2047</v>
      </c>
    </row>
    <row r="2483" spans="1:23" ht="13.15" customHeight="1" x14ac:dyDescent="0.2">
      <c r="A2483" s="2" t="s">
        <v>2200</v>
      </c>
      <c r="B2483" s="2">
        <f t="shared" si="76"/>
        <v>2022</v>
      </c>
      <c r="C2483" s="2" t="str">
        <f t="shared" si="77"/>
        <v>KZN226</v>
      </c>
      <c r="D2483" s="2">
        <v>865</v>
      </c>
      <c r="F2483" s="625"/>
      <c r="G2483" s="625"/>
      <c r="H2483" s="625"/>
      <c r="I2483" s="625"/>
      <c r="J2483" s="625"/>
      <c r="K2483" s="625"/>
      <c r="L2483" s="627"/>
      <c r="M2483" s="627"/>
      <c r="N2483" s="627"/>
      <c r="O2483" s="627"/>
      <c r="P2483" s="627"/>
      <c r="W2483" t="s">
        <v>2047</v>
      </c>
    </row>
    <row r="2484" spans="1:23" ht="13.15" customHeight="1" x14ac:dyDescent="0.2">
      <c r="A2484" s="2" t="s">
        <v>2200</v>
      </c>
      <c r="B2484" s="2">
        <f t="shared" si="76"/>
        <v>2022</v>
      </c>
      <c r="C2484" s="2" t="str">
        <f t="shared" si="77"/>
        <v>KZN226</v>
      </c>
      <c r="D2484" s="2">
        <v>866</v>
      </c>
      <c r="F2484" s="625"/>
      <c r="G2484" s="625"/>
      <c r="H2484" s="625"/>
      <c r="I2484" s="625"/>
      <c r="J2484" s="625"/>
      <c r="K2484" s="625"/>
      <c r="L2484" s="627"/>
      <c r="M2484" s="627"/>
      <c r="N2484" s="627"/>
      <c r="O2484" s="627"/>
      <c r="P2484" s="627"/>
      <c r="W2484" t="s">
        <v>2047</v>
      </c>
    </row>
    <row r="2485" spans="1:23" ht="13.15" customHeight="1" x14ac:dyDescent="0.2">
      <c r="A2485" s="2" t="s">
        <v>2200</v>
      </c>
      <c r="B2485" s="2">
        <f t="shared" si="76"/>
        <v>2022</v>
      </c>
      <c r="C2485" s="2" t="str">
        <f t="shared" si="77"/>
        <v>KZN226</v>
      </c>
      <c r="D2485" s="2">
        <v>867</v>
      </c>
      <c r="F2485" s="625"/>
      <c r="G2485" s="625"/>
      <c r="H2485" s="625"/>
      <c r="I2485" s="625"/>
      <c r="J2485" s="625"/>
      <c r="K2485" s="625"/>
      <c r="L2485" s="627"/>
      <c r="M2485" s="627"/>
      <c r="N2485" s="627"/>
      <c r="O2485" s="627"/>
      <c r="P2485" s="627"/>
      <c r="W2485" t="s">
        <v>2047</v>
      </c>
    </row>
    <row r="2486" spans="1:23" ht="13.15" customHeight="1" x14ac:dyDescent="0.2">
      <c r="A2486" s="2" t="s">
        <v>2200</v>
      </c>
      <c r="B2486" s="2">
        <f t="shared" si="76"/>
        <v>2022</v>
      </c>
      <c r="C2486" s="2" t="str">
        <f t="shared" si="77"/>
        <v>KZN226</v>
      </c>
      <c r="D2486" s="2">
        <v>868</v>
      </c>
      <c r="F2486" s="625"/>
      <c r="G2486" s="625"/>
      <c r="H2486" s="625"/>
      <c r="I2486" s="625"/>
      <c r="J2486" s="625"/>
      <c r="K2486" s="625"/>
      <c r="L2486" s="627"/>
      <c r="M2486" s="627"/>
      <c r="N2486" s="627"/>
      <c r="O2486" s="627"/>
      <c r="P2486" s="627"/>
      <c r="W2486" t="s">
        <v>2047</v>
      </c>
    </row>
    <row r="2487" spans="1:23" ht="13.15" customHeight="1" x14ac:dyDescent="0.2">
      <c r="A2487" s="2" t="s">
        <v>2200</v>
      </c>
      <c r="B2487" s="2">
        <f t="shared" si="76"/>
        <v>2022</v>
      </c>
      <c r="C2487" s="2" t="str">
        <f t="shared" si="77"/>
        <v>KZN226</v>
      </c>
      <c r="D2487" s="2">
        <v>869</v>
      </c>
      <c r="F2487" s="625"/>
      <c r="G2487" s="625"/>
      <c r="H2487" s="625"/>
      <c r="I2487" s="625"/>
      <c r="J2487" s="625"/>
      <c r="K2487" s="625"/>
      <c r="L2487" s="627"/>
      <c r="M2487" s="627"/>
      <c r="N2487" s="627"/>
      <c r="O2487" s="627"/>
      <c r="P2487" s="627"/>
      <c r="W2487" t="s">
        <v>2047</v>
      </c>
    </row>
    <row r="2488" spans="1:23" ht="13.15" customHeight="1" x14ac:dyDescent="0.2">
      <c r="A2488" s="2" t="s">
        <v>2200</v>
      </c>
      <c r="B2488" s="2">
        <f t="shared" si="76"/>
        <v>2022</v>
      </c>
      <c r="C2488" s="2" t="str">
        <f t="shared" si="77"/>
        <v>KZN226</v>
      </c>
      <c r="D2488" s="2">
        <v>870</v>
      </c>
      <c r="F2488" s="625"/>
      <c r="G2488" s="625"/>
      <c r="H2488" s="625"/>
      <c r="I2488" s="625"/>
      <c r="J2488" s="625"/>
      <c r="K2488" s="625"/>
      <c r="L2488" s="627"/>
      <c r="M2488" s="627"/>
      <c r="N2488" s="627"/>
      <c r="O2488" s="627"/>
      <c r="P2488" s="627"/>
      <c r="W2488" t="s">
        <v>2047</v>
      </c>
    </row>
    <row r="2489" spans="1:23" ht="13.15" customHeight="1" x14ac:dyDescent="0.2">
      <c r="A2489" s="2" t="s">
        <v>2200</v>
      </c>
      <c r="B2489" s="2">
        <f t="shared" si="76"/>
        <v>2022</v>
      </c>
      <c r="C2489" s="2" t="str">
        <f t="shared" si="77"/>
        <v>KZN226</v>
      </c>
      <c r="D2489" s="2">
        <v>871</v>
      </c>
      <c r="F2489" s="625"/>
      <c r="G2489" s="625"/>
      <c r="H2489" s="625"/>
      <c r="I2489" s="625"/>
      <c r="J2489" s="625"/>
      <c r="K2489" s="625"/>
      <c r="L2489" s="627"/>
      <c r="M2489" s="627"/>
      <c r="N2489" s="627"/>
      <c r="O2489" s="627"/>
      <c r="P2489" s="627"/>
      <c r="W2489" t="s">
        <v>2047</v>
      </c>
    </row>
    <row r="2490" spans="1:23" ht="13.15" customHeight="1" x14ac:dyDescent="0.2">
      <c r="A2490" s="2" t="s">
        <v>2200</v>
      </c>
      <c r="B2490" s="2">
        <f t="shared" si="76"/>
        <v>2022</v>
      </c>
      <c r="C2490" s="2" t="str">
        <f t="shared" si="77"/>
        <v>KZN226</v>
      </c>
      <c r="D2490" s="2">
        <v>872</v>
      </c>
      <c r="F2490" s="625"/>
      <c r="G2490" s="625"/>
      <c r="H2490" s="625"/>
      <c r="I2490" s="625"/>
      <c r="J2490" s="625"/>
      <c r="K2490" s="625"/>
      <c r="L2490" s="627"/>
      <c r="M2490" s="627"/>
      <c r="N2490" s="627"/>
      <c r="O2490" s="627"/>
      <c r="P2490" s="627"/>
      <c r="W2490" t="s">
        <v>2047</v>
      </c>
    </row>
    <row r="2491" spans="1:23" ht="13.15" customHeight="1" x14ac:dyDescent="0.2">
      <c r="A2491" s="2" t="s">
        <v>2200</v>
      </c>
      <c r="B2491" s="2">
        <f t="shared" si="76"/>
        <v>2022</v>
      </c>
      <c r="C2491" s="2" t="str">
        <f t="shared" si="77"/>
        <v>KZN226</v>
      </c>
      <c r="D2491" s="2">
        <v>873</v>
      </c>
      <c r="F2491" s="625"/>
      <c r="G2491" s="625"/>
      <c r="H2491" s="625"/>
      <c r="I2491" s="625"/>
      <c r="J2491" s="625"/>
      <c r="K2491" s="625"/>
      <c r="L2491" s="627"/>
      <c r="M2491" s="627"/>
      <c r="N2491" s="627"/>
      <c r="O2491" s="627"/>
      <c r="P2491" s="627"/>
      <c r="W2491" t="s">
        <v>2047</v>
      </c>
    </row>
    <row r="2492" spans="1:23" ht="13.15" customHeight="1" x14ac:dyDescent="0.2">
      <c r="A2492" s="2" t="s">
        <v>2200</v>
      </c>
      <c r="B2492" s="2">
        <f t="shared" si="76"/>
        <v>2022</v>
      </c>
      <c r="C2492" s="2" t="str">
        <f t="shared" si="77"/>
        <v>KZN226</v>
      </c>
      <c r="D2492" s="2">
        <v>874</v>
      </c>
      <c r="F2492" s="625"/>
      <c r="G2492" s="625"/>
      <c r="H2492" s="625"/>
      <c r="I2492" s="625"/>
      <c r="J2492" s="625"/>
      <c r="K2492" s="625"/>
      <c r="L2492" s="627"/>
      <c r="M2492" s="627"/>
      <c r="N2492" s="627"/>
      <c r="O2492" s="627"/>
      <c r="P2492" s="627"/>
      <c r="W2492" t="s">
        <v>2047</v>
      </c>
    </row>
    <row r="2493" spans="1:23" ht="13.15" customHeight="1" x14ac:dyDescent="0.2">
      <c r="A2493" s="2" t="s">
        <v>2200</v>
      </c>
      <c r="B2493" s="2">
        <f t="shared" si="76"/>
        <v>2022</v>
      </c>
      <c r="C2493" s="2" t="str">
        <f t="shared" si="77"/>
        <v>KZN226</v>
      </c>
      <c r="D2493" s="2">
        <v>875</v>
      </c>
      <c r="F2493" s="625"/>
      <c r="G2493" s="625"/>
      <c r="H2493" s="625"/>
      <c r="I2493" s="625"/>
      <c r="J2493" s="625"/>
      <c r="K2493" s="625"/>
      <c r="L2493" s="627"/>
      <c r="M2493" s="627"/>
      <c r="N2493" s="627"/>
      <c r="O2493" s="627"/>
      <c r="P2493" s="627"/>
      <c r="W2493" t="s">
        <v>2047</v>
      </c>
    </row>
    <row r="2494" spans="1:23" ht="13.15" customHeight="1" x14ac:dyDescent="0.2">
      <c r="A2494" s="2" t="s">
        <v>2200</v>
      </c>
      <c r="B2494" s="2">
        <f t="shared" si="76"/>
        <v>2022</v>
      </c>
      <c r="C2494" s="2" t="str">
        <f t="shared" si="77"/>
        <v>KZN226</v>
      </c>
      <c r="D2494" s="2">
        <v>876</v>
      </c>
      <c r="F2494" s="625"/>
      <c r="G2494" s="625"/>
      <c r="H2494" s="625"/>
      <c r="I2494" s="625"/>
      <c r="J2494" s="625"/>
      <c r="K2494" s="625"/>
      <c r="L2494" s="627"/>
      <c r="M2494" s="627"/>
      <c r="N2494" s="627"/>
      <c r="O2494" s="627"/>
      <c r="P2494" s="627"/>
      <c r="W2494" t="s">
        <v>2047</v>
      </c>
    </row>
    <row r="2495" spans="1:23" ht="13.15" customHeight="1" x14ac:dyDescent="0.2">
      <c r="A2495" s="2" t="s">
        <v>2200</v>
      </c>
      <c r="B2495" s="2">
        <f t="shared" si="76"/>
        <v>2022</v>
      </c>
      <c r="C2495" s="2" t="str">
        <f t="shared" si="77"/>
        <v>KZN226</v>
      </c>
      <c r="D2495" s="2">
        <v>877</v>
      </c>
      <c r="F2495" s="625"/>
      <c r="G2495" s="625"/>
      <c r="H2495" s="625"/>
      <c r="I2495" s="625"/>
      <c r="J2495" s="625"/>
      <c r="K2495" s="625"/>
      <c r="L2495" s="627"/>
      <c r="M2495" s="627"/>
      <c r="N2495" s="627"/>
      <c r="O2495" s="627"/>
      <c r="P2495" s="627"/>
      <c r="W2495" t="s">
        <v>2047</v>
      </c>
    </row>
    <row r="2496" spans="1:23" ht="13.15" customHeight="1" x14ac:dyDescent="0.2">
      <c r="A2496" s="2" t="s">
        <v>2200</v>
      </c>
      <c r="B2496" s="2">
        <f t="shared" si="76"/>
        <v>2022</v>
      </c>
      <c r="C2496" s="2" t="str">
        <f t="shared" si="77"/>
        <v>KZN226</v>
      </c>
      <c r="D2496" s="2">
        <v>878</v>
      </c>
      <c r="F2496" s="625"/>
      <c r="G2496" s="625"/>
      <c r="H2496" s="625"/>
      <c r="I2496" s="625"/>
      <c r="J2496" s="625"/>
      <c r="K2496" s="625"/>
      <c r="L2496" s="627"/>
      <c r="M2496" s="627"/>
      <c r="N2496" s="627"/>
      <c r="O2496" s="627"/>
      <c r="P2496" s="627"/>
      <c r="W2496" t="s">
        <v>2047</v>
      </c>
    </row>
    <row r="2497" spans="1:23" ht="13.15" customHeight="1" x14ac:dyDescent="0.2">
      <c r="A2497" s="2" t="s">
        <v>2200</v>
      </c>
      <c r="B2497" s="2">
        <f t="shared" si="76"/>
        <v>2022</v>
      </c>
      <c r="C2497" s="2" t="str">
        <f t="shared" si="77"/>
        <v>KZN226</v>
      </c>
      <c r="D2497" s="2">
        <v>879</v>
      </c>
      <c r="F2497" s="625"/>
      <c r="G2497" s="625"/>
      <c r="H2497" s="625"/>
      <c r="I2497" s="625"/>
      <c r="J2497" s="625"/>
      <c r="K2497" s="625"/>
      <c r="L2497" s="627"/>
      <c r="M2497" s="627"/>
      <c r="N2497" s="627"/>
      <c r="O2497" s="627"/>
      <c r="P2497" s="627"/>
      <c r="W2497" t="s">
        <v>2047</v>
      </c>
    </row>
    <row r="2498" spans="1:23" ht="13.15" customHeight="1" x14ac:dyDescent="0.2">
      <c r="A2498" s="2" t="s">
        <v>2200</v>
      </c>
      <c r="B2498" s="2">
        <f t="shared" ref="B2498:B2561" si="78">+MTREF</f>
        <v>2022</v>
      </c>
      <c r="C2498" s="2" t="str">
        <f t="shared" ref="C2498:C2561" si="79">LEFT(muni,(FIND(" ",muni,1)-1))</f>
        <v>KZN226</v>
      </c>
      <c r="D2498" s="2">
        <v>880</v>
      </c>
      <c r="F2498" s="625"/>
      <c r="G2498" s="625"/>
      <c r="H2498" s="625"/>
      <c r="I2498" s="625"/>
      <c r="J2498" s="625"/>
      <c r="K2498" s="625"/>
      <c r="L2498" s="627"/>
      <c r="M2498" s="627"/>
      <c r="N2498" s="627"/>
      <c r="O2498" s="627"/>
      <c r="P2498" s="627"/>
      <c r="W2498" t="s">
        <v>2047</v>
      </c>
    </row>
    <row r="2499" spans="1:23" ht="13.15" customHeight="1" x14ac:dyDescent="0.2">
      <c r="A2499" s="2" t="s">
        <v>2200</v>
      </c>
      <c r="B2499" s="2">
        <f t="shared" si="78"/>
        <v>2022</v>
      </c>
      <c r="C2499" s="2" t="str">
        <f t="shared" si="79"/>
        <v>KZN226</v>
      </c>
      <c r="D2499" s="2">
        <v>881</v>
      </c>
      <c r="F2499" s="625"/>
      <c r="G2499" s="625"/>
      <c r="H2499" s="625"/>
      <c r="I2499" s="625"/>
      <c r="J2499" s="625"/>
      <c r="K2499" s="625"/>
      <c r="L2499" s="627"/>
      <c r="M2499" s="627"/>
      <c r="N2499" s="627"/>
      <c r="O2499" s="627"/>
      <c r="P2499" s="627"/>
      <c r="W2499" t="s">
        <v>2047</v>
      </c>
    </row>
    <row r="2500" spans="1:23" ht="13.15" customHeight="1" x14ac:dyDescent="0.2">
      <c r="A2500" s="2" t="s">
        <v>2200</v>
      </c>
      <c r="B2500" s="2">
        <f t="shared" si="78"/>
        <v>2022</v>
      </c>
      <c r="C2500" s="2" t="str">
        <f t="shared" si="79"/>
        <v>KZN226</v>
      </c>
      <c r="D2500" s="2">
        <v>882</v>
      </c>
      <c r="F2500" s="625"/>
      <c r="G2500" s="625"/>
      <c r="H2500" s="625"/>
      <c r="I2500" s="625"/>
      <c r="J2500" s="625"/>
      <c r="K2500" s="625"/>
      <c r="L2500" s="627"/>
      <c r="M2500" s="627"/>
      <c r="N2500" s="627"/>
      <c r="O2500" s="627"/>
      <c r="P2500" s="627"/>
      <c r="W2500" t="s">
        <v>2047</v>
      </c>
    </row>
    <row r="2501" spans="1:23" ht="13.15" customHeight="1" x14ac:dyDescent="0.2">
      <c r="A2501" s="2" t="s">
        <v>2200</v>
      </c>
      <c r="B2501" s="2">
        <f t="shared" si="78"/>
        <v>2022</v>
      </c>
      <c r="C2501" s="2" t="str">
        <f t="shared" si="79"/>
        <v>KZN226</v>
      </c>
      <c r="D2501" s="2">
        <v>883</v>
      </c>
      <c r="F2501" s="625"/>
      <c r="G2501" s="625"/>
      <c r="H2501" s="625"/>
      <c r="I2501" s="625"/>
      <c r="J2501" s="625"/>
      <c r="K2501" s="625"/>
      <c r="L2501" s="627"/>
      <c r="M2501" s="627"/>
      <c r="N2501" s="627"/>
      <c r="O2501" s="627"/>
      <c r="P2501" s="627"/>
      <c r="W2501" t="s">
        <v>2047</v>
      </c>
    </row>
    <row r="2502" spans="1:23" ht="13.15" customHeight="1" x14ac:dyDescent="0.2">
      <c r="A2502" s="2" t="s">
        <v>2200</v>
      </c>
      <c r="B2502" s="2">
        <f t="shared" si="78"/>
        <v>2022</v>
      </c>
      <c r="C2502" s="2" t="str">
        <f t="shared" si="79"/>
        <v>KZN226</v>
      </c>
      <c r="D2502" s="2">
        <v>884</v>
      </c>
      <c r="F2502" s="625"/>
      <c r="G2502" s="625"/>
      <c r="H2502" s="625"/>
      <c r="I2502" s="625"/>
      <c r="J2502" s="625"/>
      <c r="K2502" s="625"/>
      <c r="L2502" s="627"/>
      <c r="M2502" s="627"/>
      <c r="N2502" s="627"/>
      <c r="O2502" s="627"/>
      <c r="P2502" s="627"/>
      <c r="W2502" t="s">
        <v>2047</v>
      </c>
    </row>
    <row r="2503" spans="1:23" ht="13.15" customHeight="1" x14ac:dyDescent="0.2">
      <c r="A2503" s="2" t="s">
        <v>2200</v>
      </c>
      <c r="B2503" s="2">
        <f t="shared" si="78"/>
        <v>2022</v>
      </c>
      <c r="C2503" s="2" t="str">
        <f t="shared" si="79"/>
        <v>KZN226</v>
      </c>
      <c r="D2503" s="2">
        <v>885</v>
      </c>
      <c r="F2503" s="625"/>
      <c r="G2503" s="625"/>
      <c r="H2503" s="625"/>
      <c r="I2503" s="625"/>
      <c r="J2503" s="625"/>
      <c r="K2503" s="625"/>
      <c r="L2503" s="627"/>
      <c r="M2503" s="627"/>
      <c r="N2503" s="627"/>
      <c r="O2503" s="627"/>
      <c r="P2503" s="627"/>
      <c r="W2503" t="s">
        <v>2047</v>
      </c>
    </row>
    <row r="2504" spans="1:23" ht="13.15" customHeight="1" x14ac:dyDescent="0.2">
      <c r="A2504" s="2" t="s">
        <v>2200</v>
      </c>
      <c r="B2504" s="2">
        <f t="shared" si="78"/>
        <v>2022</v>
      </c>
      <c r="C2504" s="2" t="str">
        <f t="shared" si="79"/>
        <v>KZN226</v>
      </c>
      <c r="D2504" s="2">
        <v>886</v>
      </c>
      <c r="F2504" s="625"/>
      <c r="G2504" s="625"/>
      <c r="H2504" s="625"/>
      <c r="I2504" s="625"/>
      <c r="J2504" s="625"/>
      <c r="K2504" s="625"/>
      <c r="L2504" s="627"/>
      <c r="M2504" s="627"/>
      <c r="N2504" s="627"/>
      <c r="O2504" s="627"/>
      <c r="P2504" s="627"/>
      <c r="W2504" t="s">
        <v>2047</v>
      </c>
    </row>
    <row r="2505" spans="1:23" ht="13.15" customHeight="1" x14ac:dyDescent="0.2">
      <c r="A2505" s="2" t="s">
        <v>2200</v>
      </c>
      <c r="B2505" s="2">
        <f t="shared" si="78"/>
        <v>2022</v>
      </c>
      <c r="C2505" s="2" t="str">
        <f t="shared" si="79"/>
        <v>KZN226</v>
      </c>
      <c r="D2505" s="2">
        <v>887</v>
      </c>
      <c r="F2505" s="625"/>
      <c r="G2505" s="625"/>
      <c r="H2505" s="625"/>
      <c r="I2505" s="625"/>
      <c r="J2505" s="625"/>
      <c r="K2505" s="625"/>
      <c r="L2505" s="627"/>
      <c r="M2505" s="627"/>
      <c r="N2505" s="627"/>
      <c r="O2505" s="627"/>
      <c r="P2505" s="627"/>
      <c r="W2505" t="s">
        <v>2047</v>
      </c>
    </row>
    <row r="2506" spans="1:23" ht="13.15" customHeight="1" x14ac:dyDescent="0.2">
      <c r="A2506" s="2" t="s">
        <v>2200</v>
      </c>
      <c r="B2506" s="2">
        <f t="shared" si="78"/>
        <v>2022</v>
      </c>
      <c r="C2506" s="2" t="str">
        <f t="shared" si="79"/>
        <v>KZN226</v>
      </c>
      <c r="D2506" s="2">
        <v>888</v>
      </c>
      <c r="F2506" s="625"/>
      <c r="G2506" s="625"/>
      <c r="H2506" s="625"/>
      <c r="I2506" s="625"/>
      <c r="J2506" s="625"/>
      <c r="K2506" s="625"/>
      <c r="L2506" s="627"/>
      <c r="M2506" s="627"/>
      <c r="N2506" s="627"/>
      <c r="O2506" s="627"/>
      <c r="P2506" s="627"/>
      <c r="W2506" t="s">
        <v>2047</v>
      </c>
    </row>
    <row r="2507" spans="1:23" ht="13.15" customHeight="1" x14ac:dyDescent="0.2">
      <c r="A2507" s="2" t="s">
        <v>2200</v>
      </c>
      <c r="B2507" s="2">
        <f t="shared" si="78"/>
        <v>2022</v>
      </c>
      <c r="C2507" s="2" t="str">
        <f t="shared" si="79"/>
        <v>KZN226</v>
      </c>
      <c r="D2507" s="2">
        <v>889</v>
      </c>
      <c r="F2507" s="625"/>
      <c r="G2507" s="625"/>
      <c r="H2507" s="625"/>
      <c r="I2507" s="625"/>
      <c r="J2507" s="625"/>
      <c r="K2507" s="625"/>
      <c r="L2507" s="627"/>
      <c r="M2507" s="627"/>
      <c r="N2507" s="627"/>
      <c r="O2507" s="627"/>
      <c r="P2507" s="627"/>
      <c r="W2507" t="s">
        <v>2047</v>
      </c>
    </row>
    <row r="2508" spans="1:23" ht="13.15" customHeight="1" x14ac:dyDescent="0.2">
      <c r="A2508" s="2" t="s">
        <v>2200</v>
      </c>
      <c r="B2508" s="2">
        <f t="shared" si="78"/>
        <v>2022</v>
      </c>
      <c r="C2508" s="2" t="str">
        <f t="shared" si="79"/>
        <v>KZN226</v>
      </c>
      <c r="D2508" s="2">
        <v>890</v>
      </c>
      <c r="F2508" s="625"/>
      <c r="G2508" s="625"/>
      <c r="H2508" s="625"/>
      <c r="I2508" s="625"/>
      <c r="J2508" s="625"/>
      <c r="K2508" s="625"/>
      <c r="L2508" s="627"/>
      <c r="M2508" s="627"/>
      <c r="N2508" s="627"/>
      <c r="O2508" s="627"/>
      <c r="P2508" s="627"/>
      <c r="W2508" t="s">
        <v>2047</v>
      </c>
    </row>
    <row r="2509" spans="1:23" ht="13.15" customHeight="1" x14ac:dyDescent="0.2">
      <c r="A2509" s="2" t="s">
        <v>2200</v>
      </c>
      <c r="B2509" s="2">
        <f t="shared" si="78"/>
        <v>2022</v>
      </c>
      <c r="C2509" s="2" t="str">
        <f t="shared" si="79"/>
        <v>KZN226</v>
      </c>
      <c r="D2509" s="2">
        <v>891</v>
      </c>
      <c r="F2509" s="625"/>
      <c r="G2509" s="625"/>
      <c r="H2509" s="625"/>
      <c r="I2509" s="625"/>
      <c r="J2509" s="625"/>
      <c r="K2509" s="625"/>
      <c r="L2509" s="627"/>
      <c r="M2509" s="627"/>
      <c r="N2509" s="627"/>
      <c r="O2509" s="627"/>
      <c r="P2509" s="627"/>
      <c r="W2509" t="s">
        <v>2047</v>
      </c>
    </row>
    <row r="2510" spans="1:23" ht="13.15" customHeight="1" x14ac:dyDescent="0.2">
      <c r="A2510" s="2" t="s">
        <v>2200</v>
      </c>
      <c r="B2510" s="2">
        <f t="shared" si="78"/>
        <v>2022</v>
      </c>
      <c r="C2510" s="2" t="str">
        <f t="shared" si="79"/>
        <v>KZN226</v>
      </c>
      <c r="D2510" s="2">
        <v>892</v>
      </c>
      <c r="F2510" s="625"/>
      <c r="G2510" s="625"/>
      <c r="H2510" s="625"/>
      <c r="I2510" s="625"/>
      <c r="J2510" s="625"/>
      <c r="K2510" s="625"/>
      <c r="L2510" s="627"/>
      <c r="M2510" s="627"/>
      <c r="N2510" s="627"/>
      <c r="O2510" s="627"/>
      <c r="P2510" s="627"/>
      <c r="W2510" t="s">
        <v>2047</v>
      </c>
    </row>
    <row r="2511" spans="1:23" ht="13.15" customHeight="1" x14ac:dyDescent="0.2">
      <c r="A2511" s="2" t="s">
        <v>2200</v>
      </c>
      <c r="B2511" s="2">
        <f t="shared" si="78"/>
        <v>2022</v>
      </c>
      <c r="C2511" s="2" t="str">
        <f t="shared" si="79"/>
        <v>KZN226</v>
      </c>
      <c r="D2511" s="2">
        <v>893</v>
      </c>
      <c r="F2511" s="625"/>
      <c r="G2511" s="625"/>
      <c r="H2511" s="625"/>
      <c r="I2511" s="625"/>
      <c r="J2511" s="625"/>
      <c r="K2511" s="625"/>
      <c r="L2511" s="627"/>
      <c r="M2511" s="627"/>
      <c r="N2511" s="627"/>
      <c r="O2511" s="627"/>
      <c r="P2511" s="627"/>
      <c r="W2511" t="s">
        <v>2047</v>
      </c>
    </row>
    <row r="2512" spans="1:23" ht="13.15" customHeight="1" x14ac:dyDescent="0.2">
      <c r="A2512" s="2" t="s">
        <v>2200</v>
      </c>
      <c r="B2512" s="2">
        <f t="shared" si="78"/>
        <v>2022</v>
      </c>
      <c r="C2512" s="2" t="str">
        <f t="shared" si="79"/>
        <v>KZN226</v>
      </c>
      <c r="D2512" s="2">
        <v>894</v>
      </c>
      <c r="F2512" s="625"/>
      <c r="G2512" s="625"/>
      <c r="H2512" s="625"/>
      <c r="I2512" s="625"/>
      <c r="J2512" s="625"/>
      <c r="K2512" s="625"/>
      <c r="L2512" s="627"/>
      <c r="M2512" s="627"/>
      <c r="N2512" s="627"/>
      <c r="O2512" s="627"/>
      <c r="P2512" s="627"/>
      <c r="W2512" t="s">
        <v>2047</v>
      </c>
    </row>
    <row r="2513" spans="1:23" ht="13.15" customHeight="1" x14ac:dyDescent="0.2">
      <c r="A2513" s="2" t="s">
        <v>2200</v>
      </c>
      <c r="B2513" s="2">
        <f t="shared" si="78"/>
        <v>2022</v>
      </c>
      <c r="C2513" s="2" t="str">
        <f t="shared" si="79"/>
        <v>KZN226</v>
      </c>
      <c r="D2513" s="2">
        <v>895</v>
      </c>
      <c r="F2513" s="625"/>
      <c r="G2513" s="625"/>
      <c r="H2513" s="625"/>
      <c r="I2513" s="625"/>
      <c r="J2513" s="625"/>
      <c r="K2513" s="625"/>
      <c r="L2513" s="627"/>
      <c r="M2513" s="627"/>
      <c r="N2513" s="627"/>
      <c r="O2513" s="627"/>
      <c r="P2513" s="627"/>
      <c r="W2513" t="s">
        <v>2047</v>
      </c>
    </row>
    <row r="2514" spans="1:23" ht="13.15" customHeight="1" x14ac:dyDescent="0.2">
      <c r="A2514" s="2" t="s">
        <v>2200</v>
      </c>
      <c r="B2514" s="2">
        <f t="shared" si="78"/>
        <v>2022</v>
      </c>
      <c r="C2514" s="2" t="str">
        <f t="shared" si="79"/>
        <v>KZN226</v>
      </c>
      <c r="D2514" s="2">
        <v>896</v>
      </c>
      <c r="F2514" s="625"/>
      <c r="G2514" s="625"/>
      <c r="H2514" s="625"/>
      <c r="I2514" s="625"/>
      <c r="J2514" s="625"/>
      <c r="K2514" s="625"/>
      <c r="L2514" s="627"/>
      <c r="M2514" s="627"/>
      <c r="N2514" s="627"/>
      <c r="O2514" s="627"/>
      <c r="P2514" s="627"/>
      <c r="W2514" t="s">
        <v>2047</v>
      </c>
    </row>
    <row r="2515" spans="1:23" ht="13.15" customHeight="1" x14ac:dyDescent="0.2">
      <c r="A2515" s="2" t="s">
        <v>2200</v>
      </c>
      <c r="B2515" s="2">
        <f t="shared" si="78"/>
        <v>2022</v>
      </c>
      <c r="C2515" s="2" t="str">
        <f t="shared" si="79"/>
        <v>KZN226</v>
      </c>
      <c r="D2515" s="2">
        <v>897</v>
      </c>
      <c r="F2515" s="625"/>
      <c r="G2515" s="625"/>
      <c r="H2515" s="625"/>
      <c r="I2515" s="625"/>
      <c r="J2515" s="625"/>
      <c r="K2515" s="625"/>
      <c r="L2515" s="627"/>
      <c r="M2515" s="627"/>
      <c r="N2515" s="627"/>
      <c r="O2515" s="627"/>
      <c r="P2515" s="627"/>
      <c r="W2515" t="s">
        <v>2047</v>
      </c>
    </row>
    <row r="2516" spans="1:23" ht="13.15" customHeight="1" x14ac:dyDescent="0.2">
      <c r="A2516" s="2" t="s">
        <v>2200</v>
      </c>
      <c r="B2516" s="2">
        <f t="shared" si="78"/>
        <v>2022</v>
      </c>
      <c r="C2516" s="2" t="str">
        <f t="shared" si="79"/>
        <v>KZN226</v>
      </c>
      <c r="D2516" s="2">
        <v>898</v>
      </c>
      <c r="F2516" s="625"/>
      <c r="G2516" s="625"/>
      <c r="H2516" s="625"/>
      <c r="I2516" s="625"/>
      <c r="J2516" s="625"/>
      <c r="K2516" s="625"/>
      <c r="L2516" s="627"/>
      <c r="M2516" s="627"/>
      <c r="N2516" s="627"/>
      <c r="O2516" s="627"/>
      <c r="P2516" s="627"/>
      <c r="W2516" t="s">
        <v>2047</v>
      </c>
    </row>
    <row r="2517" spans="1:23" ht="13.15" customHeight="1" x14ac:dyDescent="0.2">
      <c r="A2517" s="2" t="s">
        <v>2200</v>
      </c>
      <c r="B2517" s="2">
        <f t="shared" si="78"/>
        <v>2022</v>
      </c>
      <c r="C2517" s="2" t="str">
        <f t="shared" si="79"/>
        <v>KZN226</v>
      </c>
      <c r="D2517" s="2">
        <v>899</v>
      </c>
      <c r="F2517" s="625"/>
      <c r="G2517" s="625"/>
      <c r="H2517" s="625"/>
      <c r="I2517" s="625"/>
      <c r="J2517" s="625"/>
      <c r="K2517" s="625"/>
      <c r="L2517" s="627"/>
      <c r="M2517" s="627"/>
      <c r="N2517" s="627"/>
      <c r="O2517" s="627"/>
      <c r="P2517" s="627"/>
      <c r="W2517" t="s">
        <v>2047</v>
      </c>
    </row>
    <row r="2518" spans="1:23" ht="13.15" customHeight="1" x14ac:dyDescent="0.2">
      <c r="A2518" s="2" t="s">
        <v>2200</v>
      </c>
      <c r="B2518" s="2">
        <f t="shared" si="78"/>
        <v>2022</v>
      </c>
      <c r="C2518" s="2" t="str">
        <f t="shared" si="79"/>
        <v>KZN226</v>
      </c>
      <c r="D2518" s="2">
        <v>900</v>
      </c>
      <c r="F2518" s="625"/>
      <c r="G2518" s="625"/>
      <c r="H2518" s="625"/>
      <c r="I2518" s="625"/>
      <c r="J2518" s="625"/>
      <c r="K2518" s="625"/>
      <c r="L2518" s="627"/>
      <c r="M2518" s="627"/>
      <c r="N2518" s="627"/>
      <c r="O2518" s="627"/>
      <c r="P2518" s="627"/>
      <c r="W2518" t="s">
        <v>2047</v>
      </c>
    </row>
    <row r="2519" spans="1:23" ht="13.15" customHeight="1" x14ac:dyDescent="0.2">
      <c r="A2519" s="2" t="s">
        <v>2200</v>
      </c>
      <c r="B2519" s="2">
        <f t="shared" si="78"/>
        <v>2022</v>
      </c>
      <c r="C2519" s="2" t="str">
        <f t="shared" si="79"/>
        <v>KZN226</v>
      </c>
      <c r="D2519" s="2">
        <v>901</v>
      </c>
      <c r="F2519" s="625"/>
      <c r="G2519" s="625"/>
      <c r="H2519" s="625"/>
      <c r="I2519" s="625"/>
      <c r="J2519" s="625"/>
      <c r="K2519" s="625"/>
      <c r="L2519" s="627"/>
      <c r="M2519" s="627"/>
      <c r="N2519" s="627"/>
      <c r="O2519" s="627"/>
      <c r="P2519" s="627"/>
      <c r="W2519" t="s">
        <v>2047</v>
      </c>
    </row>
    <row r="2520" spans="1:23" ht="13.15" customHeight="1" x14ac:dyDescent="0.2">
      <c r="A2520" s="2" t="s">
        <v>2200</v>
      </c>
      <c r="B2520" s="2">
        <f t="shared" si="78"/>
        <v>2022</v>
      </c>
      <c r="C2520" s="2" t="str">
        <f t="shared" si="79"/>
        <v>KZN226</v>
      </c>
      <c r="D2520" s="2">
        <v>902</v>
      </c>
      <c r="F2520" s="625"/>
      <c r="G2520" s="625"/>
      <c r="H2520" s="625"/>
      <c r="I2520" s="625"/>
      <c r="J2520" s="625"/>
      <c r="K2520" s="625"/>
      <c r="L2520" s="627"/>
      <c r="M2520" s="627"/>
      <c r="N2520" s="627"/>
      <c r="O2520" s="627"/>
      <c r="P2520" s="627"/>
      <c r="W2520" t="s">
        <v>2047</v>
      </c>
    </row>
    <row r="2521" spans="1:23" ht="13.15" customHeight="1" x14ac:dyDescent="0.2">
      <c r="A2521" s="2" t="s">
        <v>2200</v>
      </c>
      <c r="B2521" s="2">
        <f t="shared" si="78"/>
        <v>2022</v>
      </c>
      <c r="C2521" s="2" t="str">
        <f t="shared" si="79"/>
        <v>KZN226</v>
      </c>
      <c r="D2521" s="2">
        <v>903</v>
      </c>
      <c r="F2521" s="625"/>
      <c r="G2521" s="625"/>
      <c r="H2521" s="625"/>
      <c r="I2521" s="625"/>
      <c r="J2521" s="625"/>
      <c r="K2521" s="625"/>
      <c r="L2521" s="627"/>
      <c r="M2521" s="627"/>
      <c r="N2521" s="627"/>
      <c r="O2521" s="627"/>
      <c r="P2521" s="627"/>
      <c r="W2521" t="s">
        <v>2047</v>
      </c>
    </row>
    <row r="2522" spans="1:23" ht="13.15" customHeight="1" x14ac:dyDescent="0.2">
      <c r="A2522" s="2" t="s">
        <v>2200</v>
      </c>
      <c r="B2522" s="2">
        <f t="shared" si="78"/>
        <v>2022</v>
      </c>
      <c r="C2522" s="2" t="str">
        <f t="shared" si="79"/>
        <v>KZN226</v>
      </c>
      <c r="D2522" s="2">
        <v>904</v>
      </c>
      <c r="F2522" s="625"/>
      <c r="G2522" s="625"/>
      <c r="H2522" s="625"/>
      <c r="I2522" s="625"/>
      <c r="J2522" s="625"/>
      <c r="K2522" s="625"/>
      <c r="L2522" s="627"/>
      <c r="M2522" s="627"/>
      <c r="N2522" s="627"/>
      <c r="O2522" s="627"/>
      <c r="P2522" s="627"/>
      <c r="W2522" t="s">
        <v>2047</v>
      </c>
    </row>
    <row r="2523" spans="1:23" ht="13.15" customHeight="1" x14ac:dyDescent="0.2">
      <c r="A2523" s="2" t="s">
        <v>2200</v>
      </c>
      <c r="B2523" s="2">
        <f t="shared" si="78"/>
        <v>2022</v>
      </c>
      <c r="C2523" s="2" t="str">
        <f t="shared" si="79"/>
        <v>KZN226</v>
      </c>
      <c r="D2523" s="2">
        <v>905</v>
      </c>
      <c r="F2523" s="625"/>
      <c r="G2523" s="625"/>
      <c r="H2523" s="625"/>
      <c r="I2523" s="625"/>
      <c r="J2523" s="625"/>
      <c r="K2523" s="625"/>
      <c r="L2523" s="627"/>
      <c r="M2523" s="627"/>
      <c r="N2523" s="627"/>
      <c r="O2523" s="627"/>
      <c r="P2523" s="627"/>
      <c r="W2523" t="s">
        <v>2047</v>
      </c>
    </row>
    <row r="2524" spans="1:23" ht="13.15" customHeight="1" x14ac:dyDescent="0.2">
      <c r="A2524" s="2" t="s">
        <v>2200</v>
      </c>
      <c r="B2524" s="2">
        <f t="shared" si="78"/>
        <v>2022</v>
      </c>
      <c r="C2524" s="2" t="str">
        <f t="shared" si="79"/>
        <v>KZN226</v>
      </c>
      <c r="D2524" s="2">
        <v>906</v>
      </c>
      <c r="F2524" s="625"/>
      <c r="G2524" s="625"/>
      <c r="H2524" s="625"/>
      <c r="I2524" s="625"/>
      <c r="J2524" s="625"/>
      <c r="K2524" s="625"/>
      <c r="L2524" s="627"/>
      <c r="M2524" s="627"/>
      <c r="N2524" s="627"/>
      <c r="O2524" s="627"/>
      <c r="P2524" s="627"/>
      <c r="W2524" t="s">
        <v>2047</v>
      </c>
    </row>
    <row r="2525" spans="1:23" ht="13.15" customHeight="1" x14ac:dyDescent="0.2">
      <c r="A2525" s="2" t="s">
        <v>2200</v>
      </c>
      <c r="B2525" s="2">
        <f t="shared" si="78"/>
        <v>2022</v>
      </c>
      <c r="C2525" s="2" t="str">
        <f t="shared" si="79"/>
        <v>KZN226</v>
      </c>
      <c r="D2525" s="2">
        <v>907</v>
      </c>
      <c r="F2525" s="625"/>
      <c r="G2525" s="625"/>
      <c r="H2525" s="625"/>
      <c r="I2525" s="625"/>
      <c r="J2525" s="625"/>
      <c r="K2525" s="625"/>
      <c r="L2525" s="627"/>
      <c r="M2525" s="627"/>
      <c r="N2525" s="627"/>
      <c r="O2525" s="627"/>
      <c r="P2525" s="627"/>
      <c r="W2525" t="s">
        <v>2047</v>
      </c>
    </row>
    <row r="2526" spans="1:23" ht="13.15" customHeight="1" x14ac:dyDescent="0.2">
      <c r="A2526" s="2" t="s">
        <v>2200</v>
      </c>
      <c r="B2526" s="2">
        <f t="shared" si="78"/>
        <v>2022</v>
      </c>
      <c r="C2526" s="2" t="str">
        <f t="shared" si="79"/>
        <v>KZN226</v>
      </c>
      <c r="D2526" s="2">
        <v>908</v>
      </c>
      <c r="F2526" s="625"/>
      <c r="G2526" s="625"/>
      <c r="H2526" s="625"/>
      <c r="I2526" s="625"/>
      <c r="J2526" s="625"/>
      <c r="K2526" s="625"/>
      <c r="L2526" s="627"/>
      <c r="M2526" s="627"/>
      <c r="N2526" s="627"/>
      <c r="O2526" s="627"/>
      <c r="P2526" s="627"/>
      <c r="W2526" t="s">
        <v>2047</v>
      </c>
    </row>
    <row r="2527" spans="1:23" ht="13.15" customHeight="1" x14ac:dyDescent="0.2">
      <c r="A2527" s="2" t="s">
        <v>2200</v>
      </c>
      <c r="B2527" s="2">
        <f t="shared" si="78"/>
        <v>2022</v>
      </c>
      <c r="C2527" s="2" t="str">
        <f t="shared" si="79"/>
        <v>KZN226</v>
      </c>
      <c r="D2527" s="2">
        <v>909</v>
      </c>
      <c r="F2527" s="625"/>
      <c r="G2527" s="625"/>
      <c r="H2527" s="625"/>
      <c r="I2527" s="625"/>
      <c r="J2527" s="625"/>
      <c r="K2527" s="625"/>
      <c r="L2527" s="627"/>
      <c r="M2527" s="627"/>
      <c r="N2527" s="627"/>
      <c r="O2527" s="627"/>
      <c r="P2527" s="627"/>
      <c r="W2527" t="s">
        <v>2047</v>
      </c>
    </row>
    <row r="2528" spans="1:23" ht="13.15" customHeight="1" x14ac:dyDescent="0.2">
      <c r="A2528" s="2" t="s">
        <v>2200</v>
      </c>
      <c r="B2528" s="2">
        <f t="shared" si="78"/>
        <v>2022</v>
      </c>
      <c r="C2528" s="2" t="str">
        <f t="shared" si="79"/>
        <v>KZN226</v>
      </c>
      <c r="D2528" s="2">
        <v>910</v>
      </c>
      <c r="F2528" s="625"/>
      <c r="G2528" s="625"/>
      <c r="H2528" s="625"/>
      <c r="I2528" s="625"/>
      <c r="J2528" s="625"/>
      <c r="K2528" s="625"/>
      <c r="L2528" s="627"/>
      <c r="M2528" s="627"/>
      <c r="N2528" s="627"/>
      <c r="O2528" s="627"/>
      <c r="P2528" s="627"/>
      <c r="W2528" t="s">
        <v>2047</v>
      </c>
    </row>
    <row r="2529" spans="1:23" ht="13.15" customHeight="1" x14ac:dyDescent="0.2">
      <c r="A2529" s="2" t="s">
        <v>2200</v>
      </c>
      <c r="B2529" s="2">
        <f t="shared" si="78"/>
        <v>2022</v>
      </c>
      <c r="C2529" s="2" t="str">
        <f t="shared" si="79"/>
        <v>KZN226</v>
      </c>
      <c r="D2529" s="2">
        <v>911</v>
      </c>
      <c r="F2529" s="625"/>
      <c r="G2529" s="625"/>
      <c r="H2529" s="625"/>
      <c r="I2529" s="625"/>
      <c r="J2529" s="625"/>
      <c r="K2529" s="625"/>
      <c r="L2529" s="627"/>
      <c r="M2529" s="627"/>
      <c r="N2529" s="627"/>
      <c r="O2529" s="627"/>
      <c r="P2529" s="627"/>
      <c r="W2529" t="s">
        <v>2047</v>
      </c>
    </row>
    <row r="2530" spans="1:23" ht="13.15" customHeight="1" x14ac:dyDescent="0.2">
      <c r="A2530" s="2" t="s">
        <v>2200</v>
      </c>
      <c r="B2530" s="2">
        <f t="shared" si="78"/>
        <v>2022</v>
      </c>
      <c r="C2530" s="2" t="str">
        <f t="shared" si="79"/>
        <v>KZN226</v>
      </c>
      <c r="D2530" s="2">
        <v>912</v>
      </c>
      <c r="F2530" s="625"/>
      <c r="G2530" s="625"/>
      <c r="H2530" s="625"/>
      <c r="I2530" s="625"/>
      <c r="J2530" s="625"/>
      <c r="K2530" s="625"/>
      <c r="L2530" s="627"/>
      <c r="M2530" s="627"/>
      <c r="N2530" s="627"/>
      <c r="O2530" s="627"/>
      <c r="P2530" s="627"/>
      <c r="W2530" t="s">
        <v>2047</v>
      </c>
    </row>
    <row r="2531" spans="1:23" ht="13.15" customHeight="1" x14ac:dyDescent="0.2">
      <c r="A2531" s="2" t="s">
        <v>2200</v>
      </c>
      <c r="B2531" s="2">
        <f t="shared" si="78"/>
        <v>2022</v>
      </c>
      <c r="C2531" s="2" t="str">
        <f t="shared" si="79"/>
        <v>KZN226</v>
      </c>
      <c r="D2531" s="2">
        <v>913</v>
      </c>
      <c r="F2531" s="625"/>
      <c r="G2531" s="625"/>
      <c r="H2531" s="625"/>
      <c r="I2531" s="625"/>
      <c r="J2531" s="625"/>
      <c r="K2531" s="625"/>
      <c r="L2531" s="627"/>
      <c r="M2531" s="627"/>
      <c r="N2531" s="627"/>
      <c r="O2531" s="627"/>
      <c r="P2531" s="627"/>
      <c r="W2531" t="s">
        <v>2047</v>
      </c>
    </row>
    <row r="2532" spans="1:23" ht="13.15" customHeight="1" x14ac:dyDescent="0.2">
      <c r="A2532" s="2" t="s">
        <v>2200</v>
      </c>
      <c r="B2532" s="2">
        <f t="shared" si="78"/>
        <v>2022</v>
      </c>
      <c r="C2532" s="2" t="str">
        <f t="shared" si="79"/>
        <v>KZN226</v>
      </c>
      <c r="D2532" s="2">
        <v>914</v>
      </c>
      <c r="F2532" s="625"/>
      <c r="G2532" s="625"/>
      <c r="H2532" s="625"/>
      <c r="I2532" s="625"/>
      <c r="J2532" s="625"/>
      <c r="K2532" s="625"/>
      <c r="L2532" s="627"/>
      <c r="M2532" s="627"/>
      <c r="N2532" s="627"/>
      <c r="O2532" s="627"/>
      <c r="P2532" s="627"/>
      <c r="W2532" t="s">
        <v>2047</v>
      </c>
    </row>
    <row r="2533" spans="1:23" ht="13.15" customHeight="1" x14ac:dyDescent="0.2">
      <c r="A2533" s="2" t="s">
        <v>2200</v>
      </c>
      <c r="B2533" s="2">
        <f t="shared" si="78"/>
        <v>2022</v>
      </c>
      <c r="C2533" s="2" t="str">
        <f t="shared" si="79"/>
        <v>KZN226</v>
      </c>
      <c r="D2533" s="2">
        <v>915</v>
      </c>
      <c r="F2533" s="625"/>
      <c r="G2533" s="625"/>
      <c r="H2533" s="625"/>
      <c r="I2533" s="625"/>
      <c r="J2533" s="625"/>
      <c r="K2533" s="625"/>
      <c r="L2533" s="627"/>
      <c r="M2533" s="627"/>
      <c r="N2533" s="627"/>
      <c r="O2533" s="627"/>
      <c r="P2533" s="627"/>
      <c r="W2533" t="s">
        <v>2047</v>
      </c>
    </row>
    <row r="2534" spans="1:23" ht="13.15" customHeight="1" x14ac:dyDescent="0.2">
      <c r="A2534" s="2" t="s">
        <v>2200</v>
      </c>
      <c r="B2534" s="2">
        <f t="shared" si="78"/>
        <v>2022</v>
      </c>
      <c r="C2534" s="2" t="str">
        <f t="shared" si="79"/>
        <v>KZN226</v>
      </c>
      <c r="D2534" s="2">
        <v>916</v>
      </c>
      <c r="F2534" s="625"/>
      <c r="G2534" s="625"/>
      <c r="H2534" s="625"/>
      <c r="I2534" s="625"/>
      <c r="J2534" s="625"/>
      <c r="K2534" s="625"/>
      <c r="L2534" s="627"/>
      <c r="M2534" s="627"/>
      <c r="N2534" s="627"/>
      <c r="O2534" s="627"/>
      <c r="P2534" s="627"/>
      <c r="W2534" t="s">
        <v>2047</v>
      </c>
    </row>
    <row r="2535" spans="1:23" ht="13.15" customHeight="1" x14ac:dyDescent="0.2">
      <c r="A2535" s="2" t="s">
        <v>2200</v>
      </c>
      <c r="B2535" s="2">
        <f t="shared" si="78"/>
        <v>2022</v>
      </c>
      <c r="C2535" s="2" t="str">
        <f t="shared" si="79"/>
        <v>KZN226</v>
      </c>
      <c r="D2535" s="2">
        <v>917</v>
      </c>
      <c r="F2535" s="625"/>
      <c r="G2535" s="625"/>
      <c r="H2535" s="625"/>
      <c r="I2535" s="625"/>
      <c r="J2535" s="625"/>
      <c r="K2535" s="625"/>
      <c r="L2535" s="627"/>
      <c r="M2535" s="627"/>
      <c r="N2535" s="627"/>
      <c r="O2535" s="627"/>
      <c r="P2535" s="627"/>
      <c r="W2535" t="s">
        <v>2047</v>
      </c>
    </row>
    <row r="2536" spans="1:23" ht="13.15" customHeight="1" x14ac:dyDescent="0.2">
      <c r="A2536" s="2" t="s">
        <v>2200</v>
      </c>
      <c r="B2536" s="2">
        <f t="shared" si="78"/>
        <v>2022</v>
      </c>
      <c r="C2536" s="2" t="str">
        <f t="shared" si="79"/>
        <v>KZN226</v>
      </c>
      <c r="D2536" s="2">
        <v>918</v>
      </c>
      <c r="F2536" s="625"/>
      <c r="G2536" s="625"/>
      <c r="H2536" s="625"/>
      <c r="I2536" s="625"/>
      <c r="J2536" s="625"/>
      <c r="K2536" s="625"/>
      <c r="L2536" s="627"/>
      <c r="M2536" s="627"/>
      <c r="N2536" s="627"/>
      <c r="O2536" s="627"/>
      <c r="P2536" s="627"/>
      <c r="W2536" t="s">
        <v>2047</v>
      </c>
    </row>
    <row r="2537" spans="1:23" ht="13.15" customHeight="1" x14ac:dyDescent="0.2">
      <c r="A2537" s="2" t="s">
        <v>2200</v>
      </c>
      <c r="B2537" s="2">
        <f t="shared" si="78"/>
        <v>2022</v>
      </c>
      <c r="C2537" s="2" t="str">
        <f t="shared" si="79"/>
        <v>KZN226</v>
      </c>
      <c r="D2537" s="2">
        <v>919</v>
      </c>
      <c r="F2537" s="625"/>
      <c r="G2537" s="625"/>
      <c r="H2537" s="625"/>
      <c r="I2537" s="625"/>
      <c r="J2537" s="625"/>
      <c r="K2537" s="625"/>
      <c r="L2537" s="627"/>
      <c r="M2537" s="627"/>
      <c r="N2537" s="627"/>
      <c r="O2537" s="627"/>
      <c r="P2537" s="627"/>
      <c r="W2537" t="s">
        <v>2047</v>
      </c>
    </row>
    <row r="2538" spans="1:23" ht="13.15" customHeight="1" x14ac:dyDescent="0.2">
      <c r="A2538" s="2" t="s">
        <v>2200</v>
      </c>
      <c r="B2538" s="2">
        <f t="shared" si="78"/>
        <v>2022</v>
      </c>
      <c r="C2538" s="2" t="str">
        <f t="shared" si="79"/>
        <v>KZN226</v>
      </c>
      <c r="D2538" s="2">
        <v>920</v>
      </c>
      <c r="F2538" s="625"/>
      <c r="G2538" s="625"/>
      <c r="H2538" s="625"/>
      <c r="I2538" s="625"/>
      <c r="J2538" s="625"/>
      <c r="K2538" s="625"/>
      <c r="L2538" s="627"/>
      <c r="M2538" s="627"/>
      <c r="N2538" s="627"/>
      <c r="O2538" s="627"/>
      <c r="P2538" s="627"/>
      <c r="W2538" t="s">
        <v>2047</v>
      </c>
    </row>
    <row r="2539" spans="1:23" ht="13.15" customHeight="1" x14ac:dyDescent="0.2">
      <c r="A2539" s="2" t="s">
        <v>2200</v>
      </c>
      <c r="B2539" s="2">
        <f t="shared" si="78"/>
        <v>2022</v>
      </c>
      <c r="C2539" s="2" t="str">
        <f t="shared" si="79"/>
        <v>KZN226</v>
      </c>
      <c r="D2539" s="2">
        <v>921</v>
      </c>
      <c r="F2539" s="625"/>
      <c r="G2539" s="625"/>
      <c r="H2539" s="625"/>
      <c r="I2539" s="625"/>
      <c r="J2539" s="625"/>
      <c r="K2539" s="625"/>
      <c r="L2539" s="627"/>
      <c r="M2539" s="627"/>
      <c r="N2539" s="627"/>
      <c r="O2539" s="627"/>
      <c r="P2539" s="627"/>
      <c r="W2539" t="s">
        <v>2047</v>
      </c>
    </row>
    <row r="2540" spans="1:23" ht="13.15" customHeight="1" x14ac:dyDescent="0.2">
      <c r="A2540" s="2" t="s">
        <v>2200</v>
      </c>
      <c r="B2540" s="2">
        <f t="shared" si="78"/>
        <v>2022</v>
      </c>
      <c r="C2540" s="2" t="str">
        <f t="shared" si="79"/>
        <v>KZN226</v>
      </c>
      <c r="D2540" s="2">
        <v>922</v>
      </c>
      <c r="F2540" s="625"/>
      <c r="G2540" s="625"/>
      <c r="H2540" s="625"/>
      <c r="I2540" s="625"/>
      <c r="J2540" s="625"/>
      <c r="K2540" s="625"/>
      <c r="L2540" s="627"/>
      <c r="M2540" s="627"/>
      <c r="N2540" s="627"/>
      <c r="O2540" s="627"/>
      <c r="P2540" s="627"/>
      <c r="W2540" t="s">
        <v>2047</v>
      </c>
    </row>
    <row r="2541" spans="1:23" ht="13.15" customHeight="1" x14ac:dyDescent="0.2">
      <c r="A2541" s="2" t="s">
        <v>2200</v>
      </c>
      <c r="B2541" s="2">
        <f t="shared" si="78"/>
        <v>2022</v>
      </c>
      <c r="C2541" s="2" t="str">
        <f t="shared" si="79"/>
        <v>KZN226</v>
      </c>
      <c r="D2541" s="2">
        <v>923</v>
      </c>
      <c r="F2541" s="625"/>
      <c r="G2541" s="625"/>
      <c r="H2541" s="625"/>
      <c r="I2541" s="625"/>
      <c r="J2541" s="625"/>
      <c r="K2541" s="625"/>
      <c r="L2541" s="627"/>
      <c r="M2541" s="627"/>
      <c r="N2541" s="627"/>
      <c r="O2541" s="627"/>
      <c r="P2541" s="627"/>
      <c r="W2541" t="s">
        <v>2047</v>
      </c>
    </row>
    <row r="2542" spans="1:23" ht="13.15" customHeight="1" x14ac:dyDescent="0.2">
      <c r="A2542" s="2" t="s">
        <v>2200</v>
      </c>
      <c r="B2542" s="2">
        <f t="shared" si="78"/>
        <v>2022</v>
      </c>
      <c r="C2542" s="2" t="str">
        <f t="shared" si="79"/>
        <v>KZN226</v>
      </c>
      <c r="D2542" s="2">
        <v>924</v>
      </c>
      <c r="F2542" s="625"/>
      <c r="G2542" s="625"/>
      <c r="H2542" s="625"/>
      <c r="I2542" s="625"/>
      <c r="J2542" s="625"/>
      <c r="K2542" s="625"/>
      <c r="L2542" s="627"/>
      <c r="M2542" s="627"/>
      <c r="N2542" s="627"/>
      <c r="O2542" s="627"/>
      <c r="P2542" s="627"/>
      <c r="W2542" t="s">
        <v>2047</v>
      </c>
    </row>
    <row r="2543" spans="1:23" ht="13.15" customHeight="1" x14ac:dyDescent="0.2">
      <c r="A2543" s="2" t="s">
        <v>2200</v>
      </c>
      <c r="B2543" s="2">
        <f t="shared" si="78"/>
        <v>2022</v>
      </c>
      <c r="C2543" s="2" t="str">
        <f t="shared" si="79"/>
        <v>KZN226</v>
      </c>
      <c r="D2543" s="2">
        <v>925</v>
      </c>
      <c r="F2543" s="625"/>
      <c r="G2543" s="625"/>
      <c r="H2543" s="625"/>
      <c r="I2543" s="625"/>
      <c r="J2543" s="625"/>
      <c r="K2543" s="625"/>
      <c r="L2543" s="627"/>
      <c r="M2543" s="627"/>
      <c r="N2543" s="627"/>
      <c r="O2543" s="627"/>
      <c r="P2543" s="627"/>
      <c r="W2543" t="s">
        <v>2047</v>
      </c>
    </row>
    <row r="2544" spans="1:23" ht="13.15" customHeight="1" x14ac:dyDescent="0.2">
      <c r="A2544" s="2" t="s">
        <v>2200</v>
      </c>
      <c r="B2544" s="2">
        <f t="shared" si="78"/>
        <v>2022</v>
      </c>
      <c r="C2544" s="2" t="str">
        <f t="shared" si="79"/>
        <v>KZN226</v>
      </c>
      <c r="D2544" s="2">
        <v>926</v>
      </c>
      <c r="F2544" s="625"/>
      <c r="G2544" s="625"/>
      <c r="H2544" s="625"/>
      <c r="I2544" s="625"/>
      <c r="J2544" s="625"/>
      <c r="K2544" s="625"/>
      <c r="L2544" s="627"/>
      <c r="M2544" s="627"/>
      <c r="N2544" s="627"/>
      <c r="O2544" s="627"/>
      <c r="P2544" s="627"/>
      <c r="W2544" t="s">
        <v>2047</v>
      </c>
    </row>
    <row r="2545" spans="1:23" ht="13.15" customHeight="1" x14ac:dyDescent="0.2">
      <c r="A2545" s="2" t="s">
        <v>2200</v>
      </c>
      <c r="B2545" s="2">
        <f t="shared" si="78"/>
        <v>2022</v>
      </c>
      <c r="C2545" s="2" t="str">
        <f t="shared" si="79"/>
        <v>KZN226</v>
      </c>
      <c r="D2545" s="2">
        <v>927</v>
      </c>
      <c r="F2545" s="625"/>
      <c r="G2545" s="625"/>
      <c r="H2545" s="625"/>
      <c r="I2545" s="625"/>
      <c r="J2545" s="625"/>
      <c r="K2545" s="625"/>
      <c r="L2545" s="627"/>
      <c r="M2545" s="627"/>
      <c r="N2545" s="627"/>
      <c r="O2545" s="627"/>
      <c r="P2545" s="627"/>
      <c r="W2545" t="s">
        <v>2047</v>
      </c>
    </row>
    <row r="2546" spans="1:23" ht="13.15" customHeight="1" x14ac:dyDescent="0.2">
      <c r="A2546" s="2" t="s">
        <v>2200</v>
      </c>
      <c r="B2546" s="2">
        <f t="shared" si="78"/>
        <v>2022</v>
      </c>
      <c r="C2546" s="2" t="str">
        <f t="shared" si="79"/>
        <v>KZN226</v>
      </c>
      <c r="D2546" s="2">
        <v>928</v>
      </c>
      <c r="F2546" s="625"/>
      <c r="G2546" s="625"/>
      <c r="H2546" s="625"/>
      <c r="I2546" s="625"/>
      <c r="J2546" s="625"/>
      <c r="K2546" s="625"/>
      <c r="L2546" s="627"/>
      <c r="M2546" s="627"/>
      <c r="N2546" s="627"/>
      <c r="O2546" s="627"/>
      <c r="P2546" s="627"/>
      <c r="W2546" t="s">
        <v>2047</v>
      </c>
    </row>
    <row r="2547" spans="1:23" ht="13.15" customHeight="1" x14ac:dyDescent="0.2">
      <c r="A2547" s="2" t="s">
        <v>2200</v>
      </c>
      <c r="B2547" s="2">
        <f t="shared" si="78"/>
        <v>2022</v>
      </c>
      <c r="C2547" s="2" t="str">
        <f t="shared" si="79"/>
        <v>KZN226</v>
      </c>
      <c r="D2547" s="2">
        <v>929</v>
      </c>
      <c r="F2547" s="625"/>
      <c r="G2547" s="625"/>
      <c r="H2547" s="625"/>
      <c r="I2547" s="625"/>
      <c r="J2547" s="625"/>
      <c r="K2547" s="625"/>
      <c r="L2547" s="627"/>
      <c r="M2547" s="627"/>
      <c r="N2547" s="627"/>
      <c r="O2547" s="627"/>
      <c r="P2547" s="627"/>
      <c r="W2547" t="s">
        <v>2047</v>
      </c>
    </row>
    <row r="2548" spans="1:23" ht="13.15" customHeight="1" x14ac:dyDescent="0.2">
      <c r="A2548" s="2" t="s">
        <v>2200</v>
      </c>
      <c r="B2548" s="2">
        <f t="shared" si="78"/>
        <v>2022</v>
      </c>
      <c r="C2548" s="2" t="str">
        <f t="shared" si="79"/>
        <v>KZN226</v>
      </c>
      <c r="D2548" s="2">
        <v>930</v>
      </c>
      <c r="F2548" s="625"/>
      <c r="G2548" s="625"/>
      <c r="H2548" s="625"/>
      <c r="I2548" s="625"/>
      <c r="J2548" s="625"/>
      <c r="K2548" s="625"/>
      <c r="L2548" s="627"/>
      <c r="M2548" s="627"/>
      <c r="N2548" s="627"/>
      <c r="O2548" s="627"/>
      <c r="P2548" s="627"/>
      <c r="W2548" t="s">
        <v>2047</v>
      </c>
    </row>
    <row r="2549" spans="1:23" ht="13.15" customHeight="1" x14ac:dyDescent="0.2">
      <c r="A2549" s="2" t="s">
        <v>2200</v>
      </c>
      <c r="B2549" s="2">
        <f t="shared" si="78"/>
        <v>2022</v>
      </c>
      <c r="C2549" s="2" t="str">
        <f t="shared" si="79"/>
        <v>KZN226</v>
      </c>
      <c r="D2549" s="2">
        <v>931</v>
      </c>
      <c r="F2549" s="625"/>
      <c r="G2549" s="625"/>
      <c r="H2549" s="625"/>
      <c r="I2549" s="625"/>
      <c r="J2549" s="625"/>
      <c r="K2549" s="625"/>
      <c r="L2549" s="627"/>
      <c r="M2549" s="627"/>
      <c r="N2549" s="627"/>
      <c r="O2549" s="627"/>
      <c r="P2549" s="627"/>
      <c r="W2549" t="s">
        <v>2047</v>
      </c>
    </row>
    <row r="2550" spans="1:23" ht="13.15" customHeight="1" x14ac:dyDescent="0.2">
      <c r="A2550" s="2" t="s">
        <v>2200</v>
      </c>
      <c r="B2550" s="2">
        <f t="shared" si="78"/>
        <v>2022</v>
      </c>
      <c r="C2550" s="2" t="str">
        <f t="shared" si="79"/>
        <v>KZN226</v>
      </c>
      <c r="D2550" s="2">
        <v>932</v>
      </c>
      <c r="F2550" s="625"/>
      <c r="G2550" s="625"/>
      <c r="H2550" s="625"/>
      <c r="I2550" s="625"/>
      <c r="J2550" s="625"/>
      <c r="K2550" s="625"/>
      <c r="L2550" s="627"/>
      <c r="M2550" s="627"/>
      <c r="N2550" s="627"/>
      <c r="O2550" s="627"/>
      <c r="P2550" s="627"/>
      <c r="W2550" t="s">
        <v>2047</v>
      </c>
    </row>
    <row r="2551" spans="1:23" ht="13.15" customHeight="1" x14ac:dyDescent="0.2">
      <c r="A2551" s="2" t="s">
        <v>2200</v>
      </c>
      <c r="B2551" s="2">
        <f t="shared" si="78"/>
        <v>2022</v>
      </c>
      <c r="C2551" s="2" t="str">
        <f t="shared" si="79"/>
        <v>KZN226</v>
      </c>
      <c r="D2551" s="2">
        <v>933</v>
      </c>
      <c r="F2551" s="625"/>
      <c r="G2551" s="625"/>
      <c r="H2551" s="625"/>
      <c r="I2551" s="625"/>
      <c r="J2551" s="625"/>
      <c r="K2551" s="625"/>
      <c r="L2551" s="627"/>
      <c r="M2551" s="627"/>
      <c r="N2551" s="627"/>
      <c r="O2551" s="627"/>
      <c r="P2551" s="627"/>
      <c r="W2551" t="s">
        <v>2047</v>
      </c>
    </row>
    <row r="2552" spans="1:23" ht="13.15" customHeight="1" x14ac:dyDescent="0.2">
      <c r="A2552" s="2" t="s">
        <v>2200</v>
      </c>
      <c r="B2552" s="2">
        <f t="shared" si="78"/>
        <v>2022</v>
      </c>
      <c r="C2552" s="2" t="str">
        <f t="shared" si="79"/>
        <v>KZN226</v>
      </c>
      <c r="D2552" s="2">
        <v>934</v>
      </c>
      <c r="F2552" s="625"/>
      <c r="G2552" s="625"/>
      <c r="H2552" s="625"/>
      <c r="I2552" s="625"/>
      <c r="J2552" s="625"/>
      <c r="K2552" s="625"/>
      <c r="L2552" s="627"/>
      <c r="M2552" s="627"/>
      <c r="N2552" s="627"/>
      <c r="O2552" s="627"/>
      <c r="P2552" s="627"/>
      <c r="W2552" t="s">
        <v>2047</v>
      </c>
    </row>
    <row r="2553" spans="1:23" ht="13.15" customHeight="1" x14ac:dyDescent="0.2">
      <c r="A2553" s="2" t="s">
        <v>2200</v>
      </c>
      <c r="B2553" s="2">
        <f t="shared" si="78"/>
        <v>2022</v>
      </c>
      <c r="C2553" s="2" t="str">
        <f t="shared" si="79"/>
        <v>KZN226</v>
      </c>
      <c r="D2553" s="2">
        <v>935</v>
      </c>
      <c r="F2553" s="625"/>
      <c r="G2553" s="625"/>
      <c r="H2553" s="625"/>
      <c r="I2553" s="625"/>
      <c r="J2553" s="625"/>
      <c r="K2553" s="625"/>
      <c r="L2553" s="627"/>
      <c r="M2553" s="627"/>
      <c r="N2553" s="627"/>
      <c r="O2553" s="627"/>
      <c r="P2553" s="627"/>
      <c r="W2553" t="s">
        <v>2047</v>
      </c>
    </row>
    <row r="2554" spans="1:23" ht="13.15" customHeight="1" x14ac:dyDescent="0.2">
      <c r="A2554" s="2" t="s">
        <v>2200</v>
      </c>
      <c r="B2554" s="2">
        <f t="shared" si="78"/>
        <v>2022</v>
      </c>
      <c r="C2554" s="2" t="str">
        <f t="shared" si="79"/>
        <v>KZN226</v>
      </c>
      <c r="D2554" s="2">
        <v>936</v>
      </c>
      <c r="F2554" s="625"/>
      <c r="G2554" s="625"/>
      <c r="H2554" s="625"/>
      <c r="I2554" s="625"/>
      <c r="J2554" s="625"/>
      <c r="K2554" s="625"/>
      <c r="L2554" s="627"/>
      <c r="M2554" s="627"/>
      <c r="N2554" s="627"/>
      <c r="O2554" s="627"/>
      <c r="P2554" s="627"/>
      <c r="W2554" t="s">
        <v>2047</v>
      </c>
    </row>
    <row r="2555" spans="1:23" ht="13.15" customHeight="1" x14ac:dyDescent="0.2">
      <c r="A2555" s="2" t="s">
        <v>2200</v>
      </c>
      <c r="B2555" s="2">
        <f t="shared" si="78"/>
        <v>2022</v>
      </c>
      <c r="C2555" s="2" t="str">
        <f t="shared" si="79"/>
        <v>KZN226</v>
      </c>
      <c r="D2555" s="2">
        <v>937</v>
      </c>
      <c r="F2555" s="625"/>
      <c r="G2555" s="625"/>
      <c r="H2555" s="625"/>
      <c r="I2555" s="625"/>
      <c r="J2555" s="625"/>
      <c r="K2555" s="625"/>
      <c r="L2555" s="627"/>
      <c r="M2555" s="627"/>
      <c r="N2555" s="627"/>
      <c r="O2555" s="627"/>
      <c r="P2555" s="627"/>
      <c r="W2555" t="s">
        <v>2047</v>
      </c>
    </row>
    <row r="2556" spans="1:23" ht="13.15" customHeight="1" x14ac:dyDescent="0.2">
      <c r="A2556" s="2" t="s">
        <v>2200</v>
      </c>
      <c r="B2556" s="2">
        <f t="shared" si="78"/>
        <v>2022</v>
      </c>
      <c r="C2556" s="2" t="str">
        <f t="shared" si="79"/>
        <v>KZN226</v>
      </c>
      <c r="D2556" s="2">
        <v>938</v>
      </c>
      <c r="F2556" s="625"/>
      <c r="G2556" s="625"/>
      <c r="H2556" s="625"/>
      <c r="I2556" s="625"/>
      <c r="J2556" s="625"/>
      <c r="K2556" s="625"/>
      <c r="L2556" s="627"/>
      <c r="M2556" s="627"/>
      <c r="N2556" s="627"/>
      <c r="O2556" s="627"/>
      <c r="P2556" s="627"/>
      <c r="W2556" t="s">
        <v>2047</v>
      </c>
    </row>
    <row r="2557" spans="1:23" ht="13.15" customHeight="1" x14ac:dyDescent="0.2">
      <c r="A2557" s="2" t="s">
        <v>2200</v>
      </c>
      <c r="B2557" s="2">
        <f t="shared" si="78"/>
        <v>2022</v>
      </c>
      <c r="C2557" s="2" t="str">
        <f t="shared" si="79"/>
        <v>KZN226</v>
      </c>
      <c r="D2557" s="2">
        <v>939</v>
      </c>
      <c r="F2557" s="625"/>
      <c r="G2557" s="625"/>
      <c r="H2557" s="625"/>
      <c r="I2557" s="625"/>
      <c r="J2557" s="625"/>
      <c r="K2557" s="625"/>
      <c r="L2557" s="627"/>
      <c r="M2557" s="627"/>
      <c r="N2557" s="627"/>
      <c r="O2557" s="627"/>
      <c r="P2557" s="627"/>
      <c r="W2557" t="s">
        <v>2047</v>
      </c>
    </row>
    <row r="2558" spans="1:23" ht="13.15" customHeight="1" x14ac:dyDescent="0.2">
      <c r="A2558" s="2" t="s">
        <v>2200</v>
      </c>
      <c r="B2558" s="2">
        <f t="shared" si="78"/>
        <v>2022</v>
      </c>
      <c r="C2558" s="2" t="str">
        <f t="shared" si="79"/>
        <v>KZN226</v>
      </c>
      <c r="D2558" s="2">
        <v>940</v>
      </c>
      <c r="F2558" s="625"/>
      <c r="G2558" s="625"/>
      <c r="H2558" s="625"/>
      <c r="I2558" s="625"/>
      <c r="J2558" s="625"/>
      <c r="K2558" s="625"/>
      <c r="L2558" s="627"/>
      <c r="M2558" s="627"/>
      <c r="N2558" s="627"/>
      <c r="O2558" s="627"/>
      <c r="P2558" s="627"/>
      <c r="W2558" t="s">
        <v>2047</v>
      </c>
    </row>
    <row r="2559" spans="1:23" ht="13.15" customHeight="1" x14ac:dyDescent="0.2">
      <c r="A2559" s="2" t="s">
        <v>2200</v>
      </c>
      <c r="B2559" s="2">
        <f t="shared" si="78"/>
        <v>2022</v>
      </c>
      <c r="C2559" s="2" t="str">
        <f t="shared" si="79"/>
        <v>KZN226</v>
      </c>
      <c r="D2559" s="2">
        <v>941</v>
      </c>
      <c r="F2559" s="625"/>
      <c r="G2559" s="625"/>
      <c r="H2559" s="625"/>
      <c r="I2559" s="625"/>
      <c r="J2559" s="625"/>
      <c r="K2559" s="625"/>
      <c r="L2559" s="627"/>
      <c r="M2559" s="627"/>
      <c r="N2559" s="627"/>
      <c r="O2559" s="627"/>
      <c r="P2559" s="627"/>
      <c r="W2559" t="s">
        <v>2047</v>
      </c>
    </row>
    <row r="2560" spans="1:23" ht="13.15" customHeight="1" x14ac:dyDescent="0.2">
      <c r="A2560" s="2" t="s">
        <v>2200</v>
      </c>
      <c r="B2560" s="2">
        <f t="shared" si="78"/>
        <v>2022</v>
      </c>
      <c r="C2560" s="2" t="str">
        <f t="shared" si="79"/>
        <v>KZN226</v>
      </c>
      <c r="D2560" s="2">
        <v>942</v>
      </c>
      <c r="F2560" s="625"/>
      <c r="G2560" s="625"/>
      <c r="H2560" s="625"/>
      <c r="I2560" s="625"/>
      <c r="J2560" s="625"/>
      <c r="K2560" s="625"/>
      <c r="L2560" s="627"/>
      <c r="M2560" s="627"/>
      <c r="N2560" s="627"/>
      <c r="O2560" s="627"/>
      <c r="P2560" s="627"/>
      <c r="W2560" t="s">
        <v>2047</v>
      </c>
    </row>
    <row r="2561" spans="1:23" ht="13.15" customHeight="1" x14ac:dyDescent="0.2">
      <c r="A2561" s="2" t="s">
        <v>2200</v>
      </c>
      <c r="B2561" s="2">
        <f t="shared" si="78"/>
        <v>2022</v>
      </c>
      <c r="C2561" s="2" t="str">
        <f t="shared" si="79"/>
        <v>KZN226</v>
      </c>
      <c r="D2561" s="2">
        <v>943</v>
      </c>
      <c r="F2561" s="625"/>
      <c r="G2561" s="625"/>
      <c r="H2561" s="625"/>
      <c r="I2561" s="625"/>
      <c r="J2561" s="625"/>
      <c r="K2561" s="625"/>
      <c r="L2561" s="627"/>
      <c r="M2561" s="627"/>
      <c r="N2561" s="627"/>
      <c r="O2561" s="627"/>
      <c r="P2561" s="627"/>
      <c r="W2561" t="s">
        <v>2047</v>
      </c>
    </row>
    <row r="2562" spans="1:23" ht="13.15" customHeight="1" x14ac:dyDescent="0.2">
      <c r="A2562" s="2" t="s">
        <v>2200</v>
      </c>
      <c r="B2562" s="2">
        <f t="shared" ref="B2562:B2625" si="80">+MTREF</f>
        <v>2022</v>
      </c>
      <c r="C2562" s="2" t="str">
        <f t="shared" ref="C2562:C2625" si="81">LEFT(muni,(FIND(" ",muni,1)-1))</f>
        <v>KZN226</v>
      </c>
      <c r="D2562" s="2">
        <v>944</v>
      </c>
      <c r="F2562" s="625"/>
      <c r="G2562" s="625"/>
      <c r="H2562" s="625"/>
      <c r="I2562" s="625"/>
      <c r="J2562" s="625"/>
      <c r="K2562" s="625"/>
      <c r="L2562" s="627"/>
      <c r="M2562" s="627"/>
      <c r="N2562" s="627"/>
      <c r="O2562" s="627"/>
      <c r="P2562" s="627"/>
      <c r="W2562" t="s">
        <v>2047</v>
      </c>
    </row>
    <row r="2563" spans="1:23" ht="13.15" customHeight="1" x14ac:dyDescent="0.2">
      <c r="A2563" s="2" t="s">
        <v>2200</v>
      </c>
      <c r="B2563" s="2">
        <f t="shared" si="80"/>
        <v>2022</v>
      </c>
      <c r="C2563" s="2" t="str">
        <f t="shared" si="81"/>
        <v>KZN226</v>
      </c>
      <c r="D2563" s="2">
        <v>945</v>
      </c>
      <c r="F2563" s="625"/>
      <c r="G2563" s="625"/>
      <c r="H2563" s="625"/>
      <c r="I2563" s="625"/>
      <c r="J2563" s="625"/>
      <c r="K2563" s="625"/>
      <c r="L2563" s="627"/>
      <c r="M2563" s="627"/>
      <c r="N2563" s="627"/>
      <c r="O2563" s="627"/>
      <c r="P2563" s="627"/>
      <c r="W2563" t="s">
        <v>2047</v>
      </c>
    </row>
    <row r="2564" spans="1:23" ht="13.15" customHeight="1" x14ac:dyDescent="0.2">
      <c r="A2564" s="2" t="s">
        <v>2200</v>
      </c>
      <c r="B2564" s="2">
        <f t="shared" si="80"/>
        <v>2022</v>
      </c>
      <c r="C2564" s="2" t="str">
        <f t="shared" si="81"/>
        <v>KZN226</v>
      </c>
      <c r="D2564" s="2">
        <v>946</v>
      </c>
      <c r="F2564" s="625"/>
      <c r="G2564" s="625"/>
      <c r="H2564" s="625"/>
      <c r="I2564" s="625"/>
      <c r="J2564" s="625"/>
      <c r="K2564" s="625"/>
      <c r="L2564" s="627"/>
      <c r="M2564" s="627"/>
      <c r="N2564" s="627"/>
      <c r="O2564" s="627"/>
      <c r="P2564" s="627"/>
      <c r="W2564" t="s">
        <v>2047</v>
      </c>
    </row>
    <row r="2565" spans="1:23" ht="13.15" customHeight="1" x14ac:dyDescent="0.2">
      <c r="A2565" s="2" t="s">
        <v>2200</v>
      </c>
      <c r="B2565" s="2">
        <f t="shared" si="80"/>
        <v>2022</v>
      </c>
      <c r="C2565" s="2" t="str">
        <f t="shared" si="81"/>
        <v>KZN226</v>
      </c>
      <c r="D2565" s="2">
        <v>947</v>
      </c>
      <c r="F2565" s="625"/>
      <c r="G2565" s="625"/>
      <c r="H2565" s="625"/>
      <c r="I2565" s="625"/>
      <c r="J2565" s="625"/>
      <c r="K2565" s="625"/>
      <c r="L2565" s="627"/>
      <c r="M2565" s="627"/>
      <c r="N2565" s="627"/>
      <c r="O2565" s="627"/>
      <c r="P2565" s="627"/>
      <c r="W2565" t="s">
        <v>2047</v>
      </c>
    </row>
    <row r="2566" spans="1:23" ht="13.15" customHeight="1" x14ac:dyDescent="0.2">
      <c r="A2566" s="2" t="s">
        <v>2200</v>
      </c>
      <c r="B2566" s="2">
        <f t="shared" si="80"/>
        <v>2022</v>
      </c>
      <c r="C2566" s="2" t="str">
        <f t="shared" si="81"/>
        <v>KZN226</v>
      </c>
      <c r="D2566" s="2">
        <v>948</v>
      </c>
      <c r="F2566" s="625"/>
      <c r="G2566" s="625"/>
      <c r="H2566" s="625"/>
      <c r="I2566" s="625"/>
      <c r="J2566" s="625"/>
      <c r="K2566" s="625"/>
      <c r="L2566" s="627"/>
      <c r="M2566" s="627"/>
      <c r="N2566" s="627"/>
      <c r="O2566" s="627"/>
      <c r="P2566" s="627"/>
      <c r="W2566" t="s">
        <v>2047</v>
      </c>
    </row>
    <row r="2567" spans="1:23" ht="13.15" customHeight="1" x14ac:dyDescent="0.2">
      <c r="A2567" s="2" t="s">
        <v>2200</v>
      </c>
      <c r="B2567" s="2">
        <f t="shared" si="80"/>
        <v>2022</v>
      </c>
      <c r="C2567" s="2" t="str">
        <f t="shared" si="81"/>
        <v>KZN226</v>
      </c>
      <c r="D2567" s="2">
        <v>949</v>
      </c>
      <c r="F2567" s="625"/>
      <c r="G2567" s="625"/>
      <c r="H2567" s="625"/>
      <c r="I2567" s="625"/>
      <c r="J2567" s="625"/>
      <c r="K2567" s="625"/>
      <c r="L2567" s="627"/>
      <c r="M2567" s="627"/>
      <c r="N2567" s="627"/>
      <c r="O2567" s="627"/>
      <c r="P2567" s="627"/>
      <c r="W2567" t="s">
        <v>2047</v>
      </c>
    </row>
    <row r="2568" spans="1:23" ht="13.15" customHeight="1" x14ac:dyDescent="0.2">
      <c r="A2568" s="2" t="s">
        <v>2200</v>
      </c>
      <c r="B2568" s="2">
        <f t="shared" si="80"/>
        <v>2022</v>
      </c>
      <c r="C2568" s="2" t="str">
        <f t="shared" si="81"/>
        <v>KZN226</v>
      </c>
      <c r="D2568" s="2">
        <v>950</v>
      </c>
      <c r="F2568" s="625"/>
      <c r="G2568" s="625"/>
      <c r="H2568" s="625"/>
      <c r="I2568" s="625"/>
      <c r="J2568" s="625"/>
      <c r="K2568" s="625"/>
      <c r="L2568" s="627"/>
      <c r="M2568" s="627"/>
      <c r="N2568" s="627"/>
      <c r="O2568" s="627"/>
      <c r="P2568" s="627"/>
      <c r="W2568" t="s">
        <v>2047</v>
      </c>
    </row>
    <row r="2569" spans="1:23" ht="13.15" customHeight="1" x14ac:dyDescent="0.2">
      <c r="A2569" s="2" t="s">
        <v>2200</v>
      </c>
      <c r="B2569" s="2">
        <f t="shared" si="80"/>
        <v>2022</v>
      </c>
      <c r="C2569" s="2" t="str">
        <f t="shared" si="81"/>
        <v>KZN226</v>
      </c>
      <c r="D2569" s="2">
        <v>951</v>
      </c>
      <c r="F2569" s="625"/>
      <c r="G2569" s="625"/>
      <c r="H2569" s="625"/>
      <c r="I2569" s="625"/>
      <c r="J2569" s="625"/>
      <c r="K2569" s="625"/>
      <c r="L2569" s="627"/>
      <c r="M2569" s="627"/>
      <c r="N2569" s="627"/>
      <c r="O2569" s="627"/>
      <c r="P2569" s="627"/>
      <c r="W2569" t="s">
        <v>2047</v>
      </c>
    </row>
    <row r="2570" spans="1:23" ht="13.15" customHeight="1" x14ac:dyDescent="0.2">
      <c r="A2570" s="2" t="s">
        <v>2200</v>
      </c>
      <c r="B2570" s="2">
        <f t="shared" si="80"/>
        <v>2022</v>
      </c>
      <c r="C2570" s="2" t="str">
        <f t="shared" si="81"/>
        <v>KZN226</v>
      </c>
      <c r="D2570" s="2">
        <v>952</v>
      </c>
      <c r="F2570" s="625"/>
      <c r="G2570" s="625"/>
      <c r="H2570" s="625"/>
      <c r="I2570" s="625"/>
      <c r="J2570" s="625"/>
      <c r="K2570" s="625"/>
      <c r="L2570" s="627"/>
      <c r="M2570" s="627"/>
      <c r="N2570" s="627"/>
      <c r="O2570" s="627"/>
      <c r="P2570" s="627"/>
      <c r="W2570" t="s">
        <v>2047</v>
      </c>
    </row>
    <row r="2571" spans="1:23" ht="13.15" customHeight="1" x14ac:dyDescent="0.2">
      <c r="A2571" s="2" t="s">
        <v>2200</v>
      </c>
      <c r="B2571" s="2">
        <f t="shared" si="80"/>
        <v>2022</v>
      </c>
      <c r="C2571" s="2" t="str">
        <f t="shared" si="81"/>
        <v>KZN226</v>
      </c>
      <c r="D2571" s="2">
        <v>953</v>
      </c>
      <c r="F2571" s="625"/>
      <c r="G2571" s="625"/>
      <c r="H2571" s="625"/>
      <c r="I2571" s="625"/>
      <c r="J2571" s="625"/>
      <c r="K2571" s="625"/>
      <c r="L2571" s="627"/>
      <c r="M2571" s="627"/>
      <c r="N2571" s="627"/>
      <c r="O2571" s="627"/>
      <c r="P2571" s="627"/>
      <c r="W2571" t="s">
        <v>2047</v>
      </c>
    </row>
    <row r="2572" spans="1:23" ht="13.15" customHeight="1" x14ac:dyDescent="0.2">
      <c r="A2572" s="2" t="s">
        <v>2200</v>
      </c>
      <c r="B2572" s="2">
        <f t="shared" si="80"/>
        <v>2022</v>
      </c>
      <c r="C2572" s="2" t="str">
        <f t="shared" si="81"/>
        <v>KZN226</v>
      </c>
      <c r="D2572" s="2">
        <v>954</v>
      </c>
      <c r="F2572" s="625"/>
      <c r="G2572" s="625"/>
      <c r="H2572" s="625"/>
      <c r="I2572" s="625"/>
      <c r="J2572" s="625"/>
      <c r="K2572" s="625"/>
      <c r="L2572" s="627"/>
      <c r="M2572" s="627"/>
      <c r="N2572" s="627"/>
      <c r="O2572" s="627"/>
      <c r="P2572" s="627"/>
      <c r="W2572" t="s">
        <v>2047</v>
      </c>
    </row>
    <row r="2573" spans="1:23" ht="13.15" customHeight="1" x14ac:dyDescent="0.2">
      <c r="A2573" s="2" t="s">
        <v>2200</v>
      </c>
      <c r="B2573" s="2">
        <f t="shared" si="80"/>
        <v>2022</v>
      </c>
      <c r="C2573" s="2" t="str">
        <f t="shared" si="81"/>
        <v>KZN226</v>
      </c>
      <c r="D2573" s="2">
        <v>955</v>
      </c>
      <c r="F2573" s="625"/>
      <c r="G2573" s="625"/>
      <c r="H2573" s="625"/>
      <c r="I2573" s="625"/>
      <c r="J2573" s="625"/>
      <c r="K2573" s="625"/>
      <c r="L2573" s="627"/>
      <c r="M2573" s="627"/>
      <c r="N2573" s="627"/>
      <c r="O2573" s="627"/>
      <c r="P2573" s="627"/>
      <c r="W2573" t="s">
        <v>2047</v>
      </c>
    </row>
    <row r="2574" spans="1:23" ht="13.15" customHeight="1" x14ac:dyDescent="0.2">
      <c r="A2574" s="2" t="s">
        <v>2200</v>
      </c>
      <c r="B2574" s="2">
        <f t="shared" si="80"/>
        <v>2022</v>
      </c>
      <c r="C2574" s="2" t="str">
        <f t="shared" si="81"/>
        <v>KZN226</v>
      </c>
      <c r="D2574" s="2">
        <v>956</v>
      </c>
      <c r="F2574" s="625"/>
      <c r="G2574" s="625"/>
      <c r="H2574" s="625"/>
      <c r="I2574" s="625"/>
      <c r="J2574" s="625"/>
      <c r="K2574" s="625"/>
      <c r="L2574" s="627"/>
      <c r="M2574" s="627"/>
      <c r="N2574" s="627"/>
      <c r="O2574" s="627"/>
      <c r="P2574" s="627"/>
      <c r="W2574" t="s">
        <v>2047</v>
      </c>
    </row>
    <row r="2575" spans="1:23" ht="13.15" customHeight="1" x14ac:dyDescent="0.2">
      <c r="A2575" s="2" t="s">
        <v>2200</v>
      </c>
      <c r="B2575" s="2">
        <f t="shared" si="80"/>
        <v>2022</v>
      </c>
      <c r="C2575" s="2" t="str">
        <f t="shared" si="81"/>
        <v>KZN226</v>
      </c>
      <c r="D2575" s="2">
        <v>957</v>
      </c>
      <c r="F2575" s="625"/>
      <c r="G2575" s="625"/>
      <c r="H2575" s="625"/>
      <c r="I2575" s="625"/>
      <c r="J2575" s="625"/>
      <c r="K2575" s="625"/>
      <c r="L2575" s="627"/>
      <c r="M2575" s="627"/>
      <c r="N2575" s="627"/>
      <c r="O2575" s="627"/>
      <c r="P2575" s="627"/>
      <c r="W2575" t="s">
        <v>2047</v>
      </c>
    </row>
    <row r="2576" spans="1:23" ht="13.15" customHeight="1" x14ac:dyDescent="0.2">
      <c r="A2576" s="2" t="s">
        <v>2200</v>
      </c>
      <c r="B2576" s="2">
        <f t="shared" si="80"/>
        <v>2022</v>
      </c>
      <c r="C2576" s="2" t="str">
        <f t="shared" si="81"/>
        <v>KZN226</v>
      </c>
      <c r="D2576" s="2">
        <v>958</v>
      </c>
      <c r="F2576" s="625"/>
      <c r="G2576" s="625"/>
      <c r="H2576" s="625"/>
      <c r="I2576" s="625"/>
      <c r="J2576" s="625"/>
      <c r="K2576" s="625"/>
      <c r="L2576" s="627"/>
      <c r="M2576" s="627"/>
      <c r="N2576" s="627"/>
      <c r="O2576" s="627"/>
      <c r="P2576" s="627"/>
      <c r="W2576" t="s">
        <v>2047</v>
      </c>
    </row>
    <row r="2577" spans="1:23" ht="13.15" customHeight="1" x14ac:dyDescent="0.2">
      <c r="A2577" s="2" t="s">
        <v>2200</v>
      </c>
      <c r="B2577" s="2">
        <f t="shared" si="80"/>
        <v>2022</v>
      </c>
      <c r="C2577" s="2" t="str">
        <f t="shared" si="81"/>
        <v>KZN226</v>
      </c>
      <c r="D2577" s="2">
        <v>959</v>
      </c>
      <c r="F2577" s="625"/>
      <c r="G2577" s="625"/>
      <c r="H2577" s="625"/>
      <c r="I2577" s="625"/>
      <c r="J2577" s="625"/>
      <c r="K2577" s="625"/>
      <c r="L2577" s="627"/>
      <c r="M2577" s="627"/>
      <c r="N2577" s="627"/>
      <c r="O2577" s="627"/>
      <c r="P2577" s="627"/>
      <c r="W2577" t="s">
        <v>2047</v>
      </c>
    </row>
    <row r="2578" spans="1:23" ht="13.15" customHeight="1" x14ac:dyDescent="0.2">
      <c r="A2578" s="2" t="s">
        <v>2200</v>
      </c>
      <c r="B2578" s="2">
        <f t="shared" si="80"/>
        <v>2022</v>
      </c>
      <c r="C2578" s="2" t="str">
        <f t="shared" si="81"/>
        <v>KZN226</v>
      </c>
      <c r="D2578" s="2">
        <v>960</v>
      </c>
      <c r="F2578" s="625"/>
      <c r="G2578" s="625"/>
      <c r="H2578" s="625"/>
      <c r="I2578" s="625"/>
      <c r="J2578" s="625"/>
      <c r="K2578" s="625"/>
      <c r="L2578" s="627"/>
      <c r="M2578" s="627"/>
      <c r="N2578" s="627"/>
      <c r="O2578" s="627"/>
      <c r="P2578" s="627"/>
      <c r="W2578" t="s">
        <v>2047</v>
      </c>
    </row>
    <row r="2579" spans="1:23" ht="13.15" customHeight="1" x14ac:dyDescent="0.2">
      <c r="A2579" s="2" t="s">
        <v>2200</v>
      </c>
      <c r="B2579" s="2">
        <f t="shared" si="80"/>
        <v>2022</v>
      </c>
      <c r="C2579" s="2" t="str">
        <f t="shared" si="81"/>
        <v>KZN226</v>
      </c>
      <c r="D2579" s="2">
        <v>961</v>
      </c>
      <c r="F2579" s="625"/>
      <c r="G2579" s="625"/>
      <c r="H2579" s="625"/>
      <c r="I2579" s="625"/>
      <c r="J2579" s="625"/>
      <c r="K2579" s="625"/>
      <c r="L2579" s="627"/>
      <c r="M2579" s="627"/>
      <c r="N2579" s="627"/>
      <c r="O2579" s="627"/>
      <c r="P2579" s="627"/>
      <c r="W2579" t="s">
        <v>2047</v>
      </c>
    </row>
    <row r="2580" spans="1:23" ht="13.15" customHeight="1" x14ac:dyDescent="0.2">
      <c r="A2580" s="2" t="s">
        <v>2200</v>
      </c>
      <c r="B2580" s="2">
        <f t="shared" si="80"/>
        <v>2022</v>
      </c>
      <c r="C2580" s="2" t="str">
        <f t="shared" si="81"/>
        <v>KZN226</v>
      </c>
      <c r="D2580" s="2">
        <v>962</v>
      </c>
      <c r="F2580" s="625"/>
      <c r="G2580" s="625"/>
      <c r="H2580" s="625"/>
      <c r="I2580" s="625"/>
      <c r="J2580" s="625"/>
      <c r="K2580" s="625"/>
      <c r="L2580" s="627"/>
      <c r="M2580" s="627"/>
      <c r="N2580" s="627"/>
      <c r="O2580" s="627"/>
      <c r="P2580" s="627"/>
      <c r="W2580" t="s">
        <v>2047</v>
      </c>
    </row>
    <row r="2581" spans="1:23" ht="13.15" customHeight="1" x14ac:dyDescent="0.2">
      <c r="A2581" s="2" t="s">
        <v>2200</v>
      </c>
      <c r="B2581" s="2">
        <f t="shared" si="80"/>
        <v>2022</v>
      </c>
      <c r="C2581" s="2" t="str">
        <f t="shared" si="81"/>
        <v>KZN226</v>
      </c>
      <c r="D2581" s="2">
        <v>963</v>
      </c>
      <c r="F2581" s="625"/>
      <c r="G2581" s="625"/>
      <c r="H2581" s="625"/>
      <c r="I2581" s="625"/>
      <c r="J2581" s="625"/>
      <c r="K2581" s="625"/>
      <c r="L2581" s="627"/>
      <c r="M2581" s="627"/>
      <c r="N2581" s="627"/>
      <c r="O2581" s="627"/>
      <c r="P2581" s="627"/>
      <c r="W2581" t="s">
        <v>2047</v>
      </c>
    </row>
    <row r="2582" spans="1:23" ht="13.15" customHeight="1" x14ac:dyDescent="0.2">
      <c r="A2582" s="2" t="s">
        <v>2200</v>
      </c>
      <c r="B2582" s="2">
        <f t="shared" si="80"/>
        <v>2022</v>
      </c>
      <c r="C2582" s="2" t="str">
        <f t="shared" si="81"/>
        <v>KZN226</v>
      </c>
      <c r="D2582" s="2">
        <v>964</v>
      </c>
      <c r="F2582" s="625"/>
      <c r="G2582" s="625"/>
      <c r="H2582" s="625"/>
      <c r="I2582" s="625"/>
      <c r="J2582" s="625"/>
      <c r="K2582" s="625"/>
      <c r="L2582" s="627"/>
      <c r="M2582" s="627"/>
      <c r="N2582" s="627"/>
      <c r="O2582" s="627"/>
      <c r="P2582" s="627"/>
      <c r="W2582" t="s">
        <v>2047</v>
      </c>
    </row>
    <row r="2583" spans="1:23" ht="13.15" customHeight="1" x14ac:dyDescent="0.2">
      <c r="A2583" s="2" t="s">
        <v>2200</v>
      </c>
      <c r="B2583" s="2">
        <f t="shared" si="80"/>
        <v>2022</v>
      </c>
      <c r="C2583" s="2" t="str">
        <f t="shared" si="81"/>
        <v>KZN226</v>
      </c>
      <c r="D2583" s="2">
        <v>965</v>
      </c>
      <c r="F2583" s="625"/>
      <c r="G2583" s="625"/>
      <c r="H2583" s="625"/>
      <c r="I2583" s="625"/>
      <c r="J2583" s="625"/>
      <c r="K2583" s="625"/>
      <c r="L2583" s="627"/>
      <c r="M2583" s="627"/>
      <c r="N2583" s="627"/>
      <c r="O2583" s="627"/>
      <c r="P2583" s="627"/>
      <c r="W2583" t="s">
        <v>2047</v>
      </c>
    </row>
    <row r="2584" spans="1:23" ht="13.15" customHeight="1" x14ac:dyDescent="0.2">
      <c r="A2584" s="2" t="s">
        <v>2200</v>
      </c>
      <c r="B2584" s="2">
        <f t="shared" si="80"/>
        <v>2022</v>
      </c>
      <c r="C2584" s="2" t="str">
        <f t="shared" si="81"/>
        <v>KZN226</v>
      </c>
      <c r="D2584" s="2">
        <v>966</v>
      </c>
      <c r="F2584" s="625"/>
      <c r="G2584" s="625"/>
      <c r="H2584" s="625"/>
      <c r="I2584" s="625"/>
      <c r="J2584" s="625"/>
      <c r="K2584" s="625"/>
      <c r="L2584" s="627"/>
      <c r="M2584" s="627"/>
      <c r="N2584" s="627"/>
      <c r="O2584" s="627"/>
      <c r="P2584" s="627"/>
      <c r="W2584" t="s">
        <v>2047</v>
      </c>
    </row>
    <row r="2585" spans="1:23" ht="13.15" customHeight="1" x14ac:dyDescent="0.2">
      <c r="A2585" s="2" t="s">
        <v>2200</v>
      </c>
      <c r="B2585" s="2">
        <f t="shared" si="80"/>
        <v>2022</v>
      </c>
      <c r="C2585" s="2" t="str">
        <f t="shared" si="81"/>
        <v>KZN226</v>
      </c>
      <c r="D2585" s="2">
        <v>967</v>
      </c>
      <c r="F2585" s="625"/>
      <c r="G2585" s="625"/>
      <c r="H2585" s="625"/>
      <c r="I2585" s="625"/>
      <c r="J2585" s="625"/>
      <c r="K2585" s="625"/>
      <c r="L2585" s="627"/>
      <c r="M2585" s="627"/>
      <c r="N2585" s="627"/>
      <c r="O2585" s="627"/>
      <c r="P2585" s="627"/>
      <c r="W2585" t="s">
        <v>2047</v>
      </c>
    </row>
    <row r="2586" spans="1:23" ht="13.15" customHeight="1" x14ac:dyDescent="0.2">
      <c r="A2586" s="2" t="s">
        <v>2200</v>
      </c>
      <c r="B2586" s="2">
        <f t="shared" si="80"/>
        <v>2022</v>
      </c>
      <c r="C2586" s="2" t="str">
        <f t="shared" si="81"/>
        <v>KZN226</v>
      </c>
      <c r="D2586" s="2">
        <v>968</v>
      </c>
      <c r="F2586" s="625"/>
      <c r="G2586" s="625"/>
      <c r="H2586" s="625"/>
      <c r="I2586" s="625"/>
      <c r="J2586" s="625"/>
      <c r="K2586" s="625"/>
      <c r="L2586" s="627"/>
      <c r="M2586" s="627"/>
      <c r="N2586" s="627"/>
      <c r="O2586" s="627"/>
      <c r="P2586" s="627"/>
      <c r="W2586" t="s">
        <v>2047</v>
      </c>
    </row>
    <row r="2587" spans="1:23" ht="13.15" customHeight="1" x14ac:dyDescent="0.2">
      <c r="A2587" s="2" t="s">
        <v>2200</v>
      </c>
      <c r="B2587" s="2">
        <f t="shared" si="80"/>
        <v>2022</v>
      </c>
      <c r="C2587" s="2" t="str">
        <f t="shared" si="81"/>
        <v>KZN226</v>
      </c>
      <c r="D2587" s="2">
        <v>969</v>
      </c>
      <c r="F2587" s="625"/>
      <c r="G2587" s="625"/>
      <c r="H2587" s="625"/>
      <c r="I2587" s="625"/>
      <c r="J2587" s="625"/>
      <c r="K2587" s="625"/>
      <c r="L2587" s="627"/>
      <c r="M2587" s="627"/>
      <c r="N2587" s="627"/>
      <c r="O2587" s="627"/>
      <c r="P2587" s="627"/>
      <c r="W2587" t="s">
        <v>2047</v>
      </c>
    </row>
    <row r="2588" spans="1:23" ht="13.15" customHeight="1" x14ac:dyDescent="0.2">
      <c r="A2588" s="2" t="s">
        <v>2200</v>
      </c>
      <c r="B2588" s="2">
        <f t="shared" si="80"/>
        <v>2022</v>
      </c>
      <c r="C2588" s="2" t="str">
        <f t="shared" si="81"/>
        <v>KZN226</v>
      </c>
      <c r="D2588" s="2">
        <v>970</v>
      </c>
      <c r="F2588" s="625"/>
      <c r="G2588" s="625"/>
      <c r="H2588" s="625"/>
      <c r="I2588" s="625"/>
      <c r="J2588" s="625"/>
      <c r="K2588" s="625"/>
      <c r="L2588" s="627"/>
      <c r="M2588" s="627"/>
      <c r="N2588" s="627"/>
      <c r="O2588" s="627"/>
      <c r="P2588" s="627"/>
      <c r="W2588" t="s">
        <v>2047</v>
      </c>
    </row>
    <row r="2589" spans="1:23" ht="13.15" customHeight="1" x14ac:dyDescent="0.2">
      <c r="A2589" s="2" t="s">
        <v>2200</v>
      </c>
      <c r="B2589" s="2">
        <f t="shared" si="80"/>
        <v>2022</v>
      </c>
      <c r="C2589" s="2" t="str">
        <f t="shared" si="81"/>
        <v>KZN226</v>
      </c>
      <c r="D2589" s="2">
        <v>971</v>
      </c>
      <c r="F2589" s="625"/>
      <c r="G2589" s="625"/>
      <c r="H2589" s="625"/>
      <c r="I2589" s="625"/>
      <c r="J2589" s="625"/>
      <c r="K2589" s="625"/>
      <c r="L2589" s="627"/>
      <c r="M2589" s="627"/>
      <c r="N2589" s="627"/>
      <c r="O2589" s="627"/>
      <c r="P2589" s="627"/>
      <c r="W2589" t="s">
        <v>2047</v>
      </c>
    </row>
    <row r="2590" spans="1:23" ht="13.15" customHeight="1" x14ac:dyDescent="0.2">
      <c r="A2590" s="2" t="s">
        <v>2200</v>
      </c>
      <c r="B2590" s="2">
        <f t="shared" si="80"/>
        <v>2022</v>
      </c>
      <c r="C2590" s="2" t="str">
        <f t="shared" si="81"/>
        <v>KZN226</v>
      </c>
      <c r="D2590" s="2">
        <v>972</v>
      </c>
      <c r="F2590" s="625"/>
      <c r="G2590" s="625"/>
      <c r="H2590" s="625"/>
      <c r="I2590" s="625"/>
      <c r="J2590" s="625"/>
      <c r="K2590" s="625"/>
      <c r="L2590" s="627"/>
      <c r="M2590" s="627"/>
      <c r="N2590" s="627"/>
      <c r="O2590" s="627"/>
      <c r="P2590" s="627"/>
      <c r="W2590" t="s">
        <v>2047</v>
      </c>
    </row>
    <row r="2591" spans="1:23" ht="13.15" customHeight="1" x14ac:dyDescent="0.2">
      <c r="A2591" s="2" t="s">
        <v>2200</v>
      </c>
      <c r="B2591" s="2">
        <f t="shared" si="80"/>
        <v>2022</v>
      </c>
      <c r="C2591" s="2" t="str">
        <f t="shared" si="81"/>
        <v>KZN226</v>
      </c>
      <c r="D2591" s="2">
        <v>973</v>
      </c>
      <c r="F2591" s="625"/>
      <c r="G2591" s="625"/>
      <c r="H2591" s="625"/>
      <c r="I2591" s="625"/>
      <c r="J2591" s="625"/>
      <c r="K2591" s="625"/>
      <c r="L2591" s="627"/>
      <c r="M2591" s="627"/>
      <c r="N2591" s="627"/>
      <c r="O2591" s="627"/>
      <c r="P2591" s="627"/>
      <c r="W2591" t="s">
        <v>2047</v>
      </c>
    </row>
    <row r="2592" spans="1:23" ht="13.15" customHeight="1" x14ac:dyDescent="0.2">
      <c r="A2592" s="2" t="s">
        <v>2200</v>
      </c>
      <c r="B2592" s="2">
        <f t="shared" si="80"/>
        <v>2022</v>
      </c>
      <c r="C2592" s="2" t="str">
        <f t="shared" si="81"/>
        <v>KZN226</v>
      </c>
      <c r="D2592" s="2">
        <v>974</v>
      </c>
      <c r="F2592" s="625"/>
      <c r="G2592" s="625"/>
      <c r="H2592" s="625"/>
      <c r="I2592" s="625"/>
      <c r="J2592" s="625"/>
      <c r="K2592" s="625"/>
      <c r="L2592" s="627"/>
      <c r="M2592" s="627"/>
      <c r="N2592" s="627"/>
      <c r="O2592" s="627"/>
      <c r="P2592" s="627"/>
      <c r="W2592" t="s">
        <v>2047</v>
      </c>
    </row>
    <row r="2593" spans="1:23" ht="13.15" customHeight="1" x14ac:dyDescent="0.2">
      <c r="A2593" s="2" t="s">
        <v>2200</v>
      </c>
      <c r="B2593" s="2">
        <f t="shared" si="80"/>
        <v>2022</v>
      </c>
      <c r="C2593" s="2" t="str">
        <f t="shared" si="81"/>
        <v>KZN226</v>
      </c>
      <c r="D2593" s="2">
        <v>975</v>
      </c>
      <c r="F2593" s="625"/>
      <c r="G2593" s="625"/>
      <c r="H2593" s="625"/>
      <c r="I2593" s="625"/>
      <c r="J2593" s="625"/>
      <c r="K2593" s="625"/>
      <c r="L2593" s="627"/>
      <c r="M2593" s="627"/>
      <c r="N2593" s="627"/>
      <c r="O2593" s="627"/>
      <c r="P2593" s="627"/>
      <c r="W2593" t="s">
        <v>2047</v>
      </c>
    </row>
    <row r="2594" spans="1:23" ht="13.15" customHeight="1" x14ac:dyDescent="0.2">
      <c r="A2594" s="2" t="s">
        <v>2200</v>
      </c>
      <c r="B2594" s="2">
        <f t="shared" si="80"/>
        <v>2022</v>
      </c>
      <c r="C2594" s="2" t="str">
        <f t="shared" si="81"/>
        <v>KZN226</v>
      </c>
      <c r="D2594" s="2">
        <v>976</v>
      </c>
      <c r="F2594" s="625"/>
      <c r="G2594" s="625"/>
      <c r="H2594" s="625"/>
      <c r="I2594" s="625"/>
      <c r="J2594" s="625"/>
      <c r="K2594" s="625"/>
      <c r="L2594" s="627"/>
      <c r="M2594" s="627"/>
      <c r="N2594" s="627"/>
      <c r="O2594" s="627"/>
      <c r="P2594" s="627"/>
      <c r="W2594" t="s">
        <v>2047</v>
      </c>
    </row>
    <row r="2595" spans="1:23" ht="13.15" customHeight="1" x14ac:dyDescent="0.2">
      <c r="A2595" s="2" t="s">
        <v>2200</v>
      </c>
      <c r="B2595" s="2">
        <f t="shared" si="80"/>
        <v>2022</v>
      </c>
      <c r="C2595" s="2" t="str">
        <f t="shared" si="81"/>
        <v>KZN226</v>
      </c>
      <c r="D2595" s="2">
        <v>977</v>
      </c>
      <c r="F2595" s="625"/>
      <c r="G2595" s="625"/>
      <c r="H2595" s="625"/>
      <c r="I2595" s="625"/>
      <c r="J2595" s="625"/>
      <c r="K2595" s="625"/>
      <c r="L2595" s="627"/>
      <c r="M2595" s="627"/>
      <c r="N2595" s="627"/>
      <c r="O2595" s="627"/>
      <c r="P2595" s="627"/>
      <c r="W2595" t="s">
        <v>2047</v>
      </c>
    </row>
    <row r="2596" spans="1:23" ht="13.15" customHeight="1" x14ac:dyDescent="0.2">
      <c r="A2596" s="2" t="s">
        <v>2200</v>
      </c>
      <c r="B2596" s="2">
        <f t="shared" si="80"/>
        <v>2022</v>
      </c>
      <c r="C2596" s="2" t="str">
        <f t="shared" si="81"/>
        <v>KZN226</v>
      </c>
      <c r="D2596" s="2">
        <v>978</v>
      </c>
      <c r="F2596" s="625"/>
      <c r="G2596" s="625"/>
      <c r="H2596" s="625"/>
      <c r="I2596" s="625"/>
      <c r="J2596" s="625"/>
      <c r="K2596" s="625"/>
      <c r="L2596" s="627"/>
      <c r="M2596" s="627"/>
      <c r="N2596" s="627"/>
      <c r="O2596" s="627"/>
      <c r="P2596" s="627"/>
      <c r="W2596" t="s">
        <v>2047</v>
      </c>
    </row>
    <row r="2597" spans="1:23" ht="13.15" customHeight="1" x14ac:dyDescent="0.2">
      <c r="A2597" s="2" t="s">
        <v>2200</v>
      </c>
      <c r="B2597" s="2">
        <f t="shared" si="80"/>
        <v>2022</v>
      </c>
      <c r="C2597" s="2" t="str">
        <f t="shared" si="81"/>
        <v>KZN226</v>
      </c>
      <c r="D2597" s="2">
        <v>979</v>
      </c>
      <c r="F2597" s="625"/>
      <c r="G2597" s="625"/>
      <c r="H2597" s="625"/>
      <c r="I2597" s="625"/>
      <c r="J2597" s="625"/>
      <c r="K2597" s="625"/>
      <c r="L2597" s="627"/>
      <c r="M2597" s="627"/>
      <c r="N2597" s="627"/>
      <c r="O2597" s="627"/>
      <c r="P2597" s="627"/>
      <c r="W2597" t="s">
        <v>2047</v>
      </c>
    </row>
    <row r="2598" spans="1:23" ht="13.15" customHeight="1" x14ac:dyDescent="0.2">
      <c r="A2598" s="2" t="s">
        <v>2200</v>
      </c>
      <c r="B2598" s="2">
        <f t="shared" si="80"/>
        <v>2022</v>
      </c>
      <c r="C2598" s="2" t="str">
        <f t="shared" si="81"/>
        <v>KZN226</v>
      </c>
      <c r="D2598" s="2">
        <v>980</v>
      </c>
      <c r="F2598" s="625"/>
      <c r="G2598" s="625"/>
      <c r="H2598" s="625"/>
      <c r="I2598" s="625"/>
      <c r="J2598" s="625"/>
      <c r="K2598" s="625"/>
      <c r="L2598" s="627"/>
      <c r="M2598" s="627"/>
      <c r="N2598" s="627"/>
      <c r="O2598" s="627"/>
      <c r="P2598" s="627"/>
      <c r="W2598" t="s">
        <v>2047</v>
      </c>
    </row>
    <row r="2599" spans="1:23" ht="13.15" customHeight="1" x14ac:dyDescent="0.2">
      <c r="A2599" s="2" t="s">
        <v>2200</v>
      </c>
      <c r="B2599" s="2">
        <f t="shared" si="80"/>
        <v>2022</v>
      </c>
      <c r="C2599" s="2" t="str">
        <f t="shared" si="81"/>
        <v>KZN226</v>
      </c>
      <c r="D2599" s="2">
        <v>981</v>
      </c>
      <c r="F2599" s="625"/>
      <c r="G2599" s="625"/>
      <c r="H2599" s="625"/>
      <c r="I2599" s="625"/>
      <c r="J2599" s="625"/>
      <c r="K2599" s="625"/>
      <c r="L2599" s="627"/>
      <c r="M2599" s="627"/>
      <c r="N2599" s="627"/>
      <c r="O2599" s="627"/>
      <c r="P2599" s="627"/>
      <c r="W2599" t="s">
        <v>2047</v>
      </c>
    </row>
    <row r="2600" spans="1:23" ht="13.15" customHeight="1" x14ac:dyDescent="0.2">
      <c r="A2600" s="2" t="s">
        <v>2200</v>
      </c>
      <c r="B2600" s="2">
        <f t="shared" si="80"/>
        <v>2022</v>
      </c>
      <c r="C2600" s="2" t="str">
        <f t="shared" si="81"/>
        <v>KZN226</v>
      </c>
      <c r="D2600" s="2">
        <v>982</v>
      </c>
      <c r="F2600" s="625"/>
      <c r="G2600" s="625"/>
      <c r="H2600" s="625"/>
      <c r="I2600" s="625"/>
      <c r="J2600" s="625"/>
      <c r="K2600" s="625"/>
      <c r="L2600" s="627"/>
      <c r="M2600" s="627"/>
      <c r="N2600" s="627"/>
      <c r="O2600" s="627"/>
      <c r="P2600" s="627"/>
      <c r="W2600" t="s">
        <v>2047</v>
      </c>
    </row>
    <row r="2601" spans="1:23" ht="13.15" customHeight="1" x14ac:dyDescent="0.2">
      <c r="A2601" s="2" t="s">
        <v>2200</v>
      </c>
      <c r="B2601" s="2">
        <f t="shared" si="80"/>
        <v>2022</v>
      </c>
      <c r="C2601" s="2" t="str">
        <f t="shared" si="81"/>
        <v>KZN226</v>
      </c>
      <c r="D2601" s="2">
        <v>983</v>
      </c>
      <c r="F2601" s="625"/>
      <c r="G2601" s="625"/>
      <c r="H2601" s="625"/>
      <c r="I2601" s="625"/>
      <c r="J2601" s="625"/>
      <c r="K2601" s="625"/>
      <c r="L2601" s="627"/>
      <c r="M2601" s="627"/>
      <c r="N2601" s="627"/>
      <c r="O2601" s="627"/>
      <c r="P2601" s="627"/>
      <c r="W2601" t="s">
        <v>2047</v>
      </c>
    </row>
    <row r="2602" spans="1:23" ht="13.15" customHeight="1" x14ac:dyDescent="0.2">
      <c r="A2602" s="2" t="s">
        <v>2200</v>
      </c>
      <c r="B2602" s="2">
        <f t="shared" si="80"/>
        <v>2022</v>
      </c>
      <c r="C2602" s="2" t="str">
        <f t="shared" si="81"/>
        <v>KZN226</v>
      </c>
      <c r="D2602" s="2">
        <v>984</v>
      </c>
      <c r="F2602" s="625"/>
      <c r="G2602" s="625"/>
      <c r="H2602" s="625"/>
      <c r="I2602" s="625"/>
      <c r="J2602" s="625"/>
      <c r="K2602" s="625"/>
      <c r="L2602" s="627"/>
      <c r="M2602" s="627"/>
      <c r="N2602" s="627"/>
      <c r="O2602" s="627"/>
      <c r="P2602" s="627"/>
      <c r="W2602" t="s">
        <v>2047</v>
      </c>
    </row>
    <row r="2603" spans="1:23" ht="13.15" customHeight="1" x14ac:dyDescent="0.2">
      <c r="A2603" s="2" t="s">
        <v>2200</v>
      </c>
      <c r="B2603" s="2">
        <f t="shared" si="80"/>
        <v>2022</v>
      </c>
      <c r="C2603" s="2" t="str">
        <f t="shared" si="81"/>
        <v>KZN226</v>
      </c>
      <c r="D2603" s="2">
        <v>985</v>
      </c>
      <c r="F2603" s="625"/>
      <c r="G2603" s="625"/>
      <c r="H2603" s="625"/>
      <c r="I2603" s="625"/>
      <c r="J2603" s="625"/>
      <c r="K2603" s="625"/>
      <c r="L2603" s="627"/>
      <c r="M2603" s="627"/>
      <c r="N2603" s="627"/>
      <c r="O2603" s="627"/>
      <c r="P2603" s="627"/>
      <c r="W2603" t="s">
        <v>2047</v>
      </c>
    </row>
    <row r="2604" spans="1:23" ht="13.15" customHeight="1" x14ac:dyDescent="0.2">
      <c r="A2604" s="2" t="s">
        <v>2200</v>
      </c>
      <c r="B2604" s="2">
        <f t="shared" si="80"/>
        <v>2022</v>
      </c>
      <c r="C2604" s="2" t="str">
        <f t="shared" si="81"/>
        <v>KZN226</v>
      </c>
      <c r="D2604" s="2">
        <v>986</v>
      </c>
      <c r="F2604" s="625"/>
      <c r="G2604" s="625"/>
      <c r="H2604" s="625"/>
      <c r="I2604" s="625"/>
      <c r="J2604" s="625"/>
      <c r="K2604" s="625"/>
      <c r="L2604" s="627"/>
      <c r="M2604" s="627"/>
      <c r="N2604" s="627"/>
      <c r="O2604" s="627"/>
      <c r="P2604" s="627"/>
      <c r="W2604" t="s">
        <v>2047</v>
      </c>
    </row>
    <row r="2605" spans="1:23" ht="13.15" customHeight="1" x14ac:dyDescent="0.2">
      <c r="A2605" s="2" t="s">
        <v>2200</v>
      </c>
      <c r="B2605" s="2">
        <f t="shared" si="80"/>
        <v>2022</v>
      </c>
      <c r="C2605" s="2" t="str">
        <f t="shared" si="81"/>
        <v>KZN226</v>
      </c>
      <c r="D2605" s="2">
        <v>987</v>
      </c>
      <c r="F2605" s="625"/>
      <c r="G2605" s="625"/>
      <c r="H2605" s="625"/>
      <c r="I2605" s="625"/>
      <c r="J2605" s="625"/>
      <c r="K2605" s="625"/>
      <c r="L2605" s="627"/>
      <c r="M2605" s="627"/>
      <c r="N2605" s="627"/>
      <c r="O2605" s="627"/>
      <c r="P2605" s="627"/>
      <c r="W2605" t="s">
        <v>2047</v>
      </c>
    </row>
    <row r="2606" spans="1:23" ht="13.15" customHeight="1" x14ac:dyDescent="0.2">
      <c r="A2606" s="2" t="s">
        <v>2200</v>
      </c>
      <c r="B2606" s="2">
        <f t="shared" si="80"/>
        <v>2022</v>
      </c>
      <c r="C2606" s="2" t="str">
        <f t="shared" si="81"/>
        <v>KZN226</v>
      </c>
      <c r="D2606" s="2">
        <v>988</v>
      </c>
      <c r="F2606" s="625"/>
      <c r="G2606" s="625"/>
      <c r="H2606" s="625"/>
      <c r="I2606" s="625"/>
      <c r="J2606" s="625"/>
      <c r="K2606" s="625"/>
      <c r="L2606" s="627"/>
      <c r="M2606" s="627"/>
      <c r="N2606" s="627"/>
      <c r="O2606" s="627"/>
      <c r="P2606" s="627"/>
      <c r="W2606" t="s">
        <v>2047</v>
      </c>
    </row>
    <row r="2607" spans="1:23" ht="13.15" customHeight="1" x14ac:dyDescent="0.2">
      <c r="A2607" s="2" t="s">
        <v>2200</v>
      </c>
      <c r="B2607" s="2">
        <f t="shared" si="80"/>
        <v>2022</v>
      </c>
      <c r="C2607" s="2" t="str">
        <f t="shared" si="81"/>
        <v>KZN226</v>
      </c>
      <c r="D2607" s="2">
        <v>989</v>
      </c>
      <c r="F2607" s="625"/>
      <c r="G2607" s="625"/>
      <c r="H2607" s="625"/>
      <c r="I2607" s="625"/>
      <c r="J2607" s="625"/>
      <c r="K2607" s="625"/>
      <c r="L2607" s="627"/>
      <c r="M2607" s="627"/>
      <c r="N2607" s="627"/>
      <c r="O2607" s="627"/>
      <c r="P2607" s="627"/>
      <c r="W2607" t="s">
        <v>2047</v>
      </c>
    </row>
    <row r="2608" spans="1:23" ht="13.15" customHeight="1" x14ac:dyDescent="0.2">
      <c r="A2608" s="2" t="s">
        <v>2200</v>
      </c>
      <c r="B2608" s="2">
        <f t="shared" si="80"/>
        <v>2022</v>
      </c>
      <c r="C2608" s="2" t="str">
        <f t="shared" si="81"/>
        <v>KZN226</v>
      </c>
      <c r="D2608" s="2">
        <v>990</v>
      </c>
      <c r="F2608" s="625"/>
      <c r="G2608" s="625"/>
      <c r="H2608" s="625"/>
      <c r="I2608" s="625"/>
      <c r="J2608" s="625"/>
      <c r="K2608" s="625"/>
      <c r="L2608" s="627"/>
      <c r="M2608" s="627"/>
      <c r="N2608" s="627"/>
      <c r="O2608" s="627"/>
      <c r="P2608" s="627"/>
      <c r="W2608" t="s">
        <v>2047</v>
      </c>
    </row>
    <row r="2609" spans="1:23" ht="13.15" customHeight="1" x14ac:dyDescent="0.2">
      <c r="A2609" s="2" t="s">
        <v>2200</v>
      </c>
      <c r="B2609" s="2">
        <f t="shared" si="80"/>
        <v>2022</v>
      </c>
      <c r="C2609" s="2" t="str">
        <f t="shared" si="81"/>
        <v>KZN226</v>
      </c>
      <c r="D2609" s="2">
        <v>991</v>
      </c>
      <c r="F2609" s="625"/>
      <c r="G2609" s="625"/>
      <c r="H2609" s="625"/>
      <c r="I2609" s="625"/>
      <c r="J2609" s="625"/>
      <c r="K2609" s="625"/>
      <c r="L2609" s="627"/>
      <c r="M2609" s="627"/>
      <c r="N2609" s="627"/>
      <c r="O2609" s="627"/>
      <c r="P2609" s="627"/>
      <c r="W2609" t="s">
        <v>2047</v>
      </c>
    </row>
    <row r="2610" spans="1:23" ht="13.15" customHeight="1" x14ac:dyDescent="0.2">
      <c r="A2610" s="2" t="s">
        <v>2200</v>
      </c>
      <c r="B2610" s="2">
        <f t="shared" si="80"/>
        <v>2022</v>
      </c>
      <c r="C2610" s="2" t="str">
        <f t="shared" si="81"/>
        <v>KZN226</v>
      </c>
      <c r="D2610" s="2">
        <v>992</v>
      </c>
      <c r="F2610" s="625"/>
      <c r="G2610" s="625"/>
      <c r="H2610" s="625"/>
      <c r="I2610" s="625"/>
      <c r="J2610" s="625"/>
      <c r="K2610" s="625"/>
      <c r="L2610" s="627"/>
      <c r="M2610" s="627"/>
      <c r="N2610" s="627"/>
      <c r="O2610" s="627"/>
      <c r="P2610" s="627"/>
      <c r="W2610" t="s">
        <v>2047</v>
      </c>
    </row>
    <row r="2611" spans="1:23" ht="13.15" customHeight="1" x14ac:dyDescent="0.2">
      <c r="A2611" s="2" t="s">
        <v>2200</v>
      </c>
      <c r="B2611" s="2">
        <f t="shared" si="80"/>
        <v>2022</v>
      </c>
      <c r="C2611" s="2" t="str">
        <f t="shared" si="81"/>
        <v>KZN226</v>
      </c>
      <c r="D2611" s="2">
        <v>993</v>
      </c>
      <c r="F2611" s="625"/>
      <c r="G2611" s="625"/>
      <c r="H2611" s="625"/>
      <c r="I2611" s="625"/>
      <c r="J2611" s="625"/>
      <c r="K2611" s="625"/>
      <c r="L2611" s="627"/>
      <c r="M2611" s="627"/>
      <c r="N2611" s="627"/>
      <c r="O2611" s="627"/>
      <c r="P2611" s="627"/>
      <c r="W2611" t="s">
        <v>2047</v>
      </c>
    </row>
    <row r="2612" spans="1:23" ht="13.15" customHeight="1" x14ac:dyDescent="0.2">
      <c r="A2612" s="2" t="s">
        <v>2200</v>
      </c>
      <c r="B2612" s="2">
        <f t="shared" si="80"/>
        <v>2022</v>
      </c>
      <c r="C2612" s="2" t="str">
        <f t="shared" si="81"/>
        <v>KZN226</v>
      </c>
      <c r="D2612" s="2">
        <v>994</v>
      </c>
      <c r="F2612" s="625"/>
      <c r="G2612" s="625"/>
      <c r="H2612" s="625"/>
      <c r="I2612" s="625"/>
      <c r="J2612" s="625"/>
      <c r="K2612" s="625"/>
      <c r="L2612" s="627"/>
      <c r="M2612" s="627"/>
      <c r="N2612" s="627"/>
      <c r="O2612" s="627"/>
      <c r="P2612" s="627"/>
      <c r="W2612" t="s">
        <v>2047</v>
      </c>
    </row>
    <row r="2613" spans="1:23" ht="13.15" customHeight="1" x14ac:dyDescent="0.2">
      <c r="A2613" s="2" t="s">
        <v>2200</v>
      </c>
      <c r="B2613" s="2">
        <f t="shared" si="80"/>
        <v>2022</v>
      </c>
      <c r="C2613" s="2" t="str">
        <f t="shared" si="81"/>
        <v>KZN226</v>
      </c>
      <c r="D2613" s="2">
        <v>995</v>
      </c>
      <c r="F2613" s="625"/>
      <c r="G2613" s="625"/>
      <c r="H2613" s="625"/>
      <c r="I2613" s="625"/>
      <c r="J2613" s="625"/>
      <c r="K2613" s="625"/>
      <c r="L2613" s="627"/>
      <c r="M2613" s="627"/>
      <c r="N2613" s="627"/>
      <c r="O2613" s="627"/>
      <c r="P2613" s="627"/>
      <c r="W2613" t="s">
        <v>2047</v>
      </c>
    </row>
    <row r="2614" spans="1:23" ht="13.15" customHeight="1" x14ac:dyDescent="0.2">
      <c r="A2614" s="2" t="s">
        <v>2200</v>
      </c>
      <c r="B2614" s="2">
        <f t="shared" si="80"/>
        <v>2022</v>
      </c>
      <c r="C2614" s="2" t="str">
        <f t="shared" si="81"/>
        <v>KZN226</v>
      </c>
      <c r="D2614" s="2">
        <v>996</v>
      </c>
      <c r="F2614" s="625"/>
      <c r="G2614" s="625"/>
      <c r="H2614" s="625"/>
      <c r="I2614" s="625"/>
      <c r="J2614" s="625"/>
      <c r="K2614" s="625"/>
      <c r="L2614" s="627"/>
      <c r="M2614" s="627"/>
      <c r="N2614" s="627"/>
      <c r="O2614" s="627"/>
      <c r="P2614" s="627"/>
      <c r="W2614" t="s">
        <v>2047</v>
      </c>
    </row>
    <row r="2615" spans="1:23" ht="13.15" customHeight="1" x14ac:dyDescent="0.2">
      <c r="A2615" s="2" t="s">
        <v>2200</v>
      </c>
      <c r="B2615" s="2">
        <f t="shared" si="80"/>
        <v>2022</v>
      </c>
      <c r="C2615" s="2" t="str">
        <f t="shared" si="81"/>
        <v>KZN226</v>
      </c>
      <c r="D2615" s="2">
        <v>997</v>
      </c>
      <c r="F2615" s="625"/>
      <c r="G2615" s="625"/>
      <c r="H2615" s="625"/>
      <c r="I2615" s="625"/>
      <c r="J2615" s="625"/>
      <c r="K2615" s="625"/>
      <c r="L2615" s="627"/>
      <c r="M2615" s="627"/>
      <c r="N2615" s="627"/>
      <c r="O2615" s="627"/>
      <c r="P2615" s="627"/>
      <c r="W2615" t="s">
        <v>2047</v>
      </c>
    </row>
    <row r="2616" spans="1:23" ht="13.15" customHeight="1" x14ac:dyDescent="0.2">
      <c r="A2616" s="2" t="s">
        <v>2200</v>
      </c>
      <c r="B2616" s="2">
        <f t="shared" si="80"/>
        <v>2022</v>
      </c>
      <c r="C2616" s="2" t="str">
        <f t="shared" si="81"/>
        <v>KZN226</v>
      </c>
      <c r="D2616" s="2">
        <v>998</v>
      </c>
      <c r="F2616" s="625"/>
      <c r="G2616" s="625"/>
      <c r="H2616" s="625"/>
      <c r="I2616" s="625"/>
      <c r="J2616" s="625"/>
      <c r="K2616" s="625"/>
      <c r="L2616" s="627"/>
      <c r="M2616" s="627"/>
      <c r="N2616" s="627"/>
      <c r="O2616" s="627"/>
      <c r="P2616" s="627"/>
      <c r="W2616" t="s">
        <v>2047</v>
      </c>
    </row>
    <row r="2617" spans="1:23" ht="13.15" customHeight="1" x14ac:dyDescent="0.2">
      <c r="A2617" s="2" t="s">
        <v>2200</v>
      </c>
      <c r="B2617" s="2">
        <f t="shared" si="80"/>
        <v>2022</v>
      </c>
      <c r="C2617" s="2" t="str">
        <f t="shared" si="81"/>
        <v>KZN226</v>
      </c>
      <c r="D2617" s="2">
        <v>999</v>
      </c>
      <c r="F2617" s="625"/>
      <c r="G2617" s="625"/>
      <c r="H2617" s="625"/>
      <c r="I2617" s="625"/>
      <c r="J2617" s="625"/>
      <c r="K2617" s="625"/>
      <c r="L2617" s="627"/>
      <c r="M2617" s="627"/>
      <c r="N2617" s="627"/>
      <c r="O2617" s="627"/>
      <c r="P2617" s="627"/>
      <c r="W2617" t="s">
        <v>2047</v>
      </c>
    </row>
    <row r="2618" spans="1:23" ht="13.15" customHeight="1" x14ac:dyDescent="0.2">
      <c r="A2618" s="2" t="s">
        <v>2200</v>
      </c>
      <c r="B2618" s="2">
        <f t="shared" si="80"/>
        <v>2022</v>
      </c>
      <c r="C2618" s="2" t="str">
        <f t="shared" si="81"/>
        <v>KZN226</v>
      </c>
      <c r="D2618" s="2">
        <v>1000</v>
      </c>
      <c r="F2618" s="625"/>
      <c r="G2618" s="625"/>
      <c r="H2618" s="625"/>
      <c r="I2618" s="625"/>
      <c r="J2618" s="625"/>
      <c r="K2618" s="625"/>
      <c r="L2618" s="627"/>
      <c r="M2618" s="627"/>
      <c r="N2618" s="627"/>
      <c r="O2618" s="627"/>
      <c r="P2618" s="627"/>
      <c r="W2618" t="s">
        <v>2047</v>
      </c>
    </row>
    <row r="2619" spans="1:23" ht="13.15" customHeight="1" x14ac:dyDescent="0.2">
      <c r="A2619" s="2" t="s">
        <v>2201</v>
      </c>
      <c r="B2619" s="2">
        <f t="shared" si="80"/>
        <v>2022</v>
      </c>
      <c r="C2619" s="2" t="str">
        <f t="shared" si="81"/>
        <v>KZN226</v>
      </c>
      <c r="D2619" s="2">
        <v>1</v>
      </c>
      <c r="F2619" s="633"/>
      <c r="G2619" s="633"/>
      <c r="H2619" s="633"/>
      <c r="I2619" s="633"/>
      <c r="J2619" s="633"/>
      <c r="K2619" s="633"/>
      <c r="L2619" s="633"/>
      <c r="M2619" s="633"/>
      <c r="N2619" s="633"/>
      <c r="O2619" s="633"/>
      <c r="P2619" s="633"/>
      <c r="Q2619" s="633"/>
      <c r="R2619" s="633"/>
      <c r="S2619" s="633"/>
      <c r="T2619" s="633"/>
      <c r="U2619" s="633"/>
      <c r="V2619" s="633"/>
      <c r="W2619" t="s">
        <v>2047</v>
      </c>
    </row>
    <row r="2620" spans="1:23" ht="13.15" customHeight="1" x14ac:dyDescent="0.2">
      <c r="A2620" s="2" t="s">
        <v>2201</v>
      </c>
      <c r="B2620" s="2">
        <f t="shared" si="80"/>
        <v>2022</v>
      </c>
      <c r="C2620" s="2" t="str">
        <f t="shared" si="81"/>
        <v>KZN226</v>
      </c>
      <c r="D2620" s="2">
        <v>2</v>
      </c>
      <c r="F2620" s="633"/>
      <c r="G2620" s="633"/>
      <c r="H2620" s="633"/>
      <c r="I2620" s="633"/>
      <c r="J2620" s="633"/>
      <c r="K2620" s="633"/>
      <c r="L2620" s="633"/>
      <c r="M2620" s="633"/>
      <c r="N2620" s="633"/>
      <c r="O2620" s="633"/>
      <c r="P2620" s="633"/>
      <c r="Q2620" s="633"/>
      <c r="R2620" s="633"/>
      <c r="S2620" s="633"/>
      <c r="T2620" s="633"/>
      <c r="U2620" s="633"/>
      <c r="V2620" s="633"/>
      <c r="W2620" t="s">
        <v>2047</v>
      </c>
    </row>
    <row r="2621" spans="1:23" ht="13.15" customHeight="1" x14ac:dyDescent="0.2">
      <c r="A2621" s="2" t="s">
        <v>2201</v>
      </c>
      <c r="B2621" s="2">
        <f t="shared" si="80"/>
        <v>2022</v>
      </c>
      <c r="C2621" s="2" t="str">
        <f t="shared" si="81"/>
        <v>KZN226</v>
      </c>
      <c r="D2621" s="2">
        <v>3</v>
      </c>
      <c r="F2621" s="633"/>
      <c r="G2621" s="633"/>
      <c r="H2621" s="633"/>
      <c r="I2621" s="633"/>
      <c r="J2621" s="633"/>
      <c r="K2621" s="633"/>
      <c r="L2621" s="633"/>
      <c r="M2621" s="633"/>
      <c r="N2621" s="633"/>
      <c r="O2621" s="633"/>
      <c r="P2621" s="633"/>
      <c r="Q2621" s="633"/>
      <c r="R2621" s="633"/>
      <c r="S2621" s="633"/>
      <c r="T2621" s="633"/>
      <c r="U2621" s="633"/>
      <c r="V2621" s="633"/>
      <c r="W2621" t="s">
        <v>2047</v>
      </c>
    </row>
    <row r="2622" spans="1:23" ht="13.15" customHeight="1" x14ac:dyDescent="0.2">
      <c r="A2622" s="2" t="s">
        <v>2201</v>
      </c>
      <c r="B2622" s="2">
        <f t="shared" si="80"/>
        <v>2022</v>
      </c>
      <c r="C2622" s="2" t="str">
        <f t="shared" si="81"/>
        <v>KZN226</v>
      </c>
      <c r="D2622" s="2">
        <v>4</v>
      </c>
      <c r="F2622" s="633"/>
      <c r="G2622" s="633"/>
      <c r="H2622" s="633"/>
      <c r="I2622" s="633"/>
      <c r="J2622" s="633"/>
      <c r="K2622" s="633"/>
      <c r="L2622" s="633"/>
      <c r="M2622" s="633"/>
      <c r="N2622" s="633"/>
      <c r="O2622" s="633"/>
      <c r="P2622" s="633"/>
      <c r="Q2622" s="633"/>
      <c r="R2622" s="633"/>
      <c r="S2622" s="633"/>
      <c r="T2622" s="633"/>
      <c r="U2622" s="633"/>
      <c r="V2622" s="633"/>
      <c r="W2622" t="s">
        <v>2047</v>
      </c>
    </row>
    <row r="2623" spans="1:23" ht="13.15" customHeight="1" x14ac:dyDescent="0.2">
      <c r="A2623" s="2" t="s">
        <v>2201</v>
      </c>
      <c r="B2623" s="2">
        <f t="shared" si="80"/>
        <v>2022</v>
      </c>
      <c r="C2623" s="2" t="str">
        <f t="shared" si="81"/>
        <v>KZN226</v>
      </c>
      <c r="D2623" s="2">
        <v>5</v>
      </c>
      <c r="F2623" s="633"/>
      <c r="G2623" s="633"/>
      <c r="H2623" s="633"/>
      <c r="I2623" s="633"/>
      <c r="J2623" s="633"/>
      <c r="K2623" s="633"/>
      <c r="L2623" s="633"/>
      <c r="M2623" s="633"/>
      <c r="N2623" s="633"/>
      <c r="O2623" s="633"/>
      <c r="P2623" s="633"/>
      <c r="Q2623" s="633"/>
      <c r="R2623" s="633"/>
      <c r="S2623" s="633"/>
      <c r="T2623" s="633"/>
      <c r="U2623" s="633"/>
      <c r="V2623" s="633"/>
      <c r="W2623" t="s">
        <v>2047</v>
      </c>
    </row>
    <row r="2624" spans="1:23" ht="13.15" customHeight="1" x14ac:dyDescent="0.2">
      <c r="A2624" s="2" t="s">
        <v>2201</v>
      </c>
      <c r="B2624" s="2">
        <f t="shared" si="80"/>
        <v>2022</v>
      </c>
      <c r="C2624" s="2" t="str">
        <f t="shared" si="81"/>
        <v>KZN226</v>
      </c>
      <c r="D2624" s="2">
        <v>6</v>
      </c>
      <c r="F2624" s="633"/>
      <c r="G2624" s="633"/>
      <c r="H2624" s="633"/>
      <c r="I2624" s="633"/>
      <c r="J2624" s="633"/>
      <c r="K2624" s="633"/>
      <c r="L2624" s="633"/>
      <c r="M2624" s="633"/>
      <c r="N2624" s="633"/>
      <c r="O2624" s="633"/>
      <c r="P2624" s="633"/>
      <c r="Q2624" s="633"/>
      <c r="R2624" s="633"/>
      <c r="S2624" s="633"/>
      <c r="T2624" s="633"/>
      <c r="U2624" s="633"/>
      <c r="V2624" s="633"/>
      <c r="W2624" t="s">
        <v>2047</v>
      </c>
    </row>
    <row r="2625" spans="1:23" ht="13.15" customHeight="1" x14ac:dyDescent="0.2">
      <c r="A2625" s="2" t="s">
        <v>2201</v>
      </c>
      <c r="B2625" s="2">
        <f t="shared" si="80"/>
        <v>2022</v>
      </c>
      <c r="C2625" s="2" t="str">
        <f t="shared" si="81"/>
        <v>KZN226</v>
      </c>
      <c r="D2625" s="2">
        <v>7</v>
      </c>
      <c r="F2625" s="633"/>
      <c r="G2625" s="633"/>
      <c r="H2625" s="633"/>
      <c r="I2625" s="633"/>
      <c r="J2625" s="633"/>
      <c r="K2625" s="633"/>
      <c r="L2625" s="633"/>
      <c r="M2625" s="633"/>
      <c r="N2625" s="633"/>
      <c r="O2625" s="633"/>
      <c r="P2625" s="633"/>
      <c r="Q2625" s="633"/>
      <c r="R2625" s="633"/>
      <c r="S2625" s="633"/>
      <c r="T2625" s="633"/>
      <c r="U2625" s="633"/>
      <c r="V2625" s="633"/>
      <c r="W2625" t="s">
        <v>2047</v>
      </c>
    </row>
    <row r="2626" spans="1:23" ht="13.15" customHeight="1" x14ac:dyDescent="0.2">
      <c r="A2626" s="2" t="s">
        <v>2201</v>
      </c>
      <c r="B2626" s="2">
        <f t="shared" ref="B2626:B2689" si="82">+MTREF</f>
        <v>2022</v>
      </c>
      <c r="C2626" s="2" t="str">
        <f t="shared" ref="C2626:C2689" si="83">LEFT(muni,(FIND(" ",muni,1)-1))</f>
        <v>KZN226</v>
      </c>
      <c r="D2626" s="2">
        <v>8</v>
      </c>
      <c r="F2626" s="633"/>
      <c r="G2626" s="633"/>
      <c r="H2626" s="633"/>
      <c r="I2626" s="633"/>
      <c r="J2626" s="633"/>
      <c r="K2626" s="633"/>
      <c r="L2626" s="633"/>
      <c r="M2626" s="633"/>
      <c r="N2626" s="633"/>
      <c r="O2626" s="633"/>
      <c r="P2626" s="633"/>
      <c r="Q2626" s="633"/>
      <c r="R2626" s="633"/>
      <c r="S2626" s="633"/>
      <c r="T2626" s="633"/>
      <c r="U2626" s="633"/>
      <c r="V2626" s="633"/>
      <c r="W2626" t="s">
        <v>2047</v>
      </c>
    </row>
    <row r="2627" spans="1:23" ht="13.15" customHeight="1" x14ac:dyDescent="0.2">
      <c r="A2627" s="2" t="s">
        <v>2201</v>
      </c>
      <c r="B2627" s="2">
        <f t="shared" si="82"/>
        <v>2022</v>
      </c>
      <c r="C2627" s="2" t="str">
        <f t="shared" si="83"/>
        <v>KZN226</v>
      </c>
      <c r="D2627" s="2">
        <v>9</v>
      </c>
      <c r="F2627" s="633"/>
      <c r="G2627" s="633"/>
      <c r="H2627" s="633"/>
      <c r="I2627" s="633"/>
      <c r="J2627" s="633"/>
      <c r="K2627" s="633"/>
      <c r="L2627" s="633"/>
      <c r="M2627" s="633"/>
      <c r="N2627" s="633"/>
      <c r="O2627" s="633"/>
      <c r="P2627" s="633"/>
      <c r="Q2627" s="633"/>
      <c r="R2627" s="633"/>
      <c r="S2627" s="633"/>
      <c r="T2627" s="633"/>
      <c r="U2627" s="633"/>
      <c r="V2627" s="633"/>
      <c r="W2627" t="s">
        <v>2047</v>
      </c>
    </row>
    <row r="2628" spans="1:23" ht="13.15" customHeight="1" x14ac:dyDescent="0.2">
      <c r="A2628" s="2" t="s">
        <v>2201</v>
      </c>
      <c r="B2628" s="2">
        <f t="shared" si="82"/>
        <v>2022</v>
      </c>
      <c r="C2628" s="2" t="str">
        <f t="shared" si="83"/>
        <v>KZN226</v>
      </c>
      <c r="D2628" s="2">
        <v>10</v>
      </c>
      <c r="F2628" s="633"/>
      <c r="G2628" s="633"/>
      <c r="H2628" s="633"/>
      <c r="I2628" s="633"/>
      <c r="J2628" s="633"/>
      <c r="K2628" s="633"/>
      <c r="L2628" s="633"/>
      <c r="M2628" s="633"/>
      <c r="N2628" s="633"/>
      <c r="O2628" s="633"/>
      <c r="P2628" s="633"/>
      <c r="Q2628" s="633"/>
      <c r="R2628" s="633"/>
      <c r="S2628" s="633"/>
      <c r="T2628" s="633"/>
      <c r="U2628" s="633"/>
      <c r="V2628" s="633"/>
      <c r="W2628" t="s">
        <v>2047</v>
      </c>
    </row>
    <row r="2629" spans="1:23" ht="13.15" customHeight="1" x14ac:dyDescent="0.2">
      <c r="A2629" s="2" t="s">
        <v>2201</v>
      </c>
      <c r="B2629" s="2">
        <f t="shared" si="82"/>
        <v>2022</v>
      </c>
      <c r="C2629" s="2" t="str">
        <f t="shared" si="83"/>
        <v>KZN226</v>
      </c>
      <c r="D2629" s="2">
        <v>11</v>
      </c>
      <c r="F2629" s="633"/>
      <c r="G2629" s="633"/>
      <c r="H2629" s="633"/>
      <c r="I2629" s="633"/>
      <c r="J2629" s="633"/>
      <c r="K2629" s="633"/>
      <c r="L2629" s="633"/>
      <c r="M2629" s="633"/>
      <c r="N2629" s="633"/>
      <c r="O2629" s="633"/>
      <c r="P2629" s="633"/>
      <c r="Q2629" s="633"/>
      <c r="R2629" s="633"/>
      <c r="S2629" s="633"/>
      <c r="T2629" s="633"/>
      <c r="U2629" s="633"/>
      <c r="V2629" s="633"/>
      <c r="W2629" t="s">
        <v>2047</v>
      </c>
    </row>
    <row r="2630" spans="1:23" ht="13.15" customHeight="1" x14ac:dyDescent="0.2">
      <c r="A2630" s="2" t="s">
        <v>2201</v>
      </c>
      <c r="B2630" s="2">
        <f t="shared" si="82"/>
        <v>2022</v>
      </c>
      <c r="C2630" s="2" t="str">
        <f t="shared" si="83"/>
        <v>KZN226</v>
      </c>
      <c r="D2630" s="2">
        <v>12</v>
      </c>
      <c r="F2630" s="633"/>
      <c r="G2630" s="633"/>
      <c r="H2630" s="633"/>
      <c r="I2630" s="633"/>
      <c r="J2630" s="633"/>
      <c r="K2630" s="633"/>
      <c r="L2630" s="633"/>
      <c r="M2630" s="633"/>
      <c r="N2630" s="633"/>
      <c r="O2630" s="633"/>
      <c r="P2630" s="633"/>
      <c r="Q2630" s="633"/>
      <c r="R2630" s="633"/>
      <c r="S2630" s="633"/>
      <c r="T2630" s="633"/>
      <c r="U2630" s="633"/>
      <c r="V2630" s="633"/>
      <c r="W2630" t="s">
        <v>2047</v>
      </c>
    </row>
    <row r="2631" spans="1:23" ht="13.15" customHeight="1" x14ac:dyDescent="0.2">
      <c r="A2631" s="2" t="s">
        <v>2201</v>
      </c>
      <c r="B2631" s="2">
        <f t="shared" si="82"/>
        <v>2022</v>
      </c>
      <c r="C2631" s="2" t="str">
        <f t="shared" si="83"/>
        <v>KZN226</v>
      </c>
      <c r="D2631" s="2">
        <v>13</v>
      </c>
      <c r="F2631" s="633"/>
      <c r="G2631" s="633"/>
      <c r="H2631" s="633"/>
      <c r="I2631" s="633"/>
      <c r="J2631" s="633"/>
      <c r="K2631" s="633"/>
      <c r="L2631" s="633"/>
      <c r="M2631" s="633"/>
      <c r="N2631" s="633"/>
      <c r="O2631" s="633"/>
      <c r="P2631" s="633"/>
      <c r="Q2631" s="633"/>
      <c r="R2631" s="633"/>
      <c r="S2631" s="633"/>
      <c r="T2631" s="633"/>
      <c r="U2631" s="633"/>
      <c r="V2631" s="633"/>
      <c r="W2631" t="s">
        <v>2047</v>
      </c>
    </row>
    <row r="2632" spans="1:23" ht="13.15" customHeight="1" x14ac:dyDescent="0.2">
      <c r="A2632" s="2" t="s">
        <v>2201</v>
      </c>
      <c r="B2632" s="2">
        <f t="shared" si="82"/>
        <v>2022</v>
      </c>
      <c r="C2632" s="2" t="str">
        <f t="shared" si="83"/>
        <v>KZN226</v>
      </c>
      <c r="D2632" s="2">
        <v>14</v>
      </c>
      <c r="F2632" s="633"/>
      <c r="G2632" s="633"/>
      <c r="H2632" s="633"/>
      <c r="I2632" s="633"/>
      <c r="J2632" s="633"/>
      <c r="K2632" s="633"/>
      <c r="L2632" s="633"/>
      <c r="M2632" s="633"/>
      <c r="N2632" s="633"/>
      <c r="O2632" s="633"/>
      <c r="P2632" s="633"/>
      <c r="Q2632" s="633"/>
      <c r="R2632" s="633"/>
      <c r="S2632" s="633"/>
      <c r="T2632" s="633"/>
      <c r="U2632" s="633"/>
      <c r="V2632" s="633"/>
      <c r="W2632" t="s">
        <v>2047</v>
      </c>
    </row>
    <row r="2633" spans="1:23" ht="13.15" customHeight="1" x14ac:dyDescent="0.2">
      <c r="A2633" s="2" t="s">
        <v>2201</v>
      </c>
      <c r="B2633" s="2">
        <f t="shared" si="82"/>
        <v>2022</v>
      </c>
      <c r="C2633" s="2" t="str">
        <f t="shared" si="83"/>
        <v>KZN226</v>
      </c>
      <c r="D2633" s="2">
        <v>15</v>
      </c>
      <c r="F2633" s="633"/>
      <c r="G2633" s="633"/>
      <c r="H2633" s="633"/>
      <c r="I2633" s="633"/>
      <c r="J2633" s="633"/>
      <c r="K2633" s="633"/>
      <c r="L2633" s="633"/>
      <c r="M2633" s="633"/>
      <c r="N2633" s="633"/>
      <c r="O2633" s="633"/>
      <c r="P2633" s="633"/>
      <c r="Q2633" s="633"/>
      <c r="R2633" s="633"/>
      <c r="S2633" s="633"/>
      <c r="T2633" s="633"/>
      <c r="U2633" s="633"/>
      <c r="V2633" s="633"/>
      <c r="W2633" t="s">
        <v>2047</v>
      </c>
    </row>
    <row r="2634" spans="1:23" ht="13.15" customHeight="1" x14ac:dyDescent="0.2">
      <c r="A2634" s="2" t="s">
        <v>2201</v>
      </c>
      <c r="B2634" s="2">
        <f t="shared" si="82"/>
        <v>2022</v>
      </c>
      <c r="C2634" s="2" t="str">
        <f t="shared" si="83"/>
        <v>KZN226</v>
      </c>
      <c r="D2634" s="2">
        <v>16</v>
      </c>
      <c r="F2634" s="633"/>
      <c r="G2634" s="633"/>
      <c r="H2634" s="633"/>
      <c r="I2634" s="633"/>
      <c r="J2634" s="633"/>
      <c r="K2634" s="633"/>
      <c r="L2634" s="633"/>
      <c r="M2634" s="633"/>
      <c r="N2634" s="633"/>
      <c r="O2634" s="633"/>
      <c r="P2634" s="633"/>
      <c r="Q2634" s="633"/>
      <c r="R2634" s="633"/>
      <c r="S2634" s="633"/>
      <c r="T2634" s="633"/>
      <c r="U2634" s="633"/>
      <c r="V2634" s="633"/>
      <c r="W2634" t="s">
        <v>2047</v>
      </c>
    </row>
    <row r="2635" spans="1:23" ht="13.15" customHeight="1" x14ac:dyDescent="0.2">
      <c r="A2635" s="2" t="s">
        <v>2201</v>
      </c>
      <c r="B2635" s="2">
        <f t="shared" si="82"/>
        <v>2022</v>
      </c>
      <c r="C2635" s="2" t="str">
        <f t="shared" si="83"/>
        <v>KZN226</v>
      </c>
      <c r="D2635" s="2">
        <v>17</v>
      </c>
      <c r="F2635" s="633"/>
      <c r="G2635" s="633"/>
      <c r="H2635" s="633"/>
      <c r="I2635" s="633"/>
      <c r="J2635" s="633"/>
      <c r="K2635" s="633"/>
      <c r="L2635" s="633"/>
      <c r="M2635" s="633"/>
      <c r="N2635" s="633"/>
      <c r="O2635" s="633"/>
      <c r="P2635" s="633"/>
      <c r="Q2635" s="633"/>
      <c r="R2635" s="633"/>
      <c r="S2635" s="633"/>
      <c r="T2635" s="633"/>
      <c r="U2635" s="633"/>
      <c r="V2635" s="633"/>
      <c r="W2635" t="s">
        <v>2047</v>
      </c>
    </row>
    <row r="2636" spans="1:23" ht="13.15" customHeight="1" x14ac:dyDescent="0.2">
      <c r="A2636" s="2" t="s">
        <v>2201</v>
      </c>
      <c r="B2636" s="2">
        <f t="shared" si="82"/>
        <v>2022</v>
      </c>
      <c r="C2636" s="2" t="str">
        <f t="shared" si="83"/>
        <v>KZN226</v>
      </c>
      <c r="D2636" s="2">
        <v>18</v>
      </c>
      <c r="F2636" s="633"/>
      <c r="G2636" s="633"/>
      <c r="H2636" s="633"/>
      <c r="I2636" s="633"/>
      <c r="J2636" s="633"/>
      <c r="K2636" s="633"/>
      <c r="L2636" s="633"/>
      <c r="M2636" s="633"/>
      <c r="N2636" s="633"/>
      <c r="O2636" s="633"/>
      <c r="P2636" s="633"/>
      <c r="Q2636" s="633"/>
      <c r="R2636" s="633"/>
      <c r="S2636" s="633"/>
      <c r="T2636" s="633"/>
      <c r="U2636" s="633"/>
      <c r="V2636" s="633"/>
      <c r="W2636" t="s">
        <v>2047</v>
      </c>
    </row>
    <row r="2637" spans="1:23" ht="13.15" customHeight="1" x14ac:dyDescent="0.2">
      <c r="A2637" s="2" t="s">
        <v>2201</v>
      </c>
      <c r="B2637" s="2">
        <f t="shared" si="82"/>
        <v>2022</v>
      </c>
      <c r="C2637" s="2" t="str">
        <f t="shared" si="83"/>
        <v>KZN226</v>
      </c>
      <c r="D2637" s="2">
        <v>19</v>
      </c>
      <c r="F2637" s="633"/>
      <c r="G2637" s="633"/>
      <c r="H2637" s="633"/>
      <c r="I2637" s="633"/>
      <c r="J2637" s="633"/>
      <c r="K2637" s="633"/>
      <c r="L2637" s="633"/>
      <c r="M2637" s="633"/>
      <c r="N2637" s="633"/>
      <c r="O2637" s="633"/>
      <c r="P2637" s="633"/>
      <c r="Q2637" s="633"/>
      <c r="R2637" s="633"/>
      <c r="S2637" s="633"/>
      <c r="T2637" s="633"/>
      <c r="U2637" s="633"/>
      <c r="V2637" s="633"/>
      <c r="W2637" t="s">
        <v>2047</v>
      </c>
    </row>
    <row r="2638" spans="1:23" ht="13.15" customHeight="1" x14ac:dyDescent="0.2">
      <c r="A2638" s="2" t="s">
        <v>2201</v>
      </c>
      <c r="B2638" s="2">
        <f t="shared" si="82"/>
        <v>2022</v>
      </c>
      <c r="C2638" s="2" t="str">
        <f t="shared" si="83"/>
        <v>KZN226</v>
      </c>
      <c r="D2638" s="2">
        <v>20</v>
      </c>
      <c r="F2638" s="633"/>
      <c r="G2638" s="633"/>
      <c r="H2638" s="633"/>
      <c r="I2638" s="633"/>
      <c r="J2638" s="633"/>
      <c r="K2638" s="633"/>
      <c r="L2638" s="633"/>
      <c r="M2638" s="633"/>
      <c r="N2638" s="633"/>
      <c r="O2638" s="633"/>
      <c r="P2638" s="633"/>
      <c r="Q2638" s="633"/>
      <c r="R2638" s="633"/>
      <c r="S2638" s="633"/>
      <c r="T2638" s="633"/>
      <c r="U2638" s="633"/>
      <c r="V2638" s="633"/>
      <c r="W2638" t="s">
        <v>2047</v>
      </c>
    </row>
    <row r="2639" spans="1:23" ht="13.15" customHeight="1" x14ac:dyDescent="0.2">
      <c r="A2639" s="2" t="s">
        <v>2201</v>
      </c>
      <c r="B2639" s="2">
        <f t="shared" si="82"/>
        <v>2022</v>
      </c>
      <c r="C2639" s="2" t="str">
        <f t="shared" si="83"/>
        <v>KZN226</v>
      </c>
      <c r="D2639" s="2">
        <v>21</v>
      </c>
      <c r="F2639" s="633"/>
      <c r="G2639" s="633"/>
      <c r="H2639" s="633"/>
      <c r="I2639" s="633"/>
      <c r="J2639" s="633"/>
      <c r="K2639" s="633"/>
      <c r="L2639" s="633"/>
      <c r="M2639" s="633"/>
      <c r="N2639" s="633"/>
      <c r="O2639" s="633"/>
      <c r="P2639" s="633"/>
      <c r="Q2639" s="633"/>
      <c r="R2639" s="633"/>
      <c r="S2639" s="633"/>
      <c r="T2639" s="633"/>
      <c r="U2639" s="633"/>
      <c r="V2639" s="633"/>
      <c r="W2639" t="s">
        <v>2047</v>
      </c>
    </row>
    <row r="2640" spans="1:23" ht="13.15" customHeight="1" x14ac:dyDescent="0.2">
      <c r="A2640" s="2" t="s">
        <v>2201</v>
      </c>
      <c r="B2640" s="2">
        <f t="shared" si="82"/>
        <v>2022</v>
      </c>
      <c r="C2640" s="2" t="str">
        <f t="shared" si="83"/>
        <v>KZN226</v>
      </c>
      <c r="D2640" s="2">
        <v>22</v>
      </c>
      <c r="F2640" s="633"/>
      <c r="G2640" s="633"/>
      <c r="H2640" s="633"/>
      <c r="I2640" s="633"/>
      <c r="J2640" s="633"/>
      <c r="K2640" s="633"/>
      <c r="L2640" s="633"/>
      <c r="M2640" s="633"/>
      <c r="N2640" s="633"/>
      <c r="O2640" s="633"/>
      <c r="P2640" s="633"/>
      <c r="Q2640" s="633"/>
      <c r="R2640" s="633"/>
      <c r="S2640" s="633"/>
      <c r="T2640" s="633"/>
      <c r="U2640" s="633"/>
      <c r="V2640" s="633"/>
      <c r="W2640" t="s">
        <v>2047</v>
      </c>
    </row>
    <row r="2641" spans="1:23" ht="13.15" customHeight="1" x14ac:dyDescent="0.2">
      <c r="A2641" s="2" t="s">
        <v>2201</v>
      </c>
      <c r="B2641" s="2">
        <f t="shared" si="82"/>
        <v>2022</v>
      </c>
      <c r="C2641" s="2" t="str">
        <f t="shared" si="83"/>
        <v>KZN226</v>
      </c>
      <c r="D2641" s="2">
        <v>23</v>
      </c>
      <c r="F2641" s="633"/>
      <c r="G2641" s="633"/>
      <c r="H2641" s="633"/>
      <c r="I2641" s="633"/>
      <c r="J2641" s="633"/>
      <c r="K2641" s="633"/>
      <c r="L2641" s="633"/>
      <c r="M2641" s="633"/>
      <c r="N2641" s="633"/>
      <c r="O2641" s="633"/>
      <c r="P2641" s="633"/>
      <c r="Q2641" s="633"/>
      <c r="R2641" s="633"/>
      <c r="S2641" s="633"/>
      <c r="T2641" s="633"/>
      <c r="U2641" s="633"/>
      <c r="V2641" s="633"/>
      <c r="W2641" t="s">
        <v>2047</v>
      </c>
    </row>
    <row r="2642" spans="1:23" ht="13.15" customHeight="1" x14ac:dyDescent="0.2">
      <c r="A2642" s="2" t="s">
        <v>2201</v>
      </c>
      <c r="B2642" s="2">
        <f t="shared" si="82"/>
        <v>2022</v>
      </c>
      <c r="C2642" s="2" t="str">
        <f t="shared" si="83"/>
        <v>KZN226</v>
      </c>
      <c r="D2642" s="2">
        <v>24</v>
      </c>
      <c r="F2642" s="633"/>
      <c r="G2642" s="633"/>
      <c r="H2642" s="633"/>
      <c r="I2642" s="633"/>
      <c r="J2642" s="633"/>
      <c r="K2642" s="633"/>
      <c r="L2642" s="633"/>
      <c r="M2642" s="633"/>
      <c r="N2642" s="633"/>
      <c r="O2642" s="633"/>
      <c r="P2642" s="633"/>
      <c r="Q2642" s="633"/>
      <c r="R2642" s="633"/>
      <c r="S2642" s="633"/>
      <c r="T2642" s="633"/>
      <c r="U2642" s="633"/>
      <c r="V2642" s="633"/>
      <c r="W2642" t="s">
        <v>2047</v>
      </c>
    </row>
    <row r="2643" spans="1:23" ht="13.15" customHeight="1" x14ac:dyDescent="0.2">
      <c r="A2643" s="2" t="s">
        <v>2201</v>
      </c>
      <c r="B2643" s="2">
        <f t="shared" si="82"/>
        <v>2022</v>
      </c>
      <c r="C2643" s="2" t="str">
        <f t="shared" si="83"/>
        <v>KZN226</v>
      </c>
      <c r="D2643" s="2">
        <v>25</v>
      </c>
      <c r="F2643" s="633"/>
      <c r="G2643" s="633"/>
      <c r="H2643" s="633"/>
      <c r="I2643" s="633"/>
      <c r="J2643" s="633"/>
      <c r="K2643" s="633"/>
      <c r="L2643" s="633"/>
      <c r="M2643" s="633"/>
      <c r="N2643" s="633"/>
      <c r="O2643" s="633"/>
      <c r="P2643" s="633"/>
      <c r="Q2643" s="633"/>
      <c r="R2643" s="633"/>
      <c r="S2643" s="633"/>
      <c r="T2643" s="633"/>
      <c r="U2643" s="633"/>
      <c r="V2643" s="633"/>
      <c r="W2643" t="s">
        <v>2047</v>
      </c>
    </row>
    <row r="2644" spans="1:23" ht="13.15" customHeight="1" x14ac:dyDescent="0.2">
      <c r="A2644" s="2" t="s">
        <v>2201</v>
      </c>
      <c r="B2644" s="2">
        <f t="shared" si="82"/>
        <v>2022</v>
      </c>
      <c r="C2644" s="2" t="str">
        <f t="shared" si="83"/>
        <v>KZN226</v>
      </c>
      <c r="D2644" s="2">
        <v>26</v>
      </c>
      <c r="F2644" s="633"/>
      <c r="G2644" s="633"/>
      <c r="H2644" s="633"/>
      <c r="I2644" s="633"/>
      <c r="J2644" s="633"/>
      <c r="K2644" s="633"/>
      <c r="L2644" s="633"/>
      <c r="M2644" s="633"/>
      <c r="N2644" s="633"/>
      <c r="O2644" s="633"/>
      <c r="P2644" s="633"/>
      <c r="Q2644" s="633"/>
      <c r="R2644" s="633"/>
      <c r="S2644" s="633"/>
      <c r="T2644" s="633"/>
      <c r="U2644" s="633"/>
      <c r="V2644" s="633"/>
      <c r="W2644" t="s">
        <v>2047</v>
      </c>
    </row>
    <row r="2645" spans="1:23" ht="13.15" customHeight="1" x14ac:dyDescent="0.2">
      <c r="A2645" s="2" t="s">
        <v>2201</v>
      </c>
      <c r="B2645" s="2">
        <f t="shared" si="82"/>
        <v>2022</v>
      </c>
      <c r="C2645" s="2" t="str">
        <f t="shared" si="83"/>
        <v>KZN226</v>
      </c>
      <c r="D2645" s="2">
        <v>27</v>
      </c>
      <c r="F2645" s="633"/>
      <c r="G2645" s="633"/>
      <c r="H2645" s="633"/>
      <c r="I2645" s="633"/>
      <c r="J2645" s="633"/>
      <c r="K2645" s="633"/>
      <c r="L2645" s="633"/>
      <c r="M2645" s="633"/>
      <c r="N2645" s="633"/>
      <c r="O2645" s="633"/>
      <c r="P2645" s="633"/>
      <c r="Q2645" s="633"/>
      <c r="R2645" s="633"/>
      <c r="S2645" s="633"/>
      <c r="T2645" s="633"/>
      <c r="U2645" s="633"/>
      <c r="V2645" s="633"/>
      <c r="W2645" t="s">
        <v>2047</v>
      </c>
    </row>
    <row r="2646" spans="1:23" ht="13.15" customHeight="1" x14ac:dyDescent="0.2">
      <c r="A2646" s="2" t="s">
        <v>2201</v>
      </c>
      <c r="B2646" s="2">
        <f t="shared" si="82"/>
        <v>2022</v>
      </c>
      <c r="C2646" s="2" t="str">
        <f t="shared" si="83"/>
        <v>KZN226</v>
      </c>
      <c r="D2646" s="2">
        <v>28</v>
      </c>
      <c r="F2646" s="633"/>
      <c r="G2646" s="633"/>
      <c r="H2646" s="633"/>
      <c r="I2646" s="633"/>
      <c r="J2646" s="633"/>
      <c r="K2646" s="633"/>
      <c r="L2646" s="633"/>
      <c r="M2646" s="633"/>
      <c r="N2646" s="633"/>
      <c r="O2646" s="633"/>
      <c r="P2646" s="633"/>
      <c r="Q2646" s="633"/>
      <c r="R2646" s="633"/>
      <c r="S2646" s="633"/>
      <c r="T2646" s="633"/>
      <c r="U2646" s="633"/>
      <c r="V2646" s="633"/>
      <c r="W2646" t="s">
        <v>2047</v>
      </c>
    </row>
    <row r="2647" spans="1:23" ht="13.15" customHeight="1" x14ac:dyDescent="0.2">
      <c r="A2647" s="2" t="s">
        <v>2201</v>
      </c>
      <c r="B2647" s="2">
        <f t="shared" si="82"/>
        <v>2022</v>
      </c>
      <c r="C2647" s="2" t="str">
        <f t="shared" si="83"/>
        <v>KZN226</v>
      </c>
      <c r="D2647" s="2">
        <v>29</v>
      </c>
      <c r="F2647" s="633"/>
      <c r="G2647" s="633"/>
      <c r="H2647" s="633"/>
      <c r="I2647" s="633"/>
      <c r="J2647" s="633"/>
      <c r="K2647" s="633"/>
      <c r="L2647" s="633"/>
      <c r="M2647" s="633"/>
      <c r="N2647" s="633"/>
      <c r="O2647" s="633"/>
      <c r="P2647" s="633"/>
      <c r="Q2647" s="633"/>
      <c r="R2647" s="633"/>
      <c r="S2647" s="633"/>
      <c r="T2647" s="633"/>
      <c r="U2647" s="633"/>
      <c r="V2647" s="633"/>
      <c r="W2647" t="s">
        <v>2047</v>
      </c>
    </row>
    <row r="2648" spans="1:23" ht="13.15" customHeight="1" x14ac:dyDescent="0.2">
      <c r="A2648" s="2" t="s">
        <v>2201</v>
      </c>
      <c r="B2648" s="2">
        <f t="shared" si="82"/>
        <v>2022</v>
      </c>
      <c r="C2648" s="2" t="str">
        <f t="shared" si="83"/>
        <v>KZN226</v>
      </c>
      <c r="D2648" s="2">
        <v>30</v>
      </c>
      <c r="F2648" s="633"/>
      <c r="G2648" s="633"/>
      <c r="H2648" s="633"/>
      <c r="I2648" s="633"/>
      <c r="J2648" s="633"/>
      <c r="K2648" s="633"/>
      <c r="L2648" s="633"/>
      <c r="M2648" s="633"/>
      <c r="N2648" s="633"/>
      <c r="O2648" s="633"/>
      <c r="P2648" s="633"/>
      <c r="Q2648" s="633"/>
      <c r="R2648" s="633"/>
      <c r="S2648" s="633"/>
      <c r="T2648" s="633"/>
      <c r="U2648" s="633"/>
      <c r="V2648" s="633"/>
      <c r="W2648" t="s">
        <v>2047</v>
      </c>
    </row>
    <row r="2649" spans="1:23" ht="13.15" customHeight="1" x14ac:dyDescent="0.2">
      <c r="A2649" s="2" t="s">
        <v>2201</v>
      </c>
      <c r="B2649" s="2">
        <f t="shared" si="82"/>
        <v>2022</v>
      </c>
      <c r="C2649" s="2" t="str">
        <f t="shared" si="83"/>
        <v>KZN226</v>
      </c>
      <c r="D2649" s="2">
        <v>31</v>
      </c>
      <c r="F2649" s="633"/>
      <c r="G2649" s="633"/>
      <c r="H2649" s="633"/>
      <c r="I2649" s="633"/>
      <c r="J2649" s="633"/>
      <c r="K2649" s="633"/>
      <c r="L2649" s="633"/>
      <c r="M2649" s="633"/>
      <c r="N2649" s="633"/>
      <c r="O2649" s="633"/>
      <c r="P2649" s="633"/>
      <c r="Q2649" s="633"/>
      <c r="R2649" s="633"/>
      <c r="S2649" s="633"/>
      <c r="T2649" s="633"/>
      <c r="U2649" s="633"/>
      <c r="V2649" s="633"/>
      <c r="W2649" t="s">
        <v>2047</v>
      </c>
    </row>
    <row r="2650" spans="1:23" ht="13.15" customHeight="1" x14ac:dyDescent="0.2">
      <c r="A2650" s="2" t="s">
        <v>2201</v>
      </c>
      <c r="B2650" s="2">
        <f t="shared" si="82"/>
        <v>2022</v>
      </c>
      <c r="C2650" s="2" t="str">
        <f t="shared" si="83"/>
        <v>KZN226</v>
      </c>
      <c r="D2650" s="2">
        <v>32</v>
      </c>
      <c r="F2650" s="633"/>
      <c r="G2650" s="633"/>
      <c r="H2650" s="633"/>
      <c r="I2650" s="633"/>
      <c r="J2650" s="633"/>
      <c r="K2650" s="633"/>
      <c r="L2650" s="633"/>
      <c r="M2650" s="633"/>
      <c r="N2650" s="633"/>
      <c r="O2650" s="633"/>
      <c r="P2650" s="633"/>
      <c r="Q2650" s="633"/>
      <c r="R2650" s="633"/>
      <c r="S2650" s="633"/>
      <c r="T2650" s="633"/>
      <c r="U2650" s="633"/>
      <c r="V2650" s="633"/>
      <c r="W2650" t="s">
        <v>2047</v>
      </c>
    </row>
    <row r="2651" spans="1:23" ht="13.15" customHeight="1" x14ac:dyDescent="0.2">
      <c r="A2651" s="2" t="s">
        <v>2201</v>
      </c>
      <c r="B2651" s="2">
        <f t="shared" si="82"/>
        <v>2022</v>
      </c>
      <c r="C2651" s="2" t="str">
        <f t="shared" si="83"/>
        <v>KZN226</v>
      </c>
      <c r="D2651" s="2">
        <v>33</v>
      </c>
      <c r="F2651" s="633"/>
      <c r="G2651" s="633"/>
      <c r="H2651" s="633"/>
      <c r="I2651" s="633"/>
      <c r="J2651" s="633"/>
      <c r="K2651" s="633"/>
      <c r="L2651" s="633"/>
      <c r="M2651" s="633"/>
      <c r="N2651" s="633"/>
      <c r="O2651" s="633"/>
      <c r="P2651" s="633"/>
      <c r="Q2651" s="633"/>
      <c r="R2651" s="633"/>
      <c r="S2651" s="633"/>
      <c r="T2651" s="633"/>
      <c r="U2651" s="633"/>
      <c r="V2651" s="633"/>
      <c r="W2651" t="s">
        <v>2047</v>
      </c>
    </row>
    <row r="2652" spans="1:23" ht="13.15" customHeight="1" x14ac:dyDescent="0.2">
      <c r="A2652" s="2" t="s">
        <v>2201</v>
      </c>
      <c r="B2652" s="2">
        <f t="shared" si="82"/>
        <v>2022</v>
      </c>
      <c r="C2652" s="2" t="str">
        <f t="shared" si="83"/>
        <v>KZN226</v>
      </c>
      <c r="D2652" s="2">
        <v>34</v>
      </c>
      <c r="F2652" s="633"/>
      <c r="G2652" s="633"/>
      <c r="H2652" s="633"/>
      <c r="I2652" s="633"/>
      <c r="J2652" s="633"/>
      <c r="K2652" s="633"/>
      <c r="L2652" s="633"/>
      <c r="M2652" s="633"/>
      <c r="N2652" s="633"/>
      <c r="O2652" s="633"/>
      <c r="P2652" s="633"/>
      <c r="Q2652" s="633"/>
      <c r="R2652" s="633"/>
      <c r="S2652" s="633"/>
      <c r="T2652" s="633"/>
      <c r="U2652" s="633"/>
      <c r="V2652" s="633"/>
      <c r="W2652" t="s">
        <v>2047</v>
      </c>
    </row>
    <row r="2653" spans="1:23" ht="13.15" customHeight="1" x14ac:dyDescent="0.2">
      <c r="A2653" s="2" t="s">
        <v>2201</v>
      </c>
      <c r="B2653" s="2">
        <f t="shared" si="82"/>
        <v>2022</v>
      </c>
      <c r="C2653" s="2" t="str">
        <f t="shared" si="83"/>
        <v>KZN226</v>
      </c>
      <c r="D2653" s="2">
        <v>35</v>
      </c>
      <c r="F2653" s="633"/>
      <c r="G2653" s="633"/>
      <c r="H2653" s="633"/>
      <c r="I2653" s="633"/>
      <c r="J2653" s="633"/>
      <c r="K2653" s="633"/>
      <c r="L2653" s="633"/>
      <c r="M2653" s="633"/>
      <c r="N2653" s="633"/>
      <c r="O2653" s="633"/>
      <c r="P2653" s="633"/>
      <c r="Q2653" s="633"/>
      <c r="R2653" s="633"/>
      <c r="S2653" s="633"/>
      <c r="T2653" s="633"/>
      <c r="U2653" s="633"/>
      <c r="V2653" s="633"/>
      <c r="W2653" t="s">
        <v>2047</v>
      </c>
    </row>
    <row r="2654" spans="1:23" ht="13.15" customHeight="1" x14ac:dyDescent="0.2">
      <c r="A2654" s="2" t="s">
        <v>2201</v>
      </c>
      <c r="B2654" s="2">
        <f t="shared" si="82"/>
        <v>2022</v>
      </c>
      <c r="C2654" s="2" t="str">
        <f t="shared" si="83"/>
        <v>KZN226</v>
      </c>
      <c r="D2654" s="2">
        <v>36</v>
      </c>
      <c r="F2654" s="633"/>
      <c r="G2654" s="633"/>
      <c r="H2654" s="633"/>
      <c r="I2654" s="633"/>
      <c r="J2654" s="633"/>
      <c r="K2654" s="633"/>
      <c r="L2654" s="633"/>
      <c r="M2654" s="633"/>
      <c r="N2654" s="633"/>
      <c r="O2654" s="633"/>
      <c r="P2654" s="633"/>
      <c r="Q2654" s="633"/>
      <c r="R2654" s="633"/>
      <c r="S2654" s="633"/>
      <c r="T2654" s="633"/>
      <c r="U2654" s="633"/>
      <c r="V2654" s="633"/>
      <c r="W2654" t="s">
        <v>2047</v>
      </c>
    </row>
    <row r="2655" spans="1:23" ht="13.15" customHeight="1" x14ac:dyDescent="0.2">
      <c r="A2655" s="2" t="s">
        <v>2201</v>
      </c>
      <c r="B2655" s="2">
        <f t="shared" si="82"/>
        <v>2022</v>
      </c>
      <c r="C2655" s="2" t="str">
        <f t="shared" si="83"/>
        <v>KZN226</v>
      </c>
      <c r="D2655" s="2">
        <v>37</v>
      </c>
      <c r="F2655" s="633"/>
      <c r="G2655" s="633"/>
      <c r="H2655" s="633"/>
      <c r="I2655" s="633"/>
      <c r="J2655" s="633"/>
      <c r="K2655" s="633"/>
      <c r="L2655" s="633"/>
      <c r="M2655" s="633"/>
      <c r="N2655" s="633"/>
      <c r="O2655" s="633"/>
      <c r="P2655" s="633"/>
      <c r="Q2655" s="633"/>
      <c r="R2655" s="633"/>
      <c r="S2655" s="633"/>
      <c r="T2655" s="633"/>
      <c r="U2655" s="633"/>
      <c r="V2655" s="633"/>
      <c r="W2655" t="s">
        <v>2047</v>
      </c>
    </row>
    <row r="2656" spans="1:23" ht="13.15" customHeight="1" x14ac:dyDescent="0.2">
      <c r="A2656" s="2" t="s">
        <v>2201</v>
      </c>
      <c r="B2656" s="2">
        <f t="shared" si="82"/>
        <v>2022</v>
      </c>
      <c r="C2656" s="2" t="str">
        <f t="shared" si="83"/>
        <v>KZN226</v>
      </c>
      <c r="D2656" s="2">
        <v>38</v>
      </c>
      <c r="F2656" s="633"/>
      <c r="G2656" s="633"/>
      <c r="H2656" s="633"/>
      <c r="I2656" s="633"/>
      <c r="J2656" s="633"/>
      <c r="K2656" s="633"/>
      <c r="L2656" s="633"/>
      <c r="M2656" s="633"/>
      <c r="N2656" s="633"/>
      <c r="O2656" s="633"/>
      <c r="P2656" s="633"/>
      <c r="Q2656" s="633"/>
      <c r="R2656" s="633"/>
      <c r="S2656" s="633"/>
      <c r="T2656" s="633"/>
      <c r="U2656" s="633"/>
      <c r="V2656" s="633"/>
      <c r="W2656" t="s">
        <v>2047</v>
      </c>
    </row>
    <row r="2657" spans="1:23" ht="13.15" customHeight="1" x14ac:dyDescent="0.2">
      <c r="A2657" s="2" t="s">
        <v>2201</v>
      </c>
      <c r="B2657" s="2">
        <f t="shared" si="82"/>
        <v>2022</v>
      </c>
      <c r="C2657" s="2" t="str">
        <f t="shared" si="83"/>
        <v>KZN226</v>
      </c>
      <c r="D2657" s="2">
        <v>39</v>
      </c>
      <c r="F2657" s="633"/>
      <c r="G2657" s="633"/>
      <c r="H2657" s="633"/>
      <c r="I2657" s="633"/>
      <c r="J2657" s="633"/>
      <c r="K2657" s="633"/>
      <c r="L2657" s="633"/>
      <c r="M2657" s="633"/>
      <c r="N2657" s="633"/>
      <c r="O2657" s="633"/>
      <c r="P2657" s="633"/>
      <c r="Q2657" s="633"/>
      <c r="R2657" s="633"/>
      <c r="S2657" s="633"/>
      <c r="T2657" s="633"/>
      <c r="U2657" s="633"/>
      <c r="V2657" s="633"/>
      <c r="W2657" t="s">
        <v>2047</v>
      </c>
    </row>
    <row r="2658" spans="1:23" ht="13.15" customHeight="1" x14ac:dyDescent="0.2">
      <c r="A2658" s="2" t="s">
        <v>2201</v>
      </c>
      <c r="B2658" s="2">
        <f t="shared" si="82"/>
        <v>2022</v>
      </c>
      <c r="C2658" s="2" t="str">
        <f t="shared" si="83"/>
        <v>KZN226</v>
      </c>
      <c r="D2658" s="2">
        <v>40</v>
      </c>
      <c r="F2658" s="633"/>
      <c r="G2658" s="633"/>
      <c r="H2658" s="633"/>
      <c r="I2658" s="633"/>
      <c r="J2658" s="633"/>
      <c r="K2658" s="633"/>
      <c r="L2658" s="633"/>
      <c r="M2658" s="633"/>
      <c r="N2658" s="633"/>
      <c r="O2658" s="633"/>
      <c r="P2658" s="633"/>
      <c r="Q2658" s="633"/>
      <c r="R2658" s="633"/>
      <c r="S2658" s="633"/>
      <c r="T2658" s="633"/>
      <c r="U2658" s="633"/>
      <c r="V2658" s="633"/>
      <c r="W2658" t="s">
        <v>2047</v>
      </c>
    </row>
    <row r="2659" spans="1:23" ht="13.15" customHeight="1" x14ac:dyDescent="0.2">
      <c r="A2659" s="2" t="s">
        <v>2201</v>
      </c>
      <c r="B2659" s="2">
        <f t="shared" si="82"/>
        <v>2022</v>
      </c>
      <c r="C2659" s="2" t="str">
        <f t="shared" si="83"/>
        <v>KZN226</v>
      </c>
      <c r="D2659" s="2">
        <v>41</v>
      </c>
      <c r="F2659" s="633"/>
      <c r="G2659" s="633"/>
      <c r="H2659" s="633"/>
      <c r="I2659" s="633"/>
      <c r="J2659" s="633"/>
      <c r="K2659" s="633"/>
      <c r="L2659" s="633"/>
      <c r="M2659" s="633"/>
      <c r="N2659" s="633"/>
      <c r="O2659" s="633"/>
      <c r="P2659" s="633"/>
      <c r="Q2659" s="633"/>
      <c r="R2659" s="633"/>
      <c r="S2659" s="633"/>
      <c r="T2659" s="633"/>
      <c r="U2659" s="633"/>
      <c r="V2659" s="633"/>
      <c r="W2659" t="s">
        <v>2047</v>
      </c>
    </row>
    <row r="2660" spans="1:23" ht="13.15" customHeight="1" x14ac:dyDescent="0.2">
      <c r="A2660" s="2" t="s">
        <v>2201</v>
      </c>
      <c r="B2660" s="2">
        <f t="shared" si="82"/>
        <v>2022</v>
      </c>
      <c r="C2660" s="2" t="str">
        <f t="shared" si="83"/>
        <v>KZN226</v>
      </c>
      <c r="D2660" s="2">
        <v>42</v>
      </c>
      <c r="F2660" s="633"/>
      <c r="G2660" s="633"/>
      <c r="H2660" s="633"/>
      <c r="I2660" s="633"/>
      <c r="J2660" s="633"/>
      <c r="K2660" s="633"/>
      <c r="L2660" s="633"/>
      <c r="M2660" s="633"/>
      <c r="N2660" s="633"/>
      <c r="O2660" s="633"/>
      <c r="P2660" s="633"/>
      <c r="Q2660" s="633"/>
      <c r="R2660" s="633"/>
      <c r="S2660" s="633"/>
      <c r="T2660" s="633"/>
      <c r="U2660" s="633"/>
      <c r="V2660" s="633"/>
      <c r="W2660" t="s">
        <v>2047</v>
      </c>
    </row>
    <row r="2661" spans="1:23" ht="13.15" customHeight="1" x14ac:dyDescent="0.2">
      <c r="A2661" s="2" t="s">
        <v>2201</v>
      </c>
      <c r="B2661" s="2">
        <f t="shared" si="82"/>
        <v>2022</v>
      </c>
      <c r="C2661" s="2" t="str">
        <f t="shared" si="83"/>
        <v>KZN226</v>
      </c>
      <c r="D2661" s="2">
        <v>43</v>
      </c>
      <c r="F2661" s="633"/>
      <c r="G2661" s="633"/>
      <c r="H2661" s="633"/>
      <c r="I2661" s="633"/>
      <c r="J2661" s="633"/>
      <c r="K2661" s="633"/>
      <c r="L2661" s="633"/>
      <c r="M2661" s="633"/>
      <c r="N2661" s="633"/>
      <c r="O2661" s="633"/>
      <c r="P2661" s="633"/>
      <c r="Q2661" s="633"/>
      <c r="R2661" s="633"/>
      <c r="S2661" s="633"/>
      <c r="T2661" s="633"/>
      <c r="U2661" s="633"/>
      <c r="V2661" s="633"/>
      <c r="W2661" t="s">
        <v>2047</v>
      </c>
    </row>
    <row r="2662" spans="1:23" ht="13.15" customHeight="1" x14ac:dyDescent="0.2">
      <c r="A2662" s="2" t="s">
        <v>2201</v>
      </c>
      <c r="B2662" s="2">
        <f t="shared" si="82"/>
        <v>2022</v>
      </c>
      <c r="C2662" s="2" t="str">
        <f t="shared" si="83"/>
        <v>KZN226</v>
      </c>
      <c r="D2662" s="2">
        <v>44</v>
      </c>
      <c r="F2662" s="633"/>
      <c r="G2662" s="633"/>
      <c r="H2662" s="633"/>
      <c r="I2662" s="633"/>
      <c r="J2662" s="633"/>
      <c r="K2662" s="633"/>
      <c r="L2662" s="633"/>
      <c r="M2662" s="633"/>
      <c r="N2662" s="633"/>
      <c r="O2662" s="633"/>
      <c r="P2662" s="633"/>
      <c r="Q2662" s="633"/>
      <c r="R2662" s="633"/>
      <c r="S2662" s="633"/>
      <c r="T2662" s="633"/>
      <c r="U2662" s="633"/>
      <c r="V2662" s="633"/>
      <c r="W2662" t="s">
        <v>2047</v>
      </c>
    </row>
    <row r="2663" spans="1:23" ht="13.15" customHeight="1" x14ac:dyDescent="0.2">
      <c r="A2663" s="2" t="s">
        <v>2201</v>
      </c>
      <c r="B2663" s="2">
        <f t="shared" si="82"/>
        <v>2022</v>
      </c>
      <c r="C2663" s="2" t="str">
        <f t="shared" si="83"/>
        <v>KZN226</v>
      </c>
      <c r="D2663" s="2">
        <v>45</v>
      </c>
      <c r="F2663" s="633"/>
      <c r="G2663" s="633"/>
      <c r="H2663" s="633"/>
      <c r="I2663" s="633"/>
      <c r="J2663" s="633"/>
      <c r="K2663" s="633"/>
      <c r="L2663" s="633"/>
      <c r="M2663" s="633"/>
      <c r="N2663" s="633"/>
      <c r="O2663" s="633"/>
      <c r="P2663" s="633"/>
      <c r="Q2663" s="633"/>
      <c r="R2663" s="633"/>
      <c r="S2663" s="633"/>
      <c r="T2663" s="633"/>
      <c r="U2663" s="633"/>
      <c r="V2663" s="633"/>
      <c r="W2663" t="s">
        <v>2047</v>
      </c>
    </row>
    <row r="2664" spans="1:23" ht="13.15" customHeight="1" x14ac:dyDescent="0.2">
      <c r="A2664" s="2" t="s">
        <v>2201</v>
      </c>
      <c r="B2664" s="2">
        <f t="shared" si="82"/>
        <v>2022</v>
      </c>
      <c r="C2664" s="2" t="str">
        <f t="shared" si="83"/>
        <v>KZN226</v>
      </c>
      <c r="D2664" s="2">
        <v>46</v>
      </c>
      <c r="F2664" s="633"/>
      <c r="G2664" s="633"/>
      <c r="H2664" s="633"/>
      <c r="I2664" s="633"/>
      <c r="J2664" s="633"/>
      <c r="K2664" s="633"/>
      <c r="L2664" s="633"/>
      <c r="M2664" s="633"/>
      <c r="N2664" s="633"/>
      <c r="O2664" s="633"/>
      <c r="P2664" s="633"/>
      <c r="Q2664" s="633"/>
      <c r="R2664" s="633"/>
      <c r="S2664" s="633"/>
      <c r="T2664" s="633"/>
      <c r="U2664" s="633"/>
      <c r="V2664" s="633"/>
      <c r="W2664" t="s">
        <v>2047</v>
      </c>
    </row>
    <row r="2665" spans="1:23" ht="13.15" customHeight="1" x14ac:dyDescent="0.2">
      <c r="A2665" s="2" t="s">
        <v>2201</v>
      </c>
      <c r="B2665" s="2">
        <f t="shared" si="82"/>
        <v>2022</v>
      </c>
      <c r="C2665" s="2" t="str">
        <f t="shared" si="83"/>
        <v>KZN226</v>
      </c>
      <c r="D2665" s="2">
        <v>47</v>
      </c>
      <c r="F2665" s="633"/>
      <c r="G2665" s="633"/>
      <c r="H2665" s="633"/>
      <c r="I2665" s="633"/>
      <c r="J2665" s="633"/>
      <c r="K2665" s="633"/>
      <c r="L2665" s="633"/>
      <c r="M2665" s="633"/>
      <c r="N2665" s="633"/>
      <c r="O2665" s="633"/>
      <c r="P2665" s="633"/>
      <c r="Q2665" s="633"/>
      <c r="R2665" s="633"/>
      <c r="S2665" s="633"/>
      <c r="T2665" s="633"/>
      <c r="U2665" s="633"/>
      <c r="V2665" s="633"/>
      <c r="W2665" t="s">
        <v>2047</v>
      </c>
    </row>
    <row r="2666" spans="1:23" ht="13.15" customHeight="1" x14ac:dyDescent="0.2">
      <c r="A2666" s="2" t="s">
        <v>2201</v>
      </c>
      <c r="B2666" s="2">
        <f t="shared" si="82"/>
        <v>2022</v>
      </c>
      <c r="C2666" s="2" t="str">
        <f t="shared" si="83"/>
        <v>KZN226</v>
      </c>
      <c r="D2666" s="2">
        <v>48</v>
      </c>
      <c r="F2666" s="633"/>
      <c r="G2666" s="633"/>
      <c r="H2666" s="633"/>
      <c r="I2666" s="633"/>
      <c r="J2666" s="633"/>
      <c r="K2666" s="633"/>
      <c r="L2666" s="633"/>
      <c r="M2666" s="633"/>
      <c r="N2666" s="633"/>
      <c r="O2666" s="633"/>
      <c r="P2666" s="633"/>
      <c r="Q2666" s="633"/>
      <c r="R2666" s="633"/>
      <c r="S2666" s="633"/>
      <c r="T2666" s="633"/>
      <c r="U2666" s="633"/>
      <c r="V2666" s="633"/>
      <c r="W2666" t="s">
        <v>2047</v>
      </c>
    </row>
    <row r="2667" spans="1:23" ht="13.15" customHeight="1" x14ac:dyDescent="0.2">
      <c r="A2667" s="2" t="s">
        <v>2201</v>
      </c>
      <c r="B2667" s="2">
        <f t="shared" si="82"/>
        <v>2022</v>
      </c>
      <c r="C2667" s="2" t="str">
        <f t="shared" si="83"/>
        <v>KZN226</v>
      </c>
      <c r="D2667" s="2">
        <v>49</v>
      </c>
      <c r="F2667" s="633"/>
      <c r="G2667" s="633"/>
      <c r="H2667" s="633"/>
      <c r="I2667" s="633"/>
      <c r="J2667" s="633"/>
      <c r="K2667" s="633"/>
      <c r="L2667" s="633"/>
      <c r="M2667" s="633"/>
      <c r="N2667" s="633"/>
      <c r="O2667" s="633"/>
      <c r="P2667" s="633"/>
      <c r="Q2667" s="633"/>
      <c r="R2667" s="633"/>
      <c r="S2667" s="633"/>
      <c r="T2667" s="633"/>
      <c r="U2667" s="633"/>
      <c r="V2667" s="633"/>
      <c r="W2667" t="s">
        <v>2047</v>
      </c>
    </row>
    <row r="2668" spans="1:23" ht="13.15" customHeight="1" x14ac:dyDescent="0.2">
      <c r="A2668" s="2" t="s">
        <v>2201</v>
      </c>
      <c r="B2668" s="2">
        <f t="shared" si="82"/>
        <v>2022</v>
      </c>
      <c r="C2668" s="2" t="str">
        <f t="shared" si="83"/>
        <v>KZN226</v>
      </c>
      <c r="D2668" s="2">
        <v>50</v>
      </c>
      <c r="F2668" s="633"/>
      <c r="G2668" s="633"/>
      <c r="H2668" s="633"/>
      <c r="I2668" s="633"/>
      <c r="J2668" s="633"/>
      <c r="K2668" s="633"/>
      <c r="L2668" s="633"/>
      <c r="M2668" s="633"/>
      <c r="N2668" s="633"/>
      <c r="O2668" s="633"/>
      <c r="P2668" s="633"/>
      <c r="Q2668" s="633"/>
      <c r="R2668" s="633"/>
      <c r="S2668" s="633"/>
      <c r="T2668" s="633"/>
      <c r="U2668" s="633"/>
      <c r="V2668" s="633"/>
      <c r="W2668" t="s">
        <v>2047</v>
      </c>
    </row>
    <row r="2669" spans="1:23" ht="13.15" customHeight="1" x14ac:dyDescent="0.2">
      <c r="A2669" s="2" t="s">
        <v>2201</v>
      </c>
      <c r="B2669" s="2">
        <f t="shared" si="82"/>
        <v>2022</v>
      </c>
      <c r="C2669" s="2" t="str">
        <f t="shared" si="83"/>
        <v>KZN226</v>
      </c>
      <c r="D2669" s="2">
        <v>51</v>
      </c>
      <c r="F2669" s="633"/>
      <c r="G2669" s="633"/>
      <c r="H2669" s="633"/>
      <c r="I2669" s="633"/>
      <c r="J2669" s="633"/>
      <c r="K2669" s="633"/>
      <c r="L2669" s="633"/>
      <c r="M2669" s="633"/>
      <c r="N2669" s="633"/>
      <c r="O2669" s="633"/>
      <c r="P2669" s="633"/>
      <c r="Q2669" s="633"/>
      <c r="R2669" s="633"/>
      <c r="S2669" s="633"/>
      <c r="T2669" s="633"/>
      <c r="U2669" s="633"/>
      <c r="V2669" s="633"/>
      <c r="W2669" t="s">
        <v>2047</v>
      </c>
    </row>
    <row r="2670" spans="1:23" ht="13.15" customHeight="1" x14ac:dyDescent="0.2">
      <c r="A2670" s="2" t="s">
        <v>2201</v>
      </c>
      <c r="B2670" s="2">
        <f t="shared" si="82"/>
        <v>2022</v>
      </c>
      <c r="C2670" s="2" t="str">
        <f t="shared" si="83"/>
        <v>KZN226</v>
      </c>
      <c r="D2670" s="2">
        <v>52</v>
      </c>
      <c r="F2670" s="633"/>
      <c r="G2670" s="633"/>
      <c r="H2670" s="633"/>
      <c r="I2670" s="633"/>
      <c r="J2670" s="633"/>
      <c r="K2670" s="633"/>
      <c r="L2670" s="633"/>
      <c r="M2670" s="633"/>
      <c r="N2670" s="633"/>
      <c r="O2670" s="633"/>
      <c r="P2670" s="633"/>
      <c r="Q2670" s="633"/>
      <c r="R2670" s="633"/>
      <c r="S2670" s="633"/>
      <c r="T2670" s="633"/>
      <c r="U2670" s="633"/>
      <c r="V2670" s="633"/>
      <c r="W2670" t="s">
        <v>2047</v>
      </c>
    </row>
    <row r="2671" spans="1:23" ht="13.15" customHeight="1" x14ac:dyDescent="0.2">
      <c r="A2671" s="2" t="s">
        <v>2201</v>
      </c>
      <c r="B2671" s="2">
        <f t="shared" si="82"/>
        <v>2022</v>
      </c>
      <c r="C2671" s="2" t="str">
        <f t="shared" si="83"/>
        <v>KZN226</v>
      </c>
      <c r="D2671" s="2">
        <v>53</v>
      </c>
      <c r="F2671" s="633"/>
      <c r="G2671" s="633"/>
      <c r="H2671" s="633"/>
      <c r="I2671" s="633"/>
      <c r="J2671" s="633"/>
      <c r="K2671" s="633"/>
      <c r="L2671" s="633"/>
      <c r="M2671" s="633"/>
      <c r="N2671" s="633"/>
      <c r="O2671" s="633"/>
      <c r="P2671" s="633"/>
      <c r="Q2671" s="633"/>
      <c r="R2671" s="633"/>
      <c r="S2671" s="633"/>
      <c r="T2671" s="633"/>
      <c r="U2671" s="633"/>
      <c r="V2671" s="633"/>
      <c r="W2671" t="s">
        <v>2047</v>
      </c>
    </row>
    <row r="2672" spans="1:23" ht="13.15" customHeight="1" x14ac:dyDescent="0.2">
      <c r="A2672" s="2" t="s">
        <v>2201</v>
      </c>
      <c r="B2672" s="2">
        <f t="shared" si="82"/>
        <v>2022</v>
      </c>
      <c r="C2672" s="2" t="str">
        <f t="shared" si="83"/>
        <v>KZN226</v>
      </c>
      <c r="D2672" s="2">
        <v>54</v>
      </c>
      <c r="F2672" s="633"/>
      <c r="G2672" s="633"/>
      <c r="H2672" s="633"/>
      <c r="I2672" s="633"/>
      <c r="J2672" s="633"/>
      <c r="K2672" s="633"/>
      <c r="L2672" s="633"/>
      <c r="M2672" s="633"/>
      <c r="N2672" s="633"/>
      <c r="O2672" s="633"/>
      <c r="P2672" s="633"/>
      <c r="Q2672" s="633"/>
      <c r="R2672" s="633"/>
      <c r="S2672" s="633"/>
      <c r="T2672" s="633"/>
      <c r="U2672" s="633"/>
      <c r="V2672" s="633"/>
      <c r="W2672" t="s">
        <v>2047</v>
      </c>
    </row>
    <row r="2673" spans="1:23" ht="13.15" customHeight="1" x14ac:dyDescent="0.2">
      <c r="A2673" s="2" t="s">
        <v>2201</v>
      </c>
      <c r="B2673" s="2">
        <f t="shared" si="82"/>
        <v>2022</v>
      </c>
      <c r="C2673" s="2" t="str">
        <f t="shared" si="83"/>
        <v>KZN226</v>
      </c>
      <c r="D2673" s="2">
        <v>55</v>
      </c>
      <c r="F2673" s="633"/>
      <c r="G2673" s="633"/>
      <c r="H2673" s="633"/>
      <c r="I2673" s="633"/>
      <c r="J2673" s="633"/>
      <c r="K2673" s="633"/>
      <c r="L2673" s="633"/>
      <c r="M2673" s="633"/>
      <c r="N2673" s="633"/>
      <c r="O2673" s="633"/>
      <c r="P2673" s="633"/>
      <c r="Q2673" s="633"/>
      <c r="R2673" s="633"/>
      <c r="S2673" s="633"/>
      <c r="T2673" s="633"/>
      <c r="U2673" s="633"/>
      <c r="V2673" s="633"/>
      <c r="W2673" t="s">
        <v>2047</v>
      </c>
    </row>
    <row r="2674" spans="1:23" ht="13.15" customHeight="1" x14ac:dyDescent="0.2">
      <c r="A2674" s="2" t="s">
        <v>2201</v>
      </c>
      <c r="B2674" s="2">
        <f t="shared" si="82"/>
        <v>2022</v>
      </c>
      <c r="C2674" s="2" t="str">
        <f t="shared" si="83"/>
        <v>KZN226</v>
      </c>
      <c r="D2674" s="2">
        <v>56</v>
      </c>
      <c r="F2674" s="633"/>
      <c r="G2674" s="633"/>
      <c r="H2674" s="633"/>
      <c r="I2674" s="633"/>
      <c r="J2674" s="633"/>
      <c r="K2674" s="633"/>
      <c r="L2674" s="633"/>
      <c r="M2674" s="633"/>
      <c r="N2674" s="633"/>
      <c r="O2674" s="633"/>
      <c r="P2674" s="633"/>
      <c r="Q2674" s="633"/>
      <c r="R2674" s="633"/>
      <c r="S2674" s="633"/>
      <c r="T2674" s="633"/>
      <c r="U2674" s="633"/>
      <c r="V2674" s="633"/>
      <c r="W2674" t="s">
        <v>2047</v>
      </c>
    </row>
    <row r="2675" spans="1:23" ht="13.15" customHeight="1" x14ac:dyDescent="0.2">
      <c r="A2675" s="2" t="s">
        <v>2201</v>
      </c>
      <c r="B2675" s="2">
        <f t="shared" si="82"/>
        <v>2022</v>
      </c>
      <c r="C2675" s="2" t="str">
        <f t="shared" si="83"/>
        <v>KZN226</v>
      </c>
      <c r="D2675" s="2">
        <v>57</v>
      </c>
      <c r="F2675" s="633"/>
      <c r="G2675" s="633"/>
      <c r="H2675" s="633"/>
      <c r="I2675" s="633"/>
      <c r="J2675" s="633"/>
      <c r="K2675" s="633"/>
      <c r="L2675" s="633"/>
      <c r="M2675" s="633"/>
      <c r="N2675" s="633"/>
      <c r="O2675" s="633"/>
      <c r="P2675" s="633"/>
      <c r="Q2675" s="633"/>
      <c r="R2675" s="633"/>
      <c r="S2675" s="633"/>
      <c r="T2675" s="633"/>
      <c r="U2675" s="633"/>
      <c r="V2675" s="633"/>
      <c r="W2675" t="s">
        <v>2047</v>
      </c>
    </row>
    <row r="2676" spans="1:23" ht="13.15" customHeight="1" x14ac:dyDescent="0.2">
      <c r="A2676" s="2" t="s">
        <v>2201</v>
      </c>
      <c r="B2676" s="2">
        <f t="shared" si="82"/>
        <v>2022</v>
      </c>
      <c r="C2676" s="2" t="str">
        <f t="shared" si="83"/>
        <v>KZN226</v>
      </c>
      <c r="D2676" s="2">
        <v>58</v>
      </c>
      <c r="F2676" s="633"/>
      <c r="G2676" s="633"/>
      <c r="H2676" s="633"/>
      <c r="I2676" s="633"/>
      <c r="J2676" s="633"/>
      <c r="K2676" s="633"/>
      <c r="L2676" s="633"/>
      <c r="M2676" s="633"/>
      <c r="N2676" s="633"/>
      <c r="O2676" s="633"/>
      <c r="P2676" s="633"/>
      <c r="Q2676" s="633"/>
      <c r="R2676" s="633"/>
      <c r="S2676" s="633"/>
      <c r="T2676" s="633"/>
      <c r="U2676" s="633"/>
      <c r="V2676" s="633"/>
      <c r="W2676" t="s">
        <v>2047</v>
      </c>
    </row>
    <row r="2677" spans="1:23" ht="13.15" customHeight="1" x14ac:dyDescent="0.2">
      <c r="A2677" s="2" t="s">
        <v>2201</v>
      </c>
      <c r="B2677" s="2">
        <f t="shared" si="82"/>
        <v>2022</v>
      </c>
      <c r="C2677" s="2" t="str">
        <f t="shared" si="83"/>
        <v>KZN226</v>
      </c>
      <c r="D2677" s="2">
        <v>59</v>
      </c>
      <c r="F2677" s="633"/>
      <c r="G2677" s="633"/>
      <c r="H2677" s="633"/>
      <c r="I2677" s="633"/>
      <c r="J2677" s="633"/>
      <c r="K2677" s="633"/>
      <c r="L2677" s="633"/>
      <c r="M2677" s="633"/>
      <c r="N2677" s="633"/>
      <c r="O2677" s="633"/>
      <c r="P2677" s="633"/>
      <c r="Q2677" s="633"/>
      <c r="R2677" s="633"/>
      <c r="S2677" s="633"/>
      <c r="T2677" s="633"/>
      <c r="U2677" s="633"/>
      <c r="V2677" s="633"/>
      <c r="W2677" t="s">
        <v>2047</v>
      </c>
    </row>
    <row r="2678" spans="1:23" ht="13.15" customHeight="1" x14ac:dyDescent="0.2">
      <c r="A2678" s="2" t="s">
        <v>2201</v>
      </c>
      <c r="B2678" s="2">
        <f t="shared" si="82"/>
        <v>2022</v>
      </c>
      <c r="C2678" s="2" t="str">
        <f t="shared" si="83"/>
        <v>KZN226</v>
      </c>
      <c r="D2678" s="2">
        <v>60</v>
      </c>
      <c r="F2678" s="633"/>
      <c r="G2678" s="633"/>
      <c r="H2678" s="633"/>
      <c r="I2678" s="633"/>
      <c r="J2678" s="633"/>
      <c r="K2678" s="633"/>
      <c r="L2678" s="633"/>
      <c r="M2678" s="633"/>
      <c r="N2678" s="633"/>
      <c r="O2678" s="633"/>
      <c r="P2678" s="633"/>
      <c r="Q2678" s="633"/>
      <c r="R2678" s="633"/>
      <c r="S2678" s="633"/>
      <c r="T2678" s="633"/>
      <c r="U2678" s="633"/>
      <c r="V2678" s="633"/>
      <c r="W2678" t="s">
        <v>2047</v>
      </c>
    </row>
    <row r="2679" spans="1:23" ht="13.15" customHeight="1" x14ac:dyDescent="0.2">
      <c r="A2679" s="2" t="s">
        <v>2201</v>
      </c>
      <c r="B2679" s="2">
        <f t="shared" si="82"/>
        <v>2022</v>
      </c>
      <c r="C2679" s="2" t="str">
        <f t="shared" si="83"/>
        <v>KZN226</v>
      </c>
      <c r="D2679" s="2">
        <v>61</v>
      </c>
      <c r="F2679" s="633"/>
      <c r="G2679" s="633"/>
      <c r="H2679" s="633"/>
      <c r="I2679" s="633"/>
      <c r="J2679" s="633"/>
      <c r="K2679" s="633"/>
      <c r="L2679" s="633"/>
      <c r="M2679" s="633"/>
      <c r="N2679" s="633"/>
      <c r="O2679" s="633"/>
      <c r="P2679" s="633"/>
      <c r="Q2679" s="633"/>
      <c r="R2679" s="633"/>
      <c r="S2679" s="633"/>
      <c r="T2679" s="633"/>
      <c r="U2679" s="633"/>
      <c r="V2679" s="633"/>
      <c r="W2679" t="s">
        <v>2047</v>
      </c>
    </row>
    <row r="2680" spans="1:23" ht="13.15" customHeight="1" x14ac:dyDescent="0.2">
      <c r="A2680" s="2" t="s">
        <v>2201</v>
      </c>
      <c r="B2680" s="2">
        <f t="shared" si="82"/>
        <v>2022</v>
      </c>
      <c r="C2680" s="2" t="str">
        <f t="shared" si="83"/>
        <v>KZN226</v>
      </c>
      <c r="D2680" s="2">
        <v>62</v>
      </c>
      <c r="F2680" s="633"/>
      <c r="G2680" s="633"/>
      <c r="H2680" s="633"/>
      <c r="I2680" s="633"/>
      <c r="J2680" s="633"/>
      <c r="K2680" s="633"/>
      <c r="L2680" s="633"/>
      <c r="M2680" s="633"/>
      <c r="N2680" s="633"/>
      <c r="O2680" s="633"/>
      <c r="P2680" s="633"/>
      <c r="Q2680" s="633"/>
      <c r="R2680" s="633"/>
      <c r="S2680" s="633"/>
      <c r="T2680" s="633"/>
      <c r="U2680" s="633"/>
      <c r="V2680" s="633"/>
      <c r="W2680" t="s">
        <v>2047</v>
      </c>
    </row>
    <row r="2681" spans="1:23" ht="13.15" customHeight="1" x14ac:dyDescent="0.2">
      <c r="A2681" s="2" t="s">
        <v>2201</v>
      </c>
      <c r="B2681" s="2">
        <f t="shared" si="82"/>
        <v>2022</v>
      </c>
      <c r="C2681" s="2" t="str">
        <f t="shared" si="83"/>
        <v>KZN226</v>
      </c>
      <c r="D2681" s="2">
        <v>63</v>
      </c>
      <c r="F2681" s="633"/>
      <c r="G2681" s="633"/>
      <c r="H2681" s="633"/>
      <c r="I2681" s="633"/>
      <c r="J2681" s="633"/>
      <c r="K2681" s="633"/>
      <c r="L2681" s="633"/>
      <c r="M2681" s="633"/>
      <c r="N2681" s="633"/>
      <c r="O2681" s="633"/>
      <c r="P2681" s="633"/>
      <c r="Q2681" s="633"/>
      <c r="R2681" s="633"/>
      <c r="S2681" s="633"/>
      <c r="T2681" s="633"/>
      <c r="U2681" s="633"/>
      <c r="V2681" s="633"/>
      <c r="W2681" t="s">
        <v>2047</v>
      </c>
    </row>
    <row r="2682" spans="1:23" ht="13.15" customHeight="1" x14ac:dyDescent="0.2">
      <c r="A2682" s="2" t="s">
        <v>2201</v>
      </c>
      <c r="B2682" s="2">
        <f t="shared" si="82"/>
        <v>2022</v>
      </c>
      <c r="C2682" s="2" t="str">
        <f t="shared" si="83"/>
        <v>KZN226</v>
      </c>
      <c r="D2682" s="2">
        <v>64</v>
      </c>
      <c r="F2682" s="633"/>
      <c r="G2682" s="633"/>
      <c r="H2682" s="633"/>
      <c r="I2682" s="633"/>
      <c r="J2682" s="633"/>
      <c r="K2682" s="633"/>
      <c r="L2682" s="633"/>
      <c r="M2682" s="633"/>
      <c r="N2682" s="633"/>
      <c r="O2682" s="633"/>
      <c r="P2682" s="633"/>
      <c r="Q2682" s="633"/>
      <c r="R2682" s="633"/>
      <c r="S2682" s="633"/>
      <c r="T2682" s="633"/>
      <c r="U2682" s="633"/>
      <c r="V2682" s="633"/>
      <c r="W2682" t="s">
        <v>2047</v>
      </c>
    </row>
    <row r="2683" spans="1:23" ht="13.15" customHeight="1" x14ac:dyDescent="0.2">
      <c r="A2683" s="2" t="s">
        <v>2201</v>
      </c>
      <c r="B2683" s="2">
        <f t="shared" si="82"/>
        <v>2022</v>
      </c>
      <c r="C2683" s="2" t="str">
        <f t="shared" si="83"/>
        <v>KZN226</v>
      </c>
      <c r="D2683" s="2">
        <v>65</v>
      </c>
      <c r="F2683" s="633"/>
      <c r="G2683" s="633"/>
      <c r="H2683" s="633"/>
      <c r="I2683" s="633"/>
      <c r="J2683" s="633"/>
      <c r="K2683" s="633"/>
      <c r="L2683" s="633"/>
      <c r="M2683" s="633"/>
      <c r="N2683" s="633"/>
      <c r="O2683" s="633"/>
      <c r="P2683" s="633"/>
      <c r="Q2683" s="633"/>
      <c r="R2683" s="633"/>
      <c r="S2683" s="633"/>
      <c r="T2683" s="633"/>
      <c r="U2683" s="633"/>
      <c r="V2683" s="633"/>
      <c r="W2683" t="s">
        <v>2047</v>
      </c>
    </row>
    <row r="2684" spans="1:23" ht="13.15" customHeight="1" x14ac:dyDescent="0.2">
      <c r="A2684" s="2" t="s">
        <v>2201</v>
      </c>
      <c r="B2684" s="2">
        <f t="shared" si="82"/>
        <v>2022</v>
      </c>
      <c r="C2684" s="2" t="str">
        <f t="shared" si="83"/>
        <v>KZN226</v>
      </c>
      <c r="D2684" s="2">
        <v>66</v>
      </c>
      <c r="F2684" s="633"/>
      <c r="G2684" s="633"/>
      <c r="H2684" s="633"/>
      <c r="I2684" s="633"/>
      <c r="J2684" s="633"/>
      <c r="K2684" s="633"/>
      <c r="L2684" s="633"/>
      <c r="M2684" s="633"/>
      <c r="N2684" s="633"/>
      <c r="O2684" s="633"/>
      <c r="P2684" s="633"/>
      <c r="Q2684" s="633"/>
      <c r="R2684" s="633"/>
      <c r="S2684" s="633"/>
      <c r="T2684" s="633"/>
      <c r="U2684" s="633"/>
      <c r="V2684" s="633"/>
      <c r="W2684" t="s">
        <v>2047</v>
      </c>
    </row>
    <row r="2685" spans="1:23" ht="13.15" customHeight="1" x14ac:dyDescent="0.2">
      <c r="A2685" s="2" t="s">
        <v>2201</v>
      </c>
      <c r="B2685" s="2">
        <f t="shared" si="82"/>
        <v>2022</v>
      </c>
      <c r="C2685" s="2" t="str">
        <f t="shared" si="83"/>
        <v>KZN226</v>
      </c>
      <c r="D2685" s="2">
        <v>67</v>
      </c>
      <c r="F2685" s="633"/>
      <c r="G2685" s="633"/>
      <c r="H2685" s="633"/>
      <c r="I2685" s="633"/>
      <c r="J2685" s="633"/>
      <c r="K2685" s="633"/>
      <c r="L2685" s="633"/>
      <c r="M2685" s="633"/>
      <c r="N2685" s="633"/>
      <c r="O2685" s="633"/>
      <c r="P2685" s="633"/>
      <c r="Q2685" s="633"/>
      <c r="R2685" s="633"/>
      <c r="S2685" s="633"/>
      <c r="T2685" s="633"/>
      <c r="U2685" s="633"/>
      <c r="V2685" s="633"/>
      <c r="W2685" t="s">
        <v>2047</v>
      </c>
    </row>
    <row r="2686" spans="1:23" ht="13.15" customHeight="1" x14ac:dyDescent="0.2">
      <c r="A2686" s="2" t="s">
        <v>2201</v>
      </c>
      <c r="B2686" s="2">
        <f t="shared" si="82"/>
        <v>2022</v>
      </c>
      <c r="C2686" s="2" t="str">
        <f t="shared" si="83"/>
        <v>KZN226</v>
      </c>
      <c r="D2686" s="2">
        <v>68</v>
      </c>
      <c r="F2686" s="633"/>
      <c r="G2686" s="633"/>
      <c r="H2686" s="633"/>
      <c r="I2686" s="633"/>
      <c r="J2686" s="633"/>
      <c r="K2686" s="633"/>
      <c r="L2686" s="633"/>
      <c r="M2686" s="633"/>
      <c r="N2686" s="633"/>
      <c r="O2686" s="633"/>
      <c r="P2686" s="633"/>
      <c r="Q2686" s="633"/>
      <c r="R2686" s="633"/>
      <c r="S2686" s="633"/>
      <c r="T2686" s="633"/>
      <c r="U2686" s="633"/>
      <c r="V2686" s="633"/>
      <c r="W2686" t="s">
        <v>2047</v>
      </c>
    </row>
    <row r="2687" spans="1:23" ht="13.15" customHeight="1" x14ac:dyDescent="0.2">
      <c r="A2687" s="2" t="s">
        <v>2201</v>
      </c>
      <c r="B2687" s="2">
        <f t="shared" si="82"/>
        <v>2022</v>
      </c>
      <c r="C2687" s="2" t="str">
        <f t="shared" si="83"/>
        <v>KZN226</v>
      </c>
      <c r="D2687" s="2">
        <v>69</v>
      </c>
      <c r="F2687" s="633"/>
      <c r="G2687" s="633"/>
      <c r="H2687" s="633"/>
      <c r="I2687" s="633"/>
      <c r="J2687" s="633"/>
      <c r="K2687" s="633"/>
      <c r="L2687" s="633"/>
      <c r="M2687" s="633"/>
      <c r="N2687" s="633"/>
      <c r="O2687" s="633"/>
      <c r="P2687" s="633"/>
      <c r="Q2687" s="633"/>
      <c r="R2687" s="633"/>
      <c r="S2687" s="633"/>
      <c r="T2687" s="633"/>
      <c r="U2687" s="633"/>
      <c r="V2687" s="633"/>
      <c r="W2687" t="s">
        <v>2047</v>
      </c>
    </row>
    <row r="2688" spans="1:23" ht="13.15" customHeight="1" x14ac:dyDescent="0.2">
      <c r="A2688" s="2" t="s">
        <v>2201</v>
      </c>
      <c r="B2688" s="2">
        <f t="shared" si="82"/>
        <v>2022</v>
      </c>
      <c r="C2688" s="2" t="str">
        <f t="shared" si="83"/>
        <v>KZN226</v>
      </c>
      <c r="D2688" s="2">
        <v>70</v>
      </c>
      <c r="F2688" s="633"/>
      <c r="G2688" s="633"/>
      <c r="H2688" s="633"/>
      <c r="I2688" s="633"/>
      <c r="J2688" s="633"/>
      <c r="K2688" s="633"/>
      <c r="L2688" s="633"/>
      <c r="M2688" s="633"/>
      <c r="N2688" s="633"/>
      <c r="O2688" s="633"/>
      <c r="P2688" s="633"/>
      <c r="Q2688" s="633"/>
      <c r="R2688" s="633"/>
      <c r="S2688" s="633"/>
      <c r="T2688" s="633"/>
      <c r="U2688" s="633"/>
      <c r="V2688" s="633"/>
      <c r="W2688" t="s">
        <v>2047</v>
      </c>
    </row>
    <row r="2689" spans="1:23" ht="13.15" customHeight="1" x14ac:dyDescent="0.2">
      <c r="A2689" s="2" t="s">
        <v>2201</v>
      </c>
      <c r="B2689" s="2">
        <f t="shared" si="82"/>
        <v>2022</v>
      </c>
      <c r="C2689" s="2" t="str">
        <f t="shared" si="83"/>
        <v>KZN226</v>
      </c>
      <c r="D2689" s="2">
        <v>71</v>
      </c>
      <c r="F2689" s="633"/>
      <c r="G2689" s="633"/>
      <c r="H2689" s="633"/>
      <c r="I2689" s="633"/>
      <c r="J2689" s="633"/>
      <c r="K2689" s="633"/>
      <c r="L2689" s="633"/>
      <c r="M2689" s="633"/>
      <c r="N2689" s="633"/>
      <c r="O2689" s="633"/>
      <c r="P2689" s="633"/>
      <c r="Q2689" s="633"/>
      <c r="R2689" s="633"/>
      <c r="S2689" s="633"/>
      <c r="T2689" s="633"/>
      <c r="U2689" s="633"/>
      <c r="V2689" s="633"/>
      <c r="W2689" t="s">
        <v>2047</v>
      </c>
    </row>
    <row r="2690" spans="1:23" ht="13.15" customHeight="1" x14ac:dyDescent="0.2">
      <c r="A2690" s="2" t="s">
        <v>2201</v>
      </c>
      <c r="B2690" s="2">
        <f t="shared" ref="B2690:B2791" si="84">+MTREF</f>
        <v>2022</v>
      </c>
      <c r="C2690" s="2" t="str">
        <f t="shared" ref="C2690:C2791" si="85">LEFT(muni,(FIND(" ",muni,1)-1))</f>
        <v>KZN226</v>
      </c>
      <c r="D2690" s="2">
        <v>72</v>
      </c>
      <c r="F2690" s="633"/>
      <c r="G2690" s="633"/>
      <c r="H2690" s="633"/>
      <c r="I2690" s="633"/>
      <c r="J2690" s="633"/>
      <c r="K2690" s="633"/>
      <c r="L2690" s="633"/>
      <c r="M2690" s="633"/>
      <c r="N2690" s="633"/>
      <c r="O2690" s="633"/>
      <c r="P2690" s="633"/>
      <c r="Q2690" s="633"/>
      <c r="R2690" s="633"/>
      <c r="S2690" s="633"/>
      <c r="T2690" s="633"/>
      <c r="U2690" s="633"/>
      <c r="V2690" s="633"/>
      <c r="W2690" t="s">
        <v>2047</v>
      </c>
    </row>
    <row r="2691" spans="1:23" ht="13.15" customHeight="1" x14ac:dyDescent="0.2">
      <c r="A2691" s="2" t="s">
        <v>2201</v>
      </c>
      <c r="B2691" s="2">
        <f t="shared" si="84"/>
        <v>2022</v>
      </c>
      <c r="C2691" s="2" t="str">
        <f t="shared" si="85"/>
        <v>KZN226</v>
      </c>
      <c r="D2691" s="2">
        <v>73</v>
      </c>
      <c r="F2691" s="633"/>
      <c r="G2691" s="633"/>
      <c r="H2691" s="633"/>
      <c r="I2691" s="633"/>
      <c r="J2691" s="633"/>
      <c r="K2691" s="633"/>
      <c r="L2691" s="633"/>
      <c r="M2691" s="633"/>
      <c r="N2691" s="633"/>
      <c r="O2691" s="633"/>
      <c r="P2691" s="633"/>
      <c r="Q2691" s="633"/>
      <c r="R2691" s="633"/>
      <c r="S2691" s="633"/>
      <c r="T2691" s="633"/>
      <c r="U2691" s="633"/>
      <c r="V2691" s="633"/>
      <c r="W2691" t="s">
        <v>2047</v>
      </c>
    </row>
    <row r="2692" spans="1:23" ht="13.15" customHeight="1" x14ac:dyDescent="0.2">
      <c r="A2692" s="2" t="s">
        <v>2201</v>
      </c>
      <c r="B2692" s="2">
        <f t="shared" si="84"/>
        <v>2022</v>
      </c>
      <c r="C2692" s="2" t="str">
        <f t="shared" si="85"/>
        <v>KZN226</v>
      </c>
      <c r="D2692" s="2">
        <v>74</v>
      </c>
      <c r="F2692" s="633"/>
      <c r="G2692" s="633"/>
      <c r="H2692" s="633"/>
      <c r="I2692" s="633"/>
      <c r="J2692" s="633"/>
      <c r="K2692" s="633"/>
      <c r="L2692" s="633"/>
      <c r="M2692" s="633"/>
      <c r="N2692" s="633"/>
      <c r="O2692" s="633"/>
      <c r="P2692" s="633"/>
      <c r="Q2692" s="633"/>
      <c r="R2692" s="633"/>
      <c r="S2692" s="633"/>
      <c r="T2692" s="633"/>
      <c r="U2692" s="633"/>
      <c r="V2692" s="633"/>
      <c r="W2692" t="s">
        <v>2047</v>
      </c>
    </row>
    <row r="2693" spans="1:23" ht="13.15" customHeight="1" x14ac:dyDescent="0.2">
      <c r="A2693" s="2" t="s">
        <v>2201</v>
      </c>
      <c r="B2693" s="2">
        <f t="shared" si="84"/>
        <v>2022</v>
      </c>
      <c r="C2693" s="2" t="str">
        <f t="shared" si="85"/>
        <v>KZN226</v>
      </c>
      <c r="D2693" s="2">
        <v>75</v>
      </c>
      <c r="F2693" s="633"/>
      <c r="G2693" s="633"/>
      <c r="H2693" s="633"/>
      <c r="I2693" s="633"/>
      <c r="J2693" s="633"/>
      <c r="K2693" s="633"/>
      <c r="L2693" s="633"/>
      <c r="M2693" s="633"/>
      <c r="N2693" s="633"/>
      <c r="O2693" s="633"/>
      <c r="P2693" s="633"/>
      <c r="Q2693" s="633"/>
      <c r="R2693" s="633"/>
      <c r="S2693" s="633"/>
      <c r="T2693" s="633"/>
      <c r="U2693" s="633"/>
      <c r="V2693" s="633"/>
      <c r="W2693" t="s">
        <v>2047</v>
      </c>
    </row>
    <row r="2694" spans="1:23" ht="13.15" customHeight="1" x14ac:dyDescent="0.2">
      <c r="A2694" s="2" t="s">
        <v>2201</v>
      </c>
      <c r="B2694" s="2">
        <f t="shared" si="84"/>
        <v>2022</v>
      </c>
      <c r="C2694" s="2" t="str">
        <f t="shared" si="85"/>
        <v>KZN226</v>
      </c>
      <c r="D2694" s="2">
        <v>76</v>
      </c>
      <c r="F2694" s="633"/>
      <c r="G2694" s="633"/>
      <c r="H2694" s="633"/>
      <c r="I2694" s="633"/>
      <c r="J2694" s="633"/>
      <c r="K2694" s="633"/>
      <c r="L2694" s="633"/>
      <c r="M2694" s="633"/>
      <c r="N2694" s="633"/>
      <c r="O2694" s="633"/>
      <c r="P2694" s="633"/>
      <c r="Q2694" s="633"/>
      <c r="R2694" s="633"/>
      <c r="S2694" s="633"/>
      <c r="T2694" s="633"/>
      <c r="U2694" s="633"/>
      <c r="V2694" s="633"/>
      <c r="W2694" t="s">
        <v>2047</v>
      </c>
    </row>
    <row r="2695" spans="1:23" ht="13.15" customHeight="1" x14ac:dyDescent="0.2">
      <c r="A2695" s="2" t="s">
        <v>2201</v>
      </c>
      <c r="B2695" s="2">
        <f t="shared" si="84"/>
        <v>2022</v>
      </c>
      <c r="C2695" s="2" t="str">
        <f t="shared" si="85"/>
        <v>KZN226</v>
      </c>
      <c r="D2695" s="2">
        <v>77</v>
      </c>
      <c r="F2695" s="633"/>
      <c r="G2695" s="633"/>
      <c r="H2695" s="633"/>
      <c r="I2695" s="633"/>
      <c r="J2695" s="633"/>
      <c r="K2695" s="633"/>
      <c r="L2695" s="633"/>
      <c r="M2695" s="633"/>
      <c r="N2695" s="633"/>
      <c r="O2695" s="633"/>
      <c r="P2695" s="633"/>
      <c r="Q2695" s="633"/>
      <c r="R2695" s="633"/>
      <c r="S2695" s="633"/>
      <c r="T2695" s="633"/>
      <c r="U2695" s="633"/>
      <c r="V2695" s="633"/>
      <c r="W2695" t="s">
        <v>2047</v>
      </c>
    </row>
    <row r="2696" spans="1:23" ht="13.15" customHeight="1" x14ac:dyDescent="0.2">
      <c r="A2696" s="2" t="s">
        <v>2201</v>
      </c>
      <c r="B2696" s="2">
        <f t="shared" si="84"/>
        <v>2022</v>
      </c>
      <c r="C2696" s="2" t="str">
        <f t="shared" si="85"/>
        <v>KZN226</v>
      </c>
      <c r="D2696" s="2">
        <v>78</v>
      </c>
      <c r="F2696" s="633"/>
      <c r="G2696" s="633"/>
      <c r="H2696" s="633"/>
      <c r="I2696" s="633"/>
      <c r="J2696" s="633"/>
      <c r="K2696" s="633"/>
      <c r="L2696" s="633"/>
      <c r="M2696" s="633"/>
      <c r="N2696" s="633"/>
      <c r="O2696" s="633"/>
      <c r="P2696" s="633"/>
      <c r="Q2696" s="633"/>
      <c r="R2696" s="633"/>
      <c r="S2696" s="633"/>
      <c r="T2696" s="633"/>
      <c r="U2696" s="633"/>
      <c r="V2696" s="633"/>
      <c r="W2696" t="s">
        <v>2047</v>
      </c>
    </row>
    <row r="2697" spans="1:23" ht="13.15" customHeight="1" x14ac:dyDescent="0.2">
      <c r="A2697" s="2" t="s">
        <v>2201</v>
      </c>
      <c r="B2697" s="2">
        <f t="shared" si="84"/>
        <v>2022</v>
      </c>
      <c r="C2697" s="2" t="str">
        <f t="shared" si="85"/>
        <v>KZN226</v>
      </c>
      <c r="D2697" s="2">
        <v>79</v>
      </c>
      <c r="F2697" s="633"/>
      <c r="G2697" s="633"/>
      <c r="H2697" s="633"/>
      <c r="I2697" s="633"/>
      <c r="J2697" s="633"/>
      <c r="K2697" s="633"/>
      <c r="L2697" s="633"/>
      <c r="M2697" s="633"/>
      <c r="N2697" s="633"/>
      <c r="O2697" s="633"/>
      <c r="P2697" s="633"/>
      <c r="Q2697" s="633"/>
      <c r="R2697" s="633"/>
      <c r="S2697" s="633"/>
      <c r="T2697" s="633"/>
      <c r="U2697" s="633"/>
      <c r="V2697" s="633"/>
      <c r="W2697" t="s">
        <v>2047</v>
      </c>
    </row>
    <row r="2698" spans="1:23" ht="13.15" customHeight="1" x14ac:dyDescent="0.2">
      <c r="A2698" s="2" t="s">
        <v>2201</v>
      </c>
      <c r="B2698" s="2">
        <f t="shared" si="84"/>
        <v>2022</v>
      </c>
      <c r="C2698" s="2" t="str">
        <f t="shared" si="85"/>
        <v>KZN226</v>
      </c>
      <c r="D2698" s="2">
        <v>80</v>
      </c>
      <c r="F2698" s="633"/>
      <c r="G2698" s="633"/>
      <c r="H2698" s="633"/>
      <c r="I2698" s="633"/>
      <c r="J2698" s="633"/>
      <c r="K2698" s="633"/>
      <c r="L2698" s="633"/>
      <c r="M2698" s="633"/>
      <c r="N2698" s="633"/>
      <c r="O2698" s="633"/>
      <c r="P2698" s="633"/>
      <c r="Q2698" s="633"/>
      <c r="R2698" s="633"/>
      <c r="S2698" s="633"/>
      <c r="T2698" s="633"/>
      <c r="U2698" s="633"/>
      <c r="V2698" s="633"/>
      <c r="W2698" t="s">
        <v>2047</v>
      </c>
    </row>
    <row r="2699" spans="1:23" ht="13.15" customHeight="1" x14ac:dyDescent="0.2">
      <c r="A2699" s="2" t="s">
        <v>2201</v>
      </c>
      <c r="B2699" s="2">
        <f t="shared" si="84"/>
        <v>2022</v>
      </c>
      <c r="C2699" s="2" t="str">
        <f t="shared" si="85"/>
        <v>KZN226</v>
      </c>
      <c r="D2699" s="2">
        <v>81</v>
      </c>
      <c r="F2699" s="633"/>
      <c r="G2699" s="633"/>
      <c r="H2699" s="633"/>
      <c r="I2699" s="633"/>
      <c r="J2699" s="633"/>
      <c r="K2699" s="633"/>
      <c r="L2699" s="633"/>
      <c r="M2699" s="633"/>
      <c r="N2699" s="633"/>
      <c r="O2699" s="633"/>
      <c r="P2699" s="633"/>
      <c r="Q2699" s="633"/>
      <c r="R2699" s="633"/>
      <c r="S2699" s="633"/>
      <c r="T2699" s="633"/>
      <c r="U2699" s="633"/>
      <c r="V2699" s="633"/>
      <c r="W2699" t="s">
        <v>2047</v>
      </c>
    </row>
    <row r="2700" spans="1:23" ht="13.15" customHeight="1" x14ac:dyDescent="0.2">
      <c r="A2700" s="2" t="s">
        <v>2201</v>
      </c>
      <c r="B2700" s="2">
        <f t="shared" si="84"/>
        <v>2022</v>
      </c>
      <c r="C2700" s="2" t="str">
        <f t="shared" si="85"/>
        <v>KZN226</v>
      </c>
      <c r="D2700" s="2">
        <v>82</v>
      </c>
      <c r="F2700" s="633"/>
      <c r="G2700" s="633"/>
      <c r="H2700" s="633"/>
      <c r="I2700" s="633"/>
      <c r="J2700" s="633"/>
      <c r="K2700" s="633"/>
      <c r="L2700" s="633"/>
      <c r="M2700" s="633"/>
      <c r="N2700" s="633"/>
      <c r="O2700" s="633"/>
      <c r="P2700" s="633"/>
      <c r="Q2700" s="633"/>
      <c r="R2700" s="633"/>
      <c r="S2700" s="633"/>
      <c r="T2700" s="633"/>
      <c r="U2700" s="633"/>
      <c r="V2700" s="633"/>
      <c r="W2700" t="s">
        <v>2047</v>
      </c>
    </row>
    <row r="2701" spans="1:23" ht="13.15" customHeight="1" x14ac:dyDescent="0.2">
      <c r="A2701" s="2" t="s">
        <v>2201</v>
      </c>
      <c r="B2701" s="2">
        <f t="shared" si="84"/>
        <v>2022</v>
      </c>
      <c r="C2701" s="2" t="str">
        <f t="shared" si="85"/>
        <v>KZN226</v>
      </c>
      <c r="D2701" s="2">
        <v>83</v>
      </c>
      <c r="F2701" s="633"/>
      <c r="G2701" s="633"/>
      <c r="H2701" s="633"/>
      <c r="I2701" s="633"/>
      <c r="J2701" s="633"/>
      <c r="K2701" s="633"/>
      <c r="L2701" s="633"/>
      <c r="M2701" s="633"/>
      <c r="N2701" s="633"/>
      <c r="O2701" s="633"/>
      <c r="P2701" s="633"/>
      <c r="Q2701" s="633"/>
      <c r="R2701" s="633"/>
      <c r="S2701" s="633"/>
      <c r="T2701" s="633"/>
      <c r="U2701" s="633"/>
      <c r="V2701" s="633"/>
      <c r="W2701" t="s">
        <v>2047</v>
      </c>
    </row>
    <row r="2702" spans="1:23" ht="13.15" customHeight="1" x14ac:dyDescent="0.2">
      <c r="A2702" s="2" t="s">
        <v>2201</v>
      </c>
      <c r="B2702" s="2">
        <f t="shared" si="84"/>
        <v>2022</v>
      </c>
      <c r="C2702" s="2" t="str">
        <f t="shared" si="85"/>
        <v>KZN226</v>
      </c>
      <c r="D2702" s="2">
        <v>84</v>
      </c>
      <c r="F2702" s="633"/>
      <c r="G2702" s="633"/>
      <c r="H2702" s="633"/>
      <c r="I2702" s="633"/>
      <c r="J2702" s="633"/>
      <c r="K2702" s="633"/>
      <c r="L2702" s="633"/>
      <c r="M2702" s="633"/>
      <c r="N2702" s="633"/>
      <c r="O2702" s="633"/>
      <c r="P2702" s="633"/>
      <c r="Q2702" s="633"/>
      <c r="R2702" s="633"/>
      <c r="S2702" s="633"/>
      <c r="T2702" s="633"/>
      <c r="U2702" s="633"/>
      <c r="V2702" s="633"/>
      <c r="W2702" t="s">
        <v>2047</v>
      </c>
    </row>
    <row r="2703" spans="1:23" ht="13.15" customHeight="1" x14ac:dyDescent="0.2">
      <c r="A2703" s="2" t="s">
        <v>2201</v>
      </c>
      <c r="B2703" s="2">
        <f t="shared" si="84"/>
        <v>2022</v>
      </c>
      <c r="C2703" s="2" t="str">
        <f t="shared" si="85"/>
        <v>KZN226</v>
      </c>
      <c r="D2703" s="2">
        <v>85</v>
      </c>
      <c r="F2703" s="633"/>
      <c r="G2703" s="633"/>
      <c r="H2703" s="633"/>
      <c r="I2703" s="633"/>
      <c r="J2703" s="633"/>
      <c r="K2703" s="633"/>
      <c r="L2703" s="633"/>
      <c r="M2703" s="633"/>
      <c r="N2703" s="633"/>
      <c r="O2703" s="633"/>
      <c r="P2703" s="633"/>
      <c r="Q2703" s="633"/>
      <c r="R2703" s="633"/>
      <c r="S2703" s="633"/>
      <c r="T2703" s="633"/>
      <c r="U2703" s="633"/>
      <c r="V2703" s="633"/>
      <c r="W2703" t="s">
        <v>2047</v>
      </c>
    </row>
    <row r="2704" spans="1:23" ht="13.15" customHeight="1" x14ac:dyDescent="0.2">
      <c r="A2704" s="2" t="s">
        <v>2201</v>
      </c>
      <c r="B2704" s="2">
        <f t="shared" si="84"/>
        <v>2022</v>
      </c>
      <c r="C2704" s="2" t="str">
        <f t="shared" si="85"/>
        <v>KZN226</v>
      </c>
      <c r="D2704" s="2">
        <v>86</v>
      </c>
      <c r="F2704" s="633"/>
      <c r="G2704" s="633"/>
      <c r="H2704" s="633"/>
      <c r="I2704" s="633"/>
      <c r="J2704" s="633"/>
      <c r="K2704" s="633"/>
      <c r="L2704" s="633"/>
      <c r="M2704" s="633"/>
      <c r="N2704" s="633"/>
      <c r="O2704" s="633"/>
      <c r="P2704" s="633"/>
      <c r="Q2704" s="633"/>
      <c r="R2704" s="633"/>
      <c r="S2704" s="633"/>
      <c r="T2704" s="633"/>
      <c r="U2704" s="633"/>
      <c r="V2704" s="633"/>
      <c r="W2704" t="s">
        <v>2047</v>
      </c>
    </row>
    <row r="2705" spans="1:23" ht="13.15" customHeight="1" x14ac:dyDescent="0.2">
      <c r="A2705" s="2" t="s">
        <v>2201</v>
      </c>
      <c r="B2705" s="2">
        <f t="shared" si="84"/>
        <v>2022</v>
      </c>
      <c r="C2705" s="2" t="str">
        <f t="shared" si="85"/>
        <v>KZN226</v>
      </c>
      <c r="D2705" s="2">
        <v>87</v>
      </c>
      <c r="F2705" s="633"/>
      <c r="G2705" s="633"/>
      <c r="H2705" s="633"/>
      <c r="I2705" s="633"/>
      <c r="J2705" s="633"/>
      <c r="K2705" s="633"/>
      <c r="L2705" s="633"/>
      <c r="M2705" s="633"/>
      <c r="N2705" s="633"/>
      <c r="O2705" s="633"/>
      <c r="P2705" s="633"/>
      <c r="Q2705" s="633"/>
      <c r="R2705" s="633"/>
      <c r="S2705" s="633"/>
      <c r="T2705" s="633"/>
      <c r="U2705" s="633"/>
      <c r="V2705" s="633"/>
      <c r="W2705" t="s">
        <v>2047</v>
      </c>
    </row>
    <row r="2706" spans="1:23" ht="13.15" customHeight="1" x14ac:dyDescent="0.2">
      <c r="A2706" s="2" t="s">
        <v>2201</v>
      </c>
      <c r="B2706" s="2">
        <f t="shared" si="84"/>
        <v>2022</v>
      </c>
      <c r="C2706" s="2" t="str">
        <f t="shared" si="85"/>
        <v>KZN226</v>
      </c>
      <c r="D2706" s="2">
        <v>88</v>
      </c>
      <c r="F2706" s="633"/>
      <c r="G2706" s="633"/>
      <c r="H2706" s="633"/>
      <c r="I2706" s="633"/>
      <c r="J2706" s="633"/>
      <c r="K2706" s="633"/>
      <c r="L2706" s="633"/>
      <c r="M2706" s="633"/>
      <c r="N2706" s="633"/>
      <c r="O2706" s="633"/>
      <c r="P2706" s="633"/>
      <c r="Q2706" s="633"/>
      <c r="R2706" s="633"/>
      <c r="S2706" s="633"/>
      <c r="T2706" s="633"/>
      <c r="U2706" s="633"/>
      <c r="V2706" s="633"/>
      <c r="W2706" t="s">
        <v>2047</v>
      </c>
    </row>
    <row r="2707" spans="1:23" ht="13.15" customHeight="1" x14ac:dyDescent="0.2">
      <c r="A2707" s="2" t="s">
        <v>2201</v>
      </c>
      <c r="B2707" s="2">
        <f t="shared" si="84"/>
        <v>2022</v>
      </c>
      <c r="C2707" s="2" t="str">
        <f t="shared" si="85"/>
        <v>KZN226</v>
      </c>
      <c r="D2707" s="2">
        <v>89</v>
      </c>
      <c r="F2707" s="633"/>
      <c r="G2707" s="633"/>
      <c r="H2707" s="633"/>
      <c r="I2707" s="633"/>
      <c r="J2707" s="633"/>
      <c r="K2707" s="633"/>
      <c r="L2707" s="633"/>
      <c r="M2707" s="633"/>
      <c r="N2707" s="633"/>
      <c r="O2707" s="633"/>
      <c r="P2707" s="633"/>
      <c r="Q2707" s="633"/>
      <c r="R2707" s="633"/>
      <c r="S2707" s="633"/>
      <c r="T2707" s="633"/>
      <c r="U2707" s="633"/>
      <c r="V2707" s="633"/>
      <c r="W2707" t="s">
        <v>2047</v>
      </c>
    </row>
    <row r="2708" spans="1:23" ht="13.15" customHeight="1" x14ac:dyDescent="0.2">
      <c r="A2708" s="2" t="s">
        <v>2201</v>
      </c>
      <c r="B2708" s="2">
        <f t="shared" si="84"/>
        <v>2022</v>
      </c>
      <c r="C2708" s="2" t="str">
        <f t="shared" si="85"/>
        <v>KZN226</v>
      </c>
      <c r="D2708" s="2">
        <v>90</v>
      </c>
      <c r="F2708" s="633"/>
      <c r="G2708" s="633"/>
      <c r="H2708" s="633"/>
      <c r="I2708" s="633"/>
      <c r="J2708" s="633"/>
      <c r="K2708" s="633"/>
      <c r="L2708" s="633"/>
      <c r="M2708" s="633"/>
      <c r="N2708" s="633"/>
      <c r="O2708" s="633"/>
      <c r="P2708" s="633"/>
      <c r="Q2708" s="633"/>
      <c r="R2708" s="633"/>
      <c r="S2708" s="633"/>
      <c r="T2708" s="633"/>
      <c r="U2708" s="633"/>
      <c r="V2708" s="633"/>
      <c r="W2708" t="s">
        <v>2047</v>
      </c>
    </row>
    <row r="2709" spans="1:23" ht="13.15" customHeight="1" x14ac:dyDescent="0.2">
      <c r="A2709" s="2" t="s">
        <v>2201</v>
      </c>
      <c r="B2709" s="2">
        <f t="shared" si="84"/>
        <v>2022</v>
      </c>
      <c r="C2709" s="2" t="str">
        <f t="shared" si="85"/>
        <v>KZN226</v>
      </c>
      <c r="D2709" s="2">
        <v>91</v>
      </c>
      <c r="F2709" s="633"/>
      <c r="G2709" s="633"/>
      <c r="H2709" s="633"/>
      <c r="I2709" s="633"/>
      <c r="J2709" s="633"/>
      <c r="K2709" s="633"/>
      <c r="L2709" s="633"/>
      <c r="M2709" s="633"/>
      <c r="N2709" s="633"/>
      <c r="O2709" s="633"/>
      <c r="P2709" s="633"/>
      <c r="Q2709" s="633"/>
      <c r="R2709" s="633"/>
      <c r="S2709" s="633"/>
      <c r="T2709" s="633"/>
      <c r="U2709" s="633"/>
      <c r="V2709" s="633"/>
      <c r="W2709" t="s">
        <v>2047</v>
      </c>
    </row>
    <row r="2710" spans="1:23" ht="13.15" customHeight="1" x14ac:dyDescent="0.2">
      <c r="A2710" s="2" t="s">
        <v>2201</v>
      </c>
      <c r="B2710" s="2">
        <f t="shared" si="84"/>
        <v>2022</v>
      </c>
      <c r="C2710" s="2" t="str">
        <f t="shared" si="85"/>
        <v>KZN226</v>
      </c>
      <c r="D2710" s="2">
        <v>92</v>
      </c>
      <c r="F2710" s="633"/>
      <c r="G2710" s="633"/>
      <c r="H2710" s="633"/>
      <c r="I2710" s="633"/>
      <c r="J2710" s="633"/>
      <c r="K2710" s="633"/>
      <c r="L2710" s="633"/>
      <c r="M2710" s="633"/>
      <c r="N2710" s="633"/>
      <c r="O2710" s="633"/>
      <c r="P2710" s="633"/>
      <c r="Q2710" s="633"/>
      <c r="R2710" s="633"/>
      <c r="S2710" s="633"/>
      <c r="T2710" s="633"/>
      <c r="U2710" s="633"/>
      <c r="V2710" s="633"/>
      <c r="W2710" t="s">
        <v>2047</v>
      </c>
    </row>
    <row r="2711" spans="1:23" ht="13.15" customHeight="1" x14ac:dyDescent="0.2">
      <c r="A2711" s="2" t="s">
        <v>2201</v>
      </c>
      <c r="B2711" s="2">
        <f t="shared" si="84"/>
        <v>2022</v>
      </c>
      <c r="C2711" s="2" t="str">
        <f t="shared" si="85"/>
        <v>KZN226</v>
      </c>
      <c r="D2711" s="2">
        <v>93</v>
      </c>
      <c r="F2711" s="633"/>
      <c r="G2711" s="633"/>
      <c r="H2711" s="633"/>
      <c r="I2711" s="633"/>
      <c r="J2711" s="633"/>
      <c r="K2711" s="633"/>
      <c r="L2711" s="633"/>
      <c r="M2711" s="633"/>
      <c r="N2711" s="633"/>
      <c r="O2711" s="633"/>
      <c r="P2711" s="633"/>
      <c r="Q2711" s="633"/>
      <c r="R2711" s="633"/>
      <c r="S2711" s="633"/>
      <c r="T2711" s="633"/>
      <c r="U2711" s="633"/>
      <c r="V2711" s="633"/>
      <c r="W2711" t="s">
        <v>2047</v>
      </c>
    </row>
    <row r="2712" spans="1:23" ht="13.15" customHeight="1" x14ac:dyDescent="0.2">
      <c r="A2712" s="2" t="s">
        <v>2201</v>
      </c>
      <c r="B2712" s="2">
        <f t="shared" si="84"/>
        <v>2022</v>
      </c>
      <c r="C2712" s="2" t="str">
        <f t="shared" si="85"/>
        <v>KZN226</v>
      </c>
      <c r="D2712" s="2">
        <v>94</v>
      </c>
      <c r="F2712" s="633"/>
      <c r="G2712" s="633"/>
      <c r="H2712" s="633"/>
      <c r="I2712" s="633"/>
      <c r="J2712" s="633"/>
      <c r="K2712" s="633"/>
      <c r="L2712" s="633"/>
      <c r="M2712" s="633"/>
      <c r="N2712" s="633"/>
      <c r="O2712" s="633"/>
      <c r="P2712" s="633"/>
      <c r="Q2712" s="633"/>
      <c r="R2712" s="633"/>
      <c r="S2712" s="633"/>
      <c r="T2712" s="633"/>
      <c r="U2712" s="633"/>
      <c r="V2712" s="633"/>
      <c r="W2712" t="s">
        <v>2047</v>
      </c>
    </row>
    <row r="2713" spans="1:23" ht="13.15" customHeight="1" x14ac:dyDescent="0.2">
      <c r="A2713" s="2" t="s">
        <v>2201</v>
      </c>
      <c r="B2713" s="2">
        <f t="shared" si="84"/>
        <v>2022</v>
      </c>
      <c r="C2713" s="2" t="str">
        <f t="shared" si="85"/>
        <v>KZN226</v>
      </c>
      <c r="D2713" s="2">
        <v>95</v>
      </c>
      <c r="F2713" s="633"/>
      <c r="G2713" s="633"/>
      <c r="H2713" s="633"/>
      <c r="I2713" s="633"/>
      <c r="J2713" s="633"/>
      <c r="K2713" s="633"/>
      <c r="L2713" s="633"/>
      <c r="M2713" s="633"/>
      <c r="N2713" s="633"/>
      <c r="O2713" s="633"/>
      <c r="P2713" s="633"/>
      <c r="Q2713" s="633"/>
      <c r="R2713" s="633"/>
      <c r="S2713" s="633"/>
      <c r="T2713" s="633"/>
      <c r="U2713" s="633"/>
      <c r="V2713" s="633"/>
      <c r="W2713" t="s">
        <v>2047</v>
      </c>
    </row>
    <row r="2714" spans="1:23" ht="13.15" customHeight="1" x14ac:dyDescent="0.2">
      <c r="A2714" s="2" t="s">
        <v>2201</v>
      </c>
      <c r="B2714" s="2">
        <f t="shared" si="84"/>
        <v>2022</v>
      </c>
      <c r="C2714" s="2" t="str">
        <f t="shared" si="85"/>
        <v>KZN226</v>
      </c>
      <c r="D2714" s="2">
        <v>96</v>
      </c>
      <c r="F2714" s="633"/>
      <c r="G2714" s="633"/>
      <c r="H2714" s="633"/>
      <c r="I2714" s="633"/>
      <c r="J2714" s="633"/>
      <c r="K2714" s="633"/>
      <c r="L2714" s="633"/>
      <c r="M2714" s="633"/>
      <c r="N2714" s="633"/>
      <c r="O2714" s="633"/>
      <c r="P2714" s="633"/>
      <c r="Q2714" s="633"/>
      <c r="R2714" s="633"/>
      <c r="S2714" s="633"/>
      <c r="T2714" s="633"/>
      <c r="U2714" s="633"/>
      <c r="V2714" s="633"/>
      <c r="W2714" t="s">
        <v>2047</v>
      </c>
    </row>
    <row r="2715" spans="1:23" ht="13.15" customHeight="1" x14ac:dyDescent="0.2">
      <c r="A2715" s="2" t="s">
        <v>2201</v>
      </c>
      <c r="B2715" s="2">
        <f t="shared" si="84"/>
        <v>2022</v>
      </c>
      <c r="C2715" s="2" t="str">
        <f t="shared" si="85"/>
        <v>KZN226</v>
      </c>
      <c r="D2715" s="2">
        <v>97</v>
      </c>
      <c r="F2715" s="633"/>
      <c r="G2715" s="633"/>
      <c r="H2715" s="633"/>
      <c r="I2715" s="633"/>
      <c r="J2715" s="633"/>
      <c r="K2715" s="633"/>
      <c r="L2715" s="633"/>
      <c r="M2715" s="633"/>
      <c r="N2715" s="633"/>
      <c r="O2715" s="633"/>
      <c r="P2715" s="633"/>
      <c r="Q2715" s="633"/>
      <c r="R2715" s="633"/>
      <c r="S2715" s="633"/>
      <c r="T2715" s="633"/>
      <c r="U2715" s="633"/>
      <c r="V2715" s="633"/>
      <c r="W2715" t="s">
        <v>2047</v>
      </c>
    </row>
    <row r="2716" spans="1:23" ht="13.15" customHeight="1" x14ac:dyDescent="0.2">
      <c r="A2716" s="2" t="s">
        <v>2201</v>
      </c>
      <c r="B2716" s="2">
        <f t="shared" si="84"/>
        <v>2022</v>
      </c>
      <c r="C2716" s="2" t="str">
        <f t="shared" si="85"/>
        <v>KZN226</v>
      </c>
      <c r="D2716" s="2">
        <v>98</v>
      </c>
      <c r="F2716" s="633"/>
      <c r="G2716" s="633"/>
      <c r="H2716" s="633"/>
      <c r="I2716" s="633"/>
      <c r="J2716" s="633"/>
      <c r="K2716" s="633"/>
      <c r="L2716" s="633"/>
      <c r="M2716" s="633"/>
      <c r="N2716" s="633"/>
      <c r="O2716" s="633"/>
      <c r="P2716" s="633"/>
      <c r="Q2716" s="633"/>
      <c r="R2716" s="633"/>
      <c r="S2716" s="633"/>
      <c r="T2716" s="633"/>
      <c r="U2716" s="633"/>
      <c r="V2716" s="633"/>
      <c r="W2716" t="s">
        <v>2047</v>
      </c>
    </row>
    <row r="2717" spans="1:23" ht="13.15" customHeight="1" x14ac:dyDescent="0.2">
      <c r="A2717" s="2" t="s">
        <v>2201</v>
      </c>
      <c r="B2717" s="2">
        <f t="shared" si="84"/>
        <v>2022</v>
      </c>
      <c r="C2717" s="2" t="str">
        <f t="shared" si="85"/>
        <v>KZN226</v>
      </c>
      <c r="D2717" s="2">
        <v>99</v>
      </c>
      <c r="F2717" s="633"/>
      <c r="G2717" s="633"/>
      <c r="H2717" s="633"/>
      <c r="I2717" s="633"/>
      <c r="J2717" s="633"/>
      <c r="K2717" s="633"/>
      <c r="L2717" s="633"/>
      <c r="M2717" s="633"/>
      <c r="N2717" s="633"/>
      <c r="O2717" s="633"/>
      <c r="P2717" s="633"/>
      <c r="Q2717" s="633"/>
      <c r="R2717" s="633"/>
      <c r="S2717" s="633"/>
      <c r="T2717" s="633"/>
      <c r="U2717" s="633"/>
      <c r="V2717" s="633"/>
      <c r="W2717" t="s">
        <v>2047</v>
      </c>
    </row>
    <row r="2718" spans="1:23" ht="13.15" customHeight="1" x14ac:dyDescent="0.2">
      <c r="A2718" s="2" t="s">
        <v>2201</v>
      </c>
      <c r="B2718" s="2">
        <f t="shared" si="84"/>
        <v>2022</v>
      </c>
      <c r="C2718" s="2" t="str">
        <f t="shared" si="85"/>
        <v>KZN226</v>
      </c>
      <c r="D2718" s="2">
        <v>100</v>
      </c>
      <c r="F2718" s="633"/>
      <c r="G2718" s="633"/>
      <c r="H2718" s="633"/>
      <c r="I2718" s="633"/>
      <c r="J2718" s="633"/>
      <c r="K2718" s="633"/>
      <c r="L2718" s="633"/>
      <c r="M2718" s="633"/>
      <c r="N2718" s="633"/>
      <c r="O2718" s="633"/>
      <c r="P2718" s="633"/>
      <c r="Q2718" s="633"/>
      <c r="R2718" s="633"/>
      <c r="S2718" s="633"/>
      <c r="T2718" s="633"/>
      <c r="U2718" s="633"/>
      <c r="V2718" s="633"/>
      <c r="W2718" t="s">
        <v>2047</v>
      </c>
    </row>
    <row r="2719" spans="1:23" ht="13.15" customHeight="1" x14ac:dyDescent="0.2">
      <c r="A2719" s="2" t="s">
        <v>2201</v>
      </c>
      <c r="B2719" s="2">
        <f t="shared" si="84"/>
        <v>2022</v>
      </c>
      <c r="C2719" s="2" t="str">
        <f t="shared" si="85"/>
        <v>KZN226</v>
      </c>
      <c r="D2719" s="2">
        <v>101</v>
      </c>
      <c r="F2719" s="633"/>
      <c r="G2719" s="633"/>
      <c r="H2719" s="633"/>
      <c r="I2719" s="633"/>
      <c r="J2719" s="633"/>
      <c r="K2719" s="633"/>
      <c r="L2719" s="633"/>
      <c r="M2719" s="633"/>
      <c r="N2719" s="633"/>
      <c r="O2719" s="633"/>
      <c r="P2719" s="633"/>
      <c r="Q2719" s="633"/>
      <c r="R2719" s="633"/>
      <c r="S2719" s="633"/>
      <c r="T2719" s="633"/>
      <c r="U2719" s="633"/>
      <c r="V2719" s="633"/>
      <c r="W2719" t="s">
        <v>2047</v>
      </c>
    </row>
    <row r="2720" spans="1:23" ht="13.15" customHeight="1" x14ac:dyDescent="0.2">
      <c r="A2720" s="2" t="s">
        <v>2201</v>
      </c>
      <c r="B2720" s="2">
        <f t="shared" si="84"/>
        <v>2022</v>
      </c>
      <c r="C2720" s="2" t="str">
        <f t="shared" si="85"/>
        <v>KZN226</v>
      </c>
      <c r="D2720" s="2">
        <v>102</v>
      </c>
      <c r="F2720" s="633"/>
      <c r="G2720" s="633"/>
      <c r="H2720" s="633"/>
      <c r="I2720" s="633"/>
      <c r="J2720" s="633"/>
      <c r="K2720" s="633"/>
      <c r="L2720" s="633"/>
      <c r="M2720" s="633"/>
      <c r="N2720" s="633"/>
      <c r="O2720" s="633"/>
      <c r="P2720" s="633"/>
      <c r="Q2720" s="633"/>
      <c r="R2720" s="633"/>
      <c r="S2720" s="633"/>
      <c r="T2720" s="633"/>
      <c r="U2720" s="633"/>
      <c r="V2720" s="633"/>
      <c r="W2720" t="s">
        <v>2047</v>
      </c>
    </row>
    <row r="2721" spans="1:23" ht="13.15" customHeight="1" x14ac:dyDescent="0.2">
      <c r="A2721" s="2" t="s">
        <v>2201</v>
      </c>
      <c r="B2721" s="2">
        <f t="shared" si="84"/>
        <v>2022</v>
      </c>
      <c r="C2721" s="2" t="str">
        <f t="shared" si="85"/>
        <v>KZN226</v>
      </c>
      <c r="D2721" s="2">
        <v>103</v>
      </c>
      <c r="F2721" s="633"/>
      <c r="G2721" s="633"/>
      <c r="H2721" s="633"/>
      <c r="I2721" s="633"/>
      <c r="J2721" s="633"/>
      <c r="K2721" s="633"/>
      <c r="L2721" s="633"/>
      <c r="M2721" s="633"/>
      <c r="N2721" s="633"/>
      <c r="O2721" s="633"/>
      <c r="P2721" s="633"/>
      <c r="Q2721" s="633"/>
      <c r="R2721" s="633"/>
      <c r="S2721" s="633"/>
      <c r="T2721" s="633"/>
      <c r="U2721" s="633"/>
      <c r="V2721" s="633"/>
      <c r="W2721" t="s">
        <v>2047</v>
      </c>
    </row>
    <row r="2722" spans="1:23" ht="13.15" customHeight="1" x14ac:dyDescent="0.2">
      <c r="A2722" s="2" t="s">
        <v>2201</v>
      </c>
      <c r="B2722" s="2">
        <f t="shared" si="84"/>
        <v>2022</v>
      </c>
      <c r="C2722" s="2" t="str">
        <f t="shared" si="85"/>
        <v>KZN226</v>
      </c>
      <c r="D2722" s="2">
        <v>104</v>
      </c>
      <c r="F2722" s="633"/>
      <c r="G2722" s="633"/>
      <c r="H2722" s="633"/>
      <c r="I2722" s="633"/>
      <c r="J2722" s="633"/>
      <c r="K2722" s="633"/>
      <c r="L2722" s="633"/>
      <c r="M2722" s="633"/>
      <c r="N2722" s="633"/>
      <c r="O2722" s="633"/>
      <c r="P2722" s="633"/>
      <c r="Q2722" s="633"/>
      <c r="R2722" s="633"/>
      <c r="S2722" s="633"/>
      <c r="T2722" s="633"/>
      <c r="U2722" s="633"/>
      <c r="V2722" s="633"/>
      <c r="W2722" t="s">
        <v>2047</v>
      </c>
    </row>
    <row r="2723" spans="1:23" ht="13.15" customHeight="1" x14ac:dyDescent="0.2">
      <c r="A2723" s="2" t="s">
        <v>2201</v>
      </c>
      <c r="B2723" s="2">
        <f t="shared" si="84"/>
        <v>2022</v>
      </c>
      <c r="C2723" s="2" t="str">
        <f t="shared" si="85"/>
        <v>KZN226</v>
      </c>
      <c r="D2723" s="2">
        <v>105</v>
      </c>
      <c r="F2723" s="633"/>
      <c r="G2723" s="633"/>
      <c r="H2723" s="633"/>
      <c r="I2723" s="633"/>
      <c r="J2723" s="633"/>
      <c r="K2723" s="633"/>
      <c r="L2723" s="633"/>
      <c r="M2723" s="633"/>
      <c r="N2723" s="633"/>
      <c r="O2723" s="633"/>
      <c r="P2723" s="633"/>
      <c r="Q2723" s="633"/>
      <c r="R2723" s="633"/>
      <c r="S2723" s="633"/>
      <c r="T2723" s="633"/>
      <c r="U2723" s="633"/>
      <c r="V2723" s="633"/>
      <c r="W2723" t="s">
        <v>2047</v>
      </c>
    </row>
    <row r="2724" spans="1:23" ht="13.15" customHeight="1" x14ac:dyDescent="0.2">
      <c r="A2724" s="2" t="s">
        <v>2201</v>
      </c>
      <c r="B2724" s="2">
        <f t="shared" si="84"/>
        <v>2022</v>
      </c>
      <c r="C2724" s="2" t="str">
        <f t="shared" si="85"/>
        <v>KZN226</v>
      </c>
      <c r="D2724" s="2">
        <v>106</v>
      </c>
      <c r="F2724" s="633"/>
      <c r="G2724" s="633"/>
      <c r="H2724" s="633"/>
      <c r="I2724" s="633"/>
      <c r="J2724" s="633"/>
      <c r="K2724" s="633"/>
      <c r="L2724" s="633"/>
      <c r="M2724" s="633"/>
      <c r="N2724" s="633"/>
      <c r="O2724" s="633"/>
      <c r="P2724" s="633"/>
      <c r="Q2724" s="633"/>
      <c r="R2724" s="633"/>
      <c r="S2724" s="633"/>
      <c r="T2724" s="633"/>
      <c r="U2724" s="633"/>
      <c r="V2724" s="633"/>
      <c r="W2724" t="s">
        <v>2047</v>
      </c>
    </row>
    <row r="2725" spans="1:23" ht="13.15" customHeight="1" x14ac:dyDescent="0.2">
      <c r="A2725" s="2" t="s">
        <v>2201</v>
      </c>
      <c r="B2725" s="2">
        <f t="shared" si="84"/>
        <v>2022</v>
      </c>
      <c r="C2725" s="2" t="str">
        <f t="shared" si="85"/>
        <v>KZN226</v>
      </c>
      <c r="D2725" s="2">
        <v>107</v>
      </c>
      <c r="F2725" s="633"/>
      <c r="G2725" s="633"/>
      <c r="H2725" s="633"/>
      <c r="I2725" s="633"/>
      <c r="J2725" s="633"/>
      <c r="K2725" s="633"/>
      <c r="L2725" s="633"/>
      <c r="M2725" s="633"/>
      <c r="N2725" s="633"/>
      <c r="O2725" s="633"/>
      <c r="P2725" s="633"/>
      <c r="Q2725" s="633"/>
      <c r="R2725" s="633"/>
      <c r="S2725" s="633"/>
      <c r="T2725" s="633"/>
      <c r="U2725" s="633"/>
      <c r="V2725" s="633"/>
      <c r="W2725" t="s">
        <v>2047</v>
      </c>
    </row>
    <row r="2726" spans="1:23" ht="13.15" customHeight="1" x14ac:dyDescent="0.2">
      <c r="A2726" s="2" t="s">
        <v>2201</v>
      </c>
      <c r="B2726" s="2">
        <f t="shared" si="84"/>
        <v>2022</v>
      </c>
      <c r="C2726" s="2" t="str">
        <f t="shared" si="85"/>
        <v>KZN226</v>
      </c>
      <c r="D2726" s="2">
        <v>108</v>
      </c>
      <c r="F2726" s="633"/>
      <c r="G2726" s="633"/>
      <c r="H2726" s="633"/>
      <c r="I2726" s="633"/>
      <c r="J2726" s="633"/>
      <c r="K2726" s="633"/>
      <c r="L2726" s="633"/>
      <c r="M2726" s="633"/>
      <c r="N2726" s="633"/>
      <c r="O2726" s="633"/>
      <c r="P2726" s="633"/>
      <c r="Q2726" s="633"/>
      <c r="R2726" s="633"/>
      <c r="S2726" s="633"/>
      <c r="T2726" s="633"/>
      <c r="U2726" s="633"/>
      <c r="V2726" s="633"/>
      <c r="W2726" t="s">
        <v>2047</v>
      </c>
    </row>
    <row r="2727" spans="1:23" ht="13.15" customHeight="1" x14ac:dyDescent="0.2">
      <c r="A2727" s="2" t="s">
        <v>2201</v>
      </c>
      <c r="B2727" s="2">
        <f t="shared" si="84"/>
        <v>2022</v>
      </c>
      <c r="C2727" s="2" t="str">
        <f t="shared" si="85"/>
        <v>KZN226</v>
      </c>
      <c r="D2727" s="2">
        <v>109</v>
      </c>
      <c r="F2727" s="633"/>
      <c r="G2727" s="633"/>
      <c r="H2727" s="633"/>
      <c r="I2727" s="633"/>
      <c r="J2727" s="633"/>
      <c r="K2727" s="633"/>
      <c r="L2727" s="633"/>
      <c r="M2727" s="633"/>
      <c r="N2727" s="633"/>
      <c r="O2727" s="633"/>
      <c r="P2727" s="633"/>
      <c r="Q2727" s="633"/>
      <c r="R2727" s="633"/>
      <c r="S2727" s="633"/>
      <c r="T2727" s="633"/>
      <c r="U2727" s="633"/>
      <c r="V2727" s="633"/>
      <c r="W2727" t="s">
        <v>2047</v>
      </c>
    </row>
    <row r="2728" spans="1:23" ht="13.15" customHeight="1" x14ac:dyDescent="0.2">
      <c r="A2728" s="2" t="s">
        <v>2201</v>
      </c>
      <c r="B2728" s="2">
        <f t="shared" si="84"/>
        <v>2022</v>
      </c>
      <c r="C2728" s="2" t="str">
        <f t="shared" si="85"/>
        <v>KZN226</v>
      </c>
      <c r="D2728" s="2">
        <v>110</v>
      </c>
      <c r="F2728" s="633"/>
      <c r="G2728" s="633"/>
      <c r="H2728" s="633"/>
      <c r="I2728" s="633"/>
      <c r="J2728" s="633"/>
      <c r="K2728" s="633"/>
      <c r="L2728" s="633"/>
      <c r="M2728" s="633"/>
      <c r="N2728" s="633"/>
      <c r="O2728" s="633"/>
      <c r="P2728" s="633"/>
      <c r="Q2728" s="633"/>
      <c r="R2728" s="633"/>
      <c r="S2728" s="633"/>
      <c r="T2728" s="633"/>
      <c r="U2728" s="633"/>
      <c r="V2728" s="633"/>
      <c r="W2728" t="s">
        <v>2047</v>
      </c>
    </row>
    <row r="2729" spans="1:23" ht="13.15" customHeight="1" x14ac:dyDescent="0.2">
      <c r="A2729" s="2" t="s">
        <v>2201</v>
      </c>
      <c r="B2729" s="2">
        <f t="shared" si="84"/>
        <v>2022</v>
      </c>
      <c r="C2729" s="2" t="str">
        <f t="shared" si="85"/>
        <v>KZN226</v>
      </c>
      <c r="D2729" s="2">
        <v>111</v>
      </c>
      <c r="F2729" s="633"/>
      <c r="G2729" s="633"/>
      <c r="H2729" s="633"/>
      <c r="I2729" s="633"/>
      <c r="J2729" s="633"/>
      <c r="K2729" s="633"/>
      <c r="L2729" s="633"/>
      <c r="M2729" s="633"/>
      <c r="N2729" s="633"/>
      <c r="O2729" s="633"/>
      <c r="P2729" s="633"/>
      <c r="Q2729" s="633"/>
      <c r="R2729" s="633"/>
      <c r="S2729" s="633"/>
      <c r="T2729" s="633"/>
      <c r="U2729" s="633"/>
      <c r="V2729" s="633"/>
      <c r="W2729" t="s">
        <v>2047</v>
      </c>
    </row>
    <row r="2730" spans="1:23" ht="13.15" customHeight="1" x14ac:dyDescent="0.2">
      <c r="A2730" s="2" t="s">
        <v>2201</v>
      </c>
      <c r="B2730" s="2">
        <f t="shared" si="84"/>
        <v>2022</v>
      </c>
      <c r="C2730" s="2" t="str">
        <f t="shared" si="85"/>
        <v>KZN226</v>
      </c>
      <c r="D2730" s="2">
        <v>112</v>
      </c>
      <c r="F2730" s="633"/>
      <c r="G2730" s="633"/>
      <c r="H2730" s="633"/>
      <c r="I2730" s="633"/>
      <c r="J2730" s="633"/>
      <c r="K2730" s="633"/>
      <c r="L2730" s="633"/>
      <c r="M2730" s="633"/>
      <c r="N2730" s="633"/>
      <c r="O2730" s="633"/>
      <c r="P2730" s="633"/>
      <c r="Q2730" s="633"/>
      <c r="R2730" s="633"/>
      <c r="S2730" s="633"/>
      <c r="T2730" s="633"/>
      <c r="U2730" s="633"/>
      <c r="V2730" s="633"/>
      <c r="W2730" t="s">
        <v>2047</v>
      </c>
    </row>
    <row r="2731" spans="1:23" ht="13.15" customHeight="1" x14ac:dyDescent="0.2">
      <c r="A2731" s="2" t="s">
        <v>2201</v>
      </c>
      <c r="B2731" s="2">
        <f t="shared" si="84"/>
        <v>2022</v>
      </c>
      <c r="C2731" s="2" t="str">
        <f t="shared" si="85"/>
        <v>KZN226</v>
      </c>
      <c r="D2731" s="2">
        <v>113</v>
      </c>
      <c r="F2731" s="633"/>
      <c r="G2731" s="633"/>
      <c r="H2731" s="633"/>
      <c r="I2731" s="633"/>
      <c r="J2731" s="633"/>
      <c r="K2731" s="633"/>
      <c r="L2731" s="633"/>
      <c r="M2731" s="633"/>
      <c r="N2731" s="633"/>
      <c r="O2731" s="633"/>
      <c r="P2731" s="633"/>
      <c r="Q2731" s="633"/>
      <c r="R2731" s="633"/>
      <c r="S2731" s="633"/>
      <c r="T2731" s="633"/>
      <c r="U2731" s="633"/>
      <c r="V2731" s="633"/>
      <c r="W2731" t="s">
        <v>2047</v>
      </c>
    </row>
    <row r="2732" spans="1:23" ht="13.15" customHeight="1" x14ac:dyDescent="0.2">
      <c r="A2732" s="2" t="s">
        <v>2201</v>
      </c>
      <c r="B2732" s="2">
        <f t="shared" si="84"/>
        <v>2022</v>
      </c>
      <c r="C2732" s="2" t="str">
        <f t="shared" si="85"/>
        <v>KZN226</v>
      </c>
      <c r="D2732" s="2">
        <v>114</v>
      </c>
      <c r="F2732" s="633"/>
      <c r="G2732" s="633"/>
      <c r="H2732" s="633"/>
      <c r="I2732" s="633"/>
      <c r="J2732" s="633"/>
      <c r="K2732" s="633"/>
      <c r="L2732" s="633"/>
      <c r="M2732" s="633"/>
      <c r="N2732" s="633"/>
      <c r="O2732" s="633"/>
      <c r="P2732" s="633"/>
      <c r="Q2732" s="633"/>
      <c r="R2732" s="633"/>
      <c r="S2732" s="633"/>
      <c r="T2732" s="633"/>
      <c r="U2732" s="633"/>
      <c r="V2732" s="633"/>
      <c r="W2732" t="s">
        <v>2047</v>
      </c>
    </row>
    <row r="2733" spans="1:23" ht="13.15" customHeight="1" x14ac:dyDescent="0.2">
      <c r="A2733" s="2" t="s">
        <v>2201</v>
      </c>
      <c r="B2733" s="2">
        <f t="shared" si="84"/>
        <v>2022</v>
      </c>
      <c r="C2733" s="2" t="str">
        <f t="shared" si="85"/>
        <v>KZN226</v>
      </c>
      <c r="D2733" s="2">
        <v>115</v>
      </c>
      <c r="F2733" s="633"/>
      <c r="G2733" s="633"/>
      <c r="H2733" s="633"/>
      <c r="I2733" s="633"/>
      <c r="J2733" s="633"/>
      <c r="K2733" s="633"/>
      <c r="L2733" s="633"/>
      <c r="M2733" s="633"/>
      <c r="N2733" s="633"/>
      <c r="O2733" s="633"/>
      <c r="P2733" s="633"/>
      <c r="Q2733" s="633"/>
      <c r="R2733" s="633"/>
      <c r="S2733" s="633"/>
      <c r="T2733" s="633"/>
      <c r="U2733" s="633"/>
      <c r="V2733" s="633"/>
      <c r="W2733" t="s">
        <v>2047</v>
      </c>
    </row>
    <row r="2734" spans="1:23" ht="13.15" customHeight="1" x14ac:dyDescent="0.2">
      <c r="A2734" s="2" t="s">
        <v>2201</v>
      </c>
      <c r="B2734" s="2">
        <f t="shared" si="84"/>
        <v>2022</v>
      </c>
      <c r="C2734" s="2" t="str">
        <f t="shared" si="85"/>
        <v>KZN226</v>
      </c>
      <c r="D2734" s="2">
        <v>116</v>
      </c>
      <c r="F2734" s="633"/>
      <c r="G2734" s="633"/>
      <c r="H2734" s="633"/>
      <c r="I2734" s="633"/>
      <c r="J2734" s="633"/>
      <c r="K2734" s="633"/>
      <c r="L2734" s="633"/>
      <c r="M2734" s="633"/>
      <c r="N2734" s="633"/>
      <c r="O2734" s="633"/>
      <c r="P2734" s="633"/>
      <c r="Q2734" s="633"/>
      <c r="R2734" s="633"/>
      <c r="S2734" s="633"/>
      <c r="T2734" s="633"/>
      <c r="U2734" s="633"/>
      <c r="V2734" s="633"/>
      <c r="W2734" t="s">
        <v>2047</v>
      </c>
    </row>
    <row r="2735" spans="1:23" ht="13.15" customHeight="1" x14ac:dyDescent="0.2">
      <c r="A2735" s="2" t="s">
        <v>2201</v>
      </c>
      <c r="B2735" s="2">
        <f t="shared" si="84"/>
        <v>2022</v>
      </c>
      <c r="C2735" s="2" t="str">
        <f t="shared" si="85"/>
        <v>KZN226</v>
      </c>
      <c r="D2735" s="2">
        <v>117</v>
      </c>
      <c r="F2735" s="633"/>
      <c r="G2735" s="633"/>
      <c r="H2735" s="633"/>
      <c r="I2735" s="633"/>
      <c r="J2735" s="633"/>
      <c r="K2735" s="633"/>
      <c r="L2735" s="633"/>
      <c r="M2735" s="633"/>
      <c r="N2735" s="633"/>
      <c r="O2735" s="633"/>
      <c r="P2735" s="633"/>
      <c r="Q2735" s="633"/>
      <c r="R2735" s="633"/>
      <c r="S2735" s="633"/>
      <c r="T2735" s="633"/>
      <c r="U2735" s="633"/>
      <c r="V2735" s="633"/>
      <c r="W2735" t="s">
        <v>2047</v>
      </c>
    </row>
    <row r="2736" spans="1:23" ht="13.15" customHeight="1" x14ac:dyDescent="0.2">
      <c r="A2736" s="2" t="s">
        <v>2201</v>
      </c>
      <c r="B2736" s="2">
        <f t="shared" si="84"/>
        <v>2022</v>
      </c>
      <c r="C2736" s="2" t="str">
        <f t="shared" si="85"/>
        <v>KZN226</v>
      </c>
      <c r="D2736" s="2">
        <v>118</v>
      </c>
      <c r="F2736" s="633"/>
      <c r="G2736" s="633"/>
      <c r="H2736" s="633"/>
      <c r="I2736" s="633"/>
      <c r="J2736" s="633"/>
      <c r="K2736" s="633"/>
      <c r="L2736" s="633"/>
      <c r="M2736" s="633"/>
      <c r="N2736" s="633"/>
      <c r="O2736" s="633"/>
      <c r="P2736" s="633"/>
      <c r="Q2736" s="633"/>
      <c r="R2736" s="633"/>
      <c r="S2736" s="633"/>
      <c r="T2736" s="633"/>
      <c r="U2736" s="633"/>
      <c r="V2736" s="633"/>
      <c r="W2736" t="s">
        <v>2047</v>
      </c>
    </row>
    <row r="2737" spans="1:23" ht="13.15" customHeight="1" x14ac:dyDescent="0.2">
      <c r="A2737" s="2" t="s">
        <v>2201</v>
      </c>
      <c r="B2737" s="2">
        <f t="shared" si="84"/>
        <v>2022</v>
      </c>
      <c r="C2737" s="2" t="str">
        <f t="shared" si="85"/>
        <v>KZN226</v>
      </c>
      <c r="D2737" s="2">
        <v>119</v>
      </c>
      <c r="F2737" s="633"/>
      <c r="G2737" s="633"/>
      <c r="H2737" s="633"/>
      <c r="I2737" s="633"/>
      <c r="J2737" s="633"/>
      <c r="K2737" s="633"/>
      <c r="L2737" s="633"/>
      <c r="M2737" s="633"/>
      <c r="N2737" s="633"/>
      <c r="O2737" s="633"/>
      <c r="P2737" s="633"/>
      <c r="Q2737" s="633"/>
      <c r="R2737" s="633"/>
      <c r="S2737" s="633"/>
      <c r="T2737" s="633"/>
      <c r="U2737" s="633"/>
      <c r="V2737" s="633"/>
      <c r="W2737" t="s">
        <v>2047</v>
      </c>
    </row>
    <row r="2738" spans="1:23" ht="13.15" customHeight="1" x14ac:dyDescent="0.2">
      <c r="A2738" s="2" t="s">
        <v>2201</v>
      </c>
      <c r="B2738" s="2">
        <f t="shared" si="84"/>
        <v>2022</v>
      </c>
      <c r="C2738" s="2" t="str">
        <f t="shared" si="85"/>
        <v>KZN226</v>
      </c>
      <c r="D2738" s="2">
        <v>120</v>
      </c>
      <c r="F2738" s="633"/>
      <c r="G2738" s="633"/>
      <c r="H2738" s="633"/>
      <c r="I2738" s="633"/>
      <c r="J2738" s="633"/>
      <c r="K2738" s="633"/>
      <c r="L2738" s="633"/>
      <c r="M2738" s="633"/>
      <c r="N2738" s="633"/>
      <c r="O2738" s="633"/>
      <c r="P2738" s="633"/>
      <c r="Q2738" s="633"/>
      <c r="R2738" s="633"/>
      <c r="S2738" s="633"/>
      <c r="T2738" s="633"/>
      <c r="U2738" s="633"/>
      <c r="V2738" s="633"/>
      <c r="W2738" t="s">
        <v>2047</v>
      </c>
    </row>
    <row r="2739" spans="1:23" ht="13.15" customHeight="1" x14ac:dyDescent="0.2">
      <c r="A2739" s="2" t="s">
        <v>2201</v>
      </c>
      <c r="B2739" s="2">
        <f t="shared" si="84"/>
        <v>2022</v>
      </c>
      <c r="C2739" s="2" t="str">
        <f t="shared" si="85"/>
        <v>KZN226</v>
      </c>
      <c r="D2739" s="2">
        <v>121</v>
      </c>
      <c r="F2739" s="633"/>
      <c r="G2739" s="633"/>
      <c r="H2739" s="633"/>
      <c r="I2739" s="633"/>
      <c r="J2739" s="633"/>
      <c r="K2739" s="633"/>
      <c r="L2739" s="633"/>
      <c r="M2739" s="633"/>
      <c r="N2739" s="633"/>
      <c r="O2739" s="633"/>
      <c r="P2739" s="633"/>
      <c r="Q2739" s="633"/>
      <c r="R2739" s="633"/>
      <c r="S2739" s="633"/>
      <c r="T2739" s="633"/>
      <c r="U2739" s="633"/>
      <c r="V2739" s="633"/>
      <c r="W2739" t="s">
        <v>2047</v>
      </c>
    </row>
    <row r="2740" spans="1:23" ht="13.15" customHeight="1" x14ac:dyDescent="0.2">
      <c r="A2740" s="2" t="s">
        <v>2201</v>
      </c>
      <c r="B2740" s="2">
        <f t="shared" si="84"/>
        <v>2022</v>
      </c>
      <c r="C2740" s="2" t="str">
        <f t="shared" si="85"/>
        <v>KZN226</v>
      </c>
      <c r="D2740" s="2">
        <v>122</v>
      </c>
      <c r="F2740" s="633"/>
      <c r="G2740" s="633"/>
      <c r="H2740" s="633"/>
      <c r="I2740" s="633"/>
      <c r="J2740" s="633"/>
      <c r="K2740" s="633"/>
      <c r="L2740" s="633"/>
      <c r="M2740" s="633"/>
      <c r="N2740" s="633"/>
      <c r="O2740" s="633"/>
      <c r="P2740" s="633"/>
      <c r="Q2740" s="633"/>
      <c r="R2740" s="633"/>
      <c r="S2740" s="633"/>
      <c r="T2740" s="633"/>
      <c r="U2740" s="633"/>
      <c r="V2740" s="633"/>
      <c r="W2740" t="s">
        <v>2047</v>
      </c>
    </row>
    <row r="2741" spans="1:23" ht="13.15" customHeight="1" x14ac:dyDescent="0.2">
      <c r="A2741" s="2" t="s">
        <v>2201</v>
      </c>
      <c r="B2741" s="2">
        <f t="shared" si="84"/>
        <v>2022</v>
      </c>
      <c r="C2741" s="2" t="str">
        <f t="shared" si="85"/>
        <v>KZN226</v>
      </c>
      <c r="D2741" s="2">
        <v>123</v>
      </c>
      <c r="F2741" s="633"/>
      <c r="G2741" s="633"/>
      <c r="H2741" s="633"/>
      <c r="I2741" s="633"/>
      <c r="J2741" s="633"/>
      <c r="K2741" s="633"/>
      <c r="L2741" s="633"/>
      <c r="M2741" s="633"/>
      <c r="N2741" s="633"/>
      <c r="O2741" s="633"/>
      <c r="P2741" s="633"/>
      <c r="Q2741" s="633"/>
      <c r="R2741" s="633"/>
      <c r="S2741" s="633"/>
      <c r="T2741" s="633"/>
      <c r="U2741" s="633"/>
      <c r="V2741" s="633"/>
      <c r="W2741" t="s">
        <v>2047</v>
      </c>
    </row>
    <row r="2742" spans="1:23" ht="13.15" customHeight="1" x14ac:dyDescent="0.2">
      <c r="A2742" s="2" t="s">
        <v>2201</v>
      </c>
      <c r="B2742" s="2">
        <f t="shared" si="84"/>
        <v>2022</v>
      </c>
      <c r="C2742" s="2" t="str">
        <f t="shared" si="85"/>
        <v>KZN226</v>
      </c>
      <c r="D2742" s="2">
        <v>124</v>
      </c>
      <c r="F2742" s="633"/>
      <c r="G2742" s="633"/>
      <c r="H2742" s="633"/>
      <c r="I2742" s="633"/>
      <c r="J2742" s="633"/>
      <c r="K2742" s="633"/>
      <c r="L2742" s="633"/>
      <c r="M2742" s="633"/>
      <c r="N2742" s="633"/>
      <c r="O2742" s="633"/>
      <c r="P2742" s="633"/>
      <c r="Q2742" s="633"/>
      <c r="R2742" s="633"/>
      <c r="S2742" s="633"/>
      <c r="T2742" s="633"/>
      <c r="U2742" s="633"/>
      <c r="V2742" s="633"/>
      <c r="W2742" t="s">
        <v>2047</v>
      </c>
    </row>
    <row r="2743" spans="1:23" ht="13.15" customHeight="1" x14ac:dyDescent="0.2">
      <c r="A2743" s="2" t="s">
        <v>2201</v>
      </c>
      <c r="B2743" s="2">
        <f t="shared" si="84"/>
        <v>2022</v>
      </c>
      <c r="C2743" s="2" t="str">
        <f t="shared" si="85"/>
        <v>KZN226</v>
      </c>
      <c r="D2743" s="2">
        <v>125</v>
      </c>
      <c r="F2743" s="633"/>
      <c r="G2743" s="633"/>
      <c r="H2743" s="633"/>
      <c r="I2743" s="633"/>
      <c r="J2743" s="633"/>
      <c r="K2743" s="633"/>
      <c r="L2743" s="633"/>
      <c r="M2743" s="633"/>
      <c r="N2743" s="633"/>
      <c r="O2743" s="633"/>
      <c r="P2743" s="633"/>
      <c r="Q2743" s="633"/>
      <c r="R2743" s="633"/>
      <c r="S2743" s="633"/>
      <c r="T2743" s="633"/>
      <c r="U2743" s="633"/>
      <c r="V2743" s="633"/>
      <c r="W2743" t="s">
        <v>2047</v>
      </c>
    </row>
    <row r="2744" spans="1:23" ht="13.15" customHeight="1" x14ac:dyDescent="0.2">
      <c r="A2744" s="2" t="s">
        <v>2201</v>
      </c>
      <c r="B2744" s="2">
        <f t="shared" si="84"/>
        <v>2022</v>
      </c>
      <c r="C2744" s="2" t="str">
        <f t="shared" si="85"/>
        <v>KZN226</v>
      </c>
      <c r="D2744" s="2">
        <v>126</v>
      </c>
      <c r="F2744" s="633"/>
      <c r="G2744" s="633"/>
      <c r="H2744" s="633"/>
      <c r="I2744" s="633"/>
      <c r="J2744" s="633"/>
      <c r="K2744" s="633"/>
      <c r="L2744" s="633"/>
      <c r="M2744" s="633"/>
      <c r="N2744" s="633"/>
      <c r="O2744" s="633"/>
      <c r="P2744" s="633"/>
      <c r="Q2744" s="633"/>
      <c r="R2744" s="633"/>
      <c r="S2744" s="633"/>
      <c r="T2744" s="633"/>
      <c r="U2744" s="633"/>
      <c r="V2744" s="633"/>
      <c r="W2744" t="s">
        <v>2047</v>
      </c>
    </row>
    <row r="2745" spans="1:23" ht="13.15" customHeight="1" x14ac:dyDescent="0.2">
      <c r="A2745" s="2" t="s">
        <v>2201</v>
      </c>
      <c r="B2745" s="2">
        <f t="shared" si="84"/>
        <v>2022</v>
      </c>
      <c r="C2745" s="2" t="str">
        <f t="shared" si="85"/>
        <v>KZN226</v>
      </c>
      <c r="D2745" s="2">
        <v>127</v>
      </c>
      <c r="F2745" s="633"/>
      <c r="G2745" s="633"/>
      <c r="H2745" s="633"/>
      <c r="I2745" s="633"/>
      <c r="J2745" s="633"/>
      <c r="K2745" s="633"/>
      <c r="L2745" s="633"/>
      <c r="M2745" s="633"/>
      <c r="N2745" s="633"/>
      <c r="O2745" s="633"/>
      <c r="P2745" s="633"/>
      <c r="Q2745" s="633"/>
      <c r="R2745" s="633"/>
      <c r="S2745" s="633"/>
      <c r="T2745" s="633"/>
      <c r="U2745" s="633"/>
      <c r="V2745" s="633"/>
      <c r="W2745" t="s">
        <v>2047</v>
      </c>
    </row>
    <row r="2746" spans="1:23" ht="13.15" customHeight="1" x14ac:dyDescent="0.2">
      <c r="A2746" s="2" t="s">
        <v>2201</v>
      </c>
      <c r="B2746" s="2">
        <f t="shared" si="84"/>
        <v>2022</v>
      </c>
      <c r="C2746" s="2" t="str">
        <f t="shared" si="85"/>
        <v>KZN226</v>
      </c>
      <c r="D2746" s="2">
        <v>128</v>
      </c>
      <c r="F2746" s="633"/>
      <c r="G2746" s="633"/>
      <c r="H2746" s="633"/>
      <c r="I2746" s="633"/>
      <c r="J2746" s="633"/>
      <c r="K2746" s="633"/>
      <c r="L2746" s="633"/>
      <c r="M2746" s="633"/>
      <c r="N2746" s="633"/>
      <c r="O2746" s="633"/>
      <c r="P2746" s="633"/>
      <c r="Q2746" s="633"/>
      <c r="R2746" s="633"/>
      <c r="S2746" s="633"/>
      <c r="T2746" s="633"/>
      <c r="U2746" s="633"/>
      <c r="V2746" s="633"/>
      <c r="W2746" t="s">
        <v>2047</v>
      </c>
    </row>
    <row r="2747" spans="1:23" ht="13.15" customHeight="1" x14ac:dyDescent="0.2">
      <c r="A2747" s="2" t="s">
        <v>2201</v>
      </c>
      <c r="B2747" s="2">
        <f t="shared" si="84"/>
        <v>2022</v>
      </c>
      <c r="C2747" s="2" t="str">
        <f t="shared" si="85"/>
        <v>KZN226</v>
      </c>
      <c r="D2747" s="2">
        <v>129</v>
      </c>
      <c r="F2747" s="633"/>
      <c r="G2747" s="633"/>
      <c r="H2747" s="633"/>
      <c r="I2747" s="633"/>
      <c r="J2747" s="633"/>
      <c r="K2747" s="633"/>
      <c r="L2747" s="633"/>
      <c r="M2747" s="633"/>
      <c r="N2747" s="633"/>
      <c r="O2747" s="633"/>
      <c r="P2747" s="633"/>
      <c r="Q2747" s="633"/>
      <c r="R2747" s="633"/>
      <c r="S2747" s="633"/>
      <c r="T2747" s="633"/>
      <c r="U2747" s="633"/>
      <c r="V2747" s="633"/>
      <c r="W2747" t="s">
        <v>2047</v>
      </c>
    </row>
    <row r="2748" spans="1:23" ht="13.15" customHeight="1" x14ac:dyDescent="0.2">
      <c r="A2748" s="2" t="s">
        <v>2201</v>
      </c>
      <c r="B2748" s="2">
        <f t="shared" si="84"/>
        <v>2022</v>
      </c>
      <c r="C2748" s="2" t="str">
        <f t="shared" si="85"/>
        <v>KZN226</v>
      </c>
      <c r="D2748" s="2">
        <v>130</v>
      </c>
      <c r="F2748" s="633"/>
      <c r="G2748" s="633"/>
      <c r="H2748" s="633"/>
      <c r="I2748" s="633"/>
      <c r="J2748" s="633"/>
      <c r="K2748" s="633"/>
      <c r="L2748" s="633"/>
      <c r="M2748" s="633"/>
      <c r="N2748" s="633"/>
      <c r="O2748" s="633"/>
      <c r="P2748" s="633"/>
      <c r="Q2748" s="633"/>
      <c r="R2748" s="633"/>
      <c r="S2748" s="633"/>
      <c r="T2748" s="633"/>
      <c r="U2748" s="633"/>
      <c r="V2748" s="633"/>
      <c r="W2748" t="s">
        <v>2047</v>
      </c>
    </row>
    <row r="2749" spans="1:23" ht="13.15" customHeight="1" x14ac:dyDescent="0.2">
      <c r="A2749" s="2" t="s">
        <v>2201</v>
      </c>
      <c r="B2749" s="2">
        <f t="shared" si="84"/>
        <v>2022</v>
      </c>
      <c r="C2749" s="2" t="str">
        <f t="shared" si="85"/>
        <v>KZN226</v>
      </c>
      <c r="D2749" s="2">
        <v>131</v>
      </c>
      <c r="F2749" s="633"/>
      <c r="G2749" s="633"/>
      <c r="H2749" s="633"/>
      <c r="I2749" s="633"/>
      <c r="J2749" s="633"/>
      <c r="K2749" s="633"/>
      <c r="L2749" s="633"/>
      <c r="M2749" s="633"/>
      <c r="N2749" s="633"/>
      <c r="O2749" s="633"/>
      <c r="P2749" s="633"/>
      <c r="Q2749" s="633"/>
      <c r="R2749" s="633"/>
      <c r="S2749" s="633"/>
      <c r="T2749" s="633"/>
      <c r="U2749" s="633"/>
      <c r="V2749" s="633"/>
      <c r="W2749" t="s">
        <v>2047</v>
      </c>
    </row>
    <row r="2750" spans="1:23" ht="13.15" customHeight="1" x14ac:dyDescent="0.2">
      <c r="A2750" s="2" t="s">
        <v>2201</v>
      </c>
      <c r="B2750" s="2">
        <f t="shared" si="84"/>
        <v>2022</v>
      </c>
      <c r="C2750" s="2" t="str">
        <f t="shared" si="85"/>
        <v>KZN226</v>
      </c>
      <c r="D2750" s="2">
        <v>132</v>
      </c>
      <c r="F2750" s="633"/>
      <c r="G2750" s="633"/>
      <c r="H2750" s="633"/>
      <c r="I2750" s="633"/>
      <c r="J2750" s="633"/>
      <c r="K2750" s="633"/>
      <c r="L2750" s="633"/>
      <c r="M2750" s="633"/>
      <c r="N2750" s="633"/>
      <c r="O2750" s="633"/>
      <c r="P2750" s="633"/>
      <c r="Q2750" s="633"/>
      <c r="R2750" s="633"/>
      <c r="S2750" s="633"/>
      <c r="T2750" s="633"/>
      <c r="U2750" s="633"/>
      <c r="V2750" s="633"/>
      <c r="W2750" t="s">
        <v>2047</v>
      </c>
    </row>
    <row r="2751" spans="1:23" ht="13.15" customHeight="1" x14ac:dyDescent="0.2">
      <c r="A2751" s="2" t="s">
        <v>2201</v>
      </c>
      <c r="B2751" s="2">
        <f t="shared" si="84"/>
        <v>2022</v>
      </c>
      <c r="C2751" s="2" t="str">
        <f t="shared" si="85"/>
        <v>KZN226</v>
      </c>
      <c r="D2751" s="2">
        <v>133</v>
      </c>
      <c r="F2751" s="633"/>
      <c r="G2751" s="633"/>
      <c r="H2751" s="633"/>
      <c r="I2751" s="633"/>
      <c r="J2751" s="633"/>
      <c r="K2751" s="633"/>
      <c r="L2751" s="633"/>
      <c r="M2751" s="633"/>
      <c r="N2751" s="633"/>
      <c r="O2751" s="633"/>
      <c r="P2751" s="633"/>
      <c r="Q2751" s="633"/>
      <c r="R2751" s="633"/>
      <c r="S2751" s="633"/>
      <c r="T2751" s="633"/>
      <c r="U2751" s="633"/>
      <c r="V2751" s="633"/>
      <c r="W2751" t="s">
        <v>2047</v>
      </c>
    </row>
    <row r="2752" spans="1:23" ht="13.15" customHeight="1" x14ac:dyDescent="0.2">
      <c r="A2752" s="2" t="s">
        <v>2201</v>
      </c>
      <c r="B2752" s="2">
        <f t="shared" si="84"/>
        <v>2022</v>
      </c>
      <c r="C2752" s="2" t="str">
        <f t="shared" si="85"/>
        <v>KZN226</v>
      </c>
      <c r="D2752" s="2">
        <v>134</v>
      </c>
      <c r="F2752" s="633"/>
      <c r="G2752" s="633"/>
      <c r="H2752" s="633"/>
      <c r="I2752" s="633"/>
      <c r="J2752" s="633"/>
      <c r="K2752" s="633"/>
      <c r="L2752" s="633"/>
      <c r="M2752" s="633"/>
      <c r="N2752" s="633"/>
      <c r="O2752" s="633"/>
      <c r="P2752" s="633"/>
      <c r="Q2752" s="633"/>
      <c r="R2752" s="633"/>
      <c r="S2752" s="633"/>
      <c r="T2752" s="633"/>
      <c r="U2752" s="633"/>
      <c r="V2752" s="633"/>
      <c r="W2752" t="s">
        <v>2047</v>
      </c>
    </row>
    <row r="2753" spans="1:23" ht="13.15" customHeight="1" x14ac:dyDescent="0.2">
      <c r="A2753" s="2" t="s">
        <v>2201</v>
      </c>
      <c r="B2753" s="2">
        <f t="shared" si="84"/>
        <v>2022</v>
      </c>
      <c r="C2753" s="2" t="str">
        <f t="shared" si="85"/>
        <v>KZN226</v>
      </c>
      <c r="D2753" s="2">
        <v>135</v>
      </c>
      <c r="F2753" s="633"/>
      <c r="G2753" s="633"/>
      <c r="H2753" s="633"/>
      <c r="I2753" s="633"/>
      <c r="J2753" s="633"/>
      <c r="K2753" s="633"/>
      <c r="L2753" s="633"/>
      <c r="M2753" s="633"/>
      <c r="N2753" s="633"/>
      <c r="O2753" s="633"/>
      <c r="P2753" s="633"/>
      <c r="Q2753" s="633"/>
      <c r="R2753" s="633"/>
      <c r="S2753" s="633"/>
      <c r="T2753" s="633"/>
      <c r="U2753" s="633"/>
      <c r="V2753" s="633"/>
      <c r="W2753" t="s">
        <v>2047</v>
      </c>
    </row>
    <row r="2754" spans="1:23" ht="13.15" customHeight="1" x14ac:dyDescent="0.2">
      <c r="A2754" s="2" t="s">
        <v>2201</v>
      </c>
      <c r="B2754" s="2">
        <f t="shared" si="84"/>
        <v>2022</v>
      </c>
      <c r="C2754" s="2" t="str">
        <f t="shared" si="85"/>
        <v>KZN226</v>
      </c>
      <c r="D2754" s="2">
        <v>136</v>
      </c>
      <c r="F2754" s="633"/>
      <c r="G2754" s="633"/>
      <c r="H2754" s="633"/>
      <c r="I2754" s="633"/>
      <c r="J2754" s="633"/>
      <c r="K2754" s="633"/>
      <c r="L2754" s="633"/>
      <c r="M2754" s="633"/>
      <c r="N2754" s="633"/>
      <c r="O2754" s="633"/>
      <c r="P2754" s="633"/>
      <c r="Q2754" s="633"/>
      <c r="R2754" s="633"/>
      <c r="S2754" s="633"/>
      <c r="T2754" s="633"/>
      <c r="U2754" s="633"/>
      <c r="V2754" s="633"/>
      <c r="W2754" t="s">
        <v>2047</v>
      </c>
    </row>
    <row r="2755" spans="1:23" ht="13.15" customHeight="1" x14ac:dyDescent="0.2">
      <c r="A2755" s="2" t="s">
        <v>2201</v>
      </c>
      <c r="B2755" s="2">
        <f t="shared" si="84"/>
        <v>2022</v>
      </c>
      <c r="C2755" s="2" t="str">
        <f t="shared" si="85"/>
        <v>KZN226</v>
      </c>
      <c r="D2755" s="2">
        <v>137</v>
      </c>
      <c r="F2755" s="633"/>
      <c r="G2755" s="633"/>
      <c r="H2755" s="633"/>
      <c r="I2755" s="633"/>
      <c r="J2755" s="633"/>
      <c r="K2755" s="633"/>
      <c r="L2755" s="633"/>
      <c r="M2755" s="633"/>
      <c r="N2755" s="633"/>
      <c r="O2755" s="633"/>
      <c r="P2755" s="633"/>
      <c r="Q2755" s="633"/>
      <c r="R2755" s="633"/>
      <c r="S2755" s="633"/>
      <c r="T2755" s="633"/>
      <c r="U2755" s="633"/>
      <c r="V2755" s="633"/>
      <c r="W2755" t="s">
        <v>2047</v>
      </c>
    </row>
    <row r="2756" spans="1:23" ht="13.15" customHeight="1" x14ac:dyDescent="0.2">
      <c r="A2756" s="2" t="s">
        <v>2201</v>
      </c>
      <c r="B2756" s="2">
        <f t="shared" si="84"/>
        <v>2022</v>
      </c>
      <c r="C2756" s="2" t="str">
        <f t="shared" si="85"/>
        <v>KZN226</v>
      </c>
      <c r="D2756" s="2">
        <v>138</v>
      </c>
      <c r="F2756" s="633"/>
      <c r="G2756" s="633"/>
      <c r="H2756" s="633"/>
      <c r="I2756" s="633"/>
      <c r="J2756" s="633"/>
      <c r="K2756" s="633"/>
      <c r="L2756" s="633"/>
      <c r="M2756" s="633"/>
      <c r="N2756" s="633"/>
      <c r="O2756" s="633"/>
      <c r="P2756" s="633"/>
      <c r="Q2756" s="633"/>
      <c r="R2756" s="633"/>
      <c r="S2756" s="633"/>
      <c r="T2756" s="633"/>
      <c r="U2756" s="633"/>
      <c r="V2756" s="633"/>
      <c r="W2756" t="s">
        <v>2047</v>
      </c>
    </row>
    <row r="2757" spans="1:23" ht="13.15" customHeight="1" x14ac:dyDescent="0.2">
      <c r="A2757" s="2" t="s">
        <v>2202</v>
      </c>
      <c r="B2757" s="2">
        <f t="shared" si="84"/>
        <v>2022</v>
      </c>
      <c r="C2757" s="2" t="str">
        <f t="shared" si="85"/>
        <v>KZN226</v>
      </c>
      <c r="D2757" s="591">
        <v>0</v>
      </c>
      <c r="E2757" s="2">
        <v>1</v>
      </c>
      <c r="F2757" s="2" t="s">
        <v>570</v>
      </c>
      <c r="G2757" s="589"/>
      <c r="H2757" s="589"/>
      <c r="I2757" s="589"/>
      <c r="J2757" s="589"/>
      <c r="K2757" s="589"/>
      <c r="L2757" s="589"/>
      <c r="M2757" s="589"/>
      <c r="N2757" s="589"/>
      <c r="O2757" s="589"/>
      <c r="P2757" s="589"/>
      <c r="Q2757" s="589"/>
      <c r="R2757" s="589"/>
      <c r="W2757" t="s">
        <v>2047</v>
      </c>
    </row>
    <row r="2758" spans="1:23" ht="13.15" customHeight="1" x14ac:dyDescent="0.2">
      <c r="A2758" s="2" t="s">
        <v>2202</v>
      </c>
      <c r="B2758" s="2">
        <f t="shared" si="84"/>
        <v>2022</v>
      </c>
      <c r="C2758" s="2" t="str">
        <f t="shared" si="85"/>
        <v>KZN226</v>
      </c>
      <c r="D2758" s="591">
        <v>0</v>
      </c>
      <c r="E2758" s="2">
        <v>2</v>
      </c>
      <c r="F2758" s="622" t="s">
        <v>467</v>
      </c>
      <c r="G2758" s="589"/>
      <c r="H2758" s="589"/>
      <c r="I2758" s="589"/>
      <c r="J2758" s="589"/>
      <c r="K2758" s="589"/>
      <c r="L2758" s="589"/>
      <c r="M2758" s="589"/>
      <c r="N2758" s="589"/>
      <c r="O2758" s="589"/>
      <c r="P2758" s="589"/>
      <c r="Q2758" s="589"/>
      <c r="R2758" s="589"/>
      <c r="W2758" t="s">
        <v>2047</v>
      </c>
    </row>
    <row r="2759" spans="1:23" ht="13.15" customHeight="1" x14ac:dyDescent="0.2">
      <c r="A2759" s="2" t="s">
        <v>2202</v>
      </c>
      <c r="B2759" s="2">
        <f t="shared" si="84"/>
        <v>2022</v>
      </c>
      <c r="C2759" s="2" t="str">
        <f t="shared" si="85"/>
        <v>KZN226</v>
      </c>
      <c r="D2759" s="591">
        <v>0</v>
      </c>
      <c r="E2759" s="2">
        <v>3</v>
      </c>
      <c r="F2759" s="622" t="s">
        <v>1402</v>
      </c>
      <c r="G2759" s="589"/>
      <c r="H2759" s="589"/>
      <c r="I2759" s="589"/>
      <c r="J2759" s="589"/>
      <c r="K2759" s="589"/>
      <c r="L2759" s="589"/>
      <c r="M2759" s="589"/>
      <c r="N2759" s="589"/>
      <c r="O2759" s="589"/>
      <c r="P2759" s="589"/>
      <c r="Q2759" s="589"/>
      <c r="R2759" s="589"/>
      <c r="W2759" t="s">
        <v>2047</v>
      </c>
    </row>
    <row r="2760" spans="1:23" ht="13.15" customHeight="1" x14ac:dyDescent="0.2">
      <c r="A2760" s="2" t="s">
        <v>2202</v>
      </c>
      <c r="B2760" s="2">
        <f t="shared" si="84"/>
        <v>2022</v>
      </c>
      <c r="C2760" s="2" t="str">
        <f t="shared" si="85"/>
        <v>KZN226</v>
      </c>
      <c r="D2760" s="591">
        <v>0</v>
      </c>
      <c r="E2760" s="2">
        <v>4</v>
      </c>
      <c r="F2760" s="622" t="s">
        <v>1557</v>
      </c>
      <c r="G2760" s="589"/>
      <c r="H2760" s="589"/>
      <c r="I2760" s="589"/>
      <c r="J2760" s="589"/>
      <c r="K2760" s="589"/>
      <c r="L2760" s="589"/>
      <c r="M2760" s="589"/>
      <c r="N2760" s="589"/>
      <c r="O2760" s="589"/>
      <c r="P2760" s="589"/>
      <c r="Q2760" s="589"/>
      <c r="R2760" s="589"/>
      <c r="W2760" t="s">
        <v>2047</v>
      </c>
    </row>
    <row r="2761" spans="1:23" ht="13.15" customHeight="1" x14ac:dyDescent="0.2">
      <c r="A2761" s="2" t="s">
        <v>2202</v>
      </c>
      <c r="B2761" s="2">
        <f t="shared" si="84"/>
        <v>2022</v>
      </c>
      <c r="C2761" s="2" t="str">
        <f t="shared" si="85"/>
        <v>KZN226</v>
      </c>
      <c r="D2761" s="591">
        <v>0</v>
      </c>
      <c r="E2761" s="2">
        <v>5</v>
      </c>
      <c r="F2761" s="622" t="s">
        <v>1558</v>
      </c>
      <c r="G2761" s="589"/>
      <c r="H2761" s="589"/>
      <c r="I2761" s="589"/>
      <c r="J2761" s="589"/>
      <c r="K2761" s="589"/>
      <c r="L2761" s="589"/>
      <c r="M2761" s="589"/>
      <c r="N2761" s="589"/>
      <c r="O2761" s="589"/>
      <c r="P2761" s="589"/>
      <c r="Q2761" s="589"/>
      <c r="R2761" s="589"/>
      <c r="W2761" t="s">
        <v>2047</v>
      </c>
    </row>
    <row r="2762" spans="1:23" ht="13.15" customHeight="1" x14ac:dyDescent="0.2">
      <c r="A2762" s="2" t="s">
        <v>2202</v>
      </c>
      <c r="B2762" s="2">
        <f t="shared" si="84"/>
        <v>2022</v>
      </c>
      <c r="C2762" s="2" t="str">
        <f t="shared" si="85"/>
        <v>KZN226</v>
      </c>
      <c r="D2762" s="591">
        <v>0</v>
      </c>
      <c r="E2762" s="2">
        <v>6</v>
      </c>
      <c r="F2762" s="622" t="s">
        <v>803</v>
      </c>
      <c r="G2762" s="589"/>
      <c r="H2762" s="589"/>
      <c r="I2762" s="589"/>
      <c r="J2762" s="589"/>
      <c r="K2762" s="589"/>
      <c r="L2762" s="589"/>
      <c r="M2762" s="589"/>
      <c r="N2762" s="589"/>
      <c r="O2762" s="589"/>
      <c r="P2762" s="589"/>
      <c r="Q2762" s="589"/>
      <c r="R2762" s="589"/>
      <c r="W2762" t="s">
        <v>2047</v>
      </c>
    </row>
    <row r="2763" spans="1:23" ht="13.15" customHeight="1" x14ac:dyDescent="0.2">
      <c r="A2763" s="2" t="s">
        <v>2202</v>
      </c>
      <c r="B2763" s="2">
        <f t="shared" si="84"/>
        <v>2022</v>
      </c>
      <c r="C2763" s="2" t="str">
        <f t="shared" si="85"/>
        <v>KZN226</v>
      </c>
      <c r="D2763" s="591">
        <v>0</v>
      </c>
      <c r="E2763" s="2">
        <v>7</v>
      </c>
      <c r="F2763" s="622" t="s">
        <v>902</v>
      </c>
      <c r="G2763" s="589"/>
      <c r="H2763" s="589"/>
      <c r="I2763" s="589"/>
      <c r="J2763" s="589"/>
      <c r="K2763" s="589"/>
      <c r="L2763" s="589"/>
      <c r="M2763" s="589"/>
      <c r="N2763" s="589"/>
      <c r="O2763" s="589"/>
      <c r="P2763" s="589"/>
      <c r="Q2763" s="589"/>
      <c r="R2763" s="589"/>
      <c r="W2763" t="s">
        <v>2047</v>
      </c>
    </row>
    <row r="2764" spans="1:23" ht="13.15" customHeight="1" x14ac:dyDescent="0.2">
      <c r="A2764" s="2" t="s">
        <v>2202</v>
      </c>
      <c r="B2764" s="2">
        <f t="shared" si="84"/>
        <v>2022</v>
      </c>
      <c r="C2764" s="2" t="str">
        <f t="shared" si="85"/>
        <v>KZN226</v>
      </c>
      <c r="D2764" s="591">
        <v>0</v>
      </c>
      <c r="E2764" s="2">
        <v>8</v>
      </c>
      <c r="F2764" s="622" t="s">
        <v>805</v>
      </c>
      <c r="G2764" s="589"/>
      <c r="H2764" s="589"/>
      <c r="I2764" s="589"/>
      <c r="J2764" s="589"/>
      <c r="K2764" s="589"/>
      <c r="L2764" s="589"/>
      <c r="M2764" s="589"/>
      <c r="N2764" s="589"/>
      <c r="O2764" s="589"/>
      <c r="P2764" s="589"/>
      <c r="Q2764" s="589"/>
      <c r="R2764" s="589"/>
      <c r="W2764" t="s">
        <v>2047</v>
      </c>
    </row>
    <row r="2765" spans="1:23" ht="13.15" customHeight="1" x14ac:dyDescent="0.2">
      <c r="A2765" s="2" t="s">
        <v>2202</v>
      </c>
      <c r="B2765" s="2">
        <f t="shared" si="84"/>
        <v>2022</v>
      </c>
      <c r="C2765" s="2" t="str">
        <f t="shared" si="85"/>
        <v>KZN226</v>
      </c>
      <c r="D2765" s="591">
        <v>0</v>
      </c>
      <c r="E2765" s="2">
        <v>9</v>
      </c>
      <c r="F2765" s="622" t="s">
        <v>1404</v>
      </c>
      <c r="G2765" s="589"/>
      <c r="H2765" s="589"/>
      <c r="I2765" s="589"/>
      <c r="J2765" s="589"/>
      <c r="K2765" s="589"/>
      <c r="L2765" s="589"/>
      <c r="M2765" s="589"/>
      <c r="N2765" s="589"/>
      <c r="O2765" s="589"/>
      <c r="P2765" s="589"/>
      <c r="Q2765" s="589"/>
      <c r="R2765" s="589"/>
      <c r="W2765" t="s">
        <v>2047</v>
      </c>
    </row>
    <row r="2766" spans="1:23" ht="13.15" customHeight="1" x14ac:dyDescent="0.2">
      <c r="A2766" s="2" t="s">
        <v>2202</v>
      </c>
      <c r="B2766" s="2">
        <f t="shared" si="84"/>
        <v>2022</v>
      </c>
      <c r="C2766" s="2" t="str">
        <f t="shared" si="85"/>
        <v>KZN226</v>
      </c>
      <c r="D2766" s="591">
        <v>0</v>
      </c>
      <c r="E2766" s="2">
        <v>10</v>
      </c>
      <c r="F2766" s="622" t="s">
        <v>403</v>
      </c>
      <c r="G2766" s="589"/>
      <c r="H2766" s="589"/>
      <c r="I2766" s="589"/>
      <c r="J2766" s="589"/>
      <c r="K2766" s="589"/>
      <c r="L2766" s="589"/>
      <c r="M2766" s="589"/>
      <c r="N2766" s="589"/>
      <c r="O2766" s="589"/>
      <c r="P2766" s="589"/>
      <c r="Q2766" s="589"/>
      <c r="R2766" s="589"/>
      <c r="W2766" t="s">
        <v>2047</v>
      </c>
    </row>
    <row r="2767" spans="1:23" ht="13.15" customHeight="1" x14ac:dyDescent="0.2">
      <c r="A2767" s="2" t="s">
        <v>2202</v>
      </c>
      <c r="B2767" s="2">
        <f t="shared" si="84"/>
        <v>2022</v>
      </c>
      <c r="C2767" s="2" t="str">
        <f t="shared" si="85"/>
        <v>KZN226</v>
      </c>
      <c r="D2767" s="591">
        <v>0</v>
      </c>
      <c r="E2767" s="2">
        <v>11</v>
      </c>
      <c r="F2767" s="622" t="s">
        <v>404</v>
      </c>
      <c r="G2767" s="589"/>
      <c r="H2767" s="589"/>
      <c r="I2767" s="589"/>
      <c r="J2767" s="589"/>
      <c r="K2767" s="589"/>
      <c r="L2767" s="589"/>
      <c r="M2767" s="589"/>
      <c r="N2767" s="589"/>
      <c r="O2767" s="589"/>
      <c r="P2767" s="589"/>
      <c r="Q2767" s="589"/>
      <c r="R2767" s="589"/>
      <c r="W2767" t="s">
        <v>2047</v>
      </c>
    </row>
    <row r="2768" spans="1:23" ht="13.15" customHeight="1" x14ac:dyDescent="0.2">
      <c r="A2768" s="2" t="s">
        <v>2202</v>
      </c>
      <c r="B2768" s="2">
        <f t="shared" si="84"/>
        <v>2022</v>
      </c>
      <c r="C2768" s="2" t="str">
        <f t="shared" si="85"/>
        <v>KZN226</v>
      </c>
      <c r="D2768" s="591">
        <v>0</v>
      </c>
      <c r="E2768" s="2">
        <v>12</v>
      </c>
      <c r="F2768" s="622" t="s">
        <v>1335</v>
      </c>
      <c r="G2768" s="589"/>
      <c r="H2768" s="589"/>
      <c r="I2768" s="589"/>
      <c r="J2768" s="589"/>
      <c r="K2768" s="589"/>
      <c r="L2768" s="589"/>
      <c r="M2768" s="589"/>
      <c r="N2768" s="589"/>
      <c r="O2768" s="589"/>
      <c r="P2768" s="589"/>
      <c r="Q2768" s="589"/>
      <c r="R2768" s="589"/>
      <c r="W2768" t="s">
        <v>2047</v>
      </c>
    </row>
    <row r="2769" spans="1:23" ht="13.15" customHeight="1" x14ac:dyDescent="0.2">
      <c r="A2769" s="2" t="s">
        <v>2202</v>
      </c>
      <c r="B2769" s="2">
        <f t="shared" si="84"/>
        <v>2022</v>
      </c>
      <c r="C2769" s="2" t="str">
        <f t="shared" si="85"/>
        <v>KZN226</v>
      </c>
      <c r="D2769" s="591">
        <v>0</v>
      </c>
      <c r="E2769" s="2">
        <v>13</v>
      </c>
      <c r="F2769" s="622" t="s">
        <v>405</v>
      </c>
      <c r="G2769" s="589"/>
      <c r="H2769" s="589"/>
      <c r="I2769" s="589"/>
      <c r="J2769" s="589"/>
      <c r="K2769" s="589"/>
      <c r="L2769" s="589"/>
      <c r="M2769" s="589"/>
      <c r="N2769" s="589"/>
      <c r="O2769" s="589"/>
      <c r="P2769" s="589"/>
      <c r="Q2769" s="589"/>
      <c r="R2769" s="589"/>
      <c r="W2769" t="s">
        <v>2047</v>
      </c>
    </row>
    <row r="2770" spans="1:23" ht="13.15" customHeight="1" x14ac:dyDescent="0.2">
      <c r="A2770" s="2" t="s">
        <v>2202</v>
      </c>
      <c r="B2770" s="2">
        <f t="shared" si="84"/>
        <v>2022</v>
      </c>
      <c r="C2770" s="2" t="str">
        <f t="shared" si="85"/>
        <v>KZN226</v>
      </c>
      <c r="D2770" s="591">
        <v>0</v>
      </c>
      <c r="E2770" s="2">
        <v>14</v>
      </c>
      <c r="F2770" s="622" t="s">
        <v>406</v>
      </c>
      <c r="G2770" s="589"/>
      <c r="H2770" s="589"/>
      <c r="I2770" s="589"/>
      <c r="J2770" s="589"/>
      <c r="K2770" s="589"/>
      <c r="L2770" s="589"/>
      <c r="M2770" s="589"/>
      <c r="N2770" s="589"/>
      <c r="O2770" s="589"/>
      <c r="P2770" s="589"/>
      <c r="Q2770" s="589"/>
      <c r="R2770" s="589"/>
      <c r="W2770" t="s">
        <v>2047</v>
      </c>
    </row>
    <row r="2771" spans="1:23" ht="13.15" customHeight="1" x14ac:dyDescent="0.2">
      <c r="A2771" s="2" t="s">
        <v>2202</v>
      </c>
      <c r="B2771" s="2">
        <f t="shared" si="84"/>
        <v>2022</v>
      </c>
      <c r="C2771" s="2" t="str">
        <f t="shared" si="85"/>
        <v>KZN226</v>
      </c>
      <c r="D2771" s="591">
        <v>0</v>
      </c>
      <c r="E2771" s="2">
        <v>15</v>
      </c>
      <c r="F2771" s="622" t="s">
        <v>1316</v>
      </c>
      <c r="G2771" s="589"/>
      <c r="H2771" s="589"/>
      <c r="I2771" s="589"/>
      <c r="J2771" s="589"/>
      <c r="K2771" s="589"/>
      <c r="L2771" s="589"/>
      <c r="M2771" s="589"/>
      <c r="N2771" s="589"/>
      <c r="O2771" s="589"/>
      <c r="P2771" s="589"/>
      <c r="Q2771" s="589"/>
      <c r="R2771" s="589"/>
      <c r="W2771" t="s">
        <v>2047</v>
      </c>
    </row>
    <row r="2772" spans="1:23" ht="13.15" customHeight="1" x14ac:dyDescent="0.2">
      <c r="A2772" s="2" t="s">
        <v>2202</v>
      </c>
      <c r="B2772" s="2">
        <f t="shared" si="84"/>
        <v>2022</v>
      </c>
      <c r="C2772" s="2" t="str">
        <f t="shared" si="85"/>
        <v>KZN226</v>
      </c>
      <c r="D2772" s="591">
        <v>0</v>
      </c>
      <c r="E2772" s="2">
        <v>16</v>
      </c>
      <c r="F2772" s="622" t="s">
        <v>29</v>
      </c>
      <c r="G2772" s="589"/>
      <c r="H2772" s="589"/>
      <c r="I2772" s="589"/>
      <c r="J2772" s="589"/>
      <c r="K2772" s="589"/>
      <c r="L2772" s="589"/>
      <c r="M2772" s="589"/>
      <c r="N2772" s="589"/>
      <c r="O2772" s="589"/>
      <c r="P2772" s="589"/>
      <c r="Q2772" s="589"/>
      <c r="R2772" s="589"/>
      <c r="W2772" t="s">
        <v>2047</v>
      </c>
    </row>
    <row r="2773" spans="1:23" ht="13.15" customHeight="1" x14ac:dyDescent="0.2">
      <c r="A2773" s="2" t="s">
        <v>2202</v>
      </c>
      <c r="B2773" s="2">
        <f t="shared" si="84"/>
        <v>2022</v>
      </c>
      <c r="C2773" s="2" t="str">
        <f t="shared" si="85"/>
        <v>KZN226</v>
      </c>
      <c r="D2773" s="591">
        <v>0</v>
      </c>
      <c r="E2773" s="2">
        <v>17</v>
      </c>
      <c r="F2773" s="622" t="s">
        <v>1360</v>
      </c>
      <c r="G2773" s="589"/>
      <c r="H2773" s="589"/>
      <c r="I2773" s="589"/>
      <c r="J2773" s="589"/>
      <c r="K2773" s="589"/>
      <c r="L2773" s="589"/>
      <c r="M2773" s="589"/>
      <c r="N2773" s="589"/>
      <c r="O2773" s="589"/>
      <c r="P2773" s="589"/>
      <c r="Q2773" s="589"/>
      <c r="R2773" s="589"/>
      <c r="W2773" t="s">
        <v>2047</v>
      </c>
    </row>
    <row r="2774" spans="1:23" ht="13.15" customHeight="1" x14ac:dyDescent="0.2">
      <c r="A2774" s="2" t="s">
        <v>2202</v>
      </c>
      <c r="B2774" s="2">
        <f t="shared" si="84"/>
        <v>2022</v>
      </c>
      <c r="C2774" s="2" t="str">
        <f t="shared" si="85"/>
        <v>KZN226</v>
      </c>
      <c r="D2774" s="591">
        <v>0</v>
      </c>
      <c r="E2774" s="2">
        <v>18</v>
      </c>
      <c r="F2774" s="622" t="s">
        <v>407</v>
      </c>
      <c r="G2774" s="589"/>
      <c r="H2774" s="589"/>
      <c r="I2774" s="589"/>
      <c r="J2774" s="589"/>
      <c r="K2774" s="589"/>
      <c r="L2774" s="589"/>
      <c r="M2774" s="589"/>
      <c r="N2774" s="589"/>
      <c r="O2774" s="589"/>
      <c r="P2774" s="589"/>
      <c r="Q2774" s="589"/>
      <c r="R2774" s="589"/>
      <c r="W2774" t="s">
        <v>2047</v>
      </c>
    </row>
    <row r="2775" spans="1:23" ht="13.15" customHeight="1" x14ac:dyDescent="0.2">
      <c r="A2775" s="2" t="s">
        <v>2202</v>
      </c>
      <c r="B2775" s="2">
        <f t="shared" si="84"/>
        <v>2022</v>
      </c>
      <c r="C2775" s="2" t="str">
        <f t="shared" si="85"/>
        <v>KZN226</v>
      </c>
      <c r="D2775" s="591">
        <v>0</v>
      </c>
      <c r="E2775" s="2">
        <v>19</v>
      </c>
      <c r="F2775" s="623" t="s">
        <v>903</v>
      </c>
      <c r="G2775" s="589"/>
      <c r="H2775" s="589"/>
      <c r="I2775" s="589"/>
      <c r="J2775" s="589"/>
      <c r="K2775" s="589"/>
      <c r="L2775" s="589"/>
      <c r="M2775" s="589"/>
      <c r="N2775" s="589"/>
      <c r="O2775" s="589"/>
      <c r="P2775" s="589"/>
      <c r="Q2775" s="589"/>
      <c r="R2775" s="589"/>
      <c r="W2775" t="s">
        <v>2047</v>
      </c>
    </row>
    <row r="2776" spans="1:23" ht="13.15" customHeight="1" x14ac:dyDescent="0.2">
      <c r="A2776" s="2" t="s">
        <v>2202</v>
      </c>
      <c r="B2776" s="2">
        <f t="shared" si="84"/>
        <v>2022</v>
      </c>
      <c r="C2776" s="2" t="str">
        <f t="shared" si="85"/>
        <v>KZN226</v>
      </c>
      <c r="D2776" s="591">
        <v>0</v>
      </c>
      <c r="E2776" s="2">
        <v>20</v>
      </c>
      <c r="F2776" s="623"/>
      <c r="G2776" s="589"/>
      <c r="H2776" s="589"/>
      <c r="I2776" s="589"/>
      <c r="J2776" s="589"/>
      <c r="K2776" s="589"/>
      <c r="L2776" s="589"/>
      <c r="M2776" s="589"/>
      <c r="N2776" s="589"/>
      <c r="O2776" s="589"/>
      <c r="P2776" s="589"/>
      <c r="Q2776" s="589"/>
      <c r="R2776" s="589"/>
      <c r="W2776" t="s">
        <v>2047</v>
      </c>
    </row>
    <row r="2777" spans="1:23" ht="13.15" customHeight="1" x14ac:dyDescent="0.2">
      <c r="A2777" s="2" t="s">
        <v>2202</v>
      </c>
      <c r="B2777" s="2">
        <f t="shared" si="84"/>
        <v>2022</v>
      </c>
      <c r="C2777" s="2" t="str">
        <f t="shared" si="85"/>
        <v>KZN226</v>
      </c>
      <c r="D2777" s="591">
        <v>0</v>
      </c>
      <c r="E2777" s="2">
        <v>21</v>
      </c>
      <c r="F2777" s="623" t="s">
        <v>1440</v>
      </c>
      <c r="G2777" s="589"/>
      <c r="H2777" s="589"/>
      <c r="I2777" s="589"/>
      <c r="J2777" s="589"/>
      <c r="K2777" s="589"/>
      <c r="L2777" s="589"/>
      <c r="M2777" s="589"/>
      <c r="N2777" s="589"/>
      <c r="O2777" s="589"/>
      <c r="P2777" s="589"/>
      <c r="Q2777" s="589"/>
      <c r="R2777" s="589"/>
      <c r="W2777" t="s">
        <v>2047</v>
      </c>
    </row>
    <row r="2778" spans="1:23" ht="13.15" customHeight="1" x14ac:dyDescent="0.2">
      <c r="A2778" s="2" t="s">
        <v>2202</v>
      </c>
      <c r="B2778" s="2">
        <f t="shared" si="84"/>
        <v>2022</v>
      </c>
      <c r="C2778" s="2" t="str">
        <f t="shared" si="85"/>
        <v>KZN226</v>
      </c>
      <c r="D2778" s="591">
        <v>0</v>
      </c>
      <c r="E2778" s="2">
        <v>22</v>
      </c>
      <c r="F2778" s="623" t="s">
        <v>408</v>
      </c>
      <c r="G2778" s="589"/>
      <c r="H2778" s="589"/>
      <c r="I2778" s="589"/>
      <c r="J2778" s="589"/>
      <c r="K2778" s="589"/>
      <c r="L2778" s="589"/>
      <c r="M2778" s="589"/>
      <c r="N2778" s="589"/>
      <c r="O2778" s="589"/>
      <c r="P2778" s="589"/>
      <c r="Q2778" s="589"/>
      <c r="R2778" s="589"/>
      <c r="W2778" t="s">
        <v>2047</v>
      </c>
    </row>
    <row r="2779" spans="1:23" ht="13.15" customHeight="1" x14ac:dyDescent="0.2">
      <c r="A2779" s="2" t="s">
        <v>2202</v>
      </c>
      <c r="B2779" s="2">
        <f t="shared" si="84"/>
        <v>2022</v>
      </c>
      <c r="C2779" s="2" t="str">
        <f t="shared" si="85"/>
        <v>KZN226</v>
      </c>
      <c r="D2779" s="591">
        <v>0</v>
      </c>
      <c r="E2779" s="2">
        <v>23</v>
      </c>
      <c r="F2779" s="623" t="s">
        <v>458</v>
      </c>
      <c r="G2779" s="589"/>
      <c r="H2779" s="589"/>
      <c r="I2779" s="589"/>
      <c r="J2779" s="589"/>
      <c r="K2779" s="589"/>
      <c r="L2779" s="589"/>
      <c r="M2779" s="589"/>
      <c r="N2779" s="589"/>
      <c r="O2779" s="589"/>
      <c r="P2779" s="589"/>
      <c r="Q2779" s="589"/>
      <c r="R2779" s="589"/>
      <c r="W2779" t="s">
        <v>2047</v>
      </c>
    </row>
    <row r="2780" spans="1:23" ht="13.15" customHeight="1" x14ac:dyDescent="0.2">
      <c r="A2780" s="2" t="s">
        <v>2202</v>
      </c>
      <c r="B2780" s="2">
        <f t="shared" si="84"/>
        <v>2022</v>
      </c>
      <c r="C2780" s="2" t="str">
        <f t="shared" si="85"/>
        <v>KZN226</v>
      </c>
      <c r="D2780" s="591">
        <v>0</v>
      </c>
      <c r="E2780" s="2">
        <v>24</v>
      </c>
      <c r="F2780" s="623" t="s">
        <v>1282</v>
      </c>
      <c r="G2780" s="589"/>
      <c r="H2780" s="589"/>
      <c r="I2780" s="589"/>
      <c r="J2780" s="589"/>
      <c r="K2780" s="589"/>
      <c r="L2780" s="589"/>
      <c r="M2780" s="589"/>
      <c r="N2780" s="589"/>
      <c r="O2780" s="589"/>
      <c r="P2780" s="589"/>
      <c r="Q2780" s="589"/>
      <c r="R2780" s="589"/>
      <c r="W2780" t="s">
        <v>2047</v>
      </c>
    </row>
    <row r="2781" spans="1:23" ht="13.15" customHeight="1" x14ac:dyDescent="0.2">
      <c r="A2781" s="2" t="s">
        <v>2202</v>
      </c>
      <c r="B2781" s="2">
        <f t="shared" si="84"/>
        <v>2022</v>
      </c>
      <c r="C2781" s="2" t="str">
        <f t="shared" si="85"/>
        <v>KZN226</v>
      </c>
      <c r="D2781" s="591">
        <v>0</v>
      </c>
      <c r="E2781" s="2">
        <v>25</v>
      </c>
      <c r="F2781" s="623" t="s">
        <v>1305</v>
      </c>
      <c r="G2781" s="589"/>
      <c r="H2781" s="589"/>
      <c r="I2781" s="589"/>
      <c r="J2781" s="589"/>
      <c r="K2781" s="589"/>
      <c r="L2781" s="589"/>
      <c r="M2781" s="589"/>
      <c r="N2781" s="589"/>
      <c r="O2781" s="589"/>
      <c r="P2781" s="589"/>
      <c r="Q2781" s="589"/>
      <c r="R2781" s="589"/>
      <c r="W2781" t="s">
        <v>2047</v>
      </c>
    </row>
    <row r="2782" spans="1:23" ht="13.15" customHeight="1" x14ac:dyDescent="0.2">
      <c r="A2782" s="2" t="s">
        <v>2202</v>
      </c>
      <c r="B2782" s="2">
        <f t="shared" si="84"/>
        <v>2022</v>
      </c>
      <c r="C2782" s="2" t="str">
        <f t="shared" si="85"/>
        <v>KZN226</v>
      </c>
      <c r="D2782" s="591">
        <v>0</v>
      </c>
      <c r="E2782" s="2">
        <v>26</v>
      </c>
      <c r="F2782" s="623" t="s">
        <v>1359</v>
      </c>
      <c r="G2782" s="589"/>
      <c r="H2782" s="589"/>
      <c r="I2782" s="589"/>
      <c r="J2782" s="589"/>
      <c r="K2782" s="589"/>
      <c r="L2782" s="589"/>
      <c r="M2782" s="589"/>
      <c r="N2782" s="589"/>
      <c r="O2782" s="589"/>
      <c r="P2782" s="589"/>
      <c r="Q2782" s="589"/>
      <c r="R2782" s="589"/>
      <c r="W2782" t="s">
        <v>2047</v>
      </c>
    </row>
    <row r="2783" spans="1:23" ht="13.15" customHeight="1" x14ac:dyDescent="0.2">
      <c r="A2783" s="2" t="s">
        <v>2202</v>
      </c>
      <c r="B2783" s="2">
        <f t="shared" si="84"/>
        <v>2022</v>
      </c>
      <c r="C2783" s="2" t="str">
        <f t="shared" si="85"/>
        <v>KZN226</v>
      </c>
      <c r="D2783" s="591">
        <v>0</v>
      </c>
      <c r="E2783" s="2">
        <v>27</v>
      </c>
      <c r="F2783" s="623" t="s">
        <v>410</v>
      </c>
      <c r="G2783" s="589"/>
      <c r="H2783" s="589"/>
      <c r="I2783" s="589"/>
      <c r="J2783" s="589"/>
      <c r="K2783" s="589"/>
      <c r="L2783" s="589"/>
      <c r="M2783" s="589"/>
      <c r="N2783" s="589"/>
      <c r="O2783" s="589"/>
      <c r="P2783" s="589"/>
      <c r="Q2783" s="589"/>
      <c r="R2783" s="589"/>
      <c r="W2783" t="s">
        <v>2047</v>
      </c>
    </row>
    <row r="2784" spans="1:23" ht="13.15" customHeight="1" x14ac:dyDescent="0.2">
      <c r="A2784" s="2" t="s">
        <v>2202</v>
      </c>
      <c r="B2784" s="2">
        <f t="shared" si="84"/>
        <v>2022</v>
      </c>
      <c r="C2784" s="2" t="str">
        <f t="shared" si="85"/>
        <v>KZN226</v>
      </c>
      <c r="D2784" s="591">
        <v>0</v>
      </c>
      <c r="E2784" s="2">
        <v>28</v>
      </c>
      <c r="F2784" s="623" t="s">
        <v>1334</v>
      </c>
      <c r="G2784" s="589"/>
      <c r="H2784" s="589"/>
      <c r="I2784" s="589"/>
      <c r="J2784" s="589"/>
      <c r="K2784" s="589"/>
      <c r="L2784" s="589"/>
      <c r="M2784" s="589"/>
      <c r="N2784" s="589"/>
      <c r="O2784" s="589"/>
      <c r="P2784" s="589"/>
      <c r="Q2784" s="589"/>
      <c r="R2784" s="589"/>
      <c r="W2784" t="s">
        <v>2047</v>
      </c>
    </row>
    <row r="2785" spans="1:23" ht="13.15" customHeight="1" x14ac:dyDescent="0.2">
      <c r="A2785" s="2" t="s">
        <v>2202</v>
      </c>
      <c r="B2785" s="2">
        <f t="shared" si="84"/>
        <v>2022</v>
      </c>
      <c r="C2785" s="2" t="str">
        <f t="shared" si="85"/>
        <v>KZN226</v>
      </c>
      <c r="D2785" s="591">
        <v>0</v>
      </c>
      <c r="E2785" s="2">
        <v>29</v>
      </c>
      <c r="F2785" s="623" t="s">
        <v>411</v>
      </c>
      <c r="G2785" s="589"/>
      <c r="H2785" s="589"/>
      <c r="I2785" s="589"/>
      <c r="J2785" s="589"/>
      <c r="K2785" s="589"/>
      <c r="L2785" s="589"/>
      <c r="M2785" s="589"/>
      <c r="N2785" s="589"/>
      <c r="O2785" s="589"/>
      <c r="P2785" s="589"/>
      <c r="Q2785" s="589"/>
      <c r="R2785" s="589"/>
      <c r="W2785" t="s">
        <v>2047</v>
      </c>
    </row>
    <row r="2786" spans="1:23" ht="13.15" customHeight="1" x14ac:dyDescent="0.2">
      <c r="A2786" s="2" t="s">
        <v>2202</v>
      </c>
      <c r="B2786" s="2">
        <f t="shared" si="84"/>
        <v>2022</v>
      </c>
      <c r="C2786" s="2" t="str">
        <f t="shared" si="85"/>
        <v>KZN226</v>
      </c>
      <c r="D2786" s="591">
        <v>0</v>
      </c>
      <c r="E2786" s="2">
        <v>30</v>
      </c>
      <c r="F2786" s="623" t="s">
        <v>673</v>
      </c>
      <c r="G2786" s="589"/>
      <c r="H2786" s="589"/>
      <c r="I2786" s="589"/>
      <c r="J2786" s="589"/>
      <c r="K2786" s="589"/>
      <c r="L2786" s="589"/>
      <c r="M2786" s="589"/>
      <c r="N2786" s="589"/>
      <c r="O2786" s="589"/>
      <c r="P2786" s="589"/>
      <c r="Q2786" s="589"/>
      <c r="R2786" s="589"/>
      <c r="W2786" t="s">
        <v>2047</v>
      </c>
    </row>
    <row r="2787" spans="1:23" ht="13.15" customHeight="1" x14ac:dyDescent="0.2">
      <c r="A2787" s="2" t="s">
        <v>2202</v>
      </c>
      <c r="B2787" s="2">
        <f t="shared" si="84"/>
        <v>2022</v>
      </c>
      <c r="C2787" s="2" t="str">
        <f t="shared" si="85"/>
        <v>KZN226</v>
      </c>
      <c r="D2787" s="591">
        <v>0</v>
      </c>
      <c r="E2787" s="2">
        <v>31</v>
      </c>
      <c r="F2787" s="623" t="s">
        <v>822</v>
      </c>
      <c r="G2787" s="589"/>
      <c r="H2787" s="589"/>
      <c r="I2787" s="589"/>
      <c r="J2787" s="589"/>
      <c r="K2787" s="589"/>
      <c r="L2787" s="589"/>
      <c r="M2787" s="589"/>
      <c r="N2787" s="589"/>
      <c r="O2787" s="589"/>
      <c r="P2787" s="589"/>
      <c r="Q2787" s="589"/>
      <c r="R2787" s="589"/>
      <c r="W2787" t="s">
        <v>2047</v>
      </c>
    </row>
    <row r="2788" spans="1:23" ht="13.15" customHeight="1" x14ac:dyDescent="0.2">
      <c r="A2788" s="2" t="s">
        <v>2202</v>
      </c>
      <c r="B2788" s="2">
        <f t="shared" si="84"/>
        <v>2022</v>
      </c>
      <c r="C2788" s="2" t="str">
        <f t="shared" si="85"/>
        <v>KZN226</v>
      </c>
      <c r="D2788" s="591">
        <v>0</v>
      </c>
      <c r="E2788" s="2">
        <v>32</v>
      </c>
      <c r="F2788" s="622" t="s">
        <v>342</v>
      </c>
      <c r="G2788" s="589"/>
      <c r="H2788" s="589"/>
      <c r="I2788" s="589"/>
      <c r="J2788" s="589"/>
      <c r="K2788" s="589"/>
      <c r="L2788" s="589"/>
      <c r="M2788" s="589"/>
      <c r="N2788" s="589"/>
      <c r="O2788" s="589"/>
      <c r="P2788" s="589"/>
      <c r="Q2788" s="589"/>
      <c r="R2788" s="589"/>
      <c r="W2788" t="s">
        <v>2047</v>
      </c>
    </row>
    <row r="2789" spans="1:23" ht="13.15" customHeight="1" x14ac:dyDescent="0.2">
      <c r="A2789" s="2" t="s">
        <v>2202</v>
      </c>
      <c r="B2789" s="2">
        <f t="shared" si="84"/>
        <v>2022</v>
      </c>
      <c r="C2789" s="2" t="str">
        <f t="shared" si="85"/>
        <v>KZN226</v>
      </c>
      <c r="D2789" s="591">
        <v>0</v>
      </c>
      <c r="E2789" s="2">
        <v>33</v>
      </c>
      <c r="F2789" s="622" t="s">
        <v>1441</v>
      </c>
      <c r="G2789" s="589"/>
      <c r="H2789" s="589"/>
      <c r="I2789" s="589"/>
      <c r="J2789" s="589"/>
      <c r="K2789" s="589"/>
      <c r="L2789" s="589"/>
      <c r="M2789" s="589"/>
      <c r="N2789" s="589"/>
      <c r="O2789" s="589"/>
      <c r="P2789" s="589"/>
      <c r="Q2789" s="589"/>
      <c r="R2789" s="589"/>
      <c r="W2789" t="s">
        <v>2047</v>
      </c>
    </row>
    <row r="2790" spans="1:23" ht="13.15" customHeight="1" x14ac:dyDescent="0.2">
      <c r="A2790" s="2" t="s">
        <v>2202</v>
      </c>
      <c r="B2790" s="2">
        <f t="shared" si="84"/>
        <v>2022</v>
      </c>
      <c r="C2790" s="2" t="str">
        <f t="shared" si="85"/>
        <v>KZN226</v>
      </c>
      <c r="D2790" s="591">
        <v>0</v>
      </c>
      <c r="E2790" s="2">
        <v>34</v>
      </c>
      <c r="F2790" s="622"/>
      <c r="G2790" s="589"/>
      <c r="H2790" s="589"/>
      <c r="I2790" s="589"/>
      <c r="J2790" s="589"/>
      <c r="K2790" s="589"/>
      <c r="L2790" s="589"/>
      <c r="M2790" s="589"/>
      <c r="N2790" s="589"/>
      <c r="O2790" s="589"/>
      <c r="P2790" s="589"/>
      <c r="Q2790" s="589"/>
      <c r="R2790" s="589"/>
      <c r="W2790" t="s">
        <v>2047</v>
      </c>
    </row>
    <row r="2791" spans="1:23" ht="13.15" customHeight="1" x14ac:dyDescent="0.2">
      <c r="A2791" s="2" t="s">
        <v>2202</v>
      </c>
      <c r="B2791" s="2">
        <f t="shared" si="84"/>
        <v>2022</v>
      </c>
      <c r="C2791" s="2" t="str">
        <f t="shared" si="85"/>
        <v>KZN226</v>
      </c>
      <c r="D2791" s="591">
        <v>0</v>
      </c>
      <c r="E2791" s="2">
        <v>35</v>
      </c>
      <c r="F2791" s="622" t="s">
        <v>1488</v>
      </c>
      <c r="G2791" s="589"/>
      <c r="H2791" s="589"/>
      <c r="I2791" s="589"/>
      <c r="J2791" s="589"/>
      <c r="K2791" s="589"/>
      <c r="L2791" s="589"/>
      <c r="M2791" s="589"/>
      <c r="N2791" s="589"/>
      <c r="O2791" s="589"/>
      <c r="P2791" s="589"/>
      <c r="Q2791" s="589"/>
      <c r="R2791" s="589"/>
      <c r="W2791" t="s">
        <v>2047</v>
      </c>
    </row>
    <row r="2792" spans="1:23" ht="13.15" customHeight="1" x14ac:dyDescent="0.2">
      <c r="A2792" s="2" t="s">
        <v>2202</v>
      </c>
      <c r="B2792" s="2">
        <f t="shared" ref="B2792:B2855" si="86">+MTREF</f>
        <v>2022</v>
      </c>
      <c r="C2792" s="2" t="str">
        <f t="shared" ref="C2792:C2855" si="87">LEFT(muni,(FIND(" ",muni,1)-1))</f>
        <v>KZN226</v>
      </c>
      <c r="D2792" s="591">
        <v>0</v>
      </c>
      <c r="E2792" s="2">
        <v>36</v>
      </c>
      <c r="F2792" s="622" t="s">
        <v>1173</v>
      </c>
      <c r="G2792" s="589"/>
      <c r="H2792" s="589"/>
      <c r="I2792" s="589"/>
      <c r="J2792" s="589"/>
      <c r="K2792" s="589"/>
      <c r="L2792" s="589"/>
      <c r="M2792" s="589"/>
      <c r="N2792" s="589"/>
      <c r="O2792" s="589"/>
      <c r="P2792" s="589"/>
      <c r="Q2792" s="589"/>
      <c r="R2792" s="589"/>
      <c r="W2792" t="s">
        <v>2047</v>
      </c>
    </row>
    <row r="2793" spans="1:23" ht="13.15" customHeight="1" x14ac:dyDescent="0.2">
      <c r="A2793" s="2" t="s">
        <v>2202</v>
      </c>
      <c r="B2793" s="2">
        <f t="shared" si="86"/>
        <v>2022</v>
      </c>
      <c r="C2793" s="2" t="str">
        <f t="shared" si="87"/>
        <v>KZN226</v>
      </c>
      <c r="D2793" s="591">
        <v>0</v>
      </c>
      <c r="E2793" s="2">
        <v>37</v>
      </c>
      <c r="F2793" s="622" t="s">
        <v>699</v>
      </c>
      <c r="G2793" s="589"/>
      <c r="H2793" s="589"/>
      <c r="I2793" s="589"/>
      <c r="J2793" s="589"/>
      <c r="K2793" s="589"/>
      <c r="L2793" s="589"/>
      <c r="M2793" s="589"/>
      <c r="N2793" s="589"/>
      <c r="O2793" s="589"/>
      <c r="P2793" s="589"/>
      <c r="Q2793" s="589"/>
      <c r="R2793" s="589"/>
      <c r="W2793" t="s">
        <v>2047</v>
      </c>
    </row>
    <row r="2794" spans="1:23" ht="13.15" customHeight="1" x14ac:dyDescent="0.2">
      <c r="A2794" s="2" t="s">
        <v>2202</v>
      </c>
      <c r="B2794" s="2">
        <f t="shared" si="86"/>
        <v>2022</v>
      </c>
      <c r="C2794" s="2" t="str">
        <f t="shared" si="87"/>
        <v>KZN226</v>
      </c>
      <c r="D2794" s="591">
        <v>0</v>
      </c>
      <c r="E2794" s="2">
        <v>38</v>
      </c>
      <c r="F2794" s="623" t="s">
        <v>32</v>
      </c>
      <c r="G2794" s="589"/>
      <c r="H2794" s="589"/>
      <c r="I2794" s="589"/>
      <c r="J2794" s="589"/>
      <c r="K2794" s="589"/>
      <c r="L2794" s="589"/>
      <c r="M2794" s="589"/>
      <c r="N2794" s="589"/>
      <c r="O2794" s="589"/>
      <c r="P2794" s="589"/>
      <c r="Q2794" s="589"/>
      <c r="R2794" s="589"/>
      <c r="W2794" t="s">
        <v>2047</v>
      </c>
    </row>
    <row r="2795" spans="1:23" ht="13.15" customHeight="1" x14ac:dyDescent="0.2">
      <c r="A2795" s="2" t="s">
        <v>2202</v>
      </c>
      <c r="B2795" s="2">
        <f t="shared" si="86"/>
        <v>2022</v>
      </c>
      <c r="C2795" s="2" t="str">
        <f t="shared" si="87"/>
        <v>KZN226</v>
      </c>
      <c r="D2795" s="591">
        <v>0</v>
      </c>
      <c r="E2795" s="2">
        <v>39</v>
      </c>
      <c r="F2795" s="623" t="s">
        <v>374</v>
      </c>
      <c r="G2795" s="589"/>
      <c r="H2795" s="589"/>
      <c r="I2795" s="589"/>
      <c r="J2795" s="589"/>
      <c r="K2795" s="589"/>
      <c r="L2795" s="589"/>
      <c r="M2795" s="589"/>
      <c r="N2795" s="589"/>
      <c r="O2795" s="589"/>
      <c r="P2795" s="589"/>
      <c r="Q2795" s="589"/>
      <c r="R2795" s="589"/>
      <c r="W2795" t="s">
        <v>2047</v>
      </c>
    </row>
    <row r="2796" spans="1:23" ht="13.15" customHeight="1" x14ac:dyDescent="0.2">
      <c r="A2796" s="2" t="s">
        <v>2202</v>
      </c>
      <c r="B2796" s="2">
        <f t="shared" si="86"/>
        <v>2022</v>
      </c>
      <c r="C2796" s="2" t="str">
        <f t="shared" si="87"/>
        <v>KZN226</v>
      </c>
      <c r="D2796" s="591">
        <v>0</v>
      </c>
      <c r="E2796" s="2">
        <v>40</v>
      </c>
      <c r="F2796" s="623" t="s">
        <v>907</v>
      </c>
      <c r="G2796" s="589"/>
      <c r="H2796" s="589"/>
      <c r="I2796" s="589"/>
      <c r="J2796" s="589"/>
      <c r="K2796" s="589"/>
      <c r="L2796" s="589"/>
      <c r="M2796" s="589"/>
      <c r="N2796" s="589"/>
      <c r="O2796" s="589"/>
      <c r="P2796" s="589"/>
      <c r="Q2796" s="589"/>
      <c r="R2796" s="589"/>
      <c r="W2796" t="s">
        <v>2047</v>
      </c>
    </row>
    <row r="2797" spans="1:23" ht="13.15" customHeight="1" x14ac:dyDescent="0.2">
      <c r="A2797" s="2" t="s">
        <v>2202</v>
      </c>
      <c r="B2797" s="2">
        <f t="shared" si="86"/>
        <v>2022</v>
      </c>
      <c r="C2797" s="2" t="str">
        <f t="shared" si="87"/>
        <v>KZN226</v>
      </c>
      <c r="D2797" s="591">
        <v>0</v>
      </c>
      <c r="E2797" s="2">
        <v>41</v>
      </c>
      <c r="F2797" s="623" t="s">
        <v>971</v>
      </c>
      <c r="G2797" s="589"/>
      <c r="H2797" s="589"/>
      <c r="I2797" s="589"/>
      <c r="J2797" s="589"/>
      <c r="K2797" s="589"/>
      <c r="L2797" s="589"/>
      <c r="M2797" s="589"/>
      <c r="N2797" s="589"/>
      <c r="O2797" s="589"/>
      <c r="P2797" s="589"/>
      <c r="Q2797" s="589"/>
      <c r="R2797" s="589"/>
      <c r="W2797" t="s">
        <v>2047</v>
      </c>
    </row>
    <row r="2798" spans="1:23" ht="13.15" customHeight="1" x14ac:dyDescent="0.2">
      <c r="A2798" s="2" t="s">
        <v>2202</v>
      </c>
      <c r="B2798" s="2">
        <f t="shared" si="86"/>
        <v>2022</v>
      </c>
      <c r="C2798" s="2" t="str">
        <f t="shared" si="87"/>
        <v>KZN226</v>
      </c>
      <c r="D2798" s="591">
        <v>0</v>
      </c>
      <c r="E2798" s="2">
        <v>44</v>
      </c>
      <c r="F2798" s="623" t="s">
        <v>391</v>
      </c>
      <c r="G2798" s="589"/>
      <c r="H2798" s="589"/>
      <c r="I2798" s="589"/>
      <c r="J2798" s="589"/>
      <c r="K2798" s="589"/>
      <c r="L2798" s="589"/>
      <c r="M2798" s="589"/>
      <c r="N2798" s="589"/>
      <c r="O2798" s="589"/>
      <c r="P2798" s="589"/>
      <c r="Q2798" s="589"/>
      <c r="R2798" s="589"/>
      <c r="W2798" t="s">
        <v>2047</v>
      </c>
    </row>
    <row r="2799" spans="1:23" ht="13.15" customHeight="1" x14ac:dyDescent="0.2">
      <c r="A2799" s="2" t="s">
        <v>2203</v>
      </c>
      <c r="B2799" s="2">
        <f t="shared" si="86"/>
        <v>2022</v>
      </c>
      <c r="C2799" s="2" t="str">
        <f t="shared" si="87"/>
        <v>KZN226</v>
      </c>
      <c r="D2799" s="612"/>
      <c r="E2799" s="5"/>
      <c r="F2799" s="624" t="s">
        <v>368</v>
      </c>
      <c r="G2799" s="589"/>
      <c r="H2799" s="589"/>
      <c r="I2799" s="589"/>
      <c r="J2799" s="589"/>
      <c r="K2799" s="589"/>
      <c r="L2799" s="589"/>
      <c r="M2799" s="589"/>
      <c r="N2799" s="589"/>
      <c r="O2799" s="589"/>
      <c r="P2799" s="589"/>
      <c r="Q2799" s="589"/>
      <c r="R2799" s="589"/>
      <c r="W2799" t="s">
        <v>2047</v>
      </c>
    </row>
    <row r="2800" spans="1:23" ht="13.15" customHeight="1" x14ac:dyDescent="0.2">
      <c r="A2800" s="2" t="s">
        <v>2203</v>
      </c>
      <c r="B2800" s="2">
        <f t="shared" si="86"/>
        <v>2022</v>
      </c>
      <c r="C2800" s="2" t="str">
        <f t="shared" si="87"/>
        <v>KZN226</v>
      </c>
      <c r="D2800" s="612"/>
      <c r="E2800" s="5"/>
      <c r="F2800" s="628" t="s">
        <v>985</v>
      </c>
      <c r="G2800" s="589"/>
      <c r="H2800" s="589"/>
      <c r="I2800" s="589"/>
      <c r="J2800" s="589"/>
      <c r="K2800" s="589"/>
      <c r="L2800" s="589"/>
      <c r="M2800" s="589"/>
      <c r="N2800" s="589"/>
      <c r="O2800" s="589"/>
      <c r="P2800" s="589"/>
      <c r="Q2800" s="589"/>
      <c r="R2800" s="589"/>
      <c r="W2800" t="s">
        <v>2047</v>
      </c>
    </row>
    <row r="2801" spans="1:23" ht="13.15" customHeight="1" x14ac:dyDescent="0.2">
      <c r="A2801" s="2" t="s">
        <v>2203</v>
      </c>
      <c r="B2801" s="2">
        <f t="shared" si="86"/>
        <v>2022</v>
      </c>
      <c r="C2801" s="2" t="str">
        <f t="shared" si="87"/>
        <v>KZN226</v>
      </c>
      <c r="D2801" s="612">
        <v>1</v>
      </c>
      <c r="E2801" s="5">
        <v>11</v>
      </c>
      <c r="F2801" s="628" t="s">
        <v>119</v>
      </c>
      <c r="G2801" s="589"/>
      <c r="H2801" s="589"/>
      <c r="I2801" s="589"/>
      <c r="J2801" s="589"/>
      <c r="K2801" s="589"/>
      <c r="L2801" s="589"/>
      <c r="M2801" s="589"/>
      <c r="N2801" s="589"/>
      <c r="O2801" s="589"/>
      <c r="P2801" s="589"/>
      <c r="Q2801" s="589"/>
      <c r="R2801" s="589"/>
      <c r="W2801" t="s">
        <v>2047</v>
      </c>
    </row>
    <row r="2802" spans="1:23" ht="13.15" customHeight="1" x14ac:dyDescent="0.2">
      <c r="A2802" s="2" t="s">
        <v>2203</v>
      </c>
      <c r="B2802" s="2">
        <f t="shared" si="86"/>
        <v>2022</v>
      </c>
      <c r="C2802" s="2" t="str">
        <f t="shared" si="87"/>
        <v>KZN226</v>
      </c>
      <c r="D2802" s="612">
        <v>1</v>
      </c>
      <c r="E2802" s="5">
        <v>12</v>
      </c>
      <c r="F2802" s="628" t="s">
        <v>120</v>
      </c>
      <c r="G2802" s="589"/>
      <c r="H2802" s="589"/>
      <c r="I2802" s="589"/>
      <c r="J2802" s="589"/>
      <c r="K2802" s="589"/>
      <c r="L2802" s="589"/>
      <c r="M2802" s="589"/>
      <c r="N2802" s="589"/>
      <c r="O2802" s="589"/>
      <c r="P2802" s="589"/>
      <c r="Q2802" s="589"/>
      <c r="R2802" s="589"/>
      <c r="W2802" t="s">
        <v>2047</v>
      </c>
    </row>
    <row r="2803" spans="1:23" ht="13.15" customHeight="1" x14ac:dyDescent="0.2">
      <c r="A2803" s="2" t="s">
        <v>2203</v>
      </c>
      <c r="B2803" s="2">
        <f t="shared" si="86"/>
        <v>2022</v>
      </c>
      <c r="C2803" s="2" t="str">
        <f t="shared" si="87"/>
        <v>KZN226</v>
      </c>
      <c r="D2803" s="612">
        <v>1</v>
      </c>
      <c r="E2803" s="5">
        <v>13</v>
      </c>
      <c r="F2803" s="628" t="s">
        <v>121</v>
      </c>
      <c r="G2803" s="589"/>
      <c r="H2803" s="589"/>
      <c r="I2803" s="589"/>
      <c r="J2803" s="589"/>
      <c r="K2803" s="589"/>
      <c r="L2803" s="589"/>
      <c r="M2803" s="589"/>
      <c r="N2803" s="589"/>
      <c r="O2803" s="589"/>
      <c r="P2803" s="589"/>
      <c r="Q2803" s="589"/>
      <c r="R2803" s="589"/>
      <c r="W2803" t="s">
        <v>2047</v>
      </c>
    </row>
    <row r="2804" spans="1:23" ht="13.15" customHeight="1" x14ac:dyDescent="0.2">
      <c r="A2804" s="2" t="s">
        <v>2203</v>
      </c>
      <c r="B2804" s="2">
        <f t="shared" si="86"/>
        <v>2022</v>
      </c>
      <c r="C2804" s="2" t="str">
        <f t="shared" si="87"/>
        <v>KZN226</v>
      </c>
      <c r="D2804" s="612"/>
      <c r="E2804" s="5"/>
      <c r="F2804" s="628" t="s">
        <v>122</v>
      </c>
      <c r="G2804" s="589"/>
      <c r="H2804" s="589"/>
      <c r="I2804" s="589"/>
      <c r="J2804" s="589"/>
      <c r="K2804" s="589"/>
      <c r="L2804" s="589"/>
      <c r="M2804" s="589"/>
      <c r="N2804" s="589"/>
      <c r="O2804" s="589"/>
      <c r="P2804" s="589"/>
      <c r="Q2804" s="589"/>
      <c r="R2804" s="589"/>
      <c r="W2804" t="s">
        <v>2047</v>
      </c>
    </row>
    <row r="2805" spans="1:23" ht="13.15" customHeight="1" x14ac:dyDescent="0.2">
      <c r="A2805" s="2" t="s">
        <v>2203</v>
      </c>
      <c r="B2805" s="2">
        <f t="shared" si="86"/>
        <v>2022</v>
      </c>
      <c r="C2805" s="2" t="str">
        <f t="shared" si="87"/>
        <v>KZN226</v>
      </c>
      <c r="D2805" s="612">
        <v>1</v>
      </c>
      <c r="E2805" s="5">
        <v>21</v>
      </c>
      <c r="F2805" s="628" t="s">
        <v>123</v>
      </c>
      <c r="G2805" s="589"/>
      <c r="H2805" s="589"/>
      <c r="I2805" s="589"/>
      <c r="J2805" s="589"/>
      <c r="K2805" s="589"/>
      <c r="L2805" s="589"/>
      <c r="M2805" s="589"/>
      <c r="N2805" s="589"/>
      <c r="O2805" s="589"/>
      <c r="P2805" s="589"/>
      <c r="Q2805" s="589"/>
      <c r="R2805" s="589"/>
      <c r="W2805" t="s">
        <v>2047</v>
      </c>
    </row>
    <row r="2806" spans="1:23" ht="13.15" customHeight="1" x14ac:dyDescent="0.2">
      <c r="A2806" s="2" t="s">
        <v>2203</v>
      </c>
      <c r="B2806" s="2">
        <f t="shared" si="86"/>
        <v>2022</v>
      </c>
      <c r="C2806" s="2" t="str">
        <f t="shared" si="87"/>
        <v>KZN226</v>
      </c>
      <c r="D2806" s="612">
        <v>1</v>
      </c>
      <c r="E2806" s="5">
        <v>22</v>
      </c>
      <c r="F2806" s="628" t="s">
        <v>124</v>
      </c>
      <c r="G2806" s="589"/>
      <c r="H2806" s="589"/>
      <c r="I2806" s="589"/>
      <c r="J2806" s="589"/>
      <c r="K2806" s="589"/>
      <c r="L2806" s="589"/>
      <c r="M2806" s="589"/>
      <c r="N2806" s="589"/>
      <c r="O2806" s="589"/>
      <c r="P2806" s="589"/>
      <c r="Q2806" s="589"/>
      <c r="R2806" s="589"/>
      <c r="W2806" t="s">
        <v>2047</v>
      </c>
    </row>
    <row r="2807" spans="1:23" ht="13.15" customHeight="1" x14ac:dyDescent="0.2">
      <c r="A2807" s="2" t="s">
        <v>2203</v>
      </c>
      <c r="B2807" s="2">
        <f t="shared" si="86"/>
        <v>2022</v>
      </c>
      <c r="C2807" s="2" t="str">
        <f t="shared" si="87"/>
        <v>KZN226</v>
      </c>
      <c r="D2807" s="612">
        <v>1</v>
      </c>
      <c r="E2807" s="5">
        <v>23</v>
      </c>
      <c r="F2807" s="628" t="s">
        <v>125</v>
      </c>
      <c r="G2807" s="589"/>
      <c r="H2807" s="589"/>
      <c r="I2807" s="589"/>
      <c r="J2807" s="589"/>
      <c r="K2807" s="589"/>
      <c r="L2807" s="589"/>
      <c r="M2807" s="589"/>
      <c r="N2807" s="589"/>
      <c r="O2807" s="589"/>
      <c r="P2807" s="589"/>
      <c r="Q2807" s="589"/>
      <c r="R2807" s="589"/>
      <c r="W2807" t="s">
        <v>2047</v>
      </c>
    </row>
    <row r="2808" spans="1:23" ht="13.15" customHeight="1" x14ac:dyDescent="0.2">
      <c r="A2808" s="2" t="s">
        <v>2203</v>
      </c>
      <c r="B2808" s="2">
        <f t="shared" si="86"/>
        <v>2022</v>
      </c>
      <c r="C2808" s="2" t="str">
        <f t="shared" si="87"/>
        <v>KZN226</v>
      </c>
      <c r="D2808" s="612">
        <v>1</v>
      </c>
      <c r="E2808" s="5">
        <v>24</v>
      </c>
      <c r="F2808" s="628" t="s">
        <v>1487</v>
      </c>
      <c r="G2808" s="589"/>
      <c r="H2808" s="589"/>
      <c r="I2808" s="589"/>
      <c r="J2808" s="589"/>
      <c r="K2808" s="589"/>
      <c r="L2808" s="589"/>
      <c r="M2808" s="589"/>
      <c r="N2808" s="589"/>
      <c r="O2808" s="589"/>
      <c r="P2808" s="589"/>
      <c r="Q2808" s="589"/>
      <c r="R2808" s="589"/>
      <c r="W2808" t="s">
        <v>2047</v>
      </c>
    </row>
    <row r="2809" spans="1:23" ht="13.15" customHeight="1" x14ac:dyDescent="0.2">
      <c r="A2809" s="2" t="s">
        <v>2203</v>
      </c>
      <c r="B2809" s="2">
        <f t="shared" si="86"/>
        <v>2022</v>
      </c>
      <c r="C2809" s="2" t="str">
        <f t="shared" si="87"/>
        <v>KZN226</v>
      </c>
      <c r="D2809" s="612">
        <v>1</v>
      </c>
      <c r="E2809" s="5">
        <v>25</v>
      </c>
      <c r="F2809" s="628" t="s">
        <v>1551</v>
      </c>
      <c r="G2809" s="589"/>
      <c r="H2809" s="589"/>
      <c r="I2809" s="589"/>
      <c r="J2809" s="589"/>
      <c r="K2809" s="589"/>
      <c r="L2809" s="589"/>
      <c r="M2809" s="589"/>
      <c r="N2809" s="589"/>
      <c r="O2809" s="589"/>
      <c r="P2809" s="589"/>
      <c r="Q2809" s="589"/>
      <c r="R2809" s="589"/>
      <c r="W2809" t="s">
        <v>2047</v>
      </c>
    </row>
    <row r="2810" spans="1:23" ht="13.15" customHeight="1" x14ac:dyDescent="0.2">
      <c r="A2810" s="2" t="s">
        <v>2203</v>
      </c>
      <c r="B2810" s="2">
        <f t="shared" si="86"/>
        <v>2022</v>
      </c>
      <c r="C2810" s="2" t="str">
        <f t="shared" si="87"/>
        <v>KZN226</v>
      </c>
      <c r="D2810" s="612"/>
      <c r="E2810" s="5"/>
      <c r="F2810" s="628" t="s">
        <v>126</v>
      </c>
      <c r="G2810" s="589"/>
      <c r="H2810" s="589"/>
      <c r="I2810" s="589"/>
      <c r="J2810" s="589"/>
      <c r="K2810" s="589"/>
      <c r="L2810" s="589"/>
      <c r="M2810" s="589"/>
      <c r="N2810" s="589"/>
      <c r="O2810" s="589"/>
      <c r="P2810" s="589"/>
      <c r="Q2810" s="589"/>
      <c r="R2810" s="589"/>
      <c r="W2810" t="s">
        <v>2047</v>
      </c>
    </row>
    <row r="2811" spans="1:23" ht="13.15" customHeight="1" x14ac:dyDescent="0.2">
      <c r="A2811" s="2" t="s">
        <v>2203</v>
      </c>
      <c r="B2811" s="2">
        <f t="shared" si="86"/>
        <v>2022</v>
      </c>
      <c r="C2811" s="2" t="str">
        <f t="shared" si="87"/>
        <v>KZN226</v>
      </c>
      <c r="D2811" s="612">
        <v>1</v>
      </c>
      <c r="E2811" s="5">
        <v>31</v>
      </c>
      <c r="F2811" s="628" t="s">
        <v>127</v>
      </c>
      <c r="G2811" s="589"/>
      <c r="H2811" s="589"/>
      <c r="I2811" s="589"/>
      <c r="J2811" s="589"/>
      <c r="K2811" s="589"/>
      <c r="L2811" s="589"/>
      <c r="M2811" s="589"/>
      <c r="N2811" s="589"/>
      <c r="O2811" s="589"/>
      <c r="P2811" s="589"/>
      <c r="Q2811" s="589"/>
      <c r="R2811" s="589"/>
      <c r="W2811" t="s">
        <v>2047</v>
      </c>
    </row>
    <row r="2812" spans="1:23" ht="13.15" customHeight="1" x14ac:dyDescent="0.2">
      <c r="A2812" s="2" t="s">
        <v>2203</v>
      </c>
      <c r="B2812" s="2">
        <f t="shared" si="86"/>
        <v>2022</v>
      </c>
      <c r="C2812" s="2" t="str">
        <f t="shared" si="87"/>
        <v>KZN226</v>
      </c>
      <c r="D2812" s="612">
        <v>1</v>
      </c>
      <c r="E2812" s="5">
        <v>32</v>
      </c>
      <c r="F2812" s="628" t="s">
        <v>128</v>
      </c>
      <c r="G2812" s="589"/>
      <c r="H2812" s="589"/>
      <c r="I2812" s="589"/>
      <c r="J2812" s="589"/>
      <c r="K2812" s="589"/>
      <c r="L2812" s="589"/>
      <c r="M2812" s="589"/>
      <c r="N2812" s="589"/>
      <c r="O2812" s="589"/>
      <c r="P2812" s="589"/>
      <c r="Q2812" s="589"/>
      <c r="R2812" s="589"/>
      <c r="W2812" t="s">
        <v>2047</v>
      </c>
    </row>
    <row r="2813" spans="1:23" ht="13.15" customHeight="1" x14ac:dyDescent="0.2">
      <c r="A2813" s="2" t="s">
        <v>2203</v>
      </c>
      <c r="B2813" s="2">
        <f t="shared" si="86"/>
        <v>2022</v>
      </c>
      <c r="C2813" s="2" t="str">
        <f t="shared" si="87"/>
        <v>KZN226</v>
      </c>
      <c r="D2813" s="612">
        <v>1</v>
      </c>
      <c r="E2813" s="5">
        <v>33</v>
      </c>
      <c r="F2813" s="628" t="s">
        <v>129</v>
      </c>
      <c r="G2813" s="589"/>
      <c r="H2813" s="589"/>
      <c r="I2813" s="589"/>
      <c r="J2813" s="589"/>
      <c r="K2813" s="589"/>
      <c r="L2813" s="589"/>
      <c r="M2813" s="589"/>
      <c r="N2813" s="589"/>
      <c r="O2813" s="589"/>
      <c r="P2813" s="589"/>
      <c r="Q2813" s="589"/>
      <c r="R2813" s="589"/>
      <c r="W2813" t="s">
        <v>2047</v>
      </c>
    </row>
    <row r="2814" spans="1:23" ht="13.15" customHeight="1" x14ac:dyDescent="0.2">
      <c r="A2814" s="2" t="s">
        <v>2203</v>
      </c>
      <c r="B2814" s="2">
        <f t="shared" si="86"/>
        <v>2022</v>
      </c>
      <c r="C2814" s="2" t="str">
        <f t="shared" si="87"/>
        <v>KZN226</v>
      </c>
      <c r="D2814" s="612"/>
      <c r="E2814" s="5"/>
      <c r="F2814" s="628" t="s">
        <v>130</v>
      </c>
      <c r="G2814" s="589"/>
      <c r="H2814" s="589"/>
      <c r="I2814" s="589"/>
      <c r="J2814" s="589"/>
      <c r="K2814" s="589"/>
      <c r="L2814" s="589"/>
      <c r="M2814" s="589"/>
      <c r="N2814" s="589"/>
      <c r="O2814" s="589"/>
      <c r="P2814" s="589"/>
      <c r="Q2814" s="589"/>
      <c r="R2814" s="589"/>
      <c r="W2814" t="s">
        <v>2047</v>
      </c>
    </row>
    <row r="2815" spans="1:23" ht="13.15" customHeight="1" x14ac:dyDescent="0.2">
      <c r="A2815" s="2" t="s">
        <v>2203</v>
      </c>
      <c r="B2815" s="2">
        <f t="shared" si="86"/>
        <v>2022</v>
      </c>
      <c r="C2815" s="2" t="str">
        <f t="shared" si="87"/>
        <v>KZN226</v>
      </c>
      <c r="D2815" s="612">
        <v>1</v>
      </c>
      <c r="E2815" s="5">
        <v>41</v>
      </c>
      <c r="F2815" s="628" t="s">
        <v>555</v>
      </c>
      <c r="G2815" s="589"/>
      <c r="H2815" s="589"/>
      <c r="I2815" s="589"/>
      <c r="J2815" s="589"/>
      <c r="K2815" s="589"/>
      <c r="L2815" s="589"/>
      <c r="M2815" s="589"/>
      <c r="N2815" s="589"/>
      <c r="O2815" s="589"/>
      <c r="P2815" s="589"/>
      <c r="Q2815" s="589"/>
      <c r="R2815" s="589"/>
      <c r="W2815" t="s">
        <v>2047</v>
      </c>
    </row>
    <row r="2816" spans="1:23" ht="13.15" customHeight="1" x14ac:dyDescent="0.2">
      <c r="A2816" s="2" t="s">
        <v>2203</v>
      </c>
      <c r="B2816" s="2">
        <f t="shared" si="86"/>
        <v>2022</v>
      </c>
      <c r="C2816" s="2" t="str">
        <f t="shared" si="87"/>
        <v>KZN226</v>
      </c>
      <c r="D2816" s="612">
        <v>1</v>
      </c>
      <c r="E2816" s="5">
        <v>42</v>
      </c>
      <c r="F2816" s="628" t="s">
        <v>820</v>
      </c>
      <c r="G2816" s="589"/>
      <c r="H2816" s="589"/>
      <c r="I2816" s="589"/>
      <c r="J2816" s="589"/>
      <c r="K2816" s="589"/>
      <c r="L2816" s="589"/>
      <c r="M2816" s="589"/>
      <c r="N2816" s="589"/>
      <c r="O2816" s="589"/>
      <c r="P2816" s="589"/>
      <c r="Q2816" s="589"/>
      <c r="R2816" s="589"/>
      <c r="W2816" t="s">
        <v>2047</v>
      </c>
    </row>
    <row r="2817" spans="1:23" ht="13.15" customHeight="1" x14ac:dyDescent="0.2">
      <c r="A2817" s="2" t="s">
        <v>2203</v>
      </c>
      <c r="B2817" s="2">
        <f t="shared" si="86"/>
        <v>2022</v>
      </c>
      <c r="C2817" s="2" t="str">
        <f t="shared" si="87"/>
        <v>KZN226</v>
      </c>
      <c r="D2817" s="612">
        <v>1</v>
      </c>
      <c r="E2817" s="5">
        <v>43</v>
      </c>
      <c r="F2817" s="628" t="s">
        <v>987</v>
      </c>
      <c r="G2817" s="589"/>
      <c r="H2817" s="589"/>
      <c r="I2817" s="589"/>
      <c r="J2817" s="589"/>
      <c r="K2817" s="589"/>
      <c r="L2817" s="589"/>
      <c r="M2817" s="589"/>
      <c r="N2817" s="589"/>
      <c r="O2817" s="589"/>
      <c r="P2817" s="589"/>
      <c r="Q2817" s="589"/>
      <c r="R2817" s="589"/>
      <c r="W2817" t="s">
        <v>2047</v>
      </c>
    </row>
    <row r="2818" spans="1:23" ht="13.15" customHeight="1" x14ac:dyDescent="0.2">
      <c r="A2818" s="2" t="s">
        <v>2203</v>
      </c>
      <c r="B2818" s="2">
        <f t="shared" si="86"/>
        <v>2022</v>
      </c>
      <c r="C2818" s="2" t="str">
        <f t="shared" si="87"/>
        <v>KZN226</v>
      </c>
      <c r="D2818" s="612">
        <v>1</v>
      </c>
      <c r="E2818" s="5">
        <v>44</v>
      </c>
      <c r="F2818" s="628" t="s">
        <v>988</v>
      </c>
      <c r="G2818" s="589"/>
      <c r="H2818" s="589"/>
      <c r="I2818" s="589"/>
      <c r="J2818" s="589"/>
      <c r="K2818" s="589"/>
      <c r="L2818" s="589"/>
      <c r="M2818" s="589"/>
      <c r="N2818" s="589"/>
      <c r="O2818" s="589"/>
      <c r="P2818" s="589"/>
      <c r="Q2818" s="589"/>
      <c r="R2818" s="589"/>
      <c r="W2818" t="s">
        <v>2047</v>
      </c>
    </row>
    <row r="2819" spans="1:23" ht="13.15" customHeight="1" x14ac:dyDescent="0.2">
      <c r="A2819" s="2" t="s">
        <v>2203</v>
      </c>
      <c r="B2819" s="2">
        <f t="shared" si="86"/>
        <v>2022</v>
      </c>
      <c r="C2819" s="2" t="str">
        <f t="shared" si="87"/>
        <v>KZN226</v>
      </c>
      <c r="D2819" s="612">
        <v>1</v>
      </c>
      <c r="E2819" s="5">
        <v>45</v>
      </c>
      <c r="F2819" s="628" t="s">
        <v>245</v>
      </c>
      <c r="G2819" s="589"/>
      <c r="H2819" s="589"/>
      <c r="I2819" s="589"/>
      <c r="J2819" s="589"/>
      <c r="K2819" s="589"/>
      <c r="L2819" s="589"/>
      <c r="M2819" s="589"/>
      <c r="N2819" s="589"/>
      <c r="O2819" s="589"/>
      <c r="P2819" s="589"/>
      <c r="Q2819" s="589"/>
      <c r="R2819" s="589"/>
      <c r="W2819" t="s">
        <v>2047</v>
      </c>
    </row>
    <row r="2820" spans="1:23" ht="13.15" customHeight="1" x14ac:dyDescent="0.2">
      <c r="A2820" s="2" t="s">
        <v>2203</v>
      </c>
      <c r="B2820" s="2">
        <f t="shared" si="86"/>
        <v>2022</v>
      </c>
      <c r="C2820" s="2" t="str">
        <f t="shared" si="87"/>
        <v>KZN226</v>
      </c>
      <c r="D2820" s="612"/>
      <c r="E2820" s="5"/>
      <c r="F2820" s="624" t="s">
        <v>2204</v>
      </c>
      <c r="G2820" s="589"/>
      <c r="H2820" s="589"/>
      <c r="I2820" s="589"/>
      <c r="J2820" s="589"/>
      <c r="K2820" s="589"/>
      <c r="L2820" s="589"/>
      <c r="M2820" s="589"/>
      <c r="N2820" s="589"/>
      <c r="O2820" s="589"/>
      <c r="P2820" s="589"/>
      <c r="Q2820" s="589"/>
      <c r="R2820" s="589"/>
      <c r="W2820" t="s">
        <v>2047</v>
      </c>
    </row>
    <row r="2821" spans="1:23" ht="13.15" customHeight="1" x14ac:dyDescent="0.2">
      <c r="A2821" s="2" t="s">
        <v>2203</v>
      </c>
      <c r="B2821" s="2">
        <f t="shared" si="86"/>
        <v>2022</v>
      </c>
      <c r="C2821" s="2" t="str">
        <f t="shared" si="87"/>
        <v>KZN226</v>
      </c>
      <c r="D2821" s="612"/>
      <c r="E2821" s="5"/>
      <c r="F2821" s="624"/>
      <c r="G2821" s="589"/>
      <c r="H2821" s="589"/>
      <c r="I2821" s="589"/>
      <c r="J2821" s="589"/>
      <c r="K2821" s="589"/>
      <c r="L2821" s="589"/>
      <c r="M2821" s="589"/>
      <c r="N2821" s="589"/>
      <c r="O2821" s="589"/>
      <c r="P2821" s="589"/>
      <c r="Q2821" s="589"/>
      <c r="R2821" s="589"/>
      <c r="W2821" t="s">
        <v>2047</v>
      </c>
    </row>
    <row r="2822" spans="1:23" ht="13.15" customHeight="1" x14ac:dyDescent="0.2">
      <c r="A2822" s="2" t="s">
        <v>2203</v>
      </c>
      <c r="B2822" s="2">
        <f t="shared" si="86"/>
        <v>2022</v>
      </c>
      <c r="C2822" s="2" t="str">
        <f t="shared" si="87"/>
        <v>KZN226</v>
      </c>
      <c r="D2822" s="612"/>
      <c r="E2822" s="5"/>
      <c r="F2822" s="624" t="s">
        <v>369</v>
      </c>
      <c r="G2822" s="589"/>
      <c r="H2822" s="589"/>
      <c r="I2822" s="589"/>
      <c r="J2822" s="589"/>
      <c r="K2822" s="589"/>
      <c r="L2822" s="589"/>
      <c r="M2822" s="589"/>
      <c r="N2822" s="589"/>
      <c r="O2822" s="589"/>
      <c r="P2822" s="589"/>
      <c r="Q2822" s="589"/>
      <c r="R2822" s="589"/>
      <c r="W2822" t="s">
        <v>2047</v>
      </c>
    </row>
    <row r="2823" spans="1:23" ht="13.15" customHeight="1" x14ac:dyDescent="0.2">
      <c r="A2823" s="2" t="s">
        <v>2203</v>
      </c>
      <c r="B2823" s="2">
        <f t="shared" si="86"/>
        <v>2022</v>
      </c>
      <c r="C2823" s="2" t="str">
        <f t="shared" si="87"/>
        <v>KZN226</v>
      </c>
      <c r="D2823" s="612"/>
      <c r="E2823" s="5"/>
      <c r="F2823" s="628" t="s">
        <v>985</v>
      </c>
      <c r="G2823" s="589"/>
      <c r="H2823" s="589"/>
      <c r="I2823" s="589"/>
      <c r="J2823" s="589"/>
      <c r="K2823" s="589"/>
      <c r="L2823" s="589"/>
      <c r="M2823" s="589"/>
      <c r="N2823" s="589"/>
      <c r="O2823" s="589"/>
      <c r="P2823" s="589"/>
      <c r="Q2823" s="589"/>
      <c r="R2823" s="589"/>
      <c r="W2823" t="s">
        <v>2047</v>
      </c>
    </row>
    <row r="2824" spans="1:23" ht="13.15" customHeight="1" x14ac:dyDescent="0.2">
      <c r="A2824" s="2" t="s">
        <v>2203</v>
      </c>
      <c r="B2824" s="2">
        <f t="shared" si="86"/>
        <v>2022</v>
      </c>
      <c r="C2824" s="2" t="str">
        <f t="shared" si="87"/>
        <v>KZN226</v>
      </c>
      <c r="D2824" s="612">
        <v>2</v>
      </c>
      <c r="E2824" s="5">
        <v>11</v>
      </c>
      <c r="F2824" s="628" t="s">
        <v>119</v>
      </c>
      <c r="G2824" s="589"/>
      <c r="H2824" s="589"/>
      <c r="I2824" s="589"/>
      <c r="J2824" s="589"/>
      <c r="K2824" s="589"/>
      <c r="L2824" s="589"/>
      <c r="M2824" s="589"/>
      <c r="N2824" s="589"/>
      <c r="O2824" s="589"/>
      <c r="P2824" s="589"/>
      <c r="Q2824" s="589"/>
      <c r="R2824" s="589"/>
      <c r="W2824" t="s">
        <v>2047</v>
      </c>
    </row>
    <row r="2825" spans="1:23" ht="13.15" customHeight="1" x14ac:dyDescent="0.2">
      <c r="A2825" s="2" t="s">
        <v>2203</v>
      </c>
      <c r="B2825" s="2">
        <f t="shared" si="86"/>
        <v>2022</v>
      </c>
      <c r="C2825" s="2" t="str">
        <f t="shared" si="87"/>
        <v>KZN226</v>
      </c>
      <c r="D2825" s="612">
        <v>2</v>
      </c>
      <c r="E2825" s="5">
        <v>12</v>
      </c>
      <c r="F2825" s="628" t="s">
        <v>120</v>
      </c>
      <c r="G2825" s="589"/>
      <c r="H2825" s="589"/>
      <c r="I2825" s="589"/>
      <c r="J2825" s="589"/>
      <c r="K2825" s="589"/>
      <c r="L2825" s="589"/>
      <c r="M2825" s="589"/>
      <c r="N2825" s="589"/>
      <c r="O2825" s="589"/>
      <c r="P2825" s="589"/>
      <c r="Q2825" s="589"/>
      <c r="R2825" s="589"/>
      <c r="W2825" t="s">
        <v>2047</v>
      </c>
    </row>
    <row r="2826" spans="1:23" ht="13.15" customHeight="1" x14ac:dyDescent="0.2">
      <c r="A2826" s="2" t="s">
        <v>2203</v>
      </c>
      <c r="B2826" s="2">
        <f t="shared" si="86"/>
        <v>2022</v>
      </c>
      <c r="C2826" s="2" t="str">
        <f t="shared" si="87"/>
        <v>KZN226</v>
      </c>
      <c r="D2826" s="612">
        <v>2</v>
      </c>
      <c r="E2826" s="5">
        <v>13</v>
      </c>
      <c r="F2826" s="628" t="s">
        <v>121</v>
      </c>
      <c r="G2826" s="589"/>
      <c r="H2826" s="589"/>
      <c r="I2826" s="589"/>
      <c r="J2826" s="589"/>
      <c r="K2826" s="589"/>
      <c r="L2826" s="589"/>
      <c r="M2826" s="589"/>
      <c r="N2826" s="589"/>
      <c r="O2826" s="589"/>
      <c r="P2826" s="589"/>
      <c r="Q2826" s="589"/>
      <c r="R2826" s="589"/>
      <c r="W2826" t="s">
        <v>2047</v>
      </c>
    </row>
    <row r="2827" spans="1:23" ht="13.15" customHeight="1" x14ac:dyDescent="0.2">
      <c r="A2827" s="2" t="s">
        <v>2203</v>
      </c>
      <c r="B2827" s="2">
        <f t="shared" si="86"/>
        <v>2022</v>
      </c>
      <c r="C2827" s="2" t="str">
        <f t="shared" si="87"/>
        <v>KZN226</v>
      </c>
      <c r="D2827" s="612"/>
      <c r="E2827" s="5"/>
      <c r="F2827" s="628" t="s">
        <v>122</v>
      </c>
      <c r="G2827" s="589"/>
      <c r="H2827" s="589"/>
      <c r="I2827" s="589"/>
      <c r="J2827" s="589"/>
      <c r="K2827" s="589"/>
      <c r="L2827" s="589"/>
      <c r="M2827" s="589"/>
      <c r="N2827" s="589"/>
      <c r="O2827" s="589"/>
      <c r="P2827" s="589"/>
      <c r="Q2827" s="589"/>
      <c r="R2827" s="589"/>
      <c r="W2827" t="s">
        <v>2047</v>
      </c>
    </row>
    <row r="2828" spans="1:23" ht="13.15" customHeight="1" x14ac:dyDescent="0.2">
      <c r="A2828" s="2" t="s">
        <v>2203</v>
      </c>
      <c r="B2828" s="2">
        <f t="shared" si="86"/>
        <v>2022</v>
      </c>
      <c r="C2828" s="2" t="str">
        <f t="shared" si="87"/>
        <v>KZN226</v>
      </c>
      <c r="D2828" s="612">
        <v>2</v>
      </c>
      <c r="E2828" s="5">
        <v>21</v>
      </c>
      <c r="F2828" s="628" t="s">
        <v>123</v>
      </c>
      <c r="G2828" s="589"/>
      <c r="H2828" s="589"/>
      <c r="I2828" s="589"/>
      <c r="J2828" s="589"/>
      <c r="K2828" s="589"/>
      <c r="L2828" s="589"/>
      <c r="M2828" s="589"/>
      <c r="N2828" s="589"/>
      <c r="O2828" s="589"/>
      <c r="P2828" s="589"/>
      <c r="Q2828" s="589"/>
      <c r="R2828" s="589"/>
      <c r="W2828" t="s">
        <v>2047</v>
      </c>
    </row>
    <row r="2829" spans="1:23" ht="13.15" customHeight="1" x14ac:dyDescent="0.2">
      <c r="A2829" s="2" t="s">
        <v>2203</v>
      </c>
      <c r="B2829" s="2">
        <f t="shared" si="86"/>
        <v>2022</v>
      </c>
      <c r="C2829" s="2" t="str">
        <f t="shared" si="87"/>
        <v>KZN226</v>
      </c>
      <c r="D2829" s="612">
        <v>2</v>
      </c>
      <c r="E2829" s="5">
        <v>22</v>
      </c>
      <c r="F2829" s="628" t="s">
        <v>124</v>
      </c>
      <c r="G2829" s="589"/>
      <c r="H2829" s="589"/>
      <c r="I2829" s="589"/>
      <c r="J2829" s="589"/>
      <c r="K2829" s="589"/>
      <c r="L2829" s="589"/>
      <c r="M2829" s="589"/>
      <c r="N2829" s="589"/>
      <c r="O2829" s="589"/>
      <c r="P2829" s="589"/>
      <c r="Q2829" s="589"/>
      <c r="R2829" s="589"/>
      <c r="W2829" t="s">
        <v>2047</v>
      </c>
    </row>
    <row r="2830" spans="1:23" ht="13.15" customHeight="1" x14ac:dyDescent="0.2">
      <c r="A2830" s="2" t="s">
        <v>2203</v>
      </c>
      <c r="B2830" s="2">
        <f t="shared" si="86"/>
        <v>2022</v>
      </c>
      <c r="C2830" s="2" t="str">
        <f t="shared" si="87"/>
        <v>KZN226</v>
      </c>
      <c r="D2830" s="612">
        <v>2</v>
      </c>
      <c r="E2830" s="5">
        <v>23</v>
      </c>
      <c r="F2830" s="628" t="s">
        <v>125</v>
      </c>
      <c r="G2830" s="589"/>
      <c r="H2830" s="589"/>
      <c r="I2830" s="589"/>
      <c r="J2830" s="589"/>
      <c r="K2830" s="589"/>
      <c r="L2830" s="589"/>
      <c r="M2830" s="589"/>
      <c r="N2830" s="589"/>
      <c r="O2830" s="589"/>
      <c r="P2830" s="589"/>
      <c r="Q2830" s="589"/>
      <c r="R2830" s="589"/>
      <c r="W2830" t="s">
        <v>2047</v>
      </c>
    </row>
    <row r="2831" spans="1:23" ht="13.15" customHeight="1" x14ac:dyDescent="0.2">
      <c r="A2831" s="2" t="s">
        <v>2203</v>
      </c>
      <c r="B2831" s="2">
        <f t="shared" si="86"/>
        <v>2022</v>
      </c>
      <c r="C2831" s="2" t="str">
        <f t="shared" si="87"/>
        <v>KZN226</v>
      </c>
      <c r="D2831" s="612">
        <v>2</v>
      </c>
      <c r="E2831" s="5">
        <v>24</v>
      </c>
      <c r="F2831" s="628" t="s">
        <v>1487</v>
      </c>
      <c r="G2831" s="589"/>
      <c r="H2831" s="589"/>
      <c r="I2831" s="589"/>
      <c r="J2831" s="589"/>
      <c r="K2831" s="589"/>
      <c r="L2831" s="589"/>
      <c r="M2831" s="589"/>
      <c r="N2831" s="589"/>
      <c r="O2831" s="589"/>
      <c r="P2831" s="589"/>
      <c r="Q2831" s="589"/>
      <c r="R2831" s="589"/>
      <c r="W2831" t="s">
        <v>2047</v>
      </c>
    </row>
    <row r="2832" spans="1:23" ht="13.15" customHeight="1" x14ac:dyDescent="0.2">
      <c r="A2832" s="2" t="s">
        <v>2203</v>
      </c>
      <c r="B2832" s="2">
        <f t="shared" si="86"/>
        <v>2022</v>
      </c>
      <c r="C2832" s="2" t="str">
        <f t="shared" si="87"/>
        <v>KZN226</v>
      </c>
      <c r="D2832" s="612">
        <v>2</v>
      </c>
      <c r="E2832" s="5">
        <v>25</v>
      </c>
      <c r="F2832" s="628" t="s">
        <v>1551</v>
      </c>
      <c r="G2832" s="589"/>
      <c r="H2832" s="589"/>
      <c r="I2832" s="589"/>
      <c r="J2832" s="589"/>
      <c r="K2832" s="589"/>
      <c r="L2832" s="589"/>
      <c r="M2832" s="589"/>
      <c r="N2832" s="589"/>
      <c r="O2832" s="589"/>
      <c r="P2832" s="589"/>
      <c r="Q2832" s="589"/>
      <c r="R2832" s="589"/>
      <c r="W2832" t="s">
        <v>2047</v>
      </c>
    </row>
    <row r="2833" spans="1:23" ht="13.15" customHeight="1" x14ac:dyDescent="0.2">
      <c r="A2833" s="2" t="s">
        <v>2203</v>
      </c>
      <c r="B2833" s="2">
        <f t="shared" si="86"/>
        <v>2022</v>
      </c>
      <c r="C2833" s="2" t="str">
        <f t="shared" si="87"/>
        <v>KZN226</v>
      </c>
      <c r="D2833" s="612"/>
      <c r="E2833" s="5"/>
      <c r="F2833" s="628" t="s">
        <v>126</v>
      </c>
      <c r="G2833" s="589"/>
      <c r="H2833" s="589"/>
      <c r="I2833" s="589"/>
      <c r="J2833" s="589"/>
      <c r="K2833" s="589"/>
      <c r="L2833" s="589"/>
      <c r="M2833" s="589"/>
      <c r="N2833" s="589"/>
      <c r="O2833" s="589"/>
      <c r="P2833" s="589"/>
      <c r="Q2833" s="589"/>
      <c r="R2833" s="589"/>
      <c r="W2833" t="s">
        <v>2047</v>
      </c>
    </row>
    <row r="2834" spans="1:23" ht="13.15" customHeight="1" x14ac:dyDescent="0.2">
      <c r="A2834" s="2" t="s">
        <v>2203</v>
      </c>
      <c r="B2834" s="2">
        <f t="shared" si="86"/>
        <v>2022</v>
      </c>
      <c r="C2834" s="2" t="str">
        <f t="shared" si="87"/>
        <v>KZN226</v>
      </c>
      <c r="D2834" s="612">
        <v>2</v>
      </c>
      <c r="E2834" s="5">
        <v>31</v>
      </c>
      <c r="F2834" s="628" t="s">
        <v>127</v>
      </c>
      <c r="G2834" s="589"/>
      <c r="H2834" s="589"/>
      <c r="I2834" s="589"/>
      <c r="J2834" s="589"/>
      <c r="K2834" s="589"/>
      <c r="L2834" s="589"/>
      <c r="M2834" s="589"/>
      <c r="N2834" s="589"/>
      <c r="O2834" s="589"/>
      <c r="P2834" s="589"/>
      <c r="Q2834" s="589"/>
      <c r="R2834" s="589"/>
      <c r="W2834" t="s">
        <v>2047</v>
      </c>
    </row>
    <row r="2835" spans="1:23" ht="13.15" customHeight="1" x14ac:dyDescent="0.2">
      <c r="A2835" s="2" t="s">
        <v>2203</v>
      </c>
      <c r="B2835" s="2">
        <f t="shared" si="86"/>
        <v>2022</v>
      </c>
      <c r="C2835" s="2" t="str">
        <f t="shared" si="87"/>
        <v>KZN226</v>
      </c>
      <c r="D2835" s="612">
        <v>2</v>
      </c>
      <c r="E2835" s="5">
        <v>32</v>
      </c>
      <c r="F2835" s="628" t="s">
        <v>128</v>
      </c>
      <c r="G2835" s="589"/>
      <c r="H2835" s="589"/>
      <c r="I2835" s="589"/>
      <c r="J2835" s="589"/>
      <c r="K2835" s="589"/>
      <c r="L2835" s="589"/>
      <c r="M2835" s="589"/>
      <c r="N2835" s="589"/>
      <c r="O2835" s="589"/>
      <c r="P2835" s="589"/>
      <c r="Q2835" s="589"/>
      <c r="R2835" s="589"/>
      <c r="W2835" t="s">
        <v>2047</v>
      </c>
    </row>
    <row r="2836" spans="1:23" ht="13.15" customHeight="1" x14ac:dyDescent="0.2">
      <c r="A2836" s="2" t="s">
        <v>2203</v>
      </c>
      <c r="B2836" s="2">
        <f t="shared" si="86"/>
        <v>2022</v>
      </c>
      <c r="C2836" s="2" t="str">
        <f t="shared" si="87"/>
        <v>KZN226</v>
      </c>
      <c r="D2836" s="612">
        <v>2</v>
      </c>
      <c r="E2836" s="5">
        <v>33</v>
      </c>
      <c r="F2836" s="628" t="s">
        <v>129</v>
      </c>
      <c r="G2836" s="589"/>
      <c r="H2836" s="589"/>
      <c r="I2836" s="589"/>
      <c r="J2836" s="589"/>
      <c r="K2836" s="589"/>
      <c r="L2836" s="589"/>
      <c r="M2836" s="589"/>
      <c r="N2836" s="589"/>
      <c r="O2836" s="589"/>
      <c r="P2836" s="589"/>
      <c r="Q2836" s="589"/>
      <c r="R2836" s="589"/>
      <c r="W2836" t="s">
        <v>2047</v>
      </c>
    </row>
    <row r="2837" spans="1:23" ht="13.15" customHeight="1" x14ac:dyDescent="0.2">
      <c r="A2837" s="2" t="s">
        <v>2203</v>
      </c>
      <c r="B2837" s="2">
        <f t="shared" si="86"/>
        <v>2022</v>
      </c>
      <c r="C2837" s="2" t="str">
        <f t="shared" si="87"/>
        <v>KZN226</v>
      </c>
      <c r="D2837" s="612"/>
      <c r="E2837" s="5"/>
      <c r="F2837" s="628" t="s">
        <v>130</v>
      </c>
      <c r="G2837" s="589"/>
      <c r="H2837" s="589"/>
      <c r="I2837" s="589"/>
      <c r="J2837" s="589"/>
      <c r="K2837" s="589"/>
      <c r="L2837" s="589"/>
      <c r="M2837" s="589"/>
      <c r="N2837" s="589"/>
      <c r="O2837" s="589"/>
      <c r="P2837" s="589"/>
      <c r="Q2837" s="589"/>
      <c r="R2837" s="589"/>
      <c r="W2837" t="s">
        <v>2047</v>
      </c>
    </row>
    <row r="2838" spans="1:23" ht="13.15" customHeight="1" x14ac:dyDescent="0.2">
      <c r="A2838" s="2" t="s">
        <v>2203</v>
      </c>
      <c r="B2838" s="2">
        <f t="shared" si="86"/>
        <v>2022</v>
      </c>
      <c r="C2838" s="2" t="str">
        <f t="shared" si="87"/>
        <v>KZN226</v>
      </c>
      <c r="D2838" s="612">
        <v>2</v>
      </c>
      <c r="E2838" s="5">
        <v>41</v>
      </c>
      <c r="F2838" s="628" t="s">
        <v>555</v>
      </c>
      <c r="G2838" s="589"/>
      <c r="H2838" s="589"/>
      <c r="I2838" s="589"/>
      <c r="J2838" s="589"/>
      <c r="K2838" s="589"/>
      <c r="L2838" s="589"/>
      <c r="M2838" s="589"/>
      <c r="N2838" s="589"/>
      <c r="O2838" s="589"/>
      <c r="P2838" s="589"/>
      <c r="Q2838" s="589"/>
      <c r="R2838" s="589"/>
      <c r="W2838" t="s">
        <v>2047</v>
      </c>
    </row>
    <row r="2839" spans="1:23" ht="13.15" customHeight="1" x14ac:dyDescent="0.2">
      <c r="A2839" s="2" t="s">
        <v>2203</v>
      </c>
      <c r="B2839" s="2">
        <f t="shared" si="86"/>
        <v>2022</v>
      </c>
      <c r="C2839" s="2" t="str">
        <f t="shared" si="87"/>
        <v>KZN226</v>
      </c>
      <c r="D2839" s="612">
        <v>2</v>
      </c>
      <c r="E2839" s="5">
        <v>42</v>
      </c>
      <c r="F2839" s="628" t="s">
        <v>820</v>
      </c>
      <c r="G2839" s="589"/>
      <c r="H2839" s="589"/>
      <c r="I2839" s="589"/>
      <c r="J2839" s="589"/>
      <c r="K2839" s="589"/>
      <c r="L2839" s="589"/>
      <c r="M2839" s="589"/>
      <c r="N2839" s="589"/>
      <c r="O2839" s="589"/>
      <c r="P2839" s="589"/>
      <c r="Q2839" s="589"/>
      <c r="R2839" s="589"/>
      <c r="W2839" t="s">
        <v>2047</v>
      </c>
    </row>
    <row r="2840" spans="1:23" ht="13.15" customHeight="1" x14ac:dyDescent="0.2">
      <c r="A2840" s="2" t="s">
        <v>2203</v>
      </c>
      <c r="B2840" s="2">
        <f t="shared" si="86"/>
        <v>2022</v>
      </c>
      <c r="C2840" s="2" t="str">
        <f t="shared" si="87"/>
        <v>KZN226</v>
      </c>
      <c r="D2840" s="612">
        <v>2</v>
      </c>
      <c r="E2840" s="5">
        <v>43</v>
      </c>
      <c r="F2840" s="628" t="s">
        <v>987</v>
      </c>
      <c r="G2840" s="589"/>
      <c r="H2840" s="589"/>
      <c r="I2840" s="589"/>
      <c r="J2840" s="589"/>
      <c r="K2840" s="589"/>
      <c r="L2840" s="589"/>
      <c r="M2840" s="589"/>
      <c r="N2840" s="589"/>
      <c r="O2840" s="589"/>
      <c r="P2840" s="589"/>
      <c r="Q2840" s="589"/>
      <c r="R2840" s="589"/>
      <c r="W2840" t="s">
        <v>2047</v>
      </c>
    </row>
    <row r="2841" spans="1:23" ht="13.15" customHeight="1" x14ac:dyDescent="0.2">
      <c r="A2841" s="2" t="s">
        <v>2203</v>
      </c>
      <c r="B2841" s="2">
        <f t="shared" si="86"/>
        <v>2022</v>
      </c>
      <c r="C2841" s="2" t="str">
        <f t="shared" si="87"/>
        <v>KZN226</v>
      </c>
      <c r="D2841" s="612">
        <v>2</v>
      </c>
      <c r="E2841" s="5">
        <v>44</v>
      </c>
      <c r="F2841" s="628" t="s">
        <v>988</v>
      </c>
      <c r="G2841" s="589"/>
      <c r="H2841" s="589"/>
      <c r="I2841" s="589"/>
      <c r="J2841" s="589"/>
      <c r="K2841" s="589"/>
      <c r="L2841" s="589"/>
      <c r="M2841" s="589"/>
      <c r="N2841" s="589"/>
      <c r="O2841" s="589"/>
      <c r="P2841" s="589"/>
      <c r="Q2841" s="589"/>
      <c r="R2841" s="589"/>
      <c r="W2841" t="s">
        <v>2047</v>
      </c>
    </row>
    <row r="2842" spans="1:23" ht="13.15" customHeight="1" x14ac:dyDescent="0.2">
      <c r="A2842" s="2" t="s">
        <v>2203</v>
      </c>
      <c r="B2842" s="2">
        <f t="shared" si="86"/>
        <v>2022</v>
      </c>
      <c r="C2842" s="2" t="str">
        <f t="shared" si="87"/>
        <v>KZN226</v>
      </c>
      <c r="D2842" s="612">
        <v>2</v>
      </c>
      <c r="E2842" s="5">
        <v>45</v>
      </c>
      <c r="F2842" s="628" t="s">
        <v>245</v>
      </c>
      <c r="G2842" s="589"/>
      <c r="H2842" s="589"/>
      <c r="I2842" s="589"/>
      <c r="J2842" s="589"/>
      <c r="K2842" s="589"/>
      <c r="L2842" s="589"/>
      <c r="M2842" s="589"/>
      <c r="N2842" s="589"/>
      <c r="O2842" s="589"/>
      <c r="P2842" s="589"/>
      <c r="Q2842" s="589"/>
      <c r="R2842" s="589"/>
      <c r="W2842" t="s">
        <v>2047</v>
      </c>
    </row>
    <row r="2843" spans="1:23" ht="13.15" customHeight="1" x14ac:dyDescent="0.2">
      <c r="A2843" s="2" t="s">
        <v>2203</v>
      </c>
      <c r="B2843" s="2">
        <f t="shared" si="86"/>
        <v>2022</v>
      </c>
      <c r="C2843" s="2" t="str">
        <f t="shared" si="87"/>
        <v>KZN226</v>
      </c>
      <c r="D2843" s="612"/>
      <c r="E2843" s="5"/>
      <c r="F2843" s="624" t="s">
        <v>2205</v>
      </c>
      <c r="G2843" s="589"/>
      <c r="H2843" s="589"/>
      <c r="I2843" s="589"/>
      <c r="J2843" s="589"/>
      <c r="K2843" s="589"/>
      <c r="L2843" s="589"/>
      <c r="M2843" s="589"/>
      <c r="N2843" s="589"/>
      <c r="O2843" s="589"/>
      <c r="P2843" s="589"/>
      <c r="Q2843" s="589"/>
      <c r="R2843" s="589"/>
      <c r="W2843" t="s">
        <v>2047</v>
      </c>
    </row>
    <row r="2844" spans="1:23" ht="13.15" customHeight="1" x14ac:dyDescent="0.2">
      <c r="A2844" s="2" t="s">
        <v>2206</v>
      </c>
      <c r="B2844" s="2">
        <f t="shared" si="86"/>
        <v>2022</v>
      </c>
      <c r="C2844" s="2" t="str">
        <f t="shared" si="87"/>
        <v>KZN226</v>
      </c>
      <c r="D2844" s="591"/>
      <c r="E2844" s="2"/>
      <c r="F2844" s="2" t="s">
        <v>1075</v>
      </c>
      <c r="G2844" s="589"/>
      <c r="H2844" s="589"/>
      <c r="I2844" s="589"/>
      <c r="J2844" s="589"/>
      <c r="K2844" s="589"/>
      <c r="L2844" s="589"/>
      <c r="M2844" s="589"/>
      <c r="N2844" s="589"/>
      <c r="O2844" s="589"/>
      <c r="P2844" s="589"/>
      <c r="Q2844" s="589"/>
      <c r="R2844" s="589"/>
      <c r="W2844" t="s">
        <v>2047</v>
      </c>
    </row>
    <row r="2845" spans="1:23" ht="13.15" customHeight="1" x14ac:dyDescent="0.2">
      <c r="A2845" s="2" t="s">
        <v>2206</v>
      </c>
      <c r="B2845" s="2">
        <f t="shared" si="86"/>
        <v>2022</v>
      </c>
      <c r="C2845" s="2" t="str">
        <f t="shared" si="87"/>
        <v>KZN226</v>
      </c>
      <c r="D2845" s="591"/>
      <c r="E2845" s="2"/>
      <c r="F2845" s="622" t="s">
        <v>985</v>
      </c>
      <c r="G2845" s="589"/>
      <c r="H2845" s="589"/>
      <c r="I2845" s="589"/>
      <c r="J2845" s="589"/>
      <c r="K2845" s="589"/>
      <c r="L2845" s="589"/>
      <c r="M2845" s="589"/>
      <c r="N2845" s="589"/>
      <c r="O2845" s="589"/>
      <c r="P2845" s="589"/>
      <c r="Q2845" s="589"/>
      <c r="R2845" s="589"/>
      <c r="W2845" t="s">
        <v>2047</v>
      </c>
    </row>
    <row r="2846" spans="1:23" ht="13.15" customHeight="1" x14ac:dyDescent="0.2">
      <c r="A2846" s="2" t="s">
        <v>2206</v>
      </c>
      <c r="B2846" s="2">
        <f t="shared" si="86"/>
        <v>2022</v>
      </c>
      <c r="C2846" s="2" t="str">
        <f t="shared" si="87"/>
        <v>KZN226</v>
      </c>
      <c r="D2846" s="591">
        <v>1</v>
      </c>
      <c r="E2846" s="2">
        <v>11</v>
      </c>
      <c r="F2846" s="622" t="s">
        <v>119</v>
      </c>
      <c r="G2846" s="589"/>
      <c r="H2846" s="589"/>
      <c r="I2846" s="589"/>
      <c r="J2846" s="589"/>
      <c r="K2846" s="589"/>
      <c r="L2846" s="589"/>
      <c r="M2846" s="589"/>
      <c r="N2846" s="589"/>
      <c r="O2846" s="589"/>
      <c r="P2846" s="589"/>
      <c r="Q2846" s="589"/>
      <c r="R2846" s="589"/>
      <c r="W2846" t="s">
        <v>2047</v>
      </c>
    </row>
    <row r="2847" spans="1:23" ht="13.15" customHeight="1" x14ac:dyDescent="0.2">
      <c r="A2847" s="2" t="s">
        <v>2206</v>
      </c>
      <c r="B2847" s="2">
        <f t="shared" si="86"/>
        <v>2022</v>
      </c>
      <c r="C2847" s="2" t="str">
        <f t="shared" si="87"/>
        <v>KZN226</v>
      </c>
      <c r="D2847" s="591">
        <v>1</v>
      </c>
      <c r="E2847" s="2">
        <v>12</v>
      </c>
      <c r="F2847" s="622" t="s">
        <v>120</v>
      </c>
      <c r="G2847" s="589"/>
      <c r="H2847" s="589"/>
      <c r="I2847" s="589"/>
      <c r="J2847" s="589"/>
      <c r="K2847" s="589"/>
      <c r="L2847" s="589"/>
      <c r="M2847" s="589"/>
      <c r="N2847" s="589"/>
      <c r="O2847" s="589"/>
      <c r="P2847" s="589"/>
      <c r="Q2847" s="589"/>
      <c r="R2847" s="589"/>
      <c r="W2847" t="s">
        <v>2047</v>
      </c>
    </row>
    <row r="2848" spans="1:23" ht="13.15" customHeight="1" x14ac:dyDescent="0.2">
      <c r="A2848" s="2" t="s">
        <v>2206</v>
      </c>
      <c r="B2848" s="2">
        <f t="shared" si="86"/>
        <v>2022</v>
      </c>
      <c r="C2848" s="2" t="str">
        <f t="shared" si="87"/>
        <v>KZN226</v>
      </c>
      <c r="D2848" s="591">
        <v>1</v>
      </c>
      <c r="E2848" s="2">
        <v>13</v>
      </c>
      <c r="F2848" s="622" t="s">
        <v>121</v>
      </c>
      <c r="G2848" s="589"/>
      <c r="H2848" s="589"/>
      <c r="I2848" s="589"/>
      <c r="J2848" s="589"/>
      <c r="K2848" s="589"/>
      <c r="L2848" s="589"/>
      <c r="M2848" s="589"/>
      <c r="N2848" s="589"/>
      <c r="O2848" s="589"/>
      <c r="P2848" s="589"/>
      <c r="Q2848" s="589"/>
      <c r="R2848" s="589"/>
      <c r="W2848" t="s">
        <v>2047</v>
      </c>
    </row>
    <row r="2849" spans="1:23" ht="13.15" customHeight="1" x14ac:dyDescent="0.2">
      <c r="A2849" s="2" t="s">
        <v>2206</v>
      </c>
      <c r="B2849" s="2">
        <f t="shared" si="86"/>
        <v>2022</v>
      </c>
      <c r="C2849" s="2" t="str">
        <f t="shared" si="87"/>
        <v>KZN226</v>
      </c>
      <c r="D2849" s="591"/>
      <c r="E2849" s="2"/>
      <c r="F2849" s="622" t="s">
        <v>122</v>
      </c>
      <c r="G2849" s="589"/>
      <c r="H2849" s="589"/>
      <c r="I2849" s="589"/>
      <c r="J2849" s="589"/>
      <c r="K2849" s="589"/>
      <c r="L2849" s="589"/>
      <c r="M2849" s="589"/>
      <c r="N2849" s="589"/>
      <c r="O2849" s="589"/>
      <c r="P2849" s="589"/>
      <c r="Q2849" s="589"/>
      <c r="R2849" s="589"/>
      <c r="W2849" t="s">
        <v>2047</v>
      </c>
    </row>
    <row r="2850" spans="1:23" ht="13.15" customHeight="1" x14ac:dyDescent="0.2">
      <c r="A2850" s="2" t="s">
        <v>2206</v>
      </c>
      <c r="B2850" s="2">
        <f t="shared" si="86"/>
        <v>2022</v>
      </c>
      <c r="C2850" s="2" t="str">
        <f t="shared" si="87"/>
        <v>KZN226</v>
      </c>
      <c r="D2850" s="591">
        <v>1</v>
      </c>
      <c r="E2850" s="2">
        <v>21</v>
      </c>
      <c r="F2850" s="622" t="s">
        <v>123</v>
      </c>
      <c r="G2850" s="589"/>
      <c r="H2850" s="589"/>
      <c r="I2850" s="589"/>
      <c r="J2850" s="589"/>
      <c r="K2850" s="589"/>
      <c r="L2850" s="589"/>
      <c r="M2850" s="589"/>
      <c r="N2850" s="589"/>
      <c r="O2850" s="589"/>
      <c r="P2850" s="589"/>
      <c r="Q2850" s="589"/>
      <c r="R2850" s="589"/>
      <c r="W2850" t="s">
        <v>2047</v>
      </c>
    </row>
    <row r="2851" spans="1:23" ht="13.15" customHeight="1" x14ac:dyDescent="0.2">
      <c r="A2851" s="2" t="s">
        <v>2206</v>
      </c>
      <c r="B2851" s="2">
        <f t="shared" si="86"/>
        <v>2022</v>
      </c>
      <c r="C2851" s="2" t="str">
        <f t="shared" si="87"/>
        <v>KZN226</v>
      </c>
      <c r="D2851" s="591">
        <v>1</v>
      </c>
      <c r="E2851" s="2">
        <v>22</v>
      </c>
      <c r="F2851" s="622" t="s">
        <v>124</v>
      </c>
      <c r="G2851" s="589"/>
      <c r="H2851" s="589"/>
      <c r="I2851" s="589"/>
      <c r="J2851" s="589"/>
      <c r="K2851" s="589"/>
      <c r="L2851" s="589"/>
      <c r="M2851" s="589"/>
      <c r="N2851" s="589"/>
      <c r="O2851" s="589"/>
      <c r="P2851" s="589"/>
      <c r="Q2851" s="589"/>
      <c r="R2851" s="589"/>
      <c r="W2851" t="s">
        <v>2047</v>
      </c>
    </row>
    <row r="2852" spans="1:23" ht="13.15" customHeight="1" x14ac:dyDescent="0.2">
      <c r="A2852" s="2" t="s">
        <v>2206</v>
      </c>
      <c r="B2852" s="2">
        <f t="shared" si="86"/>
        <v>2022</v>
      </c>
      <c r="C2852" s="2" t="str">
        <f t="shared" si="87"/>
        <v>KZN226</v>
      </c>
      <c r="D2852" s="591">
        <v>1</v>
      </c>
      <c r="E2852" s="2">
        <v>23</v>
      </c>
      <c r="F2852" s="622" t="s">
        <v>125</v>
      </c>
      <c r="G2852" s="589"/>
      <c r="H2852" s="589"/>
      <c r="I2852" s="589"/>
      <c r="J2852" s="589"/>
      <c r="K2852" s="589"/>
      <c r="L2852" s="589"/>
      <c r="M2852" s="589"/>
      <c r="N2852" s="589"/>
      <c r="O2852" s="589"/>
      <c r="P2852" s="589"/>
      <c r="Q2852" s="589"/>
      <c r="R2852" s="589"/>
      <c r="W2852" t="s">
        <v>2047</v>
      </c>
    </row>
    <row r="2853" spans="1:23" ht="13.15" customHeight="1" x14ac:dyDescent="0.2">
      <c r="A2853" s="2" t="s">
        <v>2206</v>
      </c>
      <c r="B2853" s="2">
        <f t="shared" si="86"/>
        <v>2022</v>
      </c>
      <c r="C2853" s="2" t="str">
        <f t="shared" si="87"/>
        <v>KZN226</v>
      </c>
      <c r="D2853" s="591">
        <v>1</v>
      </c>
      <c r="E2853" s="2">
        <v>24</v>
      </c>
      <c r="F2853" s="622" t="s">
        <v>1487</v>
      </c>
      <c r="G2853" s="589"/>
      <c r="H2853" s="589"/>
      <c r="I2853" s="589"/>
      <c r="J2853" s="589"/>
      <c r="K2853" s="589"/>
      <c r="L2853" s="589"/>
      <c r="M2853" s="589"/>
      <c r="N2853" s="589"/>
      <c r="O2853" s="589"/>
      <c r="P2853" s="589"/>
      <c r="Q2853" s="589"/>
      <c r="R2853" s="589"/>
      <c r="W2853" t="s">
        <v>2047</v>
      </c>
    </row>
    <row r="2854" spans="1:23" ht="13.15" customHeight="1" x14ac:dyDescent="0.2">
      <c r="A2854" s="2" t="s">
        <v>2206</v>
      </c>
      <c r="B2854" s="2">
        <f t="shared" si="86"/>
        <v>2022</v>
      </c>
      <c r="C2854" s="2" t="str">
        <f t="shared" si="87"/>
        <v>KZN226</v>
      </c>
      <c r="D2854" s="591">
        <v>1</v>
      </c>
      <c r="E2854" s="2">
        <v>25</v>
      </c>
      <c r="F2854" s="622" t="s">
        <v>1551</v>
      </c>
      <c r="G2854" s="589"/>
      <c r="H2854" s="589"/>
      <c r="I2854" s="589"/>
      <c r="J2854" s="589"/>
      <c r="K2854" s="589"/>
      <c r="L2854" s="589"/>
      <c r="M2854" s="589"/>
      <c r="N2854" s="589"/>
      <c r="O2854" s="589"/>
      <c r="P2854" s="589"/>
      <c r="Q2854" s="589"/>
      <c r="R2854" s="589"/>
      <c r="W2854" t="s">
        <v>2047</v>
      </c>
    </row>
    <row r="2855" spans="1:23" ht="13.15" customHeight="1" x14ac:dyDescent="0.2">
      <c r="A2855" s="2" t="s">
        <v>2206</v>
      </c>
      <c r="B2855" s="2">
        <f t="shared" si="86"/>
        <v>2022</v>
      </c>
      <c r="C2855" s="2" t="str">
        <f t="shared" si="87"/>
        <v>KZN226</v>
      </c>
      <c r="D2855" s="591"/>
      <c r="E2855" s="2"/>
      <c r="F2855" s="622" t="s">
        <v>126</v>
      </c>
      <c r="G2855" s="589"/>
      <c r="H2855" s="589"/>
      <c r="I2855" s="589"/>
      <c r="J2855" s="589"/>
      <c r="K2855" s="589"/>
      <c r="L2855" s="589"/>
      <c r="M2855" s="589"/>
      <c r="N2855" s="589"/>
      <c r="O2855" s="589"/>
      <c r="P2855" s="589"/>
      <c r="Q2855" s="589"/>
      <c r="R2855" s="589"/>
      <c r="W2855" t="s">
        <v>2047</v>
      </c>
    </row>
    <row r="2856" spans="1:23" ht="13.15" customHeight="1" x14ac:dyDescent="0.2">
      <c r="A2856" s="2" t="s">
        <v>2206</v>
      </c>
      <c r="B2856" s="2">
        <f t="shared" ref="B2856:B2876" si="88">+MTREF</f>
        <v>2022</v>
      </c>
      <c r="C2856" s="2" t="str">
        <f t="shared" ref="C2856:C2876" si="89">LEFT(muni,(FIND(" ",muni,1)-1))</f>
        <v>KZN226</v>
      </c>
      <c r="D2856" s="591">
        <v>1</v>
      </c>
      <c r="E2856" s="2">
        <v>31</v>
      </c>
      <c r="F2856" s="622" t="s">
        <v>127</v>
      </c>
      <c r="G2856" s="589"/>
      <c r="H2856" s="589"/>
      <c r="I2856" s="589"/>
      <c r="J2856" s="589"/>
      <c r="K2856" s="589"/>
      <c r="L2856" s="589"/>
      <c r="M2856" s="589"/>
      <c r="N2856" s="589"/>
      <c r="O2856" s="589"/>
      <c r="P2856" s="589"/>
      <c r="Q2856" s="589"/>
      <c r="R2856" s="589"/>
      <c r="W2856" t="s">
        <v>2047</v>
      </c>
    </row>
    <row r="2857" spans="1:23" ht="13.15" customHeight="1" x14ac:dyDescent="0.2">
      <c r="A2857" s="2" t="s">
        <v>2206</v>
      </c>
      <c r="B2857" s="2">
        <f t="shared" si="88"/>
        <v>2022</v>
      </c>
      <c r="C2857" s="2" t="str">
        <f t="shared" si="89"/>
        <v>KZN226</v>
      </c>
      <c r="D2857" s="591">
        <v>1</v>
      </c>
      <c r="E2857" s="2">
        <v>32</v>
      </c>
      <c r="F2857" s="622" t="s">
        <v>128</v>
      </c>
      <c r="G2857" s="589"/>
      <c r="H2857" s="589"/>
      <c r="I2857" s="589"/>
      <c r="J2857" s="589"/>
      <c r="K2857" s="589"/>
      <c r="L2857" s="589"/>
      <c r="M2857" s="589"/>
      <c r="N2857" s="589"/>
      <c r="O2857" s="589"/>
      <c r="P2857" s="589"/>
      <c r="Q2857" s="589"/>
      <c r="R2857" s="589"/>
      <c r="W2857" t="s">
        <v>2047</v>
      </c>
    </row>
    <row r="2858" spans="1:23" ht="13.15" customHeight="1" x14ac:dyDescent="0.2">
      <c r="A2858" s="2" t="s">
        <v>2206</v>
      </c>
      <c r="B2858" s="2">
        <f t="shared" si="88"/>
        <v>2022</v>
      </c>
      <c r="C2858" s="2" t="str">
        <f t="shared" si="89"/>
        <v>KZN226</v>
      </c>
      <c r="D2858" s="591">
        <v>1</v>
      </c>
      <c r="E2858" s="2">
        <v>33</v>
      </c>
      <c r="F2858" s="622" t="s">
        <v>129</v>
      </c>
      <c r="G2858" s="589"/>
      <c r="H2858" s="589"/>
      <c r="I2858" s="589"/>
      <c r="J2858" s="589"/>
      <c r="K2858" s="589"/>
      <c r="L2858" s="589"/>
      <c r="M2858" s="589"/>
      <c r="N2858" s="589"/>
      <c r="O2858" s="589"/>
      <c r="P2858" s="589"/>
      <c r="Q2858" s="589"/>
      <c r="R2858" s="589"/>
      <c r="W2858" t="s">
        <v>2047</v>
      </c>
    </row>
    <row r="2859" spans="1:23" ht="13.15" customHeight="1" x14ac:dyDescent="0.2">
      <c r="A2859" s="2" t="s">
        <v>2206</v>
      </c>
      <c r="B2859" s="2">
        <f t="shared" si="88"/>
        <v>2022</v>
      </c>
      <c r="C2859" s="2" t="str">
        <f t="shared" si="89"/>
        <v>KZN226</v>
      </c>
      <c r="D2859" s="591"/>
      <c r="E2859" s="2"/>
      <c r="F2859" s="622" t="s">
        <v>130</v>
      </c>
      <c r="G2859" s="589"/>
      <c r="H2859" s="589"/>
      <c r="I2859" s="589"/>
      <c r="J2859" s="589"/>
      <c r="K2859" s="589"/>
      <c r="L2859" s="589"/>
      <c r="M2859" s="589"/>
      <c r="N2859" s="589"/>
      <c r="O2859" s="589"/>
      <c r="P2859" s="589"/>
      <c r="Q2859" s="589"/>
      <c r="R2859" s="589"/>
      <c r="W2859" t="s">
        <v>2047</v>
      </c>
    </row>
    <row r="2860" spans="1:23" ht="13.15" customHeight="1" x14ac:dyDescent="0.2">
      <c r="A2860" s="2" t="s">
        <v>2206</v>
      </c>
      <c r="B2860" s="2">
        <f t="shared" si="88"/>
        <v>2022</v>
      </c>
      <c r="C2860" s="2" t="str">
        <f t="shared" si="89"/>
        <v>KZN226</v>
      </c>
      <c r="D2860" s="591">
        <v>1</v>
      </c>
      <c r="E2860" s="2">
        <v>41</v>
      </c>
      <c r="F2860" s="622" t="s">
        <v>555</v>
      </c>
      <c r="G2860" s="589"/>
      <c r="H2860" s="589"/>
      <c r="I2860" s="589"/>
      <c r="J2860" s="589"/>
      <c r="K2860" s="589"/>
      <c r="L2860" s="589"/>
      <c r="M2860" s="589"/>
      <c r="N2860" s="589"/>
      <c r="O2860" s="589"/>
      <c r="P2860" s="589"/>
      <c r="Q2860" s="589"/>
      <c r="R2860" s="589"/>
      <c r="W2860" t="s">
        <v>2047</v>
      </c>
    </row>
    <row r="2861" spans="1:23" ht="13.15" customHeight="1" x14ac:dyDescent="0.2">
      <c r="A2861" s="2" t="s">
        <v>2206</v>
      </c>
      <c r="B2861" s="2">
        <f t="shared" si="88"/>
        <v>2022</v>
      </c>
      <c r="C2861" s="2" t="str">
        <f t="shared" si="89"/>
        <v>KZN226</v>
      </c>
      <c r="D2861" s="591">
        <v>1</v>
      </c>
      <c r="E2861" s="2">
        <v>42</v>
      </c>
      <c r="F2861" s="622" t="s">
        <v>820</v>
      </c>
      <c r="G2861" s="589"/>
      <c r="H2861" s="589"/>
      <c r="I2861" s="589"/>
      <c r="J2861" s="589"/>
      <c r="K2861" s="589"/>
      <c r="L2861" s="589"/>
      <c r="M2861" s="589"/>
      <c r="N2861" s="589"/>
      <c r="O2861" s="589"/>
      <c r="P2861" s="589"/>
      <c r="Q2861" s="589"/>
      <c r="R2861" s="589"/>
      <c r="W2861" t="s">
        <v>2047</v>
      </c>
    </row>
    <row r="2862" spans="1:23" ht="13.15" customHeight="1" x14ac:dyDescent="0.2">
      <c r="A2862" s="2" t="s">
        <v>2206</v>
      </c>
      <c r="B2862" s="2">
        <f t="shared" si="88"/>
        <v>2022</v>
      </c>
      <c r="C2862" s="2" t="str">
        <f t="shared" si="89"/>
        <v>KZN226</v>
      </c>
      <c r="D2862" s="591">
        <v>1</v>
      </c>
      <c r="E2862" s="2">
        <v>43</v>
      </c>
      <c r="F2862" s="623" t="s">
        <v>987</v>
      </c>
      <c r="G2862" s="589"/>
      <c r="H2862" s="589"/>
      <c r="I2862" s="589"/>
      <c r="J2862" s="589"/>
      <c r="K2862" s="589"/>
      <c r="L2862" s="589"/>
      <c r="M2862" s="589"/>
      <c r="N2862" s="589"/>
      <c r="O2862" s="589"/>
      <c r="P2862" s="589"/>
      <c r="Q2862" s="589"/>
      <c r="R2862" s="589"/>
      <c r="W2862" t="s">
        <v>2047</v>
      </c>
    </row>
    <row r="2863" spans="1:23" ht="13.15" customHeight="1" x14ac:dyDescent="0.2">
      <c r="A2863" s="2" t="s">
        <v>2206</v>
      </c>
      <c r="B2863" s="2">
        <f t="shared" si="88"/>
        <v>2022</v>
      </c>
      <c r="C2863" s="2" t="str">
        <f t="shared" si="89"/>
        <v>KZN226</v>
      </c>
      <c r="D2863" s="591">
        <v>1</v>
      </c>
      <c r="E2863" s="2">
        <v>44</v>
      </c>
      <c r="F2863" s="623" t="s">
        <v>988</v>
      </c>
      <c r="G2863" s="589"/>
      <c r="H2863" s="589"/>
      <c r="I2863" s="589"/>
      <c r="J2863" s="589"/>
      <c r="K2863" s="589"/>
      <c r="L2863" s="589"/>
      <c r="M2863" s="589"/>
      <c r="N2863" s="589"/>
      <c r="O2863" s="589"/>
      <c r="P2863" s="589"/>
      <c r="Q2863" s="589"/>
      <c r="R2863" s="589"/>
      <c r="W2863" t="s">
        <v>2047</v>
      </c>
    </row>
    <row r="2864" spans="1:23" ht="13.15" customHeight="1" x14ac:dyDescent="0.2">
      <c r="A2864" s="2" t="s">
        <v>2206</v>
      </c>
      <c r="B2864" s="2">
        <f t="shared" si="88"/>
        <v>2022</v>
      </c>
      <c r="C2864" s="2" t="str">
        <f t="shared" si="89"/>
        <v>KZN226</v>
      </c>
      <c r="D2864" s="591">
        <v>1</v>
      </c>
      <c r="E2864" s="2">
        <v>45</v>
      </c>
      <c r="F2864" s="623" t="s">
        <v>245</v>
      </c>
      <c r="G2864" s="589"/>
      <c r="H2864" s="589"/>
      <c r="I2864" s="589"/>
      <c r="J2864" s="589"/>
      <c r="K2864" s="589"/>
      <c r="L2864" s="589"/>
      <c r="M2864" s="589"/>
      <c r="N2864" s="589"/>
      <c r="O2864" s="589"/>
      <c r="P2864" s="589"/>
      <c r="Q2864" s="589"/>
      <c r="R2864" s="589"/>
      <c r="W2864" t="s">
        <v>2047</v>
      </c>
    </row>
    <row r="2865" spans="1:23" ht="13.15" customHeight="1" x14ac:dyDescent="0.2">
      <c r="A2865" s="2" t="s">
        <v>2206</v>
      </c>
      <c r="B2865" s="2">
        <f t="shared" si="88"/>
        <v>2022</v>
      </c>
      <c r="C2865" s="2" t="str">
        <f t="shared" si="89"/>
        <v>KZN226</v>
      </c>
      <c r="D2865" s="591"/>
      <c r="E2865" s="2"/>
      <c r="F2865" s="623" t="s">
        <v>1076</v>
      </c>
      <c r="G2865" s="589"/>
      <c r="H2865" s="589"/>
      <c r="I2865" s="589"/>
      <c r="J2865" s="589"/>
      <c r="K2865" s="589"/>
      <c r="L2865" s="589"/>
      <c r="M2865" s="589"/>
      <c r="N2865" s="589"/>
      <c r="O2865" s="589"/>
      <c r="P2865" s="589"/>
      <c r="Q2865" s="589"/>
      <c r="R2865" s="589"/>
      <c r="W2865" t="s">
        <v>2047</v>
      </c>
    </row>
    <row r="2866" spans="1:23" ht="13.15" customHeight="1" x14ac:dyDescent="0.2">
      <c r="A2866" s="2" t="s">
        <v>2206</v>
      </c>
      <c r="B2866" s="2">
        <f t="shared" si="88"/>
        <v>2022</v>
      </c>
      <c r="C2866" s="2" t="str">
        <f t="shared" si="89"/>
        <v>KZN226</v>
      </c>
      <c r="D2866" s="591"/>
      <c r="E2866" s="2"/>
      <c r="F2866" s="2"/>
      <c r="G2866" s="589"/>
      <c r="H2866" s="589"/>
      <c r="I2866" s="589"/>
      <c r="J2866" s="589"/>
      <c r="K2866" s="589"/>
      <c r="L2866" s="589"/>
      <c r="M2866" s="589"/>
      <c r="N2866" s="589"/>
      <c r="O2866" s="589"/>
      <c r="P2866" s="589"/>
      <c r="Q2866" s="589"/>
      <c r="R2866" s="589"/>
      <c r="W2866" t="s">
        <v>2047</v>
      </c>
    </row>
    <row r="2867" spans="1:23" ht="13.15" customHeight="1" x14ac:dyDescent="0.25">
      <c r="A2867" s="2" t="s">
        <v>2206</v>
      </c>
      <c r="B2867" s="2">
        <f t="shared" si="88"/>
        <v>2022</v>
      </c>
      <c r="C2867" s="2" t="str">
        <f t="shared" si="89"/>
        <v>KZN226</v>
      </c>
      <c r="D2867" s="591">
        <v>2</v>
      </c>
      <c r="E2867" s="2">
        <v>50</v>
      </c>
      <c r="F2867" s="629" t="s">
        <v>422</v>
      </c>
      <c r="G2867" s="589"/>
      <c r="H2867" s="589"/>
      <c r="I2867" s="589"/>
      <c r="J2867" s="589"/>
      <c r="K2867" s="589"/>
      <c r="L2867" s="589"/>
      <c r="M2867" s="589"/>
      <c r="N2867" s="589"/>
      <c r="O2867" s="589"/>
      <c r="P2867" s="589"/>
      <c r="Q2867" s="589"/>
      <c r="R2867" s="589"/>
      <c r="W2867" t="s">
        <v>2047</v>
      </c>
    </row>
    <row r="2868" spans="1:23" ht="13.15" customHeight="1" x14ac:dyDescent="0.25">
      <c r="A2868" s="2" t="s">
        <v>2206</v>
      </c>
      <c r="B2868" s="2">
        <f t="shared" si="88"/>
        <v>2022</v>
      </c>
      <c r="C2868" s="2" t="str">
        <f t="shared" si="89"/>
        <v>KZN226</v>
      </c>
      <c r="D2868" s="591">
        <v>2</v>
      </c>
      <c r="E2868" s="2">
        <v>51</v>
      </c>
      <c r="F2868" s="629" t="s">
        <v>1355</v>
      </c>
      <c r="G2868" s="589"/>
      <c r="H2868" s="589"/>
      <c r="I2868" s="589"/>
      <c r="J2868" s="589"/>
      <c r="K2868" s="589"/>
      <c r="L2868" s="589"/>
      <c r="M2868" s="589"/>
      <c r="N2868" s="589"/>
      <c r="O2868" s="589"/>
      <c r="P2868" s="589"/>
      <c r="Q2868" s="589"/>
      <c r="R2868" s="589"/>
      <c r="W2868" t="s">
        <v>2047</v>
      </c>
    </row>
    <row r="2869" spans="1:23" ht="13.15" customHeight="1" x14ac:dyDescent="0.25">
      <c r="A2869" s="2" t="s">
        <v>2206</v>
      </c>
      <c r="B2869" s="2">
        <f t="shared" si="88"/>
        <v>2022</v>
      </c>
      <c r="C2869" s="2" t="str">
        <f t="shared" si="89"/>
        <v>KZN226</v>
      </c>
      <c r="D2869" s="591">
        <v>2</v>
      </c>
      <c r="E2869" s="2">
        <v>52</v>
      </c>
      <c r="F2869" s="629" t="s">
        <v>469</v>
      </c>
      <c r="G2869" s="589"/>
      <c r="H2869" s="589"/>
      <c r="I2869" s="589"/>
      <c r="J2869" s="589"/>
      <c r="K2869" s="589"/>
      <c r="L2869" s="589"/>
      <c r="M2869" s="589"/>
      <c r="N2869" s="589"/>
      <c r="O2869" s="589"/>
      <c r="P2869" s="589"/>
      <c r="Q2869" s="589"/>
      <c r="R2869" s="589"/>
      <c r="W2869" t="s">
        <v>2047</v>
      </c>
    </row>
    <row r="2870" spans="1:23" ht="13.15" customHeight="1" x14ac:dyDescent="0.25">
      <c r="A2870" s="2" t="s">
        <v>2206</v>
      </c>
      <c r="B2870" s="2">
        <f t="shared" si="88"/>
        <v>2022</v>
      </c>
      <c r="C2870" s="2" t="str">
        <f t="shared" si="89"/>
        <v>KZN226</v>
      </c>
      <c r="D2870" s="591">
        <v>2</v>
      </c>
      <c r="E2870" s="2">
        <v>53</v>
      </c>
      <c r="F2870" s="629" t="s">
        <v>470</v>
      </c>
      <c r="G2870" s="589"/>
      <c r="H2870" s="589"/>
      <c r="I2870" s="589"/>
      <c r="J2870" s="589"/>
      <c r="K2870" s="589"/>
      <c r="L2870" s="589"/>
      <c r="M2870" s="589"/>
      <c r="N2870" s="589"/>
      <c r="O2870" s="589"/>
      <c r="P2870" s="589"/>
      <c r="Q2870" s="589"/>
      <c r="R2870" s="589"/>
      <c r="W2870" t="s">
        <v>2047</v>
      </c>
    </row>
    <row r="2871" spans="1:23" ht="13.15" customHeight="1" x14ac:dyDescent="0.25">
      <c r="A2871" s="2" t="s">
        <v>2206</v>
      </c>
      <c r="B2871" s="2">
        <f t="shared" si="88"/>
        <v>2022</v>
      </c>
      <c r="C2871" s="2" t="str">
        <f t="shared" si="89"/>
        <v>KZN226</v>
      </c>
      <c r="D2871" s="591">
        <v>2</v>
      </c>
      <c r="E2871" s="2">
        <v>54</v>
      </c>
      <c r="F2871" s="630" t="s">
        <v>898</v>
      </c>
      <c r="G2871" s="589"/>
      <c r="H2871" s="589"/>
      <c r="I2871" s="589"/>
      <c r="J2871" s="589"/>
      <c r="K2871" s="589"/>
      <c r="L2871" s="589"/>
      <c r="M2871" s="589"/>
      <c r="N2871" s="589"/>
      <c r="O2871" s="589"/>
      <c r="P2871" s="589"/>
      <c r="Q2871" s="589"/>
      <c r="R2871" s="589"/>
      <c r="W2871" t="s">
        <v>2047</v>
      </c>
    </row>
    <row r="2872" spans="1:23" ht="13.15" customHeight="1" x14ac:dyDescent="0.25">
      <c r="A2872" s="2" t="s">
        <v>2206</v>
      </c>
      <c r="B2872" s="2">
        <f t="shared" si="88"/>
        <v>2022</v>
      </c>
      <c r="C2872" s="2" t="str">
        <f t="shared" si="89"/>
        <v>KZN226</v>
      </c>
      <c r="D2872" s="591">
        <v>2</v>
      </c>
      <c r="E2872" s="2">
        <v>55</v>
      </c>
      <c r="F2872" s="630" t="s">
        <v>1173</v>
      </c>
      <c r="G2872" s="589"/>
      <c r="H2872" s="589"/>
      <c r="I2872" s="589"/>
      <c r="J2872" s="589"/>
      <c r="K2872" s="589"/>
      <c r="L2872" s="589"/>
      <c r="M2872" s="589"/>
      <c r="N2872" s="589"/>
      <c r="O2872" s="589"/>
      <c r="P2872" s="589"/>
      <c r="Q2872" s="589"/>
      <c r="R2872" s="589"/>
      <c r="W2872" t="s">
        <v>2047</v>
      </c>
    </row>
    <row r="2873" spans="1:23" ht="13.15" customHeight="1" x14ac:dyDescent="0.25">
      <c r="A2873" s="2" t="s">
        <v>2206</v>
      </c>
      <c r="B2873" s="2">
        <f t="shared" si="88"/>
        <v>2022</v>
      </c>
      <c r="C2873" s="2" t="str">
        <f t="shared" si="89"/>
        <v>KZN226</v>
      </c>
      <c r="D2873" s="591">
        <v>2</v>
      </c>
      <c r="E2873" s="2">
        <v>56</v>
      </c>
      <c r="F2873" s="629" t="s">
        <v>390</v>
      </c>
      <c r="G2873" s="589"/>
      <c r="H2873" s="589"/>
      <c r="I2873" s="589"/>
      <c r="J2873" s="589"/>
      <c r="K2873" s="589"/>
      <c r="L2873" s="589"/>
      <c r="M2873" s="589"/>
      <c r="N2873" s="589"/>
      <c r="O2873" s="589"/>
      <c r="P2873" s="589"/>
      <c r="Q2873" s="589"/>
      <c r="R2873" s="589"/>
      <c r="W2873" t="s">
        <v>2047</v>
      </c>
    </row>
    <row r="2874" spans="1:23" ht="13.15" customHeight="1" x14ac:dyDescent="0.25">
      <c r="A2874" s="2" t="s">
        <v>2206</v>
      </c>
      <c r="B2874" s="2">
        <f t="shared" si="88"/>
        <v>2022</v>
      </c>
      <c r="C2874" s="2" t="str">
        <f t="shared" si="89"/>
        <v>KZN226</v>
      </c>
      <c r="D2874" s="591">
        <v>2</v>
      </c>
      <c r="E2874" s="2">
        <v>57</v>
      </c>
      <c r="F2874" s="629" t="s">
        <v>1115</v>
      </c>
      <c r="G2874" s="589"/>
      <c r="H2874" s="589"/>
      <c r="I2874" s="589"/>
      <c r="J2874" s="589"/>
      <c r="K2874" s="589"/>
      <c r="L2874" s="589"/>
      <c r="M2874" s="589"/>
      <c r="N2874" s="589"/>
      <c r="O2874" s="589"/>
      <c r="P2874" s="589"/>
      <c r="Q2874" s="589"/>
      <c r="R2874" s="589"/>
      <c r="W2874" t="s">
        <v>2047</v>
      </c>
    </row>
    <row r="2875" spans="1:23" ht="13.15" customHeight="1" x14ac:dyDescent="0.25">
      <c r="A2875" s="2" t="s">
        <v>2206</v>
      </c>
      <c r="B2875" s="2">
        <f t="shared" si="88"/>
        <v>2022</v>
      </c>
      <c r="C2875" s="2" t="str">
        <f t="shared" si="89"/>
        <v>KZN226</v>
      </c>
      <c r="D2875" s="591">
        <v>2</v>
      </c>
      <c r="E2875" s="2">
        <v>58</v>
      </c>
      <c r="F2875" s="629" t="s">
        <v>423</v>
      </c>
      <c r="G2875" s="589"/>
      <c r="H2875" s="589"/>
      <c r="I2875" s="589"/>
      <c r="J2875" s="589"/>
      <c r="K2875" s="589"/>
      <c r="L2875" s="589"/>
      <c r="M2875" s="589"/>
      <c r="N2875" s="589"/>
      <c r="O2875" s="589"/>
      <c r="P2875" s="589"/>
      <c r="Q2875" s="589"/>
      <c r="R2875" s="589"/>
      <c r="W2875" t="s">
        <v>2047</v>
      </c>
    </row>
    <row r="2876" spans="1:23" ht="13.15" customHeight="1" x14ac:dyDescent="0.25">
      <c r="A2876" s="2" t="s">
        <v>2206</v>
      </c>
      <c r="B2876" s="2">
        <f t="shared" si="88"/>
        <v>2022</v>
      </c>
      <c r="C2876" s="2" t="str">
        <f t="shared" si="89"/>
        <v>KZN226</v>
      </c>
      <c r="D2876" s="591">
        <v>2</v>
      </c>
      <c r="E2876" s="2">
        <v>59</v>
      </c>
      <c r="F2876" s="629" t="s">
        <v>667</v>
      </c>
      <c r="G2876" s="589"/>
      <c r="H2876" s="589"/>
      <c r="I2876" s="589"/>
      <c r="J2876" s="589"/>
      <c r="K2876" s="589"/>
      <c r="L2876" s="589"/>
      <c r="M2876" s="589"/>
      <c r="N2876" s="589"/>
      <c r="O2876" s="589"/>
      <c r="P2876" s="589"/>
      <c r="Q2876" s="589"/>
      <c r="R2876" s="589"/>
      <c r="W2876" t="s">
        <v>2047</v>
      </c>
    </row>
  </sheetData>
  <sheetProtection algorithmName="SHA-512" hashValue="1EmfMQcGnmTp/NgmNuLZmHM+n9ajnMReg0ge85NB7+sv/2S1ZfR4wgmQoHm48pTZEauDzMLUssIJjO+2OI8qoA==" saltValue="VvXlUhLj38McRLCSybgL3A==" spinCount="100000" sheet="1" objects="1" scenarios="1"/>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3">
    <pageSetUpPr fitToPage="1"/>
  </sheetPr>
  <dimension ref="A1:H166"/>
  <sheetViews>
    <sheetView showGridLines="0" zoomScaleNormal="100" workbookViewId="0">
      <selection activeCell="A4" sqref="A4"/>
    </sheetView>
  </sheetViews>
  <sheetFormatPr defaultColWidth="9.140625" defaultRowHeight="11.25" x14ac:dyDescent="0.2"/>
  <cols>
    <col min="1" max="1" width="31.28515625" style="393" bestFit="1" customWidth="1"/>
    <col min="2" max="2" width="7.140625" style="397" bestFit="1" customWidth="1"/>
    <col min="3" max="3" width="56.140625" style="2298" bestFit="1" customWidth="1"/>
    <col min="4" max="4" width="58" style="393" bestFit="1" customWidth="1"/>
    <col min="5" max="5" width="47.7109375" style="393" bestFit="1" customWidth="1"/>
    <col min="6" max="7" width="9.140625" style="393"/>
    <col min="8" max="8" width="5" style="2308" bestFit="1" customWidth="1"/>
    <col min="9" max="16384" width="9.140625" style="393"/>
  </cols>
  <sheetData>
    <row r="1" spans="1:8" ht="13.5" thickBot="1" x14ac:dyDescent="0.25">
      <c r="A1" s="2398" t="s">
        <v>1758</v>
      </c>
      <c r="B1" s="2398"/>
      <c r="C1" s="2398" t="s">
        <v>1757</v>
      </c>
      <c r="D1" s="2398"/>
      <c r="E1" s="2398" t="s">
        <v>1772</v>
      </c>
      <c r="F1" s="2398"/>
      <c r="G1" s="2398"/>
      <c r="H1" s="2300"/>
    </row>
    <row r="2" spans="1:8" x14ac:dyDescent="0.2">
      <c r="A2" s="393" t="str">
        <f>B2&amp;" - "&amp;C2</f>
        <v>Vote 1 - Finance and Administration</v>
      </c>
      <c r="B2" s="394" t="s">
        <v>1716</v>
      </c>
      <c r="C2" s="2295" t="str">
        <f>IFERROR(VLOOKUP($H2,MainMunicipalVote,4,0),"[NAME OF VOTE "&amp;H2&amp;"]")</f>
        <v>Finance and Administration</v>
      </c>
      <c r="H2" s="2308">
        <v>1</v>
      </c>
    </row>
    <row r="3" spans="1:8" x14ac:dyDescent="0.2">
      <c r="A3" s="393" t="str">
        <f>B13&amp;" - "&amp; C13</f>
        <v>Vote 2 - Finance and Administration2</v>
      </c>
      <c r="B3" s="395">
        <v>1.1000000000000001</v>
      </c>
      <c r="C3" s="2296" t="str">
        <f>IFERROR(VLOOKUP($H3,SubMunicipalVote,2,0),"[Name of sub-vote]")</f>
        <v>Finance</v>
      </c>
      <c r="D3" s="393" t="str">
        <f t="shared" ref="D3:D12" si="0">CONCATENATE(B3, " - ", C3)</f>
        <v>1.1 - Finance</v>
      </c>
      <c r="E3" s="2297" t="s">
        <v>2827</v>
      </c>
      <c r="H3" s="2308">
        <v>11</v>
      </c>
    </row>
    <row r="4" spans="1:8" x14ac:dyDescent="0.2">
      <c r="A4" s="393" t="str">
        <f>B24&amp;" - "&amp;C24</f>
        <v>Vote 3 - Executive and Council</v>
      </c>
      <c r="B4" s="395">
        <v>1.2</v>
      </c>
      <c r="C4" s="2296" t="str">
        <f>IFERROR(VLOOKUP($H4,SubMunicipalVote,2,0),"[Name of sub-vote]")</f>
        <v>Fleet Management</v>
      </c>
      <c r="D4" s="393" t="str">
        <f t="shared" si="0"/>
        <v>1.2 - Fleet Management</v>
      </c>
      <c r="E4" s="2297" t="s">
        <v>2828</v>
      </c>
      <c r="H4" s="2308">
        <v>12</v>
      </c>
    </row>
    <row r="5" spans="1:8" x14ac:dyDescent="0.2">
      <c r="A5" s="393" t="str">
        <f>B35&amp;" - "&amp;C35</f>
        <v>Vote 4 - Community and Social Services</v>
      </c>
      <c r="B5" s="395">
        <v>1.3</v>
      </c>
      <c r="C5" s="2296" t="str">
        <f t="shared" ref="C5:C12" si="1">IFERROR(VLOOKUP($H5,SubMunicipalVote,2,0),"[Name of sub-vote]")</f>
        <v>Asset Management</v>
      </c>
      <c r="D5" s="393" t="str">
        <f t="shared" si="0"/>
        <v>1.3 - Asset Management</v>
      </c>
      <c r="E5" s="2297" t="s">
        <v>2822</v>
      </c>
      <c r="H5" s="2308">
        <v>13</v>
      </c>
    </row>
    <row r="6" spans="1:8" x14ac:dyDescent="0.2">
      <c r="A6" s="393" t="str">
        <f>B46&amp;" - "&amp;C46</f>
        <v>Vote 5 - Community and Social Services2</v>
      </c>
      <c r="B6" s="395">
        <v>1.4</v>
      </c>
      <c r="C6" s="2296" t="str">
        <f t="shared" si="1"/>
        <v>Administrative and Corporate Support</v>
      </c>
      <c r="D6" s="393" t="str">
        <f t="shared" si="0"/>
        <v>1.4 - Administrative and Corporate Support</v>
      </c>
      <c r="E6" s="2297" t="s">
        <v>2823</v>
      </c>
      <c r="H6" s="2308">
        <v>14</v>
      </c>
    </row>
    <row r="7" spans="1:8" x14ac:dyDescent="0.2">
      <c r="A7" s="393" t="str">
        <f>B57&amp;" - "&amp;C57</f>
        <v>Vote 6 - Energy Sources</v>
      </c>
      <c r="B7" s="395">
        <v>1.5</v>
      </c>
      <c r="C7" s="2296" t="str">
        <f t="shared" si="1"/>
        <v>Human Resources</v>
      </c>
      <c r="D7" s="393" t="str">
        <f t="shared" si="0"/>
        <v>1.5 - Human Resources</v>
      </c>
      <c r="E7" s="2297" t="s">
        <v>2824</v>
      </c>
      <c r="H7" s="2308">
        <v>15</v>
      </c>
    </row>
    <row r="8" spans="1:8" x14ac:dyDescent="0.2">
      <c r="A8" s="393" t="str">
        <f>B68&amp;" - "&amp;C68</f>
        <v>Vote 7 - Road Transport</v>
      </c>
      <c r="B8" s="395">
        <v>1.6</v>
      </c>
      <c r="C8" s="2296" t="str">
        <f t="shared" si="1"/>
        <v>Property Services</v>
      </c>
      <c r="D8" s="393" t="str">
        <f t="shared" si="0"/>
        <v>1.6 - Property Services</v>
      </c>
      <c r="E8" s="2297" t="s">
        <v>2825</v>
      </c>
      <c r="H8" s="2308">
        <v>16</v>
      </c>
    </row>
    <row r="9" spans="1:8" x14ac:dyDescent="0.2">
      <c r="A9" s="393" t="str">
        <f>B79&amp;" - "&amp;C79</f>
        <v>Vote 8 - Planning and Development</v>
      </c>
      <c r="B9" s="395">
        <v>1.7</v>
      </c>
      <c r="C9" s="2296" t="str">
        <f t="shared" si="1"/>
        <v>Legal Services</v>
      </c>
      <c r="D9" s="393" t="str">
        <f t="shared" si="0"/>
        <v>1.7 - Legal Services</v>
      </c>
      <c r="E9" s="2297"/>
      <c r="H9" s="2308">
        <v>17</v>
      </c>
    </row>
    <row r="10" spans="1:8" x14ac:dyDescent="0.2">
      <c r="A10" s="393" t="str">
        <f>B90&amp;" - "&amp;C90</f>
        <v>Vote 9 - Sport and Recreation</v>
      </c>
      <c r="B10" s="395">
        <v>1.8</v>
      </c>
      <c r="C10" s="2296" t="str">
        <f t="shared" si="1"/>
        <v>Information Technology</v>
      </c>
      <c r="D10" s="393" t="str">
        <f t="shared" si="0"/>
        <v>1.8 - Information Technology</v>
      </c>
      <c r="E10" s="2297"/>
      <c r="H10" s="2308">
        <v>18</v>
      </c>
    </row>
    <row r="11" spans="1:8" x14ac:dyDescent="0.2">
      <c r="A11" s="393" t="str">
        <f>B101&amp;" - "&amp;C101</f>
        <v>Vote 10 - Public Safety</v>
      </c>
      <c r="B11" s="395">
        <v>1.9</v>
      </c>
      <c r="C11" s="2296" t="str">
        <f t="shared" si="1"/>
        <v>Marketing, Customer Relations, Publicity and Media Co-ordination</v>
      </c>
      <c r="D11" s="393" t="str">
        <f t="shared" si="0"/>
        <v>1.9 - Marketing, Customer Relations, Publicity and Media Co-ordination</v>
      </c>
      <c r="E11" s="2297"/>
      <c r="H11" s="2308">
        <v>19</v>
      </c>
    </row>
    <row r="12" spans="1:8" x14ac:dyDescent="0.2">
      <c r="A12" s="393" t="str">
        <f>B112&amp;" - "&amp;C112</f>
        <v>Vote 11 - Other</v>
      </c>
      <c r="B12" s="395" t="s">
        <v>1742</v>
      </c>
      <c r="C12" s="2296" t="str">
        <f t="shared" si="1"/>
        <v>[Name of sub-vote]</v>
      </c>
      <c r="D12" s="393" t="str">
        <f t="shared" si="0"/>
        <v>1.10 - [Name of sub-vote]</v>
      </c>
      <c r="E12" s="2297"/>
      <c r="H12" s="2308">
        <v>110</v>
      </c>
    </row>
    <row r="13" spans="1:8" x14ac:dyDescent="0.2">
      <c r="A13" s="393" t="str">
        <f>B123&amp;" - "&amp;C123</f>
        <v>Vote 12 - Waste Management</v>
      </c>
      <c r="B13" s="394" t="s">
        <v>1717</v>
      </c>
      <c r="C13" s="2295" t="str">
        <f>IFERROR(VLOOKUP($H13,MainMunicipalVote,4,0),"[NAME OF VOTE "&amp;H13&amp;"]")</f>
        <v>Finance and Administration2</v>
      </c>
      <c r="H13" s="2308">
        <v>2</v>
      </c>
    </row>
    <row r="14" spans="1:8" x14ac:dyDescent="0.2">
      <c r="A14" s="393" t="str">
        <f>B134&amp;" - "&amp;C134</f>
        <v>Vote 13 - Housing</v>
      </c>
      <c r="B14" s="395">
        <v>2.1</v>
      </c>
      <c r="C14" s="2296" t="str">
        <f t="shared" ref="C14:C23" si="2">IFERROR(VLOOKUP($H14,SubMunicipalVote,2,0),"[Name of sub-vote]")</f>
        <v>Supply Chain Management</v>
      </c>
      <c r="D14" s="393" t="str">
        <f t="shared" ref="D14:D23" si="3">CONCATENATE(B14, " - ", C14)</f>
        <v>2.1 - Supply Chain Management</v>
      </c>
      <c r="E14" s="2297" t="s">
        <v>2826</v>
      </c>
      <c r="H14" s="2308">
        <v>21</v>
      </c>
    </row>
    <row r="15" spans="1:8" x14ac:dyDescent="0.2">
      <c r="A15" s="393" t="str">
        <f>B145&amp;" - "&amp;C145</f>
        <v>Vote 14 - Waste Water Management</v>
      </c>
      <c r="B15" s="395">
        <v>2.2000000000000002</v>
      </c>
      <c r="C15" s="2296" t="str">
        <f t="shared" si="2"/>
        <v>[Name of sub-vote]</v>
      </c>
      <c r="D15" s="393" t="str">
        <f t="shared" si="3"/>
        <v>2.2 - [Name of sub-vote]</v>
      </c>
      <c r="E15" s="2297" t="s">
        <v>2829</v>
      </c>
      <c r="H15" s="2308">
        <v>22</v>
      </c>
    </row>
    <row r="16" spans="1:8" x14ac:dyDescent="0.2">
      <c r="A16" s="393" t="str">
        <f>B156&amp;" - "&amp;C156</f>
        <v>Vote 15 - Health</v>
      </c>
      <c r="B16" s="395">
        <v>2.2999999999999998</v>
      </c>
      <c r="C16" s="2296" t="str">
        <f t="shared" si="2"/>
        <v>[Name of sub-vote]</v>
      </c>
      <c r="D16" s="393" t="str">
        <f t="shared" si="3"/>
        <v>2.3 - [Name of sub-vote]</v>
      </c>
      <c r="E16" s="2297"/>
      <c r="H16" s="2308">
        <v>23</v>
      </c>
    </row>
    <row r="17" spans="2:8" x14ac:dyDescent="0.2">
      <c r="B17" s="395">
        <v>2.4</v>
      </c>
      <c r="C17" s="2296" t="str">
        <f t="shared" si="2"/>
        <v>[Name of sub-vote]</v>
      </c>
      <c r="D17" s="393" t="str">
        <f t="shared" si="3"/>
        <v>2.4 - [Name of sub-vote]</v>
      </c>
      <c r="E17" s="2297"/>
      <c r="H17" s="2308">
        <v>24</v>
      </c>
    </row>
    <row r="18" spans="2:8" x14ac:dyDescent="0.2">
      <c r="B18" s="395">
        <v>2.5</v>
      </c>
      <c r="C18" s="2296" t="str">
        <f t="shared" si="2"/>
        <v>[Name of sub-vote]</v>
      </c>
      <c r="D18" s="393" t="str">
        <f t="shared" si="3"/>
        <v>2.5 - [Name of sub-vote]</v>
      </c>
      <c r="E18" s="2297"/>
      <c r="H18" s="2308">
        <v>25</v>
      </c>
    </row>
    <row r="19" spans="2:8" x14ac:dyDescent="0.2">
      <c r="B19" s="395">
        <v>2.6</v>
      </c>
      <c r="C19" s="2296" t="str">
        <f t="shared" si="2"/>
        <v>[Name of sub-vote]</v>
      </c>
      <c r="D19" s="393" t="str">
        <f t="shared" si="3"/>
        <v>2.6 - [Name of sub-vote]</v>
      </c>
      <c r="E19" s="2297"/>
      <c r="H19" s="2308">
        <v>26</v>
      </c>
    </row>
    <row r="20" spans="2:8" x14ac:dyDescent="0.2">
      <c r="B20" s="395">
        <v>2.7</v>
      </c>
      <c r="C20" s="2296" t="str">
        <f t="shared" si="2"/>
        <v>[Name of sub-vote]</v>
      </c>
      <c r="D20" s="393" t="str">
        <f t="shared" si="3"/>
        <v>2.7 - [Name of sub-vote]</v>
      </c>
      <c r="E20" s="2297"/>
      <c r="H20" s="2308">
        <v>27</v>
      </c>
    </row>
    <row r="21" spans="2:8" x14ac:dyDescent="0.2">
      <c r="B21" s="395">
        <v>2.8</v>
      </c>
      <c r="C21" s="2296" t="str">
        <f t="shared" si="2"/>
        <v>[Name of sub-vote]</v>
      </c>
      <c r="D21" s="393" t="str">
        <f t="shared" si="3"/>
        <v>2.8 - [Name of sub-vote]</v>
      </c>
      <c r="E21" s="2297"/>
      <c r="H21" s="2308">
        <v>28</v>
      </c>
    </row>
    <row r="22" spans="2:8" x14ac:dyDescent="0.2">
      <c r="B22" s="395">
        <v>2.9</v>
      </c>
      <c r="C22" s="2296" t="str">
        <f t="shared" si="2"/>
        <v>[Name of sub-vote]</v>
      </c>
      <c r="D22" s="393" t="str">
        <f t="shared" si="3"/>
        <v>2.9 - [Name of sub-vote]</v>
      </c>
      <c r="E22" s="2297"/>
      <c r="H22" s="2308">
        <v>29</v>
      </c>
    </row>
    <row r="23" spans="2:8" x14ac:dyDescent="0.2">
      <c r="B23" s="395" t="s">
        <v>1743</v>
      </c>
      <c r="C23" s="2296" t="str">
        <f t="shared" si="2"/>
        <v>[Name of sub-vote]</v>
      </c>
      <c r="D23" s="393" t="str">
        <f t="shared" si="3"/>
        <v>2.10 - [Name of sub-vote]</v>
      </c>
      <c r="E23" s="2297"/>
      <c r="H23" s="2308">
        <v>210</v>
      </c>
    </row>
    <row r="24" spans="2:8" x14ac:dyDescent="0.2">
      <c r="B24" s="394" t="s">
        <v>1718</v>
      </c>
      <c r="C24" s="2295" t="str">
        <f>IFERROR(VLOOKUP($H24,MainMunicipalVote,4,0),"[NAME OF VOTE "&amp;H24&amp;"]")</f>
        <v>Executive and Council</v>
      </c>
      <c r="E24" s="2297"/>
      <c r="H24" s="2308">
        <v>3</v>
      </c>
    </row>
    <row r="25" spans="2:8" x14ac:dyDescent="0.2">
      <c r="B25" s="395">
        <v>3.1</v>
      </c>
      <c r="C25" s="2296" t="str">
        <f t="shared" ref="C25:C34" si="4">IFERROR(VLOOKUP($H25,SubMunicipalVote,2,0),"[Name of sub-vote]")</f>
        <v>Municipal Manager, Town Secretary and Chief Executive</v>
      </c>
      <c r="D25" s="393" t="str">
        <f t="shared" ref="D25:D34" si="5">CONCATENATE(B25, " - ", C25)</f>
        <v>3.1 - Municipal Manager, Town Secretary and Chief Executive</v>
      </c>
      <c r="E25" s="2297" t="s">
        <v>1759</v>
      </c>
      <c r="H25" s="2308">
        <v>31</v>
      </c>
    </row>
    <row r="26" spans="2:8" x14ac:dyDescent="0.2">
      <c r="B26" s="395">
        <v>3.2</v>
      </c>
      <c r="C26" s="2296" t="str">
        <f t="shared" si="4"/>
        <v>Mayor and Council</v>
      </c>
      <c r="D26" s="393" t="str">
        <f t="shared" si="5"/>
        <v>3.2 - Mayor and Council</v>
      </c>
      <c r="E26" s="2297"/>
      <c r="H26" s="2308">
        <v>32</v>
      </c>
    </row>
    <row r="27" spans="2:8" x14ac:dyDescent="0.2">
      <c r="B27" s="395">
        <v>3.3</v>
      </c>
      <c r="C27" s="2296" t="str">
        <f t="shared" si="4"/>
        <v>[Name of sub-vote]</v>
      </c>
      <c r="D27" s="393" t="str">
        <f t="shared" si="5"/>
        <v>3.3 - [Name of sub-vote]</v>
      </c>
      <c r="E27" s="2297"/>
      <c r="H27" s="2308">
        <v>33</v>
      </c>
    </row>
    <row r="28" spans="2:8" x14ac:dyDescent="0.2">
      <c r="B28" s="395">
        <v>3.4</v>
      </c>
      <c r="C28" s="2296" t="str">
        <f t="shared" si="4"/>
        <v>[Name of sub-vote]</v>
      </c>
      <c r="D28" s="393" t="str">
        <f t="shared" si="5"/>
        <v>3.4 - [Name of sub-vote]</v>
      </c>
      <c r="E28" s="2297"/>
      <c r="H28" s="2308">
        <v>34</v>
      </c>
    </row>
    <row r="29" spans="2:8" x14ac:dyDescent="0.2">
      <c r="B29" s="395">
        <v>3.5</v>
      </c>
      <c r="C29" s="2296" t="str">
        <f t="shared" si="4"/>
        <v>[Name of sub-vote]</v>
      </c>
      <c r="D29" s="393" t="str">
        <f t="shared" si="5"/>
        <v>3.5 - [Name of sub-vote]</v>
      </c>
      <c r="E29" s="2297"/>
      <c r="H29" s="2308">
        <v>35</v>
      </c>
    </row>
    <row r="30" spans="2:8" x14ac:dyDescent="0.2">
      <c r="B30" s="395">
        <v>3.6</v>
      </c>
      <c r="C30" s="2296" t="str">
        <f t="shared" si="4"/>
        <v>[Name of sub-vote]</v>
      </c>
      <c r="D30" s="393" t="str">
        <f t="shared" si="5"/>
        <v>3.6 - [Name of sub-vote]</v>
      </c>
      <c r="E30" s="2297"/>
      <c r="H30" s="2308">
        <v>36</v>
      </c>
    </row>
    <row r="31" spans="2:8" x14ac:dyDescent="0.2">
      <c r="B31" s="395">
        <v>3.7</v>
      </c>
      <c r="C31" s="2296" t="str">
        <f t="shared" si="4"/>
        <v>[Name of sub-vote]</v>
      </c>
      <c r="D31" s="393" t="str">
        <f t="shared" si="5"/>
        <v>3.7 - [Name of sub-vote]</v>
      </c>
      <c r="E31" s="2297"/>
      <c r="H31" s="2308">
        <v>37</v>
      </c>
    </row>
    <row r="32" spans="2:8" x14ac:dyDescent="0.2">
      <c r="B32" s="395">
        <v>3.8</v>
      </c>
      <c r="C32" s="2296" t="str">
        <f t="shared" si="4"/>
        <v>[Name of sub-vote]</v>
      </c>
      <c r="D32" s="393" t="str">
        <f t="shared" si="5"/>
        <v>3.8 - [Name of sub-vote]</v>
      </c>
      <c r="E32" s="2297"/>
      <c r="H32" s="2308">
        <v>38</v>
      </c>
    </row>
    <row r="33" spans="2:8" x14ac:dyDescent="0.2">
      <c r="B33" s="395">
        <v>3.9</v>
      </c>
      <c r="C33" s="2296" t="str">
        <f t="shared" si="4"/>
        <v>[Name of sub-vote]</v>
      </c>
      <c r="D33" s="393" t="str">
        <f t="shared" si="5"/>
        <v>3.9 - [Name of sub-vote]</v>
      </c>
      <c r="E33" s="2297"/>
      <c r="H33" s="2308">
        <v>39</v>
      </c>
    </row>
    <row r="34" spans="2:8" x14ac:dyDescent="0.2">
      <c r="B34" s="395" t="s">
        <v>1744</v>
      </c>
      <c r="C34" s="2296" t="str">
        <f t="shared" si="4"/>
        <v>[Name of sub-vote]</v>
      </c>
      <c r="D34" s="393" t="str">
        <f t="shared" si="5"/>
        <v>3.10 - [Name of sub-vote]</v>
      </c>
      <c r="E34" s="2297"/>
      <c r="H34" s="2308">
        <v>310</v>
      </c>
    </row>
    <row r="35" spans="2:8" x14ac:dyDescent="0.2">
      <c r="B35" s="394" t="s">
        <v>1719</v>
      </c>
      <c r="C35" s="2295" t="str">
        <f>IFERROR(VLOOKUP($H35,MainMunicipalVote,4,0),"[NAME OF VOTE "&amp;H35&amp;"]")</f>
        <v>Community and Social Services</v>
      </c>
      <c r="E35" s="2297"/>
      <c r="H35" s="2308">
        <v>4</v>
      </c>
    </row>
    <row r="36" spans="2:8" x14ac:dyDescent="0.2">
      <c r="B36" s="395">
        <v>4.0999999999999996</v>
      </c>
      <c r="C36" s="2296" t="str">
        <f t="shared" ref="C36:C45" si="6">IFERROR(VLOOKUP($H36,SubMunicipalVote,2,0),"[Name of sub-vote]")</f>
        <v>Disaster Management</v>
      </c>
      <c r="D36" s="393" t="str">
        <f t="shared" ref="D36:D45" si="7">CONCATENATE(B36, " - ", C36)</f>
        <v>4.1 - Disaster Management</v>
      </c>
      <c r="E36" s="2297" t="s">
        <v>1760</v>
      </c>
      <c r="H36" s="2308">
        <v>41</v>
      </c>
    </row>
    <row r="37" spans="2:8" x14ac:dyDescent="0.2">
      <c r="B37" s="395">
        <v>4.2</v>
      </c>
      <c r="C37" s="2296" t="str">
        <f t="shared" si="6"/>
        <v>Libraries and Archives</v>
      </c>
      <c r="D37" s="393" t="str">
        <f t="shared" si="7"/>
        <v>4.2 - Libraries and Archives</v>
      </c>
      <c r="E37" s="2297"/>
      <c r="H37" s="2308">
        <v>42</v>
      </c>
    </row>
    <row r="38" spans="2:8" x14ac:dyDescent="0.2">
      <c r="B38" s="395">
        <v>4.3</v>
      </c>
      <c r="C38" s="2296" t="str">
        <f t="shared" si="6"/>
        <v>Population Development</v>
      </c>
      <c r="D38" s="393" t="str">
        <f t="shared" si="7"/>
        <v>4.3 - Population Development</v>
      </c>
      <c r="E38" s="2297"/>
      <c r="H38" s="2308">
        <v>43</v>
      </c>
    </row>
    <row r="39" spans="2:8" x14ac:dyDescent="0.2">
      <c r="B39" s="395">
        <v>4.4000000000000004</v>
      </c>
      <c r="C39" s="2296" t="str">
        <f t="shared" si="6"/>
        <v>Cultural Matters</v>
      </c>
      <c r="D39" s="393" t="str">
        <f t="shared" si="7"/>
        <v>4.4 - Cultural Matters</v>
      </c>
      <c r="E39" s="2297"/>
      <c r="H39" s="2308">
        <v>44</v>
      </c>
    </row>
    <row r="40" spans="2:8" x14ac:dyDescent="0.2">
      <c r="B40" s="395">
        <v>4.5</v>
      </c>
      <c r="C40" s="2296" t="str">
        <f t="shared" si="6"/>
        <v>Indigenous and Customary Law</v>
      </c>
      <c r="D40" s="393" t="str">
        <f t="shared" si="7"/>
        <v>4.5 - Indigenous and Customary Law</v>
      </c>
      <c r="E40" s="2297"/>
      <c r="H40" s="2308">
        <v>45</v>
      </c>
    </row>
    <row r="41" spans="2:8" x14ac:dyDescent="0.2">
      <c r="B41" s="395">
        <v>4.5999999999999996</v>
      </c>
      <c r="C41" s="2296" t="str">
        <f t="shared" si="6"/>
        <v>Industrial Promotion</v>
      </c>
      <c r="D41" s="393" t="str">
        <f t="shared" si="7"/>
        <v>4.6 - Industrial Promotion</v>
      </c>
      <c r="E41" s="2297"/>
      <c r="H41" s="2308">
        <v>46</v>
      </c>
    </row>
    <row r="42" spans="2:8" x14ac:dyDescent="0.2">
      <c r="B42" s="395">
        <v>4.7</v>
      </c>
      <c r="C42" s="2296" t="str">
        <f t="shared" si="6"/>
        <v>Agricultural</v>
      </c>
      <c r="D42" s="393" t="str">
        <f t="shared" si="7"/>
        <v>4.7 - Agricultural</v>
      </c>
      <c r="E42" s="2297"/>
      <c r="H42" s="2308">
        <v>47</v>
      </c>
    </row>
    <row r="43" spans="2:8" x14ac:dyDescent="0.2">
      <c r="B43" s="395">
        <v>4.8</v>
      </c>
      <c r="C43" s="2296" t="str">
        <f t="shared" si="6"/>
        <v>Aged Care</v>
      </c>
      <c r="D43" s="393" t="str">
        <f t="shared" si="7"/>
        <v>4.8 - Aged Care</v>
      </c>
      <c r="E43" s="2297"/>
      <c r="H43" s="2308">
        <v>48</v>
      </c>
    </row>
    <row r="44" spans="2:8" x14ac:dyDescent="0.2">
      <c r="B44" s="395">
        <v>4.9000000000000004</v>
      </c>
      <c r="C44" s="2296" t="str">
        <f t="shared" si="6"/>
        <v>Child Care Facilities</v>
      </c>
      <c r="D44" s="393" t="str">
        <f t="shared" si="7"/>
        <v>4.9 - Child Care Facilities</v>
      </c>
      <c r="E44" s="2297"/>
      <c r="H44" s="2308">
        <v>49</v>
      </c>
    </row>
    <row r="45" spans="2:8" x14ac:dyDescent="0.2">
      <c r="B45" s="395" t="s">
        <v>1745</v>
      </c>
      <c r="C45" s="2296" t="str">
        <f t="shared" si="6"/>
        <v>[Name of sub-vote]</v>
      </c>
      <c r="D45" s="393" t="str">
        <f t="shared" si="7"/>
        <v>4.10 - [Name of sub-vote]</v>
      </c>
      <c r="E45" s="2297"/>
      <c r="H45" s="2308">
        <v>410</v>
      </c>
    </row>
    <row r="46" spans="2:8" x14ac:dyDescent="0.2">
      <c r="B46" s="394" t="s">
        <v>1720</v>
      </c>
      <c r="C46" s="2295" t="str">
        <f>IFERROR(VLOOKUP($H46,MainMunicipalVote,4,0),"[NAME OF VOTE "&amp;H46&amp;"]")</f>
        <v>Community and Social Services2</v>
      </c>
      <c r="E46" s="2297"/>
      <c r="H46" s="2308">
        <v>5</v>
      </c>
    </row>
    <row r="47" spans="2:8" x14ac:dyDescent="0.2">
      <c r="B47" s="395">
        <v>5.0999999999999996</v>
      </c>
      <c r="C47" s="2296" t="str">
        <f t="shared" ref="C47:C56" si="8">IFERROR(VLOOKUP($H47,SubMunicipalVote,2,0),"[Name of sub-vote]")</f>
        <v>Literacy Programmes</v>
      </c>
      <c r="D47" s="393" t="str">
        <f t="shared" ref="D47:D56" si="9">CONCATENATE(B47, " - ", C47)</f>
        <v>5.1 - Literacy Programmes</v>
      </c>
      <c r="E47" s="2297" t="s">
        <v>1761</v>
      </c>
      <c r="H47" s="2308">
        <v>51</v>
      </c>
    </row>
    <row r="48" spans="2:8" x14ac:dyDescent="0.2">
      <c r="B48" s="395">
        <v>5.2</v>
      </c>
      <c r="C48" s="2296" t="str">
        <f t="shared" si="8"/>
        <v>Education</v>
      </c>
      <c r="D48" s="393" t="str">
        <f t="shared" si="9"/>
        <v>5.2 - Education</v>
      </c>
      <c r="E48" s="2297"/>
      <c r="H48" s="2308">
        <v>52</v>
      </c>
    </row>
    <row r="49" spans="2:8" x14ac:dyDescent="0.2">
      <c r="B49" s="395">
        <v>5.3</v>
      </c>
      <c r="C49" s="2296" t="str">
        <f t="shared" si="8"/>
        <v>Community Halls and Facilities</v>
      </c>
      <c r="D49" s="393" t="str">
        <f t="shared" si="9"/>
        <v>5.3 - Community Halls and Facilities</v>
      </c>
      <c r="E49" s="2297"/>
      <c r="H49" s="2308">
        <v>53</v>
      </c>
    </row>
    <row r="50" spans="2:8" x14ac:dyDescent="0.2">
      <c r="B50" s="395">
        <v>5.4</v>
      </c>
      <c r="C50" s="2296" t="str">
        <f t="shared" si="8"/>
        <v>Tourism</v>
      </c>
      <c r="D50" s="393" t="str">
        <f t="shared" si="9"/>
        <v>5.4 - Tourism</v>
      </c>
      <c r="E50" s="2297"/>
      <c r="H50" s="2308">
        <v>54</v>
      </c>
    </row>
    <row r="51" spans="2:8" x14ac:dyDescent="0.2">
      <c r="B51" s="395">
        <v>5.5</v>
      </c>
      <c r="C51" s="2296" t="str">
        <f t="shared" si="8"/>
        <v>[Name of sub-vote]</v>
      </c>
      <c r="D51" s="393" t="str">
        <f t="shared" si="9"/>
        <v>5.5 - [Name of sub-vote]</v>
      </c>
      <c r="E51" s="2297"/>
      <c r="H51" s="2308">
        <v>55</v>
      </c>
    </row>
    <row r="52" spans="2:8" x14ac:dyDescent="0.2">
      <c r="B52" s="395">
        <v>5.6</v>
      </c>
      <c r="C52" s="2296" t="str">
        <f t="shared" si="8"/>
        <v>[Name of sub-vote]</v>
      </c>
      <c r="D52" s="393" t="str">
        <f t="shared" si="9"/>
        <v>5.6 - [Name of sub-vote]</v>
      </c>
      <c r="E52" s="2297"/>
      <c r="H52" s="2308">
        <v>56</v>
      </c>
    </row>
    <row r="53" spans="2:8" x14ac:dyDescent="0.2">
      <c r="B53" s="395">
        <v>5.7</v>
      </c>
      <c r="C53" s="2296" t="str">
        <f t="shared" si="8"/>
        <v>[Name of sub-vote]</v>
      </c>
      <c r="D53" s="393" t="str">
        <f t="shared" si="9"/>
        <v>5.7 - [Name of sub-vote]</v>
      </c>
      <c r="E53" s="2297"/>
      <c r="H53" s="2308">
        <v>57</v>
      </c>
    </row>
    <row r="54" spans="2:8" x14ac:dyDescent="0.2">
      <c r="B54" s="395">
        <v>5.8</v>
      </c>
      <c r="C54" s="2296" t="str">
        <f t="shared" si="8"/>
        <v>[Name of sub-vote]</v>
      </c>
      <c r="D54" s="393" t="str">
        <f t="shared" si="9"/>
        <v>5.8 - [Name of sub-vote]</v>
      </c>
      <c r="E54" s="2297"/>
      <c r="H54" s="2308">
        <v>58</v>
      </c>
    </row>
    <row r="55" spans="2:8" x14ac:dyDescent="0.2">
      <c r="B55" s="395">
        <v>5.9</v>
      </c>
      <c r="C55" s="2296" t="str">
        <f t="shared" si="8"/>
        <v>[Name of sub-vote]</v>
      </c>
      <c r="D55" s="393" t="str">
        <f t="shared" si="9"/>
        <v>5.9 - [Name of sub-vote]</v>
      </c>
      <c r="E55" s="2297"/>
      <c r="H55" s="2308">
        <v>59</v>
      </c>
    </row>
    <row r="56" spans="2:8" x14ac:dyDescent="0.2">
      <c r="B56" s="395" t="s">
        <v>1746</v>
      </c>
      <c r="C56" s="2296" t="str">
        <f t="shared" si="8"/>
        <v>[Name of sub-vote]</v>
      </c>
      <c r="D56" s="393" t="str">
        <f t="shared" si="9"/>
        <v>5.10 - [Name of sub-vote]</v>
      </c>
      <c r="E56" s="2297"/>
      <c r="H56" s="2308">
        <v>510</v>
      </c>
    </row>
    <row r="57" spans="2:8" x14ac:dyDescent="0.2">
      <c r="B57" s="394" t="s">
        <v>1721</v>
      </c>
      <c r="C57" s="2295" t="str">
        <f>IFERROR(VLOOKUP($H57,MainMunicipalVote,4,0),"[NAME OF VOTE "&amp;H57&amp;"]")</f>
        <v>Energy Sources</v>
      </c>
      <c r="E57" s="2297"/>
      <c r="H57" s="2308">
        <v>6</v>
      </c>
    </row>
    <row r="58" spans="2:8" x14ac:dyDescent="0.2">
      <c r="B58" s="395">
        <v>6.1</v>
      </c>
      <c r="C58" s="2296" t="str">
        <f t="shared" ref="C58:C67" si="10">IFERROR(VLOOKUP($H58,SubMunicipalVote,2,0),"[Name of sub-vote]")</f>
        <v>Electricity</v>
      </c>
      <c r="D58" s="393" t="str">
        <f t="shared" ref="D58:D67" si="11">CONCATENATE(B58, " - ", C58)</f>
        <v>6.1 - Electricity</v>
      </c>
      <c r="E58" s="2297" t="s">
        <v>1762</v>
      </c>
      <c r="H58" s="2308">
        <v>61</v>
      </c>
    </row>
    <row r="59" spans="2:8" x14ac:dyDescent="0.2">
      <c r="B59" s="395">
        <v>6.2</v>
      </c>
      <c r="C59" s="2296" t="str">
        <f t="shared" si="10"/>
        <v>[Name of sub-vote]</v>
      </c>
      <c r="D59" s="393" t="str">
        <f t="shared" si="11"/>
        <v>6.2 - [Name of sub-vote]</v>
      </c>
      <c r="E59" s="2297"/>
      <c r="H59" s="2308">
        <v>62</v>
      </c>
    </row>
    <row r="60" spans="2:8" x14ac:dyDescent="0.2">
      <c r="B60" s="395">
        <v>6.3</v>
      </c>
      <c r="C60" s="2296" t="str">
        <f t="shared" si="10"/>
        <v>[Name of sub-vote]</v>
      </c>
      <c r="D60" s="393" t="str">
        <f t="shared" si="11"/>
        <v>6.3 - [Name of sub-vote]</v>
      </c>
      <c r="E60" s="2297"/>
      <c r="H60" s="2308">
        <v>63</v>
      </c>
    </row>
    <row r="61" spans="2:8" x14ac:dyDescent="0.2">
      <c r="B61" s="395">
        <v>6.4</v>
      </c>
      <c r="C61" s="2296" t="str">
        <f t="shared" si="10"/>
        <v>[Name of sub-vote]</v>
      </c>
      <c r="D61" s="393" t="str">
        <f t="shared" si="11"/>
        <v>6.4 - [Name of sub-vote]</v>
      </c>
      <c r="E61" s="2297"/>
      <c r="H61" s="2308">
        <v>64</v>
      </c>
    </row>
    <row r="62" spans="2:8" x14ac:dyDescent="0.2">
      <c r="B62" s="395">
        <v>6.5</v>
      </c>
      <c r="C62" s="2296" t="str">
        <f t="shared" si="10"/>
        <v>[Name of sub-vote]</v>
      </c>
      <c r="D62" s="393" t="str">
        <f t="shared" si="11"/>
        <v>6.5 - [Name of sub-vote]</v>
      </c>
      <c r="E62" s="2297"/>
      <c r="H62" s="2308">
        <v>65</v>
      </c>
    </row>
    <row r="63" spans="2:8" x14ac:dyDescent="0.2">
      <c r="B63" s="395">
        <v>6.6</v>
      </c>
      <c r="C63" s="2296" t="str">
        <f t="shared" si="10"/>
        <v>[Name of sub-vote]</v>
      </c>
      <c r="D63" s="393" t="str">
        <f t="shared" si="11"/>
        <v>6.6 - [Name of sub-vote]</v>
      </c>
      <c r="E63" s="2297"/>
      <c r="H63" s="2308">
        <v>66</v>
      </c>
    </row>
    <row r="64" spans="2:8" x14ac:dyDescent="0.2">
      <c r="B64" s="395">
        <v>6.7</v>
      </c>
      <c r="C64" s="2296" t="str">
        <f t="shared" si="10"/>
        <v>[Name of sub-vote]</v>
      </c>
      <c r="D64" s="393" t="str">
        <f t="shared" si="11"/>
        <v>6.7 - [Name of sub-vote]</v>
      </c>
      <c r="E64" s="2297"/>
      <c r="H64" s="2308">
        <v>67</v>
      </c>
    </row>
    <row r="65" spans="2:8" x14ac:dyDescent="0.2">
      <c r="B65" s="395">
        <v>6.8</v>
      </c>
      <c r="C65" s="2296" t="str">
        <f t="shared" si="10"/>
        <v>[Name of sub-vote]</v>
      </c>
      <c r="D65" s="393" t="str">
        <f t="shared" si="11"/>
        <v>6.8 - [Name of sub-vote]</v>
      </c>
      <c r="E65" s="2297"/>
      <c r="H65" s="2308">
        <v>68</v>
      </c>
    </row>
    <row r="66" spans="2:8" x14ac:dyDescent="0.2">
      <c r="B66" s="395">
        <v>6.9</v>
      </c>
      <c r="C66" s="2296" t="str">
        <f t="shared" si="10"/>
        <v>[Name of sub-vote]</v>
      </c>
      <c r="D66" s="393" t="str">
        <f t="shared" si="11"/>
        <v>6.9 - [Name of sub-vote]</v>
      </c>
      <c r="E66" s="2297"/>
      <c r="H66" s="2308">
        <v>69</v>
      </c>
    </row>
    <row r="67" spans="2:8" x14ac:dyDescent="0.2">
      <c r="B67" s="395" t="s">
        <v>1747</v>
      </c>
      <c r="C67" s="2296" t="str">
        <f t="shared" si="10"/>
        <v>[Name of sub-vote]</v>
      </c>
      <c r="D67" s="393" t="str">
        <f t="shared" si="11"/>
        <v>6.10 - [Name of sub-vote]</v>
      </c>
      <c r="E67" s="2297"/>
      <c r="H67" s="2308">
        <v>610</v>
      </c>
    </row>
    <row r="68" spans="2:8" x14ac:dyDescent="0.2">
      <c r="B68" s="396" t="s">
        <v>1722</v>
      </c>
      <c r="C68" s="2295" t="str">
        <f>IFERROR(VLOOKUP($H68,MainMunicipalVote,4,0),"[NAME OF VOTE "&amp;H68&amp;"]")</f>
        <v>Road Transport</v>
      </c>
      <c r="E68" s="2297"/>
      <c r="H68" s="2308">
        <v>7</v>
      </c>
    </row>
    <row r="69" spans="2:8" x14ac:dyDescent="0.2">
      <c r="B69" s="395">
        <v>7.1</v>
      </c>
      <c r="C69" s="2296" t="str">
        <f t="shared" ref="C69:C78" si="12">IFERROR(VLOOKUP($H69,SubMunicipalVote,2,0),"[Name of sub-vote]")</f>
        <v>Roads</v>
      </c>
      <c r="D69" s="393" t="str">
        <f t="shared" ref="D69:D78" si="13">CONCATENATE(B69, " - ", C69)</f>
        <v>7.1 - Roads</v>
      </c>
      <c r="E69" s="2297" t="s">
        <v>1763</v>
      </c>
      <c r="H69" s="2308">
        <v>71</v>
      </c>
    </row>
    <row r="70" spans="2:8" x14ac:dyDescent="0.2">
      <c r="B70" s="395">
        <v>7.2</v>
      </c>
      <c r="C70" s="2296" t="str">
        <f t="shared" si="12"/>
        <v>[Name of sub-vote]</v>
      </c>
      <c r="D70" s="393" t="str">
        <f t="shared" si="13"/>
        <v>7.2 - [Name of sub-vote]</v>
      </c>
      <c r="E70" s="2297"/>
      <c r="H70" s="2308">
        <v>72</v>
      </c>
    </row>
    <row r="71" spans="2:8" x14ac:dyDescent="0.2">
      <c r="B71" s="395">
        <v>7.3</v>
      </c>
      <c r="C71" s="2296" t="str">
        <f t="shared" si="12"/>
        <v>[Name of sub-vote]</v>
      </c>
      <c r="D71" s="393" t="str">
        <f t="shared" si="13"/>
        <v>7.3 - [Name of sub-vote]</v>
      </c>
      <c r="E71" s="2297"/>
      <c r="H71" s="2308">
        <v>73</v>
      </c>
    </row>
    <row r="72" spans="2:8" x14ac:dyDescent="0.2">
      <c r="B72" s="395">
        <v>7.4</v>
      </c>
      <c r="C72" s="2296" t="str">
        <f t="shared" si="12"/>
        <v>[Name of sub-vote]</v>
      </c>
      <c r="D72" s="393" t="str">
        <f t="shared" si="13"/>
        <v>7.4 - [Name of sub-vote]</v>
      </c>
      <c r="E72" s="2297"/>
      <c r="H72" s="2308">
        <v>74</v>
      </c>
    </row>
    <row r="73" spans="2:8" x14ac:dyDescent="0.2">
      <c r="B73" s="395">
        <v>7.5</v>
      </c>
      <c r="C73" s="2296" t="str">
        <f t="shared" si="12"/>
        <v>[Name of sub-vote]</v>
      </c>
      <c r="D73" s="393" t="str">
        <f t="shared" si="13"/>
        <v>7.5 - [Name of sub-vote]</v>
      </c>
      <c r="E73" s="2297"/>
      <c r="H73" s="2308">
        <v>75</v>
      </c>
    </row>
    <row r="74" spans="2:8" x14ac:dyDescent="0.2">
      <c r="B74" s="395">
        <v>7.6</v>
      </c>
      <c r="C74" s="2296" t="str">
        <f t="shared" si="12"/>
        <v>[Name of sub-vote]</v>
      </c>
      <c r="D74" s="393" t="str">
        <f t="shared" si="13"/>
        <v>7.6 - [Name of sub-vote]</v>
      </c>
      <c r="E74" s="2297"/>
      <c r="H74" s="2308">
        <v>76</v>
      </c>
    </row>
    <row r="75" spans="2:8" x14ac:dyDescent="0.2">
      <c r="B75" s="395">
        <v>7.7</v>
      </c>
      <c r="C75" s="2296" t="str">
        <f t="shared" si="12"/>
        <v>[Name of sub-vote]</v>
      </c>
      <c r="D75" s="393" t="str">
        <f t="shared" si="13"/>
        <v>7.7 - [Name of sub-vote]</v>
      </c>
      <c r="E75" s="2297"/>
      <c r="H75" s="2308">
        <v>77</v>
      </c>
    </row>
    <row r="76" spans="2:8" x14ac:dyDescent="0.2">
      <c r="B76" s="395">
        <v>7.8</v>
      </c>
      <c r="C76" s="2296" t="str">
        <f t="shared" si="12"/>
        <v>[Name of sub-vote]</v>
      </c>
      <c r="D76" s="393" t="str">
        <f t="shared" si="13"/>
        <v>7.8 - [Name of sub-vote]</v>
      </c>
      <c r="E76" s="2297"/>
      <c r="H76" s="2308">
        <v>78</v>
      </c>
    </row>
    <row r="77" spans="2:8" x14ac:dyDescent="0.2">
      <c r="B77" s="395">
        <v>7.9</v>
      </c>
      <c r="C77" s="2296" t="str">
        <f t="shared" si="12"/>
        <v>[Name of sub-vote]</v>
      </c>
      <c r="D77" s="393" t="str">
        <f t="shared" si="13"/>
        <v>7.9 - [Name of sub-vote]</v>
      </c>
      <c r="E77" s="2297"/>
      <c r="H77" s="2308">
        <v>79</v>
      </c>
    </row>
    <row r="78" spans="2:8" x14ac:dyDescent="0.2">
      <c r="B78" s="395" t="s">
        <v>1748</v>
      </c>
      <c r="C78" s="2296" t="str">
        <f t="shared" si="12"/>
        <v>[Name of sub-vote]</v>
      </c>
      <c r="D78" s="393" t="str">
        <f t="shared" si="13"/>
        <v>7.10 - [Name of sub-vote]</v>
      </c>
      <c r="E78" s="2297"/>
      <c r="H78" s="2308">
        <v>710</v>
      </c>
    </row>
    <row r="79" spans="2:8" x14ac:dyDescent="0.2">
      <c r="B79" s="396" t="s">
        <v>1723</v>
      </c>
      <c r="C79" s="2295" t="str">
        <f>IFERROR(VLOOKUP($H79,MainMunicipalVote,4,0),"[NAME OF VOTE "&amp;H79&amp;"]")</f>
        <v>Planning and Development</v>
      </c>
      <c r="E79" s="2297"/>
      <c r="H79" s="2308">
        <v>8</v>
      </c>
    </row>
    <row r="80" spans="2:8" x14ac:dyDescent="0.2">
      <c r="B80" s="395">
        <v>8.1</v>
      </c>
      <c r="C80" s="2296" t="str">
        <f t="shared" ref="C80:C89" si="14">IFERROR(VLOOKUP($H80,SubMunicipalVote,2,0),"[Name of sub-vote]")</f>
        <v>Town Planning, Building Regulations and Enforcement, and City Engineer</v>
      </c>
      <c r="D80" s="393" t="str">
        <f t="shared" ref="D80:D89" si="15">CONCATENATE(B80, " - ", C80)</f>
        <v>8.1 - Town Planning, Building Regulations and Enforcement, and City Engineer</v>
      </c>
      <c r="E80" s="2297" t="s">
        <v>1764</v>
      </c>
      <c r="H80" s="2308">
        <v>81</v>
      </c>
    </row>
    <row r="81" spans="2:8" x14ac:dyDescent="0.2">
      <c r="B81" s="395">
        <v>8.1999999999999993</v>
      </c>
      <c r="C81" s="2296" t="str">
        <f t="shared" si="14"/>
        <v>Development Facilitation</v>
      </c>
      <c r="D81" s="393" t="str">
        <f t="shared" si="15"/>
        <v>8.2 - Development Facilitation</v>
      </c>
      <c r="E81" s="2297"/>
      <c r="H81" s="2308">
        <v>82</v>
      </c>
    </row>
    <row r="82" spans="2:8" x14ac:dyDescent="0.2">
      <c r="B82" s="395">
        <v>8.3000000000000007</v>
      </c>
      <c r="C82" s="2296" t="str">
        <f t="shared" si="14"/>
        <v>Economic Development/Planning</v>
      </c>
      <c r="D82" s="393" t="str">
        <f t="shared" si="15"/>
        <v>8.3 - Economic Development/Planning</v>
      </c>
      <c r="E82" s="2297"/>
      <c r="H82" s="2308">
        <v>83</v>
      </c>
    </row>
    <row r="83" spans="2:8" x14ac:dyDescent="0.2">
      <c r="B83" s="395">
        <v>8.4</v>
      </c>
      <c r="C83" s="2296" t="str">
        <f t="shared" si="14"/>
        <v>Regional Planning and Development</v>
      </c>
      <c r="D83" s="393" t="str">
        <f t="shared" si="15"/>
        <v>8.4 - Regional Planning and Development</v>
      </c>
      <c r="E83" s="2297"/>
      <c r="H83" s="2308">
        <v>84</v>
      </c>
    </row>
    <row r="84" spans="2:8" x14ac:dyDescent="0.2">
      <c r="B84" s="395">
        <v>8.5</v>
      </c>
      <c r="C84" s="2296" t="str">
        <f t="shared" si="14"/>
        <v>Corporate Wide Strategic Planning (IDPs, LEDs)</v>
      </c>
      <c r="D84" s="393" t="str">
        <f t="shared" si="15"/>
        <v>8.5 - Corporate Wide Strategic Planning (IDPs, LEDs)</v>
      </c>
      <c r="E84" s="2297"/>
      <c r="H84" s="2308">
        <v>85</v>
      </c>
    </row>
    <row r="85" spans="2:8" x14ac:dyDescent="0.2">
      <c r="B85" s="395">
        <v>8.6</v>
      </c>
      <c r="C85" s="2296" t="str">
        <f t="shared" si="14"/>
        <v>Project Management Unit</v>
      </c>
      <c r="D85" s="393" t="str">
        <f t="shared" si="15"/>
        <v>8.6 - Project Management Unit</v>
      </c>
      <c r="E85" s="2297"/>
      <c r="H85" s="2308">
        <v>86</v>
      </c>
    </row>
    <row r="86" spans="2:8" x14ac:dyDescent="0.2">
      <c r="B86" s="395">
        <v>8.6999999999999993</v>
      </c>
      <c r="C86" s="2296" t="str">
        <f t="shared" si="14"/>
        <v>[Name of sub-vote]</v>
      </c>
      <c r="D86" s="393" t="str">
        <f t="shared" si="15"/>
        <v>8.7 - [Name of sub-vote]</v>
      </c>
      <c r="E86" s="2297"/>
      <c r="H86" s="2308">
        <v>87</v>
      </c>
    </row>
    <row r="87" spans="2:8" x14ac:dyDescent="0.2">
      <c r="B87" s="395">
        <v>8.8000000000000007</v>
      </c>
      <c r="C87" s="2296" t="str">
        <f t="shared" si="14"/>
        <v>[Name of sub-vote]</v>
      </c>
      <c r="D87" s="393" t="str">
        <f t="shared" si="15"/>
        <v>8.8 - [Name of sub-vote]</v>
      </c>
      <c r="E87" s="2297"/>
      <c r="H87" s="2308">
        <v>88</v>
      </c>
    </row>
    <row r="88" spans="2:8" x14ac:dyDescent="0.2">
      <c r="B88" s="395">
        <v>8.9</v>
      </c>
      <c r="C88" s="2296" t="str">
        <f t="shared" si="14"/>
        <v>[Name of sub-vote]</v>
      </c>
      <c r="D88" s="393" t="str">
        <f t="shared" si="15"/>
        <v>8.9 - [Name of sub-vote]</v>
      </c>
      <c r="E88" s="2297"/>
      <c r="H88" s="2308">
        <v>89</v>
      </c>
    </row>
    <row r="89" spans="2:8" x14ac:dyDescent="0.2">
      <c r="B89" s="395" t="s">
        <v>1749</v>
      </c>
      <c r="C89" s="2296" t="str">
        <f t="shared" si="14"/>
        <v>[Name of sub-vote]</v>
      </c>
      <c r="D89" s="393" t="str">
        <f t="shared" si="15"/>
        <v>8.10 - [Name of sub-vote]</v>
      </c>
      <c r="E89" s="2297"/>
      <c r="H89" s="2308">
        <v>810</v>
      </c>
    </row>
    <row r="90" spans="2:8" x14ac:dyDescent="0.2">
      <c r="B90" s="396" t="s">
        <v>1724</v>
      </c>
      <c r="C90" s="2295" t="str">
        <f>IFERROR(VLOOKUP($H90,MainMunicipalVote,4,0),"[NAME OF VOTE "&amp;H90&amp;"]")</f>
        <v>Sport and Recreation</v>
      </c>
      <c r="E90" s="2297"/>
      <c r="H90" s="2308">
        <v>9</v>
      </c>
    </row>
    <row r="91" spans="2:8" x14ac:dyDescent="0.2">
      <c r="B91" s="395">
        <v>9.1</v>
      </c>
      <c r="C91" s="2296" t="str">
        <f t="shared" ref="C91:C100" si="16">IFERROR(VLOOKUP($H91,SubMunicipalVote,2,0),"[Name of sub-vote]")</f>
        <v>Sports Grounds and Stadiums</v>
      </c>
      <c r="D91" s="393" t="str">
        <f t="shared" ref="D91:D100" si="17">CONCATENATE(B91, " - ", C91)</f>
        <v>9.1 - Sports Grounds and Stadiums</v>
      </c>
      <c r="E91" s="2297" t="s">
        <v>1765</v>
      </c>
      <c r="H91" s="2308">
        <v>91</v>
      </c>
    </row>
    <row r="92" spans="2:8" x14ac:dyDescent="0.2">
      <c r="B92" s="395">
        <v>9.1999999999999993</v>
      </c>
      <c r="C92" s="2296" t="str">
        <f t="shared" si="16"/>
        <v>[Name of sub-vote]</v>
      </c>
      <c r="D92" s="393" t="str">
        <f t="shared" si="17"/>
        <v>9.2 - [Name of sub-vote]</v>
      </c>
      <c r="E92" s="2297"/>
      <c r="H92" s="2308">
        <v>92</v>
      </c>
    </row>
    <row r="93" spans="2:8" x14ac:dyDescent="0.2">
      <c r="B93" s="395">
        <v>9.3000000000000007</v>
      </c>
      <c r="C93" s="2296" t="str">
        <f t="shared" si="16"/>
        <v>[Name of sub-vote]</v>
      </c>
      <c r="D93" s="393" t="str">
        <f t="shared" si="17"/>
        <v>9.3 - [Name of sub-vote]</v>
      </c>
      <c r="E93" s="2297"/>
      <c r="H93" s="2308">
        <v>93</v>
      </c>
    </row>
    <row r="94" spans="2:8" x14ac:dyDescent="0.2">
      <c r="B94" s="395">
        <v>9.4</v>
      </c>
      <c r="C94" s="2296" t="str">
        <f t="shared" si="16"/>
        <v>[Name of sub-vote]</v>
      </c>
      <c r="D94" s="393" t="str">
        <f t="shared" si="17"/>
        <v>9.4 - [Name of sub-vote]</v>
      </c>
      <c r="E94" s="2297"/>
      <c r="H94" s="2308">
        <v>94</v>
      </c>
    </row>
    <row r="95" spans="2:8" x14ac:dyDescent="0.2">
      <c r="B95" s="395">
        <v>9.5</v>
      </c>
      <c r="C95" s="2296" t="str">
        <f t="shared" si="16"/>
        <v>[Name of sub-vote]</v>
      </c>
      <c r="D95" s="393" t="str">
        <f t="shared" si="17"/>
        <v>9.5 - [Name of sub-vote]</v>
      </c>
      <c r="E95" s="2297"/>
      <c r="H95" s="2308">
        <v>95</v>
      </c>
    </row>
    <row r="96" spans="2:8" x14ac:dyDescent="0.2">
      <c r="B96" s="395">
        <v>9.6</v>
      </c>
      <c r="C96" s="2296" t="str">
        <f t="shared" si="16"/>
        <v>[Name of sub-vote]</v>
      </c>
      <c r="D96" s="393" t="str">
        <f t="shared" si="17"/>
        <v>9.6 - [Name of sub-vote]</v>
      </c>
      <c r="E96" s="2297"/>
      <c r="H96" s="2308">
        <v>96</v>
      </c>
    </row>
    <row r="97" spans="2:8" x14ac:dyDescent="0.2">
      <c r="B97" s="395">
        <v>9.6999999999999993</v>
      </c>
      <c r="C97" s="2296" t="str">
        <f t="shared" si="16"/>
        <v>[Name of sub-vote]</v>
      </c>
      <c r="D97" s="393" t="str">
        <f t="shared" si="17"/>
        <v>9.7 - [Name of sub-vote]</v>
      </c>
      <c r="E97" s="2297"/>
      <c r="H97" s="2308">
        <v>97</v>
      </c>
    </row>
    <row r="98" spans="2:8" x14ac:dyDescent="0.2">
      <c r="B98" s="395">
        <v>9.8000000000000007</v>
      </c>
      <c r="C98" s="2296" t="str">
        <f t="shared" si="16"/>
        <v>[Name of sub-vote]</v>
      </c>
      <c r="D98" s="393" t="str">
        <f t="shared" si="17"/>
        <v>9.8 - [Name of sub-vote]</v>
      </c>
      <c r="E98" s="2297"/>
      <c r="H98" s="2308">
        <v>98</v>
      </c>
    </row>
    <row r="99" spans="2:8" x14ac:dyDescent="0.2">
      <c r="B99" s="395">
        <v>9.9</v>
      </c>
      <c r="C99" s="2296" t="str">
        <f t="shared" si="16"/>
        <v>[Name of sub-vote]</v>
      </c>
      <c r="D99" s="393" t="str">
        <f t="shared" si="17"/>
        <v>9.9 - [Name of sub-vote]</v>
      </c>
      <c r="E99" s="2297"/>
      <c r="H99" s="2308">
        <v>99</v>
      </c>
    </row>
    <row r="100" spans="2:8" x14ac:dyDescent="0.2">
      <c r="B100" s="395" t="s">
        <v>1750</v>
      </c>
      <c r="C100" s="2296" t="str">
        <f t="shared" si="16"/>
        <v>[Name of sub-vote]</v>
      </c>
      <c r="D100" s="393" t="str">
        <f t="shared" si="17"/>
        <v>9.10 - [Name of sub-vote]</v>
      </c>
      <c r="E100" s="2297"/>
      <c r="H100" s="2308">
        <v>910</v>
      </c>
    </row>
    <row r="101" spans="2:8" x14ac:dyDescent="0.2">
      <c r="B101" s="396" t="s">
        <v>1725</v>
      </c>
      <c r="C101" s="2295" t="str">
        <f>IFERROR(VLOOKUP($H101,MainMunicipalVote,4,0),"[NAME OF VOTE "&amp;H101&amp;"]")</f>
        <v>Public Safety</v>
      </c>
      <c r="E101" s="2297"/>
      <c r="H101" s="2308">
        <v>10</v>
      </c>
    </row>
    <row r="102" spans="2:8" x14ac:dyDescent="0.2">
      <c r="B102" s="395">
        <v>10.1</v>
      </c>
      <c r="C102" s="2296" t="str">
        <f t="shared" ref="C102:C111" si="18">IFERROR(VLOOKUP($H102,SubMunicipalVote,2,0),"[Name of sub-vote]")</f>
        <v>Fire Fighting and Protection</v>
      </c>
      <c r="D102" s="393" t="str">
        <f t="shared" ref="D102:D111" si="19">CONCATENATE(B102, " - ", C102)</f>
        <v>10.1 - Fire Fighting and Protection</v>
      </c>
      <c r="E102" s="2297" t="s">
        <v>1766</v>
      </c>
      <c r="H102" s="2308">
        <v>101</v>
      </c>
    </row>
    <row r="103" spans="2:8" x14ac:dyDescent="0.2">
      <c r="B103" s="395">
        <v>10.199999999999999</v>
      </c>
      <c r="C103" s="2296" t="str">
        <f t="shared" si="18"/>
        <v>Fencing and Fences</v>
      </c>
      <c r="D103" s="393" t="str">
        <f t="shared" si="19"/>
        <v>10.2 - Fencing and Fences</v>
      </c>
      <c r="E103" s="2297"/>
      <c r="H103" s="2308">
        <v>102</v>
      </c>
    </row>
    <row r="104" spans="2:8" x14ac:dyDescent="0.2">
      <c r="B104" s="395">
        <v>10.3</v>
      </c>
      <c r="C104" s="2296" t="str">
        <f t="shared" si="18"/>
        <v>[Name of sub-vote]</v>
      </c>
      <c r="D104" s="393" t="str">
        <f t="shared" si="19"/>
        <v>10.3 - [Name of sub-vote]</v>
      </c>
      <c r="E104" s="2297"/>
      <c r="H104" s="2308">
        <v>103</v>
      </c>
    </row>
    <row r="105" spans="2:8" x14ac:dyDescent="0.2">
      <c r="B105" s="395">
        <v>10.4</v>
      </c>
      <c r="C105" s="2296" t="str">
        <f t="shared" si="18"/>
        <v>[Name of sub-vote]</v>
      </c>
      <c r="D105" s="393" t="str">
        <f t="shared" si="19"/>
        <v>10.4 - [Name of sub-vote]</v>
      </c>
      <c r="E105" s="2297"/>
      <c r="H105" s="2308">
        <v>104</v>
      </c>
    </row>
    <row r="106" spans="2:8" x14ac:dyDescent="0.2">
      <c r="B106" s="395">
        <v>10.5</v>
      </c>
      <c r="C106" s="2296" t="str">
        <f t="shared" si="18"/>
        <v>[Name of sub-vote]</v>
      </c>
      <c r="D106" s="393" t="str">
        <f t="shared" si="19"/>
        <v>10.5 - [Name of sub-vote]</v>
      </c>
      <c r="E106" s="2297"/>
      <c r="H106" s="2308">
        <v>105</v>
      </c>
    </row>
    <row r="107" spans="2:8" x14ac:dyDescent="0.2">
      <c r="B107" s="395">
        <v>10.6</v>
      </c>
      <c r="C107" s="2296" t="str">
        <f t="shared" si="18"/>
        <v>[Name of sub-vote]</v>
      </c>
      <c r="D107" s="393" t="str">
        <f t="shared" si="19"/>
        <v>10.6 - [Name of sub-vote]</v>
      </c>
      <c r="E107" s="2297"/>
      <c r="H107" s="2308">
        <v>106</v>
      </c>
    </row>
    <row r="108" spans="2:8" x14ac:dyDescent="0.2">
      <c r="B108" s="395">
        <v>10.7</v>
      </c>
      <c r="C108" s="2296" t="str">
        <f t="shared" si="18"/>
        <v>[Name of sub-vote]</v>
      </c>
      <c r="D108" s="393" t="str">
        <f t="shared" si="19"/>
        <v>10.7 - [Name of sub-vote]</v>
      </c>
      <c r="E108" s="2297"/>
      <c r="H108" s="2308">
        <v>107</v>
      </c>
    </row>
    <row r="109" spans="2:8" x14ac:dyDescent="0.2">
      <c r="B109" s="395">
        <v>10.8</v>
      </c>
      <c r="C109" s="2296" t="str">
        <f t="shared" si="18"/>
        <v>[Name of sub-vote]</v>
      </c>
      <c r="D109" s="393" t="str">
        <f t="shared" si="19"/>
        <v>10.8 - [Name of sub-vote]</v>
      </c>
      <c r="E109" s="2297"/>
      <c r="H109" s="2308">
        <v>108</v>
      </c>
    </row>
    <row r="110" spans="2:8" x14ac:dyDescent="0.2">
      <c r="B110" s="395">
        <v>10.9</v>
      </c>
      <c r="C110" s="2296" t="str">
        <f t="shared" si="18"/>
        <v>[Name of sub-vote]</v>
      </c>
      <c r="D110" s="393" t="str">
        <f t="shared" si="19"/>
        <v>10.9 - [Name of sub-vote]</v>
      </c>
      <c r="E110" s="2297"/>
      <c r="H110" s="2308">
        <v>109</v>
      </c>
    </row>
    <row r="111" spans="2:8" x14ac:dyDescent="0.2">
      <c r="B111" s="395" t="s">
        <v>1751</v>
      </c>
      <c r="C111" s="2296" t="str">
        <f t="shared" si="18"/>
        <v>[Name of sub-vote]</v>
      </c>
      <c r="D111" s="393" t="str">
        <f t="shared" si="19"/>
        <v>10.10 - [Name of sub-vote]</v>
      </c>
      <c r="E111" s="2297"/>
      <c r="H111" s="2308">
        <v>1010</v>
      </c>
    </row>
    <row r="112" spans="2:8" x14ac:dyDescent="0.2">
      <c r="B112" s="396" t="s">
        <v>1726</v>
      </c>
      <c r="C112" s="2295" t="str">
        <f>IFERROR(VLOOKUP($H112,MainMunicipalVote,4,0),"[NAME OF VOTE "&amp;H112&amp;"]")</f>
        <v>Other</v>
      </c>
      <c r="E112" s="2297"/>
      <c r="H112" s="2308">
        <v>11</v>
      </c>
    </row>
    <row r="113" spans="2:8" x14ac:dyDescent="0.2">
      <c r="B113" s="395">
        <v>11.1</v>
      </c>
      <c r="C113" s="2296" t="str">
        <f t="shared" ref="C113:C122" si="20">IFERROR(VLOOKUP($H113,SubMunicipalVote,2,0),"[Name of sub-vote]")</f>
        <v>Licensing and Regulation</v>
      </c>
      <c r="D113" s="393" t="str">
        <f t="shared" ref="D113:D122" si="21">CONCATENATE(B113, " - ", C113)</f>
        <v>11.1 - Licensing and Regulation</v>
      </c>
      <c r="E113" s="2297" t="s">
        <v>1767</v>
      </c>
      <c r="H113" s="2308">
        <v>111</v>
      </c>
    </row>
    <row r="114" spans="2:8" x14ac:dyDescent="0.2">
      <c r="B114" s="395">
        <v>11.2</v>
      </c>
      <c r="C114" s="2296" t="str">
        <f t="shared" si="20"/>
        <v>[Name of sub-vote]</v>
      </c>
      <c r="D114" s="393" t="str">
        <f t="shared" si="21"/>
        <v>11.2 - [Name of sub-vote]</v>
      </c>
      <c r="E114" s="2297"/>
      <c r="H114" s="2308">
        <v>112</v>
      </c>
    </row>
    <row r="115" spans="2:8" x14ac:dyDescent="0.2">
      <c r="B115" s="395">
        <v>11.3</v>
      </c>
      <c r="C115" s="2296" t="str">
        <f t="shared" si="20"/>
        <v>[Name of sub-vote]</v>
      </c>
      <c r="D115" s="393" t="str">
        <f t="shared" si="21"/>
        <v>11.3 - [Name of sub-vote]</v>
      </c>
      <c r="E115" s="2297"/>
      <c r="H115" s="2308">
        <v>113</v>
      </c>
    </row>
    <row r="116" spans="2:8" x14ac:dyDescent="0.2">
      <c r="B116" s="395">
        <v>11.4</v>
      </c>
      <c r="C116" s="2296" t="str">
        <f t="shared" si="20"/>
        <v>[Name of sub-vote]</v>
      </c>
      <c r="D116" s="393" t="str">
        <f t="shared" si="21"/>
        <v>11.4 - [Name of sub-vote]</v>
      </c>
      <c r="E116" s="2297"/>
      <c r="H116" s="2308">
        <v>114</v>
      </c>
    </row>
    <row r="117" spans="2:8" x14ac:dyDescent="0.2">
      <c r="B117" s="395">
        <v>11.5</v>
      </c>
      <c r="C117" s="2296" t="str">
        <f t="shared" si="20"/>
        <v>[Name of sub-vote]</v>
      </c>
      <c r="D117" s="393" t="str">
        <f t="shared" si="21"/>
        <v>11.5 - [Name of sub-vote]</v>
      </c>
      <c r="E117" s="2297"/>
      <c r="H117" s="2308">
        <v>115</v>
      </c>
    </row>
    <row r="118" spans="2:8" x14ac:dyDescent="0.2">
      <c r="B118" s="395">
        <v>11.6</v>
      </c>
      <c r="C118" s="2296" t="str">
        <f t="shared" si="20"/>
        <v>[Name of sub-vote]</v>
      </c>
      <c r="D118" s="393" t="str">
        <f t="shared" si="21"/>
        <v>11.6 - [Name of sub-vote]</v>
      </c>
      <c r="E118" s="2297"/>
      <c r="H118" s="2308">
        <v>116</v>
      </c>
    </row>
    <row r="119" spans="2:8" x14ac:dyDescent="0.2">
      <c r="B119" s="395">
        <v>11.7</v>
      </c>
      <c r="C119" s="2296" t="str">
        <f t="shared" si="20"/>
        <v>[Name of sub-vote]</v>
      </c>
      <c r="D119" s="393" t="str">
        <f t="shared" si="21"/>
        <v>11.7 - [Name of sub-vote]</v>
      </c>
      <c r="E119" s="2297"/>
      <c r="H119" s="2308">
        <v>117</v>
      </c>
    </row>
    <row r="120" spans="2:8" x14ac:dyDescent="0.2">
      <c r="B120" s="395">
        <v>11.8</v>
      </c>
      <c r="C120" s="2296" t="str">
        <f t="shared" si="20"/>
        <v>[Name of sub-vote]</v>
      </c>
      <c r="D120" s="393" t="str">
        <f t="shared" si="21"/>
        <v>11.8 - [Name of sub-vote]</v>
      </c>
      <c r="E120" s="2297"/>
      <c r="H120" s="2308">
        <v>118</v>
      </c>
    </row>
    <row r="121" spans="2:8" x14ac:dyDescent="0.2">
      <c r="B121" s="395">
        <v>11.9</v>
      </c>
      <c r="C121" s="2296" t="str">
        <f t="shared" si="20"/>
        <v>[Name of sub-vote]</v>
      </c>
      <c r="D121" s="393" t="str">
        <f t="shared" si="21"/>
        <v>11.9 - [Name of sub-vote]</v>
      </c>
      <c r="E121" s="2297"/>
      <c r="H121" s="2308">
        <v>119</v>
      </c>
    </row>
    <row r="122" spans="2:8" x14ac:dyDescent="0.2">
      <c r="B122" s="395" t="s">
        <v>1752</v>
      </c>
      <c r="C122" s="2296" t="str">
        <f t="shared" si="20"/>
        <v>[Name of sub-vote]</v>
      </c>
      <c r="D122" s="393" t="str">
        <f t="shared" si="21"/>
        <v>11.10 - [Name of sub-vote]</v>
      </c>
      <c r="E122" s="2297"/>
      <c r="H122" s="2308">
        <v>1110</v>
      </c>
    </row>
    <row r="123" spans="2:8" x14ac:dyDescent="0.2">
      <c r="B123" s="396" t="s">
        <v>1727</v>
      </c>
      <c r="C123" s="2295" t="str">
        <f>IFERROR(VLOOKUP($H123,MainMunicipalVote,4,0),"[NAME OF VOTE "&amp;H123&amp;"]")</f>
        <v>Waste Management</v>
      </c>
      <c r="E123" s="2297"/>
      <c r="H123" s="2308">
        <v>12</v>
      </c>
    </row>
    <row r="124" spans="2:8" x14ac:dyDescent="0.2">
      <c r="B124" s="395">
        <v>12.1</v>
      </c>
      <c r="C124" s="2296" t="str">
        <f t="shared" ref="C124:C133" si="22">IFERROR(VLOOKUP($H124,SubMunicipalVote,2,0),"[Name of sub-vote]")</f>
        <v>Solid Waste Removal</v>
      </c>
      <c r="D124" s="393" t="str">
        <f t="shared" ref="D124:D133" si="23">CONCATENATE(B124, " - ", C124)</f>
        <v>12.1 - Solid Waste Removal</v>
      </c>
      <c r="E124" s="2297" t="s">
        <v>1768</v>
      </c>
      <c r="H124" s="2308">
        <v>121</v>
      </c>
    </row>
    <row r="125" spans="2:8" x14ac:dyDescent="0.2">
      <c r="B125" s="395">
        <v>12.2</v>
      </c>
      <c r="C125" s="2296" t="str">
        <f t="shared" si="22"/>
        <v>Street Cleaning</v>
      </c>
      <c r="D125" s="393" t="str">
        <f t="shared" si="23"/>
        <v>12.2 - Street Cleaning</v>
      </c>
      <c r="E125" s="2297"/>
      <c r="H125" s="2308">
        <v>122</v>
      </c>
    </row>
    <row r="126" spans="2:8" x14ac:dyDescent="0.2">
      <c r="B126" s="395">
        <v>12.3</v>
      </c>
      <c r="C126" s="2296" t="str">
        <f t="shared" si="22"/>
        <v>Solid Waste Disposal (Landfill Sites)</v>
      </c>
      <c r="D126" s="393" t="str">
        <f t="shared" si="23"/>
        <v>12.3 - Solid Waste Disposal (Landfill Sites)</v>
      </c>
      <c r="E126" s="2297"/>
      <c r="H126" s="2308">
        <v>123</v>
      </c>
    </row>
    <row r="127" spans="2:8" x14ac:dyDescent="0.2">
      <c r="B127" s="395">
        <v>12.4</v>
      </c>
      <c r="C127" s="2296" t="str">
        <f t="shared" si="22"/>
        <v>[Name of sub-vote]</v>
      </c>
      <c r="D127" s="393" t="str">
        <f t="shared" si="23"/>
        <v>12.4 - [Name of sub-vote]</v>
      </c>
      <c r="E127" s="2297"/>
      <c r="H127" s="2308">
        <v>124</v>
      </c>
    </row>
    <row r="128" spans="2:8" x14ac:dyDescent="0.2">
      <c r="B128" s="395">
        <v>12.5</v>
      </c>
      <c r="C128" s="2296" t="str">
        <f t="shared" si="22"/>
        <v>[Name of sub-vote]</v>
      </c>
      <c r="D128" s="393" t="str">
        <f t="shared" si="23"/>
        <v>12.5 - [Name of sub-vote]</v>
      </c>
      <c r="E128" s="2297"/>
      <c r="H128" s="2308">
        <v>125</v>
      </c>
    </row>
    <row r="129" spans="2:8" x14ac:dyDescent="0.2">
      <c r="B129" s="395">
        <v>12.6</v>
      </c>
      <c r="C129" s="2296" t="str">
        <f t="shared" si="22"/>
        <v>[Name of sub-vote]</v>
      </c>
      <c r="D129" s="393" t="str">
        <f t="shared" si="23"/>
        <v>12.6 - [Name of sub-vote]</v>
      </c>
      <c r="E129" s="2297"/>
      <c r="H129" s="2308">
        <v>126</v>
      </c>
    </row>
    <row r="130" spans="2:8" x14ac:dyDescent="0.2">
      <c r="B130" s="395">
        <v>12.7</v>
      </c>
      <c r="C130" s="2296" t="str">
        <f t="shared" si="22"/>
        <v>[Name of sub-vote]</v>
      </c>
      <c r="D130" s="393" t="str">
        <f t="shared" si="23"/>
        <v>12.7 - [Name of sub-vote]</v>
      </c>
      <c r="E130" s="2297"/>
      <c r="H130" s="2308">
        <v>127</v>
      </c>
    </row>
    <row r="131" spans="2:8" x14ac:dyDescent="0.2">
      <c r="B131" s="395">
        <v>12.8</v>
      </c>
      <c r="C131" s="2296" t="str">
        <f t="shared" si="22"/>
        <v>[Name of sub-vote]</v>
      </c>
      <c r="D131" s="393" t="str">
        <f t="shared" si="23"/>
        <v>12.8 - [Name of sub-vote]</v>
      </c>
      <c r="E131" s="2297"/>
      <c r="H131" s="2308">
        <v>128</v>
      </c>
    </row>
    <row r="132" spans="2:8" x14ac:dyDescent="0.2">
      <c r="B132" s="395">
        <v>12.9</v>
      </c>
      <c r="C132" s="2296" t="str">
        <f t="shared" si="22"/>
        <v>[Name of sub-vote]</v>
      </c>
      <c r="D132" s="393" t="str">
        <f t="shared" si="23"/>
        <v>12.9 - [Name of sub-vote]</v>
      </c>
      <c r="E132" s="2297"/>
      <c r="H132" s="2308">
        <v>129</v>
      </c>
    </row>
    <row r="133" spans="2:8" x14ac:dyDescent="0.2">
      <c r="B133" s="395" t="s">
        <v>1753</v>
      </c>
      <c r="C133" s="2296" t="str">
        <f t="shared" si="22"/>
        <v>[Name of sub-vote]</v>
      </c>
      <c r="D133" s="393" t="str">
        <f t="shared" si="23"/>
        <v>12.10 - [Name of sub-vote]</v>
      </c>
      <c r="E133" s="2297"/>
      <c r="H133" s="2308">
        <v>1210</v>
      </c>
    </row>
    <row r="134" spans="2:8" x14ac:dyDescent="0.2">
      <c r="B134" s="396" t="s">
        <v>1728</v>
      </c>
      <c r="C134" s="2295" t="str">
        <f>IFERROR(VLOOKUP($H134,MainMunicipalVote,4,0),"[NAME OF VOTE "&amp;H134&amp;"]")</f>
        <v>Housing</v>
      </c>
      <c r="E134" s="2297"/>
      <c r="H134" s="2308">
        <v>13</v>
      </c>
    </row>
    <row r="135" spans="2:8" x14ac:dyDescent="0.2">
      <c r="B135" s="395">
        <v>13.1</v>
      </c>
      <c r="C135" s="2296" t="str">
        <f t="shared" ref="C135:C144" si="24">IFERROR(VLOOKUP($H135,SubMunicipalVote,2,0),"[Name of sub-vote]")</f>
        <v>Housing</v>
      </c>
      <c r="D135" s="393" t="str">
        <f t="shared" ref="D135:D144" si="25">CONCATENATE(B135, " - ", C135)</f>
        <v>13.1 - Housing</v>
      </c>
      <c r="E135" s="2297" t="s">
        <v>1769</v>
      </c>
      <c r="H135" s="2308">
        <v>131</v>
      </c>
    </row>
    <row r="136" spans="2:8" x14ac:dyDescent="0.2">
      <c r="B136" s="395">
        <v>13.2</v>
      </c>
      <c r="C136" s="2296" t="str">
        <f t="shared" si="24"/>
        <v>[Name of sub-vote]</v>
      </c>
      <c r="D136" s="393" t="str">
        <f t="shared" si="25"/>
        <v>13.2 - [Name of sub-vote]</v>
      </c>
      <c r="E136" s="2297"/>
      <c r="H136" s="2308">
        <v>132</v>
      </c>
    </row>
    <row r="137" spans="2:8" x14ac:dyDescent="0.2">
      <c r="B137" s="395">
        <v>13.3</v>
      </c>
      <c r="C137" s="2296" t="str">
        <f t="shared" si="24"/>
        <v>[Name of sub-vote]</v>
      </c>
      <c r="D137" s="393" t="str">
        <f t="shared" si="25"/>
        <v>13.3 - [Name of sub-vote]</v>
      </c>
      <c r="E137" s="2297"/>
      <c r="H137" s="2308">
        <v>133</v>
      </c>
    </row>
    <row r="138" spans="2:8" x14ac:dyDescent="0.2">
      <c r="B138" s="395">
        <v>13.4</v>
      </c>
      <c r="C138" s="2296" t="str">
        <f t="shared" si="24"/>
        <v>[Name of sub-vote]</v>
      </c>
      <c r="D138" s="393" t="str">
        <f t="shared" si="25"/>
        <v>13.4 - [Name of sub-vote]</v>
      </c>
      <c r="E138" s="2297"/>
      <c r="H138" s="2308">
        <v>134</v>
      </c>
    </row>
    <row r="139" spans="2:8" x14ac:dyDescent="0.2">
      <c r="B139" s="395">
        <v>13.5</v>
      </c>
      <c r="C139" s="2296" t="str">
        <f t="shared" si="24"/>
        <v>[Name of sub-vote]</v>
      </c>
      <c r="D139" s="393" t="str">
        <f t="shared" si="25"/>
        <v>13.5 - [Name of sub-vote]</v>
      </c>
      <c r="E139" s="2297"/>
      <c r="H139" s="2308">
        <v>135</v>
      </c>
    </row>
    <row r="140" spans="2:8" x14ac:dyDescent="0.2">
      <c r="B140" s="395">
        <v>13.6</v>
      </c>
      <c r="C140" s="2296" t="str">
        <f t="shared" si="24"/>
        <v>[Name of sub-vote]</v>
      </c>
      <c r="D140" s="393" t="str">
        <f t="shared" si="25"/>
        <v>13.6 - [Name of sub-vote]</v>
      </c>
      <c r="E140" s="2297"/>
      <c r="H140" s="2308">
        <v>136</v>
      </c>
    </row>
    <row r="141" spans="2:8" x14ac:dyDescent="0.2">
      <c r="B141" s="395">
        <v>13.7</v>
      </c>
      <c r="C141" s="2296" t="str">
        <f t="shared" si="24"/>
        <v>[Name of sub-vote]</v>
      </c>
      <c r="D141" s="393" t="str">
        <f t="shared" si="25"/>
        <v>13.7 - [Name of sub-vote]</v>
      </c>
      <c r="E141" s="2297"/>
      <c r="H141" s="2308">
        <v>137</v>
      </c>
    </row>
    <row r="142" spans="2:8" x14ac:dyDescent="0.2">
      <c r="B142" s="395">
        <v>13.8</v>
      </c>
      <c r="C142" s="2296" t="str">
        <f t="shared" si="24"/>
        <v>[Name of sub-vote]</v>
      </c>
      <c r="D142" s="393" t="str">
        <f t="shared" si="25"/>
        <v>13.8 - [Name of sub-vote]</v>
      </c>
      <c r="E142" s="2297"/>
      <c r="H142" s="2308">
        <v>138</v>
      </c>
    </row>
    <row r="143" spans="2:8" x14ac:dyDescent="0.2">
      <c r="B143" s="395">
        <v>13.9</v>
      </c>
      <c r="C143" s="2296" t="str">
        <f t="shared" si="24"/>
        <v>[Name of sub-vote]</v>
      </c>
      <c r="D143" s="393" t="str">
        <f t="shared" si="25"/>
        <v>13.9 - [Name of sub-vote]</v>
      </c>
      <c r="E143" s="2297"/>
      <c r="H143" s="2308">
        <v>139</v>
      </c>
    </row>
    <row r="144" spans="2:8" x14ac:dyDescent="0.2">
      <c r="B144" s="395" t="s">
        <v>1754</v>
      </c>
      <c r="C144" s="2296" t="str">
        <f t="shared" si="24"/>
        <v>[Name of sub-vote]</v>
      </c>
      <c r="D144" s="393" t="str">
        <f t="shared" si="25"/>
        <v>13.10 - [Name of sub-vote]</v>
      </c>
      <c r="E144" s="2297"/>
      <c r="H144" s="2308">
        <v>1310</v>
      </c>
    </row>
    <row r="145" spans="2:8" x14ac:dyDescent="0.2">
      <c r="B145" s="396" t="s">
        <v>1729</v>
      </c>
      <c r="C145" s="2295" t="str">
        <f>IFERROR(VLOOKUP($H145,MainMunicipalVote,4,0),"[NAME OF VOTE "&amp;H145&amp;"]")</f>
        <v>Waste Water Management</v>
      </c>
      <c r="E145" s="2297"/>
      <c r="H145" s="2308">
        <v>14</v>
      </c>
    </row>
    <row r="146" spans="2:8" x14ac:dyDescent="0.2">
      <c r="B146" s="395">
        <v>14.1</v>
      </c>
      <c r="C146" s="2296" t="str">
        <f t="shared" ref="C146:C155" si="26">IFERROR(VLOOKUP($H146,SubMunicipalVote,2,0),"[Name of sub-vote]")</f>
        <v>Storm Water Management</v>
      </c>
      <c r="D146" s="393" t="str">
        <f t="shared" ref="D146:D155" si="27">CONCATENATE(B146, " - ", C146)</f>
        <v>14.1 - Storm Water Management</v>
      </c>
      <c r="E146" s="2297" t="s">
        <v>1770</v>
      </c>
      <c r="H146" s="2308">
        <v>141</v>
      </c>
    </row>
    <row r="147" spans="2:8" x14ac:dyDescent="0.2">
      <c r="B147" s="395">
        <v>14.2</v>
      </c>
      <c r="C147" s="2296" t="str">
        <f t="shared" si="26"/>
        <v>[Name of sub-vote]</v>
      </c>
      <c r="D147" s="393" t="str">
        <f t="shared" si="27"/>
        <v>14.2 - [Name of sub-vote]</v>
      </c>
      <c r="E147" s="2297"/>
      <c r="H147" s="2308">
        <v>142</v>
      </c>
    </row>
    <row r="148" spans="2:8" x14ac:dyDescent="0.2">
      <c r="B148" s="395">
        <v>14.3</v>
      </c>
      <c r="C148" s="2296" t="str">
        <f t="shared" si="26"/>
        <v>[Name of sub-vote]</v>
      </c>
      <c r="D148" s="393" t="str">
        <f t="shared" si="27"/>
        <v>14.3 - [Name of sub-vote]</v>
      </c>
      <c r="E148" s="2297"/>
      <c r="H148" s="2308">
        <v>143</v>
      </c>
    </row>
    <row r="149" spans="2:8" x14ac:dyDescent="0.2">
      <c r="B149" s="395">
        <v>14.4</v>
      </c>
      <c r="C149" s="2296" t="str">
        <f t="shared" si="26"/>
        <v>[Name of sub-vote]</v>
      </c>
      <c r="D149" s="393" t="str">
        <f t="shared" si="27"/>
        <v>14.4 - [Name of sub-vote]</v>
      </c>
      <c r="E149" s="2297"/>
      <c r="H149" s="2308">
        <v>144</v>
      </c>
    </row>
    <row r="150" spans="2:8" x14ac:dyDescent="0.2">
      <c r="B150" s="395">
        <v>14.5</v>
      </c>
      <c r="C150" s="2296" t="str">
        <f t="shared" si="26"/>
        <v>[Name of sub-vote]</v>
      </c>
      <c r="D150" s="393" t="str">
        <f t="shared" si="27"/>
        <v>14.5 - [Name of sub-vote]</v>
      </c>
      <c r="E150" s="2297"/>
      <c r="H150" s="2308">
        <v>145</v>
      </c>
    </row>
    <row r="151" spans="2:8" x14ac:dyDescent="0.2">
      <c r="B151" s="395">
        <v>14.6</v>
      </c>
      <c r="C151" s="2296" t="str">
        <f t="shared" si="26"/>
        <v>[Name of sub-vote]</v>
      </c>
      <c r="D151" s="393" t="str">
        <f t="shared" si="27"/>
        <v>14.6 - [Name of sub-vote]</v>
      </c>
      <c r="E151" s="2297"/>
      <c r="H151" s="2308">
        <v>146</v>
      </c>
    </row>
    <row r="152" spans="2:8" x14ac:dyDescent="0.2">
      <c r="B152" s="395">
        <v>14.7</v>
      </c>
      <c r="C152" s="2296" t="str">
        <f t="shared" si="26"/>
        <v>[Name of sub-vote]</v>
      </c>
      <c r="D152" s="393" t="str">
        <f t="shared" si="27"/>
        <v>14.7 - [Name of sub-vote]</v>
      </c>
      <c r="E152" s="2297"/>
      <c r="H152" s="2308">
        <v>147</v>
      </c>
    </row>
    <row r="153" spans="2:8" x14ac:dyDescent="0.2">
      <c r="B153" s="395">
        <v>14.8</v>
      </c>
      <c r="C153" s="2296" t="str">
        <f t="shared" si="26"/>
        <v>[Name of sub-vote]</v>
      </c>
      <c r="D153" s="393" t="str">
        <f t="shared" si="27"/>
        <v>14.8 - [Name of sub-vote]</v>
      </c>
      <c r="E153" s="2297"/>
      <c r="H153" s="2308">
        <v>148</v>
      </c>
    </row>
    <row r="154" spans="2:8" x14ac:dyDescent="0.2">
      <c r="B154" s="395">
        <v>14.9</v>
      </c>
      <c r="C154" s="2296" t="str">
        <f t="shared" si="26"/>
        <v>[Name of sub-vote]</v>
      </c>
      <c r="D154" s="393" t="str">
        <f t="shared" si="27"/>
        <v>14.9 - [Name of sub-vote]</v>
      </c>
      <c r="E154" s="2297"/>
      <c r="H154" s="2308">
        <v>149</v>
      </c>
    </row>
    <row r="155" spans="2:8" x14ac:dyDescent="0.2">
      <c r="B155" s="395" t="s">
        <v>1755</v>
      </c>
      <c r="C155" s="2296" t="str">
        <f t="shared" si="26"/>
        <v>[Name of sub-vote]</v>
      </c>
      <c r="D155" s="393" t="str">
        <f t="shared" si="27"/>
        <v>14.10 - [Name of sub-vote]</v>
      </c>
      <c r="E155" s="2297"/>
      <c r="H155" s="2308">
        <v>1410</v>
      </c>
    </row>
    <row r="156" spans="2:8" x14ac:dyDescent="0.2">
      <c r="B156" s="396" t="s">
        <v>1730</v>
      </c>
      <c r="C156" s="2295" t="str">
        <f>IFERROR(VLOOKUP($H156,MainMunicipalVote,4,0),"[NAME OF VOTE "&amp;H156&amp;"]")</f>
        <v>Health</v>
      </c>
      <c r="E156" s="2297"/>
      <c r="H156" s="2308">
        <v>15</v>
      </c>
    </row>
    <row r="157" spans="2:8" x14ac:dyDescent="0.2">
      <c r="B157" s="395">
        <v>15.1</v>
      </c>
      <c r="C157" s="2296" t="str">
        <f t="shared" ref="C157:C166" si="28">IFERROR(VLOOKUP($H157,SubMunicipalVote,2,0),"[Name of sub-vote]")</f>
        <v>Health Services</v>
      </c>
      <c r="D157" s="393" t="str">
        <f t="shared" ref="D157:D166" si="29">CONCATENATE(B157, " - ", C157)</f>
        <v>15.1 - Health Services</v>
      </c>
      <c r="E157" s="2297" t="s">
        <v>1771</v>
      </c>
      <c r="H157" s="2308">
        <v>151</v>
      </c>
    </row>
    <row r="158" spans="2:8" x14ac:dyDescent="0.2">
      <c r="B158" s="395">
        <v>15.2</v>
      </c>
      <c r="C158" s="2296" t="str">
        <f t="shared" si="28"/>
        <v>[Name of sub-vote]</v>
      </c>
      <c r="D158" s="393" t="str">
        <f t="shared" si="29"/>
        <v>15.2 - [Name of sub-vote]</v>
      </c>
      <c r="E158" s="2297"/>
      <c r="H158" s="2308">
        <v>152</v>
      </c>
    </row>
    <row r="159" spans="2:8" x14ac:dyDescent="0.2">
      <c r="B159" s="395">
        <v>15.3</v>
      </c>
      <c r="C159" s="2296" t="str">
        <f t="shared" si="28"/>
        <v>[Name of sub-vote]</v>
      </c>
      <c r="D159" s="393" t="str">
        <f t="shared" si="29"/>
        <v>15.3 - [Name of sub-vote]</v>
      </c>
      <c r="E159" s="2297"/>
      <c r="H159" s="2308">
        <v>153</v>
      </c>
    </row>
    <row r="160" spans="2:8" x14ac:dyDescent="0.2">
      <c r="B160" s="395">
        <v>15.4</v>
      </c>
      <c r="C160" s="2296" t="str">
        <f t="shared" si="28"/>
        <v>[Name of sub-vote]</v>
      </c>
      <c r="D160" s="393" t="str">
        <f t="shared" si="29"/>
        <v>15.4 - [Name of sub-vote]</v>
      </c>
      <c r="E160" s="2297"/>
      <c r="H160" s="2308">
        <v>154</v>
      </c>
    </row>
    <row r="161" spans="2:8" x14ac:dyDescent="0.2">
      <c r="B161" s="395">
        <v>15.5</v>
      </c>
      <c r="C161" s="2296" t="str">
        <f t="shared" si="28"/>
        <v>[Name of sub-vote]</v>
      </c>
      <c r="D161" s="393" t="str">
        <f t="shared" si="29"/>
        <v>15.5 - [Name of sub-vote]</v>
      </c>
      <c r="E161" s="2297"/>
      <c r="H161" s="2308">
        <v>155</v>
      </c>
    </row>
    <row r="162" spans="2:8" x14ac:dyDescent="0.2">
      <c r="B162" s="395">
        <v>15.6</v>
      </c>
      <c r="C162" s="2296" t="str">
        <f t="shared" si="28"/>
        <v>[Name of sub-vote]</v>
      </c>
      <c r="D162" s="393" t="str">
        <f t="shared" si="29"/>
        <v>15.6 - [Name of sub-vote]</v>
      </c>
      <c r="E162" s="2297"/>
      <c r="H162" s="2308">
        <v>156</v>
      </c>
    </row>
    <row r="163" spans="2:8" x14ac:dyDescent="0.2">
      <c r="B163" s="395">
        <v>15.7</v>
      </c>
      <c r="C163" s="2296" t="str">
        <f t="shared" si="28"/>
        <v>[Name of sub-vote]</v>
      </c>
      <c r="D163" s="393" t="str">
        <f t="shared" si="29"/>
        <v>15.7 - [Name of sub-vote]</v>
      </c>
      <c r="E163" s="2297"/>
      <c r="H163" s="2308">
        <v>157</v>
      </c>
    </row>
    <row r="164" spans="2:8" x14ac:dyDescent="0.2">
      <c r="B164" s="395">
        <v>15.8</v>
      </c>
      <c r="C164" s="2296" t="str">
        <f t="shared" si="28"/>
        <v>[Name of sub-vote]</v>
      </c>
      <c r="D164" s="393" t="str">
        <f t="shared" si="29"/>
        <v>15.8 - [Name of sub-vote]</v>
      </c>
      <c r="E164" s="2297"/>
      <c r="H164" s="2308">
        <v>158</v>
      </c>
    </row>
    <row r="165" spans="2:8" x14ac:dyDescent="0.2">
      <c r="B165" s="395">
        <v>15.9</v>
      </c>
      <c r="C165" s="2296" t="str">
        <f t="shared" si="28"/>
        <v>[Name of sub-vote]</v>
      </c>
      <c r="D165" s="393" t="str">
        <f t="shared" si="29"/>
        <v>15.9 - [Name of sub-vote]</v>
      </c>
      <c r="E165" s="2297"/>
      <c r="H165" s="2308">
        <v>159</v>
      </c>
    </row>
    <row r="166" spans="2:8" x14ac:dyDescent="0.2">
      <c r="B166" s="395" t="s">
        <v>1756</v>
      </c>
      <c r="C166" s="2296" t="str">
        <f t="shared" si="28"/>
        <v>[Name of sub-vote]</v>
      </c>
      <c r="D166" s="393" t="str">
        <f t="shared" si="29"/>
        <v>15.10 - [Name of sub-vote]</v>
      </c>
      <c r="E166" s="2297"/>
      <c r="H166" s="2308">
        <v>1510</v>
      </c>
    </row>
  </sheetData>
  <phoneticPr fontId="7" type="noConversion"/>
  <dataValidations count="15">
    <dataValidation type="list" allowBlank="1" showInputMessage="1" showErrorMessage="1" sqref="E3:E12" xr:uid="{00000000-0002-0000-0400-000000000000}">
      <formula1>Vote1</formula1>
    </dataValidation>
    <dataValidation type="list" allowBlank="1" showInputMessage="1" showErrorMessage="1" sqref="E14:E23" xr:uid="{00000000-0002-0000-0400-000001000000}">
      <formula1>Vote2</formula1>
    </dataValidation>
    <dataValidation type="list" allowBlank="1" showInputMessage="1" showErrorMessage="1" sqref="E25:E34" xr:uid="{00000000-0002-0000-0400-000002000000}">
      <formula1>Vote3</formula1>
    </dataValidation>
    <dataValidation type="list" allowBlank="1" showInputMessage="1" showErrorMessage="1" sqref="E36:E45" xr:uid="{00000000-0002-0000-0400-000003000000}">
      <formula1>Vote4</formula1>
    </dataValidation>
    <dataValidation type="list" allowBlank="1" showInputMessage="1" showErrorMessage="1" sqref="E47:E56" xr:uid="{00000000-0002-0000-0400-000004000000}">
      <formula1>Vote5</formula1>
    </dataValidation>
    <dataValidation type="list" allowBlank="1" showInputMessage="1" showErrorMessage="1" sqref="E58:E67" xr:uid="{00000000-0002-0000-0400-000005000000}">
      <formula1>Vote6</formula1>
    </dataValidation>
    <dataValidation type="list" allowBlank="1" showInputMessage="1" showErrorMessage="1" sqref="E69:E78" xr:uid="{00000000-0002-0000-0400-000006000000}">
      <formula1>Vote7</formula1>
    </dataValidation>
    <dataValidation type="list" allowBlank="1" showInputMessage="1" showErrorMessage="1" sqref="E80:E89" xr:uid="{00000000-0002-0000-0400-000007000000}">
      <formula1>Vote8</formula1>
    </dataValidation>
    <dataValidation type="list" allowBlank="1" showInputMessage="1" showErrorMessage="1" sqref="E91:E100" xr:uid="{00000000-0002-0000-0400-000008000000}">
      <formula1>Vote9</formula1>
    </dataValidation>
    <dataValidation type="list" allowBlank="1" showInputMessage="1" showErrorMessage="1" sqref="E102:E111" xr:uid="{00000000-0002-0000-0400-000009000000}">
      <formula1>Vote10</formula1>
    </dataValidation>
    <dataValidation type="list" allowBlank="1" showInputMessage="1" showErrorMessage="1" sqref="E113:E122" xr:uid="{00000000-0002-0000-0400-00000A000000}">
      <formula1>Vote11</formula1>
    </dataValidation>
    <dataValidation type="list" allowBlank="1" showInputMessage="1" showErrorMessage="1" sqref="E124:E133" xr:uid="{00000000-0002-0000-0400-00000B000000}">
      <formula1>Vote12</formula1>
    </dataValidation>
    <dataValidation type="list" allowBlank="1" showInputMessage="1" showErrorMessage="1" sqref="E135:E144" xr:uid="{00000000-0002-0000-0400-00000C000000}">
      <formula1>Vote13</formula1>
    </dataValidation>
    <dataValidation type="list" allowBlank="1" showInputMessage="1" showErrorMessage="1" sqref="E146:E155" xr:uid="{00000000-0002-0000-0400-00000D000000}">
      <formula1>Vote14</formula1>
    </dataValidation>
    <dataValidation type="list" allowBlank="1" showInputMessage="1" showErrorMessage="1" sqref="E157:E166" xr:uid="{00000000-0002-0000-0400-00000E000000}">
      <formula1>Vote15</formula1>
    </dataValidation>
  </dataValidations>
  <pageMargins left="0.74803149606299213" right="0.74803149606299213" top="0.98425196850393704" bottom="0.98425196850393704" header="0.51181102362204722" footer="0.51181102362204722"/>
  <pageSetup paperSize="9" scale="65" fitToHeight="2" orientation="portrait" r:id="rId1"/>
  <headerFooter alignWithMargins="0"/>
  <ignoredErrors>
    <ignoredError sqref="B12 B23 B34 B45 B56 B67 B78 B89 B100 B111 B122 B133 B144 B155 B166" numberStoredAsText="1"/>
  </ignoredError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Q359"/>
  <sheetViews>
    <sheetView showGridLines="0" topLeftCell="A44" zoomScaleNormal="100" workbookViewId="0">
      <selection sqref="A1:D140"/>
    </sheetView>
  </sheetViews>
  <sheetFormatPr defaultColWidth="9.140625" defaultRowHeight="12.75" x14ac:dyDescent="0.2"/>
  <cols>
    <col min="1" max="1" width="20.28515625" style="634" bestFit="1" customWidth="1"/>
    <col min="2" max="2" width="26.140625" style="634" bestFit="1" customWidth="1"/>
    <col min="3" max="3" width="42.7109375" style="634" bestFit="1" customWidth="1"/>
    <col min="4" max="4" width="40.7109375" style="634" customWidth="1"/>
    <col min="5" max="10" width="8.7109375" style="311" customWidth="1"/>
    <col min="11" max="15" width="12.7109375" style="311" customWidth="1"/>
    <col min="16" max="17" width="30.7109375" style="311" customWidth="1"/>
    <col min="18" max="16384" width="9.140625" style="311"/>
  </cols>
  <sheetData>
    <row r="1" spans="1:17" ht="13.5" thickBot="1" x14ac:dyDescent="0.25">
      <c r="A1" s="2396" t="str">
        <f>muni&amp;" - "&amp;" Contact Information"</f>
        <v>KZN226 Mkhambathini -  Contact Information</v>
      </c>
      <c r="B1" s="2396"/>
      <c r="C1" s="2396"/>
      <c r="D1" s="2396"/>
      <c r="E1" s="2397"/>
      <c r="F1" s="2397"/>
      <c r="G1" s="2397"/>
      <c r="H1" s="2397"/>
      <c r="I1" s="2397"/>
      <c r="J1" s="2397"/>
      <c r="K1" s="2397"/>
      <c r="L1" s="2397"/>
      <c r="M1" s="2397"/>
      <c r="N1" s="2397"/>
      <c r="O1" s="2397"/>
      <c r="P1" s="2397"/>
      <c r="Q1" s="2397"/>
    </row>
    <row r="2" spans="1:17" ht="13.5" customHeight="1" x14ac:dyDescent="0.2">
      <c r="A2" s="635"/>
      <c r="B2" s="636"/>
      <c r="C2" s="635"/>
      <c r="D2" s="635"/>
    </row>
    <row r="3" spans="1:17" ht="13.5" customHeight="1" thickBot="1" x14ac:dyDescent="0.3">
      <c r="A3" s="637" t="s">
        <v>890</v>
      </c>
      <c r="B3" s="638"/>
      <c r="C3" s="635"/>
      <c r="D3" s="635"/>
    </row>
    <row r="4" spans="1:17" ht="13.5" customHeight="1" thickTop="1" x14ac:dyDescent="0.2">
      <c r="A4" s="2241" t="s">
        <v>891</v>
      </c>
      <c r="B4" s="2242" t="str">
        <f>muni</f>
        <v>KZN226 Mkhambathini</v>
      </c>
      <c r="C4" s="2243" t="str">
        <f>IF(B4="Choose name from List","Set name on 'Instructions' sheet", "")</f>
        <v/>
      </c>
      <c r="D4" s="2244"/>
      <c r="F4" s="2245"/>
      <c r="G4" s="2245"/>
      <c r="H4" s="2245"/>
      <c r="I4" s="2246"/>
      <c r="J4" s="2245"/>
      <c r="K4" s="2247"/>
      <c r="L4" s="2247"/>
      <c r="M4" s="2247"/>
      <c r="N4" s="2247"/>
      <c r="O4" s="2247"/>
      <c r="P4" s="2248"/>
      <c r="Q4" s="2249"/>
    </row>
    <row r="5" spans="1:17" ht="13.5" customHeight="1" x14ac:dyDescent="0.2">
      <c r="A5" s="2250"/>
      <c r="B5" s="2251"/>
      <c r="C5" s="2244"/>
      <c r="D5" s="2244"/>
      <c r="F5" s="2245"/>
      <c r="G5" s="2245"/>
      <c r="H5" s="2245"/>
      <c r="I5" s="2246"/>
      <c r="J5" s="2245"/>
      <c r="K5" s="2247"/>
      <c r="L5" s="2247"/>
      <c r="M5" s="2247"/>
      <c r="N5" s="2247"/>
      <c r="O5" s="2247"/>
      <c r="P5" s="2248"/>
      <c r="Q5" s="2252"/>
    </row>
    <row r="6" spans="1:17" s="317" customFormat="1" ht="13.5" customHeight="1" x14ac:dyDescent="0.25">
      <c r="A6" s="2253" t="s">
        <v>98</v>
      </c>
      <c r="B6" s="2254"/>
      <c r="C6" s="2255" t="s">
        <v>99</v>
      </c>
      <c r="D6" s="2256"/>
      <c r="F6" s="2245"/>
      <c r="G6" s="2245"/>
      <c r="H6" s="2246"/>
      <c r="I6" s="2246"/>
      <c r="J6" s="2245"/>
      <c r="K6" s="2247"/>
      <c r="L6" s="2247"/>
      <c r="M6" s="2247"/>
      <c r="N6" s="2247"/>
      <c r="O6" s="2247"/>
      <c r="P6" s="2248"/>
      <c r="Q6" s="2249"/>
    </row>
    <row r="7" spans="1:17" s="317" customFormat="1" ht="13.5" customHeight="1" x14ac:dyDescent="0.2">
      <c r="A7" s="2257"/>
      <c r="B7" s="2258"/>
      <c r="C7" s="2256"/>
      <c r="D7" s="2256"/>
      <c r="F7" s="2245"/>
      <c r="G7" s="2245"/>
      <c r="H7" s="2246"/>
      <c r="I7" s="2246"/>
      <c r="J7" s="2245"/>
      <c r="K7" s="2247"/>
      <c r="L7" s="2247"/>
      <c r="M7" s="2247"/>
      <c r="N7" s="2247"/>
      <c r="O7" s="2247"/>
      <c r="P7" s="2248"/>
      <c r="Q7" s="2249"/>
    </row>
    <row r="8" spans="1:17" s="317" customFormat="1" ht="13.5" customHeight="1" x14ac:dyDescent="0.2">
      <c r="A8" s="2259" t="s">
        <v>100</v>
      </c>
      <c r="B8" s="2260" t="str">
        <f>IF(B4&gt;" ",VLOOKUP(B4,'Lookup and lists'!B29:C307,2, FALSE)," ")</f>
        <v>KZN KWAZULU-NATAL</v>
      </c>
      <c r="C8" s="2431"/>
      <c r="D8" s="2431"/>
      <c r="F8" s="2245"/>
      <c r="G8" s="2245"/>
      <c r="H8" s="2246"/>
      <c r="I8" s="2246"/>
      <c r="J8" s="2245"/>
      <c r="K8" s="2247"/>
      <c r="L8" s="2247"/>
      <c r="M8" s="2247"/>
      <c r="N8" s="2247"/>
      <c r="O8" s="2247"/>
      <c r="P8" s="2248"/>
      <c r="Q8" s="2249"/>
    </row>
    <row r="9" spans="1:17" s="317" customFormat="1" ht="13.5" customHeight="1" x14ac:dyDescent="0.2">
      <c r="A9" s="2261"/>
      <c r="B9" s="2251"/>
      <c r="C9" s="2262"/>
      <c r="D9" s="2262"/>
      <c r="F9" s="2245"/>
      <c r="G9" s="2245"/>
      <c r="H9" s="2246"/>
      <c r="I9" s="2246"/>
      <c r="J9" s="2245"/>
      <c r="K9" s="2247"/>
      <c r="L9" s="2247"/>
      <c r="M9" s="2247"/>
      <c r="N9" s="2247"/>
      <c r="O9" s="2247"/>
      <c r="P9" s="2248"/>
      <c r="Q9" s="2249"/>
    </row>
    <row r="10" spans="1:17" ht="13.5" customHeight="1" x14ac:dyDescent="0.2">
      <c r="A10" s="2263" t="s">
        <v>101</v>
      </c>
      <c r="B10" s="2407" t="s">
        <v>6359</v>
      </c>
      <c r="C10" s="2264"/>
      <c r="D10" s="2265"/>
      <c r="F10" s="2246"/>
      <c r="G10" s="2245"/>
      <c r="H10" s="2246"/>
      <c r="I10" s="2246"/>
      <c r="J10" s="2245"/>
      <c r="K10" s="2247"/>
      <c r="L10" s="2247"/>
      <c r="M10" s="2247"/>
      <c r="N10" s="2247"/>
      <c r="O10" s="2247"/>
      <c r="P10" s="2248"/>
      <c r="Q10" s="2249"/>
    </row>
    <row r="11" spans="1:17" ht="13.5" customHeight="1" x14ac:dyDescent="0.2">
      <c r="A11" s="2266"/>
      <c r="B11" s="2267"/>
      <c r="C11" s="2436"/>
      <c r="D11" s="2437"/>
      <c r="F11" s="2246"/>
      <c r="G11" s="2245"/>
      <c r="H11" s="2246"/>
      <c r="I11" s="2246"/>
      <c r="J11" s="2245"/>
      <c r="K11" s="2247"/>
      <c r="L11" s="2247"/>
      <c r="M11" s="2247"/>
      <c r="N11" s="2247"/>
      <c r="O11" s="2247"/>
      <c r="P11" s="2248"/>
      <c r="Q11" s="2252"/>
    </row>
    <row r="12" spans="1:17" ht="13.5" customHeight="1" x14ac:dyDescent="0.2">
      <c r="A12" s="2263" t="s">
        <v>1513</v>
      </c>
      <c r="B12" s="2408" t="s">
        <v>6327</v>
      </c>
      <c r="C12" s="2268"/>
      <c r="D12" s="2268"/>
      <c r="F12" s="2246"/>
      <c r="G12" s="2246"/>
      <c r="H12" s="2246"/>
      <c r="I12" s="2246"/>
      <c r="J12" s="2245"/>
      <c r="K12" s="2247"/>
      <c r="L12" s="2247"/>
      <c r="M12" s="2247"/>
      <c r="N12" s="2247"/>
      <c r="O12" s="2247"/>
      <c r="P12" s="2248"/>
      <c r="Q12" s="2249"/>
    </row>
    <row r="13" spans="1:17" ht="13.5" customHeight="1" x14ac:dyDescent="0.2">
      <c r="A13" s="2269"/>
      <c r="B13" s="2270"/>
      <c r="C13" s="2438"/>
      <c r="D13" s="2438"/>
      <c r="F13" s="2246"/>
      <c r="G13" s="2246"/>
      <c r="H13" s="2246"/>
      <c r="I13" s="2271"/>
      <c r="J13" s="2246"/>
      <c r="K13" s="2247"/>
      <c r="L13" s="2247"/>
      <c r="M13" s="2247"/>
      <c r="N13" s="2247"/>
      <c r="O13" s="2247"/>
      <c r="P13" s="2248"/>
    </row>
    <row r="14" spans="1:17" ht="13.5" customHeight="1" thickBot="1" x14ac:dyDescent="0.25">
      <c r="A14" s="2432" t="s">
        <v>1517</v>
      </c>
      <c r="B14" s="2433"/>
      <c r="C14" s="639"/>
      <c r="D14" s="639"/>
      <c r="F14" s="2246"/>
      <c r="G14" s="2246"/>
      <c r="H14" s="2271"/>
      <c r="I14" s="2272"/>
      <c r="J14" s="2246"/>
      <c r="K14" s="2247"/>
      <c r="L14" s="2247"/>
      <c r="M14" s="2247"/>
      <c r="N14" s="2247"/>
      <c r="O14" s="2247"/>
      <c r="P14" s="2248"/>
    </row>
    <row r="15" spans="1:17" ht="13.5" customHeight="1" thickTop="1" x14ac:dyDescent="0.2">
      <c r="A15" s="2273" t="s">
        <v>1518</v>
      </c>
      <c r="B15" s="2274"/>
      <c r="F15" s="2271"/>
      <c r="G15" s="2246"/>
      <c r="H15" s="2272"/>
      <c r="I15" s="2272"/>
      <c r="J15" s="2246"/>
      <c r="K15" s="2247"/>
      <c r="L15" s="2247"/>
      <c r="M15" s="2247"/>
      <c r="N15" s="2247"/>
      <c r="O15" s="2247"/>
      <c r="P15" s="2248"/>
    </row>
    <row r="16" spans="1:17" s="317" customFormat="1" ht="13.5" customHeight="1" x14ac:dyDescent="0.2">
      <c r="A16" s="2275" t="s">
        <v>1520</v>
      </c>
      <c r="B16" s="2276" t="s">
        <v>6358</v>
      </c>
      <c r="C16" s="634"/>
      <c r="D16" s="634"/>
      <c r="F16" s="2272"/>
      <c r="G16" s="2271"/>
      <c r="H16" s="2272"/>
      <c r="I16" s="2272"/>
      <c r="J16" s="2246"/>
      <c r="K16" s="2247"/>
      <c r="L16" s="2247"/>
      <c r="M16" s="2247"/>
      <c r="N16" s="2247"/>
      <c r="O16" s="2247"/>
      <c r="P16" s="2248"/>
      <c r="Q16" s="311"/>
    </row>
    <row r="17" spans="1:17" ht="13.5" customHeight="1" x14ac:dyDescent="0.2">
      <c r="A17" s="2275" t="s">
        <v>1522</v>
      </c>
      <c r="B17" s="2276" t="s">
        <v>6357</v>
      </c>
      <c r="F17" s="2272"/>
      <c r="G17" s="2272"/>
      <c r="H17" s="2272"/>
      <c r="I17" s="2272"/>
      <c r="J17" s="2271"/>
      <c r="K17" s="2247"/>
      <c r="L17" s="2247"/>
      <c r="M17" s="2247"/>
      <c r="N17" s="2247"/>
      <c r="O17" s="2247"/>
      <c r="P17" s="2248"/>
    </row>
    <row r="18" spans="1:17" ht="13.5" customHeight="1" x14ac:dyDescent="0.2">
      <c r="A18" s="2277" t="s">
        <v>1523</v>
      </c>
      <c r="B18" s="2278">
        <v>3720</v>
      </c>
      <c r="F18" s="2272"/>
      <c r="G18" s="2272"/>
      <c r="H18" s="2272"/>
      <c r="I18" s="2272"/>
      <c r="J18" s="2272"/>
      <c r="K18" s="2247"/>
      <c r="L18" s="2247"/>
      <c r="M18" s="2247"/>
      <c r="N18" s="2247"/>
      <c r="O18" s="2247"/>
      <c r="P18" s="2248"/>
    </row>
    <row r="19" spans="1:17" ht="13.5" customHeight="1" x14ac:dyDescent="0.2">
      <c r="A19" s="2279"/>
      <c r="B19" s="2280"/>
      <c r="F19" s="2272"/>
      <c r="G19" s="2272"/>
      <c r="H19" s="2272"/>
      <c r="I19" s="2272"/>
      <c r="J19" s="2272"/>
      <c r="K19" s="2247"/>
      <c r="L19" s="2247"/>
      <c r="M19" s="2247"/>
      <c r="N19" s="2247"/>
      <c r="O19" s="2247"/>
      <c r="P19" s="2248"/>
    </row>
    <row r="20" spans="1:17" ht="13.5" customHeight="1" x14ac:dyDescent="0.2">
      <c r="A20" s="2281" t="s">
        <v>989</v>
      </c>
      <c r="B20" s="2282"/>
      <c r="F20" s="2272"/>
      <c r="G20" s="2272"/>
      <c r="H20" s="2272"/>
      <c r="I20" s="2272"/>
      <c r="J20" s="2272"/>
      <c r="K20" s="2247"/>
      <c r="L20" s="2247"/>
      <c r="M20" s="2247"/>
      <c r="N20" s="2247"/>
      <c r="O20" s="2247"/>
      <c r="P20" s="2248"/>
    </row>
    <row r="21" spans="1:17" ht="13.5" customHeight="1" x14ac:dyDescent="0.2">
      <c r="A21" s="2275" t="s">
        <v>991</v>
      </c>
      <c r="B21" s="2276" t="s">
        <v>6356</v>
      </c>
      <c r="F21" s="2272"/>
      <c r="G21" s="2272"/>
      <c r="H21" s="2272"/>
      <c r="I21" s="2272"/>
      <c r="J21" s="2272"/>
      <c r="K21" s="2247"/>
      <c r="L21" s="2247"/>
      <c r="M21" s="2247"/>
      <c r="N21" s="2247"/>
      <c r="O21" s="2247"/>
      <c r="P21" s="2248"/>
    </row>
    <row r="22" spans="1:17" ht="13.5" customHeight="1" x14ac:dyDescent="0.2">
      <c r="A22" s="2275" t="s">
        <v>993</v>
      </c>
      <c r="B22" s="2276" t="s">
        <v>6357</v>
      </c>
      <c r="F22" s="2272"/>
      <c r="G22" s="2272"/>
      <c r="H22" s="2272"/>
      <c r="I22" s="2272"/>
      <c r="J22" s="2272"/>
      <c r="K22" s="2247"/>
      <c r="L22" s="2247"/>
      <c r="M22" s="2247"/>
      <c r="N22" s="2247"/>
      <c r="O22" s="2247"/>
      <c r="P22" s="2248"/>
    </row>
    <row r="23" spans="1:17" ht="13.5" customHeight="1" x14ac:dyDescent="0.2">
      <c r="A23" s="2275" t="s">
        <v>1522</v>
      </c>
      <c r="B23" s="2276" t="s">
        <v>6357</v>
      </c>
      <c r="F23" s="2272"/>
      <c r="G23" s="2272"/>
      <c r="H23" s="2272"/>
      <c r="I23" s="2272"/>
      <c r="J23" s="2272"/>
      <c r="K23" s="2247"/>
      <c r="L23" s="2247"/>
      <c r="M23" s="2247"/>
      <c r="N23" s="2247"/>
      <c r="O23" s="2247"/>
      <c r="P23" s="2248"/>
    </row>
    <row r="24" spans="1:17" ht="13.5" customHeight="1" x14ac:dyDescent="0.2">
      <c r="A24" s="2277" t="s">
        <v>1523</v>
      </c>
      <c r="B24" s="2278">
        <v>3720</v>
      </c>
      <c r="F24" s="2272"/>
      <c r="G24" s="2272"/>
      <c r="H24" s="2272"/>
      <c r="I24" s="2272"/>
      <c r="J24" s="2272"/>
      <c r="K24" s="2247"/>
      <c r="L24" s="2247"/>
      <c r="M24" s="2247"/>
      <c r="N24" s="2247"/>
      <c r="O24" s="2247"/>
      <c r="P24" s="2248"/>
    </row>
    <row r="25" spans="1:17" ht="13.5" customHeight="1" x14ac:dyDescent="0.2">
      <c r="A25" s="2279"/>
      <c r="B25" s="2280"/>
      <c r="F25" s="2272"/>
      <c r="G25" s="2272"/>
      <c r="H25" s="2272"/>
      <c r="I25" s="2272"/>
      <c r="J25" s="2272"/>
      <c r="K25" s="2247"/>
      <c r="L25" s="2247"/>
      <c r="M25" s="2247"/>
      <c r="N25" s="2247"/>
      <c r="O25" s="2247"/>
      <c r="P25" s="2248"/>
    </row>
    <row r="26" spans="1:17" ht="13.5" customHeight="1" x14ac:dyDescent="0.2">
      <c r="A26" s="2281" t="s">
        <v>997</v>
      </c>
      <c r="B26" s="2283"/>
      <c r="F26" s="2272"/>
      <c r="G26" s="2272"/>
      <c r="H26" s="2272"/>
      <c r="I26" s="2272"/>
      <c r="J26" s="2272"/>
      <c r="K26" s="2247"/>
      <c r="L26" s="2247"/>
      <c r="M26" s="2247"/>
      <c r="N26" s="2247"/>
      <c r="O26" s="2247"/>
      <c r="P26" s="2248"/>
    </row>
    <row r="27" spans="1:17" ht="13.5" customHeight="1" x14ac:dyDescent="0.2">
      <c r="A27" s="2275" t="s">
        <v>999</v>
      </c>
      <c r="B27" s="2406" t="s">
        <v>6355</v>
      </c>
      <c r="F27" s="2272"/>
      <c r="G27" s="2272"/>
      <c r="H27" s="2272"/>
      <c r="I27" s="2272"/>
      <c r="J27" s="2272"/>
      <c r="K27" s="2247"/>
      <c r="L27" s="2247"/>
      <c r="M27" s="2247"/>
      <c r="N27" s="2247"/>
      <c r="O27" s="2247"/>
      <c r="P27" s="2248"/>
    </row>
    <row r="28" spans="1:17" ht="13.5" customHeight="1" x14ac:dyDescent="0.2">
      <c r="A28" s="2277" t="s">
        <v>1001</v>
      </c>
      <c r="B28" s="2278" t="s">
        <v>6303</v>
      </c>
      <c r="I28" s="321"/>
      <c r="J28" s="2272"/>
      <c r="K28" s="2272"/>
      <c r="L28" s="2272"/>
      <c r="M28" s="2272"/>
      <c r="N28" s="2272"/>
      <c r="O28" s="2272"/>
      <c r="P28" s="2248"/>
    </row>
    <row r="29" spans="1:17" ht="13.5" customHeight="1" x14ac:dyDescent="0.2">
      <c r="A29" s="2279"/>
      <c r="B29" s="2280"/>
      <c r="I29" s="321"/>
      <c r="J29" s="321"/>
      <c r="K29" s="321"/>
      <c r="L29" s="321"/>
      <c r="M29" s="321"/>
      <c r="N29" s="321"/>
      <c r="O29" s="321"/>
      <c r="P29" s="2248"/>
    </row>
    <row r="30" spans="1:17" ht="13.5" customHeight="1" thickBot="1" x14ac:dyDescent="0.25">
      <c r="A30" s="2434" t="s">
        <v>1002</v>
      </c>
      <c r="B30" s="2435"/>
      <c r="C30" s="2427"/>
      <c r="D30" s="2428"/>
      <c r="I30" s="321"/>
      <c r="J30" s="321"/>
      <c r="K30" s="321"/>
      <c r="L30" s="321"/>
      <c r="M30" s="321"/>
      <c r="N30" s="321"/>
      <c r="O30" s="321"/>
      <c r="P30" s="2248"/>
    </row>
    <row r="31" spans="1:17" ht="13.5" customHeight="1" thickTop="1" x14ac:dyDescent="0.2">
      <c r="A31" s="2281" t="s">
        <v>1003</v>
      </c>
      <c r="B31" s="2282"/>
      <c r="C31" s="2425" t="s">
        <v>1004</v>
      </c>
      <c r="D31" s="2426"/>
      <c r="I31" s="321"/>
      <c r="J31" s="321"/>
      <c r="K31" s="321"/>
      <c r="L31" s="321"/>
      <c r="M31" s="321"/>
      <c r="N31" s="321"/>
      <c r="O31" s="321"/>
      <c r="P31" s="2248"/>
      <c r="Q31" s="2284"/>
    </row>
    <row r="32" spans="1:17" ht="13.5" customHeight="1" x14ac:dyDescent="0.2">
      <c r="A32" s="2275" t="s">
        <v>2229</v>
      </c>
      <c r="B32" s="2276" t="s">
        <v>6298</v>
      </c>
      <c r="C32" s="2275" t="s">
        <v>2229</v>
      </c>
      <c r="D32" s="2276" t="s">
        <v>6305</v>
      </c>
      <c r="I32" s="321"/>
      <c r="J32" s="321"/>
      <c r="K32" s="321"/>
      <c r="L32" s="321"/>
      <c r="M32" s="321"/>
      <c r="N32" s="321"/>
      <c r="O32" s="321"/>
      <c r="P32" s="2248"/>
      <c r="Q32" s="321"/>
    </row>
    <row r="33" spans="1:17" ht="13.5" customHeight="1" x14ac:dyDescent="0.2">
      <c r="A33" s="2275" t="s">
        <v>2213</v>
      </c>
      <c r="B33" s="2276" t="s">
        <v>6299</v>
      </c>
      <c r="C33" s="2275" t="s">
        <v>2213</v>
      </c>
      <c r="D33" s="2276" t="s">
        <v>6306</v>
      </c>
      <c r="I33" s="321"/>
      <c r="J33" s="321"/>
      <c r="K33" s="321"/>
      <c r="L33" s="321"/>
      <c r="M33" s="321"/>
      <c r="N33" s="321"/>
      <c r="O33" s="321"/>
      <c r="P33" s="2248"/>
      <c r="Q33" s="321"/>
    </row>
    <row r="34" spans="1:17" ht="13.5" customHeight="1" x14ac:dyDescent="0.2">
      <c r="A34" s="2275" t="s">
        <v>1006</v>
      </c>
      <c r="B34" s="2276" t="s">
        <v>6300</v>
      </c>
      <c r="C34" s="2275" t="s">
        <v>1006</v>
      </c>
      <c r="D34" s="2276" t="s">
        <v>6307</v>
      </c>
      <c r="I34" s="321"/>
      <c r="J34" s="321"/>
      <c r="K34" s="321"/>
      <c r="L34" s="321"/>
      <c r="M34" s="321"/>
      <c r="N34" s="321"/>
      <c r="O34" s="321"/>
      <c r="P34" s="2248"/>
      <c r="Q34" s="321"/>
    </row>
    <row r="35" spans="1:17" ht="13.5" customHeight="1" x14ac:dyDescent="0.2">
      <c r="A35" s="2275" t="s">
        <v>999</v>
      </c>
      <c r="B35" s="2276" t="s">
        <v>6301</v>
      </c>
      <c r="C35" s="2275" t="s">
        <v>999</v>
      </c>
      <c r="D35" s="2276" t="s">
        <v>6308</v>
      </c>
      <c r="F35" s="2245"/>
      <c r="G35" s="2247"/>
      <c r="I35" s="321"/>
      <c r="J35" s="321"/>
      <c r="K35" s="321"/>
      <c r="L35" s="321"/>
      <c r="M35" s="321"/>
      <c r="N35" s="321"/>
      <c r="O35" s="321"/>
      <c r="P35" s="2248"/>
      <c r="Q35" s="321"/>
    </row>
    <row r="36" spans="1:17" ht="13.5" customHeight="1" x14ac:dyDescent="0.2">
      <c r="A36" s="2275" t="s">
        <v>1010</v>
      </c>
      <c r="B36" s="2276" t="s">
        <v>6302</v>
      </c>
      <c r="C36" s="2275" t="s">
        <v>1010</v>
      </c>
      <c r="D36" s="2276" t="s">
        <v>6309</v>
      </c>
      <c r="F36" s="2245"/>
      <c r="G36" s="2247"/>
      <c r="I36" s="321"/>
      <c r="J36" s="321"/>
      <c r="K36" s="321"/>
      <c r="L36" s="321"/>
      <c r="M36" s="321"/>
      <c r="N36" s="321"/>
      <c r="O36" s="321"/>
      <c r="P36" s="2248"/>
    </row>
    <row r="37" spans="1:17" ht="13.5" customHeight="1" x14ac:dyDescent="0.2">
      <c r="A37" s="2275" t="s">
        <v>1001</v>
      </c>
      <c r="B37" s="2276" t="s">
        <v>6303</v>
      </c>
      <c r="C37" s="2275" t="s">
        <v>1001</v>
      </c>
      <c r="D37" s="2276" t="s">
        <v>6310</v>
      </c>
      <c r="F37" s="2246"/>
      <c r="G37" s="2247"/>
      <c r="I37" s="321"/>
      <c r="J37" s="321"/>
      <c r="K37" s="321"/>
      <c r="L37" s="321"/>
      <c r="M37" s="321"/>
      <c r="N37" s="321"/>
      <c r="O37" s="321"/>
      <c r="P37" s="2248"/>
    </row>
    <row r="38" spans="1:17" ht="13.5" customHeight="1" x14ac:dyDescent="0.2">
      <c r="A38" s="2275" t="s">
        <v>1013</v>
      </c>
      <c r="B38" s="2276" t="s">
        <v>6304</v>
      </c>
      <c r="C38" s="2275" t="s">
        <v>1013</v>
      </c>
      <c r="D38" s="2276" t="s">
        <v>6311</v>
      </c>
      <c r="F38" s="2246"/>
      <c r="G38" s="2247"/>
      <c r="I38" s="321"/>
      <c r="J38" s="321"/>
      <c r="K38" s="321"/>
      <c r="L38" s="321"/>
      <c r="M38" s="321"/>
      <c r="N38" s="321"/>
      <c r="O38" s="321"/>
      <c r="P38" s="2248"/>
    </row>
    <row r="39" spans="1:17" ht="13.5" customHeight="1" x14ac:dyDescent="0.2">
      <c r="A39" s="2275"/>
      <c r="B39" s="2276"/>
      <c r="C39" s="2275"/>
      <c r="D39" s="2276"/>
      <c r="F39" s="2246"/>
      <c r="G39" s="2247"/>
      <c r="I39" s="321"/>
      <c r="J39" s="321"/>
      <c r="K39" s="321"/>
      <c r="L39" s="321"/>
      <c r="M39" s="321"/>
      <c r="N39" s="321"/>
      <c r="O39" s="321"/>
      <c r="P39" s="2248"/>
    </row>
    <row r="40" spans="1:17" ht="13.5" customHeight="1" x14ac:dyDescent="0.2">
      <c r="A40" s="2419" t="s">
        <v>1015</v>
      </c>
      <c r="B40" s="2420"/>
      <c r="C40" s="2419" t="s">
        <v>1016</v>
      </c>
      <c r="D40" s="2420"/>
      <c r="F40" s="2246"/>
      <c r="G40" s="2247"/>
      <c r="I40" s="321"/>
      <c r="J40" s="321"/>
      <c r="K40" s="321"/>
      <c r="L40" s="321"/>
      <c r="M40" s="321"/>
      <c r="N40" s="321"/>
      <c r="O40" s="321"/>
      <c r="P40" s="2248"/>
    </row>
    <row r="41" spans="1:17" ht="13.5" customHeight="1" x14ac:dyDescent="0.2">
      <c r="A41" s="2275" t="s">
        <v>2229</v>
      </c>
      <c r="B41" s="2276" t="s">
        <v>6312</v>
      </c>
      <c r="C41" s="2275" t="s">
        <v>2229</v>
      </c>
      <c r="D41" s="2276" t="s">
        <v>6305</v>
      </c>
      <c r="I41" s="321"/>
      <c r="J41" s="321"/>
      <c r="K41" s="321"/>
      <c r="L41" s="321"/>
      <c r="M41" s="321"/>
      <c r="N41" s="321"/>
      <c r="O41" s="321"/>
      <c r="P41" s="2248"/>
      <c r="Q41" s="321"/>
    </row>
    <row r="42" spans="1:17" ht="13.5" customHeight="1" x14ac:dyDescent="0.2">
      <c r="A42" s="2275" t="s">
        <v>2213</v>
      </c>
      <c r="B42" s="2276" t="s">
        <v>6299</v>
      </c>
      <c r="C42" s="2275" t="s">
        <v>2213</v>
      </c>
      <c r="D42" s="2276" t="s">
        <v>6306</v>
      </c>
      <c r="I42" s="321"/>
      <c r="J42" s="321"/>
      <c r="K42" s="321"/>
      <c r="L42" s="321"/>
      <c r="M42" s="321"/>
      <c r="N42" s="321"/>
      <c r="O42" s="321"/>
      <c r="P42" s="2248"/>
      <c r="Q42" s="321"/>
    </row>
    <row r="43" spans="1:17" ht="13.5" customHeight="1" x14ac:dyDescent="0.2">
      <c r="A43" s="2275" t="s">
        <v>1006</v>
      </c>
      <c r="B43" s="2276" t="s">
        <v>6313</v>
      </c>
      <c r="C43" s="2275" t="s">
        <v>1006</v>
      </c>
      <c r="D43" s="2276" t="s">
        <v>6307</v>
      </c>
      <c r="F43" s="2246"/>
      <c r="G43" s="2247"/>
      <c r="I43" s="321"/>
      <c r="J43" s="321"/>
      <c r="K43" s="321"/>
      <c r="L43" s="321"/>
      <c r="M43" s="321"/>
      <c r="N43" s="321"/>
      <c r="O43" s="321"/>
      <c r="P43" s="2248"/>
    </row>
    <row r="44" spans="1:17" ht="13.5" customHeight="1" x14ac:dyDescent="0.2">
      <c r="A44" s="2275" t="s">
        <v>999</v>
      </c>
      <c r="B44" s="2276" t="s">
        <v>6314</v>
      </c>
      <c r="C44" s="2275" t="s">
        <v>999</v>
      </c>
      <c r="D44" s="2276" t="s">
        <v>6308</v>
      </c>
      <c r="F44" s="2271"/>
      <c r="G44" s="2247"/>
      <c r="I44" s="321"/>
      <c r="J44" s="321"/>
      <c r="K44" s="321"/>
      <c r="L44" s="321"/>
      <c r="M44" s="321"/>
      <c r="N44" s="321"/>
      <c r="O44" s="321"/>
      <c r="P44" s="2248"/>
    </row>
    <row r="45" spans="1:17" ht="13.5" customHeight="1" x14ac:dyDescent="0.2">
      <c r="A45" s="2275" t="s">
        <v>1010</v>
      </c>
      <c r="B45" s="2276" t="s">
        <v>6315</v>
      </c>
      <c r="C45" s="2275" t="s">
        <v>1010</v>
      </c>
      <c r="D45" s="2276" t="s">
        <v>6309</v>
      </c>
      <c r="F45" s="2272"/>
      <c r="G45" s="2247"/>
      <c r="I45" s="321"/>
      <c r="J45" s="321"/>
      <c r="K45" s="321"/>
      <c r="L45" s="321"/>
      <c r="M45" s="321"/>
      <c r="N45" s="321"/>
      <c r="O45" s="321"/>
      <c r="P45" s="2248"/>
    </row>
    <row r="46" spans="1:17" ht="13.5" customHeight="1" x14ac:dyDescent="0.2">
      <c r="A46" s="2275" t="s">
        <v>1001</v>
      </c>
      <c r="B46" s="2276" t="s">
        <v>6310</v>
      </c>
      <c r="C46" s="2275" t="s">
        <v>1001</v>
      </c>
      <c r="D46" s="2276" t="s">
        <v>6310</v>
      </c>
      <c r="F46" s="2272"/>
      <c r="G46" s="2247"/>
      <c r="I46" s="321"/>
      <c r="J46" s="321"/>
      <c r="K46" s="321"/>
      <c r="L46" s="321"/>
      <c r="M46" s="321"/>
      <c r="N46" s="321"/>
      <c r="O46" s="321"/>
      <c r="P46" s="2248"/>
    </row>
    <row r="47" spans="1:17" ht="13.5" customHeight="1" x14ac:dyDescent="0.2">
      <c r="A47" s="2285" t="s">
        <v>1013</v>
      </c>
      <c r="B47" s="2286" t="s">
        <v>6316</v>
      </c>
      <c r="C47" s="2285" t="s">
        <v>1013</v>
      </c>
      <c r="D47" s="2286" t="s">
        <v>6311</v>
      </c>
      <c r="F47" s="2272"/>
      <c r="G47" s="2247"/>
      <c r="I47" s="321"/>
      <c r="J47" s="321"/>
      <c r="K47" s="321"/>
      <c r="L47" s="321"/>
      <c r="M47" s="321"/>
      <c r="N47" s="321"/>
      <c r="O47" s="321"/>
      <c r="P47" s="2248"/>
    </row>
    <row r="48" spans="1:17" ht="13.5" customHeight="1" x14ac:dyDescent="0.2">
      <c r="A48" s="2279"/>
      <c r="B48" s="2280"/>
      <c r="C48" s="2279"/>
      <c r="D48" s="2280"/>
      <c r="F48" s="2272"/>
      <c r="G48" s="2247"/>
      <c r="I48" s="321"/>
      <c r="J48" s="321"/>
      <c r="K48" s="321"/>
      <c r="L48" s="321"/>
      <c r="M48" s="321"/>
      <c r="N48" s="321"/>
      <c r="O48" s="321"/>
      <c r="P48" s="2248"/>
    </row>
    <row r="49" spans="1:17" ht="13.5" customHeight="1" x14ac:dyDescent="0.2">
      <c r="A49" s="2419" t="s">
        <v>1023</v>
      </c>
      <c r="B49" s="2420"/>
      <c r="C49" s="2419" t="s">
        <v>1024</v>
      </c>
      <c r="D49" s="2420"/>
      <c r="F49" s="2272"/>
      <c r="G49" s="2247"/>
      <c r="I49" s="321"/>
      <c r="J49" s="321"/>
      <c r="K49" s="321"/>
      <c r="L49" s="321"/>
      <c r="M49" s="321"/>
      <c r="N49" s="321"/>
      <c r="O49" s="321"/>
      <c r="P49" s="2248"/>
    </row>
    <row r="50" spans="1:17" ht="13.5" customHeight="1" x14ac:dyDescent="0.2">
      <c r="A50" s="2275" t="s">
        <v>2229</v>
      </c>
      <c r="B50" s="2276" t="s">
        <v>6317</v>
      </c>
      <c r="C50" s="2275" t="s">
        <v>2229</v>
      </c>
      <c r="D50" s="2276" t="s">
        <v>6305</v>
      </c>
      <c r="I50" s="321"/>
      <c r="J50" s="321"/>
      <c r="K50" s="321"/>
      <c r="L50" s="321"/>
      <c r="M50" s="321"/>
      <c r="N50" s="321"/>
      <c r="O50" s="321"/>
      <c r="P50" s="2248"/>
      <c r="Q50" s="321"/>
    </row>
    <row r="51" spans="1:17" ht="13.5" customHeight="1" x14ac:dyDescent="0.2">
      <c r="A51" s="2275" t="s">
        <v>2213</v>
      </c>
      <c r="B51" s="2276" t="s">
        <v>6306</v>
      </c>
      <c r="C51" s="2275" t="s">
        <v>2213</v>
      </c>
      <c r="D51" s="2276" t="s">
        <v>6306</v>
      </c>
      <c r="I51" s="321"/>
      <c r="J51" s="321"/>
      <c r="K51" s="321"/>
      <c r="L51" s="321"/>
      <c r="M51" s="321"/>
      <c r="N51" s="321"/>
      <c r="O51" s="321"/>
      <c r="P51" s="2248"/>
      <c r="Q51" s="321"/>
    </row>
    <row r="52" spans="1:17" ht="13.5" customHeight="1" x14ac:dyDescent="0.2">
      <c r="A52" s="2275" t="s">
        <v>1006</v>
      </c>
      <c r="B52" s="2276" t="s">
        <v>6318</v>
      </c>
      <c r="C52" s="2275" t="s">
        <v>1006</v>
      </c>
      <c r="D52" s="2276" t="s">
        <v>6307</v>
      </c>
      <c r="F52" s="2272"/>
      <c r="G52" s="2247"/>
      <c r="I52" s="321"/>
      <c r="J52" s="321"/>
      <c r="K52" s="321"/>
      <c r="L52" s="321"/>
      <c r="M52" s="321"/>
      <c r="N52" s="321"/>
      <c r="O52" s="321"/>
      <c r="P52" s="2248"/>
    </row>
    <row r="53" spans="1:17" ht="13.5" customHeight="1" x14ac:dyDescent="0.2">
      <c r="A53" s="2275" t="s">
        <v>999</v>
      </c>
      <c r="B53" s="2276" t="s">
        <v>6319</v>
      </c>
      <c r="C53" s="2275" t="s">
        <v>999</v>
      </c>
      <c r="D53" s="2276" t="s">
        <v>6308</v>
      </c>
      <c r="F53" s="2272"/>
      <c r="G53" s="2247"/>
      <c r="I53" s="321"/>
      <c r="J53" s="321"/>
      <c r="K53" s="321"/>
      <c r="L53" s="321"/>
      <c r="M53" s="321"/>
      <c r="N53" s="321"/>
      <c r="O53" s="321"/>
      <c r="P53" s="2248"/>
    </row>
    <row r="54" spans="1:17" ht="13.5" customHeight="1" x14ac:dyDescent="0.2">
      <c r="A54" s="2275" t="s">
        <v>1010</v>
      </c>
      <c r="B54" s="2276" t="s">
        <v>6320</v>
      </c>
      <c r="C54" s="2275" t="s">
        <v>1010</v>
      </c>
      <c r="D54" s="2276" t="s">
        <v>6309</v>
      </c>
      <c r="F54" s="2272"/>
      <c r="G54" s="2247"/>
      <c r="I54" s="321"/>
      <c r="J54" s="321"/>
      <c r="K54" s="321"/>
      <c r="L54" s="321"/>
      <c r="M54" s="321"/>
      <c r="N54" s="321"/>
      <c r="O54" s="321"/>
      <c r="P54" s="2248"/>
    </row>
    <row r="55" spans="1:17" ht="13.5" customHeight="1" x14ac:dyDescent="0.2">
      <c r="A55" s="2275" t="s">
        <v>1001</v>
      </c>
      <c r="B55" s="2276" t="s">
        <v>6303</v>
      </c>
      <c r="C55" s="2275" t="s">
        <v>1001</v>
      </c>
      <c r="D55" s="2276" t="s">
        <v>6310</v>
      </c>
      <c r="F55" s="2272"/>
      <c r="G55" s="2247"/>
      <c r="I55" s="321"/>
      <c r="J55" s="321"/>
      <c r="K55" s="321"/>
      <c r="L55" s="321"/>
      <c r="M55" s="321"/>
      <c r="N55" s="321"/>
      <c r="O55" s="321"/>
      <c r="P55" s="2248"/>
    </row>
    <row r="56" spans="1:17" ht="13.5" customHeight="1" x14ac:dyDescent="0.2">
      <c r="A56" s="2277" t="s">
        <v>1013</v>
      </c>
      <c r="B56" s="2278" t="s">
        <v>6321</v>
      </c>
      <c r="C56" s="2277" t="s">
        <v>1013</v>
      </c>
      <c r="D56" s="2278" t="s">
        <v>6311</v>
      </c>
      <c r="F56" s="2272"/>
      <c r="G56" s="2247"/>
      <c r="I56" s="321"/>
      <c r="J56" s="321"/>
      <c r="K56" s="321"/>
      <c r="L56" s="321"/>
      <c r="M56" s="321"/>
      <c r="N56" s="321"/>
      <c r="O56" s="321"/>
      <c r="P56" s="2248"/>
    </row>
    <row r="57" spans="1:17" ht="13.5" customHeight="1" x14ac:dyDescent="0.2">
      <c r="A57" s="2279"/>
      <c r="B57" s="2280"/>
      <c r="C57" s="2279"/>
      <c r="D57" s="2280"/>
      <c r="F57" s="2272"/>
      <c r="G57" s="2247"/>
      <c r="I57" s="321"/>
      <c r="J57" s="321"/>
      <c r="K57" s="321"/>
      <c r="L57" s="321"/>
      <c r="M57" s="321"/>
      <c r="N57" s="321"/>
      <c r="O57" s="321"/>
      <c r="P57" s="2248"/>
    </row>
    <row r="58" spans="1:17" ht="13.5" customHeight="1" thickBot="1" x14ac:dyDescent="0.25">
      <c r="A58" s="2423" t="s">
        <v>1025</v>
      </c>
      <c r="B58" s="2424"/>
      <c r="C58" s="2429"/>
      <c r="D58" s="2430"/>
      <c r="F58" s="2272"/>
      <c r="G58" s="2247"/>
      <c r="I58" s="321"/>
      <c r="J58" s="321"/>
      <c r="K58" s="321"/>
      <c r="L58" s="321"/>
      <c r="M58" s="321"/>
      <c r="N58" s="321"/>
      <c r="O58" s="321"/>
      <c r="P58" s="2248"/>
    </row>
    <row r="59" spans="1:17" s="314" customFormat="1" ht="13.5" customHeight="1" thickTop="1" x14ac:dyDescent="0.2">
      <c r="A59" s="2281" t="s">
        <v>1026</v>
      </c>
      <c r="B59" s="2282"/>
      <c r="C59" s="2419" t="s">
        <v>1027</v>
      </c>
      <c r="D59" s="2420"/>
      <c r="F59" s="2287"/>
      <c r="G59" s="2288"/>
      <c r="I59" s="2289"/>
      <c r="J59" s="2289"/>
      <c r="K59" s="2289"/>
      <c r="L59" s="2289"/>
      <c r="M59" s="2289"/>
      <c r="N59" s="2289"/>
      <c r="O59" s="2289"/>
      <c r="P59" s="2248"/>
      <c r="Q59" s="311"/>
    </row>
    <row r="60" spans="1:17" ht="13.5" customHeight="1" x14ac:dyDescent="0.2">
      <c r="A60" s="2275" t="s">
        <v>2229</v>
      </c>
      <c r="B60" s="2276" t="s">
        <v>6322</v>
      </c>
      <c r="C60" s="2275" t="s">
        <v>2229</v>
      </c>
      <c r="D60" s="2276" t="s">
        <v>6351</v>
      </c>
      <c r="I60" s="321"/>
      <c r="J60" s="321"/>
      <c r="K60" s="321"/>
      <c r="L60" s="321"/>
      <c r="M60" s="321"/>
      <c r="N60" s="321"/>
      <c r="O60" s="321"/>
      <c r="P60" s="2248"/>
      <c r="Q60" s="321"/>
    </row>
    <row r="61" spans="1:17" ht="13.5" customHeight="1" x14ac:dyDescent="0.2">
      <c r="A61" s="2275" t="s">
        <v>2213</v>
      </c>
      <c r="B61" s="2276" t="s">
        <v>6323</v>
      </c>
      <c r="C61" s="2275" t="s">
        <v>2213</v>
      </c>
      <c r="D61" s="2276" t="s">
        <v>6347</v>
      </c>
      <c r="I61" s="321"/>
      <c r="J61" s="321"/>
      <c r="K61" s="321"/>
      <c r="L61" s="321"/>
      <c r="M61" s="321"/>
      <c r="N61" s="321"/>
      <c r="O61" s="321"/>
      <c r="P61" s="2248"/>
      <c r="Q61" s="321"/>
    </row>
    <row r="62" spans="1:17" s="314" customFormat="1" ht="13.5" customHeight="1" x14ac:dyDescent="0.2">
      <c r="A62" s="2275" t="s">
        <v>1006</v>
      </c>
      <c r="B62" s="2276" t="s">
        <v>6324</v>
      </c>
      <c r="C62" s="2275" t="s">
        <v>1006</v>
      </c>
      <c r="D62" s="2276" t="s">
        <v>6352</v>
      </c>
      <c r="F62" s="2287"/>
      <c r="G62" s="2288"/>
      <c r="I62" s="2289"/>
      <c r="J62" s="2289"/>
      <c r="K62" s="2289"/>
      <c r="L62" s="2289"/>
      <c r="M62" s="2289"/>
      <c r="N62" s="2289"/>
      <c r="O62" s="2289"/>
      <c r="P62" s="2248"/>
      <c r="Q62" s="311"/>
    </row>
    <row r="63" spans="1:17" ht="13.5" customHeight="1" x14ac:dyDescent="0.2">
      <c r="A63" s="2275" t="s">
        <v>999</v>
      </c>
      <c r="B63" s="2276" t="s">
        <v>6325</v>
      </c>
      <c r="C63" s="2275" t="s">
        <v>999</v>
      </c>
      <c r="D63" s="2276" t="s">
        <v>6328</v>
      </c>
      <c r="F63" s="2272"/>
      <c r="G63" s="2247"/>
      <c r="I63" s="321"/>
      <c r="J63" s="321"/>
      <c r="K63" s="321"/>
      <c r="L63" s="321"/>
      <c r="M63" s="321"/>
      <c r="N63" s="321"/>
      <c r="O63" s="321"/>
      <c r="P63" s="2248"/>
    </row>
    <row r="64" spans="1:17" ht="13.5" customHeight="1" x14ac:dyDescent="0.2">
      <c r="A64" s="2275" t="s">
        <v>1010</v>
      </c>
      <c r="B64" s="2276" t="s">
        <v>6326</v>
      </c>
      <c r="C64" s="2275" t="s">
        <v>1010</v>
      </c>
      <c r="D64" s="2276" t="s">
        <v>6353</v>
      </c>
      <c r="F64" s="2272"/>
      <c r="G64" s="2247"/>
      <c r="I64" s="321"/>
      <c r="J64" s="321"/>
      <c r="K64" s="321"/>
      <c r="L64" s="321"/>
      <c r="M64" s="321"/>
      <c r="N64" s="321"/>
      <c r="O64" s="321"/>
      <c r="P64" s="2248"/>
    </row>
    <row r="65" spans="1:17" ht="13.5" customHeight="1" x14ac:dyDescent="0.2">
      <c r="A65" s="2275" t="s">
        <v>1001</v>
      </c>
      <c r="B65" s="2276" t="s">
        <v>6303</v>
      </c>
      <c r="C65" s="2275" t="s">
        <v>1001</v>
      </c>
      <c r="D65" s="2276" t="s">
        <v>6310</v>
      </c>
      <c r="F65" s="2272"/>
      <c r="G65" s="2247"/>
      <c r="I65" s="321"/>
      <c r="J65" s="321"/>
      <c r="K65" s="321"/>
      <c r="L65" s="321"/>
      <c r="M65" s="321"/>
      <c r="N65" s="321"/>
      <c r="O65" s="321"/>
      <c r="P65" s="2248"/>
    </row>
    <row r="66" spans="1:17" ht="13.5" customHeight="1" x14ac:dyDescent="0.2">
      <c r="A66" s="2277" t="s">
        <v>1013</v>
      </c>
      <c r="B66" s="2290" t="s">
        <v>6327</v>
      </c>
      <c r="C66" s="2277" t="s">
        <v>1013</v>
      </c>
      <c r="D66" s="2278" t="s">
        <v>6354</v>
      </c>
      <c r="F66" s="2272"/>
      <c r="G66" s="2247"/>
      <c r="I66" s="321"/>
      <c r="J66" s="321"/>
      <c r="K66" s="321"/>
      <c r="L66" s="321"/>
      <c r="M66" s="321"/>
      <c r="N66" s="321"/>
      <c r="O66" s="321"/>
      <c r="P66" s="2248"/>
    </row>
    <row r="67" spans="1:17" ht="13.5" customHeight="1" x14ac:dyDescent="0.2">
      <c r="A67" s="2279"/>
      <c r="B67" s="2280"/>
      <c r="C67" s="2279"/>
      <c r="D67" s="2280"/>
      <c r="F67" s="2272"/>
      <c r="G67" s="2247"/>
      <c r="I67" s="321"/>
      <c r="J67" s="321"/>
      <c r="K67" s="321"/>
      <c r="L67" s="321"/>
      <c r="M67" s="321"/>
      <c r="N67" s="321"/>
      <c r="O67" s="321"/>
      <c r="P67" s="2248"/>
    </row>
    <row r="68" spans="1:17" ht="13.5" customHeight="1" x14ac:dyDescent="0.2">
      <c r="A68" s="2291" t="s">
        <v>1028</v>
      </c>
      <c r="B68" s="2283"/>
      <c r="C68" s="2419" t="s">
        <v>1029</v>
      </c>
      <c r="D68" s="2420"/>
      <c r="F68" s="2272"/>
      <c r="G68" s="2247"/>
      <c r="I68" s="321"/>
      <c r="J68" s="321"/>
      <c r="K68" s="321"/>
      <c r="L68" s="321"/>
      <c r="M68" s="321"/>
      <c r="N68" s="321"/>
      <c r="O68" s="321"/>
      <c r="P68" s="2248"/>
    </row>
    <row r="69" spans="1:17" ht="13.5" customHeight="1" x14ac:dyDescent="0.2">
      <c r="A69" s="2275" t="s">
        <v>2229</v>
      </c>
      <c r="B69" s="2276" t="s">
        <v>6329</v>
      </c>
      <c r="C69" s="2275" t="s">
        <v>2229</v>
      </c>
      <c r="D69" s="2276" t="s">
        <v>6334</v>
      </c>
      <c r="I69" s="321"/>
      <c r="J69" s="321"/>
      <c r="K69" s="321"/>
      <c r="L69" s="321"/>
      <c r="M69" s="321"/>
      <c r="N69" s="321"/>
      <c r="O69" s="321"/>
      <c r="P69" s="2248"/>
      <c r="Q69" s="321"/>
    </row>
    <row r="70" spans="1:17" ht="13.5" customHeight="1" x14ac:dyDescent="0.2">
      <c r="A70" s="2275" t="s">
        <v>2213</v>
      </c>
      <c r="B70" s="2276" t="s">
        <v>6330</v>
      </c>
      <c r="C70" s="2275" t="s">
        <v>2213</v>
      </c>
      <c r="D70" s="2276" t="s">
        <v>6306</v>
      </c>
      <c r="I70" s="321"/>
      <c r="J70" s="321"/>
      <c r="K70" s="321"/>
      <c r="L70" s="321"/>
      <c r="M70" s="321"/>
      <c r="N70" s="321"/>
      <c r="O70" s="321"/>
      <c r="P70" s="2248"/>
      <c r="Q70" s="321"/>
    </row>
    <row r="71" spans="1:17" s="314" customFormat="1" ht="13.5" customHeight="1" x14ac:dyDescent="0.2">
      <c r="A71" s="2275" t="s">
        <v>1006</v>
      </c>
      <c r="B71" s="2276" t="s">
        <v>6339</v>
      </c>
      <c r="C71" s="2275" t="s">
        <v>1006</v>
      </c>
      <c r="D71" s="2276" t="s">
        <v>6335</v>
      </c>
      <c r="F71" s="2287"/>
      <c r="G71" s="2288"/>
      <c r="I71" s="2289"/>
      <c r="J71" s="2289"/>
      <c r="K71" s="2289"/>
      <c r="L71" s="2289"/>
      <c r="M71" s="2289"/>
      <c r="N71" s="2289"/>
      <c r="O71" s="2289"/>
      <c r="P71" s="2248"/>
      <c r="Q71" s="311"/>
    </row>
    <row r="72" spans="1:17" ht="13.5" customHeight="1" x14ac:dyDescent="0.2">
      <c r="A72" s="2275" t="s">
        <v>999</v>
      </c>
      <c r="B72" s="2276" t="s">
        <v>6331</v>
      </c>
      <c r="C72" s="2275" t="s">
        <v>999</v>
      </c>
      <c r="D72" s="2276" t="s">
        <v>6336</v>
      </c>
      <c r="F72" s="2272"/>
      <c r="G72" s="2247"/>
      <c r="I72" s="321"/>
      <c r="J72" s="321"/>
      <c r="K72" s="321"/>
      <c r="L72" s="321"/>
      <c r="M72" s="321"/>
      <c r="N72" s="321"/>
      <c r="O72" s="321"/>
      <c r="P72" s="2248"/>
    </row>
    <row r="73" spans="1:17" ht="13.5" customHeight="1" x14ac:dyDescent="0.2">
      <c r="A73" s="2275" t="s">
        <v>1010</v>
      </c>
      <c r="B73" s="2276" t="s">
        <v>6332</v>
      </c>
      <c r="C73" s="2275" t="s">
        <v>1010</v>
      </c>
      <c r="D73" s="2276">
        <v>7146094720</v>
      </c>
      <c r="F73" s="2272"/>
      <c r="G73" s="2247"/>
      <c r="I73" s="321"/>
      <c r="J73" s="321"/>
      <c r="K73" s="321"/>
      <c r="L73" s="321"/>
      <c r="M73" s="321"/>
      <c r="N73" s="321"/>
      <c r="O73" s="321"/>
      <c r="P73" s="2248"/>
    </row>
    <row r="74" spans="1:17" ht="13.5" customHeight="1" x14ac:dyDescent="0.2">
      <c r="A74" s="2275" t="s">
        <v>1001</v>
      </c>
      <c r="B74" s="2276" t="s">
        <v>6310</v>
      </c>
      <c r="C74" s="2275" t="s">
        <v>1001</v>
      </c>
      <c r="D74" s="2276" t="s">
        <v>6310</v>
      </c>
      <c r="F74" s="2272"/>
      <c r="G74" s="2247"/>
      <c r="I74" s="321"/>
      <c r="J74" s="321"/>
      <c r="K74" s="321"/>
      <c r="L74" s="321"/>
      <c r="M74" s="321"/>
      <c r="N74" s="321"/>
      <c r="O74" s="321"/>
      <c r="P74" s="2248"/>
    </row>
    <row r="75" spans="1:17" ht="13.5" customHeight="1" x14ac:dyDescent="0.2">
      <c r="A75" s="2277" t="s">
        <v>1013</v>
      </c>
      <c r="B75" s="2290" t="s">
        <v>6333</v>
      </c>
      <c r="C75" s="2277" t="s">
        <v>1013</v>
      </c>
      <c r="D75" s="2278" t="s">
        <v>6337</v>
      </c>
      <c r="F75" s="2272"/>
      <c r="G75" s="2247"/>
      <c r="I75" s="321"/>
      <c r="J75" s="321"/>
      <c r="K75" s="321"/>
      <c r="L75" s="321"/>
      <c r="M75" s="321"/>
      <c r="N75" s="321"/>
      <c r="O75" s="321"/>
      <c r="P75" s="2248"/>
    </row>
    <row r="76" spans="1:17" ht="13.5" customHeight="1" x14ac:dyDescent="0.2">
      <c r="A76" s="2279"/>
      <c r="B76" s="2280"/>
      <c r="C76" s="2279"/>
      <c r="D76" s="2280"/>
      <c r="F76" s="2272"/>
      <c r="G76" s="2247"/>
      <c r="I76" s="321"/>
      <c r="J76" s="321"/>
      <c r="K76" s="321"/>
      <c r="L76" s="321"/>
      <c r="M76" s="321"/>
      <c r="N76" s="321"/>
      <c r="O76" s="321"/>
      <c r="P76" s="2248"/>
    </row>
    <row r="77" spans="1:17" ht="13.5" customHeight="1" x14ac:dyDescent="0.2">
      <c r="A77" s="2419" t="s">
        <v>1030</v>
      </c>
      <c r="B77" s="2420"/>
      <c r="C77" s="2419" t="s">
        <v>1030</v>
      </c>
      <c r="D77" s="2420"/>
      <c r="F77" s="2272"/>
      <c r="G77" s="2247"/>
      <c r="I77" s="321"/>
      <c r="J77" s="321"/>
      <c r="K77" s="321"/>
      <c r="L77" s="321"/>
      <c r="M77" s="321"/>
      <c r="N77" s="321"/>
      <c r="O77" s="321"/>
      <c r="P77" s="2248"/>
    </row>
    <row r="78" spans="1:17" ht="13.5" customHeight="1" x14ac:dyDescent="0.2">
      <c r="A78" s="2275" t="s">
        <v>2229</v>
      </c>
      <c r="B78" s="2276" t="s">
        <v>6341</v>
      </c>
      <c r="C78" s="2275" t="s">
        <v>2229</v>
      </c>
      <c r="D78" s="2276" t="s">
        <v>6346</v>
      </c>
      <c r="I78" s="321"/>
      <c r="J78" s="321"/>
      <c r="K78" s="321"/>
      <c r="L78" s="321"/>
      <c r="M78" s="321"/>
      <c r="N78" s="321"/>
      <c r="O78" s="321"/>
      <c r="P78" s="2248"/>
      <c r="Q78" s="321"/>
    </row>
    <row r="79" spans="1:17" ht="13.5" customHeight="1" x14ac:dyDescent="0.2">
      <c r="A79" s="2275" t="s">
        <v>2213</v>
      </c>
      <c r="B79" s="2276" t="s">
        <v>6299</v>
      </c>
      <c r="C79" s="2275" t="s">
        <v>2213</v>
      </c>
      <c r="D79" s="2276" t="s">
        <v>6347</v>
      </c>
      <c r="I79" s="321"/>
      <c r="J79" s="321"/>
      <c r="K79" s="321"/>
      <c r="L79" s="321"/>
      <c r="M79" s="321"/>
      <c r="N79" s="321"/>
      <c r="O79" s="321"/>
      <c r="P79" s="2248"/>
      <c r="Q79" s="321"/>
    </row>
    <row r="80" spans="1:17" s="314" customFormat="1" ht="13.5" customHeight="1" x14ac:dyDescent="0.2">
      <c r="A80" s="2275" t="s">
        <v>1006</v>
      </c>
      <c r="B80" s="2276" t="s">
        <v>6342</v>
      </c>
      <c r="C80" s="2275" t="s">
        <v>1006</v>
      </c>
      <c r="D80" s="2276" t="s">
        <v>6348</v>
      </c>
      <c r="F80" s="2287"/>
      <c r="G80" s="2288"/>
      <c r="I80" s="2289"/>
      <c r="J80" s="2289"/>
      <c r="K80" s="2289"/>
      <c r="L80" s="2289"/>
      <c r="M80" s="2289"/>
      <c r="N80" s="2289"/>
      <c r="O80" s="2289"/>
      <c r="P80" s="2248"/>
      <c r="Q80" s="311"/>
    </row>
    <row r="81" spans="1:17" ht="13.5" customHeight="1" x14ac:dyDescent="0.2">
      <c r="A81" s="2275" t="s">
        <v>999</v>
      </c>
      <c r="B81" s="2276" t="s">
        <v>6343</v>
      </c>
      <c r="C81" s="2275" t="s">
        <v>999</v>
      </c>
      <c r="D81" s="2276" t="s">
        <v>6349</v>
      </c>
      <c r="F81" s="2272"/>
      <c r="G81" s="2247"/>
      <c r="I81" s="321"/>
      <c r="J81" s="321"/>
      <c r="K81" s="321"/>
      <c r="L81" s="321"/>
      <c r="M81" s="321"/>
      <c r="N81" s="321"/>
      <c r="O81" s="321"/>
      <c r="P81" s="2248"/>
    </row>
    <row r="82" spans="1:17" ht="13.5" customHeight="1" x14ac:dyDescent="0.2">
      <c r="A82" s="2275" t="s">
        <v>1010</v>
      </c>
      <c r="B82" s="2276" t="s">
        <v>6344</v>
      </c>
      <c r="C82" s="2275" t="s">
        <v>1010</v>
      </c>
      <c r="D82" s="2276" t="s">
        <v>6350</v>
      </c>
      <c r="F82" s="2272"/>
      <c r="G82" s="2247"/>
      <c r="I82" s="321"/>
      <c r="J82" s="321"/>
      <c r="K82" s="321"/>
      <c r="L82" s="321"/>
      <c r="M82" s="321"/>
      <c r="N82" s="321"/>
      <c r="O82" s="321"/>
      <c r="P82" s="2248"/>
    </row>
    <row r="83" spans="1:17" ht="13.5" customHeight="1" x14ac:dyDescent="0.2">
      <c r="A83" s="2275" t="s">
        <v>1001</v>
      </c>
      <c r="B83" s="2276" t="s">
        <v>6310</v>
      </c>
      <c r="C83" s="2275" t="s">
        <v>1001</v>
      </c>
      <c r="D83" s="2276" t="s">
        <v>6303</v>
      </c>
      <c r="F83" s="2272"/>
      <c r="G83" s="2247"/>
      <c r="I83" s="321"/>
      <c r="J83" s="321"/>
      <c r="K83" s="321"/>
      <c r="L83" s="321"/>
      <c r="M83" s="321"/>
      <c r="N83" s="321"/>
      <c r="O83" s="321"/>
      <c r="P83" s="2248"/>
    </row>
    <row r="84" spans="1:17" ht="13.5" customHeight="1" x14ac:dyDescent="0.2">
      <c r="A84" s="2275" t="s">
        <v>1013</v>
      </c>
      <c r="B84" s="2276" t="s">
        <v>6345</v>
      </c>
      <c r="C84" s="2275" t="s">
        <v>1013</v>
      </c>
      <c r="D84" s="2276" t="s">
        <v>6338</v>
      </c>
      <c r="F84" s="2272"/>
      <c r="G84" s="2247"/>
      <c r="I84" s="321"/>
      <c r="J84" s="321"/>
      <c r="K84" s="321"/>
      <c r="L84" s="321"/>
      <c r="M84" s="321"/>
      <c r="N84" s="321"/>
      <c r="O84" s="321"/>
      <c r="P84" s="2248"/>
    </row>
    <row r="85" spans="1:17" ht="13.5" customHeight="1" x14ac:dyDescent="0.2">
      <c r="A85" s="2419" t="s">
        <v>1030</v>
      </c>
      <c r="B85" s="2420"/>
      <c r="C85" s="2419" t="s">
        <v>1030</v>
      </c>
      <c r="D85" s="2420"/>
      <c r="F85" s="2272"/>
      <c r="G85" s="2247"/>
      <c r="I85" s="321"/>
      <c r="J85" s="321"/>
      <c r="K85" s="321"/>
      <c r="L85" s="321"/>
      <c r="M85" s="321"/>
      <c r="N85" s="321"/>
      <c r="O85" s="321"/>
      <c r="P85" s="2248"/>
    </row>
    <row r="86" spans="1:17" ht="13.5" customHeight="1" x14ac:dyDescent="0.2">
      <c r="A86" s="2275" t="s">
        <v>2229</v>
      </c>
      <c r="B86" s="2276"/>
      <c r="C86" s="2275" t="s">
        <v>2229</v>
      </c>
      <c r="D86" s="2276"/>
      <c r="I86" s="321"/>
      <c r="J86" s="321"/>
      <c r="K86" s="321"/>
      <c r="L86" s="321"/>
      <c r="M86" s="321"/>
      <c r="N86" s="321"/>
      <c r="O86" s="321"/>
      <c r="P86" s="2248"/>
      <c r="Q86" s="321"/>
    </row>
    <row r="87" spans="1:17" ht="13.5" customHeight="1" x14ac:dyDescent="0.2">
      <c r="A87" s="2275" t="s">
        <v>2213</v>
      </c>
      <c r="B87" s="2276"/>
      <c r="C87" s="2275" t="s">
        <v>2213</v>
      </c>
      <c r="D87" s="2276"/>
      <c r="I87" s="321"/>
      <c r="J87" s="321"/>
      <c r="K87" s="321"/>
      <c r="L87" s="321"/>
      <c r="M87" s="321"/>
      <c r="N87" s="321"/>
      <c r="O87" s="321"/>
      <c r="P87" s="2248"/>
      <c r="Q87" s="321"/>
    </row>
    <row r="88" spans="1:17" ht="13.5" customHeight="1" x14ac:dyDescent="0.2">
      <c r="A88" s="2275" t="s">
        <v>1006</v>
      </c>
      <c r="B88" s="2276"/>
      <c r="C88" s="2275" t="s">
        <v>1006</v>
      </c>
      <c r="D88" s="2276"/>
      <c r="F88" s="2272"/>
      <c r="G88" s="2247"/>
      <c r="I88" s="321"/>
      <c r="J88" s="321"/>
      <c r="K88" s="321"/>
      <c r="L88" s="321"/>
      <c r="M88" s="321"/>
      <c r="N88" s="321"/>
      <c r="O88" s="321"/>
      <c r="P88" s="2248"/>
    </row>
    <row r="89" spans="1:17" ht="13.5" customHeight="1" x14ac:dyDescent="0.2">
      <c r="A89" s="2275" t="s">
        <v>999</v>
      </c>
      <c r="B89" s="2276"/>
      <c r="C89" s="2275" t="s">
        <v>999</v>
      </c>
      <c r="D89" s="2276"/>
      <c r="F89" s="2272"/>
      <c r="G89" s="2247"/>
      <c r="I89" s="321"/>
      <c r="J89" s="321"/>
      <c r="K89" s="321"/>
      <c r="L89" s="321"/>
      <c r="M89" s="321"/>
      <c r="N89" s="321"/>
      <c r="O89" s="321"/>
      <c r="P89" s="2248"/>
    </row>
    <row r="90" spans="1:17" ht="13.5" customHeight="1" x14ac:dyDescent="0.2">
      <c r="A90" s="2275" t="s">
        <v>1010</v>
      </c>
      <c r="B90" s="2276"/>
      <c r="C90" s="2275" t="s">
        <v>1010</v>
      </c>
      <c r="D90" s="2276"/>
      <c r="F90" s="2272"/>
      <c r="G90" s="2247"/>
      <c r="I90" s="321"/>
      <c r="J90" s="321"/>
      <c r="K90" s="321"/>
      <c r="L90" s="321"/>
      <c r="M90" s="321"/>
      <c r="N90" s="321"/>
      <c r="O90" s="321"/>
      <c r="P90" s="2248"/>
    </row>
    <row r="91" spans="1:17" ht="13.5" customHeight="1" x14ac:dyDescent="0.2">
      <c r="A91" s="2275" t="s">
        <v>1001</v>
      </c>
      <c r="B91" s="2276"/>
      <c r="C91" s="2275" t="s">
        <v>1001</v>
      </c>
      <c r="D91" s="2276"/>
      <c r="F91" s="2272"/>
      <c r="G91" s="2247"/>
      <c r="I91" s="321"/>
      <c r="J91" s="321"/>
      <c r="K91" s="321"/>
      <c r="L91" s="321"/>
      <c r="M91" s="321"/>
      <c r="N91" s="321"/>
      <c r="O91" s="321"/>
      <c r="P91" s="2248"/>
    </row>
    <row r="92" spans="1:17" ht="13.5" customHeight="1" x14ac:dyDescent="0.2">
      <c r="A92" s="2275" t="s">
        <v>1013</v>
      </c>
      <c r="B92" s="2276"/>
      <c r="C92" s="2275" t="s">
        <v>1013</v>
      </c>
      <c r="D92" s="2276"/>
      <c r="F92" s="2272"/>
      <c r="G92" s="2247"/>
      <c r="I92" s="321"/>
      <c r="J92" s="321"/>
      <c r="K92" s="321"/>
      <c r="L92" s="321"/>
      <c r="M92" s="321"/>
      <c r="N92" s="321"/>
      <c r="O92" s="321"/>
      <c r="P92" s="2248"/>
    </row>
    <row r="93" spans="1:17" ht="13.5" customHeight="1" x14ac:dyDescent="0.2">
      <c r="A93" s="2419" t="s">
        <v>1030</v>
      </c>
      <c r="B93" s="2420"/>
      <c r="C93" s="2419" t="s">
        <v>1030</v>
      </c>
      <c r="D93" s="2420"/>
      <c r="F93" s="2272"/>
      <c r="G93" s="2247"/>
      <c r="I93" s="321"/>
      <c r="J93" s="321"/>
      <c r="K93" s="321"/>
      <c r="L93" s="321"/>
      <c r="M93" s="321"/>
      <c r="N93" s="321"/>
      <c r="O93" s="321"/>
      <c r="P93" s="2248"/>
    </row>
    <row r="94" spans="1:17" ht="13.5" customHeight="1" x14ac:dyDescent="0.2">
      <c r="A94" s="2275" t="s">
        <v>2229</v>
      </c>
      <c r="B94" s="2276"/>
      <c r="C94" s="2275" t="s">
        <v>2229</v>
      </c>
      <c r="D94" s="2276"/>
      <c r="I94" s="321"/>
      <c r="J94" s="321"/>
      <c r="K94" s="321"/>
      <c r="L94" s="321"/>
      <c r="M94" s="321"/>
      <c r="N94" s="321"/>
      <c r="O94" s="321"/>
      <c r="P94" s="2248"/>
      <c r="Q94" s="321"/>
    </row>
    <row r="95" spans="1:17" ht="13.5" customHeight="1" x14ac:dyDescent="0.2">
      <c r="A95" s="2275" t="s">
        <v>2213</v>
      </c>
      <c r="B95" s="2276"/>
      <c r="C95" s="2275" t="s">
        <v>2213</v>
      </c>
      <c r="D95" s="2276"/>
      <c r="I95" s="321"/>
      <c r="J95" s="321"/>
      <c r="K95" s="321"/>
      <c r="L95" s="321"/>
      <c r="M95" s="321"/>
      <c r="N95" s="321"/>
      <c r="O95" s="321"/>
      <c r="P95" s="2248"/>
      <c r="Q95" s="321"/>
    </row>
    <row r="96" spans="1:17" ht="13.5" customHeight="1" x14ac:dyDescent="0.2">
      <c r="A96" s="2275" t="s">
        <v>1006</v>
      </c>
      <c r="B96" s="2276"/>
      <c r="C96" s="2275" t="s">
        <v>1006</v>
      </c>
      <c r="D96" s="2276"/>
      <c r="F96" s="2272"/>
      <c r="G96" s="2247"/>
      <c r="I96" s="321"/>
      <c r="J96" s="321"/>
      <c r="K96" s="321"/>
      <c r="L96" s="321"/>
      <c r="M96" s="321"/>
      <c r="N96" s="321"/>
      <c r="O96" s="321"/>
      <c r="P96" s="2248"/>
    </row>
    <row r="97" spans="1:17" ht="13.5" customHeight="1" x14ac:dyDescent="0.2">
      <c r="A97" s="2275" t="s">
        <v>999</v>
      </c>
      <c r="B97" s="2276"/>
      <c r="C97" s="2275" t="s">
        <v>999</v>
      </c>
      <c r="D97" s="2276"/>
      <c r="F97" s="2272"/>
      <c r="G97" s="2247"/>
      <c r="I97" s="321"/>
      <c r="J97" s="321"/>
      <c r="K97" s="321"/>
      <c r="L97" s="321"/>
      <c r="M97" s="321"/>
      <c r="N97" s="321"/>
      <c r="O97" s="321"/>
      <c r="P97" s="2248"/>
    </row>
    <row r="98" spans="1:17" ht="13.5" customHeight="1" x14ac:dyDescent="0.2">
      <c r="A98" s="2275" t="s">
        <v>1010</v>
      </c>
      <c r="B98" s="2276"/>
      <c r="C98" s="2275" t="s">
        <v>1010</v>
      </c>
      <c r="D98" s="2276"/>
      <c r="F98" s="2272"/>
      <c r="G98" s="2247"/>
      <c r="I98" s="321"/>
      <c r="J98" s="321"/>
      <c r="K98" s="321"/>
      <c r="L98" s="321"/>
      <c r="M98" s="321"/>
      <c r="N98" s="321"/>
      <c r="O98" s="321"/>
      <c r="P98" s="2248"/>
    </row>
    <row r="99" spans="1:17" ht="13.5" customHeight="1" x14ac:dyDescent="0.2">
      <c r="A99" s="2275" t="s">
        <v>1001</v>
      </c>
      <c r="B99" s="2276"/>
      <c r="C99" s="2275" t="s">
        <v>1001</v>
      </c>
      <c r="D99" s="2276"/>
      <c r="F99" s="2272"/>
      <c r="G99" s="2247"/>
      <c r="I99" s="321"/>
      <c r="J99" s="321"/>
      <c r="K99" s="321"/>
      <c r="L99" s="321"/>
      <c r="M99" s="321"/>
      <c r="N99" s="321"/>
      <c r="O99" s="321"/>
      <c r="P99" s="2248"/>
    </row>
    <row r="100" spans="1:17" ht="13.5" customHeight="1" x14ac:dyDescent="0.2">
      <c r="A100" s="2275" t="s">
        <v>1013</v>
      </c>
      <c r="B100" s="2276"/>
      <c r="C100" s="2275" t="s">
        <v>1013</v>
      </c>
      <c r="D100" s="2276"/>
      <c r="F100" s="2272"/>
      <c r="G100" s="2247"/>
      <c r="I100" s="321"/>
      <c r="J100" s="321"/>
      <c r="K100" s="321"/>
      <c r="L100" s="321"/>
      <c r="M100" s="321"/>
      <c r="N100" s="321"/>
      <c r="O100" s="321"/>
      <c r="P100" s="2248"/>
    </row>
    <row r="101" spans="1:17" ht="12.75" customHeight="1" x14ac:dyDescent="0.2">
      <c r="A101" s="2419" t="s">
        <v>1030</v>
      </c>
      <c r="B101" s="2420"/>
      <c r="C101" s="2419" t="s">
        <v>1030</v>
      </c>
      <c r="D101" s="2420"/>
      <c r="F101" s="2272"/>
      <c r="G101" s="2247"/>
      <c r="I101" s="321"/>
      <c r="J101" s="321"/>
      <c r="K101" s="321"/>
      <c r="L101" s="321"/>
      <c r="M101" s="321"/>
      <c r="N101" s="321"/>
      <c r="O101" s="321"/>
      <c r="P101" s="2248"/>
    </row>
    <row r="102" spans="1:17" ht="13.5" customHeight="1" x14ac:dyDescent="0.2">
      <c r="A102" s="2275" t="s">
        <v>2229</v>
      </c>
      <c r="B102" s="2276"/>
      <c r="C102" s="2275" t="s">
        <v>2229</v>
      </c>
      <c r="D102" s="2276"/>
      <c r="I102" s="321"/>
      <c r="J102" s="321"/>
      <c r="K102" s="321"/>
      <c r="L102" s="321"/>
      <c r="M102" s="321"/>
      <c r="N102" s="321"/>
      <c r="O102" s="321"/>
      <c r="P102" s="2248"/>
      <c r="Q102" s="321"/>
    </row>
    <row r="103" spans="1:17" ht="12.75" customHeight="1" x14ac:dyDescent="0.2">
      <c r="A103" s="2275" t="s">
        <v>2213</v>
      </c>
      <c r="B103" s="2276"/>
      <c r="C103" s="2275" t="s">
        <v>2213</v>
      </c>
      <c r="D103" s="2276"/>
      <c r="F103" s="2272"/>
      <c r="G103" s="2247"/>
      <c r="I103" s="321"/>
      <c r="J103" s="321"/>
      <c r="K103" s="321"/>
      <c r="L103" s="321"/>
      <c r="M103" s="321"/>
      <c r="N103" s="321"/>
      <c r="O103" s="321"/>
      <c r="P103" s="2248"/>
    </row>
    <row r="104" spans="1:17" ht="12.75" customHeight="1" x14ac:dyDescent="0.2">
      <c r="A104" s="2275" t="s">
        <v>1006</v>
      </c>
      <c r="B104" s="2276"/>
      <c r="C104" s="2275" t="s">
        <v>1006</v>
      </c>
      <c r="D104" s="2276"/>
      <c r="F104" s="2272"/>
      <c r="G104" s="2247"/>
      <c r="I104" s="321"/>
      <c r="J104" s="321"/>
      <c r="K104" s="321"/>
      <c r="L104" s="321"/>
      <c r="M104" s="321"/>
      <c r="N104" s="321"/>
      <c r="O104" s="321"/>
      <c r="P104" s="2248"/>
    </row>
    <row r="105" spans="1:17" ht="12.75" customHeight="1" x14ac:dyDescent="0.2">
      <c r="A105" s="2275" t="s">
        <v>999</v>
      </c>
      <c r="B105" s="2276"/>
      <c r="C105" s="2275" t="s">
        <v>999</v>
      </c>
      <c r="D105" s="2276"/>
      <c r="F105" s="2272"/>
      <c r="G105" s="2247"/>
      <c r="I105" s="321"/>
      <c r="J105" s="321"/>
      <c r="K105" s="321"/>
      <c r="L105" s="321"/>
      <c r="M105" s="321"/>
      <c r="N105" s="321"/>
      <c r="O105" s="321"/>
      <c r="P105" s="2248"/>
    </row>
    <row r="106" spans="1:17" s="320" customFormat="1" ht="12.75" customHeight="1" x14ac:dyDescent="0.2">
      <c r="A106" s="2275" t="s">
        <v>1010</v>
      </c>
      <c r="B106" s="2276"/>
      <c r="C106" s="2275" t="s">
        <v>1010</v>
      </c>
      <c r="D106" s="2276"/>
      <c r="F106" s="2272"/>
      <c r="G106" s="2247"/>
      <c r="I106" s="321"/>
      <c r="J106" s="321"/>
      <c r="K106" s="321"/>
      <c r="L106" s="321"/>
      <c r="M106" s="321"/>
      <c r="N106" s="321"/>
      <c r="O106" s="321"/>
      <c r="P106" s="2248"/>
      <c r="Q106" s="311"/>
    </row>
    <row r="107" spans="1:17" s="321" customFormat="1" ht="12.75" customHeight="1" x14ac:dyDescent="0.2">
      <c r="A107" s="2275" t="s">
        <v>1001</v>
      </c>
      <c r="B107" s="2276"/>
      <c r="C107" s="2275" t="s">
        <v>1001</v>
      </c>
      <c r="D107" s="2276"/>
      <c r="F107" s="2272"/>
      <c r="G107" s="2247"/>
      <c r="P107" s="2248"/>
      <c r="Q107" s="311"/>
    </row>
    <row r="108" spans="1:17" s="321" customFormat="1" ht="12.75" customHeight="1" x14ac:dyDescent="0.2">
      <c r="A108" s="2275" t="s">
        <v>1013</v>
      </c>
      <c r="B108" s="2276"/>
      <c r="C108" s="2275" t="s">
        <v>1013</v>
      </c>
      <c r="D108" s="2276"/>
      <c r="F108" s="2272"/>
      <c r="G108" s="2247"/>
      <c r="P108" s="2248"/>
      <c r="Q108" s="311"/>
    </row>
    <row r="109" spans="1:17" ht="12.75" customHeight="1" x14ac:dyDescent="0.2">
      <c r="A109" s="2419" t="s">
        <v>1030</v>
      </c>
      <c r="B109" s="2420"/>
      <c r="C109" s="2419" t="s">
        <v>1030</v>
      </c>
      <c r="D109" s="2420"/>
      <c r="I109" s="321"/>
      <c r="J109" s="321"/>
      <c r="K109" s="321"/>
      <c r="L109" s="321"/>
      <c r="M109" s="321"/>
      <c r="N109" s="321"/>
      <c r="O109" s="321"/>
      <c r="P109" s="2248"/>
    </row>
    <row r="110" spans="1:17" ht="13.5" customHeight="1" x14ac:dyDescent="0.2">
      <c r="A110" s="2275" t="s">
        <v>2229</v>
      </c>
      <c r="B110" s="2276"/>
      <c r="C110" s="2275" t="s">
        <v>2229</v>
      </c>
      <c r="D110" s="2276"/>
      <c r="I110" s="321"/>
      <c r="J110" s="321"/>
      <c r="K110" s="321"/>
      <c r="L110" s="321"/>
      <c r="M110" s="321"/>
      <c r="N110" s="321"/>
      <c r="O110" s="321"/>
      <c r="P110" s="2248"/>
      <c r="Q110" s="321"/>
    </row>
    <row r="111" spans="1:17" ht="12.75" customHeight="1" x14ac:dyDescent="0.2">
      <c r="A111" s="2275" t="s">
        <v>2213</v>
      </c>
      <c r="B111" s="2276"/>
      <c r="C111" s="2275" t="s">
        <v>2213</v>
      </c>
      <c r="D111" s="2276"/>
      <c r="I111" s="321"/>
      <c r="J111" s="321"/>
      <c r="K111" s="321"/>
      <c r="L111" s="321"/>
      <c r="M111" s="321"/>
      <c r="N111" s="321"/>
      <c r="O111" s="321"/>
      <c r="P111" s="2248"/>
    </row>
    <row r="112" spans="1:17" ht="12.75" customHeight="1" x14ac:dyDescent="0.2">
      <c r="A112" s="2275" t="s">
        <v>1006</v>
      </c>
      <c r="B112" s="2276"/>
      <c r="C112" s="2275" t="s">
        <v>1006</v>
      </c>
      <c r="D112" s="2276"/>
      <c r="I112" s="321"/>
      <c r="J112" s="321"/>
      <c r="K112" s="321"/>
      <c r="L112" s="321"/>
      <c r="M112" s="321"/>
      <c r="N112" s="321"/>
      <c r="O112" s="321"/>
      <c r="P112" s="2248"/>
    </row>
    <row r="113" spans="1:17" ht="12.75" customHeight="1" x14ac:dyDescent="0.2">
      <c r="A113" s="2275" t="s">
        <v>999</v>
      </c>
      <c r="B113" s="2276"/>
      <c r="C113" s="2275" t="s">
        <v>999</v>
      </c>
      <c r="D113" s="2276"/>
      <c r="I113" s="321"/>
      <c r="J113" s="321"/>
      <c r="K113" s="321"/>
      <c r="L113" s="321"/>
      <c r="M113" s="321"/>
      <c r="N113" s="321"/>
      <c r="O113" s="321"/>
      <c r="P113" s="2248"/>
    </row>
    <row r="114" spans="1:17" ht="12.75" customHeight="1" x14ac:dyDescent="0.2">
      <c r="A114" s="2275" t="s">
        <v>1010</v>
      </c>
      <c r="B114" s="2276"/>
      <c r="C114" s="2275" t="s">
        <v>1010</v>
      </c>
      <c r="D114" s="2276"/>
      <c r="I114" s="321"/>
      <c r="J114" s="321"/>
      <c r="K114" s="321"/>
      <c r="L114" s="321"/>
      <c r="M114" s="321"/>
      <c r="N114" s="321"/>
      <c r="O114" s="321"/>
      <c r="P114" s="2248"/>
    </row>
    <row r="115" spans="1:17" ht="12.75" customHeight="1" x14ac:dyDescent="0.2">
      <c r="A115" s="2275" t="s">
        <v>1001</v>
      </c>
      <c r="B115" s="2276"/>
      <c r="C115" s="2275" t="s">
        <v>1001</v>
      </c>
      <c r="D115" s="2276"/>
      <c r="I115" s="321"/>
      <c r="J115" s="321"/>
      <c r="K115" s="321"/>
      <c r="L115" s="321"/>
      <c r="M115" s="321"/>
      <c r="N115" s="321"/>
      <c r="O115" s="321"/>
      <c r="P115" s="2248"/>
    </row>
    <row r="116" spans="1:17" ht="12.75" customHeight="1" x14ac:dyDescent="0.2">
      <c r="A116" s="2275" t="s">
        <v>1013</v>
      </c>
      <c r="B116" s="2276"/>
      <c r="C116" s="2275" t="s">
        <v>1013</v>
      </c>
      <c r="D116" s="2276"/>
      <c r="I116" s="321"/>
      <c r="J116" s="321"/>
      <c r="K116" s="321"/>
      <c r="L116" s="321"/>
      <c r="M116" s="321"/>
      <c r="N116" s="321"/>
      <c r="O116" s="321"/>
      <c r="P116" s="2248"/>
    </row>
    <row r="117" spans="1:17" ht="12.75" customHeight="1" x14ac:dyDescent="0.2">
      <c r="A117" s="2419" t="s">
        <v>1030</v>
      </c>
      <c r="B117" s="2420"/>
      <c r="C117" s="2419" t="s">
        <v>1030</v>
      </c>
      <c r="D117" s="2420"/>
      <c r="I117" s="321"/>
      <c r="J117" s="321"/>
      <c r="K117" s="321"/>
      <c r="L117" s="321"/>
      <c r="M117" s="321"/>
      <c r="N117" s="321"/>
      <c r="O117" s="321"/>
      <c r="P117" s="2248"/>
    </row>
    <row r="118" spans="1:17" ht="13.5" customHeight="1" x14ac:dyDescent="0.2">
      <c r="A118" s="2275" t="s">
        <v>2229</v>
      </c>
      <c r="B118" s="2276"/>
      <c r="C118" s="2275" t="s">
        <v>2229</v>
      </c>
      <c r="D118" s="2276"/>
      <c r="I118" s="321"/>
      <c r="J118" s="321"/>
      <c r="K118" s="321"/>
      <c r="L118" s="321"/>
      <c r="M118" s="321"/>
      <c r="N118" s="321"/>
      <c r="O118" s="321"/>
      <c r="P118" s="2248"/>
      <c r="Q118" s="321"/>
    </row>
    <row r="119" spans="1:17" ht="12.75" customHeight="1" x14ac:dyDescent="0.2">
      <c r="A119" s="2275" t="s">
        <v>2213</v>
      </c>
      <c r="B119" s="2276"/>
      <c r="C119" s="2275" t="s">
        <v>2213</v>
      </c>
      <c r="D119" s="2276"/>
      <c r="I119" s="321"/>
      <c r="J119" s="321"/>
      <c r="K119" s="321"/>
      <c r="L119" s="321"/>
      <c r="M119" s="321"/>
      <c r="N119" s="321"/>
      <c r="O119" s="321"/>
      <c r="P119" s="2248"/>
    </row>
    <row r="120" spans="1:17" ht="12.75" customHeight="1" x14ac:dyDescent="0.2">
      <c r="A120" s="2275" t="s">
        <v>1006</v>
      </c>
      <c r="B120" s="2276"/>
      <c r="C120" s="2275" t="s">
        <v>1006</v>
      </c>
      <c r="D120" s="2276"/>
      <c r="I120" s="321"/>
      <c r="J120" s="321"/>
      <c r="K120" s="321"/>
      <c r="L120" s="321"/>
      <c r="M120" s="321"/>
      <c r="N120" s="321"/>
      <c r="O120" s="321"/>
      <c r="P120" s="2248"/>
    </row>
    <row r="121" spans="1:17" ht="12.75" customHeight="1" x14ac:dyDescent="0.2">
      <c r="A121" s="2275" t="s">
        <v>999</v>
      </c>
      <c r="B121" s="2276"/>
      <c r="C121" s="2275" t="s">
        <v>999</v>
      </c>
      <c r="D121" s="2276"/>
      <c r="I121" s="321"/>
      <c r="J121" s="321"/>
      <c r="K121" s="321"/>
      <c r="L121" s="321"/>
      <c r="M121" s="321"/>
      <c r="N121" s="321"/>
      <c r="O121" s="321"/>
      <c r="P121" s="2248"/>
    </row>
    <row r="122" spans="1:17" ht="12.75" customHeight="1" x14ac:dyDescent="0.2">
      <c r="A122" s="2275" t="s">
        <v>1010</v>
      </c>
      <c r="B122" s="2276"/>
      <c r="C122" s="2275" t="s">
        <v>1010</v>
      </c>
      <c r="D122" s="2276"/>
      <c r="I122" s="321"/>
      <c r="J122" s="321"/>
      <c r="K122" s="321"/>
      <c r="L122" s="321"/>
      <c r="M122" s="321"/>
      <c r="N122" s="321"/>
      <c r="O122" s="321"/>
      <c r="P122" s="2248"/>
    </row>
    <row r="123" spans="1:17" ht="12.75" customHeight="1" x14ac:dyDescent="0.2">
      <c r="A123" s="2275" t="s">
        <v>1001</v>
      </c>
      <c r="B123" s="2276"/>
      <c r="C123" s="2275" t="s">
        <v>1001</v>
      </c>
      <c r="D123" s="2276"/>
      <c r="I123" s="321"/>
      <c r="J123" s="321"/>
      <c r="K123" s="321"/>
      <c r="L123" s="321"/>
      <c r="M123" s="321"/>
      <c r="N123" s="321"/>
      <c r="O123" s="321"/>
      <c r="P123" s="2248"/>
    </row>
    <row r="124" spans="1:17" ht="12.75" customHeight="1" x14ac:dyDescent="0.2">
      <c r="A124" s="2275" t="s">
        <v>1013</v>
      </c>
      <c r="B124" s="2276"/>
      <c r="C124" s="2275" t="s">
        <v>1013</v>
      </c>
      <c r="D124" s="2276"/>
      <c r="I124" s="321"/>
      <c r="J124" s="321"/>
      <c r="K124" s="321"/>
      <c r="L124" s="321"/>
      <c r="M124" s="321"/>
      <c r="N124" s="321"/>
      <c r="O124" s="321"/>
      <c r="P124" s="2248"/>
    </row>
    <row r="125" spans="1:17" ht="12.75" customHeight="1" x14ac:dyDescent="0.2">
      <c r="A125" s="2419" t="s">
        <v>1030</v>
      </c>
      <c r="B125" s="2420"/>
      <c r="C125" s="2419" t="s">
        <v>1030</v>
      </c>
      <c r="D125" s="2420"/>
      <c r="I125" s="321"/>
      <c r="J125" s="321"/>
      <c r="K125" s="321"/>
      <c r="L125" s="321"/>
      <c r="M125" s="321"/>
      <c r="N125" s="321"/>
      <c r="O125" s="321"/>
      <c r="P125" s="2248"/>
    </row>
    <row r="126" spans="1:17" ht="13.5" customHeight="1" x14ac:dyDescent="0.2">
      <c r="A126" s="2275" t="s">
        <v>2229</v>
      </c>
      <c r="B126" s="2276"/>
      <c r="C126" s="2275" t="s">
        <v>2229</v>
      </c>
      <c r="D126" s="2276"/>
      <c r="I126" s="321"/>
      <c r="J126" s="321"/>
      <c r="K126" s="321"/>
      <c r="L126" s="321"/>
      <c r="M126" s="321"/>
      <c r="N126" s="321"/>
      <c r="O126" s="321"/>
      <c r="P126" s="2248"/>
      <c r="Q126" s="321"/>
    </row>
    <row r="127" spans="1:17" ht="12.75" customHeight="1" x14ac:dyDescent="0.2">
      <c r="A127" s="2275" t="s">
        <v>2213</v>
      </c>
      <c r="B127" s="2276"/>
      <c r="C127" s="2275" t="s">
        <v>2213</v>
      </c>
      <c r="D127" s="2276"/>
      <c r="I127" s="321"/>
      <c r="J127" s="321"/>
      <c r="K127" s="321"/>
      <c r="L127" s="321"/>
      <c r="M127" s="321"/>
      <c r="N127" s="321"/>
      <c r="O127" s="321"/>
      <c r="P127" s="2248"/>
    </row>
    <row r="128" spans="1:17" ht="12.75" customHeight="1" x14ac:dyDescent="0.2">
      <c r="A128" s="2275" t="s">
        <v>1006</v>
      </c>
      <c r="B128" s="2276"/>
      <c r="C128" s="2275" t="s">
        <v>1006</v>
      </c>
      <c r="D128" s="2276"/>
      <c r="I128" s="321"/>
      <c r="J128" s="321"/>
      <c r="K128" s="321"/>
      <c r="L128" s="321"/>
      <c r="M128" s="321"/>
      <c r="N128" s="321"/>
      <c r="O128" s="321"/>
      <c r="P128" s="2248"/>
    </row>
    <row r="129" spans="1:16" ht="12.75" customHeight="1" x14ac:dyDescent="0.2">
      <c r="A129" s="2275" t="s">
        <v>999</v>
      </c>
      <c r="B129" s="2276"/>
      <c r="C129" s="2275" t="s">
        <v>999</v>
      </c>
      <c r="D129" s="2276"/>
      <c r="I129" s="321"/>
      <c r="J129" s="321"/>
      <c r="K129" s="321"/>
      <c r="L129" s="321"/>
      <c r="M129" s="321"/>
      <c r="N129" s="321"/>
      <c r="O129" s="321"/>
      <c r="P129" s="2248"/>
    </row>
    <row r="130" spans="1:16" ht="12.75" customHeight="1" x14ac:dyDescent="0.2">
      <c r="A130" s="2275" t="s">
        <v>1010</v>
      </c>
      <c r="B130" s="2276"/>
      <c r="C130" s="2275" t="s">
        <v>1010</v>
      </c>
      <c r="D130" s="2276"/>
      <c r="I130" s="321"/>
      <c r="J130" s="321"/>
      <c r="K130" s="321"/>
      <c r="L130" s="321"/>
      <c r="M130" s="321"/>
      <c r="N130" s="321"/>
      <c r="O130" s="321"/>
      <c r="P130" s="2248"/>
    </row>
    <row r="131" spans="1:16" ht="12.75" customHeight="1" x14ac:dyDescent="0.2">
      <c r="A131" s="2275" t="s">
        <v>1001</v>
      </c>
      <c r="B131" s="2276"/>
      <c r="C131" s="2275" t="s">
        <v>1001</v>
      </c>
      <c r="D131" s="2276"/>
      <c r="I131" s="321"/>
      <c r="J131" s="321"/>
      <c r="K131" s="321"/>
      <c r="L131" s="321"/>
      <c r="M131" s="321"/>
      <c r="N131" s="321"/>
      <c r="O131" s="321"/>
      <c r="P131" s="2248"/>
    </row>
    <row r="132" spans="1:16" ht="12.75" customHeight="1" x14ac:dyDescent="0.2">
      <c r="A132" s="2275" t="s">
        <v>1013</v>
      </c>
      <c r="B132" s="2276"/>
      <c r="C132" s="2275" t="s">
        <v>1013</v>
      </c>
      <c r="D132" s="2276"/>
      <c r="I132" s="321"/>
      <c r="J132" s="321"/>
      <c r="K132" s="321"/>
      <c r="L132" s="321"/>
      <c r="M132" s="321"/>
      <c r="N132" s="321"/>
      <c r="O132" s="321"/>
      <c r="P132" s="2248"/>
    </row>
    <row r="133" spans="1:16" ht="12.75" customHeight="1" x14ac:dyDescent="0.2">
      <c r="A133" s="2419" t="s">
        <v>1030</v>
      </c>
      <c r="B133" s="2420"/>
      <c r="C133" s="2421"/>
      <c r="D133" s="2422"/>
      <c r="I133" s="321"/>
      <c r="J133" s="321"/>
      <c r="K133" s="321"/>
      <c r="L133" s="321"/>
      <c r="M133" s="321"/>
      <c r="N133" s="321"/>
      <c r="O133" s="321"/>
      <c r="P133" s="2248"/>
    </row>
    <row r="134" spans="1:16" ht="12.75" customHeight="1" x14ac:dyDescent="0.2">
      <c r="A134" s="2275" t="s">
        <v>2229</v>
      </c>
      <c r="B134" s="2276"/>
      <c r="C134" s="2292"/>
      <c r="D134" s="2292"/>
      <c r="I134" s="321"/>
      <c r="J134" s="321"/>
      <c r="K134" s="321"/>
      <c r="L134" s="321"/>
      <c r="M134" s="321"/>
      <c r="N134" s="321"/>
      <c r="O134" s="321"/>
      <c r="P134" s="2248"/>
    </row>
    <row r="135" spans="1:16" ht="12.75" customHeight="1" x14ac:dyDescent="0.2">
      <c r="A135" s="2275" t="s">
        <v>2213</v>
      </c>
      <c r="B135" s="2276"/>
      <c r="C135" s="2292"/>
      <c r="D135" s="2292"/>
      <c r="I135" s="321"/>
      <c r="J135" s="321"/>
      <c r="K135" s="321"/>
      <c r="L135" s="321"/>
      <c r="M135" s="321"/>
      <c r="N135" s="321"/>
      <c r="O135" s="321"/>
      <c r="P135" s="2248"/>
    </row>
    <row r="136" spans="1:16" ht="12.75" customHeight="1" x14ac:dyDescent="0.2">
      <c r="A136" s="2275" t="s">
        <v>1006</v>
      </c>
      <c r="B136" s="2276"/>
      <c r="C136" s="2292"/>
      <c r="D136" s="2292"/>
      <c r="I136" s="321"/>
      <c r="J136" s="321"/>
      <c r="K136" s="321"/>
      <c r="L136" s="321"/>
      <c r="M136" s="321"/>
      <c r="N136" s="321"/>
      <c r="O136" s="321"/>
      <c r="P136" s="2248"/>
    </row>
    <row r="137" spans="1:16" ht="12.75" customHeight="1" x14ac:dyDescent="0.2">
      <c r="A137" s="2275" t="s">
        <v>999</v>
      </c>
      <c r="B137" s="2276"/>
      <c r="C137" s="2292"/>
      <c r="D137" s="2292"/>
      <c r="I137" s="321"/>
      <c r="J137" s="321"/>
      <c r="K137" s="321"/>
      <c r="L137" s="321"/>
      <c r="M137" s="321"/>
      <c r="N137" s="321"/>
      <c r="O137" s="321"/>
      <c r="P137" s="2248"/>
    </row>
    <row r="138" spans="1:16" ht="12.75" customHeight="1" x14ac:dyDescent="0.2">
      <c r="A138" s="2275" t="s">
        <v>1010</v>
      </c>
      <c r="B138" s="2276"/>
      <c r="C138" s="2292"/>
      <c r="D138" s="2292"/>
      <c r="I138" s="321"/>
      <c r="J138" s="321"/>
      <c r="K138" s="321"/>
      <c r="L138" s="321"/>
      <c r="M138" s="321"/>
      <c r="N138" s="321"/>
      <c r="O138" s="321"/>
      <c r="P138" s="2248"/>
    </row>
    <row r="139" spans="1:16" ht="12.75" customHeight="1" x14ac:dyDescent="0.2">
      <c r="A139" s="2275" t="s">
        <v>1001</v>
      </c>
      <c r="B139" s="2276"/>
      <c r="C139" s="2292"/>
      <c r="D139" s="2292"/>
      <c r="I139" s="321"/>
      <c r="J139" s="321"/>
      <c r="K139" s="321"/>
      <c r="L139" s="321"/>
      <c r="M139" s="321"/>
      <c r="N139" s="321"/>
      <c r="O139" s="321"/>
      <c r="P139" s="2248"/>
    </row>
    <row r="140" spans="1:16" ht="12.75" customHeight="1" x14ac:dyDescent="0.2">
      <c r="A140" s="2275" t="s">
        <v>1013</v>
      </c>
      <c r="B140" s="2276"/>
      <c r="C140" s="2292"/>
      <c r="D140" s="2292"/>
      <c r="I140" s="321"/>
      <c r="J140" s="321"/>
      <c r="K140" s="321"/>
      <c r="L140" s="321"/>
      <c r="M140" s="321"/>
      <c r="N140" s="321"/>
      <c r="O140" s="321"/>
      <c r="P140" s="2248"/>
    </row>
    <row r="141" spans="1:16" ht="12.75" customHeight="1" x14ac:dyDescent="0.2">
      <c r="I141" s="321"/>
      <c r="J141" s="321"/>
      <c r="K141" s="321"/>
      <c r="L141" s="321"/>
      <c r="M141" s="321"/>
      <c r="N141" s="321"/>
      <c r="O141" s="321"/>
      <c r="P141" s="2248"/>
    </row>
    <row r="142" spans="1:16" ht="12.75" customHeight="1" x14ac:dyDescent="0.2">
      <c r="I142" s="321"/>
      <c r="J142" s="321"/>
      <c r="K142" s="321"/>
      <c r="L142" s="321"/>
      <c r="M142" s="321"/>
      <c r="N142" s="321"/>
      <c r="O142" s="321"/>
      <c r="P142" s="2248"/>
    </row>
    <row r="143" spans="1:16" ht="12.75" customHeight="1" x14ac:dyDescent="0.25">
      <c r="A143" s="2255"/>
      <c r="B143" s="2293"/>
      <c r="C143" s="2293"/>
      <c r="D143" s="2293"/>
      <c r="I143" s="321"/>
      <c r="J143" s="321"/>
      <c r="K143" s="321"/>
      <c r="L143" s="321"/>
      <c r="M143" s="321"/>
      <c r="N143" s="321"/>
      <c r="O143" s="321"/>
      <c r="P143" s="2248"/>
    </row>
    <row r="144" spans="1:16" ht="12.75" customHeight="1" x14ac:dyDescent="0.2">
      <c r="I144" s="321"/>
      <c r="J144" s="321"/>
      <c r="K144" s="321"/>
      <c r="L144" s="321"/>
      <c r="M144" s="321"/>
      <c r="N144" s="321"/>
      <c r="O144" s="321"/>
      <c r="P144" s="2248"/>
    </row>
    <row r="145" spans="1:16" ht="12.75" customHeight="1" x14ac:dyDescent="0.2">
      <c r="I145" s="321"/>
      <c r="J145" s="321"/>
      <c r="K145" s="321"/>
      <c r="L145" s="321"/>
      <c r="M145" s="321"/>
      <c r="N145" s="321"/>
      <c r="O145" s="321"/>
      <c r="P145" s="2248"/>
    </row>
    <row r="146" spans="1:16" ht="12.75" customHeight="1" x14ac:dyDescent="0.2">
      <c r="I146" s="321"/>
      <c r="J146" s="321"/>
      <c r="K146" s="321"/>
      <c r="L146" s="321"/>
      <c r="M146" s="321"/>
      <c r="N146" s="321"/>
      <c r="O146" s="321"/>
      <c r="P146" s="2248"/>
    </row>
    <row r="147" spans="1:16" ht="12.75" customHeight="1" x14ac:dyDescent="0.2">
      <c r="I147" s="321"/>
      <c r="J147" s="321"/>
      <c r="K147" s="321"/>
      <c r="L147" s="321"/>
      <c r="M147" s="321"/>
      <c r="N147" s="321"/>
      <c r="O147" s="321"/>
      <c r="P147" s="2248"/>
    </row>
    <row r="148" spans="1:16" ht="12.75" customHeight="1" x14ac:dyDescent="0.2">
      <c r="A148" s="640"/>
      <c r="I148" s="321"/>
      <c r="J148" s="321"/>
      <c r="K148" s="321"/>
      <c r="L148" s="321"/>
      <c r="M148" s="321"/>
      <c r="N148" s="321"/>
      <c r="O148" s="321"/>
      <c r="P148" s="2248"/>
    </row>
    <row r="149" spans="1:16" x14ac:dyDescent="0.2">
      <c r="A149" s="641"/>
      <c r="I149" s="321"/>
      <c r="J149" s="321"/>
      <c r="K149" s="321"/>
      <c r="L149" s="321"/>
      <c r="M149" s="321"/>
      <c r="N149" s="321"/>
      <c r="O149" s="321"/>
      <c r="P149" s="2248"/>
    </row>
    <row r="150" spans="1:16" x14ac:dyDescent="0.2">
      <c r="A150" s="641"/>
      <c r="I150" s="321"/>
      <c r="J150" s="321"/>
      <c r="K150" s="321"/>
      <c r="L150" s="321"/>
      <c r="M150" s="321"/>
      <c r="N150" s="321"/>
      <c r="O150" s="321"/>
      <c r="P150" s="2248"/>
    </row>
    <row r="151" spans="1:16" x14ac:dyDescent="0.2">
      <c r="A151" s="641"/>
      <c r="I151" s="321"/>
      <c r="J151" s="321"/>
      <c r="K151" s="321"/>
      <c r="L151" s="321"/>
      <c r="M151" s="321"/>
      <c r="N151" s="321"/>
      <c r="O151" s="321"/>
      <c r="P151" s="2248"/>
    </row>
    <row r="152" spans="1:16" x14ac:dyDescent="0.2">
      <c r="A152" s="641"/>
      <c r="I152" s="321"/>
      <c r="J152" s="321"/>
      <c r="K152" s="321"/>
      <c r="L152" s="321"/>
      <c r="M152" s="321"/>
      <c r="N152" s="321"/>
      <c r="O152" s="321"/>
      <c r="P152" s="2248"/>
    </row>
    <row r="153" spans="1:16" x14ac:dyDescent="0.2">
      <c r="A153" s="641"/>
      <c r="I153" s="321"/>
      <c r="J153" s="321"/>
      <c r="K153" s="321"/>
      <c r="L153" s="321"/>
      <c r="M153" s="321"/>
      <c r="N153" s="321"/>
      <c r="O153" s="321"/>
      <c r="P153" s="2248"/>
    </row>
    <row r="154" spans="1:16" x14ac:dyDescent="0.2">
      <c r="A154" s="641"/>
      <c r="I154" s="321"/>
      <c r="J154" s="321"/>
      <c r="K154" s="321"/>
      <c r="L154" s="321"/>
      <c r="M154" s="321"/>
      <c r="N154" s="321"/>
      <c r="O154" s="321"/>
      <c r="P154" s="2248"/>
    </row>
    <row r="155" spans="1:16" x14ac:dyDescent="0.2">
      <c r="A155" s="641"/>
      <c r="I155" s="321"/>
      <c r="J155" s="321"/>
      <c r="K155" s="321"/>
      <c r="L155" s="321"/>
      <c r="M155" s="321"/>
      <c r="N155" s="321"/>
      <c r="O155" s="321"/>
      <c r="P155" s="2248"/>
    </row>
    <row r="156" spans="1:16" x14ac:dyDescent="0.2">
      <c r="A156" s="641"/>
      <c r="I156" s="321"/>
      <c r="J156" s="321"/>
      <c r="K156" s="321"/>
      <c r="L156" s="321"/>
      <c r="M156" s="321"/>
      <c r="N156" s="321"/>
      <c r="O156" s="321"/>
      <c r="P156" s="2248"/>
    </row>
    <row r="157" spans="1:16" x14ac:dyDescent="0.2">
      <c r="A157" s="641"/>
      <c r="I157" s="321"/>
      <c r="J157" s="321"/>
      <c r="K157" s="321"/>
      <c r="L157" s="321"/>
      <c r="M157" s="321"/>
      <c r="N157" s="321"/>
      <c r="O157" s="321"/>
      <c r="P157" s="2248"/>
    </row>
    <row r="158" spans="1:16" x14ac:dyDescent="0.2">
      <c r="A158" s="641"/>
      <c r="I158" s="321"/>
      <c r="J158" s="321"/>
      <c r="K158" s="321"/>
      <c r="L158" s="321"/>
      <c r="M158" s="321"/>
      <c r="N158" s="321"/>
      <c r="O158" s="321"/>
      <c r="P158" s="2248"/>
    </row>
    <row r="159" spans="1:16" x14ac:dyDescent="0.2">
      <c r="A159" s="641"/>
      <c r="I159" s="321"/>
      <c r="J159" s="321"/>
      <c r="K159" s="321"/>
      <c r="L159" s="321"/>
      <c r="M159" s="321"/>
      <c r="N159" s="321"/>
      <c r="O159" s="321"/>
      <c r="P159" s="2248"/>
    </row>
    <row r="160" spans="1:16" x14ac:dyDescent="0.2">
      <c r="A160" s="641"/>
      <c r="I160" s="321"/>
      <c r="J160" s="321"/>
      <c r="K160" s="321"/>
      <c r="L160" s="321"/>
      <c r="M160" s="321"/>
      <c r="N160" s="321"/>
      <c r="O160" s="321"/>
      <c r="P160" s="2248"/>
    </row>
    <row r="161" spans="1:16" x14ac:dyDescent="0.2">
      <c r="A161" s="641"/>
      <c r="I161" s="321"/>
      <c r="J161" s="321"/>
      <c r="K161" s="321"/>
      <c r="L161" s="321"/>
      <c r="M161" s="321"/>
      <c r="N161" s="321"/>
      <c r="O161" s="321"/>
      <c r="P161" s="2248"/>
    </row>
    <row r="162" spans="1:16" x14ac:dyDescent="0.2">
      <c r="A162" s="641"/>
      <c r="I162" s="321"/>
      <c r="J162" s="321"/>
      <c r="K162" s="321"/>
      <c r="L162" s="321"/>
      <c r="M162" s="321"/>
      <c r="N162" s="321"/>
      <c r="O162" s="321"/>
      <c r="P162" s="2248"/>
    </row>
    <row r="163" spans="1:16" x14ac:dyDescent="0.2">
      <c r="A163" s="641"/>
      <c r="I163" s="321"/>
      <c r="J163" s="321"/>
      <c r="K163" s="321"/>
      <c r="L163" s="321"/>
      <c r="M163" s="321"/>
      <c r="N163" s="321"/>
      <c r="O163" s="321"/>
      <c r="P163" s="2248"/>
    </row>
    <row r="164" spans="1:16" x14ac:dyDescent="0.2">
      <c r="A164" s="641"/>
      <c r="I164" s="321"/>
      <c r="J164" s="321"/>
      <c r="K164" s="321"/>
      <c r="L164" s="321"/>
      <c r="M164" s="321"/>
      <c r="N164" s="321"/>
      <c r="O164" s="321"/>
      <c r="P164" s="2248"/>
    </row>
    <row r="165" spans="1:16" x14ac:dyDescent="0.2">
      <c r="A165" s="641"/>
      <c r="I165" s="321"/>
      <c r="J165" s="321"/>
      <c r="K165" s="321"/>
      <c r="L165" s="321"/>
      <c r="M165" s="321"/>
      <c r="N165" s="321"/>
      <c r="O165" s="321"/>
      <c r="P165" s="2248"/>
    </row>
    <row r="166" spans="1:16" x14ac:dyDescent="0.2">
      <c r="A166" s="641"/>
      <c r="I166" s="321"/>
      <c r="J166" s="321"/>
      <c r="K166" s="321"/>
      <c r="L166" s="321"/>
      <c r="M166" s="321"/>
      <c r="N166" s="321"/>
      <c r="O166" s="321"/>
      <c r="P166" s="2248"/>
    </row>
    <row r="167" spans="1:16" x14ac:dyDescent="0.2">
      <c r="A167" s="641"/>
      <c r="I167" s="321"/>
      <c r="J167" s="321"/>
      <c r="K167" s="321"/>
      <c r="L167" s="321"/>
      <c r="M167" s="321"/>
      <c r="N167" s="321"/>
      <c r="O167" s="321"/>
      <c r="P167" s="2248"/>
    </row>
    <row r="168" spans="1:16" x14ac:dyDescent="0.2">
      <c r="A168" s="641"/>
      <c r="I168" s="321"/>
      <c r="J168" s="321"/>
      <c r="K168" s="321"/>
      <c r="L168" s="321"/>
      <c r="M168" s="321"/>
      <c r="N168" s="321"/>
      <c r="O168" s="321"/>
      <c r="P168" s="2248"/>
    </row>
    <row r="169" spans="1:16" x14ac:dyDescent="0.2">
      <c r="A169" s="641"/>
      <c r="I169" s="321"/>
      <c r="J169" s="321"/>
      <c r="K169" s="321"/>
      <c r="L169" s="321"/>
      <c r="M169" s="321"/>
      <c r="N169" s="321"/>
      <c r="O169" s="321"/>
      <c r="P169" s="2248"/>
    </row>
    <row r="170" spans="1:16" x14ac:dyDescent="0.2">
      <c r="A170" s="641"/>
      <c r="I170" s="321"/>
      <c r="J170" s="321"/>
      <c r="K170" s="321"/>
      <c r="L170" s="321"/>
      <c r="M170" s="321"/>
      <c r="N170" s="321"/>
      <c r="O170" s="321"/>
      <c r="P170" s="2248"/>
    </row>
    <row r="171" spans="1:16" x14ac:dyDescent="0.2">
      <c r="A171" s="641"/>
      <c r="I171" s="321"/>
      <c r="J171" s="321"/>
      <c r="K171" s="321"/>
      <c r="L171" s="321"/>
      <c r="M171" s="321"/>
      <c r="N171" s="321"/>
      <c r="O171" s="321"/>
      <c r="P171" s="2248"/>
    </row>
    <row r="172" spans="1:16" x14ac:dyDescent="0.2">
      <c r="A172" s="641"/>
      <c r="I172" s="321"/>
      <c r="J172" s="321"/>
      <c r="K172" s="321"/>
      <c r="L172" s="321"/>
      <c r="M172" s="321"/>
      <c r="N172" s="321"/>
      <c r="O172" s="321"/>
      <c r="P172" s="2248"/>
    </row>
    <row r="173" spans="1:16" x14ac:dyDescent="0.2">
      <c r="A173" s="641"/>
      <c r="I173" s="321"/>
      <c r="J173" s="321"/>
      <c r="K173" s="321"/>
      <c r="L173" s="321"/>
      <c r="M173" s="321"/>
      <c r="N173" s="321"/>
      <c r="O173" s="321"/>
      <c r="P173" s="2248"/>
    </row>
    <row r="174" spans="1:16" x14ac:dyDescent="0.2">
      <c r="A174" s="641"/>
      <c r="I174" s="321"/>
      <c r="J174" s="321"/>
      <c r="K174" s="321"/>
      <c r="L174" s="321"/>
      <c r="M174" s="321"/>
      <c r="N174" s="321"/>
      <c r="O174" s="321"/>
      <c r="P174" s="2248"/>
    </row>
    <row r="175" spans="1:16" x14ac:dyDescent="0.2">
      <c r="I175" s="321"/>
      <c r="J175" s="321"/>
      <c r="K175" s="321"/>
      <c r="L175" s="321"/>
      <c r="M175" s="321"/>
      <c r="N175" s="321"/>
      <c r="O175" s="321"/>
      <c r="P175" s="2248"/>
    </row>
    <row r="176" spans="1:16" x14ac:dyDescent="0.2">
      <c r="I176" s="321"/>
      <c r="J176" s="321"/>
      <c r="K176" s="321"/>
      <c r="L176" s="321"/>
      <c r="M176" s="321"/>
      <c r="N176" s="321"/>
      <c r="O176" s="321"/>
      <c r="P176" s="2248"/>
    </row>
    <row r="177" spans="9:16" x14ac:dyDescent="0.2">
      <c r="I177" s="321"/>
      <c r="J177" s="321"/>
      <c r="K177" s="321"/>
      <c r="L177" s="321"/>
      <c r="M177" s="321"/>
      <c r="N177" s="321"/>
      <c r="O177" s="321"/>
      <c r="P177" s="2248"/>
    </row>
    <row r="178" spans="9:16" x14ac:dyDescent="0.2">
      <c r="I178" s="321"/>
      <c r="J178" s="321"/>
      <c r="K178" s="321"/>
      <c r="L178" s="321"/>
      <c r="M178" s="321"/>
      <c r="N178" s="321"/>
      <c r="O178" s="321"/>
      <c r="P178" s="2248"/>
    </row>
    <row r="179" spans="9:16" x14ac:dyDescent="0.2">
      <c r="I179" s="321"/>
      <c r="J179" s="321"/>
      <c r="K179" s="321"/>
      <c r="L179" s="321"/>
      <c r="M179" s="321"/>
      <c r="N179" s="321"/>
      <c r="O179" s="321"/>
      <c r="P179" s="2248"/>
    </row>
    <row r="180" spans="9:16" x14ac:dyDescent="0.2">
      <c r="I180" s="321"/>
      <c r="J180" s="321"/>
      <c r="K180" s="321"/>
      <c r="L180" s="321"/>
      <c r="M180" s="321"/>
      <c r="N180" s="321"/>
      <c r="O180" s="321"/>
      <c r="P180" s="2248"/>
    </row>
    <row r="181" spans="9:16" x14ac:dyDescent="0.2">
      <c r="I181" s="321"/>
      <c r="J181" s="321"/>
      <c r="K181" s="321"/>
      <c r="L181" s="321"/>
      <c r="M181" s="321"/>
      <c r="N181" s="321"/>
      <c r="O181" s="321"/>
      <c r="P181" s="2248"/>
    </row>
    <row r="182" spans="9:16" x14ac:dyDescent="0.2">
      <c r="I182" s="321"/>
      <c r="J182" s="321"/>
      <c r="K182" s="321"/>
      <c r="L182" s="321"/>
      <c r="M182" s="321"/>
      <c r="N182" s="321"/>
      <c r="O182" s="321"/>
      <c r="P182" s="2248"/>
    </row>
    <row r="183" spans="9:16" x14ac:dyDescent="0.2">
      <c r="I183" s="321"/>
      <c r="J183" s="321"/>
      <c r="K183" s="321"/>
      <c r="L183" s="321"/>
      <c r="M183" s="321"/>
      <c r="N183" s="321"/>
      <c r="O183" s="321"/>
      <c r="P183" s="2248"/>
    </row>
    <row r="184" spans="9:16" x14ac:dyDescent="0.2">
      <c r="I184" s="321"/>
      <c r="J184" s="321"/>
      <c r="K184" s="321"/>
      <c r="L184" s="321"/>
      <c r="M184" s="321"/>
      <c r="N184" s="321"/>
      <c r="O184" s="321"/>
      <c r="P184" s="2248"/>
    </row>
    <row r="185" spans="9:16" x14ac:dyDescent="0.2">
      <c r="I185" s="321"/>
      <c r="J185" s="321"/>
      <c r="K185" s="321"/>
      <c r="L185" s="321"/>
      <c r="M185" s="321"/>
      <c r="N185" s="321"/>
      <c r="O185" s="321"/>
      <c r="P185" s="2248"/>
    </row>
    <row r="186" spans="9:16" x14ac:dyDescent="0.2">
      <c r="I186" s="321"/>
      <c r="J186" s="321"/>
      <c r="K186" s="321"/>
      <c r="L186" s="321"/>
      <c r="M186" s="321"/>
      <c r="N186" s="321"/>
      <c r="O186" s="321"/>
      <c r="P186" s="2248"/>
    </row>
    <row r="187" spans="9:16" x14ac:dyDescent="0.2">
      <c r="I187" s="321"/>
      <c r="J187" s="321"/>
      <c r="K187" s="321"/>
      <c r="L187" s="321"/>
      <c r="M187" s="321"/>
      <c r="N187" s="321"/>
      <c r="O187" s="321"/>
      <c r="P187" s="2248"/>
    </row>
    <row r="188" spans="9:16" x14ac:dyDescent="0.2">
      <c r="I188" s="321"/>
      <c r="J188" s="321"/>
      <c r="K188" s="321"/>
      <c r="L188" s="321"/>
      <c r="M188" s="321"/>
      <c r="N188" s="321"/>
      <c r="O188" s="321"/>
      <c r="P188" s="2248"/>
    </row>
    <row r="189" spans="9:16" x14ac:dyDescent="0.2">
      <c r="I189" s="321"/>
      <c r="J189" s="321"/>
      <c r="K189" s="321"/>
      <c r="L189" s="321"/>
      <c r="M189" s="321"/>
      <c r="N189" s="321"/>
      <c r="O189" s="321"/>
      <c r="P189" s="2248"/>
    </row>
    <row r="190" spans="9:16" x14ac:dyDescent="0.2">
      <c r="I190" s="321"/>
      <c r="J190" s="321"/>
      <c r="K190" s="321"/>
      <c r="L190" s="321"/>
      <c r="M190" s="321"/>
      <c r="N190" s="321"/>
      <c r="O190" s="321"/>
      <c r="P190" s="2248"/>
    </row>
    <row r="191" spans="9:16" x14ac:dyDescent="0.2">
      <c r="I191" s="321"/>
      <c r="J191" s="321"/>
      <c r="K191" s="321"/>
      <c r="L191" s="321"/>
      <c r="M191" s="321"/>
      <c r="N191" s="321"/>
      <c r="O191" s="321"/>
      <c r="P191" s="2248"/>
    </row>
    <row r="192" spans="9:16" x14ac:dyDescent="0.2">
      <c r="I192" s="321"/>
      <c r="J192" s="321"/>
      <c r="K192" s="321"/>
      <c r="L192" s="321"/>
      <c r="M192" s="321"/>
      <c r="N192" s="321"/>
      <c r="O192" s="321"/>
      <c r="P192" s="2248"/>
    </row>
    <row r="193" spans="9:16" x14ac:dyDescent="0.2">
      <c r="I193" s="321"/>
      <c r="J193" s="321"/>
      <c r="K193" s="321"/>
      <c r="L193" s="321"/>
      <c r="M193" s="321"/>
      <c r="N193" s="321"/>
      <c r="O193" s="321"/>
      <c r="P193" s="2248"/>
    </row>
    <row r="194" spans="9:16" x14ac:dyDescent="0.2">
      <c r="I194" s="321"/>
      <c r="J194" s="321"/>
      <c r="K194" s="321"/>
      <c r="L194" s="321"/>
      <c r="M194" s="321"/>
      <c r="N194" s="321"/>
      <c r="O194" s="321"/>
      <c r="P194" s="2248"/>
    </row>
    <row r="195" spans="9:16" x14ac:dyDescent="0.2">
      <c r="I195" s="321"/>
      <c r="J195" s="321"/>
      <c r="K195" s="321"/>
      <c r="L195" s="321"/>
      <c r="M195" s="321"/>
      <c r="N195" s="321"/>
      <c r="O195" s="321"/>
      <c r="P195" s="2248"/>
    </row>
    <row r="196" spans="9:16" x14ac:dyDescent="0.2">
      <c r="I196" s="321"/>
      <c r="J196" s="321"/>
      <c r="K196" s="321"/>
      <c r="L196" s="321"/>
      <c r="M196" s="321"/>
      <c r="N196" s="321"/>
      <c r="O196" s="321"/>
      <c r="P196" s="2248"/>
    </row>
    <row r="197" spans="9:16" x14ac:dyDescent="0.2">
      <c r="I197" s="321"/>
      <c r="J197" s="321"/>
      <c r="K197" s="321"/>
      <c r="L197" s="321"/>
      <c r="M197" s="321"/>
      <c r="N197" s="321"/>
      <c r="O197" s="321"/>
      <c r="P197" s="2248"/>
    </row>
    <row r="198" spans="9:16" x14ac:dyDescent="0.2">
      <c r="I198" s="321"/>
      <c r="J198" s="321"/>
      <c r="K198" s="321"/>
      <c r="L198" s="321"/>
      <c r="M198" s="321"/>
      <c r="N198" s="321"/>
      <c r="O198" s="321"/>
      <c r="P198" s="2248"/>
    </row>
    <row r="199" spans="9:16" x14ac:dyDescent="0.2">
      <c r="I199" s="321"/>
      <c r="J199" s="321"/>
      <c r="K199" s="321"/>
      <c r="L199" s="321"/>
      <c r="M199" s="321"/>
      <c r="N199" s="321"/>
      <c r="O199" s="321"/>
      <c r="P199" s="2248"/>
    </row>
    <row r="200" spans="9:16" x14ac:dyDescent="0.2">
      <c r="I200" s="321"/>
      <c r="J200" s="321"/>
      <c r="K200" s="321"/>
      <c r="L200" s="321"/>
      <c r="M200" s="321"/>
      <c r="N200" s="321"/>
      <c r="O200" s="321"/>
      <c r="P200" s="2248"/>
    </row>
    <row r="201" spans="9:16" x14ac:dyDescent="0.2">
      <c r="I201" s="321"/>
      <c r="J201" s="321"/>
      <c r="K201" s="321"/>
      <c r="L201" s="321"/>
      <c r="M201" s="321"/>
      <c r="N201" s="321"/>
      <c r="O201" s="321"/>
      <c r="P201" s="2248"/>
    </row>
    <row r="202" spans="9:16" x14ac:dyDescent="0.2">
      <c r="I202" s="321"/>
      <c r="J202" s="321"/>
      <c r="K202" s="321"/>
      <c r="L202" s="321"/>
      <c r="M202" s="321"/>
      <c r="N202" s="321"/>
      <c r="O202" s="321"/>
      <c r="P202" s="2248"/>
    </row>
    <row r="203" spans="9:16" x14ac:dyDescent="0.2">
      <c r="I203" s="321"/>
      <c r="J203" s="321"/>
      <c r="K203" s="321"/>
      <c r="L203" s="321"/>
      <c r="M203" s="321"/>
      <c r="N203" s="321"/>
      <c r="O203" s="321"/>
      <c r="P203" s="2248"/>
    </row>
    <row r="204" spans="9:16" x14ac:dyDescent="0.2">
      <c r="I204" s="321"/>
      <c r="J204" s="321"/>
      <c r="K204" s="321"/>
      <c r="L204" s="321"/>
      <c r="M204" s="321"/>
      <c r="N204" s="321"/>
      <c r="O204" s="321"/>
      <c r="P204" s="2248"/>
    </row>
    <row r="205" spans="9:16" x14ac:dyDescent="0.2">
      <c r="I205" s="321"/>
      <c r="J205" s="321"/>
      <c r="K205" s="321"/>
      <c r="L205" s="321"/>
      <c r="M205" s="321"/>
      <c r="N205" s="321"/>
      <c r="O205" s="321"/>
      <c r="P205" s="2248"/>
    </row>
    <row r="206" spans="9:16" x14ac:dyDescent="0.2">
      <c r="I206" s="321"/>
      <c r="J206" s="321"/>
      <c r="K206" s="321"/>
      <c r="L206" s="321"/>
      <c r="M206" s="321"/>
      <c r="N206" s="321"/>
      <c r="O206" s="321"/>
      <c r="P206" s="2248"/>
    </row>
    <row r="207" spans="9:16" x14ac:dyDescent="0.2">
      <c r="I207" s="321"/>
      <c r="J207" s="321"/>
      <c r="K207" s="321"/>
      <c r="L207" s="321"/>
      <c r="M207" s="321"/>
      <c r="N207" s="321"/>
      <c r="O207" s="321"/>
      <c r="P207" s="2248"/>
    </row>
    <row r="208" spans="9:16" x14ac:dyDescent="0.2">
      <c r="I208" s="321"/>
      <c r="J208" s="321"/>
      <c r="K208" s="321"/>
      <c r="L208" s="321"/>
      <c r="M208" s="321"/>
      <c r="N208" s="321"/>
      <c r="O208" s="321"/>
      <c r="P208" s="2248"/>
    </row>
    <row r="209" spans="9:16" x14ac:dyDescent="0.2">
      <c r="I209" s="321"/>
      <c r="J209" s="321"/>
      <c r="K209" s="321"/>
      <c r="L209" s="321"/>
      <c r="M209" s="321"/>
      <c r="N209" s="321"/>
      <c r="O209" s="321"/>
      <c r="P209" s="2248"/>
    </row>
    <row r="210" spans="9:16" x14ac:dyDescent="0.2">
      <c r="I210" s="321"/>
      <c r="J210" s="321"/>
      <c r="K210" s="321"/>
      <c r="L210" s="321"/>
      <c r="M210" s="321"/>
      <c r="N210" s="321"/>
      <c r="O210" s="321"/>
      <c r="P210" s="2248"/>
    </row>
    <row r="211" spans="9:16" x14ac:dyDescent="0.2">
      <c r="I211" s="321"/>
      <c r="J211" s="321"/>
      <c r="K211" s="321"/>
      <c r="L211" s="321"/>
      <c r="M211" s="321"/>
      <c r="N211" s="321"/>
      <c r="O211" s="321"/>
      <c r="P211" s="2248"/>
    </row>
    <row r="212" spans="9:16" x14ac:dyDescent="0.2">
      <c r="I212" s="321"/>
      <c r="J212" s="321"/>
      <c r="K212" s="321"/>
      <c r="L212" s="321"/>
      <c r="M212" s="321"/>
      <c r="N212" s="321"/>
      <c r="O212" s="321"/>
      <c r="P212" s="2248"/>
    </row>
    <row r="213" spans="9:16" x14ac:dyDescent="0.2">
      <c r="I213" s="321"/>
      <c r="J213" s="321"/>
      <c r="K213" s="321"/>
      <c r="L213" s="321"/>
      <c r="M213" s="321"/>
      <c r="N213" s="321"/>
      <c r="O213" s="321"/>
      <c r="P213" s="2248"/>
    </row>
    <row r="214" spans="9:16" x14ac:dyDescent="0.2">
      <c r="I214" s="321"/>
      <c r="J214" s="321"/>
      <c r="K214" s="321"/>
      <c r="L214" s="321"/>
      <c r="M214" s="321"/>
      <c r="N214" s="321"/>
      <c r="O214" s="321"/>
      <c r="P214" s="2248"/>
    </row>
    <row r="215" spans="9:16" x14ac:dyDescent="0.2">
      <c r="I215" s="321"/>
      <c r="J215" s="321"/>
      <c r="K215" s="321"/>
      <c r="L215" s="321"/>
      <c r="M215" s="321"/>
      <c r="N215" s="321"/>
      <c r="O215" s="321"/>
      <c r="P215" s="2248"/>
    </row>
    <row r="216" spans="9:16" x14ac:dyDescent="0.2">
      <c r="I216" s="321"/>
      <c r="J216" s="321"/>
      <c r="K216" s="321"/>
      <c r="L216" s="321"/>
      <c r="M216" s="321"/>
      <c r="N216" s="321"/>
      <c r="O216" s="321"/>
      <c r="P216" s="2248"/>
    </row>
    <row r="217" spans="9:16" x14ac:dyDescent="0.2">
      <c r="I217" s="321"/>
      <c r="J217" s="321"/>
      <c r="K217" s="321"/>
      <c r="L217" s="321"/>
      <c r="M217" s="321"/>
      <c r="N217" s="321"/>
      <c r="O217" s="321"/>
      <c r="P217" s="2248"/>
    </row>
    <row r="218" spans="9:16" x14ac:dyDescent="0.2">
      <c r="I218" s="321"/>
      <c r="J218" s="321"/>
      <c r="K218" s="321"/>
      <c r="L218" s="321"/>
      <c r="M218" s="321"/>
      <c r="N218" s="321"/>
      <c r="O218" s="321"/>
      <c r="P218" s="2248"/>
    </row>
    <row r="219" spans="9:16" x14ac:dyDescent="0.2">
      <c r="I219" s="321"/>
      <c r="J219" s="321"/>
      <c r="K219" s="321"/>
      <c r="L219" s="321"/>
      <c r="M219" s="321"/>
      <c r="N219" s="321"/>
      <c r="O219" s="321"/>
      <c r="P219" s="2248"/>
    </row>
    <row r="220" spans="9:16" x14ac:dyDescent="0.2">
      <c r="I220" s="321"/>
      <c r="J220" s="321"/>
      <c r="K220" s="321"/>
      <c r="L220" s="321"/>
      <c r="M220" s="321"/>
      <c r="N220" s="321"/>
      <c r="O220" s="321"/>
      <c r="P220" s="2248"/>
    </row>
    <row r="221" spans="9:16" x14ac:dyDescent="0.2">
      <c r="I221" s="321"/>
      <c r="J221" s="321"/>
      <c r="K221" s="321"/>
      <c r="L221" s="321"/>
      <c r="M221" s="321"/>
      <c r="N221" s="321"/>
      <c r="O221" s="321"/>
      <c r="P221" s="2248"/>
    </row>
    <row r="222" spans="9:16" x14ac:dyDescent="0.2">
      <c r="I222" s="321"/>
      <c r="J222" s="321"/>
      <c r="K222" s="321"/>
      <c r="L222" s="321"/>
      <c r="M222" s="321"/>
      <c r="N222" s="321"/>
      <c r="O222" s="321"/>
      <c r="P222" s="2248"/>
    </row>
    <row r="223" spans="9:16" x14ac:dyDescent="0.2">
      <c r="I223" s="321"/>
      <c r="J223" s="321"/>
      <c r="K223" s="321"/>
      <c r="L223" s="321"/>
      <c r="M223" s="321"/>
      <c r="N223" s="321"/>
      <c r="O223" s="321"/>
      <c r="P223" s="2248"/>
    </row>
    <row r="224" spans="9:16" x14ac:dyDescent="0.2">
      <c r="I224" s="321"/>
      <c r="J224" s="321"/>
      <c r="K224" s="321"/>
      <c r="L224" s="321"/>
      <c r="M224" s="321"/>
      <c r="N224" s="321"/>
      <c r="O224" s="321"/>
      <c r="P224" s="2248"/>
    </row>
    <row r="225" spans="9:16" x14ac:dyDescent="0.2">
      <c r="I225" s="321"/>
      <c r="J225" s="321"/>
      <c r="K225" s="321"/>
      <c r="L225" s="321"/>
      <c r="M225" s="321"/>
      <c r="N225" s="321"/>
      <c r="O225" s="321"/>
      <c r="P225" s="2248"/>
    </row>
    <row r="226" spans="9:16" x14ac:dyDescent="0.2">
      <c r="I226" s="321"/>
      <c r="J226" s="321"/>
      <c r="K226" s="321"/>
      <c r="L226" s="321"/>
      <c r="M226" s="321"/>
      <c r="N226" s="321"/>
      <c r="O226" s="321"/>
      <c r="P226" s="2248"/>
    </row>
    <row r="227" spans="9:16" x14ac:dyDescent="0.2">
      <c r="I227" s="321"/>
      <c r="J227" s="321"/>
      <c r="K227" s="321"/>
      <c r="L227" s="321"/>
      <c r="M227" s="321"/>
      <c r="N227" s="321"/>
      <c r="O227" s="321"/>
      <c r="P227" s="2248"/>
    </row>
    <row r="228" spans="9:16" x14ac:dyDescent="0.2">
      <c r="I228" s="321"/>
      <c r="J228" s="321"/>
      <c r="K228" s="321"/>
      <c r="L228" s="321"/>
      <c r="M228" s="321"/>
      <c r="N228" s="321"/>
      <c r="O228" s="321"/>
      <c r="P228" s="2248"/>
    </row>
    <row r="229" spans="9:16" x14ac:dyDescent="0.2">
      <c r="I229" s="321"/>
      <c r="J229" s="321"/>
      <c r="K229" s="321"/>
      <c r="L229" s="321"/>
      <c r="M229" s="321"/>
      <c r="N229" s="321"/>
      <c r="O229" s="321"/>
      <c r="P229" s="2248"/>
    </row>
    <row r="230" spans="9:16" x14ac:dyDescent="0.2">
      <c r="I230" s="321"/>
      <c r="J230" s="321"/>
      <c r="K230" s="321"/>
      <c r="L230" s="321"/>
      <c r="M230" s="321"/>
      <c r="N230" s="321"/>
      <c r="O230" s="321"/>
      <c r="P230" s="2248"/>
    </row>
    <row r="231" spans="9:16" x14ac:dyDescent="0.2">
      <c r="I231" s="321"/>
      <c r="J231" s="321"/>
      <c r="K231" s="321"/>
      <c r="L231" s="321"/>
      <c r="M231" s="321"/>
      <c r="N231" s="321"/>
      <c r="O231" s="321"/>
      <c r="P231" s="2248"/>
    </row>
    <row r="232" spans="9:16" x14ac:dyDescent="0.2">
      <c r="I232" s="321"/>
      <c r="J232" s="321"/>
      <c r="K232" s="321"/>
      <c r="L232" s="321"/>
      <c r="M232" s="321"/>
      <c r="N232" s="321"/>
      <c r="O232" s="321"/>
      <c r="P232" s="2248"/>
    </row>
    <row r="233" spans="9:16" x14ac:dyDescent="0.2">
      <c r="I233" s="321"/>
      <c r="J233" s="321"/>
      <c r="K233" s="321"/>
      <c r="L233" s="321"/>
      <c r="M233" s="321"/>
      <c r="N233" s="321"/>
      <c r="O233" s="321"/>
      <c r="P233" s="2248"/>
    </row>
    <row r="234" spans="9:16" x14ac:dyDescent="0.2">
      <c r="I234" s="321"/>
      <c r="J234" s="321"/>
      <c r="K234" s="321"/>
      <c r="L234" s="321"/>
      <c r="M234" s="321"/>
      <c r="N234" s="321"/>
      <c r="O234" s="321"/>
      <c r="P234" s="2248"/>
    </row>
    <row r="235" spans="9:16" x14ac:dyDescent="0.2">
      <c r="I235" s="321"/>
      <c r="J235" s="321"/>
      <c r="K235" s="321"/>
      <c r="L235" s="321"/>
      <c r="M235" s="321"/>
      <c r="N235" s="321"/>
      <c r="O235" s="321"/>
      <c r="P235" s="2248"/>
    </row>
    <row r="236" spans="9:16" x14ac:dyDescent="0.2">
      <c r="I236" s="321"/>
      <c r="J236" s="321"/>
      <c r="K236" s="321"/>
      <c r="L236" s="321"/>
      <c r="M236" s="321"/>
      <c r="N236" s="321"/>
      <c r="O236" s="321"/>
      <c r="P236" s="2248"/>
    </row>
    <row r="237" spans="9:16" x14ac:dyDescent="0.2">
      <c r="I237" s="321"/>
      <c r="J237" s="321"/>
      <c r="K237" s="321"/>
      <c r="L237" s="321"/>
      <c r="M237" s="321"/>
      <c r="N237" s="321"/>
      <c r="O237" s="321"/>
      <c r="P237" s="2248"/>
    </row>
    <row r="238" spans="9:16" x14ac:dyDescent="0.2">
      <c r="I238" s="321"/>
      <c r="J238" s="321"/>
      <c r="K238" s="321"/>
      <c r="L238" s="321"/>
      <c r="M238" s="321"/>
      <c r="N238" s="321"/>
      <c r="O238" s="321"/>
      <c r="P238" s="2248"/>
    </row>
    <row r="239" spans="9:16" x14ac:dyDescent="0.2">
      <c r="I239" s="321"/>
      <c r="J239" s="321"/>
      <c r="K239" s="321"/>
      <c r="L239" s="321"/>
      <c r="M239" s="321"/>
      <c r="N239" s="321"/>
      <c r="O239" s="321"/>
      <c r="P239" s="2248"/>
    </row>
    <row r="240" spans="9:16" x14ac:dyDescent="0.2">
      <c r="I240" s="321"/>
      <c r="J240" s="321"/>
      <c r="K240" s="321"/>
      <c r="L240" s="321"/>
      <c r="M240" s="321"/>
      <c r="N240" s="321"/>
      <c r="O240" s="321"/>
      <c r="P240" s="2248"/>
    </row>
    <row r="241" spans="9:16" x14ac:dyDescent="0.2">
      <c r="I241" s="321"/>
      <c r="J241" s="321"/>
      <c r="K241" s="321"/>
      <c r="L241" s="321"/>
      <c r="M241" s="321"/>
      <c r="N241" s="321"/>
      <c r="O241" s="321"/>
      <c r="P241" s="2248"/>
    </row>
    <row r="242" spans="9:16" x14ac:dyDescent="0.2">
      <c r="I242" s="321"/>
      <c r="J242" s="321"/>
      <c r="K242" s="321"/>
      <c r="L242" s="321"/>
      <c r="M242" s="321"/>
      <c r="N242" s="321"/>
      <c r="O242" s="321"/>
      <c r="P242" s="2248"/>
    </row>
    <row r="243" spans="9:16" x14ac:dyDescent="0.2">
      <c r="I243" s="321"/>
      <c r="J243" s="321"/>
      <c r="K243" s="321"/>
      <c r="L243" s="321"/>
      <c r="M243" s="321"/>
      <c r="N243" s="321"/>
      <c r="O243" s="321"/>
      <c r="P243" s="2248"/>
    </row>
    <row r="244" spans="9:16" x14ac:dyDescent="0.2">
      <c r="I244" s="321"/>
      <c r="J244" s="321"/>
      <c r="K244" s="321"/>
      <c r="L244" s="321"/>
      <c r="M244" s="321"/>
      <c r="N244" s="321"/>
      <c r="O244" s="321"/>
      <c r="P244" s="2248"/>
    </row>
    <row r="245" spans="9:16" x14ac:dyDescent="0.2">
      <c r="I245" s="321"/>
      <c r="J245" s="321"/>
      <c r="K245" s="321"/>
      <c r="L245" s="321"/>
      <c r="M245" s="321"/>
      <c r="N245" s="321"/>
      <c r="O245" s="321"/>
      <c r="P245" s="2248"/>
    </row>
    <row r="246" spans="9:16" x14ac:dyDescent="0.2">
      <c r="I246" s="321"/>
      <c r="J246" s="321"/>
      <c r="K246" s="321"/>
      <c r="L246" s="321"/>
      <c r="M246" s="321"/>
      <c r="N246" s="321"/>
      <c r="O246" s="321"/>
      <c r="P246" s="2248"/>
    </row>
    <row r="247" spans="9:16" x14ac:dyDescent="0.2">
      <c r="I247" s="321"/>
      <c r="J247" s="321"/>
      <c r="K247" s="321"/>
      <c r="L247" s="321"/>
      <c r="M247" s="321"/>
      <c r="N247" s="321"/>
      <c r="O247" s="321"/>
      <c r="P247" s="2248"/>
    </row>
    <row r="248" spans="9:16" x14ac:dyDescent="0.2">
      <c r="I248" s="321"/>
      <c r="J248" s="321"/>
      <c r="K248" s="321"/>
      <c r="L248" s="321"/>
      <c r="M248" s="321"/>
      <c r="N248" s="321"/>
      <c r="O248" s="321"/>
      <c r="P248" s="2248"/>
    </row>
    <row r="249" spans="9:16" x14ac:dyDescent="0.2">
      <c r="I249" s="321"/>
      <c r="J249" s="321"/>
      <c r="K249" s="321"/>
      <c r="L249" s="321"/>
      <c r="M249" s="321"/>
      <c r="N249" s="321"/>
      <c r="O249" s="321"/>
      <c r="P249" s="2248"/>
    </row>
    <row r="250" spans="9:16" x14ac:dyDescent="0.2">
      <c r="I250" s="321"/>
      <c r="J250" s="321"/>
      <c r="K250" s="321"/>
      <c r="L250" s="321"/>
      <c r="M250" s="321"/>
      <c r="N250" s="321"/>
      <c r="O250" s="321"/>
      <c r="P250" s="2248"/>
    </row>
    <row r="251" spans="9:16" x14ac:dyDescent="0.2">
      <c r="I251" s="321"/>
      <c r="J251" s="321"/>
      <c r="K251" s="321"/>
      <c r="L251" s="321"/>
      <c r="M251" s="321"/>
      <c r="N251" s="321"/>
      <c r="O251" s="321"/>
      <c r="P251" s="2248"/>
    </row>
    <row r="252" spans="9:16" x14ac:dyDescent="0.2">
      <c r="I252" s="321"/>
      <c r="J252" s="321"/>
      <c r="K252" s="321"/>
      <c r="L252" s="321"/>
      <c r="M252" s="321"/>
      <c r="N252" s="321"/>
      <c r="O252" s="321"/>
      <c r="P252" s="2248"/>
    </row>
    <row r="253" spans="9:16" x14ac:dyDescent="0.2">
      <c r="I253" s="321"/>
      <c r="J253" s="321"/>
      <c r="K253" s="321"/>
      <c r="L253" s="321"/>
      <c r="M253" s="321"/>
      <c r="N253" s="321"/>
      <c r="O253" s="321"/>
      <c r="P253" s="2248"/>
    </row>
    <row r="254" spans="9:16" x14ac:dyDescent="0.2">
      <c r="I254" s="321"/>
      <c r="J254" s="321"/>
      <c r="K254" s="321"/>
      <c r="L254" s="321"/>
      <c r="M254" s="321"/>
      <c r="N254" s="321"/>
      <c r="O254" s="321"/>
      <c r="P254" s="2248"/>
    </row>
    <row r="255" spans="9:16" x14ac:dyDescent="0.2">
      <c r="I255" s="321"/>
      <c r="J255" s="321"/>
      <c r="K255" s="321"/>
      <c r="L255" s="321"/>
      <c r="M255" s="321"/>
      <c r="N255" s="321"/>
      <c r="O255" s="321"/>
      <c r="P255" s="2248"/>
    </row>
    <row r="256" spans="9:16" x14ac:dyDescent="0.2">
      <c r="I256" s="321"/>
      <c r="J256" s="321"/>
      <c r="K256" s="321"/>
      <c r="L256" s="321"/>
      <c r="M256" s="321"/>
      <c r="N256" s="321"/>
      <c r="O256" s="321"/>
      <c r="P256" s="2248"/>
    </row>
    <row r="257" spans="9:16" x14ac:dyDescent="0.2">
      <c r="I257" s="321"/>
      <c r="J257" s="321"/>
      <c r="K257" s="321"/>
      <c r="L257" s="321"/>
      <c r="M257" s="321"/>
      <c r="N257" s="321"/>
      <c r="O257" s="321"/>
      <c r="P257" s="2248"/>
    </row>
    <row r="258" spans="9:16" x14ac:dyDescent="0.2">
      <c r="I258" s="321"/>
      <c r="J258" s="321"/>
      <c r="K258" s="321"/>
      <c r="L258" s="321"/>
      <c r="M258" s="321"/>
      <c r="N258" s="321"/>
      <c r="O258" s="321"/>
      <c r="P258" s="2248"/>
    </row>
    <row r="259" spans="9:16" x14ac:dyDescent="0.2">
      <c r="I259" s="321"/>
      <c r="J259" s="321"/>
      <c r="K259" s="321"/>
      <c r="L259" s="321"/>
      <c r="M259" s="321"/>
      <c r="N259" s="321"/>
      <c r="O259" s="321"/>
      <c r="P259" s="2248"/>
    </row>
    <row r="260" spans="9:16" x14ac:dyDescent="0.2">
      <c r="I260" s="321"/>
      <c r="J260" s="321"/>
      <c r="K260" s="321"/>
      <c r="L260" s="321"/>
      <c r="M260" s="321"/>
      <c r="N260" s="321"/>
      <c r="O260" s="321"/>
      <c r="P260" s="2248"/>
    </row>
    <row r="261" spans="9:16" x14ac:dyDescent="0.2">
      <c r="I261" s="321"/>
      <c r="J261" s="321"/>
      <c r="K261" s="321"/>
      <c r="L261" s="321"/>
      <c r="M261" s="321"/>
      <c r="N261" s="321"/>
      <c r="O261" s="321"/>
      <c r="P261" s="2248"/>
    </row>
    <row r="262" spans="9:16" x14ac:dyDescent="0.2">
      <c r="I262" s="321"/>
      <c r="J262" s="321"/>
      <c r="K262" s="321"/>
      <c r="L262" s="321"/>
      <c r="M262" s="321"/>
      <c r="N262" s="321"/>
      <c r="O262" s="321"/>
      <c r="P262" s="2248"/>
    </row>
    <row r="263" spans="9:16" x14ac:dyDescent="0.2">
      <c r="I263" s="321"/>
      <c r="J263" s="321"/>
      <c r="K263" s="321"/>
      <c r="L263" s="321"/>
      <c r="M263" s="321"/>
      <c r="N263" s="321"/>
      <c r="O263" s="321"/>
      <c r="P263" s="2248"/>
    </row>
    <row r="264" spans="9:16" x14ac:dyDescent="0.2">
      <c r="I264" s="321"/>
      <c r="J264" s="321"/>
      <c r="K264" s="321"/>
      <c r="L264" s="321"/>
      <c r="M264" s="321"/>
      <c r="N264" s="321"/>
      <c r="O264" s="321"/>
      <c r="P264" s="2248"/>
    </row>
    <row r="265" spans="9:16" x14ac:dyDescent="0.2">
      <c r="I265" s="321"/>
      <c r="J265" s="321"/>
      <c r="K265" s="321"/>
      <c r="L265" s="321"/>
      <c r="M265" s="321"/>
      <c r="N265" s="321"/>
      <c r="O265" s="321"/>
      <c r="P265" s="2248"/>
    </row>
    <row r="266" spans="9:16" x14ac:dyDescent="0.2">
      <c r="I266" s="321"/>
      <c r="J266" s="321"/>
      <c r="K266" s="321"/>
      <c r="L266" s="321"/>
      <c r="M266" s="321"/>
      <c r="N266" s="321"/>
      <c r="O266" s="321"/>
      <c r="P266" s="2248"/>
    </row>
    <row r="267" spans="9:16" x14ac:dyDescent="0.2">
      <c r="I267" s="321"/>
      <c r="J267" s="321"/>
      <c r="K267" s="321"/>
      <c r="L267" s="321"/>
      <c r="M267" s="321"/>
      <c r="N267" s="321"/>
      <c r="O267" s="321"/>
      <c r="P267" s="2248"/>
    </row>
    <row r="268" spans="9:16" x14ac:dyDescent="0.2">
      <c r="I268" s="321"/>
      <c r="J268" s="321"/>
      <c r="K268" s="321"/>
      <c r="L268" s="321"/>
      <c r="M268" s="321"/>
      <c r="N268" s="321"/>
      <c r="O268" s="321"/>
      <c r="P268" s="2248"/>
    </row>
    <row r="269" spans="9:16" x14ac:dyDescent="0.2">
      <c r="I269" s="321"/>
      <c r="J269" s="321"/>
      <c r="K269" s="321"/>
      <c r="L269" s="321"/>
      <c r="M269" s="321"/>
      <c r="N269" s="321"/>
      <c r="O269" s="321"/>
      <c r="P269" s="2248"/>
    </row>
    <row r="270" spans="9:16" x14ac:dyDescent="0.2">
      <c r="I270" s="321"/>
      <c r="J270" s="321"/>
      <c r="K270" s="321"/>
      <c r="L270" s="321"/>
      <c r="M270" s="321"/>
      <c r="N270" s="321"/>
      <c r="O270" s="321"/>
      <c r="P270" s="2248"/>
    </row>
    <row r="271" spans="9:16" x14ac:dyDescent="0.2">
      <c r="I271" s="321"/>
      <c r="J271" s="321"/>
      <c r="K271" s="321"/>
      <c r="L271" s="321"/>
      <c r="M271" s="321"/>
      <c r="N271" s="321"/>
      <c r="O271" s="321"/>
      <c r="P271" s="2248"/>
    </row>
    <row r="272" spans="9:16" x14ac:dyDescent="0.2">
      <c r="I272" s="321"/>
      <c r="J272" s="321"/>
      <c r="K272" s="321"/>
      <c r="L272" s="321"/>
      <c r="M272" s="321"/>
      <c r="N272" s="321"/>
      <c r="O272" s="321"/>
      <c r="P272" s="2248"/>
    </row>
    <row r="273" spans="9:16" x14ac:dyDescent="0.2">
      <c r="I273" s="321"/>
      <c r="J273" s="321"/>
      <c r="K273" s="321"/>
      <c r="L273" s="321"/>
      <c r="M273" s="321"/>
      <c r="N273" s="321"/>
      <c r="O273" s="321"/>
      <c r="P273" s="2248"/>
    </row>
    <row r="274" spans="9:16" x14ac:dyDescent="0.2">
      <c r="I274" s="321"/>
      <c r="J274" s="321"/>
      <c r="K274" s="321"/>
      <c r="L274" s="321"/>
      <c r="M274" s="321"/>
      <c r="N274" s="321"/>
      <c r="O274" s="321"/>
      <c r="P274" s="2248"/>
    </row>
    <row r="275" spans="9:16" x14ac:dyDescent="0.2">
      <c r="I275" s="321"/>
      <c r="J275" s="321"/>
      <c r="K275" s="321"/>
      <c r="L275" s="321"/>
      <c r="M275" s="321"/>
      <c r="N275" s="321"/>
      <c r="O275" s="321"/>
      <c r="P275" s="2248"/>
    </row>
    <row r="276" spans="9:16" x14ac:dyDescent="0.2">
      <c r="I276" s="321"/>
      <c r="J276" s="321"/>
      <c r="K276" s="321"/>
      <c r="L276" s="321"/>
      <c r="M276" s="321"/>
      <c r="N276" s="321"/>
      <c r="O276" s="321"/>
      <c r="P276" s="2248"/>
    </row>
    <row r="277" spans="9:16" x14ac:dyDescent="0.2">
      <c r="I277" s="321"/>
      <c r="J277" s="321"/>
      <c r="K277" s="321"/>
      <c r="L277" s="321"/>
      <c r="M277" s="321"/>
      <c r="N277" s="321"/>
      <c r="O277" s="321"/>
      <c r="P277" s="2248"/>
    </row>
    <row r="278" spans="9:16" x14ac:dyDescent="0.2">
      <c r="I278" s="321"/>
      <c r="J278" s="321"/>
      <c r="K278" s="321"/>
      <c r="L278" s="321"/>
      <c r="M278" s="321"/>
      <c r="N278" s="321"/>
      <c r="O278" s="321"/>
      <c r="P278" s="2248"/>
    </row>
    <row r="279" spans="9:16" x14ac:dyDescent="0.2">
      <c r="I279" s="321"/>
      <c r="J279" s="321"/>
      <c r="K279" s="321"/>
      <c r="L279" s="321"/>
      <c r="M279" s="321"/>
      <c r="N279" s="321"/>
      <c r="O279" s="321"/>
      <c r="P279" s="2248"/>
    </row>
    <row r="280" spans="9:16" x14ac:dyDescent="0.2">
      <c r="I280" s="321"/>
      <c r="J280" s="321"/>
      <c r="K280" s="321"/>
      <c r="L280" s="321"/>
      <c r="M280" s="321"/>
      <c r="N280" s="321"/>
      <c r="O280" s="321"/>
      <c r="P280" s="2248"/>
    </row>
    <row r="281" spans="9:16" x14ac:dyDescent="0.2">
      <c r="I281" s="321"/>
      <c r="J281" s="321"/>
      <c r="K281" s="321"/>
      <c r="L281" s="321"/>
      <c r="M281" s="321"/>
      <c r="N281" s="321"/>
      <c r="O281" s="321"/>
      <c r="P281" s="2248"/>
    </row>
    <row r="282" spans="9:16" x14ac:dyDescent="0.2">
      <c r="I282" s="321"/>
      <c r="J282" s="321"/>
      <c r="K282" s="321"/>
      <c r="L282" s="321"/>
      <c r="M282" s="321"/>
      <c r="N282" s="321"/>
      <c r="O282" s="321"/>
      <c r="P282" s="2248"/>
    </row>
    <row r="283" spans="9:16" x14ac:dyDescent="0.2">
      <c r="I283" s="321"/>
      <c r="J283" s="321"/>
      <c r="K283" s="321"/>
      <c r="L283" s="321"/>
      <c r="M283" s="321"/>
      <c r="N283" s="321"/>
      <c r="O283" s="321"/>
      <c r="P283" s="2248"/>
    </row>
    <row r="284" spans="9:16" x14ac:dyDescent="0.2">
      <c r="I284" s="321"/>
      <c r="J284" s="321"/>
      <c r="K284" s="321"/>
      <c r="L284" s="321"/>
      <c r="M284" s="321"/>
      <c r="N284" s="321"/>
      <c r="O284" s="321"/>
      <c r="P284" s="2248"/>
    </row>
    <row r="285" spans="9:16" x14ac:dyDescent="0.2">
      <c r="I285" s="321"/>
      <c r="J285" s="321"/>
      <c r="K285" s="321"/>
      <c r="L285" s="321"/>
      <c r="M285" s="321"/>
      <c r="N285" s="321"/>
      <c r="O285" s="321"/>
      <c r="P285" s="2248"/>
    </row>
    <row r="286" spans="9:16" x14ac:dyDescent="0.2">
      <c r="I286" s="321"/>
      <c r="J286" s="321"/>
      <c r="K286" s="321"/>
      <c r="L286" s="321"/>
      <c r="M286" s="321"/>
      <c r="N286" s="321"/>
      <c r="O286" s="321"/>
      <c r="P286" s="2248"/>
    </row>
    <row r="287" spans="9:16" x14ac:dyDescent="0.2">
      <c r="I287" s="321"/>
      <c r="J287" s="321"/>
      <c r="K287" s="321"/>
      <c r="L287" s="321"/>
      <c r="M287" s="321"/>
      <c r="N287" s="321"/>
      <c r="O287" s="321"/>
      <c r="P287" s="2248"/>
    </row>
    <row r="288" spans="9:16" x14ac:dyDescent="0.2">
      <c r="I288" s="321"/>
      <c r="J288" s="321"/>
      <c r="K288" s="321"/>
      <c r="L288" s="321"/>
      <c r="M288" s="321"/>
      <c r="N288" s="321"/>
      <c r="O288" s="321"/>
      <c r="P288" s="2248"/>
    </row>
    <row r="289" spans="9:16" x14ac:dyDescent="0.2">
      <c r="I289" s="321"/>
      <c r="J289" s="321"/>
      <c r="K289" s="321"/>
      <c r="L289" s="321"/>
      <c r="M289" s="321"/>
      <c r="N289" s="321"/>
      <c r="O289" s="321"/>
      <c r="P289" s="2248"/>
    </row>
    <row r="290" spans="9:16" x14ac:dyDescent="0.2">
      <c r="I290" s="321"/>
      <c r="J290" s="321"/>
      <c r="K290" s="321"/>
      <c r="L290" s="321"/>
      <c r="M290" s="321"/>
      <c r="N290" s="321"/>
      <c r="O290" s="321"/>
      <c r="P290" s="2248"/>
    </row>
    <row r="291" spans="9:16" x14ac:dyDescent="0.2">
      <c r="I291" s="321"/>
      <c r="J291" s="321"/>
      <c r="K291" s="321"/>
      <c r="L291" s="321"/>
      <c r="M291" s="321"/>
      <c r="N291" s="321"/>
      <c r="O291" s="321"/>
      <c r="P291" s="2248"/>
    </row>
    <row r="292" spans="9:16" x14ac:dyDescent="0.2">
      <c r="I292" s="321"/>
      <c r="J292" s="321"/>
      <c r="K292" s="321"/>
      <c r="L292" s="321"/>
      <c r="M292" s="321"/>
      <c r="N292" s="321"/>
      <c r="O292" s="321"/>
      <c r="P292" s="2248"/>
    </row>
    <row r="293" spans="9:16" x14ac:dyDescent="0.2">
      <c r="I293" s="321"/>
      <c r="J293" s="321"/>
      <c r="K293" s="321"/>
      <c r="L293" s="321"/>
      <c r="M293" s="321"/>
      <c r="N293" s="321"/>
      <c r="O293" s="321"/>
      <c r="P293" s="2248"/>
    </row>
    <row r="294" spans="9:16" x14ac:dyDescent="0.2">
      <c r="I294" s="321"/>
      <c r="J294" s="321"/>
      <c r="K294" s="321"/>
      <c r="L294" s="321"/>
      <c r="M294" s="321"/>
      <c r="N294" s="321"/>
      <c r="O294" s="321"/>
      <c r="P294" s="2248"/>
    </row>
    <row r="295" spans="9:16" x14ac:dyDescent="0.2">
      <c r="I295" s="321"/>
      <c r="J295" s="321"/>
      <c r="K295" s="321"/>
      <c r="L295" s="321"/>
      <c r="M295" s="321"/>
      <c r="N295" s="321"/>
      <c r="O295" s="321"/>
      <c r="P295" s="2248"/>
    </row>
    <row r="296" spans="9:16" x14ac:dyDescent="0.2">
      <c r="I296" s="321"/>
      <c r="J296" s="321"/>
      <c r="K296" s="321"/>
      <c r="L296" s="321"/>
      <c r="M296" s="321"/>
      <c r="N296" s="321"/>
      <c r="O296" s="321"/>
      <c r="P296" s="2248"/>
    </row>
    <row r="297" spans="9:16" x14ac:dyDescent="0.2">
      <c r="I297" s="321"/>
      <c r="J297" s="321"/>
      <c r="K297" s="321"/>
      <c r="L297" s="321"/>
      <c r="M297" s="321"/>
      <c r="N297" s="321"/>
      <c r="O297" s="321"/>
      <c r="P297" s="2248"/>
    </row>
    <row r="298" spans="9:16" x14ac:dyDescent="0.2">
      <c r="I298" s="321"/>
      <c r="J298" s="321"/>
      <c r="K298" s="321"/>
      <c r="L298" s="321"/>
      <c r="M298" s="321"/>
      <c r="N298" s="321"/>
      <c r="O298" s="321"/>
      <c r="P298" s="2248"/>
    </row>
    <row r="299" spans="9:16" x14ac:dyDescent="0.2">
      <c r="I299" s="321"/>
      <c r="J299" s="321"/>
      <c r="K299" s="321"/>
      <c r="L299" s="321"/>
      <c r="M299" s="321"/>
      <c r="N299" s="321"/>
      <c r="O299" s="321"/>
      <c r="P299" s="2248"/>
    </row>
    <row r="300" spans="9:16" x14ac:dyDescent="0.2">
      <c r="I300" s="321"/>
      <c r="J300" s="321"/>
      <c r="K300" s="321"/>
      <c r="L300" s="321"/>
      <c r="M300" s="321"/>
      <c r="N300" s="321"/>
      <c r="O300" s="321"/>
      <c r="P300" s="2248"/>
    </row>
    <row r="301" spans="9:16" x14ac:dyDescent="0.2">
      <c r="I301" s="321"/>
      <c r="J301" s="321"/>
      <c r="K301" s="321"/>
      <c r="L301" s="321"/>
      <c r="M301" s="321"/>
      <c r="N301" s="321"/>
      <c r="O301" s="321"/>
      <c r="P301" s="2248"/>
    </row>
    <row r="302" spans="9:16" x14ac:dyDescent="0.2">
      <c r="I302" s="321"/>
      <c r="J302" s="321"/>
      <c r="K302" s="321"/>
      <c r="L302" s="321"/>
      <c r="M302" s="321"/>
      <c r="N302" s="321"/>
      <c r="O302" s="321"/>
      <c r="P302" s="2248"/>
    </row>
    <row r="303" spans="9:16" x14ac:dyDescent="0.2">
      <c r="I303" s="321"/>
      <c r="J303" s="321"/>
      <c r="K303" s="321"/>
      <c r="L303" s="321"/>
      <c r="M303" s="321"/>
      <c r="N303" s="321"/>
      <c r="O303" s="321"/>
      <c r="P303" s="2248"/>
    </row>
    <row r="304" spans="9:16" x14ac:dyDescent="0.2">
      <c r="I304" s="321"/>
      <c r="J304" s="321"/>
      <c r="K304" s="321"/>
      <c r="L304" s="321"/>
      <c r="M304" s="321"/>
      <c r="N304" s="321"/>
      <c r="O304" s="321"/>
      <c r="P304" s="2248"/>
    </row>
    <row r="305" spans="9:16" x14ac:dyDescent="0.2">
      <c r="I305" s="321"/>
      <c r="J305" s="321"/>
      <c r="K305" s="321"/>
      <c r="L305" s="321"/>
      <c r="M305" s="321"/>
      <c r="N305" s="321"/>
      <c r="O305" s="321"/>
      <c r="P305" s="2248"/>
    </row>
    <row r="306" spans="9:16" x14ac:dyDescent="0.2">
      <c r="I306" s="321"/>
      <c r="J306" s="321"/>
      <c r="K306" s="321"/>
      <c r="L306" s="321"/>
      <c r="M306" s="321"/>
      <c r="N306" s="321"/>
      <c r="O306" s="321"/>
      <c r="P306" s="2248"/>
    </row>
    <row r="307" spans="9:16" x14ac:dyDescent="0.2">
      <c r="I307" s="321"/>
      <c r="J307" s="321"/>
      <c r="K307" s="321"/>
      <c r="L307" s="321"/>
      <c r="M307" s="321"/>
      <c r="N307" s="321"/>
      <c r="O307" s="321"/>
      <c r="P307" s="2248"/>
    </row>
    <row r="308" spans="9:16" x14ac:dyDescent="0.2">
      <c r="I308" s="321"/>
      <c r="J308" s="321"/>
      <c r="K308" s="321"/>
      <c r="L308" s="321"/>
      <c r="M308" s="321"/>
      <c r="N308" s="321"/>
      <c r="O308" s="321"/>
      <c r="P308" s="2284"/>
    </row>
    <row r="309" spans="9:16" x14ac:dyDescent="0.2">
      <c r="I309" s="321"/>
      <c r="J309" s="321"/>
      <c r="K309" s="321"/>
      <c r="L309" s="321"/>
      <c r="M309" s="321"/>
      <c r="N309" s="321"/>
      <c r="O309" s="321"/>
      <c r="P309" s="2284"/>
    </row>
    <row r="310" spans="9:16" x14ac:dyDescent="0.2">
      <c r="I310" s="321"/>
      <c r="J310" s="321"/>
      <c r="K310" s="321"/>
      <c r="L310" s="321"/>
      <c r="M310" s="321"/>
      <c r="N310" s="321"/>
      <c r="O310" s="321"/>
      <c r="P310" s="2284"/>
    </row>
    <row r="311" spans="9:16" x14ac:dyDescent="0.2">
      <c r="I311" s="321"/>
      <c r="J311" s="321"/>
      <c r="K311" s="321"/>
      <c r="L311" s="321"/>
      <c r="M311" s="321"/>
      <c r="N311" s="321"/>
      <c r="O311" s="321"/>
      <c r="P311" s="2284"/>
    </row>
    <row r="312" spans="9:16" x14ac:dyDescent="0.2">
      <c r="I312" s="321"/>
      <c r="J312" s="321"/>
      <c r="K312" s="321"/>
      <c r="L312" s="321"/>
      <c r="M312" s="321"/>
      <c r="N312" s="321"/>
      <c r="O312" s="321"/>
      <c r="P312" s="2284"/>
    </row>
    <row r="313" spans="9:16" x14ac:dyDescent="0.2">
      <c r="I313" s="321"/>
      <c r="J313" s="321"/>
      <c r="K313" s="321"/>
      <c r="L313" s="321"/>
      <c r="M313" s="321"/>
      <c r="N313" s="321"/>
      <c r="O313" s="321"/>
      <c r="P313" s="2284"/>
    </row>
    <row r="314" spans="9:16" x14ac:dyDescent="0.2">
      <c r="I314" s="321"/>
      <c r="J314" s="321"/>
      <c r="K314" s="321"/>
      <c r="L314" s="321"/>
      <c r="M314" s="321"/>
      <c r="N314" s="321"/>
      <c r="O314" s="321"/>
      <c r="P314" s="2284"/>
    </row>
    <row r="315" spans="9:16" x14ac:dyDescent="0.2">
      <c r="I315" s="321"/>
      <c r="J315" s="321"/>
      <c r="K315" s="321"/>
      <c r="L315" s="321"/>
      <c r="M315" s="321"/>
      <c r="N315" s="321"/>
      <c r="O315" s="321"/>
      <c r="P315" s="2284"/>
    </row>
    <row r="316" spans="9:16" x14ac:dyDescent="0.2">
      <c r="I316" s="321"/>
      <c r="J316" s="321"/>
      <c r="K316" s="321"/>
      <c r="L316" s="321"/>
      <c r="M316" s="321"/>
      <c r="N316" s="321"/>
      <c r="O316" s="321"/>
      <c r="P316" s="2284"/>
    </row>
    <row r="317" spans="9:16" x14ac:dyDescent="0.2">
      <c r="I317" s="321"/>
      <c r="J317" s="321"/>
      <c r="K317" s="321"/>
      <c r="L317" s="321"/>
      <c r="M317" s="321"/>
      <c r="N317" s="321"/>
      <c r="O317" s="321"/>
      <c r="P317" s="2284"/>
    </row>
    <row r="318" spans="9:16" x14ac:dyDescent="0.2">
      <c r="I318" s="321"/>
      <c r="J318" s="321"/>
      <c r="K318" s="321"/>
      <c r="L318" s="321"/>
      <c r="M318" s="321"/>
      <c r="N318" s="321"/>
      <c r="O318" s="321"/>
      <c r="P318" s="2284"/>
    </row>
    <row r="319" spans="9:16" x14ac:dyDescent="0.2">
      <c r="I319" s="321"/>
      <c r="J319" s="321"/>
      <c r="K319" s="321"/>
      <c r="L319" s="321"/>
      <c r="M319" s="321"/>
      <c r="N319" s="321"/>
      <c r="O319" s="321"/>
      <c r="P319" s="2284"/>
    </row>
    <row r="320" spans="9:16" x14ac:dyDescent="0.2">
      <c r="I320" s="321"/>
      <c r="J320" s="321"/>
      <c r="K320" s="321"/>
      <c r="L320" s="321"/>
      <c r="M320" s="321"/>
      <c r="N320" s="321"/>
      <c r="O320" s="321"/>
      <c r="P320" s="2284"/>
    </row>
    <row r="321" spans="9:16" x14ac:dyDescent="0.2">
      <c r="I321" s="321"/>
      <c r="J321" s="321"/>
      <c r="K321" s="321"/>
      <c r="L321" s="321"/>
      <c r="M321" s="321"/>
      <c r="N321" s="321"/>
      <c r="O321" s="321"/>
      <c r="P321" s="2284"/>
    </row>
    <row r="322" spans="9:16" x14ac:dyDescent="0.2">
      <c r="I322" s="321"/>
      <c r="J322" s="321"/>
      <c r="K322" s="321"/>
      <c r="L322" s="321"/>
      <c r="M322" s="321"/>
      <c r="N322" s="321"/>
      <c r="O322" s="321"/>
      <c r="P322" s="2294"/>
    </row>
    <row r="323" spans="9:16" x14ac:dyDescent="0.2">
      <c r="I323" s="321"/>
      <c r="J323" s="321"/>
      <c r="K323" s="321"/>
      <c r="L323" s="321"/>
      <c r="M323" s="321"/>
      <c r="N323" s="321"/>
      <c r="O323" s="321"/>
      <c r="P323" s="2284"/>
    </row>
    <row r="324" spans="9:16" x14ac:dyDescent="0.2">
      <c r="I324" s="321"/>
      <c r="J324" s="321"/>
      <c r="K324" s="321"/>
      <c r="L324" s="321"/>
      <c r="M324" s="321"/>
      <c r="N324" s="321"/>
      <c r="O324" s="321"/>
      <c r="P324" s="2284"/>
    </row>
    <row r="325" spans="9:16" x14ac:dyDescent="0.2">
      <c r="I325" s="321"/>
      <c r="J325" s="321"/>
      <c r="K325" s="321"/>
      <c r="L325" s="321"/>
      <c r="M325" s="321"/>
      <c r="N325" s="321"/>
      <c r="O325" s="321"/>
      <c r="P325" s="2284"/>
    </row>
    <row r="326" spans="9:16" x14ac:dyDescent="0.2">
      <c r="I326" s="321"/>
      <c r="J326" s="321"/>
      <c r="K326" s="321"/>
      <c r="L326" s="321"/>
      <c r="M326" s="321"/>
      <c r="N326" s="321"/>
      <c r="O326" s="321"/>
      <c r="P326" s="2284"/>
    </row>
    <row r="327" spans="9:16" x14ac:dyDescent="0.2">
      <c r="I327" s="321"/>
      <c r="J327" s="321"/>
      <c r="K327" s="321"/>
      <c r="L327" s="321"/>
      <c r="M327" s="321"/>
      <c r="N327" s="321"/>
      <c r="O327" s="321"/>
      <c r="P327" s="2284"/>
    </row>
    <row r="328" spans="9:16" x14ac:dyDescent="0.2">
      <c r="I328" s="321"/>
      <c r="J328" s="321"/>
      <c r="K328" s="321"/>
      <c r="L328" s="321"/>
      <c r="M328" s="321"/>
      <c r="N328" s="321"/>
      <c r="O328" s="321"/>
      <c r="P328" s="2284"/>
    </row>
    <row r="329" spans="9:16" x14ac:dyDescent="0.2">
      <c r="I329" s="321"/>
      <c r="J329" s="321"/>
      <c r="K329" s="321"/>
      <c r="L329" s="321"/>
      <c r="M329" s="321"/>
      <c r="N329" s="321"/>
      <c r="O329" s="321"/>
      <c r="P329" s="2284"/>
    </row>
    <row r="330" spans="9:16" x14ac:dyDescent="0.2">
      <c r="I330" s="321"/>
      <c r="J330" s="321"/>
      <c r="K330" s="321"/>
      <c r="L330" s="321"/>
      <c r="M330" s="321"/>
      <c r="N330" s="321"/>
      <c r="O330" s="321"/>
      <c r="P330" s="2284"/>
    </row>
    <row r="331" spans="9:16" x14ac:dyDescent="0.2">
      <c r="I331" s="321"/>
      <c r="J331" s="321"/>
      <c r="K331" s="321"/>
      <c r="L331" s="321"/>
      <c r="M331" s="321"/>
      <c r="N331" s="321"/>
      <c r="O331" s="321"/>
      <c r="P331" s="2294"/>
    </row>
    <row r="332" spans="9:16" x14ac:dyDescent="0.2">
      <c r="I332" s="321"/>
      <c r="J332" s="321"/>
      <c r="K332" s="321"/>
      <c r="L332" s="321"/>
      <c r="M332" s="321"/>
      <c r="N332" s="321"/>
      <c r="O332" s="321"/>
      <c r="P332" s="2284"/>
    </row>
    <row r="333" spans="9:16" x14ac:dyDescent="0.2">
      <c r="I333" s="321"/>
      <c r="J333" s="321"/>
      <c r="K333" s="321"/>
      <c r="L333" s="321"/>
      <c r="M333" s="321"/>
      <c r="N333" s="321"/>
      <c r="O333" s="321"/>
      <c r="P333" s="2284"/>
    </row>
    <row r="334" spans="9:16" x14ac:dyDescent="0.2">
      <c r="I334" s="321"/>
      <c r="J334" s="321"/>
      <c r="K334" s="321"/>
      <c r="L334" s="321"/>
      <c r="M334" s="321"/>
      <c r="N334" s="321"/>
      <c r="O334" s="321"/>
      <c r="P334" s="2284"/>
    </row>
    <row r="335" spans="9:16" x14ac:dyDescent="0.2">
      <c r="I335" s="321"/>
      <c r="J335" s="321"/>
      <c r="K335" s="321"/>
      <c r="L335" s="321"/>
      <c r="M335" s="321"/>
      <c r="N335" s="321"/>
      <c r="O335" s="321"/>
      <c r="P335" s="2284"/>
    </row>
    <row r="336" spans="9:16" x14ac:dyDescent="0.2">
      <c r="I336" s="321"/>
      <c r="J336" s="321"/>
      <c r="K336" s="321"/>
      <c r="L336" s="321"/>
      <c r="M336" s="321"/>
      <c r="N336" s="321"/>
      <c r="O336" s="321"/>
      <c r="P336" s="2284"/>
    </row>
    <row r="337" spans="9:16" x14ac:dyDescent="0.2">
      <c r="I337" s="321"/>
      <c r="J337" s="321"/>
      <c r="K337" s="321"/>
      <c r="L337" s="321"/>
      <c r="M337" s="321"/>
      <c r="N337" s="321"/>
      <c r="O337" s="321"/>
      <c r="P337" s="2284"/>
    </row>
    <row r="338" spans="9:16" x14ac:dyDescent="0.2">
      <c r="I338" s="321"/>
      <c r="J338" s="321"/>
      <c r="K338" s="321"/>
      <c r="L338" s="321"/>
      <c r="M338" s="321"/>
      <c r="N338" s="321"/>
      <c r="O338" s="321"/>
      <c r="P338" s="2284"/>
    </row>
    <row r="339" spans="9:16" x14ac:dyDescent="0.2">
      <c r="I339" s="321"/>
      <c r="J339" s="321"/>
      <c r="K339" s="321"/>
      <c r="L339" s="321"/>
      <c r="M339" s="321"/>
      <c r="N339" s="321"/>
      <c r="O339" s="321"/>
      <c r="P339" s="2284"/>
    </row>
    <row r="340" spans="9:16" x14ac:dyDescent="0.2">
      <c r="I340" s="321"/>
      <c r="J340" s="321"/>
      <c r="K340" s="321"/>
      <c r="L340" s="321"/>
      <c r="M340" s="321"/>
      <c r="N340" s="321"/>
      <c r="O340" s="321"/>
      <c r="P340" s="2284"/>
    </row>
    <row r="341" spans="9:16" x14ac:dyDescent="0.2">
      <c r="I341" s="321"/>
      <c r="J341" s="321"/>
      <c r="K341" s="321"/>
      <c r="L341" s="321"/>
      <c r="M341" s="321"/>
      <c r="N341" s="321"/>
      <c r="O341" s="321"/>
      <c r="P341" s="2284"/>
    </row>
    <row r="342" spans="9:16" x14ac:dyDescent="0.2">
      <c r="I342" s="321"/>
      <c r="J342" s="321"/>
      <c r="K342" s="321"/>
      <c r="L342" s="321"/>
      <c r="M342" s="321"/>
      <c r="N342" s="321"/>
      <c r="O342" s="321"/>
      <c r="P342" s="2284"/>
    </row>
    <row r="343" spans="9:16" x14ac:dyDescent="0.2">
      <c r="I343" s="321"/>
      <c r="J343" s="321"/>
      <c r="K343" s="321"/>
      <c r="L343" s="321"/>
      <c r="M343" s="321"/>
      <c r="N343" s="321"/>
      <c r="O343" s="321"/>
      <c r="P343" s="2284"/>
    </row>
    <row r="344" spans="9:16" x14ac:dyDescent="0.2">
      <c r="I344" s="321"/>
      <c r="J344" s="321"/>
      <c r="K344" s="321"/>
      <c r="L344" s="321"/>
      <c r="M344" s="321"/>
      <c r="N344" s="321"/>
      <c r="O344" s="321"/>
      <c r="P344" s="2284"/>
    </row>
    <row r="345" spans="9:16" x14ac:dyDescent="0.2">
      <c r="I345" s="321"/>
      <c r="J345" s="321"/>
      <c r="K345" s="321"/>
      <c r="L345" s="321"/>
      <c r="M345" s="321"/>
      <c r="N345" s="321"/>
      <c r="O345" s="321"/>
      <c r="P345" s="2284"/>
    </row>
    <row r="346" spans="9:16" x14ac:dyDescent="0.2">
      <c r="I346" s="321"/>
      <c r="J346" s="321"/>
      <c r="K346" s="321"/>
      <c r="L346" s="321"/>
      <c r="M346" s="321"/>
      <c r="N346" s="321"/>
      <c r="O346" s="321"/>
      <c r="P346" s="2284"/>
    </row>
    <row r="347" spans="9:16" x14ac:dyDescent="0.2">
      <c r="I347" s="321"/>
      <c r="J347" s="321"/>
      <c r="K347" s="321"/>
      <c r="L347" s="321"/>
      <c r="M347" s="321"/>
      <c r="N347" s="321"/>
      <c r="O347" s="321"/>
      <c r="P347" s="2284"/>
    </row>
    <row r="348" spans="9:16" x14ac:dyDescent="0.2">
      <c r="I348" s="321"/>
      <c r="J348" s="321"/>
      <c r="K348" s="321"/>
      <c r="L348" s="321"/>
      <c r="M348" s="321"/>
      <c r="N348" s="321"/>
      <c r="O348" s="321"/>
      <c r="P348" s="2284"/>
    </row>
    <row r="349" spans="9:16" x14ac:dyDescent="0.2">
      <c r="I349" s="321"/>
      <c r="J349" s="321"/>
      <c r="K349" s="321"/>
      <c r="L349" s="321"/>
      <c r="M349" s="321"/>
      <c r="N349" s="321"/>
      <c r="O349" s="321"/>
      <c r="P349" s="2284"/>
    </row>
    <row r="350" spans="9:16" x14ac:dyDescent="0.2">
      <c r="I350" s="321"/>
      <c r="J350" s="321"/>
      <c r="K350" s="321"/>
      <c r="L350" s="321"/>
      <c r="M350" s="321"/>
      <c r="N350" s="321"/>
      <c r="O350" s="321"/>
      <c r="P350" s="2294"/>
    </row>
    <row r="351" spans="9:16" x14ac:dyDescent="0.2">
      <c r="I351" s="321"/>
      <c r="J351" s="321"/>
      <c r="K351" s="321"/>
      <c r="L351" s="321"/>
      <c r="M351" s="321"/>
      <c r="N351" s="321"/>
      <c r="O351" s="321"/>
      <c r="P351" s="2284"/>
    </row>
    <row r="352" spans="9:16" x14ac:dyDescent="0.2">
      <c r="I352" s="321"/>
      <c r="J352" s="321"/>
      <c r="K352" s="321"/>
      <c r="L352" s="321"/>
      <c r="M352" s="321"/>
      <c r="N352" s="321"/>
      <c r="O352" s="321"/>
      <c r="P352" s="2284"/>
    </row>
    <row r="353" spans="9:16" x14ac:dyDescent="0.2">
      <c r="I353" s="321"/>
      <c r="J353" s="321"/>
      <c r="K353" s="321"/>
      <c r="L353" s="321"/>
      <c r="M353" s="321"/>
      <c r="N353" s="321"/>
      <c r="O353" s="321"/>
      <c r="P353" s="2284"/>
    </row>
    <row r="354" spans="9:16" x14ac:dyDescent="0.2">
      <c r="I354" s="321"/>
      <c r="J354" s="321"/>
      <c r="K354" s="321"/>
      <c r="L354" s="321"/>
      <c r="M354" s="321"/>
      <c r="N354" s="321"/>
      <c r="O354" s="321"/>
      <c r="P354" s="2294"/>
    </row>
    <row r="355" spans="9:16" x14ac:dyDescent="0.2">
      <c r="I355" s="321"/>
      <c r="J355" s="321"/>
      <c r="K355" s="321"/>
      <c r="L355" s="321"/>
      <c r="M355" s="321"/>
      <c r="N355" s="321"/>
      <c r="O355" s="321"/>
      <c r="P355" s="2284"/>
    </row>
    <row r="356" spans="9:16" x14ac:dyDescent="0.2">
      <c r="I356" s="321"/>
      <c r="J356" s="321"/>
      <c r="K356" s="321"/>
      <c r="L356" s="321"/>
      <c r="M356" s="321"/>
      <c r="N356" s="321"/>
      <c r="O356" s="321"/>
      <c r="P356" s="2284"/>
    </row>
    <row r="357" spans="9:16" x14ac:dyDescent="0.2">
      <c r="I357" s="321"/>
      <c r="J357" s="321"/>
      <c r="K357" s="321"/>
      <c r="L357" s="321"/>
      <c r="M357" s="321"/>
      <c r="N357" s="321"/>
      <c r="O357" s="321"/>
      <c r="P357" s="2284"/>
    </row>
    <row r="358" spans="9:16" x14ac:dyDescent="0.2">
      <c r="I358" s="321"/>
      <c r="J358" s="321"/>
      <c r="K358" s="321"/>
      <c r="L358" s="321"/>
      <c r="M358" s="321"/>
      <c r="N358" s="321"/>
      <c r="O358" s="321"/>
      <c r="P358" s="2284"/>
    </row>
    <row r="359" spans="9:16" x14ac:dyDescent="0.2">
      <c r="I359" s="321"/>
      <c r="J359" s="321"/>
      <c r="K359" s="321"/>
      <c r="L359" s="321"/>
      <c r="M359" s="321"/>
      <c r="N359" s="321"/>
      <c r="O359" s="321"/>
      <c r="P359" s="2284"/>
    </row>
  </sheetData>
  <mergeCells count="31">
    <mergeCell ref="C8:D8"/>
    <mergeCell ref="A14:B14"/>
    <mergeCell ref="A30:B30"/>
    <mergeCell ref="C11:D11"/>
    <mergeCell ref="C13:D13"/>
    <mergeCell ref="C85:D85"/>
    <mergeCell ref="C31:D31"/>
    <mergeCell ref="C30:D30"/>
    <mergeCell ref="A49:B49"/>
    <mergeCell ref="C101:D101"/>
    <mergeCell ref="C40:D40"/>
    <mergeCell ref="C49:D49"/>
    <mergeCell ref="C58:D58"/>
    <mergeCell ref="A93:B93"/>
    <mergeCell ref="A40:B40"/>
    <mergeCell ref="A133:B133"/>
    <mergeCell ref="C133:D133"/>
    <mergeCell ref="A77:B77"/>
    <mergeCell ref="A58:B58"/>
    <mergeCell ref="C77:D77"/>
    <mergeCell ref="C93:D93"/>
    <mergeCell ref="C68:D68"/>
    <mergeCell ref="A125:B125"/>
    <mergeCell ref="C125:D125"/>
    <mergeCell ref="A117:B117"/>
    <mergeCell ref="C117:D117"/>
    <mergeCell ref="A109:B109"/>
    <mergeCell ref="C109:D109"/>
    <mergeCell ref="A101:B101"/>
    <mergeCell ref="C59:D59"/>
    <mergeCell ref="A85:B85"/>
  </mergeCells>
  <phoneticPr fontId="7" type="noConversion"/>
  <dataValidations count="2">
    <dataValidation type="whole" allowBlank="1" showInputMessage="1" showErrorMessage="1" sqref="B24:B25 B18:B19" xr:uid="{00000000-0002-0000-0500-000000000000}">
      <formula1>0</formula1>
      <formula2>9999</formula2>
    </dataValidation>
    <dataValidation type="list" allowBlank="1" showInputMessage="1" showErrorMessage="1" sqref="B5" xr:uid="{00000000-0002-0000-0500-000001000000}">
      <formula1>$P$4:$P$359</formula1>
    </dataValidation>
  </dataValidations>
  <hyperlinks>
    <hyperlink ref="C6" location="_ftn1" display="¹  Grade in terms of the Remuneration of Public Office Bearers Act." xr:uid="{00000000-0004-0000-0500-000000000000}"/>
    <hyperlink ref="B10" r:id="rId1" xr:uid="{FEFC459D-3147-4774-8FC3-B5F3768CAE95}"/>
    <hyperlink ref="B12" r:id="rId2" xr:uid="{7E06F9F0-80C9-4946-A3D5-5682FDAD621E}"/>
  </hyperlinks>
  <pageMargins left="0.75" right="0.27" top="1" bottom="1" header="0.5" footer="0.5"/>
  <pageSetup scale="55" orientation="portrait" r:id="rId3"/>
  <headerFooter alignWithMargins="0"/>
  <rowBreaks count="1" manualBreakCount="1">
    <brk id="84" max="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pageSetUpPr fitToPage="1"/>
  </sheetPr>
  <dimension ref="A1:O68"/>
  <sheetViews>
    <sheetView showGridLines="0" zoomScale="90" zoomScaleNormal="90" workbookViewId="0">
      <pane xSplit="1" ySplit="3" topLeftCell="B31" activePane="bottomRight" state="frozen"/>
      <selection pane="topRight"/>
      <selection pane="bottomLeft"/>
      <selection pane="bottomRight" activeCell="C80" sqref="C80"/>
    </sheetView>
  </sheetViews>
  <sheetFormatPr defaultColWidth="9.140625" defaultRowHeight="12.75" x14ac:dyDescent="0.25"/>
  <cols>
    <col min="1" max="1" width="32.7109375" style="17" customWidth="1"/>
    <col min="2" max="11" width="9" style="17" customWidth="1"/>
    <col min="12" max="14" width="7.7109375" style="17" customWidth="1"/>
    <col min="15" max="16384" width="9.140625" style="17"/>
  </cols>
  <sheetData>
    <row r="1" spans="1:12" ht="13.5" customHeight="1" x14ac:dyDescent="0.25">
      <c r="A1" s="2444" t="str">
        <f>muni&amp;" - "&amp;Approve1</f>
        <v>KZN226 Mkhambathini - Table A1 Budget Summary</v>
      </c>
      <c r="B1" s="2445"/>
      <c r="C1" s="2445"/>
      <c r="D1" s="16"/>
      <c r="E1" s="16"/>
      <c r="F1" s="16"/>
      <c r="G1" s="16"/>
      <c r="H1" s="16"/>
      <c r="I1" s="16"/>
      <c r="J1" s="16"/>
      <c r="K1" s="16"/>
    </row>
    <row r="2" spans="1:12" ht="28.5" customHeight="1" x14ac:dyDescent="0.25">
      <c r="A2" s="700" t="str">
        <f>desc</f>
        <v>Description</v>
      </c>
      <c r="B2" s="680" t="str">
        <f>head1b</f>
        <v>2017/18</v>
      </c>
      <c r="C2" s="18" t="str">
        <f>head1A</f>
        <v>2018/19</v>
      </c>
      <c r="D2" s="681" t="str">
        <f>Head1</f>
        <v>2019/20</v>
      </c>
      <c r="E2" s="2442" t="str">
        <f>Head2</f>
        <v>Current Year 2020/21</v>
      </c>
      <c r="F2" s="2443"/>
      <c r="G2" s="2443"/>
      <c r="H2" s="2443"/>
      <c r="I2" s="2439" t="str">
        <f>Head3</f>
        <v>2021/22 Medium Term Revenue &amp; Expenditure Framework</v>
      </c>
      <c r="J2" s="2440"/>
      <c r="K2" s="2441"/>
    </row>
    <row r="3" spans="1:12" ht="25.5" x14ac:dyDescent="0.25">
      <c r="A3" s="127" t="s">
        <v>28</v>
      </c>
      <c r="B3" s="692" t="str">
        <f>Head5</f>
        <v>Audited Outcome</v>
      </c>
      <c r="C3" s="693" t="str">
        <f>Head5</f>
        <v>Audited Outcome</v>
      </c>
      <c r="D3" s="51" t="str">
        <f>Head5</f>
        <v>Audited Outcome</v>
      </c>
      <c r="E3" s="692" t="str">
        <f>Head6</f>
        <v>Original Budget</v>
      </c>
      <c r="F3" s="693" t="str">
        <f>Head7</f>
        <v>Adjusted Budget</v>
      </c>
      <c r="G3" s="51" t="str">
        <f>Head8</f>
        <v>Full Year Forecast</v>
      </c>
      <c r="H3" s="50" t="str">
        <f>Head5b</f>
        <v>Pre-audit outcome</v>
      </c>
      <c r="I3" s="692" t="str">
        <f>Head9</f>
        <v>Budget Year 2021/22</v>
      </c>
      <c r="J3" s="693" t="str">
        <f>Head10</f>
        <v>Budget Year +1 2022/23</v>
      </c>
      <c r="K3" s="51" t="str">
        <f>Head11</f>
        <v>Budget Year +2 2023/24</v>
      </c>
    </row>
    <row r="4" spans="1:12" ht="11.25" customHeight="1" x14ac:dyDescent="0.25">
      <c r="A4" s="66" t="s">
        <v>1190</v>
      </c>
      <c r="B4" s="19"/>
      <c r="C4" s="20"/>
      <c r="D4" s="21"/>
      <c r="E4" s="19"/>
      <c r="F4" s="20"/>
      <c r="G4" s="21"/>
      <c r="H4" s="22"/>
      <c r="I4" s="19"/>
      <c r="J4" s="20"/>
      <c r="K4" s="21"/>
    </row>
    <row r="5" spans="1:12" ht="11.25" customHeight="1" x14ac:dyDescent="0.25">
      <c r="A5" s="60" t="s">
        <v>467</v>
      </c>
      <c r="B5" s="98">
        <f>'A4-FinPerf RE'!C5</f>
        <v>17143783</v>
      </c>
      <c r="C5" s="39">
        <f>'A4-FinPerf RE'!D5</f>
        <v>17480490</v>
      </c>
      <c r="D5" s="52">
        <f>'A4-FinPerf RE'!E5</f>
        <v>21849391</v>
      </c>
      <c r="E5" s="41">
        <f>'A4-FinPerf RE'!F5</f>
        <v>19781622</v>
      </c>
      <c r="F5" s="39">
        <f>'A4-FinPerf RE'!G5</f>
        <v>19781622</v>
      </c>
      <c r="G5" s="53">
        <f>'A4-FinPerf RE'!H5</f>
        <v>19781622</v>
      </c>
      <c r="H5" s="40">
        <f>'A4-FinPerf RE'!I5</f>
        <v>-22796482</v>
      </c>
      <c r="I5" s="41">
        <f>'A4-FinPerf RE'!J5</f>
        <v>20553103</v>
      </c>
      <c r="J5" s="39">
        <f>'A4-FinPerf RE'!K5</f>
        <v>21375231</v>
      </c>
      <c r="K5" s="53">
        <f>'A4-FinPerf RE'!L5</f>
        <v>22230239</v>
      </c>
      <c r="L5" s="49"/>
    </row>
    <row r="6" spans="1:12" ht="11.25" customHeight="1" x14ac:dyDescent="0.25">
      <c r="A6" s="60" t="s">
        <v>1403</v>
      </c>
      <c r="B6" s="39">
        <f>SUM('A4-FinPerf RE'!C6:C9)</f>
        <v>497749</v>
      </c>
      <c r="C6" s="39">
        <f>SUM('A4-FinPerf RE'!D6:D9)</f>
        <v>525667</v>
      </c>
      <c r="D6" s="52">
        <f>SUM('A4-FinPerf RE'!E6:E9)</f>
        <v>528201</v>
      </c>
      <c r="E6" s="41">
        <f>SUM('A4-FinPerf RE'!F6:F9)</f>
        <v>574287</v>
      </c>
      <c r="F6" s="39">
        <f>SUM('A4-FinPerf RE'!G6:G9)</f>
        <v>574287</v>
      </c>
      <c r="G6" s="53">
        <f>SUM('A4-FinPerf RE'!H6:H9)</f>
        <v>574287</v>
      </c>
      <c r="H6" s="40">
        <f>SUM('A4-FinPerf RE'!I6:I9)</f>
        <v>-574287</v>
      </c>
      <c r="I6" s="41">
        <f>SUM('A4-FinPerf RE'!J6:J9)</f>
        <v>596684</v>
      </c>
      <c r="J6" s="39">
        <f>SUM('A4-FinPerf RE'!K6:K9)</f>
        <v>620552</v>
      </c>
      <c r="K6" s="53">
        <f>SUM('A4-FinPerf RE'!L6:L9)</f>
        <v>645374</v>
      </c>
    </row>
    <row r="7" spans="1:12" ht="11.25" customHeight="1" x14ac:dyDescent="0.25">
      <c r="A7" s="60" t="s">
        <v>430</v>
      </c>
      <c r="B7" s="39">
        <f>'A4-FinPerf RE'!C12</f>
        <v>3483773</v>
      </c>
      <c r="C7" s="39">
        <f>'A4-FinPerf RE'!D12</f>
        <v>4539279</v>
      </c>
      <c r="D7" s="52">
        <f>'A4-FinPerf RE'!E12</f>
        <v>4285972</v>
      </c>
      <c r="E7" s="41">
        <f>'A4-FinPerf RE'!F12</f>
        <v>3850000</v>
      </c>
      <c r="F7" s="39">
        <f>'A4-FinPerf RE'!G12</f>
        <v>3850000</v>
      </c>
      <c r="G7" s="53">
        <f>'A4-FinPerf RE'!H12</f>
        <v>3850000</v>
      </c>
      <c r="H7" s="40">
        <f>'A4-FinPerf RE'!I12</f>
        <v>1350978</v>
      </c>
      <c r="I7" s="41">
        <f>'A4-FinPerf RE'!J12</f>
        <v>4000150</v>
      </c>
      <c r="J7" s="39">
        <f>'A4-FinPerf RE'!K12</f>
        <v>4160156</v>
      </c>
      <c r="K7" s="53">
        <f>'A4-FinPerf RE'!L12</f>
        <v>4326562</v>
      </c>
    </row>
    <row r="8" spans="1:12" ht="11.25" customHeight="1" x14ac:dyDescent="0.25">
      <c r="A8" s="60" t="s">
        <v>29</v>
      </c>
      <c r="B8" s="39">
        <f>'A4-FinPerf RE'!C18</f>
        <v>55612210</v>
      </c>
      <c r="C8" s="39">
        <f>'A4-FinPerf RE'!D18</f>
        <v>60608754</v>
      </c>
      <c r="D8" s="52">
        <f>'A4-FinPerf RE'!E18</f>
        <v>69092059</v>
      </c>
      <c r="E8" s="41">
        <f>'A4-FinPerf RE'!F18</f>
        <v>73462500</v>
      </c>
      <c r="F8" s="39">
        <f>'A4-FinPerf RE'!G18</f>
        <v>85495000</v>
      </c>
      <c r="G8" s="53">
        <f>'A4-FinPerf RE'!H18</f>
        <v>85495000</v>
      </c>
      <c r="H8" s="40">
        <f>'A4-FinPerf RE'!I18</f>
        <v>85069729</v>
      </c>
      <c r="I8" s="41">
        <f>'A4-FinPerf RE'!J18</f>
        <v>76559000</v>
      </c>
      <c r="J8" s="39">
        <f>'A4-FinPerf RE'!K18</f>
        <v>87642680</v>
      </c>
      <c r="K8" s="53">
        <f>'A4-FinPerf RE'!L18</f>
        <v>88692267</v>
      </c>
    </row>
    <row r="9" spans="1:12" ht="11.25" customHeight="1" x14ac:dyDescent="0.25">
      <c r="A9" s="60" t="s">
        <v>176</v>
      </c>
      <c r="B9" s="39">
        <f>'A4-FinPerf RE'!C11+'A4-FinPerf RE'!C13+'A4-FinPerf RE'!C14+'A4-FinPerf RE'!C15+'A4-FinPerf RE'!C16+'A4-FinPerf RE'!C17+'A4-FinPerf RE'!C19+'A4-FinPerf RE'!C20</f>
        <v>10268872</v>
      </c>
      <c r="C9" s="39">
        <f>'A4-FinPerf RE'!D11+'A4-FinPerf RE'!D13+'A4-FinPerf RE'!D14+'A4-FinPerf RE'!D15+'A4-FinPerf RE'!D16+'A4-FinPerf RE'!D17+'A4-FinPerf RE'!D19+'A4-FinPerf RE'!D20</f>
        <v>11013108</v>
      </c>
      <c r="D9" s="52">
        <f>'A4-FinPerf RE'!E11+'A4-FinPerf RE'!E13+'A4-FinPerf RE'!E14+'A4-FinPerf RE'!E15+'A4-FinPerf RE'!E16+'A4-FinPerf RE'!E17+'A4-FinPerf RE'!E19+'A4-FinPerf RE'!E20</f>
        <v>6471279</v>
      </c>
      <c r="E9" s="41">
        <f>'A4-FinPerf RE'!F11+'A4-FinPerf RE'!F13+'A4-FinPerf RE'!F14+'A4-FinPerf RE'!F15+'A4-FinPerf RE'!F16+'A4-FinPerf RE'!F17+'A4-FinPerf RE'!F19+'A4-FinPerf RE'!F20</f>
        <v>10558046</v>
      </c>
      <c r="F9" s="39">
        <f>'A4-FinPerf RE'!G11+'A4-FinPerf RE'!G13+'A4-FinPerf RE'!G14+'A4-FinPerf RE'!G15+'A4-FinPerf RE'!G16+'A4-FinPerf RE'!G17+'A4-FinPerf RE'!G19+'A4-FinPerf RE'!G20</f>
        <v>10202136</v>
      </c>
      <c r="G9" s="53">
        <f>'A4-FinPerf RE'!H11+'A4-FinPerf RE'!H13+'A4-FinPerf RE'!H14+'A4-FinPerf RE'!H15+'A4-FinPerf RE'!H16+'A4-FinPerf RE'!H17+'A4-FinPerf RE'!H19+'A4-FinPerf RE'!H20</f>
        <v>10202136</v>
      </c>
      <c r="H9" s="40">
        <f>'A4-FinPerf RE'!I11+'A4-FinPerf RE'!I13+'A4-FinPerf RE'!I14+'A4-FinPerf RE'!I15+'A4-FinPerf RE'!I16+'A4-FinPerf RE'!I17+'A4-FinPerf RE'!I19+'A4-FinPerf RE'!I20</f>
        <v>7659120</v>
      </c>
      <c r="I9" s="41">
        <f>'A4-FinPerf RE'!J11+'A4-FinPerf RE'!J13+'A4-FinPerf RE'!J14+'A4-FinPerf RE'!J15+'A4-FinPerf RE'!J16+'A4-FinPerf RE'!J17+'A4-FinPerf RE'!J19+'A4-FinPerf RE'!J20</f>
        <v>8979185</v>
      </c>
      <c r="J9" s="39">
        <f>'A4-FinPerf RE'!K11+'A4-FinPerf RE'!K13+'A4-FinPerf RE'!K14+'A4-FinPerf RE'!K15+'A4-FinPerf RE'!K16+'A4-FinPerf RE'!K17+'A4-FinPerf RE'!K19+'A4-FinPerf RE'!K20</f>
        <v>11024021</v>
      </c>
      <c r="K9" s="53">
        <f>'A4-FinPerf RE'!L11+'A4-FinPerf RE'!L13+'A4-FinPerf RE'!L14+'A4-FinPerf RE'!L15+'A4-FinPerf RE'!L16+'A4-FinPerf RE'!L17+'A4-FinPerf RE'!L19+'A4-FinPerf RE'!L20</f>
        <v>11464982</v>
      </c>
    </row>
    <row r="10" spans="1:12" ht="25.5" customHeight="1" x14ac:dyDescent="0.25">
      <c r="A10" s="47" t="str">
        <f>'A4-FinPerf RE'!A21</f>
        <v>Total Revenue (excluding capital transfers and contributions)</v>
      </c>
      <c r="B10" s="246">
        <f t="shared" ref="B10:K10" si="0">SUM(B5:B9)</f>
        <v>87006387</v>
      </c>
      <c r="C10" s="246">
        <f t="shared" si="0"/>
        <v>94167298</v>
      </c>
      <c r="D10" s="247">
        <f t="shared" si="0"/>
        <v>102226902</v>
      </c>
      <c r="E10" s="245">
        <f t="shared" si="0"/>
        <v>108226455</v>
      </c>
      <c r="F10" s="246">
        <f t="shared" si="0"/>
        <v>119903045</v>
      </c>
      <c r="G10" s="248">
        <f t="shared" si="0"/>
        <v>119903045</v>
      </c>
      <c r="H10" s="249">
        <f t="shared" si="0"/>
        <v>70709058</v>
      </c>
      <c r="I10" s="245">
        <f t="shared" si="0"/>
        <v>110688122</v>
      </c>
      <c r="J10" s="246">
        <f t="shared" si="0"/>
        <v>124822640</v>
      </c>
      <c r="K10" s="248">
        <f t="shared" si="0"/>
        <v>127359424</v>
      </c>
    </row>
    <row r="11" spans="1:12" ht="11.25" customHeight="1" x14ac:dyDescent="0.25">
      <c r="A11" s="60" t="s">
        <v>424</v>
      </c>
      <c r="B11" s="39">
        <f>'A4-FinPerf RE'!C24</f>
        <v>34125373</v>
      </c>
      <c r="C11" s="39">
        <f>'A4-FinPerf RE'!D24</f>
        <v>34971290</v>
      </c>
      <c r="D11" s="52">
        <f>'A4-FinPerf RE'!E24</f>
        <v>36529095</v>
      </c>
      <c r="E11" s="41">
        <f>'A4-FinPerf RE'!F24</f>
        <v>44691585</v>
      </c>
      <c r="F11" s="39">
        <f>'A4-FinPerf RE'!G24</f>
        <v>44605885</v>
      </c>
      <c r="G11" s="53">
        <f>'A4-FinPerf RE'!H24</f>
        <v>44605885</v>
      </c>
      <c r="H11" s="40">
        <f>'A4-FinPerf RE'!I24</f>
        <v>34376032</v>
      </c>
      <c r="I11" s="41">
        <f>'A4-FinPerf RE'!J24</f>
        <v>48558294</v>
      </c>
      <c r="J11" s="39">
        <f>'A4-FinPerf RE'!K24</f>
        <v>50155201</v>
      </c>
      <c r="K11" s="53">
        <f>'A4-FinPerf RE'!L24</f>
        <v>53644386</v>
      </c>
    </row>
    <row r="12" spans="1:12" ht="11.25" customHeight="1" x14ac:dyDescent="0.25">
      <c r="A12" s="60" t="s">
        <v>458</v>
      </c>
      <c r="B12" s="39">
        <f>'A4-FinPerf RE'!C25</f>
        <v>5172985</v>
      </c>
      <c r="C12" s="39">
        <f>'A4-FinPerf RE'!D25</f>
        <v>5809171</v>
      </c>
      <c r="D12" s="52">
        <f>'A4-FinPerf RE'!E25</f>
        <v>6023555</v>
      </c>
      <c r="E12" s="41">
        <f>'A4-FinPerf RE'!F25</f>
        <v>6373921</v>
      </c>
      <c r="F12" s="39">
        <f>'A4-FinPerf RE'!G25</f>
        <v>6373921</v>
      </c>
      <c r="G12" s="53">
        <f>'A4-FinPerf RE'!H25</f>
        <v>6373921</v>
      </c>
      <c r="H12" s="40">
        <f>'A4-FinPerf RE'!I25</f>
        <v>4980931</v>
      </c>
      <c r="I12" s="41">
        <f>'A4-FinPerf RE'!J25</f>
        <v>6692615</v>
      </c>
      <c r="J12" s="39">
        <f>'A4-FinPerf RE'!K25</f>
        <v>4039442</v>
      </c>
      <c r="K12" s="53">
        <f>'A4-FinPerf RE'!L25</f>
        <v>7247209</v>
      </c>
    </row>
    <row r="13" spans="1:12" ht="11.25" customHeight="1" x14ac:dyDescent="0.25">
      <c r="A13" s="60" t="s">
        <v>1305</v>
      </c>
      <c r="B13" s="39">
        <f>'A4-FinPerf RE'!C27</f>
        <v>8790784</v>
      </c>
      <c r="C13" s="39">
        <f>'A4-FinPerf RE'!D27</f>
        <v>8722456</v>
      </c>
      <c r="D13" s="52">
        <f>'A4-FinPerf RE'!E27</f>
        <v>9318525</v>
      </c>
      <c r="E13" s="41">
        <f>'A4-FinPerf RE'!F27</f>
        <v>11173339</v>
      </c>
      <c r="F13" s="39">
        <f>'A4-FinPerf RE'!G27</f>
        <v>11173339</v>
      </c>
      <c r="G13" s="53">
        <f>'A4-FinPerf RE'!H27</f>
        <v>11173339</v>
      </c>
      <c r="H13" s="40">
        <f>'A4-FinPerf RE'!I27</f>
        <v>7943935</v>
      </c>
      <c r="I13" s="41">
        <f>'A4-FinPerf RE'!J27</f>
        <v>11609097</v>
      </c>
      <c r="J13" s="39">
        <f>'A4-FinPerf RE'!K27</f>
        <v>12073463</v>
      </c>
      <c r="K13" s="53">
        <f>'A4-FinPerf RE'!L27</f>
        <v>12556402</v>
      </c>
    </row>
    <row r="14" spans="1:12" ht="11.25" customHeight="1" x14ac:dyDescent="0.25">
      <c r="A14" s="60" t="s">
        <v>1359</v>
      </c>
      <c r="B14" s="39">
        <f>'A4-FinPerf RE'!C28</f>
        <v>0</v>
      </c>
      <c r="C14" s="39">
        <f>'A4-FinPerf RE'!D28</f>
        <v>2646</v>
      </c>
      <c r="D14" s="52">
        <f>'A4-FinPerf RE'!E28</f>
        <v>4109</v>
      </c>
      <c r="E14" s="41">
        <f>'A4-FinPerf RE'!F28</f>
        <v>0</v>
      </c>
      <c r="F14" s="39">
        <f>'A4-FinPerf RE'!G28</f>
        <v>0</v>
      </c>
      <c r="G14" s="53">
        <f>'A4-FinPerf RE'!H28</f>
        <v>0</v>
      </c>
      <c r="H14" s="40">
        <f>'A4-FinPerf RE'!I28</f>
        <v>4941</v>
      </c>
      <c r="I14" s="41">
        <f>'A4-FinPerf RE'!J28</f>
        <v>0</v>
      </c>
      <c r="J14" s="39">
        <f>'A4-FinPerf RE'!K28</f>
        <v>0</v>
      </c>
      <c r="K14" s="53">
        <f>'A4-FinPerf RE'!L28</f>
        <v>0</v>
      </c>
    </row>
    <row r="15" spans="1:12" ht="11.25" customHeight="1" x14ac:dyDescent="0.25">
      <c r="A15" s="673" t="s">
        <v>2604</v>
      </c>
      <c r="B15" s="39">
        <f>'A4-FinPerf RE'!C29+'A4-FinPerf RE'!C30</f>
        <v>0</v>
      </c>
      <c r="C15" s="39">
        <f>'A4-FinPerf RE'!D29+'A4-FinPerf RE'!D30</f>
        <v>0</v>
      </c>
      <c r="D15" s="52">
        <f>'A4-FinPerf RE'!E29+'A4-FinPerf RE'!E30</f>
        <v>0</v>
      </c>
      <c r="E15" s="41">
        <f>'A4-FinPerf RE'!F29+'A4-FinPerf RE'!F30</f>
        <v>6366500</v>
      </c>
      <c r="F15" s="39">
        <f>'A4-FinPerf RE'!G29+'A4-FinPerf RE'!G30</f>
        <v>6458500</v>
      </c>
      <c r="G15" s="53">
        <f>'A4-FinPerf RE'!H29+'A4-FinPerf RE'!H30</f>
        <v>6458500</v>
      </c>
      <c r="H15" s="40">
        <f>'A4-FinPerf RE'!I29+'A4-FinPerf RE'!I30</f>
        <v>3863793</v>
      </c>
      <c r="I15" s="41">
        <f>'A4-FinPerf RE'!J29+'A4-FinPerf RE'!J30</f>
        <v>6051040</v>
      </c>
      <c r="J15" s="39">
        <f>'A4-FinPerf RE'!K29+'A4-FinPerf RE'!K30</f>
        <v>6308082</v>
      </c>
      <c r="K15" s="53">
        <f>'A4-FinPerf RE'!L29+'A4-FinPerf RE'!L30</f>
        <v>6582377</v>
      </c>
    </row>
    <row r="16" spans="1:12" ht="11.25" customHeight="1" x14ac:dyDescent="0.25">
      <c r="A16" s="370" t="s">
        <v>673</v>
      </c>
      <c r="B16" s="39">
        <f>'A4-FinPerf RE'!C32</f>
        <v>0</v>
      </c>
      <c r="C16" s="39">
        <f>'A4-FinPerf RE'!D32</f>
        <v>0</v>
      </c>
      <c r="D16" s="52">
        <f>'A4-FinPerf RE'!E32</f>
        <v>0</v>
      </c>
      <c r="E16" s="41">
        <f>'A4-FinPerf RE'!F32</f>
        <v>0</v>
      </c>
      <c r="F16" s="39">
        <f>'A4-FinPerf RE'!G32</f>
        <v>0</v>
      </c>
      <c r="G16" s="53">
        <f>'A4-FinPerf RE'!H32</f>
        <v>0</v>
      </c>
      <c r="H16" s="40">
        <f>'A4-FinPerf RE'!I32</f>
        <v>0</v>
      </c>
      <c r="I16" s="41">
        <f>'A4-FinPerf RE'!J32</f>
        <v>0</v>
      </c>
      <c r="J16" s="39">
        <f>'A4-FinPerf RE'!K32</f>
        <v>0</v>
      </c>
      <c r="K16" s="53">
        <f>'A4-FinPerf RE'!L32</f>
        <v>0</v>
      </c>
    </row>
    <row r="17" spans="1:12" ht="11.25" customHeight="1" x14ac:dyDescent="0.25">
      <c r="A17" s="60" t="s">
        <v>822</v>
      </c>
      <c r="B17" s="39">
        <f>'A4-FinPerf RE'!C26+'A4-FinPerf RE'!C31+'A4-FinPerf RE'!C33+'A4-FinPerf RE'!C34</f>
        <v>31527144</v>
      </c>
      <c r="C17" s="39">
        <f>'A4-FinPerf RE'!D26+'A4-FinPerf RE'!D31+'A4-FinPerf RE'!D33+'A4-FinPerf RE'!D34</f>
        <v>31551370</v>
      </c>
      <c r="D17" s="52">
        <f>'A4-FinPerf RE'!E26+'A4-FinPerf RE'!E31+'A4-FinPerf RE'!E33+'A4-FinPerf RE'!E34</f>
        <v>41945995</v>
      </c>
      <c r="E17" s="41">
        <f>'A4-FinPerf RE'!F26+'A4-FinPerf RE'!F31+'A4-FinPerf RE'!F33+'A4-FinPerf RE'!F34</f>
        <v>52931557</v>
      </c>
      <c r="F17" s="39">
        <f>'A4-FinPerf RE'!G26+'A4-FinPerf RE'!G31+'A4-FinPerf RE'!G33+'A4-FinPerf RE'!G34</f>
        <v>73928324</v>
      </c>
      <c r="G17" s="53">
        <f>'A4-FinPerf RE'!H26+'A4-FinPerf RE'!H31+'A4-FinPerf RE'!H33+'A4-FinPerf RE'!H34</f>
        <v>73928324</v>
      </c>
      <c r="H17" s="40">
        <f>'A4-FinPerf RE'!I26+'A4-FinPerf RE'!I31+'A4-FinPerf RE'!I33+'A4-FinPerf RE'!I34</f>
        <v>56101529</v>
      </c>
      <c r="I17" s="41">
        <f>'A4-FinPerf RE'!J26+'A4-FinPerf RE'!J31+'A4-FinPerf RE'!J33+'A4-FinPerf RE'!J34</f>
        <v>69991418</v>
      </c>
      <c r="J17" s="39">
        <f>'A4-FinPerf RE'!K26+'A4-FinPerf RE'!K31+'A4-FinPerf RE'!K33+'A4-FinPerf RE'!K34</f>
        <v>63111862</v>
      </c>
      <c r="K17" s="53">
        <f>'A4-FinPerf RE'!L26+'A4-FinPerf RE'!L31+'A4-FinPerf RE'!L33+'A4-FinPerf RE'!L34</f>
        <v>66592235</v>
      </c>
    </row>
    <row r="18" spans="1:12" ht="11.25" customHeight="1" x14ac:dyDescent="0.25">
      <c r="A18" s="61" t="str">
        <f>'A4-FinPerf RE'!A35</f>
        <v>Total Expenditure</v>
      </c>
      <c r="B18" s="231">
        <f>SUM(B11:B17)</f>
        <v>79616286</v>
      </c>
      <c r="C18" s="232">
        <f t="shared" ref="C18:K18" si="1">SUM(C11:C17)</f>
        <v>81056933</v>
      </c>
      <c r="D18" s="233">
        <f t="shared" si="1"/>
        <v>93821279</v>
      </c>
      <c r="E18" s="231">
        <f t="shared" si="1"/>
        <v>121536902</v>
      </c>
      <c r="F18" s="232">
        <f t="shared" si="1"/>
        <v>142539969</v>
      </c>
      <c r="G18" s="234">
        <f t="shared" si="1"/>
        <v>142539969</v>
      </c>
      <c r="H18" s="235">
        <f t="shared" si="1"/>
        <v>107271161</v>
      </c>
      <c r="I18" s="231">
        <f t="shared" si="1"/>
        <v>142902464</v>
      </c>
      <c r="J18" s="232">
        <f t="shared" si="1"/>
        <v>135688050</v>
      </c>
      <c r="K18" s="234">
        <f t="shared" si="1"/>
        <v>146622609</v>
      </c>
    </row>
    <row r="19" spans="1:12" ht="11.25" customHeight="1" x14ac:dyDescent="0.25">
      <c r="A19" s="61" t="str">
        <f>'A4-FinPerf RE'!A37</f>
        <v>Surplus/(Deficit)</v>
      </c>
      <c r="B19" s="227">
        <f t="shared" ref="B19:K19" si="2">B10-B18</f>
        <v>7390101</v>
      </c>
      <c r="C19" s="48">
        <f t="shared" si="2"/>
        <v>13110365</v>
      </c>
      <c r="D19" s="228">
        <f t="shared" si="2"/>
        <v>8405623</v>
      </c>
      <c r="E19" s="227">
        <f t="shared" si="2"/>
        <v>-13310447</v>
      </c>
      <c r="F19" s="48">
        <f t="shared" si="2"/>
        <v>-22636924</v>
      </c>
      <c r="G19" s="229">
        <f t="shared" si="2"/>
        <v>-22636924</v>
      </c>
      <c r="H19" s="230">
        <f t="shared" si="2"/>
        <v>-36562103</v>
      </c>
      <c r="I19" s="227">
        <f t="shared" si="2"/>
        <v>-32214342</v>
      </c>
      <c r="J19" s="48">
        <f t="shared" si="2"/>
        <v>-10865410</v>
      </c>
      <c r="K19" s="229">
        <f t="shared" si="2"/>
        <v>-19263185</v>
      </c>
    </row>
    <row r="20" spans="1:12" ht="48.75" customHeight="1" x14ac:dyDescent="0.25">
      <c r="A20" s="129" t="str">
        <f>'A4-FinPerf RE'!A38</f>
        <v>Transfers and subsidies - capital (monetary allocations) (National / Provincial and District)</v>
      </c>
      <c r="B20" s="41">
        <f>'A4-FinPerf RE'!C38</f>
        <v>17725197</v>
      </c>
      <c r="C20" s="39">
        <f>'A4-FinPerf RE'!D38</f>
        <v>19385000</v>
      </c>
      <c r="D20" s="52">
        <f>'A4-FinPerf RE'!E38</f>
        <v>16076001</v>
      </c>
      <c r="E20" s="41">
        <f>'A4-FinPerf RE'!F38</f>
        <v>15996000</v>
      </c>
      <c r="F20" s="39">
        <f>'A4-FinPerf RE'!G38</f>
        <v>25800000</v>
      </c>
      <c r="G20" s="53">
        <f>'A4-FinPerf RE'!H38</f>
        <v>25800000</v>
      </c>
      <c r="H20" s="40">
        <f>'A4-FinPerf RE'!I38</f>
        <v>17727838</v>
      </c>
      <c r="I20" s="41">
        <f>'A4-FinPerf RE'!J38</f>
        <v>24755000</v>
      </c>
      <c r="J20" s="39">
        <f>'A4-FinPerf RE'!K38</f>
        <v>17781000</v>
      </c>
      <c r="K20" s="53">
        <f>'A4-FinPerf RE'!L38</f>
        <v>18394000</v>
      </c>
      <c r="L20" s="49"/>
    </row>
    <row r="21" spans="1:12" ht="93" customHeight="1" x14ac:dyDescent="0.25">
      <c r="A21" s="672" t="str">
        <f>'A4-FinPerf RE'!A39&amp;" &amp; "&amp;'A4-FinPerf RE'!A40</f>
        <v xml:space="preserve">Transfers and subsidies - capital (monetary allocations) (National / Provincial Departmental Agencies, Households, Non-profit Institutions, Private Enterprises, Public Corporatons, Higher Educational Institutions) &amp; Transfers and subsidies - capital (in-kind - all) </v>
      </c>
      <c r="B21" s="236">
        <f>'A4-FinPerf RE'!C39+'A4-FinPerf RE'!C40</f>
        <v>0</v>
      </c>
      <c r="C21" s="237">
        <f>'A4-FinPerf RE'!D39+'A4-FinPerf RE'!D40</f>
        <v>0</v>
      </c>
      <c r="D21" s="238">
        <f>'A4-FinPerf RE'!E39+'A4-FinPerf RE'!E40</f>
        <v>120020</v>
      </c>
      <c r="E21" s="236">
        <f>'A4-FinPerf RE'!F39+'A4-FinPerf RE'!F40</f>
        <v>0</v>
      </c>
      <c r="F21" s="237">
        <f>'A4-FinPerf RE'!G39+'A4-FinPerf RE'!G40</f>
        <v>0</v>
      </c>
      <c r="G21" s="239">
        <f>'A4-FinPerf RE'!H39+'A4-FinPerf RE'!H40</f>
        <v>0</v>
      </c>
      <c r="H21" s="240">
        <f>'A4-FinPerf RE'!I39+'A4-FinPerf RE'!I40</f>
        <v>10036</v>
      </c>
      <c r="I21" s="236">
        <f>'A4-FinPerf RE'!J39+'A4-FinPerf RE'!J40</f>
        <v>0</v>
      </c>
      <c r="J21" s="237">
        <f>'A4-FinPerf RE'!K39+'A4-FinPerf RE'!K40</f>
        <v>0</v>
      </c>
      <c r="K21" s="239">
        <f>'A4-FinPerf RE'!L39+'A4-FinPerf RE'!L40</f>
        <v>0</v>
      </c>
      <c r="L21" s="49"/>
    </row>
    <row r="22" spans="1:12" ht="25.5" x14ac:dyDescent="0.25">
      <c r="A22" s="128" t="str">
        <f>'A4-FinPerf RE'!A41</f>
        <v>Surplus/(Deficit) after capital transfers &amp; contributions</v>
      </c>
      <c r="B22" s="251">
        <f>B19+SUM(B20:B21)</f>
        <v>25115298</v>
      </c>
      <c r="C22" s="252">
        <f t="shared" ref="C22:K22" si="3">C19+SUM(C20:C21)</f>
        <v>32495365</v>
      </c>
      <c r="D22" s="253">
        <f t="shared" si="3"/>
        <v>24601644</v>
      </c>
      <c r="E22" s="251">
        <f t="shared" si="3"/>
        <v>2685553</v>
      </c>
      <c r="F22" s="252">
        <f t="shared" si="3"/>
        <v>3163076</v>
      </c>
      <c r="G22" s="254">
        <f t="shared" si="3"/>
        <v>3163076</v>
      </c>
      <c r="H22" s="255">
        <f t="shared" si="3"/>
        <v>-18824229</v>
      </c>
      <c r="I22" s="251">
        <f t="shared" si="3"/>
        <v>-7459342</v>
      </c>
      <c r="J22" s="252">
        <f t="shared" si="3"/>
        <v>6915590</v>
      </c>
      <c r="K22" s="254">
        <f t="shared" si="3"/>
        <v>-869185</v>
      </c>
      <c r="L22" s="49"/>
    </row>
    <row r="23" spans="1:12" x14ac:dyDescent="0.25">
      <c r="A23" s="129" t="str">
        <f>'A4-FinPerf RE'!A46</f>
        <v>Share of surplus/ (deficit) of associate</v>
      </c>
      <c r="B23" s="39">
        <f>'A4-FinPerf RE'!C46</f>
        <v>0</v>
      </c>
      <c r="C23" s="39">
        <f>'A4-FinPerf RE'!D46</f>
        <v>0</v>
      </c>
      <c r="D23" s="52">
        <f>'A4-FinPerf RE'!E46</f>
        <v>0</v>
      </c>
      <c r="E23" s="41">
        <f>'A4-FinPerf RE'!F46</f>
        <v>0</v>
      </c>
      <c r="F23" s="39">
        <f>'A4-FinPerf RE'!G46</f>
        <v>0</v>
      </c>
      <c r="G23" s="53">
        <f>'A4-FinPerf RE'!H46</f>
        <v>0</v>
      </c>
      <c r="H23" s="40">
        <f>'A4-FinPerf RE'!I46</f>
        <v>0</v>
      </c>
      <c r="I23" s="41">
        <f>'A4-FinPerf RE'!J46</f>
        <v>0</v>
      </c>
      <c r="J23" s="39">
        <f>'A4-FinPerf RE'!K46</f>
        <v>0</v>
      </c>
      <c r="K23" s="53">
        <f>'A4-FinPerf RE'!L46</f>
        <v>0</v>
      </c>
    </row>
    <row r="24" spans="1:12" x14ac:dyDescent="0.25">
      <c r="A24" s="128" t="str">
        <f>'A4-FinPerf RE'!A47</f>
        <v>Surplus/(Deficit) for the year</v>
      </c>
      <c r="B24" s="227">
        <f>B22+B23</f>
        <v>25115298</v>
      </c>
      <c r="C24" s="48">
        <f t="shared" ref="C24:K24" si="4">C22+C23</f>
        <v>32495365</v>
      </c>
      <c r="D24" s="228">
        <f t="shared" si="4"/>
        <v>24601644</v>
      </c>
      <c r="E24" s="227">
        <f t="shared" si="4"/>
        <v>2685553</v>
      </c>
      <c r="F24" s="48">
        <f t="shared" si="4"/>
        <v>3163076</v>
      </c>
      <c r="G24" s="229">
        <f t="shared" si="4"/>
        <v>3163076</v>
      </c>
      <c r="H24" s="230">
        <f t="shared" si="4"/>
        <v>-18824229</v>
      </c>
      <c r="I24" s="227">
        <f t="shared" si="4"/>
        <v>-7459342</v>
      </c>
      <c r="J24" s="48">
        <f t="shared" si="4"/>
        <v>6915590</v>
      </c>
      <c r="K24" s="229">
        <f t="shared" si="4"/>
        <v>-869185</v>
      </c>
    </row>
    <row r="25" spans="1:12" ht="10.5" customHeight="1" x14ac:dyDescent="0.25">
      <c r="A25" s="130"/>
      <c r="B25" s="19"/>
      <c r="C25" s="20"/>
      <c r="D25" s="21"/>
      <c r="E25" s="19"/>
      <c r="F25" s="20"/>
      <c r="G25" s="21"/>
      <c r="H25" s="22"/>
      <c r="I25" s="19"/>
      <c r="J25" s="20"/>
      <c r="K25" s="21"/>
    </row>
    <row r="26" spans="1:12" ht="11.25" customHeight="1" x14ac:dyDescent="0.25">
      <c r="A26" s="59" t="s">
        <v>923</v>
      </c>
      <c r="B26" s="26"/>
      <c r="C26" s="27"/>
      <c r="D26" s="28"/>
      <c r="E26" s="26"/>
      <c r="F26" s="27"/>
      <c r="G26" s="28"/>
      <c r="H26" s="29"/>
      <c r="I26" s="26"/>
      <c r="J26" s="27"/>
      <c r="K26" s="28"/>
    </row>
    <row r="27" spans="1:12" ht="11.25" customHeight="1" x14ac:dyDescent="0.25">
      <c r="A27" s="61" t="s">
        <v>1318</v>
      </c>
      <c r="B27" s="98">
        <f>'A5-Capex'!C63</f>
        <v>166194243</v>
      </c>
      <c r="C27" s="39">
        <f>'A5-Capex'!D63</f>
        <v>194273798</v>
      </c>
      <c r="D27" s="52">
        <f>'A5-Capex'!E63</f>
        <v>213642164</v>
      </c>
      <c r="E27" s="41">
        <f>'A5-Capex'!F63</f>
        <v>25696767</v>
      </c>
      <c r="F27" s="39">
        <f>'A5-Capex'!G63</f>
        <v>43762488</v>
      </c>
      <c r="G27" s="53">
        <f>'A5-Capex'!H63</f>
        <v>43762488</v>
      </c>
      <c r="H27" s="40">
        <f>'A5-Capex'!I63</f>
        <v>241516725</v>
      </c>
      <c r="I27" s="41">
        <f>'A5-Capex'!J63</f>
        <v>31621000</v>
      </c>
      <c r="J27" s="39">
        <f>'A5-Capex'!K63</f>
        <v>3756392</v>
      </c>
      <c r="K27" s="53">
        <f>'A5-Capex'!L63</f>
        <v>3986648</v>
      </c>
    </row>
    <row r="28" spans="1:12" ht="11.25" customHeight="1" x14ac:dyDescent="0.25">
      <c r="A28" s="371" t="s">
        <v>1173</v>
      </c>
      <c r="B28" s="98">
        <f>'A5-Capex'!C70</f>
        <v>96588188</v>
      </c>
      <c r="C28" s="39">
        <f>'A5-Capex'!D70</f>
        <v>112168084</v>
      </c>
      <c r="D28" s="52">
        <f>'A5-Capex'!E70</f>
        <v>121249308</v>
      </c>
      <c r="E28" s="41">
        <f>'A5-Capex'!F70</f>
        <v>15996767</v>
      </c>
      <c r="F28" s="39">
        <f>'A5-Capex'!G70</f>
        <v>25800002</v>
      </c>
      <c r="G28" s="53">
        <f>'A5-Capex'!H70</f>
        <v>25800002</v>
      </c>
      <c r="H28" s="40">
        <f>'A5-Capex'!I70</f>
        <v>135339364</v>
      </c>
      <c r="I28" s="41">
        <f>'A5-Capex'!J70</f>
        <v>24755000</v>
      </c>
      <c r="J28" s="39">
        <f>'A5-Capex'!K70</f>
        <v>17781000</v>
      </c>
      <c r="K28" s="53">
        <f>'A5-Capex'!L70</f>
        <v>18394000</v>
      </c>
    </row>
    <row r="29" spans="1:12" ht="1.9" customHeight="1" x14ac:dyDescent="0.25">
      <c r="A29" s="60"/>
      <c r="B29" s="98"/>
      <c r="C29" s="39"/>
      <c r="D29" s="52"/>
      <c r="E29" s="41"/>
      <c r="F29" s="39"/>
      <c r="G29" s="53"/>
      <c r="H29" s="40"/>
      <c r="I29" s="41"/>
      <c r="J29" s="39"/>
      <c r="K29" s="53"/>
    </row>
    <row r="30" spans="1:12" ht="11.25" customHeight="1" x14ac:dyDescent="0.25">
      <c r="A30" s="60" t="str">
        <f>'A5-Capex'!A72</f>
        <v>Borrowing</v>
      </c>
      <c r="B30" s="98">
        <f>'A5-Capex'!C72</f>
        <v>0</v>
      </c>
      <c r="C30" s="39">
        <f>'A5-Capex'!D72</f>
        <v>0</v>
      </c>
      <c r="D30" s="52">
        <f>'A5-Capex'!E72</f>
        <v>0</v>
      </c>
      <c r="E30" s="41">
        <f>'A5-Capex'!F72</f>
        <v>0</v>
      </c>
      <c r="F30" s="39">
        <f>'A5-Capex'!G72</f>
        <v>0</v>
      </c>
      <c r="G30" s="53">
        <f>'A5-Capex'!H72</f>
        <v>0</v>
      </c>
      <c r="H30" s="40">
        <f>'A5-Capex'!I72</f>
        <v>0</v>
      </c>
      <c r="I30" s="41">
        <f>'A5-Capex'!J72</f>
        <v>0</v>
      </c>
      <c r="J30" s="39">
        <f>'A5-Capex'!K72</f>
        <v>0</v>
      </c>
      <c r="K30" s="53">
        <f>'A5-Capex'!L72</f>
        <v>0</v>
      </c>
    </row>
    <row r="31" spans="1:12" ht="11.25" customHeight="1" x14ac:dyDescent="0.25">
      <c r="A31" s="60" t="str">
        <f>'A5-Capex'!A73</f>
        <v>Internally generated funds</v>
      </c>
      <c r="B31" s="98">
        <f>'A5-Capex'!C73</f>
        <v>69606055</v>
      </c>
      <c r="C31" s="39">
        <f>'A5-Capex'!D73</f>
        <v>82105714</v>
      </c>
      <c r="D31" s="52">
        <f>'A5-Capex'!E73</f>
        <v>92392856</v>
      </c>
      <c r="E31" s="41">
        <f>'A5-Capex'!F73</f>
        <v>9700000</v>
      </c>
      <c r="F31" s="39">
        <f>'A5-Capex'!G73</f>
        <v>17962486</v>
      </c>
      <c r="G31" s="53">
        <f>'A5-Capex'!H73</f>
        <v>17962486</v>
      </c>
      <c r="H31" s="40">
        <f>'A5-Capex'!I73</f>
        <v>106177361</v>
      </c>
      <c r="I31" s="41">
        <f>'A5-Capex'!J73</f>
        <v>6866000</v>
      </c>
      <c r="J31" s="39">
        <f>'A5-Capex'!K73</f>
        <v>756392</v>
      </c>
      <c r="K31" s="53">
        <f>'A5-Capex'!L73</f>
        <v>786648</v>
      </c>
    </row>
    <row r="32" spans="1:12" s="42" customFormat="1" ht="11.25" customHeight="1" x14ac:dyDescent="0.25">
      <c r="A32" s="61" t="s">
        <v>333</v>
      </c>
      <c r="B32" s="98">
        <f>+B28+B30+B31</f>
        <v>166194243</v>
      </c>
      <c r="C32" s="39">
        <f t="shared" ref="C32:K32" si="5">+C28+C30+C31</f>
        <v>194273798</v>
      </c>
      <c r="D32" s="52">
        <f t="shared" si="5"/>
        <v>213642164</v>
      </c>
      <c r="E32" s="41">
        <f t="shared" si="5"/>
        <v>25696767</v>
      </c>
      <c r="F32" s="39">
        <f t="shared" si="5"/>
        <v>43762488</v>
      </c>
      <c r="G32" s="53">
        <f t="shared" si="5"/>
        <v>43762488</v>
      </c>
      <c r="H32" s="40">
        <f t="shared" si="5"/>
        <v>241516725</v>
      </c>
      <c r="I32" s="41">
        <f t="shared" si="5"/>
        <v>31621000</v>
      </c>
      <c r="J32" s="39">
        <f t="shared" si="5"/>
        <v>18537392</v>
      </c>
      <c r="K32" s="53">
        <f t="shared" si="5"/>
        <v>19180648</v>
      </c>
    </row>
    <row r="33" spans="1:15" ht="4.9000000000000004" customHeight="1" x14ac:dyDescent="0.25">
      <c r="A33" s="61"/>
      <c r="B33" s="30"/>
      <c r="C33" s="31"/>
      <c r="D33" s="32"/>
      <c r="E33" s="30"/>
      <c r="F33" s="31"/>
      <c r="G33" s="32"/>
      <c r="H33" s="33"/>
      <c r="I33" s="30"/>
      <c r="J33" s="31"/>
      <c r="K33" s="32"/>
      <c r="O33" s="42"/>
    </row>
    <row r="34" spans="1:15" ht="11.25" customHeight="1" x14ac:dyDescent="0.25">
      <c r="A34" s="59" t="s">
        <v>174</v>
      </c>
      <c r="B34" s="26"/>
      <c r="C34" s="27"/>
      <c r="D34" s="28"/>
      <c r="E34" s="26"/>
      <c r="F34" s="27"/>
      <c r="G34" s="28"/>
      <c r="H34" s="29"/>
      <c r="I34" s="26"/>
      <c r="J34" s="27"/>
      <c r="K34" s="28"/>
      <c r="O34" s="42"/>
    </row>
    <row r="35" spans="1:15" ht="11.25" customHeight="1" x14ac:dyDescent="0.25">
      <c r="A35" s="60" t="str">
        <f>'A6-FinPos'!A12</f>
        <v>Total current assets</v>
      </c>
      <c r="B35" s="98">
        <f>'A6-FinPos'!C12</f>
        <v>77226691</v>
      </c>
      <c r="C35" s="39">
        <f>'A6-FinPos'!D12</f>
        <v>87790379</v>
      </c>
      <c r="D35" s="52">
        <f>'A6-FinPos'!E12</f>
        <v>90192295</v>
      </c>
      <c r="E35" s="41">
        <f>'A6-FinPos'!F12</f>
        <v>59719237</v>
      </c>
      <c r="F35" s="39">
        <f>'A6-FinPos'!G12</f>
        <v>55437479</v>
      </c>
      <c r="G35" s="53">
        <f>'A6-FinPos'!H12</f>
        <v>55437479</v>
      </c>
      <c r="H35" s="40">
        <f>'A6-FinPos'!I12</f>
        <v>71505257</v>
      </c>
      <c r="I35" s="41">
        <f>'A6-FinPos'!J12</f>
        <v>57497237</v>
      </c>
      <c r="J35" s="39">
        <f>'A6-FinPos'!K12</f>
        <v>36020871</v>
      </c>
      <c r="K35" s="53">
        <f>'A6-FinPos'!L12</f>
        <v>11378864</v>
      </c>
      <c r="O35" s="42"/>
    </row>
    <row r="36" spans="1:15" ht="11.25" customHeight="1" x14ac:dyDescent="0.25">
      <c r="A36" s="60" t="str">
        <f>'A6-FinPos'!A24</f>
        <v>Total non current assets</v>
      </c>
      <c r="B36" s="98">
        <f>'A6-FinPos'!C24</f>
        <v>124145368</v>
      </c>
      <c r="C36" s="39">
        <f>'A6-FinPos'!D24</f>
        <v>146340377</v>
      </c>
      <c r="D36" s="52">
        <f>'A6-FinPos'!E24</f>
        <v>158767832</v>
      </c>
      <c r="E36" s="41">
        <f>'A6-FinPos'!F24</f>
        <v>170645888</v>
      </c>
      <c r="F36" s="39">
        <f>'A6-FinPos'!G24</f>
        <v>205563457</v>
      </c>
      <c r="G36" s="53">
        <f>'A6-FinPos'!H24</f>
        <v>205563457</v>
      </c>
      <c r="H36" s="40">
        <f>'A6-FinPos'!I24</f>
        <v>304150412</v>
      </c>
      <c r="I36" s="41">
        <f>'A6-FinPos'!J24</f>
        <v>195680621</v>
      </c>
      <c r="J36" s="39">
        <f>'A6-FinPos'!K24</f>
        <v>153294743</v>
      </c>
      <c r="K36" s="53">
        <f>'A6-FinPos'!L24</f>
        <v>158769095</v>
      </c>
      <c r="O36" s="42"/>
    </row>
    <row r="37" spans="1:15" ht="11.25" customHeight="1" x14ac:dyDescent="0.25">
      <c r="A37" s="60" t="str">
        <f>'A6-FinPos'!A34</f>
        <v>Total current liabilities</v>
      </c>
      <c r="B37" s="98">
        <f>'A6-FinPos'!C34</f>
        <v>12959277</v>
      </c>
      <c r="C37" s="39">
        <f>'A6-FinPos'!D34</f>
        <v>13265572</v>
      </c>
      <c r="D37" s="52">
        <f>'A6-FinPos'!E34</f>
        <v>13210598</v>
      </c>
      <c r="E37" s="41">
        <f>'A6-FinPos'!F34</f>
        <v>2960907</v>
      </c>
      <c r="F37" s="39">
        <f>'A6-FinPos'!G34</f>
        <v>7097108</v>
      </c>
      <c r="G37" s="53">
        <f>'A6-FinPos'!H34</f>
        <v>7097108</v>
      </c>
      <c r="H37" s="40">
        <f>'A6-FinPos'!I34</f>
        <v>-22731850</v>
      </c>
      <c r="I37" s="41">
        <f>'A6-FinPos'!J34</f>
        <v>7985244</v>
      </c>
      <c r="J37" s="39">
        <f>'A6-FinPos'!K34</f>
        <v>8842149</v>
      </c>
      <c r="K37" s="53">
        <f>'A6-FinPos'!L34</f>
        <v>3105896</v>
      </c>
      <c r="O37" s="42"/>
    </row>
    <row r="38" spans="1:15" ht="11.25" customHeight="1" x14ac:dyDescent="0.25">
      <c r="A38" s="60" t="str">
        <f>'A6-FinPos'!A39</f>
        <v>Total non current liabilities</v>
      </c>
      <c r="B38" s="98">
        <f>'A6-FinPos'!C39</f>
        <v>2157960</v>
      </c>
      <c r="C38" s="39">
        <f>'A6-FinPos'!D39</f>
        <v>2590571</v>
      </c>
      <c r="D38" s="52">
        <f>'A6-FinPos'!E39</f>
        <v>2374000</v>
      </c>
      <c r="E38" s="41">
        <f>'A6-FinPos'!F39</f>
        <v>5110195</v>
      </c>
      <c r="F38" s="39">
        <f>'A6-FinPos'!G39</f>
        <v>6734332</v>
      </c>
      <c r="G38" s="53">
        <f>'A6-FinPos'!H39</f>
        <v>6734332</v>
      </c>
      <c r="H38" s="40">
        <f>'A6-FinPos'!I39</f>
        <v>-2374000</v>
      </c>
      <c r="I38" s="41">
        <f>'A6-FinPos'!J39</f>
        <v>4158000</v>
      </c>
      <c r="J38" s="39">
        <f>'A6-FinPos'!K39</f>
        <v>4158000</v>
      </c>
      <c r="K38" s="53">
        <f>'A6-FinPos'!L39</f>
        <v>4158000</v>
      </c>
      <c r="O38" s="42"/>
    </row>
    <row r="39" spans="1:15" ht="11.25" customHeight="1" x14ac:dyDescent="0.25">
      <c r="A39" s="60" t="s">
        <v>30</v>
      </c>
      <c r="B39" s="98">
        <f>'A6-FinPos'!C48</f>
        <v>139308231</v>
      </c>
      <c r="C39" s="39">
        <f>'A6-FinPos'!D48</f>
        <v>144864424</v>
      </c>
      <c r="D39" s="52">
        <f>'A6-FinPos'!E48</f>
        <v>145557824</v>
      </c>
      <c r="E39" s="41">
        <f>'A6-FinPos'!F48</f>
        <v>240175353</v>
      </c>
      <c r="F39" s="39">
        <f>'A6-FinPos'!G48</f>
        <v>247169496</v>
      </c>
      <c r="G39" s="53">
        <f>'A6-FinPos'!H48</f>
        <v>247169496</v>
      </c>
      <c r="H39" s="40">
        <f>'A6-FinPos'!I48</f>
        <v>-381095714</v>
      </c>
      <c r="I39" s="41">
        <f>'A6-FinPos'!J48</f>
        <v>241034614</v>
      </c>
      <c r="J39" s="39">
        <f>'A6-FinPos'!K48</f>
        <v>176315465</v>
      </c>
      <c r="K39" s="53">
        <f>'A6-FinPos'!L48</f>
        <v>162884063</v>
      </c>
      <c r="O39" s="42"/>
    </row>
    <row r="40" spans="1:15" ht="4.9000000000000004" customHeight="1" x14ac:dyDescent="0.25">
      <c r="A40" s="130"/>
      <c r="B40" s="19"/>
      <c r="C40" s="20"/>
      <c r="D40" s="21"/>
      <c r="E40" s="19"/>
      <c r="F40" s="20"/>
      <c r="G40" s="21"/>
      <c r="H40" s="22"/>
      <c r="I40" s="19"/>
      <c r="J40" s="20"/>
      <c r="K40" s="21"/>
      <c r="O40" s="42"/>
    </row>
    <row r="41" spans="1:15" ht="11.25" customHeight="1" x14ac:dyDescent="0.25">
      <c r="A41" s="59" t="s">
        <v>175</v>
      </c>
      <c r="B41" s="26"/>
      <c r="C41" s="27"/>
      <c r="D41" s="28"/>
      <c r="E41" s="26"/>
      <c r="F41" s="27"/>
      <c r="G41" s="28"/>
      <c r="H41" s="29"/>
      <c r="I41" s="26"/>
      <c r="J41" s="27"/>
      <c r="K41" s="28"/>
      <c r="O41" s="42"/>
    </row>
    <row r="42" spans="1:15" ht="11.25" customHeight="1" x14ac:dyDescent="0.25">
      <c r="A42" s="60" t="s">
        <v>847</v>
      </c>
      <c r="B42" s="98">
        <f>'A7-CFlow'!C17</f>
        <v>0</v>
      </c>
      <c r="C42" s="39">
        <f>'A7-CFlow'!D17</f>
        <v>0</v>
      </c>
      <c r="D42" s="52">
        <f>'A7-CFlow'!E17</f>
        <v>0</v>
      </c>
      <c r="E42" s="41">
        <f>'A7-CFlow'!F17</f>
        <v>118930533</v>
      </c>
      <c r="F42" s="39">
        <f>'A7-CFlow'!G17</f>
        <v>12850538</v>
      </c>
      <c r="G42" s="53">
        <f>'A7-CFlow'!H17</f>
        <v>12850538</v>
      </c>
      <c r="H42" s="40">
        <f>'A7-CFlow'!I17</f>
        <v>0</v>
      </c>
      <c r="I42" s="41">
        <f>'A7-CFlow'!J17</f>
        <v>6117275</v>
      </c>
      <c r="J42" s="39">
        <f>'A7-CFlow'!K17</f>
        <v>-3378417</v>
      </c>
      <c r="K42" s="53">
        <f>'A7-CFlow'!L17</f>
        <v>-7813831</v>
      </c>
    </row>
    <row r="43" spans="1:15" ht="11.25" customHeight="1" x14ac:dyDescent="0.25">
      <c r="A43" s="60" t="s">
        <v>848</v>
      </c>
      <c r="B43" s="98">
        <f>'A7-CFlow'!C27</f>
        <v>0</v>
      </c>
      <c r="C43" s="39">
        <f>'A7-CFlow'!D27</f>
        <v>0</v>
      </c>
      <c r="D43" s="52">
        <f>'A7-CFlow'!E27</f>
        <v>0</v>
      </c>
      <c r="E43" s="41">
        <f>'A7-CFlow'!F27</f>
        <v>0</v>
      </c>
      <c r="F43" s="39">
        <f>'A7-CFlow'!G27</f>
        <v>-43762488</v>
      </c>
      <c r="G43" s="53">
        <f>'A7-CFlow'!H27</f>
        <v>-43762488</v>
      </c>
      <c r="H43" s="40">
        <f>'A7-CFlow'!I27</f>
        <v>0</v>
      </c>
      <c r="I43" s="41">
        <f>'A7-CFlow'!J27</f>
        <v>-31621000</v>
      </c>
      <c r="J43" s="39">
        <f>'A7-CFlow'!K27</f>
        <v>-17871000</v>
      </c>
      <c r="K43" s="53">
        <f>'A7-CFlow'!L27</f>
        <v>-18394000</v>
      </c>
    </row>
    <row r="44" spans="1:15" ht="11.25" customHeight="1" x14ac:dyDescent="0.25">
      <c r="A44" s="60" t="s">
        <v>846</v>
      </c>
      <c r="B44" s="98">
        <f>'A7-CFlow'!C36</f>
        <v>0</v>
      </c>
      <c r="C44" s="39">
        <f>'A7-CFlow'!D36</f>
        <v>0</v>
      </c>
      <c r="D44" s="52">
        <f>'A7-CFlow'!E36</f>
        <v>0</v>
      </c>
      <c r="E44" s="41">
        <f>'A7-CFlow'!F36</f>
        <v>0</v>
      </c>
      <c r="F44" s="39">
        <f>'A7-CFlow'!G36</f>
        <v>0</v>
      </c>
      <c r="G44" s="53">
        <f>'A7-CFlow'!H36</f>
        <v>0</v>
      </c>
      <c r="H44" s="40">
        <f>'A7-CFlow'!I36</f>
        <v>0</v>
      </c>
      <c r="I44" s="41">
        <f>'A7-CFlow'!J36</f>
        <v>0</v>
      </c>
      <c r="J44" s="39">
        <f>'A7-CFlow'!K36</f>
        <v>0</v>
      </c>
      <c r="K44" s="53">
        <f>'A7-CFlow'!L36</f>
        <v>0</v>
      </c>
    </row>
    <row r="45" spans="1:15" ht="11.25" customHeight="1" x14ac:dyDescent="0.25">
      <c r="A45" s="61" t="str">
        <f>LEFT('A7-CFlow'!A40,37)</f>
        <v>Cash/cash equivalents at the year end</v>
      </c>
      <c r="B45" s="98">
        <f>'A7-CFlow'!C40</f>
        <v>0</v>
      </c>
      <c r="C45" s="39">
        <f>'A7-CFlow'!D40</f>
        <v>0</v>
      </c>
      <c r="D45" s="52">
        <f>'A7-CFlow'!E40</f>
        <v>0</v>
      </c>
      <c r="E45" s="41">
        <f>'A7-CFlow'!F40</f>
        <v>118930533</v>
      </c>
      <c r="F45" s="39">
        <f>'A7-CFlow'!G40</f>
        <v>-30911950</v>
      </c>
      <c r="G45" s="53">
        <f>'A7-CFlow'!H40</f>
        <v>-30911950</v>
      </c>
      <c r="H45" s="40">
        <f>'A7-CFlow'!I40</f>
        <v>0</v>
      </c>
      <c r="I45" s="41">
        <f>'A7-CFlow'!J40</f>
        <v>30811927</v>
      </c>
      <c r="J45" s="39">
        <f>'A7-CFlow'!K40</f>
        <v>9562510</v>
      </c>
      <c r="K45" s="53">
        <f>'A7-CFlow'!L40</f>
        <v>-16645321</v>
      </c>
    </row>
    <row r="46" spans="1:15" ht="4.9000000000000004" customHeight="1" x14ac:dyDescent="0.25">
      <c r="A46" s="130"/>
      <c r="B46" s="19"/>
      <c r="C46" s="20"/>
      <c r="D46" s="21"/>
      <c r="E46" s="19"/>
      <c r="F46" s="20"/>
      <c r="G46" s="21"/>
      <c r="H46" s="22"/>
      <c r="I46" s="19"/>
      <c r="J46" s="20"/>
      <c r="K46" s="21"/>
    </row>
    <row r="47" spans="1:15" ht="11.25" customHeight="1" x14ac:dyDescent="0.25">
      <c r="A47" s="59" t="s">
        <v>241</v>
      </c>
      <c r="B47" s="26"/>
      <c r="C47" s="27"/>
      <c r="D47" s="28"/>
      <c r="E47" s="26"/>
      <c r="F47" s="27"/>
      <c r="G47" s="28"/>
      <c r="H47" s="29"/>
      <c r="I47" s="26"/>
      <c r="J47" s="27"/>
      <c r="K47" s="28"/>
    </row>
    <row r="48" spans="1:15" ht="11.25" customHeight="1" x14ac:dyDescent="0.25">
      <c r="A48" s="60" t="str">
        <f>'A8-ResRecon'!A4</f>
        <v>Cash and investments available</v>
      </c>
      <c r="B48" s="98">
        <f>'A8-ResRecon'!C8</f>
        <v>58973141</v>
      </c>
      <c r="C48" s="39">
        <f>'A8-ResRecon'!D8</f>
        <v>63942251</v>
      </c>
      <c r="D48" s="52">
        <f>'A8-ResRecon'!E8</f>
        <v>65455921</v>
      </c>
      <c r="E48" s="41">
        <f>'A8-ResRecon'!F8</f>
        <v>60543564</v>
      </c>
      <c r="F48" s="39">
        <f>'A8-ResRecon'!G8</f>
        <v>34535194</v>
      </c>
      <c r="G48" s="53">
        <f>'A8-ResRecon'!H8</f>
        <v>34535194</v>
      </c>
      <c r="H48" s="40">
        <f>'A8-ResRecon'!I8</f>
        <v>39483335</v>
      </c>
      <c r="I48" s="41">
        <f>'A8-ResRecon'!J8</f>
        <v>30811927</v>
      </c>
      <c r="J48" s="39">
        <f>'A8-ResRecon'!K8</f>
        <v>9562235</v>
      </c>
      <c r="K48" s="53">
        <f>'A8-ResRecon'!L8</f>
        <v>-16645179</v>
      </c>
    </row>
    <row r="49" spans="1:12" ht="11.25" customHeight="1" x14ac:dyDescent="0.25">
      <c r="A49" s="60" t="str">
        <f>'A8-ResRecon'!A10</f>
        <v>Application of cash and investments</v>
      </c>
      <c r="B49" s="98">
        <f>'A8-ResRecon'!C18</f>
        <v>10156891</v>
      </c>
      <c r="C49" s="39">
        <f>'A8-ResRecon'!D18</f>
        <v>9240982</v>
      </c>
      <c r="D49" s="52">
        <f>'A8-ResRecon'!E18</f>
        <v>8296253</v>
      </c>
      <c r="E49" s="41">
        <f>'A8-ResRecon'!F18</f>
        <v>1047812</v>
      </c>
      <c r="F49" s="39">
        <f>'A8-ResRecon'!G18</f>
        <v>-14336633</v>
      </c>
      <c r="G49" s="53">
        <f>'A8-ResRecon'!H18</f>
        <v>-14336633</v>
      </c>
      <c r="H49" s="40">
        <f>'A8-ResRecon'!I18</f>
        <v>-16806450</v>
      </c>
      <c r="I49" s="41">
        <f>'A8-ResRecon'!J18</f>
        <v>-19298497</v>
      </c>
      <c r="J49" s="39">
        <f>'A8-ResRecon'!K18</f>
        <v>-17001592</v>
      </c>
      <c r="K49" s="53">
        <f>'A8-ResRecon'!L18</f>
        <v>-24396845</v>
      </c>
    </row>
    <row r="50" spans="1:12" ht="11.25" customHeight="1" x14ac:dyDescent="0.25">
      <c r="A50" s="61" t="s">
        <v>940</v>
      </c>
      <c r="B50" s="98">
        <f>B48-B49</f>
        <v>48816250</v>
      </c>
      <c r="C50" s="39">
        <f t="shared" ref="C50:K50" si="6">C48-C49</f>
        <v>54701269</v>
      </c>
      <c r="D50" s="52">
        <f t="shared" si="6"/>
        <v>57159668</v>
      </c>
      <c r="E50" s="41">
        <f t="shared" si="6"/>
        <v>59495752</v>
      </c>
      <c r="F50" s="39">
        <f t="shared" si="6"/>
        <v>48871827</v>
      </c>
      <c r="G50" s="53">
        <f t="shared" si="6"/>
        <v>48871827</v>
      </c>
      <c r="H50" s="40">
        <f t="shared" si="6"/>
        <v>56289785</v>
      </c>
      <c r="I50" s="41">
        <f t="shared" si="6"/>
        <v>50110424</v>
      </c>
      <c r="J50" s="39">
        <f t="shared" si="6"/>
        <v>26563827</v>
      </c>
      <c r="K50" s="53">
        <f t="shared" si="6"/>
        <v>7751666</v>
      </c>
    </row>
    <row r="51" spans="1:12" ht="4.9000000000000004" customHeight="1" x14ac:dyDescent="0.25">
      <c r="A51" s="67"/>
      <c r="B51" s="34"/>
      <c r="C51" s="35"/>
      <c r="D51" s="36"/>
      <c r="E51" s="34"/>
      <c r="F51" s="35"/>
      <c r="G51" s="36"/>
      <c r="H51" s="37"/>
      <c r="I51" s="34"/>
      <c r="J51" s="35"/>
      <c r="K51" s="36"/>
    </row>
    <row r="52" spans="1:12" ht="11.25" customHeight="1" x14ac:dyDescent="0.25">
      <c r="A52" s="131" t="s">
        <v>1077</v>
      </c>
      <c r="B52" s="19"/>
      <c r="C52" s="20"/>
      <c r="D52" s="21"/>
      <c r="E52" s="19"/>
      <c r="F52" s="20"/>
      <c r="G52" s="21"/>
      <c r="H52" s="22"/>
      <c r="I52" s="19"/>
      <c r="J52" s="20"/>
      <c r="K52" s="21"/>
      <c r="L52" s="49"/>
    </row>
    <row r="53" spans="1:12" ht="11.25" customHeight="1" x14ac:dyDescent="0.25">
      <c r="A53" s="132" t="s">
        <v>824</v>
      </c>
      <c r="B53" s="98">
        <f>'A9-Asset'!C165</f>
        <v>124145368</v>
      </c>
      <c r="C53" s="39">
        <f>'A9-Asset'!D165</f>
        <v>146340377</v>
      </c>
      <c r="D53" s="52">
        <f>'A9-Asset'!E165</f>
        <v>158767832</v>
      </c>
      <c r="E53" s="41">
        <f>'A9-Asset'!F165</f>
        <v>170645888</v>
      </c>
      <c r="F53" s="39">
        <f>'A9-Asset'!G165</f>
        <v>221147723</v>
      </c>
      <c r="G53" s="53">
        <f>'A9-Asset'!H165</f>
        <v>221147723</v>
      </c>
      <c r="H53" s="40">
        <f>'A9-Asset'!H165</f>
        <v>221147723</v>
      </c>
      <c r="I53" s="41">
        <f>'A9-Asset'!I165</f>
        <v>211264887</v>
      </c>
      <c r="J53" s="39">
        <f>'A9-Asset'!J165</f>
        <v>170134478</v>
      </c>
      <c r="K53" s="53">
        <f>'A9-Asset'!K165</f>
        <v>176282419</v>
      </c>
      <c r="L53" s="49"/>
    </row>
    <row r="54" spans="1:12" ht="11.25" customHeight="1" x14ac:dyDescent="0.25">
      <c r="A54" s="132" t="str">
        <f>'A9-Asset'!A168</f>
        <v>Depreciation</v>
      </c>
      <c r="B54" s="98">
        <f>'A9-Asset'!C168</f>
        <v>8790784</v>
      </c>
      <c r="C54" s="39">
        <f>'A9-Asset'!D168</f>
        <v>8722456</v>
      </c>
      <c r="D54" s="52">
        <f>'A9-Asset'!E168</f>
        <v>9318525</v>
      </c>
      <c r="E54" s="41">
        <f>'A9-Asset'!F168</f>
        <v>11173339</v>
      </c>
      <c r="F54" s="39">
        <f>'A9-Asset'!G168</f>
        <v>11173339</v>
      </c>
      <c r="G54" s="53">
        <f>'A9-Asset'!H168</f>
        <v>11173339</v>
      </c>
      <c r="H54" s="40">
        <f>'A9-Asset'!H168</f>
        <v>11173339</v>
      </c>
      <c r="I54" s="41">
        <f>'A9-Asset'!I168</f>
        <v>11609097</v>
      </c>
      <c r="J54" s="39">
        <f>'A9-Asset'!J168</f>
        <v>12073463</v>
      </c>
      <c r="K54" s="53">
        <f>'A9-Asset'!K168</f>
        <v>12556402</v>
      </c>
      <c r="L54" s="49"/>
    </row>
    <row r="55" spans="1:12" ht="11.25" customHeight="1" x14ac:dyDescent="0.25">
      <c r="A55" s="132" t="s">
        <v>2521</v>
      </c>
      <c r="B55" s="98">
        <f>'A9-Asset'!C37+'A9-Asset'!C69</f>
        <v>603494</v>
      </c>
      <c r="C55" s="39">
        <f>'A9-Asset'!D37+'A9-Asset'!D69</f>
        <v>2214342</v>
      </c>
      <c r="D55" s="52">
        <f>'A9-Asset'!E37+'A9-Asset'!E69</f>
        <v>1</v>
      </c>
      <c r="E55" s="41">
        <f>'A9-Asset'!F37+'A9-Asset'!F69</f>
        <v>1000000</v>
      </c>
      <c r="F55" s="39">
        <f>'A9-Asset'!G37+'A9-Asset'!G69</f>
        <v>1550000</v>
      </c>
      <c r="G55" s="53">
        <f>'A9-Asset'!H37+'A9-Asset'!H69</f>
        <v>1550000</v>
      </c>
      <c r="H55" s="40">
        <f>'A9-Asset'!H37+'A9-Asset'!H69</f>
        <v>1550000</v>
      </c>
      <c r="I55" s="41">
        <f>'A9-Asset'!I37+'A9-Asset'!I69</f>
        <v>5161000</v>
      </c>
      <c r="J55" s="39">
        <f>'A9-Asset'!J37+'A9-Asset'!J69</f>
        <v>0</v>
      </c>
      <c r="K55" s="53">
        <f>'A9-Asset'!K37+'A9-Asset'!K69</f>
        <v>0</v>
      </c>
      <c r="L55" s="49"/>
    </row>
    <row r="56" spans="1:12" ht="11.25" customHeight="1" x14ac:dyDescent="0.25">
      <c r="A56" s="132" t="s">
        <v>380</v>
      </c>
      <c r="B56" s="98">
        <f>'A9-Asset'!C169</f>
        <v>3251722</v>
      </c>
      <c r="C56" s="39">
        <f>'A9-Asset'!D169</f>
        <v>4631400</v>
      </c>
      <c r="D56" s="52">
        <f>'A9-Asset'!E169</f>
        <v>8316075</v>
      </c>
      <c r="E56" s="41">
        <f>'A9-Asset'!F169</f>
        <v>16880000</v>
      </c>
      <c r="F56" s="39">
        <f>'A9-Asset'!G169</f>
        <v>30830520</v>
      </c>
      <c r="G56" s="53">
        <f>'A9-Asset'!H169</f>
        <v>30830520</v>
      </c>
      <c r="H56" s="40">
        <f>'A9-Asset'!H169</f>
        <v>30830520</v>
      </c>
      <c r="I56" s="41">
        <f>'A9-Asset'!I169</f>
        <v>28218220</v>
      </c>
      <c r="J56" s="39">
        <f>'A9-Asset'!J169</f>
        <v>21800949</v>
      </c>
      <c r="K56" s="53">
        <f>'A9-Asset'!K169</f>
        <v>22855987</v>
      </c>
      <c r="L56" s="49"/>
    </row>
    <row r="57" spans="1:12" ht="4.9000000000000004" customHeight="1" x14ac:dyDescent="0.25">
      <c r="A57" s="133"/>
      <c r="B57" s="64"/>
      <c r="C57" s="62"/>
      <c r="D57" s="63"/>
      <c r="E57" s="64"/>
      <c r="F57" s="62"/>
      <c r="G57" s="63"/>
      <c r="H57" s="65"/>
      <c r="I57" s="64"/>
      <c r="J57" s="62"/>
      <c r="K57" s="63"/>
      <c r="L57" s="49"/>
    </row>
    <row r="58" spans="1:12" ht="11.25" customHeight="1" x14ac:dyDescent="0.25">
      <c r="A58" s="131" t="s">
        <v>695</v>
      </c>
      <c r="B58" s="19"/>
      <c r="C58" s="20"/>
      <c r="D58" s="21"/>
      <c r="E58" s="19"/>
      <c r="F58" s="20"/>
      <c r="G58" s="21"/>
      <c r="H58" s="22"/>
      <c r="I58" s="23"/>
      <c r="J58" s="24"/>
      <c r="K58" s="25"/>
      <c r="L58" s="49"/>
    </row>
    <row r="59" spans="1:12" ht="11.25" customHeight="1" x14ac:dyDescent="0.25">
      <c r="A59" s="370" t="s">
        <v>697</v>
      </c>
      <c r="B59" s="98">
        <f>'A10-SerDel'!C60</f>
        <v>0</v>
      </c>
      <c r="C59" s="39">
        <f>'A10-SerDel'!D60</f>
        <v>0</v>
      </c>
      <c r="D59" s="52">
        <f>'A10-SerDel'!E60</f>
        <v>0</v>
      </c>
      <c r="E59" s="41">
        <f>'A10-SerDel'!F60</f>
        <v>0</v>
      </c>
      <c r="F59" s="39">
        <f>'A10-SerDel'!G60</f>
        <v>0</v>
      </c>
      <c r="G59" s="53">
        <f>'A10-SerDel'!H60</f>
        <v>0</v>
      </c>
      <c r="H59" s="40">
        <f>'A10-SerDel'!I60</f>
        <v>0</v>
      </c>
      <c r="I59" s="41">
        <f>'A10-SerDel'!I60</f>
        <v>0</v>
      </c>
      <c r="J59" s="39">
        <f>'A10-SerDel'!J60</f>
        <v>0</v>
      </c>
      <c r="K59" s="53">
        <f>'A10-SerDel'!K60</f>
        <v>0</v>
      </c>
      <c r="L59" s="49"/>
    </row>
    <row r="60" spans="1:12" ht="11.25" customHeight="1" x14ac:dyDescent="0.25">
      <c r="A60" s="370" t="s">
        <v>428</v>
      </c>
      <c r="B60" s="98">
        <f>'A10-SerDel'!C79</f>
        <v>-1535370</v>
      </c>
      <c r="C60" s="39">
        <f>'A10-SerDel'!D79</f>
        <v>-1594316</v>
      </c>
      <c r="D60" s="52">
        <f>'A10-SerDel'!E79</f>
        <v>-2240852</v>
      </c>
      <c r="E60" s="41">
        <f>'A10-SerDel'!F79</f>
        <v>1507430</v>
      </c>
      <c r="F60" s="39">
        <f>'A10-SerDel'!G79</f>
        <v>1507430</v>
      </c>
      <c r="G60" s="53">
        <f>'A10-SerDel'!H79</f>
        <v>1507430</v>
      </c>
      <c r="H60" s="40">
        <f>'A10-SerDel'!I79</f>
        <v>1566222</v>
      </c>
      <c r="I60" s="41">
        <f>'A10-SerDel'!I79</f>
        <v>1566222</v>
      </c>
      <c r="J60" s="39">
        <f>'A10-SerDel'!J79</f>
        <v>1628867</v>
      </c>
      <c r="K60" s="53">
        <f>'A10-SerDel'!K79</f>
        <v>1694023</v>
      </c>
      <c r="L60" s="49"/>
    </row>
    <row r="61" spans="1:12" ht="11.25" customHeight="1" x14ac:dyDescent="0.25">
      <c r="A61" s="372" t="s">
        <v>696</v>
      </c>
      <c r="B61" s="23"/>
      <c r="C61" s="24"/>
      <c r="D61" s="25"/>
      <c r="E61" s="23"/>
      <c r="F61" s="24"/>
      <c r="G61" s="25"/>
      <c r="H61" s="54"/>
      <c r="I61" s="23"/>
      <c r="J61" s="24"/>
      <c r="K61" s="25"/>
      <c r="L61" s="49"/>
    </row>
    <row r="62" spans="1:12" ht="11.25" customHeight="1" x14ac:dyDescent="0.25">
      <c r="A62" s="250" t="str">
        <f>'A10-SerDel'!A5</f>
        <v>Water:</v>
      </c>
      <c r="B62" s="44">
        <f>'A10-SerDel'!C14</f>
        <v>0</v>
      </c>
      <c r="C62" s="43">
        <f>'A10-SerDel'!D14</f>
        <v>0</v>
      </c>
      <c r="D62" s="46">
        <f>'A10-SerDel'!E14</f>
        <v>0</v>
      </c>
      <c r="E62" s="44">
        <f>'A10-SerDel'!F14</f>
        <v>0</v>
      </c>
      <c r="F62" s="43">
        <f>'A10-SerDel'!G14</f>
        <v>0</v>
      </c>
      <c r="G62" s="46">
        <f>'A10-SerDel'!H14</f>
        <v>0</v>
      </c>
      <c r="H62" s="45">
        <f>'A10-SerDel'!I14</f>
        <v>0</v>
      </c>
      <c r="I62" s="44">
        <f>'A10-SerDel'!I14</f>
        <v>0</v>
      </c>
      <c r="J62" s="43">
        <f>'A10-SerDel'!J14</f>
        <v>0</v>
      </c>
      <c r="K62" s="46">
        <f>'A10-SerDel'!K14</f>
        <v>0</v>
      </c>
      <c r="L62" s="49"/>
    </row>
    <row r="63" spans="1:12" ht="11.25" customHeight="1" x14ac:dyDescent="0.25">
      <c r="A63" s="250" t="str">
        <f>'A10-SerDel'!A16</f>
        <v>Sanitation/sewerage:</v>
      </c>
      <c r="B63" s="44">
        <f>'A10-SerDel'!C26</f>
        <v>0</v>
      </c>
      <c r="C63" s="43">
        <f>'A10-SerDel'!D26</f>
        <v>0</v>
      </c>
      <c r="D63" s="46">
        <f>'A10-SerDel'!E26</f>
        <v>0</v>
      </c>
      <c r="E63" s="44">
        <f>'A10-SerDel'!F26</f>
        <v>0</v>
      </c>
      <c r="F63" s="43">
        <f>'A10-SerDel'!G26</f>
        <v>0</v>
      </c>
      <c r="G63" s="46">
        <f>'A10-SerDel'!H26</f>
        <v>0</v>
      </c>
      <c r="H63" s="45">
        <f>'A10-SerDel'!I26</f>
        <v>0</v>
      </c>
      <c r="I63" s="44">
        <f>'A10-SerDel'!I26</f>
        <v>0</v>
      </c>
      <c r="J63" s="43">
        <f>'A10-SerDel'!J26</f>
        <v>0</v>
      </c>
      <c r="K63" s="46">
        <f>'A10-SerDel'!K26</f>
        <v>0</v>
      </c>
      <c r="L63" s="49"/>
    </row>
    <row r="64" spans="1:12" ht="11.25" customHeight="1" x14ac:dyDescent="0.25">
      <c r="A64" s="250" t="str">
        <f>'A10-SerDel'!A28</f>
        <v>Energy:</v>
      </c>
      <c r="B64" s="44">
        <f>'A10-SerDel'!C35</f>
        <v>0</v>
      </c>
      <c r="C64" s="43">
        <f>'A10-SerDel'!D35</f>
        <v>0</v>
      </c>
      <c r="D64" s="46">
        <f>'A10-SerDel'!E35</f>
        <v>0</v>
      </c>
      <c r="E64" s="44">
        <f>'A10-SerDel'!F35</f>
        <v>0</v>
      </c>
      <c r="F64" s="43">
        <f>'A10-SerDel'!G35</f>
        <v>0</v>
      </c>
      <c r="G64" s="46">
        <f>'A10-SerDel'!H35</f>
        <v>0</v>
      </c>
      <c r="H64" s="45">
        <f>'A10-SerDel'!I35</f>
        <v>0</v>
      </c>
      <c r="I64" s="44">
        <f>'A10-SerDel'!I35</f>
        <v>0</v>
      </c>
      <c r="J64" s="43">
        <f>'A10-SerDel'!J35</f>
        <v>0</v>
      </c>
      <c r="K64" s="46">
        <f>'A10-SerDel'!K35</f>
        <v>0</v>
      </c>
      <c r="L64" s="49"/>
    </row>
    <row r="65" spans="1:12" ht="11.25" customHeight="1" x14ac:dyDescent="0.25">
      <c r="A65" s="250" t="str">
        <f>'A10-SerDel'!A37</f>
        <v>Refuse:</v>
      </c>
      <c r="B65" s="44">
        <f>'A10-SerDel'!C45</f>
        <v>0</v>
      </c>
      <c r="C65" s="43">
        <f>'A10-SerDel'!D45</f>
        <v>0</v>
      </c>
      <c r="D65" s="46">
        <f>'A10-SerDel'!E45</f>
        <v>0</v>
      </c>
      <c r="E65" s="44">
        <f>'A10-SerDel'!F45</f>
        <v>0</v>
      </c>
      <c r="F65" s="43">
        <f>'A10-SerDel'!G45</f>
        <v>0</v>
      </c>
      <c r="G65" s="46">
        <f>'A10-SerDel'!H45</f>
        <v>0</v>
      </c>
      <c r="H65" s="45">
        <f>'A10-SerDel'!I45</f>
        <v>0</v>
      </c>
      <c r="I65" s="44">
        <f>'A10-SerDel'!I45</f>
        <v>0</v>
      </c>
      <c r="J65" s="43">
        <f>'A10-SerDel'!J45</f>
        <v>0</v>
      </c>
      <c r="K65" s="46">
        <f>'A10-SerDel'!K45</f>
        <v>0</v>
      </c>
      <c r="L65" s="49"/>
    </row>
    <row r="66" spans="1:12" ht="4.9000000000000004" customHeight="1" x14ac:dyDescent="0.25">
      <c r="A66" s="133"/>
      <c r="B66" s="64"/>
      <c r="C66" s="62"/>
      <c r="D66" s="63"/>
      <c r="E66" s="64"/>
      <c r="F66" s="62"/>
      <c r="G66" s="63"/>
      <c r="H66" s="65"/>
      <c r="I66" s="64"/>
      <c r="J66" s="62"/>
      <c r="K66" s="63"/>
      <c r="L66" s="49"/>
    </row>
    <row r="67" spans="1:12" ht="4.5" customHeight="1" x14ac:dyDescent="0.25">
      <c r="A67" s="42"/>
      <c r="B67" s="22"/>
      <c r="C67" s="22"/>
      <c r="D67" s="22"/>
      <c r="E67" s="22"/>
      <c r="F67" s="22"/>
      <c r="G67" s="22"/>
      <c r="H67" s="22"/>
      <c r="I67" s="22"/>
      <c r="J67" s="22"/>
      <c r="K67" s="22"/>
    </row>
    <row r="68" spans="1:12" x14ac:dyDescent="0.25">
      <c r="A68" s="38"/>
      <c r="B68" s="38"/>
      <c r="C68" s="38"/>
      <c r="D68" s="38"/>
      <c r="E68" s="38"/>
      <c r="F68" s="38"/>
      <c r="G68" s="38"/>
      <c r="H68" s="38"/>
      <c r="I68" s="38"/>
      <c r="J68" s="38"/>
      <c r="K68" s="38"/>
    </row>
  </sheetData>
  <sheetProtection selectLockedCells="1" selectUnlockedCells="1"/>
  <mergeCells count="3">
    <mergeCell ref="I2:K2"/>
    <mergeCell ref="E2:H2"/>
    <mergeCell ref="A1:C1"/>
  </mergeCells>
  <phoneticPr fontId="7" type="noConversion"/>
  <printOptions horizontalCentered="1"/>
  <pageMargins left="0.35" right="0.2" top="0.78740157480314998" bottom="0.59055118110236204" header="0.511811023622047" footer="0.39370078740157499"/>
  <pageSetup paperSize="9" scale="81"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7E4401F70939B408F4A9CF3E0982304" ma:contentTypeVersion="1" ma:contentTypeDescription="Create a new document." ma:contentTypeScope="" ma:versionID="892be51ac872460a567cba351f69e0e7">
  <xsd:schema xmlns:xsd="http://www.w3.org/2001/XMLSchema" xmlns:xs="http://www.w3.org/2001/XMLSchema" xmlns:p="http://schemas.microsoft.com/office/2006/metadata/properties" xmlns:ns1="http://schemas.microsoft.com/sharepoint/v3" targetNamespace="http://schemas.microsoft.com/office/2006/metadata/properties" ma:root="true" ma:fieldsID="a447206dab0015f8b9f8924535193e8c"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 ma:hidden="true" ma:internalName="PublishingStartDate">
      <xsd:simpleType>
        <xsd:restriction base="dms:Unknown"/>
      </xsd:simpleType>
    </xsd:element>
    <xsd:element name="PublishingExpirationDate" ma:index="9" nillable="true" ma:displayName="Scheduling End Date" ma:description="" ma:hidden="tru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BF39E9AE-D95F-4FCE-81A3-7D45340A29B6}">
  <ds:schemaRefs>
    <ds:schemaRef ds:uri="http://schemas.microsoft.com/sharepoint/v3/contenttype/forms"/>
  </ds:schemaRefs>
</ds:datastoreItem>
</file>

<file path=customXml/itemProps2.xml><?xml version="1.0" encoding="utf-8"?>
<ds:datastoreItem xmlns:ds="http://schemas.openxmlformats.org/officeDocument/2006/customXml" ds:itemID="{31E0EB40-60D8-4339-AF17-1230DC230D4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BE776A8-5EC8-499F-B0EC-4A709A88C151}">
  <ds:schemaRefs>
    <ds:schemaRef ds:uri="http://schemas.openxmlformats.org/package/2006/metadata/core-properties"/>
    <ds:schemaRef ds:uri="http://purl.org/dc/dcmitype/"/>
    <ds:schemaRef ds:uri="http://schemas.microsoft.com/office/2006/documentManagement/types"/>
    <ds:schemaRef ds:uri="http://purl.org/dc/elements/1.1/"/>
    <ds:schemaRef ds:uri="http://schemas.microsoft.com/office/2006/metadata/properties"/>
    <ds:schemaRef ds:uri="http://schemas.microsoft.com/sharepoint/v3"/>
    <ds:schemaRef ds:uri="http://purl.org/dc/terms/"/>
    <ds:schemaRef ds:uri="http://schemas.microsoft.com/office/infopath/2007/PartnerControl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62</vt:i4>
      </vt:variant>
      <vt:variant>
        <vt:lpstr>Named Ranges</vt:lpstr>
      </vt:variant>
      <vt:variant>
        <vt:i4>357</vt:i4>
      </vt:variant>
    </vt:vector>
  </HeadingPairs>
  <TitlesOfParts>
    <vt:vector size="419" baseType="lpstr">
      <vt:lpstr>START</vt:lpstr>
      <vt:lpstr>Instructions</vt:lpstr>
      <vt:lpstr>Org structure</vt:lpstr>
      <vt:lpstr>Contacts</vt:lpstr>
      <vt:lpstr>A1-Sum</vt:lpstr>
      <vt:lpstr>A2-FinPerf SC</vt:lpstr>
      <vt:lpstr>A2A</vt:lpstr>
      <vt:lpstr>A3-FinPerf V</vt:lpstr>
      <vt:lpstr>A3A</vt:lpstr>
      <vt:lpstr>A4-FinPerf RE</vt:lpstr>
      <vt:lpstr>A5-Capex</vt:lpstr>
      <vt:lpstr>A5A</vt:lpstr>
      <vt:lpstr>A6-FinPos</vt:lpstr>
      <vt:lpstr>A7-CFlow</vt:lpstr>
      <vt:lpstr>A8-ResRecon</vt:lpstr>
      <vt:lpstr>A9-Asset</vt:lpstr>
      <vt:lpstr>A10-SerDel</vt:lpstr>
      <vt:lpstr>SA1</vt:lpstr>
      <vt:lpstr>SA2</vt:lpstr>
      <vt:lpstr>SA3</vt:lpstr>
      <vt:lpstr>SA4</vt:lpstr>
      <vt:lpstr>SA5</vt:lpstr>
      <vt:lpstr>SA6</vt:lpstr>
      <vt:lpstr>SA7</vt:lpstr>
      <vt:lpstr>SA8</vt:lpstr>
      <vt:lpstr>SA9</vt:lpstr>
      <vt:lpstr>SA10</vt:lpstr>
      <vt:lpstr>SA11</vt:lpstr>
      <vt:lpstr>SA12a</vt:lpstr>
      <vt:lpstr>SA12b</vt:lpstr>
      <vt:lpstr>SA13a</vt:lpstr>
      <vt:lpstr>SA13b</vt:lpstr>
      <vt:lpstr>SA14</vt:lpstr>
      <vt:lpstr>SA15</vt:lpstr>
      <vt:lpstr>SA16</vt:lpstr>
      <vt:lpstr>SA17</vt:lpstr>
      <vt:lpstr>SA18</vt:lpstr>
      <vt:lpstr>SA19</vt:lpstr>
      <vt:lpstr>SA20</vt:lpstr>
      <vt:lpstr>SA21</vt:lpstr>
      <vt:lpstr>SA22</vt:lpstr>
      <vt:lpstr>SA23</vt:lpstr>
      <vt:lpstr>SA24</vt:lpstr>
      <vt:lpstr>SA25</vt:lpstr>
      <vt:lpstr>SA26</vt:lpstr>
      <vt:lpstr>SA27</vt:lpstr>
      <vt:lpstr>SA28</vt:lpstr>
      <vt:lpstr>SA29</vt:lpstr>
      <vt:lpstr>SA30</vt:lpstr>
      <vt:lpstr>SA31</vt:lpstr>
      <vt:lpstr>SA32</vt:lpstr>
      <vt:lpstr>SA33</vt:lpstr>
      <vt:lpstr>SA34a</vt:lpstr>
      <vt:lpstr>SA34b</vt:lpstr>
      <vt:lpstr>SA34c</vt:lpstr>
      <vt:lpstr>SA34d</vt:lpstr>
      <vt:lpstr>SA34e</vt:lpstr>
      <vt:lpstr>SA35</vt:lpstr>
      <vt:lpstr>SA36</vt:lpstr>
      <vt:lpstr>SA37</vt:lpstr>
      <vt:lpstr>SA38</vt:lpstr>
      <vt:lpstr>LGDB_EXPORT</vt:lpstr>
      <vt:lpstr>_DEP1</vt:lpstr>
      <vt:lpstr>_DEP10</vt:lpstr>
      <vt:lpstr>_DEP11</vt:lpstr>
      <vt:lpstr>_DEP12</vt:lpstr>
      <vt:lpstr>_DEP13</vt:lpstr>
      <vt:lpstr>_DEP14</vt:lpstr>
      <vt:lpstr>_DEP2</vt:lpstr>
      <vt:lpstr>_DEP3</vt:lpstr>
      <vt:lpstr>_DEP4</vt:lpstr>
      <vt:lpstr>_DEP5</vt:lpstr>
      <vt:lpstr>_DEP6</vt:lpstr>
      <vt:lpstr>_DEP7</vt:lpstr>
      <vt:lpstr>_DEP8</vt:lpstr>
      <vt:lpstr>_DEP9</vt:lpstr>
      <vt:lpstr>_Ent1</vt:lpstr>
      <vt:lpstr>_Ent2</vt:lpstr>
      <vt:lpstr>_Ent3</vt:lpstr>
      <vt:lpstr>Approve1</vt:lpstr>
      <vt:lpstr>Approve10</vt:lpstr>
      <vt:lpstr>Approve2</vt:lpstr>
      <vt:lpstr>Approve3</vt:lpstr>
      <vt:lpstr>Approve4</vt:lpstr>
      <vt:lpstr>Approve5</vt:lpstr>
      <vt:lpstr>Approve6</vt:lpstr>
      <vt:lpstr>Approve7</vt:lpstr>
      <vt:lpstr>Approve8</vt:lpstr>
      <vt:lpstr>Approve9</vt:lpstr>
      <vt:lpstr>Asset_Class</vt:lpstr>
      <vt:lpstr>asset_class1</vt:lpstr>
      <vt:lpstr>Asset_sub_class</vt:lpstr>
      <vt:lpstr>asset_subclass1</vt:lpstr>
      <vt:lpstr>basedesc</vt:lpstr>
      <vt:lpstr>baseindex</vt:lpstr>
      <vt:lpstr>Cash1</vt:lpstr>
      <vt:lpstr>Cash2</vt:lpstr>
      <vt:lpstr>ChartA1</vt:lpstr>
      <vt:lpstr>ChartA10</vt:lpstr>
      <vt:lpstr>ChartA11</vt:lpstr>
      <vt:lpstr>ChartA12</vt:lpstr>
      <vt:lpstr>ChartA13</vt:lpstr>
      <vt:lpstr>ChartA2</vt:lpstr>
      <vt:lpstr>ChartA3</vt:lpstr>
      <vt:lpstr>ChartA4</vt:lpstr>
      <vt:lpstr>ChartA5</vt:lpstr>
      <vt:lpstr>ChartA6</vt:lpstr>
      <vt:lpstr>ChartA7</vt:lpstr>
      <vt:lpstr>ChartA8</vt:lpstr>
      <vt:lpstr>ChartA9</vt:lpstr>
      <vt:lpstr>choosebase</vt:lpstr>
      <vt:lpstr>Consolques</vt:lpstr>
      <vt:lpstr>desc</vt:lpstr>
      <vt:lpstr>FinYear</vt:lpstr>
      <vt:lpstr>GrantNatCapex</vt:lpstr>
      <vt:lpstr>GrantNatOpex</vt:lpstr>
      <vt:lpstr>GrantProvCapex</vt:lpstr>
      <vt:lpstr>GrantProvOpex</vt:lpstr>
      <vt:lpstr>Head1</vt:lpstr>
      <vt:lpstr>Head10</vt:lpstr>
      <vt:lpstr>Head11</vt:lpstr>
      <vt:lpstr>Head12</vt:lpstr>
      <vt:lpstr>Head13</vt:lpstr>
      <vt:lpstr>Head14</vt:lpstr>
      <vt:lpstr>Head15</vt:lpstr>
      <vt:lpstr>Head16</vt:lpstr>
      <vt:lpstr>Head17</vt:lpstr>
      <vt:lpstr>Head18</vt:lpstr>
      <vt:lpstr>Head19</vt:lpstr>
      <vt:lpstr>head1A</vt:lpstr>
      <vt:lpstr>head1b</vt:lpstr>
      <vt:lpstr>Head2</vt:lpstr>
      <vt:lpstr>Head20</vt:lpstr>
      <vt:lpstr>Head21</vt:lpstr>
      <vt:lpstr>Head22</vt:lpstr>
      <vt:lpstr>Head23</vt:lpstr>
      <vt:lpstr>Head24</vt:lpstr>
      <vt:lpstr>Head25</vt:lpstr>
      <vt:lpstr>head27</vt:lpstr>
      <vt:lpstr>head27a</vt:lpstr>
      <vt:lpstr>Head29</vt:lpstr>
      <vt:lpstr>Head2A</vt:lpstr>
      <vt:lpstr>Head3</vt:lpstr>
      <vt:lpstr>Head30</vt:lpstr>
      <vt:lpstr>Head31</vt:lpstr>
      <vt:lpstr>Head32</vt:lpstr>
      <vt:lpstr>Head33</vt:lpstr>
      <vt:lpstr>Head34</vt:lpstr>
      <vt:lpstr>Head35</vt:lpstr>
      <vt:lpstr>Head36</vt:lpstr>
      <vt:lpstr>Head37</vt:lpstr>
      <vt:lpstr>Head38</vt:lpstr>
      <vt:lpstr>Head39</vt:lpstr>
      <vt:lpstr>Head4</vt:lpstr>
      <vt:lpstr>Head40</vt:lpstr>
      <vt:lpstr>Head41</vt:lpstr>
      <vt:lpstr>Head42</vt:lpstr>
      <vt:lpstr>Head43</vt:lpstr>
      <vt:lpstr>Head44</vt:lpstr>
      <vt:lpstr>Head45</vt:lpstr>
      <vt:lpstr>head46</vt:lpstr>
      <vt:lpstr>Head47</vt:lpstr>
      <vt:lpstr>Head48</vt:lpstr>
      <vt:lpstr>Head49</vt:lpstr>
      <vt:lpstr>Head5</vt:lpstr>
      <vt:lpstr>Head50</vt:lpstr>
      <vt:lpstr>Head51</vt:lpstr>
      <vt:lpstr>Head52</vt:lpstr>
      <vt:lpstr>Head53</vt:lpstr>
      <vt:lpstr>Head54</vt:lpstr>
      <vt:lpstr>Head55</vt:lpstr>
      <vt:lpstr>Head56</vt:lpstr>
      <vt:lpstr>Head5A</vt:lpstr>
      <vt:lpstr>Head5b</vt:lpstr>
      <vt:lpstr>Head6</vt:lpstr>
      <vt:lpstr>Head7</vt:lpstr>
      <vt:lpstr>Head8</vt:lpstr>
      <vt:lpstr>Head9</vt:lpstr>
      <vt:lpstr>Headings</vt:lpstr>
      <vt:lpstr>IUDF</vt:lpstr>
      <vt:lpstr>List1</vt:lpstr>
      <vt:lpstr>List2</vt:lpstr>
      <vt:lpstr>List3</vt:lpstr>
      <vt:lpstr>List4</vt:lpstr>
      <vt:lpstr>List5</vt:lpstr>
      <vt:lpstr>List6</vt:lpstr>
      <vt:lpstr>List7</vt:lpstr>
      <vt:lpstr>List8</vt:lpstr>
      <vt:lpstr>MainMunicipalVote</vt:lpstr>
      <vt:lpstr>MscSegmentCode</vt:lpstr>
      <vt:lpstr>MTREF</vt:lpstr>
      <vt:lpstr>MTSF</vt:lpstr>
      <vt:lpstr>muni</vt:lpstr>
      <vt:lpstr>MuniEntities</vt:lpstr>
      <vt:lpstr>MuniType</vt:lpstr>
      <vt:lpstr>Orgstructurevotes</vt:lpstr>
      <vt:lpstr>PARAM!PARAM_DATA_CATALOG</vt:lpstr>
      <vt:lpstr>PARAM!PARAM_EXE_PATH</vt:lpstr>
      <vt:lpstr>PARAM!PARAM_INSTANCE_ID</vt:lpstr>
      <vt:lpstr>PARAM!PARAM_INSTANCE_NAME</vt:lpstr>
      <vt:lpstr>PARAM!PARAM_REPORT_ID</vt:lpstr>
      <vt:lpstr>PARAM!PARAM_REPORT_NAME</vt:lpstr>
      <vt:lpstr>PARAM!PARAM_RUN_ON</vt:lpstr>
      <vt:lpstr>'A10-SerDel'!Print_Area</vt:lpstr>
      <vt:lpstr>'A1-Sum'!Print_Area</vt:lpstr>
      <vt:lpstr>'A2-FinPerf SC'!Print_Area</vt:lpstr>
      <vt:lpstr>A3A!Print_Area</vt:lpstr>
      <vt:lpstr>'A3-FinPerf V'!Print_Area</vt:lpstr>
      <vt:lpstr>'A4-FinPerf RE'!Print_Area</vt:lpstr>
      <vt:lpstr>'A5-Capex'!Print_Area</vt:lpstr>
      <vt:lpstr>'A6-FinPos'!Print_Area</vt:lpstr>
      <vt:lpstr>'A9-Asset'!Print_Area</vt:lpstr>
      <vt:lpstr>Contacts!Print_Area</vt:lpstr>
      <vt:lpstr>Instructions!Print_Area</vt:lpstr>
      <vt:lpstr>'SA1'!Print_Area</vt:lpstr>
      <vt:lpstr>'SA11'!Print_Area</vt:lpstr>
      <vt:lpstr>SA12a!Print_Area</vt:lpstr>
      <vt:lpstr>SA12b!Print_Area</vt:lpstr>
      <vt:lpstr>SA13a!Print_Area</vt:lpstr>
      <vt:lpstr>SA13b!Print_Area</vt:lpstr>
      <vt:lpstr>'SA14'!Print_Area</vt:lpstr>
      <vt:lpstr>'SA15'!Print_Area</vt:lpstr>
      <vt:lpstr>'SA16'!Print_Area</vt:lpstr>
      <vt:lpstr>'SA17'!Print_Area</vt:lpstr>
      <vt:lpstr>'SA18'!Print_Area</vt:lpstr>
      <vt:lpstr>'SA19'!Print_Area</vt:lpstr>
      <vt:lpstr>'SA2'!Print_Area</vt:lpstr>
      <vt:lpstr>'SA20'!Print_Area</vt:lpstr>
      <vt:lpstr>'SA21'!Print_Area</vt:lpstr>
      <vt:lpstr>'SA22'!Print_Area</vt:lpstr>
      <vt:lpstr>'SA23'!Print_Area</vt:lpstr>
      <vt:lpstr>'SA24'!Print_Area</vt:lpstr>
      <vt:lpstr>'SA25'!Print_Area</vt:lpstr>
      <vt:lpstr>'SA26'!Print_Area</vt:lpstr>
      <vt:lpstr>'SA27'!Print_Area</vt:lpstr>
      <vt:lpstr>'SA28'!Print_Area</vt:lpstr>
      <vt:lpstr>'SA29'!Print_Area</vt:lpstr>
      <vt:lpstr>'SA3'!Print_Area</vt:lpstr>
      <vt:lpstr>'SA30'!Print_Area</vt:lpstr>
      <vt:lpstr>'SA31'!Print_Area</vt:lpstr>
      <vt:lpstr>'SA32'!Print_Area</vt:lpstr>
      <vt:lpstr>'SA33'!Print_Area</vt:lpstr>
      <vt:lpstr>SA34a!Print_Area</vt:lpstr>
      <vt:lpstr>SA34b!Print_Area</vt:lpstr>
      <vt:lpstr>SA34e!Print_Area</vt:lpstr>
      <vt:lpstr>'SA35'!Print_Area</vt:lpstr>
      <vt:lpstr>'SA36'!Print_Area</vt:lpstr>
      <vt:lpstr>'SA37'!Print_Area</vt:lpstr>
      <vt:lpstr>'SA38'!Print_Area</vt:lpstr>
      <vt:lpstr>'SA4'!Print_Area</vt:lpstr>
      <vt:lpstr>'SA5'!Print_Area</vt:lpstr>
      <vt:lpstr>'SA6'!Print_Area</vt:lpstr>
      <vt:lpstr>'SA7'!Print_Area</vt:lpstr>
      <vt:lpstr>'SA8'!Print_Area</vt:lpstr>
      <vt:lpstr>'SA9'!Print_Area</vt:lpstr>
      <vt:lpstr>A3A!Print_Titles</vt:lpstr>
      <vt:lpstr>'A3-FinPerf V'!Print_Titles</vt:lpstr>
      <vt:lpstr>'A5-Capex'!Print_Titles</vt:lpstr>
      <vt:lpstr>RandM</vt:lpstr>
      <vt:lpstr>Sheet1!RawData</vt:lpstr>
      <vt:lpstr>Sheet1!RawDataCols</vt:lpstr>
      <vt:lpstr>PARAM!REP_REPORT_CODE</vt:lpstr>
      <vt:lpstr>PARAM!REP_SYSTEM_CODE</vt:lpstr>
      <vt:lpstr>PARAM!REP_SYSTEM_MODULE</vt:lpstr>
      <vt:lpstr>result</vt:lpstr>
      <vt:lpstr>PARAM!ROW_MASK_FILTER</vt:lpstr>
      <vt:lpstr>Sheet1!S71_A2Code</vt:lpstr>
      <vt:lpstr>Sheet1!S71_A2Description</vt:lpstr>
      <vt:lpstr>Sheet1!S71_A2SubCode</vt:lpstr>
      <vt:lpstr>Sheet1!S71_A2SubDescription</vt:lpstr>
      <vt:lpstr>Sheet1!S71_A4Code</vt:lpstr>
      <vt:lpstr>Sheet1!S71_A4Description</vt:lpstr>
      <vt:lpstr>Sheet1!S71_A4SubCode</vt:lpstr>
      <vt:lpstr>Sheet1!S71_A4SubDescription</vt:lpstr>
      <vt:lpstr>Sheet1!S71_A5CapexCode</vt:lpstr>
      <vt:lpstr>Sheet1!S71_A5GCode</vt:lpstr>
      <vt:lpstr>Sheet1!S71_A5GDescription</vt:lpstr>
      <vt:lpstr>Sheet1!S71_A6Code</vt:lpstr>
      <vt:lpstr>Sheet1!S71_A6Description</vt:lpstr>
      <vt:lpstr>Sheet1!S71_A6SubCode</vt:lpstr>
      <vt:lpstr>Sheet1!S71_A6SubDescription</vt:lpstr>
      <vt:lpstr>Sheet1!S71_A7Code</vt:lpstr>
      <vt:lpstr>Sheet1!S71_A7CodePayments</vt:lpstr>
      <vt:lpstr>Sheet1!S71_A7Description</vt:lpstr>
      <vt:lpstr>Sheet1!S71_A7DescriptionPayments</vt:lpstr>
      <vt:lpstr>Sheet1!S71_A7SubCode</vt:lpstr>
      <vt:lpstr>Sheet1!S71_A7SubCodePayments</vt:lpstr>
      <vt:lpstr>Sheet1!S71_A7SubDescription</vt:lpstr>
      <vt:lpstr>Sheet1!S71_A7SubDescriptionPayments</vt:lpstr>
      <vt:lpstr>Sheet1!S71_A9Code</vt:lpstr>
      <vt:lpstr>Sheet1!S71_A9Description</vt:lpstr>
      <vt:lpstr>Sheet1!S71_A9SubCode</vt:lpstr>
      <vt:lpstr>Sheet1!S71_A9SubDescription</vt:lpstr>
      <vt:lpstr>Sheet1!S71_Account</vt:lpstr>
      <vt:lpstr>Sheet1!S71_AccountExtAccount</vt:lpstr>
      <vt:lpstr>Sheet1!S71_AccountExtensionID</vt:lpstr>
      <vt:lpstr>Sheet1!S71_AccountLink</vt:lpstr>
      <vt:lpstr>Sheet1!S71_AdjustmentBudAmnt</vt:lpstr>
      <vt:lpstr>Sheet1!S71_ASBudgetAmount</vt:lpstr>
      <vt:lpstr>Sheet1!S71_CFCode</vt:lpstr>
      <vt:lpstr>Sheet1!S71_ConsDepositsCode</vt:lpstr>
      <vt:lpstr>Sheet1!S71_DepCode</vt:lpstr>
      <vt:lpstr>Sheet1!S71_FxVoteDescription</vt:lpstr>
      <vt:lpstr>Sheet1!S71_ItemSCOAAccount</vt:lpstr>
      <vt:lpstr>Sheet1!S71_ItemType</vt:lpstr>
      <vt:lpstr>Sheet1!S71_MasterVoteDescription</vt:lpstr>
      <vt:lpstr>Sheet1!S71_MasterVoteMunicipal</vt:lpstr>
      <vt:lpstr>Sheet1!S71_NonCurrentInvCode</vt:lpstr>
      <vt:lpstr>Sheet1!S71_NonCurrentRecCode</vt:lpstr>
      <vt:lpstr>Sheet1!S71_OriginalBudAmnt</vt:lpstr>
      <vt:lpstr>Sheet1!S71_OY1BudgetAmount</vt:lpstr>
      <vt:lpstr>Sheet1!S71_OY2BudgetAmount</vt:lpstr>
      <vt:lpstr>Sheet1!S71_PPPYearAmount</vt:lpstr>
      <vt:lpstr>Sheet1!S71_PPYearAmount</vt:lpstr>
      <vt:lpstr>Sheet1!S71_PreAuditActual</vt:lpstr>
      <vt:lpstr>Sheet1!S71_ProjectType</vt:lpstr>
      <vt:lpstr>Sheet1!S71_PYearAmount</vt:lpstr>
      <vt:lpstr>Sheet1!S71_RepMaintCode</vt:lpstr>
      <vt:lpstr>Sheet1!S71_SA15Ref</vt:lpstr>
      <vt:lpstr>Sheet1!S71_SA17Ref</vt:lpstr>
      <vt:lpstr>Sheet1!S71_SA1SubCode</vt:lpstr>
      <vt:lpstr>Sheet1!S71_SA1SubDescription</vt:lpstr>
      <vt:lpstr>Sheet1!S71_SA30FDSubCode</vt:lpstr>
      <vt:lpstr>Sheet1!S71_SA30FDSubDescription</vt:lpstr>
      <vt:lpstr>Sheet1!S71_SA34aCode</vt:lpstr>
      <vt:lpstr>Sheet1!S71_SA34aCode_2</vt:lpstr>
      <vt:lpstr>Sheet1!S71_SA34aDescription</vt:lpstr>
      <vt:lpstr>Sheet1!S71_SA34aSubDescription</vt:lpstr>
      <vt:lpstr>Sheet1!S71_SA34bSubCode</vt:lpstr>
      <vt:lpstr>Sheet1!S71_SA34bSubDescription</vt:lpstr>
      <vt:lpstr>Sheet1!S71_SA34cCode</vt:lpstr>
      <vt:lpstr>Sheet1!S71_SA34cDescription</vt:lpstr>
      <vt:lpstr>Sheet1!S71_SA34Code</vt:lpstr>
      <vt:lpstr>Sheet1!S71_SA34cSubCode</vt:lpstr>
      <vt:lpstr>Sheet1!S71_SA34cSubDescription</vt:lpstr>
      <vt:lpstr>Sheet1!S71_SA34dCode</vt:lpstr>
      <vt:lpstr>Sheet1!S71_SA34dDescription</vt:lpstr>
      <vt:lpstr>Sheet1!S71_SA34Description</vt:lpstr>
      <vt:lpstr>Sheet1!S71_SA34dSubCode</vt:lpstr>
      <vt:lpstr>Sheet1!S71_SA34dSubDescription</vt:lpstr>
      <vt:lpstr>Sheet1!S71_SA34eCode</vt:lpstr>
      <vt:lpstr>Sheet1!S71_SA34eDescription</vt:lpstr>
      <vt:lpstr>Sheet1!S71_SA34eSubCode</vt:lpstr>
      <vt:lpstr>Sheet1!S71_SA34eSubDescription</vt:lpstr>
      <vt:lpstr>Sheet1!S71_SA3Code</vt:lpstr>
      <vt:lpstr>Sheet1!S71_SA3Description</vt:lpstr>
      <vt:lpstr>Sheet1!S71_SA3SubCode</vt:lpstr>
      <vt:lpstr>Sheet1!S71_SA3SubDescription</vt:lpstr>
      <vt:lpstr>Sheet1!S71_StaffCode</vt:lpstr>
      <vt:lpstr>Sheet1!S71_SubMunicipalVoteNo</vt:lpstr>
      <vt:lpstr>Sheet1!S71_WIPCode</vt:lpstr>
      <vt:lpstr>Sheet1!S71_WIPOPBalance</vt:lpstr>
      <vt:lpstr>SFPerf1</vt:lpstr>
      <vt:lpstr>SFPerf2</vt:lpstr>
      <vt:lpstr>SFpos1</vt:lpstr>
      <vt:lpstr>SFpos2</vt:lpstr>
      <vt:lpstr>SubMunicipalVote</vt:lpstr>
      <vt:lpstr>Subvote</vt:lpstr>
      <vt:lpstr>TableA1</vt:lpstr>
      <vt:lpstr>TableA10</vt:lpstr>
      <vt:lpstr>TableA11</vt:lpstr>
      <vt:lpstr>TableA12a</vt:lpstr>
      <vt:lpstr>TableA12b</vt:lpstr>
      <vt:lpstr>TableA13a</vt:lpstr>
      <vt:lpstr>TableA13b</vt:lpstr>
      <vt:lpstr>TableA14</vt:lpstr>
      <vt:lpstr>TableA15</vt:lpstr>
      <vt:lpstr>TableA16</vt:lpstr>
      <vt:lpstr>TableA17</vt:lpstr>
      <vt:lpstr>TableA18</vt:lpstr>
      <vt:lpstr>TableA19</vt:lpstr>
      <vt:lpstr>TableA2</vt:lpstr>
      <vt:lpstr>TableA20</vt:lpstr>
      <vt:lpstr>TableA21</vt:lpstr>
      <vt:lpstr>TableA22</vt:lpstr>
      <vt:lpstr>TableA23</vt:lpstr>
      <vt:lpstr>TableA24</vt:lpstr>
      <vt:lpstr>TableA25</vt:lpstr>
      <vt:lpstr>TableA26</vt:lpstr>
      <vt:lpstr>TableA27</vt:lpstr>
      <vt:lpstr>TableA28</vt:lpstr>
      <vt:lpstr>TableA29</vt:lpstr>
      <vt:lpstr>TableA3</vt:lpstr>
      <vt:lpstr>TableA30</vt:lpstr>
      <vt:lpstr>TableA31</vt:lpstr>
      <vt:lpstr>TableA32</vt:lpstr>
      <vt:lpstr>TableA33</vt:lpstr>
      <vt:lpstr>TableA34a</vt:lpstr>
      <vt:lpstr>TableA34b</vt:lpstr>
      <vt:lpstr>TableA34c</vt:lpstr>
      <vt:lpstr>TableA34d</vt:lpstr>
      <vt:lpstr>TableA34e</vt:lpstr>
      <vt:lpstr>TableA35</vt:lpstr>
      <vt:lpstr>TableA36</vt:lpstr>
      <vt:lpstr>TableA37</vt:lpstr>
      <vt:lpstr>TableA38</vt:lpstr>
      <vt:lpstr>TableA4</vt:lpstr>
      <vt:lpstr>TableA5</vt:lpstr>
      <vt:lpstr>TableA6</vt:lpstr>
      <vt:lpstr>TableA7</vt:lpstr>
      <vt:lpstr>TableA8</vt:lpstr>
      <vt:lpstr>TableA9</vt:lpstr>
      <vt:lpstr>Vdesc</vt:lpstr>
      <vt:lpstr>Vote</vt:lpstr>
      <vt:lpstr>Vote1</vt:lpstr>
      <vt:lpstr>Vote10</vt:lpstr>
      <vt:lpstr>Vote11</vt:lpstr>
      <vt:lpstr>Vote12</vt:lpstr>
      <vt:lpstr>Vote13</vt:lpstr>
      <vt:lpstr>Vote14</vt:lpstr>
      <vt:lpstr>Vote15</vt:lpstr>
      <vt:lpstr>Vote2</vt:lpstr>
      <vt:lpstr>Vote3</vt:lpstr>
      <vt:lpstr>Vote4</vt:lpstr>
      <vt:lpstr>Vote5</vt:lpstr>
      <vt:lpstr>Vote6</vt:lpstr>
      <vt:lpstr>Vote7</vt:lpstr>
      <vt:lpstr>Vote8</vt:lpstr>
      <vt:lpstr>Vote9</vt:lpstr>
    </vt:vector>
  </TitlesOfParts>
  <Company>ctc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NT A_SCHEDULE SCOA_6.5 VER_10.1_20210525_09_13_27_1313.xls</dc:title>
  <dc:subject>Standard municipality</dc:subject>
  <dc:creator>Sage Intelligence Reporting</dc:creator>
  <dc:description>Report Parameters_x000d_
Financial Year : 2022_x000d_
Budget Type : Original Budget_x000d_
SCOAVersion : mSCOA_V6.5</dc:description>
  <cp:lastModifiedBy>Thuthukani Zondo</cp:lastModifiedBy>
  <cp:lastPrinted>2021-05-27T08:43:19Z</cp:lastPrinted>
  <dcterms:created xsi:type="dcterms:W3CDTF">2004-04-07T16:19:08Z</dcterms:created>
  <dcterms:modified xsi:type="dcterms:W3CDTF">2021-06-03T09:50:00Z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0x01010047E4401F70939B408F4A9CF3E0982304</vt:lpwstr>
  </property>
</Properties>
</file>